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Y:\REAJUSTE\Concessionárias de Distribuição\2022\05 - D08 - EQTL AL (Cecilia)\Estrutura\versão final\"/>
    </mc:Choice>
  </mc:AlternateContent>
  <xr:revisionPtr revIDLastSave="0" documentId="13_ncr:1_{6449A87F-C82B-44D6-A773-BB8B003B952C}" xr6:coauthVersionLast="47" xr6:coauthVersionMax="47" xr10:uidLastSave="{00000000-0000-0000-0000-000000000000}"/>
  <bookViews>
    <workbookView xWindow="-120" yWindow="-120" windowWidth="29040" windowHeight="15840" firstSheet="13" activeTab="15" xr2:uid="{8CE53277-7A65-4219-90B1-5F3B083C5577}"/>
  </bookViews>
  <sheets>
    <sheet name="Mercado_Receita" sheetId="1" r:id="rId1"/>
    <sheet name="EVENTOS" sheetId="2" r:id="rId2"/>
    <sheet name="TAR FIN" sheetId="15" r:id="rId3"/>
    <sheet name="MERCADO TUSD" sheetId="3" r:id="rId4"/>
    <sheet name="MERCADO TE" sheetId="4" r:id="rId5"/>
    <sheet name="CUSTOS" sheetId="5" r:id="rId6"/>
    <sheet name="TRANSICAO" sheetId="14" r:id="rId7"/>
    <sheet name="TR TUSD" sheetId="6" r:id="rId8"/>
    <sheet name="TUSD BE" sheetId="7" r:id="rId9"/>
    <sheet name="TUSD BF" sheetId="8" r:id="rId10"/>
    <sheet name="TUSD CVA" sheetId="9" r:id="rId11"/>
    <sheet name="TR TE" sheetId="10" r:id="rId12"/>
    <sheet name="TE BE" sheetId="11" r:id="rId13"/>
    <sheet name="TE BF" sheetId="12" r:id="rId14"/>
    <sheet name="TE CVA" sheetId="13" r:id="rId15"/>
    <sheet name="EFEITO" sheetId="16" r:id="rId16"/>
    <sheet name="SUBSIDIO" sheetId="17" r:id="rId17"/>
    <sheet name="TabDinEfeito" sheetId="18" r:id="rId18"/>
    <sheet name="TabDinSubsidio" sheetId="19" r:id="rId19"/>
    <sheet name="TABELAS REH" sheetId="28" r:id="rId20"/>
    <sheet name="CONSISTENCIA" sheetId="21" r:id="rId21"/>
    <sheet name="TUSD" sheetId="23" r:id="rId22"/>
    <sheet name="TE" sheetId="24" r:id="rId23"/>
    <sheet name="RESUMO TUSD" sheetId="25" r:id="rId24"/>
    <sheet name="RESUMO TE" sheetId="26" r:id="rId25"/>
    <sheet name="Descontos" sheetId="20" r:id="rId26"/>
    <sheet name="ERD" sheetId="27" r:id="rId27"/>
    <sheet name="TA - Aplicação" sheetId="29" r:id="rId28"/>
    <sheet name="TA - BE" sheetId="30" r:id="rId29"/>
    <sheet name="TA - CVA" sheetId="31" r:id="rId30"/>
  </sheets>
  <definedNames>
    <definedName name="DadosExternos_1" localSheetId="27" hidden="1">'TA - Aplicação'!$B$3:$AQ$65</definedName>
    <definedName name="DadosExternos_1" localSheetId="28" hidden="1">'TA - BE'!$B$3:$AQ$65</definedName>
    <definedName name="DadosExternos_1" localSheetId="29" hidden="1">'TA - CVA'!$B$3:$AQ$65</definedName>
  </definedNames>
  <calcPr calcId="191029" iterate="1"/>
  <pivotCaches>
    <pivotCache cacheId="0" r:id="rId31"/>
    <pivotCache cacheId="1" r:id="rId3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33" i="28" l="1"/>
  <c r="V32" i="28"/>
  <c r="V31" i="28"/>
  <c r="V30" i="28"/>
  <c r="V29" i="28"/>
  <c r="V28" i="28"/>
  <c r="V27" i="28"/>
  <c r="V26" i="28"/>
  <c r="V21" i="28"/>
  <c r="V16" i="28"/>
  <c r="V25" i="28"/>
  <c r="V20" i="28"/>
  <c r="V15" i="28"/>
  <c r="V24" i="28"/>
  <c r="V23" i="28"/>
  <c r="V22" i="28"/>
  <c r="V19" i="28"/>
  <c r="V18" i="28"/>
  <c r="V17" i="28"/>
  <c r="V14" i="28"/>
  <c r="V13" i="28"/>
  <c r="V12" i="28"/>
  <c r="V11" i="28"/>
  <c r="V9" i="28"/>
  <c r="V10" i="28"/>
  <c r="V8" i="28"/>
  <c r="V7" i="28"/>
  <c r="V6" i="28"/>
  <c r="V5" i="28"/>
  <c r="J19" i="28"/>
  <c r="J18" i="28"/>
  <c r="J14" i="28"/>
  <c r="J13" i="28"/>
  <c r="J6" i="28"/>
  <c r="J5" i="28"/>
  <c r="H12" i="28"/>
  <c r="I3" i="27"/>
  <c r="K3" i="27"/>
  <c r="B2" i="27"/>
  <c r="C2" i="27"/>
  <c r="D2" i="27"/>
  <c r="E2" i="27"/>
  <c r="F2" i="27"/>
  <c r="G2" i="27"/>
  <c r="H2" i="27"/>
  <c r="I2" i="27"/>
  <c r="J2" i="27"/>
  <c r="K2" i="27"/>
  <c r="L2" i="27"/>
  <c r="B11" i="27"/>
  <c r="E19" i="5" l="1"/>
  <c r="E5" i="5"/>
  <c r="P11" i="5"/>
  <c r="P10" i="5"/>
  <c r="P9" i="5"/>
  <c r="R11" i="5"/>
  <c r="R10" i="5"/>
  <c r="R9" i="5"/>
  <c r="F43" i="5"/>
  <c r="E43" i="5"/>
  <c r="E44" i="5" s="1"/>
  <c r="D43" i="5"/>
  <c r="F26" i="5"/>
  <c r="E26" i="5"/>
  <c r="D26" i="5"/>
  <c r="D28" i="5" s="1"/>
  <c r="AL67" i="6" s="1"/>
  <c r="F25" i="5"/>
  <c r="E25" i="5"/>
  <c r="D25" i="5"/>
  <c r="F24" i="5"/>
  <c r="AH67" i="7" s="1"/>
  <c r="E24" i="5"/>
  <c r="D24" i="5"/>
  <c r="D13" i="5"/>
  <c r="D18" i="5" s="1"/>
  <c r="AB67" i="6" s="1"/>
  <c r="F38" i="5"/>
  <c r="F17" i="5"/>
  <c r="F16" i="5"/>
  <c r="F12" i="5"/>
  <c r="F11" i="5"/>
  <c r="M15" i="5"/>
  <c r="M7" i="5"/>
  <c r="D35" i="5" s="1"/>
  <c r="V67" i="7"/>
  <c r="E18" i="5"/>
  <c r="K5" i="26"/>
  <c r="J5" i="26"/>
  <c r="I5" i="26"/>
  <c r="H5" i="26"/>
  <c r="G5" i="26"/>
  <c r="F5" i="26"/>
  <c r="E5" i="26"/>
  <c r="D5" i="26"/>
  <c r="C5" i="26"/>
  <c r="B5" i="26"/>
  <c r="I2" i="26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B5" i="25"/>
  <c r="I2" i="25"/>
  <c r="AB19" i="23"/>
  <c r="AB18" i="23"/>
  <c r="AB17" i="23"/>
  <c r="AB11" i="23"/>
  <c r="AB10" i="23"/>
  <c r="AB9" i="23"/>
  <c r="AE13" i="21"/>
  <c r="AD13" i="21"/>
  <c r="AC13" i="21"/>
  <c r="AB13" i="21"/>
  <c r="AA13" i="21"/>
  <c r="W13" i="21"/>
  <c r="V13" i="21"/>
  <c r="U13" i="21"/>
  <c r="AI13" i="21" s="1"/>
  <c r="T13" i="21"/>
  <c r="S13" i="21"/>
  <c r="Y13" i="21" s="1"/>
  <c r="AG13" i="21" s="1"/>
  <c r="R13" i="21"/>
  <c r="X13" i="21" s="1"/>
  <c r="AE12" i="21"/>
  <c r="AD12" i="21"/>
  <c r="AE8" i="21"/>
  <c r="AD8" i="21"/>
  <c r="AC8" i="21"/>
  <c r="AB8" i="21"/>
  <c r="AA8" i="21"/>
  <c r="W8" i="21"/>
  <c r="V8" i="21"/>
  <c r="U8" i="21"/>
  <c r="T8" i="21"/>
  <c r="S8" i="21"/>
  <c r="Y8" i="21" s="1"/>
  <c r="AG8" i="21" s="1"/>
  <c r="R8" i="21"/>
  <c r="X8" i="21" s="1"/>
  <c r="AE6" i="21"/>
  <c r="AD6" i="21"/>
  <c r="AC6" i="21"/>
  <c r="AB6" i="21"/>
  <c r="AA6" i="21"/>
  <c r="Y6" i="21"/>
  <c r="AG6" i="21" s="1"/>
  <c r="W6" i="21"/>
  <c r="V6" i="21"/>
  <c r="U6" i="21"/>
  <c r="T6" i="21"/>
  <c r="S6" i="21"/>
  <c r="R6" i="21"/>
  <c r="AE4" i="21"/>
  <c r="AD4" i="21"/>
  <c r="AI4" i="21" s="1"/>
  <c r="AC4" i="21"/>
  <c r="AB4" i="21"/>
  <c r="AA4" i="21"/>
  <c r="W4" i="21"/>
  <c r="V4" i="21"/>
  <c r="U4" i="21"/>
  <c r="T4" i="21"/>
  <c r="S4" i="21"/>
  <c r="R4" i="21"/>
  <c r="X4" i="21" s="1"/>
  <c r="AE3" i="21"/>
  <c r="AD3" i="21"/>
  <c r="AC3" i="21"/>
  <c r="AB3" i="21"/>
  <c r="AA3" i="21"/>
  <c r="W3" i="21"/>
  <c r="V3" i="21"/>
  <c r="U3" i="21"/>
  <c r="AI3" i="21" s="1"/>
  <c r="T3" i="21"/>
  <c r="S3" i="21"/>
  <c r="Y3" i="21" s="1"/>
  <c r="AG3" i="21" s="1"/>
  <c r="R3" i="21"/>
  <c r="J1990" i="21"/>
  <c r="J1989" i="21"/>
  <c r="J1988" i="21"/>
  <c r="J1987" i="21"/>
  <c r="J1986" i="21"/>
  <c r="J1985" i="21"/>
  <c r="J1984" i="21"/>
  <c r="J1983" i="21"/>
  <c r="J1982" i="21"/>
  <c r="J1981" i="21"/>
  <c r="J1980" i="21"/>
  <c r="J1979" i="21"/>
  <c r="J1978" i="21"/>
  <c r="J1977" i="21"/>
  <c r="J1976" i="21"/>
  <c r="J1975" i="21"/>
  <c r="J1974" i="21"/>
  <c r="J1973" i="21"/>
  <c r="J1972" i="21"/>
  <c r="J1971" i="21"/>
  <c r="J1970" i="21"/>
  <c r="J1969" i="21"/>
  <c r="J1968" i="21"/>
  <c r="J1967" i="21"/>
  <c r="J1966" i="21"/>
  <c r="J1965" i="21"/>
  <c r="J1964" i="21"/>
  <c r="J1963" i="21"/>
  <c r="J1962" i="21"/>
  <c r="J1961" i="21"/>
  <c r="J1960" i="21"/>
  <c r="J1959" i="21"/>
  <c r="J1958" i="21"/>
  <c r="J1957" i="21"/>
  <c r="J1956" i="21"/>
  <c r="J1955" i="21"/>
  <c r="J1339" i="21"/>
  <c r="J1338" i="21"/>
  <c r="J1337" i="21"/>
  <c r="J1336" i="21"/>
  <c r="J1335" i="21"/>
  <c r="J1334" i="21"/>
  <c r="J1333" i="21"/>
  <c r="J1332" i="21"/>
  <c r="J1331" i="21"/>
  <c r="J1330" i="21"/>
  <c r="J1329" i="21"/>
  <c r="J1328" i="21"/>
  <c r="J1327" i="21"/>
  <c r="J1326" i="21"/>
  <c r="J1325" i="21"/>
  <c r="J1324" i="21"/>
  <c r="J1323" i="21"/>
  <c r="J1322" i="21"/>
  <c r="J1321" i="21"/>
  <c r="J1320" i="21"/>
  <c r="J1319" i="21"/>
  <c r="J1318" i="21"/>
  <c r="J1317" i="21"/>
  <c r="J1316" i="21"/>
  <c r="J1315" i="21"/>
  <c r="L1314" i="21"/>
  <c r="K1314" i="21"/>
  <c r="L1313" i="21"/>
  <c r="K1313" i="21"/>
  <c r="L1312" i="21"/>
  <c r="K1312" i="21"/>
  <c r="L1311" i="21"/>
  <c r="K1311" i="21"/>
  <c r="L1310" i="21"/>
  <c r="K1310" i="21"/>
  <c r="L1309" i="21"/>
  <c r="K1309" i="21"/>
  <c r="L1308" i="21"/>
  <c r="K1308" i="21"/>
  <c r="L1307" i="21"/>
  <c r="K1307" i="21"/>
  <c r="L1306" i="21"/>
  <c r="K1306" i="21"/>
  <c r="L1305" i="21"/>
  <c r="K1305" i="21"/>
  <c r="L1304" i="21"/>
  <c r="K1304" i="21"/>
  <c r="L1303" i="21"/>
  <c r="K1303" i="21"/>
  <c r="L1302" i="21"/>
  <c r="K1302" i="21"/>
  <c r="L1301" i="21"/>
  <c r="K1301" i="21"/>
  <c r="L1300" i="21"/>
  <c r="K1300" i="21"/>
  <c r="L1299" i="21"/>
  <c r="K1299" i="21"/>
  <c r="L1298" i="21"/>
  <c r="K1298" i="21"/>
  <c r="L1297" i="21"/>
  <c r="K1297" i="21"/>
  <c r="L1296" i="21"/>
  <c r="K1296" i="21"/>
  <c r="L1295" i="21"/>
  <c r="K1295" i="21"/>
  <c r="L1294" i="21"/>
  <c r="K1294" i="21"/>
  <c r="L1293" i="21"/>
  <c r="K1293" i="21"/>
  <c r="L1292" i="21"/>
  <c r="K1292" i="21"/>
  <c r="L1291" i="21"/>
  <c r="K1291" i="21"/>
  <c r="L1290" i="21"/>
  <c r="K1290" i="21"/>
  <c r="J1289" i="21"/>
  <c r="J1288" i="21"/>
  <c r="J1287" i="21"/>
  <c r="J1286" i="21"/>
  <c r="J1285" i="21"/>
  <c r="J1284" i="21"/>
  <c r="J1283" i="21"/>
  <c r="J1282" i="21"/>
  <c r="J1281" i="21"/>
  <c r="J1280" i="21"/>
  <c r="J1279" i="21"/>
  <c r="J1278" i="21"/>
  <c r="J1277" i="21"/>
  <c r="J1276" i="21"/>
  <c r="J1275" i="21"/>
  <c r="J1274" i="21"/>
  <c r="J1273" i="21"/>
  <c r="J1272" i="21"/>
  <c r="J1271" i="21"/>
  <c r="J1270" i="21"/>
  <c r="J1269" i="21"/>
  <c r="J1268" i="21"/>
  <c r="J1267" i="21"/>
  <c r="J1266" i="21"/>
  <c r="J1265" i="21"/>
  <c r="J1264" i="21"/>
  <c r="J1263" i="21"/>
  <c r="J1262" i="21"/>
  <c r="J1261" i="21"/>
  <c r="J1260" i="21"/>
  <c r="J1259" i="21"/>
  <c r="J1258" i="21"/>
  <c r="J1257" i="21"/>
  <c r="J1256" i="21"/>
  <c r="J1255" i="21"/>
  <c r="J1254" i="21"/>
  <c r="J1253" i="21"/>
  <c r="J1252" i="21"/>
  <c r="J1251" i="21"/>
  <c r="J1250" i="21"/>
  <c r="J1249" i="21"/>
  <c r="J1248" i="21"/>
  <c r="J1247" i="21"/>
  <c r="J1246" i="21"/>
  <c r="J1245" i="21"/>
  <c r="J1244" i="21"/>
  <c r="J1243" i="21"/>
  <c r="J1242" i="21"/>
  <c r="J1241" i="21"/>
  <c r="L1240" i="21"/>
  <c r="K1240" i="21"/>
  <c r="L1239" i="21"/>
  <c r="K1239" i="21"/>
  <c r="L1238" i="21"/>
  <c r="K1238" i="21"/>
  <c r="L1237" i="21"/>
  <c r="K1237" i="21"/>
  <c r="L1236" i="21"/>
  <c r="K1236" i="21"/>
  <c r="L1235" i="21"/>
  <c r="K1235" i="21"/>
  <c r="L1234" i="21"/>
  <c r="K1234" i="21"/>
  <c r="L1233" i="21"/>
  <c r="K1233" i="21"/>
  <c r="L1232" i="21"/>
  <c r="K1232" i="21"/>
  <c r="L1231" i="21"/>
  <c r="K1231" i="21"/>
  <c r="L1230" i="21"/>
  <c r="K1230" i="21"/>
  <c r="L1229" i="21"/>
  <c r="K1229" i="21"/>
  <c r="L1228" i="21"/>
  <c r="K1228" i="21"/>
  <c r="L1227" i="21"/>
  <c r="K1227" i="21"/>
  <c r="L1226" i="21"/>
  <c r="K1226" i="21"/>
  <c r="L1225" i="21"/>
  <c r="K1225" i="21"/>
  <c r="L1224" i="21"/>
  <c r="K1224" i="21"/>
  <c r="L1223" i="21"/>
  <c r="K1223" i="21"/>
  <c r="L1222" i="21"/>
  <c r="K1222" i="21"/>
  <c r="L1221" i="21"/>
  <c r="K1221" i="21"/>
  <c r="L1220" i="21"/>
  <c r="K1220" i="21"/>
  <c r="L1219" i="21"/>
  <c r="K1219" i="21"/>
  <c r="L1218" i="21"/>
  <c r="K1218" i="21"/>
  <c r="L1217" i="21"/>
  <c r="K1217" i="21"/>
  <c r="J1216" i="21"/>
  <c r="J1215" i="21"/>
  <c r="J1214" i="21"/>
  <c r="J1213" i="21"/>
  <c r="J1212" i="21"/>
  <c r="J1211" i="21"/>
  <c r="J1210" i="21"/>
  <c r="J1209" i="21"/>
  <c r="J1208" i="21"/>
  <c r="J1207" i="21"/>
  <c r="J1206" i="21"/>
  <c r="J1205" i="21"/>
  <c r="J1204" i="21"/>
  <c r="J1203" i="21"/>
  <c r="J1202" i="21"/>
  <c r="J1201" i="21"/>
  <c r="J1200" i="21"/>
  <c r="J1199" i="21"/>
  <c r="J1198" i="21"/>
  <c r="J1197" i="21"/>
  <c r="J1196" i="21"/>
  <c r="J1195" i="21"/>
  <c r="J1194" i="21"/>
  <c r="J1193" i="21"/>
  <c r="J1192" i="21"/>
  <c r="J1191" i="21"/>
  <c r="J1190" i="21"/>
  <c r="J1189" i="21"/>
  <c r="J1188" i="21"/>
  <c r="J1187" i="21"/>
  <c r="J1186" i="21"/>
  <c r="J1185" i="21"/>
  <c r="J1184" i="21"/>
  <c r="J1183" i="21"/>
  <c r="J1182" i="21"/>
  <c r="J1181" i="21"/>
  <c r="J1180" i="21"/>
  <c r="J1179" i="21"/>
  <c r="J1178" i="21"/>
  <c r="J1177" i="21"/>
  <c r="J1176" i="21"/>
  <c r="L1175" i="21"/>
  <c r="K1175" i="21"/>
  <c r="L1174" i="21"/>
  <c r="K1174" i="21"/>
  <c r="L1173" i="21"/>
  <c r="K1173" i="21"/>
  <c r="L1172" i="21"/>
  <c r="K1172" i="21"/>
  <c r="L1171" i="21"/>
  <c r="K1171" i="21"/>
  <c r="L1170" i="21"/>
  <c r="K1170" i="21"/>
  <c r="L1169" i="21"/>
  <c r="K1169" i="21"/>
  <c r="L1168" i="21"/>
  <c r="K1168" i="21"/>
  <c r="L1167" i="21"/>
  <c r="K1167" i="21"/>
  <c r="L1166" i="21"/>
  <c r="K1166" i="21"/>
  <c r="L1165" i="21"/>
  <c r="K1165" i="21"/>
  <c r="L1164" i="21"/>
  <c r="K1164" i="21"/>
  <c r="L1163" i="21"/>
  <c r="K1163" i="21"/>
  <c r="L1162" i="21"/>
  <c r="K1162" i="21"/>
  <c r="L1161" i="21"/>
  <c r="K1161" i="21"/>
  <c r="L1160" i="21"/>
  <c r="K1160" i="21"/>
  <c r="L1159" i="21"/>
  <c r="K1159" i="21"/>
  <c r="L1158" i="21"/>
  <c r="K1158" i="21"/>
  <c r="L1157" i="21"/>
  <c r="K1157" i="21"/>
  <c r="L1156" i="21"/>
  <c r="K1156" i="21"/>
  <c r="L1155" i="21"/>
  <c r="K1155" i="21"/>
  <c r="L1154" i="21"/>
  <c r="K1154" i="21"/>
  <c r="L1153" i="21"/>
  <c r="K1153" i="21"/>
  <c r="L1152" i="21"/>
  <c r="K1152" i="21"/>
  <c r="L1151" i="21"/>
  <c r="K1151" i="21"/>
  <c r="L1150" i="21"/>
  <c r="K1150" i="21"/>
  <c r="L1149" i="21"/>
  <c r="K1149" i="21"/>
  <c r="L1148" i="21"/>
  <c r="K1148" i="21"/>
  <c r="L1147" i="21"/>
  <c r="K1147" i="21"/>
  <c r="L1146" i="21"/>
  <c r="K1146" i="21"/>
  <c r="L1145" i="21"/>
  <c r="K1145" i="21"/>
  <c r="J1144" i="21"/>
  <c r="J1143" i="21"/>
  <c r="J1142" i="21"/>
  <c r="J1141" i="21"/>
  <c r="J1140" i="21"/>
  <c r="J1139" i="21"/>
  <c r="J1138" i="21"/>
  <c r="J1137" i="21"/>
  <c r="J1136" i="21"/>
  <c r="J1135" i="21"/>
  <c r="J1134" i="21"/>
  <c r="J1133" i="21"/>
  <c r="J1132" i="21"/>
  <c r="J1131" i="21"/>
  <c r="J1130" i="21"/>
  <c r="J1129" i="21"/>
  <c r="J1128" i="21"/>
  <c r="J1127" i="21"/>
  <c r="J1126" i="21"/>
  <c r="J1125" i="21"/>
  <c r="J1124" i="21"/>
  <c r="J1123" i="21"/>
  <c r="J1122" i="21"/>
  <c r="J1121" i="21"/>
  <c r="J1120" i="21"/>
  <c r="J1119" i="21"/>
  <c r="J1118" i="21"/>
  <c r="J1117" i="21"/>
  <c r="J1116" i="21"/>
  <c r="J1115" i="21"/>
  <c r="J1114" i="21"/>
  <c r="J1113" i="21"/>
  <c r="J1112" i="21"/>
  <c r="J1111" i="21"/>
  <c r="J1110" i="21"/>
  <c r="J1109" i="21"/>
  <c r="J1108" i="21"/>
  <c r="M2012" i="21"/>
  <c r="J2012" i="21"/>
  <c r="M2011" i="21"/>
  <c r="J2011" i="21"/>
  <c r="M2010" i="21"/>
  <c r="J2010" i="21"/>
  <c r="M2009" i="21"/>
  <c r="J2009" i="21"/>
  <c r="M2008" i="21"/>
  <c r="J2008" i="21"/>
  <c r="M2007" i="21"/>
  <c r="J2007" i="21"/>
  <c r="M2006" i="21"/>
  <c r="J2006" i="21"/>
  <c r="M2005" i="21"/>
  <c r="J2005" i="21"/>
  <c r="M2004" i="21"/>
  <c r="J2004" i="21"/>
  <c r="M2003" i="21"/>
  <c r="J2003" i="21"/>
  <c r="M2002" i="21"/>
  <c r="J2002" i="21"/>
  <c r="M2001" i="21"/>
  <c r="J2001" i="21"/>
  <c r="M2000" i="21"/>
  <c r="J2000" i="21"/>
  <c r="M1999" i="21"/>
  <c r="J1999" i="21"/>
  <c r="M1998" i="21"/>
  <c r="J1998" i="21"/>
  <c r="M1997" i="21"/>
  <c r="J1997" i="21"/>
  <c r="M1996" i="21"/>
  <c r="J1996" i="21"/>
  <c r="M1995" i="21"/>
  <c r="J1995" i="21"/>
  <c r="M1994" i="21"/>
  <c r="J1994" i="21"/>
  <c r="M1993" i="21"/>
  <c r="J1993" i="21"/>
  <c r="M1992" i="21"/>
  <c r="J1992" i="21"/>
  <c r="M1991" i="21"/>
  <c r="U12" i="21" s="1"/>
  <c r="AI12" i="21" s="1"/>
  <c r="J1991" i="21"/>
  <c r="M1990" i="21"/>
  <c r="M1989" i="21"/>
  <c r="M1988" i="21"/>
  <c r="M1987" i="21"/>
  <c r="M1986" i="21"/>
  <c r="M1985" i="21"/>
  <c r="M1984" i="21"/>
  <c r="M1983" i="21"/>
  <c r="M1982" i="21"/>
  <c r="M1981" i="21"/>
  <c r="M1980" i="21"/>
  <c r="M1979" i="21"/>
  <c r="M1978" i="21"/>
  <c r="M1977" i="21"/>
  <c r="M1976" i="21"/>
  <c r="M1975" i="21"/>
  <c r="M1974" i="21"/>
  <c r="M1973" i="21"/>
  <c r="M1972" i="21"/>
  <c r="M1971" i="21"/>
  <c r="M1970" i="21"/>
  <c r="M1969" i="21"/>
  <c r="M1968" i="21"/>
  <c r="M1967" i="21"/>
  <c r="M1966" i="21"/>
  <c r="M1965" i="21"/>
  <c r="M1964" i="21"/>
  <c r="M1963" i="21"/>
  <c r="M1962" i="21"/>
  <c r="M1961" i="21"/>
  <c r="M1960" i="21"/>
  <c r="M1959" i="21"/>
  <c r="M1958" i="21"/>
  <c r="M1957" i="21"/>
  <c r="M1956" i="21"/>
  <c r="M1955" i="21"/>
  <c r="M1954" i="21"/>
  <c r="J1954" i="21"/>
  <c r="M1953" i="21"/>
  <c r="J1953" i="21"/>
  <c r="M1952" i="21"/>
  <c r="J1952" i="21"/>
  <c r="J1951" i="21"/>
  <c r="M1951" i="21" s="1"/>
  <c r="J1950" i="21"/>
  <c r="M1950" i="21" s="1"/>
  <c r="M1949" i="21"/>
  <c r="J1949" i="21"/>
  <c r="J1948" i="21"/>
  <c r="M1948" i="21" s="1"/>
  <c r="J1947" i="21"/>
  <c r="M1947" i="21" s="1"/>
  <c r="M1946" i="21"/>
  <c r="J1946" i="21"/>
  <c r="M1945" i="21"/>
  <c r="J1945" i="21"/>
  <c r="M1944" i="21"/>
  <c r="J1944" i="21"/>
  <c r="J1943" i="21"/>
  <c r="M1943" i="21" s="1"/>
  <c r="J1942" i="21"/>
  <c r="M1942" i="21" s="1"/>
  <c r="J1941" i="21"/>
  <c r="M1941" i="21" s="1"/>
  <c r="M1940" i="21"/>
  <c r="J1940" i="21"/>
  <c r="J1939" i="21"/>
  <c r="M1939" i="21" s="1"/>
  <c r="J1938" i="21"/>
  <c r="M1938" i="21" s="1"/>
  <c r="M1937" i="21"/>
  <c r="J1937" i="21"/>
  <c r="J1936" i="21"/>
  <c r="M1936" i="21" s="1"/>
  <c r="J1935" i="21"/>
  <c r="M1935" i="21" s="1"/>
  <c r="J1934" i="21"/>
  <c r="M1934" i="21" s="1"/>
  <c r="J1933" i="21"/>
  <c r="M1933" i="21" s="1"/>
  <c r="J1932" i="21"/>
  <c r="M1932" i="21" s="1"/>
  <c r="J1931" i="21"/>
  <c r="M1931" i="21" s="1"/>
  <c r="M1930" i="21"/>
  <c r="J1930" i="21"/>
  <c r="J1929" i="21"/>
  <c r="M1929" i="21" s="1"/>
  <c r="M1928" i="21"/>
  <c r="J1928" i="21"/>
  <c r="J1927" i="21"/>
  <c r="M1927" i="21" s="1"/>
  <c r="M1926" i="21"/>
  <c r="J1926" i="21"/>
  <c r="J1925" i="21"/>
  <c r="M1925" i="21" s="1"/>
  <c r="J1924" i="21"/>
  <c r="M1924" i="21" s="1"/>
  <c r="J1923" i="21"/>
  <c r="M1923" i="21" s="1"/>
  <c r="J1922" i="21"/>
  <c r="M1922" i="21" s="1"/>
  <c r="J1921" i="21"/>
  <c r="M1921" i="21" s="1"/>
  <c r="J1920" i="21"/>
  <c r="M1920" i="21" s="1"/>
  <c r="J1919" i="21"/>
  <c r="M1919" i="21" s="1"/>
  <c r="J1918" i="21"/>
  <c r="M1918" i="21" s="1"/>
  <c r="J1917" i="21"/>
  <c r="M1917" i="21" s="1"/>
  <c r="J1916" i="21"/>
  <c r="M1916" i="21" s="1"/>
  <c r="J1915" i="21"/>
  <c r="M1915" i="21" s="1"/>
  <c r="J1914" i="21"/>
  <c r="M1914" i="21" s="1"/>
  <c r="J1913" i="21"/>
  <c r="M1913" i="21" s="1"/>
  <c r="J1912" i="21"/>
  <c r="M1912" i="21" s="1"/>
  <c r="J1911" i="21"/>
  <c r="M1911" i="21" s="1"/>
  <c r="J1910" i="21"/>
  <c r="M1910" i="21" s="1"/>
  <c r="J1909" i="21"/>
  <c r="M1909" i="21" s="1"/>
  <c r="J1908" i="21"/>
  <c r="M1908" i="21" s="1"/>
  <c r="J1907" i="21"/>
  <c r="M1907" i="21" s="1"/>
  <c r="J1906" i="21"/>
  <c r="M1906" i="21" s="1"/>
  <c r="J1905" i="21"/>
  <c r="M1905" i="21" s="1"/>
  <c r="J1904" i="21"/>
  <c r="M1904" i="21" s="1"/>
  <c r="J1903" i="21"/>
  <c r="M1903" i="21" s="1"/>
  <c r="J1902" i="21"/>
  <c r="M1902" i="21" s="1"/>
  <c r="J1901" i="21"/>
  <c r="M1901" i="21" s="1"/>
  <c r="J1900" i="21"/>
  <c r="M1900" i="21" s="1"/>
  <c r="J1899" i="21"/>
  <c r="M1899" i="21" s="1"/>
  <c r="J1898" i="21"/>
  <c r="M1898" i="21" s="1"/>
  <c r="J1897" i="21"/>
  <c r="M1897" i="21" s="1"/>
  <c r="J1896" i="21"/>
  <c r="M1896" i="21" s="1"/>
  <c r="J1895" i="21"/>
  <c r="M1895" i="21" s="1"/>
  <c r="J1894" i="21"/>
  <c r="M1894" i="21" s="1"/>
  <c r="J1893" i="21"/>
  <c r="M1893" i="21" s="1"/>
  <c r="J1892" i="21"/>
  <c r="M1892" i="21" s="1"/>
  <c r="J1891" i="21"/>
  <c r="M1891" i="21" s="1"/>
  <c r="J1890" i="21"/>
  <c r="M1890" i="21" s="1"/>
  <c r="J1889" i="21"/>
  <c r="M1889" i="21" s="1"/>
  <c r="J1888" i="21"/>
  <c r="M1888" i="21" s="1"/>
  <c r="J1887" i="21"/>
  <c r="M1887" i="21" s="1"/>
  <c r="J1886" i="21"/>
  <c r="M1886" i="21" s="1"/>
  <c r="M1885" i="21"/>
  <c r="J1885" i="21"/>
  <c r="J1884" i="21"/>
  <c r="M1884" i="21" s="1"/>
  <c r="J1883" i="21"/>
  <c r="M1883" i="21" s="1"/>
  <c r="J1882" i="21"/>
  <c r="M1882" i="21" s="1"/>
  <c r="M1881" i="21"/>
  <c r="J1881" i="21"/>
  <c r="J1880" i="21"/>
  <c r="M1880" i="21" s="1"/>
  <c r="M1879" i="21"/>
  <c r="J1879" i="21"/>
  <c r="J1878" i="21"/>
  <c r="M1878" i="21" s="1"/>
  <c r="J1877" i="21"/>
  <c r="M1877" i="21" s="1"/>
  <c r="J1876" i="21"/>
  <c r="M1876" i="21" s="1"/>
  <c r="J1875" i="21"/>
  <c r="M1875" i="21" s="1"/>
  <c r="J1874" i="21"/>
  <c r="M1874" i="21" s="1"/>
  <c r="M1873" i="21"/>
  <c r="J1873" i="21"/>
  <c r="J1872" i="21"/>
  <c r="M1872" i="21" s="1"/>
  <c r="J1871" i="21"/>
  <c r="M1871" i="21" s="1"/>
  <c r="J1870" i="21"/>
  <c r="M1870" i="21" s="1"/>
  <c r="M1869" i="21"/>
  <c r="J1869" i="21"/>
  <c r="J1868" i="21"/>
  <c r="M1868" i="21" s="1"/>
  <c r="J1867" i="21"/>
  <c r="M1867" i="21" s="1"/>
  <c r="J1866" i="21"/>
  <c r="M1866" i="21" s="1"/>
  <c r="M1865" i="21"/>
  <c r="J1865" i="21"/>
  <c r="J1864" i="21"/>
  <c r="M1864" i="21" s="1"/>
  <c r="M1863" i="21"/>
  <c r="J1863" i="21"/>
  <c r="J1862" i="21"/>
  <c r="M1862" i="21" s="1"/>
  <c r="J1861" i="21"/>
  <c r="M1861" i="21" s="1"/>
  <c r="J1860" i="21"/>
  <c r="M1860" i="21" s="1"/>
  <c r="J1859" i="21"/>
  <c r="M1859" i="21" s="1"/>
  <c r="J1858" i="21"/>
  <c r="M1858" i="21" s="1"/>
  <c r="M1857" i="21"/>
  <c r="J1857" i="21"/>
  <c r="J1856" i="21"/>
  <c r="M1856" i="21" s="1"/>
  <c r="J1855" i="21"/>
  <c r="M1855" i="21" s="1"/>
  <c r="J1854" i="21"/>
  <c r="M1854" i="21" s="1"/>
  <c r="M1853" i="21"/>
  <c r="J1853" i="21"/>
  <c r="J1852" i="21"/>
  <c r="M1852" i="21" s="1"/>
  <c r="J1851" i="21"/>
  <c r="M1851" i="21" s="1"/>
  <c r="J1850" i="21"/>
  <c r="M1850" i="21" s="1"/>
  <c r="M1849" i="21"/>
  <c r="J1849" i="21"/>
  <c r="J1848" i="21"/>
  <c r="M1848" i="21" s="1"/>
  <c r="M1847" i="21"/>
  <c r="J1847" i="21"/>
  <c r="J1846" i="21"/>
  <c r="M1846" i="21" s="1"/>
  <c r="J1845" i="21"/>
  <c r="M1845" i="21" s="1"/>
  <c r="J1844" i="21"/>
  <c r="M1844" i="21" s="1"/>
  <c r="J1843" i="21"/>
  <c r="M1843" i="21" s="1"/>
  <c r="J1842" i="21"/>
  <c r="M1842" i="21" s="1"/>
  <c r="M1841" i="21"/>
  <c r="J1841" i="21"/>
  <c r="J1840" i="21"/>
  <c r="M1840" i="21" s="1"/>
  <c r="J1839" i="21"/>
  <c r="M1839" i="21" s="1"/>
  <c r="J1838" i="21"/>
  <c r="M1838" i="21" s="1"/>
  <c r="M1837" i="21"/>
  <c r="J1837" i="21"/>
  <c r="J1836" i="21"/>
  <c r="M1836" i="21" s="1"/>
  <c r="J1835" i="21"/>
  <c r="M1835" i="21" s="1"/>
  <c r="J1834" i="21"/>
  <c r="M1834" i="21" s="1"/>
  <c r="M1833" i="21"/>
  <c r="J1833" i="21"/>
  <c r="J1832" i="21"/>
  <c r="M1832" i="21" s="1"/>
  <c r="M1831" i="21"/>
  <c r="J1831" i="21"/>
  <c r="J1830" i="21"/>
  <c r="M1830" i="21" s="1"/>
  <c r="J1829" i="21"/>
  <c r="M1829" i="21" s="1"/>
  <c r="J1828" i="21"/>
  <c r="M1828" i="21" s="1"/>
  <c r="J1827" i="21"/>
  <c r="M1827" i="21" s="1"/>
  <c r="J1826" i="21"/>
  <c r="M1826" i="21" s="1"/>
  <c r="M1825" i="21"/>
  <c r="J1825" i="21"/>
  <c r="J1824" i="21"/>
  <c r="M1824" i="21" s="1"/>
  <c r="J1823" i="21"/>
  <c r="M1823" i="21" s="1"/>
  <c r="J1822" i="21"/>
  <c r="M1822" i="21" s="1"/>
  <c r="M1821" i="21"/>
  <c r="J1821" i="21"/>
  <c r="J1820" i="21"/>
  <c r="M1820" i="21" s="1"/>
  <c r="J1819" i="21"/>
  <c r="M1819" i="21" s="1"/>
  <c r="J1818" i="21"/>
  <c r="M1818" i="21" s="1"/>
  <c r="M1817" i="21"/>
  <c r="J1817" i="21"/>
  <c r="J1816" i="21"/>
  <c r="M1816" i="21" s="1"/>
  <c r="M1815" i="21"/>
  <c r="J1815" i="21"/>
  <c r="J1814" i="21"/>
  <c r="M1814" i="21" s="1"/>
  <c r="J1813" i="21"/>
  <c r="M1813" i="21" s="1"/>
  <c r="J1812" i="21"/>
  <c r="M1812" i="21" s="1"/>
  <c r="J1811" i="21"/>
  <c r="M1811" i="21" s="1"/>
  <c r="J1810" i="21"/>
  <c r="M1810" i="21" s="1"/>
  <c r="M1809" i="21"/>
  <c r="J1809" i="21"/>
  <c r="J1808" i="21"/>
  <c r="M1808" i="21" s="1"/>
  <c r="J1807" i="21"/>
  <c r="M1807" i="21" s="1"/>
  <c r="J1806" i="21"/>
  <c r="M1806" i="21" s="1"/>
  <c r="M1805" i="21"/>
  <c r="J1805" i="21"/>
  <c r="J1804" i="21"/>
  <c r="M1804" i="21" s="1"/>
  <c r="J1803" i="21"/>
  <c r="M1803" i="21" s="1"/>
  <c r="J1802" i="21"/>
  <c r="M1802" i="21" s="1"/>
  <c r="M1801" i="21"/>
  <c r="J1801" i="21"/>
  <c r="J1800" i="21"/>
  <c r="M1800" i="21" s="1"/>
  <c r="M1799" i="21"/>
  <c r="J1799" i="21"/>
  <c r="J1798" i="21"/>
  <c r="M1798" i="21" s="1"/>
  <c r="J1797" i="21"/>
  <c r="M1797" i="21" s="1"/>
  <c r="J1796" i="21"/>
  <c r="M1796" i="21" s="1"/>
  <c r="J1795" i="21"/>
  <c r="M1795" i="21" s="1"/>
  <c r="J1794" i="21"/>
  <c r="M1794" i="21" s="1"/>
  <c r="M1793" i="21"/>
  <c r="J1793" i="21"/>
  <c r="J1792" i="21"/>
  <c r="M1792" i="21" s="1"/>
  <c r="J1791" i="21"/>
  <c r="M1791" i="21" s="1"/>
  <c r="J1790" i="21"/>
  <c r="M1790" i="21" s="1"/>
  <c r="M1789" i="21"/>
  <c r="J1789" i="21"/>
  <c r="J1788" i="21"/>
  <c r="M1788" i="21" s="1"/>
  <c r="J1787" i="21"/>
  <c r="M1787" i="21" s="1"/>
  <c r="J1786" i="21"/>
  <c r="M1786" i="21" s="1"/>
  <c r="M1785" i="21"/>
  <c r="J1785" i="21"/>
  <c r="J1784" i="21"/>
  <c r="M1784" i="21" s="1"/>
  <c r="M1783" i="21"/>
  <c r="J1783" i="21"/>
  <c r="J1782" i="21"/>
  <c r="M1782" i="21" s="1"/>
  <c r="J1781" i="21"/>
  <c r="M1781" i="21" s="1"/>
  <c r="J1780" i="21"/>
  <c r="M1780" i="21" s="1"/>
  <c r="J1779" i="21"/>
  <c r="M1779" i="21" s="1"/>
  <c r="J1778" i="21"/>
  <c r="M1778" i="21" s="1"/>
  <c r="M1777" i="21"/>
  <c r="J1777" i="21"/>
  <c r="J1776" i="21"/>
  <c r="M1776" i="21" s="1"/>
  <c r="J1775" i="21"/>
  <c r="M1775" i="21" s="1"/>
  <c r="J1774" i="21"/>
  <c r="M1774" i="21" s="1"/>
  <c r="M1773" i="21"/>
  <c r="J1773" i="21"/>
  <c r="J1772" i="21"/>
  <c r="M1772" i="21" s="1"/>
  <c r="J1771" i="21"/>
  <c r="M1771" i="21" s="1"/>
  <c r="J1770" i="21"/>
  <c r="M1770" i="21" s="1"/>
  <c r="M1769" i="21"/>
  <c r="J1769" i="21"/>
  <c r="J1768" i="21"/>
  <c r="M1768" i="21" s="1"/>
  <c r="M1767" i="21"/>
  <c r="J1767" i="21"/>
  <c r="J1766" i="21"/>
  <c r="M1766" i="21" s="1"/>
  <c r="J1765" i="21"/>
  <c r="M1765" i="21" s="1"/>
  <c r="J1764" i="21"/>
  <c r="M1764" i="21" s="1"/>
  <c r="J1763" i="21"/>
  <c r="M1763" i="21" s="1"/>
  <c r="J1762" i="21"/>
  <c r="M1762" i="21" s="1"/>
  <c r="M1761" i="21"/>
  <c r="J1761" i="21"/>
  <c r="J1760" i="21"/>
  <c r="M1760" i="21" s="1"/>
  <c r="J1759" i="21"/>
  <c r="M1759" i="21" s="1"/>
  <c r="J1758" i="21"/>
  <c r="M1758" i="21" s="1"/>
  <c r="M1757" i="21"/>
  <c r="J1757" i="21"/>
  <c r="J1756" i="21"/>
  <c r="M1756" i="21" s="1"/>
  <c r="J1755" i="21"/>
  <c r="M1755" i="21" s="1"/>
  <c r="M1754" i="21"/>
  <c r="J1754" i="21"/>
  <c r="J1753" i="21"/>
  <c r="M1753" i="21" s="1"/>
  <c r="J1752" i="21"/>
  <c r="M1752" i="21" s="1"/>
  <c r="M1751" i="21"/>
  <c r="J1751" i="21"/>
  <c r="M1750" i="21"/>
  <c r="J1750" i="21"/>
  <c r="M1749" i="21"/>
  <c r="J1749" i="21"/>
  <c r="J1748" i="21"/>
  <c r="M1748" i="21" s="1"/>
  <c r="J1747" i="21"/>
  <c r="M1747" i="21" s="1"/>
  <c r="J1746" i="21"/>
  <c r="M1746" i="21" s="1"/>
  <c r="M1745" i="21"/>
  <c r="J1745" i="21"/>
  <c r="J1744" i="21"/>
  <c r="M1744" i="21" s="1"/>
  <c r="J1743" i="21"/>
  <c r="M1743" i="21" s="1"/>
  <c r="J1742" i="21"/>
  <c r="M1742" i="21" s="1"/>
  <c r="M1741" i="21"/>
  <c r="J1741" i="21"/>
  <c r="J1740" i="21"/>
  <c r="M1740" i="21" s="1"/>
  <c r="M1739" i="21"/>
  <c r="J1739" i="21"/>
  <c r="J1738" i="21"/>
  <c r="M1738" i="21" s="1"/>
  <c r="J1737" i="21"/>
  <c r="M1737" i="21" s="1"/>
  <c r="J1736" i="21"/>
  <c r="M1736" i="21" s="1"/>
  <c r="J1735" i="21"/>
  <c r="M1735" i="21" s="1"/>
  <c r="J1734" i="21"/>
  <c r="M1734" i="21" s="1"/>
  <c r="M1733" i="21"/>
  <c r="J1733" i="21"/>
  <c r="J1732" i="21"/>
  <c r="M1732" i="21" s="1"/>
  <c r="J1731" i="21"/>
  <c r="M1731" i="21" s="1"/>
  <c r="J1730" i="21"/>
  <c r="M1730" i="21" s="1"/>
  <c r="M1729" i="21"/>
  <c r="J1729" i="21"/>
  <c r="J1728" i="21"/>
  <c r="M1728" i="21" s="1"/>
  <c r="J1727" i="21"/>
  <c r="M1727" i="21" s="1"/>
  <c r="J1726" i="21"/>
  <c r="M1726" i="21" s="1"/>
  <c r="M1725" i="21"/>
  <c r="J1725" i="21"/>
  <c r="J1724" i="21"/>
  <c r="M1724" i="21" s="1"/>
  <c r="M1723" i="21"/>
  <c r="J1723" i="21"/>
  <c r="J1722" i="21"/>
  <c r="M1722" i="21" s="1"/>
  <c r="J1721" i="21"/>
  <c r="M1721" i="21" s="1"/>
  <c r="J1720" i="21"/>
  <c r="M1720" i="21" s="1"/>
  <c r="J1719" i="21"/>
  <c r="M1719" i="21" s="1"/>
  <c r="J1718" i="21"/>
  <c r="M1718" i="21" s="1"/>
  <c r="M1717" i="21"/>
  <c r="J1717" i="21"/>
  <c r="J1716" i="21"/>
  <c r="M1716" i="21" s="1"/>
  <c r="J1715" i="21"/>
  <c r="M1715" i="21" s="1"/>
  <c r="J1714" i="21"/>
  <c r="M1714" i="21" s="1"/>
  <c r="M1713" i="21"/>
  <c r="J1713" i="21"/>
  <c r="J1712" i="21"/>
  <c r="M1712" i="21" s="1"/>
  <c r="J1711" i="21"/>
  <c r="M1711" i="21" s="1"/>
  <c r="J1710" i="21"/>
  <c r="M1710" i="21" s="1"/>
  <c r="M1709" i="21"/>
  <c r="J1709" i="21"/>
  <c r="J1708" i="21"/>
  <c r="M1708" i="21" s="1"/>
  <c r="M1707" i="21"/>
  <c r="J1707" i="21"/>
  <c r="J1706" i="21"/>
  <c r="M1706" i="21" s="1"/>
  <c r="J1705" i="21"/>
  <c r="M1705" i="21" s="1"/>
  <c r="J1704" i="21"/>
  <c r="M1704" i="21" s="1"/>
  <c r="J1703" i="21"/>
  <c r="M1703" i="21" s="1"/>
  <c r="J1702" i="21"/>
  <c r="M1702" i="21" s="1"/>
  <c r="M1701" i="21"/>
  <c r="J1701" i="21"/>
  <c r="J1700" i="21"/>
  <c r="M1700" i="21" s="1"/>
  <c r="J1699" i="21"/>
  <c r="M1699" i="21" s="1"/>
  <c r="J1698" i="21"/>
  <c r="M1698" i="21" s="1"/>
  <c r="M1697" i="21"/>
  <c r="J1697" i="21"/>
  <c r="J1696" i="21"/>
  <c r="M1696" i="21" s="1"/>
  <c r="J1695" i="21"/>
  <c r="M1695" i="21" s="1"/>
  <c r="J1694" i="21"/>
  <c r="M1694" i="21" s="1"/>
  <c r="M1693" i="21"/>
  <c r="J1693" i="21"/>
  <c r="J1692" i="21"/>
  <c r="M1692" i="21" s="1"/>
  <c r="M1691" i="21"/>
  <c r="J1691" i="21"/>
  <c r="J1690" i="21"/>
  <c r="M1690" i="21" s="1"/>
  <c r="J1689" i="21"/>
  <c r="M1689" i="21" s="1"/>
  <c r="J1688" i="21"/>
  <c r="M1688" i="21" s="1"/>
  <c r="J1687" i="21"/>
  <c r="M1687" i="21" s="1"/>
  <c r="J1686" i="21"/>
  <c r="M1686" i="21" s="1"/>
  <c r="M1685" i="21"/>
  <c r="J1685" i="21"/>
  <c r="J1684" i="21"/>
  <c r="M1684" i="21" s="1"/>
  <c r="J1683" i="21"/>
  <c r="M1683" i="21" s="1"/>
  <c r="J1682" i="21"/>
  <c r="M1682" i="21" s="1"/>
  <c r="M1681" i="21"/>
  <c r="J1681" i="21"/>
  <c r="J1680" i="21"/>
  <c r="M1680" i="21" s="1"/>
  <c r="J1679" i="21"/>
  <c r="M1679" i="21" s="1"/>
  <c r="J1678" i="21"/>
  <c r="M1678" i="21" s="1"/>
  <c r="M1677" i="21"/>
  <c r="J1677" i="21"/>
  <c r="J1676" i="21"/>
  <c r="M1676" i="21" s="1"/>
  <c r="M1675" i="21"/>
  <c r="J1675" i="21"/>
  <c r="J1674" i="21"/>
  <c r="M1674" i="21" s="1"/>
  <c r="J1673" i="21"/>
  <c r="M1673" i="21" s="1"/>
  <c r="J1672" i="21"/>
  <c r="M1672" i="21" s="1"/>
  <c r="J1671" i="21"/>
  <c r="M1671" i="21" s="1"/>
  <c r="J1670" i="21"/>
  <c r="M1670" i="21" s="1"/>
  <c r="M1669" i="21"/>
  <c r="J1669" i="21"/>
  <c r="J1668" i="21"/>
  <c r="M1668" i="21" s="1"/>
  <c r="J1667" i="21"/>
  <c r="M1667" i="21" s="1"/>
  <c r="J1666" i="21"/>
  <c r="M1666" i="21" s="1"/>
  <c r="M1665" i="21"/>
  <c r="J1665" i="21"/>
  <c r="J1664" i="21"/>
  <c r="M1664" i="21" s="1"/>
  <c r="J1663" i="21"/>
  <c r="M1663" i="21" s="1"/>
  <c r="J1662" i="21"/>
  <c r="M1662" i="21" s="1"/>
  <c r="M1661" i="21"/>
  <c r="J1661" i="21"/>
  <c r="J1660" i="21"/>
  <c r="M1660" i="21" s="1"/>
  <c r="M1659" i="21"/>
  <c r="J1659" i="21"/>
  <c r="J1658" i="21"/>
  <c r="M1658" i="21" s="1"/>
  <c r="J1657" i="21"/>
  <c r="M1657" i="21" s="1"/>
  <c r="J1656" i="21"/>
  <c r="M1656" i="21" s="1"/>
  <c r="J1655" i="21"/>
  <c r="M1655" i="21" s="1"/>
  <c r="J1654" i="21"/>
  <c r="M1654" i="21" s="1"/>
  <c r="M1653" i="21"/>
  <c r="J1653" i="21"/>
  <c r="J1652" i="21"/>
  <c r="M1652" i="21" s="1"/>
  <c r="J1651" i="21"/>
  <c r="M1651" i="21" s="1"/>
  <c r="J1650" i="21"/>
  <c r="M1650" i="21" s="1"/>
  <c r="M1649" i="21"/>
  <c r="J1649" i="21"/>
  <c r="J1648" i="21"/>
  <c r="M1648" i="21" s="1"/>
  <c r="J1647" i="21"/>
  <c r="M1647" i="21" s="1"/>
  <c r="J1646" i="21"/>
  <c r="M1646" i="21" s="1"/>
  <c r="M1645" i="21"/>
  <c r="J1645" i="21"/>
  <c r="J1644" i="21"/>
  <c r="M1644" i="21" s="1"/>
  <c r="M1643" i="21"/>
  <c r="J1643" i="21"/>
  <c r="J1642" i="21"/>
  <c r="M1642" i="21" s="1"/>
  <c r="J1641" i="21"/>
  <c r="M1641" i="21" s="1"/>
  <c r="J1640" i="21"/>
  <c r="M1640" i="21" s="1"/>
  <c r="J1639" i="21"/>
  <c r="M1639" i="21" s="1"/>
  <c r="J1638" i="21"/>
  <c r="M1638" i="21" s="1"/>
  <c r="M1637" i="21"/>
  <c r="J1637" i="21"/>
  <c r="J1636" i="21"/>
  <c r="M1636" i="21" s="1"/>
  <c r="J1635" i="21"/>
  <c r="M1635" i="21" s="1"/>
  <c r="J1634" i="21"/>
  <c r="M1634" i="21" s="1"/>
  <c r="M1633" i="21"/>
  <c r="J1633" i="21"/>
  <c r="J1632" i="21"/>
  <c r="M1632" i="21" s="1"/>
  <c r="J1631" i="21"/>
  <c r="M1631" i="21" s="1"/>
  <c r="J1630" i="21"/>
  <c r="M1630" i="21" s="1"/>
  <c r="M1629" i="21"/>
  <c r="J1629" i="21"/>
  <c r="J1628" i="21"/>
  <c r="M1628" i="21" s="1"/>
  <c r="M1627" i="21"/>
  <c r="J1627" i="21"/>
  <c r="J1626" i="21"/>
  <c r="M1626" i="21" s="1"/>
  <c r="J1625" i="21"/>
  <c r="M1625" i="21" s="1"/>
  <c r="J1624" i="21"/>
  <c r="M1624" i="21" s="1"/>
  <c r="J1623" i="21"/>
  <c r="M1623" i="21" s="1"/>
  <c r="J1622" i="21"/>
  <c r="M1622" i="21" s="1"/>
  <c r="M1621" i="21"/>
  <c r="J1621" i="21"/>
  <c r="J1620" i="21"/>
  <c r="M1620" i="21" s="1"/>
  <c r="J1619" i="21"/>
  <c r="M1619" i="21" s="1"/>
  <c r="J1618" i="21"/>
  <c r="M1618" i="21" s="1"/>
  <c r="M1617" i="21"/>
  <c r="J1617" i="21"/>
  <c r="J1616" i="21"/>
  <c r="M1616" i="21" s="1"/>
  <c r="J1615" i="21"/>
  <c r="M1615" i="21" s="1"/>
  <c r="J1614" i="21"/>
  <c r="M1614" i="21" s="1"/>
  <c r="M1613" i="21"/>
  <c r="J1613" i="21"/>
  <c r="J1612" i="21"/>
  <c r="M1612" i="21" s="1"/>
  <c r="J1611" i="21"/>
  <c r="M1611" i="21" s="1"/>
  <c r="J1610" i="21"/>
  <c r="M1610" i="21" s="1"/>
  <c r="J1609" i="21"/>
  <c r="M1609" i="21" s="1"/>
  <c r="J1608" i="21"/>
  <c r="M1608" i="21" s="1"/>
  <c r="M1607" i="21"/>
  <c r="J1607" i="21"/>
  <c r="J1606" i="21"/>
  <c r="M1606" i="21" s="1"/>
  <c r="J1605" i="21"/>
  <c r="M1605" i="21" s="1"/>
  <c r="J1604" i="21"/>
  <c r="M1604" i="21" s="1"/>
  <c r="J1603" i="21"/>
  <c r="M1603" i="21" s="1"/>
  <c r="J1602" i="21"/>
  <c r="M1602" i="21" s="1"/>
  <c r="J1601" i="21"/>
  <c r="M1601" i="21" s="1"/>
  <c r="J1600" i="21"/>
  <c r="M1600" i="21" s="1"/>
  <c r="J1599" i="21"/>
  <c r="M1599" i="21" s="1"/>
  <c r="J1598" i="21"/>
  <c r="M1598" i="21" s="1"/>
  <c r="M1597" i="21"/>
  <c r="J1597" i="21"/>
  <c r="J1596" i="21"/>
  <c r="M1596" i="21" s="1"/>
  <c r="J1595" i="21"/>
  <c r="M1595" i="21" s="1"/>
  <c r="J1594" i="21"/>
  <c r="M1594" i="21" s="1"/>
  <c r="J1593" i="21"/>
  <c r="M1593" i="21" s="1"/>
  <c r="J1592" i="21"/>
  <c r="M1592" i="21" s="1"/>
  <c r="J1591" i="21"/>
  <c r="M1591" i="21" s="1"/>
  <c r="J1590" i="21"/>
  <c r="M1590" i="21" s="1"/>
  <c r="M1589" i="21"/>
  <c r="J1589" i="21"/>
  <c r="J1588" i="21"/>
  <c r="M1588" i="21" s="1"/>
  <c r="J1587" i="21"/>
  <c r="M1587" i="21" s="1"/>
  <c r="J1586" i="21"/>
  <c r="M1586" i="21" s="1"/>
  <c r="J1585" i="21"/>
  <c r="M1585" i="21" s="1"/>
  <c r="J1584" i="21"/>
  <c r="M1584" i="21" s="1"/>
  <c r="J1583" i="21"/>
  <c r="M1583" i="21" s="1"/>
  <c r="J1582" i="21"/>
  <c r="M1582" i="21" s="1"/>
  <c r="J1581" i="21"/>
  <c r="M1581" i="21" s="1"/>
  <c r="J1580" i="21"/>
  <c r="M1580" i="21" s="1"/>
  <c r="J1579" i="21"/>
  <c r="M1579" i="21" s="1"/>
  <c r="J1578" i="21"/>
  <c r="M1578" i="21" s="1"/>
  <c r="J1577" i="21"/>
  <c r="M1577" i="21" s="1"/>
  <c r="J1576" i="21"/>
  <c r="M1576" i="21" s="1"/>
  <c r="M1575" i="21"/>
  <c r="J1575" i="21"/>
  <c r="J1574" i="21"/>
  <c r="M1574" i="21" s="1"/>
  <c r="J1573" i="21"/>
  <c r="M1573" i="21" s="1"/>
  <c r="J1572" i="21"/>
  <c r="M1572" i="21" s="1"/>
  <c r="J1571" i="21"/>
  <c r="M1571" i="21" s="1"/>
  <c r="J1570" i="21"/>
  <c r="M1570" i="21" s="1"/>
  <c r="J1569" i="21"/>
  <c r="M1569" i="21" s="1"/>
  <c r="J1568" i="21"/>
  <c r="M1568" i="21" s="1"/>
  <c r="M1567" i="21"/>
  <c r="J1567" i="21"/>
  <c r="J1566" i="21"/>
  <c r="M1566" i="21" s="1"/>
  <c r="J1565" i="21"/>
  <c r="M1565" i="21" s="1"/>
  <c r="J1564" i="21"/>
  <c r="M1564" i="21" s="1"/>
  <c r="J1563" i="21"/>
  <c r="M1563" i="21" s="1"/>
  <c r="J1562" i="21"/>
  <c r="M1562" i="21" s="1"/>
  <c r="J1561" i="21"/>
  <c r="M1561" i="21" s="1"/>
  <c r="J1560" i="21"/>
  <c r="M1560" i="21" s="1"/>
  <c r="J1559" i="21"/>
  <c r="M1559" i="21" s="1"/>
  <c r="J1558" i="21"/>
  <c r="M1558" i="21" s="1"/>
  <c r="J1557" i="21"/>
  <c r="M1557" i="21" s="1"/>
  <c r="M1556" i="21"/>
  <c r="J1556" i="21"/>
  <c r="J1555" i="21"/>
  <c r="M1555" i="21" s="1"/>
  <c r="J1554" i="21"/>
  <c r="M1554" i="21" s="1"/>
  <c r="J1553" i="21"/>
  <c r="M1553" i="21" s="1"/>
  <c r="M1552" i="21"/>
  <c r="J1552" i="21"/>
  <c r="J1551" i="21"/>
  <c r="M1551" i="21" s="1"/>
  <c r="J1550" i="21"/>
  <c r="M1550" i="21" s="1"/>
  <c r="J1549" i="21"/>
  <c r="M1549" i="21" s="1"/>
  <c r="M1548" i="21"/>
  <c r="J1548" i="21"/>
  <c r="J1547" i="21"/>
  <c r="M1547" i="21" s="1"/>
  <c r="J1546" i="21"/>
  <c r="M1546" i="21" s="1"/>
  <c r="J1545" i="21"/>
  <c r="M1545" i="21" s="1"/>
  <c r="M1544" i="21"/>
  <c r="J1544" i="21"/>
  <c r="J1543" i="21"/>
  <c r="M1543" i="21" s="1"/>
  <c r="J1542" i="21"/>
  <c r="M1542" i="21" s="1"/>
  <c r="J1541" i="21"/>
  <c r="M1541" i="21" s="1"/>
  <c r="M1540" i="21"/>
  <c r="J1540" i="21"/>
  <c r="J1539" i="21"/>
  <c r="M1539" i="21" s="1"/>
  <c r="J1538" i="21"/>
  <c r="M1538" i="21" s="1"/>
  <c r="J1537" i="21"/>
  <c r="M1537" i="21" s="1"/>
  <c r="M1536" i="21"/>
  <c r="J1536" i="21"/>
  <c r="J1535" i="21"/>
  <c r="M1535" i="21" s="1"/>
  <c r="J1534" i="21"/>
  <c r="M1534" i="21" s="1"/>
  <c r="J1513" i="21"/>
  <c r="M1513" i="21" s="1"/>
  <c r="J1512" i="21"/>
  <c r="M1512" i="21" s="1"/>
  <c r="J1511" i="21"/>
  <c r="M1511" i="21" s="1"/>
  <c r="J1510" i="21"/>
  <c r="M1510" i="21" s="1"/>
  <c r="J1509" i="21"/>
  <c r="M1509" i="21" s="1"/>
  <c r="J1508" i="21"/>
  <c r="M1508" i="21" s="1"/>
  <c r="J1507" i="21"/>
  <c r="M1507" i="21" s="1"/>
  <c r="J1506" i="21"/>
  <c r="M1506" i="21" s="1"/>
  <c r="J1505" i="21"/>
  <c r="M1505" i="21" s="1"/>
  <c r="J1504" i="21"/>
  <c r="M1504" i="21" s="1"/>
  <c r="J1503" i="21"/>
  <c r="M1503" i="21" s="1"/>
  <c r="J1502" i="21"/>
  <c r="M1502" i="21" s="1"/>
  <c r="J1501" i="21"/>
  <c r="M1501" i="21" s="1"/>
  <c r="J1500" i="21"/>
  <c r="M1500" i="21" s="1"/>
  <c r="J1499" i="21"/>
  <c r="M1499" i="21" s="1"/>
  <c r="J1498" i="21"/>
  <c r="M1498" i="21" s="1"/>
  <c r="J1497" i="21"/>
  <c r="M1497" i="21" s="1"/>
  <c r="J1496" i="21"/>
  <c r="M1496" i="21" s="1"/>
  <c r="J1495" i="21"/>
  <c r="M1495" i="21" s="1"/>
  <c r="J1494" i="21"/>
  <c r="M1494" i="21" s="1"/>
  <c r="J1493" i="21"/>
  <c r="M1493" i="21" s="1"/>
  <c r="J1492" i="21"/>
  <c r="M1492" i="21" s="1"/>
  <c r="J1491" i="21"/>
  <c r="M1491" i="21" s="1"/>
  <c r="J1490" i="21"/>
  <c r="M1490" i="21" s="1"/>
  <c r="J1489" i="21"/>
  <c r="M1489" i="21" s="1"/>
  <c r="J1488" i="21"/>
  <c r="M1488" i="21" s="1"/>
  <c r="J1487" i="21"/>
  <c r="M1487" i="21" s="1"/>
  <c r="J1486" i="21"/>
  <c r="M1486" i="21" s="1"/>
  <c r="J1485" i="21"/>
  <c r="M1485" i="21" s="1"/>
  <c r="J1484" i="21"/>
  <c r="M1484" i="21" s="1"/>
  <c r="J1483" i="21"/>
  <c r="M1483" i="21" s="1"/>
  <c r="J1482" i="21"/>
  <c r="M1482" i="21" s="1"/>
  <c r="J1481" i="21"/>
  <c r="M1481" i="21" s="1"/>
  <c r="J1480" i="21"/>
  <c r="M1480" i="21" s="1"/>
  <c r="J1479" i="21"/>
  <c r="M1479" i="21" s="1"/>
  <c r="J1478" i="21"/>
  <c r="M1478" i="21" s="1"/>
  <c r="J1477" i="21"/>
  <c r="M1477" i="21" s="1"/>
  <c r="J1476" i="21"/>
  <c r="M1476" i="21" s="1"/>
  <c r="J1475" i="21"/>
  <c r="M1475" i="21" s="1"/>
  <c r="J1474" i="21"/>
  <c r="M1474" i="21" s="1"/>
  <c r="J1473" i="21"/>
  <c r="M1473" i="21" s="1"/>
  <c r="J1472" i="21"/>
  <c r="M1472" i="21" s="1"/>
  <c r="J1471" i="21"/>
  <c r="M1471" i="21" s="1"/>
  <c r="J1470" i="21"/>
  <c r="M1470" i="21" s="1"/>
  <c r="J1469" i="21"/>
  <c r="M1469" i="21" s="1"/>
  <c r="J1468" i="21"/>
  <c r="M1468" i="21" s="1"/>
  <c r="J1467" i="21"/>
  <c r="M1467" i="21" s="1"/>
  <c r="J1466" i="21"/>
  <c r="M1466" i="21" s="1"/>
  <c r="J1465" i="21"/>
  <c r="M1465" i="21" s="1"/>
  <c r="J1464" i="21"/>
  <c r="M1464" i="21" s="1"/>
  <c r="J1463" i="21"/>
  <c r="M1463" i="21" s="1"/>
  <c r="J1462" i="21"/>
  <c r="M1462" i="21" s="1"/>
  <c r="J1461" i="21"/>
  <c r="M1461" i="21" s="1"/>
  <c r="J1460" i="21"/>
  <c r="M1460" i="21" s="1"/>
  <c r="J1459" i="21"/>
  <c r="M1459" i="21" s="1"/>
  <c r="J1458" i="21"/>
  <c r="M1458" i="21" s="1"/>
  <c r="J1457" i="21"/>
  <c r="M1457" i="21" s="1"/>
  <c r="J1456" i="21"/>
  <c r="M1456" i="21" s="1"/>
  <c r="J1455" i="21"/>
  <c r="M1455" i="21" s="1"/>
  <c r="J1454" i="21"/>
  <c r="M1454" i="21" s="1"/>
  <c r="J1453" i="21"/>
  <c r="M1453" i="21" s="1"/>
  <c r="J1452" i="21"/>
  <c r="M1452" i="21" s="1"/>
  <c r="J1451" i="21"/>
  <c r="M1451" i="21" s="1"/>
  <c r="J1450" i="21"/>
  <c r="M1450" i="21" s="1"/>
  <c r="J1449" i="21"/>
  <c r="M1449" i="21" s="1"/>
  <c r="J1448" i="21"/>
  <c r="M1448" i="21" s="1"/>
  <c r="J1447" i="21"/>
  <c r="M1447" i="21" s="1"/>
  <c r="J1446" i="21"/>
  <c r="M1446" i="21" s="1"/>
  <c r="J1445" i="21"/>
  <c r="M1445" i="21" s="1"/>
  <c r="J1444" i="21"/>
  <c r="M1444" i="21" s="1"/>
  <c r="J1443" i="21"/>
  <c r="M1443" i="21" s="1"/>
  <c r="J1442" i="21"/>
  <c r="M1442" i="21" s="1"/>
  <c r="J1441" i="21"/>
  <c r="M1441" i="21" s="1"/>
  <c r="J1440" i="21"/>
  <c r="M1440" i="21" s="1"/>
  <c r="J1439" i="21"/>
  <c r="M1439" i="21" s="1"/>
  <c r="J1438" i="21"/>
  <c r="M1438" i="21" s="1"/>
  <c r="J1437" i="21"/>
  <c r="M1437" i="21" s="1"/>
  <c r="J1436" i="21"/>
  <c r="M1436" i="21" s="1"/>
  <c r="J1435" i="21"/>
  <c r="M1435" i="21" s="1"/>
  <c r="J1434" i="21"/>
  <c r="M1434" i="21" s="1"/>
  <c r="J1433" i="21"/>
  <c r="M1433" i="21" s="1"/>
  <c r="J1432" i="21"/>
  <c r="M1432" i="21" s="1"/>
  <c r="J1431" i="21"/>
  <c r="M1431" i="21" s="1"/>
  <c r="J1430" i="21"/>
  <c r="M1430" i="21" s="1"/>
  <c r="J1429" i="21"/>
  <c r="M1429" i="21" s="1"/>
  <c r="J1428" i="21"/>
  <c r="M1428" i="21" s="1"/>
  <c r="J1427" i="21"/>
  <c r="M1427" i="21" s="1"/>
  <c r="J1426" i="21"/>
  <c r="M1426" i="21" s="1"/>
  <c r="J1425" i="21"/>
  <c r="M1425" i="21" s="1"/>
  <c r="J1424" i="21"/>
  <c r="M1424" i="21" s="1"/>
  <c r="J1423" i="21"/>
  <c r="M1423" i="21" s="1"/>
  <c r="J1422" i="21"/>
  <c r="M1422" i="21" s="1"/>
  <c r="J1421" i="21"/>
  <c r="M1421" i="21" s="1"/>
  <c r="J1420" i="21"/>
  <c r="M1420" i="21" s="1"/>
  <c r="J1419" i="21"/>
  <c r="M1419" i="21" s="1"/>
  <c r="J1418" i="21"/>
  <c r="M1418" i="21" s="1"/>
  <c r="J1417" i="21"/>
  <c r="M1417" i="21" s="1"/>
  <c r="J1416" i="21"/>
  <c r="M1416" i="21" s="1"/>
  <c r="J1415" i="21"/>
  <c r="M1415" i="21" s="1"/>
  <c r="J1414" i="21"/>
  <c r="M1414" i="21" s="1"/>
  <c r="J1413" i="21"/>
  <c r="M1413" i="21" s="1"/>
  <c r="J1412" i="21"/>
  <c r="M1412" i="21" s="1"/>
  <c r="J1411" i="21"/>
  <c r="M1411" i="21" s="1"/>
  <c r="J1410" i="21"/>
  <c r="M1410" i="21" s="1"/>
  <c r="J1409" i="21"/>
  <c r="M1409" i="21" s="1"/>
  <c r="J1408" i="21"/>
  <c r="M1408" i="21" s="1"/>
  <c r="J1407" i="21"/>
  <c r="M1407" i="21" s="1"/>
  <c r="J1406" i="21"/>
  <c r="M1406" i="21" s="1"/>
  <c r="J1405" i="21"/>
  <c r="M1405" i="21" s="1"/>
  <c r="J1404" i="21"/>
  <c r="M1404" i="21" s="1"/>
  <c r="J1403" i="21"/>
  <c r="M1403" i="21" s="1"/>
  <c r="J1402" i="21"/>
  <c r="M1402" i="21" s="1"/>
  <c r="J1401" i="21"/>
  <c r="M1401" i="21" s="1"/>
  <c r="J1400" i="21"/>
  <c r="M1400" i="21" s="1"/>
  <c r="J1399" i="21"/>
  <c r="M1399" i="21" s="1"/>
  <c r="J1398" i="21"/>
  <c r="M1398" i="21" s="1"/>
  <c r="J1397" i="21"/>
  <c r="M1397" i="21" s="1"/>
  <c r="J1396" i="21"/>
  <c r="M1396" i="21" s="1"/>
  <c r="J1395" i="21"/>
  <c r="M1395" i="21" s="1"/>
  <c r="J1394" i="21"/>
  <c r="M1394" i="21" s="1"/>
  <c r="J1393" i="21"/>
  <c r="M1393" i="21" s="1"/>
  <c r="J1392" i="21"/>
  <c r="M1392" i="21" s="1"/>
  <c r="J1391" i="21"/>
  <c r="M1391" i="21" s="1"/>
  <c r="J1390" i="21"/>
  <c r="M1390" i="21" s="1"/>
  <c r="J1389" i="21"/>
  <c r="M1389" i="21" s="1"/>
  <c r="J1388" i="21"/>
  <c r="M1388" i="21" s="1"/>
  <c r="J1387" i="21"/>
  <c r="M1387" i="21" s="1"/>
  <c r="J1386" i="21"/>
  <c r="M1386" i="21" s="1"/>
  <c r="J1385" i="21"/>
  <c r="M1385" i="21" s="1"/>
  <c r="J1384" i="21"/>
  <c r="M1384" i="21" s="1"/>
  <c r="J1383" i="21"/>
  <c r="M1383" i="21" s="1"/>
  <c r="J1382" i="21"/>
  <c r="M1382" i="21" s="1"/>
  <c r="J1381" i="21"/>
  <c r="M1381" i="21" s="1"/>
  <c r="J1380" i="21"/>
  <c r="M1380" i="21" s="1"/>
  <c r="J1379" i="21"/>
  <c r="M1379" i="21" s="1"/>
  <c r="J1378" i="21"/>
  <c r="M1378" i="21" s="1"/>
  <c r="J1377" i="21"/>
  <c r="M1377" i="21" s="1"/>
  <c r="J1376" i="21"/>
  <c r="M1376" i="21" s="1"/>
  <c r="J1375" i="21"/>
  <c r="M1375" i="21" s="1"/>
  <c r="J1374" i="21"/>
  <c r="M1374" i="21" s="1"/>
  <c r="J1373" i="21"/>
  <c r="M1373" i="21" s="1"/>
  <c r="J1372" i="21"/>
  <c r="M1372" i="21" s="1"/>
  <c r="M1371" i="21"/>
  <c r="J1371" i="21"/>
  <c r="J1370" i="21"/>
  <c r="M1370" i="21" s="1"/>
  <c r="J1369" i="21"/>
  <c r="M1369" i="21" s="1"/>
  <c r="J1368" i="21"/>
  <c r="M1368" i="21" s="1"/>
  <c r="J1367" i="21"/>
  <c r="M1367" i="21" s="1"/>
  <c r="J1366" i="21"/>
  <c r="M1366" i="21" s="1"/>
  <c r="J1365" i="21"/>
  <c r="M1365" i="21" s="1"/>
  <c r="J1364" i="21"/>
  <c r="M1364" i="21" s="1"/>
  <c r="M1363" i="21"/>
  <c r="J1363" i="21"/>
  <c r="J1362" i="21"/>
  <c r="M1362" i="21" s="1"/>
  <c r="J1361" i="21"/>
  <c r="M1361" i="21" s="1"/>
  <c r="J1360" i="21"/>
  <c r="M1360" i="21" s="1"/>
  <c r="J1359" i="21"/>
  <c r="M1359" i="21" s="1"/>
  <c r="J1358" i="21"/>
  <c r="M1358" i="21" s="1"/>
  <c r="M1357" i="21"/>
  <c r="J1357" i="21"/>
  <c r="J1356" i="21"/>
  <c r="M1356" i="21" s="1"/>
  <c r="J1355" i="21"/>
  <c r="M1355" i="21" s="1"/>
  <c r="J1354" i="21"/>
  <c r="M1354" i="21" s="1"/>
  <c r="M1353" i="21"/>
  <c r="J1353" i="21"/>
  <c r="J1352" i="21"/>
  <c r="M1352" i="21" s="1"/>
  <c r="J1351" i="21"/>
  <c r="M1351" i="21" s="1"/>
  <c r="J1350" i="21"/>
  <c r="M1350" i="21" s="1"/>
  <c r="M1349" i="21"/>
  <c r="J1349" i="21"/>
  <c r="J1348" i="21"/>
  <c r="M1348" i="21" s="1"/>
  <c r="J1347" i="21"/>
  <c r="M1347" i="21" s="1"/>
  <c r="J1346" i="21"/>
  <c r="M1346" i="21" s="1"/>
  <c r="M1345" i="21"/>
  <c r="J1345" i="21"/>
  <c r="J1344" i="21"/>
  <c r="M1344" i="21" s="1"/>
  <c r="J1343" i="21"/>
  <c r="M1343" i="21" s="1"/>
  <c r="J1342" i="21"/>
  <c r="M1342" i="21" s="1"/>
  <c r="M1341" i="21"/>
  <c r="J1341" i="21"/>
  <c r="J1340" i="21"/>
  <c r="M1339" i="21"/>
  <c r="M1338" i="21"/>
  <c r="M1337" i="21"/>
  <c r="M1336" i="21"/>
  <c r="M1335" i="21"/>
  <c r="M1334" i="21"/>
  <c r="M1333" i="21"/>
  <c r="M1332" i="21"/>
  <c r="M1331" i="21"/>
  <c r="M1330" i="21"/>
  <c r="M1329" i="21"/>
  <c r="M1328" i="21"/>
  <c r="M1327" i="21"/>
  <c r="M1326" i="21"/>
  <c r="M1325" i="21"/>
  <c r="M1324" i="21"/>
  <c r="M1323" i="21"/>
  <c r="M1322" i="21"/>
  <c r="M1321" i="21"/>
  <c r="M1320" i="21"/>
  <c r="M1319" i="21"/>
  <c r="M1318" i="21"/>
  <c r="M1317" i="21"/>
  <c r="M1316" i="21"/>
  <c r="M1315" i="21"/>
  <c r="O1314" i="21"/>
  <c r="N1314" i="21"/>
  <c r="O1313" i="21"/>
  <c r="N1313" i="21"/>
  <c r="O1312" i="21"/>
  <c r="N1312" i="21"/>
  <c r="O1311" i="21"/>
  <c r="N1311" i="21"/>
  <c r="O1310" i="21"/>
  <c r="N1310" i="21"/>
  <c r="O1309" i="21"/>
  <c r="N1309" i="21"/>
  <c r="O1308" i="21"/>
  <c r="N1308" i="21"/>
  <c r="O1307" i="21"/>
  <c r="N1307" i="21"/>
  <c r="O1306" i="21"/>
  <c r="N1306" i="21"/>
  <c r="O1305" i="21"/>
  <c r="N1305" i="21"/>
  <c r="O1304" i="21"/>
  <c r="N1304" i="21"/>
  <c r="O1303" i="21"/>
  <c r="N1303" i="21"/>
  <c r="O1302" i="21"/>
  <c r="N1302" i="21"/>
  <c r="O1301" i="21"/>
  <c r="N1301" i="21"/>
  <c r="O1300" i="21"/>
  <c r="N1300" i="21"/>
  <c r="O1299" i="21"/>
  <c r="N1299" i="21"/>
  <c r="O1298" i="21"/>
  <c r="N1298" i="21"/>
  <c r="O1297" i="21"/>
  <c r="N1297" i="21"/>
  <c r="O1296" i="21"/>
  <c r="N1296" i="21"/>
  <c r="O1295" i="21"/>
  <c r="N1295" i="21"/>
  <c r="O1294" i="21"/>
  <c r="N1294" i="21"/>
  <c r="O1293" i="21"/>
  <c r="N1293" i="21"/>
  <c r="O1292" i="21"/>
  <c r="N1292" i="21"/>
  <c r="O1291" i="21"/>
  <c r="N1291" i="21"/>
  <c r="O1290" i="21"/>
  <c r="N1290" i="21"/>
  <c r="M1289" i="21"/>
  <c r="M1288" i="21"/>
  <c r="M1287" i="21"/>
  <c r="M1286" i="21"/>
  <c r="M1285" i="21"/>
  <c r="M1284" i="21"/>
  <c r="M1283" i="21"/>
  <c r="M1282" i="21"/>
  <c r="M1281" i="21"/>
  <c r="M1280" i="21"/>
  <c r="M1279" i="21"/>
  <c r="M1278" i="21"/>
  <c r="M1277" i="21"/>
  <c r="M1276" i="21"/>
  <c r="M1275" i="21"/>
  <c r="M1274" i="21"/>
  <c r="M1273" i="21"/>
  <c r="M1272" i="21"/>
  <c r="M1271" i="21"/>
  <c r="M1270" i="21"/>
  <c r="M1269" i="21"/>
  <c r="M1268" i="21"/>
  <c r="M1267" i="21"/>
  <c r="M1266" i="21"/>
  <c r="M1265" i="21"/>
  <c r="M1264" i="21"/>
  <c r="M1263" i="21"/>
  <c r="M1262" i="21"/>
  <c r="M1261" i="21"/>
  <c r="M1260" i="21"/>
  <c r="M1259" i="21"/>
  <c r="M1258" i="21"/>
  <c r="M1257" i="21"/>
  <c r="M1256" i="21"/>
  <c r="M1255" i="21"/>
  <c r="M1254" i="21"/>
  <c r="M1253" i="21"/>
  <c r="M1252" i="21"/>
  <c r="M1251" i="21"/>
  <c r="M1250" i="21"/>
  <c r="M1249" i="21"/>
  <c r="M1248" i="21"/>
  <c r="M1247" i="21"/>
  <c r="M1246" i="21"/>
  <c r="M1245" i="21"/>
  <c r="M1244" i="21"/>
  <c r="M1243" i="21"/>
  <c r="M1242" i="21"/>
  <c r="M1241" i="21"/>
  <c r="O1240" i="21"/>
  <c r="N1240" i="21"/>
  <c r="O1239" i="21"/>
  <c r="N1239" i="21"/>
  <c r="O1238" i="21"/>
  <c r="N1238" i="21"/>
  <c r="O1237" i="21"/>
  <c r="N1237" i="21"/>
  <c r="O1236" i="21"/>
  <c r="N1236" i="21"/>
  <c r="O1235" i="21"/>
  <c r="N1235" i="21"/>
  <c r="O1234" i="21"/>
  <c r="N1234" i="21"/>
  <c r="O1233" i="21"/>
  <c r="N1233" i="21"/>
  <c r="O1232" i="21"/>
  <c r="N1232" i="21"/>
  <c r="O1231" i="21"/>
  <c r="N1231" i="21"/>
  <c r="O1230" i="21"/>
  <c r="N1230" i="21"/>
  <c r="O1229" i="21"/>
  <c r="N1229" i="21"/>
  <c r="O1228" i="21"/>
  <c r="N1228" i="21"/>
  <c r="O1227" i="21"/>
  <c r="N1227" i="21"/>
  <c r="O1226" i="21"/>
  <c r="N1226" i="21"/>
  <c r="O1225" i="21"/>
  <c r="N1225" i="21"/>
  <c r="O1224" i="21"/>
  <c r="N1224" i="21"/>
  <c r="O1223" i="21"/>
  <c r="N1223" i="21"/>
  <c r="O1222" i="21"/>
  <c r="N1222" i="21"/>
  <c r="O1221" i="21"/>
  <c r="N1221" i="21"/>
  <c r="O1220" i="21"/>
  <c r="N1220" i="21"/>
  <c r="O1219" i="21"/>
  <c r="N1219" i="21"/>
  <c r="O1218" i="21"/>
  <c r="N1218" i="21"/>
  <c r="O1217" i="21"/>
  <c r="N1217" i="21"/>
  <c r="M1216" i="21"/>
  <c r="M1215" i="21"/>
  <c r="M1214" i="21"/>
  <c r="M1213" i="21"/>
  <c r="M1212" i="21"/>
  <c r="M1211" i="21"/>
  <c r="M1210" i="21"/>
  <c r="M1209" i="21"/>
  <c r="M1208" i="21"/>
  <c r="M1207" i="21"/>
  <c r="M1206" i="21"/>
  <c r="M1205" i="21"/>
  <c r="M1204" i="21"/>
  <c r="M1203" i="21"/>
  <c r="M1202" i="21"/>
  <c r="M1201" i="21"/>
  <c r="M1200" i="21"/>
  <c r="M1199" i="21"/>
  <c r="M1198" i="21"/>
  <c r="M1197" i="21"/>
  <c r="M1196" i="21"/>
  <c r="M1195" i="21"/>
  <c r="M1194" i="21"/>
  <c r="M1193" i="21"/>
  <c r="M1192" i="21"/>
  <c r="M1191" i="21"/>
  <c r="M1190" i="21"/>
  <c r="M1189" i="21"/>
  <c r="M1188" i="21"/>
  <c r="M1187" i="21"/>
  <c r="M1186" i="21"/>
  <c r="M1185" i="21"/>
  <c r="M1184" i="21"/>
  <c r="M1183" i="21"/>
  <c r="M1182" i="21"/>
  <c r="M1181" i="21"/>
  <c r="M1180" i="21"/>
  <c r="M1179" i="21"/>
  <c r="M1178" i="21"/>
  <c r="M1177" i="21"/>
  <c r="M1176" i="21"/>
  <c r="O1175" i="21"/>
  <c r="N1175" i="21"/>
  <c r="O1174" i="21"/>
  <c r="N1174" i="21"/>
  <c r="O1173" i="21"/>
  <c r="N1173" i="21"/>
  <c r="O1172" i="21"/>
  <c r="N1172" i="21"/>
  <c r="O1171" i="21"/>
  <c r="N1171" i="21"/>
  <c r="O1170" i="21"/>
  <c r="N1170" i="21"/>
  <c r="O1169" i="21"/>
  <c r="N1169" i="21"/>
  <c r="O1168" i="21"/>
  <c r="N1168" i="21"/>
  <c r="O1167" i="21"/>
  <c r="N1167" i="21"/>
  <c r="O1166" i="21"/>
  <c r="N1166" i="21"/>
  <c r="O1165" i="21"/>
  <c r="N1165" i="21"/>
  <c r="O1164" i="21"/>
  <c r="N1164" i="21"/>
  <c r="O1163" i="21"/>
  <c r="N1163" i="21"/>
  <c r="O1162" i="21"/>
  <c r="N1162" i="21"/>
  <c r="O1161" i="21"/>
  <c r="N1161" i="21"/>
  <c r="O1160" i="21"/>
  <c r="N1160" i="21"/>
  <c r="O1159" i="21"/>
  <c r="N1159" i="21"/>
  <c r="O1158" i="21"/>
  <c r="N1158" i="21"/>
  <c r="O1157" i="21"/>
  <c r="N1157" i="21"/>
  <c r="O1156" i="21"/>
  <c r="N1156" i="21"/>
  <c r="O1155" i="21"/>
  <c r="N1155" i="21"/>
  <c r="O1154" i="21"/>
  <c r="N1154" i="21"/>
  <c r="O1153" i="21"/>
  <c r="N1153" i="21"/>
  <c r="O1152" i="21"/>
  <c r="N1152" i="21"/>
  <c r="O1151" i="21"/>
  <c r="N1151" i="21"/>
  <c r="O1150" i="21"/>
  <c r="N1150" i="21"/>
  <c r="O1149" i="21"/>
  <c r="N1149" i="21"/>
  <c r="O1148" i="21"/>
  <c r="N1148" i="21"/>
  <c r="O1147" i="21"/>
  <c r="N1147" i="21"/>
  <c r="O1146" i="21"/>
  <c r="N1146" i="21"/>
  <c r="O1145" i="21"/>
  <c r="N1145" i="21"/>
  <c r="M1144" i="21"/>
  <c r="M1143" i="21"/>
  <c r="M1142" i="21"/>
  <c r="M1141" i="21"/>
  <c r="M1140" i="21"/>
  <c r="M1139" i="21"/>
  <c r="M1138" i="21"/>
  <c r="M1137" i="21"/>
  <c r="M1136" i="21"/>
  <c r="M1135" i="21"/>
  <c r="M1134" i="21"/>
  <c r="M1133" i="21"/>
  <c r="M1132" i="21"/>
  <c r="M1131" i="21"/>
  <c r="M1130" i="21"/>
  <c r="M1129" i="21"/>
  <c r="M1128" i="21"/>
  <c r="M1127" i="21"/>
  <c r="M1126" i="21"/>
  <c r="M1125" i="21"/>
  <c r="M1124" i="21"/>
  <c r="M1123" i="21"/>
  <c r="M1122" i="21"/>
  <c r="M1121" i="21"/>
  <c r="M1120" i="21"/>
  <c r="M1119" i="21"/>
  <c r="M1118" i="21"/>
  <c r="M1117" i="21"/>
  <c r="M1116" i="21"/>
  <c r="M1115" i="21"/>
  <c r="M1114" i="21"/>
  <c r="M1113" i="21"/>
  <c r="M1112" i="21"/>
  <c r="M1111" i="21"/>
  <c r="M1110" i="21"/>
  <c r="M1109" i="21"/>
  <c r="M1108" i="21"/>
  <c r="J1107" i="21"/>
  <c r="M1107" i="21" s="1"/>
  <c r="J1106" i="21"/>
  <c r="M1106" i="21" s="1"/>
  <c r="M1105" i="21"/>
  <c r="J1105" i="21"/>
  <c r="J1104" i="21"/>
  <c r="M1104" i="21" s="1"/>
  <c r="J1103" i="21"/>
  <c r="M1103" i="21" s="1"/>
  <c r="J1102" i="21"/>
  <c r="M1102" i="21" s="1"/>
  <c r="M1101" i="21"/>
  <c r="J1101" i="21"/>
  <c r="J1100" i="21"/>
  <c r="M1100" i="21" s="1"/>
  <c r="J1099" i="21"/>
  <c r="M1099" i="21" s="1"/>
  <c r="J1098" i="21"/>
  <c r="M1098" i="21" s="1"/>
  <c r="M1097" i="21"/>
  <c r="J1097" i="21"/>
  <c r="J1096" i="21"/>
  <c r="M1096" i="21" s="1"/>
  <c r="J1095" i="21"/>
  <c r="M1095" i="21" s="1"/>
  <c r="J1094" i="21"/>
  <c r="M1094" i="21" s="1"/>
  <c r="M1093" i="21"/>
  <c r="J1093" i="21"/>
  <c r="J1092" i="21"/>
  <c r="M1092" i="21" s="1"/>
  <c r="N1091" i="21"/>
  <c r="L1091" i="21"/>
  <c r="O1091" i="21" s="1"/>
  <c r="K1091" i="21"/>
  <c r="O1090" i="21"/>
  <c r="N1090" i="21"/>
  <c r="L1090" i="21"/>
  <c r="K1090" i="21"/>
  <c r="N1089" i="21"/>
  <c r="L1089" i="21"/>
  <c r="O1089" i="21" s="1"/>
  <c r="K1089" i="21"/>
  <c r="N1088" i="21"/>
  <c r="L1088" i="21"/>
  <c r="O1088" i="21" s="1"/>
  <c r="K1088" i="21"/>
  <c r="L1087" i="21"/>
  <c r="O1087" i="21" s="1"/>
  <c r="K1087" i="21"/>
  <c r="N1087" i="21" s="1"/>
  <c r="L1086" i="21"/>
  <c r="O1086" i="21" s="1"/>
  <c r="K1086" i="21"/>
  <c r="N1086" i="21" s="1"/>
  <c r="L1085" i="21"/>
  <c r="O1085" i="21" s="1"/>
  <c r="K1085" i="21"/>
  <c r="N1085" i="21" s="1"/>
  <c r="O1084" i="21"/>
  <c r="L1084" i="21"/>
  <c r="K1084" i="21"/>
  <c r="N1084" i="21" s="1"/>
  <c r="N1083" i="21"/>
  <c r="L1083" i="21"/>
  <c r="O1083" i="21" s="1"/>
  <c r="K1083" i="21"/>
  <c r="O1082" i="21"/>
  <c r="N1082" i="21"/>
  <c r="L1082" i="21"/>
  <c r="K1082" i="21"/>
  <c r="N1081" i="21"/>
  <c r="L1081" i="21"/>
  <c r="O1081" i="21" s="1"/>
  <c r="K1081" i="21"/>
  <c r="N1080" i="21"/>
  <c r="L1080" i="21"/>
  <c r="O1080" i="21" s="1"/>
  <c r="K1080" i="21"/>
  <c r="L1079" i="21"/>
  <c r="O1079" i="21" s="1"/>
  <c r="K1079" i="21"/>
  <c r="N1079" i="21" s="1"/>
  <c r="L1078" i="21"/>
  <c r="O1078" i="21" s="1"/>
  <c r="K1078" i="21"/>
  <c r="N1078" i="21" s="1"/>
  <c r="L1077" i="21"/>
  <c r="O1077" i="21" s="1"/>
  <c r="K1077" i="21"/>
  <c r="N1077" i="21" s="1"/>
  <c r="O1076" i="21"/>
  <c r="L1076" i="21"/>
  <c r="K1076" i="21"/>
  <c r="N1076" i="21" s="1"/>
  <c r="J1075" i="21"/>
  <c r="M1075" i="21" s="1"/>
  <c r="J1074" i="21"/>
  <c r="M1074" i="21" s="1"/>
  <c r="M1073" i="21"/>
  <c r="J1073" i="21"/>
  <c r="J1072" i="21"/>
  <c r="M1072" i="21" s="1"/>
  <c r="J1071" i="21"/>
  <c r="M1071" i="21" s="1"/>
  <c r="J1070" i="21"/>
  <c r="M1070" i="21" s="1"/>
  <c r="M1069" i="21"/>
  <c r="J1069" i="21"/>
  <c r="J1068" i="21"/>
  <c r="M1068" i="21" s="1"/>
  <c r="J1067" i="21"/>
  <c r="M1067" i="21" s="1"/>
  <c r="J1066" i="21"/>
  <c r="M1066" i="21" s="1"/>
  <c r="M1065" i="21"/>
  <c r="J1065" i="21"/>
  <c r="J1064" i="21"/>
  <c r="M1064" i="21" s="1"/>
  <c r="J1063" i="21"/>
  <c r="M1063" i="21" s="1"/>
  <c r="J1062" i="21"/>
  <c r="M1062" i="21" s="1"/>
  <c r="M1061" i="21"/>
  <c r="J1061" i="21"/>
  <c r="J1060" i="21"/>
  <c r="M1060" i="21" s="1"/>
  <c r="J1059" i="21"/>
  <c r="M1059" i="21" s="1"/>
  <c r="J1058" i="21"/>
  <c r="M1058" i="21" s="1"/>
  <c r="M1057" i="21"/>
  <c r="J1057" i="21"/>
  <c r="J1056" i="21"/>
  <c r="M1056" i="21" s="1"/>
  <c r="J1055" i="21"/>
  <c r="M1055" i="21" s="1"/>
  <c r="J1054" i="21"/>
  <c r="M1054" i="21" s="1"/>
  <c r="M1053" i="21"/>
  <c r="J1053" i="21"/>
  <c r="J1052" i="21"/>
  <c r="M1052" i="21" s="1"/>
  <c r="J1051" i="21"/>
  <c r="M1051" i="21" s="1"/>
  <c r="J1050" i="21"/>
  <c r="M1050" i="21" s="1"/>
  <c r="M1049" i="21"/>
  <c r="J1049" i="21"/>
  <c r="J1048" i="21"/>
  <c r="M1048" i="21" s="1"/>
  <c r="J1047" i="21"/>
  <c r="M1047" i="21" s="1"/>
  <c r="J1046" i="21"/>
  <c r="M1046" i="21" s="1"/>
  <c r="M1045" i="21"/>
  <c r="J1045" i="21"/>
  <c r="J1044" i="21"/>
  <c r="M1044" i="21" s="1"/>
  <c r="J1043" i="21"/>
  <c r="M1043" i="21" s="1"/>
  <c r="J1042" i="21"/>
  <c r="M1042" i="21" s="1"/>
  <c r="M1041" i="21"/>
  <c r="J1041" i="21"/>
  <c r="J1040" i="21"/>
  <c r="M1040" i="21" s="1"/>
  <c r="J1039" i="21"/>
  <c r="M1039" i="21" s="1"/>
  <c r="J1038" i="21"/>
  <c r="M1038" i="21" s="1"/>
  <c r="M1037" i="21"/>
  <c r="J1037" i="21"/>
  <c r="J1036" i="21"/>
  <c r="M1036" i="21" s="1"/>
  <c r="J1035" i="21"/>
  <c r="M1035" i="21" s="1"/>
  <c r="J1034" i="21"/>
  <c r="M1034" i="21" s="1"/>
  <c r="M1033" i="21"/>
  <c r="J1033" i="21"/>
  <c r="J1032" i="21"/>
  <c r="M1032" i="21" s="1"/>
  <c r="L1031" i="21"/>
  <c r="O1031" i="21" s="1"/>
  <c r="K1031" i="21"/>
  <c r="N1031" i="21" s="1"/>
  <c r="L1030" i="21"/>
  <c r="O1030" i="21" s="1"/>
  <c r="K1030" i="21"/>
  <c r="N1030" i="21" s="1"/>
  <c r="L1029" i="21"/>
  <c r="O1029" i="21" s="1"/>
  <c r="K1029" i="21"/>
  <c r="N1029" i="21" s="1"/>
  <c r="L1028" i="21"/>
  <c r="O1028" i="21" s="1"/>
  <c r="K1028" i="21"/>
  <c r="N1028" i="21" s="1"/>
  <c r="L1027" i="21"/>
  <c r="O1027" i="21" s="1"/>
  <c r="K1027" i="21"/>
  <c r="N1027" i="21" s="1"/>
  <c r="O1026" i="21"/>
  <c r="L1026" i="21"/>
  <c r="K1026" i="21"/>
  <c r="N1026" i="21" s="1"/>
  <c r="N1025" i="21"/>
  <c r="L1025" i="21"/>
  <c r="O1025" i="21" s="1"/>
  <c r="K1025" i="21"/>
  <c r="N1024" i="21"/>
  <c r="L1024" i="21"/>
  <c r="O1024" i="21" s="1"/>
  <c r="K1024" i="21"/>
  <c r="L1023" i="21"/>
  <c r="O1023" i="21" s="1"/>
  <c r="K1023" i="21"/>
  <c r="N1023" i="21" s="1"/>
  <c r="L1022" i="21"/>
  <c r="O1022" i="21" s="1"/>
  <c r="K1022" i="21"/>
  <c r="N1022" i="21" s="1"/>
  <c r="L1021" i="21"/>
  <c r="O1021" i="21" s="1"/>
  <c r="K1021" i="21"/>
  <c r="N1021" i="21" s="1"/>
  <c r="O1020" i="21"/>
  <c r="L1020" i="21"/>
  <c r="K1020" i="21"/>
  <c r="N1020" i="21" s="1"/>
  <c r="N1019" i="21"/>
  <c r="L1019" i="21"/>
  <c r="O1019" i="21" s="1"/>
  <c r="K1019" i="21"/>
  <c r="O1018" i="21"/>
  <c r="N1018" i="21"/>
  <c r="L1018" i="21"/>
  <c r="K1018" i="21"/>
  <c r="N1017" i="21"/>
  <c r="L1017" i="21"/>
  <c r="O1017" i="21" s="1"/>
  <c r="K1017" i="21"/>
  <c r="N1016" i="21"/>
  <c r="L1016" i="21"/>
  <c r="O1016" i="21" s="1"/>
  <c r="K1016" i="21"/>
  <c r="L1015" i="21"/>
  <c r="O1015" i="21" s="1"/>
  <c r="K1015" i="21"/>
  <c r="N1015" i="21" s="1"/>
  <c r="L1014" i="21"/>
  <c r="O1014" i="21" s="1"/>
  <c r="K1014" i="21"/>
  <c r="N1014" i="21" s="1"/>
  <c r="L1013" i="21"/>
  <c r="O1013" i="21" s="1"/>
  <c r="K1013" i="21"/>
  <c r="N1013" i="21" s="1"/>
  <c r="O1012" i="21"/>
  <c r="L1012" i="21"/>
  <c r="K1012" i="21"/>
  <c r="N1012" i="21" s="1"/>
  <c r="N1011" i="21"/>
  <c r="L1011" i="21"/>
  <c r="O1011" i="21" s="1"/>
  <c r="K1011" i="21"/>
  <c r="O1010" i="21"/>
  <c r="N1010" i="21"/>
  <c r="L1010" i="21"/>
  <c r="K1010" i="21"/>
  <c r="N1009" i="21"/>
  <c r="L1009" i="21"/>
  <c r="O1009" i="21" s="1"/>
  <c r="K1009" i="21"/>
  <c r="N1008" i="21"/>
  <c r="L1008" i="21"/>
  <c r="O1008" i="21" s="1"/>
  <c r="K1008" i="21"/>
  <c r="L1007" i="21"/>
  <c r="O1007" i="21" s="1"/>
  <c r="K1007" i="21"/>
  <c r="N1007" i="21" s="1"/>
  <c r="L1006" i="21"/>
  <c r="O1006" i="21" s="1"/>
  <c r="K1006" i="21"/>
  <c r="N1006" i="21" s="1"/>
  <c r="L1005" i="21"/>
  <c r="O1005" i="21" s="1"/>
  <c r="K1005" i="21"/>
  <c r="N1005" i="21" s="1"/>
  <c r="O1004" i="21"/>
  <c r="L1004" i="21"/>
  <c r="K1004" i="21"/>
  <c r="N1004" i="21" s="1"/>
  <c r="J1003" i="21"/>
  <c r="M1003" i="21" s="1"/>
  <c r="J1002" i="21"/>
  <c r="M1002" i="21" s="1"/>
  <c r="M1001" i="21"/>
  <c r="J1001" i="21"/>
  <c r="J1000" i="21"/>
  <c r="M1000" i="21" s="1"/>
  <c r="J999" i="21"/>
  <c r="M999" i="21" s="1"/>
  <c r="J998" i="21"/>
  <c r="M998" i="21" s="1"/>
  <c r="M997" i="21"/>
  <c r="J997" i="21"/>
  <c r="J996" i="21"/>
  <c r="M996" i="21" s="1"/>
  <c r="J995" i="21"/>
  <c r="M995" i="21" s="1"/>
  <c r="J994" i="21"/>
  <c r="M994" i="21" s="1"/>
  <c r="M993" i="21"/>
  <c r="J993" i="21"/>
  <c r="J992" i="21"/>
  <c r="M992" i="21" s="1"/>
  <c r="J991" i="21"/>
  <c r="M991" i="21" s="1"/>
  <c r="J990" i="21"/>
  <c r="M990" i="21" s="1"/>
  <c r="M989" i="21"/>
  <c r="J989" i="21"/>
  <c r="J988" i="21"/>
  <c r="M988" i="21" s="1"/>
  <c r="J987" i="21"/>
  <c r="M987" i="21" s="1"/>
  <c r="J986" i="21"/>
  <c r="M986" i="21" s="1"/>
  <c r="M985" i="21"/>
  <c r="J985" i="21"/>
  <c r="J984" i="21"/>
  <c r="M984" i="21" s="1"/>
  <c r="J983" i="21"/>
  <c r="M983" i="21" s="1"/>
  <c r="J982" i="21"/>
  <c r="M982" i="21" s="1"/>
  <c r="M981" i="21"/>
  <c r="J981" i="21"/>
  <c r="J980" i="21"/>
  <c r="M980" i="21" s="1"/>
  <c r="J979" i="21"/>
  <c r="M979" i="21" s="1"/>
  <c r="J978" i="21"/>
  <c r="M978" i="21" s="1"/>
  <c r="M977" i="21"/>
  <c r="J977" i="21"/>
  <c r="J976" i="21"/>
  <c r="M976" i="21" s="1"/>
  <c r="L975" i="21"/>
  <c r="O975" i="21" s="1"/>
  <c r="J975" i="21"/>
  <c r="M975" i="21" s="1"/>
  <c r="J974" i="21"/>
  <c r="M974" i="21" s="1"/>
  <c r="J973" i="21"/>
  <c r="M973" i="21" s="1"/>
  <c r="L972" i="21"/>
  <c r="O972" i="21" s="1"/>
  <c r="J972" i="21"/>
  <c r="M972" i="21" s="1"/>
  <c r="M971" i="21"/>
  <c r="J971" i="21"/>
  <c r="J970" i="21"/>
  <c r="M970" i="21" s="1"/>
  <c r="M969" i="21"/>
  <c r="L969" i="21"/>
  <c r="O969" i="21" s="1"/>
  <c r="J969" i="21"/>
  <c r="J968" i="21"/>
  <c r="M968" i="21" s="1"/>
  <c r="J967" i="21"/>
  <c r="M967" i="21" s="1"/>
  <c r="J966" i="21"/>
  <c r="M966" i="21" s="1"/>
  <c r="L965" i="21"/>
  <c r="O965" i="21" s="1"/>
  <c r="J965" i="21"/>
  <c r="M965" i="21" s="1"/>
  <c r="J964" i="21"/>
  <c r="M964" i="21" s="1"/>
  <c r="M963" i="21"/>
  <c r="J963" i="21"/>
  <c r="J962" i="21"/>
  <c r="M962" i="21" s="1"/>
  <c r="L961" i="21"/>
  <c r="O961" i="21" s="1"/>
  <c r="J961" i="21"/>
  <c r="M961" i="21" s="1"/>
  <c r="J960" i="21"/>
  <c r="M960" i="21" s="1"/>
  <c r="J959" i="21"/>
  <c r="M959" i="21" s="1"/>
  <c r="J958" i="21"/>
  <c r="M958" i="21" s="1"/>
  <c r="M957" i="21"/>
  <c r="L957" i="21"/>
  <c r="O957" i="21" s="1"/>
  <c r="J957" i="21"/>
  <c r="J956" i="21"/>
  <c r="M956" i="21" s="1"/>
  <c r="M955" i="21"/>
  <c r="J955" i="21"/>
  <c r="J954" i="21"/>
  <c r="M954" i="21" s="1"/>
  <c r="M953" i="21"/>
  <c r="L953" i="21"/>
  <c r="O953" i="21" s="1"/>
  <c r="J953" i="21"/>
  <c r="J952" i="21"/>
  <c r="M952" i="21" s="1"/>
  <c r="J951" i="21"/>
  <c r="M951" i="21" s="1"/>
  <c r="J950" i="21"/>
  <c r="M950" i="21" s="1"/>
  <c r="L949" i="21"/>
  <c r="O949" i="21" s="1"/>
  <c r="J949" i="21"/>
  <c r="M949" i="21" s="1"/>
  <c r="J948" i="21"/>
  <c r="M948" i="21" s="1"/>
  <c r="M947" i="21"/>
  <c r="J947" i="21"/>
  <c r="J946" i="21"/>
  <c r="M946" i="21" s="1"/>
  <c r="L945" i="21"/>
  <c r="O945" i="21" s="1"/>
  <c r="J945" i="21"/>
  <c r="M945" i="21" s="1"/>
  <c r="J944" i="21"/>
  <c r="M944" i="21" s="1"/>
  <c r="J943" i="21"/>
  <c r="M943" i="21" s="1"/>
  <c r="J942" i="21"/>
  <c r="M942" i="21" s="1"/>
  <c r="M941" i="21"/>
  <c r="L941" i="21"/>
  <c r="O941" i="21" s="1"/>
  <c r="J941" i="21"/>
  <c r="J940" i="21"/>
  <c r="M940" i="21" s="1"/>
  <c r="M939" i="21"/>
  <c r="J939" i="21"/>
  <c r="J938" i="21"/>
  <c r="M938" i="21" s="1"/>
  <c r="M937" i="21"/>
  <c r="L937" i="21"/>
  <c r="O937" i="21" s="1"/>
  <c r="J937" i="21"/>
  <c r="J936" i="21"/>
  <c r="M936" i="21" s="1"/>
  <c r="J935" i="21"/>
  <c r="M935" i="21" s="1"/>
  <c r="J934" i="21"/>
  <c r="M934" i="21" s="1"/>
  <c r="L933" i="21"/>
  <c r="O933" i="21" s="1"/>
  <c r="J933" i="21"/>
  <c r="M933" i="21" s="1"/>
  <c r="J932" i="21"/>
  <c r="M932" i="21" s="1"/>
  <c r="M931" i="21"/>
  <c r="J931" i="21"/>
  <c r="O930" i="21"/>
  <c r="N930" i="21"/>
  <c r="L930" i="21"/>
  <c r="K930" i="21"/>
  <c r="N929" i="21"/>
  <c r="L929" i="21"/>
  <c r="O929" i="21" s="1"/>
  <c r="K929" i="21"/>
  <c r="N928" i="21"/>
  <c r="L928" i="21"/>
  <c r="O928" i="21" s="1"/>
  <c r="K928" i="21"/>
  <c r="L927" i="21"/>
  <c r="O927" i="21" s="1"/>
  <c r="K927" i="21"/>
  <c r="N927" i="21" s="1"/>
  <c r="L926" i="21"/>
  <c r="O926" i="21" s="1"/>
  <c r="K926" i="21"/>
  <c r="N926" i="21" s="1"/>
  <c r="L925" i="21"/>
  <c r="O925" i="21" s="1"/>
  <c r="K925" i="21"/>
  <c r="N925" i="21" s="1"/>
  <c r="O924" i="21"/>
  <c r="L924" i="21"/>
  <c r="K924" i="21"/>
  <c r="N924" i="21" s="1"/>
  <c r="N923" i="21"/>
  <c r="L923" i="21"/>
  <c r="O923" i="21" s="1"/>
  <c r="K923" i="21"/>
  <c r="O922" i="21"/>
  <c r="N922" i="21"/>
  <c r="L922" i="21"/>
  <c r="K922" i="21"/>
  <c r="N921" i="21"/>
  <c r="L921" i="21"/>
  <c r="O921" i="21" s="1"/>
  <c r="K921" i="21"/>
  <c r="L920" i="21"/>
  <c r="O920" i="21" s="1"/>
  <c r="K920" i="21"/>
  <c r="N920" i="21" s="1"/>
  <c r="L919" i="21"/>
  <c r="O919" i="21" s="1"/>
  <c r="K919" i="21"/>
  <c r="N919" i="21" s="1"/>
  <c r="N918" i="21"/>
  <c r="L918" i="21"/>
  <c r="O918" i="21" s="1"/>
  <c r="K918" i="21"/>
  <c r="N917" i="21"/>
  <c r="L917" i="21"/>
  <c r="O917" i="21" s="1"/>
  <c r="K917" i="21"/>
  <c r="L916" i="21"/>
  <c r="O916" i="21" s="1"/>
  <c r="K916" i="21"/>
  <c r="N916" i="21" s="1"/>
  <c r="L915" i="21"/>
  <c r="O915" i="21" s="1"/>
  <c r="K915" i="21"/>
  <c r="N915" i="21" s="1"/>
  <c r="N914" i="21"/>
  <c r="L914" i="21"/>
  <c r="O914" i="21" s="1"/>
  <c r="K914" i="21"/>
  <c r="N913" i="21"/>
  <c r="L913" i="21"/>
  <c r="O913" i="21" s="1"/>
  <c r="K913" i="21"/>
  <c r="L912" i="21"/>
  <c r="O912" i="21" s="1"/>
  <c r="K912" i="21"/>
  <c r="N912" i="21" s="1"/>
  <c r="L911" i="21"/>
  <c r="O911" i="21" s="1"/>
  <c r="K911" i="21"/>
  <c r="N911" i="21" s="1"/>
  <c r="N910" i="21"/>
  <c r="L910" i="21"/>
  <c r="O910" i="21" s="1"/>
  <c r="K910" i="21"/>
  <c r="N909" i="21"/>
  <c r="L909" i="21"/>
  <c r="O909" i="21" s="1"/>
  <c r="K909" i="21"/>
  <c r="L908" i="21"/>
  <c r="O908" i="21" s="1"/>
  <c r="K908" i="21"/>
  <c r="N908" i="21" s="1"/>
  <c r="L907" i="21"/>
  <c r="O907" i="21" s="1"/>
  <c r="K907" i="21"/>
  <c r="N907" i="21" s="1"/>
  <c r="O906" i="21"/>
  <c r="L906" i="21"/>
  <c r="K906" i="21"/>
  <c r="N906" i="21" s="1"/>
  <c r="N905" i="21"/>
  <c r="L905" i="21"/>
  <c r="O905" i="21" s="1"/>
  <c r="K905" i="21"/>
  <c r="L904" i="21"/>
  <c r="O904" i="21" s="1"/>
  <c r="K904" i="21"/>
  <c r="N904" i="21" s="1"/>
  <c r="L903" i="21"/>
  <c r="O903" i="21" s="1"/>
  <c r="K903" i="21"/>
  <c r="N903" i="21" s="1"/>
  <c r="O902" i="21"/>
  <c r="L902" i="21"/>
  <c r="K902" i="21"/>
  <c r="N902" i="21" s="1"/>
  <c r="N901" i="21"/>
  <c r="L901" i="21"/>
  <c r="O901" i="21" s="1"/>
  <c r="K901" i="21"/>
  <c r="L900" i="21"/>
  <c r="O900" i="21" s="1"/>
  <c r="K900" i="21"/>
  <c r="N900" i="21" s="1"/>
  <c r="L899" i="21"/>
  <c r="O899" i="21" s="1"/>
  <c r="K899" i="21"/>
  <c r="N899" i="21" s="1"/>
  <c r="O898" i="21"/>
  <c r="L898" i="21"/>
  <c r="K898" i="21"/>
  <c r="N898" i="21" s="1"/>
  <c r="N897" i="21"/>
  <c r="L897" i="21"/>
  <c r="O897" i="21" s="1"/>
  <c r="K897" i="21"/>
  <c r="L896" i="21"/>
  <c r="O896" i="21" s="1"/>
  <c r="K896" i="21"/>
  <c r="N896" i="21" s="1"/>
  <c r="L895" i="21"/>
  <c r="O895" i="21" s="1"/>
  <c r="K895" i="21"/>
  <c r="N895" i="21" s="1"/>
  <c r="O894" i="21"/>
  <c r="L894" i="21"/>
  <c r="K894" i="21"/>
  <c r="N894" i="21" s="1"/>
  <c r="N893" i="21"/>
  <c r="L893" i="21"/>
  <c r="O893" i="21" s="1"/>
  <c r="K893" i="21"/>
  <c r="L892" i="21"/>
  <c r="O892" i="21" s="1"/>
  <c r="K892" i="21"/>
  <c r="N892" i="21" s="1"/>
  <c r="L891" i="21"/>
  <c r="O891" i="21" s="1"/>
  <c r="K891" i="21"/>
  <c r="N891" i="21" s="1"/>
  <c r="O890" i="21"/>
  <c r="L890" i="21"/>
  <c r="K890" i="21"/>
  <c r="N890" i="21" s="1"/>
  <c r="N889" i="21"/>
  <c r="L889" i="21"/>
  <c r="O889" i="21" s="1"/>
  <c r="K889" i="21"/>
  <c r="L888" i="21"/>
  <c r="O888" i="21" s="1"/>
  <c r="K888" i="21"/>
  <c r="N888" i="21" s="1"/>
  <c r="L887" i="21"/>
  <c r="O887" i="21" s="1"/>
  <c r="K887" i="21"/>
  <c r="N887" i="21" s="1"/>
  <c r="O886" i="21"/>
  <c r="L886" i="21"/>
  <c r="K886" i="21"/>
  <c r="N886" i="21" s="1"/>
  <c r="M885" i="21"/>
  <c r="L885" i="21"/>
  <c r="O885" i="21" s="1"/>
  <c r="J885" i="21"/>
  <c r="J884" i="21"/>
  <c r="M884" i="21" s="1"/>
  <c r="M883" i="21"/>
  <c r="J883" i="21"/>
  <c r="L882" i="21"/>
  <c r="O882" i="21" s="1"/>
  <c r="J882" i="21"/>
  <c r="M882" i="21" s="1"/>
  <c r="M881" i="21"/>
  <c r="J881" i="21"/>
  <c r="J880" i="21"/>
  <c r="M880" i="21" s="1"/>
  <c r="M879" i="21"/>
  <c r="L879" i="21"/>
  <c r="O879" i="21" s="1"/>
  <c r="J879" i="21"/>
  <c r="J878" i="21"/>
  <c r="M878" i="21" s="1"/>
  <c r="M877" i="21"/>
  <c r="J877" i="21"/>
  <c r="J876" i="21"/>
  <c r="M876" i="21" s="1"/>
  <c r="L875" i="21"/>
  <c r="O875" i="21" s="1"/>
  <c r="J875" i="21"/>
  <c r="M875" i="21" s="1"/>
  <c r="J874" i="21"/>
  <c r="M874" i="21" s="1"/>
  <c r="J873" i="21"/>
  <c r="M873" i="21" s="1"/>
  <c r="J872" i="21"/>
  <c r="M872" i="21" s="1"/>
  <c r="L871" i="21"/>
  <c r="O871" i="21" s="1"/>
  <c r="J871" i="21"/>
  <c r="M871" i="21" s="1"/>
  <c r="J870" i="21"/>
  <c r="M870" i="21" s="1"/>
  <c r="J869" i="21"/>
  <c r="M869" i="21" s="1"/>
  <c r="J868" i="21"/>
  <c r="M868" i="21" s="1"/>
  <c r="M867" i="21"/>
  <c r="L867" i="21"/>
  <c r="O867" i="21" s="1"/>
  <c r="J867" i="21"/>
  <c r="J866" i="21"/>
  <c r="M866" i="21" s="1"/>
  <c r="M865" i="21"/>
  <c r="J865" i="21"/>
  <c r="J864" i="21"/>
  <c r="M864" i="21" s="1"/>
  <c r="M863" i="21"/>
  <c r="L863" i="21"/>
  <c r="O863" i="21" s="1"/>
  <c r="J863" i="21"/>
  <c r="J862" i="21"/>
  <c r="M862" i="21" s="1"/>
  <c r="M861" i="21"/>
  <c r="J861" i="21"/>
  <c r="J860" i="21"/>
  <c r="M860" i="21" s="1"/>
  <c r="L859" i="21"/>
  <c r="O859" i="21" s="1"/>
  <c r="J859" i="21"/>
  <c r="M859" i="21" s="1"/>
  <c r="J858" i="21"/>
  <c r="M858" i="21" s="1"/>
  <c r="J857" i="21"/>
  <c r="M857" i="21" s="1"/>
  <c r="J856" i="21"/>
  <c r="M856" i="21" s="1"/>
  <c r="L855" i="21"/>
  <c r="O855" i="21" s="1"/>
  <c r="J855" i="21"/>
  <c r="M855" i="21" s="1"/>
  <c r="J854" i="21"/>
  <c r="M854" i="21" s="1"/>
  <c r="J853" i="21"/>
  <c r="M853" i="21" s="1"/>
  <c r="J852" i="21"/>
  <c r="M852" i="21" s="1"/>
  <c r="M851" i="21"/>
  <c r="L851" i="21"/>
  <c r="O851" i="21" s="1"/>
  <c r="J851" i="21"/>
  <c r="J850" i="21"/>
  <c r="M850" i="21" s="1"/>
  <c r="M849" i="21"/>
  <c r="J849" i="21"/>
  <c r="J848" i="21"/>
  <c r="M848" i="21" s="1"/>
  <c r="M847" i="21"/>
  <c r="L847" i="21"/>
  <c r="O847" i="21" s="1"/>
  <c r="J847" i="21"/>
  <c r="J846" i="21"/>
  <c r="M846" i="21" s="1"/>
  <c r="M845" i="21"/>
  <c r="J845" i="21"/>
  <c r="J844" i="21"/>
  <c r="M844" i="21" s="1"/>
  <c r="L843" i="21"/>
  <c r="O843" i="21" s="1"/>
  <c r="J843" i="21"/>
  <c r="M843" i="21" s="1"/>
  <c r="J842" i="21"/>
  <c r="M842" i="21" s="1"/>
  <c r="J841" i="21"/>
  <c r="M841" i="21" s="1"/>
  <c r="O840" i="21"/>
  <c r="L840" i="21"/>
  <c r="J840" i="21"/>
  <c r="M840" i="21" s="1"/>
  <c r="M839" i="21"/>
  <c r="L839" i="21"/>
  <c r="O839" i="21" s="1"/>
  <c r="J839" i="21"/>
  <c r="L838" i="21"/>
  <c r="O838" i="21" s="1"/>
  <c r="J838" i="21"/>
  <c r="M838" i="21" s="1"/>
  <c r="L837" i="21"/>
  <c r="O837" i="21" s="1"/>
  <c r="J837" i="21"/>
  <c r="M837" i="21" s="1"/>
  <c r="O836" i="21"/>
  <c r="L836" i="21"/>
  <c r="J836" i="21"/>
  <c r="M836" i="21" s="1"/>
  <c r="M835" i="21"/>
  <c r="L835" i="21"/>
  <c r="O835" i="21" s="1"/>
  <c r="J835" i="21"/>
  <c r="L834" i="21"/>
  <c r="O834" i="21" s="1"/>
  <c r="J834" i="21"/>
  <c r="M834" i="21" s="1"/>
  <c r="L833" i="21"/>
  <c r="O833" i="21" s="1"/>
  <c r="J833" i="21"/>
  <c r="M833" i="21" s="1"/>
  <c r="O832" i="21"/>
  <c r="L832" i="21"/>
  <c r="J832" i="21"/>
  <c r="M832" i="21" s="1"/>
  <c r="M831" i="21"/>
  <c r="L831" i="21"/>
  <c r="O831" i="21" s="1"/>
  <c r="J831" i="21"/>
  <c r="L830" i="21"/>
  <c r="O830" i="21" s="1"/>
  <c r="J830" i="21"/>
  <c r="M830" i="21" s="1"/>
  <c r="L829" i="21"/>
  <c r="O829" i="21" s="1"/>
  <c r="J829" i="21"/>
  <c r="M829" i="21" s="1"/>
  <c r="O828" i="21"/>
  <c r="L828" i="21"/>
  <c r="K828" i="21"/>
  <c r="N828" i="21" s="1"/>
  <c r="N827" i="21"/>
  <c r="L827" i="21"/>
  <c r="O827" i="21" s="1"/>
  <c r="K827" i="21"/>
  <c r="L826" i="21"/>
  <c r="O826" i="21" s="1"/>
  <c r="K826" i="21"/>
  <c r="N826" i="21" s="1"/>
  <c r="L825" i="21"/>
  <c r="O825" i="21" s="1"/>
  <c r="K825" i="21"/>
  <c r="N825" i="21" s="1"/>
  <c r="O824" i="21"/>
  <c r="L824" i="21"/>
  <c r="K824" i="21"/>
  <c r="N824" i="21" s="1"/>
  <c r="N823" i="21"/>
  <c r="L823" i="21"/>
  <c r="O823" i="21" s="1"/>
  <c r="K823" i="21"/>
  <c r="L822" i="21"/>
  <c r="O822" i="21" s="1"/>
  <c r="K822" i="21"/>
  <c r="N822" i="21" s="1"/>
  <c r="L821" i="21"/>
  <c r="O821" i="21" s="1"/>
  <c r="K821" i="21"/>
  <c r="N821" i="21" s="1"/>
  <c r="O820" i="21"/>
  <c r="L820" i="21"/>
  <c r="K820" i="21"/>
  <c r="N820" i="21" s="1"/>
  <c r="N819" i="21"/>
  <c r="L819" i="21"/>
  <c r="O819" i="21" s="1"/>
  <c r="K819" i="21"/>
  <c r="L818" i="21"/>
  <c r="O818" i="21" s="1"/>
  <c r="K818" i="21"/>
  <c r="N818" i="21" s="1"/>
  <c r="L817" i="21"/>
  <c r="O817" i="21" s="1"/>
  <c r="K817" i="21"/>
  <c r="N817" i="21" s="1"/>
  <c r="O816" i="21"/>
  <c r="L816" i="21"/>
  <c r="J816" i="21"/>
  <c r="M816" i="21" s="1"/>
  <c r="M815" i="21"/>
  <c r="L815" i="21"/>
  <c r="O815" i="21" s="1"/>
  <c r="J815" i="21"/>
  <c r="L814" i="21"/>
  <c r="O814" i="21" s="1"/>
  <c r="J814" i="21"/>
  <c r="M814" i="21" s="1"/>
  <c r="L813" i="21"/>
  <c r="O813" i="21" s="1"/>
  <c r="J813" i="21"/>
  <c r="M813" i="21" s="1"/>
  <c r="O812" i="21"/>
  <c r="L812" i="21"/>
  <c r="J812" i="21"/>
  <c r="M812" i="21" s="1"/>
  <c r="M811" i="21"/>
  <c r="L811" i="21"/>
  <c r="O811" i="21" s="1"/>
  <c r="J811" i="21"/>
  <c r="L810" i="21"/>
  <c r="O810" i="21" s="1"/>
  <c r="J810" i="21"/>
  <c r="M810" i="21" s="1"/>
  <c r="L809" i="21"/>
  <c r="O809" i="21" s="1"/>
  <c r="J809" i="21"/>
  <c r="M809" i="21" s="1"/>
  <c r="O808" i="21"/>
  <c r="L808" i="21"/>
  <c r="J808" i="21"/>
  <c r="M808" i="21" s="1"/>
  <c r="M807" i="21"/>
  <c r="L807" i="21"/>
  <c r="O807" i="21" s="1"/>
  <c r="J807" i="21"/>
  <c r="L806" i="21"/>
  <c r="O806" i="21" s="1"/>
  <c r="J806" i="21"/>
  <c r="M806" i="21" s="1"/>
  <c r="L805" i="21"/>
  <c r="O805" i="21" s="1"/>
  <c r="J805" i="21"/>
  <c r="M805" i="21" s="1"/>
  <c r="J804" i="21"/>
  <c r="M804" i="21" s="1"/>
  <c r="M803" i="21"/>
  <c r="J803" i="21"/>
  <c r="J802" i="21"/>
  <c r="M802" i="21" s="1"/>
  <c r="M801" i="21"/>
  <c r="J801" i="21"/>
  <c r="J800" i="21"/>
  <c r="M800" i="21" s="1"/>
  <c r="J799" i="21"/>
  <c r="M799" i="21" s="1"/>
  <c r="J798" i="21"/>
  <c r="M798" i="21" s="1"/>
  <c r="J797" i="21"/>
  <c r="M797" i="21" s="1"/>
  <c r="J796" i="21"/>
  <c r="M796" i="21" s="1"/>
  <c r="M795" i="21"/>
  <c r="J795" i="21"/>
  <c r="J794" i="21"/>
  <c r="M794" i="21" s="1"/>
  <c r="M793" i="21"/>
  <c r="J793" i="21"/>
  <c r="L792" i="21"/>
  <c r="O792" i="21" s="1"/>
  <c r="K792" i="21"/>
  <c r="N792" i="21" s="1"/>
  <c r="L791" i="21"/>
  <c r="O791" i="21" s="1"/>
  <c r="K791" i="21"/>
  <c r="N791" i="21" s="1"/>
  <c r="O790" i="21"/>
  <c r="L790" i="21"/>
  <c r="K790" i="21"/>
  <c r="N790" i="21" s="1"/>
  <c r="N789" i="21"/>
  <c r="L789" i="21"/>
  <c r="O789" i="21" s="1"/>
  <c r="K789" i="21"/>
  <c r="L788" i="21"/>
  <c r="O788" i="21" s="1"/>
  <c r="K788" i="21"/>
  <c r="N788" i="21" s="1"/>
  <c r="L787" i="21"/>
  <c r="O787" i="21" s="1"/>
  <c r="K787" i="21"/>
  <c r="N787" i="21" s="1"/>
  <c r="O786" i="21"/>
  <c r="L786" i="21"/>
  <c r="K786" i="21"/>
  <c r="N786" i="21" s="1"/>
  <c r="N785" i="21"/>
  <c r="L785" i="21"/>
  <c r="O785" i="21" s="1"/>
  <c r="K785" i="21"/>
  <c r="L784" i="21"/>
  <c r="O784" i="21" s="1"/>
  <c r="K784" i="21"/>
  <c r="N784" i="21" s="1"/>
  <c r="L783" i="21"/>
  <c r="O783" i="21" s="1"/>
  <c r="K783" i="21"/>
  <c r="N783" i="21" s="1"/>
  <c r="O782" i="21"/>
  <c r="L782" i="21"/>
  <c r="K782" i="21"/>
  <c r="N782" i="21" s="1"/>
  <c r="N781" i="21"/>
  <c r="L781" i="21"/>
  <c r="O781" i="21" s="1"/>
  <c r="K781" i="21"/>
  <c r="J780" i="21"/>
  <c r="M780" i="21" s="1"/>
  <c r="J779" i="21"/>
  <c r="M779" i="21" s="1"/>
  <c r="J778" i="21"/>
  <c r="M778" i="21" s="1"/>
  <c r="J777" i="21"/>
  <c r="M777" i="21" s="1"/>
  <c r="J776" i="21"/>
  <c r="M776" i="21" s="1"/>
  <c r="M775" i="21"/>
  <c r="J775" i="21"/>
  <c r="J774" i="21"/>
  <c r="M774" i="21" s="1"/>
  <c r="M773" i="21"/>
  <c r="J773" i="21"/>
  <c r="J772" i="21"/>
  <c r="M772" i="21" s="1"/>
  <c r="J771" i="21"/>
  <c r="M771" i="21" s="1"/>
  <c r="J770" i="21"/>
  <c r="M770" i="21" s="1"/>
  <c r="J769" i="21"/>
  <c r="M769" i="21" s="1"/>
  <c r="J768" i="21"/>
  <c r="M768" i="21" s="1"/>
  <c r="M767" i="21"/>
  <c r="J767" i="21"/>
  <c r="J766" i="21"/>
  <c r="M766" i="21" s="1"/>
  <c r="M765" i="21"/>
  <c r="J765" i="21"/>
  <c r="J764" i="21"/>
  <c r="M764" i="21" s="1"/>
  <c r="J763" i="21"/>
  <c r="M763" i="21" s="1"/>
  <c r="J762" i="21"/>
  <c r="M762" i="21" s="1"/>
  <c r="J761" i="21"/>
  <c r="M761" i="21" s="1"/>
  <c r="J760" i="21"/>
  <c r="M760" i="21" s="1"/>
  <c r="M759" i="21"/>
  <c r="J759" i="21"/>
  <c r="J758" i="21"/>
  <c r="M758" i="21" s="1"/>
  <c r="M757" i="21"/>
  <c r="J757" i="21"/>
  <c r="J756" i="21"/>
  <c r="M756" i="21" s="1"/>
  <c r="J755" i="21"/>
  <c r="M755" i="21" s="1"/>
  <c r="J754" i="21"/>
  <c r="M754" i="21" s="1"/>
  <c r="J753" i="21"/>
  <c r="M753" i="21" s="1"/>
  <c r="J752" i="21"/>
  <c r="M752" i="21" s="1"/>
  <c r="M751" i="21"/>
  <c r="J751" i="21"/>
  <c r="J750" i="21"/>
  <c r="M750" i="21" s="1"/>
  <c r="M749" i="21"/>
  <c r="J749" i="21"/>
  <c r="J748" i="21"/>
  <c r="M748" i="21" s="1"/>
  <c r="J747" i="21"/>
  <c r="M747" i="21" s="1"/>
  <c r="J746" i="21"/>
  <c r="M746" i="21" s="1"/>
  <c r="J745" i="21"/>
  <c r="M745" i="21" s="1"/>
  <c r="J744" i="21"/>
  <c r="M744" i="21" s="1"/>
  <c r="M743" i="21"/>
  <c r="J743" i="21"/>
  <c r="J742" i="21"/>
  <c r="M742" i="21" s="1"/>
  <c r="M741" i="21"/>
  <c r="J741" i="21"/>
  <c r="J740" i="21"/>
  <c r="M740" i="21" s="1"/>
  <c r="J739" i="21"/>
  <c r="M739" i="21" s="1"/>
  <c r="J738" i="21"/>
  <c r="M738" i="21" s="1"/>
  <c r="J737" i="21"/>
  <c r="M737" i="21" s="1"/>
  <c r="J736" i="21"/>
  <c r="M736" i="21" s="1"/>
  <c r="M735" i="21"/>
  <c r="J735" i="21"/>
  <c r="J734" i="21"/>
  <c r="M734" i="21" s="1"/>
  <c r="M733" i="21"/>
  <c r="J733" i="21"/>
  <c r="J732" i="21"/>
  <c r="M732" i="21" s="1"/>
  <c r="J731" i="21"/>
  <c r="M731" i="21" s="1"/>
  <c r="J730" i="21"/>
  <c r="M730" i="21" s="1"/>
  <c r="J729" i="21"/>
  <c r="M729" i="21" s="1"/>
  <c r="J728" i="21"/>
  <c r="M728" i="21" s="1"/>
  <c r="M727" i="21"/>
  <c r="J727" i="21"/>
  <c r="J726" i="21"/>
  <c r="M726" i="21" s="1"/>
  <c r="M725" i="21"/>
  <c r="J725" i="21"/>
  <c r="L724" i="21"/>
  <c r="O724" i="21" s="1"/>
  <c r="K724" i="21"/>
  <c r="N724" i="21" s="1"/>
  <c r="L723" i="21"/>
  <c r="O723" i="21" s="1"/>
  <c r="K723" i="21"/>
  <c r="N723" i="21" s="1"/>
  <c r="O722" i="21"/>
  <c r="L722" i="21"/>
  <c r="K722" i="21"/>
  <c r="N722" i="21" s="1"/>
  <c r="N721" i="21"/>
  <c r="L721" i="21"/>
  <c r="O721" i="21" s="1"/>
  <c r="K721" i="21"/>
  <c r="L720" i="21"/>
  <c r="O720" i="21" s="1"/>
  <c r="K720" i="21"/>
  <c r="N720" i="21" s="1"/>
  <c r="L719" i="21"/>
  <c r="O719" i="21" s="1"/>
  <c r="K719" i="21"/>
  <c r="N719" i="21" s="1"/>
  <c r="O718" i="21"/>
  <c r="L718" i="21"/>
  <c r="K718" i="21"/>
  <c r="N718" i="21" s="1"/>
  <c r="N717" i="21"/>
  <c r="L717" i="21"/>
  <c r="O717" i="21" s="1"/>
  <c r="K717" i="21"/>
  <c r="L716" i="21"/>
  <c r="O716" i="21" s="1"/>
  <c r="K716" i="21"/>
  <c r="N716" i="21" s="1"/>
  <c r="L715" i="21"/>
  <c r="O715" i="21" s="1"/>
  <c r="K715" i="21"/>
  <c r="N715" i="21" s="1"/>
  <c r="O714" i="21"/>
  <c r="L714" i="21"/>
  <c r="K714" i="21"/>
  <c r="N714" i="21" s="1"/>
  <c r="N713" i="21"/>
  <c r="L713" i="21"/>
  <c r="O713" i="21" s="1"/>
  <c r="K713" i="21"/>
  <c r="L712" i="21"/>
  <c r="O712" i="21" s="1"/>
  <c r="K712" i="21"/>
  <c r="N712" i="21" s="1"/>
  <c r="L711" i="21"/>
  <c r="O711" i="21" s="1"/>
  <c r="K711" i="21"/>
  <c r="N711" i="21" s="1"/>
  <c r="O710" i="21"/>
  <c r="L710" i="21"/>
  <c r="K710" i="21"/>
  <c r="N710" i="21" s="1"/>
  <c r="N709" i="21"/>
  <c r="L709" i="21"/>
  <c r="O709" i="21" s="1"/>
  <c r="K709" i="21"/>
  <c r="L708" i="21"/>
  <c r="O708" i="21" s="1"/>
  <c r="K708" i="21"/>
  <c r="N708" i="21" s="1"/>
  <c r="L707" i="21"/>
  <c r="O707" i="21" s="1"/>
  <c r="K707" i="21"/>
  <c r="N707" i="21" s="1"/>
  <c r="O706" i="21"/>
  <c r="L706" i="21"/>
  <c r="K706" i="21"/>
  <c r="N706" i="21" s="1"/>
  <c r="N705" i="21"/>
  <c r="L705" i="21"/>
  <c r="O705" i="21" s="1"/>
  <c r="K705" i="21"/>
  <c r="L704" i="21"/>
  <c r="O704" i="21" s="1"/>
  <c r="K704" i="21"/>
  <c r="N704" i="21" s="1"/>
  <c r="L703" i="21"/>
  <c r="O703" i="21" s="1"/>
  <c r="K703" i="21"/>
  <c r="N703" i="21" s="1"/>
  <c r="O702" i="21"/>
  <c r="L702" i="21"/>
  <c r="K702" i="21"/>
  <c r="N702" i="21" s="1"/>
  <c r="N701" i="21"/>
  <c r="L701" i="21"/>
  <c r="O701" i="21" s="1"/>
  <c r="K701" i="21"/>
  <c r="L700" i="21"/>
  <c r="O700" i="21" s="1"/>
  <c r="K700" i="21"/>
  <c r="N700" i="21" s="1"/>
  <c r="L699" i="21"/>
  <c r="O699" i="21" s="1"/>
  <c r="K699" i="21"/>
  <c r="N699" i="21" s="1"/>
  <c r="O698" i="21"/>
  <c r="L698" i="21"/>
  <c r="K698" i="21"/>
  <c r="N698" i="21" s="1"/>
  <c r="N697" i="21"/>
  <c r="L697" i="21"/>
  <c r="O697" i="21" s="1"/>
  <c r="K697" i="21"/>
  <c r="L696" i="21"/>
  <c r="O696" i="21" s="1"/>
  <c r="K696" i="21"/>
  <c r="N696" i="21" s="1"/>
  <c r="L695" i="21"/>
  <c r="O695" i="21" s="1"/>
  <c r="K695" i="21"/>
  <c r="N695" i="21" s="1"/>
  <c r="O694" i="21"/>
  <c r="L694" i="21"/>
  <c r="K694" i="21"/>
  <c r="N694" i="21" s="1"/>
  <c r="N693" i="21"/>
  <c r="L693" i="21"/>
  <c r="O693" i="21" s="1"/>
  <c r="K693" i="21"/>
  <c r="L692" i="21"/>
  <c r="O692" i="21" s="1"/>
  <c r="K692" i="21"/>
  <c r="N692" i="21" s="1"/>
  <c r="L691" i="21"/>
  <c r="O691" i="21" s="1"/>
  <c r="K691" i="21"/>
  <c r="N691" i="21" s="1"/>
  <c r="O690" i="21"/>
  <c r="L690" i="21"/>
  <c r="K690" i="21"/>
  <c r="N690" i="21" s="1"/>
  <c r="N689" i="21"/>
  <c r="L689" i="21"/>
  <c r="O689" i="21" s="1"/>
  <c r="K689" i="21"/>
  <c r="L688" i="21"/>
  <c r="O688" i="21" s="1"/>
  <c r="K688" i="21"/>
  <c r="N688" i="21" s="1"/>
  <c r="L687" i="21"/>
  <c r="O687" i="21" s="1"/>
  <c r="K687" i="21"/>
  <c r="N687" i="21" s="1"/>
  <c r="O686" i="21"/>
  <c r="L686" i="21"/>
  <c r="K686" i="21"/>
  <c r="N686" i="21" s="1"/>
  <c r="N685" i="21"/>
  <c r="L685" i="21"/>
  <c r="O685" i="21" s="1"/>
  <c r="K685" i="21"/>
  <c r="L684" i="21"/>
  <c r="O684" i="21" s="1"/>
  <c r="K684" i="21"/>
  <c r="N684" i="21" s="1"/>
  <c r="M683" i="21"/>
  <c r="J683" i="21"/>
  <c r="J682" i="21"/>
  <c r="M682" i="21" s="1"/>
  <c r="M681" i="21"/>
  <c r="J681" i="21"/>
  <c r="J680" i="21"/>
  <c r="M680" i="21" s="1"/>
  <c r="J679" i="21"/>
  <c r="M679" i="21" s="1"/>
  <c r="J678" i="21"/>
  <c r="M678" i="21" s="1"/>
  <c r="J677" i="21"/>
  <c r="M677" i="21" s="1"/>
  <c r="J676" i="21"/>
  <c r="M676" i="21" s="1"/>
  <c r="M675" i="21"/>
  <c r="J675" i="21"/>
  <c r="J674" i="21"/>
  <c r="M674" i="21" s="1"/>
  <c r="M673" i="21"/>
  <c r="J673" i="21"/>
  <c r="J672" i="21"/>
  <c r="M672" i="21" s="1"/>
  <c r="J671" i="21"/>
  <c r="M671" i="21" s="1"/>
  <c r="J670" i="21"/>
  <c r="M670" i="21" s="1"/>
  <c r="J669" i="21"/>
  <c r="M669" i="21" s="1"/>
  <c r="J668" i="21"/>
  <c r="M668" i="21" s="1"/>
  <c r="M667" i="21"/>
  <c r="J667" i="21"/>
  <c r="J666" i="21"/>
  <c r="M666" i="21" s="1"/>
  <c r="M665" i="21"/>
  <c r="J665" i="21"/>
  <c r="J664" i="21"/>
  <c r="M664" i="21" s="1"/>
  <c r="J663" i="21"/>
  <c r="M663" i="21" s="1"/>
  <c r="J662" i="21"/>
  <c r="M662" i="21" s="1"/>
  <c r="J661" i="21"/>
  <c r="M661" i="21" s="1"/>
  <c r="J660" i="21"/>
  <c r="M660" i="21" s="1"/>
  <c r="M659" i="21"/>
  <c r="J659" i="21"/>
  <c r="J658" i="21"/>
  <c r="M658" i="21" s="1"/>
  <c r="M657" i="21"/>
  <c r="J657" i="21"/>
  <c r="J656" i="21"/>
  <c r="M656" i="21" s="1"/>
  <c r="J655" i="21"/>
  <c r="M655" i="21" s="1"/>
  <c r="J654" i="21"/>
  <c r="M654" i="21" s="1"/>
  <c r="J653" i="21"/>
  <c r="M653" i="21" s="1"/>
  <c r="J652" i="21"/>
  <c r="M652" i="21" s="1"/>
  <c r="M651" i="21"/>
  <c r="J651" i="21"/>
  <c r="J650" i="21"/>
  <c r="M650" i="21" s="1"/>
  <c r="M649" i="21"/>
  <c r="J649" i="21"/>
  <c r="J648" i="21"/>
  <c r="M648" i="21" s="1"/>
  <c r="J647" i="21"/>
  <c r="M647" i="21" s="1"/>
  <c r="J646" i="21"/>
  <c r="M646" i="21" s="1"/>
  <c r="J645" i="21"/>
  <c r="M645" i="21" s="1"/>
  <c r="J644" i="21"/>
  <c r="M644" i="21" s="1"/>
  <c r="M643" i="21"/>
  <c r="J643" i="21"/>
  <c r="J642" i="21"/>
  <c r="M642" i="21" s="1"/>
  <c r="M641" i="21"/>
  <c r="J641" i="21"/>
  <c r="J640" i="21"/>
  <c r="M640" i="21" s="1"/>
  <c r="N639" i="21"/>
  <c r="L639" i="21"/>
  <c r="O639" i="21" s="1"/>
  <c r="K639" i="21"/>
  <c r="L638" i="21"/>
  <c r="O638" i="21" s="1"/>
  <c r="K638" i="21"/>
  <c r="N638" i="21" s="1"/>
  <c r="L637" i="21"/>
  <c r="O637" i="21" s="1"/>
  <c r="K637" i="21"/>
  <c r="N637" i="21" s="1"/>
  <c r="O636" i="21"/>
  <c r="L636" i="21"/>
  <c r="K636" i="21"/>
  <c r="N636" i="21" s="1"/>
  <c r="N635" i="21"/>
  <c r="L635" i="21"/>
  <c r="O635" i="21" s="1"/>
  <c r="K635" i="21"/>
  <c r="L634" i="21"/>
  <c r="O634" i="21" s="1"/>
  <c r="K634" i="21"/>
  <c r="N634" i="21" s="1"/>
  <c r="L633" i="21"/>
  <c r="O633" i="21" s="1"/>
  <c r="K633" i="21"/>
  <c r="N633" i="21" s="1"/>
  <c r="O632" i="21"/>
  <c r="L632" i="21"/>
  <c r="K632" i="21"/>
  <c r="N632" i="21" s="1"/>
  <c r="N631" i="21"/>
  <c r="L631" i="21"/>
  <c r="O631" i="21" s="1"/>
  <c r="K631" i="21"/>
  <c r="L630" i="21"/>
  <c r="O630" i="21" s="1"/>
  <c r="K630" i="21"/>
  <c r="N630" i="21" s="1"/>
  <c r="L629" i="21"/>
  <c r="O629" i="21" s="1"/>
  <c r="K629" i="21"/>
  <c r="N629" i="21" s="1"/>
  <c r="O628" i="21"/>
  <c r="L628" i="21"/>
  <c r="K628" i="21"/>
  <c r="N628" i="21" s="1"/>
  <c r="N627" i="21"/>
  <c r="L627" i="21"/>
  <c r="O627" i="21" s="1"/>
  <c r="K627" i="21"/>
  <c r="L626" i="21"/>
  <c r="O626" i="21" s="1"/>
  <c r="K626" i="21"/>
  <c r="N626" i="21" s="1"/>
  <c r="L625" i="21"/>
  <c r="O625" i="21" s="1"/>
  <c r="K625" i="21"/>
  <c r="N625" i="21" s="1"/>
  <c r="O624" i="21"/>
  <c r="L624" i="21"/>
  <c r="K624" i="21"/>
  <c r="N624" i="21" s="1"/>
  <c r="N623" i="21"/>
  <c r="L623" i="21"/>
  <c r="O623" i="21" s="1"/>
  <c r="K623" i="21"/>
  <c r="L622" i="21"/>
  <c r="O622" i="21" s="1"/>
  <c r="K622" i="21"/>
  <c r="N622" i="21" s="1"/>
  <c r="L621" i="21"/>
  <c r="O621" i="21" s="1"/>
  <c r="K621" i="21"/>
  <c r="N621" i="21" s="1"/>
  <c r="O620" i="21"/>
  <c r="L620" i="21"/>
  <c r="K620" i="21"/>
  <c r="N620" i="21" s="1"/>
  <c r="N619" i="21"/>
  <c r="L619" i="21"/>
  <c r="O619" i="21" s="1"/>
  <c r="K619" i="21"/>
  <c r="L618" i="21"/>
  <c r="O618" i="21" s="1"/>
  <c r="K618" i="21"/>
  <c r="N618" i="21" s="1"/>
  <c r="L617" i="21"/>
  <c r="O617" i="21" s="1"/>
  <c r="K617" i="21"/>
  <c r="N617" i="21" s="1"/>
  <c r="O616" i="21"/>
  <c r="L616" i="21"/>
  <c r="K616" i="21"/>
  <c r="N616" i="21" s="1"/>
  <c r="L615" i="21"/>
  <c r="O615" i="21" s="1"/>
  <c r="O614" i="21"/>
  <c r="L614" i="21"/>
  <c r="L613" i="21"/>
  <c r="O613" i="21" s="1"/>
  <c r="L612" i="21"/>
  <c r="O612" i="21" s="1"/>
  <c r="L611" i="21"/>
  <c r="O611" i="21" s="1"/>
  <c r="L610" i="21"/>
  <c r="O610" i="21" s="1"/>
  <c r="L609" i="21"/>
  <c r="O609" i="21" s="1"/>
  <c r="O608" i="21"/>
  <c r="L608" i="21"/>
  <c r="L607" i="21"/>
  <c r="O607" i="21" s="1"/>
  <c r="O606" i="21"/>
  <c r="L606" i="21"/>
  <c r="L605" i="21"/>
  <c r="O605" i="21" s="1"/>
  <c r="L604" i="21"/>
  <c r="O604" i="21" s="1"/>
  <c r="L603" i="21"/>
  <c r="O603" i="21" s="1"/>
  <c r="L602" i="21"/>
  <c r="O602" i="21" s="1"/>
  <c r="L601" i="21"/>
  <c r="O601" i="21" s="1"/>
  <c r="O600" i="21"/>
  <c r="L600" i="21"/>
  <c r="L599" i="21"/>
  <c r="O599" i="21" s="1"/>
  <c r="O598" i="21"/>
  <c r="L598" i="21"/>
  <c r="L597" i="21"/>
  <c r="O597" i="21" s="1"/>
  <c r="L596" i="21"/>
  <c r="O596" i="21" s="1"/>
  <c r="L595" i="21"/>
  <c r="O595" i="21" s="1"/>
  <c r="L594" i="21"/>
  <c r="O594" i="21" s="1"/>
  <c r="L593" i="21"/>
  <c r="O593" i="21" s="1"/>
  <c r="O592" i="21"/>
  <c r="L592" i="21"/>
  <c r="L591" i="21"/>
  <c r="O591" i="21" s="1"/>
  <c r="O590" i="21"/>
  <c r="L590" i="21"/>
  <c r="L589" i="21"/>
  <c r="O589" i="21" s="1"/>
  <c r="L588" i="21"/>
  <c r="O588" i="21" s="1"/>
  <c r="L587" i="21"/>
  <c r="O587" i="21" s="1"/>
  <c r="L586" i="21"/>
  <c r="O586" i="21" s="1"/>
  <c r="L585" i="21"/>
  <c r="O585" i="21" s="1"/>
  <c r="O584" i="21"/>
  <c r="L584" i="21"/>
  <c r="L583" i="21"/>
  <c r="O583" i="21" s="1"/>
  <c r="O582" i="21"/>
  <c r="L582" i="21"/>
  <c r="L581" i="21"/>
  <c r="O581" i="21" s="1"/>
  <c r="L580" i="21"/>
  <c r="O580" i="21" s="1"/>
  <c r="L489" i="21"/>
  <c r="O489" i="21" s="1"/>
  <c r="L488" i="21"/>
  <c r="O488" i="21" s="1"/>
  <c r="L487" i="21"/>
  <c r="O487" i="21" s="1"/>
  <c r="L486" i="21"/>
  <c r="O486" i="21" s="1"/>
  <c r="L485" i="21"/>
  <c r="O485" i="21" s="1"/>
  <c r="L484" i="21"/>
  <c r="O484" i="21" s="1"/>
  <c r="L483" i="21"/>
  <c r="O483" i="21" s="1"/>
  <c r="O482" i="21"/>
  <c r="L482" i="21"/>
  <c r="L481" i="21"/>
  <c r="O481" i="21" s="1"/>
  <c r="O480" i="21"/>
  <c r="L480" i="21"/>
  <c r="L479" i="21"/>
  <c r="O479" i="21" s="1"/>
  <c r="L478" i="21"/>
  <c r="O478" i="21" s="1"/>
  <c r="M477" i="21"/>
  <c r="L477" i="21"/>
  <c r="O477" i="21" s="1"/>
  <c r="J477" i="21"/>
  <c r="L476" i="21"/>
  <c r="O476" i="21" s="1"/>
  <c r="J476" i="21"/>
  <c r="M476" i="21" s="1"/>
  <c r="L475" i="21"/>
  <c r="O475" i="21" s="1"/>
  <c r="J475" i="21"/>
  <c r="M475" i="21" s="1"/>
  <c r="O474" i="21"/>
  <c r="L474" i="21"/>
  <c r="J474" i="21"/>
  <c r="M474" i="21" s="1"/>
  <c r="L473" i="21"/>
  <c r="O473" i="21" s="1"/>
  <c r="J473" i="21"/>
  <c r="M473" i="21" s="1"/>
  <c r="O472" i="21"/>
  <c r="L472" i="21"/>
  <c r="J472" i="21"/>
  <c r="M472" i="21" s="1"/>
  <c r="L471" i="21"/>
  <c r="O471" i="21" s="1"/>
  <c r="J471" i="21"/>
  <c r="M471" i="21" s="1"/>
  <c r="L470" i="21"/>
  <c r="O470" i="21" s="1"/>
  <c r="J470" i="21"/>
  <c r="M470" i="21" s="1"/>
  <c r="M469" i="21"/>
  <c r="L469" i="21"/>
  <c r="O469" i="21" s="1"/>
  <c r="J469" i="21"/>
  <c r="L468" i="21"/>
  <c r="O468" i="21" s="1"/>
  <c r="J468" i="21"/>
  <c r="M468" i="21" s="1"/>
  <c r="L467" i="21"/>
  <c r="O467" i="21" s="1"/>
  <c r="J467" i="21"/>
  <c r="M467" i="21" s="1"/>
  <c r="O466" i="21"/>
  <c r="L466" i="21"/>
  <c r="J466" i="21"/>
  <c r="M466" i="21" s="1"/>
  <c r="L465" i="21"/>
  <c r="O465" i="21" s="1"/>
  <c r="O464" i="21"/>
  <c r="L464" i="21"/>
  <c r="L463" i="21"/>
  <c r="O463" i="21" s="1"/>
  <c r="L462" i="21"/>
  <c r="O462" i="21" s="1"/>
  <c r="L461" i="21"/>
  <c r="O461" i="21" s="1"/>
  <c r="L460" i="21"/>
  <c r="O460" i="21" s="1"/>
  <c r="L459" i="21"/>
  <c r="O459" i="21" s="1"/>
  <c r="L458" i="21"/>
  <c r="O458" i="21" s="1"/>
  <c r="L457" i="21"/>
  <c r="O457" i="21" s="1"/>
  <c r="L456" i="21"/>
  <c r="O456" i="21" s="1"/>
  <c r="L455" i="21"/>
  <c r="O455" i="21" s="1"/>
  <c r="L454" i="21"/>
  <c r="O454" i="21" s="1"/>
  <c r="L395" i="21"/>
  <c r="O395" i="21" s="1"/>
  <c r="K395" i="21"/>
  <c r="N395" i="21" s="1"/>
  <c r="N394" i="21"/>
  <c r="L394" i="21"/>
  <c r="O394" i="21" s="1"/>
  <c r="K394" i="21"/>
  <c r="L393" i="21"/>
  <c r="O393" i="21" s="1"/>
  <c r="K393" i="21"/>
  <c r="N393" i="21" s="1"/>
  <c r="L392" i="21"/>
  <c r="O392" i="21" s="1"/>
  <c r="K392" i="21"/>
  <c r="N392" i="21" s="1"/>
  <c r="L391" i="21"/>
  <c r="O391" i="21" s="1"/>
  <c r="K391" i="21"/>
  <c r="N391" i="21" s="1"/>
  <c r="L390" i="21"/>
  <c r="O390" i="21" s="1"/>
  <c r="K390" i="21"/>
  <c r="N390" i="21" s="1"/>
  <c r="L389" i="21"/>
  <c r="O389" i="21" s="1"/>
  <c r="K389" i="21"/>
  <c r="N389" i="21" s="1"/>
  <c r="N388" i="21"/>
  <c r="L388" i="21"/>
  <c r="O388" i="21" s="1"/>
  <c r="K388" i="21"/>
  <c r="L387" i="21"/>
  <c r="O387" i="21" s="1"/>
  <c r="K387" i="21"/>
  <c r="N387" i="21" s="1"/>
  <c r="N386" i="21"/>
  <c r="L386" i="21"/>
  <c r="O386" i="21" s="1"/>
  <c r="K386" i="21"/>
  <c r="L385" i="21"/>
  <c r="O385" i="21" s="1"/>
  <c r="K385" i="21"/>
  <c r="N385" i="21" s="1"/>
  <c r="L384" i="21"/>
  <c r="O384" i="21" s="1"/>
  <c r="K384" i="21"/>
  <c r="N384" i="21" s="1"/>
  <c r="L383" i="21"/>
  <c r="O383" i="21" s="1"/>
  <c r="K383" i="21"/>
  <c r="N383" i="21" s="1"/>
  <c r="L382" i="21"/>
  <c r="O382" i="21" s="1"/>
  <c r="K382" i="21"/>
  <c r="N382" i="21" s="1"/>
  <c r="L381" i="21"/>
  <c r="O381" i="21" s="1"/>
  <c r="K381" i="21"/>
  <c r="N381" i="21" s="1"/>
  <c r="N380" i="21"/>
  <c r="L380" i="21"/>
  <c r="O380" i="21" s="1"/>
  <c r="K380" i="21"/>
  <c r="L379" i="21"/>
  <c r="O379" i="21" s="1"/>
  <c r="K379" i="21"/>
  <c r="N379" i="21" s="1"/>
  <c r="L378" i="21"/>
  <c r="O378" i="21" s="1"/>
  <c r="K378" i="21"/>
  <c r="N378" i="21" s="1"/>
  <c r="N377" i="21"/>
  <c r="L377" i="21"/>
  <c r="O377" i="21" s="1"/>
  <c r="K377" i="21"/>
  <c r="N376" i="21"/>
  <c r="L376" i="21"/>
  <c r="O376" i="21" s="1"/>
  <c r="K376" i="21"/>
  <c r="L375" i="21"/>
  <c r="O375" i="21" s="1"/>
  <c r="K375" i="21"/>
  <c r="N375" i="21" s="1"/>
  <c r="L374" i="21"/>
  <c r="O374" i="21" s="1"/>
  <c r="K374" i="21"/>
  <c r="N374" i="21" s="1"/>
  <c r="N373" i="21"/>
  <c r="L373" i="21"/>
  <c r="O373" i="21" s="1"/>
  <c r="K373" i="21"/>
  <c r="N372" i="21"/>
  <c r="L372" i="21"/>
  <c r="O372" i="21" s="1"/>
  <c r="K372" i="21"/>
  <c r="L371" i="21"/>
  <c r="O371" i="21" s="1"/>
  <c r="K371" i="21"/>
  <c r="N371" i="21" s="1"/>
  <c r="L370" i="21"/>
  <c r="O370" i="21" s="1"/>
  <c r="K370" i="21"/>
  <c r="N370" i="21" s="1"/>
  <c r="N369" i="21"/>
  <c r="L369" i="21"/>
  <c r="O369" i="21" s="1"/>
  <c r="K369" i="21"/>
  <c r="N368" i="21"/>
  <c r="L368" i="21"/>
  <c r="O368" i="21" s="1"/>
  <c r="K368" i="21"/>
  <c r="L367" i="21"/>
  <c r="O367" i="21" s="1"/>
  <c r="K367" i="21"/>
  <c r="N367" i="21" s="1"/>
  <c r="L366" i="21"/>
  <c r="O366" i="21" s="1"/>
  <c r="K366" i="21"/>
  <c r="N366" i="21" s="1"/>
  <c r="N365" i="21"/>
  <c r="L365" i="21"/>
  <c r="O365" i="21" s="1"/>
  <c r="K365" i="21"/>
  <c r="N364" i="21"/>
  <c r="L364" i="21"/>
  <c r="O364" i="21" s="1"/>
  <c r="K364" i="21"/>
  <c r="L363" i="21"/>
  <c r="O363" i="21" s="1"/>
  <c r="K363" i="21"/>
  <c r="N363" i="21" s="1"/>
  <c r="L362" i="21"/>
  <c r="O362" i="21" s="1"/>
  <c r="K362" i="21"/>
  <c r="N362" i="21" s="1"/>
  <c r="N361" i="21"/>
  <c r="L361" i="21"/>
  <c r="O361" i="21" s="1"/>
  <c r="K361" i="21"/>
  <c r="N360" i="21"/>
  <c r="L360" i="21"/>
  <c r="O360" i="21" s="1"/>
  <c r="K360" i="21"/>
  <c r="L359" i="21"/>
  <c r="O359" i="21" s="1"/>
  <c r="K359" i="21"/>
  <c r="N359" i="21" s="1"/>
  <c r="L358" i="21"/>
  <c r="O358" i="21" s="1"/>
  <c r="K358" i="21"/>
  <c r="N358" i="21" s="1"/>
  <c r="N357" i="21"/>
  <c r="L357" i="21"/>
  <c r="O357" i="21" s="1"/>
  <c r="K357" i="21"/>
  <c r="N356" i="21"/>
  <c r="L356" i="21"/>
  <c r="O356" i="21" s="1"/>
  <c r="K356" i="21"/>
  <c r="L355" i="21"/>
  <c r="O355" i="21" s="1"/>
  <c r="K355" i="21"/>
  <c r="N355" i="21" s="1"/>
  <c r="L354" i="21"/>
  <c r="O354" i="21" s="1"/>
  <c r="K354" i="21"/>
  <c r="N354" i="21" s="1"/>
  <c r="N353" i="21"/>
  <c r="L353" i="21"/>
  <c r="O353" i="21" s="1"/>
  <c r="K353" i="21"/>
  <c r="N352" i="21"/>
  <c r="L352" i="21"/>
  <c r="O352" i="21" s="1"/>
  <c r="K352" i="21"/>
  <c r="L351" i="21"/>
  <c r="O351" i="21" s="1"/>
  <c r="K351" i="21"/>
  <c r="N351" i="21" s="1"/>
  <c r="L350" i="21"/>
  <c r="O350" i="21" s="1"/>
  <c r="K350" i="21"/>
  <c r="N350" i="21" s="1"/>
  <c r="N349" i="21"/>
  <c r="L349" i="21"/>
  <c r="O349" i="21" s="1"/>
  <c r="K349" i="21"/>
  <c r="N348" i="21"/>
  <c r="L348" i="21"/>
  <c r="O348" i="21" s="1"/>
  <c r="K348" i="21"/>
  <c r="L347" i="21"/>
  <c r="O347" i="21" s="1"/>
  <c r="K347" i="21"/>
  <c r="N347" i="21" s="1"/>
  <c r="L346" i="21"/>
  <c r="O346" i="21" s="1"/>
  <c r="K346" i="21"/>
  <c r="N346" i="21" s="1"/>
  <c r="N345" i="21"/>
  <c r="L345" i="21"/>
  <c r="O345" i="21" s="1"/>
  <c r="K345" i="21"/>
  <c r="N344" i="21"/>
  <c r="L344" i="21"/>
  <c r="O344" i="21" s="1"/>
  <c r="K344" i="21"/>
  <c r="L343" i="21"/>
  <c r="O343" i="21" s="1"/>
  <c r="K343" i="21"/>
  <c r="N343" i="21" s="1"/>
  <c r="L342" i="21"/>
  <c r="O342" i="21" s="1"/>
  <c r="K342" i="21"/>
  <c r="N342" i="21" s="1"/>
  <c r="N341" i="21"/>
  <c r="L341" i="21"/>
  <c r="O341" i="21" s="1"/>
  <c r="K341" i="21"/>
  <c r="N340" i="21"/>
  <c r="L340" i="21"/>
  <c r="O340" i="21" s="1"/>
  <c r="K340" i="21"/>
  <c r="L339" i="21"/>
  <c r="O339" i="21" s="1"/>
  <c r="K339" i="21"/>
  <c r="N339" i="21" s="1"/>
  <c r="L338" i="21"/>
  <c r="O338" i="21" s="1"/>
  <c r="K338" i="21"/>
  <c r="N338" i="21" s="1"/>
  <c r="N337" i="21"/>
  <c r="L337" i="21"/>
  <c r="O337" i="21" s="1"/>
  <c r="K337" i="21"/>
  <c r="N336" i="21"/>
  <c r="L336" i="21"/>
  <c r="O336" i="21" s="1"/>
  <c r="K336" i="21"/>
  <c r="L335" i="21"/>
  <c r="O335" i="21" s="1"/>
  <c r="L334" i="21"/>
  <c r="O334" i="21" s="1"/>
  <c r="L333" i="21"/>
  <c r="O333" i="21" s="1"/>
  <c r="L332" i="21"/>
  <c r="O332" i="21" s="1"/>
  <c r="L331" i="21"/>
  <c r="O331" i="21" s="1"/>
  <c r="L330" i="21"/>
  <c r="O330" i="21" s="1"/>
  <c r="L329" i="21"/>
  <c r="O329" i="21" s="1"/>
  <c r="L328" i="21"/>
  <c r="O328" i="21" s="1"/>
  <c r="L327" i="21"/>
  <c r="O327" i="21" s="1"/>
  <c r="L326" i="21"/>
  <c r="O326" i="21" s="1"/>
  <c r="L325" i="21"/>
  <c r="O325" i="21" s="1"/>
  <c r="L324" i="21"/>
  <c r="O324" i="21" s="1"/>
  <c r="L323" i="21"/>
  <c r="O323" i="21" s="1"/>
  <c r="L322" i="21"/>
  <c r="O322" i="21" s="1"/>
  <c r="L321" i="21"/>
  <c r="O321" i="21" s="1"/>
  <c r="L320" i="21"/>
  <c r="O320" i="21" s="1"/>
  <c r="L319" i="21"/>
  <c r="O319" i="21" s="1"/>
  <c r="L318" i="21"/>
  <c r="O318" i="21" s="1"/>
  <c r="L317" i="21"/>
  <c r="O317" i="21" s="1"/>
  <c r="L316" i="21"/>
  <c r="O316" i="21" s="1"/>
  <c r="L315" i="21"/>
  <c r="O315" i="21" s="1"/>
  <c r="L314" i="21"/>
  <c r="O314" i="21" s="1"/>
  <c r="L313" i="21"/>
  <c r="O313" i="21" s="1"/>
  <c r="L312" i="21"/>
  <c r="O312" i="21" s="1"/>
  <c r="L311" i="21"/>
  <c r="O311" i="21" s="1"/>
  <c r="L310" i="21"/>
  <c r="O310" i="21" s="1"/>
  <c r="L309" i="21"/>
  <c r="O309" i="21" s="1"/>
  <c r="L308" i="21"/>
  <c r="O308" i="21" s="1"/>
  <c r="L307" i="21"/>
  <c r="O307" i="21" s="1"/>
  <c r="L306" i="21"/>
  <c r="O306" i="21" s="1"/>
  <c r="L305" i="21"/>
  <c r="O305" i="21" s="1"/>
  <c r="L304" i="21"/>
  <c r="O304" i="21" s="1"/>
  <c r="L303" i="21"/>
  <c r="O303" i="21" s="1"/>
  <c r="L302" i="21"/>
  <c r="O302" i="21" s="1"/>
  <c r="L301" i="21"/>
  <c r="O301" i="21" s="1"/>
  <c r="L300" i="21"/>
  <c r="O300" i="21" s="1"/>
  <c r="L229" i="21"/>
  <c r="O229" i="21" s="1"/>
  <c r="L225" i="21"/>
  <c r="O225" i="21" s="1"/>
  <c r="L221" i="21"/>
  <c r="O221" i="21" s="1"/>
  <c r="L217" i="21"/>
  <c r="O217" i="21" s="1"/>
  <c r="L214" i="21"/>
  <c r="O214" i="21" s="1"/>
  <c r="L211" i="21"/>
  <c r="O211" i="21" s="1"/>
  <c r="L207" i="21"/>
  <c r="O207" i="21" s="1"/>
  <c r="L204" i="21"/>
  <c r="O204" i="21" s="1"/>
  <c r="L201" i="21"/>
  <c r="O201" i="21" s="1"/>
  <c r="L198" i="21"/>
  <c r="O198" i="21" s="1"/>
  <c r="L195" i="21"/>
  <c r="O195" i="21" s="1"/>
  <c r="L192" i="21"/>
  <c r="O192" i="21" s="1"/>
  <c r="L189" i="21"/>
  <c r="O189" i="21" s="1"/>
  <c r="J189" i="21"/>
  <c r="M189" i="21" s="1"/>
  <c r="L188" i="21"/>
  <c r="O188" i="21" s="1"/>
  <c r="J188" i="21"/>
  <c r="M188" i="21" s="1"/>
  <c r="L187" i="21"/>
  <c r="O187" i="21" s="1"/>
  <c r="J187" i="21"/>
  <c r="M187" i="21" s="1"/>
  <c r="L186" i="21"/>
  <c r="O186" i="21" s="1"/>
  <c r="J186" i="21"/>
  <c r="M186" i="21" s="1"/>
  <c r="L185" i="21"/>
  <c r="O185" i="21" s="1"/>
  <c r="J185" i="21"/>
  <c r="M185" i="21" s="1"/>
  <c r="L184" i="21"/>
  <c r="O184" i="21" s="1"/>
  <c r="J184" i="21"/>
  <c r="M184" i="21" s="1"/>
  <c r="L183" i="21"/>
  <c r="O183" i="21" s="1"/>
  <c r="J183" i="21"/>
  <c r="M183" i="21" s="1"/>
  <c r="L182" i="21"/>
  <c r="O182" i="21" s="1"/>
  <c r="J182" i="21"/>
  <c r="M182" i="21" s="1"/>
  <c r="L181" i="21"/>
  <c r="O181" i="21" s="1"/>
  <c r="J181" i="21"/>
  <c r="M181" i="21" s="1"/>
  <c r="L180" i="21"/>
  <c r="O180" i="21" s="1"/>
  <c r="J180" i="21"/>
  <c r="M180" i="21" s="1"/>
  <c r="L179" i="21"/>
  <c r="O179" i="21" s="1"/>
  <c r="J179" i="21"/>
  <c r="M179" i="21" s="1"/>
  <c r="L178" i="21"/>
  <c r="O178" i="21" s="1"/>
  <c r="J178" i="21"/>
  <c r="M178" i="21" s="1"/>
  <c r="L177" i="21"/>
  <c r="O177" i="21" s="1"/>
  <c r="L174" i="21"/>
  <c r="O174" i="21" s="1"/>
  <c r="L171" i="21"/>
  <c r="O171" i="21" s="1"/>
  <c r="L167" i="21"/>
  <c r="O167" i="21" s="1"/>
  <c r="L164" i="21"/>
  <c r="O164" i="21" s="1"/>
  <c r="L161" i="21"/>
  <c r="O161" i="21" s="1"/>
  <c r="L157" i="21"/>
  <c r="O157" i="21" s="1"/>
  <c r="L154" i="21"/>
  <c r="O154" i="21" s="1"/>
  <c r="L151" i="21"/>
  <c r="O151" i="21" s="1"/>
  <c r="L148" i="21"/>
  <c r="O148" i="21" s="1"/>
  <c r="L145" i="21"/>
  <c r="O145" i="21" s="1"/>
  <c r="L142" i="21"/>
  <c r="O142" i="21" s="1"/>
  <c r="L139" i="21"/>
  <c r="O139" i="21" s="1"/>
  <c r="L138" i="21"/>
  <c r="O138" i="21" s="1"/>
  <c r="L137" i="21"/>
  <c r="O137" i="21" s="1"/>
  <c r="L136" i="21"/>
  <c r="O136" i="21" s="1"/>
  <c r="L135" i="21"/>
  <c r="O135" i="21" s="1"/>
  <c r="L134" i="21"/>
  <c r="O134" i="21" s="1"/>
  <c r="L133" i="21"/>
  <c r="O133" i="21" s="1"/>
  <c r="L132" i="21"/>
  <c r="O132" i="21" s="1"/>
  <c r="L131" i="21"/>
  <c r="O131" i="21" s="1"/>
  <c r="L130" i="21"/>
  <c r="O130" i="21" s="1"/>
  <c r="L129" i="21"/>
  <c r="O129" i="21" s="1"/>
  <c r="L128" i="21"/>
  <c r="O128" i="21" s="1"/>
  <c r="L127" i="21"/>
  <c r="O127" i="21" s="1"/>
  <c r="J127" i="21"/>
  <c r="M127" i="21" s="1"/>
  <c r="L126" i="21"/>
  <c r="O126" i="21" s="1"/>
  <c r="J126" i="21"/>
  <c r="M126" i="21" s="1"/>
  <c r="L125" i="21"/>
  <c r="O125" i="21" s="1"/>
  <c r="J125" i="21"/>
  <c r="M125" i="21" s="1"/>
  <c r="L124" i="21"/>
  <c r="O124" i="21" s="1"/>
  <c r="J124" i="21"/>
  <c r="M124" i="21" s="1"/>
  <c r="L123" i="21"/>
  <c r="O123" i="21" s="1"/>
  <c r="J123" i="21"/>
  <c r="M123" i="21" s="1"/>
  <c r="L122" i="21"/>
  <c r="O122" i="21" s="1"/>
  <c r="J122" i="21"/>
  <c r="M122" i="21" s="1"/>
  <c r="L121" i="21"/>
  <c r="O121" i="21" s="1"/>
  <c r="J121" i="21"/>
  <c r="M121" i="21" s="1"/>
  <c r="L120" i="21"/>
  <c r="O120" i="21" s="1"/>
  <c r="J120" i="21"/>
  <c r="M120" i="21" s="1"/>
  <c r="L119" i="21"/>
  <c r="O119" i="21" s="1"/>
  <c r="J119" i="21"/>
  <c r="M119" i="21" s="1"/>
  <c r="L118" i="21"/>
  <c r="O118" i="21" s="1"/>
  <c r="J118" i="21"/>
  <c r="M118" i="21" s="1"/>
  <c r="L117" i="21"/>
  <c r="O117" i="21" s="1"/>
  <c r="J117" i="21"/>
  <c r="M117" i="21" s="1"/>
  <c r="L116" i="21"/>
  <c r="O116" i="21" s="1"/>
  <c r="J116" i="21"/>
  <c r="M116" i="21" s="1"/>
  <c r="L115" i="21"/>
  <c r="O115" i="21" s="1"/>
  <c r="L114" i="21"/>
  <c r="O114" i="21" s="1"/>
  <c r="L113" i="21"/>
  <c r="O113" i="21" s="1"/>
  <c r="L112" i="21"/>
  <c r="O112" i="21" s="1"/>
  <c r="L111" i="21"/>
  <c r="O111" i="21" s="1"/>
  <c r="L110" i="21"/>
  <c r="O110" i="21" s="1"/>
  <c r="L109" i="21"/>
  <c r="O109" i="21" s="1"/>
  <c r="L108" i="21"/>
  <c r="O108" i="21" s="1"/>
  <c r="L107" i="21"/>
  <c r="O107" i="21" s="1"/>
  <c r="L106" i="21"/>
  <c r="O106" i="21" s="1"/>
  <c r="L105" i="21"/>
  <c r="O105" i="21" s="1"/>
  <c r="L104" i="21"/>
  <c r="O104" i="21" s="1"/>
  <c r="L103" i="21"/>
  <c r="O103" i="21" s="1"/>
  <c r="L102" i="21"/>
  <c r="O102" i="21" s="1"/>
  <c r="L101" i="21"/>
  <c r="O101" i="21" s="1"/>
  <c r="L100" i="21"/>
  <c r="O100" i="21" s="1"/>
  <c r="L99" i="21"/>
  <c r="O99" i="21" s="1"/>
  <c r="L98" i="21"/>
  <c r="O98" i="21" s="1"/>
  <c r="L97" i="21"/>
  <c r="O97" i="21" s="1"/>
  <c r="L96" i="21"/>
  <c r="O96" i="21" s="1"/>
  <c r="L95" i="21"/>
  <c r="O95" i="21" s="1"/>
  <c r="L94" i="21"/>
  <c r="O94" i="21" s="1"/>
  <c r="L93" i="21"/>
  <c r="O93" i="21" s="1"/>
  <c r="L92" i="21"/>
  <c r="O92" i="21" s="1"/>
  <c r="L91" i="21"/>
  <c r="O91" i="21" s="1"/>
  <c r="J91" i="21"/>
  <c r="M91" i="21" s="1"/>
  <c r="L90" i="21"/>
  <c r="O90" i="21" s="1"/>
  <c r="J90" i="21"/>
  <c r="M90" i="21" s="1"/>
  <c r="L89" i="21"/>
  <c r="O89" i="21" s="1"/>
  <c r="J89" i="21"/>
  <c r="M89" i="21" s="1"/>
  <c r="L88" i="21"/>
  <c r="O88" i="21" s="1"/>
  <c r="J88" i="21"/>
  <c r="M88" i="21" s="1"/>
  <c r="L87" i="21"/>
  <c r="O87" i="21" s="1"/>
  <c r="J87" i="21"/>
  <c r="M87" i="21" s="1"/>
  <c r="L86" i="21"/>
  <c r="O86" i="21" s="1"/>
  <c r="J86" i="21"/>
  <c r="M86" i="21" s="1"/>
  <c r="L85" i="21"/>
  <c r="O85" i="21" s="1"/>
  <c r="J85" i="21"/>
  <c r="M85" i="21" s="1"/>
  <c r="L84" i="21"/>
  <c r="O84" i="21" s="1"/>
  <c r="J84" i="21"/>
  <c r="M84" i="21" s="1"/>
  <c r="L83" i="21"/>
  <c r="O83" i="21" s="1"/>
  <c r="J83" i="21"/>
  <c r="M83" i="21" s="1"/>
  <c r="L82" i="21"/>
  <c r="O82" i="21" s="1"/>
  <c r="J82" i="21"/>
  <c r="M82" i="21" s="1"/>
  <c r="L81" i="21"/>
  <c r="O81" i="21" s="1"/>
  <c r="J81" i="21"/>
  <c r="M81" i="21" s="1"/>
  <c r="L80" i="21"/>
  <c r="O80" i="21" s="1"/>
  <c r="J80" i="21"/>
  <c r="M80" i="21" s="1"/>
  <c r="L79" i="21"/>
  <c r="O79" i="21" s="1"/>
  <c r="L78" i="21"/>
  <c r="O78" i="21" s="1"/>
  <c r="L77" i="21"/>
  <c r="O77" i="21" s="1"/>
  <c r="L76" i="21"/>
  <c r="O76" i="21" s="1"/>
  <c r="L75" i="21"/>
  <c r="O75" i="21" s="1"/>
  <c r="L74" i="21"/>
  <c r="O74" i="21" s="1"/>
  <c r="L73" i="21"/>
  <c r="O73" i="21" s="1"/>
  <c r="L72" i="21"/>
  <c r="O72" i="21" s="1"/>
  <c r="L71" i="21"/>
  <c r="O71" i="21" s="1"/>
  <c r="L70" i="21"/>
  <c r="O70" i="21" s="1"/>
  <c r="L69" i="21"/>
  <c r="O69" i="21" s="1"/>
  <c r="L68" i="21"/>
  <c r="O68" i="21" s="1"/>
  <c r="L67" i="21"/>
  <c r="O67" i="21" s="1"/>
  <c r="L65" i="21"/>
  <c r="O65" i="21" s="1"/>
  <c r="L63" i="21"/>
  <c r="O63" i="21" s="1"/>
  <c r="L61" i="21"/>
  <c r="O61" i="21" s="1"/>
  <c r="L59" i="21"/>
  <c r="O59" i="21" s="1"/>
  <c r="L57" i="21"/>
  <c r="O57" i="21" s="1"/>
  <c r="L55" i="21"/>
  <c r="O55" i="21" s="1"/>
  <c r="L53" i="21"/>
  <c r="O53" i="21" s="1"/>
  <c r="L51" i="21"/>
  <c r="O51" i="21" s="1"/>
  <c r="L49" i="21"/>
  <c r="O49" i="21" s="1"/>
  <c r="L46" i="21"/>
  <c r="O46" i="21" s="1"/>
  <c r="L43" i="21"/>
  <c r="O43" i="21" s="1"/>
  <c r="O40" i="21"/>
  <c r="L40" i="21"/>
  <c r="J40" i="21"/>
  <c r="M40" i="21" s="1"/>
  <c r="L39" i="21"/>
  <c r="O39" i="21" s="1"/>
  <c r="J39" i="21"/>
  <c r="M39" i="21" s="1"/>
  <c r="O38" i="21"/>
  <c r="L38" i="21"/>
  <c r="J38" i="21"/>
  <c r="M38" i="21" s="1"/>
  <c r="M37" i="21"/>
  <c r="L37" i="21"/>
  <c r="O37" i="21" s="1"/>
  <c r="J37" i="21"/>
  <c r="O36" i="21"/>
  <c r="L36" i="21"/>
  <c r="J36" i="21"/>
  <c r="M36" i="21" s="1"/>
  <c r="L35" i="21"/>
  <c r="O35" i="21" s="1"/>
  <c r="J35" i="21"/>
  <c r="M35" i="21" s="1"/>
  <c r="O34" i="21"/>
  <c r="L34" i="21"/>
  <c r="J34" i="21"/>
  <c r="M34" i="21" s="1"/>
  <c r="M33" i="21"/>
  <c r="L33" i="21"/>
  <c r="O33" i="21" s="1"/>
  <c r="J33" i="21"/>
  <c r="O32" i="21"/>
  <c r="L32" i="21"/>
  <c r="J32" i="21"/>
  <c r="M32" i="21" s="1"/>
  <c r="L31" i="21"/>
  <c r="O31" i="21" s="1"/>
  <c r="J31" i="21"/>
  <c r="M31" i="21" s="1"/>
  <c r="O30" i="21"/>
  <c r="L30" i="21"/>
  <c r="J30" i="21"/>
  <c r="M30" i="21" s="1"/>
  <c r="M29" i="21"/>
  <c r="L29" i="21"/>
  <c r="O29" i="21" s="1"/>
  <c r="J29" i="21"/>
  <c r="O28" i="21"/>
  <c r="L28" i="21"/>
  <c r="O26" i="21"/>
  <c r="L26" i="21"/>
  <c r="O24" i="21"/>
  <c r="L24" i="21"/>
  <c r="O22" i="21"/>
  <c r="L22" i="21"/>
  <c r="O20" i="21"/>
  <c r="L20" i="21"/>
  <c r="O18" i="21"/>
  <c r="L18" i="21"/>
  <c r="O16" i="21"/>
  <c r="L16" i="21"/>
  <c r="O14" i="21"/>
  <c r="L14" i="21"/>
  <c r="O12" i="21"/>
  <c r="L12" i="21"/>
  <c r="O10" i="21"/>
  <c r="L10" i="21"/>
  <c r="L7" i="21"/>
  <c r="O7" i="21" s="1"/>
  <c r="L4" i="21"/>
  <c r="O4" i="21" s="1"/>
  <c r="X1990" i="16"/>
  <c r="W1990" i="16"/>
  <c r="X1989" i="16"/>
  <c r="W1989" i="16"/>
  <c r="X1988" i="16"/>
  <c r="W1988" i="16"/>
  <c r="X1987" i="16"/>
  <c r="W1987" i="16"/>
  <c r="X1986" i="16"/>
  <c r="W1986" i="16"/>
  <c r="X1985" i="16"/>
  <c r="W1985" i="16"/>
  <c r="X1984" i="16"/>
  <c r="W1984" i="16"/>
  <c r="X1983" i="16"/>
  <c r="W1983" i="16"/>
  <c r="X1982" i="16"/>
  <c r="W1982" i="16"/>
  <c r="X1981" i="16"/>
  <c r="W1981" i="16"/>
  <c r="X1980" i="16"/>
  <c r="W1980" i="16"/>
  <c r="X1979" i="16"/>
  <c r="W1979" i="16"/>
  <c r="X1978" i="16"/>
  <c r="W1978" i="16"/>
  <c r="X1977" i="16"/>
  <c r="W1977" i="16"/>
  <c r="X1976" i="16"/>
  <c r="W1976" i="16"/>
  <c r="X1975" i="16"/>
  <c r="W1975" i="16"/>
  <c r="X1974" i="16"/>
  <c r="W1974" i="16"/>
  <c r="X1973" i="16"/>
  <c r="W1973" i="16"/>
  <c r="X1972" i="16"/>
  <c r="W1972" i="16"/>
  <c r="X1971" i="16"/>
  <c r="W1971" i="16"/>
  <c r="X1970" i="16"/>
  <c r="W1970" i="16"/>
  <c r="X1969" i="16"/>
  <c r="W1969" i="16"/>
  <c r="X1968" i="16"/>
  <c r="W1968" i="16"/>
  <c r="X1967" i="16"/>
  <c r="W1967" i="16"/>
  <c r="X1966" i="16"/>
  <c r="W1966" i="16"/>
  <c r="X1965" i="16"/>
  <c r="W1965" i="16"/>
  <c r="X1964" i="16"/>
  <c r="W1964" i="16"/>
  <c r="X1963" i="16"/>
  <c r="W1963" i="16"/>
  <c r="X1962" i="16"/>
  <c r="W1962" i="16"/>
  <c r="X1961" i="16"/>
  <c r="W1961" i="16"/>
  <c r="X1960" i="16"/>
  <c r="W1960" i="16"/>
  <c r="X1959" i="16"/>
  <c r="W1959" i="16"/>
  <c r="X1958" i="16"/>
  <c r="W1958" i="16"/>
  <c r="X1957" i="16"/>
  <c r="W1957" i="16"/>
  <c r="X1956" i="16"/>
  <c r="W1956" i="16"/>
  <c r="X1955" i="16"/>
  <c r="W1955" i="16"/>
  <c r="X1339" i="16"/>
  <c r="W1339" i="16"/>
  <c r="X1338" i="16"/>
  <c r="W1338" i="16"/>
  <c r="X1337" i="16"/>
  <c r="W1337" i="16"/>
  <c r="X1336" i="16"/>
  <c r="W1336" i="16"/>
  <c r="X1335" i="16"/>
  <c r="W1335" i="16"/>
  <c r="X1334" i="16"/>
  <c r="W1334" i="16"/>
  <c r="X1333" i="16"/>
  <c r="W1333" i="16"/>
  <c r="X1332" i="16"/>
  <c r="W1332" i="16"/>
  <c r="X1331" i="16"/>
  <c r="W1331" i="16"/>
  <c r="X1330" i="16"/>
  <c r="W1330" i="16"/>
  <c r="X1329" i="16"/>
  <c r="W1329" i="16"/>
  <c r="X1328" i="16"/>
  <c r="W1328" i="16"/>
  <c r="X1327" i="16"/>
  <c r="W1327" i="16"/>
  <c r="X1326" i="16"/>
  <c r="W1326" i="16"/>
  <c r="X1325" i="16"/>
  <c r="W1325" i="16"/>
  <c r="X1324" i="16"/>
  <c r="W1324" i="16"/>
  <c r="X1323" i="16"/>
  <c r="W1323" i="16"/>
  <c r="X1322" i="16"/>
  <c r="W1322" i="16"/>
  <c r="X1321" i="16"/>
  <c r="W1321" i="16"/>
  <c r="X1320" i="16"/>
  <c r="W1320" i="16"/>
  <c r="X1319" i="16"/>
  <c r="W1319" i="16"/>
  <c r="X1318" i="16"/>
  <c r="W1318" i="16"/>
  <c r="X1317" i="16"/>
  <c r="W1317" i="16"/>
  <c r="X1316" i="16"/>
  <c r="W1316" i="16"/>
  <c r="X1315" i="16"/>
  <c r="W1315" i="16"/>
  <c r="V1314" i="16"/>
  <c r="V1313" i="16"/>
  <c r="V1312" i="16"/>
  <c r="V1311" i="16"/>
  <c r="V1310" i="16"/>
  <c r="V1309" i="16"/>
  <c r="V1308" i="16"/>
  <c r="V1307" i="16"/>
  <c r="V1306" i="16"/>
  <c r="V1305" i="16"/>
  <c r="V1304" i="16"/>
  <c r="V1303" i="16"/>
  <c r="V1302" i="16"/>
  <c r="V1301" i="16"/>
  <c r="V1300" i="16"/>
  <c r="V1299" i="16"/>
  <c r="V1298" i="16"/>
  <c r="V1297" i="16"/>
  <c r="V1296" i="16"/>
  <c r="V1295" i="16"/>
  <c r="V1294" i="16"/>
  <c r="V1293" i="16"/>
  <c r="V1292" i="16"/>
  <c r="V1291" i="16"/>
  <c r="V1290" i="16"/>
  <c r="X1289" i="16"/>
  <c r="W1289" i="16"/>
  <c r="X1288" i="16"/>
  <c r="W1288" i="16"/>
  <c r="X1287" i="16"/>
  <c r="W1287" i="16"/>
  <c r="X1286" i="16"/>
  <c r="W1286" i="16"/>
  <c r="X1285" i="16"/>
  <c r="W1285" i="16"/>
  <c r="X1284" i="16"/>
  <c r="W1284" i="16"/>
  <c r="X1283" i="16"/>
  <c r="W1283" i="16"/>
  <c r="X1282" i="16"/>
  <c r="W1282" i="16"/>
  <c r="X1281" i="16"/>
  <c r="W1281" i="16"/>
  <c r="X1280" i="16"/>
  <c r="W1280" i="16"/>
  <c r="X1279" i="16"/>
  <c r="W1279" i="16"/>
  <c r="X1278" i="16"/>
  <c r="W1278" i="16"/>
  <c r="X1277" i="16"/>
  <c r="W1277" i="16"/>
  <c r="X1276" i="16"/>
  <c r="W1276" i="16"/>
  <c r="X1275" i="16"/>
  <c r="W1275" i="16"/>
  <c r="X1274" i="16"/>
  <c r="W1274" i="16"/>
  <c r="X1273" i="16"/>
  <c r="W1273" i="16"/>
  <c r="X1272" i="16"/>
  <c r="W1272" i="16"/>
  <c r="X1271" i="16"/>
  <c r="W1271" i="16"/>
  <c r="X1270" i="16"/>
  <c r="W1270" i="16"/>
  <c r="X1269" i="16"/>
  <c r="W1269" i="16"/>
  <c r="X1268" i="16"/>
  <c r="W1268" i="16"/>
  <c r="X1267" i="16"/>
  <c r="W1267" i="16"/>
  <c r="X1266" i="16"/>
  <c r="W1266" i="16"/>
  <c r="X1265" i="16"/>
  <c r="W1265" i="16"/>
  <c r="X1264" i="16"/>
  <c r="W1264" i="16"/>
  <c r="X1263" i="16"/>
  <c r="W1263" i="16"/>
  <c r="X1262" i="16"/>
  <c r="W1262" i="16"/>
  <c r="X1261" i="16"/>
  <c r="W1261" i="16"/>
  <c r="X1260" i="16"/>
  <c r="W1260" i="16"/>
  <c r="X1259" i="16"/>
  <c r="W1259" i="16"/>
  <c r="X1258" i="16"/>
  <c r="W1258" i="16"/>
  <c r="X1257" i="16"/>
  <c r="W1257" i="16"/>
  <c r="X1256" i="16"/>
  <c r="W1256" i="16"/>
  <c r="X1255" i="16"/>
  <c r="W1255" i="16"/>
  <c r="X1254" i="16"/>
  <c r="W1254" i="16"/>
  <c r="X1253" i="16"/>
  <c r="W1253" i="16"/>
  <c r="X1252" i="16"/>
  <c r="W1252" i="16"/>
  <c r="X1251" i="16"/>
  <c r="W1251" i="16"/>
  <c r="X1250" i="16"/>
  <c r="W1250" i="16"/>
  <c r="X1249" i="16"/>
  <c r="W1249" i="16"/>
  <c r="X1248" i="16"/>
  <c r="W1248" i="16"/>
  <c r="X1247" i="16"/>
  <c r="W1247" i="16"/>
  <c r="X1246" i="16"/>
  <c r="W1246" i="16"/>
  <c r="X1245" i="16"/>
  <c r="W1245" i="16"/>
  <c r="X1244" i="16"/>
  <c r="W1244" i="16"/>
  <c r="X1243" i="16"/>
  <c r="W1243" i="16"/>
  <c r="X1242" i="16"/>
  <c r="W1242" i="16"/>
  <c r="X1241" i="16"/>
  <c r="W1241" i="16"/>
  <c r="V1240" i="16"/>
  <c r="V1239" i="16"/>
  <c r="V1238" i="16"/>
  <c r="V1237" i="16"/>
  <c r="V1236" i="16"/>
  <c r="V1235" i="16"/>
  <c r="V1234" i="16"/>
  <c r="V1233" i="16"/>
  <c r="V1232" i="16"/>
  <c r="V1231" i="16"/>
  <c r="V1230" i="16"/>
  <c r="V1229" i="16"/>
  <c r="V1228" i="16"/>
  <c r="V1227" i="16"/>
  <c r="V1226" i="16"/>
  <c r="V1225" i="16"/>
  <c r="V1224" i="16"/>
  <c r="V1223" i="16"/>
  <c r="V1222" i="16"/>
  <c r="V1221" i="16"/>
  <c r="V1220" i="16"/>
  <c r="V1219" i="16"/>
  <c r="V1218" i="16"/>
  <c r="V1217" i="16"/>
  <c r="X1216" i="16"/>
  <c r="W1216" i="16"/>
  <c r="X1215" i="16"/>
  <c r="W1215" i="16"/>
  <c r="X1214" i="16"/>
  <c r="W1214" i="16"/>
  <c r="X1213" i="16"/>
  <c r="W1213" i="16"/>
  <c r="X1212" i="16"/>
  <c r="W1212" i="16"/>
  <c r="X1211" i="16"/>
  <c r="W1211" i="16"/>
  <c r="X1210" i="16"/>
  <c r="W1210" i="16"/>
  <c r="X1209" i="16"/>
  <c r="W1209" i="16"/>
  <c r="X1208" i="16"/>
  <c r="W1208" i="16"/>
  <c r="X1207" i="16"/>
  <c r="W1207" i="16"/>
  <c r="X1206" i="16"/>
  <c r="W1206" i="16"/>
  <c r="X1205" i="16"/>
  <c r="W1205" i="16"/>
  <c r="X1204" i="16"/>
  <c r="W1204" i="16"/>
  <c r="X1203" i="16"/>
  <c r="W1203" i="16"/>
  <c r="X1202" i="16"/>
  <c r="W1202" i="16"/>
  <c r="X1201" i="16"/>
  <c r="W1201" i="16"/>
  <c r="X1200" i="16"/>
  <c r="W1200" i="16"/>
  <c r="X1199" i="16"/>
  <c r="W1199" i="16"/>
  <c r="X1198" i="16"/>
  <c r="W1198" i="16"/>
  <c r="X1197" i="16"/>
  <c r="W1197" i="16"/>
  <c r="X1196" i="16"/>
  <c r="W1196" i="16"/>
  <c r="X1195" i="16"/>
  <c r="W1195" i="16"/>
  <c r="X1194" i="16"/>
  <c r="W1194" i="16"/>
  <c r="X1193" i="16"/>
  <c r="W1193" i="16"/>
  <c r="X1192" i="16"/>
  <c r="W1192" i="16"/>
  <c r="X1191" i="16"/>
  <c r="W1191" i="16"/>
  <c r="X1190" i="16"/>
  <c r="W1190" i="16"/>
  <c r="X1189" i="16"/>
  <c r="W1189" i="16"/>
  <c r="X1188" i="16"/>
  <c r="W1188" i="16"/>
  <c r="X1187" i="16"/>
  <c r="W1187" i="16"/>
  <c r="X1186" i="16"/>
  <c r="W1186" i="16"/>
  <c r="X1185" i="16"/>
  <c r="W1185" i="16"/>
  <c r="X1184" i="16"/>
  <c r="W1184" i="16"/>
  <c r="X1183" i="16"/>
  <c r="W1183" i="16"/>
  <c r="X1182" i="16"/>
  <c r="W1182" i="16"/>
  <c r="X1181" i="16"/>
  <c r="W1181" i="16"/>
  <c r="X1180" i="16"/>
  <c r="W1180" i="16"/>
  <c r="X1179" i="16"/>
  <c r="W1179" i="16"/>
  <c r="X1178" i="16"/>
  <c r="W1178" i="16"/>
  <c r="X1177" i="16"/>
  <c r="W1177" i="16"/>
  <c r="X1176" i="16"/>
  <c r="W1176" i="16"/>
  <c r="V1175" i="16"/>
  <c r="V1174" i="16"/>
  <c r="V1173" i="16"/>
  <c r="V1172" i="16"/>
  <c r="V1171" i="16"/>
  <c r="V1170" i="16"/>
  <c r="V1169" i="16"/>
  <c r="V1168" i="16"/>
  <c r="V1167" i="16"/>
  <c r="V1166" i="16"/>
  <c r="V1165" i="16"/>
  <c r="V1164" i="16"/>
  <c r="V1163" i="16"/>
  <c r="V1162" i="16"/>
  <c r="V1161" i="16"/>
  <c r="V1160" i="16"/>
  <c r="V1159" i="16"/>
  <c r="V1158" i="16"/>
  <c r="V1157" i="16"/>
  <c r="V1156" i="16"/>
  <c r="V1155" i="16"/>
  <c r="V1154" i="16"/>
  <c r="V1153" i="16"/>
  <c r="V1152" i="16"/>
  <c r="V1151" i="16"/>
  <c r="V1150" i="16"/>
  <c r="V1149" i="16"/>
  <c r="V1148" i="16"/>
  <c r="V1147" i="16"/>
  <c r="V1146" i="16"/>
  <c r="V1145" i="16"/>
  <c r="X1144" i="16"/>
  <c r="W1144" i="16"/>
  <c r="X1143" i="16"/>
  <c r="W1143" i="16"/>
  <c r="X1142" i="16"/>
  <c r="W1142" i="16"/>
  <c r="X1141" i="16"/>
  <c r="W1141" i="16"/>
  <c r="X1140" i="16"/>
  <c r="W1140" i="16"/>
  <c r="X1139" i="16"/>
  <c r="W1139" i="16"/>
  <c r="X1138" i="16"/>
  <c r="W1138" i="16"/>
  <c r="X1137" i="16"/>
  <c r="W1137" i="16"/>
  <c r="X1136" i="16"/>
  <c r="W1136" i="16"/>
  <c r="X1135" i="16"/>
  <c r="W1135" i="16"/>
  <c r="X1134" i="16"/>
  <c r="W1134" i="16"/>
  <c r="X1133" i="16"/>
  <c r="W1133" i="16"/>
  <c r="X1132" i="16"/>
  <c r="W1132" i="16"/>
  <c r="X1131" i="16"/>
  <c r="W1131" i="16"/>
  <c r="X1130" i="16"/>
  <c r="W1130" i="16"/>
  <c r="X1129" i="16"/>
  <c r="W1129" i="16"/>
  <c r="X1128" i="16"/>
  <c r="W1128" i="16"/>
  <c r="X1127" i="16"/>
  <c r="W1127" i="16"/>
  <c r="AD704" i="17"/>
  <c r="X704" i="17"/>
  <c r="W704" i="17"/>
  <c r="AC704" i="17" s="1"/>
  <c r="AD703" i="17"/>
  <c r="X703" i="17"/>
  <c r="W703" i="17"/>
  <c r="AC703" i="17" s="1"/>
  <c r="AD702" i="17"/>
  <c r="X702" i="17"/>
  <c r="W702" i="17"/>
  <c r="AC702" i="17" s="1"/>
  <c r="AD701" i="17"/>
  <c r="X701" i="17"/>
  <c r="W701" i="17"/>
  <c r="AC701" i="17" s="1"/>
  <c r="AD700" i="17"/>
  <c r="X700" i="17"/>
  <c r="W700" i="17"/>
  <c r="AC700" i="17" s="1"/>
  <c r="AD699" i="17"/>
  <c r="X699" i="17"/>
  <c r="W699" i="17"/>
  <c r="AC699" i="17" s="1"/>
  <c r="AD698" i="17"/>
  <c r="X698" i="17"/>
  <c r="W698" i="17"/>
  <c r="AC698" i="17" s="1"/>
  <c r="AD697" i="17"/>
  <c r="X697" i="17"/>
  <c r="W697" i="17"/>
  <c r="AC697" i="17" s="1"/>
  <c r="AD696" i="17"/>
  <c r="X696" i="17"/>
  <c r="W696" i="17"/>
  <c r="AC696" i="17" s="1"/>
  <c r="AD695" i="17"/>
  <c r="X695" i="17"/>
  <c r="W695" i="17"/>
  <c r="AC695" i="17" s="1"/>
  <c r="AD694" i="17"/>
  <c r="X694" i="17"/>
  <c r="W694" i="17"/>
  <c r="AC694" i="17" s="1"/>
  <c r="AD693" i="17"/>
  <c r="X693" i="17"/>
  <c r="W693" i="17"/>
  <c r="AC693" i="17" s="1"/>
  <c r="AD692" i="17"/>
  <c r="X692" i="17"/>
  <c r="W692" i="17"/>
  <c r="AC692" i="17" s="1"/>
  <c r="AD691" i="17"/>
  <c r="X691" i="17"/>
  <c r="W691" i="17"/>
  <c r="AC691" i="17" s="1"/>
  <c r="AD690" i="17"/>
  <c r="X690" i="17"/>
  <c r="W690" i="17"/>
  <c r="AC690" i="17" s="1"/>
  <c r="AD689" i="17"/>
  <c r="X689" i="17"/>
  <c r="W689" i="17"/>
  <c r="AC689" i="17" s="1"/>
  <c r="AD688" i="17"/>
  <c r="X688" i="17"/>
  <c r="W688" i="17"/>
  <c r="AC688" i="17" s="1"/>
  <c r="AD687" i="17"/>
  <c r="X687" i="17"/>
  <c r="W687" i="17"/>
  <c r="AC687" i="17" s="1"/>
  <c r="AD686" i="17"/>
  <c r="X686" i="17"/>
  <c r="W686" i="17"/>
  <c r="AC686" i="17" s="1"/>
  <c r="AD685" i="17"/>
  <c r="X685" i="17"/>
  <c r="W685" i="17"/>
  <c r="AC685" i="17" s="1"/>
  <c r="AD684" i="17"/>
  <c r="X684" i="17"/>
  <c r="W684" i="17"/>
  <c r="AC684" i="17" s="1"/>
  <c r="AD683" i="17"/>
  <c r="X683" i="17"/>
  <c r="W683" i="17"/>
  <c r="AC683" i="17" s="1"/>
  <c r="AD682" i="17"/>
  <c r="X682" i="17"/>
  <c r="W682" i="17"/>
  <c r="AC682" i="17" s="1"/>
  <c r="AD681" i="17"/>
  <c r="X681" i="17"/>
  <c r="W681" i="17"/>
  <c r="AC681" i="17" s="1"/>
  <c r="AD680" i="17"/>
  <c r="X680" i="17"/>
  <c r="W680" i="17"/>
  <c r="AC680" i="17" s="1"/>
  <c r="AD679" i="17"/>
  <c r="X679" i="17"/>
  <c r="W679" i="17"/>
  <c r="AC679" i="17" s="1"/>
  <c r="AD678" i="17"/>
  <c r="X678" i="17"/>
  <c r="W678" i="17"/>
  <c r="AC678" i="17" s="1"/>
  <c r="AD677" i="17"/>
  <c r="X677" i="17"/>
  <c r="W677" i="17"/>
  <c r="AC677" i="17" s="1"/>
  <c r="AD676" i="17"/>
  <c r="X676" i="17"/>
  <c r="W676" i="17"/>
  <c r="AC676" i="17" s="1"/>
  <c r="AD675" i="17"/>
  <c r="X675" i="17"/>
  <c r="W675" i="17"/>
  <c r="AC675" i="17" s="1"/>
  <c r="AD674" i="17"/>
  <c r="X674" i="17"/>
  <c r="W674" i="17"/>
  <c r="AC674" i="17" s="1"/>
  <c r="AD673" i="17"/>
  <c r="X673" i="17"/>
  <c r="W673" i="17"/>
  <c r="AD672" i="17"/>
  <c r="X672" i="17"/>
  <c r="W672" i="17"/>
  <c r="AD671" i="17"/>
  <c r="X671" i="17"/>
  <c r="W671" i="17"/>
  <c r="AD670" i="17"/>
  <c r="X670" i="17"/>
  <c r="W670" i="17"/>
  <c r="AD669" i="17"/>
  <c r="X669" i="17"/>
  <c r="W669" i="17"/>
  <c r="X579" i="16"/>
  <c r="W579" i="16"/>
  <c r="V579" i="16"/>
  <c r="X578" i="16"/>
  <c r="W578" i="16"/>
  <c r="V578" i="16"/>
  <c r="X577" i="16"/>
  <c r="W577" i="16"/>
  <c r="V577" i="16"/>
  <c r="X576" i="16"/>
  <c r="W576" i="16"/>
  <c r="V576" i="16"/>
  <c r="X575" i="16"/>
  <c r="W575" i="16"/>
  <c r="V575" i="16"/>
  <c r="X574" i="16"/>
  <c r="W574" i="16"/>
  <c r="V574" i="16"/>
  <c r="X573" i="16"/>
  <c r="W573" i="16"/>
  <c r="V573" i="16"/>
  <c r="X572" i="16"/>
  <c r="W572" i="16"/>
  <c r="V572" i="16"/>
  <c r="X571" i="16"/>
  <c r="W571" i="16"/>
  <c r="V571" i="16"/>
  <c r="X570" i="16"/>
  <c r="W570" i="16"/>
  <c r="V570" i="16"/>
  <c r="X569" i="16"/>
  <c r="W569" i="16"/>
  <c r="V569" i="16"/>
  <c r="X568" i="16"/>
  <c r="W568" i="16"/>
  <c r="V568" i="16"/>
  <c r="X567" i="16"/>
  <c r="W567" i="16"/>
  <c r="V567" i="16"/>
  <c r="X566" i="16"/>
  <c r="W566" i="16"/>
  <c r="V566" i="16"/>
  <c r="X565" i="16"/>
  <c r="W565" i="16"/>
  <c r="V565" i="16"/>
  <c r="X564" i="16"/>
  <c r="W564" i="16"/>
  <c r="V564" i="16"/>
  <c r="X563" i="16"/>
  <c r="W563" i="16"/>
  <c r="V563" i="16"/>
  <c r="X562" i="16"/>
  <c r="W562" i="16"/>
  <c r="V562" i="16"/>
  <c r="X561" i="16"/>
  <c r="W561" i="16"/>
  <c r="V561" i="16"/>
  <c r="X560" i="16"/>
  <c r="W560" i="16"/>
  <c r="V560" i="16"/>
  <c r="X559" i="16"/>
  <c r="W559" i="16"/>
  <c r="V559" i="16"/>
  <c r="X558" i="16"/>
  <c r="W558" i="16"/>
  <c r="V558" i="16"/>
  <c r="X557" i="16"/>
  <c r="W557" i="16"/>
  <c r="V557" i="16"/>
  <c r="X556" i="16"/>
  <c r="W556" i="16"/>
  <c r="V556" i="16"/>
  <c r="AD519" i="17"/>
  <c r="X519" i="17"/>
  <c r="W519" i="17"/>
  <c r="AD518" i="17"/>
  <c r="X518" i="17"/>
  <c r="W518" i="17"/>
  <c r="AD517" i="17"/>
  <c r="X517" i="17"/>
  <c r="W517" i="17"/>
  <c r="AD516" i="17"/>
  <c r="X516" i="17"/>
  <c r="W516" i="17"/>
  <c r="AD515" i="17"/>
  <c r="X515" i="17"/>
  <c r="W515" i="17"/>
  <c r="AD514" i="17"/>
  <c r="X514" i="17"/>
  <c r="W514" i="17"/>
  <c r="AD513" i="17"/>
  <c r="X513" i="17"/>
  <c r="W513" i="17"/>
  <c r="AD512" i="17"/>
  <c r="X512" i="17"/>
  <c r="W512" i="17"/>
  <c r="AD511" i="17"/>
  <c r="X511" i="17"/>
  <c r="W511" i="17"/>
  <c r="AD510" i="17"/>
  <c r="X510" i="17"/>
  <c r="W510" i="17"/>
  <c r="AD509" i="17"/>
  <c r="X509" i="17"/>
  <c r="W509" i="17"/>
  <c r="AD508" i="17"/>
  <c r="X508" i="17"/>
  <c r="W508" i="17"/>
  <c r="AD507" i="17"/>
  <c r="X507" i="17"/>
  <c r="W507" i="17"/>
  <c r="AD506" i="17"/>
  <c r="X506" i="17"/>
  <c r="W506" i="17"/>
  <c r="AD505" i="17"/>
  <c r="X505" i="17"/>
  <c r="W505" i="17"/>
  <c r="AD504" i="17"/>
  <c r="X504" i="17"/>
  <c r="W504" i="17"/>
  <c r="AD503" i="17"/>
  <c r="X503" i="17"/>
  <c r="W503" i="17"/>
  <c r="AD502" i="17"/>
  <c r="X502" i="17"/>
  <c r="W502" i="17"/>
  <c r="AD501" i="17"/>
  <c r="X501" i="17"/>
  <c r="W501" i="17"/>
  <c r="AD500" i="17"/>
  <c r="X500" i="17"/>
  <c r="W500" i="17"/>
  <c r="AC500" i="17" s="1"/>
  <c r="AD499" i="17"/>
  <c r="X499" i="17"/>
  <c r="W499" i="17"/>
  <c r="AC499" i="17" s="1"/>
  <c r="AD498" i="17"/>
  <c r="X498" i="17"/>
  <c r="W498" i="17"/>
  <c r="AD497" i="17"/>
  <c r="X497" i="17"/>
  <c r="W497" i="17"/>
  <c r="AD496" i="17"/>
  <c r="X496" i="17"/>
  <c r="W496" i="17"/>
  <c r="AC496" i="17" s="1"/>
  <c r="AD495" i="17"/>
  <c r="X495" i="17"/>
  <c r="W495" i="17"/>
  <c r="AC495" i="17" s="1"/>
  <c r="AE494" i="17"/>
  <c r="V494" i="17"/>
  <c r="AB494" i="17" s="1"/>
  <c r="AE493" i="17"/>
  <c r="V493" i="17"/>
  <c r="AB493" i="17" s="1"/>
  <c r="AE492" i="17"/>
  <c r="V492" i="17"/>
  <c r="AB492" i="17" s="1"/>
  <c r="AE491" i="17"/>
  <c r="V491" i="17"/>
  <c r="AB491" i="17" s="1"/>
  <c r="AE490" i="17"/>
  <c r="V490" i="17"/>
  <c r="AB490" i="17" s="1"/>
  <c r="AE489" i="17"/>
  <c r="V489" i="17"/>
  <c r="AB489" i="17" s="1"/>
  <c r="AE488" i="17"/>
  <c r="V488" i="17"/>
  <c r="AB488" i="17" s="1"/>
  <c r="AE487" i="17"/>
  <c r="V487" i="17"/>
  <c r="AB487" i="17" s="1"/>
  <c r="AE486" i="17"/>
  <c r="V486" i="17"/>
  <c r="AB486" i="17" s="1"/>
  <c r="AE485" i="17"/>
  <c r="V485" i="17"/>
  <c r="AB485" i="17" s="1"/>
  <c r="AE484" i="17"/>
  <c r="V484" i="17"/>
  <c r="AB484" i="17" s="1"/>
  <c r="AE483" i="17"/>
  <c r="V483" i="17"/>
  <c r="AB483" i="17" s="1"/>
  <c r="AE482" i="17"/>
  <c r="V482" i="17"/>
  <c r="AB482" i="17" s="1"/>
  <c r="AE481" i="17"/>
  <c r="V481" i="17"/>
  <c r="AB481" i="17" s="1"/>
  <c r="AE480" i="17"/>
  <c r="V480" i="17"/>
  <c r="AB480" i="17" s="1"/>
  <c r="AE479" i="17"/>
  <c r="V479" i="17"/>
  <c r="AB479" i="17" s="1"/>
  <c r="AE478" i="17"/>
  <c r="V478" i="17"/>
  <c r="AB478" i="17" s="1"/>
  <c r="AE477" i="17"/>
  <c r="V477" i="17"/>
  <c r="AB477" i="17" s="1"/>
  <c r="AE476" i="17"/>
  <c r="V476" i="17"/>
  <c r="AB476" i="17" s="1"/>
  <c r="AE475" i="17"/>
  <c r="V475" i="17"/>
  <c r="AB475" i="17" s="1"/>
  <c r="AE474" i="17"/>
  <c r="V474" i="17"/>
  <c r="AB474" i="17" s="1"/>
  <c r="AE473" i="17"/>
  <c r="V473" i="17"/>
  <c r="AB473" i="17" s="1"/>
  <c r="AE472" i="17"/>
  <c r="V472" i="17"/>
  <c r="AB472" i="17" s="1"/>
  <c r="AE471" i="17"/>
  <c r="AB471" i="17"/>
  <c r="V471" i="17"/>
  <c r="AE470" i="17"/>
  <c r="V470" i="17"/>
  <c r="AB470" i="17" s="1"/>
  <c r="AD469" i="17"/>
  <c r="X469" i="17"/>
  <c r="W469" i="17"/>
  <c r="AC469" i="17" s="1"/>
  <c r="AD468" i="17"/>
  <c r="X468" i="17"/>
  <c r="W468" i="17"/>
  <c r="AC468" i="17" s="1"/>
  <c r="AD467" i="17"/>
  <c r="X467" i="17"/>
  <c r="W467" i="17"/>
  <c r="AD466" i="17"/>
  <c r="X466" i="17"/>
  <c r="W466" i="17"/>
  <c r="AD465" i="17"/>
  <c r="X465" i="17"/>
  <c r="W465" i="17"/>
  <c r="AC465" i="17" s="1"/>
  <c r="AD464" i="17"/>
  <c r="X464" i="17"/>
  <c r="W464" i="17"/>
  <c r="AC464" i="17" s="1"/>
  <c r="AD463" i="17"/>
  <c r="X463" i="17"/>
  <c r="W463" i="17"/>
  <c r="AD462" i="17"/>
  <c r="X462" i="17"/>
  <c r="W462" i="17"/>
  <c r="AD461" i="17"/>
  <c r="X461" i="17"/>
  <c r="W461" i="17"/>
  <c r="AC461" i="17" s="1"/>
  <c r="AD460" i="17"/>
  <c r="X460" i="17"/>
  <c r="W460" i="17"/>
  <c r="AC460" i="17" s="1"/>
  <c r="AD459" i="17"/>
  <c r="X459" i="17"/>
  <c r="W459" i="17"/>
  <c r="AD458" i="17"/>
  <c r="X458" i="17"/>
  <c r="W458" i="17"/>
  <c r="AD457" i="17"/>
  <c r="X457" i="17"/>
  <c r="W457" i="17"/>
  <c r="AD456" i="17"/>
  <c r="X456" i="17"/>
  <c r="W456" i="17"/>
  <c r="AC456" i="17" s="1"/>
  <c r="AD455" i="17"/>
  <c r="X455" i="17"/>
  <c r="W455" i="17"/>
  <c r="AD454" i="17"/>
  <c r="X454" i="17"/>
  <c r="W454" i="17"/>
  <c r="AD453" i="17"/>
  <c r="X453" i="17"/>
  <c r="W453" i="17"/>
  <c r="AD452" i="17"/>
  <c r="X452" i="17"/>
  <c r="W452" i="17"/>
  <c r="AC452" i="17" s="1"/>
  <c r="AD451" i="17"/>
  <c r="X451" i="17"/>
  <c r="W451" i="17"/>
  <c r="AD450" i="17"/>
  <c r="X450" i="17"/>
  <c r="W450" i="17"/>
  <c r="AD449" i="17"/>
  <c r="X449" i="17"/>
  <c r="W449" i="17"/>
  <c r="AD448" i="17"/>
  <c r="X448" i="17"/>
  <c r="W448" i="17"/>
  <c r="AC448" i="17" s="1"/>
  <c r="AD447" i="17"/>
  <c r="X447" i="17"/>
  <c r="W447" i="17"/>
  <c r="AD446" i="17"/>
  <c r="X446" i="17"/>
  <c r="W446" i="17"/>
  <c r="AD445" i="17"/>
  <c r="X445" i="17"/>
  <c r="W445" i="17"/>
  <c r="AD444" i="17"/>
  <c r="X444" i="17"/>
  <c r="W444" i="17"/>
  <c r="AC444" i="17" s="1"/>
  <c r="AD443" i="17"/>
  <c r="X443" i="17"/>
  <c r="W443" i="17"/>
  <c r="AD442" i="17"/>
  <c r="X442" i="17"/>
  <c r="W442" i="17"/>
  <c r="AD441" i="17"/>
  <c r="X441" i="17"/>
  <c r="W441" i="17"/>
  <c r="AD440" i="17"/>
  <c r="X440" i="17"/>
  <c r="W440" i="17"/>
  <c r="AC440" i="17" s="1"/>
  <c r="AD439" i="17"/>
  <c r="X439" i="17"/>
  <c r="W439" i="17"/>
  <c r="AD438" i="17"/>
  <c r="X438" i="17"/>
  <c r="W438" i="17"/>
  <c r="AD437" i="17"/>
  <c r="X437" i="17"/>
  <c r="W437" i="17"/>
  <c r="AD436" i="17"/>
  <c r="X436" i="17"/>
  <c r="W436" i="17"/>
  <c r="AC436" i="17" s="1"/>
  <c r="AD435" i="17"/>
  <c r="X435" i="17"/>
  <c r="W435" i="17"/>
  <c r="AD434" i="17"/>
  <c r="X434" i="17"/>
  <c r="W434" i="17"/>
  <c r="AD433" i="17"/>
  <c r="X433" i="17"/>
  <c r="W433" i="17"/>
  <c r="AD432" i="17"/>
  <c r="X432" i="17"/>
  <c r="W432" i="17"/>
  <c r="AC432" i="17" s="1"/>
  <c r="AD431" i="17"/>
  <c r="X431" i="17"/>
  <c r="W431" i="17"/>
  <c r="AD430" i="17"/>
  <c r="X430" i="17"/>
  <c r="W430" i="17"/>
  <c r="AD429" i="17"/>
  <c r="X429" i="17"/>
  <c r="W429" i="17"/>
  <c r="AD428" i="17"/>
  <c r="X428" i="17"/>
  <c r="W428" i="17"/>
  <c r="AC428" i="17" s="1"/>
  <c r="AD427" i="17"/>
  <c r="X427" i="17"/>
  <c r="W427" i="17"/>
  <c r="AD426" i="17"/>
  <c r="X426" i="17"/>
  <c r="W426" i="17"/>
  <c r="AD425" i="17"/>
  <c r="X425" i="17"/>
  <c r="W425" i="17"/>
  <c r="AD424" i="17"/>
  <c r="X424" i="17"/>
  <c r="W424" i="17"/>
  <c r="AC424" i="17" s="1"/>
  <c r="AD423" i="17"/>
  <c r="X423" i="17"/>
  <c r="W423" i="17"/>
  <c r="AD422" i="17"/>
  <c r="X422" i="17"/>
  <c r="W422" i="17"/>
  <c r="AD421" i="17"/>
  <c r="X421" i="17"/>
  <c r="W421" i="17"/>
  <c r="AE420" i="17"/>
  <c r="V420" i="17"/>
  <c r="AB420" i="17" s="1"/>
  <c r="AE419" i="17"/>
  <c r="V419" i="17"/>
  <c r="AB419" i="17" s="1"/>
  <c r="AE418" i="17"/>
  <c r="V418" i="17"/>
  <c r="AB418" i="17" s="1"/>
  <c r="AE417" i="17"/>
  <c r="AB417" i="17"/>
  <c r="V417" i="17"/>
  <c r="AE416" i="17"/>
  <c r="V416" i="17"/>
  <c r="AB416" i="17" s="1"/>
  <c r="AE415" i="17"/>
  <c r="V415" i="17"/>
  <c r="AB415" i="17" s="1"/>
  <c r="AE414" i="17"/>
  <c r="V414" i="17"/>
  <c r="AB414" i="17" s="1"/>
  <c r="AE413" i="17"/>
  <c r="AB413" i="17"/>
  <c r="V413" i="17"/>
  <c r="AE412" i="17"/>
  <c r="V412" i="17"/>
  <c r="AB412" i="17" s="1"/>
  <c r="AE411" i="17"/>
  <c r="V411" i="17"/>
  <c r="AB411" i="17" s="1"/>
  <c r="AE410" i="17"/>
  <c r="V410" i="17"/>
  <c r="AB410" i="17" s="1"/>
  <c r="AE409" i="17"/>
  <c r="AB409" i="17"/>
  <c r="V409" i="17"/>
  <c r="AE408" i="17"/>
  <c r="V408" i="17"/>
  <c r="AB408" i="17" s="1"/>
  <c r="AE407" i="17"/>
  <c r="V407" i="17"/>
  <c r="AB407" i="17" s="1"/>
  <c r="AE406" i="17"/>
  <c r="V406" i="17"/>
  <c r="AB406" i="17" s="1"/>
  <c r="AE405" i="17"/>
  <c r="V405" i="17"/>
  <c r="AB405" i="17" s="1"/>
  <c r="AE404" i="17"/>
  <c r="V404" i="17"/>
  <c r="AB404" i="17" s="1"/>
  <c r="AE403" i="17"/>
  <c r="AB403" i="17"/>
  <c r="V403" i="17"/>
  <c r="AE402" i="17"/>
  <c r="V402" i="17"/>
  <c r="AB402" i="17" s="1"/>
  <c r="AE401" i="17"/>
  <c r="AB401" i="17"/>
  <c r="V401" i="17"/>
  <c r="AE400" i="17"/>
  <c r="V400" i="17"/>
  <c r="AB400" i="17" s="1"/>
  <c r="AE399" i="17"/>
  <c r="V399" i="17"/>
  <c r="AB399" i="17" s="1"/>
  <c r="AE398" i="17"/>
  <c r="V398" i="17"/>
  <c r="AB398" i="17" s="1"/>
  <c r="AE397" i="17"/>
  <c r="V397" i="17"/>
  <c r="AB397" i="17" s="1"/>
  <c r="AD396" i="17"/>
  <c r="X396" i="17"/>
  <c r="W396" i="17"/>
  <c r="AC396" i="17" s="1"/>
  <c r="AD395" i="17"/>
  <c r="X395" i="17"/>
  <c r="W395" i="17"/>
  <c r="AD394" i="17"/>
  <c r="X394" i="17"/>
  <c r="W394" i="17"/>
  <c r="AC394" i="17" s="1"/>
  <c r="AD393" i="17"/>
  <c r="X393" i="17"/>
  <c r="W393" i="17"/>
  <c r="AD392" i="17"/>
  <c r="X392" i="17"/>
  <c r="W392" i="17"/>
  <c r="AC392" i="17" s="1"/>
  <c r="AD391" i="17"/>
  <c r="X391" i="17"/>
  <c r="W391" i="17"/>
  <c r="AD390" i="17"/>
  <c r="X390" i="17"/>
  <c r="W390" i="17"/>
  <c r="AC390" i="17" s="1"/>
  <c r="AD389" i="17"/>
  <c r="X389" i="17"/>
  <c r="W389" i="17"/>
  <c r="AD388" i="17"/>
  <c r="X388" i="17"/>
  <c r="W388" i="17"/>
  <c r="AC388" i="17" s="1"/>
  <c r="AD387" i="17"/>
  <c r="X387" i="17"/>
  <c r="W387" i="17"/>
  <c r="AD386" i="17"/>
  <c r="X386" i="17"/>
  <c r="W386" i="17"/>
  <c r="AC386" i="17" s="1"/>
  <c r="AD385" i="17"/>
  <c r="X385" i="17"/>
  <c r="W385" i="17"/>
  <c r="AD384" i="17"/>
  <c r="X384" i="17"/>
  <c r="W384" i="17"/>
  <c r="AC384" i="17" s="1"/>
  <c r="AD383" i="17"/>
  <c r="X383" i="17"/>
  <c r="W383" i="17"/>
  <c r="AC383" i="17" s="1"/>
  <c r="AD382" i="17"/>
  <c r="X382" i="17"/>
  <c r="W382" i="17"/>
  <c r="AC382" i="17" s="1"/>
  <c r="AD381" i="17"/>
  <c r="X381" i="17"/>
  <c r="W381" i="17"/>
  <c r="AD380" i="17"/>
  <c r="X380" i="17"/>
  <c r="W380" i="17"/>
  <c r="AC380" i="17" s="1"/>
  <c r="AD379" i="17"/>
  <c r="X379" i="17"/>
  <c r="W379" i="17"/>
  <c r="AC379" i="17" s="1"/>
  <c r="AD378" i="17"/>
  <c r="X378" i="17"/>
  <c r="W378" i="17"/>
  <c r="AC378" i="17" s="1"/>
  <c r="AD377" i="17"/>
  <c r="X377" i="17"/>
  <c r="W377" i="17"/>
  <c r="AC377" i="17" s="1"/>
  <c r="AD376" i="17"/>
  <c r="X376" i="17"/>
  <c r="W376" i="17"/>
  <c r="AC376" i="17" s="1"/>
  <c r="AD375" i="17"/>
  <c r="X375" i="17"/>
  <c r="W375" i="17"/>
  <c r="AC375" i="17" s="1"/>
  <c r="AD374" i="17"/>
  <c r="X374" i="17"/>
  <c r="W374" i="17"/>
  <c r="AC374" i="17" s="1"/>
  <c r="AD373" i="17"/>
  <c r="X373" i="17"/>
  <c r="W373" i="17"/>
  <c r="AD372" i="17"/>
  <c r="X372" i="17"/>
  <c r="W372" i="17"/>
  <c r="AC372" i="17" s="1"/>
  <c r="AD371" i="17"/>
  <c r="X371" i="17"/>
  <c r="W371" i="17"/>
  <c r="AC371" i="17" s="1"/>
  <c r="AD370" i="17"/>
  <c r="X370" i="17"/>
  <c r="W370" i="17"/>
  <c r="AC370" i="17" s="1"/>
  <c r="AD369" i="17"/>
  <c r="X369" i="17"/>
  <c r="W369" i="17"/>
  <c r="AC369" i="17" s="1"/>
  <c r="AD368" i="17"/>
  <c r="X368" i="17"/>
  <c r="W368" i="17"/>
  <c r="AC368" i="17" s="1"/>
  <c r="AD367" i="17"/>
  <c r="X367" i="17"/>
  <c r="W367" i="17"/>
  <c r="AC367" i="17" s="1"/>
  <c r="AD366" i="17"/>
  <c r="X366" i="17"/>
  <c r="W366" i="17"/>
  <c r="AC366" i="17" s="1"/>
  <c r="AD365" i="17"/>
  <c r="X365" i="17"/>
  <c r="W365" i="17"/>
  <c r="AC365" i="17" s="1"/>
  <c r="AD364" i="17"/>
  <c r="X364" i="17"/>
  <c r="W364" i="17"/>
  <c r="AC364" i="17" s="1"/>
  <c r="AD363" i="17"/>
  <c r="X363" i="17"/>
  <c r="W363" i="17"/>
  <c r="AC363" i="17" s="1"/>
  <c r="AD362" i="17"/>
  <c r="X362" i="17"/>
  <c r="W362" i="17"/>
  <c r="AC362" i="17" s="1"/>
  <c r="AD361" i="17"/>
  <c r="X361" i="17"/>
  <c r="W361" i="17"/>
  <c r="AC361" i="17" s="1"/>
  <c r="AD360" i="17"/>
  <c r="X360" i="17"/>
  <c r="W360" i="17"/>
  <c r="AC360" i="17" s="1"/>
  <c r="AD359" i="17"/>
  <c r="X359" i="17"/>
  <c r="W359" i="17"/>
  <c r="AC359" i="17" s="1"/>
  <c r="AD358" i="17"/>
  <c r="X358" i="17"/>
  <c r="W358" i="17"/>
  <c r="AC358" i="17" s="1"/>
  <c r="AD357" i="17"/>
  <c r="X357" i="17"/>
  <c r="W357" i="17"/>
  <c r="AC357" i="17" s="1"/>
  <c r="AD356" i="17"/>
  <c r="X356" i="17"/>
  <c r="W356" i="17"/>
  <c r="AC356" i="17" s="1"/>
  <c r="AE355" i="17"/>
  <c r="V355" i="17"/>
  <c r="AB355" i="17" s="1"/>
  <c r="AE354" i="17"/>
  <c r="V354" i="17"/>
  <c r="AB354" i="17" s="1"/>
  <c r="AE353" i="17"/>
  <c r="V353" i="17"/>
  <c r="AB353" i="17" s="1"/>
  <c r="AE352" i="17"/>
  <c r="V352" i="17"/>
  <c r="AB352" i="17" s="1"/>
  <c r="AE351" i="17"/>
  <c r="V351" i="17"/>
  <c r="AB351" i="17" s="1"/>
  <c r="AE350" i="17"/>
  <c r="V350" i="17"/>
  <c r="AB350" i="17" s="1"/>
  <c r="AE349" i="17"/>
  <c r="V349" i="17"/>
  <c r="AB349" i="17" s="1"/>
  <c r="AE348" i="17"/>
  <c r="AB348" i="17"/>
  <c r="V348" i="17"/>
  <c r="AE347" i="17"/>
  <c r="V347" i="17"/>
  <c r="AB347" i="17" s="1"/>
  <c r="AE346" i="17"/>
  <c r="V346" i="17"/>
  <c r="AB346" i="17" s="1"/>
  <c r="AE345" i="17"/>
  <c r="V345" i="17"/>
  <c r="AB345" i="17" s="1"/>
  <c r="AE344" i="17"/>
  <c r="V344" i="17"/>
  <c r="AB344" i="17" s="1"/>
  <c r="AE343" i="17"/>
  <c r="V343" i="17"/>
  <c r="AB343" i="17" s="1"/>
  <c r="AE342" i="17"/>
  <c r="V342" i="17"/>
  <c r="AB342" i="17" s="1"/>
  <c r="AE341" i="17"/>
  <c r="V341" i="17"/>
  <c r="AB341" i="17" s="1"/>
  <c r="AE340" i="17"/>
  <c r="V340" i="17"/>
  <c r="AB340" i="17" s="1"/>
  <c r="AE339" i="17"/>
  <c r="V339" i="17"/>
  <c r="AB339" i="17" s="1"/>
  <c r="AE338" i="17"/>
  <c r="V338" i="17"/>
  <c r="AB338" i="17" s="1"/>
  <c r="AE337" i="17"/>
  <c r="V337" i="17"/>
  <c r="AB337" i="17" s="1"/>
  <c r="AE336" i="17"/>
  <c r="V336" i="17"/>
  <c r="AB336" i="17" s="1"/>
  <c r="AE335" i="17"/>
  <c r="V335" i="17"/>
  <c r="AB335" i="17" s="1"/>
  <c r="AE334" i="17"/>
  <c r="V334" i="17"/>
  <c r="AB334" i="17" s="1"/>
  <c r="AE333" i="17"/>
  <c r="V333" i="17"/>
  <c r="AB333" i="17" s="1"/>
  <c r="AE332" i="17"/>
  <c r="V332" i="17"/>
  <c r="AB332" i="17" s="1"/>
  <c r="AE331" i="17"/>
  <c r="V331" i="17"/>
  <c r="AB331" i="17" s="1"/>
  <c r="AE330" i="17"/>
  <c r="V330" i="17"/>
  <c r="AB330" i="17" s="1"/>
  <c r="AE329" i="17"/>
  <c r="V329" i="17"/>
  <c r="AB329" i="17" s="1"/>
  <c r="AE328" i="17"/>
  <c r="V328" i="17"/>
  <c r="AB328" i="17" s="1"/>
  <c r="AE327" i="17"/>
  <c r="V327" i="17"/>
  <c r="AB327" i="17" s="1"/>
  <c r="AE326" i="17"/>
  <c r="V326" i="17"/>
  <c r="AB326" i="17" s="1"/>
  <c r="AE325" i="17"/>
  <c r="V325" i="17"/>
  <c r="AB325" i="17" s="1"/>
  <c r="AD324" i="17"/>
  <c r="X324" i="17"/>
  <c r="W324" i="17"/>
  <c r="AD323" i="17"/>
  <c r="X323" i="17"/>
  <c r="W323" i="17"/>
  <c r="AD322" i="17"/>
  <c r="X322" i="17"/>
  <c r="W322" i="17"/>
  <c r="AD321" i="17"/>
  <c r="X321" i="17"/>
  <c r="W321" i="17"/>
  <c r="AD320" i="17"/>
  <c r="X320" i="17"/>
  <c r="W320" i="17"/>
  <c r="AD319" i="17"/>
  <c r="X319" i="17"/>
  <c r="W319" i="17"/>
  <c r="AD318" i="17"/>
  <c r="X318" i="17"/>
  <c r="W318" i="17"/>
  <c r="AD317" i="17"/>
  <c r="X317" i="17"/>
  <c r="W317" i="17"/>
  <c r="AD316" i="17"/>
  <c r="X316" i="17"/>
  <c r="W316" i="17"/>
  <c r="AD315" i="17"/>
  <c r="X315" i="17"/>
  <c r="W315" i="17"/>
  <c r="AD314" i="17"/>
  <c r="X314" i="17"/>
  <c r="W314" i="17"/>
  <c r="AD313" i="17"/>
  <c r="X313" i="17"/>
  <c r="W313" i="17"/>
  <c r="AD312" i="17"/>
  <c r="X312" i="17"/>
  <c r="W312" i="17"/>
  <c r="AD311" i="17"/>
  <c r="X311" i="17"/>
  <c r="W311" i="17"/>
  <c r="AD310" i="17"/>
  <c r="X310" i="17"/>
  <c r="W310" i="17"/>
  <c r="AD309" i="17"/>
  <c r="X309" i="17"/>
  <c r="W309" i="17"/>
  <c r="AD308" i="17"/>
  <c r="X308" i="17"/>
  <c r="W308" i="17"/>
  <c r="AD307" i="17"/>
  <c r="X307" i="17"/>
  <c r="W307" i="17"/>
  <c r="X299" i="16"/>
  <c r="W299" i="16"/>
  <c r="V299" i="16"/>
  <c r="X298" i="16"/>
  <c r="W298" i="16"/>
  <c r="V298" i="16"/>
  <c r="X297" i="16"/>
  <c r="W297" i="16"/>
  <c r="V297" i="16"/>
  <c r="X296" i="16"/>
  <c r="W296" i="16"/>
  <c r="V296" i="16"/>
  <c r="X295" i="16"/>
  <c r="W295" i="16"/>
  <c r="V295" i="16"/>
  <c r="X294" i="16"/>
  <c r="W294" i="16"/>
  <c r="V294" i="16"/>
  <c r="X293" i="16"/>
  <c r="W293" i="16"/>
  <c r="V293" i="16"/>
  <c r="X292" i="16"/>
  <c r="W292" i="16"/>
  <c r="V292" i="16"/>
  <c r="X291" i="16"/>
  <c r="W291" i="16"/>
  <c r="V291" i="16"/>
  <c r="X290" i="16"/>
  <c r="W290" i="16"/>
  <c r="V290" i="16"/>
  <c r="X289" i="16"/>
  <c r="W289" i="16"/>
  <c r="V289" i="16"/>
  <c r="X288" i="16"/>
  <c r="W288" i="16"/>
  <c r="V288" i="16"/>
  <c r="X287" i="16"/>
  <c r="W287" i="16"/>
  <c r="V287" i="16"/>
  <c r="X286" i="16"/>
  <c r="W286" i="16"/>
  <c r="V286" i="16"/>
  <c r="X285" i="16"/>
  <c r="W285" i="16"/>
  <c r="V285" i="16"/>
  <c r="X284" i="16"/>
  <c r="W284" i="16"/>
  <c r="V284" i="16"/>
  <c r="X283" i="16"/>
  <c r="W283" i="16"/>
  <c r="V283" i="16"/>
  <c r="X282" i="16"/>
  <c r="W282" i="16"/>
  <c r="V282" i="16"/>
  <c r="X281" i="16"/>
  <c r="W281" i="16"/>
  <c r="V281" i="16"/>
  <c r="X280" i="16"/>
  <c r="W280" i="16"/>
  <c r="V280" i="16"/>
  <c r="X279" i="16"/>
  <c r="W279" i="16"/>
  <c r="V279" i="16"/>
  <c r="X278" i="16"/>
  <c r="W278" i="16"/>
  <c r="V278" i="16"/>
  <c r="X277" i="16"/>
  <c r="W277" i="16"/>
  <c r="V277" i="16"/>
  <c r="X276" i="16"/>
  <c r="W276" i="16"/>
  <c r="V276" i="16"/>
  <c r="X275" i="16"/>
  <c r="W275" i="16"/>
  <c r="V275" i="16"/>
  <c r="X274" i="16"/>
  <c r="W274" i="16"/>
  <c r="V274" i="16"/>
  <c r="X273" i="16"/>
  <c r="W273" i="16"/>
  <c r="V273" i="16"/>
  <c r="X272" i="16"/>
  <c r="W272" i="16"/>
  <c r="V272" i="16"/>
  <c r="X271" i="16"/>
  <c r="W271" i="16"/>
  <c r="V271" i="16"/>
  <c r="X270" i="16"/>
  <c r="W270" i="16"/>
  <c r="V270" i="16"/>
  <c r="X269" i="16"/>
  <c r="W269" i="16"/>
  <c r="V269" i="16"/>
  <c r="X268" i="16"/>
  <c r="W268" i="16"/>
  <c r="V268" i="16"/>
  <c r="X267" i="16"/>
  <c r="W267" i="16"/>
  <c r="V267" i="16"/>
  <c r="X266" i="16"/>
  <c r="W266" i="16"/>
  <c r="V266" i="16"/>
  <c r="X265" i="16"/>
  <c r="W265" i="16"/>
  <c r="V265" i="16"/>
  <c r="X264" i="16"/>
  <c r="W264" i="16"/>
  <c r="V264" i="16"/>
  <c r="X263" i="16"/>
  <c r="W263" i="16"/>
  <c r="V263" i="16"/>
  <c r="X262" i="16"/>
  <c r="W262" i="16"/>
  <c r="V262" i="16"/>
  <c r="X261" i="16"/>
  <c r="W261" i="16"/>
  <c r="V261" i="16"/>
  <c r="X260" i="16"/>
  <c r="W260" i="16"/>
  <c r="V260" i="16"/>
  <c r="X259" i="16"/>
  <c r="W259" i="16"/>
  <c r="V259" i="16"/>
  <c r="X258" i="16"/>
  <c r="W258" i="16"/>
  <c r="V258" i="16"/>
  <c r="X257" i="16"/>
  <c r="W257" i="16"/>
  <c r="V257" i="16"/>
  <c r="X256" i="16"/>
  <c r="W256" i="16"/>
  <c r="V256" i="16"/>
  <c r="X255" i="16"/>
  <c r="W255" i="16"/>
  <c r="V255" i="16"/>
  <c r="X254" i="16"/>
  <c r="W254" i="16"/>
  <c r="V254" i="16"/>
  <c r="X253" i="16"/>
  <c r="W253" i="16"/>
  <c r="V253" i="16"/>
  <c r="X252" i="16"/>
  <c r="W252" i="16"/>
  <c r="V252" i="16"/>
  <c r="X251" i="16"/>
  <c r="W251" i="16"/>
  <c r="V251" i="16"/>
  <c r="X250" i="16"/>
  <c r="W250" i="16"/>
  <c r="V250" i="16"/>
  <c r="X249" i="16"/>
  <c r="W249" i="16"/>
  <c r="V249" i="16"/>
  <c r="X248" i="16"/>
  <c r="W248" i="16"/>
  <c r="V248" i="16"/>
  <c r="X247" i="16"/>
  <c r="W247" i="16"/>
  <c r="V247" i="16"/>
  <c r="X246" i="16"/>
  <c r="W246" i="16"/>
  <c r="V246" i="16"/>
  <c r="X245" i="16"/>
  <c r="W245" i="16"/>
  <c r="V245" i="16"/>
  <c r="X244" i="16"/>
  <c r="W244" i="16"/>
  <c r="V244" i="16"/>
  <c r="X243" i="16"/>
  <c r="W243" i="16"/>
  <c r="V243" i="16"/>
  <c r="X227" i="17"/>
  <c r="W227" i="17"/>
  <c r="AC227" i="17" s="1"/>
  <c r="V227" i="17"/>
  <c r="AB227" i="17" s="1"/>
  <c r="X226" i="17"/>
  <c r="W226" i="17"/>
  <c r="AC226" i="17" s="1"/>
  <c r="V226" i="17"/>
  <c r="AB226" i="17" s="1"/>
  <c r="X225" i="17"/>
  <c r="W225" i="17"/>
  <c r="AC225" i="17" s="1"/>
  <c r="V225" i="17"/>
  <c r="AB225" i="17" s="1"/>
  <c r="X224" i="17"/>
  <c r="W224" i="17"/>
  <c r="AC224" i="17" s="1"/>
  <c r="V224" i="17"/>
  <c r="AB224" i="17" s="1"/>
  <c r="X223" i="17"/>
  <c r="W223" i="17"/>
  <c r="AC223" i="17" s="1"/>
  <c r="V223" i="17"/>
  <c r="AB223" i="17" s="1"/>
  <c r="X222" i="17"/>
  <c r="W222" i="17"/>
  <c r="AC222" i="17" s="1"/>
  <c r="V222" i="17"/>
  <c r="AB222" i="17" s="1"/>
  <c r="X221" i="17"/>
  <c r="W221" i="17"/>
  <c r="AC221" i="17" s="1"/>
  <c r="V221" i="17"/>
  <c r="AB221" i="17" s="1"/>
  <c r="X220" i="17"/>
  <c r="W220" i="17"/>
  <c r="V220" i="17"/>
  <c r="AB220" i="17" s="1"/>
  <c r="X219" i="17"/>
  <c r="W219" i="17"/>
  <c r="V219" i="17"/>
  <c r="AB219" i="17" s="1"/>
  <c r="X218" i="17"/>
  <c r="W218" i="17"/>
  <c r="AC218" i="17" s="1"/>
  <c r="V218" i="17"/>
  <c r="AB218" i="17" s="1"/>
  <c r="X217" i="17"/>
  <c r="W217" i="17"/>
  <c r="AC217" i="17" s="1"/>
  <c r="V217" i="17"/>
  <c r="AB217" i="17" s="1"/>
  <c r="X216" i="17"/>
  <c r="W216" i="17"/>
  <c r="V216" i="17"/>
  <c r="AB216" i="17" s="1"/>
  <c r="X215" i="17"/>
  <c r="W215" i="17"/>
  <c r="V215" i="17"/>
  <c r="AB215" i="17" s="1"/>
  <c r="X214" i="17"/>
  <c r="W214" i="17"/>
  <c r="AC214" i="17" s="1"/>
  <c r="V214" i="17"/>
  <c r="AB214" i="17" s="1"/>
  <c r="X213" i="17"/>
  <c r="W213" i="17"/>
  <c r="AC213" i="17" s="1"/>
  <c r="V213" i="17"/>
  <c r="AB213" i="17" s="1"/>
  <c r="X212" i="17"/>
  <c r="W212" i="17"/>
  <c r="V212" i="17"/>
  <c r="AB212" i="17" s="1"/>
  <c r="AC211" i="17"/>
  <c r="X211" i="17"/>
  <c r="W211" i="17"/>
  <c r="V211" i="17"/>
  <c r="AB211" i="17" s="1"/>
  <c r="X210" i="17"/>
  <c r="W210" i="17"/>
  <c r="V210" i="17"/>
  <c r="AB210" i="17" s="1"/>
  <c r="X209" i="17"/>
  <c r="W209" i="17"/>
  <c r="V209" i="17"/>
  <c r="AB209" i="17" s="1"/>
  <c r="X208" i="17"/>
  <c r="W208" i="17"/>
  <c r="AC208" i="17" s="1"/>
  <c r="V208" i="17"/>
  <c r="AB208" i="17" s="1"/>
  <c r="X207" i="17"/>
  <c r="AC207" i="17" s="1"/>
  <c r="W207" i="17"/>
  <c r="V207" i="17"/>
  <c r="AB207" i="17" s="1"/>
  <c r="X206" i="17"/>
  <c r="W206" i="17"/>
  <c r="V206" i="17"/>
  <c r="AB206" i="17" s="1"/>
  <c r="X205" i="17"/>
  <c r="W205" i="17"/>
  <c r="V205" i="17"/>
  <c r="AB205" i="17" s="1"/>
  <c r="X204" i="17"/>
  <c r="W204" i="17"/>
  <c r="AC204" i="17" s="1"/>
  <c r="V204" i="17"/>
  <c r="AB204" i="17" s="1"/>
  <c r="X107" i="17"/>
  <c r="AC107" i="17" s="1"/>
  <c r="W107" i="17"/>
  <c r="V107" i="17"/>
  <c r="AB107" i="17" s="1"/>
  <c r="X106" i="17"/>
  <c r="W106" i="17"/>
  <c r="V106" i="17"/>
  <c r="AB106" i="17" s="1"/>
  <c r="X105" i="17"/>
  <c r="W105" i="17"/>
  <c r="V105" i="17"/>
  <c r="AB105" i="17" s="1"/>
  <c r="X104" i="17"/>
  <c r="W104" i="17"/>
  <c r="AC104" i="17" s="1"/>
  <c r="V104" i="17"/>
  <c r="AB104" i="17" s="1"/>
  <c r="X103" i="17"/>
  <c r="AC103" i="17" s="1"/>
  <c r="W103" i="17"/>
  <c r="V103" i="17"/>
  <c r="AB103" i="17" s="1"/>
  <c r="X102" i="17"/>
  <c r="W102" i="17"/>
  <c r="V102" i="17"/>
  <c r="AB102" i="17" s="1"/>
  <c r="X101" i="17"/>
  <c r="W101" i="17"/>
  <c r="V101" i="17"/>
  <c r="AB101" i="17" s="1"/>
  <c r="X100" i="17"/>
  <c r="W100" i="17"/>
  <c r="AC100" i="17" s="1"/>
  <c r="V100" i="17"/>
  <c r="AB100" i="17" s="1"/>
  <c r="X99" i="17"/>
  <c r="W99" i="17"/>
  <c r="V99" i="17"/>
  <c r="AB99" i="17" s="1"/>
  <c r="X98" i="17"/>
  <c r="W98" i="17"/>
  <c r="V98" i="17"/>
  <c r="AB98" i="17" s="1"/>
  <c r="X97" i="17"/>
  <c r="W97" i="17"/>
  <c r="AC97" i="17" s="1"/>
  <c r="V97" i="17"/>
  <c r="AB97" i="17" s="1"/>
  <c r="X96" i="17"/>
  <c r="W96" i="17"/>
  <c r="AC96" i="17" s="1"/>
  <c r="V96" i="17"/>
  <c r="AB96" i="17" s="1"/>
  <c r="X95" i="17"/>
  <c r="W95" i="17"/>
  <c r="V95" i="17"/>
  <c r="AB95" i="17" s="1"/>
  <c r="X94" i="17"/>
  <c r="W94" i="17"/>
  <c r="V94" i="17"/>
  <c r="AB94" i="17" s="1"/>
  <c r="X93" i="17"/>
  <c r="W93" i="17"/>
  <c r="AC93" i="17" s="1"/>
  <c r="V93" i="17"/>
  <c r="AB93" i="17" s="1"/>
  <c r="X92" i="17"/>
  <c r="W92" i="17"/>
  <c r="AC92" i="17" s="1"/>
  <c r="V92" i="17"/>
  <c r="AB92" i="17" s="1"/>
  <c r="X91" i="17"/>
  <c r="W91" i="17"/>
  <c r="V91" i="17"/>
  <c r="AB91" i="17" s="1"/>
  <c r="X90" i="17"/>
  <c r="W90" i="17"/>
  <c r="V90" i="17"/>
  <c r="AB90" i="17" s="1"/>
  <c r="X89" i="17"/>
  <c r="W89" i="17"/>
  <c r="AC89" i="17" s="1"/>
  <c r="V89" i="17"/>
  <c r="AB89" i="17" s="1"/>
  <c r="X88" i="17"/>
  <c r="W88" i="17"/>
  <c r="AC88" i="17" s="1"/>
  <c r="V88" i="17"/>
  <c r="AB88" i="17" s="1"/>
  <c r="X87" i="17"/>
  <c r="W87" i="17"/>
  <c r="V87" i="17"/>
  <c r="AB87" i="17" s="1"/>
  <c r="X86" i="17"/>
  <c r="W86" i="17"/>
  <c r="V86" i="17"/>
  <c r="AB86" i="17" s="1"/>
  <c r="X85" i="17"/>
  <c r="W85" i="17"/>
  <c r="AC85" i="17" s="1"/>
  <c r="V85" i="17"/>
  <c r="AB85" i="17" s="1"/>
  <c r="X84" i="17"/>
  <c r="W84" i="17"/>
  <c r="AC84" i="17" s="1"/>
  <c r="V84" i="17"/>
  <c r="AB84" i="17" s="1"/>
  <c r="X83" i="17"/>
  <c r="W83" i="17"/>
  <c r="V83" i="17"/>
  <c r="AB83" i="17" s="1"/>
  <c r="X82" i="17"/>
  <c r="W82" i="17"/>
  <c r="V82" i="17"/>
  <c r="AB82" i="17" s="1"/>
  <c r="X81" i="17"/>
  <c r="W81" i="17"/>
  <c r="AC81" i="17" s="1"/>
  <c r="V81" i="17"/>
  <c r="AB81" i="17" s="1"/>
  <c r="X80" i="17"/>
  <c r="W80" i="17"/>
  <c r="AC80" i="17" s="1"/>
  <c r="V80" i="17"/>
  <c r="AB80" i="17" s="1"/>
  <c r="X79" i="17"/>
  <c r="W79" i="17"/>
  <c r="V79" i="17"/>
  <c r="AB79" i="17" s="1"/>
  <c r="X78" i="17"/>
  <c r="W78" i="17"/>
  <c r="V78" i="17"/>
  <c r="AB78" i="17" s="1"/>
  <c r="X77" i="17"/>
  <c r="W77" i="17"/>
  <c r="AC77" i="17" s="1"/>
  <c r="V77" i="17"/>
  <c r="AB77" i="17" s="1"/>
  <c r="X76" i="17"/>
  <c r="W76" i="17"/>
  <c r="AC76" i="17" s="1"/>
  <c r="V76" i="17"/>
  <c r="AB76" i="17" s="1"/>
  <c r="X75" i="17"/>
  <c r="W75" i="17"/>
  <c r="V75" i="17"/>
  <c r="AB75" i="17" s="1"/>
  <c r="X74" i="17"/>
  <c r="W74" i="17"/>
  <c r="V74" i="17"/>
  <c r="AB74" i="17" s="1"/>
  <c r="X73" i="17"/>
  <c r="W73" i="17"/>
  <c r="AC73" i="17" s="1"/>
  <c r="V73" i="17"/>
  <c r="AB73" i="17" s="1"/>
  <c r="X72" i="17"/>
  <c r="W72" i="17"/>
  <c r="AC72" i="17" s="1"/>
  <c r="V72" i="17"/>
  <c r="AB72" i="17" s="1"/>
  <c r="X71" i="17"/>
  <c r="W71" i="17"/>
  <c r="V71" i="17"/>
  <c r="AB71" i="17" s="1"/>
  <c r="X70" i="17"/>
  <c r="W70" i="17"/>
  <c r="V70" i="17"/>
  <c r="AB70" i="17" s="1"/>
  <c r="X69" i="17"/>
  <c r="W69" i="17"/>
  <c r="AC69" i="17" s="1"/>
  <c r="V69" i="17"/>
  <c r="AB69" i="17" s="1"/>
  <c r="X68" i="17"/>
  <c r="W68" i="17"/>
  <c r="AC68" i="17" s="1"/>
  <c r="V68" i="17"/>
  <c r="AB68" i="17" s="1"/>
  <c r="X67" i="17"/>
  <c r="W67" i="17"/>
  <c r="V67" i="17"/>
  <c r="AB67" i="17" s="1"/>
  <c r="X66" i="17"/>
  <c r="W66" i="17"/>
  <c r="V66" i="17"/>
  <c r="AB66" i="17" s="1"/>
  <c r="X65" i="17"/>
  <c r="W65" i="17"/>
  <c r="AC65" i="17" s="1"/>
  <c r="V65" i="17"/>
  <c r="AB65" i="17" s="1"/>
  <c r="X64" i="17"/>
  <c r="W64" i="17"/>
  <c r="AC64" i="17" s="1"/>
  <c r="V64" i="17"/>
  <c r="AB64" i="17" s="1"/>
  <c r="X63" i="17"/>
  <c r="W63" i="17"/>
  <c r="V63" i="17"/>
  <c r="AB63" i="17" s="1"/>
  <c r="AB62" i="17"/>
  <c r="X62" i="17"/>
  <c r="W62" i="17"/>
  <c r="V62" i="17"/>
  <c r="AC61" i="17"/>
  <c r="X61" i="17"/>
  <c r="W61" i="17"/>
  <c r="V61" i="17"/>
  <c r="AB61" i="17" s="1"/>
  <c r="AB60" i="17"/>
  <c r="X60" i="17"/>
  <c r="W60" i="17"/>
  <c r="V60" i="17"/>
  <c r="AC59" i="17"/>
  <c r="X59" i="17"/>
  <c r="W59" i="17"/>
  <c r="V59" i="17"/>
  <c r="AB59" i="17" s="1"/>
  <c r="AB58" i="17"/>
  <c r="X58" i="17"/>
  <c r="W58" i="17"/>
  <c r="V58" i="17"/>
  <c r="AB57" i="17"/>
  <c r="X57" i="17"/>
  <c r="W57" i="17"/>
  <c r="V57" i="17"/>
  <c r="AB56" i="17"/>
  <c r="X56" i="17"/>
  <c r="W56" i="17"/>
  <c r="V56" i="17"/>
  <c r="AB55" i="17"/>
  <c r="X55" i="17"/>
  <c r="W55" i="17"/>
  <c r="V55" i="17"/>
  <c r="AB54" i="17"/>
  <c r="X54" i="17"/>
  <c r="W54" i="17"/>
  <c r="V54" i="17"/>
  <c r="X53" i="17"/>
  <c r="W53" i="17"/>
  <c r="V53" i="17"/>
  <c r="AB53" i="17" s="1"/>
  <c r="AB52" i="17"/>
  <c r="X52" i="17"/>
  <c r="W52" i="17"/>
  <c r="V52" i="17"/>
  <c r="X51" i="17"/>
  <c r="W51" i="17"/>
  <c r="AC51" i="17" s="1"/>
  <c r="V51" i="17"/>
  <c r="AB51" i="17" s="1"/>
  <c r="M40" i="5"/>
  <c r="M39" i="5"/>
  <c r="M38" i="5"/>
  <c r="AJ9" i="17"/>
  <c r="AI9" i="17"/>
  <c r="AJ4" i="17"/>
  <c r="AI4" i="17"/>
  <c r="AD668" i="17"/>
  <c r="AD667" i="17"/>
  <c r="AD666" i="17"/>
  <c r="AD665" i="17"/>
  <c r="AD664" i="17"/>
  <c r="AD663" i="17"/>
  <c r="AD662" i="17"/>
  <c r="AD661" i="17"/>
  <c r="AD660" i="17"/>
  <c r="AD659" i="17"/>
  <c r="AD658" i="17"/>
  <c r="AD657" i="17"/>
  <c r="AD656" i="17"/>
  <c r="AD655" i="17"/>
  <c r="AD654" i="17"/>
  <c r="AD653" i="17"/>
  <c r="AD652" i="17"/>
  <c r="AD651" i="17"/>
  <c r="AD650" i="17"/>
  <c r="AD649" i="17"/>
  <c r="AD648" i="17"/>
  <c r="AD647" i="17"/>
  <c r="AD646" i="17"/>
  <c r="AD645" i="17"/>
  <c r="AD644" i="17"/>
  <c r="AD643" i="17"/>
  <c r="AD642" i="17"/>
  <c r="AD641" i="17"/>
  <c r="AD640" i="17"/>
  <c r="AD639" i="17"/>
  <c r="AD638" i="17"/>
  <c r="AD637" i="17"/>
  <c r="AD636" i="17"/>
  <c r="AD635" i="17"/>
  <c r="AD634" i="17"/>
  <c r="AD633" i="17"/>
  <c r="AD632" i="17"/>
  <c r="AD631" i="17"/>
  <c r="AD630" i="17"/>
  <c r="AD629" i="17"/>
  <c r="AD628" i="17"/>
  <c r="AD627" i="17"/>
  <c r="AD626" i="17"/>
  <c r="AD625" i="17"/>
  <c r="AD624" i="17"/>
  <c r="AD623" i="17"/>
  <c r="AD622" i="17"/>
  <c r="AD621" i="17"/>
  <c r="AD620" i="17"/>
  <c r="AD619" i="17"/>
  <c r="AD618" i="17"/>
  <c r="AD617" i="17"/>
  <c r="AD616" i="17"/>
  <c r="AD615" i="17"/>
  <c r="AD614" i="17"/>
  <c r="AD613" i="17"/>
  <c r="AD612" i="17"/>
  <c r="AD611" i="17"/>
  <c r="AD610" i="17"/>
  <c r="AD609" i="17"/>
  <c r="AD608" i="17"/>
  <c r="AD607" i="17"/>
  <c r="AD606" i="17"/>
  <c r="AD605" i="17"/>
  <c r="AD604" i="17"/>
  <c r="AD603" i="17"/>
  <c r="AD602" i="17"/>
  <c r="AD601" i="17"/>
  <c r="AD600" i="17"/>
  <c r="AD599" i="17"/>
  <c r="AD598" i="17"/>
  <c r="AD597" i="17"/>
  <c r="AD596" i="17"/>
  <c r="AD595" i="17"/>
  <c r="AD594" i="17"/>
  <c r="AD593" i="17"/>
  <c r="AD592" i="17"/>
  <c r="AD591" i="17"/>
  <c r="AD590" i="17"/>
  <c r="AD589" i="17"/>
  <c r="AD588" i="17"/>
  <c r="AD587" i="17"/>
  <c r="AD586" i="17"/>
  <c r="AD585" i="17"/>
  <c r="AD584" i="17"/>
  <c r="AD583" i="17"/>
  <c r="AD582" i="17"/>
  <c r="AD581" i="17"/>
  <c r="AD580" i="17"/>
  <c r="AD579" i="17"/>
  <c r="AD578" i="17"/>
  <c r="AD577" i="17"/>
  <c r="AD576" i="17"/>
  <c r="AD575" i="17"/>
  <c r="AD574" i="17"/>
  <c r="AD573" i="17"/>
  <c r="AD572" i="17"/>
  <c r="AD571" i="17"/>
  <c r="AD570" i="17"/>
  <c r="AD569" i="17"/>
  <c r="AD568" i="17"/>
  <c r="AD567" i="17"/>
  <c r="AD566" i="17"/>
  <c r="AD565" i="17"/>
  <c r="AD564" i="17"/>
  <c r="AD563" i="17"/>
  <c r="AD562" i="17"/>
  <c r="AD561" i="17"/>
  <c r="AD560" i="17"/>
  <c r="AD559" i="17"/>
  <c r="AD558" i="17"/>
  <c r="AD557" i="17"/>
  <c r="AD556" i="17"/>
  <c r="AD555" i="17"/>
  <c r="AD554" i="17"/>
  <c r="AD553" i="17"/>
  <c r="AD552" i="17"/>
  <c r="AD551" i="17"/>
  <c r="AD550" i="17"/>
  <c r="AD549" i="17"/>
  <c r="AD548" i="17"/>
  <c r="AD547" i="17"/>
  <c r="AD546" i="17"/>
  <c r="AD545" i="17"/>
  <c r="AD544" i="17"/>
  <c r="AD543" i="17"/>
  <c r="AD542" i="17"/>
  <c r="AD541" i="17"/>
  <c r="AD540" i="17"/>
  <c r="AD539" i="17"/>
  <c r="AD538" i="17"/>
  <c r="AD537" i="17"/>
  <c r="AD536" i="17"/>
  <c r="AD535" i="17"/>
  <c r="AD534" i="17"/>
  <c r="AD533" i="17"/>
  <c r="AD532" i="17"/>
  <c r="AD531" i="17"/>
  <c r="AD530" i="17"/>
  <c r="AD529" i="17"/>
  <c r="AD528" i="17"/>
  <c r="AD527" i="17"/>
  <c r="AD526" i="17"/>
  <c r="AD525" i="17"/>
  <c r="AD524" i="17"/>
  <c r="AD523" i="17"/>
  <c r="AD522" i="17"/>
  <c r="AD521" i="17"/>
  <c r="AD520" i="17"/>
  <c r="AD306" i="17"/>
  <c r="AD305" i="17"/>
  <c r="AD304" i="17"/>
  <c r="AD303" i="17"/>
  <c r="AD302" i="17"/>
  <c r="AD301" i="17"/>
  <c r="AD300" i="17"/>
  <c r="AD299" i="17"/>
  <c r="AD298" i="17"/>
  <c r="AD297" i="17"/>
  <c r="AD296" i="17"/>
  <c r="AD295" i="17"/>
  <c r="AD294" i="17"/>
  <c r="AD293" i="17"/>
  <c r="AD292" i="17"/>
  <c r="AD291" i="17"/>
  <c r="AD290" i="17"/>
  <c r="AD289" i="17"/>
  <c r="AD288" i="17"/>
  <c r="AD287" i="17"/>
  <c r="AD286" i="17"/>
  <c r="AD285" i="17"/>
  <c r="AD284" i="17"/>
  <c r="AD283" i="17"/>
  <c r="AD282" i="17"/>
  <c r="AD281" i="17"/>
  <c r="AD280" i="17"/>
  <c r="AD279" i="17"/>
  <c r="AD278" i="17"/>
  <c r="AD277" i="17"/>
  <c r="AD276" i="17"/>
  <c r="AE275" i="17"/>
  <c r="AE274" i="17"/>
  <c r="AE273" i="17"/>
  <c r="AE272" i="17"/>
  <c r="AE271" i="17"/>
  <c r="AE270" i="17"/>
  <c r="AE269" i="17"/>
  <c r="AE268" i="17"/>
  <c r="AE267" i="17"/>
  <c r="AE266" i="17"/>
  <c r="AE265" i="17"/>
  <c r="AE264" i="17"/>
  <c r="AD263" i="17"/>
  <c r="AD262" i="17"/>
  <c r="AD261" i="17"/>
  <c r="AD260" i="17"/>
  <c r="AD259" i="17"/>
  <c r="AD258" i="17"/>
  <c r="AD257" i="17"/>
  <c r="AD256" i="17"/>
  <c r="AD255" i="17"/>
  <c r="AD254" i="17"/>
  <c r="AD253" i="17"/>
  <c r="AD252" i="17"/>
  <c r="AE251" i="17"/>
  <c r="AE250" i="17"/>
  <c r="AE249" i="17"/>
  <c r="AE248" i="17"/>
  <c r="AE247" i="17"/>
  <c r="AE246" i="17"/>
  <c r="AE245" i="17"/>
  <c r="AE244" i="17"/>
  <c r="AE243" i="17"/>
  <c r="AE242" i="17"/>
  <c r="AE241" i="17"/>
  <c r="AE240" i="17"/>
  <c r="AE239" i="17"/>
  <c r="AE238" i="17"/>
  <c r="AE237" i="17"/>
  <c r="AE236" i="17"/>
  <c r="AE235" i="17"/>
  <c r="AE234" i="17"/>
  <c r="AE233" i="17"/>
  <c r="AE232" i="17"/>
  <c r="AE231" i="17"/>
  <c r="AE230" i="17"/>
  <c r="AE229" i="17"/>
  <c r="AE228" i="17"/>
  <c r="AD191" i="17"/>
  <c r="AD190" i="17"/>
  <c r="AD189" i="17"/>
  <c r="AD188" i="17"/>
  <c r="AD187" i="17"/>
  <c r="AD186" i="17"/>
  <c r="AD185" i="17"/>
  <c r="AD184" i="17"/>
  <c r="AD183" i="17"/>
  <c r="AD182" i="17"/>
  <c r="AD181" i="17"/>
  <c r="AD180" i="17"/>
  <c r="AE167" i="17"/>
  <c r="AE166" i="17"/>
  <c r="AE165" i="17"/>
  <c r="AE164" i="17"/>
  <c r="AE163" i="17"/>
  <c r="AE162" i="17"/>
  <c r="AE161" i="17"/>
  <c r="AE160" i="17"/>
  <c r="AE159" i="17"/>
  <c r="AE158" i="17"/>
  <c r="AE157" i="17"/>
  <c r="AE156" i="17"/>
  <c r="AE155" i="17"/>
  <c r="AE154" i="17"/>
  <c r="AE153" i="17"/>
  <c r="AE152" i="17"/>
  <c r="AE151" i="17"/>
  <c r="AE150" i="17"/>
  <c r="AE149" i="17"/>
  <c r="AE148" i="17"/>
  <c r="AE147" i="17"/>
  <c r="AE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E133" i="17"/>
  <c r="AE132" i="17"/>
  <c r="AE131" i="17"/>
  <c r="AE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D25" i="17"/>
  <c r="AD24" i="17"/>
  <c r="AD23" i="17"/>
  <c r="AD22" i="17"/>
  <c r="AD21" i="17"/>
  <c r="AD20" i="17"/>
  <c r="AD19" i="17"/>
  <c r="AD18" i="17"/>
  <c r="AD17" i="17"/>
  <c r="AD16" i="17"/>
  <c r="AD15" i="17"/>
  <c r="AD14" i="17"/>
  <c r="V704" i="17"/>
  <c r="AB704" i="17" s="1"/>
  <c r="V703" i="17"/>
  <c r="AB703" i="17" s="1"/>
  <c r="V702" i="17"/>
  <c r="AB702" i="17" s="1"/>
  <c r="V701" i="17"/>
  <c r="AB701" i="17" s="1"/>
  <c r="V700" i="17"/>
  <c r="AB700" i="17" s="1"/>
  <c r="V699" i="17"/>
  <c r="AB699" i="17" s="1"/>
  <c r="V698" i="17"/>
  <c r="AB698" i="17" s="1"/>
  <c r="V697" i="17"/>
  <c r="AB697" i="17" s="1"/>
  <c r="V696" i="17"/>
  <c r="AB696" i="17" s="1"/>
  <c r="V695" i="17"/>
  <c r="AB695" i="17" s="1"/>
  <c r="V694" i="17"/>
  <c r="AB694" i="17" s="1"/>
  <c r="V693" i="17"/>
  <c r="AB693" i="17" s="1"/>
  <c r="V692" i="17"/>
  <c r="AB692" i="17" s="1"/>
  <c r="V691" i="17"/>
  <c r="AB691" i="17" s="1"/>
  <c r="V690" i="17"/>
  <c r="AB690" i="17" s="1"/>
  <c r="V689" i="17"/>
  <c r="AB689" i="17" s="1"/>
  <c r="V688" i="17"/>
  <c r="AB688" i="17" s="1"/>
  <c r="V687" i="17"/>
  <c r="AB687" i="17" s="1"/>
  <c r="V686" i="17"/>
  <c r="AB686" i="17" s="1"/>
  <c r="V685" i="17"/>
  <c r="AB685" i="17" s="1"/>
  <c r="V684" i="17"/>
  <c r="AB684" i="17" s="1"/>
  <c r="V683" i="17"/>
  <c r="AB683" i="17" s="1"/>
  <c r="V682" i="17"/>
  <c r="AB682" i="17" s="1"/>
  <c r="V681" i="17"/>
  <c r="AB681" i="17" s="1"/>
  <c r="V680" i="17"/>
  <c r="AB680" i="17" s="1"/>
  <c r="V679" i="17"/>
  <c r="AB679" i="17" s="1"/>
  <c r="V678" i="17"/>
  <c r="AB678" i="17" s="1"/>
  <c r="V677" i="17"/>
  <c r="AB677" i="17" s="1"/>
  <c r="V676" i="17"/>
  <c r="AB676" i="17" s="1"/>
  <c r="V675" i="17"/>
  <c r="AB675" i="17" s="1"/>
  <c r="V674" i="17"/>
  <c r="AB674" i="17" s="1"/>
  <c r="V673" i="17"/>
  <c r="AB673" i="17" s="1"/>
  <c r="V672" i="17"/>
  <c r="AB672" i="17" s="1"/>
  <c r="V671" i="17"/>
  <c r="AB671" i="17" s="1"/>
  <c r="V670" i="17"/>
  <c r="AB670" i="17" s="1"/>
  <c r="V669" i="17"/>
  <c r="AB669" i="17" s="1"/>
  <c r="X668" i="17"/>
  <c r="W668" i="17"/>
  <c r="V668" i="17"/>
  <c r="AB668" i="17" s="1"/>
  <c r="X667" i="17"/>
  <c r="W667" i="17"/>
  <c r="V667" i="17"/>
  <c r="AB667" i="17" s="1"/>
  <c r="X666" i="17"/>
  <c r="W666" i="17"/>
  <c r="V666" i="17"/>
  <c r="AB666" i="17" s="1"/>
  <c r="X665" i="17"/>
  <c r="W665" i="17"/>
  <c r="V665" i="17"/>
  <c r="AB665" i="17" s="1"/>
  <c r="X664" i="17"/>
  <c r="W664" i="17"/>
  <c r="V664" i="17"/>
  <c r="AB664" i="17" s="1"/>
  <c r="X663" i="17"/>
  <c r="W663" i="17"/>
  <c r="V663" i="17"/>
  <c r="AB663" i="17" s="1"/>
  <c r="X662" i="17"/>
  <c r="W662" i="17"/>
  <c r="V662" i="17"/>
  <c r="AB662" i="17" s="1"/>
  <c r="X661" i="17"/>
  <c r="W661" i="17"/>
  <c r="V661" i="17"/>
  <c r="AB661" i="17" s="1"/>
  <c r="X660" i="17"/>
  <c r="W660" i="17"/>
  <c r="V660" i="17"/>
  <c r="AB660" i="17" s="1"/>
  <c r="X659" i="17"/>
  <c r="W659" i="17"/>
  <c r="V659" i="17"/>
  <c r="AB659" i="17" s="1"/>
  <c r="X658" i="17"/>
  <c r="W658" i="17"/>
  <c r="V658" i="17"/>
  <c r="AB658" i="17" s="1"/>
  <c r="X657" i="17"/>
  <c r="W657" i="17"/>
  <c r="V657" i="17"/>
  <c r="AB657" i="17" s="1"/>
  <c r="X656" i="17"/>
  <c r="W656" i="17"/>
  <c r="V656" i="17"/>
  <c r="AB656" i="17" s="1"/>
  <c r="X655" i="17"/>
  <c r="W655" i="17"/>
  <c r="V655" i="17"/>
  <c r="AB655" i="17" s="1"/>
  <c r="X654" i="17"/>
  <c r="W654" i="17"/>
  <c r="V654" i="17"/>
  <c r="AB654" i="17" s="1"/>
  <c r="X653" i="17"/>
  <c r="W653" i="17"/>
  <c r="V653" i="17"/>
  <c r="AB653" i="17" s="1"/>
  <c r="X652" i="17"/>
  <c r="W652" i="17"/>
  <c r="V652" i="17"/>
  <c r="AB652" i="17" s="1"/>
  <c r="X651" i="17"/>
  <c r="W651" i="17"/>
  <c r="V651" i="17"/>
  <c r="AB651" i="17" s="1"/>
  <c r="X650" i="17"/>
  <c r="W650" i="17"/>
  <c r="V650" i="17"/>
  <c r="AB650" i="17" s="1"/>
  <c r="X649" i="17"/>
  <c r="W649" i="17"/>
  <c r="V649" i="17"/>
  <c r="AB649" i="17" s="1"/>
  <c r="X648" i="17"/>
  <c r="W648" i="17"/>
  <c r="V648" i="17"/>
  <c r="AB648" i="17" s="1"/>
  <c r="X647" i="17"/>
  <c r="W647" i="17"/>
  <c r="V647" i="17"/>
  <c r="AB647" i="17" s="1"/>
  <c r="X646" i="17"/>
  <c r="W646" i="17"/>
  <c r="V646" i="17"/>
  <c r="AB646" i="17" s="1"/>
  <c r="X645" i="17"/>
  <c r="W645" i="17"/>
  <c r="V645" i="17"/>
  <c r="AB645" i="17" s="1"/>
  <c r="X644" i="17"/>
  <c r="W644" i="17"/>
  <c r="V644" i="17"/>
  <c r="AB644" i="17" s="1"/>
  <c r="X643" i="17"/>
  <c r="W643" i="17"/>
  <c r="V643" i="17"/>
  <c r="AB643" i="17" s="1"/>
  <c r="X642" i="17"/>
  <c r="W642" i="17"/>
  <c r="V642" i="17"/>
  <c r="AB642" i="17" s="1"/>
  <c r="X641" i="17"/>
  <c r="W641" i="17"/>
  <c r="V641" i="17"/>
  <c r="AB641" i="17" s="1"/>
  <c r="X640" i="17"/>
  <c r="W640" i="17"/>
  <c r="V640" i="17"/>
  <c r="AB640" i="17" s="1"/>
  <c r="X639" i="17"/>
  <c r="W639" i="17"/>
  <c r="V639" i="17"/>
  <c r="AB639" i="17" s="1"/>
  <c r="X638" i="17"/>
  <c r="W638" i="17"/>
  <c r="V638" i="17"/>
  <c r="AB638" i="17" s="1"/>
  <c r="X637" i="17"/>
  <c r="W637" i="17"/>
  <c r="V637" i="17"/>
  <c r="AB637" i="17" s="1"/>
  <c r="X636" i="17"/>
  <c r="W636" i="17"/>
  <c r="V636" i="17"/>
  <c r="AB636" i="17" s="1"/>
  <c r="X635" i="17"/>
  <c r="W635" i="17"/>
  <c r="V635" i="17"/>
  <c r="AB635" i="17" s="1"/>
  <c r="X634" i="17"/>
  <c r="W634" i="17"/>
  <c r="V634" i="17"/>
  <c r="AB634" i="17" s="1"/>
  <c r="X633" i="17"/>
  <c r="W633" i="17"/>
  <c r="V633" i="17"/>
  <c r="AB633" i="17" s="1"/>
  <c r="X632" i="17"/>
  <c r="W632" i="17"/>
  <c r="V632" i="17"/>
  <c r="AB632" i="17" s="1"/>
  <c r="X631" i="17"/>
  <c r="W631" i="17"/>
  <c r="V631" i="17"/>
  <c r="AB631" i="17" s="1"/>
  <c r="X630" i="17"/>
  <c r="W630" i="17"/>
  <c r="V630" i="17"/>
  <c r="AB630" i="17" s="1"/>
  <c r="X629" i="17"/>
  <c r="W629" i="17"/>
  <c r="V629" i="17"/>
  <c r="AB629" i="17" s="1"/>
  <c r="X628" i="17"/>
  <c r="W628" i="17"/>
  <c r="V628" i="17"/>
  <c r="AB628" i="17" s="1"/>
  <c r="X627" i="17"/>
  <c r="W627" i="17"/>
  <c r="V627" i="17"/>
  <c r="AB627" i="17" s="1"/>
  <c r="X626" i="17"/>
  <c r="W626" i="17"/>
  <c r="V626" i="17"/>
  <c r="AB626" i="17" s="1"/>
  <c r="X625" i="17"/>
  <c r="W625" i="17"/>
  <c r="V625" i="17"/>
  <c r="AB625" i="17" s="1"/>
  <c r="X624" i="17"/>
  <c r="W624" i="17"/>
  <c r="V624" i="17"/>
  <c r="AB624" i="17" s="1"/>
  <c r="X623" i="17"/>
  <c r="W623" i="17"/>
  <c r="V623" i="17"/>
  <c r="AB623" i="17" s="1"/>
  <c r="X622" i="17"/>
  <c r="W622" i="17"/>
  <c r="V622" i="17"/>
  <c r="AB622" i="17" s="1"/>
  <c r="X621" i="17"/>
  <c r="W621" i="17"/>
  <c r="V621" i="17"/>
  <c r="AB621" i="17" s="1"/>
  <c r="X620" i="17"/>
  <c r="W620" i="17"/>
  <c r="V620" i="17"/>
  <c r="AB620" i="17" s="1"/>
  <c r="X619" i="17"/>
  <c r="W619" i="17"/>
  <c r="V619" i="17"/>
  <c r="AB619" i="17" s="1"/>
  <c r="X618" i="17"/>
  <c r="W618" i="17"/>
  <c r="V618" i="17"/>
  <c r="AB618" i="17" s="1"/>
  <c r="X617" i="17"/>
  <c r="W617" i="17"/>
  <c r="V617" i="17"/>
  <c r="AB617" i="17" s="1"/>
  <c r="X616" i="17"/>
  <c r="W616" i="17"/>
  <c r="V616" i="17"/>
  <c r="AB616" i="17" s="1"/>
  <c r="X615" i="17"/>
  <c r="W615" i="17"/>
  <c r="V615" i="17"/>
  <c r="AB615" i="17" s="1"/>
  <c r="X614" i="17"/>
  <c r="W614" i="17"/>
  <c r="V614" i="17"/>
  <c r="AB614" i="17" s="1"/>
  <c r="X613" i="17"/>
  <c r="W613" i="17"/>
  <c r="V613" i="17"/>
  <c r="AB613" i="17" s="1"/>
  <c r="X612" i="17"/>
  <c r="W612" i="17"/>
  <c r="V612" i="17"/>
  <c r="AB612" i="17" s="1"/>
  <c r="X611" i="17"/>
  <c r="W611" i="17"/>
  <c r="V611" i="17"/>
  <c r="AB611" i="17" s="1"/>
  <c r="X610" i="17"/>
  <c r="W610" i="17"/>
  <c r="V610" i="17"/>
  <c r="AB610" i="17" s="1"/>
  <c r="X609" i="17"/>
  <c r="W609" i="17"/>
  <c r="V609" i="17"/>
  <c r="AB609" i="17" s="1"/>
  <c r="X608" i="17"/>
  <c r="W608" i="17"/>
  <c r="V608" i="17"/>
  <c r="AB608" i="17" s="1"/>
  <c r="X607" i="17"/>
  <c r="W607" i="17"/>
  <c r="V607" i="17"/>
  <c r="AB607" i="17" s="1"/>
  <c r="X606" i="17"/>
  <c r="W606" i="17"/>
  <c r="V606" i="17"/>
  <c r="AB606" i="17" s="1"/>
  <c r="X605" i="17"/>
  <c r="W605" i="17"/>
  <c r="V605" i="17"/>
  <c r="AB605" i="17" s="1"/>
  <c r="X604" i="17"/>
  <c r="W604" i="17"/>
  <c r="V604" i="17"/>
  <c r="AB604" i="17" s="1"/>
  <c r="X603" i="17"/>
  <c r="W603" i="17"/>
  <c r="V603" i="17"/>
  <c r="AB603" i="17" s="1"/>
  <c r="X602" i="17"/>
  <c r="W602" i="17"/>
  <c r="V602" i="17"/>
  <c r="AB602" i="17" s="1"/>
  <c r="X601" i="17"/>
  <c r="W601" i="17"/>
  <c r="V601" i="17"/>
  <c r="AB601" i="17" s="1"/>
  <c r="X600" i="17"/>
  <c r="W600" i="17"/>
  <c r="V600" i="17"/>
  <c r="AB600" i="17" s="1"/>
  <c r="X599" i="17"/>
  <c r="W599" i="17"/>
  <c r="V599" i="17"/>
  <c r="AB599" i="17" s="1"/>
  <c r="X598" i="17"/>
  <c r="W598" i="17"/>
  <c r="V598" i="17"/>
  <c r="AB598" i="17" s="1"/>
  <c r="X597" i="17"/>
  <c r="W597" i="17"/>
  <c r="V597" i="17"/>
  <c r="AB597" i="17" s="1"/>
  <c r="X596" i="17"/>
  <c r="W596" i="17"/>
  <c r="V596" i="17"/>
  <c r="AB596" i="17" s="1"/>
  <c r="X595" i="17"/>
  <c r="W595" i="17"/>
  <c r="V595" i="17"/>
  <c r="AB595" i="17" s="1"/>
  <c r="X594" i="17"/>
  <c r="W594" i="17"/>
  <c r="V594" i="17"/>
  <c r="AB594" i="17" s="1"/>
  <c r="X593" i="17"/>
  <c r="W593" i="17"/>
  <c r="V593" i="17"/>
  <c r="AB593" i="17" s="1"/>
  <c r="X592" i="17"/>
  <c r="W592" i="17"/>
  <c r="V592" i="17"/>
  <c r="AB592" i="17" s="1"/>
  <c r="X591" i="17"/>
  <c r="W591" i="17"/>
  <c r="V591" i="17"/>
  <c r="AB591" i="17" s="1"/>
  <c r="X590" i="17"/>
  <c r="W590" i="17"/>
  <c r="V590" i="17"/>
  <c r="AB590" i="17" s="1"/>
  <c r="X589" i="17"/>
  <c r="W589" i="17"/>
  <c r="V589" i="17"/>
  <c r="AB589" i="17" s="1"/>
  <c r="X588" i="17"/>
  <c r="W588" i="17"/>
  <c r="V588" i="17"/>
  <c r="AB588" i="17" s="1"/>
  <c r="X587" i="17"/>
  <c r="W587" i="17"/>
  <c r="V587" i="17"/>
  <c r="AB587" i="17" s="1"/>
  <c r="X586" i="17"/>
  <c r="W586" i="17"/>
  <c r="V586" i="17"/>
  <c r="AB586" i="17" s="1"/>
  <c r="X585" i="17"/>
  <c r="W585" i="17"/>
  <c r="V585" i="17"/>
  <c r="AB585" i="17" s="1"/>
  <c r="X584" i="17"/>
  <c r="W584" i="17"/>
  <c r="V584" i="17"/>
  <c r="AB584" i="17" s="1"/>
  <c r="X583" i="17"/>
  <c r="W583" i="17"/>
  <c r="V583" i="17"/>
  <c r="AB583" i="17" s="1"/>
  <c r="X582" i="17"/>
  <c r="W582" i="17"/>
  <c r="V582" i="17"/>
  <c r="AB582" i="17" s="1"/>
  <c r="X581" i="17"/>
  <c r="W581" i="17"/>
  <c r="V581" i="17"/>
  <c r="AB581" i="17" s="1"/>
  <c r="X580" i="17"/>
  <c r="W580" i="17"/>
  <c r="V580" i="17"/>
  <c r="AB580" i="17" s="1"/>
  <c r="X579" i="17"/>
  <c r="W579" i="17"/>
  <c r="V579" i="17"/>
  <c r="AB579" i="17" s="1"/>
  <c r="X578" i="17"/>
  <c r="W578" i="17"/>
  <c r="V578" i="17"/>
  <c r="AB578" i="17" s="1"/>
  <c r="X577" i="17"/>
  <c r="W577" i="17"/>
  <c r="V577" i="17"/>
  <c r="AB577" i="17" s="1"/>
  <c r="X576" i="17"/>
  <c r="W576" i="17"/>
  <c r="V576" i="17"/>
  <c r="AB576" i="17" s="1"/>
  <c r="X575" i="17"/>
  <c r="W575" i="17"/>
  <c r="V575" i="17"/>
  <c r="AB575" i="17" s="1"/>
  <c r="X574" i="17"/>
  <c r="W574" i="17"/>
  <c r="V574" i="17"/>
  <c r="AB574" i="17" s="1"/>
  <c r="X573" i="17"/>
  <c r="W573" i="17"/>
  <c r="V573" i="17"/>
  <c r="AB573" i="17" s="1"/>
  <c r="X572" i="17"/>
  <c r="W572" i="17"/>
  <c r="V572" i="17"/>
  <c r="AB572" i="17" s="1"/>
  <c r="X571" i="17"/>
  <c r="W571" i="17"/>
  <c r="V571" i="17"/>
  <c r="AB571" i="17" s="1"/>
  <c r="X570" i="17"/>
  <c r="W570" i="17"/>
  <c r="V570" i="17"/>
  <c r="AB570" i="17" s="1"/>
  <c r="X569" i="17"/>
  <c r="W569" i="17"/>
  <c r="V569" i="17"/>
  <c r="AB569" i="17" s="1"/>
  <c r="X568" i="17"/>
  <c r="W568" i="17"/>
  <c r="V568" i="17"/>
  <c r="AB568" i="17" s="1"/>
  <c r="X567" i="17"/>
  <c r="W567" i="17"/>
  <c r="V567" i="17"/>
  <c r="AB567" i="17" s="1"/>
  <c r="X566" i="17"/>
  <c r="W566" i="17"/>
  <c r="V566" i="17"/>
  <c r="AB566" i="17" s="1"/>
  <c r="X565" i="17"/>
  <c r="W565" i="17"/>
  <c r="V565" i="17"/>
  <c r="AB565" i="17" s="1"/>
  <c r="X564" i="17"/>
  <c r="W564" i="17"/>
  <c r="V564" i="17"/>
  <c r="AB564" i="17" s="1"/>
  <c r="X563" i="17"/>
  <c r="W563" i="17"/>
  <c r="V563" i="17"/>
  <c r="AB563" i="17" s="1"/>
  <c r="X562" i="17"/>
  <c r="W562" i="17"/>
  <c r="V562" i="17"/>
  <c r="AB562" i="17" s="1"/>
  <c r="X561" i="17"/>
  <c r="W561" i="17"/>
  <c r="V561" i="17"/>
  <c r="AB561" i="17" s="1"/>
  <c r="X560" i="17"/>
  <c r="W560" i="17"/>
  <c r="V560" i="17"/>
  <c r="AB560" i="17" s="1"/>
  <c r="X559" i="17"/>
  <c r="W559" i="17"/>
  <c r="V559" i="17"/>
  <c r="AB559" i="17" s="1"/>
  <c r="X558" i="17"/>
  <c r="W558" i="17"/>
  <c r="V558" i="17"/>
  <c r="AB558" i="17" s="1"/>
  <c r="X557" i="17"/>
  <c r="W557" i="17"/>
  <c r="V557" i="17"/>
  <c r="AB557" i="17" s="1"/>
  <c r="X556" i="17"/>
  <c r="W556" i="17"/>
  <c r="V556" i="17"/>
  <c r="AB556" i="17" s="1"/>
  <c r="X555" i="17"/>
  <c r="W555" i="17"/>
  <c r="V555" i="17"/>
  <c r="AB555" i="17" s="1"/>
  <c r="X554" i="17"/>
  <c r="W554" i="17"/>
  <c r="V554" i="17"/>
  <c r="AB554" i="17" s="1"/>
  <c r="X553" i="17"/>
  <c r="W553" i="17"/>
  <c r="V553" i="17"/>
  <c r="AB553" i="17" s="1"/>
  <c r="X552" i="17"/>
  <c r="W552" i="17"/>
  <c r="V552" i="17"/>
  <c r="AB552" i="17" s="1"/>
  <c r="X551" i="17"/>
  <c r="W551" i="17"/>
  <c r="V551" i="17"/>
  <c r="AB551" i="17" s="1"/>
  <c r="X550" i="17"/>
  <c r="W550" i="17"/>
  <c r="V550" i="17"/>
  <c r="AB550" i="17" s="1"/>
  <c r="X549" i="17"/>
  <c r="W549" i="17"/>
  <c r="V549" i="17"/>
  <c r="AB549" i="17" s="1"/>
  <c r="X548" i="17"/>
  <c r="W548" i="17"/>
  <c r="V548" i="17"/>
  <c r="AB548" i="17" s="1"/>
  <c r="X547" i="17"/>
  <c r="W547" i="17"/>
  <c r="V547" i="17"/>
  <c r="AB547" i="17" s="1"/>
  <c r="X546" i="17"/>
  <c r="W546" i="17"/>
  <c r="V546" i="17"/>
  <c r="AB546" i="17" s="1"/>
  <c r="X545" i="17"/>
  <c r="W545" i="17"/>
  <c r="V545" i="17"/>
  <c r="AB545" i="17" s="1"/>
  <c r="X544" i="17"/>
  <c r="W544" i="17"/>
  <c r="V544" i="17"/>
  <c r="AB544" i="17" s="1"/>
  <c r="X543" i="17"/>
  <c r="W543" i="17"/>
  <c r="V543" i="17"/>
  <c r="AB543" i="17" s="1"/>
  <c r="X542" i="17"/>
  <c r="W542" i="17"/>
  <c r="V542" i="17"/>
  <c r="AB542" i="17" s="1"/>
  <c r="X541" i="17"/>
  <c r="W541" i="17"/>
  <c r="V541" i="17"/>
  <c r="AB541" i="17" s="1"/>
  <c r="X540" i="17"/>
  <c r="W540" i="17"/>
  <c r="V540" i="17"/>
  <c r="AB540" i="17" s="1"/>
  <c r="X539" i="17"/>
  <c r="W539" i="17"/>
  <c r="V539" i="17"/>
  <c r="AB539" i="17" s="1"/>
  <c r="X538" i="17"/>
  <c r="W538" i="17"/>
  <c r="V538" i="17"/>
  <c r="AB538" i="17" s="1"/>
  <c r="X537" i="17"/>
  <c r="W537" i="17"/>
  <c r="V537" i="17"/>
  <c r="AB537" i="17" s="1"/>
  <c r="X536" i="17"/>
  <c r="W536" i="17"/>
  <c r="V536" i="17"/>
  <c r="AB536" i="17" s="1"/>
  <c r="X535" i="17"/>
  <c r="W535" i="17"/>
  <c r="V535" i="17"/>
  <c r="AB535" i="17" s="1"/>
  <c r="X534" i="17"/>
  <c r="W534" i="17"/>
  <c r="V534" i="17"/>
  <c r="AB534" i="17" s="1"/>
  <c r="X533" i="17"/>
  <c r="W533" i="17"/>
  <c r="V533" i="17"/>
  <c r="AB533" i="17" s="1"/>
  <c r="X532" i="17"/>
  <c r="W532" i="17"/>
  <c r="V532" i="17"/>
  <c r="AB532" i="17" s="1"/>
  <c r="X531" i="17"/>
  <c r="W531" i="17"/>
  <c r="V531" i="17"/>
  <c r="AB531" i="17" s="1"/>
  <c r="X530" i="17"/>
  <c r="W530" i="17"/>
  <c r="V530" i="17"/>
  <c r="AB530" i="17" s="1"/>
  <c r="X529" i="17"/>
  <c r="W529" i="17"/>
  <c r="V529" i="17"/>
  <c r="AB529" i="17" s="1"/>
  <c r="X528" i="17"/>
  <c r="W528" i="17"/>
  <c r="V528" i="17"/>
  <c r="AB528" i="17" s="1"/>
  <c r="X527" i="17"/>
  <c r="W527" i="17"/>
  <c r="V527" i="17"/>
  <c r="AB527" i="17" s="1"/>
  <c r="X526" i="17"/>
  <c r="W526" i="17"/>
  <c r="V526" i="17"/>
  <c r="AB526" i="17" s="1"/>
  <c r="X525" i="17"/>
  <c r="W525" i="17"/>
  <c r="V525" i="17"/>
  <c r="AB525" i="17" s="1"/>
  <c r="X524" i="17"/>
  <c r="W524" i="17"/>
  <c r="V524" i="17"/>
  <c r="AB524" i="17" s="1"/>
  <c r="X523" i="17"/>
  <c r="W523" i="17"/>
  <c r="V523" i="17"/>
  <c r="AB523" i="17" s="1"/>
  <c r="X522" i="17"/>
  <c r="W522" i="17"/>
  <c r="V522" i="17"/>
  <c r="AB522" i="17" s="1"/>
  <c r="X521" i="17"/>
  <c r="W521" i="17"/>
  <c r="V521" i="17"/>
  <c r="AB521" i="17" s="1"/>
  <c r="X520" i="17"/>
  <c r="W520" i="17"/>
  <c r="V520" i="17"/>
  <c r="AB520" i="17" s="1"/>
  <c r="V519" i="17"/>
  <c r="AB519" i="17" s="1"/>
  <c r="V518" i="17"/>
  <c r="AB518" i="17" s="1"/>
  <c r="V517" i="17"/>
  <c r="AB517" i="17" s="1"/>
  <c r="V516" i="17"/>
  <c r="AB516" i="17" s="1"/>
  <c r="V515" i="17"/>
  <c r="AB515" i="17" s="1"/>
  <c r="V514" i="17"/>
  <c r="AB514" i="17" s="1"/>
  <c r="V513" i="17"/>
  <c r="AB513" i="17" s="1"/>
  <c r="V512" i="17"/>
  <c r="AB512" i="17" s="1"/>
  <c r="V511" i="17"/>
  <c r="AB511" i="17" s="1"/>
  <c r="V510" i="17"/>
  <c r="AB510" i="17" s="1"/>
  <c r="V509" i="17"/>
  <c r="AB509" i="17" s="1"/>
  <c r="V508" i="17"/>
  <c r="AB508" i="17" s="1"/>
  <c r="V507" i="17"/>
  <c r="AB507" i="17" s="1"/>
  <c r="V506" i="17"/>
  <c r="AB506" i="17" s="1"/>
  <c r="V505" i="17"/>
  <c r="AB505" i="17" s="1"/>
  <c r="V504" i="17"/>
  <c r="AB504" i="17" s="1"/>
  <c r="V503" i="17"/>
  <c r="AB503" i="17" s="1"/>
  <c r="V502" i="17"/>
  <c r="AB502" i="17" s="1"/>
  <c r="V501" i="17"/>
  <c r="AB501" i="17" s="1"/>
  <c r="V500" i="17"/>
  <c r="AB500" i="17" s="1"/>
  <c r="V499" i="17"/>
  <c r="AB499" i="17" s="1"/>
  <c r="V498" i="17"/>
  <c r="AB498" i="17" s="1"/>
  <c r="V497" i="17"/>
  <c r="AB497" i="17" s="1"/>
  <c r="V496" i="17"/>
  <c r="AB496" i="17" s="1"/>
  <c r="V495" i="17"/>
  <c r="AB495" i="17" s="1"/>
  <c r="X494" i="17"/>
  <c r="W494" i="17"/>
  <c r="AC494" i="17" s="1"/>
  <c r="X493" i="17"/>
  <c r="W493" i="17"/>
  <c r="AC493" i="17" s="1"/>
  <c r="X492" i="17"/>
  <c r="W492" i="17"/>
  <c r="AC492" i="17" s="1"/>
  <c r="X491" i="17"/>
  <c r="W491" i="17"/>
  <c r="AC491" i="17" s="1"/>
  <c r="X490" i="17"/>
  <c r="W490" i="17"/>
  <c r="AC490" i="17" s="1"/>
  <c r="X489" i="17"/>
  <c r="W489" i="17"/>
  <c r="AC489" i="17" s="1"/>
  <c r="X488" i="17"/>
  <c r="W488" i="17"/>
  <c r="AC488" i="17" s="1"/>
  <c r="X487" i="17"/>
  <c r="W487" i="17"/>
  <c r="AC487" i="17" s="1"/>
  <c r="X486" i="17"/>
  <c r="W486" i="17"/>
  <c r="AC486" i="17" s="1"/>
  <c r="X485" i="17"/>
  <c r="W485" i="17"/>
  <c r="AC485" i="17" s="1"/>
  <c r="X484" i="17"/>
  <c r="W484" i="17"/>
  <c r="AC484" i="17" s="1"/>
  <c r="X483" i="17"/>
  <c r="W483" i="17"/>
  <c r="AC483" i="17" s="1"/>
  <c r="X482" i="17"/>
  <c r="W482" i="17"/>
  <c r="AC482" i="17" s="1"/>
  <c r="X481" i="17"/>
  <c r="W481" i="17"/>
  <c r="AC481" i="17" s="1"/>
  <c r="X480" i="17"/>
  <c r="W480" i="17"/>
  <c r="AC480" i="17" s="1"/>
  <c r="X479" i="17"/>
  <c r="W479" i="17"/>
  <c r="AC479" i="17" s="1"/>
  <c r="X478" i="17"/>
  <c r="W478" i="17"/>
  <c r="AC478" i="17" s="1"/>
  <c r="X477" i="17"/>
  <c r="W477" i="17"/>
  <c r="AC477" i="17" s="1"/>
  <c r="X476" i="17"/>
  <c r="W476" i="17"/>
  <c r="AC476" i="17" s="1"/>
  <c r="X475" i="17"/>
  <c r="W475" i="17"/>
  <c r="AC475" i="17" s="1"/>
  <c r="X474" i="17"/>
  <c r="W474" i="17"/>
  <c r="AC474" i="17" s="1"/>
  <c r="X473" i="17"/>
  <c r="W473" i="17"/>
  <c r="AC473" i="17" s="1"/>
  <c r="X472" i="17"/>
  <c r="W472" i="17"/>
  <c r="AC472" i="17" s="1"/>
  <c r="X471" i="17"/>
  <c r="W471" i="17"/>
  <c r="AC471" i="17" s="1"/>
  <c r="X470" i="17"/>
  <c r="W470" i="17"/>
  <c r="AC470" i="17" s="1"/>
  <c r="V469" i="17"/>
  <c r="AB469" i="17" s="1"/>
  <c r="V468" i="17"/>
  <c r="AB468" i="17" s="1"/>
  <c r="V467" i="17"/>
  <c r="AB467" i="17" s="1"/>
  <c r="V466" i="17"/>
  <c r="AB466" i="17" s="1"/>
  <c r="V465" i="17"/>
  <c r="AB465" i="17" s="1"/>
  <c r="V464" i="17"/>
  <c r="AB464" i="17" s="1"/>
  <c r="V463" i="17"/>
  <c r="AB463" i="17" s="1"/>
  <c r="V462" i="17"/>
  <c r="AB462" i="17" s="1"/>
  <c r="V461" i="17"/>
  <c r="AB461" i="17" s="1"/>
  <c r="V460" i="17"/>
  <c r="AB460" i="17" s="1"/>
  <c r="V459" i="17"/>
  <c r="AB459" i="17" s="1"/>
  <c r="V458" i="17"/>
  <c r="AB458" i="17" s="1"/>
  <c r="V457" i="17"/>
  <c r="AB457" i="17" s="1"/>
  <c r="V456" i="17"/>
  <c r="AB456" i="17" s="1"/>
  <c r="V455" i="17"/>
  <c r="AB455" i="17" s="1"/>
  <c r="V454" i="17"/>
  <c r="AB454" i="17" s="1"/>
  <c r="V453" i="17"/>
  <c r="AB453" i="17" s="1"/>
  <c r="V452" i="17"/>
  <c r="AB452" i="17" s="1"/>
  <c r="V451" i="17"/>
  <c r="AB451" i="17" s="1"/>
  <c r="V450" i="17"/>
  <c r="AB450" i="17" s="1"/>
  <c r="V449" i="17"/>
  <c r="AB449" i="17" s="1"/>
  <c r="V448" i="17"/>
  <c r="AB448" i="17" s="1"/>
  <c r="V447" i="17"/>
  <c r="AB447" i="17" s="1"/>
  <c r="V446" i="17"/>
  <c r="AB446" i="17" s="1"/>
  <c r="V445" i="17"/>
  <c r="AB445" i="17" s="1"/>
  <c r="V444" i="17"/>
  <c r="AB444" i="17" s="1"/>
  <c r="V443" i="17"/>
  <c r="AB443" i="17" s="1"/>
  <c r="V442" i="17"/>
  <c r="AB442" i="17" s="1"/>
  <c r="V441" i="17"/>
  <c r="AB441" i="17" s="1"/>
  <c r="V440" i="17"/>
  <c r="AB440" i="17" s="1"/>
  <c r="V439" i="17"/>
  <c r="AB439" i="17" s="1"/>
  <c r="V438" i="17"/>
  <c r="AB438" i="17" s="1"/>
  <c r="V437" i="17"/>
  <c r="AB437" i="17" s="1"/>
  <c r="V436" i="17"/>
  <c r="AB436" i="17" s="1"/>
  <c r="V435" i="17"/>
  <c r="AB435" i="17" s="1"/>
  <c r="V434" i="17"/>
  <c r="AB434" i="17" s="1"/>
  <c r="V433" i="17"/>
  <c r="AB433" i="17" s="1"/>
  <c r="V432" i="17"/>
  <c r="AB432" i="17" s="1"/>
  <c r="V431" i="17"/>
  <c r="AB431" i="17" s="1"/>
  <c r="V430" i="17"/>
  <c r="AB430" i="17" s="1"/>
  <c r="V429" i="17"/>
  <c r="AB429" i="17" s="1"/>
  <c r="V428" i="17"/>
  <c r="AB428" i="17" s="1"/>
  <c r="V427" i="17"/>
  <c r="AB427" i="17" s="1"/>
  <c r="V426" i="17"/>
  <c r="AB426" i="17" s="1"/>
  <c r="V425" i="17"/>
  <c r="AB425" i="17" s="1"/>
  <c r="V424" i="17"/>
  <c r="AB424" i="17" s="1"/>
  <c r="V423" i="17"/>
  <c r="AB423" i="17" s="1"/>
  <c r="V422" i="17"/>
  <c r="AB422" i="17" s="1"/>
  <c r="V421" i="17"/>
  <c r="AB421" i="17" s="1"/>
  <c r="X420" i="17"/>
  <c r="W420" i="17"/>
  <c r="AC420" i="17" s="1"/>
  <c r="X419" i="17"/>
  <c r="W419" i="17"/>
  <c r="X418" i="17"/>
  <c r="W418" i="17"/>
  <c r="AC418" i="17" s="1"/>
  <c r="X417" i="17"/>
  <c r="W417" i="17"/>
  <c r="X416" i="17"/>
  <c r="W416" i="17"/>
  <c r="AC416" i="17" s="1"/>
  <c r="X415" i="17"/>
  <c r="W415" i="17"/>
  <c r="X414" i="17"/>
  <c r="W414" i="17"/>
  <c r="AC414" i="17" s="1"/>
  <c r="X413" i="17"/>
  <c r="W413" i="17"/>
  <c r="X412" i="17"/>
  <c r="W412" i="17"/>
  <c r="AC412" i="17" s="1"/>
  <c r="X411" i="17"/>
  <c r="W411" i="17"/>
  <c r="X410" i="17"/>
  <c r="W410" i="17"/>
  <c r="AC410" i="17" s="1"/>
  <c r="X409" i="17"/>
  <c r="W409" i="17"/>
  <c r="X408" i="17"/>
  <c r="W408" i="17"/>
  <c r="AC408" i="17" s="1"/>
  <c r="X407" i="17"/>
  <c r="W407" i="17"/>
  <c r="X406" i="17"/>
  <c r="W406" i="17"/>
  <c r="AC406" i="17" s="1"/>
  <c r="X405" i="17"/>
  <c r="W405" i="17"/>
  <c r="X404" i="17"/>
  <c r="W404" i="17"/>
  <c r="AC404" i="17" s="1"/>
  <c r="X403" i="17"/>
  <c r="W403" i="17"/>
  <c r="X402" i="17"/>
  <c r="W402" i="17"/>
  <c r="AC402" i="17" s="1"/>
  <c r="X401" i="17"/>
  <c r="W401" i="17"/>
  <c r="X400" i="17"/>
  <c r="W400" i="17"/>
  <c r="AC400" i="17" s="1"/>
  <c r="X399" i="17"/>
  <c r="W399" i="17"/>
  <c r="X398" i="17"/>
  <c r="W398" i="17"/>
  <c r="AC398" i="17" s="1"/>
  <c r="X397" i="17"/>
  <c r="W397" i="17"/>
  <c r="V396" i="17"/>
  <c r="AB396" i="17" s="1"/>
  <c r="V395" i="17"/>
  <c r="AB395" i="17" s="1"/>
  <c r="V394" i="17"/>
  <c r="AB394" i="17" s="1"/>
  <c r="V393" i="17"/>
  <c r="AB393" i="17" s="1"/>
  <c r="V392" i="17"/>
  <c r="AB392" i="17" s="1"/>
  <c r="V391" i="17"/>
  <c r="AB391" i="17" s="1"/>
  <c r="V390" i="17"/>
  <c r="AB390" i="17" s="1"/>
  <c r="V389" i="17"/>
  <c r="AB389" i="17" s="1"/>
  <c r="V388" i="17"/>
  <c r="AB388" i="17" s="1"/>
  <c r="V387" i="17"/>
  <c r="AB387" i="17" s="1"/>
  <c r="V386" i="17"/>
  <c r="AB386" i="17" s="1"/>
  <c r="V385" i="17"/>
  <c r="AB385" i="17" s="1"/>
  <c r="V384" i="17"/>
  <c r="AB384" i="17" s="1"/>
  <c r="V383" i="17"/>
  <c r="AB383" i="17" s="1"/>
  <c r="V382" i="17"/>
  <c r="AB382" i="17" s="1"/>
  <c r="V381" i="17"/>
  <c r="AB381" i="17" s="1"/>
  <c r="V380" i="17"/>
  <c r="AB380" i="17" s="1"/>
  <c r="V379" i="17"/>
  <c r="AB379" i="17" s="1"/>
  <c r="V378" i="17"/>
  <c r="AB378" i="17" s="1"/>
  <c r="V377" i="17"/>
  <c r="AB377" i="17" s="1"/>
  <c r="V376" i="17"/>
  <c r="AB376" i="17" s="1"/>
  <c r="V375" i="17"/>
  <c r="AB375" i="17" s="1"/>
  <c r="V374" i="17"/>
  <c r="AB374" i="17" s="1"/>
  <c r="V373" i="17"/>
  <c r="AB373" i="17" s="1"/>
  <c r="V372" i="17"/>
  <c r="AB372" i="17" s="1"/>
  <c r="V371" i="17"/>
  <c r="AB371" i="17" s="1"/>
  <c r="V370" i="17"/>
  <c r="AB370" i="17" s="1"/>
  <c r="V369" i="17"/>
  <c r="AB369" i="17" s="1"/>
  <c r="V368" i="17"/>
  <c r="AB368" i="17" s="1"/>
  <c r="V367" i="17"/>
  <c r="AB367" i="17" s="1"/>
  <c r="V366" i="17"/>
  <c r="AB366" i="17" s="1"/>
  <c r="V365" i="17"/>
  <c r="AB365" i="17" s="1"/>
  <c r="V364" i="17"/>
  <c r="AB364" i="17" s="1"/>
  <c r="V363" i="17"/>
  <c r="AB363" i="17" s="1"/>
  <c r="V362" i="17"/>
  <c r="AB362" i="17" s="1"/>
  <c r="V361" i="17"/>
  <c r="AB361" i="17" s="1"/>
  <c r="V360" i="17"/>
  <c r="AB360" i="17" s="1"/>
  <c r="V359" i="17"/>
  <c r="AB359" i="17" s="1"/>
  <c r="V358" i="17"/>
  <c r="AB358" i="17" s="1"/>
  <c r="V357" i="17"/>
  <c r="AB357" i="17" s="1"/>
  <c r="V356" i="17"/>
  <c r="AB356" i="17" s="1"/>
  <c r="X355" i="17"/>
  <c r="W355" i="17"/>
  <c r="AC355" i="17" s="1"/>
  <c r="X354" i="17"/>
  <c r="W354" i="17"/>
  <c r="AC354" i="17" s="1"/>
  <c r="X353" i="17"/>
  <c r="W353" i="17"/>
  <c r="AC353" i="17" s="1"/>
  <c r="X352" i="17"/>
  <c r="W352" i="17"/>
  <c r="AC352" i="17" s="1"/>
  <c r="X351" i="17"/>
  <c r="W351" i="17"/>
  <c r="AC351" i="17" s="1"/>
  <c r="X350" i="17"/>
  <c r="W350" i="17"/>
  <c r="AC350" i="17" s="1"/>
  <c r="X349" i="17"/>
  <c r="W349" i="17"/>
  <c r="AC349" i="17" s="1"/>
  <c r="X348" i="17"/>
  <c r="W348" i="17"/>
  <c r="AC348" i="17" s="1"/>
  <c r="X347" i="17"/>
  <c r="W347" i="17"/>
  <c r="AC347" i="17" s="1"/>
  <c r="X346" i="17"/>
  <c r="W346" i="17"/>
  <c r="AC346" i="17" s="1"/>
  <c r="X345" i="17"/>
  <c r="W345" i="17"/>
  <c r="AC345" i="17" s="1"/>
  <c r="X344" i="17"/>
  <c r="W344" i="17"/>
  <c r="AC344" i="17" s="1"/>
  <c r="X343" i="17"/>
  <c r="W343" i="17"/>
  <c r="AC343" i="17" s="1"/>
  <c r="X342" i="17"/>
  <c r="W342" i="17"/>
  <c r="AC342" i="17" s="1"/>
  <c r="X341" i="17"/>
  <c r="W341" i="17"/>
  <c r="AC341" i="17" s="1"/>
  <c r="X340" i="17"/>
  <c r="W340" i="17"/>
  <c r="AC340" i="17" s="1"/>
  <c r="X339" i="17"/>
  <c r="W339" i="17"/>
  <c r="AC339" i="17" s="1"/>
  <c r="X338" i="17"/>
  <c r="W338" i="17"/>
  <c r="AC338" i="17" s="1"/>
  <c r="X337" i="17"/>
  <c r="W337" i="17"/>
  <c r="AC337" i="17" s="1"/>
  <c r="X336" i="17"/>
  <c r="W336" i="17"/>
  <c r="AC336" i="17" s="1"/>
  <c r="X335" i="17"/>
  <c r="W335" i="17"/>
  <c r="AC335" i="17" s="1"/>
  <c r="X334" i="17"/>
  <c r="W334" i="17"/>
  <c r="AC334" i="17" s="1"/>
  <c r="X333" i="17"/>
  <c r="W333" i="17"/>
  <c r="AC333" i="17" s="1"/>
  <c r="X332" i="17"/>
  <c r="W332" i="17"/>
  <c r="AC332" i="17" s="1"/>
  <c r="X331" i="17"/>
  <c r="W331" i="17"/>
  <c r="AC331" i="17" s="1"/>
  <c r="X330" i="17"/>
  <c r="W330" i="17"/>
  <c r="AC330" i="17" s="1"/>
  <c r="X329" i="17"/>
  <c r="W329" i="17"/>
  <c r="AC329" i="17" s="1"/>
  <c r="X328" i="17"/>
  <c r="W328" i="17"/>
  <c r="AC328" i="17" s="1"/>
  <c r="X327" i="17"/>
  <c r="W327" i="17"/>
  <c r="AC327" i="17" s="1"/>
  <c r="X326" i="17"/>
  <c r="W326" i="17"/>
  <c r="AC326" i="17" s="1"/>
  <c r="X325" i="17"/>
  <c r="W325" i="17"/>
  <c r="AC325" i="17" s="1"/>
  <c r="V324" i="17"/>
  <c r="AB324" i="17" s="1"/>
  <c r="V323" i="17"/>
  <c r="AB323" i="17" s="1"/>
  <c r="V322" i="17"/>
  <c r="AB322" i="17" s="1"/>
  <c r="V321" i="17"/>
  <c r="AB321" i="17" s="1"/>
  <c r="V320" i="17"/>
  <c r="AB320" i="17" s="1"/>
  <c r="V319" i="17"/>
  <c r="AB319" i="17" s="1"/>
  <c r="V318" i="17"/>
  <c r="AB318" i="17" s="1"/>
  <c r="V317" i="17"/>
  <c r="AB317" i="17" s="1"/>
  <c r="V316" i="17"/>
  <c r="AB316" i="17" s="1"/>
  <c r="V315" i="17"/>
  <c r="AB315" i="17" s="1"/>
  <c r="V314" i="17"/>
  <c r="AB314" i="17" s="1"/>
  <c r="V313" i="17"/>
  <c r="AB313" i="17" s="1"/>
  <c r="V312" i="17"/>
  <c r="AB312" i="17" s="1"/>
  <c r="V311" i="17"/>
  <c r="AB311" i="17" s="1"/>
  <c r="V310" i="17"/>
  <c r="AB310" i="17" s="1"/>
  <c r="V309" i="17"/>
  <c r="AB309" i="17" s="1"/>
  <c r="V308" i="17"/>
  <c r="AB308" i="17" s="1"/>
  <c r="V307" i="17"/>
  <c r="AB307" i="17" s="1"/>
  <c r="X306" i="17"/>
  <c r="W306" i="17"/>
  <c r="AC306" i="17" s="1"/>
  <c r="V306" i="17"/>
  <c r="AB306" i="17" s="1"/>
  <c r="X305" i="17"/>
  <c r="W305" i="17"/>
  <c r="AC305" i="17" s="1"/>
  <c r="V305" i="17"/>
  <c r="AB305" i="17" s="1"/>
  <c r="X304" i="17"/>
  <c r="W304" i="17"/>
  <c r="V304" i="17"/>
  <c r="AB304" i="17" s="1"/>
  <c r="X303" i="17"/>
  <c r="W303" i="17"/>
  <c r="V303" i="17"/>
  <c r="AB303" i="17" s="1"/>
  <c r="X302" i="17"/>
  <c r="W302" i="17"/>
  <c r="AC302" i="17" s="1"/>
  <c r="V302" i="17"/>
  <c r="AB302" i="17" s="1"/>
  <c r="X301" i="17"/>
  <c r="W301" i="17"/>
  <c r="AC301" i="17" s="1"/>
  <c r="V301" i="17"/>
  <c r="AB301" i="17" s="1"/>
  <c r="X300" i="17"/>
  <c r="W300" i="17"/>
  <c r="V300" i="17"/>
  <c r="AB300" i="17" s="1"/>
  <c r="X299" i="17"/>
  <c r="W299" i="17"/>
  <c r="V299" i="17"/>
  <c r="AB299" i="17" s="1"/>
  <c r="X298" i="17"/>
  <c r="W298" i="17"/>
  <c r="AC298" i="17" s="1"/>
  <c r="V298" i="17"/>
  <c r="AB298" i="17" s="1"/>
  <c r="X297" i="17"/>
  <c r="W297" i="17"/>
  <c r="AC297" i="17" s="1"/>
  <c r="V297" i="17"/>
  <c r="AB297" i="17" s="1"/>
  <c r="X296" i="17"/>
  <c r="W296" i="17"/>
  <c r="V296" i="17"/>
  <c r="AB296" i="17" s="1"/>
  <c r="X295" i="17"/>
  <c r="W295" i="17"/>
  <c r="V295" i="17"/>
  <c r="AB295" i="17" s="1"/>
  <c r="X294" i="17"/>
  <c r="W294" i="17"/>
  <c r="AC294" i="17" s="1"/>
  <c r="V294" i="17"/>
  <c r="AB294" i="17" s="1"/>
  <c r="X293" i="17"/>
  <c r="W293" i="17"/>
  <c r="AC293" i="17" s="1"/>
  <c r="V293" i="17"/>
  <c r="AB293" i="17" s="1"/>
  <c r="X292" i="17"/>
  <c r="W292" i="17"/>
  <c r="V292" i="17"/>
  <c r="AB292" i="17" s="1"/>
  <c r="X291" i="17"/>
  <c r="W291" i="17"/>
  <c r="V291" i="17"/>
  <c r="AB291" i="17" s="1"/>
  <c r="X290" i="17"/>
  <c r="W290" i="17"/>
  <c r="AC290" i="17" s="1"/>
  <c r="V290" i="17"/>
  <c r="AB290" i="17" s="1"/>
  <c r="X289" i="17"/>
  <c r="W289" i="17"/>
  <c r="AC289" i="17" s="1"/>
  <c r="V289" i="17"/>
  <c r="AB289" i="17" s="1"/>
  <c r="X288" i="17"/>
  <c r="W288" i="17"/>
  <c r="V288" i="17"/>
  <c r="AB288" i="17" s="1"/>
  <c r="X287" i="17"/>
  <c r="W287" i="17"/>
  <c r="V287" i="17"/>
  <c r="AB287" i="17" s="1"/>
  <c r="X286" i="17"/>
  <c r="W286" i="17"/>
  <c r="AC286" i="17" s="1"/>
  <c r="V286" i="17"/>
  <c r="AB286" i="17" s="1"/>
  <c r="X285" i="17"/>
  <c r="W285" i="17"/>
  <c r="AC285" i="17" s="1"/>
  <c r="V285" i="17"/>
  <c r="AB285" i="17" s="1"/>
  <c r="X284" i="17"/>
  <c r="W284" i="17"/>
  <c r="V284" i="17"/>
  <c r="AB284" i="17" s="1"/>
  <c r="X283" i="17"/>
  <c r="W283" i="17"/>
  <c r="V283" i="17"/>
  <c r="AB283" i="17" s="1"/>
  <c r="X282" i="17"/>
  <c r="W282" i="17"/>
  <c r="AC282" i="17" s="1"/>
  <c r="V282" i="17"/>
  <c r="AB282" i="17" s="1"/>
  <c r="X281" i="17"/>
  <c r="W281" i="17"/>
  <c r="AC281" i="17" s="1"/>
  <c r="V281" i="17"/>
  <c r="AB281" i="17" s="1"/>
  <c r="X280" i="17"/>
  <c r="W280" i="17"/>
  <c r="V280" i="17"/>
  <c r="AB280" i="17" s="1"/>
  <c r="X279" i="17"/>
  <c r="W279" i="17"/>
  <c r="V279" i="17"/>
  <c r="AB279" i="17" s="1"/>
  <c r="X278" i="17"/>
  <c r="W278" i="17"/>
  <c r="AC278" i="17" s="1"/>
  <c r="V278" i="17"/>
  <c r="AB278" i="17" s="1"/>
  <c r="X277" i="17"/>
  <c r="W277" i="17"/>
  <c r="AC277" i="17" s="1"/>
  <c r="V277" i="17"/>
  <c r="AB277" i="17" s="1"/>
  <c r="X276" i="17"/>
  <c r="W276" i="17"/>
  <c r="V276" i="17"/>
  <c r="AB276" i="17" s="1"/>
  <c r="X275" i="17"/>
  <c r="W275" i="17"/>
  <c r="V275" i="17"/>
  <c r="AB275" i="17" s="1"/>
  <c r="X274" i="17"/>
  <c r="W274" i="17"/>
  <c r="AC274" i="17" s="1"/>
  <c r="V274" i="17"/>
  <c r="AB274" i="17" s="1"/>
  <c r="X273" i="17"/>
  <c r="W273" i="17"/>
  <c r="AC273" i="17" s="1"/>
  <c r="V273" i="17"/>
  <c r="AB273" i="17" s="1"/>
  <c r="X272" i="17"/>
  <c r="W272" i="17"/>
  <c r="V272" i="17"/>
  <c r="AB272" i="17" s="1"/>
  <c r="X271" i="17"/>
  <c r="W271" i="17"/>
  <c r="V271" i="17"/>
  <c r="AB271" i="17" s="1"/>
  <c r="X270" i="17"/>
  <c r="W270" i="17"/>
  <c r="AC270" i="17" s="1"/>
  <c r="V270" i="17"/>
  <c r="AB270" i="17" s="1"/>
  <c r="X269" i="17"/>
  <c r="W269" i="17"/>
  <c r="AC269" i="17" s="1"/>
  <c r="V269" i="17"/>
  <c r="AB269" i="17" s="1"/>
  <c r="X268" i="17"/>
  <c r="W268" i="17"/>
  <c r="V268" i="17"/>
  <c r="AB268" i="17" s="1"/>
  <c r="X267" i="17"/>
  <c r="W267" i="17"/>
  <c r="V267" i="17"/>
  <c r="AB267" i="17" s="1"/>
  <c r="X266" i="17"/>
  <c r="W266" i="17"/>
  <c r="AC266" i="17" s="1"/>
  <c r="V266" i="17"/>
  <c r="AB266" i="17" s="1"/>
  <c r="X265" i="17"/>
  <c r="W265" i="17"/>
  <c r="AC265" i="17" s="1"/>
  <c r="V265" i="17"/>
  <c r="AB265" i="17" s="1"/>
  <c r="X264" i="17"/>
  <c r="W264" i="17"/>
  <c r="V264" i="17"/>
  <c r="AB264" i="17" s="1"/>
  <c r="X263" i="17"/>
  <c r="W263" i="17"/>
  <c r="V263" i="17"/>
  <c r="AB263" i="17" s="1"/>
  <c r="X262" i="17"/>
  <c r="W262" i="17"/>
  <c r="AC262" i="17" s="1"/>
  <c r="V262" i="17"/>
  <c r="AB262" i="17" s="1"/>
  <c r="X261" i="17"/>
  <c r="W261" i="17"/>
  <c r="AC261" i="17" s="1"/>
  <c r="V261" i="17"/>
  <c r="AB261" i="17" s="1"/>
  <c r="X260" i="17"/>
  <c r="W260" i="17"/>
  <c r="V260" i="17"/>
  <c r="AB260" i="17" s="1"/>
  <c r="X259" i="17"/>
  <c r="W259" i="17"/>
  <c r="V259" i="17"/>
  <c r="AB259" i="17" s="1"/>
  <c r="X258" i="17"/>
  <c r="W258" i="17"/>
  <c r="AC258" i="17" s="1"/>
  <c r="V258" i="17"/>
  <c r="AB258" i="17" s="1"/>
  <c r="X257" i="17"/>
  <c r="W257" i="17"/>
  <c r="AC257" i="17" s="1"/>
  <c r="V257" i="17"/>
  <c r="AB257" i="17" s="1"/>
  <c r="X256" i="17"/>
  <c r="W256" i="17"/>
  <c r="V256" i="17"/>
  <c r="AB256" i="17" s="1"/>
  <c r="X255" i="17"/>
  <c r="W255" i="17"/>
  <c r="V255" i="17"/>
  <c r="AB255" i="17" s="1"/>
  <c r="X254" i="17"/>
  <c r="W254" i="17"/>
  <c r="AC254" i="17" s="1"/>
  <c r="V254" i="17"/>
  <c r="AB254" i="17" s="1"/>
  <c r="X253" i="17"/>
  <c r="W253" i="17"/>
  <c r="AC253" i="17" s="1"/>
  <c r="V253" i="17"/>
  <c r="AB253" i="17" s="1"/>
  <c r="X252" i="17"/>
  <c r="W252" i="17"/>
  <c r="V252" i="17"/>
  <c r="AB252" i="17" s="1"/>
  <c r="X251" i="17"/>
  <c r="W251" i="17"/>
  <c r="V251" i="17"/>
  <c r="AB251" i="17" s="1"/>
  <c r="X250" i="17"/>
  <c r="W250" i="17"/>
  <c r="AC250" i="17" s="1"/>
  <c r="V250" i="17"/>
  <c r="AB250" i="17" s="1"/>
  <c r="X249" i="17"/>
  <c r="W249" i="17"/>
  <c r="AC249" i="17" s="1"/>
  <c r="V249" i="17"/>
  <c r="AB249" i="17" s="1"/>
  <c r="X248" i="17"/>
  <c r="W248" i="17"/>
  <c r="V248" i="17"/>
  <c r="AB248" i="17" s="1"/>
  <c r="X247" i="17"/>
  <c r="W247" i="17"/>
  <c r="V247" i="17"/>
  <c r="AB247" i="17" s="1"/>
  <c r="X246" i="17"/>
  <c r="W246" i="17"/>
  <c r="AC246" i="17" s="1"/>
  <c r="V246" i="17"/>
  <c r="AB246" i="17" s="1"/>
  <c r="X245" i="17"/>
  <c r="W245" i="17"/>
  <c r="AC245" i="17" s="1"/>
  <c r="V245" i="17"/>
  <c r="AB245" i="17" s="1"/>
  <c r="X244" i="17"/>
  <c r="W244" i="17"/>
  <c r="V244" i="17"/>
  <c r="AB244" i="17" s="1"/>
  <c r="X243" i="17"/>
  <c r="W243" i="17"/>
  <c r="V243" i="17"/>
  <c r="AB243" i="17" s="1"/>
  <c r="X242" i="17"/>
  <c r="W242" i="17"/>
  <c r="AC242" i="17" s="1"/>
  <c r="V242" i="17"/>
  <c r="AB242" i="17" s="1"/>
  <c r="X241" i="17"/>
  <c r="W241" i="17"/>
  <c r="AC241" i="17" s="1"/>
  <c r="V241" i="17"/>
  <c r="AB241" i="17" s="1"/>
  <c r="X240" i="17"/>
  <c r="W240" i="17"/>
  <c r="V240" i="17"/>
  <c r="AB240" i="17" s="1"/>
  <c r="X239" i="17"/>
  <c r="W239" i="17"/>
  <c r="V239" i="17"/>
  <c r="AB239" i="17" s="1"/>
  <c r="X238" i="17"/>
  <c r="W238" i="17"/>
  <c r="AC238" i="17" s="1"/>
  <c r="V238" i="17"/>
  <c r="AB238" i="17" s="1"/>
  <c r="X237" i="17"/>
  <c r="W237" i="17"/>
  <c r="AC237" i="17" s="1"/>
  <c r="V237" i="17"/>
  <c r="AB237" i="17" s="1"/>
  <c r="X236" i="17"/>
  <c r="W236" i="17"/>
  <c r="V236" i="17"/>
  <c r="AB236" i="17" s="1"/>
  <c r="X235" i="17"/>
  <c r="W235" i="17"/>
  <c r="V235" i="17"/>
  <c r="AB235" i="17" s="1"/>
  <c r="X234" i="17"/>
  <c r="W234" i="17"/>
  <c r="AC234" i="17" s="1"/>
  <c r="V234" i="17"/>
  <c r="AB234" i="17" s="1"/>
  <c r="X233" i="17"/>
  <c r="W233" i="17"/>
  <c r="AC233" i="17" s="1"/>
  <c r="V233" i="17"/>
  <c r="AB233" i="17" s="1"/>
  <c r="X232" i="17"/>
  <c r="W232" i="17"/>
  <c r="V232" i="17"/>
  <c r="AB232" i="17" s="1"/>
  <c r="X231" i="17"/>
  <c r="W231" i="17"/>
  <c r="V231" i="17"/>
  <c r="AB231" i="17" s="1"/>
  <c r="X230" i="17"/>
  <c r="W230" i="17"/>
  <c r="AC230" i="17" s="1"/>
  <c r="V230" i="17"/>
  <c r="AB230" i="17" s="1"/>
  <c r="X229" i="17"/>
  <c r="W229" i="17"/>
  <c r="AC229" i="17" s="1"/>
  <c r="V229" i="17"/>
  <c r="AB229" i="17" s="1"/>
  <c r="X228" i="17"/>
  <c r="W228" i="17"/>
  <c r="V228" i="17"/>
  <c r="AB228" i="17" s="1"/>
  <c r="X203" i="17"/>
  <c r="W203" i="17"/>
  <c r="V203" i="17"/>
  <c r="AB203" i="17" s="1"/>
  <c r="X202" i="17"/>
  <c r="W202" i="17"/>
  <c r="V202" i="17"/>
  <c r="AB202" i="17" s="1"/>
  <c r="X201" i="17"/>
  <c r="W201" i="17"/>
  <c r="AC201" i="17" s="1"/>
  <c r="V201" i="17"/>
  <c r="AB201" i="17" s="1"/>
  <c r="X200" i="17"/>
  <c r="W200" i="17"/>
  <c r="V200" i="17"/>
  <c r="AB200" i="17" s="1"/>
  <c r="X199" i="17"/>
  <c r="W199" i="17"/>
  <c r="V199" i="17"/>
  <c r="AB199" i="17" s="1"/>
  <c r="X198" i="17"/>
  <c r="W198" i="17"/>
  <c r="V198" i="17"/>
  <c r="AB198" i="17" s="1"/>
  <c r="X197" i="17"/>
  <c r="W197" i="17"/>
  <c r="AC197" i="17" s="1"/>
  <c r="V197" i="17"/>
  <c r="AB197" i="17" s="1"/>
  <c r="X196" i="17"/>
  <c r="W196" i="17"/>
  <c r="V196" i="17"/>
  <c r="AB196" i="17" s="1"/>
  <c r="X195" i="17"/>
  <c r="W195" i="17"/>
  <c r="V195" i="17"/>
  <c r="AB195" i="17" s="1"/>
  <c r="X194" i="17"/>
  <c r="W194" i="17"/>
  <c r="V194" i="17"/>
  <c r="AB194" i="17" s="1"/>
  <c r="X193" i="17"/>
  <c r="W193" i="17"/>
  <c r="AC193" i="17" s="1"/>
  <c r="V193" i="17"/>
  <c r="AB193" i="17" s="1"/>
  <c r="X192" i="17"/>
  <c r="W192" i="17"/>
  <c r="V192" i="17"/>
  <c r="AB192" i="17" s="1"/>
  <c r="X191" i="17"/>
  <c r="W191" i="17"/>
  <c r="V191" i="17"/>
  <c r="AB191" i="17" s="1"/>
  <c r="X190" i="17"/>
  <c r="W190" i="17"/>
  <c r="V190" i="17"/>
  <c r="AB190" i="17" s="1"/>
  <c r="X189" i="17"/>
  <c r="W189" i="17"/>
  <c r="V189" i="17"/>
  <c r="AB189" i="17" s="1"/>
  <c r="X188" i="17"/>
  <c r="W188" i="17"/>
  <c r="V188" i="17"/>
  <c r="AB188" i="17" s="1"/>
  <c r="X187" i="17"/>
  <c r="W187" i="17"/>
  <c r="V187" i="17"/>
  <c r="AB187" i="17" s="1"/>
  <c r="X186" i="17"/>
  <c r="W186" i="17"/>
  <c r="V186" i="17"/>
  <c r="AB186" i="17" s="1"/>
  <c r="X185" i="17"/>
  <c r="W185" i="17"/>
  <c r="AC185" i="17" s="1"/>
  <c r="V185" i="17"/>
  <c r="AB185" i="17" s="1"/>
  <c r="X184" i="17"/>
  <c r="W184" i="17"/>
  <c r="V184" i="17"/>
  <c r="AB184" i="17" s="1"/>
  <c r="X183" i="17"/>
  <c r="W183" i="17"/>
  <c r="V183" i="17"/>
  <c r="AB183" i="17" s="1"/>
  <c r="X182" i="17"/>
  <c r="W182" i="17"/>
  <c r="AC182" i="17" s="1"/>
  <c r="V182" i="17"/>
  <c r="AB182" i="17" s="1"/>
  <c r="X181" i="17"/>
  <c r="W181" i="17"/>
  <c r="AC181" i="17" s="1"/>
  <c r="V181" i="17"/>
  <c r="AB181" i="17" s="1"/>
  <c r="X180" i="17"/>
  <c r="W180" i="17"/>
  <c r="V180" i="17"/>
  <c r="AB180" i="17" s="1"/>
  <c r="X179" i="17"/>
  <c r="W179" i="17"/>
  <c r="V179" i="17"/>
  <c r="AB179" i="17" s="1"/>
  <c r="X178" i="17"/>
  <c r="W178" i="17"/>
  <c r="V178" i="17"/>
  <c r="AB178" i="17" s="1"/>
  <c r="X177" i="17"/>
  <c r="W177" i="17"/>
  <c r="AC177" i="17" s="1"/>
  <c r="V177" i="17"/>
  <c r="AB177" i="17" s="1"/>
  <c r="X176" i="17"/>
  <c r="W176" i="17"/>
  <c r="V176" i="17"/>
  <c r="AB176" i="17" s="1"/>
  <c r="X175" i="17"/>
  <c r="W175" i="17"/>
  <c r="V175" i="17"/>
  <c r="AB175" i="17" s="1"/>
  <c r="X174" i="17"/>
  <c r="W174" i="17"/>
  <c r="V174" i="17"/>
  <c r="AB174" i="17" s="1"/>
  <c r="X173" i="17"/>
  <c r="W173" i="17"/>
  <c r="AC173" i="17" s="1"/>
  <c r="V173" i="17"/>
  <c r="AB173" i="17" s="1"/>
  <c r="X172" i="17"/>
  <c r="W172" i="17"/>
  <c r="V172" i="17"/>
  <c r="AB172" i="17" s="1"/>
  <c r="X171" i="17"/>
  <c r="W171" i="17"/>
  <c r="V171" i="17"/>
  <c r="AB171" i="17" s="1"/>
  <c r="X170" i="17"/>
  <c r="W170" i="17"/>
  <c r="V170" i="17"/>
  <c r="AB170" i="17" s="1"/>
  <c r="X169" i="17"/>
  <c r="W169" i="17"/>
  <c r="AC169" i="17" s="1"/>
  <c r="V169" i="17"/>
  <c r="AB169" i="17" s="1"/>
  <c r="X168" i="17"/>
  <c r="W168" i="17"/>
  <c r="V168" i="17"/>
  <c r="AB168" i="17" s="1"/>
  <c r="X167" i="17"/>
  <c r="W167" i="17"/>
  <c r="V167" i="17"/>
  <c r="AB167" i="17" s="1"/>
  <c r="X166" i="17"/>
  <c r="W166" i="17"/>
  <c r="AC166" i="17" s="1"/>
  <c r="V166" i="17"/>
  <c r="AB166" i="17" s="1"/>
  <c r="X165" i="17"/>
  <c r="W165" i="17"/>
  <c r="AC165" i="17" s="1"/>
  <c r="V165" i="17"/>
  <c r="AB165" i="17" s="1"/>
  <c r="X164" i="17"/>
  <c r="W164" i="17"/>
  <c r="V164" i="17"/>
  <c r="AB164" i="17" s="1"/>
  <c r="X163" i="17"/>
  <c r="W163" i="17"/>
  <c r="V163" i="17"/>
  <c r="AB163" i="17" s="1"/>
  <c r="X162" i="17"/>
  <c r="W162" i="17"/>
  <c r="AC162" i="17" s="1"/>
  <c r="V162" i="17"/>
  <c r="AB162" i="17" s="1"/>
  <c r="X161" i="17"/>
  <c r="W161" i="17"/>
  <c r="AC161" i="17" s="1"/>
  <c r="V161" i="17"/>
  <c r="AB161" i="17" s="1"/>
  <c r="X160" i="17"/>
  <c r="W160" i="17"/>
  <c r="V160" i="17"/>
  <c r="AB160" i="17" s="1"/>
  <c r="X159" i="17"/>
  <c r="W159" i="17"/>
  <c r="V159" i="17"/>
  <c r="AB159" i="17" s="1"/>
  <c r="X158" i="17"/>
  <c r="W158" i="17"/>
  <c r="AC158" i="17" s="1"/>
  <c r="V158" i="17"/>
  <c r="AB158" i="17" s="1"/>
  <c r="X157" i="17"/>
  <c r="W157" i="17"/>
  <c r="AC157" i="17" s="1"/>
  <c r="V157" i="17"/>
  <c r="AB157" i="17" s="1"/>
  <c r="X156" i="17"/>
  <c r="W156" i="17"/>
  <c r="V156" i="17"/>
  <c r="AB156" i="17" s="1"/>
  <c r="X155" i="17"/>
  <c r="W155" i="17"/>
  <c r="V155" i="17"/>
  <c r="AB155" i="17" s="1"/>
  <c r="X154" i="17"/>
  <c r="W154" i="17"/>
  <c r="AC154" i="17" s="1"/>
  <c r="V154" i="17"/>
  <c r="AB154" i="17" s="1"/>
  <c r="X153" i="17"/>
  <c r="W153" i="17"/>
  <c r="AC153" i="17" s="1"/>
  <c r="V153" i="17"/>
  <c r="AB153" i="17" s="1"/>
  <c r="X152" i="17"/>
  <c r="W152" i="17"/>
  <c r="V152" i="17"/>
  <c r="AB152" i="17" s="1"/>
  <c r="X151" i="17"/>
  <c r="W151" i="17"/>
  <c r="V151" i="17"/>
  <c r="AB151" i="17" s="1"/>
  <c r="X150" i="17"/>
  <c r="W150" i="17"/>
  <c r="AC150" i="17" s="1"/>
  <c r="V150" i="17"/>
  <c r="AB150" i="17" s="1"/>
  <c r="X149" i="17"/>
  <c r="W149" i="17"/>
  <c r="AC149" i="17" s="1"/>
  <c r="V149" i="17"/>
  <c r="AB149" i="17" s="1"/>
  <c r="X148" i="17"/>
  <c r="W148" i="17"/>
  <c r="V148" i="17"/>
  <c r="AB148" i="17" s="1"/>
  <c r="X147" i="17"/>
  <c r="W147" i="17"/>
  <c r="V147" i="17"/>
  <c r="AB147" i="17" s="1"/>
  <c r="X146" i="17"/>
  <c r="W146" i="17"/>
  <c r="AC146" i="17" s="1"/>
  <c r="V146" i="17"/>
  <c r="AB146" i="17" s="1"/>
  <c r="X145" i="17"/>
  <c r="W145" i="17"/>
  <c r="AC145" i="17" s="1"/>
  <c r="V145" i="17"/>
  <c r="AB145" i="17" s="1"/>
  <c r="X144" i="17"/>
  <c r="W144" i="17"/>
  <c r="V144" i="17"/>
  <c r="AB144" i="17" s="1"/>
  <c r="X143" i="17"/>
  <c r="W143" i="17"/>
  <c r="V143" i="17"/>
  <c r="AB143" i="17" s="1"/>
  <c r="X142" i="17"/>
  <c r="W142" i="17"/>
  <c r="AC142" i="17" s="1"/>
  <c r="V142" i="17"/>
  <c r="AB142" i="17" s="1"/>
  <c r="X141" i="17"/>
  <c r="W141" i="17"/>
  <c r="AC141" i="17" s="1"/>
  <c r="V141" i="17"/>
  <c r="AB141" i="17" s="1"/>
  <c r="X140" i="17"/>
  <c r="W140" i="17"/>
  <c r="V140" i="17"/>
  <c r="AB140" i="17" s="1"/>
  <c r="X139" i="17"/>
  <c r="W139" i="17"/>
  <c r="V139" i="17"/>
  <c r="AB139" i="17" s="1"/>
  <c r="X138" i="17"/>
  <c r="W138" i="17"/>
  <c r="AC138" i="17" s="1"/>
  <c r="V138" i="17"/>
  <c r="AB138" i="17" s="1"/>
  <c r="X137" i="17"/>
  <c r="W137" i="17"/>
  <c r="AC137" i="17" s="1"/>
  <c r="V137" i="17"/>
  <c r="AB137" i="17" s="1"/>
  <c r="X136" i="17"/>
  <c r="W136" i="17"/>
  <c r="V136" i="17"/>
  <c r="AB136" i="17" s="1"/>
  <c r="X135" i="17"/>
  <c r="W135" i="17"/>
  <c r="V135" i="17"/>
  <c r="AB135" i="17" s="1"/>
  <c r="X134" i="17"/>
  <c r="W134" i="17"/>
  <c r="AC134" i="17" s="1"/>
  <c r="V134" i="17"/>
  <c r="AB134" i="17" s="1"/>
  <c r="X133" i="17"/>
  <c r="W133" i="17"/>
  <c r="AC133" i="17" s="1"/>
  <c r="V133" i="17"/>
  <c r="AB133" i="17" s="1"/>
  <c r="X132" i="17"/>
  <c r="W132" i="17"/>
  <c r="V132" i="17"/>
  <c r="AB132" i="17" s="1"/>
  <c r="X131" i="17"/>
  <c r="W131" i="17"/>
  <c r="V131" i="17"/>
  <c r="AB131" i="17" s="1"/>
  <c r="X130" i="17"/>
  <c r="W130" i="17"/>
  <c r="AC130" i="17" s="1"/>
  <c r="V130" i="17"/>
  <c r="AB130" i="17" s="1"/>
  <c r="X129" i="17"/>
  <c r="W129" i="17"/>
  <c r="AC129" i="17" s="1"/>
  <c r="V129" i="17"/>
  <c r="AB129" i="17" s="1"/>
  <c r="X128" i="17"/>
  <c r="W128" i="17"/>
  <c r="V128" i="17"/>
  <c r="AB128" i="17" s="1"/>
  <c r="X127" i="17"/>
  <c r="W127" i="17"/>
  <c r="V127" i="17"/>
  <c r="AB127" i="17" s="1"/>
  <c r="X126" i="17"/>
  <c r="W126" i="17"/>
  <c r="AC126" i="17" s="1"/>
  <c r="V126" i="17"/>
  <c r="AB126" i="17" s="1"/>
  <c r="X125" i="17"/>
  <c r="W125" i="17"/>
  <c r="AC125" i="17" s="1"/>
  <c r="V125" i="17"/>
  <c r="AB125" i="17" s="1"/>
  <c r="X124" i="17"/>
  <c r="W124" i="17"/>
  <c r="V124" i="17"/>
  <c r="AB124" i="17" s="1"/>
  <c r="X123" i="17"/>
  <c r="W123" i="17"/>
  <c r="V123" i="17"/>
  <c r="AB123" i="17" s="1"/>
  <c r="X122" i="17"/>
  <c r="W122" i="17"/>
  <c r="AC122" i="17" s="1"/>
  <c r="V122" i="17"/>
  <c r="AB122" i="17" s="1"/>
  <c r="X121" i="17"/>
  <c r="W121" i="17"/>
  <c r="AC121" i="17" s="1"/>
  <c r="V121" i="17"/>
  <c r="AB121" i="17" s="1"/>
  <c r="X120" i="17"/>
  <c r="W120" i="17"/>
  <c r="V120" i="17"/>
  <c r="AB120" i="17" s="1"/>
  <c r="X119" i="17"/>
  <c r="W119" i="17"/>
  <c r="V119" i="17"/>
  <c r="AB119" i="17" s="1"/>
  <c r="X118" i="17"/>
  <c r="W118" i="17"/>
  <c r="AC118" i="17" s="1"/>
  <c r="V118" i="17"/>
  <c r="AB118" i="17" s="1"/>
  <c r="X117" i="17"/>
  <c r="W117" i="17"/>
  <c r="AC117" i="17" s="1"/>
  <c r="V117" i="17"/>
  <c r="AB117" i="17" s="1"/>
  <c r="X116" i="17"/>
  <c r="W116" i="17"/>
  <c r="V116" i="17"/>
  <c r="AB116" i="17" s="1"/>
  <c r="X115" i="17"/>
  <c r="W115" i="17"/>
  <c r="V115" i="17"/>
  <c r="AB115" i="17" s="1"/>
  <c r="X114" i="17"/>
  <c r="W114" i="17"/>
  <c r="AC114" i="17" s="1"/>
  <c r="V114" i="17"/>
  <c r="AB114" i="17" s="1"/>
  <c r="X113" i="17"/>
  <c r="W113" i="17"/>
  <c r="AC113" i="17" s="1"/>
  <c r="V113" i="17"/>
  <c r="AB113" i="17" s="1"/>
  <c r="X112" i="17"/>
  <c r="W112" i="17"/>
  <c r="V112" i="17"/>
  <c r="AB112" i="17" s="1"/>
  <c r="X111" i="17"/>
  <c r="W111" i="17"/>
  <c r="V111" i="17"/>
  <c r="AB111" i="17" s="1"/>
  <c r="X110" i="17"/>
  <c r="W110" i="17"/>
  <c r="AC110" i="17" s="1"/>
  <c r="V110" i="17"/>
  <c r="AB110" i="17" s="1"/>
  <c r="X109" i="17"/>
  <c r="W109" i="17"/>
  <c r="AC109" i="17" s="1"/>
  <c r="V109" i="17"/>
  <c r="AB109" i="17" s="1"/>
  <c r="X108" i="17"/>
  <c r="W108" i="17"/>
  <c r="V108" i="17"/>
  <c r="AB108" i="17" s="1"/>
  <c r="X50" i="17"/>
  <c r="W50" i="17"/>
  <c r="V50" i="17"/>
  <c r="AB50" i="17" s="1"/>
  <c r="X49" i="17"/>
  <c r="W49" i="17"/>
  <c r="V49" i="17"/>
  <c r="AB49" i="17" s="1"/>
  <c r="X48" i="17"/>
  <c r="W48" i="17"/>
  <c r="V48" i="17"/>
  <c r="AB48" i="17" s="1"/>
  <c r="X47" i="17"/>
  <c r="W47" i="17"/>
  <c r="V47" i="17"/>
  <c r="AB47" i="17" s="1"/>
  <c r="X46" i="17"/>
  <c r="W46" i="17"/>
  <c r="V46" i="17"/>
  <c r="AB46" i="17" s="1"/>
  <c r="X45" i="17"/>
  <c r="W45" i="17"/>
  <c r="V45" i="17"/>
  <c r="AB45" i="17" s="1"/>
  <c r="X44" i="17"/>
  <c r="W44" i="17"/>
  <c r="V44" i="17"/>
  <c r="AB44" i="17" s="1"/>
  <c r="X43" i="17"/>
  <c r="W43" i="17"/>
  <c r="V43" i="17"/>
  <c r="AB43" i="17" s="1"/>
  <c r="X42" i="17"/>
  <c r="W42" i="17"/>
  <c r="V42" i="17"/>
  <c r="AB42" i="17" s="1"/>
  <c r="X41" i="17"/>
  <c r="W41" i="17"/>
  <c r="V41" i="17"/>
  <c r="AB41" i="17" s="1"/>
  <c r="X40" i="17"/>
  <c r="W40" i="17"/>
  <c r="V40" i="17"/>
  <c r="AB40" i="17" s="1"/>
  <c r="X39" i="17"/>
  <c r="W39" i="17"/>
  <c r="V39" i="17"/>
  <c r="AB39" i="17" s="1"/>
  <c r="X38" i="17"/>
  <c r="W38" i="17"/>
  <c r="V38" i="17"/>
  <c r="AB38" i="17" s="1"/>
  <c r="X37" i="17"/>
  <c r="W37" i="17"/>
  <c r="AC37" i="17" s="1"/>
  <c r="V37" i="17"/>
  <c r="AB37" i="17" s="1"/>
  <c r="X36" i="17"/>
  <c r="W36" i="17"/>
  <c r="V36" i="17"/>
  <c r="AB36" i="17" s="1"/>
  <c r="X35" i="17"/>
  <c r="W35" i="17"/>
  <c r="V35" i="17"/>
  <c r="AB35" i="17" s="1"/>
  <c r="X34" i="17"/>
  <c r="W34" i="17"/>
  <c r="V34" i="17"/>
  <c r="AB34" i="17" s="1"/>
  <c r="X33" i="17"/>
  <c r="W33" i="17"/>
  <c r="AC33" i="17" s="1"/>
  <c r="V33" i="17"/>
  <c r="AB33" i="17" s="1"/>
  <c r="X32" i="17"/>
  <c r="W32" i="17"/>
  <c r="V32" i="17"/>
  <c r="AB32" i="17" s="1"/>
  <c r="X31" i="17"/>
  <c r="W31" i="17"/>
  <c r="V31" i="17"/>
  <c r="AB31" i="17" s="1"/>
  <c r="X30" i="17"/>
  <c r="W30" i="17"/>
  <c r="V30" i="17"/>
  <c r="AB30" i="17" s="1"/>
  <c r="X29" i="17"/>
  <c r="W29" i="17"/>
  <c r="AC29" i="17" s="1"/>
  <c r="V29" i="17"/>
  <c r="AB29" i="17" s="1"/>
  <c r="X28" i="17"/>
  <c r="W28" i="17"/>
  <c r="V28" i="17"/>
  <c r="AB28" i="17" s="1"/>
  <c r="X27" i="17"/>
  <c r="W27" i="17"/>
  <c r="V27" i="17"/>
  <c r="AB27" i="17" s="1"/>
  <c r="X26" i="17"/>
  <c r="W26" i="17"/>
  <c r="V26" i="17"/>
  <c r="AB26" i="17" s="1"/>
  <c r="X25" i="17"/>
  <c r="W25" i="17"/>
  <c r="V25" i="17"/>
  <c r="AB25" i="17" s="1"/>
  <c r="X24" i="17"/>
  <c r="W24" i="17"/>
  <c r="V24" i="17"/>
  <c r="AB24" i="17" s="1"/>
  <c r="X23" i="17"/>
  <c r="W23" i="17"/>
  <c r="V23" i="17"/>
  <c r="AB23" i="17" s="1"/>
  <c r="X22" i="17"/>
  <c r="W22" i="17"/>
  <c r="V22" i="17"/>
  <c r="AB22" i="17" s="1"/>
  <c r="X21" i="17"/>
  <c r="W21" i="17"/>
  <c r="V21" i="17"/>
  <c r="AB21" i="17" s="1"/>
  <c r="X20" i="17"/>
  <c r="W20" i="17"/>
  <c r="V20" i="17"/>
  <c r="AB20" i="17" s="1"/>
  <c r="X19" i="17"/>
  <c r="W19" i="17"/>
  <c r="V19" i="17"/>
  <c r="AB19" i="17" s="1"/>
  <c r="X18" i="17"/>
  <c r="W18" i="17"/>
  <c r="V18" i="17"/>
  <c r="AB18" i="17" s="1"/>
  <c r="X17" i="17"/>
  <c r="W17" i="17"/>
  <c r="AC17" i="17" s="1"/>
  <c r="V17" i="17"/>
  <c r="AB17" i="17" s="1"/>
  <c r="X16" i="17"/>
  <c r="W16" i="17"/>
  <c r="AC16" i="17" s="1"/>
  <c r="V16" i="17"/>
  <c r="AB16" i="17" s="1"/>
  <c r="X15" i="17"/>
  <c r="W15" i="17"/>
  <c r="V15" i="17"/>
  <c r="AB15" i="17" s="1"/>
  <c r="X14" i="17"/>
  <c r="W14" i="17"/>
  <c r="V14" i="17"/>
  <c r="AB14" i="17" s="1"/>
  <c r="X13" i="17"/>
  <c r="W13" i="17"/>
  <c r="AC13" i="17" s="1"/>
  <c r="V13" i="17"/>
  <c r="AB13" i="17" s="1"/>
  <c r="X12" i="17"/>
  <c r="W12" i="17"/>
  <c r="V12" i="17"/>
  <c r="AB12" i="17" s="1"/>
  <c r="X11" i="17"/>
  <c r="W11" i="17"/>
  <c r="V11" i="17"/>
  <c r="AB11" i="17" s="1"/>
  <c r="X10" i="17"/>
  <c r="W10" i="17"/>
  <c r="V10" i="17"/>
  <c r="AB10" i="17" s="1"/>
  <c r="X9" i="17"/>
  <c r="W9" i="17"/>
  <c r="AC9" i="17" s="1"/>
  <c r="V9" i="17"/>
  <c r="AB9" i="17" s="1"/>
  <c r="X8" i="17"/>
  <c r="W8" i="17"/>
  <c r="V8" i="17"/>
  <c r="AB8" i="17" s="1"/>
  <c r="X7" i="17"/>
  <c r="W7" i="17"/>
  <c r="V7" i="17"/>
  <c r="AB7" i="17" s="1"/>
  <c r="X6" i="17"/>
  <c r="W6" i="17"/>
  <c r="V6" i="17"/>
  <c r="AB6" i="17" s="1"/>
  <c r="X5" i="17"/>
  <c r="W5" i="17"/>
  <c r="AC5" i="17" s="1"/>
  <c r="V5" i="17"/>
  <c r="AB5" i="17" s="1"/>
  <c r="X4" i="17"/>
  <c r="W4" i="17"/>
  <c r="V4" i="17"/>
  <c r="AB4" i="17" s="1"/>
  <c r="X3" i="17"/>
  <c r="W3" i="17"/>
  <c r="V3" i="17"/>
  <c r="AB3" i="17" s="1"/>
  <c r="X2" i="17"/>
  <c r="W2" i="17"/>
  <c r="V2" i="17"/>
  <c r="AB2" i="17" s="1"/>
  <c r="AE2012" i="16"/>
  <c r="AE2011" i="16"/>
  <c r="AE2010" i="16"/>
  <c r="AE2009" i="16"/>
  <c r="AE2008" i="16"/>
  <c r="AE2007" i="16"/>
  <c r="AE2006" i="16"/>
  <c r="AE2005" i="16"/>
  <c r="AE2004" i="16"/>
  <c r="AE2003" i="16"/>
  <c r="AE2002" i="16"/>
  <c r="AE2001" i="16"/>
  <c r="AE2000" i="16"/>
  <c r="AE1999" i="16"/>
  <c r="AE1998" i="16"/>
  <c r="AE1997" i="16"/>
  <c r="AE1996" i="16"/>
  <c r="AE1995" i="16"/>
  <c r="AE1994" i="16"/>
  <c r="AE1993" i="16"/>
  <c r="AE1992" i="16"/>
  <c r="AE1991" i="16"/>
  <c r="AE1990" i="16"/>
  <c r="AD1990" i="16"/>
  <c r="AC1990" i="16"/>
  <c r="AE1989" i="16"/>
  <c r="AD1989" i="16"/>
  <c r="AC1989" i="16"/>
  <c r="AE1988" i="16"/>
  <c r="AD1988" i="16"/>
  <c r="AC1988" i="16"/>
  <c r="AE1987" i="16"/>
  <c r="AD1987" i="16"/>
  <c r="AC1987" i="16"/>
  <c r="AE1986" i="16"/>
  <c r="AD1986" i="16"/>
  <c r="AC1986" i="16"/>
  <c r="AE1985" i="16"/>
  <c r="AD1985" i="16"/>
  <c r="AC1985" i="16"/>
  <c r="AE1984" i="16"/>
  <c r="AD1984" i="16"/>
  <c r="AC1984" i="16"/>
  <c r="AE1983" i="16"/>
  <c r="AD1983" i="16"/>
  <c r="AC1983" i="16"/>
  <c r="AE1982" i="16"/>
  <c r="AD1982" i="16"/>
  <c r="AC1982" i="16"/>
  <c r="AE1981" i="16"/>
  <c r="AD1981" i="16"/>
  <c r="AC1981" i="16"/>
  <c r="AE1980" i="16"/>
  <c r="AD1980" i="16"/>
  <c r="AC1980" i="16"/>
  <c r="AE1979" i="16"/>
  <c r="AD1979" i="16"/>
  <c r="AC1979" i="16"/>
  <c r="AE1978" i="16"/>
  <c r="AD1978" i="16"/>
  <c r="AC1978" i="16"/>
  <c r="AE1977" i="16"/>
  <c r="AD1977" i="16"/>
  <c r="AC1977" i="16"/>
  <c r="AE1976" i="16"/>
  <c r="AD1976" i="16"/>
  <c r="AC1976" i="16"/>
  <c r="AE1975" i="16"/>
  <c r="AD1975" i="16"/>
  <c r="AC1975" i="16"/>
  <c r="AE1974" i="16"/>
  <c r="AD1974" i="16"/>
  <c r="AC1974" i="16"/>
  <c r="AE1973" i="16"/>
  <c r="AD1973" i="16"/>
  <c r="AC1973" i="16"/>
  <c r="AE1972" i="16"/>
  <c r="AD1972" i="16"/>
  <c r="AC1972" i="16"/>
  <c r="AE1971" i="16"/>
  <c r="AD1971" i="16"/>
  <c r="AC1971" i="16"/>
  <c r="AE1970" i="16"/>
  <c r="AD1970" i="16"/>
  <c r="AC1970" i="16"/>
  <c r="AE1969" i="16"/>
  <c r="AD1969" i="16"/>
  <c r="AC1969" i="16"/>
  <c r="AE1968" i="16"/>
  <c r="AD1968" i="16"/>
  <c r="AC1968" i="16"/>
  <c r="AE1967" i="16"/>
  <c r="AD1967" i="16"/>
  <c r="AC1967" i="16"/>
  <c r="AE1966" i="16"/>
  <c r="AD1966" i="16"/>
  <c r="AC1966" i="16"/>
  <c r="AE1965" i="16"/>
  <c r="AD1965" i="16"/>
  <c r="AC1965" i="16"/>
  <c r="AE1964" i="16"/>
  <c r="AD1964" i="16"/>
  <c r="AC1964" i="16"/>
  <c r="AE1963" i="16"/>
  <c r="AD1963" i="16"/>
  <c r="AC1963" i="16"/>
  <c r="AE1962" i="16"/>
  <c r="AD1962" i="16"/>
  <c r="AC1962" i="16"/>
  <c r="AE1961" i="16"/>
  <c r="AD1961" i="16"/>
  <c r="AC1961" i="16"/>
  <c r="AE1960" i="16"/>
  <c r="AD1960" i="16"/>
  <c r="AC1960" i="16"/>
  <c r="AE1959" i="16"/>
  <c r="AD1959" i="16"/>
  <c r="AC1959" i="16"/>
  <c r="AE1958" i="16"/>
  <c r="AD1958" i="16"/>
  <c r="AC1958" i="16"/>
  <c r="AE1957" i="16"/>
  <c r="AD1957" i="16"/>
  <c r="AC1957" i="16"/>
  <c r="AE1956" i="16"/>
  <c r="AD1956" i="16"/>
  <c r="AC1956" i="16"/>
  <c r="AE1955" i="16"/>
  <c r="AD1955" i="16"/>
  <c r="AC1955" i="16"/>
  <c r="AE1954" i="16"/>
  <c r="AE1953" i="16"/>
  <c r="AE1952" i="16"/>
  <c r="AE1951" i="16"/>
  <c r="AE1950" i="16"/>
  <c r="AE1949" i="16"/>
  <c r="AE1948" i="16"/>
  <c r="AE1947" i="16"/>
  <c r="AE1946" i="16"/>
  <c r="AE1945" i="16"/>
  <c r="AE1944" i="16"/>
  <c r="AE1943" i="16"/>
  <c r="AE1942" i="16"/>
  <c r="AE1941" i="16"/>
  <c r="AE1940" i="16"/>
  <c r="AE1939" i="16"/>
  <c r="AE1938" i="16"/>
  <c r="AE1937" i="16"/>
  <c r="AE1936" i="16"/>
  <c r="AE1935" i="16"/>
  <c r="AE1934" i="16"/>
  <c r="AE1933" i="16"/>
  <c r="AE1932" i="16"/>
  <c r="AE1931" i="16"/>
  <c r="AE1930" i="16"/>
  <c r="AE1929" i="16"/>
  <c r="AE1928" i="16"/>
  <c r="AE1927" i="16"/>
  <c r="AE1926" i="16"/>
  <c r="AE1925" i="16"/>
  <c r="AE1924" i="16"/>
  <c r="AE1923" i="16"/>
  <c r="AE1922" i="16"/>
  <c r="AE1921" i="16"/>
  <c r="AE1920" i="16"/>
  <c r="AE1919" i="16"/>
  <c r="AE1918" i="16"/>
  <c r="AE1917" i="16"/>
  <c r="AE1916" i="16"/>
  <c r="AE1915" i="16"/>
  <c r="AE1914" i="16"/>
  <c r="AE1913" i="16"/>
  <c r="AE1912" i="16"/>
  <c r="AE1911" i="16"/>
  <c r="AE1910" i="16"/>
  <c r="AE1909" i="16"/>
  <c r="AE1908" i="16"/>
  <c r="AE1907" i="16"/>
  <c r="AE1906" i="16"/>
  <c r="AE1905" i="16"/>
  <c r="AE1904" i="16"/>
  <c r="AE1903" i="16"/>
  <c r="AE1902" i="16"/>
  <c r="AE1901" i="16"/>
  <c r="AE1900" i="16"/>
  <c r="AE1899" i="16"/>
  <c r="AE1898" i="16"/>
  <c r="AE1897" i="16"/>
  <c r="AE1896" i="16"/>
  <c r="AE1895" i="16"/>
  <c r="AE1894" i="16"/>
  <c r="AE1893" i="16"/>
  <c r="AE1892" i="16"/>
  <c r="AE1891" i="16"/>
  <c r="AE1890" i="16"/>
  <c r="AE1889" i="16"/>
  <c r="AE1888" i="16"/>
  <c r="AE1887" i="16"/>
  <c r="AE1886" i="16"/>
  <c r="AE1885" i="16"/>
  <c r="AE1884" i="16"/>
  <c r="AE1883" i="16"/>
  <c r="AE1882" i="16"/>
  <c r="AE1881" i="16"/>
  <c r="AE1880" i="16"/>
  <c r="AE1879" i="16"/>
  <c r="AE1878" i="16"/>
  <c r="AE1877" i="16"/>
  <c r="AE1876" i="16"/>
  <c r="AE1875" i="16"/>
  <c r="AE1874" i="16"/>
  <c r="AE1873" i="16"/>
  <c r="AE1872" i="16"/>
  <c r="AE1871" i="16"/>
  <c r="AE1870" i="16"/>
  <c r="AE1869" i="16"/>
  <c r="AE1868" i="16"/>
  <c r="AE1867" i="16"/>
  <c r="AE1866" i="16"/>
  <c r="AE1865" i="16"/>
  <c r="AE1864" i="16"/>
  <c r="AE1863" i="16"/>
  <c r="AE1862" i="16"/>
  <c r="AE1861" i="16"/>
  <c r="AE1860" i="16"/>
  <c r="AE1859" i="16"/>
  <c r="AE1858" i="16"/>
  <c r="AE1857" i="16"/>
  <c r="AE1856" i="16"/>
  <c r="AE1855" i="16"/>
  <c r="AE1854" i="16"/>
  <c r="AE1853" i="16"/>
  <c r="AE1852" i="16"/>
  <c r="AE1851" i="16"/>
  <c r="AE1850" i="16"/>
  <c r="AE1849" i="16"/>
  <c r="AE1848" i="16"/>
  <c r="AE1847" i="16"/>
  <c r="AE1846" i="16"/>
  <c r="AE1845" i="16"/>
  <c r="AE1844" i="16"/>
  <c r="AE1843" i="16"/>
  <c r="AE1842" i="16"/>
  <c r="AE1841" i="16"/>
  <c r="AE1840" i="16"/>
  <c r="AE1839" i="16"/>
  <c r="AE1838" i="16"/>
  <c r="AE1837" i="16"/>
  <c r="AE1836" i="16"/>
  <c r="AE1835" i="16"/>
  <c r="AE1834" i="16"/>
  <c r="AE1833" i="16"/>
  <c r="AE1832" i="16"/>
  <c r="AE1831" i="16"/>
  <c r="AE1830" i="16"/>
  <c r="AE1829" i="16"/>
  <c r="AE1828" i="16"/>
  <c r="AE1827" i="16"/>
  <c r="AE1826" i="16"/>
  <c r="AE1825" i="16"/>
  <c r="AE1824" i="16"/>
  <c r="AE1823" i="16"/>
  <c r="AE1822" i="16"/>
  <c r="AE1821" i="16"/>
  <c r="AE1820" i="16"/>
  <c r="AE1819" i="16"/>
  <c r="AE1818" i="16"/>
  <c r="AE1817" i="16"/>
  <c r="AE1816" i="16"/>
  <c r="AE1815" i="16"/>
  <c r="AE1814" i="16"/>
  <c r="AE1813" i="16"/>
  <c r="AE1812" i="16"/>
  <c r="AE1811" i="16"/>
  <c r="AE1810" i="16"/>
  <c r="AE1809" i="16"/>
  <c r="AE1808" i="16"/>
  <c r="AE1807" i="16"/>
  <c r="AE1806" i="16"/>
  <c r="AE1805" i="16"/>
  <c r="AE1804" i="16"/>
  <c r="AE1803" i="16"/>
  <c r="AE1802" i="16"/>
  <c r="AE1801" i="16"/>
  <c r="AE1800" i="16"/>
  <c r="AE1799" i="16"/>
  <c r="AE1798" i="16"/>
  <c r="AE1797" i="16"/>
  <c r="AE1796" i="16"/>
  <c r="AE1795" i="16"/>
  <c r="AE1794" i="16"/>
  <c r="AE1793" i="16"/>
  <c r="AE1792" i="16"/>
  <c r="AE1791" i="16"/>
  <c r="AE1790" i="16"/>
  <c r="AE1789" i="16"/>
  <c r="AE1788" i="16"/>
  <c r="AE1787" i="16"/>
  <c r="AE1786" i="16"/>
  <c r="AE1785" i="16"/>
  <c r="AE1784" i="16"/>
  <c r="AE1783" i="16"/>
  <c r="AE1782" i="16"/>
  <c r="AE1781" i="16"/>
  <c r="AE1780" i="16"/>
  <c r="AE1779" i="16"/>
  <c r="AE1778" i="16"/>
  <c r="AE1777" i="16"/>
  <c r="AE1776" i="16"/>
  <c r="AE1775" i="16"/>
  <c r="AE1774" i="16"/>
  <c r="AE1773" i="16"/>
  <c r="AE1772" i="16"/>
  <c r="AE1771" i="16"/>
  <c r="AE1770" i="16"/>
  <c r="AE1769" i="16"/>
  <c r="AE1768" i="16"/>
  <c r="AE1767" i="16"/>
  <c r="AE1766" i="16"/>
  <c r="AE1765" i="16"/>
  <c r="AE1764" i="16"/>
  <c r="AE1763" i="16"/>
  <c r="AE1762" i="16"/>
  <c r="AE1761" i="16"/>
  <c r="AE1760" i="16"/>
  <c r="AE1759" i="16"/>
  <c r="AE1758" i="16"/>
  <c r="AE1757" i="16"/>
  <c r="AE1756" i="16"/>
  <c r="AE1755" i="16"/>
  <c r="AE1754" i="16"/>
  <c r="AE1753" i="16"/>
  <c r="AE1752" i="16"/>
  <c r="AE1751" i="16"/>
  <c r="AE1750" i="16"/>
  <c r="AE1749" i="16"/>
  <c r="AE1748" i="16"/>
  <c r="AE1747" i="16"/>
  <c r="AE1746" i="16"/>
  <c r="AE1745" i="16"/>
  <c r="AE1744" i="16"/>
  <c r="AE1743" i="16"/>
  <c r="AE1742" i="16"/>
  <c r="AE1741" i="16"/>
  <c r="AE1740" i="16"/>
  <c r="AE1739" i="16"/>
  <c r="AE1738" i="16"/>
  <c r="AE1737" i="16"/>
  <c r="AE1736" i="16"/>
  <c r="AE1735" i="16"/>
  <c r="AE1734" i="16"/>
  <c r="AE1733" i="16"/>
  <c r="AE1732" i="16"/>
  <c r="AE1731" i="16"/>
  <c r="AE1730" i="16"/>
  <c r="AE1729" i="16"/>
  <c r="AE1728" i="16"/>
  <c r="AE1727" i="16"/>
  <c r="AE1726" i="16"/>
  <c r="AE1725" i="16"/>
  <c r="AE1724" i="16"/>
  <c r="AE1723" i="16"/>
  <c r="AE1722" i="16"/>
  <c r="AE1721" i="16"/>
  <c r="AE1720" i="16"/>
  <c r="AE1719" i="16"/>
  <c r="AE1718" i="16"/>
  <c r="AE1717" i="16"/>
  <c r="AE1716" i="16"/>
  <c r="AE1715" i="16"/>
  <c r="AE1714" i="16"/>
  <c r="AE1713" i="16"/>
  <c r="AE1712" i="16"/>
  <c r="AE1711" i="16"/>
  <c r="AE1710" i="16"/>
  <c r="AE1709" i="16"/>
  <c r="AE1708" i="16"/>
  <c r="AE1707" i="16"/>
  <c r="AE1706" i="16"/>
  <c r="AE1705" i="16"/>
  <c r="AE1704" i="16"/>
  <c r="AE1703" i="16"/>
  <c r="AE1702" i="16"/>
  <c r="AE1701" i="16"/>
  <c r="AE1700" i="16"/>
  <c r="AE1699" i="16"/>
  <c r="AE1698" i="16"/>
  <c r="AE1697" i="16"/>
  <c r="AE1696" i="16"/>
  <c r="AE1695" i="16"/>
  <c r="AE1694" i="16"/>
  <c r="AE1693" i="16"/>
  <c r="AE1692" i="16"/>
  <c r="AE1691" i="16"/>
  <c r="AE1690" i="16"/>
  <c r="AE1689" i="16"/>
  <c r="AE1688" i="16"/>
  <c r="AE1687" i="16"/>
  <c r="AE1686" i="16"/>
  <c r="AE1685" i="16"/>
  <c r="AE1684" i="16"/>
  <c r="AE1683" i="16"/>
  <c r="AE1682" i="16"/>
  <c r="AE1681" i="16"/>
  <c r="AE1680" i="16"/>
  <c r="AE1679" i="16"/>
  <c r="AE1678" i="16"/>
  <c r="AE1677" i="16"/>
  <c r="AE1676" i="16"/>
  <c r="AE1675" i="16"/>
  <c r="AE1674" i="16"/>
  <c r="AE1673" i="16"/>
  <c r="AE1672" i="16"/>
  <c r="AE1671" i="16"/>
  <c r="AE1670" i="16"/>
  <c r="AE1669" i="16"/>
  <c r="AE1668" i="16"/>
  <c r="AE1667" i="16"/>
  <c r="AE1666" i="16"/>
  <c r="AE1665" i="16"/>
  <c r="AE1664" i="16"/>
  <c r="AE1663" i="16"/>
  <c r="AE1662" i="16"/>
  <c r="AE1661" i="16"/>
  <c r="AE1660" i="16"/>
  <c r="AE1659" i="16"/>
  <c r="AE1658" i="16"/>
  <c r="AE1657" i="16"/>
  <c r="AE1656" i="16"/>
  <c r="AE1655" i="16"/>
  <c r="AE1654" i="16"/>
  <c r="AE1653" i="16"/>
  <c r="AE1652" i="16"/>
  <c r="AE1651" i="16"/>
  <c r="AE1650" i="16"/>
  <c r="AE1649" i="16"/>
  <c r="AE1648" i="16"/>
  <c r="AE1647" i="16"/>
  <c r="AE1646" i="16"/>
  <c r="AE1645" i="16"/>
  <c r="AE1644" i="16"/>
  <c r="AE1643" i="16"/>
  <c r="AE1642" i="16"/>
  <c r="AE1641" i="16"/>
  <c r="AE1640" i="16"/>
  <c r="AE1639" i="16"/>
  <c r="AE1638" i="16"/>
  <c r="AE1637" i="16"/>
  <c r="AE1636" i="16"/>
  <c r="AE1635" i="16"/>
  <c r="AE1634" i="16"/>
  <c r="AE1633" i="16"/>
  <c r="AE1632" i="16"/>
  <c r="AE1631" i="16"/>
  <c r="AE1630" i="16"/>
  <c r="AE1629" i="16"/>
  <c r="AE1628" i="16"/>
  <c r="AE1627" i="16"/>
  <c r="AE1626" i="16"/>
  <c r="AE1625" i="16"/>
  <c r="AE1624" i="16"/>
  <c r="AE1623" i="16"/>
  <c r="AE1622" i="16"/>
  <c r="AE1621" i="16"/>
  <c r="AE1620" i="16"/>
  <c r="AE1619" i="16"/>
  <c r="AE1618" i="16"/>
  <c r="AE1617" i="16"/>
  <c r="AE1616" i="16"/>
  <c r="AE1615" i="16"/>
  <c r="AE1614" i="16"/>
  <c r="AE1613" i="16"/>
  <c r="AE1612" i="16"/>
  <c r="AE1611" i="16"/>
  <c r="AE1610" i="16"/>
  <c r="AE1609" i="16"/>
  <c r="AE1608" i="16"/>
  <c r="AE1607" i="16"/>
  <c r="AE1606" i="16"/>
  <c r="AE1605" i="16"/>
  <c r="AE1604" i="16"/>
  <c r="AE1603" i="16"/>
  <c r="AE1602" i="16"/>
  <c r="AE1601" i="16"/>
  <c r="AE1600" i="16"/>
  <c r="AE1599" i="16"/>
  <c r="AE1598" i="16"/>
  <c r="AE1597" i="16"/>
  <c r="AE1596" i="16"/>
  <c r="AE1595" i="16"/>
  <c r="AE1594" i="16"/>
  <c r="AE1593" i="16"/>
  <c r="AE1592" i="16"/>
  <c r="AE1591" i="16"/>
  <c r="AE1590" i="16"/>
  <c r="AE1589" i="16"/>
  <c r="AE1588" i="16"/>
  <c r="AE1587" i="16"/>
  <c r="AE1586" i="16"/>
  <c r="AE1585" i="16"/>
  <c r="AE1584" i="16"/>
  <c r="AE1583" i="16"/>
  <c r="AE1582" i="16"/>
  <c r="AE1581" i="16"/>
  <c r="AE1580" i="16"/>
  <c r="AE1579" i="16"/>
  <c r="AE1578" i="16"/>
  <c r="AE1577" i="16"/>
  <c r="AE1576" i="16"/>
  <c r="AE1575" i="16"/>
  <c r="AE1574" i="16"/>
  <c r="AE1573" i="16"/>
  <c r="AE1572" i="16"/>
  <c r="AE1571" i="16"/>
  <c r="AE1570" i="16"/>
  <c r="AE1569" i="16"/>
  <c r="AE1568" i="16"/>
  <c r="AE1567" i="16"/>
  <c r="AE1566" i="16"/>
  <c r="AE1565" i="16"/>
  <c r="AE1564" i="16"/>
  <c r="AE1563" i="16"/>
  <c r="AE1562" i="16"/>
  <c r="AE1561" i="16"/>
  <c r="AE1560" i="16"/>
  <c r="AE1559" i="16"/>
  <c r="AE1558" i="16"/>
  <c r="AE1557" i="16"/>
  <c r="AE1556" i="16"/>
  <c r="AE1555" i="16"/>
  <c r="AE1554" i="16"/>
  <c r="AE1553" i="16"/>
  <c r="AE1552" i="16"/>
  <c r="AE1551" i="16"/>
  <c r="AE1550" i="16"/>
  <c r="AE1549" i="16"/>
  <c r="AE1548" i="16"/>
  <c r="AE1547" i="16"/>
  <c r="AE1546" i="16"/>
  <c r="AE1545" i="16"/>
  <c r="AE1544" i="16"/>
  <c r="AE1543" i="16"/>
  <c r="AE1542" i="16"/>
  <c r="AE1541" i="16"/>
  <c r="AE1540" i="16"/>
  <c r="AE1539" i="16"/>
  <c r="AE1538" i="16"/>
  <c r="AE1537" i="16"/>
  <c r="AE1536" i="16"/>
  <c r="AE1535" i="16"/>
  <c r="AE1534" i="16"/>
  <c r="AE1533" i="16"/>
  <c r="AE1532" i="16"/>
  <c r="AE1531" i="16"/>
  <c r="AE1530" i="16"/>
  <c r="AE1529" i="16"/>
  <c r="AE1528" i="16"/>
  <c r="AE1527" i="16"/>
  <c r="AE1526" i="16"/>
  <c r="AE1525" i="16"/>
  <c r="AE1524" i="16"/>
  <c r="AE1523" i="16"/>
  <c r="AE1522" i="16"/>
  <c r="AE1521" i="16"/>
  <c r="AE1520" i="16"/>
  <c r="AE1519" i="16"/>
  <c r="AE1518" i="16"/>
  <c r="AE1517" i="16"/>
  <c r="AE1516" i="16"/>
  <c r="AE1515" i="16"/>
  <c r="AE1514" i="16"/>
  <c r="AE1513" i="16"/>
  <c r="AE1512" i="16"/>
  <c r="AE1511" i="16"/>
  <c r="AE1510" i="16"/>
  <c r="AE1509" i="16"/>
  <c r="AE1508" i="16"/>
  <c r="AE1507" i="16"/>
  <c r="AE1506" i="16"/>
  <c r="AE1505" i="16"/>
  <c r="AE1504" i="16"/>
  <c r="AE1503" i="16"/>
  <c r="AE1502" i="16"/>
  <c r="AE1501" i="16"/>
  <c r="AE1500" i="16"/>
  <c r="AE1499" i="16"/>
  <c r="AE1498" i="16"/>
  <c r="AE1497" i="16"/>
  <c r="AE1496" i="16"/>
  <c r="AE1495" i="16"/>
  <c r="AE1494" i="16"/>
  <c r="AE1493" i="16"/>
  <c r="AE1492" i="16"/>
  <c r="AE1491" i="16"/>
  <c r="AE1490" i="16"/>
  <c r="AE1489" i="16"/>
  <c r="AE1488" i="16"/>
  <c r="AE1487" i="16"/>
  <c r="AE1486" i="16"/>
  <c r="AE1485" i="16"/>
  <c r="AE1484" i="16"/>
  <c r="AE1483" i="16"/>
  <c r="AE1482" i="16"/>
  <c r="AE1481" i="16"/>
  <c r="AE1480" i="16"/>
  <c r="AE1479" i="16"/>
  <c r="AE1478" i="16"/>
  <c r="AE1477" i="16"/>
  <c r="AE1476" i="16"/>
  <c r="AE1475" i="16"/>
  <c r="AE1474" i="16"/>
  <c r="AE1473" i="16"/>
  <c r="AE1472" i="16"/>
  <c r="AE1471" i="16"/>
  <c r="AE1470" i="16"/>
  <c r="AE1469" i="16"/>
  <c r="AE1468" i="16"/>
  <c r="AE1467" i="16"/>
  <c r="AE1466" i="16"/>
  <c r="AE1465" i="16"/>
  <c r="AE1464" i="16"/>
  <c r="AE1463" i="16"/>
  <c r="AE1462" i="16"/>
  <c r="AE1461" i="16"/>
  <c r="AE1460" i="16"/>
  <c r="AE1459" i="16"/>
  <c r="AE1458" i="16"/>
  <c r="AE1457" i="16"/>
  <c r="AE1456" i="16"/>
  <c r="AE1455" i="16"/>
  <c r="AE1454" i="16"/>
  <c r="AE1453" i="16"/>
  <c r="AE1452" i="16"/>
  <c r="AE1451" i="16"/>
  <c r="AE1450" i="16"/>
  <c r="AE1449" i="16"/>
  <c r="AE1448" i="16"/>
  <c r="AE1447" i="16"/>
  <c r="AE1446" i="16"/>
  <c r="AE1445" i="16"/>
  <c r="AE1444" i="16"/>
  <c r="AE1443" i="16"/>
  <c r="AE1442" i="16"/>
  <c r="AE1441" i="16"/>
  <c r="AE1440" i="16"/>
  <c r="AE1439" i="16"/>
  <c r="AE1438" i="16"/>
  <c r="AE1437" i="16"/>
  <c r="AE1436" i="16"/>
  <c r="AE1435" i="16"/>
  <c r="AE1434" i="16"/>
  <c r="AE1433" i="16"/>
  <c r="AE1432" i="16"/>
  <c r="AE1431" i="16"/>
  <c r="AE1430" i="16"/>
  <c r="AE1429" i="16"/>
  <c r="AE1428" i="16"/>
  <c r="AE1427" i="16"/>
  <c r="AE1426" i="16"/>
  <c r="AE1425" i="16"/>
  <c r="AE1424" i="16"/>
  <c r="AE1423" i="16"/>
  <c r="AE1422" i="16"/>
  <c r="AE1421" i="16"/>
  <c r="AE1420" i="16"/>
  <c r="AE1419" i="16"/>
  <c r="AE1418" i="16"/>
  <c r="AE1417" i="16"/>
  <c r="AE1416" i="16"/>
  <c r="AE1415" i="16"/>
  <c r="AE1414" i="16"/>
  <c r="AE1413" i="16"/>
  <c r="AE1412" i="16"/>
  <c r="AE1411" i="16"/>
  <c r="AE1410" i="16"/>
  <c r="AE1409" i="16"/>
  <c r="AE1408" i="16"/>
  <c r="AE1407" i="16"/>
  <c r="AE1406" i="16"/>
  <c r="AE1405" i="16"/>
  <c r="AE1404" i="16"/>
  <c r="AE1403" i="16"/>
  <c r="AE1402" i="16"/>
  <c r="AE1401" i="16"/>
  <c r="AE1400" i="16"/>
  <c r="AE1399" i="16"/>
  <c r="AE1398" i="16"/>
  <c r="AE1397" i="16"/>
  <c r="AE1396" i="16"/>
  <c r="AE1395" i="16"/>
  <c r="AE1394" i="16"/>
  <c r="AE1393" i="16"/>
  <c r="AE1392" i="16"/>
  <c r="AE1391" i="16"/>
  <c r="AE1390" i="16"/>
  <c r="AE1389" i="16"/>
  <c r="AE1388" i="16"/>
  <c r="AE1387" i="16"/>
  <c r="AE1386" i="16"/>
  <c r="AE1385" i="16"/>
  <c r="AE1384" i="16"/>
  <c r="AE1383" i="16"/>
  <c r="AE1382" i="16"/>
  <c r="AE1381" i="16"/>
  <c r="AE1380" i="16"/>
  <c r="AE1379" i="16"/>
  <c r="AE1378" i="16"/>
  <c r="AE1377" i="16"/>
  <c r="AE1376" i="16"/>
  <c r="AE1375" i="16"/>
  <c r="AE1374" i="16"/>
  <c r="AE1373" i="16"/>
  <c r="AE1372" i="16"/>
  <c r="AE1371" i="16"/>
  <c r="AE1370" i="16"/>
  <c r="AE1369" i="16"/>
  <c r="AE1368" i="16"/>
  <c r="AE1367" i="16"/>
  <c r="AE1366" i="16"/>
  <c r="AE1365" i="16"/>
  <c r="AE1364" i="16"/>
  <c r="AE1363" i="16"/>
  <c r="AE1362" i="16"/>
  <c r="AE1361" i="16"/>
  <c r="AE1360" i="16"/>
  <c r="AE1359" i="16"/>
  <c r="AE1358" i="16"/>
  <c r="AE1357" i="16"/>
  <c r="AE1356" i="16"/>
  <c r="AE1355" i="16"/>
  <c r="AE1354" i="16"/>
  <c r="AE1353" i="16"/>
  <c r="AE1352" i="16"/>
  <c r="AE1351" i="16"/>
  <c r="AE1350" i="16"/>
  <c r="AE1349" i="16"/>
  <c r="AE1348" i="16"/>
  <c r="AE1347" i="16"/>
  <c r="AE1346" i="16"/>
  <c r="AE1345" i="16"/>
  <c r="AE1344" i="16"/>
  <c r="AE1343" i="16"/>
  <c r="AE1342" i="16"/>
  <c r="AE1341" i="16"/>
  <c r="AE1340" i="16"/>
  <c r="AE1339" i="16"/>
  <c r="AD1339" i="16"/>
  <c r="AC1339" i="16"/>
  <c r="AE1338" i="16"/>
  <c r="AD1338" i="16"/>
  <c r="AC1338" i="16"/>
  <c r="AE1337" i="16"/>
  <c r="AD1337" i="16"/>
  <c r="AC1337" i="16"/>
  <c r="AE1336" i="16"/>
  <c r="AD1336" i="16"/>
  <c r="AC1336" i="16"/>
  <c r="AE1335" i="16"/>
  <c r="AD1335" i="16"/>
  <c r="AC1335" i="16"/>
  <c r="AE1334" i="16"/>
  <c r="AD1334" i="16"/>
  <c r="AC1334" i="16"/>
  <c r="AE1333" i="16"/>
  <c r="AD1333" i="16"/>
  <c r="AC1333" i="16"/>
  <c r="AE1332" i="16"/>
  <c r="AD1332" i="16"/>
  <c r="AC1332" i="16"/>
  <c r="AE1331" i="16"/>
  <c r="AD1331" i="16"/>
  <c r="AC1331" i="16"/>
  <c r="AE1330" i="16"/>
  <c r="AD1330" i="16"/>
  <c r="AC1330" i="16"/>
  <c r="AE1329" i="16"/>
  <c r="AD1329" i="16"/>
  <c r="AC1329" i="16"/>
  <c r="AE1328" i="16"/>
  <c r="AD1328" i="16"/>
  <c r="AC1328" i="16"/>
  <c r="AE1327" i="16"/>
  <c r="AD1327" i="16"/>
  <c r="AC1327" i="16"/>
  <c r="AE1326" i="16"/>
  <c r="AD1326" i="16"/>
  <c r="AC1326" i="16"/>
  <c r="AE1325" i="16"/>
  <c r="AD1325" i="16"/>
  <c r="AC1325" i="16"/>
  <c r="AE1324" i="16"/>
  <c r="AD1324" i="16"/>
  <c r="AC1324" i="16"/>
  <c r="AE1323" i="16"/>
  <c r="AD1323" i="16"/>
  <c r="AC1323" i="16"/>
  <c r="AE1322" i="16"/>
  <c r="AD1322" i="16"/>
  <c r="AC1322" i="16"/>
  <c r="AE1321" i="16"/>
  <c r="AD1321" i="16"/>
  <c r="AC1321" i="16"/>
  <c r="AE1320" i="16"/>
  <c r="AD1320" i="16"/>
  <c r="AC1320" i="16"/>
  <c r="AE1319" i="16"/>
  <c r="AD1319" i="16"/>
  <c r="AC1319" i="16"/>
  <c r="AE1318" i="16"/>
  <c r="AD1318" i="16"/>
  <c r="AC1318" i="16"/>
  <c r="AE1317" i="16"/>
  <c r="AD1317" i="16"/>
  <c r="AC1317" i="16"/>
  <c r="AE1316" i="16"/>
  <c r="AD1316" i="16"/>
  <c r="AC1316" i="16"/>
  <c r="AE1315" i="16"/>
  <c r="AD1315" i="16"/>
  <c r="AC1315" i="16"/>
  <c r="AG1314" i="16"/>
  <c r="AF1314" i="16"/>
  <c r="AB1314" i="16"/>
  <c r="AG1313" i="16"/>
  <c r="AF1313" i="16"/>
  <c r="AB1313" i="16"/>
  <c r="AG1312" i="16"/>
  <c r="AF1312" i="16"/>
  <c r="AB1312" i="16"/>
  <c r="AG1311" i="16"/>
  <c r="AF1311" i="16"/>
  <c r="AB1311" i="16"/>
  <c r="AG1310" i="16"/>
  <c r="AF1310" i="16"/>
  <c r="AB1310" i="16"/>
  <c r="AG1309" i="16"/>
  <c r="AF1309" i="16"/>
  <c r="AB1309" i="16"/>
  <c r="AG1308" i="16"/>
  <c r="AF1308" i="16"/>
  <c r="AB1308" i="16"/>
  <c r="AG1307" i="16"/>
  <c r="AF1307" i="16"/>
  <c r="AB1307" i="16"/>
  <c r="AG1306" i="16"/>
  <c r="AF1306" i="16"/>
  <c r="AB1306" i="16"/>
  <c r="AG1305" i="16"/>
  <c r="AF1305" i="16"/>
  <c r="AB1305" i="16"/>
  <c r="AG1304" i="16"/>
  <c r="AF1304" i="16"/>
  <c r="AB1304" i="16"/>
  <c r="AG1303" i="16"/>
  <c r="AF1303" i="16"/>
  <c r="AB1303" i="16"/>
  <c r="AG1302" i="16"/>
  <c r="AF1302" i="16"/>
  <c r="AB1302" i="16"/>
  <c r="AG1301" i="16"/>
  <c r="AF1301" i="16"/>
  <c r="AB1301" i="16"/>
  <c r="AG1300" i="16"/>
  <c r="AF1300" i="16"/>
  <c r="AB1300" i="16"/>
  <c r="AG1299" i="16"/>
  <c r="AF1299" i="16"/>
  <c r="AB1299" i="16"/>
  <c r="AG1298" i="16"/>
  <c r="AF1298" i="16"/>
  <c r="AB1298" i="16"/>
  <c r="AG1297" i="16"/>
  <c r="AF1297" i="16"/>
  <c r="AB1297" i="16"/>
  <c r="AG1296" i="16"/>
  <c r="AF1296" i="16"/>
  <c r="AB1296" i="16"/>
  <c r="AG1295" i="16"/>
  <c r="AF1295" i="16"/>
  <c r="AB1295" i="16"/>
  <c r="AG1294" i="16"/>
  <c r="AF1294" i="16"/>
  <c r="AB1294" i="16"/>
  <c r="AG1293" i="16"/>
  <c r="AF1293" i="16"/>
  <c r="AB1293" i="16"/>
  <c r="AG1292" i="16"/>
  <c r="AF1292" i="16"/>
  <c r="AB1292" i="16"/>
  <c r="AG1291" i="16"/>
  <c r="AF1291" i="16"/>
  <c r="AB1291" i="16"/>
  <c r="AG1290" i="16"/>
  <c r="AF1290" i="16"/>
  <c r="AB1290" i="16"/>
  <c r="AE1289" i="16"/>
  <c r="AD1289" i="16"/>
  <c r="AC1289" i="16"/>
  <c r="AE1288" i="16"/>
  <c r="AD1288" i="16"/>
  <c r="AC1288" i="16"/>
  <c r="AE1287" i="16"/>
  <c r="AD1287" i="16"/>
  <c r="AC1287" i="16"/>
  <c r="AE1286" i="16"/>
  <c r="AD1286" i="16"/>
  <c r="AC1286" i="16"/>
  <c r="AE1285" i="16"/>
  <c r="AD1285" i="16"/>
  <c r="AC1285" i="16"/>
  <c r="AE1284" i="16"/>
  <c r="AD1284" i="16"/>
  <c r="AC1284" i="16"/>
  <c r="AE1283" i="16"/>
  <c r="AD1283" i="16"/>
  <c r="AC1283" i="16"/>
  <c r="AE1282" i="16"/>
  <c r="AD1282" i="16"/>
  <c r="AC1282" i="16"/>
  <c r="AE1281" i="16"/>
  <c r="AD1281" i="16"/>
  <c r="AC1281" i="16"/>
  <c r="AE1280" i="16"/>
  <c r="AD1280" i="16"/>
  <c r="AC1280" i="16"/>
  <c r="AE1279" i="16"/>
  <c r="AD1279" i="16"/>
  <c r="AC1279" i="16"/>
  <c r="AE1278" i="16"/>
  <c r="AD1278" i="16"/>
  <c r="AC1278" i="16"/>
  <c r="AE1277" i="16"/>
  <c r="AD1277" i="16"/>
  <c r="AC1277" i="16"/>
  <c r="AE1276" i="16"/>
  <c r="AD1276" i="16"/>
  <c r="AC1276" i="16"/>
  <c r="AE1275" i="16"/>
  <c r="AD1275" i="16"/>
  <c r="AC1275" i="16"/>
  <c r="AE1274" i="16"/>
  <c r="AD1274" i="16"/>
  <c r="AC1274" i="16"/>
  <c r="AE1273" i="16"/>
  <c r="AD1273" i="16"/>
  <c r="AC1273" i="16"/>
  <c r="AE1272" i="16"/>
  <c r="AD1272" i="16"/>
  <c r="AC1272" i="16"/>
  <c r="AE1271" i="16"/>
  <c r="AD1271" i="16"/>
  <c r="AC1271" i="16"/>
  <c r="AE1270" i="16"/>
  <c r="AD1270" i="16"/>
  <c r="AC1270" i="16"/>
  <c r="AE1269" i="16"/>
  <c r="AD1269" i="16"/>
  <c r="AC1269" i="16"/>
  <c r="AE1268" i="16"/>
  <c r="AD1268" i="16"/>
  <c r="AC1268" i="16"/>
  <c r="AE1267" i="16"/>
  <c r="AD1267" i="16"/>
  <c r="AC1267" i="16"/>
  <c r="AE1266" i="16"/>
  <c r="AD1266" i="16"/>
  <c r="AC1266" i="16"/>
  <c r="AE1265" i="16"/>
  <c r="AD1265" i="16"/>
  <c r="AC1265" i="16"/>
  <c r="AE1264" i="16"/>
  <c r="AD1264" i="16"/>
  <c r="AC1264" i="16"/>
  <c r="AE1263" i="16"/>
  <c r="AD1263" i="16"/>
  <c r="AC1263" i="16"/>
  <c r="AE1262" i="16"/>
  <c r="AD1262" i="16"/>
  <c r="AC1262" i="16"/>
  <c r="AE1261" i="16"/>
  <c r="AD1261" i="16"/>
  <c r="AC1261" i="16"/>
  <c r="AE1260" i="16"/>
  <c r="AD1260" i="16"/>
  <c r="AC1260" i="16"/>
  <c r="AE1259" i="16"/>
  <c r="AD1259" i="16"/>
  <c r="AC1259" i="16"/>
  <c r="AE1258" i="16"/>
  <c r="AD1258" i="16"/>
  <c r="AC1258" i="16"/>
  <c r="AE1257" i="16"/>
  <c r="AD1257" i="16"/>
  <c r="AC1257" i="16"/>
  <c r="AE1256" i="16"/>
  <c r="AD1256" i="16"/>
  <c r="AC1256" i="16"/>
  <c r="AE1255" i="16"/>
  <c r="AD1255" i="16"/>
  <c r="AC1255" i="16"/>
  <c r="AE1254" i="16"/>
  <c r="AD1254" i="16"/>
  <c r="AC1254" i="16"/>
  <c r="AE1253" i="16"/>
  <c r="AD1253" i="16"/>
  <c r="AC1253" i="16"/>
  <c r="AE1252" i="16"/>
  <c r="AD1252" i="16"/>
  <c r="AC1252" i="16"/>
  <c r="AE1251" i="16"/>
  <c r="AD1251" i="16"/>
  <c r="AC1251" i="16"/>
  <c r="AE1250" i="16"/>
  <c r="AD1250" i="16"/>
  <c r="AC1250" i="16"/>
  <c r="AE1249" i="16"/>
  <c r="AD1249" i="16"/>
  <c r="AC1249" i="16"/>
  <c r="AE1248" i="16"/>
  <c r="AD1248" i="16"/>
  <c r="AC1248" i="16"/>
  <c r="AE1247" i="16"/>
  <c r="AD1247" i="16"/>
  <c r="AC1247" i="16"/>
  <c r="AE1246" i="16"/>
  <c r="AD1246" i="16"/>
  <c r="AC1246" i="16"/>
  <c r="AE1245" i="16"/>
  <c r="AD1245" i="16"/>
  <c r="AC1245" i="16"/>
  <c r="AE1244" i="16"/>
  <c r="AD1244" i="16"/>
  <c r="AC1244" i="16"/>
  <c r="AE1243" i="16"/>
  <c r="AD1243" i="16"/>
  <c r="AC1243" i="16"/>
  <c r="AE1242" i="16"/>
  <c r="AD1242" i="16"/>
  <c r="AC1242" i="16"/>
  <c r="AE1241" i="16"/>
  <c r="AD1241" i="16"/>
  <c r="AC1241" i="16"/>
  <c r="AG1240" i="16"/>
  <c r="AF1240" i="16"/>
  <c r="AB1240" i="16"/>
  <c r="AG1239" i="16"/>
  <c r="AF1239" i="16"/>
  <c r="AB1239" i="16"/>
  <c r="AG1238" i="16"/>
  <c r="AF1238" i="16"/>
  <c r="AB1238" i="16"/>
  <c r="AG1237" i="16"/>
  <c r="AF1237" i="16"/>
  <c r="AB1237" i="16"/>
  <c r="AG1236" i="16"/>
  <c r="AF1236" i="16"/>
  <c r="AB1236" i="16"/>
  <c r="AG1235" i="16"/>
  <c r="AF1235" i="16"/>
  <c r="AB1235" i="16"/>
  <c r="AG1234" i="16"/>
  <c r="AF1234" i="16"/>
  <c r="AB1234" i="16"/>
  <c r="AG1233" i="16"/>
  <c r="AF1233" i="16"/>
  <c r="AB1233" i="16"/>
  <c r="AG1232" i="16"/>
  <c r="AF1232" i="16"/>
  <c r="AB1232" i="16"/>
  <c r="AG1231" i="16"/>
  <c r="AF1231" i="16"/>
  <c r="AB1231" i="16"/>
  <c r="AG1230" i="16"/>
  <c r="AF1230" i="16"/>
  <c r="AB1230" i="16"/>
  <c r="AG1229" i="16"/>
  <c r="AF1229" i="16"/>
  <c r="AB1229" i="16"/>
  <c r="AG1228" i="16"/>
  <c r="AF1228" i="16"/>
  <c r="AB1228" i="16"/>
  <c r="AG1227" i="16"/>
  <c r="AF1227" i="16"/>
  <c r="AB1227" i="16"/>
  <c r="AG1226" i="16"/>
  <c r="AF1226" i="16"/>
  <c r="AB1226" i="16"/>
  <c r="AG1225" i="16"/>
  <c r="AF1225" i="16"/>
  <c r="AB1225" i="16"/>
  <c r="AG1224" i="16"/>
  <c r="AF1224" i="16"/>
  <c r="AB1224" i="16"/>
  <c r="AG1223" i="16"/>
  <c r="AF1223" i="16"/>
  <c r="AB1223" i="16"/>
  <c r="AG1222" i="16"/>
  <c r="AF1222" i="16"/>
  <c r="AB1222" i="16"/>
  <c r="AG1221" i="16"/>
  <c r="AF1221" i="16"/>
  <c r="AB1221" i="16"/>
  <c r="AG1220" i="16"/>
  <c r="AF1220" i="16"/>
  <c r="AB1220" i="16"/>
  <c r="AG1219" i="16"/>
  <c r="AF1219" i="16"/>
  <c r="AB1219" i="16"/>
  <c r="AG1218" i="16"/>
  <c r="AF1218" i="16"/>
  <c r="AB1218" i="16"/>
  <c r="AG1217" i="16"/>
  <c r="AF1217" i="16"/>
  <c r="AB1217" i="16"/>
  <c r="AE1216" i="16"/>
  <c r="AD1216" i="16"/>
  <c r="AC1216" i="16"/>
  <c r="AE1215" i="16"/>
  <c r="AD1215" i="16"/>
  <c r="AC1215" i="16"/>
  <c r="AE1214" i="16"/>
  <c r="AD1214" i="16"/>
  <c r="AC1214" i="16"/>
  <c r="AE1213" i="16"/>
  <c r="AD1213" i="16"/>
  <c r="AC1213" i="16"/>
  <c r="AE1212" i="16"/>
  <c r="AD1212" i="16"/>
  <c r="AC1212" i="16"/>
  <c r="AE1211" i="16"/>
  <c r="AD1211" i="16"/>
  <c r="AC1211" i="16"/>
  <c r="AE1210" i="16"/>
  <c r="AD1210" i="16"/>
  <c r="AC1210" i="16"/>
  <c r="AE1209" i="16"/>
  <c r="AD1209" i="16"/>
  <c r="AC1209" i="16"/>
  <c r="AE1208" i="16"/>
  <c r="AD1208" i="16"/>
  <c r="AC1208" i="16"/>
  <c r="AE1207" i="16"/>
  <c r="AD1207" i="16"/>
  <c r="AC1207" i="16"/>
  <c r="AE1206" i="16"/>
  <c r="AD1206" i="16"/>
  <c r="AC1206" i="16"/>
  <c r="AE1205" i="16"/>
  <c r="AD1205" i="16"/>
  <c r="AC1205" i="16"/>
  <c r="AE1204" i="16"/>
  <c r="AD1204" i="16"/>
  <c r="AC1204" i="16"/>
  <c r="AE1203" i="16"/>
  <c r="AD1203" i="16"/>
  <c r="AC1203" i="16"/>
  <c r="AE1202" i="16"/>
  <c r="AD1202" i="16"/>
  <c r="AC1202" i="16"/>
  <c r="AE1201" i="16"/>
  <c r="AD1201" i="16"/>
  <c r="AC1201" i="16"/>
  <c r="AE1200" i="16"/>
  <c r="AD1200" i="16"/>
  <c r="AC1200" i="16"/>
  <c r="AE1199" i="16"/>
  <c r="AD1199" i="16"/>
  <c r="AC1199" i="16"/>
  <c r="AE1198" i="16"/>
  <c r="AD1198" i="16"/>
  <c r="AC1198" i="16"/>
  <c r="AE1197" i="16"/>
  <c r="AD1197" i="16"/>
  <c r="AC1197" i="16"/>
  <c r="AE1196" i="16"/>
  <c r="AD1196" i="16"/>
  <c r="AC1196" i="16"/>
  <c r="AE1195" i="16"/>
  <c r="AD1195" i="16"/>
  <c r="AC1195" i="16"/>
  <c r="AE1194" i="16"/>
  <c r="AD1194" i="16"/>
  <c r="AC1194" i="16"/>
  <c r="AE1193" i="16"/>
  <c r="AD1193" i="16"/>
  <c r="AC1193" i="16"/>
  <c r="AE1192" i="16"/>
  <c r="AD1192" i="16"/>
  <c r="AC1192" i="16"/>
  <c r="AE1191" i="16"/>
  <c r="AD1191" i="16"/>
  <c r="AC1191" i="16"/>
  <c r="AE1190" i="16"/>
  <c r="AD1190" i="16"/>
  <c r="AC1190" i="16"/>
  <c r="AE1189" i="16"/>
  <c r="AD1189" i="16"/>
  <c r="AC1189" i="16"/>
  <c r="AE1188" i="16"/>
  <c r="AD1188" i="16"/>
  <c r="AC1188" i="16"/>
  <c r="AE1187" i="16"/>
  <c r="AD1187" i="16"/>
  <c r="AC1187" i="16"/>
  <c r="AE1186" i="16"/>
  <c r="AD1186" i="16"/>
  <c r="AC1186" i="16"/>
  <c r="AE1185" i="16"/>
  <c r="AD1185" i="16"/>
  <c r="AC1185" i="16"/>
  <c r="AE1184" i="16"/>
  <c r="AD1184" i="16"/>
  <c r="AC1184" i="16"/>
  <c r="AE1183" i="16"/>
  <c r="AD1183" i="16"/>
  <c r="AC1183" i="16"/>
  <c r="AE1182" i="16"/>
  <c r="AD1182" i="16"/>
  <c r="AC1182" i="16"/>
  <c r="AE1181" i="16"/>
  <c r="AD1181" i="16"/>
  <c r="AC1181" i="16"/>
  <c r="AE1180" i="16"/>
  <c r="AD1180" i="16"/>
  <c r="AC1180" i="16"/>
  <c r="AE1179" i="16"/>
  <c r="AD1179" i="16"/>
  <c r="AC1179" i="16"/>
  <c r="AE1178" i="16"/>
  <c r="AD1178" i="16"/>
  <c r="AC1178" i="16"/>
  <c r="AE1177" i="16"/>
  <c r="AD1177" i="16"/>
  <c r="AC1177" i="16"/>
  <c r="AE1176" i="16"/>
  <c r="AD1176" i="16"/>
  <c r="AC1176" i="16"/>
  <c r="AG1175" i="16"/>
  <c r="AF1175" i="16"/>
  <c r="AB1175" i="16"/>
  <c r="AG1174" i="16"/>
  <c r="AF1174" i="16"/>
  <c r="AB1174" i="16"/>
  <c r="AG1173" i="16"/>
  <c r="AF1173" i="16"/>
  <c r="AB1173" i="16"/>
  <c r="AG1172" i="16"/>
  <c r="AF1172" i="16"/>
  <c r="AB1172" i="16"/>
  <c r="AG1171" i="16"/>
  <c r="AF1171" i="16"/>
  <c r="AB1171" i="16"/>
  <c r="AG1170" i="16"/>
  <c r="AF1170" i="16"/>
  <c r="AB1170" i="16"/>
  <c r="AG1169" i="16"/>
  <c r="AF1169" i="16"/>
  <c r="AB1169" i="16"/>
  <c r="AG1168" i="16"/>
  <c r="AF1168" i="16"/>
  <c r="AB1168" i="16"/>
  <c r="AG1167" i="16"/>
  <c r="AF1167" i="16"/>
  <c r="AB1167" i="16"/>
  <c r="AG1166" i="16"/>
  <c r="AF1166" i="16"/>
  <c r="AB1166" i="16"/>
  <c r="AG1165" i="16"/>
  <c r="AF1165" i="16"/>
  <c r="AB1165" i="16"/>
  <c r="AG1164" i="16"/>
  <c r="AF1164" i="16"/>
  <c r="AB1164" i="16"/>
  <c r="AG1163" i="16"/>
  <c r="AF1163" i="16"/>
  <c r="AB1163" i="16"/>
  <c r="AG1162" i="16"/>
  <c r="AF1162" i="16"/>
  <c r="AB1162" i="16"/>
  <c r="AG1161" i="16"/>
  <c r="AF1161" i="16"/>
  <c r="AB1161" i="16"/>
  <c r="AG1160" i="16"/>
  <c r="AF1160" i="16"/>
  <c r="AB1160" i="16"/>
  <c r="AG1159" i="16"/>
  <c r="AF1159" i="16"/>
  <c r="AB1159" i="16"/>
  <c r="AG1158" i="16"/>
  <c r="AF1158" i="16"/>
  <c r="AB1158" i="16"/>
  <c r="AG1157" i="16"/>
  <c r="AF1157" i="16"/>
  <c r="AB1157" i="16"/>
  <c r="AG1156" i="16"/>
  <c r="AF1156" i="16"/>
  <c r="AB1156" i="16"/>
  <c r="AG1155" i="16"/>
  <c r="AF1155" i="16"/>
  <c r="AB1155" i="16"/>
  <c r="AG1154" i="16"/>
  <c r="AF1154" i="16"/>
  <c r="AB1154" i="16"/>
  <c r="AG1153" i="16"/>
  <c r="AF1153" i="16"/>
  <c r="AB1153" i="16"/>
  <c r="AG1152" i="16"/>
  <c r="AF1152" i="16"/>
  <c r="AB1152" i="16"/>
  <c r="AG1151" i="16"/>
  <c r="AF1151" i="16"/>
  <c r="AB1151" i="16"/>
  <c r="AG1150" i="16"/>
  <c r="AF1150" i="16"/>
  <c r="AB1150" i="16"/>
  <c r="AG1149" i="16"/>
  <c r="AF1149" i="16"/>
  <c r="AB1149" i="16"/>
  <c r="AG1148" i="16"/>
  <c r="AF1148" i="16"/>
  <c r="AB1148" i="16"/>
  <c r="AG1147" i="16"/>
  <c r="AF1147" i="16"/>
  <c r="AB1147" i="16"/>
  <c r="AG1146" i="16"/>
  <c r="AF1146" i="16"/>
  <c r="AB1146" i="16"/>
  <c r="AG1145" i="16"/>
  <c r="AF1145" i="16"/>
  <c r="AB1145" i="16"/>
  <c r="AE1144" i="16"/>
  <c r="AD1144" i="16"/>
  <c r="AC1144" i="16"/>
  <c r="AE1143" i="16"/>
  <c r="AD1143" i="16"/>
  <c r="AC1143" i="16"/>
  <c r="AE1142" i="16"/>
  <c r="AD1142" i="16"/>
  <c r="AC1142" i="16"/>
  <c r="AE1141" i="16"/>
  <c r="AD1141" i="16"/>
  <c r="AC1141" i="16"/>
  <c r="AE1140" i="16"/>
  <c r="AD1140" i="16"/>
  <c r="AC1140" i="16"/>
  <c r="AE1139" i="16"/>
  <c r="AD1139" i="16"/>
  <c r="AC1139" i="16"/>
  <c r="AE1138" i="16"/>
  <c r="AD1138" i="16"/>
  <c r="AC1138" i="16"/>
  <c r="AE1137" i="16"/>
  <c r="AD1137" i="16"/>
  <c r="AC1137" i="16"/>
  <c r="AE1136" i="16"/>
  <c r="AD1136" i="16"/>
  <c r="AC1136" i="16"/>
  <c r="AE1135" i="16"/>
  <c r="AD1135" i="16"/>
  <c r="AC1135" i="16"/>
  <c r="AE1134" i="16"/>
  <c r="AD1134" i="16"/>
  <c r="AC1134" i="16"/>
  <c r="AE1133" i="16"/>
  <c r="AD1133" i="16"/>
  <c r="AC1133" i="16"/>
  <c r="AE1132" i="16"/>
  <c r="AD1132" i="16"/>
  <c r="AC1132" i="16"/>
  <c r="AE1131" i="16"/>
  <c r="AD1131" i="16"/>
  <c r="AC1131" i="16"/>
  <c r="AE1130" i="16"/>
  <c r="AD1130" i="16"/>
  <c r="AC1130" i="16"/>
  <c r="AE1129" i="16"/>
  <c r="AD1129" i="16"/>
  <c r="AC1129" i="16"/>
  <c r="AE1128" i="16"/>
  <c r="AD1128" i="16"/>
  <c r="AC1128" i="16"/>
  <c r="AE1127" i="16"/>
  <c r="AD1127" i="16"/>
  <c r="AC1127" i="16"/>
  <c r="AE1126" i="16"/>
  <c r="AE1125" i="16"/>
  <c r="AE1124" i="16"/>
  <c r="AE1123" i="16"/>
  <c r="AE1122" i="16"/>
  <c r="AE1121" i="16"/>
  <c r="AE1120" i="16"/>
  <c r="AE1119" i="16"/>
  <c r="AE1118" i="16"/>
  <c r="AE1117" i="16"/>
  <c r="AE1116" i="16"/>
  <c r="AE1115" i="16"/>
  <c r="AE1114" i="16"/>
  <c r="AE1113" i="16"/>
  <c r="AE1112" i="16"/>
  <c r="AE1111" i="16"/>
  <c r="AE1110" i="16"/>
  <c r="AE1109" i="16"/>
  <c r="AE1108" i="16"/>
  <c r="AE1107" i="16"/>
  <c r="AE1106" i="16"/>
  <c r="AE1105" i="16"/>
  <c r="AE1104" i="16"/>
  <c r="AE1103" i="16"/>
  <c r="AE1102" i="16"/>
  <c r="AE1101" i="16"/>
  <c r="AE1100" i="16"/>
  <c r="AE1099" i="16"/>
  <c r="AE1098" i="16"/>
  <c r="AE1097" i="16"/>
  <c r="AE1096" i="16"/>
  <c r="AE1095" i="16"/>
  <c r="AE1094" i="16"/>
  <c r="AE1093" i="16"/>
  <c r="AE1092" i="16"/>
  <c r="AG1091" i="16"/>
  <c r="AF1091" i="16"/>
  <c r="AG1090" i="16"/>
  <c r="AF1090" i="16"/>
  <c r="AG1089" i="16"/>
  <c r="AF1089" i="16"/>
  <c r="AG1088" i="16"/>
  <c r="AF1088" i="16"/>
  <c r="AG1087" i="16"/>
  <c r="AF1087" i="16"/>
  <c r="AG1086" i="16"/>
  <c r="AF1086" i="16"/>
  <c r="AG1085" i="16"/>
  <c r="AF1085" i="16"/>
  <c r="AG1084" i="16"/>
  <c r="AF1084" i="16"/>
  <c r="AG1083" i="16"/>
  <c r="AF1083" i="16"/>
  <c r="AG1082" i="16"/>
  <c r="AF1082" i="16"/>
  <c r="AG1081" i="16"/>
  <c r="AF1081" i="16"/>
  <c r="AG1080" i="16"/>
  <c r="AF1080" i="16"/>
  <c r="AG1079" i="16"/>
  <c r="AF1079" i="16"/>
  <c r="AG1078" i="16"/>
  <c r="AF1078" i="16"/>
  <c r="AG1077" i="16"/>
  <c r="AF1077" i="16"/>
  <c r="AG1076" i="16"/>
  <c r="AF1076" i="16"/>
  <c r="AE1075" i="16"/>
  <c r="AE1074" i="16"/>
  <c r="AE1073" i="16"/>
  <c r="AE1072" i="16"/>
  <c r="AE1071" i="16"/>
  <c r="AE1070" i="16"/>
  <c r="AE1069" i="16"/>
  <c r="AE1068" i="16"/>
  <c r="AE1067" i="16"/>
  <c r="AE1066" i="16"/>
  <c r="AE1065" i="16"/>
  <c r="AE1064" i="16"/>
  <c r="AE1063" i="16"/>
  <c r="AE1062" i="16"/>
  <c r="AE1061" i="16"/>
  <c r="AE1060" i="16"/>
  <c r="AE1059" i="16"/>
  <c r="AE1058" i="16"/>
  <c r="AE1057" i="16"/>
  <c r="AE1056" i="16"/>
  <c r="AE1055" i="16"/>
  <c r="AE1054" i="16"/>
  <c r="AE1053" i="16"/>
  <c r="AE1052" i="16"/>
  <c r="AE1051" i="16"/>
  <c r="AE1050" i="16"/>
  <c r="AE1049" i="16"/>
  <c r="AE1048" i="16"/>
  <c r="AE1047" i="16"/>
  <c r="AE1046" i="16"/>
  <c r="AE1045" i="16"/>
  <c r="AE1044" i="16"/>
  <c r="AE1043" i="16"/>
  <c r="AE1042" i="16"/>
  <c r="AE1041" i="16"/>
  <c r="AE1040" i="16"/>
  <c r="AE1039" i="16"/>
  <c r="AE1038" i="16"/>
  <c r="AE1037" i="16"/>
  <c r="AE1036" i="16"/>
  <c r="AE1035" i="16"/>
  <c r="AE1034" i="16"/>
  <c r="AE1033" i="16"/>
  <c r="AE1032" i="16"/>
  <c r="AG1031" i="16"/>
  <c r="AF1031" i="16"/>
  <c r="AG1030" i="16"/>
  <c r="AF1030" i="16"/>
  <c r="AG1029" i="16"/>
  <c r="AF1029" i="16"/>
  <c r="AG1028" i="16"/>
  <c r="AF1028" i="16"/>
  <c r="AG1027" i="16"/>
  <c r="AF1027" i="16"/>
  <c r="AG1026" i="16"/>
  <c r="AF1026" i="16"/>
  <c r="AG1025" i="16"/>
  <c r="AF1025" i="16"/>
  <c r="AG1024" i="16"/>
  <c r="AF1024" i="16"/>
  <c r="AG1023" i="16"/>
  <c r="AF1023" i="16"/>
  <c r="AG1022" i="16"/>
  <c r="AF1022" i="16"/>
  <c r="AG1021" i="16"/>
  <c r="AF1021" i="16"/>
  <c r="AG1020" i="16"/>
  <c r="AF1020" i="16"/>
  <c r="AG1019" i="16"/>
  <c r="AF1019" i="16"/>
  <c r="AG1018" i="16"/>
  <c r="AF1018" i="16"/>
  <c r="AG1017" i="16"/>
  <c r="AF1017" i="16"/>
  <c r="AG1016" i="16"/>
  <c r="AF1016" i="16"/>
  <c r="AG1015" i="16"/>
  <c r="AF1015" i="16"/>
  <c r="AG1014" i="16"/>
  <c r="AF1014" i="16"/>
  <c r="AG1013" i="16"/>
  <c r="AF1013" i="16"/>
  <c r="AG1012" i="16"/>
  <c r="AF1012" i="16"/>
  <c r="AG1011" i="16"/>
  <c r="AF1011" i="16"/>
  <c r="AG1010" i="16"/>
  <c r="AF1010" i="16"/>
  <c r="AG1009" i="16"/>
  <c r="AF1009" i="16"/>
  <c r="AG1008" i="16"/>
  <c r="AF1008" i="16"/>
  <c r="AG1007" i="16"/>
  <c r="AF1007" i="16"/>
  <c r="AG1006" i="16"/>
  <c r="AF1006" i="16"/>
  <c r="AG1005" i="16"/>
  <c r="AF1005" i="16"/>
  <c r="AG1004" i="16"/>
  <c r="AF1004" i="16"/>
  <c r="AE1003" i="16"/>
  <c r="AE1002" i="16"/>
  <c r="AE1001" i="16"/>
  <c r="AE1000" i="16"/>
  <c r="AE999" i="16"/>
  <c r="AE998" i="16"/>
  <c r="AE997" i="16"/>
  <c r="AE996" i="16"/>
  <c r="AE995" i="16"/>
  <c r="AE994" i="16"/>
  <c r="AE993" i="16"/>
  <c r="AE992" i="16"/>
  <c r="AE991" i="16"/>
  <c r="AE990" i="16"/>
  <c r="AE989" i="16"/>
  <c r="AE988" i="16"/>
  <c r="AE987" i="16"/>
  <c r="AE986" i="16"/>
  <c r="AE985" i="16"/>
  <c r="AE984" i="16"/>
  <c r="AE983" i="16"/>
  <c r="AE982" i="16"/>
  <c r="AE981" i="16"/>
  <c r="AE980" i="16"/>
  <c r="AE979" i="16"/>
  <c r="AE978" i="16"/>
  <c r="AE977" i="16"/>
  <c r="AE976" i="16"/>
  <c r="AG975" i="16"/>
  <c r="AE975" i="16"/>
  <c r="AE974" i="16"/>
  <c r="AE973" i="16"/>
  <c r="AG972" i="16"/>
  <c r="AE972" i="16"/>
  <c r="AE971" i="16"/>
  <c r="AE970" i="16"/>
  <c r="AG969" i="16"/>
  <c r="AE969" i="16"/>
  <c r="AE968" i="16"/>
  <c r="AE967" i="16"/>
  <c r="AE966" i="16"/>
  <c r="AG965" i="16"/>
  <c r="AE965" i="16"/>
  <c r="AE964" i="16"/>
  <c r="AE963" i="16"/>
  <c r="AE962" i="16"/>
  <c r="AG961" i="16"/>
  <c r="AE961" i="16"/>
  <c r="AE960" i="16"/>
  <c r="AE959" i="16"/>
  <c r="AE958" i="16"/>
  <c r="AG957" i="16"/>
  <c r="AE957" i="16"/>
  <c r="AE956" i="16"/>
  <c r="AE955" i="16"/>
  <c r="AE954" i="16"/>
  <c r="AG953" i="16"/>
  <c r="AE953" i="16"/>
  <c r="AE952" i="16"/>
  <c r="AE951" i="16"/>
  <c r="AE950" i="16"/>
  <c r="AG949" i="16"/>
  <c r="AE949" i="16"/>
  <c r="AE948" i="16"/>
  <c r="AE947" i="16"/>
  <c r="AE946" i="16"/>
  <c r="AG945" i="16"/>
  <c r="AE945" i="16"/>
  <c r="AE944" i="16"/>
  <c r="AE943" i="16"/>
  <c r="AE942" i="16"/>
  <c r="AG941" i="16"/>
  <c r="AE941" i="16"/>
  <c r="AE940" i="16"/>
  <c r="AE939" i="16"/>
  <c r="AE938" i="16"/>
  <c r="AG937" i="16"/>
  <c r="AE937" i="16"/>
  <c r="AE936" i="16"/>
  <c r="AE935" i="16"/>
  <c r="AE934" i="16"/>
  <c r="AG933" i="16"/>
  <c r="AE933" i="16"/>
  <c r="AE932" i="16"/>
  <c r="AE931" i="16"/>
  <c r="AG930" i="16"/>
  <c r="AF930" i="16"/>
  <c r="AG929" i="16"/>
  <c r="AF929" i="16"/>
  <c r="AG928" i="16"/>
  <c r="AF928" i="16"/>
  <c r="AG927" i="16"/>
  <c r="AF927" i="16"/>
  <c r="AG926" i="16"/>
  <c r="AF926" i="16"/>
  <c r="AG925" i="16"/>
  <c r="AF925" i="16"/>
  <c r="AG924" i="16"/>
  <c r="AF924" i="16"/>
  <c r="AG923" i="16"/>
  <c r="AF923" i="16"/>
  <c r="AG922" i="16"/>
  <c r="AF922" i="16"/>
  <c r="AG921" i="16"/>
  <c r="AF921" i="16"/>
  <c r="AG920" i="16"/>
  <c r="AF920" i="16"/>
  <c r="AG919" i="16"/>
  <c r="AF919" i="16"/>
  <c r="AG918" i="16"/>
  <c r="AF918" i="16"/>
  <c r="AG917" i="16"/>
  <c r="AF917" i="16"/>
  <c r="AG916" i="16"/>
  <c r="AF916" i="16"/>
  <c r="AG915" i="16"/>
  <c r="AF915" i="16"/>
  <c r="AG914" i="16"/>
  <c r="AF914" i="16"/>
  <c r="AG913" i="16"/>
  <c r="AF913" i="16"/>
  <c r="AG912" i="16"/>
  <c r="AF912" i="16"/>
  <c r="AG911" i="16"/>
  <c r="AF911" i="16"/>
  <c r="AG910" i="16"/>
  <c r="AF910" i="16"/>
  <c r="AG909" i="16"/>
  <c r="AF909" i="16"/>
  <c r="AG908" i="16"/>
  <c r="AF908" i="16"/>
  <c r="AG907" i="16"/>
  <c r="AF907" i="16"/>
  <c r="AG906" i="16"/>
  <c r="AF906" i="16"/>
  <c r="AG905" i="16"/>
  <c r="AF905" i="16"/>
  <c r="AG904" i="16"/>
  <c r="AF904" i="16"/>
  <c r="AG903" i="16"/>
  <c r="AF903" i="16"/>
  <c r="AG902" i="16"/>
  <c r="AF902" i="16"/>
  <c r="AG901" i="16"/>
  <c r="AF901" i="16"/>
  <c r="AG900" i="16"/>
  <c r="AF900" i="16"/>
  <c r="AG899" i="16"/>
  <c r="AF899" i="16"/>
  <c r="AG898" i="16"/>
  <c r="AF898" i="16"/>
  <c r="AG897" i="16"/>
  <c r="AF897" i="16"/>
  <c r="AG896" i="16"/>
  <c r="AF896" i="16"/>
  <c r="AG895" i="16"/>
  <c r="AF895" i="16"/>
  <c r="AG894" i="16"/>
  <c r="AF894" i="16"/>
  <c r="AG893" i="16"/>
  <c r="AF893" i="16"/>
  <c r="AG892" i="16"/>
  <c r="AF892" i="16"/>
  <c r="AG891" i="16"/>
  <c r="AF891" i="16"/>
  <c r="AG890" i="16"/>
  <c r="AF890" i="16"/>
  <c r="AG889" i="16"/>
  <c r="AF889" i="16"/>
  <c r="AG888" i="16"/>
  <c r="AF888" i="16"/>
  <c r="AG887" i="16"/>
  <c r="AF887" i="16"/>
  <c r="AG886" i="16"/>
  <c r="AF886" i="16"/>
  <c r="AG885" i="16"/>
  <c r="AE885" i="16"/>
  <c r="AE884" i="16"/>
  <c r="AE883" i="16"/>
  <c r="AG882" i="16"/>
  <c r="AE882" i="16"/>
  <c r="AE881" i="16"/>
  <c r="AE880" i="16"/>
  <c r="AG879" i="16"/>
  <c r="AE879" i="16"/>
  <c r="AE878" i="16"/>
  <c r="AE877" i="16"/>
  <c r="AE876" i="16"/>
  <c r="AG875" i="16"/>
  <c r="AE875" i="16"/>
  <c r="AE874" i="16"/>
  <c r="AE873" i="16"/>
  <c r="AE872" i="16"/>
  <c r="AG871" i="16"/>
  <c r="AE871" i="16"/>
  <c r="AE870" i="16"/>
  <c r="AE869" i="16"/>
  <c r="AE868" i="16"/>
  <c r="AG867" i="16"/>
  <c r="AE867" i="16"/>
  <c r="AE866" i="16"/>
  <c r="AE865" i="16"/>
  <c r="AE864" i="16"/>
  <c r="AG863" i="16"/>
  <c r="AE863" i="16"/>
  <c r="AE862" i="16"/>
  <c r="AE861" i="16"/>
  <c r="AE860" i="16"/>
  <c r="AG859" i="16"/>
  <c r="AE859" i="16"/>
  <c r="AE858" i="16"/>
  <c r="AE857" i="16"/>
  <c r="AE856" i="16"/>
  <c r="AG855" i="16"/>
  <c r="AE855" i="16"/>
  <c r="AE854" i="16"/>
  <c r="AE853" i="16"/>
  <c r="AE852" i="16"/>
  <c r="AG851" i="16"/>
  <c r="AE851" i="16"/>
  <c r="AE850" i="16"/>
  <c r="AE849" i="16"/>
  <c r="AE848" i="16"/>
  <c r="AG847" i="16"/>
  <c r="AE847" i="16"/>
  <c r="AE846" i="16"/>
  <c r="AE845" i="16"/>
  <c r="AE844" i="16"/>
  <c r="AG843" i="16"/>
  <c r="AE843" i="16"/>
  <c r="AE842" i="16"/>
  <c r="AE841" i="16"/>
  <c r="AG840" i="16"/>
  <c r="AE840" i="16"/>
  <c r="AG839" i="16"/>
  <c r="AE839" i="16"/>
  <c r="AG838" i="16"/>
  <c r="AE838" i="16"/>
  <c r="AG837" i="16"/>
  <c r="AE837" i="16"/>
  <c r="AG836" i="16"/>
  <c r="AE836" i="16"/>
  <c r="AG835" i="16"/>
  <c r="AE835" i="16"/>
  <c r="AG834" i="16"/>
  <c r="AE834" i="16"/>
  <c r="AG833" i="16"/>
  <c r="AE833" i="16"/>
  <c r="AG832" i="16"/>
  <c r="AE832" i="16"/>
  <c r="AG831" i="16"/>
  <c r="AE831" i="16"/>
  <c r="AG830" i="16"/>
  <c r="AE830" i="16"/>
  <c r="AG829" i="16"/>
  <c r="AE829" i="16"/>
  <c r="AG828" i="16"/>
  <c r="AF828" i="16"/>
  <c r="AG827" i="16"/>
  <c r="AF827" i="16"/>
  <c r="AG826" i="16"/>
  <c r="AF826" i="16"/>
  <c r="AG825" i="16"/>
  <c r="AF825" i="16"/>
  <c r="AG824" i="16"/>
  <c r="AF824" i="16"/>
  <c r="AG823" i="16"/>
  <c r="AF823" i="16"/>
  <c r="AG822" i="16"/>
  <c r="AF822" i="16"/>
  <c r="AG821" i="16"/>
  <c r="AF821" i="16"/>
  <c r="AG820" i="16"/>
  <c r="AF820" i="16"/>
  <c r="AG819" i="16"/>
  <c r="AF819" i="16"/>
  <c r="AG818" i="16"/>
  <c r="AF818" i="16"/>
  <c r="AG817" i="16"/>
  <c r="AF817" i="16"/>
  <c r="AG816" i="16"/>
  <c r="AE816" i="16"/>
  <c r="AG815" i="16"/>
  <c r="AE815" i="16"/>
  <c r="AG814" i="16"/>
  <c r="AE814" i="16"/>
  <c r="AG813" i="16"/>
  <c r="AE813" i="16"/>
  <c r="AG812" i="16"/>
  <c r="AE812" i="16"/>
  <c r="AG811" i="16"/>
  <c r="AE811" i="16"/>
  <c r="AG810" i="16"/>
  <c r="AE810" i="16"/>
  <c r="AG809" i="16"/>
  <c r="AE809" i="16"/>
  <c r="AG808" i="16"/>
  <c r="AE808" i="16"/>
  <c r="AG807" i="16"/>
  <c r="AE807" i="16"/>
  <c r="AG806" i="16"/>
  <c r="AE806" i="16"/>
  <c r="AG805" i="16"/>
  <c r="AE805" i="16"/>
  <c r="AE804" i="16"/>
  <c r="AE803" i="16"/>
  <c r="AE802" i="16"/>
  <c r="AE801" i="16"/>
  <c r="AE800" i="16"/>
  <c r="AE799" i="16"/>
  <c r="AE798" i="16"/>
  <c r="AE797" i="16"/>
  <c r="AE796" i="16"/>
  <c r="AE795" i="16"/>
  <c r="AE794" i="16"/>
  <c r="AE793" i="16"/>
  <c r="AG792" i="16"/>
  <c r="AF792" i="16"/>
  <c r="AG791" i="16"/>
  <c r="AF791" i="16"/>
  <c r="AG790" i="16"/>
  <c r="AF790" i="16"/>
  <c r="AG789" i="16"/>
  <c r="AF789" i="16"/>
  <c r="AG788" i="16"/>
  <c r="AF788" i="16"/>
  <c r="AG787" i="16"/>
  <c r="AF787" i="16"/>
  <c r="AG786" i="16"/>
  <c r="AF786" i="16"/>
  <c r="AG785" i="16"/>
  <c r="AF785" i="16"/>
  <c r="AG784" i="16"/>
  <c r="AF784" i="16"/>
  <c r="AG783" i="16"/>
  <c r="AF783" i="16"/>
  <c r="AG782" i="16"/>
  <c r="AF782" i="16"/>
  <c r="AG781" i="16"/>
  <c r="AF781" i="16"/>
  <c r="AE780" i="16"/>
  <c r="AE779" i="16"/>
  <c r="AE778" i="16"/>
  <c r="AE777" i="16"/>
  <c r="AE776" i="16"/>
  <c r="AE775" i="16"/>
  <c r="AE774" i="16"/>
  <c r="AE773" i="16"/>
  <c r="AE772" i="16"/>
  <c r="AE771" i="16"/>
  <c r="AE770" i="16"/>
  <c r="AE769" i="16"/>
  <c r="AE768" i="16"/>
  <c r="AE767" i="16"/>
  <c r="AE766" i="16"/>
  <c r="AE765" i="16"/>
  <c r="AE764" i="16"/>
  <c r="AE763" i="16"/>
  <c r="AE762" i="16"/>
  <c r="AE761" i="16"/>
  <c r="AE760" i="16"/>
  <c r="AE759" i="16"/>
  <c r="AE758" i="16"/>
  <c r="AE757" i="16"/>
  <c r="AE756" i="16"/>
  <c r="AE755" i="16"/>
  <c r="AE754" i="16"/>
  <c r="AE753" i="16"/>
  <c r="AE752" i="16"/>
  <c r="AE751" i="16"/>
  <c r="AE750" i="16"/>
  <c r="AE749" i="16"/>
  <c r="AE748" i="16"/>
  <c r="AE747" i="16"/>
  <c r="AE746" i="16"/>
  <c r="AE745" i="16"/>
  <c r="AE744" i="16"/>
  <c r="AE743" i="16"/>
  <c r="AE742" i="16"/>
  <c r="AE741" i="16"/>
  <c r="AE740" i="16"/>
  <c r="AE739" i="16"/>
  <c r="AE738" i="16"/>
  <c r="AE737" i="16"/>
  <c r="AE736" i="16"/>
  <c r="AE735" i="16"/>
  <c r="AE734" i="16"/>
  <c r="AE733" i="16"/>
  <c r="AE732" i="16"/>
  <c r="AE731" i="16"/>
  <c r="AE730" i="16"/>
  <c r="AE729" i="16"/>
  <c r="AE728" i="16"/>
  <c r="AE727" i="16"/>
  <c r="AE726" i="16"/>
  <c r="AE725" i="16"/>
  <c r="AG724" i="16"/>
  <c r="AF724" i="16"/>
  <c r="AG723" i="16"/>
  <c r="AF723" i="16"/>
  <c r="AG722" i="16"/>
  <c r="AF722" i="16"/>
  <c r="AG721" i="16"/>
  <c r="AF721" i="16"/>
  <c r="AG720" i="16"/>
  <c r="AF720" i="16"/>
  <c r="AG719" i="16"/>
  <c r="AF719" i="16"/>
  <c r="AG718" i="16"/>
  <c r="AF718" i="16"/>
  <c r="AG717" i="16"/>
  <c r="AF717" i="16"/>
  <c r="AG716" i="16"/>
  <c r="AF716" i="16"/>
  <c r="AG715" i="16"/>
  <c r="AF715" i="16"/>
  <c r="AG714" i="16"/>
  <c r="AF714" i="16"/>
  <c r="AG713" i="16"/>
  <c r="AF713" i="16"/>
  <c r="AG712" i="16"/>
  <c r="AF712" i="16"/>
  <c r="AG711" i="16"/>
  <c r="AF711" i="16"/>
  <c r="AG710" i="16"/>
  <c r="AF710" i="16"/>
  <c r="AG709" i="16"/>
  <c r="AF709" i="16"/>
  <c r="AG708" i="16"/>
  <c r="AF708" i="16"/>
  <c r="AG707" i="16"/>
  <c r="AF707" i="16"/>
  <c r="AG706" i="16"/>
  <c r="AF706" i="16"/>
  <c r="AG705" i="16"/>
  <c r="AF705" i="16"/>
  <c r="AG704" i="16"/>
  <c r="AF704" i="16"/>
  <c r="AG703" i="16"/>
  <c r="AF703" i="16"/>
  <c r="AG702" i="16"/>
  <c r="AF702" i="16"/>
  <c r="AG701" i="16"/>
  <c r="AF701" i="16"/>
  <c r="AG700" i="16"/>
  <c r="AF700" i="16"/>
  <c r="AG699" i="16"/>
  <c r="AF699" i="16"/>
  <c r="AG698" i="16"/>
  <c r="AF698" i="16"/>
  <c r="AG697" i="16"/>
  <c r="AF697" i="16"/>
  <c r="AG696" i="16"/>
  <c r="AF696" i="16"/>
  <c r="AG695" i="16"/>
  <c r="AF695" i="16"/>
  <c r="AG694" i="16"/>
  <c r="AF694" i="16"/>
  <c r="AG693" i="16"/>
  <c r="AF693" i="16"/>
  <c r="AG692" i="16"/>
  <c r="AF692" i="16"/>
  <c r="AG691" i="16"/>
  <c r="AF691" i="16"/>
  <c r="AG690" i="16"/>
  <c r="AF690" i="16"/>
  <c r="AG689" i="16"/>
  <c r="AF689" i="16"/>
  <c r="AG688" i="16"/>
  <c r="AF688" i="16"/>
  <c r="AG687" i="16"/>
  <c r="AF687" i="16"/>
  <c r="AG686" i="16"/>
  <c r="AF686" i="16"/>
  <c r="AG685" i="16"/>
  <c r="AF685" i="16"/>
  <c r="AG684" i="16"/>
  <c r="AF684" i="16"/>
  <c r="AE683" i="16"/>
  <c r="AE682" i="16"/>
  <c r="AE681" i="16"/>
  <c r="AE680" i="16"/>
  <c r="AE679" i="16"/>
  <c r="AE678" i="16"/>
  <c r="AE677" i="16"/>
  <c r="AE676" i="16"/>
  <c r="AE675" i="16"/>
  <c r="AE674" i="16"/>
  <c r="AE673" i="16"/>
  <c r="AE672" i="16"/>
  <c r="AE671" i="16"/>
  <c r="AE670" i="16"/>
  <c r="AE669" i="16"/>
  <c r="AE668" i="16"/>
  <c r="AE667" i="16"/>
  <c r="AE666" i="16"/>
  <c r="AE665" i="16"/>
  <c r="AE664" i="16"/>
  <c r="AE663" i="16"/>
  <c r="AE662" i="16"/>
  <c r="AE661" i="16"/>
  <c r="AE660" i="16"/>
  <c r="AE659" i="16"/>
  <c r="AE658" i="16"/>
  <c r="AE657" i="16"/>
  <c r="AE656" i="16"/>
  <c r="AE655" i="16"/>
  <c r="AE654" i="16"/>
  <c r="AE653" i="16"/>
  <c r="AE652" i="16"/>
  <c r="AE651" i="16"/>
  <c r="AE650" i="16"/>
  <c r="AE649" i="16"/>
  <c r="AE648" i="16"/>
  <c r="AE647" i="16"/>
  <c r="AE646" i="16"/>
  <c r="AE645" i="16"/>
  <c r="AE644" i="16"/>
  <c r="AE643" i="16"/>
  <c r="AE642" i="16"/>
  <c r="AE641" i="16"/>
  <c r="AE640" i="16"/>
  <c r="AG639" i="16"/>
  <c r="AF639" i="16"/>
  <c r="AG638" i="16"/>
  <c r="AF638" i="16"/>
  <c r="AG637" i="16"/>
  <c r="AF637" i="16"/>
  <c r="AG636" i="16"/>
  <c r="AF636" i="16"/>
  <c r="AG635" i="16"/>
  <c r="AF635" i="16"/>
  <c r="AG634" i="16"/>
  <c r="AF634" i="16"/>
  <c r="AG633" i="16"/>
  <c r="AF633" i="16"/>
  <c r="AG632" i="16"/>
  <c r="AF632" i="16"/>
  <c r="AG631" i="16"/>
  <c r="AF631" i="16"/>
  <c r="AG630" i="16"/>
  <c r="AF630" i="16"/>
  <c r="AG629" i="16"/>
  <c r="AF629" i="16"/>
  <c r="AG628" i="16"/>
  <c r="AF628" i="16"/>
  <c r="AG627" i="16"/>
  <c r="AF627" i="16"/>
  <c r="AG626" i="16"/>
  <c r="AF626" i="16"/>
  <c r="AG625" i="16"/>
  <c r="AF625" i="16"/>
  <c r="AG624" i="16"/>
  <c r="AF624" i="16"/>
  <c r="AG623" i="16"/>
  <c r="AF623" i="16"/>
  <c r="AG622" i="16"/>
  <c r="AF622" i="16"/>
  <c r="AG621" i="16"/>
  <c r="AF621" i="16"/>
  <c r="AG620" i="16"/>
  <c r="AF620" i="16"/>
  <c r="AG619" i="16"/>
  <c r="AF619" i="16"/>
  <c r="AG618" i="16"/>
  <c r="AF618" i="16"/>
  <c r="AG617" i="16"/>
  <c r="AF617" i="16"/>
  <c r="AG616" i="16"/>
  <c r="AF616" i="16"/>
  <c r="AG615" i="16"/>
  <c r="AG614" i="16"/>
  <c r="AG613" i="16"/>
  <c r="AG612" i="16"/>
  <c r="AG611" i="16"/>
  <c r="AG610" i="16"/>
  <c r="AG609" i="16"/>
  <c r="AG608" i="16"/>
  <c r="AG607" i="16"/>
  <c r="AG606" i="16"/>
  <c r="AG605" i="16"/>
  <c r="AG604" i="16"/>
  <c r="AG603" i="16"/>
  <c r="AG602" i="16"/>
  <c r="AG601" i="16"/>
  <c r="AG600" i="16"/>
  <c r="AG599" i="16"/>
  <c r="AG598" i="16"/>
  <c r="AG597" i="16"/>
  <c r="AG596" i="16"/>
  <c r="AG595" i="16"/>
  <c r="AG594" i="16"/>
  <c r="AG593" i="16"/>
  <c r="AG592" i="16"/>
  <c r="AG591" i="16"/>
  <c r="AG590" i="16"/>
  <c r="AG589" i="16"/>
  <c r="AG588" i="16"/>
  <c r="AG587" i="16"/>
  <c r="AG586" i="16"/>
  <c r="AG585" i="16"/>
  <c r="AG584" i="16"/>
  <c r="AG583" i="16"/>
  <c r="AG582" i="16"/>
  <c r="AG581" i="16"/>
  <c r="AG580" i="16"/>
  <c r="AD579" i="16"/>
  <c r="AC579" i="16"/>
  <c r="AB579" i="16"/>
  <c r="AD578" i="16"/>
  <c r="AC578" i="16"/>
  <c r="AB578" i="16"/>
  <c r="AD577" i="16"/>
  <c r="AC577" i="16"/>
  <c r="AB577" i="16"/>
  <c r="AD576" i="16"/>
  <c r="AC576" i="16"/>
  <c r="AB576" i="16"/>
  <c r="AD575" i="16"/>
  <c r="AC575" i="16"/>
  <c r="AB575" i="16"/>
  <c r="AD574" i="16"/>
  <c r="AC574" i="16"/>
  <c r="AB574" i="16"/>
  <c r="AD573" i="16"/>
  <c r="AC573" i="16"/>
  <c r="AB573" i="16"/>
  <c r="AD572" i="16"/>
  <c r="AC572" i="16"/>
  <c r="AB572" i="16"/>
  <c r="AD571" i="16"/>
  <c r="AC571" i="16"/>
  <c r="AB571" i="16"/>
  <c r="AD570" i="16"/>
  <c r="AC570" i="16"/>
  <c r="AB570" i="16"/>
  <c r="AD569" i="16"/>
  <c r="AC569" i="16"/>
  <c r="AB569" i="16"/>
  <c r="AD568" i="16"/>
  <c r="AC568" i="16"/>
  <c r="AB568" i="16"/>
  <c r="AD567" i="16"/>
  <c r="AC567" i="16"/>
  <c r="AB567" i="16"/>
  <c r="AD566" i="16"/>
  <c r="AC566" i="16"/>
  <c r="AB566" i="16"/>
  <c r="AD565" i="16"/>
  <c r="AC565" i="16"/>
  <c r="AB565" i="16"/>
  <c r="AD564" i="16"/>
  <c r="AC564" i="16"/>
  <c r="AB564" i="16"/>
  <c r="AD563" i="16"/>
  <c r="AC563" i="16"/>
  <c r="AB563" i="16"/>
  <c r="AD562" i="16"/>
  <c r="AC562" i="16"/>
  <c r="AB562" i="16"/>
  <c r="AD561" i="16"/>
  <c r="AC561" i="16"/>
  <c r="AB561" i="16"/>
  <c r="AD560" i="16"/>
  <c r="AC560" i="16"/>
  <c r="AB560" i="16"/>
  <c r="AD559" i="16"/>
  <c r="AC559" i="16"/>
  <c r="AB559" i="16"/>
  <c r="AD558" i="16"/>
  <c r="AC558" i="16"/>
  <c r="AB558" i="16"/>
  <c r="AD557" i="16"/>
  <c r="AC557" i="16"/>
  <c r="AB557" i="16"/>
  <c r="AD556" i="16"/>
  <c r="AC556" i="16"/>
  <c r="AB556" i="16"/>
  <c r="AG489" i="16"/>
  <c r="AG488" i="16"/>
  <c r="AG487" i="16"/>
  <c r="AG486" i="16"/>
  <c r="AG485" i="16"/>
  <c r="AG484" i="16"/>
  <c r="AG483" i="16"/>
  <c r="AG482" i="16"/>
  <c r="AG481" i="16"/>
  <c r="AG480" i="16"/>
  <c r="AG479" i="16"/>
  <c r="AG478" i="16"/>
  <c r="AG477" i="16"/>
  <c r="AE477" i="16"/>
  <c r="AG476" i="16"/>
  <c r="AE476" i="16"/>
  <c r="AG475" i="16"/>
  <c r="AE475" i="16"/>
  <c r="AG474" i="16"/>
  <c r="AE474" i="16"/>
  <c r="AG473" i="16"/>
  <c r="AE473" i="16"/>
  <c r="AG472" i="16"/>
  <c r="AE472" i="16"/>
  <c r="AG471" i="16"/>
  <c r="AE471" i="16"/>
  <c r="AG470" i="16"/>
  <c r="AE470" i="16"/>
  <c r="AG469" i="16"/>
  <c r="AE469" i="16"/>
  <c r="AG468" i="16"/>
  <c r="AE468" i="16"/>
  <c r="AG467" i="16"/>
  <c r="AE467" i="16"/>
  <c r="AG466" i="16"/>
  <c r="AE466" i="16"/>
  <c r="AG465" i="16"/>
  <c r="AG464" i="16"/>
  <c r="AG463" i="16"/>
  <c r="AG462" i="16"/>
  <c r="AG461" i="16"/>
  <c r="AG460" i="16"/>
  <c r="AG459" i="16"/>
  <c r="AG458" i="16"/>
  <c r="AG457" i="16"/>
  <c r="AG456" i="16"/>
  <c r="AG455" i="16"/>
  <c r="AG454" i="16"/>
  <c r="AG395" i="16"/>
  <c r="AF395" i="16"/>
  <c r="AG394" i="16"/>
  <c r="AF394" i="16"/>
  <c r="AG393" i="16"/>
  <c r="AF393" i="16"/>
  <c r="AG392" i="16"/>
  <c r="AF392" i="16"/>
  <c r="AG391" i="16"/>
  <c r="AF391" i="16"/>
  <c r="AG390" i="16"/>
  <c r="AF390" i="16"/>
  <c r="AG389" i="16"/>
  <c r="AF389" i="16"/>
  <c r="AG388" i="16"/>
  <c r="AF388" i="16"/>
  <c r="AG387" i="16"/>
  <c r="AF387" i="16"/>
  <c r="AG386" i="16"/>
  <c r="AF386" i="16"/>
  <c r="AG385" i="16"/>
  <c r="AF385" i="16"/>
  <c r="AG384" i="16"/>
  <c r="AF384" i="16"/>
  <c r="AG383" i="16"/>
  <c r="AF383" i="16"/>
  <c r="AG382" i="16"/>
  <c r="AF382" i="16"/>
  <c r="AG381" i="16"/>
  <c r="AF381" i="16"/>
  <c r="AG380" i="16"/>
  <c r="AF380" i="16"/>
  <c r="AG379" i="16"/>
  <c r="AF379" i="16"/>
  <c r="AG378" i="16"/>
  <c r="AF378" i="16"/>
  <c r="AG377" i="16"/>
  <c r="AF377" i="16"/>
  <c r="AG376" i="16"/>
  <c r="AF376" i="16"/>
  <c r="AG375" i="16"/>
  <c r="AF375" i="16"/>
  <c r="AG374" i="16"/>
  <c r="AF374" i="16"/>
  <c r="AG373" i="16"/>
  <c r="AF373" i="16"/>
  <c r="AG372" i="16"/>
  <c r="AF372" i="16"/>
  <c r="AG371" i="16"/>
  <c r="AF371" i="16"/>
  <c r="AG370" i="16"/>
  <c r="AF370" i="16"/>
  <c r="AG369" i="16"/>
  <c r="AF369" i="16"/>
  <c r="AG368" i="16"/>
  <c r="AF368" i="16"/>
  <c r="AG367" i="16"/>
  <c r="AF367" i="16"/>
  <c r="AG366" i="16"/>
  <c r="AF366" i="16"/>
  <c r="AG365" i="16"/>
  <c r="AF365" i="16"/>
  <c r="AG364" i="16"/>
  <c r="AF364" i="16"/>
  <c r="AG363" i="16"/>
  <c r="AF363" i="16"/>
  <c r="AG362" i="16"/>
  <c r="AF362" i="16"/>
  <c r="AG361" i="16"/>
  <c r="AF361" i="16"/>
  <c r="AG360" i="16"/>
  <c r="AF360" i="16"/>
  <c r="AG359" i="16"/>
  <c r="AF359" i="16"/>
  <c r="AG358" i="16"/>
  <c r="AF358" i="16"/>
  <c r="AG357" i="16"/>
  <c r="AF357" i="16"/>
  <c r="AG356" i="16"/>
  <c r="AF356" i="16"/>
  <c r="AG355" i="16"/>
  <c r="AF355" i="16"/>
  <c r="AG354" i="16"/>
  <c r="AF354" i="16"/>
  <c r="AG353" i="16"/>
  <c r="AF353" i="16"/>
  <c r="AG352" i="16"/>
  <c r="AF352" i="16"/>
  <c r="AG351" i="16"/>
  <c r="AF351" i="16"/>
  <c r="AG350" i="16"/>
  <c r="AF350" i="16"/>
  <c r="AG349" i="16"/>
  <c r="AF349" i="16"/>
  <c r="AG348" i="16"/>
  <c r="AF348" i="16"/>
  <c r="AG347" i="16"/>
  <c r="AF347" i="16"/>
  <c r="AG346" i="16"/>
  <c r="AF346" i="16"/>
  <c r="AG345" i="16"/>
  <c r="AF345" i="16"/>
  <c r="AG344" i="16"/>
  <c r="AF344" i="16"/>
  <c r="AG343" i="16"/>
  <c r="AF343" i="16"/>
  <c r="AG342" i="16"/>
  <c r="AF342" i="16"/>
  <c r="AG341" i="16"/>
  <c r="AF341" i="16"/>
  <c r="AG340" i="16"/>
  <c r="AF340" i="16"/>
  <c r="AG339" i="16"/>
  <c r="AF339" i="16"/>
  <c r="AG338" i="16"/>
  <c r="AF338" i="16"/>
  <c r="AG337" i="16"/>
  <c r="AF337" i="16"/>
  <c r="AG336" i="16"/>
  <c r="AF336" i="16"/>
  <c r="AG335" i="16"/>
  <c r="AG334" i="16"/>
  <c r="AG333" i="16"/>
  <c r="AG332" i="16"/>
  <c r="AG331" i="16"/>
  <c r="AG330" i="16"/>
  <c r="AG329" i="16"/>
  <c r="AG328" i="16"/>
  <c r="AG327" i="16"/>
  <c r="AG326" i="16"/>
  <c r="AG325" i="16"/>
  <c r="AG324" i="16"/>
  <c r="AG323" i="16"/>
  <c r="AG322" i="16"/>
  <c r="AG321" i="16"/>
  <c r="AG320" i="16"/>
  <c r="AG319" i="16"/>
  <c r="AG318" i="16"/>
  <c r="AG317" i="16"/>
  <c r="AG316" i="16"/>
  <c r="AG315" i="16"/>
  <c r="AG314" i="16"/>
  <c r="AG313" i="16"/>
  <c r="AG312" i="16"/>
  <c r="AG311" i="16"/>
  <c r="AG310" i="16"/>
  <c r="AG309" i="16"/>
  <c r="AG308" i="16"/>
  <c r="AG307" i="16"/>
  <c r="AG306" i="16"/>
  <c r="AG305" i="16"/>
  <c r="AG304" i="16"/>
  <c r="AG303" i="16"/>
  <c r="AG302" i="16"/>
  <c r="AG301" i="16"/>
  <c r="AG300" i="16"/>
  <c r="AD299" i="16"/>
  <c r="AC299" i="16"/>
  <c r="AB299" i="16"/>
  <c r="AD298" i="16"/>
  <c r="AC298" i="16"/>
  <c r="AB298" i="16"/>
  <c r="AD297" i="16"/>
  <c r="AC297" i="16"/>
  <c r="AB297" i="16"/>
  <c r="AD296" i="16"/>
  <c r="AC296" i="16"/>
  <c r="AB296" i="16"/>
  <c r="AD295" i="16"/>
  <c r="AC295" i="16"/>
  <c r="AB295" i="16"/>
  <c r="AD294" i="16"/>
  <c r="AC294" i="16"/>
  <c r="AB294" i="16"/>
  <c r="AD293" i="16"/>
  <c r="AC293" i="16"/>
  <c r="AB293" i="16"/>
  <c r="AD292" i="16"/>
  <c r="AC292" i="16"/>
  <c r="AB292" i="16"/>
  <c r="AD291" i="16"/>
  <c r="AC291" i="16"/>
  <c r="AB291" i="16"/>
  <c r="AD290" i="16"/>
  <c r="AC290" i="16"/>
  <c r="AB290" i="16"/>
  <c r="AD289" i="16"/>
  <c r="AC289" i="16"/>
  <c r="AB289" i="16"/>
  <c r="AD288" i="16"/>
  <c r="AC288" i="16"/>
  <c r="AB288" i="16"/>
  <c r="AD287" i="16"/>
  <c r="AC287" i="16"/>
  <c r="AB287" i="16"/>
  <c r="AD286" i="16"/>
  <c r="AC286" i="16"/>
  <c r="AB286" i="16"/>
  <c r="AD285" i="16"/>
  <c r="AC285" i="16"/>
  <c r="AB285" i="16"/>
  <c r="AD284" i="16"/>
  <c r="AC284" i="16"/>
  <c r="AB284" i="16"/>
  <c r="AD283" i="16"/>
  <c r="AC283" i="16"/>
  <c r="AB283" i="16"/>
  <c r="AD282" i="16"/>
  <c r="AC282" i="16"/>
  <c r="AB282" i="16"/>
  <c r="AD281" i="16"/>
  <c r="AC281" i="16"/>
  <c r="AB281" i="16"/>
  <c r="AD280" i="16"/>
  <c r="AC280" i="16"/>
  <c r="AB280" i="16"/>
  <c r="AD279" i="16"/>
  <c r="AC279" i="16"/>
  <c r="AB279" i="16"/>
  <c r="AD278" i="16"/>
  <c r="AC278" i="16"/>
  <c r="AB278" i="16"/>
  <c r="AD277" i="16"/>
  <c r="AC277" i="16"/>
  <c r="AB277" i="16"/>
  <c r="AD276" i="16"/>
  <c r="AC276" i="16"/>
  <c r="AB276" i="16"/>
  <c r="AD275" i="16"/>
  <c r="AC275" i="16"/>
  <c r="AB275" i="16"/>
  <c r="AD274" i="16"/>
  <c r="AC274" i="16"/>
  <c r="AB274" i="16"/>
  <c r="AD273" i="16"/>
  <c r="AC273" i="16"/>
  <c r="AB273" i="16"/>
  <c r="AD272" i="16"/>
  <c r="AC272" i="16"/>
  <c r="AB272" i="16"/>
  <c r="AD271" i="16"/>
  <c r="AC271" i="16"/>
  <c r="AB271" i="16"/>
  <c r="AD270" i="16"/>
  <c r="AC270" i="16"/>
  <c r="AB270" i="16"/>
  <c r="AD269" i="16"/>
  <c r="AC269" i="16"/>
  <c r="AB269" i="16"/>
  <c r="AD268" i="16"/>
  <c r="AC268" i="16"/>
  <c r="AB268" i="16"/>
  <c r="AD267" i="16"/>
  <c r="AC267" i="16"/>
  <c r="AB267" i="16"/>
  <c r="AD266" i="16"/>
  <c r="AC266" i="16"/>
  <c r="AB266" i="16"/>
  <c r="AD265" i="16"/>
  <c r="AC265" i="16"/>
  <c r="AB265" i="16"/>
  <c r="AD264" i="16"/>
  <c r="AC264" i="16"/>
  <c r="AB264" i="16"/>
  <c r="AD263" i="16"/>
  <c r="AC263" i="16"/>
  <c r="AB263" i="16"/>
  <c r="AD262" i="16"/>
  <c r="AC262" i="16"/>
  <c r="AB262" i="16"/>
  <c r="AD261" i="16"/>
  <c r="AC261" i="16"/>
  <c r="AB261" i="16"/>
  <c r="AD260" i="16"/>
  <c r="AC260" i="16"/>
  <c r="AB260" i="16"/>
  <c r="AD259" i="16"/>
  <c r="AC259" i="16"/>
  <c r="AB259" i="16"/>
  <c r="AD258" i="16"/>
  <c r="AC258" i="16"/>
  <c r="AB258" i="16"/>
  <c r="AD257" i="16"/>
  <c r="AC257" i="16"/>
  <c r="AB257" i="16"/>
  <c r="AD256" i="16"/>
  <c r="AC256" i="16"/>
  <c r="AB256" i="16"/>
  <c r="AD255" i="16"/>
  <c r="AC255" i="16"/>
  <c r="AB255" i="16"/>
  <c r="AD254" i="16"/>
  <c r="AC254" i="16"/>
  <c r="AB254" i="16"/>
  <c r="AD253" i="16"/>
  <c r="AC253" i="16"/>
  <c r="AB253" i="16"/>
  <c r="AD252" i="16"/>
  <c r="AC252" i="16"/>
  <c r="AB252" i="16"/>
  <c r="AD251" i="16"/>
  <c r="AC251" i="16"/>
  <c r="AB251" i="16"/>
  <c r="AD250" i="16"/>
  <c r="AC250" i="16"/>
  <c r="AB250" i="16"/>
  <c r="AD249" i="16"/>
  <c r="AC249" i="16"/>
  <c r="AB249" i="16"/>
  <c r="AD248" i="16"/>
  <c r="AC248" i="16"/>
  <c r="AB248" i="16"/>
  <c r="AD247" i="16"/>
  <c r="AC247" i="16"/>
  <c r="AB247" i="16"/>
  <c r="AD246" i="16"/>
  <c r="AC246" i="16"/>
  <c r="AB246" i="16"/>
  <c r="AD245" i="16"/>
  <c r="AC245" i="16"/>
  <c r="AB245" i="16"/>
  <c r="AD244" i="16"/>
  <c r="AC244" i="16"/>
  <c r="AB244" i="16"/>
  <c r="AD243" i="16"/>
  <c r="AC243" i="16"/>
  <c r="AB243" i="16"/>
  <c r="AG229" i="16"/>
  <c r="AG225" i="16"/>
  <c r="AG221" i="16"/>
  <c r="AG217" i="16"/>
  <c r="AG214" i="16"/>
  <c r="AG211" i="16"/>
  <c r="AG207" i="16"/>
  <c r="AG204" i="16"/>
  <c r="AG201" i="16"/>
  <c r="AG198" i="16"/>
  <c r="AG195" i="16"/>
  <c r="AG192" i="16"/>
  <c r="AG189" i="16"/>
  <c r="AE189" i="16"/>
  <c r="AG188" i="16"/>
  <c r="AE188" i="16"/>
  <c r="AG187" i="16"/>
  <c r="AE187" i="16"/>
  <c r="AG186" i="16"/>
  <c r="AE186" i="16"/>
  <c r="AG185" i="16"/>
  <c r="AE185" i="16"/>
  <c r="AG184" i="16"/>
  <c r="AE184" i="16"/>
  <c r="AG183" i="16"/>
  <c r="AE183" i="16"/>
  <c r="AG182" i="16"/>
  <c r="AE182" i="16"/>
  <c r="AG181" i="16"/>
  <c r="AE181" i="16"/>
  <c r="AG180" i="16"/>
  <c r="AE180" i="16"/>
  <c r="AG179" i="16"/>
  <c r="AE179" i="16"/>
  <c r="AG178" i="16"/>
  <c r="AE178" i="16"/>
  <c r="AG177" i="16"/>
  <c r="AG174" i="16"/>
  <c r="AG171" i="16"/>
  <c r="AG167" i="16"/>
  <c r="AG164" i="16"/>
  <c r="AG161" i="16"/>
  <c r="AG157" i="16"/>
  <c r="AG154" i="16"/>
  <c r="AG151" i="16"/>
  <c r="AG148" i="16"/>
  <c r="AG145" i="16"/>
  <c r="AG142" i="16"/>
  <c r="AG139" i="16"/>
  <c r="AG138" i="16"/>
  <c r="AG137" i="16"/>
  <c r="AG136" i="16"/>
  <c r="AG135" i="16"/>
  <c r="AG134" i="16"/>
  <c r="AG133" i="16"/>
  <c r="AG132" i="16"/>
  <c r="AG131" i="16"/>
  <c r="AG130" i="16"/>
  <c r="AG129" i="16"/>
  <c r="AG128" i="16"/>
  <c r="AG127" i="16"/>
  <c r="AE127" i="16"/>
  <c r="AG126" i="16"/>
  <c r="AE126" i="16"/>
  <c r="AG125" i="16"/>
  <c r="AE125" i="16"/>
  <c r="AG124" i="16"/>
  <c r="AE124" i="16"/>
  <c r="AG123" i="16"/>
  <c r="AE123" i="16"/>
  <c r="AG122" i="16"/>
  <c r="AE122" i="16"/>
  <c r="AG121" i="16"/>
  <c r="AE121" i="16"/>
  <c r="AG120" i="16"/>
  <c r="AE120" i="16"/>
  <c r="AG119" i="16"/>
  <c r="AE119" i="16"/>
  <c r="AG118" i="16"/>
  <c r="AE118" i="16"/>
  <c r="AG117" i="16"/>
  <c r="AE117" i="16"/>
  <c r="AG116" i="16"/>
  <c r="AE116" i="16"/>
  <c r="AG115" i="16"/>
  <c r="AG114" i="16"/>
  <c r="AG113" i="16"/>
  <c r="AG112" i="16"/>
  <c r="AG111" i="16"/>
  <c r="AG110" i="16"/>
  <c r="AG109" i="16"/>
  <c r="AG108" i="16"/>
  <c r="AG107" i="16"/>
  <c r="AG106" i="16"/>
  <c r="AG105" i="16"/>
  <c r="AG104" i="16"/>
  <c r="AG103" i="16"/>
  <c r="AG102" i="16"/>
  <c r="AG101" i="16"/>
  <c r="AG100" i="16"/>
  <c r="AG99" i="16"/>
  <c r="AG98" i="16"/>
  <c r="AG97" i="16"/>
  <c r="AG96" i="16"/>
  <c r="AG95" i="16"/>
  <c r="AG94" i="16"/>
  <c r="AG93" i="16"/>
  <c r="AG92" i="16"/>
  <c r="AG91" i="16"/>
  <c r="AE91" i="16"/>
  <c r="AG90" i="16"/>
  <c r="AE90" i="16"/>
  <c r="AG89" i="16"/>
  <c r="AE89" i="16"/>
  <c r="AG88" i="16"/>
  <c r="AE88" i="16"/>
  <c r="AG87" i="16"/>
  <c r="AE87" i="16"/>
  <c r="AG86" i="16"/>
  <c r="AE86" i="16"/>
  <c r="AG85" i="16"/>
  <c r="AE85" i="16"/>
  <c r="AG84" i="16"/>
  <c r="AE84" i="16"/>
  <c r="AG83" i="16"/>
  <c r="AE83" i="16"/>
  <c r="AG82" i="16"/>
  <c r="AE82" i="16"/>
  <c r="AG81" i="16"/>
  <c r="AE81" i="16"/>
  <c r="AG80" i="16"/>
  <c r="AE80" i="16"/>
  <c r="AG79" i="16"/>
  <c r="AG78" i="16"/>
  <c r="AG77" i="16"/>
  <c r="AG76" i="16"/>
  <c r="AG75" i="16"/>
  <c r="AG74" i="16"/>
  <c r="AG73" i="16"/>
  <c r="AG72" i="16"/>
  <c r="AG71" i="16"/>
  <c r="AG70" i="16"/>
  <c r="AG69" i="16"/>
  <c r="AG68" i="16"/>
  <c r="AG67" i="16"/>
  <c r="AG65" i="16"/>
  <c r="AG63" i="16"/>
  <c r="AG61" i="16"/>
  <c r="AG59" i="16"/>
  <c r="AG57" i="16"/>
  <c r="AG55" i="16"/>
  <c r="AG53" i="16"/>
  <c r="AG51" i="16"/>
  <c r="AG49" i="16"/>
  <c r="AG46" i="16"/>
  <c r="AG43" i="16"/>
  <c r="AG40" i="16"/>
  <c r="AE40" i="16"/>
  <c r="AG39" i="16"/>
  <c r="AE39" i="16"/>
  <c r="AG38" i="16"/>
  <c r="AE38" i="16"/>
  <c r="AG37" i="16"/>
  <c r="AE37" i="16"/>
  <c r="AG36" i="16"/>
  <c r="AE36" i="16"/>
  <c r="AG35" i="16"/>
  <c r="AE35" i="16"/>
  <c r="AG34" i="16"/>
  <c r="AE34" i="16"/>
  <c r="AG33" i="16"/>
  <c r="AE33" i="16"/>
  <c r="AG32" i="16"/>
  <c r="AE32" i="16"/>
  <c r="AG31" i="16"/>
  <c r="AE31" i="16"/>
  <c r="AG30" i="16"/>
  <c r="AE30" i="16"/>
  <c r="AG29" i="16"/>
  <c r="AE29" i="16"/>
  <c r="AG28" i="16"/>
  <c r="AG26" i="16"/>
  <c r="AG24" i="16"/>
  <c r="AG22" i="16"/>
  <c r="AG20" i="16"/>
  <c r="AG18" i="16"/>
  <c r="AG16" i="16"/>
  <c r="AG14" i="16"/>
  <c r="AG12" i="16"/>
  <c r="AG10" i="16"/>
  <c r="AG7" i="16"/>
  <c r="AG4" i="16"/>
  <c r="X2012" i="16"/>
  <c r="AD2012" i="16" s="1"/>
  <c r="W2012" i="16"/>
  <c r="AC2012" i="16" s="1"/>
  <c r="V2012" i="16"/>
  <c r="AB2012" i="16" s="1"/>
  <c r="X2011" i="16"/>
  <c r="AD2011" i="16" s="1"/>
  <c r="W2011" i="16"/>
  <c r="AC2011" i="16" s="1"/>
  <c r="V2011" i="16"/>
  <c r="AB2011" i="16" s="1"/>
  <c r="X2010" i="16"/>
  <c r="AD2010" i="16" s="1"/>
  <c r="W2010" i="16"/>
  <c r="AC2010" i="16" s="1"/>
  <c r="V2010" i="16"/>
  <c r="AB2010" i="16" s="1"/>
  <c r="X2009" i="16"/>
  <c r="AD2009" i="16" s="1"/>
  <c r="W2009" i="16"/>
  <c r="AC2009" i="16" s="1"/>
  <c r="V2009" i="16"/>
  <c r="AB2009" i="16" s="1"/>
  <c r="X2008" i="16"/>
  <c r="AD2008" i="16" s="1"/>
  <c r="W2008" i="16"/>
  <c r="AC2008" i="16" s="1"/>
  <c r="V2008" i="16"/>
  <c r="AB2008" i="16" s="1"/>
  <c r="X2007" i="16"/>
  <c r="AD2007" i="16" s="1"/>
  <c r="W2007" i="16"/>
  <c r="AC2007" i="16" s="1"/>
  <c r="V2007" i="16"/>
  <c r="AB2007" i="16" s="1"/>
  <c r="X2006" i="16"/>
  <c r="AD2006" i="16" s="1"/>
  <c r="W2006" i="16"/>
  <c r="AC2006" i="16" s="1"/>
  <c r="V2006" i="16"/>
  <c r="AB2006" i="16" s="1"/>
  <c r="X2005" i="16"/>
  <c r="AD2005" i="16" s="1"/>
  <c r="W2005" i="16"/>
  <c r="AC2005" i="16" s="1"/>
  <c r="V2005" i="16"/>
  <c r="AB2005" i="16" s="1"/>
  <c r="X2004" i="16"/>
  <c r="AD2004" i="16" s="1"/>
  <c r="W2004" i="16"/>
  <c r="AC2004" i="16" s="1"/>
  <c r="V2004" i="16"/>
  <c r="AB2004" i="16" s="1"/>
  <c r="X2003" i="16"/>
  <c r="AD2003" i="16" s="1"/>
  <c r="W2003" i="16"/>
  <c r="AC2003" i="16" s="1"/>
  <c r="V2003" i="16"/>
  <c r="AB2003" i="16" s="1"/>
  <c r="X2002" i="16"/>
  <c r="AD2002" i="16" s="1"/>
  <c r="W2002" i="16"/>
  <c r="AC2002" i="16" s="1"/>
  <c r="V2002" i="16"/>
  <c r="AB2002" i="16" s="1"/>
  <c r="X2001" i="16"/>
  <c r="AD2001" i="16" s="1"/>
  <c r="W2001" i="16"/>
  <c r="AC2001" i="16" s="1"/>
  <c r="V2001" i="16"/>
  <c r="AB2001" i="16" s="1"/>
  <c r="X2000" i="16"/>
  <c r="AD2000" i="16" s="1"/>
  <c r="W2000" i="16"/>
  <c r="AC2000" i="16" s="1"/>
  <c r="V2000" i="16"/>
  <c r="AB2000" i="16" s="1"/>
  <c r="X1999" i="16"/>
  <c r="AD1999" i="16" s="1"/>
  <c r="W1999" i="16"/>
  <c r="AC1999" i="16" s="1"/>
  <c r="V1999" i="16"/>
  <c r="AB1999" i="16" s="1"/>
  <c r="X1998" i="16"/>
  <c r="AD1998" i="16" s="1"/>
  <c r="W1998" i="16"/>
  <c r="AC1998" i="16" s="1"/>
  <c r="V1998" i="16"/>
  <c r="AB1998" i="16" s="1"/>
  <c r="X1997" i="16"/>
  <c r="AD1997" i="16" s="1"/>
  <c r="W1997" i="16"/>
  <c r="AC1997" i="16" s="1"/>
  <c r="V1997" i="16"/>
  <c r="AB1997" i="16" s="1"/>
  <c r="X1996" i="16"/>
  <c r="AD1996" i="16" s="1"/>
  <c r="W1996" i="16"/>
  <c r="AC1996" i="16" s="1"/>
  <c r="V1996" i="16"/>
  <c r="AB1996" i="16" s="1"/>
  <c r="X1995" i="16"/>
  <c r="AD1995" i="16" s="1"/>
  <c r="W1995" i="16"/>
  <c r="AC1995" i="16" s="1"/>
  <c r="V1995" i="16"/>
  <c r="AB1995" i="16" s="1"/>
  <c r="X1994" i="16"/>
  <c r="AD1994" i="16" s="1"/>
  <c r="W1994" i="16"/>
  <c r="AC1994" i="16" s="1"/>
  <c r="V1994" i="16"/>
  <c r="AB1994" i="16" s="1"/>
  <c r="X1993" i="16"/>
  <c r="AD1993" i="16" s="1"/>
  <c r="W1993" i="16"/>
  <c r="AC1993" i="16" s="1"/>
  <c r="V1993" i="16"/>
  <c r="AB1993" i="16" s="1"/>
  <c r="X1992" i="16"/>
  <c r="AD1992" i="16" s="1"/>
  <c r="W1992" i="16"/>
  <c r="AC1992" i="16" s="1"/>
  <c r="V1992" i="16"/>
  <c r="AB1992" i="16" s="1"/>
  <c r="X1991" i="16"/>
  <c r="AD1991" i="16" s="1"/>
  <c r="AO7" i="16" s="1"/>
  <c r="W1991" i="16"/>
  <c r="AC1991" i="16" s="1"/>
  <c r="V1991" i="16"/>
  <c r="AB1991" i="16" s="1"/>
  <c r="V1990" i="16"/>
  <c r="AB1990" i="16" s="1"/>
  <c r="V1989" i="16"/>
  <c r="AB1989" i="16" s="1"/>
  <c r="V1988" i="16"/>
  <c r="AB1988" i="16" s="1"/>
  <c r="V1987" i="16"/>
  <c r="AB1987" i="16" s="1"/>
  <c r="V1986" i="16"/>
  <c r="AB1986" i="16" s="1"/>
  <c r="V1985" i="16"/>
  <c r="AB1985" i="16" s="1"/>
  <c r="V1984" i="16"/>
  <c r="AB1984" i="16" s="1"/>
  <c r="V1983" i="16"/>
  <c r="AB1983" i="16" s="1"/>
  <c r="V1982" i="16"/>
  <c r="AB1982" i="16" s="1"/>
  <c r="V1981" i="16"/>
  <c r="AB1981" i="16" s="1"/>
  <c r="V1980" i="16"/>
  <c r="AB1980" i="16" s="1"/>
  <c r="V1979" i="16"/>
  <c r="AB1979" i="16" s="1"/>
  <c r="V1978" i="16"/>
  <c r="AB1978" i="16" s="1"/>
  <c r="V1977" i="16"/>
  <c r="AB1977" i="16" s="1"/>
  <c r="V1976" i="16"/>
  <c r="AB1976" i="16" s="1"/>
  <c r="V1975" i="16"/>
  <c r="AB1975" i="16" s="1"/>
  <c r="V1974" i="16"/>
  <c r="AB1974" i="16" s="1"/>
  <c r="V1973" i="16"/>
  <c r="AB1973" i="16" s="1"/>
  <c r="V1972" i="16"/>
  <c r="AB1972" i="16" s="1"/>
  <c r="V1971" i="16"/>
  <c r="AB1971" i="16" s="1"/>
  <c r="V1970" i="16"/>
  <c r="AB1970" i="16" s="1"/>
  <c r="V1969" i="16"/>
  <c r="AB1969" i="16" s="1"/>
  <c r="V1968" i="16"/>
  <c r="AB1968" i="16" s="1"/>
  <c r="V1967" i="16"/>
  <c r="AB1967" i="16" s="1"/>
  <c r="V1966" i="16"/>
  <c r="AB1966" i="16" s="1"/>
  <c r="V1965" i="16"/>
  <c r="AB1965" i="16" s="1"/>
  <c r="V1964" i="16"/>
  <c r="AB1964" i="16" s="1"/>
  <c r="V1963" i="16"/>
  <c r="AB1963" i="16" s="1"/>
  <c r="V1962" i="16"/>
  <c r="AB1962" i="16" s="1"/>
  <c r="V1961" i="16"/>
  <c r="AB1961" i="16" s="1"/>
  <c r="V1960" i="16"/>
  <c r="AB1960" i="16" s="1"/>
  <c r="V1959" i="16"/>
  <c r="AB1959" i="16" s="1"/>
  <c r="V1958" i="16"/>
  <c r="AB1958" i="16" s="1"/>
  <c r="V1957" i="16"/>
  <c r="AB1957" i="16" s="1"/>
  <c r="V1956" i="16"/>
  <c r="AB1956" i="16" s="1"/>
  <c r="V1955" i="16"/>
  <c r="AB1955" i="16" s="1"/>
  <c r="X1954" i="16"/>
  <c r="AD1954" i="16" s="1"/>
  <c r="W1954" i="16"/>
  <c r="AC1954" i="16" s="1"/>
  <c r="V1954" i="16"/>
  <c r="AB1954" i="16" s="1"/>
  <c r="X1953" i="16"/>
  <c r="AD1953" i="16" s="1"/>
  <c r="W1953" i="16"/>
  <c r="AC1953" i="16" s="1"/>
  <c r="V1953" i="16"/>
  <c r="AB1953" i="16" s="1"/>
  <c r="X1952" i="16"/>
  <c r="AD1952" i="16" s="1"/>
  <c r="W1952" i="16"/>
  <c r="AC1952" i="16" s="1"/>
  <c r="V1952" i="16"/>
  <c r="AB1952" i="16" s="1"/>
  <c r="X1951" i="16"/>
  <c r="AD1951" i="16" s="1"/>
  <c r="W1951" i="16"/>
  <c r="AC1951" i="16" s="1"/>
  <c r="V1951" i="16"/>
  <c r="AB1951" i="16" s="1"/>
  <c r="X1950" i="16"/>
  <c r="AD1950" i="16" s="1"/>
  <c r="W1950" i="16"/>
  <c r="AC1950" i="16" s="1"/>
  <c r="V1950" i="16"/>
  <c r="AB1950" i="16" s="1"/>
  <c r="X1949" i="16"/>
  <c r="AD1949" i="16" s="1"/>
  <c r="W1949" i="16"/>
  <c r="AC1949" i="16" s="1"/>
  <c r="V1949" i="16"/>
  <c r="AB1949" i="16" s="1"/>
  <c r="X1948" i="16"/>
  <c r="AD1948" i="16" s="1"/>
  <c r="W1948" i="16"/>
  <c r="AC1948" i="16" s="1"/>
  <c r="V1948" i="16"/>
  <c r="AB1948" i="16" s="1"/>
  <c r="X1947" i="16"/>
  <c r="AD1947" i="16" s="1"/>
  <c r="W1947" i="16"/>
  <c r="AC1947" i="16" s="1"/>
  <c r="V1947" i="16"/>
  <c r="AB1947" i="16" s="1"/>
  <c r="X1946" i="16"/>
  <c r="AD1946" i="16" s="1"/>
  <c r="W1946" i="16"/>
  <c r="AC1946" i="16" s="1"/>
  <c r="V1946" i="16"/>
  <c r="AB1946" i="16" s="1"/>
  <c r="X1945" i="16"/>
  <c r="AD1945" i="16" s="1"/>
  <c r="W1945" i="16"/>
  <c r="AC1945" i="16" s="1"/>
  <c r="V1945" i="16"/>
  <c r="AB1945" i="16" s="1"/>
  <c r="X1944" i="16"/>
  <c r="AD1944" i="16" s="1"/>
  <c r="W1944" i="16"/>
  <c r="AC1944" i="16" s="1"/>
  <c r="V1944" i="16"/>
  <c r="AB1944" i="16" s="1"/>
  <c r="X1943" i="16"/>
  <c r="AD1943" i="16" s="1"/>
  <c r="W1943" i="16"/>
  <c r="AC1943" i="16" s="1"/>
  <c r="V1943" i="16"/>
  <c r="AB1943" i="16" s="1"/>
  <c r="X1942" i="16"/>
  <c r="AD1942" i="16" s="1"/>
  <c r="W1942" i="16"/>
  <c r="AC1942" i="16" s="1"/>
  <c r="V1942" i="16"/>
  <c r="AB1942" i="16" s="1"/>
  <c r="X1941" i="16"/>
  <c r="AD1941" i="16" s="1"/>
  <c r="W1941" i="16"/>
  <c r="AC1941" i="16" s="1"/>
  <c r="V1941" i="16"/>
  <c r="AB1941" i="16" s="1"/>
  <c r="X1940" i="16"/>
  <c r="AD1940" i="16" s="1"/>
  <c r="W1940" i="16"/>
  <c r="AC1940" i="16" s="1"/>
  <c r="V1940" i="16"/>
  <c r="AB1940" i="16" s="1"/>
  <c r="X1939" i="16"/>
  <c r="AD1939" i="16" s="1"/>
  <c r="W1939" i="16"/>
  <c r="AC1939" i="16" s="1"/>
  <c r="V1939" i="16"/>
  <c r="AB1939" i="16" s="1"/>
  <c r="X1938" i="16"/>
  <c r="AD1938" i="16" s="1"/>
  <c r="W1938" i="16"/>
  <c r="AC1938" i="16" s="1"/>
  <c r="V1938" i="16"/>
  <c r="AB1938" i="16" s="1"/>
  <c r="X1937" i="16"/>
  <c r="AD1937" i="16" s="1"/>
  <c r="W1937" i="16"/>
  <c r="AC1937" i="16" s="1"/>
  <c r="V1937" i="16"/>
  <c r="AB1937" i="16" s="1"/>
  <c r="X1936" i="16"/>
  <c r="AD1936" i="16" s="1"/>
  <c r="W1936" i="16"/>
  <c r="AC1936" i="16" s="1"/>
  <c r="V1936" i="16"/>
  <c r="AB1936" i="16" s="1"/>
  <c r="X1935" i="16"/>
  <c r="AD1935" i="16" s="1"/>
  <c r="W1935" i="16"/>
  <c r="AC1935" i="16" s="1"/>
  <c r="V1935" i="16"/>
  <c r="AB1935" i="16" s="1"/>
  <c r="X1934" i="16"/>
  <c r="AD1934" i="16" s="1"/>
  <c r="W1934" i="16"/>
  <c r="AC1934" i="16" s="1"/>
  <c r="V1934" i="16"/>
  <c r="AB1934" i="16" s="1"/>
  <c r="X1933" i="16"/>
  <c r="AD1933" i="16" s="1"/>
  <c r="W1933" i="16"/>
  <c r="AC1933" i="16" s="1"/>
  <c r="V1933" i="16"/>
  <c r="AB1933" i="16" s="1"/>
  <c r="X1932" i="16"/>
  <c r="AD1932" i="16" s="1"/>
  <c r="W1932" i="16"/>
  <c r="AC1932" i="16" s="1"/>
  <c r="V1932" i="16"/>
  <c r="AB1932" i="16" s="1"/>
  <c r="X1931" i="16"/>
  <c r="AD1931" i="16" s="1"/>
  <c r="W1931" i="16"/>
  <c r="AC1931" i="16" s="1"/>
  <c r="V1931" i="16"/>
  <c r="AB1931" i="16" s="1"/>
  <c r="X1930" i="16"/>
  <c r="AD1930" i="16" s="1"/>
  <c r="W1930" i="16"/>
  <c r="AC1930" i="16" s="1"/>
  <c r="V1930" i="16"/>
  <c r="AB1930" i="16" s="1"/>
  <c r="X1929" i="16"/>
  <c r="AD1929" i="16" s="1"/>
  <c r="W1929" i="16"/>
  <c r="AC1929" i="16" s="1"/>
  <c r="V1929" i="16"/>
  <c r="AB1929" i="16" s="1"/>
  <c r="X1928" i="16"/>
  <c r="AD1928" i="16" s="1"/>
  <c r="W1928" i="16"/>
  <c r="AC1928" i="16" s="1"/>
  <c r="V1928" i="16"/>
  <c r="AB1928" i="16" s="1"/>
  <c r="X1927" i="16"/>
  <c r="AD1927" i="16" s="1"/>
  <c r="W1927" i="16"/>
  <c r="AC1927" i="16" s="1"/>
  <c r="V1927" i="16"/>
  <c r="AB1927" i="16" s="1"/>
  <c r="X1926" i="16"/>
  <c r="AD1926" i="16" s="1"/>
  <c r="W1926" i="16"/>
  <c r="AC1926" i="16" s="1"/>
  <c r="V1926" i="16"/>
  <c r="AB1926" i="16" s="1"/>
  <c r="X1925" i="16"/>
  <c r="AD1925" i="16" s="1"/>
  <c r="W1925" i="16"/>
  <c r="AC1925" i="16" s="1"/>
  <c r="V1925" i="16"/>
  <c r="AB1925" i="16" s="1"/>
  <c r="X1924" i="16"/>
  <c r="AD1924" i="16" s="1"/>
  <c r="W1924" i="16"/>
  <c r="AC1924" i="16" s="1"/>
  <c r="V1924" i="16"/>
  <c r="AB1924" i="16" s="1"/>
  <c r="X1923" i="16"/>
  <c r="AD1923" i="16" s="1"/>
  <c r="W1923" i="16"/>
  <c r="AC1923" i="16" s="1"/>
  <c r="V1923" i="16"/>
  <c r="AB1923" i="16" s="1"/>
  <c r="X1922" i="16"/>
  <c r="AD1922" i="16" s="1"/>
  <c r="W1922" i="16"/>
  <c r="AC1922" i="16" s="1"/>
  <c r="V1922" i="16"/>
  <c r="AB1922" i="16" s="1"/>
  <c r="X1921" i="16"/>
  <c r="AD1921" i="16" s="1"/>
  <c r="W1921" i="16"/>
  <c r="AC1921" i="16" s="1"/>
  <c r="V1921" i="16"/>
  <c r="AB1921" i="16" s="1"/>
  <c r="X1920" i="16"/>
  <c r="AD1920" i="16" s="1"/>
  <c r="W1920" i="16"/>
  <c r="AC1920" i="16" s="1"/>
  <c r="V1920" i="16"/>
  <c r="AB1920" i="16" s="1"/>
  <c r="X1919" i="16"/>
  <c r="AD1919" i="16" s="1"/>
  <c r="W1919" i="16"/>
  <c r="AC1919" i="16" s="1"/>
  <c r="V1919" i="16"/>
  <c r="AB1919" i="16" s="1"/>
  <c r="X1918" i="16"/>
  <c r="AD1918" i="16" s="1"/>
  <c r="W1918" i="16"/>
  <c r="AC1918" i="16" s="1"/>
  <c r="V1918" i="16"/>
  <c r="AB1918" i="16" s="1"/>
  <c r="X1917" i="16"/>
  <c r="AD1917" i="16" s="1"/>
  <c r="W1917" i="16"/>
  <c r="AC1917" i="16" s="1"/>
  <c r="V1917" i="16"/>
  <c r="AB1917" i="16" s="1"/>
  <c r="X1916" i="16"/>
  <c r="AD1916" i="16" s="1"/>
  <c r="W1916" i="16"/>
  <c r="AC1916" i="16" s="1"/>
  <c r="V1916" i="16"/>
  <c r="AB1916" i="16" s="1"/>
  <c r="X1915" i="16"/>
  <c r="AD1915" i="16" s="1"/>
  <c r="W1915" i="16"/>
  <c r="AC1915" i="16" s="1"/>
  <c r="V1915" i="16"/>
  <c r="AB1915" i="16" s="1"/>
  <c r="X1914" i="16"/>
  <c r="AD1914" i="16" s="1"/>
  <c r="W1914" i="16"/>
  <c r="AC1914" i="16" s="1"/>
  <c r="V1914" i="16"/>
  <c r="AB1914" i="16" s="1"/>
  <c r="X1913" i="16"/>
  <c r="AD1913" i="16" s="1"/>
  <c r="W1913" i="16"/>
  <c r="AC1913" i="16" s="1"/>
  <c r="V1913" i="16"/>
  <c r="AB1913" i="16" s="1"/>
  <c r="X1912" i="16"/>
  <c r="AD1912" i="16" s="1"/>
  <c r="W1912" i="16"/>
  <c r="AC1912" i="16" s="1"/>
  <c r="V1912" i="16"/>
  <c r="AB1912" i="16" s="1"/>
  <c r="X1911" i="16"/>
  <c r="AD1911" i="16" s="1"/>
  <c r="W1911" i="16"/>
  <c r="AC1911" i="16" s="1"/>
  <c r="V1911" i="16"/>
  <c r="AB1911" i="16" s="1"/>
  <c r="X1910" i="16"/>
  <c r="AD1910" i="16" s="1"/>
  <c r="W1910" i="16"/>
  <c r="AC1910" i="16" s="1"/>
  <c r="V1910" i="16"/>
  <c r="AB1910" i="16" s="1"/>
  <c r="X1909" i="16"/>
  <c r="AD1909" i="16" s="1"/>
  <c r="W1909" i="16"/>
  <c r="AC1909" i="16" s="1"/>
  <c r="V1909" i="16"/>
  <c r="AB1909" i="16" s="1"/>
  <c r="X1908" i="16"/>
  <c r="AD1908" i="16" s="1"/>
  <c r="W1908" i="16"/>
  <c r="AC1908" i="16" s="1"/>
  <c r="V1908" i="16"/>
  <c r="AB1908" i="16" s="1"/>
  <c r="X1907" i="16"/>
  <c r="AD1907" i="16" s="1"/>
  <c r="W1907" i="16"/>
  <c r="AC1907" i="16" s="1"/>
  <c r="V1907" i="16"/>
  <c r="AB1907" i="16" s="1"/>
  <c r="X1906" i="16"/>
  <c r="AD1906" i="16" s="1"/>
  <c r="W1906" i="16"/>
  <c r="AC1906" i="16" s="1"/>
  <c r="V1906" i="16"/>
  <c r="AB1906" i="16" s="1"/>
  <c r="X1905" i="16"/>
  <c r="AD1905" i="16" s="1"/>
  <c r="W1905" i="16"/>
  <c r="AC1905" i="16" s="1"/>
  <c r="V1905" i="16"/>
  <c r="AB1905" i="16" s="1"/>
  <c r="X1904" i="16"/>
  <c r="AD1904" i="16" s="1"/>
  <c r="W1904" i="16"/>
  <c r="AC1904" i="16" s="1"/>
  <c r="V1904" i="16"/>
  <c r="AB1904" i="16" s="1"/>
  <c r="X1903" i="16"/>
  <c r="AD1903" i="16" s="1"/>
  <c r="W1903" i="16"/>
  <c r="AC1903" i="16" s="1"/>
  <c r="V1903" i="16"/>
  <c r="AB1903" i="16" s="1"/>
  <c r="X1902" i="16"/>
  <c r="AD1902" i="16" s="1"/>
  <c r="W1902" i="16"/>
  <c r="AC1902" i="16" s="1"/>
  <c r="V1902" i="16"/>
  <c r="AB1902" i="16" s="1"/>
  <c r="X1901" i="16"/>
  <c r="AD1901" i="16" s="1"/>
  <c r="W1901" i="16"/>
  <c r="AC1901" i="16" s="1"/>
  <c r="V1901" i="16"/>
  <c r="AB1901" i="16" s="1"/>
  <c r="X1900" i="16"/>
  <c r="AD1900" i="16" s="1"/>
  <c r="W1900" i="16"/>
  <c r="AC1900" i="16" s="1"/>
  <c r="V1900" i="16"/>
  <c r="AB1900" i="16" s="1"/>
  <c r="X1899" i="16"/>
  <c r="AD1899" i="16" s="1"/>
  <c r="W1899" i="16"/>
  <c r="AC1899" i="16" s="1"/>
  <c r="V1899" i="16"/>
  <c r="AB1899" i="16" s="1"/>
  <c r="X1898" i="16"/>
  <c r="AD1898" i="16" s="1"/>
  <c r="W1898" i="16"/>
  <c r="AC1898" i="16" s="1"/>
  <c r="V1898" i="16"/>
  <c r="AB1898" i="16" s="1"/>
  <c r="X1897" i="16"/>
  <c r="AD1897" i="16" s="1"/>
  <c r="W1897" i="16"/>
  <c r="AC1897" i="16" s="1"/>
  <c r="V1897" i="16"/>
  <c r="AB1897" i="16" s="1"/>
  <c r="X1896" i="16"/>
  <c r="AD1896" i="16" s="1"/>
  <c r="W1896" i="16"/>
  <c r="AC1896" i="16" s="1"/>
  <c r="V1896" i="16"/>
  <c r="AB1896" i="16" s="1"/>
  <c r="X1895" i="16"/>
  <c r="AD1895" i="16" s="1"/>
  <c r="W1895" i="16"/>
  <c r="AC1895" i="16" s="1"/>
  <c r="V1895" i="16"/>
  <c r="AB1895" i="16" s="1"/>
  <c r="X1894" i="16"/>
  <c r="AD1894" i="16" s="1"/>
  <c r="W1894" i="16"/>
  <c r="AC1894" i="16" s="1"/>
  <c r="V1894" i="16"/>
  <c r="AB1894" i="16" s="1"/>
  <c r="X1893" i="16"/>
  <c r="AD1893" i="16" s="1"/>
  <c r="W1893" i="16"/>
  <c r="AC1893" i="16" s="1"/>
  <c r="V1893" i="16"/>
  <c r="AB1893" i="16" s="1"/>
  <c r="X1892" i="16"/>
  <c r="AD1892" i="16" s="1"/>
  <c r="W1892" i="16"/>
  <c r="AC1892" i="16" s="1"/>
  <c r="V1892" i="16"/>
  <c r="AB1892" i="16" s="1"/>
  <c r="X1891" i="16"/>
  <c r="AD1891" i="16" s="1"/>
  <c r="W1891" i="16"/>
  <c r="AC1891" i="16" s="1"/>
  <c r="V1891" i="16"/>
  <c r="AB1891" i="16" s="1"/>
  <c r="X1890" i="16"/>
  <c r="AD1890" i="16" s="1"/>
  <c r="W1890" i="16"/>
  <c r="AC1890" i="16" s="1"/>
  <c r="V1890" i="16"/>
  <c r="AB1890" i="16" s="1"/>
  <c r="X1889" i="16"/>
  <c r="AD1889" i="16" s="1"/>
  <c r="W1889" i="16"/>
  <c r="AC1889" i="16" s="1"/>
  <c r="V1889" i="16"/>
  <c r="AB1889" i="16" s="1"/>
  <c r="X1888" i="16"/>
  <c r="AD1888" i="16" s="1"/>
  <c r="W1888" i="16"/>
  <c r="AC1888" i="16" s="1"/>
  <c r="V1888" i="16"/>
  <c r="AB1888" i="16" s="1"/>
  <c r="X1887" i="16"/>
  <c r="AD1887" i="16" s="1"/>
  <c r="W1887" i="16"/>
  <c r="AC1887" i="16" s="1"/>
  <c r="V1887" i="16"/>
  <c r="AB1887" i="16" s="1"/>
  <c r="X1886" i="16"/>
  <c r="AD1886" i="16" s="1"/>
  <c r="W1886" i="16"/>
  <c r="AC1886" i="16" s="1"/>
  <c r="V1886" i="16"/>
  <c r="AB1886" i="16" s="1"/>
  <c r="X1885" i="16"/>
  <c r="AD1885" i="16" s="1"/>
  <c r="W1885" i="16"/>
  <c r="AC1885" i="16" s="1"/>
  <c r="V1885" i="16"/>
  <c r="AB1885" i="16" s="1"/>
  <c r="X1884" i="16"/>
  <c r="AD1884" i="16" s="1"/>
  <c r="W1884" i="16"/>
  <c r="AC1884" i="16" s="1"/>
  <c r="V1884" i="16"/>
  <c r="AB1884" i="16" s="1"/>
  <c r="X1883" i="16"/>
  <c r="AD1883" i="16" s="1"/>
  <c r="W1883" i="16"/>
  <c r="AC1883" i="16" s="1"/>
  <c r="V1883" i="16"/>
  <c r="AB1883" i="16" s="1"/>
  <c r="X1882" i="16"/>
  <c r="AD1882" i="16" s="1"/>
  <c r="W1882" i="16"/>
  <c r="AC1882" i="16" s="1"/>
  <c r="V1882" i="16"/>
  <c r="AB1882" i="16" s="1"/>
  <c r="X1881" i="16"/>
  <c r="AD1881" i="16" s="1"/>
  <c r="W1881" i="16"/>
  <c r="AC1881" i="16" s="1"/>
  <c r="V1881" i="16"/>
  <c r="AB1881" i="16" s="1"/>
  <c r="X1880" i="16"/>
  <c r="AD1880" i="16" s="1"/>
  <c r="W1880" i="16"/>
  <c r="AC1880" i="16" s="1"/>
  <c r="V1880" i="16"/>
  <c r="AB1880" i="16" s="1"/>
  <c r="X1879" i="16"/>
  <c r="AD1879" i="16" s="1"/>
  <c r="W1879" i="16"/>
  <c r="AC1879" i="16" s="1"/>
  <c r="V1879" i="16"/>
  <c r="AB1879" i="16" s="1"/>
  <c r="X1878" i="16"/>
  <c r="AD1878" i="16" s="1"/>
  <c r="W1878" i="16"/>
  <c r="AC1878" i="16" s="1"/>
  <c r="V1878" i="16"/>
  <c r="AB1878" i="16" s="1"/>
  <c r="X1877" i="16"/>
  <c r="AD1877" i="16" s="1"/>
  <c r="W1877" i="16"/>
  <c r="AC1877" i="16" s="1"/>
  <c r="V1877" i="16"/>
  <c r="AB1877" i="16" s="1"/>
  <c r="X1876" i="16"/>
  <c r="AD1876" i="16" s="1"/>
  <c r="W1876" i="16"/>
  <c r="AC1876" i="16" s="1"/>
  <c r="V1876" i="16"/>
  <c r="AB1876" i="16" s="1"/>
  <c r="X1875" i="16"/>
  <c r="AD1875" i="16" s="1"/>
  <c r="W1875" i="16"/>
  <c r="AC1875" i="16" s="1"/>
  <c r="V1875" i="16"/>
  <c r="AB1875" i="16" s="1"/>
  <c r="X1874" i="16"/>
  <c r="AD1874" i="16" s="1"/>
  <c r="W1874" i="16"/>
  <c r="AC1874" i="16" s="1"/>
  <c r="V1874" i="16"/>
  <c r="AB1874" i="16" s="1"/>
  <c r="X1873" i="16"/>
  <c r="AD1873" i="16" s="1"/>
  <c r="W1873" i="16"/>
  <c r="AC1873" i="16" s="1"/>
  <c r="V1873" i="16"/>
  <c r="AB1873" i="16" s="1"/>
  <c r="X1872" i="16"/>
  <c r="AD1872" i="16" s="1"/>
  <c r="W1872" i="16"/>
  <c r="AC1872" i="16" s="1"/>
  <c r="V1872" i="16"/>
  <c r="AB1872" i="16" s="1"/>
  <c r="X1871" i="16"/>
  <c r="AD1871" i="16" s="1"/>
  <c r="W1871" i="16"/>
  <c r="AC1871" i="16" s="1"/>
  <c r="V1871" i="16"/>
  <c r="AB1871" i="16" s="1"/>
  <c r="X1870" i="16"/>
  <c r="AD1870" i="16" s="1"/>
  <c r="W1870" i="16"/>
  <c r="AC1870" i="16" s="1"/>
  <c r="V1870" i="16"/>
  <c r="AB1870" i="16" s="1"/>
  <c r="X1869" i="16"/>
  <c r="AD1869" i="16" s="1"/>
  <c r="W1869" i="16"/>
  <c r="AC1869" i="16" s="1"/>
  <c r="V1869" i="16"/>
  <c r="AB1869" i="16" s="1"/>
  <c r="X1868" i="16"/>
  <c r="AD1868" i="16" s="1"/>
  <c r="W1868" i="16"/>
  <c r="AC1868" i="16" s="1"/>
  <c r="V1868" i="16"/>
  <c r="AB1868" i="16" s="1"/>
  <c r="X1867" i="16"/>
  <c r="AD1867" i="16" s="1"/>
  <c r="W1867" i="16"/>
  <c r="AC1867" i="16" s="1"/>
  <c r="V1867" i="16"/>
  <c r="AB1867" i="16" s="1"/>
  <c r="X1866" i="16"/>
  <c r="AD1866" i="16" s="1"/>
  <c r="W1866" i="16"/>
  <c r="AC1866" i="16" s="1"/>
  <c r="V1866" i="16"/>
  <c r="AB1866" i="16" s="1"/>
  <c r="X1865" i="16"/>
  <c r="AD1865" i="16" s="1"/>
  <c r="W1865" i="16"/>
  <c r="AC1865" i="16" s="1"/>
  <c r="V1865" i="16"/>
  <c r="AB1865" i="16" s="1"/>
  <c r="X1864" i="16"/>
  <c r="AD1864" i="16" s="1"/>
  <c r="W1864" i="16"/>
  <c r="AC1864" i="16" s="1"/>
  <c r="V1864" i="16"/>
  <c r="AB1864" i="16" s="1"/>
  <c r="X1863" i="16"/>
  <c r="AD1863" i="16" s="1"/>
  <c r="W1863" i="16"/>
  <c r="AC1863" i="16" s="1"/>
  <c r="V1863" i="16"/>
  <c r="AB1863" i="16" s="1"/>
  <c r="X1862" i="16"/>
  <c r="AD1862" i="16" s="1"/>
  <c r="W1862" i="16"/>
  <c r="AC1862" i="16" s="1"/>
  <c r="V1862" i="16"/>
  <c r="AB1862" i="16" s="1"/>
  <c r="X1861" i="16"/>
  <c r="AD1861" i="16" s="1"/>
  <c r="W1861" i="16"/>
  <c r="AC1861" i="16" s="1"/>
  <c r="V1861" i="16"/>
  <c r="AB1861" i="16" s="1"/>
  <c r="X1860" i="16"/>
  <c r="AD1860" i="16" s="1"/>
  <c r="W1860" i="16"/>
  <c r="AC1860" i="16" s="1"/>
  <c r="V1860" i="16"/>
  <c r="AB1860" i="16" s="1"/>
  <c r="X1859" i="16"/>
  <c r="AD1859" i="16" s="1"/>
  <c r="W1859" i="16"/>
  <c r="AC1859" i="16" s="1"/>
  <c r="V1859" i="16"/>
  <c r="AB1859" i="16" s="1"/>
  <c r="X1858" i="16"/>
  <c r="AD1858" i="16" s="1"/>
  <c r="W1858" i="16"/>
  <c r="AC1858" i="16" s="1"/>
  <c r="V1858" i="16"/>
  <c r="AB1858" i="16" s="1"/>
  <c r="X1857" i="16"/>
  <c r="AD1857" i="16" s="1"/>
  <c r="W1857" i="16"/>
  <c r="AC1857" i="16" s="1"/>
  <c r="V1857" i="16"/>
  <c r="AB1857" i="16" s="1"/>
  <c r="X1856" i="16"/>
  <c r="AD1856" i="16" s="1"/>
  <c r="W1856" i="16"/>
  <c r="AC1856" i="16" s="1"/>
  <c r="V1856" i="16"/>
  <c r="AB1856" i="16" s="1"/>
  <c r="X1855" i="16"/>
  <c r="AD1855" i="16" s="1"/>
  <c r="W1855" i="16"/>
  <c r="AC1855" i="16" s="1"/>
  <c r="V1855" i="16"/>
  <c r="AB1855" i="16" s="1"/>
  <c r="X1854" i="16"/>
  <c r="AD1854" i="16" s="1"/>
  <c r="W1854" i="16"/>
  <c r="AC1854" i="16" s="1"/>
  <c r="V1854" i="16"/>
  <c r="AB1854" i="16" s="1"/>
  <c r="X1853" i="16"/>
  <c r="AD1853" i="16" s="1"/>
  <c r="W1853" i="16"/>
  <c r="AC1853" i="16" s="1"/>
  <c r="V1853" i="16"/>
  <c r="AB1853" i="16" s="1"/>
  <c r="X1852" i="16"/>
  <c r="AD1852" i="16" s="1"/>
  <c r="W1852" i="16"/>
  <c r="AC1852" i="16" s="1"/>
  <c r="V1852" i="16"/>
  <c r="AB1852" i="16" s="1"/>
  <c r="X1851" i="16"/>
  <c r="AD1851" i="16" s="1"/>
  <c r="W1851" i="16"/>
  <c r="AC1851" i="16" s="1"/>
  <c r="V1851" i="16"/>
  <c r="AB1851" i="16" s="1"/>
  <c r="X1850" i="16"/>
  <c r="AD1850" i="16" s="1"/>
  <c r="W1850" i="16"/>
  <c r="AC1850" i="16" s="1"/>
  <c r="V1850" i="16"/>
  <c r="AB1850" i="16" s="1"/>
  <c r="X1849" i="16"/>
  <c r="AD1849" i="16" s="1"/>
  <c r="W1849" i="16"/>
  <c r="AC1849" i="16" s="1"/>
  <c r="V1849" i="16"/>
  <c r="AB1849" i="16" s="1"/>
  <c r="X1848" i="16"/>
  <c r="AD1848" i="16" s="1"/>
  <c r="W1848" i="16"/>
  <c r="AC1848" i="16" s="1"/>
  <c r="V1848" i="16"/>
  <c r="AB1848" i="16" s="1"/>
  <c r="X1847" i="16"/>
  <c r="AD1847" i="16" s="1"/>
  <c r="W1847" i="16"/>
  <c r="AC1847" i="16" s="1"/>
  <c r="V1847" i="16"/>
  <c r="AB1847" i="16" s="1"/>
  <c r="X1846" i="16"/>
  <c r="AD1846" i="16" s="1"/>
  <c r="W1846" i="16"/>
  <c r="AC1846" i="16" s="1"/>
  <c r="V1846" i="16"/>
  <c r="AB1846" i="16" s="1"/>
  <c r="X1845" i="16"/>
  <c r="AD1845" i="16" s="1"/>
  <c r="W1845" i="16"/>
  <c r="AC1845" i="16" s="1"/>
  <c r="V1845" i="16"/>
  <c r="AB1845" i="16" s="1"/>
  <c r="X1844" i="16"/>
  <c r="AD1844" i="16" s="1"/>
  <c r="W1844" i="16"/>
  <c r="AC1844" i="16" s="1"/>
  <c r="V1844" i="16"/>
  <c r="AB1844" i="16" s="1"/>
  <c r="X1843" i="16"/>
  <c r="AD1843" i="16" s="1"/>
  <c r="W1843" i="16"/>
  <c r="AC1843" i="16" s="1"/>
  <c r="V1843" i="16"/>
  <c r="AB1843" i="16" s="1"/>
  <c r="X1842" i="16"/>
  <c r="AD1842" i="16" s="1"/>
  <c r="W1842" i="16"/>
  <c r="AC1842" i="16" s="1"/>
  <c r="V1842" i="16"/>
  <c r="AB1842" i="16" s="1"/>
  <c r="X1841" i="16"/>
  <c r="AD1841" i="16" s="1"/>
  <c r="W1841" i="16"/>
  <c r="AC1841" i="16" s="1"/>
  <c r="V1841" i="16"/>
  <c r="AB1841" i="16" s="1"/>
  <c r="X1840" i="16"/>
  <c r="AD1840" i="16" s="1"/>
  <c r="W1840" i="16"/>
  <c r="AC1840" i="16" s="1"/>
  <c r="V1840" i="16"/>
  <c r="AB1840" i="16" s="1"/>
  <c r="X1839" i="16"/>
  <c r="AD1839" i="16" s="1"/>
  <c r="W1839" i="16"/>
  <c r="AC1839" i="16" s="1"/>
  <c r="V1839" i="16"/>
  <c r="AB1839" i="16" s="1"/>
  <c r="X1838" i="16"/>
  <c r="AD1838" i="16" s="1"/>
  <c r="W1838" i="16"/>
  <c r="AC1838" i="16" s="1"/>
  <c r="V1838" i="16"/>
  <c r="AB1838" i="16" s="1"/>
  <c r="X1837" i="16"/>
  <c r="AD1837" i="16" s="1"/>
  <c r="W1837" i="16"/>
  <c r="AC1837" i="16" s="1"/>
  <c r="V1837" i="16"/>
  <c r="AB1837" i="16" s="1"/>
  <c r="X1836" i="16"/>
  <c r="AD1836" i="16" s="1"/>
  <c r="W1836" i="16"/>
  <c r="AC1836" i="16" s="1"/>
  <c r="V1836" i="16"/>
  <c r="AB1836" i="16" s="1"/>
  <c r="X1835" i="16"/>
  <c r="AD1835" i="16" s="1"/>
  <c r="W1835" i="16"/>
  <c r="AC1835" i="16" s="1"/>
  <c r="V1835" i="16"/>
  <c r="AB1835" i="16" s="1"/>
  <c r="X1834" i="16"/>
  <c r="AD1834" i="16" s="1"/>
  <c r="W1834" i="16"/>
  <c r="AC1834" i="16" s="1"/>
  <c r="V1834" i="16"/>
  <c r="AB1834" i="16" s="1"/>
  <c r="X1833" i="16"/>
  <c r="AD1833" i="16" s="1"/>
  <c r="W1833" i="16"/>
  <c r="AC1833" i="16" s="1"/>
  <c r="V1833" i="16"/>
  <c r="AB1833" i="16" s="1"/>
  <c r="X1832" i="16"/>
  <c r="AD1832" i="16" s="1"/>
  <c r="W1832" i="16"/>
  <c r="AC1832" i="16" s="1"/>
  <c r="V1832" i="16"/>
  <c r="AB1832" i="16" s="1"/>
  <c r="X1831" i="16"/>
  <c r="AD1831" i="16" s="1"/>
  <c r="W1831" i="16"/>
  <c r="AC1831" i="16" s="1"/>
  <c r="V1831" i="16"/>
  <c r="AB1831" i="16" s="1"/>
  <c r="X1830" i="16"/>
  <c r="AD1830" i="16" s="1"/>
  <c r="W1830" i="16"/>
  <c r="AC1830" i="16" s="1"/>
  <c r="V1830" i="16"/>
  <c r="AB1830" i="16" s="1"/>
  <c r="X1829" i="16"/>
  <c r="AD1829" i="16" s="1"/>
  <c r="W1829" i="16"/>
  <c r="AC1829" i="16" s="1"/>
  <c r="V1829" i="16"/>
  <c r="AB1829" i="16" s="1"/>
  <c r="X1828" i="16"/>
  <c r="AD1828" i="16" s="1"/>
  <c r="W1828" i="16"/>
  <c r="AC1828" i="16" s="1"/>
  <c r="V1828" i="16"/>
  <c r="AB1828" i="16" s="1"/>
  <c r="X1827" i="16"/>
  <c r="AD1827" i="16" s="1"/>
  <c r="W1827" i="16"/>
  <c r="AC1827" i="16" s="1"/>
  <c r="V1827" i="16"/>
  <c r="AB1827" i="16" s="1"/>
  <c r="X1826" i="16"/>
  <c r="AD1826" i="16" s="1"/>
  <c r="W1826" i="16"/>
  <c r="AC1826" i="16" s="1"/>
  <c r="V1826" i="16"/>
  <c r="AB1826" i="16" s="1"/>
  <c r="X1825" i="16"/>
  <c r="AD1825" i="16" s="1"/>
  <c r="W1825" i="16"/>
  <c r="AC1825" i="16" s="1"/>
  <c r="V1825" i="16"/>
  <c r="AB1825" i="16" s="1"/>
  <c r="X1824" i="16"/>
  <c r="AD1824" i="16" s="1"/>
  <c r="W1824" i="16"/>
  <c r="AC1824" i="16" s="1"/>
  <c r="V1824" i="16"/>
  <c r="AB1824" i="16" s="1"/>
  <c r="X1823" i="16"/>
  <c r="AD1823" i="16" s="1"/>
  <c r="W1823" i="16"/>
  <c r="AC1823" i="16" s="1"/>
  <c r="V1823" i="16"/>
  <c r="AB1823" i="16" s="1"/>
  <c r="X1822" i="16"/>
  <c r="AD1822" i="16" s="1"/>
  <c r="W1822" i="16"/>
  <c r="AC1822" i="16" s="1"/>
  <c r="V1822" i="16"/>
  <c r="AB1822" i="16" s="1"/>
  <c r="X1821" i="16"/>
  <c r="AD1821" i="16" s="1"/>
  <c r="W1821" i="16"/>
  <c r="AC1821" i="16" s="1"/>
  <c r="V1821" i="16"/>
  <c r="AB1821" i="16" s="1"/>
  <c r="X1820" i="16"/>
  <c r="AD1820" i="16" s="1"/>
  <c r="W1820" i="16"/>
  <c r="AC1820" i="16" s="1"/>
  <c r="V1820" i="16"/>
  <c r="AB1820" i="16" s="1"/>
  <c r="X1819" i="16"/>
  <c r="AD1819" i="16" s="1"/>
  <c r="W1819" i="16"/>
  <c r="AC1819" i="16" s="1"/>
  <c r="V1819" i="16"/>
  <c r="AB1819" i="16" s="1"/>
  <c r="X1818" i="16"/>
  <c r="AD1818" i="16" s="1"/>
  <c r="W1818" i="16"/>
  <c r="AC1818" i="16" s="1"/>
  <c r="V1818" i="16"/>
  <c r="AB1818" i="16" s="1"/>
  <c r="X1817" i="16"/>
  <c r="AD1817" i="16" s="1"/>
  <c r="W1817" i="16"/>
  <c r="AC1817" i="16" s="1"/>
  <c r="V1817" i="16"/>
  <c r="AB1817" i="16" s="1"/>
  <c r="X1816" i="16"/>
  <c r="AD1816" i="16" s="1"/>
  <c r="W1816" i="16"/>
  <c r="AC1816" i="16" s="1"/>
  <c r="V1816" i="16"/>
  <c r="AB1816" i="16" s="1"/>
  <c r="X1815" i="16"/>
  <c r="AD1815" i="16" s="1"/>
  <c r="W1815" i="16"/>
  <c r="AC1815" i="16" s="1"/>
  <c r="V1815" i="16"/>
  <c r="AB1815" i="16" s="1"/>
  <c r="X1814" i="16"/>
  <c r="AD1814" i="16" s="1"/>
  <c r="W1814" i="16"/>
  <c r="AC1814" i="16" s="1"/>
  <c r="V1814" i="16"/>
  <c r="AB1814" i="16" s="1"/>
  <c r="X1813" i="16"/>
  <c r="AD1813" i="16" s="1"/>
  <c r="W1813" i="16"/>
  <c r="AC1813" i="16" s="1"/>
  <c r="V1813" i="16"/>
  <c r="AB1813" i="16" s="1"/>
  <c r="X1812" i="16"/>
  <c r="AD1812" i="16" s="1"/>
  <c r="W1812" i="16"/>
  <c r="AC1812" i="16" s="1"/>
  <c r="V1812" i="16"/>
  <c r="AB1812" i="16" s="1"/>
  <c r="X1811" i="16"/>
  <c r="AD1811" i="16" s="1"/>
  <c r="W1811" i="16"/>
  <c r="AC1811" i="16" s="1"/>
  <c r="V1811" i="16"/>
  <c r="AB1811" i="16" s="1"/>
  <c r="X1810" i="16"/>
  <c r="AD1810" i="16" s="1"/>
  <c r="W1810" i="16"/>
  <c r="AC1810" i="16" s="1"/>
  <c r="V1810" i="16"/>
  <c r="AB1810" i="16" s="1"/>
  <c r="X1809" i="16"/>
  <c r="AD1809" i="16" s="1"/>
  <c r="W1809" i="16"/>
  <c r="AC1809" i="16" s="1"/>
  <c r="V1809" i="16"/>
  <c r="AB1809" i="16" s="1"/>
  <c r="X1808" i="16"/>
  <c r="AD1808" i="16" s="1"/>
  <c r="W1808" i="16"/>
  <c r="AC1808" i="16" s="1"/>
  <c r="V1808" i="16"/>
  <c r="AB1808" i="16" s="1"/>
  <c r="X1807" i="16"/>
  <c r="AD1807" i="16" s="1"/>
  <c r="W1807" i="16"/>
  <c r="AC1807" i="16" s="1"/>
  <c r="V1807" i="16"/>
  <c r="AB1807" i="16" s="1"/>
  <c r="X1806" i="16"/>
  <c r="AD1806" i="16" s="1"/>
  <c r="W1806" i="16"/>
  <c r="AC1806" i="16" s="1"/>
  <c r="V1806" i="16"/>
  <c r="AB1806" i="16" s="1"/>
  <c r="X1805" i="16"/>
  <c r="AD1805" i="16" s="1"/>
  <c r="W1805" i="16"/>
  <c r="AC1805" i="16" s="1"/>
  <c r="V1805" i="16"/>
  <c r="AB1805" i="16" s="1"/>
  <c r="X1804" i="16"/>
  <c r="AD1804" i="16" s="1"/>
  <c r="W1804" i="16"/>
  <c r="AC1804" i="16" s="1"/>
  <c r="V1804" i="16"/>
  <c r="AB1804" i="16" s="1"/>
  <c r="X1803" i="16"/>
  <c r="AD1803" i="16" s="1"/>
  <c r="W1803" i="16"/>
  <c r="AC1803" i="16" s="1"/>
  <c r="V1803" i="16"/>
  <c r="AB1803" i="16" s="1"/>
  <c r="X1802" i="16"/>
  <c r="AD1802" i="16" s="1"/>
  <c r="W1802" i="16"/>
  <c r="AC1802" i="16" s="1"/>
  <c r="V1802" i="16"/>
  <c r="AB1802" i="16" s="1"/>
  <c r="X1801" i="16"/>
  <c r="AD1801" i="16" s="1"/>
  <c r="W1801" i="16"/>
  <c r="AC1801" i="16" s="1"/>
  <c r="V1801" i="16"/>
  <c r="AB1801" i="16" s="1"/>
  <c r="X1800" i="16"/>
  <c r="AD1800" i="16" s="1"/>
  <c r="W1800" i="16"/>
  <c r="AC1800" i="16" s="1"/>
  <c r="V1800" i="16"/>
  <c r="AB1800" i="16" s="1"/>
  <c r="X1799" i="16"/>
  <c r="AD1799" i="16" s="1"/>
  <c r="W1799" i="16"/>
  <c r="AC1799" i="16" s="1"/>
  <c r="V1799" i="16"/>
  <c r="AB1799" i="16" s="1"/>
  <c r="X1798" i="16"/>
  <c r="AD1798" i="16" s="1"/>
  <c r="W1798" i="16"/>
  <c r="AC1798" i="16" s="1"/>
  <c r="V1798" i="16"/>
  <c r="AB1798" i="16" s="1"/>
  <c r="X1797" i="16"/>
  <c r="AD1797" i="16" s="1"/>
  <c r="W1797" i="16"/>
  <c r="AC1797" i="16" s="1"/>
  <c r="V1797" i="16"/>
  <c r="AB1797" i="16" s="1"/>
  <c r="X1796" i="16"/>
  <c r="AD1796" i="16" s="1"/>
  <c r="W1796" i="16"/>
  <c r="AC1796" i="16" s="1"/>
  <c r="V1796" i="16"/>
  <c r="AB1796" i="16" s="1"/>
  <c r="X1795" i="16"/>
  <c r="AD1795" i="16" s="1"/>
  <c r="W1795" i="16"/>
  <c r="AC1795" i="16" s="1"/>
  <c r="V1795" i="16"/>
  <c r="AB1795" i="16" s="1"/>
  <c r="X1794" i="16"/>
  <c r="AD1794" i="16" s="1"/>
  <c r="W1794" i="16"/>
  <c r="AC1794" i="16" s="1"/>
  <c r="V1794" i="16"/>
  <c r="AB1794" i="16" s="1"/>
  <c r="X1793" i="16"/>
  <c r="AD1793" i="16" s="1"/>
  <c r="W1793" i="16"/>
  <c r="AC1793" i="16" s="1"/>
  <c r="V1793" i="16"/>
  <c r="AB1793" i="16" s="1"/>
  <c r="X1792" i="16"/>
  <c r="AD1792" i="16" s="1"/>
  <c r="W1792" i="16"/>
  <c r="AC1792" i="16" s="1"/>
  <c r="V1792" i="16"/>
  <c r="AB1792" i="16" s="1"/>
  <c r="X1791" i="16"/>
  <c r="AD1791" i="16" s="1"/>
  <c r="W1791" i="16"/>
  <c r="AC1791" i="16" s="1"/>
  <c r="V1791" i="16"/>
  <c r="AB1791" i="16" s="1"/>
  <c r="X1790" i="16"/>
  <c r="AD1790" i="16" s="1"/>
  <c r="W1790" i="16"/>
  <c r="AC1790" i="16" s="1"/>
  <c r="V1790" i="16"/>
  <c r="AB1790" i="16" s="1"/>
  <c r="X1789" i="16"/>
  <c r="AD1789" i="16" s="1"/>
  <c r="W1789" i="16"/>
  <c r="AC1789" i="16" s="1"/>
  <c r="V1789" i="16"/>
  <c r="AB1789" i="16" s="1"/>
  <c r="X1788" i="16"/>
  <c r="AD1788" i="16" s="1"/>
  <c r="W1788" i="16"/>
  <c r="AC1788" i="16" s="1"/>
  <c r="V1788" i="16"/>
  <c r="AB1788" i="16" s="1"/>
  <c r="X1787" i="16"/>
  <c r="AD1787" i="16" s="1"/>
  <c r="W1787" i="16"/>
  <c r="AC1787" i="16" s="1"/>
  <c r="V1787" i="16"/>
  <c r="AB1787" i="16" s="1"/>
  <c r="X1786" i="16"/>
  <c r="AD1786" i="16" s="1"/>
  <c r="W1786" i="16"/>
  <c r="AC1786" i="16" s="1"/>
  <c r="V1786" i="16"/>
  <c r="AB1786" i="16" s="1"/>
  <c r="X1785" i="16"/>
  <c r="AD1785" i="16" s="1"/>
  <c r="W1785" i="16"/>
  <c r="AC1785" i="16" s="1"/>
  <c r="V1785" i="16"/>
  <c r="AB1785" i="16" s="1"/>
  <c r="X1784" i="16"/>
  <c r="AD1784" i="16" s="1"/>
  <c r="W1784" i="16"/>
  <c r="AC1784" i="16" s="1"/>
  <c r="V1784" i="16"/>
  <c r="AB1784" i="16" s="1"/>
  <c r="X1783" i="16"/>
  <c r="AD1783" i="16" s="1"/>
  <c r="W1783" i="16"/>
  <c r="AC1783" i="16" s="1"/>
  <c r="V1783" i="16"/>
  <c r="AB1783" i="16" s="1"/>
  <c r="X1782" i="16"/>
  <c r="AD1782" i="16" s="1"/>
  <c r="W1782" i="16"/>
  <c r="AC1782" i="16" s="1"/>
  <c r="V1782" i="16"/>
  <c r="AB1782" i="16" s="1"/>
  <c r="X1781" i="16"/>
  <c r="AD1781" i="16" s="1"/>
  <c r="W1781" i="16"/>
  <c r="AC1781" i="16" s="1"/>
  <c r="V1781" i="16"/>
  <c r="AB1781" i="16" s="1"/>
  <c r="X1780" i="16"/>
  <c r="AD1780" i="16" s="1"/>
  <c r="W1780" i="16"/>
  <c r="AC1780" i="16" s="1"/>
  <c r="V1780" i="16"/>
  <c r="AB1780" i="16" s="1"/>
  <c r="X1779" i="16"/>
  <c r="AD1779" i="16" s="1"/>
  <c r="W1779" i="16"/>
  <c r="AC1779" i="16" s="1"/>
  <c r="V1779" i="16"/>
  <c r="AB1779" i="16" s="1"/>
  <c r="X1778" i="16"/>
  <c r="AD1778" i="16" s="1"/>
  <c r="W1778" i="16"/>
  <c r="AC1778" i="16" s="1"/>
  <c r="V1778" i="16"/>
  <c r="AB1778" i="16" s="1"/>
  <c r="X1777" i="16"/>
  <c r="AD1777" i="16" s="1"/>
  <c r="W1777" i="16"/>
  <c r="AC1777" i="16" s="1"/>
  <c r="V1777" i="16"/>
  <c r="AB1777" i="16" s="1"/>
  <c r="X1776" i="16"/>
  <c r="AD1776" i="16" s="1"/>
  <c r="W1776" i="16"/>
  <c r="AC1776" i="16" s="1"/>
  <c r="V1776" i="16"/>
  <c r="AB1776" i="16" s="1"/>
  <c r="X1775" i="16"/>
  <c r="AD1775" i="16" s="1"/>
  <c r="W1775" i="16"/>
  <c r="AC1775" i="16" s="1"/>
  <c r="V1775" i="16"/>
  <c r="AB1775" i="16" s="1"/>
  <c r="X1774" i="16"/>
  <c r="AD1774" i="16" s="1"/>
  <c r="W1774" i="16"/>
  <c r="AC1774" i="16" s="1"/>
  <c r="V1774" i="16"/>
  <c r="AB1774" i="16" s="1"/>
  <c r="X1773" i="16"/>
  <c r="AD1773" i="16" s="1"/>
  <c r="W1773" i="16"/>
  <c r="AC1773" i="16" s="1"/>
  <c r="V1773" i="16"/>
  <c r="AB1773" i="16" s="1"/>
  <c r="X1772" i="16"/>
  <c r="AD1772" i="16" s="1"/>
  <c r="W1772" i="16"/>
  <c r="AC1772" i="16" s="1"/>
  <c r="V1772" i="16"/>
  <c r="AB1772" i="16" s="1"/>
  <c r="X1771" i="16"/>
  <c r="AD1771" i="16" s="1"/>
  <c r="W1771" i="16"/>
  <c r="AC1771" i="16" s="1"/>
  <c r="V1771" i="16"/>
  <c r="AB1771" i="16" s="1"/>
  <c r="X1770" i="16"/>
  <c r="AD1770" i="16" s="1"/>
  <c r="W1770" i="16"/>
  <c r="AC1770" i="16" s="1"/>
  <c r="V1770" i="16"/>
  <c r="AB1770" i="16" s="1"/>
  <c r="X1769" i="16"/>
  <c r="AD1769" i="16" s="1"/>
  <c r="W1769" i="16"/>
  <c r="AC1769" i="16" s="1"/>
  <c r="V1769" i="16"/>
  <c r="AB1769" i="16" s="1"/>
  <c r="X1768" i="16"/>
  <c r="AD1768" i="16" s="1"/>
  <c r="W1768" i="16"/>
  <c r="AC1768" i="16" s="1"/>
  <c r="V1768" i="16"/>
  <c r="AB1768" i="16" s="1"/>
  <c r="X1767" i="16"/>
  <c r="AD1767" i="16" s="1"/>
  <c r="W1767" i="16"/>
  <c r="AC1767" i="16" s="1"/>
  <c r="V1767" i="16"/>
  <c r="AB1767" i="16" s="1"/>
  <c r="X1766" i="16"/>
  <c r="AD1766" i="16" s="1"/>
  <c r="W1766" i="16"/>
  <c r="AC1766" i="16" s="1"/>
  <c r="V1766" i="16"/>
  <c r="AB1766" i="16" s="1"/>
  <c r="X1765" i="16"/>
  <c r="AD1765" i="16" s="1"/>
  <c r="W1765" i="16"/>
  <c r="AC1765" i="16" s="1"/>
  <c r="V1765" i="16"/>
  <c r="AB1765" i="16" s="1"/>
  <c r="X1764" i="16"/>
  <c r="AD1764" i="16" s="1"/>
  <c r="W1764" i="16"/>
  <c r="AC1764" i="16" s="1"/>
  <c r="V1764" i="16"/>
  <c r="AB1764" i="16" s="1"/>
  <c r="X1763" i="16"/>
  <c r="AD1763" i="16" s="1"/>
  <c r="W1763" i="16"/>
  <c r="AC1763" i="16" s="1"/>
  <c r="V1763" i="16"/>
  <c r="AB1763" i="16" s="1"/>
  <c r="X1762" i="16"/>
  <c r="AD1762" i="16" s="1"/>
  <c r="W1762" i="16"/>
  <c r="AC1762" i="16" s="1"/>
  <c r="V1762" i="16"/>
  <c r="AB1762" i="16" s="1"/>
  <c r="X1761" i="16"/>
  <c r="AD1761" i="16" s="1"/>
  <c r="W1761" i="16"/>
  <c r="AC1761" i="16" s="1"/>
  <c r="V1761" i="16"/>
  <c r="AB1761" i="16" s="1"/>
  <c r="X1760" i="16"/>
  <c r="AD1760" i="16" s="1"/>
  <c r="W1760" i="16"/>
  <c r="AC1760" i="16" s="1"/>
  <c r="V1760" i="16"/>
  <c r="AB1760" i="16" s="1"/>
  <c r="X1759" i="16"/>
  <c r="AD1759" i="16" s="1"/>
  <c r="W1759" i="16"/>
  <c r="AC1759" i="16" s="1"/>
  <c r="V1759" i="16"/>
  <c r="AB1759" i="16" s="1"/>
  <c r="X1758" i="16"/>
  <c r="AD1758" i="16" s="1"/>
  <c r="W1758" i="16"/>
  <c r="AC1758" i="16" s="1"/>
  <c r="V1758" i="16"/>
  <c r="AB1758" i="16" s="1"/>
  <c r="X1757" i="16"/>
  <c r="AD1757" i="16" s="1"/>
  <c r="W1757" i="16"/>
  <c r="AC1757" i="16" s="1"/>
  <c r="V1757" i="16"/>
  <c r="AB1757" i="16" s="1"/>
  <c r="X1756" i="16"/>
  <c r="AD1756" i="16" s="1"/>
  <c r="W1756" i="16"/>
  <c r="AC1756" i="16" s="1"/>
  <c r="V1756" i="16"/>
  <c r="AB1756" i="16" s="1"/>
  <c r="X1755" i="16"/>
  <c r="AD1755" i="16" s="1"/>
  <c r="W1755" i="16"/>
  <c r="AC1755" i="16" s="1"/>
  <c r="V1755" i="16"/>
  <c r="AB1755" i="16" s="1"/>
  <c r="X1754" i="16"/>
  <c r="AD1754" i="16" s="1"/>
  <c r="W1754" i="16"/>
  <c r="AC1754" i="16" s="1"/>
  <c r="V1754" i="16"/>
  <c r="AB1754" i="16" s="1"/>
  <c r="X1753" i="16"/>
  <c r="AD1753" i="16" s="1"/>
  <c r="W1753" i="16"/>
  <c r="AC1753" i="16" s="1"/>
  <c r="V1753" i="16"/>
  <c r="AB1753" i="16" s="1"/>
  <c r="X1752" i="16"/>
  <c r="AD1752" i="16" s="1"/>
  <c r="W1752" i="16"/>
  <c r="AC1752" i="16" s="1"/>
  <c r="V1752" i="16"/>
  <c r="AB1752" i="16" s="1"/>
  <c r="X1751" i="16"/>
  <c r="AD1751" i="16" s="1"/>
  <c r="W1751" i="16"/>
  <c r="AC1751" i="16" s="1"/>
  <c r="V1751" i="16"/>
  <c r="AB1751" i="16" s="1"/>
  <c r="X1750" i="16"/>
  <c r="AD1750" i="16" s="1"/>
  <c r="W1750" i="16"/>
  <c r="AC1750" i="16" s="1"/>
  <c r="V1750" i="16"/>
  <c r="AB1750" i="16" s="1"/>
  <c r="X1749" i="16"/>
  <c r="AD1749" i="16" s="1"/>
  <c r="W1749" i="16"/>
  <c r="AC1749" i="16" s="1"/>
  <c r="V1749" i="16"/>
  <c r="AB1749" i="16" s="1"/>
  <c r="X1748" i="16"/>
  <c r="AD1748" i="16" s="1"/>
  <c r="W1748" i="16"/>
  <c r="AC1748" i="16" s="1"/>
  <c r="V1748" i="16"/>
  <c r="AB1748" i="16" s="1"/>
  <c r="X1747" i="16"/>
  <c r="AD1747" i="16" s="1"/>
  <c r="W1747" i="16"/>
  <c r="AC1747" i="16" s="1"/>
  <c r="V1747" i="16"/>
  <c r="AB1747" i="16" s="1"/>
  <c r="X1746" i="16"/>
  <c r="AD1746" i="16" s="1"/>
  <c r="W1746" i="16"/>
  <c r="AC1746" i="16" s="1"/>
  <c r="V1746" i="16"/>
  <c r="AB1746" i="16" s="1"/>
  <c r="X1745" i="16"/>
  <c r="AD1745" i="16" s="1"/>
  <c r="W1745" i="16"/>
  <c r="AC1745" i="16" s="1"/>
  <c r="V1745" i="16"/>
  <c r="AB1745" i="16" s="1"/>
  <c r="X1744" i="16"/>
  <c r="AD1744" i="16" s="1"/>
  <c r="W1744" i="16"/>
  <c r="AC1744" i="16" s="1"/>
  <c r="V1744" i="16"/>
  <c r="AB1744" i="16" s="1"/>
  <c r="X1743" i="16"/>
  <c r="AD1743" i="16" s="1"/>
  <c r="W1743" i="16"/>
  <c r="AC1743" i="16" s="1"/>
  <c r="V1743" i="16"/>
  <c r="AB1743" i="16" s="1"/>
  <c r="X1742" i="16"/>
  <c r="AD1742" i="16" s="1"/>
  <c r="W1742" i="16"/>
  <c r="AC1742" i="16" s="1"/>
  <c r="V1742" i="16"/>
  <c r="AB1742" i="16" s="1"/>
  <c r="X1741" i="16"/>
  <c r="AD1741" i="16" s="1"/>
  <c r="W1741" i="16"/>
  <c r="AC1741" i="16" s="1"/>
  <c r="V1741" i="16"/>
  <c r="AB1741" i="16" s="1"/>
  <c r="X1740" i="16"/>
  <c r="AD1740" i="16" s="1"/>
  <c r="W1740" i="16"/>
  <c r="AC1740" i="16" s="1"/>
  <c r="V1740" i="16"/>
  <c r="AB1740" i="16" s="1"/>
  <c r="X1739" i="16"/>
  <c r="AD1739" i="16" s="1"/>
  <c r="W1739" i="16"/>
  <c r="AC1739" i="16" s="1"/>
  <c r="V1739" i="16"/>
  <c r="AB1739" i="16" s="1"/>
  <c r="X1738" i="16"/>
  <c r="AD1738" i="16" s="1"/>
  <c r="W1738" i="16"/>
  <c r="AC1738" i="16" s="1"/>
  <c r="V1738" i="16"/>
  <c r="AB1738" i="16" s="1"/>
  <c r="X1737" i="16"/>
  <c r="AD1737" i="16" s="1"/>
  <c r="W1737" i="16"/>
  <c r="AC1737" i="16" s="1"/>
  <c r="V1737" i="16"/>
  <c r="AB1737" i="16" s="1"/>
  <c r="X1736" i="16"/>
  <c r="AD1736" i="16" s="1"/>
  <c r="W1736" i="16"/>
  <c r="AC1736" i="16" s="1"/>
  <c r="V1736" i="16"/>
  <c r="AB1736" i="16" s="1"/>
  <c r="X1735" i="16"/>
  <c r="AD1735" i="16" s="1"/>
  <c r="W1735" i="16"/>
  <c r="AC1735" i="16" s="1"/>
  <c r="V1735" i="16"/>
  <c r="AB1735" i="16" s="1"/>
  <c r="X1734" i="16"/>
  <c r="AD1734" i="16" s="1"/>
  <c r="W1734" i="16"/>
  <c r="AC1734" i="16" s="1"/>
  <c r="V1734" i="16"/>
  <c r="AB1734" i="16" s="1"/>
  <c r="X1733" i="16"/>
  <c r="AD1733" i="16" s="1"/>
  <c r="W1733" i="16"/>
  <c r="AC1733" i="16" s="1"/>
  <c r="V1733" i="16"/>
  <c r="AB1733" i="16" s="1"/>
  <c r="X1732" i="16"/>
  <c r="AD1732" i="16" s="1"/>
  <c r="W1732" i="16"/>
  <c r="AC1732" i="16" s="1"/>
  <c r="V1732" i="16"/>
  <c r="AB1732" i="16" s="1"/>
  <c r="X1731" i="16"/>
  <c r="AD1731" i="16" s="1"/>
  <c r="W1731" i="16"/>
  <c r="AC1731" i="16" s="1"/>
  <c r="V1731" i="16"/>
  <c r="AB1731" i="16" s="1"/>
  <c r="X1730" i="16"/>
  <c r="AD1730" i="16" s="1"/>
  <c r="W1730" i="16"/>
  <c r="AC1730" i="16" s="1"/>
  <c r="V1730" i="16"/>
  <c r="AB1730" i="16" s="1"/>
  <c r="X1729" i="16"/>
  <c r="AD1729" i="16" s="1"/>
  <c r="W1729" i="16"/>
  <c r="AC1729" i="16" s="1"/>
  <c r="V1729" i="16"/>
  <c r="AB1729" i="16" s="1"/>
  <c r="X1728" i="16"/>
  <c r="AD1728" i="16" s="1"/>
  <c r="W1728" i="16"/>
  <c r="AC1728" i="16" s="1"/>
  <c r="V1728" i="16"/>
  <c r="AB1728" i="16" s="1"/>
  <c r="X1727" i="16"/>
  <c r="AD1727" i="16" s="1"/>
  <c r="W1727" i="16"/>
  <c r="AC1727" i="16" s="1"/>
  <c r="V1727" i="16"/>
  <c r="AB1727" i="16" s="1"/>
  <c r="X1726" i="16"/>
  <c r="AD1726" i="16" s="1"/>
  <c r="W1726" i="16"/>
  <c r="AC1726" i="16" s="1"/>
  <c r="V1726" i="16"/>
  <c r="AB1726" i="16" s="1"/>
  <c r="X1725" i="16"/>
  <c r="AD1725" i="16" s="1"/>
  <c r="W1725" i="16"/>
  <c r="AC1725" i="16" s="1"/>
  <c r="V1725" i="16"/>
  <c r="AB1725" i="16" s="1"/>
  <c r="X1724" i="16"/>
  <c r="AD1724" i="16" s="1"/>
  <c r="W1724" i="16"/>
  <c r="AC1724" i="16" s="1"/>
  <c r="V1724" i="16"/>
  <c r="AB1724" i="16" s="1"/>
  <c r="X1723" i="16"/>
  <c r="AD1723" i="16" s="1"/>
  <c r="W1723" i="16"/>
  <c r="AC1723" i="16" s="1"/>
  <c r="V1723" i="16"/>
  <c r="AB1723" i="16" s="1"/>
  <c r="X1722" i="16"/>
  <c r="AD1722" i="16" s="1"/>
  <c r="W1722" i="16"/>
  <c r="AC1722" i="16" s="1"/>
  <c r="V1722" i="16"/>
  <c r="AB1722" i="16" s="1"/>
  <c r="X1721" i="16"/>
  <c r="AD1721" i="16" s="1"/>
  <c r="W1721" i="16"/>
  <c r="AC1721" i="16" s="1"/>
  <c r="V1721" i="16"/>
  <c r="AB1721" i="16" s="1"/>
  <c r="X1720" i="16"/>
  <c r="AD1720" i="16" s="1"/>
  <c r="W1720" i="16"/>
  <c r="AC1720" i="16" s="1"/>
  <c r="V1720" i="16"/>
  <c r="AB1720" i="16" s="1"/>
  <c r="X1719" i="16"/>
  <c r="AD1719" i="16" s="1"/>
  <c r="W1719" i="16"/>
  <c r="AC1719" i="16" s="1"/>
  <c r="V1719" i="16"/>
  <c r="AB1719" i="16" s="1"/>
  <c r="X1718" i="16"/>
  <c r="AD1718" i="16" s="1"/>
  <c r="W1718" i="16"/>
  <c r="AC1718" i="16" s="1"/>
  <c r="V1718" i="16"/>
  <c r="AB1718" i="16" s="1"/>
  <c r="X1717" i="16"/>
  <c r="AD1717" i="16" s="1"/>
  <c r="W1717" i="16"/>
  <c r="AC1717" i="16" s="1"/>
  <c r="V1717" i="16"/>
  <c r="AB1717" i="16" s="1"/>
  <c r="X1716" i="16"/>
  <c r="AD1716" i="16" s="1"/>
  <c r="W1716" i="16"/>
  <c r="AC1716" i="16" s="1"/>
  <c r="V1716" i="16"/>
  <c r="AB1716" i="16" s="1"/>
  <c r="X1715" i="16"/>
  <c r="AD1715" i="16" s="1"/>
  <c r="W1715" i="16"/>
  <c r="AC1715" i="16" s="1"/>
  <c r="V1715" i="16"/>
  <c r="AB1715" i="16" s="1"/>
  <c r="X1714" i="16"/>
  <c r="AD1714" i="16" s="1"/>
  <c r="W1714" i="16"/>
  <c r="AC1714" i="16" s="1"/>
  <c r="V1714" i="16"/>
  <c r="AB1714" i="16" s="1"/>
  <c r="X1713" i="16"/>
  <c r="AD1713" i="16" s="1"/>
  <c r="W1713" i="16"/>
  <c r="AC1713" i="16" s="1"/>
  <c r="V1713" i="16"/>
  <c r="AB1713" i="16" s="1"/>
  <c r="X1712" i="16"/>
  <c r="AD1712" i="16" s="1"/>
  <c r="W1712" i="16"/>
  <c r="AC1712" i="16" s="1"/>
  <c r="V1712" i="16"/>
  <c r="AB1712" i="16" s="1"/>
  <c r="X1711" i="16"/>
  <c r="AD1711" i="16" s="1"/>
  <c r="W1711" i="16"/>
  <c r="AC1711" i="16" s="1"/>
  <c r="V1711" i="16"/>
  <c r="AB1711" i="16" s="1"/>
  <c r="X1710" i="16"/>
  <c r="AD1710" i="16" s="1"/>
  <c r="W1710" i="16"/>
  <c r="AC1710" i="16" s="1"/>
  <c r="V1710" i="16"/>
  <c r="AB1710" i="16" s="1"/>
  <c r="X1709" i="16"/>
  <c r="AD1709" i="16" s="1"/>
  <c r="W1709" i="16"/>
  <c r="AC1709" i="16" s="1"/>
  <c r="V1709" i="16"/>
  <c r="AB1709" i="16" s="1"/>
  <c r="X1708" i="16"/>
  <c r="AD1708" i="16" s="1"/>
  <c r="W1708" i="16"/>
  <c r="AC1708" i="16" s="1"/>
  <c r="V1708" i="16"/>
  <c r="AB1708" i="16" s="1"/>
  <c r="X1707" i="16"/>
  <c r="AD1707" i="16" s="1"/>
  <c r="W1707" i="16"/>
  <c r="AC1707" i="16" s="1"/>
  <c r="V1707" i="16"/>
  <c r="AB1707" i="16" s="1"/>
  <c r="X1706" i="16"/>
  <c r="AD1706" i="16" s="1"/>
  <c r="W1706" i="16"/>
  <c r="AC1706" i="16" s="1"/>
  <c r="V1706" i="16"/>
  <c r="AB1706" i="16" s="1"/>
  <c r="X1705" i="16"/>
  <c r="AD1705" i="16" s="1"/>
  <c r="W1705" i="16"/>
  <c r="AC1705" i="16" s="1"/>
  <c r="V1705" i="16"/>
  <c r="AB1705" i="16" s="1"/>
  <c r="X1704" i="16"/>
  <c r="AD1704" i="16" s="1"/>
  <c r="W1704" i="16"/>
  <c r="AC1704" i="16" s="1"/>
  <c r="V1704" i="16"/>
  <c r="AB1704" i="16" s="1"/>
  <c r="X1703" i="16"/>
  <c r="AD1703" i="16" s="1"/>
  <c r="W1703" i="16"/>
  <c r="AC1703" i="16" s="1"/>
  <c r="V1703" i="16"/>
  <c r="AB1703" i="16" s="1"/>
  <c r="X1702" i="16"/>
  <c r="AD1702" i="16" s="1"/>
  <c r="W1702" i="16"/>
  <c r="AC1702" i="16" s="1"/>
  <c r="V1702" i="16"/>
  <c r="AB1702" i="16" s="1"/>
  <c r="X1701" i="16"/>
  <c r="AD1701" i="16" s="1"/>
  <c r="W1701" i="16"/>
  <c r="AC1701" i="16" s="1"/>
  <c r="V1701" i="16"/>
  <c r="AB1701" i="16" s="1"/>
  <c r="X1700" i="16"/>
  <c r="AD1700" i="16" s="1"/>
  <c r="W1700" i="16"/>
  <c r="AC1700" i="16" s="1"/>
  <c r="V1700" i="16"/>
  <c r="AB1700" i="16" s="1"/>
  <c r="X1699" i="16"/>
  <c r="AD1699" i="16" s="1"/>
  <c r="W1699" i="16"/>
  <c r="AC1699" i="16" s="1"/>
  <c r="V1699" i="16"/>
  <c r="AB1699" i="16" s="1"/>
  <c r="X1698" i="16"/>
  <c r="AD1698" i="16" s="1"/>
  <c r="W1698" i="16"/>
  <c r="AC1698" i="16" s="1"/>
  <c r="V1698" i="16"/>
  <c r="AB1698" i="16" s="1"/>
  <c r="X1697" i="16"/>
  <c r="AD1697" i="16" s="1"/>
  <c r="W1697" i="16"/>
  <c r="AC1697" i="16" s="1"/>
  <c r="V1697" i="16"/>
  <c r="AB1697" i="16" s="1"/>
  <c r="X1696" i="16"/>
  <c r="AD1696" i="16" s="1"/>
  <c r="W1696" i="16"/>
  <c r="AC1696" i="16" s="1"/>
  <c r="V1696" i="16"/>
  <c r="AB1696" i="16" s="1"/>
  <c r="X1695" i="16"/>
  <c r="AD1695" i="16" s="1"/>
  <c r="W1695" i="16"/>
  <c r="AC1695" i="16" s="1"/>
  <c r="V1695" i="16"/>
  <c r="AB1695" i="16" s="1"/>
  <c r="X1694" i="16"/>
  <c r="AD1694" i="16" s="1"/>
  <c r="W1694" i="16"/>
  <c r="AC1694" i="16" s="1"/>
  <c r="V1694" i="16"/>
  <c r="AB1694" i="16" s="1"/>
  <c r="X1693" i="16"/>
  <c r="AD1693" i="16" s="1"/>
  <c r="W1693" i="16"/>
  <c r="AC1693" i="16" s="1"/>
  <c r="V1693" i="16"/>
  <c r="AB1693" i="16" s="1"/>
  <c r="X1692" i="16"/>
  <c r="AD1692" i="16" s="1"/>
  <c r="W1692" i="16"/>
  <c r="AC1692" i="16" s="1"/>
  <c r="V1692" i="16"/>
  <c r="AB1692" i="16" s="1"/>
  <c r="X1691" i="16"/>
  <c r="AD1691" i="16" s="1"/>
  <c r="W1691" i="16"/>
  <c r="AC1691" i="16" s="1"/>
  <c r="V1691" i="16"/>
  <c r="AB1691" i="16" s="1"/>
  <c r="X1690" i="16"/>
  <c r="AD1690" i="16" s="1"/>
  <c r="W1690" i="16"/>
  <c r="AC1690" i="16" s="1"/>
  <c r="V1690" i="16"/>
  <c r="AB1690" i="16" s="1"/>
  <c r="X1689" i="16"/>
  <c r="AD1689" i="16" s="1"/>
  <c r="W1689" i="16"/>
  <c r="AC1689" i="16" s="1"/>
  <c r="V1689" i="16"/>
  <c r="AB1689" i="16" s="1"/>
  <c r="X1688" i="16"/>
  <c r="AD1688" i="16" s="1"/>
  <c r="W1688" i="16"/>
  <c r="AC1688" i="16" s="1"/>
  <c r="V1688" i="16"/>
  <c r="AB1688" i="16" s="1"/>
  <c r="X1687" i="16"/>
  <c r="AD1687" i="16" s="1"/>
  <c r="W1687" i="16"/>
  <c r="AC1687" i="16" s="1"/>
  <c r="V1687" i="16"/>
  <c r="AB1687" i="16" s="1"/>
  <c r="X1686" i="16"/>
  <c r="AD1686" i="16" s="1"/>
  <c r="W1686" i="16"/>
  <c r="AC1686" i="16" s="1"/>
  <c r="V1686" i="16"/>
  <c r="AB1686" i="16" s="1"/>
  <c r="X1685" i="16"/>
  <c r="AD1685" i="16" s="1"/>
  <c r="W1685" i="16"/>
  <c r="AC1685" i="16" s="1"/>
  <c r="V1685" i="16"/>
  <c r="AB1685" i="16" s="1"/>
  <c r="X1684" i="16"/>
  <c r="AD1684" i="16" s="1"/>
  <c r="W1684" i="16"/>
  <c r="AC1684" i="16" s="1"/>
  <c r="V1684" i="16"/>
  <c r="AB1684" i="16" s="1"/>
  <c r="X1683" i="16"/>
  <c r="AD1683" i="16" s="1"/>
  <c r="W1683" i="16"/>
  <c r="AC1683" i="16" s="1"/>
  <c r="V1683" i="16"/>
  <c r="AB1683" i="16" s="1"/>
  <c r="X1682" i="16"/>
  <c r="AD1682" i="16" s="1"/>
  <c r="W1682" i="16"/>
  <c r="AC1682" i="16" s="1"/>
  <c r="V1682" i="16"/>
  <c r="AB1682" i="16" s="1"/>
  <c r="X1681" i="16"/>
  <c r="AD1681" i="16" s="1"/>
  <c r="W1681" i="16"/>
  <c r="AC1681" i="16" s="1"/>
  <c r="V1681" i="16"/>
  <c r="AB1681" i="16" s="1"/>
  <c r="X1680" i="16"/>
  <c r="AD1680" i="16" s="1"/>
  <c r="W1680" i="16"/>
  <c r="AC1680" i="16" s="1"/>
  <c r="V1680" i="16"/>
  <c r="AB1680" i="16" s="1"/>
  <c r="X1679" i="16"/>
  <c r="AD1679" i="16" s="1"/>
  <c r="W1679" i="16"/>
  <c r="AC1679" i="16" s="1"/>
  <c r="V1679" i="16"/>
  <c r="AB1679" i="16" s="1"/>
  <c r="X1678" i="16"/>
  <c r="AD1678" i="16" s="1"/>
  <c r="W1678" i="16"/>
  <c r="AC1678" i="16" s="1"/>
  <c r="V1678" i="16"/>
  <c r="AB1678" i="16" s="1"/>
  <c r="X1677" i="16"/>
  <c r="AD1677" i="16" s="1"/>
  <c r="W1677" i="16"/>
  <c r="AC1677" i="16" s="1"/>
  <c r="V1677" i="16"/>
  <c r="AB1677" i="16" s="1"/>
  <c r="X1676" i="16"/>
  <c r="AD1676" i="16" s="1"/>
  <c r="W1676" i="16"/>
  <c r="AC1676" i="16" s="1"/>
  <c r="V1676" i="16"/>
  <c r="AB1676" i="16" s="1"/>
  <c r="X1675" i="16"/>
  <c r="AD1675" i="16" s="1"/>
  <c r="W1675" i="16"/>
  <c r="AC1675" i="16" s="1"/>
  <c r="V1675" i="16"/>
  <c r="AB1675" i="16" s="1"/>
  <c r="X1674" i="16"/>
  <c r="AD1674" i="16" s="1"/>
  <c r="W1674" i="16"/>
  <c r="AC1674" i="16" s="1"/>
  <c r="V1674" i="16"/>
  <c r="AB1674" i="16" s="1"/>
  <c r="X1673" i="16"/>
  <c r="AD1673" i="16" s="1"/>
  <c r="W1673" i="16"/>
  <c r="AC1673" i="16" s="1"/>
  <c r="V1673" i="16"/>
  <c r="AB1673" i="16" s="1"/>
  <c r="X1672" i="16"/>
  <c r="AD1672" i="16" s="1"/>
  <c r="W1672" i="16"/>
  <c r="AC1672" i="16" s="1"/>
  <c r="V1672" i="16"/>
  <c r="AB1672" i="16" s="1"/>
  <c r="X1671" i="16"/>
  <c r="AD1671" i="16" s="1"/>
  <c r="W1671" i="16"/>
  <c r="AC1671" i="16" s="1"/>
  <c r="V1671" i="16"/>
  <c r="AB1671" i="16" s="1"/>
  <c r="X1670" i="16"/>
  <c r="AD1670" i="16" s="1"/>
  <c r="W1670" i="16"/>
  <c r="AC1670" i="16" s="1"/>
  <c r="V1670" i="16"/>
  <c r="AB1670" i="16" s="1"/>
  <c r="X1669" i="16"/>
  <c r="AD1669" i="16" s="1"/>
  <c r="W1669" i="16"/>
  <c r="AC1669" i="16" s="1"/>
  <c r="V1669" i="16"/>
  <c r="AB1669" i="16" s="1"/>
  <c r="X1668" i="16"/>
  <c r="AD1668" i="16" s="1"/>
  <c r="W1668" i="16"/>
  <c r="AC1668" i="16" s="1"/>
  <c r="V1668" i="16"/>
  <c r="AB1668" i="16" s="1"/>
  <c r="X1667" i="16"/>
  <c r="AD1667" i="16" s="1"/>
  <c r="W1667" i="16"/>
  <c r="AC1667" i="16" s="1"/>
  <c r="V1667" i="16"/>
  <c r="AB1667" i="16" s="1"/>
  <c r="X1666" i="16"/>
  <c r="AD1666" i="16" s="1"/>
  <c r="W1666" i="16"/>
  <c r="AC1666" i="16" s="1"/>
  <c r="V1666" i="16"/>
  <c r="AB1666" i="16" s="1"/>
  <c r="X1665" i="16"/>
  <c r="AD1665" i="16" s="1"/>
  <c r="W1665" i="16"/>
  <c r="AC1665" i="16" s="1"/>
  <c r="V1665" i="16"/>
  <c r="AB1665" i="16" s="1"/>
  <c r="X1664" i="16"/>
  <c r="AD1664" i="16" s="1"/>
  <c r="W1664" i="16"/>
  <c r="AC1664" i="16" s="1"/>
  <c r="V1664" i="16"/>
  <c r="AB1664" i="16" s="1"/>
  <c r="X1663" i="16"/>
  <c r="AD1663" i="16" s="1"/>
  <c r="W1663" i="16"/>
  <c r="AC1663" i="16" s="1"/>
  <c r="V1663" i="16"/>
  <c r="AB1663" i="16" s="1"/>
  <c r="X1662" i="16"/>
  <c r="AD1662" i="16" s="1"/>
  <c r="W1662" i="16"/>
  <c r="AC1662" i="16" s="1"/>
  <c r="V1662" i="16"/>
  <c r="AB1662" i="16" s="1"/>
  <c r="X1661" i="16"/>
  <c r="AD1661" i="16" s="1"/>
  <c r="W1661" i="16"/>
  <c r="AC1661" i="16" s="1"/>
  <c r="V1661" i="16"/>
  <c r="AB1661" i="16" s="1"/>
  <c r="X1660" i="16"/>
  <c r="AD1660" i="16" s="1"/>
  <c r="W1660" i="16"/>
  <c r="AC1660" i="16" s="1"/>
  <c r="V1660" i="16"/>
  <c r="AB1660" i="16" s="1"/>
  <c r="X1659" i="16"/>
  <c r="AD1659" i="16" s="1"/>
  <c r="W1659" i="16"/>
  <c r="AC1659" i="16" s="1"/>
  <c r="V1659" i="16"/>
  <c r="AB1659" i="16" s="1"/>
  <c r="X1658" i="16"/>
  <c r="AD1658" i="16" s="1"/>
  <c r="W1658" i="16"/>
  <c r="AC1658" i="16" s="1"/>
  <c r="V1658" i="16"/>
  <c r="AB1658" i="16" s="1"/>
  <c r="X1657" i="16"/>
  <c r="AD1657" i="16" s="1"/>
  <c r="W1657" i="16"/>
  <c r="AC1657" i="16" s="1"/>
  <c r="V1657" i="16"/>
  <c r="AB1657" i="16" s="1"/>
  <c r="X1656" i="16"/>
  <c r="AD1656" i="16" s="1"/>
  <c r="W1656" i="16"/>
  <c r="AC1656" i="16" s="1"/>
  <c r="V1656" i="16"/>
  <c r="AB1656" i="16" s="1"/>
  <c r="X1655" i="16"/>
  <c r="AD1655" i="16" s="1"/>
  <c r="W1655" i="16"/>
  <c r="AC1655" i="16" s="1"/>
  <c r="V1655" i="16"/>
  <c r="AB1655" i="16" s="1"/>
  <c r="X1654" i="16"/>
  <c r="AD1654" i="16" s="1"/>
  <c r="W1654" i="16"/>
  <c r="AC1654" i="16" s="1"/>
  <c r="V1654" i="16"/>
  <c r="AB1654" i="16" s="1"/>
  <c r="X1653" i="16"/>
  <c r="AD1653" i="16" s="1"/>
  <c r="W1653" i="16"/>
  <c r="AC1653" i="16" s="1"/>
  <c r="V1653" i="16"/>
  <c r="AB1653" i="16" s="1"/>
  <c r="X1652" i="16"/>
  <c r="AD1652" i="16" s="1"/>
  <c r="W1652" i="16"/>
  <c r="AC1652" i="16" s="1"/>
  <c r="V1652" i="16"/>
  <c r="AB1652" i="16" s="1"/>
  <c r="X1651" i="16"/>
  <c r="AD1651" i="16" s="1"/>
  <c r="W1651" i="16"/>
  <c r="AC1651" i="16" s="1"/>
  <c r="V1651" i="16"/>
  <c r="AB1651" i="16" s="1"/>
  <c r="X1650" i="16"/>
  <c r="AD1650" i="16" s="1"/>
  <c r="W1650" i="16"/>
  <c r="AC1650" i="16" s="1"/>
  <c r="V1650" i="16"/>
  <c r="AB1650" i="16" s="1"/>
  <c r="X1649" i="16"/>
  <c r="AD1649" i="16" s="1"/>
  <c r="W1649" i="16"/>
  <c r="AC1649" i="16" s="1"/>
  <c r="V1649" i="16"/>
  <c r="AB1649" i="16" s="1"/>
  <c r="X1648" i="16"/>
  <c r="AD1648" i="16" s="1"/>
  <c r="W1648" i="16"/>
  <c r="AC1648" i="16" s="1"/>
  <c r="V1648" i="16"/>
  <c r="AB1648" i="16" s="1"/>
  <c r="X1647" i="16"/>
  <c r="AD1647" i="16" s="1"/>
  <c r="W1647" i="16"/>
  <c r="AC1647" i="16" s="1"/>
  <c r="V1647" i="16"/>
  <c r="AB1647" i="16" s="1"/>
  <c r="X1646" i="16"/>
  <c r="AD1646" i="16" s="1"/>
  <c r="W1646" i="16"/>
  <c r="AC1646" i="16" s="1"/>
  <c r="V1646" i="16"/>
  <c r="AB1646" i="16" s="1"/>
  <c r="X1645" i="16"/>
  <c r="AD1645" i="16" s="1"/>
  <c r="W1645" i="16"/>
  <c r="AC1645" i="16" s="1"/>
  <c r="V1645" i="16"/>
  <c r="AB1645" i="16" s="1"/>
  <c r="X1644" i="16"/>
  <c r="AD1644" i="16" s="1"/>
  <c r="W1644" i="16"/>
  <c r="AC1644" i="16" s="1"/>
  <c r="V1644" i="16"/>
  <c r="AB1644" i="16" s="1"/>
  <c r="X1643" i="16"/>
  <c r="AD1643" i="16" s="1"/>
  <c r="W1643" i="16"/>
  <c r="AC1643" i="16" s="1"/>
  <c r="V1643" i="16"/>
  <c r="AB1643" i="16" s="1"/>
  <c r="X1642" i="16"/>
  <c r="AD1642" i="16" s="1"/>
  <c r="W1642" i="16"/>
  <c r="AC1642" i="16" s="1"/>
  <c r="V1642" i="16"/>
  <c r="AB1642" i="16" s="1"/>
  <c r="X1641" i="16"/>
  <c r="AD1641" i="16" s="1"/>
  <c r="W1641" i="16"/>
  <c r="AC1641" i="16" s="1"/>
  <c r="V1641" i="16"/>
  <c r="AB1641" i="16" s="1"/>
  <c r="X1640" i="16"/>
  <c r="AD1640" i="16" s="1"/>
  <c r="W1640" i="16"/>
  <c r="AC1640" i="16" s="1"/>
  <c r="V1640" i="16"/>
  <c r="AB1640" i="16" s="1"/>
  <c r="X1639" i="16"/>
  <c r="AD1639" i="16" s="1"/>
  <c r="W1639" i="16"/>
  <c r="AC1639" i="16" s="1"/>
  <c r="V1639" i="16"/>
  <c r="AB1639" i="16" s="1"/>
  <c r="X1638" i="16"/>
  <c r="AD1638" i="16" s="1"/>
  <c r="W1638" i="16"/>
  <c r="AC1638" i="16" s="1"/>
  <c r="V1638" i="16"/>
  <c r="AB1638" i="16" s="1"/>
  <c r="X1637" i="16"/>
  <c r="AD1637" i="16" s="1"/>
  <c r="W1637" i="16"/>
  <c r="AC1637" i="16" s="1"/>
  <c r="V1637" i="16"/>
  <c r="AB1637" i="16" s="1"/>
  <c r="X1636" i="16"/>
  <c r="AD1636" i="16" s="1"/>
  <c r="W1636" i="16"/>
  <c r="AC1636" i="16" s="1"/>
  <c r="V1636" i="16"/>
  <c r="AB1636" i="16" s="1"/>
  <c r="X1635" i="16"/>
  <c r="AD1635" i="16" s="1"/>
  <c r="W1635" i="16"/>
  <c r="AC1635" i="16" s="1"/>
  <c r="V1635" i="16"/>
  <c r="AB1635" i="16" s="1"/>
  <c r="X1634" i="16"/>
  <c r="AD1634" i="16" s="1"/>
  <c r="W1634" i="16"/>
  <c r="AC1634" i="16" s="1"/>
  <c r="V1634" i="16"/>
  <c r="AB1634" i="16" s="1"/>
  <c r="X1633" i="16"/>
  <c r="AD1633" i="16" s="1"/>
  <c r="W1633" i="16"/>
  <c r="AC1633" i="16" s="1"/>
  <c r="V1633" i="16"/>
  <c r="AB1633" i="16" s="1"/>
  <c r="X1632" i="16"/>
  <c r="AD1632" i="16" s="1"/>
  <c r="W1632" i="16"/>
  <c r="AC1632" i="16" s="1"/>
  <c r="V1632" i="16"/>
  <c r="AB1632" i="16" s="1"/>
  <c r="X1631" i="16"/>
  <c r="AD1631" i="16" s="1"/>
  <c r="W1631" i="16"/>
  <c r="AC1631" i="16" s="1"/>
  <c r="V1631" i="16"/>
  <c r="AB1631" i="16" s="1"/>
  <c r="X1630" i="16"/>
  <c r="AD1630" i="16" s="1"/>
  <c r="W1630" i="16"/>
  <c r="AC1630" i="16" s="1"/>
  <c r="V1630" i="16"/>
  <c r="AB1630" i="16" s="1"/>
  <c r="X1629" i="16"/>
  <c r="AD1629" i="16" s="1"/>
  <c r="W1629" i="16"/>
  <c r="AC1629" i="16" s="1"/>
  <c r="V1629" i="16"/>
  <c r="AB1629" i="16" s="1"/>
  <c r="X1628" i="16"/>
  <c r="AD1628" i="16" s="1"/>
  <c r="W1628" i="16"/>
  <c r="AC1628" i="16" s="1"/>
  <c r="V1628" i="16"/>
  <c r="AB1628" i="16" s="1"/>
  <c r="X1627" i="16"/>
  <c r="AD1627" i="16" s="1"/>
  <c r="W1627" i="16"/>
  <c r="AC1627" i="16" s="1"/>
  <c r="V1627" i="16"/>
  <c r="AB1627" i="16" s="1"/>
  <c r="X1626" i="16"/>
  <c r="AD1626" i="16" s="1"/>
  <c r="W1626" i="16"/>
  <c r="AC1626" i="16" s="1"/>
  <c r="V1626" i="16"/>
  <c r="AB1626" i="16" s="1"/>
  <c r="X1625" i="16"/>
  <c r="AD1625" i="16" s="1"/>
  <c r="W1625" i="16"/>
  <c r="AC1625" i="16" s="1"/>
  <c r="V1625" i="16"/>
  <c r="AB1625" i="16" s="1"/>
  <c r="X1624" i="16"/>
  <c r="AD1624" i="16" s="1"/>
  <c r="W1624" i="16"/>
  <c r="AC1624" i="16" s="1"/>
  <c r="V1624" i="16"/>
  <c r="AB1624" i="16" s="1"/>
  <c r="X1623" i="16"/>
  <c r="AD1623" i="16" s="1"/>
  <c r="W1623" i="16"/>
  <c r="AC1623" i="16" s="1"/>
  <c r="V1623" i="16"/>
  <c r="AB1623" i="16" s="1"/>
  <c r="X1622" i="16"/>
  <c r="AD1622" i="16" s="1"/>
  <c r="W1622" i="16"/>
  <c r="AC1622" i="16" s="1"/>
  <c r="V1622" i="16"/>
  <c r="AB1622" i="16" s="1"/>
  <c r="X1621" i="16"/>
  <c r="AD1621" i="16" s="1"/>
  <c r="W1621" i="16"/>
  <c r="AC1621" i="16" s="1"/>
  <c r="V1621" i="16"/>
  <c r="AB1621" i="16" s="1"/>
  <c r="X1620" i="16"/>
  <c r="AD1620" i="16" s="1"/>
  <c r="W1620" i="16"/>
  <c r="AC1620" i="16" s="1"/>
  <c r="V1620" i="16"/>
  <c r="AB1620" i="16" s="1"/>
  <c r="X1619" i="16"/>
  <c r="AD1619" i="16" s="1"/>
  <c r="W1619" i="16"/>
  <c r="AC1619" i="16" s="1"/>
  <c r="V1619" i="16"/>
  <c r="AB1619" i="16" s="1"/>
  <c r="X1618" i="16"/>
  <c r="AD1618" i="16" s="1"/>
  <c r="W1618" i="16"/>
  <c r="AC1618" i="16" s="1"/>
  <c r="V1618" i="16"/>
  <c r="AB1618" i="16" s="1"/>
  <c r="X1617" i="16"/>
  <c r="AD1617" i="16" s="1"/>
  <c r="W1617" i="16"/>
  <c r="AC1617" i="16" s="1"/>
  <c r="V1617" i="16"/>
  <c r="AB1617" i="16" s="1"/>
  <c r="X1616" i="16"/>
  <c r="AD1616" i="16" s="1"/>
  <c r="W1616" i="16"/>
  <c r="AC1616" i="16" s="1"/>
  <c r="V1616" i="16"/>
  <c r="AB1616" i="16" s="1"/>
  <c r="X1615" i="16"/>
  <c r="AD1615" i="16" s="1"/>
  <c r="W1615" i="16"/>
  <c r="AC1615" i="16" s="1"/>
  <c r="V1615" i="16"/>
  <c r="AB1615" i="16" s="1"/>
  <c r="X1614" i="16"/>
  <c r="AD1614" i="16" s="1"/>
  <c r="W1614" i="16"/>
  <c r="AC1614" i="16" s="1"/>
  <c r="V1614" i="16"/>
  <c r="AB1614" i="16" s="1"/>
  <c r="X1613" i="16"/>
  <c r="AD1613" i="16" s="1"/>
  <c r="AO6" i="16" s="1"/>
  <c r="W1613" i="16"/>
  <c r="AC1613" i="16" s="1"/>
  <c r="V1613" i="16"/>
  <c r="AB1613" i="16" s="1"/>
  <c r="X1612" i="16"/>
  <c r="AD1612" i="16" s="1"/>
  <c r="W1612" i="16"/>
  <c r="AC1612" i="16" s="1"/>
  <c r="V1612" i="16"/>
  <c r="AB1612" i="16" s="1"/>
  <c r="X1611" i="16"/>
  <c r="AD1611" i="16" s="1"/>
  <c r="W1611" i="16"/>
  <c r="AC1611" i="16" s="1"/>
  <c r="V1611" i="16"/>
  <c r="AB1611" i="16" s="1"/>
  <c r="X1610" i="16"/>
  <c r="AD1610" i="16" s="1"/>
  <c r="W1610" i="16"/>
  <c r="AC1610" i="16" s="1"/>
  <c r="V1610" i="16"/>
  <c r="AB1610" i="16" s="1"/>
  <c r="X1609" i="16"/>
  <c r="AD1609" i="16" s="1"/>
  <c r="W1609" i="16"/>
  <c r="AC1609" i="16" s="1"/>
  <c r="V1609" i="16"/>
  <c r="AB1609" i="16" s="1"/>
  <c r="X1608" i="16"/>
  <c r="AD1608" i="16" s="1"/>
  <c r="W1608" i="16"/>
  <c r="AC1608" i="16" s="1"/>
  <c r="V1608" i="16"/>
  <c r="AB1608" i="16" s="1"/>
  <c r="X1607" i="16"/>
  <c r="AD1607" i="16" s="1"/>
  <c r="W1607" i="16"/>
  <c r="AC1607" i="16" s="1"/>
  <c r="V1607" i="16"/>
  <c r="AB1607" i="16" s="1"/>
  <c r="X1606" i="16"/>
  <c r="AD1606" i="16" s="1"/>
  <c r="W1606" i="16"/>
  <c r="AC1606" i="16" s="1"/>
  <c r="V1606" i="16"/>
  <c r="AB1606" i="16" s="1"/>
  <c r="X1605" i="16"/>
  <c r="AD1605" i="16" s="1"/>
  <c r="W1605" i="16"/>
  <c r="AC1605" i="16" s="1"/>
  <c r="V1605" i="16"/>
  <c r="AB1605" i="16" s="1"/>
  <c r="X1604" i="16"/>
  <c r="AD1604" i="16" s="1"/>
  <c r="W1604" i="16"/>
  <c r="AC1604" i="16" s="1"/>
  <c r="V1604" i="16"/>
  <c r="AB1604" i="16" s="1"/>
  <c r="X1603" i="16"/>
  <c r="AD1603" i="16" s="1"/>
  <c r="W1603" i="16"/>
  <c r="AC1603" i="16" s="1"/>
  <c r="V1603" i="16"/>
  <c r="AB1603" i="16" s="1"/>
  <c r="X1602" i="16"/>
  <c r="AD1602" i="16" s="1"/>
  <c r="W1602" i="16"/>
  <c r="AC1602" i="16" s="1"/>
  <c r="V1602" i="16"/>
  <c r="AB1602" i="16" s="1"/>
  <c r="X1601" i="16"/>
  <c r="AD1601" i="16" s="1"/>
  <c r="W1601" i="16"/>
  <c r="AC1601" i="16" s="1"/>
  <c r="V1601" i="16"/>
  <c r="AB1601" i="16" s="1"/>
  <c r="X1600" i="16"/>
  <c r="AD1600" i="16" s="1"/>
  <c r="W1600" i="16"/>
  <c r="AC1600" i="16" s="1"/>
  <c r="V1600" i="16"/>
  <c r="AB1600" i="16" s="1"/>
  <c r="X1599" i="16"/>
  <c r="AD1599" i="16" s="1"/>
  <c r="W1599" i="16"/>
  <c r="AC1599" i="16" s="1"/>
  <c r="V1599" i="16"/>
  <c r="AB1599" i="16" s="1"/>
  <c r="X1598" i="16"/>
  <c r="AD1598" i="16" s="1"/>
  <c r="W1598" i="16"/>
  <c r="AC1598" i="16" s="1"/>
  <c r="V1598" i="16"/>
  <c r="AB1598" i="16" s="1"/>
  <c r="X1597" i="16"/>
  <c r="AD1597" i="16" s="1"/>
  <c r="W1597" i="16"/>
  <c r="AC1597" i="16" s="1"/>
  <c r="V1597" i="16"/>
  <c r="AB1597" i="16" s="1"/>
  <c r="X1596" i="16"/>
  <c r="AD1596" i="16" s="1"/>
  <c r="W1596" i="16"/>
  <c r="AC1596" i="16" s="1"/>
  <c r="V1596" i="16"/>
  <c r="AB1596" i="16" s="1"/>
  <c r="X1595" i="16"/>
  <c r="AD1595" i="16" s="1"/>
  <c r="W1595" i="16"/>
  <c r="AC1595" i="16" s="1"/>
  <c r="V1595" i="16"/>
  <c r="AB1595" i="16" s="1"/>
  <c r="X1594" i="16"/>
  <c r="AD1594" i="16" s="1"/>
  <c r="W1594" i="16"/>
  <c r="AC1594" i="16" s="1"/>
  <c r="V1594" i="16"/>
  <c r="AB1594" i="16" s="1"/>
  <c r="X1593" i="16"/>
  <c r="AD1593" i="16" s="1"/>
  <c r="W1593" i="16"/>
  <c r="AC1593" i="16" s="1"/>
  <c r="V1593" i="16"/>
  <c r="AB1593" i="16" s="1"/>
  <c r="X1592" i="16"/>
  <c r="AD1592" i="16" s="1"/>
  <c r="W1592" i="16"/>
  <c r="AC1592" i="16" s="1"/>
  <c r="V1592" i="16"/>
  <c r="AB1592" i="16" s="1"/>
  <c r="X1591" i="16"/>
  <c r="AD1591" i="16" s="1"/>
  <c r="W1591" i="16"/>
  <c r="AC1591" i="16" s="1"/>
  <c r="V1591" i="16"/>
  <c r="AB1591" i="16" s="1"/>
  <c r="X1590" i="16"/>
  <c r="AD1590" i="16" s="1"/>
  <c r="W1590" i="16"/>
  <c r="AC1590" i="16" s="1"/>
  <c r="V1590" i="16"/>
  <c r="AB1590" i="16" s="1"/>
  <c r="X1589" i="16"/>
  <c r="AD1589" i="16" s="1"/>
  <c r="W1589" i="16"/>
  <c r="AC1589" i="16" s="1"/>
  <c r="V1589" i="16"/>
  <c r="AB1589" i="16" s="1"/>
  <c r="X1588" i="16"/>
  <c r="AD1588" i="16" s="1"/>
  <c r="W1588" i="16"/>
  <c r="AC1588" i="16" s="1"/>
  <c r="V1588" i="16"/>
  <c r="AB1588" i="16" s="1"/>
  <c r="X1587" i="16"/>
  <c r="AD1587" i="16" s="1"/>
  <c r="W1587" i="16"/>
  <c r="AC1587" i="16" s="1"/>
  <c r="V1587" i="16"/>
  <c r="AB1587" i="16" s="1"/>
  <c r="X1586" i="16"/>
  <c r="AD1586" i="16" s="1"/>
  <c r="W1586" i="16"/>
  <c r="AC1586" i="16" s="1"/>
  <c r="V1586" i="16"/>
  <c r="AB1586" i="16" s="1"/>
  <c r="X1585" i="16"/>
  <c r="AD1585" i="16" s="1"/>
  <c r="W1585" i="16"/>
  <c r="AC1585" i="16" s="1"/>
  <c r="V1585" i="16"/>
  <c r="AB1585" i="16" s="1"/>
  <c r="X1584" i="16"/>
  <c r="AD1584" i="16" s="1"/>
  <c r="W1584" i="16"/>
  <c r="AC1584" i="16" s="1"/>
  <c r="V1584" i="16"/>
  <c r="AB1584" i="16" s="1"/>
  <c r="X1583" i="16"/>
  <c r="AD1583" i="16" s="1"/>
  <c r="W1583" i="16"/>
  <c r="AC1583" i="16" s="1"/>
  <c r="V1583" i="16"/>
  <c r="AB1583" i="16" s="1"/>
  <c r="X1582" i="16"/>
  <c r="AD1582" i="16" s="1"/>
  <c r="W1582" i="16"/>
  <c r="AC1582" i="16" s="1"/>
  <c r="V1582" i="16"/>
  <c r="AB1582" i="16" s="1"/>
  <c r="X1581" i="16"/>
  <c r="AD1581" i="16" s="1"/>
  <c r="W1581" i="16"/>
  <c r="AC1581" i="16" s="1"/>
  <c r="V1581" i="16"/>
  <c r="AB1581" i="16" s="1"/>
  <c r="X1580" i="16"/>
  <c r="AD1580" i="16" s="1"/>
  <c r="W1580" i="16"/>
  <c r="AC1580" i="16" s="1"/>
  <c r="V1580" i="16"/>
  <c r="AB1580" i="16" s="1"/>
  <c r="X1579" i="16"/>
  <c r="AD1579" i="16" s="1"/>
  <c r="W1579" i="16"/>
  <c r="AC1579" i="16" s="1"/>
  <c r="V1579" i="16"/>
  <c r="AB1579" i="16" s="1"/>
  <c r="X1578" i="16"/>
  <c r="AD1578" i="16" s="1"/>
  <c r="W1578" i="16"/>
  <c r="AC1578" i="16" s="1"/>
  <c r="V1578" i="16"/>
  <c r="AB1578" i="16" s="1"/>
  <c r="X1577" i="16"/>
  <c r="AD1577" i="16" s="1"/>
  <c r="W1577" i="16"/>
  <c r="AC1577" i="16" s="1"/>
  <c r="V1577" i="16"/>
  <c r="AB1577" i="16" s="1"/>
  <c r="X1576" i="16"/>
  <c r="AD1576" i="16" s="1"/>
  <c r="W1576" i="16"/>
  <c r="AC1576" i="16" s="1"/>
  <c r="V1576" i="16"/>
  <c r="AB1576" i="16" s="1"/>
  <c r="X1575" i="16"/>
  <c r="AD1575" i="16" s="1"/>
  <c r="W1575" i="16"/>
  <c r="AC1575" i="16" s="1"/>
  <c r="V1575" i="16"/>
  <c r="AB1575" i="16" s="1"/>
  <c r="X1574" i="16"/>
  <c r="AD1574" i="16" s="1"/>
  <c r="W1574" i="16"/>
  <c r="AC1574" i="16" s="1"/>
  <c r="V1574" i="16"/>
  <c r="AB1574" i="16" s="1"/>
  <c r="X1573" i="16"/>
  <c r="AD1573" i="16" s="1"/>
  <c r="W1573" i="16"/>
  <c r="AC1573" i="16" s="1"/>
  <c r="V1573" i="16"/>
  <c r="AB1573" i="16" s="1"/>
  <c r="X1572" i="16"/>
  <c r="AD1572" i="16" s="1"/>
  <c r="W1572" i="16"/>
  <c r="AC1572" i="16" s="1"/>
  <c r="V1572" i="16"/>
  <c r="AB1572" i="16" s="1"/>
  <c r="X1571" i="16"/>
  <c r="AD1571" i="16" s="1"/>
  <c r="W1571" i="16"/>
  <c r="AC1571" i="16" s="1"/>
  <c r="V1571" i="16"/>
  <c r="AB1571" i="16" s="1"/>
  <c r="X1570" i="16"/>
  <c r="AD1570" i="16" s="1"/>
  <c r="W1570" i="16"/>
  <c r="AC1570" i="16" s="1"/>
  <c r="V1570" i="16"/>
  <c r="AB1570" i="16" s="1"/>
  <c r="X1569" i="16"/>
  <c r="AD1569" i="16" s="1"/>
  <c r="W1569" i="16"/>
  <c r="AC1569" i="16" s="1"/>
  <c r="V1569" i="16"/>
  <c r="AB1569" i="16" s="1"/>
  <c r="X1568" i="16"/>
  <c r="AD1568" i="16" s="1"/>
  <c r="W1568" i="16"/>
  <c r="AC1568" i="16" s="1"/>
  <c r="V1568" i="16"/>
  <c r="AB1568" i="16" s="1"/>
  <c r="X1567" i="16"/>
  <c r="AD1567" i="16" s="1"/>
  <c r="W1567" i="16"/>
  <c r="AC1567" i="16" s="1"/>
  <c r="V1567" i="16"/>
  <c r="AB1567" i="16" s="1"/>
  <c r="X1566" i="16"/>
  <c r="AD1566" i="16" s="1"/>
  <c r="W1566" i="16"/>
  <c r="AC1566" i="16" s="1"/>
  <c r="V1566" i="16"/>
  <c r="AB1566" i="16" s="1"/>
  <c r="X1565" i="16"/>
  <c r="AD1565" i="16" s="1"/>
  <c r="W1565" i="16"/>
  <c r="AC1565" i="16" s="1"/>
  <c r="V1565" i="16"/>
  <c r="AB1565" i="16" s="1"/>
  <c r="X1564" i="16"/>
  <c r="AD1564" i="16" s="1"/>
  <c r="W1564" i="16"/>
  <c r="AC1564" i="16" s="1"/>
  <c r="V1564" i="16"/>
  <c r="AB1564" i="16" s="1"/>
  <c r="X1563" i="16"/>
  <c r="AD1563" i="16" s="1"/>
  <c r="W1563" i="16"/>
  <c r="AC1563" i="16" s="1"/>
  <c r="V1563" i="16"/>
  <c r="AB1563" i="16" s="1"/>
  <c r="X1562" i="16"/>
  <c r="AD1562" i="16" s="1"/>
  <c r="W1562" i="16"/>
  <c r="AC1562" i="16" s="1"/>
  <c r="V1562" i="16"/>
  <c r="AB1562" i="16" s="1"/>
  <c r="X1561" i="16"/>
  <c r="AD1561" i="16" s="1"/>
  <c r="W1561" i="16"/>
  <c r="AC1561" i="16" s="1"/>
  <c r="V1561" i="16"/>
  <c r="AB1561" i="16" s="1"/>
  <c r="X1560" i="16"/>
  <c r="AD1560" i="16" s="1"/>
  <c r="W1560" i="16"/>
  <c r="AC1560" i="16" s="1"/>
  <c r="V1560" i="16"/>
  <c r="AB1560" i="16" s="1"/>
  <c r="X1559" i="16"/>
  <c r="AD1559" i="16" s="1"/>
  <c r="W1559" i="16"/>
  <c r="AC1559" i="16" s="1"/>
  <c r="V1559" i="16"/>
  <c r="AB1559" i="16" s="1"/>
  <c r="X1558" i="16"/>
  <c r="AD1558" i="16" s="1"/>
  <c r="W1558" i="16"/>
  <c r="AC1558" i="16" s="1"/>
  <c r="V1558" i="16"/>
  <c r="AB1558" i="16" s="1"/>
  <c r="X1557" i="16"/>
  <c r="AD1557" i="16" s="1"/>
  <c r="W1557" i="16"/>
  <c r="AC1557" i="16" s="1"/>
  <c r="V1557" i="16"/>
  <c r="AB1557" i="16" s="1"/>
  <c r="X1556" i="16"/>
  <c r="AD1556" i="16" s="1"/>
  <c r="W1556" i="16"/>
  <c r="AC1556" i="16" s="1"/>
  <c r="V1556" i="16"/>
  <c r="AB1556" i="16" s="1"/>
  <c r="X1555" i="16"/>
  <c r="AD1555" i="16" s="1"/>
  <c r="W1555" i="16"/>
  <c r="AC1555" i="16" s="1"/>
  <c r="V1555" i="16"/>
  <c r="AB1555" i="16" s="1"/>
  <c r="X1554" i="16"/>
  <c r="AD1554" i="16" s="1"/>
  <c r="W1554" i="16"/>
  <c r="AC1554" i="16" s="1"/>
  <c r="V1554" i="16"/>
  <c r="AB1554" i="16" s="1"/>
  <c r="X1553" i="16"/>
  <c r="AD1553" i="16" s="1"/>
  <c r="W1553" i="16"/>
  <c r="AC1553" i="16" s="1"/>
  <c r="V1553" i="16"/>
  <c r="AB1553" i="16" s="1"/>
  <c r="X1552" i="16"/>
  <c r="AD1552" i="16" s="1"/>
  <c r="W1552" i="16"/>
  <c r="AC1552" i="16" s="1"/>
  <c r="V1552" i="16"/>
  <c r="AB1552" i="16" s="1"/>
  <c r="X1551" i="16"/>
  <c r="AD1551" i="16" s="1"/>
  <c r="W1551" i="16"/>
  <c r="AC1551" i="16" s="1"/>
  <c r="V1551" i="16"/>
  <c r="AB1551" i="16" s="1"/>
  <c r="X1550" i="16"/>
  <c r="AD1550" i="16" s="1"/>
  <c r="W1550" i="16"/>
  <c r="AC1550" i="16" s="1"/>
  <c r="V1550" i="16"/>
  <c r="AB1550" i="16" s="1"/>
  <c r="X1549" i="16"/>
  <c r="AD1549" i="16" s="1"/>
  <c r="W1549" i="16"/>
  <c r="AC1549" i="16" s="1"/>
  <c r="V1549" i="16"/>
  <c r="AB1549" i="16" s="1"/>
  <c r="X1548" i="16"/>
  <c r="AD1548" i="16" s="1"/>
  <c r="W1548" i="16"/>
  <c r="AC1548" i="16" s="1"/>
  <c r="V1548" i="16"/>
  <c r="AB1548" i="16" s="1"/>
  <c r="X1547" i="16"/>
  <c r="AD1547" i="16" s="1"/>
  <c r="W1547" i="16"/>
  <c r="AC1547" i="16" s="1"/>
  <c r="V1547" i="16"/>
  <c r="AB1547" i="16" s="1"/>
  <c r="X1546" i="16"/>
  <c r="AD1546" i="16" s="1"/>
  <c r="W1546" i="16"/>
  <c r="AC1546" i="16" s="1"/>
  <c r="V1546" i="16"/>
  <c r="AB1546" i="16" s="1"/>
  <c r="X1545" i="16"/>
  <c r="AD1545" i="16" s="1"/>
  <c r="W1545" i="16"/>
  <c r="AC1545" i="16" s="1"/>
  <c r="V1545" i="16"/>
  <c r="AB1545" i="16" s="1"/>
  <c r="X1544" i="16"/>
  <c r="AD1544" i="16" s="1"/>
  <c r="W1544" i="16"/>
  <c r="AC1544" i="16" s="1"/>
  <c r="V1544" i="16"/>
  <c r="AB1544" i="16" s="1"/>
  <c r="X1543" i="16"/>
  <c r="AD1543" i="16" s="1"/>
  <c r="W1543" i="16"/>
  <c r="AC1543" i="16" s="1"/>
  <c r="V1543" i="16"/>
  <c r="AB1543" i="16" s="1"/>
  <c r="X1542" i="16"/>
  <c r="AD1542" i="16" s="1"/>
  <c r="W1542" i="16"/>
  <c r="AC1542" i="16" s="1"/>
  <c r="V1542" i="16"/>
  <c r="AB1542" i="16" s="1"/>
  <c r="X1541" i="16"/>
  <c r="AD1541" i="16" s="1"/>
  <c r="W1541" i="16"/>
  <c r="AC1541" i="16" s="1"/>
  <c r="V1541" i="16"/>
  <c r="AB1541" i="16" s="1"/>
  <c r="X1540" i="16"/>
  <c r="AD1540" i="16" s="1"/>
  <c r="W1540" i="16"/>
  <c r="AC1540" i="16" s="1"/>
  <c r="V1540" i="16"/>
  <c r="AB1540" i="16" s="1"/>
  <c r="X1539" i="16"/>
  <c r="AD1539" i="16" s="1"/>
  <c r="W1539" i="16"/>
  <c r="AC1539" i="16" s="1"/>
  <c r="V1539" i="16"/>
  <c r="AB1539" i="16" s="1"/>
  <c r="X1538" i="16"/>
  <c r="AD1538" i="16" s="1"/>
  <c r="W1538" i="16"/>
  <c r="AC1538" i="16" s="1"/>
  <c r="V1538" i="16"/>
  <c r="AB1538" i="16" s="1"/>
  <c r="X1537" i="16"/>
  <c r="AD1537" i="16" s="1"/>
  <c r="W1537" i="16"/>
  <c r="AC1537" i="16" s="1"/>
  <c r="V1537" i="16"/>
  <c r="AB1537" i="16" s="1"/>
  <c r="X1536" i="16"/>
  <c r="AD1536" i="16" s="1"/>
  <c r="W1536" i="16"/>
  <c r="AC1536" i="16" s="1"/>
  <c r="V1536" i="16"/>
  <c r="AB1536" i="16" s="1"/>
  <c r="X1535" i="16"/>
  <c r="AD1535" i="16" s="1"/>
  <c r="W1535" i="16"/>
  <c r="AC1535" i="16" s="1"/>
  <c r="V1535" i="16"/>
  <c r="AB1535" i="16" s="1"/>
  <c r="X1534" i="16"/>
  <c r="AD1534" i="16" s="1"/>
  <c r="W1534" i="16"/>
  <c r="AC1534" i="16" s="1"/>
  <c r="V1534" i="16"/>
  <c r="AB1534" i="16" s="1"/>
  <c r="X1533" i="16"/>
  <c r="AD1533" i="16" s="1"/>
  <c r="W1533" i="16"/>
  <c r="AC1533" i="16" s="1"/>
  <c r="V1533" i="16"/>
  <c r="AB1533" i="16" s="1"/>
  <c r="X1532" i="16"/>
  <c r="AD1532" i="16" s="1"/>
  <c r="W1532" i="16"/>
  <c r="AC1532" i="16" s="1"/>
  <c r="V1532" i="16"/>
  <c r="AB1532" i="16" s="1"/>
  <c r="X1531" i="16"/>
  <c r="AD1531" i="16" s="1"/>
  <c r="W1531" i="16"/>
  <c r="AC1531" i="16" s="1"/>
  <c r="V1531" i="16"/>
  <c r="AB1531" i="16" s="1"/>
  <c r="X1530" i="16"/>
  <c r="AD1530" i="16" s="1"/>
  <c r="W1530" i="16"/>
  <c r="AC1530" i="16" s="1"/>
  <c r="V1530" i="16"/>
  <c r="AB1530" i="16" s="1"/>
  <c r="X1529" i="16"/>
  <c r="AD1529" i="16" s="1"/>
  <c r="W1529" i="16"/>
  <c r="AC1529" i="16" s="1"/>
  <c r="V1529" i="16"/>
  <c r="AB1529" i="16" s="1"/>
  <c r="X1528" i="16"/>
  <c r="AD1528" i="16" s="1"/>
  <c r="W1528" i="16"/>
  <c r="AC1528" i="16" s="1"/>
  <c r="V1528" i="16"/>
  <c r="AB1528" i="16" s="1"/>
  <c r="X1527" i="16"/>
  <c r="AD1527" i="16" s="1"/>
  <c r="W1527" i="16"/>
  <c r="AC1527" i="16" s="1"/>
  <c r="V1527" i="16"/>
  <c r="AB1527" i="16" s="1"/>
  <c r="X1526" i="16"/>
  <c r="AD1526" i="16" s="1"/>
  <c r="W1526" i="16"/>
  <c r="AC1526" i="16" s="1"/>
  <c r="V1526" i="16"/>
  <c r="AB1526" i="16" s="1"/>
  <c r="X1525" i="16"/>
  <c r="AD1525" i="16" s="1"/>
  <c r="W1525" i="16"/>
  <c r="AC1525" i="16" s="1"/>
  <c r="V1525" i="16"/>
  <c r="AB1525" i="16" s="1"/>
  <c r="X1524" i="16"/>
  <c r="AD1524" i="16" s="1"/>
  <c r="W1524" i="16"/>
  <c r="AC1524" i="16" s="1"/>
  <c r="V1524" i="16"/>
  <c r="AB1524" i="16" s="1"/>
  <c r="X1523" i="16"/>
  <c r="AD1523" i="16" s="1"/>
  <c r="W1523" i="16"/>
  <c r="AC1523" i="16" s="1"/>
  <c r="V1523" i="16"/>
  <c r="AB1523" i="16" s="1"/>
  <c r="X1522" i="16"/>
  <c r="AD1522" i="16" s="1"/>
  <c r="W1522" i="16"/>
  <c r="AC1522" i="16" s="1"/>
  <c r="V1522" i="16"/>
  <c r="AB1522" i="16" s="1"/>
  <c r="X1521" i="16"/>
  <c r="AD1521" i="16" s="1"/>
  <c r="W1521" i="16"/>
  <c r="AC1521" i="16" s="1"/>
  <c r="V1521" i="16"/>
  <c r="AB1521" i="16" s="1"/>
  <c r="X1520" i="16"/>
  <c r="AD1520" i="16" s="1"/>
  <c r="W1520" i="16"/>
  <c r="AC1520" i="16" s="1"/>
  <c r="V1520" i="16"/>
  <c r="AB1520" i="16" s="1"/>
  <c r="X1519" i="16"/>
  <c r="AD1519" i="16" s="1"/>
  <c r="W1519" i="16"/>
  <c r="AC1519" i="16" s="1"/>
  <c r="V1519" i="16"/>
  <c r="AB1519" i="16" s="1"/>
  <c r="X1518" i="16"/>
  <c r="AD1518" i="16" s="1"/>
  <c r="W1518" i="16"/>
  <c r="AC1518" i="16" s="1"/>
  <c r="V1518" i="16"/>
  <c r="AB1518" i="16" s="1"/>
  <c r="X1517" i="16"/>
  <c r="AD1517" i="16" s="1"/>
  <c r="W1517" i="16"/>
  <c r="AC1517" i="16" s="1"/>
  <c r="V1517" i="16"/>
  <c r="AB1517" i="16" s="1"/>
  <c r="X1516" i="16"/>
  <c r="AD1516" i="16" s="1"/>
  <c r="W1516" i="16"/>
  <c r="AC1516" i="16" s="1"/>
  <c r="V1516" i="16"/>
  <c r="AB1516" i="16" s="1"/>
  <c r="X1515" i="16"/>
  <c r="AD1515" i="16" s="1"/>
  <c r="W1515" i="16"/>
  <c r="AC1515" i="16" s="1"/>
  <c r="V1515" i="16"/>
  <c r="AB1515" i="16" s="1"/>
  <c r="X1514" i="16"/>
  <c r="AD1514" i="16" s="1"/>
  <c r="W1514" i="16"/>
  <c r="AC1514" i="16" s="1"/>
  <c r="V1514" i="16"/>
  <c r="AB1514" i="16" s="1"/>
  <c r="X1513" i="16"/>
  <c r="AD1513" i="16" s="1"/>
  <c r="W1513" i="16"/>
  <c r="AC1513" i="16" s="1"/>
  <c r="V1513" i="16"/>
  <c r="AB1513" i="16" s="1"/>
  <c r="X1512" i="16"/>
  <c r="AD1512" i="16" s="1"/>
  <c r="W1512" i="16"/>
  <c r="AC1512" i="16" s="1"/>
  <c r="V1512" i="16"/>
  <c r="AB1512" i="16" s="1"/>
  <c r="X1511" i="16"/>
  <c r="AD1511" i="16" s="1"/>
  <c r="W1511" i="16"/>
  <c r="AC1511" i="16" s="1"/>
  <c r="V1511" i="16"/>
  <c r="AB1511" i="16" s="1"/>
  <c r="X1510" i="16"/>
  <c r="AD1510" i="16" s="1"/>
  <c r="W1510" i="16"/>
  <c r="AC1510" i="16" s="1"/>
  <c r="V1510" i="16"/>
  <c r="AB1510" i="16" s="1"/>
  <c r="X1509" i="16"/>
  <c r="AD1509" i="16" s="1"/>
  <c r="W1509" i="16"/>
  <c r="AC1509" i="16" s="1"/>
  <c r="V1509" i="16"/>
  <c r="AB1509" i="16" s="1"/>
  <c r="X1508" i="16"/>
  <c r="AD1508" i="16" s="1"/>
  <c r="W1508" i="16"/>
  <c r="AC1508" i="16" s="1"/>
  <c r="V1508" i="16"/>
  <c r="AB1508" i="16" s="1"/>
  <c r="X1507" i="16"/>
  <c r="AD1507" i="16" s="1"/>
  <c r="W1507" i="16"/>
  <c r="AC1507" i="16" s="1"/>
  <c r="V1507" i="16"/>
  <c r="AB1507" i="16" s="1"/>
  <c r="X1506" i="16"/>
  <c r="AD1506" i="16" s="1"/>
  <c r="W1506" i="16"/>
  <c r="AC1506" i="16" s="1"/>
  <c r="V1506" i="16"/>
  <c r="AB1506" i="16" s="1"/>
  <c r="X1505" i="16"/>
  <c r="AD1505" i="16" s="1"/>
  <c r="W1505" i="16"/>
  <c r="AC1505" i="16" s="1"/>
  <c r="V1505" i="16"/>
  <c r="AB1505" i="16" s="1"/>
  <c r="X1504" i="16"/>
  <c r="AD1504" i="16" s="1"/>
  <c r="W1504" i="16"/>
  <c r="AC1504" i="16" s="1"/>
  <c r="V1504" i="16"/>
  <c r="AB1504" i="16" s="1"/>
  <c r="X1503" i="16"/>
  <c r="AD1503" i="16" s="1"/>
  <c r="W1503" i="16"/>
  <c r="AC1503" i="16" s="1"/>
  <c r="V1503" i="16"/>
  <c r="AB1503" i="16" s="1"/>
  <c r="X1502" i="16"/>
  <c r="AD1502" i="16" s="1"/>
  <c r="W1502" i="16"/>
  <c r="AC1502" i="16" s="1"/>
  <c r="V1502" i="16"/>
  <c r="AB1502" i="16" s="1"/>
  <c r="X1501" i="16"/>
  <c r="AD1501" i="16" s="1"/>
  <c r="W1501" i="16"/>
  <c r="AC1501" i="16" s="1"/>
  <c r="V1501" i="16"/>
  <c r="AB1501" i="16" s="1"/>
  <c r="X1500" i="16"/>
  <c r="AD1500" i="16" s="1"/>
  <c r="W1500" i="16"/>
  <c r="AC1500" i="16" s="1"/>
  <c r="V1500" i="16"/>
  <c r="AB1500" i="16" s="1"/>
  <c r="X1499" i="16"/>
  <c r="AD1499" i="16" s="1"/>
  <c r="W1499" i="16"/>
  <c r="AC1499" i="16" s="1"/>
  <c r="V1499" i="16"/>
  <c r="AB1499" i="16" s="1"/>
  <c r="X1498" i="16"/>
  <c r="AD1498" i="16" s="1"/>
  <c r="W1498" i="16"/>
  <c r="AC1498" i="16" s="1"/>
  <c r="V1498" i="16"/>
  <c r="AB1498" i="16" s="1"/>
  <c r="X1497" i="16"/>
  <c r="AD1497" i="16" s="1"/>
  <c r="W1497" i="16"/>
  <c r="AC1497" i="16" s="1"/>
  <c r="V1497" i="16"/>
  <c r="AB1497" i="16" s="1"/>
  <c r="X1496" i="16"/>
  <c r="AD1496" i="16" s="1"/>
  <c r="W1496" i="16"/>
  <c r="AC1496" i="16" s="1"/>
  <c r="V1496" i="16"/>
  <c r="AB1496" i="16" s="1"/>
  <c r="X1495" i="16"/>
  <c r="AD1495" i="16" s="1"/>
  <c r="W1495" i="16"/>
  <c r="AC1495" i="16" s="1"/>
  <c r="V1495" i="16"/>
  <c r="AB1495" i="16" s="1"/>
  <c r="X1494" i="16"/>
  <c r="AD1494" i="16" s="1"/>
  <c r="W1494" i="16"/>
  <c r="AC1494" i="16" s="1"/>
  <c r="V1494" i="16"/>
  <c r="AB1494" i="16" s="1"/>
  <c r="X1493" i="16"/>
  <c r="AD1493" i="16" s="1"/>
  <c r="W1493" i="16"/>
  <c r="AC1493" i="16" s="1"/>
  <c r="V1493" i="16"/>
  <c r="AB1493" i="16" s="1"/>
  <c r="X1492" i="16"/>
  <c r="AD1492" i="16" s="1"/>
  <c r="W1492" i="16"/>
  <c r="AC1492" i="16" s="1"/>
  <c r="V1492" i="16"/>
  <c r="AB1492" i="16" s="1"/>
  <c r="X1491" i="16"/>
  <c r="AD1491" i="16" s="1"/>
  <c r="W1491" i="16"/>
  <c r="AC1491" i="16" s="1"/>
  <c r="V1491" i="16"/>
  <c r="AB1491" i="16" s="1"/>
  <c r="X1490" i="16"/>
  <c r="AD1490" i="16" s="1"/>
  <c r="W1490" i="16"/>
  <c r="AC1490" i="16" s="1"/>
  <c r="V1490" i="16"/>
  <c r="AB1490" i="16" s="1"/>
  <c r="X1489" i="16"/>
  <c r="AD1489" i="16" s="1"/>
  <c r="W1489" i="16"/>
  <c r="AC1489" i="16" s="1"/>
  <c r="V1489" i="16"/>
  <c r="AB1489" i="16" s="1"/>
  <c r="X1488" i="16"/>
  <c r="AD1488" i="16" s="1"/>
  <c r="W1488" i="16"/>
  <c r="AC1488" i="16" s="1"/>
  <c r="V1488" i="16"/>
  <c r="AB1488" i="16" s="1"/>
  <c r="X1487" i="16"/>
  <c r="AD1487" i="16" s="1"/>
  <c r="W1487" i="16"/>
  <c r="AC1487" i="16" s="1"/>
  <c r="V1487" i="16"/>
  <c r="AB1487" i="16" s="1"/>
  <c r="X1486" i="16"/>
  <c r="AD1486" i="16" s="1"/>
  <c r="W1486" i="16"/>
  <c r="AC1486" i="16" s="1"/>
  <c r="V1486" i="16"/>
  <c r="AB1486" i="16" s="1"/>
  <c r="X1485" i="16"/>
  <c r="AD1485" i="16" s="1"/>
  <c r="W1485" i="16"/>
  <c r="AC1485" i="16" s="1"/>
  <c r="V1485" i="16"/>
  <c r="AB1485" i="16" s="1"/>
  <c r="X1484" i="16"/>
  <c r="AD1484" i="16" s="1"/>
  <c r="W1484" i="16"/>
  <c r="AC1484" i="16" s="1"/>
  <c r="V1484" i="16"/>
  <c r="AB1484" i="16" s="1"/>
  <c r="X1483" i="16"/>
  <c r="AD1483" i="16" s="1"/>
  <c r="W1483" i="16"/>
  <c r="AC1483" i="16" s="1"/>
  <c r="V1483" i="16"/>
  <c r="AB1483" i="16" s="1"/>
  <c r="X1482" i="16"/>
  <c r="AD1482" i="16" s="1"/>
  <c r="W1482" i="16"/>
  <c r="AC1482" i="16" s="1"/>
  <c r="V1482" i="16"/>
  <c r="AB1482" i="16" s="1"/>
  <c r="X1481" i="16"/>
  <c r="AD1481" i="16" s="1"/>
  <c r="W1481" i="16"/>
  <c r="AC1481" i="16" s="1"/>
  <c r="V1481" i="16"/>
  <c r="AB1481" i="16" s="1"/>
  <c r="X1480" i="16"/>
  <c r="AD1480" i="16" s="1"/>
  <c r="W1480" i="16"/>
  <c r="AC1480" i="16" s="1"/>
  <c r="V1480" i="16"/>
  <c r="AB1480" i="16" s="1"/>
  <c r="X1479" i="16"/>
  <c r="AD1479" i="16" s="1"/>
  <c r="W1479" i="16"/>
  <c r="AC1479" i="16" s="1"/>
  <c r="V1479" i="16"/>
  <c r="AB1479" i="16" s="1"/>
  <c r="X1478" i="16"/>
  <c r="AD1478" i="16" s="1"/>
  <c r="W1478" i="16"/>
  <c r="AC1478" i="16" s="1"/>
  <c r="V1478" i="16"/>
  <c r="AB1478" i="16" s="1"/>
  <c r="X1477" i="16"/>
  <c r="AD1477" i="16" s="1"/>
  <c r="W1477" i="16"/>
  <c r="AC1477" i="16" s="1"/>
  <c r="V1477" i="16"/>
  <c r="AB1477" i="16" s="1"/>
  <c r="X1476" i="16"/>
  <c r="AD1476" i="16" s="1"/>
  <c r="W1476" i="16"/>
  <c r="AC1476" i="16" s="1"/>
  <c r="V1476" i="16"/>
  <c r="AB1476" i="16" s="1"/>
  <c r="X1475" i="16"/>
  <c r="AD1475" i="16" s="1"/>
  <c r="W1475" i="16"/>
  <c r="AC1475" i="16" s="1"/>
  <c r="V1475" i="16"/>
  <c r="AB1475" i="16" s="1"/>
  <c r="X1474" i="16"/>
  <c r="AD1474" i="16" s="1"/>
  <c r="W1474" i="16"/>
  <c r="AC1474" i="16" s="1"/>
  <c r="V1474" i="16"/>
  <c r="AB1474" i="16" s="1"/>
  <c r="X1473" i="16"/>
  <c r="AD1473" i="16" s="1"/>
  <c r="W1473" i="16"/>
  <c r="AC1473" i="16" s="1"/>
  <c r="V1473" i="16"/>
  <c r="AB1473" i="16" s="1"/>
  <c r="X1472" i="16"/>
  <c r="AD1472" i="16" s="1"/>
  <c r="W1472" i="16"/>
  <c r="AC1472" i="16" s="1"/>
  <c r="V1472" i="16"/>
  <c r="AB1472" i="16" s="1"/>
  <c r="X1471" i="16"/>
  <c r="AD1471" i="16" s="1"/>
  <c r="W1471" i="16"/>
  <c r="AC1471" i="16" s="1"/>
  <c r="V1471" i="16"/>
  <c r="AB1471" i="16" s="1"/>
  <c r="X1470" i="16"/>
  <c r="AD1470" i="16" s="1"/>
  <c r="W1470" i="16"/>
  <c r="AC1470" i="16" s="1"/>
  <c r="V1470" i="16"/>
  <c r="AB1470" i="16" s="1"/>
  <c r="X1469" i="16"/>
  <c r="AD1469" i="16" s="1"/>
  <c r="W1469" i="16"/>
  <c r="AC1469" i="16" s="1"/>
  <c r="V1469" i="16"/>
  <c r="AB1469" i="16" s="1"/>
  <c r="X1468" i="16"/>
  <c r="AD1468" i="16" s="1"/>
  <c r="W1468" i="16"/>
  <c r="AC1468" i="16" s="1"/>
  <c r="V1468" i="16"/>
  <c r="AB1468" i="16" s="1"/>
  <c r="X1467" i="16"/>
  <c r="AD1467" i="16" s="1"/>
  <c r="W1467" i="16"/>
  <c r="AC1467" i="16" s="1"/>
  <c r="V1467" i="16"/>
  <c r="AB1467" i="16" s="1"/>
  <c r="X1466" i="16"/>
  <c r="AD1466" i="16" s="1"/>
  <c r="W1466" i="16"/>
  <c r="AC1466" i="16" s="1"/>
  <c r="V1466" i="16"/>
  <c r="AB1466" i="16" s="1"/>
  <c r="X1465" i="16"/>
  <c r="AD1465" i="16" s="1"/>
  <c r="W1465" i="16"/>
  <c r="AC1465" i="16" s="1"/>
  <c r="V1465" i="16"/>
  <c r="AB1465" i="16" s="1"/>
  <c r="X1464" i="16"/>
  <c r="AD1464" i="16" s="1"/>
  <c r="W1464" i="16"/>
  <c r="AC1464" i="16" s="1"/>
  <c r="V1464" i="16"/>
  <c r="AB1464" i="16" s="1"/>
  <c r="X1463" i="16"/>
  <c r="AD1463" i="16" s="1"/>
  <c r="W1463" i="16"/>
  <c r="AC1463" i="16" s="1"/>
  <c r="V1463" i="16"/>
  <c r="AB1463" i="16" s="1"/>
  <c r="X1462" i="16"/>
  <c r="AD1462" i="16" s="1"/>
  <c r="W1462" i="16"/>
  <c r="AC1462" i="16" s="1"/>
  <c r="V1462" i="16"/>
  <c r="AB1462" i="16" s="1"/>
  <c r="X1461" i="16"/>
  <c r="AD1461" i="16" s="1"/>
  <c r="W1461" i="16"/>
  <c r="AC1461" i="16" s="1"/>
  <c r="V1461" i="16"/>
  <c r="AB1461" i="16" s="1"/>
  <c r="X1460" i="16"/>
  <c r="AD1460" i="16" s="1"/>
  <c r="W1460" i="16"/>
  <c r="AC1460" i="16" s="1"/>
  <c r="V1460" i="16"/>
  <c r="AB1460" i="16" s="1"/>
  <c r="X1459" i="16"/>
  <c r="AD1459" i="16" s="1"/>
  <c r="W1459" i="16"/>
  <c r="AC1459" i="16" s="1"/>
  <c r="V1459" i="16"/>
  <c r="AB1459" i="16" s="1"/>
  <c r="X1458" i="16"/>
  <c r="AD1458" i="16" s="1"/>
  <c r="W1458" i="16"/>
  <c r="AC1458" i="16" s="1"/>
  <c r="V1458" i="16"/>
  <c r="AB1458" i="16" s="1"/>
  <c r="X1457" i="16"/>
  <c r="AD1457" i="16" s="1"/>
  <c r="W1457" i="16"/>
  <c r="AC1457" i="16" s="1"/>
  <c r="V1457" i="16"/>
  <c r="AB1457" i="16" s="1"/>
  <c r="X1456" i="16"/>
  <c r="AD1456" i="16" s="1"/>
  <c r="W1456" i="16"/>
  <c r="AC1456" i="16" s="1"/>
  <c r="V1456" i="16"/>
  <c r="AB1456" i="16" s="1"/>
  <c r="X1455" i="16"/>
  <c r="AD1455" i="16" s="1"/>
  <c r="W1455" i="16"/>
  <c r="AC1455" i="16" s="1"/>
  <c r="V1455" i="16"/>
  <c r="AB1455" i="16" s="1"/>
  <c r="X1454" i="16"/>
  <c r="AD1454" i="16" s="1"/>
  <c r="W1454" i="16"/>
  <c r="AC1454" i="16" s="1"/>
  <c r="V1454" i="16"/>
  <c r="AB1454" i="16" s="1"/>
  <c r="X1453" i="16"/>
  <c r="AD1453" i="16" s="1"/>
  <c r="W1453" i="16"/>
  <c r="AC1453" i="16" s="1"/>
  <c r="V1453" i="16"/>
  <c r="AB1453" i="16" s="1"/>
  <c r="X1452" i="16"/>
  <c r="AD1452" i="16" s="1"/>
  <c r="W1452" i="16"/>
  <c r="AC1452" i="16" s="1"/>
  <c r="V1452" i="16"/>
  <c r="AB1452" i="16" s="1"/>
  <c r="X1451" i="16"/>
  <c r="AD1451" i="16" s="1"/>
  <c r="W1451" i="16"/>
  <c r="AC1451" i="16" s="1"/>
  <c r="V1451" i="16"/>
  <c r="AB1451" i="16" s="1"/>
  <c r="X1450" i="16"/>
  <c r="AD1450" i="16" s="1"/>
  <c r="W1450" i="16"/>
  <c r="AC1450" i="16" s="1"/>
  <c r="V1450" i="16"/>
  <c r="AB1450" i="16" s="1"/>
  <c r="X1449" i="16"/>
  <c r="AD1449" i="16" s="1"/>
  <c r="W1449" i="16"/>
  <c r="AC1449" i="16" s="1"/>
  <c r="V1449" i="16"/>
  <c r="AB1449" i="16" s="1"/>
  <c r="X1448" i="16"/>
  <c r="AD1448" i="16" s="1"/>
  <c r="W1448" i="16"/>
  <c r="AC1448" i="16" s="1"/>
  <c r="V1448" i="16"/>
  <c r="AB1448" i="16" s="1"/>
  <c r="X1447" i="16"/>
  <c r="AD1447" i="16" s="1"/>
  <c r="W1447" i="16"/>
  <c r="AC1447" i="16" s="1"/>
  <c r="V1447" i="16"/>
  <c r="AB1447" i="16" s="1"/>
  <c r="X1446" i="16"/>
  <c r="AD1446" i="16" s="1"/>
  <c r="W1446" i="16"/>
  <c r="AC1446" i="16" s="1"/>
  <c r="V1446" i="16"/>
  <c r="AB1446" i="16" s="1"/>
  <c r="X1445" i="16"/>
  <c r="AD1445" i="16" s="1"/>
  <c r="W1445" i="16"/>
  <c r="AC1445" i="16" s="1"/>
  <c r="V1445" i="16"/>
  <c r="AB1445" i="16" s="1"/>
  <c r="X1444" i="16"/>
  <c r="AD1444" i="16" s="1"/>
  <c r="W1444" i="16"/>
  <c r="AC1444" i="16" s="1"/>
  <c r="V1444" i="16"/>
  <c r="AB1444" i="16" s="1"/>
  <c r="X1443" i="16"/>
  <c r="AD1443" i="16" s="1"/>
  <c r="W1443" i="16"/>
  <c r="AC1443" i="16" s="1"/>
  <c r="V1443" i="16"/>
  <c r="AB1443" i="16" s="1"/>
  <c r="X1442" i="16"/>
  <c r="AD1442" i="16" s="1"/>
  <c r="W1442" i="16"/>
  <c r="AC1442" i="16" s="1"/>
  <c r="V1442" i="16"/>
  <c r="AB1442" i="16" s="1"/>
  <c r="X1441" i="16"/>
  <c r="AD1441" i="16" s="1"/>
  <c r="W1441" i="16"/>
  <c r="AC1441" i="16" s="1"/>
  <c r="V1441" i="16"/>
  <c r="AB1441" i="16" s="1"/>
  <c r="X1440" i="16"/>
  <c r="AD1440" i="16" s="1"/>
  <c r="W1440" i="16"/>
  <c r="AC1440" i="16" s="1"/>
  <c r="V1440" i="16"/>
  <c r="AB1440" i="16" s="1"/>
  <c r="X1439" i="16"/>
  <c r="AD1439" i="16" s="1"/>
  <c r="W1439" i="16"/>
  <c r="AC1439" i="16" s="1"/>
  <c r="V1439" i="16"/>
  <c r="AB1439" i="16" s="1"/>
  <c r="X1438" i="16"/>
  <c r="AD1438" i="16" s="1"/>
  <c r="W1438" i="16"/>
  <c r="AC1438" i="16" s="1"/>
  <c r="V1438" i="16"/>
  <c r="AB1438" i="16" s="1"/>
  <c r="X1437" i="16"/>
  <c r="AD1437" i="16" s="1"/>
  <c r="W1437" i="16"/>
  <c r="AC1437" i="16" s="1"/>
  <c r="V1437" i="16"/>
  <c r="AB1437" i="16" s="1"/>
  <c r="X1436" i="16"/>
  <c r="AD1436" i="16" s="1"/>
  <c r="W1436" i="16"/>
  <c r="AC1436" i="16" s="1"/>
  <c r="V1436" i="16"/>
  <c r="AB1436" i="16" s="1"/>
  <c r="X1435" i="16"/>
  <c r="AD1435" i="16" s="1"/>
  <c r="W1435" i="16"/>
  <c r="AC1435" i="16" s="1"/>
  <c r="V1435" i="16"/>
  <c r="AB1435" i="16" s="1"/>
  <c r="X1434" i="16"/>
  <c r="AD1434" i="16" s="1"/>
  <c r="W1434" i="16"/>
  <c r="AC1434" i="16" s="1"/>
  <c r="V1434" i="16"/>
  <c r="AB1434" i="16" s="1"/>
  <c r="X1433" i="16"/>
  <c r="AD1433" i="16" s="1"/>
  <c r="W1433" i="16"/>
  <c r="AC1433" i="16" s="1"/>
  <c r="V1433" i="16"/>
  <c r="AB1433" i="16" s="1"/>
  <c r="X1432" i="16"/>
  <c r="AD1432" i="16" s="1"/>
  <c r="W1432" i="16"/>
  <c r="AC1432" i="16" s="1"/>
  <c r="V1432" i="16"/>
  <c r="AB1432" i="16" s="1"/>
  <c r="X1431" i="16"/>
  <c r="AD1431" i="16" s="1"/>
  <c r="W1431" i="16"/>
  <c r="AC1431" i="16" s="1"/>
  <c r="V1431" i="16"/>
  <c r="AB1431" i="16" s="1"/>
  <c r="X1430" i="16"/>
  <c r="AD1430" i="16" s="1"/>
  <c r="W1430" i="16"/>
  <c r="AC1430" i="16" s="1"/>
  <c r="V1430" i="16"/>
  <c r="AB1430" i="16" s="1"/>
  <c r="X1429" i="16"/>
  <c r="AD1429" i="16" s="1"/>
  <c r="W1429" i="16"/>
  <c r="AC1429" i="16" s="1"/>
  <c r="V1429" i="16"/>
  <c r="AB1429" i="16" s="1"/>
  <c r="X1428" i="16"/>
  <c r="AD1428" i="16" s="1"/>
  <c r="W1428" i="16"/>
  <c r="AC1428" i="16" s="1"/>
  <c r="V1428" i="16"/>
  <c r="AB1428" i="16" s="1"/>
  <c r="X1427" i="16"/>
  <c r="AD1427" i="16" s="1"/>
  <c r="W1427" i="16"/>
  <c r="AC1427" i="16" s="1"/>
  <c r="V1427" i="16"/>
  <c r="AB1427" i="16" s="1"/>
  <c r="X1426" i="16"/>
  <c r="AD1426" i="16" s="1"/>
  <c r="W1426" i="16"/>
  <c r="AC1426" i="16" s="1"/>
  <c r="V1426" i="16"/>
  <c r="AB1426" i="16" s="1"/>
  <c r="X1425" i="16"/>
  <c r="AD1425" i="16" s="1"/>
  <c r="W1425" i="16"/>
  <c r="AC1425" i="16" s="1"/>
  <c r="V1425" i="16"/>
  <c r="AB1425" i="16" s="1"/>
  <c r="X1424" i="16"/>
  <c r="AD1424" i="16" s="1"/>
  <c r="W1424" i="16"/>
  <c r="AC1424" i="16" s="1"/>
  <c r="V1424" i="16"/>
  <c r="AB1424" i="16" s="1"/>
  <c r="X1423" i="16"/>
  <c r="AD1423" i="16" s="1"/>
  <c r="W1423" i="16"/>
  <c r="AC1423" i="16" s="1"/>
  <c r="V1423" i="16"/>
  <c r="AB1423" i="16" s="1"/>
  <c r="X1422" i="16"/>
  <c r="AD1422" i="16" s="1"/>
  <c r="W1422" i="16"/>
  <c r="AC1422" i="16" s="1"/>
  <c r="V1422" i="16"/>
  <c r="AB1422" i="16" s="1"/>
  <c r="X1421" i="16"/>
  <c r="AD1421" i="16" s="1"/>
  <c r="W1421" i="16"/>
  <c r="AC1421" i="16" s="1"/>
  <c r="V1421" i="16"/>
  <c r="AB1421" i="16" s="1"/>
  <c r="X1420" i="16"/>
  <c r="AD1420" i="16" s="1"/>
  <c r="W1420" i="16"/>
  <c r="AC1420" i="16" s="1"/>
  <c r="V1420" i="16"/>
  <c r="AB1420" i="16" s="1"/>
  <c r="X1419" i="16"/>
  <c r="AD1419" i="16" s="1"/>
  <c r="W1419" i="16"/>
  <c r="AC1419" i="16" s="1"/>
  <c r="V1419" i="16"/>
  <c r="AB1419" i="16" s="1"/>
  <c r="X1418" i="16"/>
  <c r="AD1418" i="16" s="1"/>
  <c r="W1418" i="16"/>
  <c r="AC1418" i="16" s="1"/>
  <c r="V1418" i="16"/>
  <c r="AB1418" i="16" s="1"/>
  <c r="X1417" i="16"/>
  <c r="AD1417" i="16" s="1"/>
  <c r="W1417" i="16"/>
  <c r="AC1417" i="16" s="1"/>
  <c r="V1417" i="16"/>
  <c r="AB1417" i="16" s="1"/>
  <c r="X1416" i="16"/>
  <c r="AD1416" i="16" s="1"/>
  <c r="W1416" i="16"/>
  <c r="AC1416" i="16" s="1"/>
  <c r="V1416" i="16"/>
  <c r="AB1416" i="16" s="1"/>
  <c r="X1415" i="16"/>
  <c r="AD1415" i="16" s="1"/>
  <c r="W1415" i="16"/>
  <c r="AC1415" i="16" s="1"/>
  <c r="V1415" i="16"/>
  <c r="AB1415" i="16" s="1"/>
  <c r="X1414" i="16"/>
  <c r="AD1414" i="16" s="1"/>
  <c r="W1414" i="16"/>
  <c r="AC1414" i="16" s="1"/>
  <c r="V1414" i="16"/>
  <c r="AB1414" i="16" s="1"/>
  <c r="X1413" i="16"/>
  <c r="AD1413" i="16" s="1"/>
  <c r="W1413" i="16"/>
  <c r="AC1413" i="16" s="1"/>
  <c r="V1413" i="16"/>
  <c r="AB1413" i="16" s="1"/>
  <c r="X1412" i="16"/>
  <c r="AD1412" i="16" s="1"/>
  <c r="W1412" i="16"/>
  <c r="AC1412" i="16" s="1"/>
  <c r="V1412" i="16"/>
  <c r="AB1412" i="16" s="1"/>
  <c r="X1411" i="16"/>
  <c r="AD1411" i="16" s="1"/>
  <c r="W1411" i="16"/>
  <c r="AC1411" i="16" s="1"/>
  <c r="V1411" i="16"/>
  <c r="AB1411" i="16" s="1"/>
  <c r="X1410" i="16"/>
  <c r="AD1410" i="16" s="1"/>
  <c r="W1410" i="16"/>
  <c r="AC1410" i="16" s="1"/>
  <c r="V1410" i="16"/>
  <c r="AB1410" i="16" s="1"/>
  <c r="X1409" i="16"/>
  <c r="AD1409" i="16" s="1"/>
  <c r="W1409" i="16"/>
  <c r="AC1409" i="16" s="1"/>
  <c r="V1409" i="16"/>
  <c r="AB1409" i="16" s="1"/>
  <c r="X1408" i="16"/>
  <c r="AD1408" i="16" s="1"/>
  <c r="W1408" i="16"/>
  <c r="AC1408" i="16" s="1"/>
  <c r="V1408" i="16"/>
  <c r="AB1408" i="16" s="1"/>
  <c r="X1407" i="16"/>
  <c r="AD1407" i="16" s="1"/>
  <c r="W1407" i="16"/>
  <c r="AC1407" i="16" s="1"/>
  <c r="V1407" i="16"/>
  <c r="AB1407" i="16" s="1"/>
  <c r="X1406" i="16"/>
  <c r="AD1406" i="16" s="1"/>
  <c r="W1406" i="16"/>
  <c r="AC1406" i="16" s="1"/>
  <c r="V1406" i="16"/>
  <c r="AB1406" i="16" s="1"/>
  <c r="X1405" i="16"/>
  <c r="AD1405" i="16" s="1"/>
  <c r="W1405" i="16"/>
  <c r="AC1405" i="16" s="1"/>
  <c r="V1405" i="16"/>
  <c r="AB1405" i="16" s="1"/>
  <c r="X1404" i="16"/>
  <c r="AD1404" i="16" s="1"/>
  <c r="W1404" i="16"/>
  <c r="AC1404" i="16" s="1"/>
  <c r="V1404" i="16"/>
  <c r="AB1404" i="16" s="1"/>
  <c r="X1403" i="16"/>
  <c r="AD1403" i="16" s="1"/>
  <c r="W1403" i="16"/>
  <c r="AC1403" i="16" s="1"/>
  <c r="V1403" i="16"/>
  <c r="AB1403" i="16" s="1"/>
  <c r="X1402" i="16"/>
  <c r="AD1402" i="16" s="1"/>
  <c r="W1402" i="16"/>
  <c r="AC1402" i="16" s="1"/>
  <c r="V1402" i="16"/>
  <c r="AB1402" i="16" s="1"/>
  <c r="X1401" i="16"/>
  <c r="AD1401" i="16" s="1"/>
  <c r="W1401" i="16"/>
  <c r="AC1401" i="16" s="1"/>
  <c r="V1401" i="16"/>
  <c r="AB1401" i="16" s="1"/>
  <c r="X1400" i="16"/>
  <c r="AD1400" i="16" s="1"/>
  <c r="W1400" i="16"/>
  <c r="AC1400" i="16" s="1"/>
  <c r="V1400" i="16"/>
  <c r="AB1400" i="16" s="1"/>
  <c r="X1399" i="16"/>
  <c r="AD1399" i="16" s="1"/>
  <c r="W1399" i="16"/>
  <c r="AC1399" i="16" s="1"/>
  <c r="V1399" i="16"/>
  <c r="AB1399" i="16" s="1"/>
  <c r="X1398" i="16"/>
  <c r="AD1398" i="16" s="1"/>
  <c r="W1398" i="16"/>
  <c r="AC1398" i="16" s="1"/>
  <c r="V1398" i="16"/>
  <c r="AB1398" i="16" s="1"/>
  <c r="X1397" i="16"/>
  <c r="AD1397" i="16" s="1"/>
  <c r="W1397" i="16"/>
  <c r="AC1397" i="16" s="1"/>
  <c r="V1397" i="16"/>
  <c r="AB1397" i="16" s="1"/>
  <c r="X1396" i="16"/>
  <c r="AD1396" i="16" s="1"/>
  <c r="W1396" i="16"/>
  <c r="AC1396" i="16" s="1"/>
  <c r="V1396" i="16"/>
  <c r="AB1396" i="16" s="1"/>
  <c r="X1395" i="16"/>
  <c r="AD1395" i="16" s="1"/>
  <c r="W1395" i="16"/>
  <c r="AC1395" i="16" s="1"/>
  <c r="V1395" i="16"/>
  <c r="AB1395" i="16" s="1"/>
  <c r="X1394" i="16"/>
  <c r="AD1394" i="16" s="1"/>
  <c r="W1394" i="16"/>
  <c r="AC1394" i="16" s="1"/>
  <c r="V1394" i="16"/>
  <c r="AB1394" i="16" s="1"/>
  <c r="X1393" i="16"/>
  <c r="AD1393" i="16" s="1"/>
  <c r="W1393" i="16"/>
  <c r="AC1393" i="16" s="1"/>
  <c r="V1393" i="16"/>
  <c r="AB1393" i="16" s="1"/>
  <c r="X1392" i="16"/>
  <c r="AD1392" i="16" s="1"/>
  <c r="W1392" i="16"/>
  <c r="AC1392" i="16" s="1"/>
  <c r="V1392" i="16"/>
  <c r="AB1392" i="16" s="1"/>
  <c r="X1391" i="16"/>
  <c r="AD1391" i="16" s="1"/>
  <c r="W1391" i="16"/>
  <c r="AC1391" i="16" s="1"/>
  <c r="V1391" i="16"/>
  <c r="AB1391" i="16" s="1"/>
  <c r="X1390" i="16"/>
  <c r="AD1390" i="16" s="1"/>
  <c r="W1390" i="16"/>
  <c r="AC1390" i="16" s="1"/>
  <c r="V1390" i="16"/>
  <c r="AB1390" i="16" s="1"/>
  <c r="X1389" i="16"/>
  <c r="AD1389" i="16" s="1"/>
  <c r="W1389" i="16"/>
  <c r="AC1389" i="16" s="1"/>
  <c r="V1389" i="16"/>
  <c r="AB1389" i="16" s="1"/>
  <c r="X1388" i="16"/>
  <c r="AD1388" i="16" s="1"/>
  <c r="W1388" i="16"/>
  <c r="AC1388" i="16" s="1"/>
  <c r="V1388" i="16"/>
  <c r="AB1388" i="16" s="1"/>
  <c r="X1387" i="16"/>
  <c r="AD1387" i="16" s="1"/>
  <c r="W1387" i="16"/>
  <c r="AC1387" i="16" s="1"/>
  <c r="V1387" i="16"/>
  <c r="AB1387" i="16" s="1"/>
  <c r="X1386" i="16"/>
  <c r="AD1386" i="16" s="1"/>
  <c r="W1386" i="16"/>
  <c r="AC1386" i="16" s="1"/>
  <c r="V1386" i="16"/>
  <c r="AB1386" i="16" s="1"/>
  <c r="X1385" i="16"/>
  <c r="AD1385" i="16" s="1"/>
  <c r="W1385" i="16"/>
  <c r="AC1385" i="16" s="1"/>
  <c r="V1385" i="16"/>
  <c r="AB1385" i="16" s="1"/>
  <c r="X1384" i="16"/>
  <c r="AD1384" i="16" s="1"/>
  <c r="W1384" i="16"/>
  <c r="AC1384" i="16" s="1"/>
  <c r="V1384" i="16"/>
  <c r="AB1384" i="16" s="1"/>
  <c r="X1383" i="16"/>
  <c r="AD1383" i="16" s="1"/>
  <c r="W1383" i="16"/>
  <c r="AC1383" i="16" s="1"/>
  <c r="V1383" i="16"/>
  <c r="AB1383" i="16" s="1"/>
  <c r="X1382" i="16"/>
  <c r="AD1382" i="16" s="1"/>
  <c r="W1382" i="16"/>
  <c r="AC1382" i="16" s="1"/>
  <c r="V1382" i="16"/>
  <c r="AB1382" i="16" s="1"/>
  <c r="X1381" i="16"/>
  <c r="AD1381" i="16" s="1"/>
  <c r="W1381" i="16"/>
  <c r="AC1381" i="16" s="1"/>
  <c r="V1381" i="16"/>
  <c r="AB1381" i="16" s="1"/>
  <c r="X1380" i="16"/>
  <c r="AD1380" i="16" s="1"/>
  <c r="W1380" i="16"/>
  <c r="AC1380" i="16" s="1"/>
  <c r="V1380" i="16"/>
  <c r="AB1380" i="16" s="1"/>
  <c r="X1379" i="16"/>
  <c r="AD1379" i="16" s="1"/>
  <c r="W1379" i="16"/>
  <c r="AC1379" i="16" s="1"/>
  <c r="V1379" i="16"/>
  <c r="AB1379" i="16" s="1"/>
  <c r="X1378" i="16"/>
  <c r="AD1378" i="16" s="1"/>
  <c r="W1378" i="16"/>
  <c r="AC1378" i="16" s="1"/>
  <c r="V1378" i="16"/>
  <c r="AB1378" i="16" s="1"/>
  <c r="X1377" i="16"/>
  <c r="AD1377" i="16" s="1"/>
  <c r="W1377" i="16"/>
  <c r="AC1377" i="16" s="1"/>
  <c r="V1377" i="16"/>
  <c r="AB1377" i="16" s="1"/>
  <c r="X1376" i="16"/>
  <c r="AD1376" i="16" s="1"/>
  <c r="W1376" i="16"/>
  <c r="AC1376" i="16" s="1"/>
  <c r="V1376" i="16"/>
  <c r="AB1376" i="16" s="1"/>
  <c r="X1375" i="16"/>
  <c r="AD1375" i="16" s="1"/>
  <c r="W1375" i="16"/>
  <c r="AC1375" i="16" s="1"/>
  <c r="V1375" i="16"/>
  <c r="AB1375" i="16" s="1"/>
  <c r="X1374" i="16"/>
  <c r="AD1374" i="16" s="1"/>
  <c r="W1374" i="16"/>
  <c r="AC1374" i="16" s="1"/>
  <c r="V1374" i="16"/>
  <c r="AB1374" i="16" s="1"/>
  <c r="X1373" i="16"/>
  <c r="AD1373" i="16" s="1"/>
  <c r="W1373" i="16"/>
  <c r="AC1373" i="16" s="1"/>
  <c r="V1373" i="16"/>
  <c r="AB1373" i="16" s="1"/>
  <c r="X1372" i="16"/>
  <c r="AD1372" i="16" s="1"/>
  <c r="W1372" i="16"/>
  <c r="AC1372" i="16" s="1"/>
  <c r="V1372" i="16"/>
  <c r="AB1372" i="16" s="1"/>
  <c r="X1371" i="16"/>
  <c r="AD1371" i="16" s="1"/>
  <c r="W1371" i="16"/>
  <c r="AC1371" i="16" s="1"/>
  <c r="V1371" i="16"/>
  <c r="AB1371" i="16" s="1"/>
  <c r="X1370" i="16"/>
  <c r="AD1370" i="16" s="1"/>
  <c r="W1370" i="16"/>
  <c r="AC1370" i="16" s="1"/>
  <c r="V1370" i="16"/>
  <c r="AB1370" i="16" s="1"/>
  <c r="X1369" i="16"/>
  <c r="AD1369" i="16" s="1"/>
  <c r="W1369" i="16"/>
  <c r="AC1369" i="16" s="1"/>
  <c r="V1369" i="16"/>
  <c r="AB1369" i="16" s="1"/>
  <c r="X1368" i="16"/>
  <c r="AD1368" i="16" s="1"/>
  <c r="W1368" i="16"/>
  <c r="AC1368" i="16" s="1"/>
  <c r="V1368" i="16"/>
  <c r="AB1368" i="16" s="1"/>
  <c r="X1367" i="16"/>
  <c r="AD1367" i="16" s="1"/>
  <c r="W1367" i="16"/>
  <c r="AC1367" i="16" s="1"/>
  <c r="V1367" i="16"/>
  <c r="AB1367" i="16" s="1"/>
  <c r="X1366" i="16"/>
  <c r="AD1366" i="16" s="1"/>
  <c r="W1366" i="16"/>
  <c r="AC1366" i="16" s="1"/>
  <c r="V1366" i="16"/>
  <c r="AB1366" i="16" s="1"/>
  <c r="X1365" i="16"/>
  <c r="AD1365" i="16" s="1"/>
  <c r="W1365" i="16"/>
  <c r="AC1365" i="16" s="1"/>
  <c r="V1365" i="16"/>
  <c r="AB1365" i="16" s="1"/>
  <c r="X1364" i="16"/>
  <c r="AD1364" i="16" s="1"/>
  <c r="W1364" i="16"/>
  <c r="AC1364" i="16" s="1"/>
  <c r="V1364" i="16"/>
  <c r="AB1364" i="16" s="1"/>
  <c r="X1363" i="16"/>
  <c r="AD1363" i="16" s="1"/>
  <c r="W1363" i="16"/>
  <c r="AC1363" i="16" s="1"/>
  <c r="V1363" i="16"/>
  <c r="AB1363" i="16" s="1"/>
  <c r="X1362" i="16"/>
  <c r="AD1362" i="16" s="1"/>
  <c r="W1362" i="16"/>
  <c r="AC1362" i="16" s="1"/>
  <c r="V1362" i="16"/>
  <c r="AB1362" i="16" s="1"/>
  <c r="X1361" i="16"/>
  <c r="AD1361" i="16" s="1"/>
  <c r="W1361" i="16"/>
  <c r="AC1361" i="16" s="1"/>
  <c r="V1361" i="16"/>
  <c r="AB1361" i="16" s="1"/>
  <c r="X1360" i="16"/>
  <c r="AD1360" i="16" s="1"/>
  <c r="W1360" i="16"/>
  <c r="AC1360" i="16" s="1"/>
  <c r="V1360" i="16"/>
  <c r="AB1360" i="16" s="1"/>
  <c r="X1359" i="16"/>
  <c r="AD1359" i="16" s="1"/>
  <c r="W1359" i="16"/>
  <c r="AC1359" i="16" s="1"/>
  <c r="V1359" i="16"/>
  <c r="AB1359" i="16" s="1"/>
  <c r="X1358" i="16"/>
  <c r="AD1358" i="16" s="1"/>
  <c r="W1358" i="16"/>
  <c r="AC1358" i="16" s="1"/>
  <c r="V1358" i="16"/>
  <c r="AB1358" i="16" s="1"/>
  <c r="X1357" i="16"/>
  <c r="AD1357" i="16" s="1"/>
  <c r="W1357" i="16"/>
  <c r="AC1357" i="16" s="1"/>
  <c r="V1357" i="16"/>
  <c r="AB1357" i="16" s="1"/>
  <c r="X1356" i="16"/>
  <c r="AD1356" i="16" s="1"/>
  <c r="W1356" i="16"/>
  <c r="AC1356" i="16" s="1"/>
  <c r="V1356" i="16"/>
  <c r="AB1356" i="16" s="1"/>
  <c r="X1355" i="16"/>
  <c r="AD1355" i="16" s="1"/>
  <c r="W1355" i="16"/>
  <c r="AC1355" i="16" s="1"/>
  <c r="V1355" i="16"/>
  <c r="AB1355" i="16" s="1"/>
  <c r="X1354" i="16"/>
  <c r="AD1354" i="16" s="1"/>
  <c r="W1354" i="16"/>
  <c r="AC1354" i="16" s="1"/>
  <c r="V1354" i="16"/>
  <c r="AB1354" i="16" s="1"/>
  <c r="X1353" i="16"/>
  <c r="AD1353" i="16" s="1"/>
  <c r="W1353" i="16"/>
  <c r="AC1353" i="16" s="1"/>
  <c r="V1353" i="16"/>
  <c r="AB1353" i="16" s="1"/>
  <c r="X1352" i="16"/>
  <c r="AD1352" i="16" s="1"/>
  <c r="W1352" i="16"/>
  <c r="AC1352" i="16" s="1"/>
  <c r="V1352" i="16"/>
  <c r="AB1352" i="16" s="1"/>
  <c r="X1351" i="16"/>
  <c r="AD1351" i="16" s="1"/>
  <c r="W1351" i="16"/>
  <c r="AC1351" i="16" s="1"/>
  <c r="V1351" i="16"/>
  <c r="AB1351" i="16" s="1"/>
  <c r="X1350" i="16"/>
  <c r="AD1350" i="16" s="1"/>
  <c r="W1350" i="16"/>
  <c r="AC1350" i="16" s="1"/>
  <c r="V1350" i="16"/>
  <c r="AB1350" i="16" s="1"/>
  <c r="X1349" i="16"/>
  <c r="AD1349" i="16" s="1"/>
  <c r="W1349" i="16"/>
  <c r="AC1349" i="16" s="1"/>
  <c r="V1349" i="16"/>
  <c r="AB1349" i="16" s="1"/>
  <c r="X1348" i="16"/>
  <c r="AD1348" i="16" s="1"/>
  <c r="W1348" i="16"/>
  <c r="AC1348" i="16" s="1"/>
  <c r="V1348" i="16"/>
  <c r="AB1348" i="16" s="1"/>
  <c r="X1347" i="16"/>
  <c r="AD1347" i="16" s="1"/>
  <c r="W1347" i="16"/>
  <c r="AC1347" i="16" s="1"/>
  <c r="V1347" i="16"/>
  <c r="AB1347" i="16" s="1"/>
  <c r="X1346" i="16"/>
  <c r="AD1346" i="16" s="1"/>
  <c r="W1346" i="16"/>
  <c r="AC1346" i="16" s="1"/>
  <c r="V1346" i="16"/>
  <c r="AB1346" i="16" s="1"/>
  <c r="X1345" i="16"/>
  <c r="AD1345" i="16" s="1"/>
  <c r="W1345" i="16"/>
  <c r="AC1345" i="16" s="1"/>
  <c r="V1345" i="16"/>
  <c r="AB1345" i="16" s="1"/>
  <c r="X1344" i="16"/>
  <c r="AD1344" i="16" s="1"/>
  <c r="W1344" i="16"/>
  <c r="AC1344" i="16" s="1"/>
  <c r="V1344" i="16"/>
  <c r="AB1344" i="16" s="1"/>
  <c r="X1343" i="16"/>
  <c r="AD1343" i="16" s="1"/>
  <c r="W1343" i="16"/>
  <c r="AC1343" i="16" s="1"/>
  <c r="V1343" i="16"/>
  <c r="AB1343" i="16" s="1"/>
  <c r="X1342" i="16"/>
  <c r="AD1342" i="16" s="1"/>
  <c r="W1342" i="16"/>
  <c r="AC1342" i="16" s="1"/>
  <c r="V1342" i="16"/>
  <c r="AB1342" i="16" s="1"/>
  <c r="X1341" i="16"/>
  <c r="AD1341" i="16" s="1"/>
  <c r="W1341" i="16"/>
  <c r="AC1341" i="16" s="1"/>
  <c r="V1341" i="16"/>
  <c r="AB1341" i="16" s="1"/>
  <c r="X1340" i="16"/>
  <c r="AD1340" i="16" s="1"/>
  <c r="W1340" i="16"/>
  <c r="AC1340" i="16" s="1"/>
  <c r="V1340" i="16"/>
  <c r="AB1340" i="16" s="1"/>
  <c r="V1339" i="16"/>
  <c r="AB1339" i="16" s="1"/>
  <c r="V1338" i="16"/>
  <c r="AB1338" i="16" s="1"/>
  <c r="V1337" i="16"/>
  <c r="AB1337" i="16" s="1"/>
  <c r="V1336" i="16"/>
  <c r="AB1336" i="16" s="1"/>
  <c r="V1335" i="16"/>
  <c r="AB1335" i="16" s="1"/>
  <c r="V1334" i="16"/>
  <c r="AB1334" i="16" s="1"/>
  <c r="V1333" i="16"/>
  <c r="AB1333" i="16" s="1"/>
  <c r="V1332" i="16"/>
  <c r="AB1332" i="16" s="1"/>
  <c r="V1331" i="16"/>
  <c r="AB1331" i="16" s="1"/>
  <c r="V1330" i="16"/>
  <c r="AB1330" i="16" s="1"/>
  <c r="V1329" i="16"/>
  <c r="AB1329" i="16" s="1"/>
  <c r="V1328" i="16"/>
  <c r="AB1328" i="16" s="1"/>
  <c r="V1327" i="16"/>
  <c r="AB1327" i="16" s="1"/>
  <c r="V1326" i="16"/>
  <c r="AB1326" i="16" s="1"/>
  <c r="V1325" i="16"/>
  <c r="AB1325" i="16" s="1"/>
  <c r="V1324" i="16"/>
  <c r="AB1324" i="16" s="1"/>
  <c r="V1323" i="16"/>
  <c r="AB1323" i="16" s="1"/>
  <c r="V1322" i="16"/>
  <c r="AB1322" i="16" s="1"/>
  <c r="V1321" i="16"/>
  <c r="AB1321" i="16" s="1"/>
  <c r="V1320" i="16"/>
  <c r="AB1320" i="16" s="1"/>
  <c r="V1319" i="16"/>
  <c r="AB1319" i="16" s="1"/>
  <c r="V1318" i="16"/>
  <c r="AB1318" i="16" s="1"/>
  <c r="V1317" i="16"/>
  <c r="AB1317" i="16" s="1"/>
  <c r="V1316" i="16"/>
  <c r="AB1316" i="16" s="1"/>
  <c r="V1315" i="16"/>
  <c r="AB1315" i="16" s="1"/>
  <c r="X1314" i="16"/>
  <c r="AD1314" i="16" s="1"/>
  <c r="W1314" i="16"/>
  <c r="AC1314" i="16" s="1"/>
  <c r="X1313" i="16"/>
  <c r="AD1313" i="16" s="1"/>
  <c r="W1313" i="16"/>
  <c r="AC1313" i="16" s="1"/>
  <c r="X1312" i="16"/>
  <c r="AD1312" i="16" s="1"/>
  <c r="W1312" i="16"/>
  <c r="AC1312" i="16" s="1"/>
  <c r="X1311" i="16"/>
  <c r="AD1311" i="16" s="1"/>
  <c r="W1311" i="16"/>
  <c r="AC1311" i="16" s="1"/>
  <c r="X1310" i="16"/>
  <c r="AD1310" i="16" s="1"/>
  <c r="W1310" i="16"/>
  <c r="AC1310" i="16" s="1"/>
  <c r="X1309" i="16"/>
  <c r="AD1309" i="16" s="1"/>
  <c r="W1309" i="16"/>
  <c r="AC1309" i="16" s="1"/>
  <c r="X1308" i="16"/>
  <c r="AD1308" i="16" s="1"/>
  <c r="W1308" i="16"/>
  <c r="AC1308" i="16" s="1"/>
  <c r="X1307" i="16"/>
  <c r="AD1307" i="16" s="1"/>
  <c r="W1307" i="16"/>
  <c r="AC1307" i="16" s="1"/>
  <c r="X1306" i="16"/>
  <c r="AD1306" i="16" s="1"/>
  <c r="W1306" i="16"/>
  <c r="AC1306" i="16" s="1"/>
  <c r="X1305" i="16"/>
  <c r="AD1305" i="16" s="1"/>
  <c r="W1305" i="16"/>
  <c r="AC1305" i="16" s="1"/>
  <c r="X1304" i="16"/>
  <c r="AD1304" i="16" s="1"/>
  <c r="W1304" i="16"/>
  <c r="AC1304" i="16" s="1"/>
  <c r="X1303" i="16"/>
  <c r="AD1303" i="16" s="1"/>
  <c r="W1303" i="16"/>
  <c r="AC1303" i="16" s="1"/>
  <c r="X1302" i="16"/>
  <c r="AD1302" i="16" s="1"/>
  <c r="W1302" i="16"/>
  <c r="AC1302" i="16" s="1"/>
  <c r="X1301" i="16"/>
  <c r="AD1301" i="16" s="1"/>
  <c r="W1301" i="16"/>
  <c r="AC1301" i="16" s="1"/>
  <c r="X1300" i="16"/>
  <c r="AD1300" i="16" s="1"/>
  <c r="W1300" i="16"/>
  <c r="AC1300" i="16" s="1"/>
  <c r="X1299" i="16"/>
  <c r="AD1299" i="16" s="1"/>
  <c r="W1299" i="16"/>
  <c r="AC1299" i="16" s="1"/>
  <c r="X1298" i="16"/>
  <c r="AD1298" i="16" s="1"/>
  <c r="W1298" i="16"/>
  <c r="AC1298" i="16" s="1"/>
  <c r="X1297" i="16"/>
  <c r="AD1297" i="16" s="1"/>
  <c r="W1297" i="16"/>
  <c r="AC1297" i="16" s="1"/>
  <c r="X1296" i="16"/>
  <c r="AD1296" i="16" s="1"/>
  <c r="W1296" i="16"/>
  <c r="AC1296" i="16" s="1"/>
  <c r="X1295" i="16"/>
  <c r="AD1295" i="16" s="1"/>
  <c r="W1295" i="16"/>
  <c r="AC1295" i="16" s="1"/>
  <c r="X1294" i="16"/>
  <c r="AD1294" i="16" s="1"/>
  <c r="W1294" i="16"/>
  <c r="AC1294" i="16" s="1"/>
  <c r="X1293" i="16"/>
  <c r="AD1293" i="16" s="1"/>
  <c r="W1293" i="16"/>
  <c r="AC1293" i="16" s="1"/>
  <c r="X1292" i="16"/>
  <c r="AD1292" i="16" s="1"/>
  <c r="W1292" i="16"/>
  <c r="AC1292" i="16" s="1"/>
  <c r="X1291" i="16"/>
  <c r="AD1291" i="16" s="1"/>
  <c r="W1291" i="16"/>
  <c r="AC1291" i="16" s="1"/>
  <c r="X1290" i="16"/>
  <c r="AD1290" i="16" s="1"/>
  <c r="W1290" i="16"/>
  <c r="AC1290" i="16" s="1"/>
  <c r="V1289" i="16"/>
  <c r="AB1289" i="16" s="1"/>
  <c r="V1288" i="16"/>
  <c r="AB1288" i="16" s="1"/>
  <c r="V1287" i="16"/>
  <c r="AB1287" i="16" s="1"/>
  <c r="V1286" i="16"/>
  <c r="AB1286" i="16" s="1"/>
  <c r="V1285" i="16"/>
  <c r="AB1285" i="16" s="1"/>
  <c r="V1284" i="16"/>
  <c r="AB1284" i="16" s="1"/>
  <c r="V1283" i="16"/>
  <c r="AB1283" i="16" s="1"/>
  <c r="V1282" i="16"/>
  <c r="AB1282" i="16" s="1"/>
  <c r="V1281" i="16"/>
  <c r="AB1281" i="16" s="1"/>
  <c r="V1280" i="16"/>
  <c r="AB1280" i="16" s="1"/>
  <c r="V1279" i="16"/>
  <c r="AB1279" i="16" s="1"/>
  <c r="V1278" i="16"/>
  <c r="AB1278" i="16" s="1"/>
  <c r="V1277" i="16"/>
  <c r="AB1277" i="16" s="1"/>
  <c r="V1276" i="16"/>
  <c r="AB1276" i="16" s="1"/>
  <c r="V1275" i="16"/>
  <c r="AB1275" i="16" s="1"/>
  <c r="V1274" i="16"/>
  <c r="AB1274" i="16" s="1"/>
  <c r="V1273" i="16"/>
  <c r="AB1273" i="16" s="1"/>
  <c r="V1272" i="16"/>
  <c r="AB1272" i="16" s="1"/>
  <c r="V1271" i="16"/>
  <c r="AB1271" i="16" s="1"/>
  <c r="V1270" i="16"/>
  <c r="AB1270" i="16" s="1"/>
  <c r="V1269" i="16"/>
  <c r="AB1269" i="16" s="1"/>
  <c r="V1268" i="16"/>
  <c r="AB1268" i="16" s="1"/>
  <c r="V1267" i="16"/>
  <c r="AB1267" i="16" s="1"/>
  <c r="V1266" i="16"/>
  <c r="AB1266" i="16" s="1"/>
  <c r="V1265" i="16"/>
  <c r="AB1265" i="16" s="1"/>
  <c r="V1264" i="16"/>
  <c r="AB1264" i="16" s="1"/>
  <c r="V1263" i="16"/>
  <c r="AB1263" i="16" s="1"/>
  <c r="V1262" i="16"/>
  <c r="AB1262" i="16" s="1"/>
  <c r="V1261" i="16"/>
  <c r="AB1261" i="16" s="1"/>
  <c r="V1260" i="16"/>
  <c r="AB1260" i="16" s="1"/>
  <c r="V1259" i="16"/>
  <c r="AB1259" i="16" s="1"/>
  <c r="V1258" i="16"/>
  <c r="AB1258" i="16" s="1"/>
  <c r="V1257" i="16"/>
  <c r="AB1257" i="16" s="1"/>
  <c r="V1256" i="16"/>
  <c r="AB1256" i="16" s="1"/>
  <c r="V1255" i="16"/>
  <c r="AB1255" i="16" s="1"/>
  <c r="V1254" i="16"/>
  <c r="AB1254" i="16" s="1"/>
  <c r="V1253" i="16"/>
  <c r="AB1253" i="16" s="1"/>
  <c r="V1252" i="16"/>
  <c r="AB1252" i="16" s="1"/>
  <c r="V1251" i="16"/>
  <c r="AB1251" i="16" s="1"/>
  <c r="V1250" i="16"/>
  <c r="AB1250" i="16" s="1"/>
  <c r="V1249" i="16"/>
  <c r="AB1249" i="16" s="1"/>
  <c r="V1248" i="16"/>
  <c r="AB1248" i="16" s="1"/>
  <c r="V1247" i="16"/>
  <c r="AB1247" i="16" s="1"/>
  <c r="V1246" i="16"/>
  <c r="AB1246" i="16" s="1"/>
  <c r="V1245" i="16"/>
  <c r="AB1245" i="16" s="1"/>
  <c r="V1244" i="16"/>
  <c r="AB1244" i="16" s="1"/>
  <c r="V1243" i="16"/>
  <c r="AB1243" i="16" s="1"/>
  <c r="V1242" i="16"/>
  <c r="AB1242" i="16" s="1"/>
  <c r="V1241" i="16"/>
  <c r="AB1241" i="16" s="1"/>
  <c r="X1240" i="16"/>
  <c r="AD1240" i="16" s="1"/>
  <c r="W1240" i="16"/>
  <c r="AC1240" i="16" s="1"/>
  <c r="X1239" i="16"/>
  <c r="AD1239" i="16" s="1"/>
  <c r="W1239" i="16"/>
  <c r="AC1239" i="16" s="1"/>
  <c r="X1238" i="16"/>
  <c r="AD1238" i="16" s="1"/>
  <c r="W1238" i="16"/>
  <c r="AC1238" i="16" s="1"/>
  <c r="X1237" i="16"/>
  <c r="AD1237" i="16" s="1"/>
  <c r="W1237" i="16"/>
  <c r="AC1237" i="16" s="1"/>
  <c r="X1236" i="16"/>
  <c r="AD1236" i="16" s="1"/>
  <c r="W1236" i="16"/>
  <c r="AC1236" i="16" s="1"/>
  <c r="X1235" i="16"/>
  <c r="AD1235" i="16" s="1"/>
  <c r="W1235" i="16"/>
  <c r="AC1235" i="16" s="1"/>
  <c r="X1234" i="16"/>
  <c r="AD1234" i="16" s="1"/>
  <c r="W1234" i="16"/>
  <c r="AC1234" i="16" s="1"/>
  <c r="X1233" i="16"/>
  <c r="AD1233" i="16" s="1"/>
  <c r="W1233" i="16"/>
  <c r="AC1233" i="16" s="1"/>
  <c r="X1232" i="16"/>
  <c r="AD1232" i="16" s="1"/>
  <c r="W1232" i="16"/>
  <c r="AC1232" i="16" s="1"/>
  <c r="X1231" i="16"/>
  <c r="AD1231" i="16" s="1"/>
  <c r="W1231" i="16"/>
  <c r="AC1231" i="16" s="1"/>
  <c r="X1230" i="16"/>
  <c r="AD1230" i="16" s="1"/>
  <c r="W1230" i="16"/>
  <c r="AC1230" i="16" s="1"/>
  <c r="X1229" i="16"/>
  <c r="AD1229" i="16" s="1"/>
  <c r="W1229" i="16"/>
  <c r="AC1229" i="16" s="1"/>
  <c r="X1228" i="16"/>
  <c r="AD1228" i="16" s="1"/>
  <c r="W1228" i="16"/>
  <c r="AC1228" i="16" s="1"/>
  <c r="X1227" i="16"/>
  <c r="AD1227" i="16" s="1"/>
  <c r="W1227" i="16"/>
  <c r="AC1227" i="16" s="1"/>
  <c r="X1226" i="16"/>
  <c r="AD1226" i="16" s="1"/>
  <c r="W1226" i="16"/>
  <c r="AC1226" i="16" s="1"/>
  <c r="X1225" i="16"/>
  <c r="AD1225" i="16" s="1"/>
  <c r="W1225" i="16"/>
  <c r="AC1225" i="16" s="1"/>
  <c r="X1224" i="16"/>
  <c r="AD1224" i="16" s="1"/>
  <c r="W1224" i="16"/>
  <c r="AC1224" i="16" s="1"/>
  <c r="X1223" i="16"/>
  <c r="AD1223" i="16" s="1"/>
  <c r="W1223" i="16"/>
  <c r="AC1223" i="16" s="1"/>
  <c r="X1222" i="16"/>
  <c r="AD1222" i="16" s="1"/>
  <c r="W1222" i="16"/>
  <c r="AC1222" i="16" s="1"/>
  <c r="X1221" i="16"/>
  <c r="AD1221" i="16" s="1"/>
  <c r="W1221" i="16"/>
  <c r="AC1221" i="16" s="1"/>
  <c r="X1220" i="16"/>
  <c r="AD1220" i="16" s="1"/>
  <c r="W1220" i="16"/>
  <c r="AC1220" i="16" s="1"/>
  <c r="X1219" i="16"/>
  <c r="AD1219" i="16" s="1"/>
  <c r="W1219" i="16"/>
  <c r="AC1219" i="16" s="1"/>
  <c r="X1218" i="16"/>
  <c r="AD1218" i="16" s="1"/>
  <c r="W1218" i="16"/>
  <c r="AC1218" i="16" s="1"/>
  <c r="X1217" i="16"/>
  <c r="AD1217" i="16" s="1"/>
  <c r="W1217" i="16"/>
  <c r="AC1217" i="16" s="1"/>
  <c r="V1216" i="16"/>
  <c r="AB1216" i="16" s="1"/>
  <c r="V1215" i="16"/>
  <c r="AB1215" i="16" s="1"/>
  <c r="V1214" i="16"/>
  <c r="AB1214" i="16" s="1"/>
  <c r="V1213" i="16"/>
  <c r="AB1213" i="16" s="1"/>
  <c r="V1212" i="16"/>
  <c r="AB1212" i="16" s="1"/>
  <c r="V1211" i="16"/>
  <c r="AB1211" i="16" s="1"/>
  <c r="V1210" i="16"/>
  <c r="AB1210" i="16" s="1"/>
  <c r="V1209" i="16"/>
  <c r="AB1209" i="16" s="1"/>
  <c r="V1208" i="16"/>
  <c r="AB1208" i="16" s="1"/>
  <c r="V1207" i="16"/>
  <c r="AB1207" i="16" s="1"/>
  <c r="V1206" i="16"/>
  <c r="AB1206" i="16" s="1"/>
  <c r="V1205" i="16"/>
  <c r="AB1205" i="16" s="1"/>
  <c r="V1204" i="16"/>
  <c r="AB1204" i="16" s="1"/>
  <c r="V1203" i="16"/>
  <c r="AB1203" i="16" s="1"/>
  <c r="V1202" i="16"/>
  <c r="AB1202" i="16" s="1"/>
  <c r="V1201" i="16"/>
  <c r="AB1201" i="16" s="1"/>
  <c r="V1200" i="16"/>
  <c r="AB1200" i="16" s="1"/>
  <c r="V1199" i="16"/>
  <c r="AB1199" i="16" s="1"/>
  <c r="V1198" i="16"/>
  <c r="AB1198" i="16" s="1"/>
  <c r="V1197" i="16"/>
  <c r="AB1197" i="16" s="1"/>
  <c r="V1196" i="16"/>
  <c r="AB1196" i="16" s="1"/>
  <c r="V1195" i="16"/>
  <c r="AB1195" i="16" s="1"/>
  <c r="V1194" i="16"/>
  <c r="AB1194" i="16" s="1"/>
  <c r="V1193" i="16"/>
  <c r="AB1193" i="16" s="1"/>
  <c r="V1192" i="16"/>
  <c r="AB1192" i="16" s="1"/>
  <c r="V1191" i="16"/>
  <c r="AB1191" i="16" s="1"/>
  <c r="V1190" i="16"/>
  <c r="AB1190" i="16" s="1"/>
  <c r="V1189" i="16"/>
  <c r="AB1189" i="16" s="1"/>
  <c r="V1188" i="16"/>
  <c r="AB1188" i="16" s="1"/>
  <c r="V1187" i="16"/>
  <c r="AB1187" i="16" s="1"/>
  <c r="V1186" i="16"/>
  <c r="AB1186" i="16" s="1"/>
  <c r="V1185" i="16"/>
  <c r="AB1185" i="16" s="1"/>
  <c r="V1184" i="16"/>
  <c r="AB1184" i="16" s="1"/>
  <c r="V1183" i="16"/>
  <c r="AB1183" i="16" s="1"/>
  <c r="V1182" i="16"/>
  <c r="AB1182" i="16" s="1"/>
  <c r="V1181" i="16"/>
  <c r="AB1181" i="16" s="1"/>
  <c r="V1180" i="16"/>
  <c r="AB1180" i="16" s="1"/>
  <c r="V1179" i="16"/>
  <c r="AB1179" i="16" s="1"/>
  <c r="V1178" i="16"/>
  <c r="AB1178" i="16" s="1"/>
  <c r="V1177" i="16"/>
  <c r="AB1177" i="16" s="1"/>
  <c r="V1176" i="16"/>
  <c r="AB1176" i="16" s="1"/>
  <c r="X1175" i="16"/>
  <c r="AD1175" i="16" s="1"/>
  <c r="W1175" i="16"/>
  <c r="AC1175" i="16" s="1"/>
  <c r="X1174" i="16"/>
  <c r="AD1174" i="16" s="1"/>
  <c r="W1174" i="16"/>
  <c r="AC1174" i="16" s="1"/>
  <c r="X1173" i="16"/>
  <c r="AD1173" i="16" s="1"/>
  <c r="W1173" i="16"/>
  <c r="AC1173" i="16" s="1"/>
  <c r="X1172" i="16"/>
  <c r="AD1172" i="16" s="1"/>
  <c r="W1172" i="16"/>
  <c r="AC1172" i="16" s="1"/>
  <c r="X1171" i="16"/>
  <c r="AD1171" i="16" s="1"/>
  <c r="W1171" i="16"/>
  <c r="AC1171" i="16" s="1"/>
  <c r="X1170" i="16"/>
  <c r="AD1170" i="16" s="1"/>
  <c r="W1170" i="16"/>
  <c r="AC1170" i="16" s="1"/>
  <c r="X1169" i="16"/>
  <c r="AD1169" i="16" s="1"/>
  <c r="W1169" i="16"/>
  <c r="AC1169" i="16" s="1"/>
  <c r="X1168" i="16"/>
  <c r="AD1168" i="16" s="1"/>
  <c r="W1168" i="16"/>
  <c r="AC1168" i="16" s="1"/>
  <c r="X1167" i="16"/>
  <c r="AD1167" i="16" s="1"/>
  <c r="W1167" i="16"/>
  <c r="AC1167" i="16" s="1"/>
  <c r="X1166" i="16"/>
  <c r="AD1166" i="16" s="1"/>
  <c r="W1166" i="16"/>
  <c r="AC1166" i="16" s="1"/>
  <c r="X1165" i="16"/>
  <c r="AD1165" i="16" s="1"/>
  <c r="W1165" i="16"/>
  <c r="AC1165" i="16" s="1"/>
  <c r="X1164" i="16"/>
  <c r="AD1164" i="16" s="1"/>
  <c r="W1164" i="16"/>
  <c r="AC1164" i="16" s="1"/>
  <c r="X1163" i="16"/>
  <c r="AD1163" i="16" s="1"/>
  <c r="W1163" i="16"/>
  <c r="AC1163" i="16" s="1"/>
  <c r="X1162" i="16"/>
  <c r="AD1162" i="16" s="1"/>
  <c r="W1162" i="16"/>
  <c r="AC1162" i="16" s="1"/>
  <c r="X1161" i="16"/>
  <c r="AD1161" i="16" s="1"/>
  <c r="W1161" i="16"/>
  <c r="AC1161" i="16" s="1"/>
  <c r="X1160" i="16"/>
  <c r="AD1160" i="16" s="1"/>
  <c r="W1160" i="16"/>
  <c r="AC1160" i="16" s="1"/>
  <c r="X1159" i="16"/>
  <c r="AD1159" i="16" s="1"/>
  <c r="W1159" i="16"/>
  <c r="AC1159" i="16" s="1"/>
  <c r="X1158" i="16"/>
  <c r="AD1158" i="16" s="1"/>
  <c r="W1158" i="16"/>
  <c r="AC1158" i="16" s="1"/>
  <c r="X1157" i="16"/>
  <c r="AD1157" i="16" s="1"/>
  <c r="W1157" i="16"/>
  <c r="AC1157" i="16" s="1"/>
  <c r="X1156" i="16"/>
  <c r="AD1156" i="16" s="1"/>
  <c r="W1156" i="16"/>
  <c r="AC1156" i="16" s="1"/>
  <c r="X1155" i="16"/>
  <c r="AD1155" i="16" s="1"/>
  <c r="W1155" i="16"/>
  <c r="AC1155" i="16" s="1"/>
  <c r="X1154" i="16"/>
  <c r="AD1154" i="16" s="1"/>
  <c r="W1154" i="16"/>
  <c r="AC1154" i="16" s="1"/>
  <c r="X1153" i="16"/>
  <c r="AD1153" i="16" s="1"/>
  <c r="W1153" i="16"/>
  <c r="AC1153" i="16" s="1"/>
  <c r="X1152" i="16"/>
  <c r="AD1152" i="16" s="1"/>
  <c r="W1152" i="16"/>
  <c r="AC1152" i="16" s="1"/>
  <c r="X1151" i="16"/>
  <c r="AD1151" i="16" s="1"/>
  <c r="W1151" i="16"/>
  <c r="AC1151" i="16" s="1"/>
  <c r="X1150" i="16"/>
  <c r="AD1150" i="16" s="1"/>
  <c r="W1150" i="16"/>
  <c r="AC1150" i="16" s="1"/>
  <c r="X1149" i="16"/>
  <c r="AD1149" i="16" s="1"/>
  <c r="W1149" i="16"/>
  <c r="AC1149" i="16" s="1"/>
  <c r="X1148" i="16"/>
  <c r="AD1148" i="16" s="1"/>
  <c r="W1148" i="16"/>
  <c r="AC1148" i="16" s="1"/>
  <c r="X1147" i="16"/>
  <c r="AD1147" i="16" s="1"/>
  <c r="W1147" i="16"/>
  <c r="AC1147" i="16" s="1"/>
  <c r="X1146" i="16"/>
  <c r="AD1146" i="16" s="1"/>
  <c r="W1146" i="16"/>
  <c r="AC1146" i="16" s="1"/>
  <c r="X1145" i="16"/>
  <c r="AD1145" i="16" s="1"/>
  <c r="W1145" i="16"/>
  <c r="AC1145" i="16" s="1"/>
  <c r="V1144" i="16"/>
  <c r="AB1144" i="16" s="1"/>
  <c r="V1143" i="16"/>
  <c r="AB1143" i="16" s="1"/>
  <c r="V1142" i="16"/>
  <c r="AB1142" i="16" s="1"/>
  <c r="V1141" i="16"/>
  <c r="AB1141" i="16" s="1"/>
  <c r="V1140" i="16"/>
  <c r="AB1140" i="16" s="1"/>
  <c r="V1139" i="16"/>
  <c r="AB1139" i="16" s="1"/>
  <c r="V1138" i="16"/>
  <c r="AB1138" i="16" s="1"/>
  <c r="V1137" i="16"/>
  <c r="AB1137" i="16" s="1"/>
  <c r="V1136" i="16"/>
  <c r="AB1136" i="16" s="1"/>
  <c r="V1135" i="16"/>
  <c r="AB1135" i="16" s="1"/>
  <c r="V1134" i="16"/>
  <c r="AB1134" i="16" s="1"/>
  <c r="V1133" i="16"/>
  <c r="AB1133" i="16" s="1"/>
  <c r="V1132" i="16"/>
  <c r="AB1132" i="16" s="1"/>
  <c r="V1131" i="16"/>
  <c r="AB1131" i="16" s="1"/>
  <c r="V1130" i="16"/>
  <c r="AB1130" i="16" s="1"/>
  <c r="V1129" i="16"/>
  <c r="AB1129" i="16" s="1"/>
  <c r="V1128" i="16"/>
  <c r="AB1128" i="16" s="1"/>
  <c r="V1127" i="16"/>
  <c r="AB1127" i="16" s="1"/>
  <c r="X1126" i="16"/>
  <c r="AD1126" i="16" s="1"/>
  <c r="W1126" i="16"/>
  <c r="AC1126" i="16" s="1"/>
  <c r="V1126" i="16"/>
  <c r="AB1126" i="16" s="1"/>
  <c r="X1125" i="16"/>
  <c r="AD1125" i="16" s="1"/>
  <c r="W1125" i="16"/>
  <c r="AC1125" i="16" s="1"/>
  <c r="V1125" i="16"/>
  <c r="AB1125" i="16" s="1"/>
  <c r="X1124" i="16"/>
  <c r="AD1124" i="16" s="1"/>
  <c r="W1124" i="16"/>
  <c r="AC1124" i="16" s="1"/>
  <c r="V1124" i="16"/>
  <c r="AB1124" i="16" s="1"/>
  <c r="X1123" i="16"/>
  <c r="AD1123" i="16" s="1"/>
  <c r="W1123" i="16"/>
  <c r="AC1123" i="16" s="1"/>
  <c r="V1123" i="16"/>
  <c r="AB1123" i="16" s="1"/>
  <c r="X1122" i="16"/>
  <c r="AD1122" i="16" s="1"/>
  <c r="W1122" i="16"/>
  <c r="AC1122" i="16" s="1"/>
  <c r="V1122" i="16"/>
  <c r="AB1122" i="16" s="1"/>
  <c r="X1121" i="16"/>
  <c r="AD1121" i="16" s="1"/>
  <c r="W1121" i="16"/>
  <c r="AC1121" i="16" s="1"/>
  <c r="V1121" i="16"/>
  <c r="AB1121" i="16" s="1"/>
  <c r="X1120" i="16"/>
  <c r="AD1120" i="16" s="1"/>
  <c r="W1120" i="16"/>
  <c r="AC1120" i="16" s="1"/>
  <c r="V1120" i="16"/>
  <c r="AB1120" i="16" s="1"/>
  <c r="X1119" i="16"/>
  <c r="AD1119" i="16" s="1"/>
  <c r="W1119" i="16"/>
  <c r="AC1119" i="16" s="1"/>
  <c r="V1119" i="16"/>
  <c r="AB1119" i="16" s="1"/>
  <c r="X1118" i="16"/>
  <c r="AD1118" i="16" s="1"/>
  <c r="W1118" i="16"/>
  <c r="AC1118" i="16" s="1"/>
  <c r="V1118" i="16"/>
  <c r="AB1118" i="16" s="1"/>
  <c r="X1117" i="16"/>
  <c r="AD1117" i="16" s="1"/>
  <c r="W1117" i="16"/>
  <c r="AC1117" i="16" s="1"/>
  <c r="V1117" i="16"/>
  <c r="AB1117" i="16" s="1"/>
  <c r="X1116" i="16"/>
  <c r="AD1116" i="16" s="1"/>
  <c r="W1116" i="16"/>
  <c r="AC1116" i="16" s="1"/>
  <c r="V1116" i="16"/>
  <c r="AB1116" i="16" s="1"/>
  <c r="X1115" i="16"/>
  <c r="AD1115" i="16" s="1"/>
  <c r="W1115" i="16"/>
  <c r="AC1115" i="16" s="1"/>
  <c r="V1115" i="16"/>
  <c r="AB1115" i="16" s="1"/>
  <c r="X1114" i="16"/>
  <c r="AD1114" i="16" s="1"/>
  <c r="W1114" i="16"/>
  <c r="AC1114" i="16" s="1"/>
  <c r="V1114" i="16"/>
  <c r="AB1114" i="16" s="1"/>
  <c r="X1113" i="16"/>
  <c r="AD1113" i="16" s="1"/>
  <c r="W1113" i="16"/>
  <c r="AC1113" i="16" s="1"/>
  <c r="V1113" i="16"/>
  <c r="AB1113" i="16" s="1"/>
  <c r="X1112" i="16"/>
  <c r="AD1112" i="16" s="1"/>
  <c r="W1112" i="16"/>
  <c r="AC1112" i="16" s="1"/>
  <c r="V1112" i="16"/>
  <c r="AB1112" i="16" s="1"/>
  <c r="X1111" i="16"/>
  <c r="AD1111" i="16" s="1"/>
  <c r="W1111" i="16"/>
  <c r="AC1111" i="16" s="1"/>
  <c r="V1111" i="16"/>
  <c r="AB1111" i="16" s="1"/>
  <c r="X1110" i="16"/>
  <c r="AD1110" i="16" s="1"/>
  <c r="W1110" i="16"/>
  <c r="AC1110" i="16" s="1"/>
  <c r="V1110" i="16"/>
  <c r="AB1110" i="16" s="1"/>
  <c r="X1109" i="16"/>
  <c r="AD1109" i="16" s="1"/>
  <c r="W1109" i="16"/>
  <c r="AC1109" i="16" s="1"/>
  <c r="V1109" i="16"/>
  <c r="AB1109" i="16" s="1"/>
  <c r="X1108" i="16"/>
  <c r="AD1108" i="16" s="1"/>
  <c r="W1108" i="16"/>
  <c r="AC1108" i="16" s="1"/>
  <c r="V1108" i="16"/>
  <c r="AB1108" i="16" s="1"/>
  <c r="X1107" i="16"/>
  <c r="AD1107" i="16" s="1"/>
  <c r="W1107" i="16"/>
  <c r="AC1107" i="16" s="1"/>
  <c r="V1107" i="16"/>
  <c r="AB1107" i="16" s="1"/>
  <c r="X1106" i="16"/>
  <c r="AD1106" i="16" s="1"/>
  <c r="W1106" i="16"/>
  <c r="AC1106" i="16" s="1"/>
  <c r="V1106" i="16"/>
  <c r="AB1106" i="16" s="1"/>
  <c r="X1105" i="16"/>
  <c r="AD1105" i="16" s="1"/>
  <c r="W1105" i="16"/>
  <c r="AC1105" i="16" s="1"/>
  <c r="V1105" i="16"/>
  <c r="AB1105" i="16" s="1"/>
  <c r="X1104" i="16"/>
  <c r="AD1104" i="16" s="1"/>
  <c r="W1104" i="16"/>
  <c r="AC1104" i="16" s="1"/>
  <c r="V1104" i="16"/>
  <c r="AB1104" i="16" s="1"/>
  <c r="X1103" i="16"/>
  <c r="AD1103" i="16" s="1"/>
  <c r="W1103" i="16"/>
  <c r="AC1103" i="16" s="1"/>
  <c r="V1103" i="16"/>
  <c r="AB1103" i="16" s="1"/>
  <c r="X1102" i="16"/>
  <c r="AD1102" i="16" s="1"/>
  <c r="W1102" i="16"/>
  <c r="AC1102" i="16" s="1"/>
  <c r="V1102" i="16"/>
  <c r="AB1102" i="16" s="1"/>
  <c r="X1101" i="16"/>
  <c r="AD1101" i="16" s="1"/>
  <c r="W1101" i="16"/>
  <c r="AC1101" i="16" s="1"/>
  <c r="V1101" i="16"/>
  <c r="AB1101" i="16" s="1"/>
  <c r="X1100" i="16"/>
  <c r="AD1100" i="16" s="1"/>
  <c r="W1100" i="16"/>
  <c r="AC1100" i="16" s="1"/>
  <c r="V1100" i="16"/>
  <c r="AB1100" i="16" s="1"/>
  <c r="X1099" i="16"/>
  <c r="AD1099" i="16" s="1"/>
  <c r="W1099" i="16"/>
  <c r="AC1099" i="16" s="1"/>
  <c r="V1099" i="16"/>
  <c r="AB1099" i="16" s="1"/>
  <c r="X1098" i="16"/>
  <c r="AD1098" i="16" s="1"/>
  <c r="W1098" i="16"/>
  <c r="AC1098" i="16" s="1"/>
  <c r="V1098" i="16"/>
  <c r="AB1098" i="16" s="1"/>
  <c r="X1097" i="16"/>
  <c r="AD1097" i="16" s="1"/>
  <c r="W1097" i="16"/>
  <c r="AC1097" i="16" s="1"/>
  <c r="V1097" i="16"/>
  <c r="AB1097" i="16" s="1"/>
  <c r="X1096" i="16"/>
  <c r="AD1096" i="16" s="1"/>
  <c r="W1096" i="16"/>
  <c r="AC1096" i="16" s="1"/>
  <c r="V1096" i="16"/>
  <c r="AB1096" i="16" s="1"/>
  <c r="X1095" i="16"/>
  <c r="AD1095" i="16" s="1"/>
  <c r="W1095" i="16"/>
  <c r="AC1095" i="16" s="1"/>
  <c r="V1095" i="16"/>
  <c r="AB1095" i="16" s="1"/>
  <c r="X1094" i="16"/>
  <c r="AD1094" i="16" s="1"/>
  <c r="W1094" i="16"/>
  <c r="AC1094" i="16" s="1"/>
  <c r="V1094" i="16"/>
  <c r="AB1094" i="16" s="1"/>
  <c r="X1093" i="16"/>
  <c r="AD1093" i="16" s="1"/>
  <c r="W1093" i="16"/>
  <c r="AC1093" i="16" s="1"/>
  <c r="V1093" i="16"/>
  <c r="AB1093" i="16" s="1"/>
  <c r="X1092" i="16"/>
  <c r="AD1092" i="16" s="1"/>
  <c r="W1092" i="16"/>
  <c r="AC1092" i="16" s="1"/>
  <c r="V1092" i="16"/>
  <c r="AB1092" i="16" s="1"/>
  <c r="X1091" i="16"/>
  <c r="AD1091" i="16" s="1"/>
  <c r="W1091" i="16"/>
  <c r="AC1091" i="16" s="1"/>
  <c r="V1091" i="16"/>
  <c r="AB1091" i="16" s="1"/>
  <c r="X1090" i="16"/>
  <c r="AD1090" i="16" s="1"/>
  <c r="W1090" i="16"/>
  <c r="AC1090" i="16" s="1"/>
  <c r="V1090" i="16"/>
  <c r="AB1090" i="16" s="1"/>
  <c r="X1089" i="16"/>
  <c r="AD1089" i="16" s="1"/>
  <c r="W1089" i="16"/>
  <c r="AC1089" i="16" s="1"/>
  <c r="V1089" i="16"/>
  <c r="AB1089" i="16" s="1"/>
  <c r="X1088" i="16"/>
  <c r="AD1088" i="16" s="1"/>
  <c r="W1088" i="16"/>
  <c r="AC1088" i="16" s="1"/>
  <c r="V1088" i="16"/>
  <c r="AB1088" i="16" s="1"/>
  <c r="X1087" i="16"/>
  <c r="AD1087" i="16" s="1"/>
  <c r="W1087" i="16"/>
  <c r="AC1087" i="16" s="1"/>
  <c r="V1087" i="16"/>
  <c r="AB1087" i="16" s="1"/>
  <c r="X1086" i="16"/>
  <c r="AD1086" i="16" s="1"/>
  <c r="W1086" i="16"/>
  <c r="AC1086" i="16" s="1"/>
  <c r="V1086" i="16"/>
  <c r="AB1086" i="16" s="1"/>
  <c r="X1085" i="16"/>
  <c r="AD1085" i="16" s="1"/>
  <c r="W1085" i="16"/>
  <c r="AC1085" i="16" s="1"/>
  <c r="V1085" i="16"/>
  <c r="AB1085" i="16" s="1"/>
  <c r="X1084" i="16"/>
  <c r="AD1084" i="16" s="1"/>
  <c r="W1084" i="16"/>
  <c r="AC1084" i="16" s="1"/>
  <c r="V1084" i="16"/>
  <c r="AB1084" i="16" s="1"/>
  <c r="X1083" i="16"/>
  <c r="AD1083" i="16" s="1"/>
  <c r="W1083" i="16"/>
  <c r="AC1083" i="16" s="1"/>
  <c r="V1083" i="16"/>
  <c r="AB1083" i="16" s="1"/>
  <c r="X1082" i="16"/>
  <c r="AD1082" i="16" s="1"/>
  <c r="W1082" i="16"/>
  <c r="AC1082" i="16" s="1"/>
  <c r="V1082" i="16"/>
  <c r="AB1082" i="16" s="1"/>
  <c r="X1081" i="16"/>
  <c r="AD1081" i="16" s="1"/>
  <c r="W1081" i="16"/>
  <c r="AC1081" i="16" s="1"/>
  <c r="V1081" i="16"/>
  <c r="AB1081" i="16" s="1"/>
  <c r="X1080" i="16"/>
  <c r="AD1080" i="16" s="1"/>
  <c r="W1080" i="16"/>
  <c r="AC1080" i="16" s="1"/>
  <c r="V1080" i="16"/>
  <c r="AB1080" i="16" s="1"/>
  <c r="X1079" i="16"/>
  <c r="AD1079" i="16" s="1"/>
  <c r="W1079" i="16"/>
  <c r="AC1079" i="16" s="1"/>
  <c r="V1079" i="16"/>
  <c r="AB1079" i="16" s="1"/>
  <c r="X1078" i="16"/>
  <c r="AD1078" i="16" s="1"/>
  <c r="W1078" i="16"/>
  <c r="AC1078" i="16" s="1"/>
  <c r="V1078" i="16"/>
  <c r="AB1078" i="16" s="1"/>
  <c r="X1077" i="16"/>
  <c r="AD1077" i="16" s="1"/>
  <c r="W1077" i="16"/>
  <c r="AC1077" i="16" s="1"/>
  <c r="V1077" i="16"/>
  <c r="AB1077" i="16" s="1"/>
  <c r="X1076" i="16"/>
  <c r="AD1076" i="16" s="1"/>
  <c r="W1076" i="16"/>
  <c r="AC1076" i="16" s="1"/>
  <c r="V1076" i="16"/>
  <c r="AB1076" i="16" s="1"/>
  <c r="X1075" i="16"/>
  <c r="AD1075" i="16" s="1"/>
  <c r="W1075" i="16"/>
  <c r="AC1075" i="16" s="1"/>
  <c r="V1075" i="16"/>
  <c r="AB1075" i="16" s="1"/>
  <c r="X1074" i="16"/>
  <c r="AD1074" i="16" s="1"/>
  <c r="W1074" i="16"/>
  <c r="AC1074" i="16" s="1"/>
  <c r="V1074" i="16"/>
  <c r="AB1074" i="16" s="1"/>
  <c r="X1073" i="16"/>
  <c r="AD1073" i="16" s="1"/>
  <c r="W1073" i="16"/>
  <c r="AC1073" i="16" s="1"/>
  <c r="V1073" i="16"/>
  <c r="AB1073" i="16" s="1"/>
  <c r="X1072" i="16"/>
  <c r="AD1072" i="16" s="1"/>
  <c r="W1072" i="16"/>
  <c r="AC1072" i="16" s="1"/>
  <c r="V1072" i="16"/>
  <c r="AB1072" i="16" s="1"/>
  <c r="X1071" i="16"/>
  <c r="AD1071" i="16" s="1"/>
  <c r="W1071" i="16"/>
  <c r="AC1071" i="16" s="1"/>
  <c r="V1071" i="16"/>
  <c r="AB1071" i="16" s="1"/>
  <c r="X1070" i="16"/>
  <c r="AD1070" i="16" s="1"/>
  <c r="W1070" i="16"/>
  <c r="AC1070" i="16" s="1"/>
  <c r="V1070" i="16"/>
  <c r="AB1070" i="16" s="1"/>
  <c r="X1069" i="16"/>
  <c r="AD1069" i="16" s="1"/>
  <c r="W1069" i="16"/>
  <c r="AC1069" i="16" s="1"/>
  <c r="V1069" i="16"/>
  <c r="AB1069" i="16" s="1"/>
  <c r="X1068" i="16"/>
  <c r="AD1068" i="16" s="1"/>
  <c r="W1068" i="16"/>
  <c r="AC1068" i="16" s="1"/>
  <c r="V1068" i="16"/>
  <c r="AB1068" i="16" s="1"/>
  <c r="X1067" i="16"/>
  <c r="AD1067" i="16" s="1"/>
  <c r="W1067" i="16"/>
  <c r="AC1067" i="16" s="1"/>
  <c r="V1067" i="16"/>
  <c r="AB1067" i="16" s="1"/>
  <c r="X1066" i="16"/>
  <c r="AD1066" i="16" s="1"/>
  <c r="W1066" i="16"/>
  <c r="AC1066" i="16" s="1"/>
  <c r="V1066" i="16"/>
  <c r="AB1066" i="16" s="1"/>
  <c r="X1065" i="16"/>
  <c r="AD1065" i="16" s="1"/>
  <c r="W1065" i="16"/>
  <c r="AC1065" i="16" s="1"/>
  <c r="V1065" i="16"/>
  <c r="AB1065" i="16" s="1"/>
  <c r="X1064" i="16"/>
  <c r="AD1064" i="16" s="1"/>
  <c r="W1064" i="16"/>
  <c r="AC1064" i="16" s="1"/>
  <c r="V1064" i="16"/>
  <c r="AB1064" i="16" s="1"/>
  <c r="X1063" i="16"/>
  <c r="AD1063" i="16" s="1"/>
  <c r="W1063" i="16"/>
  <c r="AC1063" i="16" s="1"/>
  <c r="V1063" i="16"/>
  <c r="AB1063" i="16" s="1"/>
  <c r="X1062" i="16"/>
  <c r="AD1062" i="16" s="1"/>
  <c r="W1062" i="16"/>
  <c r="AC1062" i="16" s="1"/>
  <c r="V1062" i="16"/>
  <c r="AB1062" i="16" s="1"/>
  <c r="X1061" i="16"/>
  <c r="AD1061" i="16" s="1"/>
  <c r="W1061" i="16"/>
  <c r="AC1061" i="16" s="1"/>
  <c r="V1061" i="16"/>
  <c r="AB1061" i="16" s="1"/>
  <c r="X1060" i="16"/>
  <c r="AD1060" i="16" s="1"/>
  <c r="W1060" i="16"/>
  <c r="AC1060" i="16" s="1"/>
  <c r="V1060" i="16"/>
  <c r="AB1060" i="16" s="1"/>
  <c r="X1059" i="16"/>
  <c r="AD1059" i="16" s="1"/>
  <c r="W1059" i="16"/>
  <c r="AC1059" i="16" s="1"/>
  <c r="V1059" i="16"/>
  <c r="AB1059" i="16" s="1"/>
  <c r="X1058" i="16"/>
  <c r="AD1058" i="16" s="1"/>
  <c r="W1058" i="16"/>
  <c r="AC1058" i="16" s="1"/>
  <c r="V1058" i="16"/>
  <c r="AB1058" i="16" s="1"/>
  <c r="X1057" i="16"/>
  <c r="AD1057" i="16" s="1"/>
  <c r="W1057" i="16"/>
  <c r="AC1057" i="16" s="1"/>
  <c r="V1057" i="16"/>
  <c r="AB1057" i="16" s="1"/>
  <c r="X1056" i="16"/>
  <c r="AD1056" i="16" s="1"/>
  <c r="W1056" i="16"/>
  <c r="AC1056" i="16" s="1"/>
  <c r="V1056" i="16"/>
  <c r="AB1056" i="16" s="1"/>
  <c r="X1055" i="16"/>
  <c r="AD1055" i="16" s="1"/>
  <c r="W1055" i="16"/>
  <c r="AC1055" i="16" s="1"/>
  <c r="V1055" i="16"/>
  <c r="AB1055" i="16" s="1"/>
  <c r="X1054" i="16"/>
  <c r="AD1054" i="16" s="1"/>
  <c r="W1054" i="16"/>
  <c r="AC1054" i="16" s="1"/>
  <c r="V1054" i="16"/>
  <c r="AB1054" i="16" s="1"/>
  <c r="X1053" i="16"/>
  <c r="AD1053" i="16" s="1"/>
  <c r="W1053" i="16"/>
  <c r="AC1053" i="16" s="1"/>
  <c r="V1053" i="16"/>
  <c r="AB1053" i="16" s="1"/>
  <c r="X1052" i="16"/>
  <c r="AD1052" i="16" s="1"/>
  <c r="W1052" i="16"/>
  <c r="AC1052" i="16" s="1"/>
  <c r="V1052" i="16"/>
  <c r="AB1052" i="16" s="1"/>
  <c r="X1051" i="16"/>
  <c r="AD1051" i="16" s="1"/>
  <c r="W1051" i="16"/>
  <c r="AC1051" i="16" s="1"/>
  <c r="V1051" i="16"/>
  <c r="AB1051" i="16" s="1"/>
  <c r="X1050" i="16"/>
  <c r="AD1050" i="16" s="1"/>
  <c r="W1050" i="16"/>
  <c r="AC1050" i="16" s="1"/>
  <c r="V1050" i="16"/>
  <c r="AB1050" i="16" s="1"/>
  <c r="X1049" i="16"/>
  <c r="AD1049" i="16" s="1"/>
  <c r="W1049" i="16"/>
  <c r="AC1049" i="16" s="1"/>
  <c r="V1049" i="16"/>
  <c r="AB1049" i="16" s="1"/>
  <c r="X1048" i="16"/>
  <c r="AD1048" i="16" s="1"/>
  <c r="W1048" i="16"/>
  <c r="AC1048" i="16" s="1"/>
  <c r="V1048" i="16"/>
  <c r="AB1048" i="16" s="1"/>
  <c r="X1047" i="16"/>
  <c r="AD1047" i="16" s="1"/>
  <c r="W1047" i="16"/>
  <c r="AC1047" i="16" s="1"/>
  <c r="V1047" i="16"/>
  <c r="AB1047" i="16" s="1"/>
  <c r="X1046" i="16"/>
  <c r="AD1046" i="16" s="1"/>
  <c r="W1046" i="16"/>
  <c r="AC1046" i="16" s="1"/>
  <c r="V1046" i="16"/>
  <c r="AB1046" i="16" s="1"/>
  <c r="X1045" i="16"/>
  <c r="AD1045" i="16" s="1"/>
  <c r="W1045" i="16"/>
  <c r="AC1045" i="16" s="1"/>
  <c r="V1045" i="16"/>
  <c r="AB1045" i="16" s="1"/>
  <c r="X1044" i="16"/>
  <c r="AD1044" i="16" s="1"/>
  <c r="W1044" i="16"/>
  <c r="AC1044" i="16" s="1"/>
  <c r="V1044" i="16"/>
  <c r="AB1044" i="16" s="1"/>
  <c r="X1043" i="16"/>
  <c r="AD1043" i="16" s="1"/>
  <c r="W1043" i="16"/>
  <c r="AC1043" i="16" s="1"/>
  <c r="V1043" i="16"/>
  <c r="AB1043" i="16" s="1"/>
  <c r="X1042" i="16"/>
  <c r="AD1042" i="16" s="1"/>
  <c r="W1042" i="16"/>
  <c r="AC1042" i="16" s="1"/>
  <c r="V1042" i="16"/>
  <c r="AB1042" i="16" s="1"/>
  <c r="X1041" i="16"/>
  <c r="AD1041" i="16" s="1"/>
  <c r="W1041" i="16"/>
  <c r="AC1041" i="16" s="1"/>
  <c r="V1041" i="16"/>
  <c r="AB1041" i="16" s="1"/>
  <c r="X1040" i="16"/>
  <c r="AD1040" i="16" s="1"/>
  <c r="W1040" i="16"/>
  <c r="AC1040" i="16" s="1"/>
  <c r="V1040" i="16"/>
  <c r="AB1040" i="16" s="1"/>
  <c r="X1039" i="16"/>
  <c r="AD1039" i="16" s="1"/>
  <c r="W1039" i="16"/>
  <c r="AC1039" i="16" s="1"/>
  <c r="V1039" i="16"/>
  <c r="AB1039" i="16" s="1"/>
  <c r="X1038" i="16"/>
  <c r="AD1038" i="16" s="1"/>
  <c r="W1038" i="16"/>
  <c r="AC1038" i="16" s="1"/>
  <c r="V1038" i="16"/>
  <c r="AB1038" i="16" s="1"/>
  <c r="X1037" i="16"/>
  <c r="AD1037" i="16" s="1"/>
  <c r="W1037" i="16"/>
  <c r="AC1037" i="16" s="1"/>
  <c r="V1037" i="16"/>
  <c r="AB1037" i="16" s="1"/>
  <c r="X1036" i="16"/>
  <c r="AD1036" i="16" s="1"/>
  <c r="W1036" i="16"/>
  <c r="AC1036" i="16" s="1"/>
  <c r="V1036" i="16"/>
  <c r="AB1036" i="16" s="1"/>
  <c r="X1035" i="16"/>
  <c r="AD1035" i="16" s="1"/>
  <c r="W1035" i="16"/>
  <c r="AC1035" i="16" s="1"/>
  <c r="V1035" i="16"/>
  <c r="AB1035" i="16" s="1"/>
  <c r="X1034" i="16"/>
  <c r="AD1034" i="16" s="1"/>
  <c r="W1034" i="16"/>
  <c r="AC1034" i="16" s="1"/>
  <c r="V1034" i="16"/>
  <c r="AB1034" i="16" s="1"/>
  <c r="X1033" i="16"/>
  <c r="AD1033" i="16" s="1"/>
  <c r="W1033" i="16"/>
  <c r="AC1033" i="16" s="1"/>
  <c r="V1033" i="16"/>
  <c r="AB1033" i="16" s="1"/>
  <c r="X1032" i="16"/>
  <c r="AD1032" i="16" s="1"/>
  <c r="W1032" i="16"/>
  <c r="AC1032" i="16" s="1"/>
  <c r="V1032" i="16"/>
  <c r="AB1032" i="16" s="1"/>
  <c r="X1031" i="16"/>
  <c r="AD1031" i="16" s="1"/>
  <c r="W1031" i="16"/>
  <c r="AC1031" i="16" s="1"/>
  <c r="V1031" i="16"/>
  <c r="AB1031" i="16" s="1"/>
  <c r="X1030" i="16"/>
  <c r="AD1030" i="16" s="1"/>
  <c r="W1030" i="16"/>
  <c r="AC1030" i="16" s="1"/>
  <c r="V1030" i="16"/>
  <c r="AB1030" i="16" s="1"/>
  <c r="X1029" i="16"/>
  <c r="AD1029" i="16" s="1"/>
  <c r="W1029" i="16"/>
  <c r="AC1029" i="16" s="1"/>
  <c r="V1029" i="16"/>
  <c r="AB1029" i="16" s="1"/>
  <c r="X1028" i="16"/>
  <c r="AD1028" i="16" s="1"/>
  <c r="W1028" i="16"/>
  <c r="AC1028" i="16" s="1"/>
  <c r="V1028" i="16"/>
  <c r="AB1028" i="16" s="1"/>
  <c r="X1027" i="16"/>
  <c r="AD1027" i="16" s="1"/>
  <c r="W1027" i="16"/>
  <c r="AC1027" i="16" s="1"/>
  <c r="V1027" i="16"/>
  <c r="AB1027" i="16" s="1"/>
  <c r="X1026" i="16"/>
  <c r="AD1026" i="16" s="1"/>
  <c r="W1026" i="16"/>
  <c r="AC1026" i="16" s="1"/>
  <c r="V1026" i="16"/>
  <c r="AB1026" i="16" s="1"/>
  <c r="X1025" i="16"/>
  <c r="AD1025" i="16" s="1"/>
  <c r="W1025" i="16"/>
  <c r="AC1025" i="16" s="1"/>
  <c r="V1025" i="16"/>
  <c r="AB1025" i="16" s="1"/>
  <c r="X1024" i="16"/>
  <c r="AD1024" i="16" s="1"/>
  <c r="W1024" i="16"/>
  <c r="AC1024" i="16" s="1"/>
  <c r="V1024" i="16"/>
  <c r="AB1024" i="16" s="1"/>
  <c r="X1023" i="16"/>
  <c r="AD1023" i="16" s="1"/>
  <c r="W1023" i="16"/>
  <c r="AC1023" i="16" s="1"/>
  <c r="V1023" i="16"/>
  <c r="AB1023" i="16" s="1"/>
  <c r="X1022" i="16"/>
  <c r="AD1022" i="16" s="1"/>
  <c r="W1022" i="16"/>
  <c r="AC1022" i="16" s="1"/>
  <c r="V1022" i="16"/>
  <c r="AB1022" i="16" s="1"/>
  <c r="X1021" i="16"/>
  <c r="AD1021" i="16" s="1"/>
  <c r="W1021" i="16"/>
  <c r="AC1021" i="16" s="1"/>
  <c r="V1021" i="16"/>
  <c r="AB1021" i="16" s="1"/>
  <c r="X1020" i="16"/>
  <c r="AD1020" i="16" s="1"/>
  <c r="W1020" i="16"/>
  <c r="AC1020" i="16" s="1"/>
  <c r="V1020" i="16"/>
  <c r="AB1020" i="16" s="1"/>
  <c r="X1019" i="16"/>
  <c r="AD1019" i="16" s="1"/>
  <c r="W1019" i="16"/>
  <c r="AC1019" i="16" s="1"/>
  <c r="V1019" i="16"/>
  <c r="AB1019" i="16" s="1"/>
  <c r="X1018" i="16"/>
  <c r="AD1018" i="16" s="1"/>
  <c r="W1018" i="16"/>
  <c r="AC1018" i="16" s="1"/>
  <c r="V1018" i="16"/>
  <c r="AB1018" i="16" s="1"/>
  <c r="X1017" i="16"/>
  <c r="AD1017" i="16" s="1"/>
  <c r="W1017" i="16"/>
  <c r="AC1017" i="16" s="1"/>
  <c r="V1017" i="16"/>
  <c r="AB1017" i="16" s="1"/>
  <c r="X1016" i="16"/>
  <c r="AD1016" i="16" s="1"/>
  <c r="W1016" i="16"/>
  <c r="AC1016" i="16" s="1"/>
  <c r="V1016" i="16"/>
  <c r="AB1016" i="16" s="1"/>
  <c r="X1015" i="16"/>
  <c r="AD1015" i="16" s="1"/>
  <c r="W1015" i="16"/>
  <c r="AC1015" i="16" s="1"/>
  <c r="V1015" i="16"/>
  <c r="AB1015" i="16" s="1"/>
  <c r="X1014" i="16"/>
  <c r="AD1014" i="16" s="1"/>
  <c r="W1014" i="16"/>
  <c r="AC1014" i="16" s="1"/>
  <c r="V1014" i="16"/>
  <c r="AB1014" i="16" s="1"/>
  <c r="X1013" i="16"/>
  <c r="AD1013" i="16" s="1"/>
  <c r="W1013" i="16"/>
  <c r="AC1013" i="16" s="1"/>
  <c r="V1013" i="16"/>
  <c r="AB1013" i="16" s="1"/>
  <c r="X1012" i="16"/>
  <c r="AD1012" i="16" s="1"/>
  <c r="W1012" i="16"/>
  <c r="AC1012" i="16" s="1"/>
  <c r="V1012" i="16"/>
  <c r="AB1012" i="16" s="1"/>
  <c r="X1011" i="16"/>
  <c r="AD1011" i="16" s="1"/>
  <c r="W1011" i="16"/>
  <c r="AC1011" i="16" s="1"/>
  <c r="V1011" i="16"/>
  <c r="AB1011" i="16" s="1"/>
  <c r="X1010" i="16"/>
  <c r="AD1010" i="16" s="1"/>
  <c r="W1010" i="16"/>
  <c r="AC1010" i="16" s="1"/>
  <c r="V1010" i="16"/>
  <c r="AB1010" i="16" s="1"/>
  <c r="X1009" i="16"/>
  <c r="AD1009" i="16" s="1"/>
  <c r="W1009" i="16"/>
  <c r="AC1009" i="16" s="1"/>
  <c r="V1009" i="16"/>
  <c r="AB1009" i="16" s="1"/>
  <c r="X1008" i="16"/>
  <c r="AD1008" i="16" s="1"/>
  <c r="W1008" i="16"/>
  <c r="AC1008" i="16" s="1"/>
  <c r="V1008" i="16"/>
  <c r="AB1008" i="16" s="1"/>
  <c r="X1007" i="16"/>
  <c r="AD1007" i="16" s="1"/>
  <c r="W1007" i="16"/>
  <c r="AC1007" i="16" s="1"/>
  <c r="V1007" i="16"/>
  <c r="AB1007" i="16" s="1"/>
  <c r="X1006" i="16"/>
  <c r="AD1006" i="16" s="1"/>
  <c r="W1006" i="16"/>
  <c r="AC1006" i="16" s="1"/>
  <c r="V1006" i="16"/>
  <c r="AB1006" i="16" s="1"/>
  <c r="X1005" i="16"/>
  <c r="AD1005" i="16" s="1"/>
  <c r="W1005" i="16"/>
  <c r="AC1005" i="16" s="1"/>
  <c r="V1005" i="16"/>
  <c r="AB1005" i="16" s="1"/>
  <c r="X1004" i="16"/>
  <c r="AD1004" i="16" s="1"/>
  <c r="W1004" i="16"/>
  <c r="AC1004" i="16" s="1"/>
  <c r="V1004" i="16"/>
  <c r="AB1004" i="16" s="1"/>
  <c r="X1003" i="16"/>
  <c r="AD1003" i="16" s="1"/>
  <c r="W1003" i="16"/>
  <c r="AC1003" i="16" s="1"/>
  <c r="V1003" i="16"/>
  <c r="AB1003" i="16" s="1"/>
  <c r="X1002" i="16"/>
  <c r="AD1002" i="16" s="1"/>
  <c r="W1002" i="16"/>
  <c r="AC1002" i="16" s="1"/>
  <c r="V1002" i="16"/>
  <c r="AB1002" i="16" s="1"/>
  <c r="X1001" i="16"/>
  <c r="AD1001" i="16" s="1"/>
  <c r="W1001" i="16"/>
  <c r="AC1001" i="16" s="1"/>
  <c r="V1001" i="16"/>
  <c r="AB1001" i="16" s="1"/>
  <c r="X1000" i="16"/>
  <c r="AD1000" i="16" s="1"/>
  <c r="W1000" i="16"/>
  <c r="AC1000" i="16" s="1"/>
  <c r="V1000" i="16"/>
  <c r="AB1000" i="16" s="1"/>
  <c r="X999" i="16"/>
  <c r="AD999" i="16" s="1"/>
  <c r="W999" i="16"/>
  <c r="AC999" i="16" s="1"/>
  <c r="V999" i="16"/>
  <c r="AB999" i="16" s="1"/>
  <c r="X998" i="16"/>
  <c r="AD998" i="16" s="1"/>
  <c r="W998" i="16"/>
  <c r="AC998" i="16" s="1"/>
  <c r="V998" i="16"/>
  <c r="AB998" i="16" s="1"/>
  <c r="X997" i="16"/>
  <c r="AD997" i="16" s="1"/>
  <c r="W997" i="16"/>
  <c r="AC997" i="16" s="1"/>
  <c r="V997" i="16"/>
  <c r="AB997" i="16" s="1"/>
  <c r="X996" i="16"/>
  <c r="AD996" i="16" s="1"/>
  <c r="W996" i="16"/>
  <c r="AC996" i="16" s="1"/>
  <c r="V996" i="16"/>
  <c r="AB996" i="16" s="1"/>
  <c r="X995" i="16"/>
  <c r="AD995" i="16" s="1"/>
  <c r="W995" i="16"/>
  <c r="AC995" i="16" s="1"/>
  <c r="V995" i="16"/>
  <c r="AB995" i="16" s="1"/>
  <c r="X994" i="16"/>
  <c r="AD994" i="16" s="1"/>
  <c r="W994" i="16"/>
  <c r="AC994" i="16" s="1"/>
  <c r="V994" i="16"/>
  <c r="AB994" i="16" s="1"/>
  <c r="X993" i="16"/>
  <c r="AD993" i="16" s="1"/>
  <c r="W993" i="16"/>
  <c r="AC993" i="16" s="1"/>
  <c r="V993" i="16"/>
  <c r="AB993" i="16" s="1"/>
  <c r="X992" i="16"/>
  <c r="AD992" i="16" s="1"/>
  <c r="W992" i="16"/>
  <c r="AC992" i="16" s="1"/>
  <c r="V992" i="16"/>
  <c r="AB992" i="16" s="1"/>
  <c r="X991" i="16"/>
  <c r="AD991" i="16" s="1"/>
  <c r="W991" i="16"/>
  <c r="AC991" i="16" s="1"/>
  <c r="V991" i="16"/>
  <c r="AB991" i="16" s="1"/>
  <c r="X990" i="16"/>
  <c r="AD990" i="16" s="1"/>
  <c r="W990" i="16"/>
  <c r="AC990" i="16" s="1"/>
  <c r="V990" i="16"/>
  <c r="AB990" i="16" s="1"/>
  <c r="X989" i="16"/>
  <c r="AD989" i="16" s="1"/>
  <c r="W989" i="16"/>
  <c r="AC989" i="16" s="1"/>
  <c r="V989" i="16"/>
  <c r="AB989" i="16" s="1"/>
  <c r="X988" i="16"/>
  <c r="AD988" i="16" s="1"/>
  <c r="W988" i="16"/>
  <c r="AC988" i="16" s="1"/>
  <c r="V988" i="16"/>
  <c r="AB988" i="16" s="1"/>
  <c r="X987" i="16"/>
  <c r="AD987" i="16" s="1"/>
  <c r="W987" i="16"/>
  <c r="AC987" i="16" s="1"/>
  <c r="V987" i="16"/>
  <c r="AB987" i="16" s="1"/>
  <c r="X986" i="16"/>
  <c r="AD986" i="16" s="1"/>
  <c r="W986" i="16"/>
  <c r="AC986" i="16" s="1"/>
  <c r="V986" i="16"/>
  <c r="AB986" i="16" s="1"/>
  <c r="X985" i="16"/>
  <c r="AD985" i="16" s="1"/>
  <c r="W985" i="16"/>
  <c r="AC985" i="16" s="1"/>
  <c r="V985" i="16"/>
  <c r="AB985" i="16" s="1"/>
  <c r="X984" i="16"/>
  <c r="AD984" i="16" s="1"/>
  <c r="W984" i="16"/>
  <c r="AC984" i="16" s="1"/>
  <c r="V984" i="16"/>
  <c r="AB984" i="16" s="1"/>
  <c r="X983" i="16"/>
  <c r="AD983" i="16" s="1"/>
  <c r="W983" i="16"/>
  <c r="AC983" i="16" s="1"/>
  <c r="V983" i="16"/>
  <c r="AB983" i="16" s="1"/>
  <c r="X982" i="16"/>
  <c r="AD982" i="16" s="1"/>
  <c r="W982" i="16"/>
  <c r="AC982" i="16" s="1"/>
  <c r="V982" i="16"/>
  <c r="AB982" i="16" s="1"/>
  <c r="X981" i="16"/>
  <c r="AD981" i="16" s="1"/>
  <c r="W981" i="16"/>
  <c r="AC981" i="16" s="1"/>
  <c r="V981" i="16"/>
  <c r="AB981" i="16" s="1"/>
  <c r="X980" i="16"/>
  <c r="AD980" i="16" s="1"/>
  <c r="W980" i="16"/>
  <c r="AC980" i="16" s="1"/>
  <c r="V980" i="16"/>
  <c r="AB980" i="16" s="1"/>
  <c r="X979" i="16"/>
  <c r="AD979" i="16" s="1"/>
  <c r="W979" i="16"/>
  <c r="AC979" i="16" s="1"/>
  <c r="V979" i="16"/>
  <c r="AB979" i="16" s="1"/>
  <c r="X978" i="16"/>
  <c r="AD978" i="16" s="1"/>
  <c r="W978" i="16"/>
  <c r="AC978" i="16" s="1"/>
  <c r="V978" i="16"/>
  <c r="AB978" i="16" s="1"/>
  <c r="X977" i="16"/>
  <c r="AD977" i="16" s="1"/>
  <c r="W977" i="16"/>
  <c r="AC977" i="16" s="1"/>
  <c r="V977" i="16"/>
  <c r="AB977" i="16" s="1"/>
  <c r="X976" i="16"/>
  <c r="AD976" i="16" s="1"/>
  <c r="W976" i="16"/>
  <c r="AC976" i="16" s="1"/>
  <c r="V976" i="16"/>
  <c r="AB976" i="16" s="1"/>
  <c r="X975" i="16"/>
  <c r="AD975" i="16" s="1"/>
  <c r="W975" i="16"/>
  <c r="AC975" i="16" s="1"/>
  <c r="V975" i="16"/>
  <c r="AB975" i="16" s="1"/>
  <c r="X974" i="16"/>
  <c r="AD974" i="16" s="1"/>
  <c r="W974" i="16"/>
  <c r="AC974" i="16" s="1"/>
  <c r="V974" i="16"/>
  <c r="AB974" i="16" s="1"/>
  <c r="X973" i="16"/>
  <c r="AD973" i="16" s="1"/>
  <c r="W973" i="16"/>
  <c r="AC973" i="16" s="1"/>
  <c r="V973" i="16"/>
  <c r="AB973" i="16" s="1"/>
  <c r="X972" i="16"/>
  <c r="AD972" i="16" s="1"/>
  <c r="W972" i="16"/>
  <c r="AC972" i="16" s="1"/>
  <c r="V972" i="16"/>
  <c r="AB972" i="16" s="1"/>
  <c r="X971" i="16"/>
  <c r="AD971" i="16" s="1"/>
  <c r="W971" i="16"/>
  <c r="AC971" i="16" s="1"/>
  <c r="V971" i="16"/>
  <c r="AB971" i="16" s="1"/>
  <c r="X970" i="16"/>
  <c r="AD970" i="16" s="1"/>
  <c r="W970" i="16"/>
  <c r="AC970" i="16" s="1"/>
  <c r="V970" i="16"/>
  <c r="AB970" i="16" s="1"/>
  <c r="X969" i="16"/>
  <c r="AD969" i="16" s="1"/>
  <c r="W969" i="16"/>
  <c r="AC969" i="16" s="1"/>
  <c r="V969" i="16"/>
  <c r="AB969" i="16" s="1"/>
  <c r="X968" i="16"/>
  <c r="AD968" i="16" s="1"/>
  <c r="W968" i="16"/>
  <c r="AC968" i="16" s="1"/>
  <c r="V968" i="16"/>
  <c r="AB968" i="16" s="1"/>
  <c r="X967" i="16"/>
  <c r="AD967" i="16" s="1"/>
  <c r="W967" i="16"/>
  <c r="AC967" i="16" s="1"/>
  <c r="V967" i="16"/>
  <c r="AB967" i="16" s="1"/>
  <c r="X966" i="16"/>
  <c r="AD966" i="16" s="1"/>
  <c r="W966" i="16"/>
  <c r="AC966" i="16" s="1"/>
  <c r="V966" i="16"/>
  <c r="AB966" i="16" s="1"/>
  <c r="X965" i="16"/>
  <c r="AD965" i="16" s="1"/>
  <c r="W965" i="16"/>
  <c r="AC965" i="16" s="1"/>
  <c r="V965" i="16"/>
  <c r="AB965" i="16" s="1"/>
  <c r="X964" i="16"/>
  <c r="AD964" i="16" s="1"/>
  <c r="W964" i="16"/>
  <c r="AC964" i="16" s="1"/>
  <c r="V964" i="16"/>
  <c r="AB964" i="16" s="1"/>
  <c r="X963" i="16"/>
  <c r="AD963" i="16" s="1"/>
  <c r="W963" i="16"/>
  <c r="AC963" i="16" s="1"/>
  <c r="V963" i="16"/>
  <c r="AB963" i="16" s="1"/>
  <c r="X962" i="16"/>
  <c r="AD962" i="16" s="1"/>
  <c r="W962" i="16"/>
  <c r="AC962" i="16" s="1"/>
  <c r="V962" i="16"/>
  <c r="AB962" i="16" s="1"/>
  <c r="X961" i="16"/>
  <c r="AD961" i="16" s="1"/>
  <c r="W961" i="16"/>
  <c r="AC961" i="16" s="1"/>
  <c r="V961" i="16"/>
  <c r="AB961" i="16" s="1"/>
  <c r="X960" i="16"/>
  <c r="AD960" i="16" s="1"/>
  <c r="W960" i="16"/>
  <c r="AC960" i="16" s="1"/>
  <c r="V960" i="16"/>
  <c r="AB960" i="16" s="1"/>
  <c r="X959" i="16"/>
  <c r="AD959" i="16" s="1"/>
  <c r="W959" i="16"/>
  <c r="AC959" i="16" s="1"/>
  <c r="V959" i="16"/>
  <c r="AB959" i="16" s="1"/>
  <c r="X958" i="16"/>
  <c r="AD958" i="16" s="1"/>
  <c r="W958" i="16"/>
  <c r="AC958" i="16" s="1"/>
  <c r="V958" i="16"/>
  <c r="AB958" i="16" s="1"/>
  <c r="X957" i="16"/>
  <c r="AD957" i="16" s="1"/>
  <c r="W957" i="16"/>
  <c r="AC957" i="16" s="1"/>
  <c r="V957" i="16"/>
  <c r="AB957" i="16" s="1"/>
  <c r="X956" i="16"/>
  <c r="AD956" i="16" s="1"/>
  <c r="W956" i="16"/>
  <c r="AC956" i="16" s="1"/>
  <c r="V956" i="16"/>
  <c r="AB956" i="16" s="1"/>
  <c r="X955" i="16"/>
  <c r="AD955" i="16" s="1"/>
  <c r="W955" i="16"/>
  <c r="AC955" i="16" s="1"/>
  <c r="V955" i="16"/>
  <c r="AB955" i="16" s="1"/>
  <c r="X954" i="16"/>
  <c r="AD954" i="16" s="1"/>
  <c r="W954" i="16"/>
  <c r="AC954" i="16" s="1"/>
  <c r="V954" i="16"/>
  <c r="AB954" i="16" s="1"/>
  <c r="X953" i="16"/>
  <c r="AD953" i="16" s="1"/>
  <c r="W953" i="16"/>
  <c r="AC953" i="16" s="1"/>
  <c r="V953" i="16"/>
  <c r="AB953" i="16" s="1"/>
  <c r="X952" i="16"/>
  <c r="AD952" i="16" s="1"/>
  <c r="W952" i="16"/>
  <c r="AC952" i="16" s="1"/>
  <c r="V952" i="16"/>
  <c r="AB952" i="16" s="1"/>
  <c r="X951" i="16"/>
  <c r="AD951" i="16" s="1"/>
  <c r="W951" i="16"/>
  <c r="AC951" i="16" s="1"/>
  <c r="V951" i="16"/>
  <c r="AB951" i="16" s="1"/>
  <c r="X950" i="16"/>
  <c r="AD950" i="16" s="1"/>
  <c r="W950" i="16"/>
  <c r="AC950" i="16" s="1"/>
  <c r="V950" i="16"/>
  <c r="AB950" i="16" s="1"/>
  <c r="X949" i="16"/>
  <c r="AD949" i="16" s="1"/>
  <c r="W949" i="16"/>
  <c r="AC949" i="16" s="1"/>
  <c r="V949" i="16"/>
  <c r="AB949" i="16" s="1"/>
  <c r="X948" i="16"/>
  <c r="AD948" i="16" s="1"/>
  <c r="W948" i="16"/>
  <c r="AC948" i="16" s="1"/>
  <c r="V948" i="16"/>
  <c r="AB948" i="16" s="1"/>
  <c r="X947" i="16"/>
  <c r="AD947" i="16" s="1"/>
  <c r="W947" i="16"/>
  <c r="AC947" i="16" s="1"/>
  <c r="V947" i="16"/>
  <c r="AB947" i="16" s="1"/>
  <c r="X946" i="16"/>
  <c r="AD946" i="16" s="1"/>
  <c r="W946" i="16"/>
  <c r="AC946" i="16" s="1"/>
  <c r="V946" i="16"/>
  <c r="AB946" i="16" s="1"/>
  <c r="X945" i="16"/>
  <c r="AD945" i="16" s="1"/>
  <c r="W945" i="16"/>
  <c r="AC945" i="16" s="1"/>
  <c r="V945" i="16"/>
  <c r="AB945" i="16" s="1"/>
  <c r="X944" i="16"/>
  <c r="AD944" i="16" s="1"/>
  <c r="W944" i="16"/>
  <c r="AC944" i="16" s="1"/>
  <c r="V944" i="16"/>
  <c r="AB944" i="16" s="1"/>
  <c r="X943" i="16"/>
  <c r="AD943" i="16" s="1"/>
  <c r="W943" i="16"/>
  <c r="AC943" i="16" s="1"/>
  <c r="V943" i="16"/>
  <c r="AB943" i="16" s="1"/>
  <c r="X942" i="16"/>
  <c r="AD942" i="16" s="1"/>
  <c r="W942" i="16"/>
  <c r="AC942" i="16" s="1"/>
  <c r="V942" i="16"/>
  <c r="AB942" i="16" s="1"/>
  <c r="X941" i="16"/>
  <c r="AD941" i="16" s="1"/>
  <c r="W941" i="16"/>
  <c r="AC941" i="16" s="1"/>
  <c r="V941" i="16"/>
  <c r="AB941" i="16" s="1"/>
  <c r="X940" i="16"/>
  <c r="AD940" i="16" s="1"/>
  <c r="W940" i="16"/>
  <c r="AC940" i="16" s="1"/>
  <c r="V940" i="16"/>
  <c r="AB940" i="16" s="1"/>
  <c r="X939" i="16"/>
  <c r="AD939" i="16" s="1"/>
  <c r="W939" i="16"/>
  <c r="AC939" i="16" s="1"/>
  <c r="V939" i="16"/>
  <c r="AB939" i="16" s="1"/>
  <c r="X938" i="16"/>
  <c r="AD938" i="16" s="1"/>
  <c r="W938" i="16"/>
  <c r="AC938" i="16" s="1"/>
  <c r="V938" i="16"/>
  <c r="AB938" i="16" s="1"/>
  <c r="X937" i="16"/>
  <c r="AD937" i="16" s="1"/>
  <c r="W937" i="16"/>
  <c r="AC937" i="16" s="1"/>
  <c r="V937" i="16"/>
  <c r="AB937" i="16" s="1"/>
  <c r="X936" i="16"/>
  <c r="AD936" i="16" s="1"/>
  <c r="W936" i="16"/>
  <c r="AC936" i="16" s="1"/>
  <c r="V936" i="16"/>
  <c r="AB936" i="16" s="1"/>
  <c r="X935" i="16"/>
  <c r="AD935" i="16" s="1"/>
  <c r="W935" i="16"/>
  <c r="AC935" i="16" s="1"/>
  <c r="V935" i="16"/>
  <c r="AB935" i="16" s="1"/>
  <c r="X934" i="16"/>
  <c r="AD934" i="16" s="1"/>
  <c r="W934" i="16"/>
  <c r="AC934" i="16" s="1"/>
  <c r="V934" i="16"/>
  <c r="AB934" i="16" s="1"/>
  <c r="X933" i="16"/>
  <c r="AD933" i="16" s="1"/>
  <c r="W933" i="16"/>
  <c r="AC933" i="16" s="1"/>
  <c r="V933" i="16"/>
  <c r="AB933" i="16" s="1"/>
  <c r="X932" i="16"/>
  <c r="AD932" i="16" s="1"/>
  <c r="W932" i="16"/>
  <c r="AC932" i="16" s="1"/>
  <c r="V932" i="16"/>
  <c r="AB932" i="16" s="1"/>
  <c r="X931" i="16"/>
  <c r="AD931" i="16" s="1"/>
  <c r="W931" i="16"/>
  <c r="AC931" i="16" s="1"/>
  <c r="V931" i="16"/>
  <c r="AB931" i="16" s="1"/>
  <c r="X930" i="16"/>
  <c r="AD930" i="16" s="1"/>
  <c r="W930" i="16"/>
  <c r="AC930" i="16" s="1"/>
  <c r="V930" i="16"/>
  <c r="AB930" i="16" s="1"/>
  <c r="X929" i="16"/>
  <c r="AD929" i="16" s="1"/>
  <c r="W929" i="16"/>
  <c r="AC929" i="16" s="1"/>
  <c r="V929" i="16"/>
  <c r="AB929" i="16" s="1"/>
  <c r="X928" i="16"/>
  <c r="AD928" i="16" s="1"/>
  <c r="W928" i="16"/>
  <c r="AC928" i="16" s="1"/>
  <c r="V928" i="16"/>
  <c r="AB928" i="16" s="1"/>
  <c r="X927" i="16"/>
  <c r="AD927" i="16" s="1"/>
  <c r="W927" i="16"/>
  <c r="AC927" i="16" s="1"/>
  <c r="V927" i="16"/>
  <c r="AB927" i="16" s="1"/>
  <c r="X926" i="16"/>
  <c r="AD926" i="16" s="1"/>
  <c r="W926" i="16"/>
  <c r="AC926" i="16" s="1"/>
  <c r="V926" i="16"/>
  <c r="AB926" i="16" s="1"/>
  <c r="X925" i="16"/>
  <c r="AD925" i="16" s="1"/>
  <c r="W925" i="16"/>
  <c r="AC925" i="16" s="1"/>
  <c r="V925" i="16"/>
  <c r="AB925" i="16" s="1"/>
  <c r="X924" i="16"/>
  <c r="AD924" i="16" s="1"/>
  <c r="W924" i="16"/>
  <c r="AC924" i="16" s="1"/>
  <c r="V924" i="16"/>
  <c r="AB924" i="16" s="1"/>
  <c r="X923" i="16"/>
  <c r="AD923" i="16" s="1"/>
  <c r="W923" i="16"/>
  <c r="AC923" i="16" s="1"/>
  <c r="V923" i="16"/>
  <c r="AB923" i="16" s="1"/>
  <c r="X922" i="16"/>
  <c r="AD922" i="16" s="1"/>
  <c r="W922" i="16"/>
  <c r="AC922" i="16" s="1"/>
  <c r="V922" i="16"/>
  <c r="AB922" i="16" s="1"/>
  <c r="X921" i="16"/>
  <c r="AD921" i="16" s="1"/>
  <c r="W921" i="16"/>
  <c r="AC921" i="16" s="1"/>
  <c r="V921" i="16"/>
  <c r="AB921" i="16" s="1"/>
  <c r="X920" i="16"/>
  <c r="AD920" i="16" s="1"/>
  <c r="W920" i="16"/>
  <c r="AC920" i="16" s="1"/>
  <c r="V920" i="16"/>
  <c r="AB920" i="16" s="1"/>
  <c r="X919" i="16"/>
  <c r="AD919" i="16" s="1"/>
  <c r="W919" i="16"/>
  <c r="AC919" i="16" s="1"/>
  <c r="V919" i="16"/>
  <c r="AB919" i="16" s="1"/>
  <c r="X918" i="16"/>
  <c r="AD918" i="16" s="1"/>
  <c r="W918" i="16"/>
  <c r="AC918" i="16" s="1"/>
  <c r="V918" i="16"/>
  <c r="AB918" i="16" s="1"/>
  <c r="X917" i="16"/>
  <c r="AD917" i="16" s="1"/>
  <c r="W917" i="16"/>
  <c r="AC917" i="16" s="1"/>
  <c r="V917" i="16"/>
  <c r="AB917" i="16" s="1"/>
  <c r="X916" i="16"/>
  <c r="AD916" i="16" s="1"/>
  <c r="W916" i="16"/>
  <c r="AC916" i="16" s="1"/>
  <c r="V916" i="16"/>
  <c r="AB916" i="16" s="1"/>
  <c r="X915" i="16"/>
  <c r="AD915" i="16" s="1"/>
  <c r="W915" i="16"/>
  <c r="AC915" i="16" s="1"/>
  <c r="V915" i="16"/>
  <c r="AB915" i="16" s="1"/>
  <c r="X914" i="16"/>
  <c r="AD914" i="16" s="1"/>
  <c r="W914" i="16"/>
  <c r="AC914" i="16" s="1"/>
  <c r="V914" i="16"/>
  <c r="AB914" i="16" s="1"/>
  <c r="X913" i="16"/>
  <c r="AD913" i="16" s="1"/>
  <c r="W913" i="16"/>
  <c r="AC913" i="16" s="1"/>
  <c r="V913" i="16"/>
  <c r="AB913" i="16" s="1"/>
  <c r="X912" i="16"/>
  <c r="AD912" i="16" s="1"/>
  <c r="W912" i="16"/>
  <c r="AC912" i="16" s="1"/>
  <c r="V912" i="16"/>
  <c r="AB912" i="16" s="1"/>
  <c r="X911" i="16"/>
  <c r="AD911" i="16" s="1"/>
  <c r="W911" i="16"/>
  <c r="AC911" i="16" s="1"/>
  <c r="V911" i="16"/>
  <c r="AB911" i="16" s="1"/>
  <c r="X910" i="16"/>
  <c r="AD910" i="16" s="1"/>
  <c r="W910" i="16"/>
  <c r="AC910" i="16" s="1"/>
  <c r="V910" i="16"/>
  <c r="AB910" i="16" s="1"/>
  <c r="X909" i="16"/>
  <c r="AD909" i="16" s="1"/>
  <c r="W909" i="16"/>
  <c r="AC909" i="16" s="1"/>
  <c r="V909" i="16"/>
  <c r="AB909" i="16" s="1"/>
  <c r="X908" i="16"/>
  <c r="AD908" i="16" s="1"/>
  <c r="W908" i="16"/>
  <c r="AC908" i="16" s="1"/>
  <c r="V908" i="16"/>
  <c r="AB908" i="16" s="1"/>
  <c r="X907" i="16"/>
  <c r="AD907" i="16" s="1"/>
  <c r="W907" i="16"/>
  <c r="AC907" i="16" s="1"/>
  <c r="V907" i="16"/>
  <c r="AB907" i="16" s="1"/>
  <c r="X906" i="16"/>
  <c r="AD906" i="16" s="1"/>
  <c r="W906" i="16"/>
  <c r="AC906" i="16" s="1"/>
  <c r="V906" i="16"/>
  <c r="AB906" i="16" s="1"/>
  <c r="X905" i="16"/>
  <c r="AD905" i="16" s="1"/>
  <c r="W905" i="16"/>
  <c r="AC905" i="16" s="1"/>
  <c r="V905" i="16"/>
  <c r="AB905" i="16" s="1"/>
  <c r="X904" i="16"/>
  <c r="AD904" i="16" s="1"/>
  <c r="W904" i="16"/>
  <c r="AC904" i="16" s="1"/>
  <c r="V904" i="16"/>
  <c r="AB904" i="16" s="1"/>
  <c r="X903" i="16"/>
  <c r="AD903" i="16" s="1"/>
  <c r="W903" i="16"/>
  <c r="AC903" i="16" s="1"/>
  <c r="V903" i="16"/>
  <c r="AB903" i="16" s="1"/>
  <c r="X902" i="16"/>
  <c r="AD902" i="16" s="1"/>
  <c r="W902" i="16"/>
  <c r="AC902" i="16" s="1"/>
  <c r="V902" i="16"/>
  <c r="AB902" i="16" s="1"/>
  <c r="X901" i="16"/>
  <c r="AD901" i="16" s="1"/>
  <c r="W901" i="16"/>
  <c r="AC901" i="16" s="1"/>
  <c r="V901" i="16"/>
  <c r="AB901" i="16" s="1"/>
  <c r="X900" i="16"/>
  <c r="AD900" i="16" s="1"/>
  <c r="W900" i="16"/>
  <c r="AC900" i="16" s="1"/>
  <c r="V900" i="16"/>
  <c r="AB900" i="16" s="1"/>
  <c r="X899" i="16"/>
  <c r="AD899" i="16" s="1"/>
  <c r="W899" i="16"/>
  <c r="AC899" i="16" s="1"/>
  <c r="V899" i="16"/>
  <c r="AB899" i="16" s="1"/>
  <c r="X898" i="16"/>
  <c r="AD898" i="16" s="1"/>
  <c r="W898" i="16"/>
  <c r="AC898" i="16" s="1"/>
  <c r="V898" i="16"/>
  <c r="AB898" i="16" s="1"/>
  <c r="X897" i="16"/>
  <c r="AD897" i="16" s="1"/>
  <c r="W897" i="16"/>
  <c r="AC897" i="16" s="1"/>
  <c r="V897" i="16"/>
  <c r="AB897" i="16" s="1"/>
  <c r="X896" i="16"/>
  <c r="AD896" i="16" s="1"/>
  <c r="W896" i="16"/>
  <c r="AC896" i="16" s="1"/>
  <c r="V896" i="16"/>
  <c r="AB896" i="16" s="1"/>
  <c r="X895" i="16"/>
  <c r="AD895" i="16" s="1"/>
  <c r="W895" i="16"/>
  <c r="AC895" i="16" s="1"/>
  <c r="V895" i="16"/>
  <c r="AB895" i="16" s="1"/>
  <c r="X894" i="16"/>
  <c r="AD894" i="16" s="1"/>
  <c r="W894" i="16"/>
  <c r="AC894" i="16" s="1"/>
  <c r="V894" i="16"/>
  <c r="AB894" i="16" s="1"/>
  <c r="X893" i="16"/>
  <c r="AD893" i="16" s="1"/>
  <c r="W893" i="16"/>
  <c r="AC893" i="16" s="1"/>
  <c r="V893" i="16"/>
  <c r="AB893" i="16" s="1"/>
  <c r="X892" i="16"/>
  <c r="AD892" i="16" s="1"/>
  <c r="W892" i="16"/>
  <c r="AC892" i="16" s="1"/>
  <c r="V892" i="16"/>
  <c r="AB892" i="16" s="1"/>
  <c r="X891" i="16"/>
  <c r="AD891" i="16" s="1"/>
  <c r="W891" i="16"/>
  <c r="AC891" i="16" s="1"/>
  <c r="V891" i="16"/>
  <c r="AB891" i="16" s="1"/>
  <c r="X890" i="16"/>
  <c r="AD890" i="16" s="1"/>
  <c r="W890" i="16"/>
  <c r="AC890" i="16" s="1"/>
  <c r="V890" i="16"/>
  <c r="AB890" i="16" s="1"/>
  <c r="X889" i="16"/>
  <c r="AD889" i="16" s="1"/>
  <c r="W889" i="16"/>
  <c r="AC889" i="16" s="1"/>
  <c r="V889" i="16"/>
  <c r="AB889" i="16" s="1"/>
  <c r="X888" i="16"/>
  <c r="AD888" i="16" s="1"/>
  <c r="W888" i="16"/>
  <c r="AC888" i="16" s="1"/>
  <c r="V888" i="16"/>
  <c r="AB888" i="16" s="1"/>
  <c r="X887" i="16"/>
  <c r="AD887" i="16" s="1"/>
  <c r="W887" i="16"/>
  <c r="AC887" i="16" s="1"/>
  <c r="V887" i="16"/>
  <c r="AB887" i="16" s="1"/>
  <c r="X886" i="16"/>
  <c r="AD886" i="16" s="1"/>
  <c r="W886" i="16"/>
  <c r="AC886" i="16" s="1"/>
  <c r="V886" i="16"/>
  <c r="AB886" i="16" s="1"/>
  <c r="X885" i="16"/>
  <c r="AD885" i="16" s="1"/>
  <c r="W885" i="16"/>
  <c r="AC885" i="16" s="1"/>
  <c r="V885" i="16"/>
  <c r="AB885" i="16" s="1"/>
  <c r="X884" i="16"/>
  <c r="AD884" i="16" s="1"/>
  <c r="W884" i="16"/>
  <c r="AC884" i="16" s="1"/>
  <c r="V884" i="16"/>
  <c r="AB884" i="16" s="1"/>
  <c r="X883" i="16"/>
  <c r="AD883" i="16" s="1"/>
  <c r="W883" i="16"/>
  <c r="AC883" i="16" s="1"/>
  <c r="V883" i="16"/>
  <c r="AB883" i="16" s="1"/>
  <c r="X882" i="16"/>
  <c r="AD882" i="16" s="1"/>
  <c r="W882" i="16"/>
  <c r="AC882" i="16" s="1"/>
  <c r="V882" i="16"/>
  <c r="AB882" i="16" s="1"/>
  <c r="X881" i="16"/>
  <c r="AD881" i="16" s="1"/>
  <c r="W881" i="16"/>
  <c r="AC881" i="16" s="1"/>
  <c r="V881" i="16"/>
  <c r="AB881" i="16" s="1"/>
  <c r="X880" i="16"/>
  <c r="AD880" i="16" s="1"/>
  <c r="W880" i="16"/>
  <c r="AC880" i="16" s="1"/>
  <c r="V880" i="16"/>
  <c r="AB880" i="16" s="1"/>
  <c r="X879" i="16"/>
  <c r="AD879" i="16" s="1"/>
  <c r="W879" i="16"/>
  <c r="AC879" i="16" s="1"/>
  <c r="V879" i="16"/>
  <c r="AB879" i="16" s="1"/>
  <c r="X878" i="16"/>
  <c r="AD878" i="16" s="1"/>
  <c r="W878" i="16"/>
  <c r="AC878" i="16" s="1"/>
  <c r="V878" i="16"/>
  <c r="AB878" i="16" s="1"/>
  <c r="X877" i="16"/>
  <c r="AD877" i="16" s="1"/>
  <c r="W877" i="16"/>
  <c r="AC877" i="16" s="1"/>
  <c r="V877" i="16"/>
  <c r="AB877" i="16" s="1"/>
  <c r="X876" i="16"/>
  <c r="AD876" i="16" s="1"/>
  <c r="W876" i="16"/>
  <c r="AC876" i="16" s="1"/>
  <c r="V876" i="16"/>
  <c r="AB876" i="16" s="1"/>
  <c r="X875" i="16"/>
  <c r="AD875" i="16" s="1"/>
  <c r="W875" i="16"/>
  <c r="AC875" i="16" s="1"/>
  <c r="V875" i="16"/>
  <c r="AB875" i="16" s="1"/>
  <c r="X874" i="16"/>
  <c r="AD874" i="16" s="1"/>
  <c r="W874" i="16"/>
  <c r="AC874" i="16" s="1"/>
  <c r="V874" i="16"/>
  <c r="AB874" i="16" s="1"/>
  <c r="X873" i="16"/>
  <c r="AD873" i="16" s="1"/>
  <c r="W873" i="16"/>
  <c r="AC873" i="16" s="1"/>
  <c r="V873" i="16"/>
  <c r="AB873" i="16" s="1"/>
  <c r="X872" i="16"/>
  <c r="AD872" i="16" s="1"/>
  <c r="W872" i="16"/>
  <c r="AC872" i="16" s="1"/>
  <c r="V872" i="16"/>
  <c r="AB872" i="16" s="1"/>
  <c r="X871" i="16"/>
  <c r="AD871" i="16" s="1"/>
  <c r="W871" i="16"/>
  <c r="AC871" i="16" s="1"/>
  <c r="V871" i="16"/>
  <c r="AB871" i="16" s="1"/>
  <c r="X870" i="16"/>
  <c r="AD870" i="16" s="1"/>
  <c r="W870" i="16"/>
  <c r="AC870" i="16" s="1"/>
  <c r="V870" i="16"/>
  <c r="AB870" i="16" s="1"/>
  <c r="X869" i="16"/>
  <c r="AD869" i="16" s="1"/>
  <c r="W869" i="16"/>
  <c r="AC869" i="16" s="1"/>
  <c r="V869" i="16"/>
  <c r="AB869" i="16" s="1"/>
  <c r="X868" i="16"/>
  <c r="AD868" i="16" s="1"/>
  <c r="W868" i="16"/>
  <c r="AC868" i="16" s="1"/>
  <c r="V868" i="16"/>
  <c r="AB868" i="16" s="1"/>
  <c r="X867" i="16"/>
  <c r="AD867" i="16" s="1"/>
  <c r="W867" i="16"/>
  <c r="AC867" i="16" s="1"/>
  <c r="V867" i="16"/>
  <c r="AB867" i="16" s="1"/>
  <c r="X866" i="16"/>
  <c r="AD866" i="16" s="1"/>
  <c r="W866" i="16"/>
  <c r="AC866" i="16" s="1"/>
  <c r="V866" i="16"/>
  <c r="AB866" i="16" s="1"/>
  <c r="X865" i="16"/>
  <c r="AD865" i="16" s="1"/>
  <c r="W865" i="16"/>
  <c r="AC865" i="16" s="1"/>
  <c r="V865" i="16"/>
  <c r="AB865" i="16" s="1"/>
  <c r="X864" i="16"/>
  <c r="AD864" i="16" s="1"/>
  <c r="W864" i="16"/>
  <c r="AC864" i="16" s="1"/>
  <c r="V864" i="16"/>
  <c r="AB864" i="16" s="1"/>
  <c r="X863" i="16"/>
  <c r="AD863" i="16" s="1"/>
  <c r="W863" i="16"/>
  <c r="AC863" i="16" s="1"/>
  <c r="V863" i="16"/>
  <c r="AB863" i="16" s="1"/>
  <c r="X862" i="16"/>
  <c r="AD862" i="16" s="1"/>
  <c r="W862" i="16"/>
  <c r="AC862" i="16" s="1"/>
  <c r="V862" i="16"/>
  <c r="AB862" i="16" s="1"/>
  <c r="X861" i="16"/>
  <c r="AD861" i="16" s="1"/>
  <c r="W861" i="16"/>
  <c r="AC861" i="16" s="1"/>
  <c r="V861" i="16"/>
  <c r="AB861" i="16" s="1"/>
  <c r="X860" i="16"/>
  <c r="AD860" i="16" s="1"/>
  <c r="W860" i="16"/>
  <c r="AC860" i="16" s="1"/>
  <c r="V860" i="16"/>
  <c r="AB860" i="16" s="1"/>
  <c r="X859" i="16"/>
  <c r="AD859" i="16" s="1"/>
  <c r="W859" i="16"/>
  <c r="AC859" i="16" s="1"/>
  <c r="V859" i="16"/>
  <c r="AB859" i="16" s="1"/>
  <c r="X858" i="16"/>
  <c r="AD858" i="16" s="1"/>
  <c r="W858" i="16"/>
  <c r="AC858" i="16" s="1"/>
  <c r="V858" i="16"/>
  <c r="AB858" i="16" s="1"/>
  <c r="X857" i="16"/>
  <c r="AD857" i="16" s="1"/>
  <c r="W857" i="16"/>
  <c r="AC857" i="16" s="1"/>
  <c r="V857" i="16"/>
  <c r="AB857" i="16" s="1"/>
  <c r="X856" i="16"/>
  <c r="AD856" i="16" s="1"/>
  <c r="W856" i="16"/>
  <c r="AC856" i="16" s="1"/>
  <c r="V856" i="16"/>
  <c r="AB856" i="16" s="1"/>
  <c r="X855" i="16"/>
  <c r="AD855" i="16" s="1"/>
  <c r="W855" i="16"/>
  <c r="AC855" i="16" s="1"/>
  <c r="V855" i="16"/>
  <c r="AB855" i="16" s="1"/>
  <c r="X854" i="16"/>
  <c r="AD854" i="16" s="1"/>
  <c r="W854" i="16"/>
  <c r="AC854" i="16" s="1"/>
  <c r="V854" i="16"/>
  <c r="AB854" i="16" s="1"/>
  <c r="X853" i="16"/>
  <c r="AD853" i="16" s="1"/>
  <c r="W853" i="16"/>
  <c r="AC853" i="16" s="1"/>
  <c r="V853" i="16"/>
  <c r="AB853" i="16" s="1"/>
  <c r="X852" i="16"/>
  <c r="AD852" i="16" s="1"/>
  <c r="W852" i="16"/>
  <c r="AC852" i="16" s="1"/>
  <c r="V852" i="16"/>
  <c r="AB852" i="16" s="1"/>
  <c r="X851" i="16"/>
  <c r="AD851" i="16" s="1"/>
  <c r="W851" i="16"/>
  <c r="AC851" i="16" s="1"/>
  <c r="V851" i="16"/>
  <c r="AB851" i="16" s="1"/>
  <c r="X850" i="16"/>
  <c r="AD850" i="16" s="1"/>
  <c r="W850" i="16"/>
  <c r="AC850" i="16" s="1"/>
  <c r="V850" i="16"/>
  <c r="AB850" i="16" s="1"/>
  <c r="X849" i="16"/>
  <c r="AD849" i="16" s="1"/>
  <c r="W849" i="16"/>
  <c r="AC849" i="16" s="1"/>
  <c r="V849" i="16"/>
  <c r="AB849" i="16" s="1"/>
  <c r="X848" i="16"/>
  <c r="AD848" i="16" s="1"/>
  <c r="W848" i="16"/>
  <c r="AC848" i="16" s="1"/>
  <c r="V848" i="16"/>
  <c r="AB848" i="16" s="1"/>
  <c r="X847" i="16"/>
  <c r="AD847" i="16" s="1"/>
  <c r="W847" i="16"/>
  <c r="AC847" i="16" s="1"/>
  <c r="V847" i="16"/>
  <c r="AB847" i="16" s="1"/>
  <c r="X846" i="16"/>
  <c r="AD846" i="16" s="1"/>
  <c r="W846" i="16"/>
  <c r="AC846" i="16" s="1"/>
  <c r="V846" i="16"/>
  <c r="AB846" i="16" s="1"/>
  <c r="X845" i="16"/>
  <c r="AD845" i="16" s="1"/>
  <c r="W845" i="16"/>
  <c r="AC845" i="16" s="1"/>
  <c r="V845" i="16"/>
  <c r="AB845" i="16" s="1"/>
  <c r="X844" i="16"/>
  <c r="AD844" i="16" s="1"/>
  <c r="W844" i="16"/>
  <c r="AC844" i="16" s="1"/>
  <c r="V844" i="16"/>
  <c r="AB844" i="16" s="1"/>
  <c r="X843" i="16"/>
  <c r="AD843" i="16" s="1"/>
  <c r="W843" i="16"/>
  <c r="AC843" i="16" s="1"/>
  <c r="V843" i="16"/>
  <c r="AB843" i="16" s="1"/>
  <c r="X842" i="16"/>
  <c r="AD842" i="16" s="1"/>
  <c r="W842" i="16"/>
  <c r="AC842" i="16" s="1"/>
  <c r="V842" i="16"/>
  <c r="AB842" i="16" s="1"/>
  <c r="X841" i="16"/>
  <c r="AD841" i="16" s="1"/>
  <c r="W841" i="16"/>
  <c r="AC841" i="16" s="1"/>
  <c r="V841" i="16"/>
  <c r="AB841" i="16" s="1"/>
  <c r="X840" i="16"/>
  <c r="AD840" i="16" s="1"/>
  <c r="W840" i="16"/>
  <c r="AC840" i="16" s="1"/>
  <c r="V840" i="16"/>
  <c r="AB840" i="16" s="1"/>
  <c r="X839" i="16"/>
  <c r="AD839" i="16" s="1"/>
  <c r="W839" i="16"/>
  <c r="AC839" i="16" s="1"/>
  <c r="V839" i="16"/>
  <c r="AB839" i="16" s="1"/>
  <c r="X838" i="16"/>
  <c r="AD838" i="16" s="1"/>
  <c r="W838" i="16"/>
  <c r="AC838" i="16" s="1"/>
  <c r="V838" i="16"/>
  <c r="AB838" i="16" s="1"/>
  <c r="X837" i="16"/>
  <c r="AD837" i="16" s="1"/>
  <c r="W837" i="16"/>
  <c r="AC837" i="16" s="1"/>
  <c r="V837" i="16"/>
  <c r="AB837" i="16" s="1"/>
  <c r="X836" i="16"/>
  <c r="AD836" i="16" s="1"/>
  <c r="W836" i="16"/>
  <c r="AC836" i="16" s="1"/>
  <c r="V836" i="16"/>
  <c r="AB836" i="16" s="1"/>
  <c r="X835" i="16"/>
  <c r="AD835" i="16" s="1"/>
  <c r="W835" i="16"/>
  <c r="AC835" i="16" s="1"/>
  <c r="V835" i="16"/>
  <c r="AB835" i="16" s="1"/>
  <c r="X834" i="16"/>
  <c r="AD834" i="16" s="1"/>
  <c r="W834" i="16"/>
  <c r="AC834" i="16" s="1"/>
  <c r="V834" i="16"/>
  <c r="AB834" i="16" s="1"/>
  <c r="X833" i="16"/>
  <c r="AD833" i="16" s="1"/>
  <c r="W833" i="16"/>
  <c r="AC833" i="16" s="1"/>
  <c r="V833" i="16"/>
  <c r="AB833" i="16" s="1"/>
  <c r="X832" i="16"/>
  <c r="AD832" i="16" s="1"/>
  <c r="W832" i="16"/>
  <c r="AC832" i="16" s="1"/>
  <c r="V832" i="16"/>
  <c r="AB832" i="16" s="1"/>
  <c r="X831" i="16"/>
  <c r="AD831" i="16" s="1"/>
  <c r="W831" i="16"/>
  <c r="AC831" i="16" s="1"/>
  <c r="V831" i="16"/>
  <c r="AB831" i="16" s="1"/>
  <c r="X830" i="16"/>
  <c r="AD830" i="16" s="1"/>
  <c r="W830" i="16"/>
  <c r="AC830" i="16" s="1"/>
  <c r="V830" i="16"/>
  <c r="AB830" i="16" s="1"/>
  <c r="X829" i="16"/>
  <c r="AD829" i="16" s="1"/>
  <c r="W829" i="16"/>
  <c r="AC829" i="16" s="1"/>
  <c r="V829" i="16"/>
  <c r="AB829" i="16" s="1"/>
  <c r="X828" i="16"/>
  <c r="AD828" i="16" s="1"/>
  <c r="W828" i="16"/>
  <c r="AC828" i="16" s="1"/>
  <c r="V828" i="16"/>
  <c r="AB828" i="16" s="1"/>
  <c r="X827" i="16"/>
  <c r="AD827" i="16" s="1"/>
  <c r="W827" i="16"/>
  <c r="AC827" i="16" s="1"/>
  <c r="V827" i="16"/>
  <c r="AB827" i="16" s="1"/>
  <c r="X826" i="16"/>
  <c r="AD826" i="16" s="1"/>
  <c r="W826" i="16"/>
  <c r="AC826" i="16" s="1"/>
  <c r="V826" i="16"/>
  <c r="AB826" i="16" s="1"/>
  <c r="X825" i="16"/>
  <c r="AD825" i="16" s="1"/>
  <c r="W825" i="16"/>
  <c r="AC825" i="16" s="1"/>
  <c r="V825" i="16"/>
  <c r="AB825" i="16" s="1"/>
  <c r="X824" i="16"/>
  <c r="AD824" i="16" s="1"/>
  <c r="W824" i="16"/>
  <c r="AC824" i="16" s="1"/>
  <c r="V824" i="16"/>
  <c r="AB824" i="16" s="1"/>
  <c r="X823" i="16"/>
  <c r="AD823" i="16" s="1"/>
  <c r="W823" i="16"/>
  <c r="AC823" i="16" s="1"/>
  <c r="V823" i="16"/>
  <c r="AB823" i="16" s="1"/>
  <c r="X822" i="16"/>
  <c r="AD822" i="16" s="1"/>
  <c r="W822" i="16"/>
  <c r="AC822" i="16" s="1"/>
  <c r="V822" i="16"/>
  <c r="AB822" i="16" s="1"/>
  <c r="X821" i="16"/>
  <c r="AD821" i="16" s="1"/>
  <c r="W821" i="16"/>
  <c r="AC821" i="16" s="1"/>
  <c r="V821" i="16"/>
  <c r="AB821" i="16" s="1"/>
  <c r="X820" i="16"/>
  <c r="AD820" i="16" s="1"/>
  <c r="W820" i="16"/>
  <c r="AC820" i="16" s="1"/>
  <c r="V820" i="16"/>
  <c r="AB820" i="16" s="1"/>
  <c r="X819" i="16"/>
  <c r="AD819" i="16" s="1"/>
  <c r="W819" i="16"/>
  <c r="AC819" i="16" s="1"/>
  <c r="V819" i="16"/>
  <c r="AB819" i="16" s="1"/>
  <c r="X818" i="16"/>
  <c r="AD818" i="16" s="1"/>
  <c r="W818" i="16"/>
  <c r="AC818" i="16" s="1"/>
  <c r="V818" i="16"/>
  <c r="AB818" i="16" s="1"/>
  <c r="X817" i="16"/>
  <c r="AD817" i="16" s="1"/>
  <c r="W817" i="16"/>
  <c r="AC817" i="16" s="1"/>
  <c r="V817" i="16"/>
  <c r="AB817" i="16" s="1"/>
  <c r="X816" i="16"/>
  <c r="AD816" i="16" s="1"/>
  <c r="W816" i="16"/>
  <c r="AC816" i="16" s="1"/>
  <c r="V816" i="16"/>
  <c r="AB816" i="16" s="1"/>
  <c r="X815" i="16"/>
  <c r="AD815" i="16" s="1"/>
  <c r="W815" i="16"/>
  <c r="AC815" i="16" s="1"/>
  <c r="V815" i="16"/>
  <c r="AB815" i="16" s="1"/>
  <c r="X814" i="16"/>
  <c r="AD814" i="16" s="1"/>
  <c r="W814" i="16"/>
  <c r="AC814" i="16" s="1"/>
  <c r="V814" i="16"/>
  <c r="AB814" i="16" s="1"/>
  <c r="X813" i="16"/>
  <c r="AD813" i="16" s="1"/>
  <c r="W813" i="16"/>
  <c r="AC813" i="16" s="1"/>
  <c r="V813" i="16"/>
  <c r="AB813" i="16" s="1"/>
  <c r="X812" i="16"/>
  <c r="AD812" i="16" s="1"/>
  <c r="W812" i="16"/>
  <c r="AC812" i="16" s="1"/>
  <c r="V812" i="16"/>
  <c r="AB812" i="16" s="1"/>
  <c r="X811" i="16"/>
  <c r="AD811" i="16" s="1"/>
  <c r="W811" i="16"/>
  <c r="AC811" i="16" s="1"/>
  <c r="V811" i="16"/>
  <c r="AB811" i="16" s="1"/>
  <c r="X810" i="16"/>
  <c r="AD810" i="16" s="1"/>
  <c r="W810" i="16"/>
  <c r="AC810" i="16" s="1"/>
  <c r="V810" i="16"/>
  <c r="AB810" i="16" s="1"/>
  <c r="X809" i="16"/>
  <c r="AD809" i="16" s="1"/>
  <c r="W809" i="16"/>
  <c r="AC809" i="16" s="1"/>
  <c r="V809" i="16"/>
  <c r="AB809" i="16" s="1"/>
  <c r="X808" i="16"/>
  <c r="AD808" i="16" s="1"/>
  <c r="W808" i="16"/>
  <c r="AC808" i="16" s="1"/>
  <c r="V808" i="16"/>
  <c r="AB808" i="16" s="1"/>
  <c r="X807" i="16"/>
  <c r="AD807" i="16" s="1"/>
  <c r="W807" i="16"/>
  <c r="AC807" i="16" s="1"/>
  <c r="V807" i="16"/>
  <c r="AB807" i="16" s="1"/>
  <c r="X806" i="16"/>
  <c r="AD806" i="16" s="1"/>
  <c r="W806" i="16"/>
  <c r="AC806" i="16" s="1"/>
  <c r="V806" i="16"/>
  <c r="AB806" i="16" s="1"/>
  <c r="X805" i="16"/>
  <c r="AD805" i="16" s="1"/>
  <c r="W805" i="16"/>
  <c r="AC805" i="16" s="1"/>
  <c r="V805" i="16"/>
  <c r="AB805" i="16" s="1"/>
  <c r="X804" i="16"/>
  <c r="AD804" i="16" s="1"/>
  <c r="W804" i="16"/>
  <c r="AC804" i="16" s="1"/>
  <c r="V804" i="16"/>
  <c r="AB804" i="16" s="1"/>
  <c r="X803" i="16"/>
  <c r="AD803" i="16" s="1"/>
  <c r="W803" i="16"/>
  <c r="AC803" i="16" s="1"/>
  <c r="V803" i="16"/>
  <c r="AB803" i="16" s="1"/>
  <c r="X802" i="16"/>
  <c r="AD802" i="16" s="1"/>
  <c r="W802" i="16"/>
  <c r="AC802" i="16" s="1"/>
  <c r="V802" i="16"/>
  <c r="AB802" i="16" s="1"/>
  <c r="X801" i="16"/>
  <c r="AD801" i="16" s="1"/>
  <c r="W801" i="16"/>
  <c r="AC801" i="16" s="1"/>
  <c r="V801" i="16"/>
  <c r="AB801" i="16" s="1"/>
  <c r="X800" i="16"/>
  <c r="AD800" i="16" s="1"/>
  <c r="W800" i="16"/>
  <c r="AC800" i="16" s="1"/>
  <c r="V800" i="16"/>
  <c r="AB800" i="16" s="1"/>
  <c r="X799" i="16"/>
  <c r="AD799" i="16" s="1"/>
  <c r="W799" i="16"/>
  <c r="AC799" i="16" s="1"/>
  <c r="V799" i="16"/>
  <c r="AB799" i="16" s="1"/>
  <c r="X798" i="16"/>
  <c r="AD798" i="16" s="1"/>
  <c r="W798" i="16"/>
  <c r="AC798" i="16" s="1"/>
  <c r="V798" i="16"/>
  <c r="AB798" i="16" s="1"/>
  <c r="X797" i="16"/>
  <c r="AD797" i="16" s="1"/>
  <c r="W797" i="16"/>
  <c r="AC797" i="16" s="1"/>
  <c r="V797" i="16"/>
  <c r="AB797" i="16" s="1"/>
  <c r="X796" i="16"/>
  <c r="AD796" i="16" s="1"/>
  <c r="W796" i="16"/>
  <c r="AC796" i="16" s="1"/>
  <c r="V796" i="16"/>
  <c r="AB796" i="16" s="1"/>
  <c r="X795" i="16"/>
  <c r="AD795" i="16" s="1"/>
  <c r="W795" i="16"/>
  <c r="AC795" i="16" s="1"/>
  <c r="V795" i="16"/>
  <c r="AB795" i="16" s="1"/>
  <c r="X794" i="16"/>
  <c r="AD794" i="16" s="1"/>
  <c r="W794" i="16"/>
  <c r="AC794" i="16" s="1"/>
  <c r="V794" i="16"/>
  <c r="AB794" i="16" s="1"/>
  <c r="X793" i="16"/>
  <c r="AD793" i="16" s="1"/>
  <c r="W793" i="16"/>
  <c r="AC793" i="16" s="1"/>
  <c r="V793" i="16"/>
  <c r="AB793" i="16" s="1"/>
  <c r="X792" i="16"/>
  <c r="AD792" i="16" s="1"/>
  <c r="W792" i="16"/>
  <c r="AC792" i="16" s="1"/>
  <c r="V792" i="16"/>
  <c r="AB792" i="16" s="1"/>
  <c r="X791" i="16"/>
  <c r="AD791" i="16" s="1"/>
  <c r="W791" i="16"/>
  <c r="AC791" i="16" s="1"/>
  <c r="V791" i="16"/>
  <c r="AB791" i="16" s="1"/>
  <c r="X790" i="16"/>
  <c r="AD790" i="16" s="1"/>
  <c r="W790" i="16"/>
  <c r="AC790" i="16" s="1"/>
  <c r="V790" i="16"/>
  <c r="AB790" i="16" s="1"/>
  <c r="X789" i="16"/>
  <c r="AD789" i="16" s="1"/>
  <c r="W789" i="16"/>
  <c r="AC789" i="16" s="1"/>
  <c r="V789" i="16"/>
  <c r="AB789" i="16" s="1"/>
  <c r="X788" i="16"/>
  <c r="AD788" i="16" s="1"/>
  <c r="W788" i="16"/>
  <c r="AC788" i="16" s="1"/>
  <c r="V788" i="16"/>
  <c r="AB788" i="16" s="1"/>
  <c r="X787" i="16"/>
  <c r="AD787" i="16" s="1"/>
  <c r="W787" i="16"/>
  <c r="AC787" i="16" s="1"/>
  <c r="V787" i="16"/>
  <c r="AB787" i="16" s="1"/>
  <c r="X786" i="16"/>
  <c r="AD786" i="16" s="1"/>
  <c r="W786" i="16"/>
  <c r="AC786" i="16" s="1"/>
  <c r="V786" i="16"/>
  <c r="AB786" i="16" s="1"/>
  <c r="X785" i="16"/>
  <c r="AD785" i="16" s="1"/>
  <c r="W785" i="16"/>
  <c r="AC785" i="16" s="1"/>
  <c r="V785" i="16"/>
  <c r="AB785" i="16" s="1"/>
  <c r="X784" i="16"/>
  <c r="AD784" i="16" s="1"/>
  <c r="W784" i="16"/>
  <c r="AC784" i="16" s="1"/>
  <c r="V784" i="16"/>
  <c r="AB784" i="16" s="1"/>
  <c r="X783" i="16"/>
  <c r="AD783" i="16" s="1"/>
  <c r="W783" i="16"/>
  <c r="AC783" i="16" s="1"/>
  <c r="V783" i="16"/>
  <c r="AB783" i="16" s="1"/>
  <c r="X782" i="16"/>
  <c r="AD782" i="16" s="1"/>
  <c r="W782" i="16"/>
  <c r="AC782" i="16" s="1"/>
  <c r="V782" i="16"/>
  <c r="AB782" i="16" s="1"/>
  <c r="X781" i="16"/>
  <c r="AD781" i="16" s="1"/>
  <c r="W781" i="16"/>
  <c r="AC781" i="16" s="1"/>
  <c r="V781" i="16"/>
  <c r="AB781" i="16" s="1"/>
  <c r="X780" i="16"/>
  <c r="AD780" i="16" s="1"/>
  <c r="W780" i="16"/>
  <c r="AC780" i="16" s="1"/>
  <c r="V780" i="16"/>
  <c r="AB780" i="16" s="1"/>
  <c r="X779" i="16"/>
  <c r="AD779" i="16" s="1"/>
  <c r="W779" i="16"/>
  <c r="AC779" i="16" s="1"/>
  <c r="V779" i="16"/>
  <c r="AB779" i="16" s="1"/>
  <c r="X778" i="16"/>
  <c r="AD778" i="16" s="1"/>
  <c r="W778" i="16"/>
  <c r="AC778" i="16" s="1"/>
  <c r="V778" i="16"/>
  <c r="AB778" i="16" s="1"/>
  <c r="X777" i="16"/>
  <c r="AD777" i="16" s="1"/>
  <c r="W777" i="16"/>
  <c r="AC777" i="16" s="1"/>
  <c r="V777" i="16"/>
  <c r="AB777" i="16" s="1"/>
  <c r="X776" i="16"/>
  <c r="AD776" i="16" s="1"/>
  <c r="W776" i="16"/>
  <c r="AC776" i="16" s="1"/>
  <c r="V776" i="16"/>
  <c r="AB776" i="16" s="1"/>
  <c r="X775" i="16"/>
  <c r="AD775" i="16" s="1"/>
  <c r="W775" i="16"/>
  <c r="AC775" i="16" s="1"/>
  <c r="V775" i="16"/>
  <c r="AB775" i="16" s="1"/>
  <c r="X774" i="16"/>
  <c r="AD774" i="16" s="1"/>
  <c r="W774" i="16"/>
  <c r="AC774" i="16" s="1"/>
  <c r="V774" i="16"/>
  <c r="AB774" i="16" s="1"/>
  <c r="X773" i="16"/>
  <c r="AD773" i="16" s="1"/>
  <c r="W773" i="16"/>
  <c r="AC773" i="16" s="1"/>
  <c r="V773" i="16"/>
  <c r="AB773" i="16" s="1"/>
  <c r="X772" i="16"/>
  <c r="AD772" i="16" s="1"/>
  <c r="W772" i="16"/>
  <c r="AC772" i="16" s="1"/>
  <c r="V772" i="16"/>
  <c r="AB772" i="16" s="1"/>
  <c r="X771" i="16"/>
  <c r="AD771" i="16" s="1"/>
  <c r="W771" i="16"/>
  <c r="AC771" i="16" s="1"/>
  <c r="V771" i="16"/>
  <c r="AB771" i="16" s="1"/>
  <c r="X770" i="16"/>
  <c r="AD770" i="16" s="1"/>
  <c r="W770" i="16"/>
  <c r="AC770" i="16" s="1"/>
  <c r="V770" i="16"/>
  <c r="AB770" i="16" s="1"/>
  <c r="X769" i="16"/>
  <c r="AD769" i="16" s="1"/>
  <c r="W769" i="16"/>
  <c r="AC769" i="16" s="1"/>
  <c r="V769" i="16"/>
  <c r="AB769" i="16" s="1"/>
  <c r="X768" i="16"/>
  <c r="AD768" i="16" s="1"/>
  <c r="W768" i="16"/>
  <c r="AC768" i="16" s="1"/>
  <c r="V768" i="16"/>
  <c r="AB768" i="16" s="1"/>
  <c r="X767" i="16"/>
  <c r="AD767" i="16" s="1"/>
  <c r="W767" i="16"/>
  <c r="AC767" i="16" s="1"/>
  <c r="V767" i="16"/>
  <c r="AB767" i="16" s="1"/>
  <c r="X766" i="16"/>
  <c r="AD766" i="16" s="1"/>
  <c r="W766" i="16"/>
  <c r="AC766" i="16" s="1"/>
  <c r="V766" i="16"/>
  <c r="AB766" i="16" s="1"/>
  <c r="X765" i="16"/>
  <c r="AD765" i="16" s="1"/>
  <c r="W765" i="16"/>
  <c r="AC765" i="16" s="1"/>
  <c r="V765" i="16"/>
  <c r="AB765" i="16" s="1"/>
  <c r="X764" i="16"/>
  <c r="AD764" i="16" s="1"/>
  <c r="W764" i="16"/>
  <c r="AC764" i="16" s="1"/>
  <c r="V764" i="16"/>
  <c r="AB764" i="16" s="1"/>
  <c r="X763" i="16"/>
  <c r="AD763" i="16" s="1"/>
  <c r="W763" i="16"/>
  <c r="AC763" i="16" s="1"/>
  <c r="V763" i="16"/>
  <c r="AB763" i="16" s="1"/>
  <c r="X762" i="16"/>
  <c r="AD762" i="16" s="1"/>
  <c r="W762" i="16"/>
  <c r="AC762" i="16" s="1"/>
  <c r="V762" i="16"/>
  <c r="AB762" i="16" s="1"/>
  <c r="X761" i="16"/>
  <c r="AD761" i="16" s="1"/>
  <c r="W761" i="16"/>
  <c r="AC761" i="16" s="1"/>
  <c r="V761" i="16"/>
  <c r="AB761" i="16" s="1"/>
  <c r="X760" i="16"/>
  <c r="AD760" i="16" s="1"/>
  <c r="W760" i="16"/>
  <c r="AC760" i="16" s="1"/>
  <c r="V760" i="16"/>
  <c r="AB760" i="16" s="1"/>
  <c r="X759" i="16"/>
  <c r="AD759" i="16" s="1"/>
  <c r="W759" i="16"/>
  <c r="AC759" i="16" s="1"/>
  <c r="V759" i="16"/>
  <c r="AB759" i="16" s="1"/>
  <c r="X758" i="16"/>
  <c r="AD758" i="16" s="1"/>
  <c r="W758" i="16"/>
  <c r="AC758" i="16" s="1"/>
  <c r="V758" i="16"/>
  <c r="AB758" i="16" s="1"/>
  <c r="X757" i="16"/>
  <c r="AD757" i="16" s="1"/>
  <c r="W757" i="16"/>
  <c r="AC757" i="16" s="1"/>
  <c r="V757" i="16"/>
  <c r="AB757" i="16" s="1"/>
  <c r="X756" i="16"/>
  <c r="AD756" i="16" s="1"/>
  <c r="W756" i="16"/>
  <c r="AC756" i="16" s="1"/>
  <c r="V756" i="16"/>
  <c r="AB756" i="16" s="1"/>
  <c r="X755" i="16"/>
  <c r="AD755" i="16" s="1"/>
  <c r="W755" i="16"/>
  <c r="AC755" i="16" s="1"/>
  <c r="V755" i="16"/>
  <c r="AB755" i="16" s="1"/>
  <c r="X754" i="16"/>
  <c r="AD754" i="16" s="1"/>
  <c r="W754" i="16"/>
  <c r="AC754" i="16" s="1"/>
  <c r="V754" i="16"/>
  <c r="AB754" i="16" s="1"/>
  <c r="X753" i="16"/>
  <c r="AD753" i="16" s="1"/>
  <c r="W753" i="16"/>
  <c r="AC753" i="16" s="1"/>
  <c r="V753" i="16"/>
  <c r="AB753" i="16" s="1"/>
  <c r="X752" i="16"/>
  <c r="AD752" i="16" s="1"/>
  <c r="W752" i="16"/>
  <c r="AC752" i="16" s="1"/>
  <c r="V752" i="16"/>
  <c r="AB752" i="16" s="1"/>
  <c r="X751" i="16"/>
  <c r="AD751" i="16" s="1"/>
  <c r="W751" i="16"/>
  <c r="AC751" i="16" s="1"/>
  <c r="V751" i="16"/>
  <c r="AB751" i="16" s="1"/>
  <c r="X750" i="16"/>
  <c r="AD750" i="16" s="1"/>
  <c r="W750" i="16"/>
  <c r="AC750" i="16" s="1"/>
  <c r="V750" i="16"/>
  <c r="AB750" i="16" s="1"/>
  <c r="X749" i="16"/>
  <c r="AD749" i="16" s="1"/>
  <c r="W749" i="16"/>
  <c r="AC749" i="16" s="1"/>
  <c r="V749" i="16"/>
  <c r="AB749" i="16" s="1"/>
  <c r="X748" i="16"/>
  <c r="AD748" i="16" s="1"/>
  <c r="W748" i="16"/>
  <c r="AC748" i="16" s="1"/>
  <c r="V748" i="16"/>
  <c r="AB748" i="16" s="1"/>
  <c r="X747" i="16"/>
  <c r="AD747" i="16" s="1"/>
  <c r="W747" i="16"/>
  <c r="AC747" i="16" s="1"/>
  <c r="V747" i="16"/>
  <c r="AB747" i="16" s="1"/>
  <c r="X746" i="16"/>
  <c r="AD746" i="16" s="1"/>
  <c r="W746" i="16"/>
  <c r="AC746" i="16" s="1"/>
  <c r="V746" i="16"/>
  <c r="AB746" i="16" s="1"/>
  <c r="X745" i="16"/>
  <c r="AD745" i="16" s="1"/>
  <c r="W745" i="16"/>
  <c r="AC745" i="16" s="1"/>
  <c r="V745" i="16"/>
  <c r="AB745" i="16" s="1"/>
  <c r="X744" i="16"/>
  <c r="AD744" i="16" s="1"/>
  <c r="W744" i="16"/>
  <c r="AC744" i="16" s="1"/>
  <c r="V744" i="16"/>
  <c r="AB744" i="16" s="1"/>
  <c r="X743" i="16"/>
  <c r="AD743" i="16" s="1"/>
  <c r="W743" i="16"/>
  <c r="AC743" i="16" s="1"/>
  <c r="V743" i="16"/>
  <c r="AB743" i="16" s="1"/>
  <c r="X742" i="16"/>
  <c r="AD742" i="16" s="1"/>
  <c r="W742" i="16"/>
  <c r="AC742" i="16" s="1"/>
  <c r="V742" i="16"/>
  <c r="AB742" i="16" s="1"/>
  <c r="X741" i="16"/>
  <c r="AD741" i="16" s="1"/>
  <c r="W741" i="16"/>
  <c r="AC741" i="16" s="1"/>
  <c r="V741" i="16"/>
  <c r="AB741" i="16" s="1"/>
  <c r="X740" i="16"/>
  <c r="AD740" i="16" s="1"/>
  <c r="W740" i="16"/>
  <c r="AC740" i="16" s="1"/>
  <c r="V740" i="16"/>
  <c r="AB740" i="16" s="1"/>
  <c r="X739" i="16"/>
  <c r="AD739" i="16" s="1"/>
  <c r="W739" i="16"/>
  <c r="AC739" i="16" s="1"/>
  <c r="V739" i="16"/>
  <c r="AB739" i="16" s="1"/>
  <c r="X738" i="16"/>
  <c r="AD738" i="16" s="1"/>
  <c r="W738" i="16"/>
  <c r="AC738" i="16" s="1"/>
  <c r="V738" i="16"/>
  <c r="AB738" i="16" s="1"/>
  <c r="X737" i="16"/>
  <c r="AD737" i="16" s="1"/>
  <c r="W737" i="16"/>
  <c r="AC737" i="16" s="1"/>
  <c r="V737" i="16"/>
  <c r="AB737" i="16" s="1"/>
  <c r="X736" i="16"/>
  <c r="AD736" i="16" s="1"/>
  <c r="W736" i="16"/>
  <c r="AC736" i="16" s="1"/>
  <c r="V736" i="16"/>
  <c r="AB736" i="16" s="1"/>
  <c r="X735" i="16"/>
  <c r="AD735" i="16" s="1"/>
  <c r="W735" i="16"/>
  <c r="AC735" i="16" s="1"/>
  <c r="V735" i="16"/>
  <c r="AB735" i="16" s="1"/>
  <c r="X734" i="16"/>
  <c r="AD734" i="16" s="1"/>
  <c r="W734" i="16"/>
  <c r="AC734" i="16" s="1"/>
  <c r="V734" i="16"/>
  <c r="AB734" i="16" s="1"/>
  <c r="X733" i="16"/>
  <c r="AD733" i="16" s="1"/>
  <c r="W733" i="16"/>
  <c r="AC733" i="16" s="1"/>
  <c r="V733" i="16"/>
  <c r="AB733" i="16" s="1"/>
  <c r="X732" i="16"/>
  <c r="AD732" i="16" s="1"/>
  <c r="W732" i="16"/>
  <c r="AC732" i="16" s="1"/>
  <c r="V732" i="16"/>
  <c r="AB732" i="16" s="1"/>
  <c r="X731" i="16"/>
  <c r="AD731" i="16" s="1"/>
  <c r="W731" i="16"/>
  <c r="AC731" i="16" s="1"/>
  <c r="V731" i="16"/>
  <c r="AB731" i="16" s="1"/>
  <c r="X730" i="16"/>
  <c r="AD730" i="16" s="1"/>
  <c r="W730" i="16"/>
  <c r="AC730" i="16" s="1"/>
  <c r="V730" i="16"/>
  <c r="AB730" i="16" s="1"/>
  <c r="X729" i="16"/>
  <c r="AD729" i="16" s="1"/>
  <c r="W729" i="16"/>
  <c r="AC729" i="16" s="1"/>
  <c r="V729" i="16"/>
  <c r="AB729" i="16" s="1"/>
  <c r="X728" i="16"/>
  <c r="AD728" i="16" s="1"/>
  <c r="W728" i="16"/>
  <c r="AC728" i="16" s="1"/>
  <c r="V728" i="16"/>
  <c r="AB728" i="16" s="1"/>
  <c r="X727" i="16"/>
  <c r="AD727" i="16" s="1"/>
  <c r="W727" i="16"/>
  <c r="AC727" i="16" s="1"/>
  <c r="V727" i="16"/>
  <c r="AB727" i="16" s="1"/>
  <c r="X726" i="16"/>
  <c r="AD726" i="16" s="1"/>
  <c r="W726" i="16"/>
  <c r="AC726" i="16" s="1"/>
  <c r="V726" i="16"/>
  <c r="AB726" i="16" s="1"/>
  <c r="X725" i="16"/>
  <c r="AD725" i="16" s="1"/>
  <c r="W725" i="16"/>
  <c r="AC725" i="16" s="1"/>
  <c r="V725" i="16"/>
  <c r="AB725" i="16" s="1"/>
  <c r="X724" i="16"/>
  <c r="AD724" i="16" s="1"/>
  <c r="W724" i="16"/>
  <c r="AC724" i="16" s="1"/>
  <c r="V724" i="16"/>
  <c r="AB724" i="16" s="1"/>
  <c r="X723" i="16"/>
  <c r="AD723" i="16" s="1"/>
  <c r="W723" i="16"/>
  <c r="AC723" i="16" s="1"/>
  <c r="V723" i="16"/>
  <c r="AB723" i="16" s="1"/>
  <c r="X722" i="16"/>
  <c r="AD722" i="16" s="1"/>
  <c r="W722" i="16"/>
  <c r="AC722" i="16" s="1"/>
  <c r="V722" i="16"/>
  <c r="AB722" i="16" s="1"/>
  <c r="X721" i="16"/>
  <c r="AD721" i="16" s="1"/>
  <c r="W721" i="16"/>
  <c r="AC721" i="16" s="1"/>
  <c r="V721" i="16"/>
  <c r="AB721" i="16" s="1"/>
  <c r="X720" i="16"/>
  <c r="AD720" i="16" s="1"/>
  <c r="W720" i="16"/>
  <c r="AC720" i="16" s="1"/>
  <c r="V720" i="16"/>
  <c r="AB720" i="16" s="1"/>
  <c r="X719" i="16"/>
  <c r="AD719" i="16" s="1"/>
  <c r="W719" i="16"/>
  <c r="AC719" i="16" s="1"/>
  <c r="V719" i="16"/>
  <c r="AB719" i="16" s="1"/>
  <c r="X718" i="16"/>
  <c r="AD718" i="16" s="1"/>
  <c r="W718" i="16"/>
  <c r="AC718" i="16" s="1"/>
  <c r="V718" i="16"/>
  <c r="AB718" i="16" s="1"/>
  <c r="X717" i="16"/>
  <c r="AD717" i="16" s="1"/>
  <c r="W717" i="16"/>
  <c r="AC717" i="16" s="1"/>
  <c r="V717" i="16"/>
  <c r="AB717" i="16" s="1"/>
  <c r="X716" i="16"/>
  <c r="AD716" i="16" s="1"/>
  <c r="W716" i="16"/>
  <c r="AC716" i="16" s="1"/>
  <c r="V716" i="16"/>
  <c r="AB716" i="16" s="1"/>
  <c r="X715" i="16"/>
  <c r="AD715" i="16" s="1"/>
  <c r="W715" i="16"/>
  <c r="AC715" i="16" s="1"/>
  <c r="V715" i="16"/>
  <c r="AB715" i="16" s="1"/>
  <c r="X714" i="16"/>
  <c r="AD714" i="16" s="1"/>
  <c r="W714" i="16"/>
  <c r="AC714" i="16" s="1"/>
  <c r="V714" i="16"/>
  <c r="AB714" i="16" s="1"/>
  <c r="X713" i="16"/>
  <c r="AD713" i="16" s="1"/>
  <c r="W713" i="16"/>
  <c r="AC713" i="16" s="1"/>
  <c r="V713" i="16"/>
  <c r="AB713" i="16" s="1"/>
  <c r="X712" i="16"/>
  <c r="AD712" i="16" s="1"/>
  <c r="W712" i="16"/>
  <c r="AC712" i="16" s="1"/>
  <c r="V712" i="16"/>
  <c r="AB712" i="16" s="1"/>
  <c r="X711" i="16"/>
  <c r="AD711" i="16" s="1"/>
  <c r="W711" i="16"/>
  <c r="AC711" i="16" s="1"/>
  <c r="V711" i="16"/>
  <c r="AB711" i="16" s="1"/>
  <c r="X710" i="16"/>
  <c r="AD710" i="16" s="1"/>
  <c r="W710" i="16"/>
  <c r="AC710" i="16" s="1"/>
  <c r="V710" i="16"/>
  <c r="AB710" i="16" s="1"/>
  <c r="X709" i="16"/>
  <c r="AD709" i="16" s="1"/>
  <c r="W709" i="16"/>
  <c r="AC709" i="16" s="1"/>
  <c r="V709" i="16"/>
  <c r="AB709" i="16" s="1"/>
  <c r="X708" i="16"/>
  <c r="AD708" i="16" s="1"/>
  <c r="W708" i="16"/>
  <c r="AC708" i="16" s="1"/>
  <c r="V708" i="16"/>
  <c r="AB708" i="16" s="1"/>
  <c r="X707" i="16"/>
  <c r="AD707" i="16" s="1"/>
  <c r="W707" i="16"/>
  <c r="AC707" i="16" s="1"/>
  <c r="V707" i="16"/>
  <c r="AB707" i="16" s="1"/>
  <c r="X706" i="16"/>
  <c r="AD706" i="16" s="1"/>
  <c r="W706" i="16"/>
  <c r="AC706" i="16" s="1"/>
  <c r="V706" i="16"/>
  <c r="AB706" i="16" s="1"/>
  <c r="X705" i="16"/>
  <c r="AD705" i="16" s="1"/>
  <c r="W705" i="16"/>
  <c r="AC705" i="16" s="1"/>
  <c r="V705" i="16"/>
  <c r="AB705" i="16" s="1"/>
  <c r="X704" i="16"/>
  <c r="AD704" i="16" s="1"/>
  <c r="W704" i="16"/>
  <c r="AC704" i="16" s="1"/>
  <c r="V704" i="16"/>
  <c r="AB704" i="16" s="1"/>
  <c r="X703" i="16"/>
  <c r="AD703" i="16" s="1"/>
  <c r="W703" i="16"/>
  <c r="AC703" i="16" s="1"/>
  <c r="V703" i="16"/>
  <c r="AB703" i="16" s="1"/>
  <c r="X702" i="16"/>
  <c r="AD702" i="16" s="1"/>
  <c r="W702" i="16"/>
  <c r="AC702" i="16" s="1"/>
  <c r="V702" i="16"/>
  <c r="AB702" i="16" s="1"/>
  <c r="X701" i="16"/>
  <c r="AD701" i="16" s="1"/>
  <c r="W701" i="16"/>
  <c r="AC701" i="16" s="1"/>
  <c r="V701" i="16"/>
  <c r="AB701" i="16" s="1"/>
  <c r="X700" i="16"/>
  <c r="AD700" i="16" s="1"/>
  <c r="W700" i="16"/>
  <c r="AC700" i="16" s="1"/>
  <c r="V700" i="16"/>
  <c r="AB700" i="16" s="1"/>
  <c r="X699" i="16"/>
  <c r="AD699" i="16" s="1"/>
  <c r="W699" i="16"/>
  <c r="AC699" i="16" s="1"/>
  <c r="V699" i="16"/>
  <c r="AB699" i="16" s="1"/>
  <c r="X698" i="16"/>
  <c r="AD698" i="16" s="1"/>
  <c r="W698" i="16"/>
  <c r="AC698" i="16" s="1"/>
  <c r="V698" i="16"/>
  <c r="AB698" i="16" s="1"/>
  <c r="X697" i="16"/>
  <c r="AD697" i="16" s="1"/>
  <c r="W697" i="16"/>
  <c r="AC697" i="16" s="1"/>
  <c r="V697" i="16"/>
  <c r="AB697" i="16" s="1"/>
  <c r="X696" i="16"/>
  <c r="AD696" i="16" s="1"/>
  <c r="W696" i="16"/>
  <c r="AC696" i="16" s="1"/>
  <c r="V696" i="16"/>
  <c r="AB696" i="16" s="1"/>
  <c r="X695" i="16"/>
  <c r="AD695" i="16" s="1"/>
  <c r="W695" i="16"/>
  <c r="AC695" i="16" s="1"/>
  <c r="V695" i="16"/>
  <c r="AB695" i="16" s="1"/>
  <c r="X694" i="16"/>
  <c r="AD694" i="16" s="1"/>
  <c r="W694" i="16"/>
  <c r="AC694" i="16" s="1"/>
  <c r="V694" i="16"/>
  <c r="AB694" i="16" s="1"/>
  <c r="X693" i="16"/>
  <c r="AD693" i="16" s="1"/>
  <c r="W693" i="16"/>
  <c r="AC693" i="16" s="1"/>
  <c r="V693" i="16"/>
  <c r="AB693" i="16" s="1"/>
  <c r="X692" i="16"/>
  <c r="AD692" i="16" s="1"/>
  <c r="W692" i="16"/>
  <c r="AC692" i="16" s="1"/>
  <c r="V692" i="16"/>
  <c r="AB692" i="16" s="1"/>
  <c r="X691" i="16"/>
  <c r="AD691" i="16" s="1"/>
  <c r="W691" i="16"/>
  <c r="AC691" i="16" s="1"/>
  <c r="V691" i="16"/>
  <c r="AB691" i="16" s="1"/>
  <c r="X690" i="16"/>
  <c r="AD690" i="16" s="1"/>
  <c r="W690" i="16"/>
  <c r="AC690" i="16" s="1"/>
  <c r="V690" i="16"/>
  <c r="AB690" i="16" s="1"/>
  <c r="X689" i="16"/>
  <c r="AD689" i="16" s="1"/>
  <c r="W689" i="16"/>
  <c r="AC689" i="16" s="1"/>
  <c r="V689" i="16"/>
  <c r="AB689" i="16" s="1"/>
  <c r="X688" i="16"/>
  <c r="AD688" i="16" s="1"/>
  <c r="W688" i="16"/>
  <c r="AC688" i="16" s="1"/>
  <c r="V688" i="16"/>
  <c r="AB688" i="16" s="1"/>
  <c r="X687" i="16"/>
  <c r="AD687" i="16" s="1"/>
  <c r="W687" i="16"/>
  <c r="AC687" i="16" s="1"/>
  <c r="V687" i="16"/>
  <c r="AB687" i="16" s="1"/>
  <c r="X686" i="16"/>
  <c r="AD686" i="16" s="1"/>
  <c r="W686" i="16"/>
  <c r="AC686" i="16" s="1"/>
  <c r="V686" i="16"/>
  <c r="AB686" i="16" s="1"/>
  <c r="X685" i="16"/>
  <c r="AD685" i="16" s="1"/>
  <c r="W685" i="16"/>
  <c r="AC685" i="16" s="1"/>
  <c r="V685" i="16"/>
  <c r="AB685" i="16" s="1"/>
  <c r="X684" i="16"/>
  <c r="AD684" i="16" s="1"/>
  <c r="W684" i="16"/>
  <c r="AC684" i="16" s="1"/>
  <c r="V684" i="16"/>
  <c r="AB684" i="16" s="1"/>
  <c r="X683" i="16"/>
  <c r="AD683" i="16" s="1"/>
  <c r="W683" i="16"/>
  <c r="AC683" i="16" s="1"/>
  <c r="V683" i="16"/>
  <c r="AB683" i="16" s="1"/>
  <c r="X682" i="16"/>
  <c r="AD682" i="16" s="1"/>
  <c r="W682" i="16"/>
  <c r="AC682" i="16" s="1"/>
  <c r="V682" i="16"/>
  <c r="AB682" i="16" s="1"/>
  <c r="X681" i="16"/>
  <c r="AD681" i="16" s="1"/>
  <c r="W681" i="16"/>
  <c r="AC681" i="16" s="1"/>
  <c r="V681" i="16"/>
  <c r="AB681" i="16" s="1"/>
  <c r="X680" i="16"/>
  <c r="AD680" i="16" s="1"/>
  <c r="W680" i="16"/>
  <c r="AC680" i="16" s="1"/>
  <c r="V680" i="16"/>
  <c r="AB680" i="16" s="1"/>
  <c r="X679" i="16"/>
  <c r="AD679" i="16" s="1"/>
  <c r="W679" i="16"/>
  <c r="AC679" i="16" s="1"/>
  <c r="V679" i="16"/>
  <c r="AB679" i="16" s="1"/>
  <c r="X678" i="16"/>
  <c r="AD678" i="16" s="1"/>
  <c r="W678" i="16"/>
  <c r="AC678" i="16" s="1"/>
  <c r="V678" i="16"/>
  <c r="AB678" i="16" s="1"/>
  <c r="X677" i="16"/>
  <c r="AD677" i="16" s="1"/>
  <c r="W677" i="16"/>
  <c r="AC677" i="16" s="1"/>
  <c r="V677" i="16"/>
  <c r="AB677" i="16" s="1"/>
  <c r="X676" i="16"/>
  <c r="AD676" i="16" s="1"/>
  <c r="W676" i="16"/>
  <c r="AC676" i="16" s="1"/>
  <c r="V676" i="16"/>
  <c r="AB676" i="16" s="1"/>
  <c r="X675" i="16"/>
  <c r="AD675" i="16" s="1"/>
  <c r="W675" i="16"/>
  <c r="AC675" i="16" s="1"/>
  <c r="V675" i="16"/>
  <c r="AB675" i="16" s="1"/>
  <c r="X674" i="16"/>
  <c r="AD674" i="16" s="1"/>
  <c r="W674" i="16"/>
  <c r="AC674" i="16" s="1"/>
  <c r="V674" i="16"/>
  <c r="AB674" i="16" s="1"/>
  <c r="X673" i="16"/>
  <c r="AD673" i="16" s="1"/>
  <c r="W673" i="16"/>
  <c r="AC673" i="16" s="1"/>
  <c r="V673" i="16"/>
  <c r="AB673" i="16" s="1"/>
  <c r="X672" i="16"/>
  <c r="AD672" i="16" s="1"/>
  <c r="W672" i="16"/>
  <c r="AC672" i="16" s="1"/>
  <c r="V672" i="16"/>
  <c r="AB672" i="16" s="1"/>
  <c r="X671" i="16"/>
  <c r="AD671" i="16" s="1"/>
  <c r="W671" i="16"/>
  <c r="AC671" i="16" s="1"/>
  <c r="V671" i="16"/>
  <c r="AB671" i="16" s="1"/>
  <c r="X670" i="16"/>
  <c r="AD670" i="16" s="1"/>
  <c r="W670" i="16"/>
  <c r="AC670" i="16" s="1"/>
  <c r="V670" i="16"/>
  <c r="AB670" i="16" s="1"/>
  <c r="X669" i="16"/>
  <c r="AD669" i="16" s="1"/>
  <c r="W669" i="16"/>
  <c r="AC669" i="16" s="1"/>
  <c r="V669" i="16"/>
  <c r="AB669" i="16" s="1"/>
  <c r="X668" i="16"/>
  <c r="AD668" i="16" s="1"/>
  <c r="W668" i="16"/>
  <c r="AC668" i="16" s="1"/>
  <c r="V668" i="16"/>
  <c r="AB668" i="16" s="1"/>
  <c r="X667" i="16"/>
  <c r="AD667" i="16" s="1"/>
  <c r="W667" i="16"/>
  <c r="AC667" i="16" s="1"/>
  <c r="V667" i="16"/>
  <c r="AB667" i="16" s="1"/>
  <c r="X666" i="16"/>
  <c r="AD666" i="16" s="1"/>
  <c r="W666" i="16"/>
  <c r="AC666" i="16" s="1"/>
  <c r="V666" i="16"/>
  <c r="AB666" i="16" s="1"/>
  <c r="X665" i="16"/>
  <c r="AD665" i="16" s="1"/>
  <c r="W665" i="16"/>
  <c r="AC665" i="16" s="1"/>
  <c r="V665" i="16"/>
  <c r="AB665" i="16" s="1"/>
  <c r="X664" i="16"/>
  <c r="AD664" i="16" s="1"/>
  <c r="W664" i="16"/>
  <c r="AC664" i="16" s="1"/>
  <c r="V664" i="16"/>
  <c r="AB664" i="16" s="1"/>
  <c r="X663" i="16"/>
  <c r="AD663" i="16" s="1"/>
  <c r="W663" i="16"/>
  <c r="AC663" i="16" s="1"/>
  <c r="V663" i="16"/>
  <c r="AB663" i="16" s="1"/>
  <c r="X662" i="16"/>
  <c r="AD662" i="16" s="1"/>
  <c r="W662" i="16"/>
  <c r="AC662" i="16" s="1"/>
  <c r="V662" i="16"/>
  <c r="AB662" i="16" s="1"/>
  <c r="X661" i="16"/>
  <c r="AD661" i="16" s="1"/>
  <c r="W661" i="16"/>
  <c r="AC661" i="16" s="1"/>
  <c r="V661" i="16"/>
  <c r="AB661" i="16" s="1"/>
  <c r="X660" i="16"/>
  <c r="AD660" i="16" s="1"/>
  <c r="W660" i="16"/>
  <c r="AC660" i="16" s="1"/>
  <c r="V660" i="16"/>
  <c r="AB660" i="16" s="1"/>
  <c r="X659" i="16"/>
  <c r="AD659" i="16" s="1"/>
  <c r="W659" i="16"/>
  <c r="AC659" i="16" s="1"/>
  <c r="V659" i="16"/>
  <c r="AB659" i="16" s="1"/>
  <c r="X658" i="16"/>
  <c r="AD658" i="16" s="1"/>
  <c r="W658" i="16"/>
  <c r="AC658" i="16" s="1"/>
  <c r="V658" i="16"/>
  <c r="AB658" i="16" s="1"/>
  <c r="X657" i="16"/>
  <c r="AD657" i="16" s="1"/>
  <c r="W657" i="16"/>
  <c r="AC657" i="16" s="1"/>
  <c r="V657" i="16"/>
  <c r="AB657" i="16" s="1"/>
  <c r="X656" i="16"/>
  <c r="AD656" i="16" s="1"/>
  <c r="W656" i="16"/>
  <c r="AC656" i="16" s="1"/>
  <c r="V656" i="16"/>
  <c r="AB656" i="16" s="1"/>
  <c r="X655" i="16"/>
  <c r="AD655" i="16" s="1"/>
  <c r="W655" i="16"/>
  <c r="AC655" i="16" s="1"/>
  <c r="V655" i="16"/>
  <c r="AB655" i="16" s="1"/>
  <c r="X654" i="16"/>
  <c r="AD654" i="16" s="1"/>
  <c r="W654" i="16"/>
  <c r="AC654" i="16" s="1"/>
  <c r="V654" i="16"/>
  <c r="AB654" i="16" s="1"/>
  <c r="X653" i="16"/>
  <c r="AD653" i="16" s="1"/>
  <c r="W653" i="16"/>
  <c r="AC653" i="16" s="1"/>
  <c r="V653" i="16"/>
  <c r="AB653" i="16" s="1"/>
  <c r="X652" i="16"/>
  <c r="AD652" i="16" s="1"/>
  <c r="W652" i="16"/>
  <c r="AC652" i="16" s="1"/>
  <c r="V652" i="16"/>
  <c r="AB652" i="16" s="1"/>
  <c r="X651" i="16"/>
  <c r="AD651" i="16" s="1"/>
  <c r="W651" i="16"/>
  <c r="AC651" i="16" s="1"/>
  <c r="V651" i="16"/>
  <c r="AB651" i="16" s="1"/>
  <c r="X650" i="16"/>
  <c r="AD650" i="16" s="1"/>
  <c r="W650" i="16"/>
  <c r="AC650" i="16" s="1"/>
  <c r="V650" i="16"/>
  <c r="AB650" i="16" s="1"/>
  <c r="X649" i="16"/>
  <c r="AD649" i="16" s="1"/>
  <c r="W649" i="16"/>
  <c r="AC649" i="16" s="1"/>
  <c r="V649" i="16"/>
  <c r="AB649" i="16" s="1"/>
  <c r="X648" i="16"/>
  <c r="AD648" i="16" s="1"/>
  <c r="W648" i="16"/>
  <c r="AC648" i="16" s="1"/>
  <c r="V648" i="16"/>
  <c r="AB648" i="16" s="1"/>
  <c r="X647" i="16"/>
  <c r="AD647" i="16" s="1"/>
  <c r="W647" i="16"/>
  <c r="AC647" i="16" s="1"/>
  <c r="V647" i="16"/>
  <c r="AB647" i="16" s="1"/>
  <c r="X646" i="16"/>
  <c r="AD646" i="16" s="1"/>
  <c r="W646" i="16"/>
  <c r="AC646" i="16" s="1"/>
  <c r="V646" i="16"/>
  <c r="AB646" i="16" s="1"/>
  <c r="X645" i="16"/>
  <c r="AD645" i="16" s="1"/>
  <c r="W645" i="16"/>
  <c r="AC645" i="16" s="1"/>
  <c r="V645" i="16"/>
  <c r="AB645" i="16" s="1"/>
  <c r="X644" i="16"/>
  <c r="AD644" i="16" s="1"/>
  <c r="W644" i="16"/>
  <c r="AC644" i="16" s="1"/>
  <c r="V644" i="16"/>
  <c r="AB644" i="16" s="1"/>
  <c r="X643" i="16"/>
  <c r="AD643" i="16" s="1"/>
  <c r="W643" i="16"/>
  <c r="AC643" i="16" s="1"/>
  <c r="V643" i="16"/>
  <c r="AB643" i="16" s="1"/>
  <c r="X642" i="16"/>
  <c r="AD642" i="16" s="1"/>
  <c r="W642" i="16"/>
  <c r="AC642" i="16" s="1"/>
  <c r="V642" i="16"/>
  <c r="AB642" i="16" s="1"/>
  <c r="X641" i="16"/>
  <c r="AD641" i="16" s="1"/>
  <c r="W641" i="16"/>
  <c r="AC641" i="16" s="1"/>
  <c r="V641" i="16"/>
  <c r="AB641" i="16" s="1"/>
  <c r="X640" i="16"/>
  <c r="AD640" i="16" s="1"/>
  <c r="W640" i="16"/>
  <c r="AC640" i="16" s="1"/>
  <c r="V640" i="16"/>
  <c r="AB640" i="16" s="1"/>
  <c r="X639" i="16"/>
  <c r="AD639" i="16" s="1"/>
  <c r="W639" i="16"/>
  <c r="AC639" i="16" s="1"/>
  <c r="V639" i="16"/>
  <c r="AB639" i="16" s="1"/>
  <c r="X638" i="16"/>
  <c r="AD638" i="16" s="1"/>
  <c r="W638" i="16"/>
  <c r="AC638" i="16" s="1"/>
  <c r="V638" i="16"/>
  <c r="AB638" i="16" s="1"/>
  <c r="X637" i="16"/>
  <c r="AD637" i="16" s="1"/>
  <c r="W637" i="16"/>
  <c r="AC637" i="16" s="1"/>
  <c r="V637" i="16"/>
  <c r="AB637" i="16" s="1"/>
  <c r="X636" i="16"/>
  <c r="AD636" i="16" s="1"/>
  <c r="W636" i="16"/>
  <c r="AC636" i="16" s="1"/>
  <c r="V636" i="16"/>
  <c r="AB636" i="16" s="1"/>
  <c r="X635" i="16"/>
  <c r="AD635" i="16" s="1"/>
  <c r="W635" i="16"/>
  <c r="AC635" i="16" s="1"/>
  <c r="V635" i="16"/>
  <c r="AB635" i="16" s="1"/>
  <c r="X634" i="16"/>
  <c r="AD634" i="16" s="1"/>
  <c r="W634" i="16"/>
  <c r="AC634" i="16" s="1"/>
  <c r="V634" i="16"/>
  <c r="AB634" i="16" s="1"/>
  <c r="X633" i="16"/>
  <c r="AD633" i="16" s="1"/>
  <c r="W633" i="16"/>
  <c r="AC633" i="16" s="1"/>
  <c r="V633" i="16"/>
  <c r="AB633" i="16" s="1"/>
  <c r="X632" i="16"/>
  <c r="AD632" i="16" s="1"/>
  <c r="W632" i="16"/>
  <c r="AC632" i="16" s="1"/>
  <c r="V632" i="16"/>
  <c r="AB632" i="16" s="1"/>
  <c r="X631" i="16"/>
  <c r="AD631" i="16" s="1"/>
  <c r="W631" i="16"/>
  <c r="AC631" i="16" s="1"/>
  <c r="V631" i="16"/>
  <c r="AB631" i="16" s="1"/>
  <c r="X630" i="16"/>
  <c r="AD630" i="16" s="1"/>
  <c r="W630" i="16"/>
  <c r="AC630" i="16" s="1"/>
  <c r="V630" i="16"/>
  <c r="AB630" i="16" s="1"/>
  <c r="X629" i="16"/>
  <c r="AD629" i="16" s="1"/>
  <c r="W629" i="16"/>
  <c r="AC629" i="16" s="1"/>
  <c r="V629" i="16"/>
  <c r="AB629" i="16" s="1"/>
  <c r="X628" i="16"/>
  <c r="AD628" i="16" s="1"/>
  <c r="W628" i="16"/>
  <c r="AC628" i="16" s="1"/>
  <c r="V628" i="16"/>
  <c r="AB628" i="16" s="1"/>
  <c r="X627" i="16"/>
  <c r="AD627" i="16" s="1"/>
  <c r="W627" i="16"/>
  <c r="AC627" i="16" s="1"/>
  <c r="V627" i="16"/>
  <c r="AB627" i="16" s="1"/>
  <c r="X626" i="16"/>
  <c r="AD626" i="16" s="1"/>
  <c r="W626" i="16"/>
  <c r="AC626" i="16" s="1"/>
  <c r="V626" i="16"/>
  <c r="AB626" i="16" s="1"/>
  <c r="X625" i="16"/>
  <c r="AD625" i="16" s="1"/>
  <c r="W625" i="16"/>
  <c r="AC625" i="16" s="1"/>
  <c r="V625" i="16"/>
  <c r="AB625" i="16" s="1"/>
  <c r="X624" i="16"/>
  <c r="AD624" i="16" s="1"/>
  <c r="W624" i="16"/>
  <c r="AC624" i="16" s="1"/>
  <c r="V624" i="16"/>
  <c r="AB624" i="16" s="1"/>
  <c r="X623" i="16"/>
  <c r="AD623" i="16" s="1"/>
  <c r="W623" i="16"/>
  <c r="AC623" i="16" s="1"/>
  <c r="V623" i="16"/>
  <c r="AB623" i="16" s="1"/>
  <c r="X622" i="16"/>
  <c r="AD622" i="16" s="1"/>
  <c r="W622" i="16"/>
  <c r="AC622" i="16" s="1"/>
  <c r="V622" i="16"/>
  <c r="AB622" i="16" s="1"/>
  <c r="X621" i="16"/>
  <c r="AD621" i="16" s="1"/>
  <c r="W621" i="16"/>
  <c r="AC621" i="16" s="1"/>
  <c r="V621" i="16"/>
  <c r="AB621" i="16" s="1"/>
  <c r="X620" i="16"/>
  <c r="AD620" i="16" s="1"/>
  <c r="W620" i="16"/>
  <c r="AC620" i="16" s="1"/>
  <c r="V620" i="16"/>
  <c r="AB620" i="16" s="1"/>
  <c r="X619" i="16"/>
  <c r="AD619" i="16" s="1"/>
  <c r="W619" i="16"/>
  <c r="AC619" i="16" s="1"/>
  <c r="V619" i="16"/>
  <c r="AB619" i="16" s="1"/>
  <c r="X618" i="16"/>
  <c r="AD618" i="16" s="1"/>
  <c r="W618" i="16"/>
  <c r="AC618" i="16" s="1"/>
  <c r="V618" i="16"/>
  <c r="AB618" i="16" s="1"/>
  <c r="X617" i="16"/>
  <c r="AD617" i="16" s="1"/>
  <c r="W617" i="16"/>
  <c r="AC617" i="16" s="1"/>
  <c r="V617" i="16"/>
  <c r="AB617" i="16" s="1"/>
  <c r="X616" i="16"/>
  <c r="AD616" i="16" s="1"/>
  <c r="W616" i="16"/>
  <c r="AC616" i="16" s="1"/>
  <c r="V616" i="16"/>
  <c r="AB616" i="16" s="1"/>
  <c r="X615" i="16"/>
  <c r="AD615" i="16" s="1"/>
  <c r="W615" i="16"/>
  <c r="AC615" i="16" s="1"/>
  <c r="V615" i="16"/>
  <c r="AB615" i="16" s="1"/>
  <c r="X614" i="16"/>
  <c r="AD614" i="16" s="1"/>
  <c r="W614" i="16"/>
  <c r="AC614" i="16" s="1"/>
  <c r="V614" i="16"/>
  <c r="AB614" i="16" s="1"/>
  <c r="X613" i="16"/>
  <c r="AD613" i="16" s="1"/>
  <c r="W613" i="16"/>
  <c r="AC613" i="16" s="1"/>
  <c r="V613" i="16"/>
  <c r="AB613" i="16" s="1"/>
  <c r="X612" i="16"/>
  <c r="AD612" i="16" s="1"/>
  <c r="W612" i="16"/>
  <c r="AC612" i="16" s="1"/>
  <c r="V612" i="16"/>
  <c r="AB612" i="16" s="1"/>
  <c r="X611" i="16"/>
  <c r="AD611" i="16" s="1"/>
  <c r="W611" i="16"/>
  <c r="AC611" i="16" s="1"/>
  <c r="V611" i="16"/>
  <c r="AB611" i="16" s="1"/>
  <c r="X610" i="16"/>
  <c r="AD610" i="16" s="1"/>
  <c r="W610" i="16"/>
  <c r="AC610" i="16" s="1"/>
  <c r="V610" i="16"/>
  <c r="AB610" i="16" s="1"/>
  <c r="X609" i="16"/>
  <c r="AD609" i="16" s="1"/>
  <c r="W609" i="16"/>
  <c r="AC609" i="16" s="1"/>
  <c r="V609" i="16"/>
  <c r="AB609" i="16" s="1"/>
  <c r="X608" i="16"/>
  <c r="AD608" i="16" s="1"/>
  <c r="W608" i="16"/>
  <c r="AC608" i="16" s="1"/>
  <c r="V608" i="16"/>
  <c r="AB608" i="16" s="1"/>
  <c r="X607" i="16"/>
  <c r="AD607" i="16" s="1"/>
  <c r="W607" i="16"/>
  <c r="AC607" i="16" s="1"/>
  <c r="V607" i="16"/>
  <c r="AB607" i="16" s="1"/>
  <c r="X606" i="16"/>
  <c r="AD606" i="16" s="1"/>
  <c r="W606" i="16"/>
  <c r="AC606" i="16" s="1"/>
  <c r="V606" i="16"/>
  <c r="AB606" i="16" s="1"/>
  <c r="X605" i="16"/>
  <c r="AD605" i="16" s="1"/>
  <c r="W605" i="16"/>
  <c r="AC605" i="16" s="1"/>
  <c r="V605" i="16"/>
  <c r="AB605" i="16" s="1"/>
  <c r="X604" i="16"/>
  <c r="AD604" i="16" s="1"/>
  <c r="W604" i="16"/>
  <c r="AC604" i="16" s="1"/>
  <c r="V604" i="16"/>
  <c r="AB604" i="16" s="1"/>
  <c r="X603" i="16"/>
  <c r="AD603" i="16" s="1"/>
  <c r="W603" i="16"/>
  <c r="AC603" i="16" s="1"/>
  <c r="V603" i="16"/>
  <c r="AB603" i="16" s="1"/>
  <c r="X602" i="16"/>
  <c r="AD602" i="16" s="1"/>
  <c r="W602" i="16"/>
  <c r="AC602" i="16" s="1"/>
  <c r="V602" i="16"/>
  <c r="AB602" i="16" s="1"/>
  <c r="X601" i="16"/>
  <c r="AD601" i="16" s="1"/>
  <c r="W601" i="16"/>
  <c r="AC601" i="16" s="1"/>
  <c r="V601" i="16"/>
  <c r="AB601" i="16" s="1"/>
  <c r="X600" i="16"/>
  <c r="AD600" i="16" s="1"/>
  <c r="W600" i="16"/>
  <c r="AC600" i="16" s="1"/>
  <c r="V600" i="16"/>
  <c r="AB600" i="16" s="1"/>
  <c r="X599" i="16"/>
  <c r="AD599" i="16" s="1"/>
  <c r="W599" i="16"/>
  <c r="AC599" i="16" s="1"/>
  <c r="V599" i="16"/>
  <c r="AB599" i="16" s="1"/>
  <c r="X598" i="16"/>
  <c r="AD598" i="16" s="1"/>
  <c r="W598" i="16"/>
  <c r="AC598" i="16" s="1"/>
  <c r="V598" i="16"/>
  <c r="AB598" i="16" s="1"/>
  <c r="X597" i="16"/>
  <c r="AD597" i="16" s="1"/>
  <c r="W597" i="16"/>
  <c r="AC597" i="16" s="1"/>
  <c r="V597" i="16"/>
  <c r="AB597" i="16" s="1"/>
  <c r="X596" i="16"/>
  <c r="AD596" i="16" s="1"/>
  <c r="W596" i="16"/>
  <c r="AC596" i="16" s="1"/>
  <c r="V596" i="16"/>
  <c r="AB596" i="16" s="1"/>
  <c r="X595" i="16"/>
  <c r="AD595" i="16" s="1"/>
  <c r="W595" i="16"/>
  <c r="AC595" i="16" s="1"/>
  <c r="V595" i="16"/>
  <c r="AB595" i="16" s="1"/>
  <c r="X594" i="16"/>
  <c r="AD594" i="16" s="1"/>
  <c r="W594" i="16"/>
  <c r="AC594" i="16" s="1"/>
  <c r="V594" i="16"/>
  <c r="AB594" i="16" s="1"/>
  <c r="X593" i="16"/>
  <c r="AD593" i="16" s="1"/>
  <c r="W593" i="16"/>
  <c r="AC593" i="16" s="1"/>
  <c r="V593" i="16"/>
  <c r="AB593" i="16" s="1"/>
  <c r="X592" i="16"/>
  <c r="AD592" i="16" s="1"/>
  <c r="W592" i="16"/>
  <c r="AC592" i="16" s="1"/>
  <c r="V592" i="16"/>
  <c r="AB592" i="16" s="1"/>
  <c r="X591" i="16"/>
  <c r="AD591" i="16" s="1"/>
  <c r="W591" i="16"/>
  <c r="AC591" i="16" s="1"/>
  <c r="V591" i="16"/>
  <c r="AB591" i="16" s="1"/>
  <c r="X590" i="16"/>
  <c r="AD590" i="16" s="1"/>
  <c r="W590" i="16"/>
  <c r="AC590" i="16" s="1"/>
  <c r="V590" i="16"/>
  <c r="AB590" i="16" s="1"/>
  <c r="X589" i="16"/>
  <c r="AD589" i="16" s="1"/>
  <c r="W589" i="16"/>
  <c r="AC589" i="16" s="1"/>
  <c r="V589" i="16"/>
  <c r="AB589" i="16" s="1"/>
  <c r="X588" i="16"/>
  <c r="AD588" i="16" s="1"/>
  <c r="W588" i="16"/>
  <c r="AC588" i="16" s="1"/>
  <c r="V588" i="16"/>
  <c r="AB588" i="16" s="1"/>
  <c r="X587" i="16"/>
  <c r="AD587" i="16" s="1"/>
  <c r="W587" i="16"/>
  <c r="AC587" i="16" s="1"/>
  <c r="V587" i="16"/>
  <c r="AB587" i="16" s="1"/>
  <c r="X586" i="16"/>
  <c r="AD586" i="16" s="1"/>
  <c r="W586" i="16"/>
  <c r="AC586" i="16" s="1"/>
  <c r="V586" i="16"/>
  <c r="AB586" i="16" s="1"/>
  <c r="X585" i="16"/>
  <c r="AD585" i="16" s="1"/>
  <c r="W585" i="16"/>
  <c r="AC585" i="16" s="1"/>
  <c r="V585" i="16"/>
  <c r="AB585" i="16" s="1"/>
  <c r="X584" i="16"/>
  <c r="AD584" i="16" s="1"/>
  <c r="W584" i="16"/>
  <c r="AC584" i="16" s="1"/>
  <c r="V584" i="16"/>
  <c r="AB584" i="16" s="1"/>
  <c r="X583" i="16"/>
  <c r="AD583" i="16" s="1"/>
  <c r="W583" i="16"/>
  <c r="AC583" i="16" s="1"/>
  <c r="V583" i="16"/>
  <c r="AB583" i="16" s="1"/>
  <c r="X582" i="16"/>
  <c r="AD582" i="16" s="1"/>
  <c r="W582" i="16"/>
  <c r="AC582" i="16" s="1"/>
  <c r="V582" i="16"/>
  <c r="AB582" i="16" s="1"/>
  <c r="X581" i="16"/>
  <c r="AD581" i="16" s="1"/>
  <c r="W581" i="16"/>
  <c r="AC581" i="16" s="1"/>
  <c r="V581" i="16"/>
  <c r="AB581" i="16" s="1"/>
  <c r="X580" i="16"/>
  <c r="AD580" i="16" s="1"/>
  <c r="W580" i="16"/>
  <c r="AC580" i="16" s="1"/>
  <c r="V580" i="16"/>
  <c r="AB580" i="16" s="1"/>
  <c r="X555" i="16"/>
  <c r="AD555" i="16" s="1"/>
  <c r="W555" i="16"/>
  <c r="AC555" i="16" s="1"/>
  <c r="V555" i="16"/>
  <c r="AB555" i="16" s="1"/>
  <c r="X554" i="16"/>
  <c r="AD554" i="16" s="1"/>
  <c r="W554" i="16"/>
  <c r="AC554" i="16" s="1"/>
  <c r="V554" i="16"/>
  <c r="AB554" i="16" s="1"/>
  <c r="X553" i="16"/>
  <c r="AD553" i="16" s="1"/>
  <c r="W553" i="16"/>
  <c r="AC553" i="16" s="1"/>
  <c r="V553" i="16"/>
  <c r="AB553" i="16" s="1"/>
  <c r="X552" i="16"/>
  <c r="AD552" i="16" s="1"/>
  <c r="W552" i="16"/>
  <c r="AC552" i="16" s="1"/>
  <c r="V552" i="16"/>
  <c r="AB552" i="16" s="1"/>
  <c r="X551" i="16"/>
  <c r="AD551" i="16" s="1"/>
  <c r="W551" i="16"/>
  <c r="AC551" i="16" s="1"/>
  <c r="V551" i="16"/>
  <c r="AB551" i="16" s="1"/>
  <c r="X550" i="16"/>
  <c r="AD550" i="16" s="1"/>
  <c r="W550" i="16"/>
  <c r="AC550" i="16" s="1"/>
  <c r="V550" i="16"/>
  <c r="AB550" i="16" s="1"/>
  <c r="X549" i="16"/>
  <c r="AD549" i="16" s="1"/>
  <c r="W549" i="16"/>
  <c r="AC549" i="16" s="1"/>
  <c r="V549" i="16"/>
  <c r="AB549" i="16" s="1"/>
  <c r="X548" i="16"/>
  <c r="AD548" i="16" s="1"/>
  <c r="W548" i="16"/>
  <c r="AC548" i="16" s="1"/>
  <c r="V548" i="16"/>
  <c r="AB548" i="16" s="1"/>
  <c r="X547" i="16"/>
  <c r="AD547" i="16" s="1"/>
  <c r="W547" i="16"/>
  <c r="AC547" i="16" s="1"/>
  <c r="V547" i="16"/>
  <c r="AB547" i="16" s="1"/>
  <c r="X546" i="16"/>
  <c r="AD546" i="16" s="1"/>
  <c r="W546" i="16"/>
  <c r="AC546" i="16" s="1"/>
  <c r="V546" i="16"/>
  <c r="AB546" i="16" s="1"/>
  <c r="X545" i="16"/>
  <c r="AD545" i="16" s="1"/>
  <c r="W545" i="16"/>
  <c r="AC545" i="16" s="1"/>
  <c r="V545" i="16"/>
  <c r="AB545" i="16" s="1"/>
  <c r="X544" i="16"/>
  <c r="AD544" i="16" s="1"/>
  <c r="W544" i="16"/>
  <c r="AC544" i="16" s="1"/>
  <c r="V544" i="16"/>
  <c r="AB544" i="16" s="1"/>
  <c r="X543" i="16"/>
  <c r="AD543" i="16" s="1"/>
  <c r="W543" i="16"/>
  <c r="AC543" i="16" s="1"/>
  <c r="V543" i="16"/>
  <c r="AB543" i="16" s="1"/>
  <c r="X542" i="16"/>
  <c r="AD542" i="16" s="1"/>
  <c r="W542" i="16"/>
  <c r="AC542" i="16" s="1"/>
  <c r="V542" i="16"/>
  <c r="AB542" i="16" s="1"/>
  <c r="X541" i="16"/>
  <c r="AD541" i="16" s="1"/>
  <c r="W541" i="16"/>
  <c r="AC541" i="16" s="1"/>
  <c r="V541" i="16"/>
  <c r="AB541" i="16" s="1"/>
  <c r="X540" i="16"/>
  <c r="AD540" i="16" s="1"/>
  <c r="W540" i="16"/>
  <c r="AC540" i="16" s="1"/>
  <c r="V540" i="16"/>
  <c r="AB540" i="16" s="1"/>
  <c r="X539" i="16"/>
  <c r="AD539" i="16" s="1"/>
  <c r="W539" i="16"/>
  <c r="AC539" i="16" s="1"/>
  <c r="V539" i="16"/>
  <c r="AB539" i="16" s="1"/>
  <c r="X538" i="16"/>
  <c r="AD538" i="16" s="1"/>
  <c r="W538" i="16"/>
  <c r="AC538" i="16" s="1"/>
  <c r="V538" i="16"/>
  <c r="AB538" i="16" s="1"/>
  <c r="X537" i="16"/>
  <c r="AD537" i="16" s="1"/>
  <c r="W537" i="16"/>
  <c r="AC537" i="16" s="1"/>
  <c r="V537" i="16"/>
  <c r="AB537" i="16" s="1"/>
  <c r="X536" i="16"/>
  <c r="AD536" i="16" s="1"/>
  <c r="W536" i="16"/>
  <c r="AC536" i="16" s="1"/>
  <c r="V536" i="16"/>
  <c r="AB536" i="16" s="1"/>
  <c r="X535" i="16"/>
  <c r="AD535" i="16" s="1"/>
  <c r="W535" i="16"/>
  <c r="AC535" i="16" s="1"/>
  <c r="V535" i="16"/>
  <c r="AB535" i="16" s="1"/>
  <c r="X534" i="16"/>
  <c r="AD534" i="16" s="1"/>
  <c r="W534" i="16"/>
  <c r="AC534" i="16" s="1"/>
  <c r="V534" i="16"/>
  <c r="AB534" i="16" s="1"/>
  <c r="X533" i="16"/>
  <c r="AD533" i="16" s="1"/>
  <c r="W533" i="16"/>
  <c r="AC533" i="16" s="1"/>
  <c r="V533" i="16"/>
  <c r="AB533" i="16" s="1"/>
  <c r="X532" i="16"/>
  <c r="AD532" i="16" s="1"/>
  <c r="W532" i="16"/>
  <c r="AC532" i="16" s="1"/>
  <c r="V532" i="16"/>
  <c r="AB532" i="16" s="1"/>
  <c r="X531" i="16"/>
  <c r="AD531" i="16" s="1"/>
  <c r="W531" i="16"/>
  <c r="AC531" i="16" s="1"/>
  <c r="V531" i="16"/>
  <c r="AB531" i="16" s="1"/>
  <c r="X530" i="16"/>
  <c r="AD530" i="16" s="1"/>
  <c r="W530" i="16"/>
  <c r="AC530" i="16" s="1"/>
  <c r="V530" i="16"/>
  <c r="AB530" i="16" s="1"/>
  <c r="X529" i="16"/>
  <c r="AD529" i="16" s="1"/>
  <c r="W529" i="16"/>
  <c r="AC529" i="16" s="1"/>
  <c r="V529" i="16"/>
  <c r="AB529" i="16" s="1"/>
  <c r="X528" i="16"/>
  <c r="AD528" i="16" s="1"/>
  <c r="W528" i="16"/>
  <c r="AC528" i="16" s="1"/>
  <c r="V528" i="16"/>
  <c r="AB528" i="16" s="1"/>
  <c r="X527" i="16"/>
  <c r="AD527" i="16" s="1"/>
  <c r="W527" i="16"/>
  <c r="AC527" i="16" s="1"/>
  <c r="V527" i="16"/>
  <c r="AB527" i="16" s="1"/>
  <c r="X526" i="16"/>
  <c r="AD526" i="16" s="1"/>
  <c r="W526" i="16"/>
  <c r="AC526" i="16" s="1"/>
  <c r="V526" i="16"/>
  <c r="AB526" i="16" s="1"/>
  <c r="X525" i="16"/>
  <c r="AD525" i="16" s="1"/>
  <c r="W525" i="16"/>
  <c r="AC525" i="16" s="1"/>
  <c r="V525" i="16"/>
  <c r="AB525" i="16" s="1"/>
  <c r="X524" i="16"/>
  <c r="AD524" i="16" s="1"/>
  <c r="W524" i="16"/>
  <c r="AC524" i="16" s="1"/>
  <c r="V524" i="16"/>
  <c r="AB524" i="16" s="1"/>
  <c r="X523" i="16"/>
  <c r="AD523" i="16" s="1"/>
  <c r="W523" i="16"/>
  <c r="AC523" i="16" s="1"/>
  <c r="V523" i="16"/>
  <c r="AB523" i="16" s="1"/>
  <c r="X522" i="16"/>
  <c r="AD522" i="16" s="1"/>
  <c r="W522" i="16"/>
  <c r="AC522" i="16" s="1"/>
  <c r="V522" i="16"/>
  <c r="AB522" i="16" s="1"/>
  <c r="X521" i="16"/>
  <c r="AD521" i="16" s="1"/>
  <c r="W521" i="16"/>
  <c r="AC521" i="16" s="1"/>
  <c r="V521" i="16"/>
  <c r="AB521" i="16" s="1"/>
  <c r="X520" i="16"/>
  <c r="AD520" i="16" s="1"/>
  <c r="W520" i="16"/>
  <c r="AC520" i="16" s="1"/>
  <c r="V520" i="16"/>
  <c r="AB520" i="16" s="1"/>
  <c r="X519" i="16"/>
  <c r="AD519" i="16" s="1"/>
  <c r="W519" i="16"/>
  <c r="AC519" i="16" s="1"/>
  <c r="V519" i="16"/>
  <c r="AB519" i="16" s="1"/>
  <c r="X518" i="16"/>
  <c r="AD518" i="16" s="1"/>
  <c r="W518" i="16"/>
  <c r="AC518" i="16" s="1"/>
  <c r="V518" i="16"/>
  <c r="AB518" i="16" s="1"/>
  <c r="X517" i="16"/>
  <c r="AD517" i="16" s="1"/>
  <c r="W517" i="16"/>
  <c r="AC517" i="16" s="1"/>
  <c r="V517" i="16"/>
  <c r="AB517" i="16" s="1"/>
  <c r="X516" i="16"/>
  <c r="AD516" i="16" s="1"/>
  <c r="W516" i="16"/>
  <c r="AC516" i="16" s="1"/>
  <c r="V516" i="16"/>
  <c r="AB516" i="16" s="1"/>
  <c r="X515" i="16"/>
  <c r="AD515" i="16" s="1"/>
  <c r="W515" i="16"/>
  <c r="AC515" i="16" s="1"/>
  <c r="V515" i="16"/>
  <c r="AB515" i="16" s="1"/>
  <c r="X514" i="16"/>
  <c r="AD514" i="16" s="1"/>
  <c r="W514" i="16"/>
  <c r="AC514" i="16" s="1"/>
  <c r="V514" i="16"/>
  <c r="AB514" i="16" s="1"/>
  <c r="X513" i="16"/>
  <c r="AD513" i="16" s="1"/>
  <c r="W513" i="16"/>
  <c r="AC513" i="16" s="1"/>
  <c r="V513" i="16"/>
  <c r="AB513" i="16" s="1"/>
  <c r="X512" i="16"/>
  <c r="AD512" i="16" s="1"/>
  <c r="W512" i="16"/>
  <c r="AC512" i="16" s="1"/>
  <c r="V512" i="16"/>
  <c r="AB512" i="16" s="1"/>
  <c r="X511" i="16"/>
  <c r="AD511" i="16" s="1"/>
  <c r="W511" i="16"/>
  <c r="AC511" i="16" s="1"/>
  <c r="V511" i="16"/>
  <c r="AB511" i="16" s="1"/>
  <c r="X510" i="16"/>
  <c r="AD510" i="16" s="1"/>
  <c r="W510" i="16"/>
  <c r="AC510" i="16" s="1"/>
  <c r="V510" i="16"/>
  <c r="AB510" i="16" s="1"/>
  <c r="X509" i="16"/>
  <c r="AD509" i="16" s="1"/>
  <c r="W509" i="16"/>
  <c r="AC509" i="16" s="1"/>
  <c r="V509" i="16"/>
  <c r="AB509" i="16" s="1"/>
  <c r="X508" i="16"/>
  <c r="AD508" i="16" s="1"/>
  <c r="W508" i="16"/>
  <c r="AC508" i="16" s="1"/>
  <c r="V508" i="16"/>
  <c r="AB508" i="16" s="1"/>
  <c r="X507" i="16"/>
  <c r="AD507" i="16" s="1"/>
  <c r="W507" i="16"/>
  <c r="AC507" i="16" s="1"/>
  <c r="V507" i="16"/>
  <c r="AB507" i="16" s="1"/>
  <c r="X506" i="16"/>
  <c r="AD506" i="16" s="1"/>
  <c r="W506" i="16"/>
  <c r="AC506" i="16" s="1"/>
  <c r="V506" i="16"/>
  <c r="AB506" i="16" s="1"/>
  <c r="X505" i="16"/>
  <c r="AD505" i="16" s="1"/>
  <c r="W505" i="16"/>
  <c r="AC505" i="16" s="1"/>
  <c r="V505" i="16"/>
  <c r="AB505" i="16" s="1"/>
  <c r="X504" i="16"/>
  <c r="AD504" i="16" s="1"/>
  <c r="W504" i="16"/>
  <c r="AC504" i="16" s="1"/>
  <c r="V504" i="16"/>
  <c r="AB504" i="16" s="1"/>
  <c r="X503" i="16"/>
  <c r="AD503" i="16" s="1"/>
  <c r="W503" i="16"/>
  <c r="AC503" i="16" s="1"/>
  <c r="V503" i="16"/>
  <c r="AB503" i="16" s="1"/>
  <c r="X502" i="16"/>
  <c r="AD502" i="16" s="1"/>
  <c r="W502" i="16"/>
  <c r="AC502" i="16" s="1"/>
  <c r="V502" i="16"/>
  <c r="AB502" i="16" s="1"/>
  <c r="X501" i="16"/>
  <c r="AD501" i="16" s="1"/>
  <c r="W501" i="16"/>
  <c r="AC501" i="16" s="1"/>
  <c r="V501" i="16"/>
  <c r="AB501" i="16" s="1"/>
  <c r="X500" i="16"/>
  <c r="AD500" i="16" s="1"/>
  <c r="W500" i="16"/>
  <c r="AC500" i="16" s="1"/>
  <c r="V500" i="16"/>
  <c r="AB500" i="16" s="1"/>
  <c r="X499" i="16"/>
  <c r="AD499" i="16" s="1"/>
  <c r="W499" i="16"/>
  <c r="AC499" i="16" s="1"/>
  <c r="V499" i="16"/>
  <c r="AB499" i="16" s="1"/>
  <c r="X498" i="16"/>
  <c r="AD498" i="16" s="1"/>
  <c r="W498" i="16"/>
  <c r="AC498" i="16" s="1"/>
  <c r="V498" i="16"/>
  <c r="AB498" i="16" s="1"/>
  <c r="X497" i="16"/>
  <c r="AD497" i="16" s="1"/>
  <c r="W497" i="16"/>
  <c r="AC497" i="16" s="1"/>
  <c r="V497" i="16"/>
  <c r="AB497" i="16" s="1"/>
  <c r="X496" i="16"/>
  <c r="AD496" i="16" s="1"/>
  <c r="W496" i="16"/>
  <c r="AC496" i="16" s="1"/>
  <c r="V496" i="16"/>
  <c r="AB496" i="16" s="1"/>
  <c r="X495" i="16"/>
  <c r="AD495" i="16" s="1"/>
  <c r="W495" i="16"/>
  <c r="AC495" i="16" s="1"/>
  <c r="V495" i="16"/>
  <c r="AB495" i="16" s="1"/>
  <c r="X494" i="16"/>
  <c r="AD494" i="16" s="1"/>
  <c r="W494" i="16"/>
  <c r="AC494" i="16" s="1"/>
  <c r="V494" i="16"/>
  <c r="AB494" i="16" s="1"/>
  <c r="X493" i="16"/>
  <c r="AD493" i="16" s="1"/>
  <c r="W493" i="16"/>
  <c r="AC493" i="16" s="1"/>
  <c r="V493" i="16"/>
  <c r="AB493" i="16" s="1"/>
  <c r="X492" i="16"/>
  <c r="AD492" i="16" s="1"/>
  <c r="W492" i="16"/>
  <c r="AC492" i="16" s="1"/>
  <c r="V492" i="16"/>
  <c r="AB492" i="16" s="1"/>
  <c r="X491" i="16"/>
  <c r="AD491" i="16" s="1"/>
  <c r="W491" i="16"/>
  <c r="AC491" i="16" s="1"/>
  <c r="V491" i="16"/>
  <c r="AB491" i="16" s="1"/>
  <c r="X490" i="16"/>
  <c r="AD490" i="16" s="1"/>
  <c r="W490" i="16"/>
  <c r="AC490" i="16" s="1"/>
  <c r="V490" i="16"/>
  <c r="AB490" i="16" s="1"/>
  <c r="X489" i="16"/>
  <c r="AD489" i="16" s="1"/>
  <c r="W489" i="16"/>
  <c r="AC489" i="16" s="1"/>
  <c r="V489" i="16"/>
  <c r="AB489" i="16" s="1"/>
  <c r="X488" i="16"/>
  <c r="AD488" i="16" s="1"/>
  <c r="W488" i="16"/>
  <c r="AC488" i="16" s="1"/>
  <c r="V488" i="16"/>
  <c r="AB488" i="16" s="1"/>
  <c r="X487" i="16"/>
  <c r="AD487" i="16" s="1"/>
  <c r="W487" i="16"/>
  <c r="AC487" i="16" s="1"/>
  <c r="V487" i="16"/>
  <c r="AB487" i="16" s="1"/>
  <c r="X486" i="16"/>
  <c r="AD486" i="16" s="1"/>
  <c r="W486" i="16"/>
  <c r="AC486" i="16" s="1"/>
  <c r="V486" i="16"/>
  <c r="AB486" i="16" s="1"/>
  <c r="X485" i="16"/>
  <c r="AD485" i="16" s="1"/>
  <c r="W485" i="16"/>
  <c r="AC485" i="16" s="1"/>
  <c r="V485" i="16"/>
  <c r="AB485" i="16" s="1"/>
  <c r="X484" i="16"/>
  <c r="AD484" i="16" s="1"/>
  <c r="W484" i="16"/>
  <c r="AC484" i="16" s="1"/>
  <c r="V484" i="16"/>
  <c r="AB484" i="16" s="1"/>
  <c r="X483" i="16"/>
  <c r="AD483" i="16" s="1"/>
  <c r="W483" i="16"/>
  <c r="AC483" i="16" s="1"/>
  <c r="V483" i="16"/>
  <c r="AB483" i="16" s="1"/>
  <c r="X482" i="16"/>
  <c r="AD482" i="16" s="1"/>
  <c r="W482" i="16"/>
  <c r="AC482" i="16" s="1"/>
  <c r="V482" i="16"/>
  <c r="AB482" i="16" s="1"/>
  <c r="X481" i="16"/>
  <c r="AD481" i="16" s="1"/>
  <c r="W481" i="16"/>
  <c r="AC481" i="16" s="1"/>
  <c r="V481" i="16"/>
  <c r="AB481" i="16" s="1"/>
  <c r="X480" i="16"/>
  <c r="AD480" i="16" s="1"/>
  <c r="W480" i="16"/>
  <c r="AC480" i="16" s="1"/>
  <c r="V480" i="16"/>
  <c r="AB480" i="16" s="1"/>
  <c r="X479" i="16"/>
  <c r="AD479" i="16" s="1"/>
  <c r="W479" i="16"/>
  <c r="AC479" i="16" s="1"/>
  <c r="V479" i="16"/>
  <c r="AB479" i="16" s="1"/>
  <c r="X478" i="16"/>
  <c r="AD478" i="16" s="1"/>
  <c r="W478" i="16"/>
  <c r="AC478" i="16" s="1"/>
  <c r="V478" i="16"/>
  <c r="AB478" i="16" s="1"/>
  <c r="X477" i="16"/>
  <c r="AD477" i="16" s="1"/>
  <c r="W477" i="16"/>
  <c r="AC477" i="16" s="1"/>
  <c r="V477" i="16"/>
  <c r="AB477" i="16" s="1"/>
  <c r="X476" i="16"/>
  <c r="AD476" i="16" s="1"/>
  <c r="W476" i="16"/>
  <c r="AC476" i="16" s="1"/>
  <c r="V476" i="16"/>
  <c r="AB476" i="16" s="1"/>
  <c r="X475" i="16"/>
  <c r="AD475" i="16" s="1"/>
  <c r="W475" i="16"/>
  <c r="AC475" i="16" s="1"/>
  <c r="V475" i="16"/>
  <c r="AB475" i="16" s="1"/>
  <c r="X474" i="16"/>
  <c r="AD474" i="16" s="1"/>
  <c r="W474" i="16"/>
  <c r="AC474" i="16" s="1"/>
  <c r="V474" i="16"/>
  <c r="AB474" i="16" s="1"/>
  <c r="X473" i="16"/>
  <c r="AD473" i="16" s="1"/>
  <c r="W473" i="16"/>
  <c r="AC473" i="16" s="1"/>
  <c r="V473" i="16"/>
  <c r="AB473" i="16" s="1"/>
  <c r="X472" i="16"/>
  <c r="AD472" i="16" s="1"/>
  <c r="W472" i="16"/>
  <c r="AC472" i="16" s="1"/>
  <c r="V472" i="16"/>
  <c r="AB472" i="16" s="1"/>
  <c r="X471" i="16"/>
  <c r="AD471" i="16" s="1"/>
  <c r="W471" i="16"/>
  <c r="AC471" i="16" s="1"/>
  <c r="V471" i="16"/>
  <c r="AB471" i="16" s="1"/>
  <c r="X470" i="16"/>
  <c r="AD470" i="16" s="1"/>
  <c r="W470" i="16"/>
  <c r="AC470" i="16" s="1"/>
  <c r="V470" i="16"/>
  <c r="AB470" i="16" s="1"/>
  <c r="X469" i="16"/>
  <c r="AD469" i="16" s="1"/>
  <c r="W469" i="16"/>
  <c r="AC469" i="16" s="1"/>
  <c r="V469" i="16"/>
  <c r="AB469" i="16" s="1"/>
  <c r="X468" i="16"/>
  <c r="AD468" i="16" s="1"/>
  <c r="W468" i="16"/>
  <c r="AC468" i="16" s="1"/>
  <c r="V468" i="16"/>
  <c r="AB468" i="16" s="1"/>
  <c r="X467" i="16"/>
  <c r="AD467" i="16" s="1"/>
  <c r="W467" i="16"/>
  <c r="AC467" i="16" s="1"/>
  <c r="V467" i="16"/>
  <c r="AB467" i="16" s="1"/>
  <c r="X466" i="16"/>
  <c r="AD466" i="16" s="1"/>
  <c r="W466" i="16"/>
  <c r="AC466" i="16" s="1"/>
  <c r="V466" i="16"/>
  <c r="AB466" i="16" s="1"/>
  <c r="X465" i="16"/>
  <c r="AD465" i="16" s="1"/>
  <c r="W465" i="16"/>
  <c r="AC465" i="16" s="1"/>
  <c r="V465" i="16"/>
  <c r="AB465" i="16" s="1"/>
  <c r="X464" i="16"/>
  <c r="AD464" i="16" s="1"/>
  <c r="W464" i="16"/>
  <c r="AC464" i="16" s="1"/>
  <c r="V464" i="16"/>
  <c r="AB464" i="16" s="1"/>
  <c r="X463" i="16"/>
  <c r="AD463" i="16" s="1"/>
  <c r="W463" i="16"/>
  <c r="AC463" i="16" s="1"/>
  <c r="V463" i="16"/>
  <c r="AB463" i="16" s="1"/>
  <c r="X462" i="16"/>
  <c r="AD462" i="16" s="1"/>
  <c r="W462" i="16"/>
  <c r="AC462" i="16" s="1"/>
  <c r="V462" i="16"/>
  <c r="AB462" i="16" s="1"/>
  <c r="X461" i="16"/>
  <c r="AD461" i="16" s="1"/>
  <c r="W461" i="16"/>
  <c r="AC461" i="16" s="1"/>
  <c r="V461" i="16"/>
  <c r="AB461" i="16" s="1"/>
  <c r="X460" i="16"/>
  <c r="AD460" i="16" s="1"/>
  <c r="W460" i="16"/>
  <c r="AC460" i="16" s="1"/>
  <c r="V460" i="16"/>
  <c r="AB460" i="16" s="1"/>
  <c r="X459" i="16"/>
  <c r="AD459" i="16" s="1"/>
  <c r="W459" i="16"/>
  <c r="AC459" i="16" s="1"/>
  <c r="V459" i="16"/>
  <c r="AB459" i="16" s="1"/>
  <c r="X458" i="16"/>
  <c r="AD458" i="16" s="1"/>
  <c r="W458" i="16"/>
  <c r="AC458" i="16" s="1"/>
  <c r="V458" i="16"/>
  <c r="AB458" i="16" s="1"/>
  <c r="X457" i="16"/>
  <c r="AD457" i="16" s="1"/>
  <c r="W457" i="16"/>
  <c r="AC457" i="16" s="1"/>
  <c r="V457" i="16"/>
  <c r="AB457" i="16" s="1"/>
  <c r="X456" i="16"/>
  <c r="AD456" i="16" s="1"/>
  <c r="W456" i="16"/>
  <c r="AC456" i="16" s="1"/>
  <c r="V456" i="16"/>
  <c r="AB456" i="16" s="1"/>
  <c r="X455" i="16"/>
  <c r="AD455" i="16" s="1"/>
  <c r="W455" i="16"/>
  <c r="AC455" i="16" s="1"/>
  <c r="V455" i="16"/>
  <c r="AB455" i="16" s="1"/>
  <c r="X454" i="16"/>
  <c r="AD454" i="16" s="1"/>
  <c r="W454" i="16"/>
  <c r="AC454" i="16" s="1"/>
  <c r="V454" i="16"/>
  <c r="AB454" i="16" s="1"/>
  <c r="X453" i="16"/>
  <c r="AD453" i="16" s="1"/>
  <c r="W453" i="16"/>
  <c r="AC453" i="16" s="1"/>
  <c r="V453" i="16"/>
  <c r="AB453" i="16" s="1"/>
  <c r="X452" i="16"/>
  <c r="AD452" i="16" s="1"/>
  <c r="W452" i="16"/>
  <c r="AC452" i="16" s="1"/>
  <c r="V452" i="16"/>
  <c r="AB452" i="16" s="1"/>
  <c r="X451" i="16"/>
  <c r="AD451" i="16" s="1"/>
  <c r="W451" i="16"/>
  <c r="AC451" i="16" s="1"/>
  <c r="V451" i="16"/>
  <c r="AB451" i="16" s="1"/>
  <c r="X450" i="16"/>
  <c r="AD450" i="16" s="1"/>
  <c r="W450" i="16"/>
  <c r="AC450" i="16" s="1"/>
  <c r="V450" i="16"/>
  <c r="AB450" i="16" s="1"/>
  <c r="X449" i="16"/>
  <c r="AD449" i="16" s="1"/>
  <c r="W449" i="16"/>
  <c r="AC449" i="16" s="1"/>
  <c r="V449" i="16"/>
  <c r="AB449" i="16" s="1"/>
  <c r="X448" i="16"/>
  <c r="AD448" i="16" s="1"/>
  <c r="W448" i="16"/>
  <c r="AC448" i="16" s="1"/>
  <c r="V448" i="16"/>
  <c r="AB448" i="16" s="1"/>
  <c r="X447" i="16"/>
  <c r="AD447" i="16" s="1"/>
  <c r="W447" i="16"/>
  <c r="AC447" i="16" s="1"/>
  <c r="V447" i="16"/>
  <c r="AB447" i="16" s="1"/>
  <c r="X446" i="16"/>
  <c r="AD446" i="16" s="1"/>
  <c r="W446" i="16"/>
  <c r="AC446" i="16" s="1"/>
  <c r="V446" i="16"/>
  <c r="AB446" i="16" s="1"/>
  <c r="X445" i="16"/>
  <c r="AD445" i="16" s="1"/>
  <c r="W445" i="16"/>
  <c r="AC445" i="16" s="1"/>
  <c r="V445" i="16"/>
  <c r="AB445" i="16" s="1"/>
  <c r="X444" i="16"/>
  <c r="AD444" i="16" s="1"/>
  <c r="W444" i="16"/>
  <c r="AC444" i="16" s="1"/>
  <c r="V444" i="16"/>
  <c r="AB444" i="16" s="1"/>
  <c r="X443" i="16"/>
  <c r="AD443" i="16" s="1"/>
  <c r="W443" i="16"/>
  <c r="AC443" i="16" s="1"/>
  <c r="V443" i="16"/>
  <c r="AB443" i="16" s="1"/>
  <c r="X442" i="16"/>
  <c r="AD442" i="16" s="1"/>
  <c r="W442" i="16"/>
  <c r="AC442" i="16" s="1"/>
  <c r="V442" i="16"/>
  <c r="AB442" i="16" s="1"/>
  <c r="X441" i="16"/>
  <c r="AD441" i="16" s="1"/>
  <c r="W441" i="16"/>
  <c r="AC441" i="16" s="1"/>
  <c r="V441" i="16"/>
  <c r="AB441" i="16" s="1"/>
  <c r="X440" i="16"/>
  <c r="AD440" i="16" s="1"/>
  <c r="W440" i="16"/>
  <c r="AC440" i="16" s="1"/>
  <c r="V440" i="16"/>
  <c r="AB440" i="16" s="1"/>
  <c r="X439" i="16"/>
  <c r="AD439" i="16" s="1"/>
  <c r="W439" i="16"/>
  <c r="AC439" i="16" s="1"/>
  <c r="V439" i="16"/>
  <c r="AB439" i="16" s="1"/>
  <c r="X438" i="16"/>
  <c r="AD438" i="16" s="1"/>
  <c r="W438" i="16"/>
  <c r="AC438" i="16" s="1"/>
  <c r="V438" i="16"/>
  <c r="AB438" i="16" s="1"/>
  <c r="X437" i="16"/>
  <c r="AD437" i="16" s="1"/>
  <c r="W437" i="16"/>
  <c r="AC437" i="16" s="1"/>
  <c r="V437" i="16"/>
  <c r="AB437" i="16" s="1"/>
  <c r="X436" i="16"/>
  <c r="AD436" i="16" s="1"/>
  <c r="W436" i="16"/>
  <c r="AC436" i="16" s="1"/>
  <c r="V436" i="16"/>
  <c r="AB436" i="16" s="1"/>
  <c r="X435" i="16"/>
  <c r="AD435" i="16" s="1"/>
  <c r="W435" i="16"/>
  <c r="AC435" i="16" s="1"/>
  <c r="V435" i="16"/>
  <c r="AB435" i="16" s="1"/>
  <c r="X434" i="16"/>
  <c r="AD434" i="16" s="1"/>
  <c r="W434" i="16"/>
  <c r="AC434" i="16" s="1"/>
  <c r="V434" i="16"/>
  <c r="AB434" i="16" s="1"/>
  <c r="X433" i="16"/>
  <c r="AD433" i="16" s="1"/>
  <c r="W433" i="16"/>
  <c r="AC433" i="16" s="1"/>
  <c r="V433" i="16"/>
  <c r="AB433" i="16" s="1"/>
  <c r="X432" i="16"/>
  <c r="AD432" i="16" s="1"/>
  <c r="W432" i="16"/>
  <c r="AC432" i="16" s="1"/>
  <c r="V432" i="16"/>
  <c r="AB432" i="16" s="1"/>
  <c r="X431" i="16"/>
  <c r="AD431" i="16" s="1"/>
  <c r="W431" i="16"/>
  <c r="AC431" i="16" s="1"/>
  <c r="V431" i="16"/>
  <c r="AB431" i="16" s="1"/>
  <c r="X430" i="16"/>
  <c r="AD430" i="16" s="1"/>
  <c r="W430" i="16"/>
  <c r="AC430" i="16" s="1"/>
  <c r="V430" i="16"/>
  <c r="AB430" i="16" s="1"/>
  <c r="X429" i="16"/>
  <c r="AD429" i="16" s="1"/>
  <c r="W429" i="16"/>
  <c r="AC429" i="16" s="1"/>
  <c r="V429" i="16"/>
  <c r="AB429" i="16" s="1"/>
  <c r="X428" i="16"/>
  <c r="AD428" i="16" s="1"/>
  <c r="W428" i="16"/>
  <c r="AC428" i="16" s="1"/>
  <c r="V428" i="16"/>
  <c r="AB428" i="16" s="1"/>
  <c r="X427" i="16"/>
  <c r="AD427" i="16" s="1"/>
  <c r="W427" i="16"/>
  <c r="AC427" i="16" s="1"/>
  <c r="V427" i="16"/>
  <c r="AB427" i="16" s="1"/>
  <c r="X426" i="16"/>
  <c r="AD426" i="16" s="1"/>
  <c r="W426" i="16"/>
  <c r="AC426" i="16" s="1"/>
  <c r="V426" i="16"/>
  <c r="AB426" i="16" s="1"/>
  <c r="X425" i="16"/>
  <c r="AD425" i="16" s="1"/>
  <c r="W425" i="16"/>
  <c r="AC425" i="16" s="1"/>
  <c r="V425" i="16"/>
  <c r="AB425" i="16" s="1"/>
  <c r="X424" i="16"/>
  <c r="AD424" i="16" s="1"/>
  <c r="W424" i="16"/>
  <c r="AC424" i="16" s="1"/>
  <c r="V424" i="16"/>
  <c r="AB424" i="16" s="1"/>
  <c r="X423" i="16"/>
  <c r="AD423" i="16" s="1"/>
  <c r="W423" i="16"/>
  <c r="AC423" i="16" s="1"/>
  <c r="V423" i="16"/>
  <c r="AB423" i="16" s="1"/>
  <c r="X422" i="16"/>
  <c r="AD422" i="16" s="1"/>
  <c r="W422" i="16"/>
  <c r="AC422" i="16" s="1"/>
  <c r="V422" i="16"/>
  <c r="AB422" i="16" s="1"/>
  <c r="X421" i="16"/>
  <c r="AD421" i="16" s="1"/>
  <c r="W421" i="16"/>
  <c r="AC421" i="16" s="1"/>
  <c r="V421" i="16"/>
  <c r="AB421" i="16" s="1"/>
  <c r="X420" i="16"/>
  <c r="AD420" i="16" s="1"/>
  <c r="W420" i="16"/>
  <c r="AC420" i="16" s="1"/>
  <c r="V420" i="16"/>
  <c r="AB420" i="16" s="1"/>
  <c r="X419" i="16"/>
  <c r="AD419" i="16" s="1"/>
  <c r="W419" i="16"/>
  <c r="AC419" i="16" s="1"/>
  <c r="V419" i="16"/>
  <c r="AB419" i="16" s="1"/>
  <c r="X418" i="16"/>
  <c r="AD418" i="16" s="1"/>
  <c r="W418" i="16"/>
  <c r="AC418" i="16" s="1"/>
  <c r="V418" i="16"/>
  <c r="AB418" i="16" s="1"/>
  <c r="X417" i="16"/>
  <c r="AD417" i="16" s="1"/>
  <c r="W417" i="16"/>
  <c r="AC417" i="16" s="1"/>
  <c r="V417" i="16"/>
  <c r="AB417" i="16" s="1"/>
  <c r="X416" i="16"/>
  <c r="AD416" i="16" s="1"/>
  <c r="W416" i="16"/>
  <c r="AC416" i="16" s="1"/>
  <c r="V416" i="16"/>
  <c r="AB416" i="16" s="1"/>
  <c r="X415" i="16"/>
  <c r="AD415" i="16" s="1"/>
  <c r="W415" i="16"/>
  <c r="AC415" i="16" s="1"/>
  <c r="V415" i="16"/>
  <c r="AB415" i="16" s="1"/>
  <c r="X414" i="16"/>
  <c r="AD414" i="16" s="1"/>
  <c r="W414" i="16"/>
  <c r="AC414" i="16" s="1"/>
  <c r="V414" i="16"/>
  <c r="AB414" i="16" s="1"/>
  <c r="X413" i="16"/>
  <c r="AD413" i="16" s="1"/>
  <c r="W413" i="16"/>
  <c r="AC413" i="16" s="1"/>
  <c r="V413" i="16"/>
  <c r="AB413" i="16" s="1"/>
  <c r="X412" i="16"/>
  <c r="AD412" i="16" s="1"/>
  <c r="W412" i="16"/>
  <c r="AC412" i="16" s="1"/>
  <c r="V412" i="16"/>
  <c r="AB412" i="16" s="1"/>
  <c r="X411" i="16"/>
  <c r="AD411" i="16" s="1"/>
  <c r="W411" i="16"/>
  <c r="AC411" i="16" s="1"/>
  <c r="V411" i="16"/>
  <c r="AB411" i="16" s="1"/>
  <c r="X410" i="16"/>
  <c r="AD410" i="16" s="1"/>
  <c r="W410" i="16"/>
  <c r="AC410" i="16" s="1"/>
  <c r="V410" i="16"/>
  <c r="AB410" i="16" s="1"/>
  <c r="X409" i="16"/>
  <c r="AD409" i="16" s="1"/>
  <c r="W409" i="16"/>
  <c r="AC409" i="16" s="1"/>
  <c r="V409" i="16"/>
  <c r="AB409" i="16" s="1"/>
  <c r="X408" i="16"/>
  <c r="AD408" i="16" s="1"/>
  <c r="W408" i="16"/>
  <c r="AC408" i="16" s="1"/>
  <c r="V408" i="16"/>
  <c r="AB408" i="16" s="1"/>
  <c r="X407" i="16"/>
  <c r="AD407" i="16" s="1"/>
  <c r="W407" i="16"/>
  <c r="AC407" i="16" s="1"/>
  <c r="V407" i="16"/>
  <c r="AB407" i="16" s="1"/>
  <c r="X406" i="16"/>
  <c r="AD406" i="16" s="1"/>
  <c r="W406" i="16"/>
  <c r="AC406" i="16" s="1"/>
  <c r="V406" i="16"/>
  <c r="AB406" i="16" s="1"/>
  <c r="X405" i="16"/>
  <c r="AD405" i="16" s="1"/>
  <c r="W405" i="16"/>
  <c r="AC405" i="16" s="1"/>
  <c r="V405" i="16"/>
  <c r="AB405" i="16" s="1"/>
  <c r="X404" i="16"/>
  <c r="AD404" i="16" s="1"/>
  <c r="W404" i="16"/>
  <c r="AC404" i="16" s="1"/>
  <c r="V404" i="16"/>
  <c r="AB404" i="16" s="1"/>
  <c r="X403" i="16"/>
  <c r="AD403" i="16" s="1"/>
  <c r="W403" i="16"/>
  <c r="AC403" i="16" s="1"/>
  <c r="V403" i="16"/>
  <c r="AB403" i="16" s="1"/>
  <c r="X402" i="16"/>
  <c r="AD402" i="16" s="1"/>
  <c r="W402" i="16"/>
  <c r="AC402" i="16" s="1"/>
  <c r="V402" i="16"/>
  <c r="AB402" i="16" s="1"/>
  <c r="X401" i="16"/>
  <c r="AD401" i="16" s="1"/>
  <c r="W401" i="16"/>
  <c r="AC401" i="16" s="1"/>
  <c r="V401" i="16"/>
  <c r="AB401" i="16" s="1"/>
  <c r="X400" i="16"/>
  <c r="AD400" i="16" s="1"/>
  <c r="W400" i="16"/>
  <c r="AC400" i="16" s="1"/>
  <c r="V400" i="16"/>
  <c r="AB400" i="16" s="1"/>
  <c r="X399" i="16"/>
  <c r="AD399" i="16" s="1"/>
  <c r="W399" i="16"/>
  <c r="AC399" i="16" s="1"/>
  <c r="V399" i="16"/>
  <c r="AB399" i="16" s="1"/>
  <c r="X398" i="16"/>
  <c r="AD398" i="16" s="1"/>
  <c r="W398" i="16"/>
  <c r="AC398" i="16" s="1"/>
  <c r="V398" i="16"/>
  <c r="AB398" i="16" s="1"/>
  <c r="X397" i="16"/>
  <c r="AD397" i="16" s="1"/>
  <c r="W397" i="16"/>
  <c r="AC397" i="16" s="1"/>
  <c r="V397" i="16"/>
  <c r="AB397" i="16" s="1"/>
  <c r="X396" i="16"/>
  <c r="AD396" i="16" s="1"/>
  <c r="W396" i="16"/>
  <c r="AC396" i="16" s="1"/>
  <c r="V396" i="16"/>
  <c r="AB396" i="16" s="1"/>
  <c r="X395" i="16"/>
  <c r="AD395" i="16" s="1"/>
  <c r="W395" i="16"/>
  <c r="AC395" i="16" s="1"/>
  <c r="V395" i="16"/>
  <c r="AB395" i="16" s="1"/>
  <c r="X394" i="16"/>
  <c r="AD394" i="16" s="1"/>
  <c r="W394" i="16"/>
  <c r="AC394" i="16" s="1"/>
  <c r="V394" i="16"/>
  <c r="AB394" i="16" s="1"/>
  <c r="X393" i="16"/>
  <c r="AD393" i="16" s="1"/>
  <c r="W393" i="16"/>
  <c r="AC393" i="16" s="1"/>
  <c r="V393" i="16"/>
  <c r="AB393" i="16" s="1"/>
  <c r="X392" i="16"/>
  <c r="AD392" i="16" s="1"/>
  <c r="W392" i="16"/>
  <c r="AC392" i="16" s="1"/>
  <c r="V392" i="16"/>
  <c r="AB392" i="16" s="1"/>
  <c r="X391" i="16"/>
  <c r="AD391" i="16" s="1"/>
  <c r="W391" i="16"/>
  <c r="AC391" i="16" s="1"/>
  <c r="V391" i="16"/>
  <c r="AB391" i="16" s="1"/>
  <c r="X390" i="16"/>
  <c r="AD390" i="16" s="1"/>
  <c r="W390" i="16"/>
  <c r="AC390" i="16" s="1"/>
  <c r="V390" i="16"/>
  <c r="AB390" i="16" s="1"/>
  <c r="X389" i="16"/>
  <c r="AD389" i="16" s="1"/>
  <c r="W389" i="16"/>
  <c r="AC389" i="16" s="1"/>
  <c r="V389" i="16"/>
  <c r="AB389" i="16" s="1"/>
  <c r="X388" i="16"/>
  <c r="AD388" i="16" s="1"/>
  <c r="W388" i="16"/>
  <c r="AC388" i="16" s="1"/>
  <c r="V388" i="16"/>
  <c r="AB388" i="16" s="1"/>
  <c r="X387" i="16"/>
  <c r="AD387" i="16" s="1"/>
  <c r="W387" i="16"/>
  <c r="AC387" i="16" s="1"/>
  <c r="V387" i="16"/>
  <c r="AB387" i="16" s="1"/>
  <c r="X386" i="16"/>
  <c r="AD386" i="16" s="1"/>
  <c r="W386" i="16"/>
  <c r="AC386" i="16" s="1"/>
  <c r="V386" i="16"/>
  <c r="AB386" i="16" s="1"/>
  <c r="X385" i="16"/>
  <c r="AD385" i="16" s="1"/>
  <c r="W385" i="16"/>
  <c r="AC385" i="16" s="1"/>
  <c r="V385" i="16"/>
  <c r="AB385" i="16" s="1"/>
  <c r="X384" i="16"/>
  <c r="AD384" i="16" s="1"/>
  <c r="W384" i="16"/>
  <c r="AC384" i="16" s="1"/>
  <c r="V384" i="16"/>
  <c r="AB384" i="16" s="1"/>
  <c r="X383" i="16"/>
  <c r="AD383" i="16" s="1"/>
  <c r="W383" i="16"/>
  <c r="AC383" i="16" s="1"/>
  <c r="V383" i="16"/>
  <c r="AB383" i="16" s="1"/>
  <c r="X382" i="16"/>
  <c r="AD382" i="16" s="1"/>
  <c r="W382" i="16"/>
  <c r="AC382" i="16" s="1"/>
  <c r="V382" i="16"/>
  <c r="AB382" i="16" s="1"/>
  <c r="X381" i="16"/>
  <c r="AD381" i="16" s="1"/>
  <c r="W381" i="16"/>
  <c r="AC381" i="16" s="1"/>
  <c r="V381" i="16"/>
  <c r="AB381" i="16" s="1"/>
  <c r="X380" i="16"/>
  <c r="AD380" i="16" s="1"/>
  <c r="W380" i="16"/>
  <c r="AC380" i="16" s="1"/>
  <c r="V380" i="16"/>
  <c r="AB380" i="16" s="1"/>
  <c r="X379" i="16"/>
  <c r="AD379" i="16" s="1"/>
  <c r="W379" i="16"/>
  <c r="AC379" i="16" s="1"/>
  <c r="V379" i="16"/>
  <c r="AB379" i="16" s="1"/>
  <c r="X378" i="16"/>
  <c r="AD378" i="16" s="1"/>
  <c r="W378" i="16"/>
  <c r="AC378" i="16" s="1"/>
  <c r="V378" i="16"/>
  <c r="AB378" i="16" s="1"/>
  <c r="X377" i="16"/>
  <c r="AD377" i="16" s="1"/>
  <c r="W377" i="16"/>
  <c r="AC377" i="16" s="1"/>
  <c r="V377" i="16"/>
  <c r="AB377" i="16" s="1"/>
  <c r="X376" i="16"/>
  <c r="AD376" i="16" s="1"/>
  <c r="W376" i="16"/>
  <c r="AC376" i="16" s="1"/>
  <c r="V376" i="16"/>
  <c r="AB376" i="16" s="1"/>
  <c r="X375" i="16"/>
  <c r="AD375" i="16" s="1"/>
  <c r="W375" i="16"/>
  <c r="AC375" i="16" s="1"/>
  <c r="V375" i="16"/>
  <c r="AB375" i="16" s="1"/>
  <c r="X374" i="16"/>
  <c r="AD374" i="16" s="1"/>
  <c r="W374" i="16"/>
  <c r="AC374" i="16" s="1"/>
  <c r="V374" i="16"/>
  <c r="AB374" i="16" s="1"/>
  <c r="X373" i="16"/>
  <c r="AD373" i="16" s="1"/>
  <c r="W373" i="16"/>
  <c r="AC373" i="16" s="1"/>
  <c r="V373" i="16"/>
  <c r="AB373" i="16" s="1"/>
  <c r="X372" i="16"/>
  <c r="AD372" i="16" s="1"/>
  <c r="W372" i="16"/>
  <c r="AC372" i="16" s="1"/>
  <c r="V372" i="16"/>
  <c r="AB372" i="16" s="1"/>
  <c r="X371" i="16"/>
  <c r="AD371" i="16" s="1"/>
  <c r="W371" i="16"/>
  <c r="AC371" i="16" s="1"/>
  <c r="V371" i="16"/>
  <c r="AB371" i="16" s="1"/>
  <c r="X370" i="16"/>
  <c r="AD370" i="16" s="1"/>
  <c r="W370" i="16"/>
  <c r="AC370" i="16" s="1"/>
  <c r="V370" i="16"/>
  <c r="AB370" i="16" s="1"/>
  <c r="X369" i="16"/>
  <c r="AD369" i="16" s="1"/>
  <c r="W369" i="16"/>
  <c r="AC369" i="16" s="1"/>
  <c r="V369" i="16"/>
  <c r="AB369" i="16" s="1"/>
  <c r="X368" i="16"/>
  <c r="AD368" i="16" s="1"/>
  <c r="W368" i="16"/>
  <c r="AC368" i="16" s="1"/>
  <c r="V368" i="16"/>
  <c r="AB368" i="16" s="1"/>
  <c r="X367" i="16"/>
  <c r="AD367" i="16" s="1"/>
  <c r="W367" i="16"/>
  <c r="AC367" i="16" s="1"/>
  <c r="V367" i="16"/>
  <c r="AB367" i="16" s="1"/>
  <c r="X366" i="16"/>
  <c r="AD366" i="16" s="1"/>
  <c r="W366" i="16"/>
  <c r="AC366" i="16" s="1"/>
  <c r="V366" i="16"/>
  <c r="AB366" i="16" s="1"/>
  <c r="X365" i="16"/>
  <c r="AD365" i="16" s="1"/>
  <c r="W365" i="16"/>
  <c r="AC365" i="16" s="1"/>
  <c r="V365" i="16"/>
  <c r="AB365" i="16" s="1"/>
  <c r="X364" i="16"/>
  <c r="AD364" i="16" s="1"/>
  <c r="W364" i="16"/>
  <c r="AC364" i="16" s="1"/>
  <c r="V364" i="16"/>
  <c r="AB364" i="16" s="1"/>
  <c r="X363" i="16"/>
  <c r="AD363" i="16" s="1"/>
  <c r="W363" i="16"/>
  <c r="AC363" i="16" s="1"/>
  <c r="V363" i="16"/>
  <c r="AB363" i="16" s="1"/>
  <c r="X362" i="16"/>
  <c r="AD362" i="16" s="1"/>
  <c r="W362" i="16"/>
  <c r="AC362" i="16" s="1"/>
  <c r="V362" i="16"/>
  <c r="AB362" i="16" s="1"/>
  <c r="X361" i="16"/>
  <c r="AD361" i="16" s="1"/>
  <c r="W361" i="16"/>
  <c r="AC361" i="16" s="1"/>
  <c r="V361" i="16"/>
  <c r="AB361" i="16" s="1"/>
  <c r="X360" i="16"/>
  <c r="AD360" i="16" s="1"/>
  <c r="W360" i="16"/>
  <c r="AC360" i="16" s="1"/>
  <c r="V360" i="16"/>
  <c r="AB360" i="16" s="1"/>
  <c r="X359" i="16"/>
  <c r="AD359" i="16" s="1"/>
  <c r="W359" i="16"/>
  <c r="AC359" i="16" s="1"/>
  <c r="V359" i="16"/>
  <c r="AB359" i="16" s="1"/>
  <c r="X358" i="16"/>
  <c r="AD358" i="16" s="1"/>
  <c r="W358" i="16"/>
  <c r="AC358" i="16" s="1"/>
  <c r="V358" i="16"/>
  <c r="AB358" i="16" s="1"/>
  <c r="X357" i="16"/>
  <c r="AD357" i="16" s="1"/>
  <c r="W357" i="16"/>
  <c r="AC357" i="16" s="1"/>
  <c r="V357" i="16"/>
  <c r="AB357" i="16" s="1"/>
  <c r="X356" i="16"/>
  <c r="AD356" i="16" s="1"/>
  <c r="W356" i="16"/>
  <c r="AC356" i="16" s="1"/>
  <c r="V356" i="16"/>
  <c r="AB356" i="16" s="1"/>
  <c r="X355" i="16"/>
  <c r="AD355" i="16" s="1"/>
  <c r="W355" i="16"/>
  <c r="AC355" i="16" s="1"/>
  <c r="V355" i="16"/>
  <c r="AB355" i="16" s="1"/>
  <c r="X354" i="16"/>
  <c r="AD354" i="16" s="1"/>
  <c r="W354" i="16"/>
  <c r="AC354" i="16" s="1"/>
  <c r="V354" i="16"/>
  <c r="AB354" i="16" s="1"/>
  <c r="X353" i="16"/>
  <c r="AD353" i="16" s="1"/>
  <c r="W353" i="16"/>
  <c r="AC353" i="16" s="1"/>
  <c r="V353" i="16"/>
  <c r="AB353" i="16" s="1"/>
  <c r="X352" i="16"/>
  <c r="AD352" i="16" s="1"/>
  <c r="W352" i="16"/>
  <c r="AC352" i="16" s="1"/>
  <c r="V352" i="16"/>
  <c r="AB352" i="16" s="1"/>
  <c r="X351" i="16"/>
  <c r="AD351" i="16" s="1"/>
  <c r="W351" i="16"/>
  <c r="AC351" i="16" s="1"/>
  <c r="V351" i="16"/>
  <c r="AB351" i="16" s="1"/>
  <c r="X350" i="16"/>
  <c r="AD350" i="16" s="1"/>
  <c r="W350" i="16"/>
  <c r="AC350" i="16" s="1"/>
  <c r="V350" i="16"/>
  <c r="AB350" i="16" s="1"/>
  <c r="X349" i="16"/>
  <c r="AD349" i="16" s="1"/>
  <c r="W349" i="16"/>
  <c r="AC349" i="16" s="1"/>
  <c r="V349" i="16"/>
  <c r="AB349" i="16" s="1"/>
  <c r="X348" i="16"/>
  <c r="AD348" i="16" s="1"/>
  <c r="W348" i="16"/>
  <c r="AC348" i="16" s="1"/>
  <c r="V348" i="16"/>
  <c r="AB348" i="16" s="1"/>
  <c r="X347" i="16"/>
  <c r="AD347" i="16" s="1"/>
  <c r="W347" i="16"/>
  <c r="AC347" i="16" s="1"/>
  <c r="V347" i="16"/>
  <c r="AB347" i="16" s="1"/>
  <c r="X346" i="16"/>
  <c r="AD346" i="16" s="1"/>
  <c r="W346" i="16"/>
  <c r="AC346" i="16" s="1"/>
  <c r="V346" i="16"/>
  <c r="AB346" i="16" s="1"/>
  <c r="X345" i="16"/>
  <c r="AD345" i="16" s="1"/>
  <c r="W345" i="16"/>
  <c r="AC345" i="16" s="1"/>
  <c r="V345" i="16"/>
  <c r="AB345" i="16" s="1"/>
  <c r="X344" i="16"/>
  <c r="AD344" i="16" s="1"/>
  <c r="W344" i="16"/>
  <c r="AC344" i="16" s="1"/>
  <c r="V344" i="16"/>
  <c r="AB344" i="16" s="1"/>
  <c r="X343" i="16"/>
  <c r="AD343" i="16" s="1"/>
  <c r="W343" i="16"/>
  <c r="AC343" i="16" s="1"/>
  <c r="V343" i="16"/>
  <c r="AB343" i="16" s="1"/>
  <c r="X342" i="16"/>
  <c r="AD342" i="16" s="1"/>
  <c r="W342" i="16"/>
  <c r="AC342" i="16" s="1"/>
  <c r="V342" i="16"/>
  <c r="AB342" i="16" s="1"/>
  <c r="X341" i="16"/>
  <c r="AD341" i="16" s="1"/>
  <c r="W341" i="16"/>
  <c r="AC341" i="16" s="1"/>
  <c r="V341" i="16"/>
  <c r="AB341" i="16" s="1"/>
  <c r="X340" i="16"/>
  <c r="AD340" i="16" s="1"/>
  <c r="W340" i="16"/>
  <c r="AC340" i="16" s="1"/>
  <c r="V340" i="16"/>
  <c r="AB340" i="16" s="1"/>
  <c r="X339" i="16"/>
  <c r="AD339" i="16" s="1"/>
  <c r="W339" i="16"/>
  <c r="AC339" i="16" s="1"/>
  <c r="V339" i="16"/>
  <c r="AB339" i="16" s="1"/>
  <c r="X338" i="16"/>
  <c r="AD338" i="16" s="1"/>
  <c r="W338" i="16"/>
  <c r="AC338" i="16" s="1"/>
  <c r="V338" i="16"/>
  <c r="AB338" i="16" s="1"/>
  <c r="X337" i="16"/>
  <c r="AD337" i="16" s="1"/>
  <c r="W337" i="16"/>
  <c r="AC337" i="16" s="1"/>
  <c r="V337" i="16"/>
  <c r="AB337" i="16" s="1"/>
  <c r="X336" i="16"/>
  <c r="AD336" i="16" s="1"/>
  <c r="W336" i="16"/>
  <c r="AC336" i="16" s="1"/>
  <c r="V336" i="16"/>
  <c r="AB336" i="16" s="1"/>
  <c r="X335" i="16"/>
  <c r="AD335" i="16" s="1"/>
  <c r="W335" i="16"/>
  <c r="AC335" i="16" s="1"/>
  <c r="V335" i="16"/>
  <c r="AB335" i="16" s="1"/>
  <c r="X334" i="16"/>
  <c r="AD334" i="16" s="1"/>
  <c r="W334" i="16"/>
  <c r="AC334" i="16" s="1"/>
  <c r="V334" i="16"/>
  <c r="AB334" i="16" s="1"/>
  <c r="X333" i="16"/>
  <c r="AD333" i="16" s="1"/>
  <c r="W333" i="16"/>
  <c r="AC333" i="16" s="1"/>
  <c r="V333" i="16"/>
  <c r="AB333" i="16" s="1"/>
  <c r="X332" i="16"/>
  <c r="AD332" i="16" s="1"/>
  <c r="W332" i="16"/>
  <c r="AC332" i="16" s="1"/>
  <c r="V332" i="16"/>
  <c r="AB332" i="16" s="1"/>
  <c r="X331" i="16"/>
  <c r="AD331" i="16" s="1"/>
  <c r="W331" i="16"/>
  <c r="AC331" i="16" s="1"/>
  <c r="V331" i="16"/>
  <c r="AB331" i="16" s="1"/>
  <c r="X330" i="16"/>
  <c r="AD330" i="16" s="1"/>
  <c r="W330" i="16"/>
  <c r="AC330" i="16" s="1"/>
  <c r="V330" i="16"/>
  <c r="AB330" i="16" s="1"/>
  <c r="X329" i="16"/>
  <c r="AD329" i="16" s="1"/>
  <c r="W329" i="16"/>
  <c r="AC329" i="16" s="1"/>
  <c r="V329" i="16"/>
  <c r="AB329" i="16" s="1"/>
  <c r="X328" i="16"/>
  <c r="AD328" i="16" s="1"/>
  <c r="W328" i="16"/>
  <c r="AC328" i="16" s="1"/>
  <c r="V328" i="16"/>
  <c r="AB328" i="16" s="1"/>
  <c r="X327" i="16"/>
  <c r="AD327" i="16" s="1"/>
  <c r="W327" i="16"/>
  <c r="AC327" i="16" s="1"/>
  <c r="V327" i="16"/>
  <c r="AB327" i="16" s="1"/>
  <c r="X326" i="16"/>
  <c r="AD326" i="16" s="1"/>
  <c r="W326" i="16"/>
  <c r="AC326" i="16" s="1"/>
  <c r="V326" i="16"/>
  <c r="AB326" i="16" s="1"/>
  <c r="X325" i="16"/>
  <c r="AD325" i="16" s="1"/>
  <c r="W325" i="16"/>
  <c r="AC325" i="16" s="1"/>
  <c r="V325" i="16"/>
  <c r="AB325" i="16" s="1"/>
  <c r="X324" i="16"/>
  <c r="AD324" i="16" s="1"/>
  <c r="W324" i="16"/>
  <c r="AC324" i="16" s="1"/>
  <c r="V324" i="16"/>
  <c r="AB324" i="16" s="1"/>
  <c r="X323" i="16"/>
  <c r="AD323" i="16" s="1"/>
  <c r="W323" i="16"/>
  <c r="AC323" i="16" s="1"/>
  <c r="V323" i="16"/>
  <c r="AB323" i="16" s="1"/>
  <c r="X322" i="16"/>
  <c r="AD322" i="16" s="1"/>
  <c r="W322" i="16"/>
  <c r="AC322" i="16" s="1"/>
  <c r="V322" i="16"/>
  <c r="AB322" i="16" s="1"/>
  <c r="X321" i="16"/>
  <c r="AD321" i="16" s="1"/>
  <c r="W321" i="16"/>
  <c r="AC321" i="16" s="1"/>
  <c r="V321" i="16"/>
  <c r="AB321" i="16" s="1"/>
  <c r="X320" i="16"/>
  <c r="AD320" i="16" s="1"/>
  <c r="W320" i="16"/>
  <c r="AC320" i="16" s="1"/>
  <c r="V320" i="16"/>
  <c r="AB320" i="16" s="1"/>
  <c r="X319" i="16"/>
  <c r="AD319" i="16" s="1"/>
  <c r="W319" i="16"/>
  <c r="AC319" i="16" s="1"/>
  <c r="V319" i="16"/>
  <c r="AB319" i="16" s="1"/>
  <c r="X318" i="16"/>
  <c r="AD318" i="16" s="1"/>
  <c r="W318" i="16"/>
  <c r="AC318" i="16" s="1"/>
  <c r="V318" i="16"/>
  <c r="AB318" i="16" s="1"/>
  <c r="X317" i="16"/>
  <c r="AD317" i="16" s="1"/>
  <c r="W317" i="16"/>
  <c r="AC317" i="16" s="1"/>
  <c r="V317" i="16"/>
  <c r="AB317" i="16" s="1"/>
  <c r="X316" i="16"/>
  <c r="AD316" i="16" s="1"/>
  <c r="W316" i="16"/>
  <c r="AC316" i="16" s="1"/>
  <c r="V316" i="16"/>
  <c r="AB316" i="16" s="1"/>
  <c r="X315" i="16"/>
  <c r="AD315" i="16" s="1"/>
  <c r="W315" i="16"/>
  <c r="AC315" i="16" s="1"/>
  <c r="V315" i="16"/>
  <c r="AB315" i="16" s="1"/>
  <c r="X314" i="16"/>
  <c r="AD314" i="16" s="1"/>
  <c r="W314" i="16"/>
  <c r="AC314" i="16" s="1"/>
  <c r="V314" i="16"/>
  <c r="AB314" i="16" s="1"/>
  <c r="X313" i="16"/>
  <c r="AD313" i="16" s="1"/>
  <c r="W313" i="16"/>
  <c r="AC313" i="16" s="1"/>
  <c r="V313" i="16"/>
  <c r="AB313" i="16" s="1"/>
  <c r="X312" i="16"/>
  <c r="AD312" i="16" s="1"/>
  <c r="W312" i="16"/>
  <c r="AC312" i="16" s="1"/>
  <c r="V312" i="16"/>
  <c r="AB312" i="16" s="1"/>
  <c r="X311" i="16"/>
  <c r="AD311" i="16" s="1"/>
  <c r="W311" i="16"/>
  <c r="AC311" i="16" s="1"/>
  <c r="V311" i="16"/>
  <c r="AB311" i="16" s="1"/>
  <c r="X310" i="16"/>
  <c r="AD310" i="16" s="1"/>
  <c r="W310" i="16"/>
  <c r="AC310" i="16" s="1"/>
  <c r="V310" i="16"/>
  <c r="AB310" i="16" s="1"/>
  <c r="X309" i="16"/>
  <c r="AD309" i="16" s="1"/>
  <c r="W309" i="16"/>
  <c r="AC309" i="16" s="1"/>
  <c r="V309" i="16"/>
  <c r="AB309" i="16" s="1"/>
  <c r="X308" i="16"/>
  <c r="AD308" i="16" s="1"/>
  <c r="W308" i="16"/>
  <c r="AC308" i="16" s="1"/>
  <c r="V308" i="16"/>
  <c r="AB308" i="16" s="1"/>
  <c r="X307" i="16"/>
  <c r="AD307" i="16" s="1"/>
  <c r="W307" i="16"/>
  <c r="AC307" i="16" s="1"/>
  <c r="V307" i="16"/>
  <c r="AB307" i="16" s="1"/>
  <c r="X306" i="16"/>
  <c r="AD306" i="16" s="1"/>
  <c r="W306" i="16"/>
  <c r="AC306" i="16" s="1"/>
  <c r="V306" i="16"/>
  <c r="AB306" i="16" s="1"/>
  <c r="X305" i="16"/>
  <c r="AD305" i="16" s="1"/>
  <c r="W305" i="16"/>
  <c r="AC305" i="16" s="1"/>
  <c r="V305" i="16"/>
  <c r="AB305" i="16" s="1"/>
  <c r="X304" i="16"/>
  <c r="AD304" i="16" s="1"/>
  <c r="W304" i="16"/>
  <c r="AC304" i="16" s="1"/>
  <c r="V304" i="16"/>
  <c r="AB304" i="16" s="1"/>
  <c r="X303" i="16"/>
  <c r="AD303" i="16" s="1"/>
  <c r="W303" i="16"/>
  <c r="AC303" i="16" s="1"/>
  <c r="V303" i="16"/>
  <c r="AB303" i="16" s="1"/>
  <c r="X302" i="16"/>
  <c r="AD302" i="16" s="1"/>
  <c r="W302" i="16"/>
  <c r="AC302" i="16" s="1"/>
  <c r="V302" i="16"/>
  <c r="AB302" i="16" s="1"/>
  <c r="X301" i="16"/>
  <c r="AD301" i="16" s="1"/>
  <c r="W301" i="16"/>
  <c r="AC301" i="16" s="1"/>
  <c r="V301" i="16"/>
  <c r="AB301" i="16" s="1"/>
  <c r="X300" i="16"/>
  <c r="AD300" i="16" s="1"/>
  <c r="W300" i="16"/>
  <c r="AC300" i="16" s="1"/>
  <c r="V300" i="16"/>
  <c r="AB300" i="16" s="1"/>
  <c r="X242" i="16"/>
  <c r="AD242" i="16" s="1"/>
  <c r="W242" i="16"/>
  <c r="AC242" i="16" s="1"/>
  <c r="V242" i="16"/>
  <c r="AB242" i="16" s="1"/>
  <c r="X241" i="16"/>
  <c r="AD241" i="16" s="1"/>
  <c r="W241" i="16"/>
  <c r="AC241" i="16" s="1"/>
  <c r="V241" i="16"/>
  <c r="AB241" i="16" s="1"/>
  <c r="X240" i="16"/>
  <c r="AD240" i="16" s="1"/>
  <c r="W240" i="16"/>
  <c r="AC240" i="16" s="1"/>
  <c r="V240" i="16"/>
  <c r="AB240" i="16" s="1"/>
  <c r="X239" i="16"/>
  <c r="AD239" i="16" s="1"/>
  <c r="W239" i="16"/>
  <c r="AC239" i="16" s="1"/>
  <c r="V239" i="16"/>
  <c r="AB239" i="16" s="1"/>
  <c r="X238" i="16"/>
  <c r="AD238" i="16" s="1"/>
  <c r="W238" i="16"/>
  <c r="AC238" i="16" s="1"/>
  <c r="V238" i="16"/>
  <c r="AB238" i="16" s="1"/>
  <c r="X237" i="16"/>
  <c r="AD237" i="16" s="1"/>
  <c r="W237" i="16"/>
  <c r="AC237" i="16" s="1"/>
  <c r="V237" i="16"/>
  <c r="AB237" i="16" s="1"/>
  <c r="X236" i="16"/>
  <c r="AD236" i="16" s="1"/>
  <c r="W236" i="16"/>
  <c r="AC236" i="16" s="1"/>
  <c r="V236" i="16"/>
  <c r="AB236" i="16" s="1"/>
  <c r="X235" i="16"/>
  <c r="AD235" i="16" s="1"/>
  <c r="W235" i="16"/>
  <c r="AC235" i="16" s="1"/>
  <c r="V235" i="16"/>
  <c r="AB235" i="16" s="1"/>
  <c r="X234" i="16"/>
  <c r="AD234" i="16" s="1"/>
  <c r="W234" i="16"/>
  <c r="AC234" i="16" s="1"/>
  <c r="V234" i="16"/>
  <c r="AB234" i="16" s="1"/>
  <c r="X233" i="16"/>
  <c r="AD233" i="16" s="1"/>
  <c r="W233" i="16"/>
  <c r="AC233" i="16" s="1"/>
  <c r="V233" i="16"/>
  <c r="AB233" i="16" s="1"/>
  <c r="X232" i="16"/>
  <c r="AD232" i="16" s="1"/>
  <c r="W232" i="16"/>
  <c r="AC232" i="16" s="1"/>
  <c r="V232" i="16"/>
  <c r="AB232" i="16" s="1"/>
  <c r="X231" i="16"/>
  <c r="AD231" i="16" s="1"/>
  <c r="W231" i="16"/>
  <c r="AC231" i="16" s="1"/>
  <c r="V231" i="16"/>
  <c r="AB231" i="16" s="1"/>
  <c r="X230" i="16"/>
  <c r="AD230" i="16" s="1"/>
  <c r="W230" i="16"/>
  <c r="AC230" i="16" s="1"/>
  <c r="V230" i="16"/>
  <c r="AB230" i="16" s="1"/>
  <c r="X229" i="16"/>
  <c r="AD229" i="16" s="1"/>
  <c r="W229" i="16"/>
  <c r="AC229" i="16" s="1"/>
  <c r="V229" i="16"/>
  <c r="AB229" i="16" s="1"/>
  <c r="X228" i="16"/>
  <c r="AD228" i="16" s="1"/>
  <c r="W228" i="16"/>
  <c r="AC228" i="16" s="1"/>
  <c r="V228" i="16"/>
  <c r="AB228" i="16" s="1"/>
  <c r="X227" i="16"/>
  <c r="AD227" i="16" s="1"/>
  <c r="W227" i="16"/>
  <c r="AC227" i="16" s="1"/>
  <c r="V227" i="16"/>
  <c r="AB227" i="16" s="1"/>
  <c r="X226" i="16"/>
  <c r="AD226" i="16" s="1"/>
  <c r="W226" i="16"/>
  <c r="AC226" i="16" s="1"/>
  <c r="V226" i="16"/>
  <c r="AB226" i="16" s="1"/>
  <c r="X225" i="16"/>
  <c r="AD225" i="16" s="1"/>
  <c r="W225" i="16"/>
  <c r="AC225" i="16" s="1"/>
  <c r="V225" i="16"/>
  <c r="AB225" i="16" s="1"/>
  <c r="X224" i="16"/>
  <c r="AD224" i="16" s="1"/>
  <c r="W224" i="16"/>
  <c r="AC224" i="16" s="1"/>
  <c r="V224" i="16"/>
  <c r="AB224" i="16" s="1"/>
  <c r="X223" i="16"/>
  <c r="AD223" i="16" s="1"/>
  <c r="W223" i="16"/>
  <c r="AC223" i="16" s="1"/>
  <c r="V223" i="16"/>
  <c r="AB223" i="16" s="1"/>
  <c r="X222" i="16"/>
  <c r="AD222" i="16" s="1"/>
  <c r="W222" i="16"/>
  <c r="AC222" i="16" s="1"/>
  <c r="V222" i="16"/>
  <c r="AB222" i="16" s="1"/>
  <c r="X221" i="16"/>
  <c r="AD221" i="16" s="1"/>
  <c r="W221" i="16"/>
  <c r="AC221" i="16" s="1"/>
  <c r="V221" i="16"/>
  <c r="AB221" i="16" s="1"/>
  <c r="X220" i="16"/>
  <c r="AD220" i="16" s="1"/>
  <c r="W220" i="16"/>
  <c r="AC220" i="16" s="1"/>
  <c r="V220" i="16"/>
  <c r="AB220" i="16" s="1"/>
  <c r="X219" i="16"/>
  <c r="AD219" i="16" s="1"/>
  <c r="W219" i="16"/>
  <c r="AC219" i="16" s="1"/>
  <c r="V219" i="16"/>
  <c r="AB219" i="16" s="1"/>
  <c r="X218" i="16"/>
  <c r="AD218" i="16" s="1"/>
  <c r="W218" i="16"/>
  <c r="AC218" i="16" s="1"/>
  <c r="V218" i="16"/>
  <c r="AB218" i="16" s="1"/>
  <c r="X217" i="16"/>
  <c r="AD217" i="16" s="1"/>
  <c r="W217" i="16"/>
  <c r="AC217" i="16" s="1"/>
  <c r="V217" i="16"/>
  <c r="AB217" i="16" s="1"/>
  <c r="X216" i="16"/>
  <c r="AD216" i="16" s="1"/>
  <c r="W216" i="16"/>
  <c r="AC216" i="16" s="1"/>
  <c r="V216" i="16"/>
  <c r="AB216" i="16" s="1"/>
  <c r="X215" i="16"/>
  <c r="AD215" i="16" s="1"/>
  <c r="W215" i="16"/>
  <c r="AC215" i="16" s="1"/>
  <c r="V215" i="16"/>
  <c r="AB215" i="16" s="1"/>
  <c r="X214" i="16"/>
  <c r="AD214" i="16" s="1"/>
  <c r="W214" i="16"/>
  <c r="AC214" i="16" s="1"/>
  <c r="V214" i="16"/>
  <c r="AB214" i="16" s="1"/>
  <c r="X213" i="16"/>
  <c r="AD213" i="16" s="1"/>
  <c r="W213" i="16"/>
  <c r="AC213" i="16" s="1"/>
  <c r="V213" i="16"/>
  <c r="AB213" i="16" s="1"/>
  <c r="X212" i="16"/>
  <c r="AD212" i="16" s="1"/>
  <c r="W212" i="16"/>
  <c r="AC212" i="16" s="1"/>
  <c r="V212" i="16"/>
  <c r="AB212" i="16" s="1"/>
  <c r="X211" i="16"/>
  <c r="AD211" i="16" s="1"/>
  <c r="W211" i="16"/>
  <c r="AC211" i="16" s="1"/>
  <c r="V211" i="16"/>
  <c r="AB211" i="16" s="1"/>
  <c r="X210" i="16"/>
  <c r="AD210" i="16" s="1"/>
  <c r="W210" i="16"/>
  <c r="AC210" i="16" s="1"/>
  <c r="V210" i="16"/>
  <c r="AB210" i="16" s="1"/>
  <c r="X209" i="16"/>
  <c r="AD209" i="16" s="1"/>
  <c r="W209" i="16"/>
  <c r="AC209" i="16" s="1"/>
  <c r="V209" i="16"/>
  <c r="AB209" i="16" s="1"/>
  <c r="X208" i="16"/>
  <c r="AD208" i="16" s="1"/>
  <c r="W208" i="16"/>
  <c r="AC208" i="16" s="1"/>
  <c r="V208" i="16"/>
  <c r="AB208" i="16" s="1"/>
  <c r="X207" i="16"/>
  <c r="AD207" i="16" s="1"/>
  <c r="W207" i="16"/>
  <c r="AC207" i="16" s="1"/>
  <c r="V207" i="16"/>
  <c r="AB207" i="16" s="1"/>
  <c r="X206" i="16"/>
  <c r="AD206" i="16" s="1"/>
  <c r="W206" i="16"/>
  <c r="AC206" i="16" s="1"/>
  <c r="V206" i="16"/>
  <c r="AB206" i="16" s="1"/>
  <c r="X205" i="16"/>
  <c r="AD205" i="16" s="1"/>
  <c r="W205" i="16"/>
  <c r="AC205" i="16" s="1"/>
  <c r="V205" i="16"/>
  <c r="AB205" i="16" s="1"/>
  <c r="X204" i="16"/>
  <c r="AD204" i="16" s="1"/>
  <c r="W204" i="16"/>
  <c r="AC204" i="16" s="1"/>
  <c r="V204" i="16"/>
  <c r="AB204" i="16" s="1"/>
  <c r="X203" i="16"/>
  <c r="AD203" i="16" s="1"/>
  <c r="W203" i="16"/>
  <c r="AC203" i="16" s="1"/>
  <c r="V203" i="16"/>
  <c r="AB203" i="16" s="1"/>
  <c r="X202" i="16"/>
  <c r="AD202" i="16" s="1"/>
  <c r="W202" i="16"/>
  <c r="AC202" i="16" s="1"/>
  <c r="V202" i="16"/>
  <c r="AB202" i="16" s="1"/>
  <c r="X201" i="16"/>
  <c r="AD201" i="16" s="1"/>
  <c r="W201" i="16"/>
  <c r="AC201" i="16" s="1"/>
  <c r="V201" i="16"/>
  <c r="AB201" i="16" s="1"/>
  <c r="X200" i="16"/>
  <c r="AD200" i="16" s="1"/>
  <c r="W200" i="16"/>
  <c r="AC200" i="16" s="1"/>
  <c r="V200" i="16"/>
  <c r="AB200" i="16" s="1"/>
  <c r="X199" i="16"/>
  <c r="AD199" i="16" s="1"/>
  <c r="W199" i="16"/>
  <c r="AC199" i="16" s="1"/>
  <c r="V199" i="16"/>
  <c r="AB199" i="16" s="1"/>
  <c r="X198" i="16"/>
  <c r="AD198" i="16" s="1"/>
  <c r="W198" i="16"/>
  <c r="AC198" i="16" s="1"/>
  <c r="V198" i="16"/>
  <c r="AB198" i="16" s="1"/>
  <c r="X197" i="16"/>
  <c r="AD197" i="16" s="1"/>
  <c r="W197" i="16"/>
  <c r="AC197" i="16" s="1"/>
  <c r="V197" i="16"/>
  <c r="AB197" i="16" s="1"/>
  <c r="X196" i="16"/>
  <c r="AD196" i="16" s="1"/>
  <c r="W196" i="16"/>
  <c r="AC196" i="16" s="1"/>
  <c r="V196" i="16"/>
  <c r="AB196" i="16" s="1"/>
  <c r="X195" i="16"/>
  <c r="AD195" i="16" s="1"/>
  <c r="W195" i="16"/>
  <c r="AC195" i="16" s="1"/>
  <c r="V195" i="16"/>
  <c r="AB195" i="16" s="1"/>
  <c r="X194" i="16"/>
  <c r="AD194" i="16" s="1"/>
  <c r="W194" i="16"/>
  <c r="AC194" i="16" s="1"/>
  <c r="V194" i="16"/>
  <c r="AB194" i="16" s="1"/>
  <c r="X193" i="16"/>
  <c r="AD193" i="16" s="1"/>
  <c r="W193" i="16"/>
  <c r="AC193" i="16" s="1"/>
  <c r="V193" i="16"/>
  <c r="AB193" i="16" s="1"/>
  <c r="X192" i="16"/>
  <c r="AD192" i="16" s="1"/>
  <c r="W192" i="16"/>
  <c r="AC192" i="16" s="1"/>
  <c r="V192" i="16"/>
  <c r="AB192" i="16" s="1"/>
  <c r="X191" i="16"/>
  <c r="AD191" i="16" s="1"/>
  <c r="W191" i="16"/>
  <c r="AC191" i="16" s="1"/>
  <c r="V191" i="16"/>
  <c r="AB191" i="16" s="1"/>
  <c r="X190" i="16"/>
  <c r="AD190" i="16" s="1"/>
  <c r="W190" i="16"/>
  <c r="AC190" i="16" s="1"/>
  <c r="V190" i="16"/>
  <c r="AB190" i="16" s="1"/>
  <c r="X189" i="16"/>
  <c r="AD189" i="16" s="1"/>
  <c r="W189" i="16"/>
  <c r="AC189" i="16" s="1"/>
  <c r="V189" i="16"/>
  <c r="AB189" i="16" s="1"/>
  <c r="X188" i="16"/>
  <c r="AD188" i="16" s="1"/>
  <c r="W188" i="16"/>
  <c r="AC188" i="16" s="1"/>
  <c r="V188" i="16"/>
  <c r="AB188" i="16" s="1"/>
  <c r="X187" i="16"/>
  <c r="AD187" i="16" s="1"/>
  <c r="W187" i="16"/>
  <c r="AC187" i="16" s="1"/>
  <c r="V187" i="16"/>
  <c r="AB187" i="16" s="1"/>
  <c r="X186" i="16"/>
  <c r="AD186" i="16" s="1"/>
  <c r="W186" i="16"/>
  <c r="AC186" i="16" s="1"/>
  <c r="V186" i="16"/>
  <c r="AB186" i="16" s="1"/>
  <c r="X185" i="16"/>
  <c r="AD185" i="16" s="1"/>
  <c r="W185" i="16"/>
  <c r="AC185" i="16" s="1"/>
  <c r="V185" i="16"/>
  <c r="AB185" i="16" s="1"/>
  <c r="X184" i="16"/>
  <c r="AD184" i="16" s="1"/>
  <c r="W184" i="16"/>
  <c r="AC184" i="16" s="1"/>
  <c r="V184" i="16"/>
  <c r="AB184" i="16" s="1"/>
  <c r="X183" i="16"/>
  <c r="AD183" i="16" s="1"/>
  <c r="W183" i="16"/>
  <c r="AC183" i="16" s="1"/>
  <c r="V183" i="16"/>
  <c r="AB183" i="16" s="1"/>
  <c r="X182" i="16"/>
  <c r="AD182" i="16" s="1"/>
  <c r="W182" i="16"/>
  <c r="AC182" i="16" s="1"/>
  <c r="V182" i="16"/>
  <c r="AB182" i="16" s="1"/>
  <c r="X181" i="16"/>
  <c r="AD181" i="16" s="1"/>
  <c r="W181" i="16"/>
  <c r="AC181" i="16" s="1"/>
  <c r="V181" i="16"/>
  <c r="AB181" i="16" s="1"/>
  <c r="X180" i="16"/>
  <c r="AD180" i="16" s="1"/>
  <c r="W180" i="16"/>
  <c r="AC180" i="16" s="1"/>
  <c r="V180" i="16"/>
  <c r="AB180" i="16" s="1"/>
  <c r="X179" i="16"/>
  <c r="AD179" i="16" s="1"/>
  <c r="W179" i="16"/>
  <c r="AC179" i="16" s="1"/>
  <c r="V179" i="16"/>
  <c r="AB179" i="16" s="1"/>
  <c r="X178" i="16"/>
  <c r="AD178" i="16" s="1"/>
  <c r="W178" i="16"/>
  <c r="AC178" i="16" s="1"/>
  <c r="V178" i="16"/>
  <c r="AB178" i="16" s="1"/>
  <c r="X177" i="16"/>
  <c r="AD177" i="16" s="1"/>
  <c r="W177" i="16"/>
  <c r="AC177" i="16" s="1"/>
  <c r="V177" i="16"/>
  <c r="AB177" i="16" s="1"/>
  <c r="X176" i="16"/>
  <c r="AD176" i="16" s="1"/>
  <c r="W176" i="16"/>
  <c r="AC176" i="16" s="1"/>
  <c r="V176" i="16"/>
  <c r="AB176" i="16" s="1"/>
  <c r="X175" i="16"/>
  <c r="AD175" i="16" s="1"/>
  <c r="W175" i="16"/>
  <c r="AC175" i="16" s="1"/>
  <c r="V175" i="16"/>
  <c r="AB175" i="16" s="1"/>
  <c r="X174" i="16"/>
  <c r="AD174" i="16" s="1"/>
  <c r="W174" i="16"/>
  <c r="AC174" i="16" s="1"/>
  <c r="V174" i="16"/>
  <c r="AB174" i="16" s="1"/>
  <c r="X173" i="16"/>
  <c r="AD173" i="16" s="1"/>
  <c r="W173" i="16"/>
  <c r="AC173" i="16" s="1"/>
  <c r="V173" i="16"/>
  <c r="AB173" i="16" s="1"/>
  <c r="X172" i="16"/>
  <c r="AD172" i="16" s="1"/>
  <c r="W172" i="16"/>
  <c r="AC172" i="16" s="1"/>
  <c r="V172" i="16"/>
  <c r="AB172" i="16" s="1"/>
  <c r="X171" i="16"/>
  <c r="AD171" i="16" s="1"/>
  <c r="W171" i="16"/>
  <c r="AC171" i="16" s="1"/>
  <c r="V171" i="16"/>
  <c r="AB171" i="16" s="1"/>
  <c r="X170" i="16"/>
  <c r="AD170" i="16" s="1"/>
  <c r="W170" i="16"/>
  <c r="AC170" i="16" s="1"/>
  <c r="V170" i="16"/>
  <c r="AB170" i="16" s="1"/>
  <c r="X169" i="16"/>
  <c r="AD169" i="16" s="1"/>
  <c r="W169" i="16"/>
  <c r="AC169" i="16" s="1"/>
  <c r="V169" i="16"/>
  <c r="AB169" i="16" s="1"/>
  <c r="X168" i="16"/>
  <c r="AD168" i="16" s="1"/>
  <c r="W168" i="16"/>
  <c r="AC168" i="16" s="1"/>
  <c r="V168" i="16"/>
  <c r="AB168" i="16" s="1"/>
  <c r="X167" i="16"/>
  <c r="AD167" i="16" s="1"/>
  <c r="W167" i="16"/>
  <c r="AC167" i="16" s="1"/>
  <c r="V167" i="16"/>
  <c r="AB167" i="16" s="1"/>
  <c r="X166" i="16"/>
  <c r="AD166" i="16" s="1"/>
  <c r="W166" i="16"/>
  <c r="AC166" i="16" s="1"/>
  <c r="V166" i="16"/>
  <c r="AB166" i="16" s="1"/>
  <c r="X165" i="16"/>
  <c r="AD165" i="16" s="1"/>
  <c r="W165" i="16"/>
  <c r="AC165" i="16" s="1"/>
  <c r="V165" i="16"/>
  <c r="AB165" i="16" s="1"/>
  <c r="X164" i="16"/>
  <c r="AD164" i="16" s="1"/>
  <c r="W164" i="16"/>
  <c r="AC164" i="16" s="1"/>
  <c r="V164" i="16"/>
  <c r="AB164" i="16" s="1"/>
  <c r="X163" i="16"/>
  <c r="AD163" i="16" s="1"/>
  <c r="W163" i="16"/>
  <c r="AC163" i="16" s="1"/>
  <c r="V163" i="16"/>
  <c r="AB163" i="16" s="1"/>
  <c r="X162" i="16"/>
  <c r="AD162" i="16" s="1"/>
  <c r="W162" i="16"/>
  <c r="AC162" i="16" s="1"/>
  <c r="V162" i="16"/>
  <c r="AB162" i="16" s="1"/>
  <c r="X161" i="16"/>
  <c r="AD161" i="16" s="1"/>
  <c r="W161" i="16"/>
  <c r="AC161" i="16" s="1"/>
  <c r="V161" i="16"/>
  <c r="AB161" i="16" s="1"/>
  <c r="X160" i="16"/>
  <c r="AD160" i="16" s="1"/>
  <c r="W160" i="16"/>
  <c r="AC160" i="16" s="1"/>
  <c r="V160" i="16"/>
  <c r="AB160" i="16" s="1"/>
  <c r="X159" i="16"/>
  <c r="AD159" i="16" s="1"/>
  <c r="W159" i="16"/>
  <c r="AC159" i="16" s="1"/>
  <c r="V159" i="16"/>
  <c r="AB159" i="16" s="1"/>
  <c r="X158" i="16"/>
  <c r="AD158" i="16" s="1"/>
  <c r="W158" i="16"/>
  <c r="AC158" i="16" s="1"/>
  <c r="V158" i="16"/>
  <c r="AB158" i="16" s="1"/>
  <c r="X157" i="16"/>
  <c r="AD157" i="16" s="1"/>
  <c r="W157" i="16"/>
  <c r="AC157" i="16" s="1"/>
  <c r="V157" i="16"/>
  <c r="AB157" i="16" s="1"/>
  <c r="X156" i="16"/>
  <c r="AD156" i="16" s="1"/>
  <c r="W156" i="16"/>
  <c r="AC156" i="16" s="1"/>
  <c r="V156" i="16"/>
  <c r="AB156" i="16" s="1"/>
  <c r="X155" i="16"/>
  <c r="AD155" i="16" s="1"/>
  <c r="W155" i="16"/>
  <c r="AC155" i="16" s="1"/>
  <c r="V155" i="16"/>
  <c r="AB155" i="16" s="1"/>
  <c r="X154" i="16"/>
  <c r="AD154" i="16" s="1"/>
  <c r="W154" i="16"/>
  <c r="AC154" i="16" s="1"/>
  <c r="V154" i="16"/>
  <c r="AB154" i="16" s="1"/>
  <c r="X153" i="16"/>
  <c r="AD153" i="16" s="1"/>
  <c r="W153" i="16"/>
  <c r="AC153" i="16" s="1"/>
  <c r="V153" i="16"/>
  <c r="AB153" i="16" s="1"/>
  <c r="X152" i="16"/>
  <c r="AD152" i="16" s="1"/>
  <c r="W152" i="16"/>
  <c r="AC152" i="16" s="1"/>
  <c r="V152" i="16"/>
  <c r="AB152" i="16" s="1"/>
  <c r="X151" i="16"/>
  <c r="AD151" i="16" s="1"/>
  <c r="W151" i="16"/>
  <c r="AC151" i="16" s="1"/>
  <c r="V151" i="16"/>
  <c r="AB151" i="16" s="1"/>
  <c r="X150" i="16"/>
  <c r="AD150" i="16" s="1"/>
  <c r="W150" i="16"/>
  <c r="AC150" i="16" s="1"/>
  <c r="V150" i="16"/>
  <c r="AB150" i="16" s="1"/>
  <c r="X149" i="16"/>
  <c r="AD149" i="16" s="1"/>
  <c r="W149" i="16"/>
  <c r="AC149" i="16" s="1"/>
  <c r="V149" i="16"/>
  <c r="AB149" i="16" s="1"/>
  <c r="X148" i="16"/>
  <c r="AD148" i="16" s="1"/>
  <c r="W148" i="16"/>
  <c r="AC148" i="16" s="1"/>
  <c r="V148" i="16"/>
  <c r="AB148" i="16" s="1"/>
  <c r="X147" i="16"/>
  <c r="AD147" i="16" s="1"/>
  <c r="W147" i="16"/>
  <c r="AC147" i="16" s="1"/>
  <c r="V147" i="16"/>
  <c r="AB147" i="16" s="1"/>
  <c r="X146" i="16"/>
  <c r="AD146" i="16" s="1"/>
  <c r="W146" i="16"/>
  <c r="AC146" i="16" s="1"/>
  <c r="V146" i="16"/>
  <c r="AB146" i="16" s="1"/>
  <c r="X145" i="16"/>
  <c r="AD145" i="16" s="1"/>
  <c r="W145" i="16"/>
  <c r="AC145" i="16" s="1"/>
  <c r="V145" i="16"/>
  <c r="AB145" i="16" s="1"/>
  <c r="X144" i="16"/>
  <c r="AD144" i="16" s="1"/>
  <c r="W144" i="16"/>
  <c r="AC144" i="16" s="1"/>
  <c r="V144" i="16"/>
  <c r="AB144" i="16" s="1"/>
  <c r="X143" i="16"/>
  <c r="AD143" i="16" s="1"/>
  <c r="W143" i="16"/>
  <c r="AC143" i="16" s="1"/>
  <c r="V143" i="16"/>
  <c r="AB143" i="16" s="1"/>
  <c r="X142" i="16"/>
  <c r="AD142" i="16" s="1"/>
  <c r="W142" i="16"/>
  <c r="AC142" i="16" s="1"/>
  <c r="V142" i="16"/>
  <c r="AB142" i="16" s="1"/>
  <c r="X141" i="16"/>
  <c r="AD141" i="16" s="1"/>
  <c r="W141" i="16"/>
  <c r="AC141" i="16" s="1"/>
  <c r="V141" i="16"/>
  <c r="AB141" i="16" s="1"/>
  <c r="X140" i="16"/>
  <c r="AD140" i="16" s="1"/>
  <c r="W140" i="16"/>
  <c r="AC140" i="16" s="1"/>
  <c r="V140" i="16"/>
  <c r="AB140" i="16" s="1"/>
  <c r="X139" i="16"/>
  <c r="AD139" i="16" s="1"/>
  <c r="W139" i="16"/>
  <c r="AC139" i="16" s="1"/>
  <c r="V139" i="16"/>
  <c r="AB139" i="16" s="1"/>
  <c r="X138" i="16"/>
  <c r="AD138" i="16" s="1"/>
  <c r="W138" i="16"/>
  <c r="AC138" i="16" s="1"/>
  <c r="V138" i="16"/>
  <c r="AB138" i="16" s="1"/>
  <c r="X137" i="16"/>
  <c r="AD137" i="16" s="1"/>
  <c r="W137" i="16"/>
  <c r="AC137" i="16" s="1"/>
  <c r="V137" i="16"/>
  <c r="AB137" i="16" s="1"/>
  <c r="X136" i="16"/>
  <c r="AD136" i="16" s="1"/>
  <c r="W136" i="16"/>
  <c r="AC136" i="16" s="1"/>
  <c r="V136" i="16"/>
  <c r="AB136" i="16" s="1"/>
  <c r="X135" i="16"/>
  <c r="AD135" i="16" s="1"/>
  <c r="W135" i="16"/>
  <c r="AC135" i="16" s="1"/>
  <c r="V135" i="16"/>
  <c r="AB135" i="16" s="1"/>
  <c r="X134" i="16"/>
  <c r="AD134" i="16" s="1"/>
  <c r="W134" i="16"/>
  <c r="AC134" i="16" s="1"/>
  <c r="V134" i="16"/>
  <c r="AB134" i="16" s="1"/>
  <c r="X133" i="16"/>
  <c r="AD133" i="16" s="1"/>
  <c r="W133" i="16"/>
  <c r="AC133" i="16" s="1"/>
  <c r="V133" i="16"/>
  <c r="AB133" i="16" s="1"/>
  <c r="X132" i="16"/>
  <c r="AD132" i="16" s="1"/>
  <c r="W132" i="16"/>
  <c r="AC132" i="16" s="1"/>
  <c r="V132" i="16"/>
  <c r="AB132" i="16" s="1"/>
  <c r="X131" i="16"/>
  <c r="AD131" i="16" s="1"/>
  <c r="W131" i="16"/>
  <c r="AC131" i="16" s="1"/>
  <c r="V131" i="16"/>
  <c r="AB131" i="16" s="1"/>
  <c r="X130" i="16"/>
  <c r="AD130" i="16" s="1"/>
  <c r="W130" i="16"/>
  <c r="AC130" i="16" s="1"/>
  <c r="V130" i="16"/>
  <c r="AB130" i="16" s="1"/>
  <c r="X129" i="16"/>
  <c r="AD129" i="16" s="1"/>
  <c r="W129" i="16"/>
  <c r="AC129" i="16" s="1"/>
  <c r="V129" i="16"/>
  <c r="AB129" i="16" s="1"/>
  <c r="X128" i="16"/>
  <c r="AD128" i="16" s="1"/>
  <c r="W128" i="16"/>
  <c r="AC128" i="16" s="1"/>
  <c r="V128" i="16"/>
  <c r="AB128" i="16" s="1"/>
  <c r="X127" i="16"/>
  <c r="AD127" i="16" s="1"/>
  <c r="W127" i="16"/>
  <c r="AC127" i="16" s="1"/>
  <c r="V127" i="16"/>
  <c r="AB127" i="16" s="1"/>
  <c r="X126" i="16"/>
  <c r="AD126" i="16" s="1"/>
  <c r="W126" i="16"/>
  <c r="AC126" i="16" s="1"/>
  <c r="V126" i="16"/>
  <c r="AB126" i="16" s="1"/>
  <c r="X125" i="16"/>
  <c r="AD125" i="16" s="1"/>
  <c r="W125" i="16"/>
  <c r="AC125" i="16" s="1"/>
  <c r="V125" i="16"/>
  <c r="AB125" i="16" s="1"/>
  <c r="X124" i="16"/>
  <c r="AD124" i="16" s="1"/>
  <c r="W124" i="16"/>
  <c r="AC124" i="16" s="1"/>
  <c r="V124" i="16"/>
  <c r="AB124" i="16" s="1"/>
  <c r="X123" i="16"/>
  <c r="AD123" i="16" s="1"/>
  <c r="W123" i="16"/>
  <c r="AC123" i="16" s="1"/>
  <c r="V123" i="16"/>
  <c r="AB123" i="16" s="1"/>
  <c r="X122" i="16"/>
  <c r="AD122" i="16" s="1"/>
  <c r="W122" i="16"/>
  <c r="AC122" i="16" s="1"/>
  <c r="V122" i="16"/>
  <c r="AB122" i="16" s="1"/>
  <c r="X121" i="16"/>
  <c r="AD121" i="16" s="1"/>
  <c r="W121" i="16"/>
  <c r="AC121" i="16" s="1"/>
  <c r="V121" i="16"/>
  <c r="AB121" i="16" s="1"/>
  <c r="X120" i="16"/>
  <c r="AD120" i="16" s="1"/>
  <c r="W120" i="16"/>
  <c r="AC120" i="16" s="1"/>
  <c r="V120" i="16"/>
  <c r="AB120" i="16" s="1"/>
  <c r="X119" i="16"/>
  <c r="AD119" i="16" s="1"/>
  <c r="W119" i="16"/>
  <c r="AC119" i="16" s="1"/>
  <c r="V119" i="16"/>
  <c r="AB119" i="16" s="1"/>
  <c r="X118" i="16"/>
  <c r="AD118" i="16" s="1"/>
  <c r="W118" i="16"/>
  <c r="AC118" i="16" s="1"/>
  <c r="V118" i="16"/>
  <c r="AB118" i="16" s="1"/>
  <c r="X117" i="16"/>
  <c r="AD117" i="16" s="1"/>
  <c r="W117" i="16"/>
  <c r="AC117" i="16" s="1"/>
  <c r="V117" i="16"/>
  <c r="AB117" i="16" s="1"/>
  <c r="X116" i="16"/>
  <c r="AD116" i="16" s="1"/>
  <c r="W116" i="16"/>
  <c r="AC116" i="16" s="1"/>
  <c r="V116" i="16"/>
  <c r="AB116" i="16" s="1"/>
  <c r="X115" i="16"/>
  <c r="AD115" i="16" s="1"/>
  <c r="W115" i="16"/>
  <c r="AC115" i="16" s="1"/>
  <c r="V115" i="16"/>
  <c r="AB115" i="16" s="1"/>
  <c r="X114" i="16"/>
  <c r="AD114" i="16" s="1"/>
  <c r="W114" i="16"/>
  <c r="AC114" i="16" s="1"/>
  <c r="V114" i="16"/>
  <c r="AB114" i="16" s="1"/>
  <c r="X113" i="16"/>
  <c r="AD113" i="16" s="1"/>
  <c r="W113" i="16"/>
  <c r="AC113" i="16" s="1"/>
  <c r="V113" i="16"/>
  <c r="AB113" i="16" s="1"/>
  <c r="X112" i="16"/>
  <c r="AD112" i="16" s="1"/>
  <c r="W112" i="16"/>
  <c r="AC112" i="16" s="1"/>
  <c r="V112" i="16"/>
  <c r="AB112" i="16" s="1"/>
  <c r="X111" i="16"/>
  <c r="AD111" i="16" s="1"/>
  <c r="W111" i="16"/>
  <c r="AC111" i="16" s="1"/>
  <c r="V111" i="16"/>
  <c r="AB111" i="16" s="1"/>
  <c r="X110" i="16"/>
  <c r="AD110" i="16" s="1"/>
  <c r="W110" i="16"/>
  <c r="AC110" i="16" s="1"/>
  <c r="V110" i="16"/>
  <c r="AB110" i="16" s="1"/>
  <c r="X109" i="16"/>
  <c r="AD109" i="16" s="1"/>
  <c r="W109" i="16"/>
  <c r="AC109" i="16" s="1"/>
  <c r="V109" i="16"/>
  <c r="AB109" i="16" s="1"/>
  <c r="X108" i="16"/>
  <c r="AD108" i="16" s="1"/>
  <c r="W108" i="16"/>
  <c r="AC108" i="16" s="1"/>
  <c r="V108" i="16"/>
  <c r="AB108" i="16" s="1"/>
  <c r="X107" i="16"/>
  <c r="AD107" i="16" s="1"/>
  <c r="W107" i="16"/>
  <c r="AC107" i="16" s="1"/>
  <c r="V107" i="16"/>
  <c r="AB107" i="16" s="1"/>
  <c r="X106" i="16"/>
  <c r="AD106" i="16" s="1"/>
  <c r="W106" i="16"/>
  <c r="AC106" i="16" s="1"/>
  <c r="V106" i="16"/>
  <c r="AB106" i="16" s="1"/>
  <c r="X105" i="16"/>
  <c r="AD105" i="16" s="1"/>
  <c r="W105" i="16"/>
  <c r="AC105" i="16" s="1"/>
  <c r="V105" i="16"/>
  <c r="AB105" i="16" s="1"/>
  <c r="X104" i="16"/>
  <c r="AD104" i="16" s="1"/>
  <c r="W104" i="16"/>
  <c r="AC104" i="16" s="1"/>
  <c r="V104" i="16"/>
  <c r="AB104" i="16" s="1"/>
  <c r="X103" i="16"/>
  <c r="AD103" i="16" s="1"/>
  <c r="W103" i="16"/>
  <c r="AC103" i="16" s="1"/>
  <c r="V103" i="16"/>
  <c r="AB103" i="16" s="1"/>
  <c r="X102" i="16"/>
  <c r="AD102" i="16" s="1"/>
  <c r="W102" i="16"/>
  <c r="AC102" i="16" s="1"/>
  <c r="V102" i="16"/>
  <c r="AB102" i="16" s="1"/>
  <c r="X101" i="16"/>
  <c r="AD101" i="16" s="1"/>
  <c r="W101" i="16"/>
  <c r="AC101" i="16" s="1"/>
  <c r="V101" i="16"/>
  <c r="AB101" i="16" s="1"/>
  <c r="X100" i="16"/>
  <c r="AD100" i="16" s="1"/>
  <c r="W100" i="16"/>
  <c r="AC100" i="16" s="1"/>
  <c r="V100" i="16"/>
  <c r="AB100" i="16" s="1"/>
  <c r="X99" i="16"/>
  <c r="AD99" i="16" s="1"/>
  <c r="W99" i="16"/>
  <c r="AC99" i="16" s="1"/>
  <c r="V99" i="16"/>
  <c r="AB99" i="16" s="1"/>
  <c r="X98" i="16"/>
  <c r="AD98" i="16" s="1"/>
  <c r="W98" i="16"/>
  <c r="AC98" i="16" s="1"/>
  <c r="V98" i="16"/>
  <c r="AB98" i="16" s="1"/>
  <c r="X97" i="16"/>
  <c r="AD97" i="16" s="1"/>
  <c r="W97" i="16"/>
  <c r="AC97" i="16" s="1"/>
  <c r="V97" i="16"/>
  <c r="AB97" i="16" s="1"/>
  <c r="X96" i="16"/>
  <c r="AD96" i="16" s="1"/>
  <c r="W96" i="16"/>
  <c r="AC96" i="16" s="1"/>
  <c r="V96" i="16"/>
  <c r="AB96" i="16" s="1"/>
  <c r="X95" i="16"/>
  <c r="AD95" i="16" s="1"/>
  <c r="W95" i="16"/>
  <c r="AC95" i="16" s="1"/>
  <c r="V95" i="16"/>
  <c r="AB95" i="16" s="1"/>
  <c r="X94" i="16"/>
  <c r="AD94" i="16" s="1"/>
  <c r="W94" i="16"/>
  <c r="AC94" i="16" s="1"/>
  <c r="V94" i="16"/>
  <c r="AB94" i="16" s="1"/>
  <c r="X93" i="16"/>
  <c r="AD93" i="16" s="1"/>
  <c r="W93" i="16"/>
  <c r="AC93" i="16" s="1"/>
  <c r="V93" i="16"/>
  <c r="AB93" i="16" s="1"/>
  <c r="X92" i="16"/>
  <c r="AD92" i="16" s="1"/>
  <c r="W92" i="16"/>
  <c r="AC92" i="16" s="1"/>
  <c r="V92" i="16"/>
  <c r="AB92" i="16" s="1"/>
  <c r="X91" i="16"/>
  <c r="AD91" i="16" s="1"/>
  <c r="W91" i="16"/>
  <c r="AC91" i="16" s="1"/>
  <c r="V91" i="16"/>
  <c r="AB91" i="16" s="1"/>
  <c r="X90" i="16"/>
  <c r="AD90" i="16" s="1"/>
  <c r="W90" i="16"/>
  <c r="AC90" i="16" s="1"/>
  <c r="V90" i="16"/>
  <c r="AB90" i="16" s="1"/>
  <c r="X89" i="16"/>
  <c r="AD89" i="16" s="1"/>
  <c r="W89" i="16"/>
  <c r="AC89" i="16" s="1"/>
  <c r="V89" i="16"/>
  <c r="AB89" i="16" s="1"/>
  <c r="X88" i="16"/>
  <c r="AD88" i="16" s="1"/>
  <c r="W88" i="16"/>
  <c r="AC88" i="16" s="1"/>
  <c r="V88" i="16"/>
  <c r="AB88" i="16" s="1"/>
  <c r="X87" i="16"/>
  <c r="AD87" i="16" s="1"/>
  <c r="W87" i="16"/>
  <c r="AC87" i="16" s="1"/>
  <c r="V87" i="16"/>
  <c r="AB87" i="16" s="1"/>
  <c r="X86" i="16"/>
  <c r="AD86" i="16" s="1"/>
  <c r="W86" i="16"/>
  <c r="AC86" i="16" s="1"/>
  <c r="V86" i="16"/>
  <c r="AB86" i="16" s="1"/>
  <c r="X85" i="16"/>
  <c r="AD85" i="16" s="1"/>
  <c r="W85" i="16"/>
  <c r="AC85" i="16" s="1"/>
  <c r="V85" i="16"/>
  <c r="AB85" i="16" s="1"/>
  <c r="X84" i="16"/>
  <c r="AD84" i="16" s="1"/>
  <c r="W84" i="16"/>
  <c r="AC84" i="16" s="1"/>
  <c r="V84" i="16"/>
  <c r="AB84" i="16" s="1"/>
  <c r="X83" i="16"/>
  <c r="AD83" i="16" s="1"/>
  <c r="W83" i="16"/>
  <c r="AC83" i="16" s="1"/>
  <c r="V83" i="16"/>
  <c r="AB83" i="16" s="1"/>
  <c r="X82" i="16"/>
  <c r="AD82" i="16" s="1"/>
  <c r="W82" i="16"/>
  <c r="AC82" i="16" s="1"/>
  <c r="V82" i="16"/>
  <c r="AB82" i="16" s="1"/>
  <c r="X81" i="16"/>
  <c r="AD81" i="16" s="1"/>
  <c r="W81" i="16"/>
  <c r="AC81" i="16" s="1"/>
  <c r="V81" i="16"/>
  <c r="AB81" i="16" s="1"/>
  <c r="X80" i="16"/>
  <c r="AD80" i="16" s="1"/>
  <c r="W80" i="16"/>
  <c r="AC80" i="16" s="1"/>
  <c r="V80" i="16"/>
  <c r="AB80" i="16" s="1"/>
  <c r="X79" i="16"/>
  <c r="AD79" i="16" s="1"/>
  <c r="W79" i="16"/>
  <c r="AC79" i="16" s="1"/>
  <c r="V79" i="16"/>
  <c r="AB79" i="16" s="1"/>
  <c r="X78" i="16"/>
  <c r="AD78" i="16" s="1"/>
  <c r="W78" i="16"/>
  <c r="AC78" i="16" s="1"/>
  <c r="V78" i="16"/>
  <c r="AB78" i="16" s="1"/>
  <c r="X77" i="16"/>
  <c r="AD77" i="16" s="1"/>
  <c r="W77" i="16"/>
  <c r="AC77" i="16" s="1"/>
  <c r="V77" i="16"/>
  <c r="AB77" i="16" s="1"/>
  <c r="X76" i="16"/>
  <c r="AD76" i="16" s="1"/>
  <c r="W76" i="16"/>
  <c r="AC76" i="16" s="1"/>
  <c r="V76" i="16"/>
  <c r="AB76" i="16" s="1"/>
  <c r="X75" i="16"/>
  <c r="AD75" i="16" s="1"/>
  <c r="W75" i="16"/>
  <c r="AC75" i="16" s="1"/>
  <c r="V75" i="16"/>
  <c r="AB75" i="16" s="1"/>
  <c r="X74" i="16"/>
  <c r="AD74" i="16" s="1"/>
  <c r="W74" i="16"/>
  <c r="AC74" i="16" s="1"/>
  <c r="V74" i="16"/>
  <c r="AB74" i="16" s="1"/>
  <c r="X73" i="16"/>
  <c r="AD73" i="16" s="1"/>
  <c r="W73" i="16"/>
  <c r="AC73" i="16" s="1"/>
  <c r="V73" i="16"/>
  <c r="AB73" i="16" s="1"/>
  <c r="X72" i="16"/>
  <c r="AD72" i="16" s="1"/>
  <c r="W72" i="16"/>
  <c r="AC72" i="16" s="1"/>
  <c r="V72" i="16"/>
  <c r="AB72" i="16" s="1"/>
  <c r="X71" i="16"/>
  <c r="AD71" i="16" s="1"/>
  <c r="W71" i="16"/>
  <c r="AC71" i="16" s="1"/>
  <c r="V71" i="16"/>
  <c r="AB71" i="16" s="1"/>
  <c r="X70" i="16"/>
  <c r="AD70" i="16" s="1"/>
  <c r="W70" i="16"/>
  <c r="AC70" i="16" s="1"/>
  <c r="V70" i="16"/>
  <c r="AB70" i="16" s="1"/>
  <c r="X69" i="16"/>
  <c r="AD69" i="16" s="1"/>
  <c r="W69" i="16"/>
  <c r="AC69" i="16" s="1"/>
  <c r="V69" i="16"/>
  <c r="AB69" i="16" s="1"/>
  <c r="X68" i="16"/>
  <c r="AD68" i="16" s="1"/>
  <c r="W68" i="16"/>
  <c r="AC68" i="16" s="1"/>
  <c r="V68" i="16"/>
  <c r="AB68" i="16" s="1"/>
  <c r="X67" i="16"/>
  <c r="AD67" i="16" s="1"/>
  <c r="W67" i="16"/>
  <c r="AC67" i="16" s="1"/>
  <c r="V67" i="16"/>
  <c r="AB67" i="16" s="1"/>
  <c r="X66" i="16"/>
  <c r="AD66" i="16" s="1"/>
  <c r="W66" i="16"/>
  <c r="AC66" i="16" s="1"/>
  <c r="V66" i="16"/>
  <c r="AB66" i="16" s="1"/>
  <c r="X65" i="16"/>
  <c r="AD65" i="16" s="1"/>
  <c r="W65" i="16"/>
  <c r="AC65" i="16" s="1"/>
  <c r="V65" i="16"/>
  <c r="AB65" i="16" s="1"/>
  <c r="X64" i="16"/>
  <c r="AD64" i="16" s="1"/>
  <c r="W64" i="16"/>
  <c r="AC64" i="16" s="1"/>
  <c r="V64" i="16"/>
  <c r="AB64" i="16" s="1"/>
  <c r="X63" i="16"/>
  <c r="AD63" i="16" s="1"/>
  <c r="W63" i="16"/>
  <c r="AC63" i="16" s="1"/>
  <c r="V63" i="16"/>
  <c r="AB63" i="16" s="1"/>
  <c r="X62" i="16"/>
  <c r="AD62" i="16" s="1"/>
  <c r="W62" i="16"/>
  <c r="AC62" i="16" s="1"/>
  <c r="V62" i="16"/>
  <c r="AB62" i="16" s="1"/>
  <c r="X61" i="16"/>
  <c r="AD61" i="16" s="1"/>
  <c r="W61" i="16"/>
  <c r="AC61" i="16" s="1"/>
  <c r="V61" i="16"/>
  <c r="AB61" i="16" s="1"/>
  <c r="X60" i="16"/>
  <c r="AD60" i="16" s="1"/>
  <c r="W60" i="16"/>
  <c r="AC60" i="16" s="1"/>
  <c r="V60" i="16"/>
  <c r="AB60" i="16" s="1"/>
  <c r="X59" i="16"/>
  <c r="AD59" i="16" s="1"/>
  <c r="W59" i="16"/>
  <c r="AC59" i="16" s="1"/>
  <c r="V59" i="16"/>
  <c r="AB59" i="16" s="1"/>
  <c r="X58" i="16"/>
  <c r="AD58" i="16" s="1"/>
  <c r="W58" i="16"/>
  <c r="AC58" i="16" s="1"/>
  <c r="V58" i="16"/>
  <c r="AB58" i="16" s="1"/>
  <c r="X57" i="16"/>
  <c r="AD57" i="16" s="1"/>
  <c r="W57" i="16"/>
  <c r="AC57" i="16" s="1"/>
  <c r="V57" i="16"/>
  <c r="AB57" i="16" s="1"/>
  <c r="X56" i="16"/>
  <c r="AD56" i="16" s="1"/>
  <c r="W56" i="16"/>
  <c r="AC56" i="16" s="1"/>
  <c r="V56" i="16"/>
  <c r="AB56" i="16" s="1"/>
  <c r="X55" i="16"/>
  <c r="AD55" i="16" s="1"/>
  <c r="W55" i="16"/>
  <c r="AC55" i="16" s="1"/>
  <c r="V55" i="16"/>
  <c r="AB55" i="16" s="1"/>
  <c r="X54" i="16"/>
  <c r="AD54" i="16" s="1"/>
  <c r="W54" i="16"/>
  <c r="AC54" i="16" s="1"/>
  <c r="V54" i="16"/>
  <c r="AB54" i="16" s="1"/>
  <c r="X53" i="16"/>
  <c r="AD53" i="16" s="1"/>
  <c r="W53" i="16"/>
  <c r="AC53" i="16" s="1"/>
  <c r="V53" i="16"/>
  <c r="AB53" i="16" s="1"/>
  <c r="X52" i="16"/>
  <c r="AD52" i="16" s="1"/>
  <c r="W52" i="16"/>
  <c r="AC52" i="16" s="1"/>
  <c r="V52" i="16"/>
  <c r="AB52" i="16" s="1"/>
  <c r="X51" i="16"/>
  <c r="AD51" i="16" s="1"/>
  <c r="W51" i="16"/>
  <c r="AC51" i="16" s="1"/>
  <c r="V51" i="16"/>
  <c r="AB51" i="16" s="1"/>
  <c r="X50" i="16"/>
  <c r="AD50" i="16" s="1"/>
  <c r="W50" i="16"/>
  <c r="AC50" i="16" s="1"/>
  <c r="V50" i="16"/>
  <c r="AB50" i="16" s="1"/>
  <c r="X49" i="16"/>
  <c r="AD49" i="16" s="1"/>
  <c r="W49" i="16"/>
  <c r="AC49" i="16" s="1"/>
  <c r="V49" i="16"/>
  <c r="AB49" i="16" s="1"/>
  <c r="X48" i="16"/>
  <c r="AD48" i="16" s="1"/>
  <c r="W48" i="16"/>
  <c r="AC48" i="16" s="1"/>
  <c r="V48" i="16"/>
  <c r="AB48" i="16" s="1"/>
  <c r="X47" i="16"/>
  <c r="AD47" i="16" s="1"/>
  <c r="W47" i="16"/>
  <c r="AC47" i="16" s="1"/>
  <c r="V47" i="16"/>
  <c r="AB47" i="16" s="1"/>
  <c r="X46" i="16"/>
  <c r="AD46" i="16" s="1"/>
  <c r="W46" i="16"/>
  <c r="AC46" i="16" s="1"/>
  <c r="V46" i="16"/>
  <c r="AB46" i="16" s="1"/>
  <c r="X45" i="16"/>
  <c r="AD45" i="16" s="1"/>
  <c r="W45" i="16"/>
  <c r="AC45" i="16" s="1"/>
  <c r="V45" i="16"/>
  <c r="AB45" i="16" s="1"/>
  <c r="X44" i="16"/>
  <c r="AD44" i="16" s="1"/>
  <c r="W44" i="16"/>
  <c r="AC44" i="16" s="1"/>
  <c r="V44" i="16"/>
  <c r="AB44" i="16" s="1"/>
  <c r="X43" i="16"/>
  <c r="AD43" i="16" s="1"/>
  <c r="W43" i="16"/>
  <c r="AC43" i="16" s="1"/>
  <c r="V43" i="16"/>
  <c r="AB43" i="16" s="1"/>
  <c r="X42" i="16"/>
  <c r="AD42" i="16" s="1"/>
  <c r="W42" i="16"/>
  <c r="AC42" i="16" s="1"/>
  <c r="V42" i="16"/>
  <c r="AB42" i="16" s="1"/>
  <c r="X41" i="16"/>
  <c r="AD41" i="16" s="1"/>
  <c r="W41" i="16"/>
  <c r="AC41" i="16" s="1"/>
  <c r="V41" i="16"/>
  <c r="AB41" i="16" s="1"/>
  <c r="X40" i="16"/>
  <c r="AD40" i="16" s="1"/>
  <c r="W40" i="16"/>
  <c r="AC40" i="16" s="1"/>
  <c r="V40" i="16"/>
  <c r="AB40" i="16" s="1"/>
  <c r="X39" i="16"/>
  <c r="AD39" i="16" s="1"/>
  <c r="W39" i="16"/>
  <c r="AC39" i="16" s="1"/>
  <c r="V39" i="16"/>
  <c r="AB39" i="16" s="1"/>
  <c r="X38" i="16"/>
  <c r="AD38" i="16" s="1"/>
  <c r="W38" i="16"/>
  <c r="AC38" i="16" s="1"/>
  <c r="V38" i="16"/>
  <c r="AB38" i="16" s="1"/>
  <c r="X37" i="16"/>
  <c r="AD37" i="16" s="1"/>
  <c r="W37" i="16"/>
  <c r="AC37" i="16" s="1"/>
  <c r="V37" i="16"/>
  <c r="AB37" i="16" s="1"/>
  <c r="X36" i="16"/>
  <c r="AD36" i="16" s="1"/>
  <c r="W36" i="16"/>
  <c r="AC36" i="16" s="1"/>
  <c r="V36" i="16"/>
  <c r="AB36" i="16" s="1"/>
  <c r="X35" i="16"/>
  <c r="AD35" i="16" s="1"/>
  <c r="W35" i="16"/>
  <c r="AC35" i="16" s="1"/>
  <c r="V35" i="16"/>
  <c r="AB35" i="16" s="1"/>
  <c r="X34" i="16"/>
  <c r="AD34" i="16" s="1"/>
  <c r="W34" i="16"/>
  <c r="AC34" i="16" s="1"/>
  <c r="V34" i="16"/>
  <c r="AB34" i="16" s="1"/>
  <c r="X33" i="16"/>
  <c r="AD33" i="16" s="1"/>
  <c r="W33" i="16"/>
  <c r="AC33" i="16" s="1"/>
  <c r="V33" i="16"/>
  <c r="AB33" i="16" s="1"/>
  <c r="X32" i="16"/>
  <c r="AD32" i="16" s="1"/>
  <c r="W32" i="16"/>
  <c r="AC32" i="16" s="1"/>
  <c r="V32" i="16"/>
  <c r="AB32" i="16" s="1"/>
  <c r="X31" i="16"/>
  <c r="AD31" i="16" s="1"/>
  <c r="W31" i="16"/>
  <c r="AC31" i="16" s="1"/>
  <c r="V31" i="16"/>
  <c r="AB31" i="16" s="1"/>
  <c r="X30" i="16"/>
  <c r="AD30" i="16" s="1"/>
  <c r="W30" i="16"/>
  <c r="AC30" i="16" s="1"/>
  <c r="V30" i="16"/>
  <c r="AB30" i="16" s="1"/>
  <c r="X29" i="16"/>
  <c r="AD29" i="16" s="1"/>
  <c r="W29" i="16"/>
  <c r="AC29" i="16" s="1"/>
  <c r="V29" i="16"/>
  <c r="AB29" i="16" s="1"/>
  <c r="X28" i="16"/>
  <c r="AD28" i="16" s="1"/>
  <c r="W28" i="16"/>
  <c r="AC28" i="16" s="1"/>
  <c r="V28" i="16"/>
  <c r="AB28" i="16" s="1"/>
  <c r="X27" i="16"/>
  <c r="AD27" i="16" s="1"/>
  <c r="W27" i="16"/>
  <c r="AC27" i="16" s="1"/>
  <c r="V27" i="16"/>
  <c r="AB27" i="16" s="1"/>
  <c r="X26" i="16"/>
  <c r="AD26" i="16" s="1"/>
  <c r="W26" i="16"/>
  <c r="AC26" i="16" s="1"/>
  <c r="V26" i="16"/>
  <c r="AB26" i="16" s="1"/>
  <c r="X25" i="16"/>
  <c r="AD25" i="16" s="1"/>
  <c r="W25" i="16"/>
  <c r="AC25" i="16" s="1"/>
  <c r="V25" i="16"/>
  <c r="AB25" i="16" s="1"/>
  <c r="X24" i="16"/>
  <c r="AD24" i="16" s="1"/>
  <c r="W24" i="16"/>
  <c r="AC24" i="16" s="1"/>
  <c r="V24" i="16"/>
  <c r="AB24" i="16" s="1"/>
  <c r="X23" i="16"/>
  <c r="AD23" i="16" s="1"/>
  <c r="W23" i="16"/>
  <c r="AC23" i="16" s="1"/>
  <c r="V23" i="16"/>
  <c r="AB23" i="16" s="1"/>
  <c r="X22" i="16"/>
  <c r="AD22" i="16" s="1"/>
  <c r="W22" i="16"/>
  <c r="AC22" i="16" s="1"/>
  <c r="V22" i="16"/>
  <c r="AB22" i="16" s="1"/>
  <c r="X21" i="16"/>
  <c r="AD21" i="16" s="1"/>
  <c r="W21" i="16"/>
  <c r="AC21" i="16" s="1"/>
  <c r="V21" i="16"/>
  <c r="AB21" i="16" s="1"/>
  <c r="X20" i="16"/>
  <c r="AD20" i="16" s="1"/>
  <c r="W20" i="16"/>
  <c r="AC20" i="16" s="1"/>
  <c r="V20" i="16"/>
  <c r="AB20" i="16" s="1"/>
  <c r="X19" i="16"/>
  <c r="AD19" i="16" s="1"/>
  <c r="W19" i="16"/>
  <c r="AC19" i="16" s="1"/>
  <c r="V19" i="16"/>
  <c r="AB19" i="16" s="1"/>
  <c r="X18" i="16"/>
  <c r="AD18" i="16" s="1"/>
  <c r="W18" i="16"/>
  <c r="AC18" i="16" s="1"/>
  <c r="V18" i="16"/>
  <c r="AB18" i="16" s="1"/>
  <c r="X17" i="16"/>
  <c r="AD17" i="16" s="1"/>
  <c r="W17" i="16"/>
  <c r="AC17" i="16" s="1"/>
  <c r="V17" i="16"/>
  <c r="AB17" i="16" s="1"/>
  <c r="X16" i="16"/>
  <c r="AD16" i="16" s="1"/>
  <c r="W16" i="16"/>
  <c r="AC16" i="16" s="1"/>
  <c r="V16" i="16"/>
  <c r="AB16" i="16" s="1"/>
  <c r="X15" i="16"/>
  <c r="AD15" i="16" s="1"/>
  <c r="W15" i="16"/>
  <c r="AC15" i="16" s="1"/>
  <c r="V15" i="16"/>
  <c r="AB15" i="16" s="1"/>
  <c r="X14" i="16"/>
  <c r="AD14" i="16" s="1"/>
  <c r="W14" i="16"/>
  <c r="AC14" i="16" s="1"/>
  <c r="V14" i="16"/>
  <c r="AB14" i="16" s="1"/>
  <c r="X13" i="16"/>
  <c r="AD13" i="16" s="1"/>
  <c r="W13" i="16"/>
  <c r="AC13" i="16" s="1"/>
  <c r="V13" i="16"/>
  <c r="AB13" i="16" s="1"/>
  <c r="X12" i="16"/>
  <c r="AD12" i="16" s="1"/>
  <c r="W12" i="16"/>
  <c r="AC12" i="16" s="1"/>
  <c r="V12" i="16"/>
  <c r="AB12" i="16" s="1"/>
  <c r="X11" i="16"/>
  <c r="AD11" i="16" s="1"/>
  <c r="W11" i="16"/>
  <c r="AC11" i="16" s="1"/>
  <c r="V11" i="16"/>
  <c r="AB11" i="16" s="1"/>
  <c r="X10" i="16"/>
  <c r="AD10" i="16" s="1"/>
  <c r="W10" i="16"/>
  <c r="AC10" i="16" s="1"/>
  <c r="V10" i="16"/>
  <c r="AB10" i="16" s="1"/>
  <c r="X9" i="16"/>
  <c r="AD9" i="16" s="1"/>
  <c r="W9" i="16"/>
  <c r="AC9" i="16" s="1"/>
  <c r="V9" i="16"/>
  <c r="AB9" i="16" s="1"/>
  <c r="X8" i="16"/>
  <c r="AD8" i="16" s="1"/>
  <c r="W8" i="16"/>
  <c r="AC8" i="16" s="1"/>
  <c r="V8" i="16"/>
  <c r="AB8" i="16" s="1"/>
  <c r="X7" i="16"/>
  <c r="AD7" i="16" s="1"/>
  <c r="W7" i="16"/>
  <c r="AC7" i="16" s="1"/>
  <c r="V7" i="16"/>
  <c r="AB7" i="16" s="1"/>
  <c r="X6" i="16"/>
  <c r="AD6" i="16" s="1"/>
  <c r="W6" i="16"/>
  <c r="AC6" i="16" s="1"/>
  <c r="V6" i="16"/>
  <c r="AB6" i="16" s="1"/>
  <c r="X5" i="16"/>
  <c r="AD5" i="16" s="1"/>
  <c r="W5" i="16"/>
  <c r="AC5" i="16" s="1"/>
  <c r="V5" i="16"/>
  <c r="AB5" i="16" s="1"/>
  <c r="X4" i="16"/>
  <c r="AD4" i="16" s="1"/>
  <c r="W4" i="16"/>
  <c r="AC4" i="16" s="1"/>
  <c r="V4" i="16"/>
  <c r="AB4" i="16" s="1"/>
  <c r="X3" i="16"/>
  <c r="AD3" i="16" s="1"/>
  <c r="W3" i="16"/>
  <c r="AC3" i="16" s="1"/>
  <c r="V3" i="16"/>
  <c r="AB3" i="16" s="1"/>
  <c r="X2" i="16"/>
  <c r="AD2" i="16" s="1"/>
  <c r="W2" i="16"/>
  <c r="AC2" i="16" s="1"/>
  <c r="V2" i="16"/>
  <c r="AB2" i="16" s="1"/>
  <c r="AD62" i="6"/>
  <c r="AB62" i="6"/>
  <c r="AA62" i="6"/>
  <c r="Z62" i="6"/>
  <c r="X62" i="6"/>
  <c r="AD61" i="6"/>
  <c r="AB61" i="6"/>
  <c r="AA61" i="6"/>
  <c r="Z61" i="6"/>
  <c r="X61" i="6"/>
  <c r="AD60" i="6"/>
  <c r="AB60" i="6"/>
  <c r="AA60" i="6"/>
  <c r="Z60" i="6"/>
  <c r="X60" i="6"/>
  <c r="AD59" i="6"/>
  <c r="AB59" i="6"/>
  <c r="AA59" i="6"/>
  <c r="Z59" i="6"/>
  <c r="X59" i="6"/>
  <c r="AD58" i="6"/>
  <c r="AB58" i="6"/>
  <c r="AA58" i="6"/>
  <c r="Z58" i="6"/>
  <c r="X58" i="6"/>
  <c r="AD57" i="6"/>
  <c r="AB57" i="6"/>
  <c r="AA57" i="6"/>
  <c r="Z57" i="6"/>
  <c r="X57" i="6"/>
  <c r="AD56" i="6"/>
  <c r="AB56" i="6"/>
  <c r="AA56" i="6"/>
  <c r="Z56" i="6"/>
  <c r="X56" i="6"/>
  <c r="AD55" i="6"/>
  <c r="AB55" i="6"/>
  <c r="AA55" i="6"/>
  <c r="Z55" i="6"/>
  <c r="X55" i="6"/>
  <c r="AD54" i="6"/>
  <c r="AB54" i="6"/>
  <c r="AA54" i="6"/>
  <c r="Z54" i="6"/>
  <c r="X54" i="6"/>
  <c r="AD53" i="6"/>
  <c r="AB53" i="6"/>
  <c r="AA53" i="6"/>
  <c r="Z53" i="6"/>
  <c r="X53" i="6"/>
  <c r="AD52" i="6"/>
  <c r="AB52" i="6"/>
  <c r="AA52" i="6"/>
  <c r="Z52" i="6"/>
  <c r="X52" i="6"/>
  <c r="AD51" i="6"/>
  <c r="AB51" i="6"/>
  <c r="AA51" i="6"/>
  <c r="Z51" i="6"/>
  <c r="X51" i="6"/>
  <c r="AD50" i="6"/>
  <c r="AB50" i="6"/>
  <c r="AA50" i="6"/>
  <c r="Z50" i="6"/>
  <c r="X50" i="6"/>
  <c r="AD49" i="6"/>
  <c r="AB49" i="6"/>
  <c r="AA49" i="6"/>
  <c r="Z49" i="6"/>
  <c r="X49" i="6"/>
  <c r="AD48" i="6"/>
  <c r="AB48" i="6"/>
  <c r="AA48" i="6"/>
  <c r="Z48" i="6"/>
  <c r="X48" i="6"/>
  <c r="AD47" i="6"/>
  <c r="AB47" i="6"/>
  <c r="AA47" i="6"/>
  <c r="Z47" i="6"/>
  <c r="X47" i="6"/>
  <c r="AD46" i="6"/>
  <c r="AB46" i="6"/>
  <c r="AA46" i="6"/>
  <c r="Z46" i="6"/>
  <c r="X46" i="6"/>
  <c r="AD45" i="6"/>
  <c r="AB45" i="6"/>
  <c r="AA45" i="6"/>
  <c r="Z45" i="6"/>
  <c r="X45" i="6"/>
  <c r="AD44" i="6"/>
  <c r="AB44" i="6"/>
  <c r="AA44" i="6"/>
  <c r="Z44" i="6"/>
  <c r="X44" i="6"/>
  <c r="AD43" i="6"/>
  <c r="AB43" i="6"/>
  <c r="AA43" i="6"/>
  <c r="Z43" i="6"/>
  <c r="X43" i="6"/>
  <c r="AD42" i="6"/>
  <c r="AB42" i="6"/>
  <c r="AA42" i="6"/>
  <c r="Z42" i="6"/>
  <c r="X42" i="6"/>
  <c r="AD41" i="6"/>
  <c r="AB41" i="6"/>
  <c r="AA41" i="6"/>
  <c r="Z41" i="6"/>
  <c r="X41" i="6"/>
  <c r="AD40" i="6"/>
  <c r="AB40" i="6"/>
  <c r="AA40" i="6"/>
  <c r="Z40" i="6"/>
  <c r="X40" i="6"/>
  <c r="AD39" i="6"/>
  <c r="AB39" i="6"/>
  <c r="AA39" i="6"/>
  <c r="Z39" i="6"/>
  <c r="X39" i="6"/>
  <c r="AD38" i="6"/>
  <c r="AB38" i="6"/>
  <c r="AA38" i="6"/>
  <c r="Z38" i="6"/>
  <c r="X38" i="6"/>
  <c r="AD37" i="6"/>
  <c r="AB37" i="6"/>
  <c r="AA37" i="6"/>
  <c r="Z37" i="6"/>
  <c r="X37" i="6"/>
  <c r="AD36" i="6"/>
  <c r="AC36" i="6"/>
  <c r="AB36" i="6"/>
  <c r="AA36" i="6"/>
  <c r="Z36" i="6"/>
  <c r="Y36" i="6"/>
  <c r="X36" i="6"/>
  <c r="W36" i="6"/>
  <c r="V36" i="6"/>
  <c r="U36" i="6"/>
  <c r="AD35" i="6"/>
  <c r="AB35" i="6"/>
  <c r="AA35" i="6"/>
  <c r="Z35" i="6"/>
  <c r="X35" i="6"/>
  <c r="AD34" i="6"/>
  <c r="AB34" i="6"/>
  <c r="AA34" i="6"/>
  <c r="Z34" i="6"/>
  <c r="X34" i="6"/>
  <c r="AD33" i="6"/>
  <c r="AB33" i="6"/>
  <c r="AA33" i="6"/>
  <c r="Z33" i="6"/>
  <c r="X33" i="6"/>
  <c r="AD32" i="6"/>
  <c r="AB32" i="6"/>
  <c r="AA32" i="6"/>
  <c r="Z32" i="6"/>
  <c r="X32" i="6"/>
  <c r="AD31" i="6"/>
  <c r="AC31" i="6"/>
  <c r="AB31" i="6"/>
  <c r="AA31" i="6"/>
  <c r="Z31" i="6"/>
  <c r="Y31" i="6"/>
  <c r="X31" i="6"/>
  <c r="W31" i="6"/>
  <c r="V31" i="6"/>
  <c r="U31" i="6"/>
  <c r="AD30" i="6"/>
  <c r="AC30" i="6"/>
  <c r="AB30" i="6"/>
  <c r="AA30" i="6"/>
  <c r="Z30" i="6"/>
  <c r="Y30" i="6"/>
  <c r="X30" i="6"/>
  <c r="W30" i="6"/>
  <c r="V30" i="6"/>
  <c r="U30" i="6"/>
  <c r="AD29" i="6"/>
  <c r="AC29" i="6"/>
  <c r="AB29" i="6"/>
  <c r="AA29" i="6"/>
  <c r="Z29" i="6"/>
  <c r="Y29" i="6"/>
  <c r="X29" i="6"/>
  <c r="W29" i="6"/>
  <c r="V29" i="6"/>
  <c r="U29" i="6"/>
  <c r="AD28" i="6"/>
  <c r="AC28" i="6"/>
  <c r="AB28" i="6"/>
  <c r="AA28" i="6"/>
  <c r="Z28" i="6"/>
  <c r="Y28" i="6"/>
  <c r="X28" i="6"/>
  <c r="W28" i="6"/>
  <c r="V28" i="6"/>
  <c r="U28" i="6"/>
  <c r="AD27" i="6"/>
  <c r="AC27" i="6"/>
  <c r="AB27" i="6"/>
  <c r="AA27" i="6"/>
  <c r="Z27" i="6"/>
  <c r="Y27" i="6"/>
  <c r="X27" i="6"/>
  <c r="W27" i="6"/>
  <c r="V27" i="6"/>
  <c r="U27" i="6"/>
  <c r="AD26" i="6"/>
  <c r="AC26" i="6"/>
  <c r="AB26" i="6"/>
  <c r="AA26" i="6"/>
  <c r="Z26" i="6"/>
  <c r="Y26" i="6"/>
  <c r="X26" i="6"/>
  <c r="W26" i="6"/>
  <c r="V26" i="6"/>
  <c r="U26" i="6"/>
  <c r="AD25" i="6"/>
  <c r="AC25" i="6"/>
  <c r="AB25" i="6"/>
  <c r="AA25" i="6"/>
  <c r="Z25" i="6"/>
  <c r="Y25" i="6"/>
  <c r="X25" i="6"/>
  <c r="W25" i="6"/>
  <c r="V25" i="6"/>
  <c r="U25" i="6"/>
  <c r="AD24" i="6"/>
  <c r="AC24" i="6"/>
  <c r="AB24" i="6"/>
  <c r="AA24" i="6"/>
  <c r="Z24" i="6"/>
  <c r="Y24" i="6"/>
  <c r="X24" i="6"/>
  <c r="W24" i="6"/>
  <c r="V24" i="6"/>
  <c r="U24" i="6"/>
  <c r="AD23" i="6"/>
  <c r="AC23" i="6"/>
  <c r="AB23" i="6"/>
  <c r="AA23" i="6"/>
  <c r="Z23" i="6"/>
  <c r="Y23" i="6"/>
  <c r="X23" i="6"/>
  <c r="W23" i="6"/>
  <c r="V23" i="6"/>
  <c r="U23" i="6"/>
  <c r="AD22" i="6"/>
  <c r="AC22" i="6"/>
  <c r="AB22" i="6"/>
  <c r="AA22" i="6"/>
  <c r="Z22" i="6"/>
  <c r="Y22" i="6"/>
  <c r="X22" i="6"/>
  <c r="W22" i="6"/>
  <c r="V22" i="6"/>
  <c r="U22" i="6"/>
  <c r="AD21" i="6"/>
  <c r="AC21" i="6"/>
  <c r="AB21" i="6"/>
  <c r="AA21" i="6"/>
  <c r="Z21" i="6"/>
  <c r="Y21" i="6"/>
  <c r="X21" i="6"/>
  <c r="W21" i="6"/>
  <c r="V21" i="6"/>
  <c r="U21" i="6"/>
  <c r="AD20" i="6"/>
  <c r="AC20" i="6"/>
  <c r="AB20" i="6"/>
  <c r="AA20" i="6"/>
  <c r="AA20" i="7" s="1"/>
  <c r="Z20" i="6"/>
  <c r="Y20" i="6"/>
  <c r="X20" i="6"/>
  <c r="W20" i="6"/>
  <c r="V20" i="6"/>
  <c r="U20" i="6"/>
  <c r="AD19" i="6"/>
  <c r="AC19" i="6"/>
  <c r="AB19" i="6"/>
  <c r="AA19" i="6"/>
  <c r="Z19" i="6"/>
  <c r="Y19" i="6"/>
  <c r="X19" i="6"/>
  <c r="W19" i="6"/>
  <c r="V19" i="6"/>
  <c r="U19" i="6"/>
  <c r="AD18" i="6"/>
  <c r="AC18" i="6"/>
  <c r="AB18" i="6"/>
  <c r="AA18" i="6"/>
  <c r="Z18" i="6"/>
  <c r="Y18" i="6"/>
  <c r="X18" i="6"/>
  <c r="W18" i="6"/>
  <c r="V18" i="6"/>
  <c r="U18" i="6"/>
  <c r="AD17" i="6"/>
  <c r="AC17" i="6"/>
  <c r="AB17" i="6"/>
  <c r="AA17" i="6"/>
  <c r="Z17" i="6"/>
  <c r="Y17" i="6"/>
  <c r="X17" i="6"/>
  <c r="W17" i="6"/>
  <c r="V17" i="6"/>
  <c r="U17" i="6"/>
  <c r="AD16" i="6"/>
  <c r="AC16" i="6"/>
  <c r="AB16" i="6"/>
  <c r="AA16" i="6"/>
  <c r="Z16" i="6"/>
  <c r="Y16" i="6"/>
  <c r="X16" i="6"/>
  <c r="W16" i="6"/>
  <c r="V16" i="6"/>
  <c r="U16" i="6"/>
  <c r="AD15" i="6"/>
  <c r="AC15" i="6"/>
  <c r="AB15" i="6"/>
  <c r="AA15" i="6"/>
  <c r="Z15" i="6"/>
  <c r="Y15" i="6"/>
  <c r="X15" i="6"/>
  <c r="W15" i="6"/>
  <c r="V15" i="6"/>
  <c r="U15" i="6"/>
  <c r="AD14" i="6"/>
  <c r="AC14" i="6"/>
  <c r="AB14" i="6"/>
  <c r="AA14" i="6"/>
  <c r="Z14" i="6"/>
  <c r="Y14" i="6"/>
  <c r="X14" i="6"/>
  <c r="W14" i="6"/>
  <c r="V14" i="6"/>
  <c r="U14" i="6"/>
  <c r="AD13" i="6"/>
  <c r="AC13" i="6"/>
  <c r="AB13" i="6"/>
  <c r="AA13" i="6"/>
  <c r="Z13" i="6"/>
  <c r="Y13" i="6"/>
  <c r="X13" i="6"/>
  <c r="W13" i="6"/>
  <c r="V13" i="6"/>
  <c r="U13" i="6"/>
  <c r="AD12" i="6"/>
  <c r="AB12" i="6"/>
  <c r="AA12" i="6"/>
  <c r="Z12" i="6"/>
  <c r="Y12" i="6"/>
  <c r="AD11" i="6"/>
  <c r="AC11" i="6"/>
  <c r="AB11" i="6"/>
  <c r="AA11" i="6"/>
  <c r="Z11" i="6"/>
  <c r="Y11" i="6"/>
  <c r="X11" i="6"/>
  <c r="W11" i="6"/>
  <c r="V11" i="6"/>
  <c r="U11" i="6"/>
  <c r="AD10" i="6"/>
  <c r="AC10" i="6"/>
  <c r="AB10" i="6"/>
  <c r="AA10" i="6"/>
  <c r="Z10" i="6"/>
  <c r="Y10" i="6"/>
  <c r="X10" i="6"/>
  <c r="W10" i="6"/>
  <c r="V10" i="6"/>
  <c r="U10" i="6"/>
  <c r="AD9" i="6"/>
  <c r="AC9" i="6"/>
  <c r="AB9" i="6"/>
  <c r="AA9" i="6"/>
  <c r="Z9" i="6"/>
  <c r="Y9" i="6"/>
  <c r="X9" i="6"/>
  <c r="W9" i="6"/>
  <c r="V9" i="6"/>
  <c r="U9" i="6"/>
  <c r="AD8" i="6"/>
  <c r="AC8" i="6"/>
  <c r="AB8" i="6"/>
  <c r="AA8" i="6"/>
  <c r="Z8" i="6"/>
  <c r="Y8" i="6"/>
  <c r="X8" i="6"/>
  <c r="W8" i="6"/>
  <c r="V8" i="6"/>
  <c r="U8" i="6"/>
  <c r="AD7" i="6"/>
  <c r="AC7" i="6"/>
  <c r="AB7" i="6"/>
  <c r="AA7" i="6"/>
  <c r="Z7" i="6"/>
  <c r="Y7" i="6"/>
  <c r="X7" i="6"/>
  <c r="W7" i="6"/>
  <c r="V7" i="6"/>
  <c r="U7" i="6"/>
  <c r="AD6" i="6"/>
  <c r="AC6" i="6"/>
  <c r="AB6" i="6"/>
  <c r="AA6" i="6"/>
  <c r="Z6" i="6"/>
  <c r="Y6" i="6"/>
  <c r="X6" i="6"/>
  <c r="W6" i="6"/>
  <c r="V6" i="6"/>
  <c r="U6" i="6"/>
  <c r="AD5" i="6"/>
  <c r="AC5" i="6"/>
  <c r="AB5" i="6"/>
  <c r="AA5" i="6"/>
  <c r="Z5" i="6"/>
  <c r="Y5" i="6"/>
  <c r="X5" i="6"/>
  <c r="W5" i="6"/>
  <c r="V5" i="6"/>
  <c r="U5" i="6"/>
  <c r="AP62" i="14"/>
  <c r="AC62" i="14"/>
  <c r="AC62" i="6" s="1"/>
  <c r="Y62" i="14"/>
  <c r="Y62" i="6" s="1"/>
  <c r="W62" i="14"/>
  <c r="W62" i="6" s="1"/>
  <c r="V62" i="14"/>
  <c r="V62" i="6" s="1"/>
  <c r="U62" i="14"/>
  <c r="U62" i="6" s="1"/>
  <c r="AP61" i="14"/>
  <c r="AC61" i="14"/>
  <c r="AC61" i="6" s="1"/>
  <c r="Y61" i="14"/>
  <c r="Y61" i="6" s="1"/>
  <c r="W61" i="14"/>
  <c r="W61" i="6" s="1"/>
  <c r="V61" i="14"/>
  <c r="V61" i="6" s="1"/>
  <c r="U61" i="14"/>
  <c r="U61" i="6" s="1"/>
  <c r="AP60" i="14"/>
  <c r="AC60" i="14"/>
  <c r="AC60" i="6" s="1"/>
  <c r="Y60" i="14"/>
  <c r="Y60" i="6" s="1"/>
  <c r="W60" i="14"/>
  <c r="W60" i="6" s="1"/>
  <c r="V60" i="14"/>
  <c r="V60" i="6" s="1"/>
  <c r="U60" i="14"/>
  <c r="U60" i="6" s="1"/>
  <c r="AP59" i="14"/>
  <c r="AC59" i="14"/>
  <c r="AC59" i="6" s="1"/>
  <c r="Y59" i="14"/>
  <c r="Y59" i="6" s="1"/>
  <c r="W59" i="14"/>
  <c r="W59" i="6" s="1"/>
  <c r="V59" i="14"/>
  <c r="V59" i="6" s="1"/>
  <c r="U59" i="14"/>
  <c r="U59" i="6" s="1"/>
  <c r="AP58" i="14"/>
  <c r="AC58" i="14"/>
  <c r="AC58" i="6" s="1"/>
  <c r="Y58" i="14"/>
  <c r="Y58" i="6" s="1"/>
  <c r="W58" i="14"/>
  <c r="W58" i="6" s="1"/>
  <c r="V58" i="14"/>
  <c r="V58" i="6" s="1"/>
  <c r="U58" i="14"/>
  <c r="U58" i="6" s="1"/>
  <c r="AP57" i="14"/>
  <c r="AC57" i="14"/>
  <c r="AC57" i="6" s="1"/>
  <c r="Y57" i="14"/>
  <c r="Y57" i="6" s="1"/>
  <c r="W57" i="14"/>
  <c r="W57" i="6" s="1"/>
  <c r="V57" i="14"/>
  <c r="V57" i="6" s="1"/>
  <c r="U57" i="14"/>
  <c r="U57" i="6" s="1"/>
  <c r="AP56" i="14"/>
  <c r="AC56" i="14"/>
  <c r="AC56" i="6" s="1"/>
  <c r="Y56" i="14"/>
  <c r="Y56" i="6" s="1"/>
  <c r="W56" i="14"/>
  <c r="W56" i="6" s="1"/>
  <c r="V56" i="14"/>
  <c r="V56" i="6" s="1"/>
  <c r="U56" i="14"/>
  <c r="U56" i="6" s="1"/>
  <c r="AP55" i="14"/>
  <c r="AC55" i="14"/>
  <c r="AC55" i="6" s="1"/>
  <c r="Y55" i="14"/>
  <c r="Y55" i="6" s="1"/>
  <c r="W55" i="14"/>
  <c r="W55" i="6" s="1"/>
  <c r="V55" i="14"/>
  <c r="V55" i="6" s="1"/>
  <c r="U55" i="14"/>
  <c r="U55" i="6" s="1"/>
  <c r="AP54" i="14"/>
  <c r="AC54" i="14"/>
  <c r="AC54" i="6" s="1"/>
  <c r="Y54" i="14"/>
  <c r="Y54" i="6" s="1"/>
  <c r="W54" i="14"/>
  <c r="W54" i="6" s="1"/>
  <c r="V54" i="14"/>
  <c r="V54" i="6" s="1"/>
  <c r="U54" i="14"/>
  <c r="U54" i="6" s="1"/>
  <c r="AP53" i="14"/>
  <c r="AC53" i="14"/>
  <c r="AC53" i="6" s="1"/>
  <c r="Y53" i="14"/>
  <c r="Y53" i="6" s="1"/>
  <c r="W53" i="14"/>
  <c r="W53" i="6" s="1"/>
  <c r="V53" i="14"/>
  <c r="V53" i="6" s="1"/>
  <c r="U53" i="14"/>
  <c r="U53" i="6" s="1"/>
  <c r="AP52" i="14"/>
  <c r="AC52" i="14"/>
  <c r="AC52" i="6" s="1"/>
  <c r="Y52" i="14"/>
  <c r="Y52" i="6" s="1"/>
  <c r="W52" i="14"/>
  <c r="W52" i="6" s="1"/>
  <c r="V52" i="14"/>
  <c r="V52" i="6" s="1"/>
  <c r="U52" i="14"/>
  <c r="U52" i="6" s="1"/>
  <c r="AP51" i="14"/>
  <c r="AC51" i="14"/>
  <c r="AC51" i="6" s="1"/>
  <c r="Y51" i="14"/>
  <c r="Y51" i="6" s="1"/>
  <c r="W51" i="14"/>
  <c r="W51" i="6" s="1"/>
  <c r="V51" i="14"/>
  <c r="V51" i="6" s="1"/>
  <c r="U51" i="14"/>
  <c r="U51" i="6" s="1"/>
  <c r="AP50" i="14"/>
  <c r="AC50" i="14"/>
  <c r="AC50" i="6" s="1"/>
  <c r="Y50" i="14"/>
  <c r="Y50" i="6" s="1"/>
  <c r="W50" i="14"/>
  <c r="W50" i="6" s="1"/>
  <c r="V50" i="14"/>
  <c r="V50" i="6" s="1"/>
  <c r="U50" i="14"/>
  <c r="U50" i="6" s="1"/>
  <c r="AP49" i="14"/>
  <c r="AC49" i="14"/>
  <c r="AC49" i="6" s="1"/>
  <c r="Y49" i="14"/>
  <c r="Y49" i="6" s="1"/>
  <c r="W49" i="14"/>
  <c r="W49" i="6" s="1"/>
  <c r="V49" i="14"/>
  <c r="V49" i="6" s="1"/>
  <c r="U49" i="14"/>
  <c r="U49" i="6" s="1"/>
  <c r="AP48" i="14"/>
  <c r="AC48" i="14"/>
  <c r="AC48" i="6" s="1"/>
  <c r="Y48" i="14"/>
  <c r="Y48" i="6" s="1"/>
  <c r="W48" i="14"/>
  <c r="W48" i="6" s="1"/>
  <c r="V48" i="14"/>
  <c r="V48" i="6" s="1"/>
  <c r="U48" i="14"/>
  <c r="U48" i="6" s="1"/>
  <c r="AP47" i="14"/>
  <c r="AC47" i="14"/>
  <c r="AC47" i="6" s="1"/>
  <c r="Y47" i="14"/>
  <c r="Y47" i="6" s="1"/>
  <c r="W47" i="14"/>
  <c r="W47" i="6" s="1"/>
  <c r="V47" i="14"/>
  <c r="V47" i="6" s="1"/>
  <c r="U47" i="14"/>
  <c r="U47" i="6" s="1"/>
  <c r="AP46" i="14"/>
  <c r="AC46" i="14"/>
  <c r="AC46" i="6" s="1"/>
  <c r="Y46" i="14"/>
  <c r="Y46" i="6" s="1"/>
  <c r="W46" i="14"/>
  <c r="W46" i="6" s="1"/>
  <c r="V46" i="14"/>
  <c r="V46" i="6" s="1"/>
  <c r="U46" i="14"/>
  <c r="U46" i="6" s="1"/>
  <c r="AP45" i="14"/>
  <c r="AC45" i="14"/>
  <c r="AC45" i="6" s="1"/>
  <c r="Y45" i="14"/>
  <c r="Y45" i="6" s="1"/>
  <c r="W45" i="14"/>
  <c r="W45" i="6" s="1"/>
  <c r="V45" i="14"/>
  <c r="V45" i="6" s="1"/>
  <c r="U45" i="14"/>
  <c r="U45" i="6" s="1"/>
  <c r="AP44" i="14"/>
  <c r="AC44" i="14"/>
  <c r="AC44" i="6" s="1"/>
  <c r="Y44" i="14"/>
  <c r="Y44" i="6" s="1"/>
  <c r="W44" i="14"/>
  <c r="W44" i="6" s="1"/>
  <c r="V44" i="14"/>
  <c r="V44" i="6" s="1"/>
  <c r="U44" i="14"/>
  <c r="U44" i="6" s="1"/>
  <c r="AP43" i="14"/>
  <c r="AC43" i="14"/>
  <c r="AC43" i="6" s="1"/>
  <c r="Y43" i="14"/>
  <c r="Y43" i="6" s="1"/>
  <c r="W43" i="14"/>
  <c r="W43" i="6" s="1"/>
  <c r="V43" i="14"/>
  <c r="V43" i="6" s="1"/>
  <c r="U43" i="14"/>
  <c r="U43" i="6" s="1"/>
  <c r="AP42" i="14"/>
  <c r="AC42" i="14"/>
  <c r="AC42" i="6" s="1"/>
  <c r="Y42" i="14"/>
  <c r="Y42" i="6" s="1"/>
  <c r="W42" i="14"/>
  <c r="W42" i="6" s="1"/>
  <c r="V42" i="14"/>
  <c r="V42" i="6" s="1"/>
  <c r="U42" i="14"/>
  <c r="U42" i="6" s="1"/>
  <c r="AP41" i="14"/>
  <c r="AC41" i="14"/>
  <c r="AC41" i="6" s="1"/>
  <c r="Y41" i="14"/>
  <c r="Y41" i="6" s="1"/>
  <c r="W41" i="14"/>
  <c r="W41" i="6" s="1"/>
  <c r="V41" i="14"/>
  <c r="V41" i="6" s="1"/>
  <c r="U41" i="14"/>
  <c r="U41" i="6" s="1"/>
  <c r="AP40" i="14"/>
  <c r="AC40" i="14"/>
  <c r="AC40" i="6" s="1"/>
  <c r="Y40" i="14"/>
  <c r="Y40" i="6" s="1"/>
  <c r="W40" i="14"/>
  <c r="W40" i="6" s="1"/>
  <c r="V40" i="14"/>
  <c r="V40" i="6" s="1"/>
  <c r="U40" i="14"/>
  <c r="U40" i="6" s="1"/>
  <c r="AP39" i="14"/>
  <c r="AC39" i="14"/>
  <c r="AC39" i="6" s="1"/>
  <c r="Y39" i="14"/>
  <c r="Y39" i="6" s="1"/>
  <c r="W39" i="14"/>
  <c r="W39" i="6" s="1"/>
  <c r="V39" i="14"/>
  <c r="V39" i="6" s="1"/>
  <c r="U39" i="14"/>
  <c r="U39" i="6" s="1"/>
  <c r="AP38" i="14"/>
  <c r="AC38" i="14"/>
  <c r="AC38" i="6" s="1"/>
  <c r="Y38" i="14"/>
  <c r="Y38" i="6" s="1"/>
  <c r="W38" i="14"/>
  <c r="W38" i="6" s="1"/>
  <c r="V38" i="14"/>
  <c r="V38" i="6" s="1"/>
  <c r="U38" i="14"/>
  <c r="U38" i="6" s="1"/>
  <c r="AP37" i="14"/>
  <c r="AC37" i="14"/>
  <c r="AC37" i="6" s="1"/>
  <c r="Y37" i="14"/>
  <c r="Y37" i="6" s="1"/>
  <c r="W37" i="14"/>
  <c r="W37" i="6" s="1"/>
  <c r="V37" i="14"/>
  <c r="V37" i="6" s="1"/>
  <c r="U37" i="14"/>
  <c r="U37" i="6" s="1"/>
  <c r="AP35" i="14"/>
  <c r="AC35" i="14"/>
  <c r="AC35" i="6" s="1"/>
  <c r="Y35" i="14"/>
  <c r="Y35" i="6" s="1"/>
  <c r="W35" i="14"/>
  <c r="W35" i="6" s="1"/>
  <c r="V35" i="14"/>
  <c r="V35" i="6" s="1"/>
  <c r="U35" i="14"/>
  <c r="U35" i="6" s="1"/>
  <c r="AP34" i="14"/>
  <c r="AC34" i="14"/>
  <c r="AC34" i="6" s="1"/>
  <c r="Y34" i="14"/>
  <c r="Y34" i="6" s="1"/>
  <c r="W34" i="14"/>
  <c r="W34" i="6" s="1"/>
  <c r="V34" i="14"/>
  <c r="V34" i="6" s="1"/>
  <c r="U34" i="14"/>
  <c r="U34" i="6" s="1"/>
  <c r="AP33" i="14"/>
  <c r="AC33" i="14"/>
  <c r="AC33" i="6" s="1"/>
  <c r="Y33" i="14"/>
  <c r="Y33" i="6" s="1"/>
  <c r="W33" i="14"/>
  <c r="W33" i="6" s="1"/>
  <c r="V33" i="14"/>
  <c r="V33" i="6" s="1"/>
  <c r="U33" i="14"/>
  <c r="U33" i="6" s="1"/>
  <c r="AP32" i="14"/>
  <c r="AC32" i="14"/>
  <c r="AC32" i="6" s="1"/>
  <c r="Y32" i="14"/>
  <c r="Y32" i="6" s="1"/>
  <c r="W32" i="14"/>
  <c r="W32" i="6" s="1"/>
  <c r="V32" i="14"/>
  <c r="V32" i="6" s="1"/>
  <c r="U32" i="14"/>
  <c r="U32" i="6" s="1"/>
  <c r="AC12" i="14"/>
  <c r="AC12" i="6" s="1"/>
  <c r="Y12" i="14"/>
  <c r="X12" i="14"/>
  <c r="X12" i="6" s="1"/>
  <c r="X12" i="7" s="1"/>
  <c r="W12" i="14"/>
  <c r="W12" i="6" s="1"/>
  <c r="V12" i="14"/>
  <c r="V12" i="6" s="1"/>
  <c r="U12" i="14"/>
  <c r="U12" i="6" s="1"/>
  <c r="W49" i="13"/>
  <c r="U49" i="13"/>
  <c r="S49" i="13"/>
  <c r="O49" i="13"/>
  <c r="N49" i="13"/>
  <c r="M49" i="13"/>
  <c r="U48" i="13"/>
  <c r="T48" i="13"/>
  <c r="S48" i="13"/>
  <c r="O48" i="13"/>
  <c r="N48" i="13"/>
  <c r="M48" i="13"/>
  <c r="W47" i="13"/>
  <c r="U47" i="13"/>
  <c r="T47" i="13"/>
  <c r="S47" i="13"/>
  <c r="O47" i="13"/>
  <c r="N47" i="13"/>
  <c r="M47" i="13"/>
  <c r="W49" i="12"/>
  <c r="U49" i="12"/>
  <c r="S49" i="12"/>
  <c r="O49" i="12"/>
  <c r="N49" i="12"/>
  <c r="M49" i="12"/>
  <c r="U48" i="12"/>
  <c r="T48" i="12"/>
  <c r="S48" i="12"/>
  <c r="O48" i="12"/>
  <c r="N48" i="12"/>
  <c r="M48" i="12"/>
  <c r="W47" i="12"/>
  <c r="U47" i="12"/>
  <c r="U51" i="12" s="1"/>
  <c r="T47" i="12"/>
  <c r="T51" i="12" s="1"/>
  <c r="S47" i="12"/>
  <c r="S51" i="12" s="1"/>
  <c r="O47" i="12"/>
  <c r="N47" i="12"/>
  <c r="N51" i="12" s="1"/>
  <c r="M47" i="12"/>
  <c r="X44" i="11"/>
  <c r="X43" i="11"/>
  <c r="X42" i="11"/>
  <c r="X41" i="11"/>
  <c r="X40" i="11"/>
  <c r="X39" i="11"/>
  <c r="X38" i="11"/>
  <c r="X37" i="11"/>
  <c r="X36" i="11"/>
  <c r="X35" i="11"/>
  <c r="X34" i="11"/>
  <c r="X33" i="11"/>
  <c r="X32" i="11"/>
  <c r="X31" i="11"/>
  <c r="X30" i="11"/>
  <c r="X29" i="11"/>
  <c r="X28" i="11"/>
  <c r="X27" i="11"/>
  <c r="X26" i="11"/>
  <c r="X25" i="11"/>
  <c r="X24" i="11"/>
  <c r="X23" i="11"/>
  <c r="X22" i="11"/>
  <c r="X21" i="11"/>
  <c r="X20" i="11"/>
  <c r="X19" i="11"/>
  <c r="X18" i="11"/>
  <c r="X17" i="11"/>
  <c r="X16" i="11"/>
  <c r="X15" i="11"/>
  <c r="X14" i="11"/>
  <c r="X13" i="11"/>
  <c r="X12" i="11"/>
  <c r="X11" i="11"/>
  <c r="X10" i="11"/>
  <c r="X9" i="11"/>
  <c r="X8" i="11"/>
  <c r="X7" i="11"/>
  <c r="X6" i="11"/>
  <c r="X5" i="11"/>
  <c r="W49" i="11"/>
  <c r="U49" i="11"/>
  <c r="S49" i="11"/>
  <c r="O49" i="11"/>
  <c r="N49" i="11"/>
  <c r="M49" i="11"/>
  <c r="U48" i="11"/>
  <c r="T48" i="11"/>
  <c r="S48" i="11"/>
  <c r="O48" i="11"/>
  <c r="N48" i="11"/>
  <c r="M48" i="11"/>
  <c r="W47" i="11"/>
  <c r="U47" i="11"/>
  <c r="U51" i="11" s="1"/>
  <c r="T47" i="11"/>
  <c r="T51" i="11" s="1"/>
  <c r="S47" i="11"/>
  <c r="S51" i="11" s="1"/>
  <c r="O47" i="11"/>
  <c r="N47" i="11"/>
  <c r="N51" i="11" s="1"/>
  <c r="M47" i="11"/>
  <c r="W49" i="10"/>
  <c r="W47" i="10"/>
  <c r="U49" i="10"/>
  <c r="U48" i="10"/>
  <c r="U47" i="10"/>
  <c r="T48" i="10"/>
  <c r="T47" i="10"/>
  <c r="S49" i="10"/>
  <c r="S48" i="10"/>
  <c r="S47" i="10"/>
  <c r="Q50" i="10"/>
  <c r="O49" i="10"/>
  <c r="O48" i="10"/>
  <c r="O47" i="10"/>
  <c r="N49" i="10"/>
  <c r="N48" i="10"/>
  <c r="N47" i="10"/>
  <c r="M49" i="10"/>
  <c r="M48" i="10"/>
  <c r="M47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7" i="10"/>
  <c r="Y16" i="10"/>
  <c r="Y15" i="10"/>
  <c r="Y14" i="10"/>
  <c r="U44" i="10"/>
  <c r="U43" i="10"/>
  <c r="U42" i="10"/>
  <c r="U41" i="10"/>
  <c r="U40" i="10"/>
  <c r="U39" i="10"/>
  <c r="U38" i="10"/>
  <c r="U37" i="10"/>
  <c r="U36" i="10"/>
  <c r="U35" i="10"/>
  <c r="U34" i="10"/>
  <c r="U33" i="10"/>
  <c r="U32" i="10"/>
  <c r="U31" i="10"/>
  <c r="U30" i="10"/>
  <c r="U29" i="10"/>
  <c r="U28" i="10"/>
  <c r="U27" i="10"/>
  <c r="U26" i="10"/>
  <c r="U25" i="10"/>
  <c r="U24" i="10"/>
  <c r="U23" i="10"/>
  <c r="U22" i="10"/>
  <c r="U21" i="10"/>
  <c r="U20" i="10"/>
  <c r="U19" i="10"/>
  <c r="U17" i="10"/>
  <c r="U16" i="10"/>
  <c r="U15" i="10"/>
  <c r="U14" i="10"/>
  <c r="T44" i="10"/>
  <c r="T43" i="10"/>
  <c r="T42" i="10"/>
  <c r="T41" i="10"/>
  <c r="T40" i="10"/>
  <c r="T39" i="10"/>
  <c r="T38" i="10"/>
  <c r="T37" i="10"/>
  <c r="T36" i="10"/>
  <c r="T35" i="10"/>
  <c r="T34" i="10"/>
  <c r="T33" i="10"/>
  <c r="T32" i="10"/>
  <c r="T31" i="10"/>
  <c r="T30" i="10"/>
  <c r="T29" i="10"/>
  <c r="T28" i="10"/>
  <c r="T27" i="10"/>
  <c r="T26" i="10"/>
  <c r="T25" i="10"/>
  <c r="T24" i="10"/>
  <c r="T23" i="10"/>
  <c r="T22" i="10"/>
  <c r="T21" i="10"/>
  <c r="T20" i="10"/>
  <c r="T19" i="10"/>
  <c r="T17" i="10"/>
  <c r="T16" i="10"/>
  <c r="T15" i="10"/>
  <c r="T14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7" i="10"/>
  <c r="S16" i="10"/>
  <c r="S15" i="10"/>
  <c r="S14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7" i="10"/>
  <c r="Q16" i="10"/>
  <c r="Q15" i="10"/>
  <c r="Q14" i="10"/>
  <c r="O44" i="10"/>
  <c r="O43" i="10"/>
  <c r="O42" i="10"/>
  <c r="O41" i="10"/>
  <c r="O40" i="10"/>
  <c r="O39" i="10"/>
  <c r="O38" i="10"/>
  <c r="O37" i="10"/>
  <c r="O36" i="10"/>
  <c r="O35" i="10"/>
  <c r="O34" i="10"/>
  <c r="O33" i="10"/>
  <c r="O32" i="10"/>
  <c r="O31" i="10"/>
  <c r="O30" i="10"/>
  <c r="O29" i="10"/>
  <c r="O28" i="10"/>
  <c r="O27" i="10"/>
  <c r="O26" i="10"/>
  <c r="O25" i="10"/>
  <c r="O24" i="10"/>
  <c r="O23" i="10"/>
  <c r="O22" i="10"/>
  <c r="O21" i="10"/>
  <c r="O20" i="10"/>
  <c r="O19" i="10"/>
  <c r="O17" i="10"/>
  <c r="O16" i="10"/>
  <c r="O15" i="10"/>
  <c r="O14" i="10"/>
  <c r="N44" i="10"/>
  <c r="N43" i="10"/>
  <c r="N42" i="10"/>
  <c r="N41" i="10"/>
  <c r="N40" i="10"/>
  <c r="N39" i="10"/>
  <c r="N38" i="10"/>
  <c r="N37" i="10"/>
  <c r="N36" i="10"/>
  <c r="N35" i="10"/>
  <c r="N34" i="10"/>
  <c r="N33" i="10"/>
  <c r="N32" i="10"/>
  <c r="N31" i="10"/>
  <c r="N30" i="10"/>
  <c r="N29" i="10"/>
  <c r="N28" i="10"/>
  <c r="N27" i="10"/>
  <c r="N26" i="10"/>
  <c r="N25" i="10"/>
  <c r="N24" i="10"/>
  <c r="N23" i="10"/>
  <c r="N22" i="10"/>
  <c r="N21" i="10"/>
  <c r="N20" i="10"/>
  <c r="N19" i="10"/>
  <c r="N17" i="10"/>
  <c r="N16" i="10"/>
  <c r="N15" i="10"/>
  <c r="N14" i="10"/>
  <c r="M44" i="10"/>
  <c r="M43" i="10"/>
  <c r="M42" i="10"/>
  <c r="M41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1" i="10"/>
  <c r="M20" i="10"/>
  <c r="M19" i="10"/>
  <c r="M17" i="10"/>
  <c r="M16" i="10"/>
  <c r="M15" i="10"/>
  <c r="M14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7" i="10"/>
  <c r="L16" i="10"/>
  <c r="L15" i="10"/>
  <c r="L14" i="10"/>
  <c r="AK67" i="9"/>
  <c r="AF67" i="9"/>
  <c r="AP65" i="9" s="1"/>
  <c r="AE67" i="9"/>
  <c r="AO65" i="9" s="1"/>
  <c r="AC67" i="9"/>
  <c r="Y67" i="9"/>
  <c r="X67" i="9"/>
  <c r="W67" i="9"/>
  <c r="S67" i="9"/>
  <c r="R67" i="9"/>
  <c r="Q67" i="9"/>
  <c r="P67" i="9"/>
  <c r="O67" i="9"/>
  <c r="M67" i="9"/>
  <c r="L67" i="9"/>
  <c r="AK66" i="9"/>
  <c r="AF66" i="9"/>
  <c r="AC66" i="9"/>
  <c r="AA66" i="9"/>
  <c r="Z66" i="9"/>
  <c r="Y66" i="9"/>
  <c r="X66" i="9"/>
  <c r="W66" i="9"/>
  <c r="V66" i="9"/>
  <c r="U66" i="9"/>
  <c r="S66" i="9"/>
  <c r="R66" i="9"/>
  <c r="Q66" i="9"/>
  <c r="P66" i="9"/>
  <c r="O66" i="9"/>
  <c r="M66" i="9"/>
  <c r="L66" i="9"/>
  <c r="AL68" i="8"/>
  <c r="AG68" i="8"/>
  <c r="AD68" i="8"/>
  <c r="AB68" i="8"/>
  <c r="T68" i="8"/>
  <c r="AK67" i="8"/>
  <c r="AF67" i="8"/>
  <c r="AE67" i="8"/>
  <c r="AC67" i="8"/>
  <c r="Y67" i="8"/>
  <c r="X67" i="8"/>
  <c r="W67" i="8"/>
  <c r="S67" i="8"/>
  <c r="R67" i="8"/>
  <c r="Q67" i="8"/>
  <c r="P67" i="8"/>
  <c r="O67" i="8"/>
  <c r="M67" i="8"/>
  <c r="L67" i="8"/>
  <c r="AK66" i="8"/>
  <c r="AF66" i="8"/>
  <c r="AP65" i="8" s="1"/>
  <c r="AC66" i="8"/>
  <c r="AA66" i="8"/>
  <c r="Z66" i="8"/>
  <c r="Y66" i="8"/>
  <c r="X66" i="8"/>
  <c r="W66" i="8"/>
  <c r="V66" i="8"/>
  <c r="U66" i="8"/>
  <c r="S66" i="8"/>
  <c r="R66" i="8"/>
  <c r="Q66" i="8"/>
  <c r="P66" i="8"/>
  <c r="O66" i="8"/>
  <c r="M66" i="8"/>
  <c r="L66" i="8"/>
  <c r="AL68" i="7"/>
  <c r="AG68" i="7"/>
  <c r="AD68" i="7"/>
  <c r="AB68" i="7"/>
  <c r="T68" i="7"/>
  <c r="AG62" i="7"/>
  <c r="AA62" i="7"/>
  <c r="Z62" i="7"/>
  <c r="AG61" i="7"/>
  <c r="AA61" i="7"/>
  <c r="Z61" i="7"/>
  <c r="AG60" i="7"/>
  <c r="AA60" i="7"/>
  <c r="Z60" i="7"/>
  <c r="AG59" i="7"/>
  <c r="AA59" i="7"/>
  <c r="Z59" i="7"/>
  <c r="AG58" i="7"/>
  <c r="AA58" i="7"/>
  <c r="Z58" i="7"/>
  <c r="AG57" i="7"/>
  <c r="AA57" i="7"/>
  <c r="Z57" i="7"/>
  <c r="AG56" i="7"/>
  <c r="AA56" i="7"/>
  <c r="Z56" i="7"/>
  <c r="AG55" i="7"/>
  <c r="AA55" i="7"/>
  <c r="Z55" i="7"/>
  <c r="AG54" i="7"/>
  <c r="AA54" i="7"/>
  <c r="Z54" i="7"/>
  <c r="AG53" i="7"/>
  <c r="AA53" i="7"/>
  <c r="Z53" i="7"/>
  <c r="AG52" i="7"/>
  <c r="AA52" i="7"/>
  <c r="Z52" i="7"/>
  <c r="AG51" i="7"/>
  <c r="AA51" i="7"/>
  <c r="Z51" i="7"/>
  <c r="AG50" i="7"/>
  <c r="AA50" i="7"/>
  <c r="Z50" i="7"/>
  <c r="AG49" i="7"/>
  <c r="AA49" i="7"/>
  <c r="Z49" i="7"/>
  <c r="AG48" i="7"/>
  <c r="AA48" i="7"/>
  <c r="Z48" i="7"/>
  <c r="AG47" i="7"/>
  <c r="AA47" i="7"/>
  <c r="Z47" i="7"/>
  <c r="AG46" i="7"/>
  <c r="AA46" i="7"/>
  <c r="Z46" i="7"/>
  <c r="AG45" i="7"/>
  <c r="AA45" i="7"/>
  <c r="Z45" i="7"/>
  <c r="AG44" i="7"/>
  <c r="AA44" i="7"/>
  <c r="Z44" i="7"/>
  <c r="AG43" i="7"/>
  <c r="AA43" i="7"/>
  <c r="Z43" i="7"/>
  <c r="AG42" i="7"/>
  <c r="AA42" i="7"/>
  <c r="Z42" i="7"/>
  <c r="AG41" i="7"/>
  <c r="AA41" i="7"/>
  <c r="Z41" i="7"/>
  <c r="AG40" i="7"/>
  <c r="AA40" i="7"/>
  <c r="Z40" i="7"/>
  <c r="AG39" i="7"/>
  <c r="AA39" i="7"/>
  <c r="Z39" i="7"/>
  <c r="AG38" i="7"/>
  <c r="AA38" i="7"/>
  <c r="Z38" i="7"/>
  <c r="AG37" i="7"/>
  <c r="AA37" i="7"/>
  <c r="Z37" i="7"/>
  <c r="AG36" i="7"/>
  <c r="AA36" i="7"/>
  <c r="Z36" i="7"/>
  <c r="AG35" i="7"/>
  <c r="AA35" i="7"/>
  <c r="Z35" i="7"/>
  <c r="AG34" i="7"/>
  <c r="AA34" i="7"/>
  <c r="Z34" i="7"/>
  <c r="AG33" i="7"/>
  <c r="AA33" i="7"/>
  <c r="Z33" i="7"/>
  <c r="AG32" i="7"/>
  <c r="AA32" i="7"/>
  <c r="Z32" i="7"/>
  <c r="AG31" i="7"/>
  <c r="AA31" i="7"/>
  <c r="Z31" i="7"/>
  <c r="AG30" i="7"/>
  <c r="AA30" i="7"/>
  <c r="Z30" i="7"/>
  <c r="AG29" i="7"/>
  <c r="AA29" i="7"/>
  <c r="Z29" i="7"/>
  <c r="AG28" i="7"/>
  <c r="AA28" i="7"/>
  <c r="Z28" i="7"/>
  <c r="AG27" i="7"/>
  <c r="AA27" i="7"/>
  <c r="Z27" i="7"/>
  <c r="AG26" i="7"/>
  <c r="AA26" i="7"/>
  <c r="Z26" i="7"/>
  <c r="AG25" i="7"/>
  <c r="AA25" i="7"/>
  <c r="Z25" i="7"/>
  <c r="AG24" i="7"/>
  <c r="AA24" i="7"/>
  <c r="Z24" i="7"/>
  <c r="AG23" i="7"/>
  <c r="AA23" i="7"/>
  <c r="Z23" i="7"/>
  <c r="AG22" i="7"/>
  <c r="AA22" i="7"/>
  <c r="Z22" i="7"/>
  <c r="AG21" i="7"/>
  <c r="AA21" i="7"/>
  <c r="Z21" i="7"/>
  <c r="AG20" i="7"/>
  <c r="Z20" i="7"/>
  <c r="AG19" i="7"/>
  <c r="AA19" i="7"/>
  <c r="Z19" i="7"/>
  <c r="AG18" i="7"/>
  <c r="AA18" i="7"/>
  <c r="Z18" i="7"/>
  <c r="AG17" i="7"/>
  <c r="AA17" i="7"/>
  <c r="Z17" i="7"/>
  <c r="AG16" i="7"/>
  <c r="AA16" i="7"/>
  <c r="Z16" i="7"/>
  <c r="AG15" i="7"/>
  <c r="AA15" i="7"/>
  <c r="Z15" i="7"/>
  <c r="AG14" i="7"/>
  <c r="AA14" i="7"/>
  <c r="Z14" i="7"/>
  <c r="AG13" i="7"/>
  <c r="AA13" i="7"/>
  <c r="Z13" i="7"/>
  <c r="AJ12" i="7"/>
  <c r="AG12" i="7"/>
  <c r="AA12" i="7"/>
  <c r="Z12" i="7"/>
  <c r="S12" i="7"/>
  <c r="R12" i="7"/>
  <c r="Q12" i="7"/>
  <c r="P12" i="7"/>
  <c r="L12" i="7"/>
  <c r="AG11" i="7"/>
  <c r="AA11" i="7"/>
  <c r="Z11" i="7"/>
  <c r="AG10" i="7"/>
  <c r="AA10" i="7"/>
  <c r="Z10" i="7"/>
  <c r="AG9" i="7"/>
  <c r="AA9" i="7"/>
  <c r="Z9" i="7"/>
  <c r="AG8" i="7"/>
  <c r="AA8" i="7"/>
  <c r="Z8" i="7"/>
  <c r="AG7" i="7"/>
  <c r="AA7" i="7"/>
  <c r="Z7" i="7"/>
  <c r="AG6" i="7"/>
  <c r="AA6" i="7"/>
  <c r="Z6" i="7"/>
  <c r="AG5" i="7"/>
  <c r="AA5" i="7"/>
  <c r="Z5" i="7"/>
  <c r="AK67" i="7"/>
  <c r="AF67" i="7"/>
  <c r="AE67" i="7"/>
  <c r="AC67" i="7"/>
  <c r="Y67" i="7"/>
  <c r="X67" i="7"/>
  <c r="W67" i="7"/>
  <c r="S67" i="7"/>
  <c r="R67" i="7"/>
  <c r="Q67" i="7"/>
  <c r="P67" i="7"/>
  <c r="O67" i="7"/>
  <c r="M67" i="7"/>
  <c r="L67" i="7"/>
  <c r="AK66" i="7"/>
  <c r="AF66" i="7"/>
  <c r="AC66" i="7"/>
  <c r="AA66" i="7"/>
  <c r="Z66" i="7"/>
  <c r="Y66" i="7"/>
  <c r="X66" i="7"/>
  <c r="W66" i="7"/>
  <c r="V66" i="7"/>
  <c r="U66" i="7"/>
  <c r="S66" i="7"/>
  <c r="R66" i="7"/>
  <c r="Q66" i="7"/>
  <c r="P66" i="7"/>
  <c r="O66" i="7"/>
  <c r="M66" i="7"/>
  <c r="L66" i="7"/>
  <c r="AP62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5" i="7"/>
  <c r="AP34" i="7"/>
  <c r="AP33" i="7"/>
  <c r="AP32" i="7"/>
  <c r="AK69" i="6"/>
  <c r="AK68" i="6"/>
  <c r="AK67" i="6"/>
  <c r="AF69" i="6"/>
  <c r="AF68" i="6"/>
  <c r="AF67" i="6"/>
  <c r="AE69" i="6"/>
  <c r="AE67" i="6"/>
  <c r="AC69" i="6"/>
  <c r="AC68" i="6"/>
  <c r="AC67" i="6"/>
  <c r="AA68" i="6"/>
  <c r="Z68" i="6"/>
  <c r="Y69" i="6"/>
  <c r="Y68" i="6"/>
  <c r="X69" i="6"/>
  <c r="X68" i="6"/>
  <c r="X67" i="6"/>
  <c r="W69" i="6"/>
  <c r="W68" i="6"/>
  <c r="V68" i="6"/>
  <c r="U68" i="6"/>
  <c r="U67" i="6"/>
  <c r="S69" i="6"/>
  <c r="S68" i="6"/>
  <c r="S67" i="6"/>
  <c r="R69" i="6"/>
  <c r="R68" i="6"/>
  <c r="R67" i="6"/>
  <c r="Q69" i="6"/>
  <c r="Q68" i="6"/>
  <c r="Q67" i="6"/>
  <c r="P69" i="6"/>
  <c r="P68" i="6"/>
  <c r="P67" i="6"/>
  <c r="O69" i="6"/>
  <c r="O68" i="6"/>
  <c r="O67" i="6"/>
  <c r="M69" i="6"/>
  <c r="M68" i="6"/>
  <c r="M67" i="6"/>
  <c r="L69" i="6"/>
  <c r="L68" i="6"/>
  <c r="L67" i="6"/>
  <c r="AK27" i="6"/>
  <c r="AK26" i="6"/>
  <c r="AK21" i="6"/>
  <c r="AK20" i="6"/>
  <c r="AK19" i="6"/>
  <c r="AK18" i="6"/>
  <c r="AK17" i="6"/>
  <c r="AK14" i="6"/>
  <c r="AK13" i="6"/>
  <c r="AK12" i="6"/>
  <c r="AK12" i="7" s="1"/>
  <c r="AK11" i="6"/>
  <c r="AK10" i="6"/>
  <c r="AK9" i="6"/>
  <c r="AK6" i="6"/>
  <c r="AK5" i="6"/>
  <c r="AI62" i="6"/>
  <c r="AI61" i="6"/>
  <c r="AI60" i="6"/>
  <c r="AI59" i="6"/>
  <c r="AI58" i="6"/>
  <c r="AI57" i="6"/>
  <c r="AI56" i="6"/>
  <c r="AI55" i="6"/>
  <c r="AI54" i="6"/>
  <c r="AI53" i="6"/>
  <c r="AI52" i="6"/>
  <c r="AI51" i="6"/>
  <c r="AI50" i="6"/>
  <c r="AI49" i="6"/>
  <c r="AI48" i="6"/>
  <c r="AI47" i="6"/>
  <c r="AI46" i="6"/>
  <c r="AI45" i="6"/>
  <c r="AI44" i="6"/>
  <c r="AI43" i="6"/>
  <c r="AI42" i="6"/>
  <c r="AI41" i="6"/>
  <c r="AI40" i="6"/>
  <c r="AI39" i="6"/>
  <c r="AI38" i="6"/>
  <c r="AI37" i="6"/>
  <c r="AI35" i="6"/>
  <c r="AI34" i="6"/>
  <c r="AI33" i="6"/>
  <c r="AI32" i="6"/>
  <c r="AI12" i="6"/>
  <c r="AI12" i="7" s="1"/>
  <c r="AH62" i="6"/>
  <c r="AH61" i="6"/>
  <c r="AH60" i="6"/>
  <c r="AH59" i="6"/>
  <c r="AH58" i="6"/>
  <c r="AH57" i="6"/>
  <c r="AH56" i="6"/>
  <c r="AH55" i="6"/>
  <c r="AH54" i="6"/>
  <c r="AH53" i="6"/>
  <c r="AH52" i="6"/>
  <c r="AH51" i="6"/>
  <c r="AH50" i="6"/>
  <c r="AH49" i="6"/>
  <c r="AH48" i="6"/>
  <c r="AH47" i="6"/>
  <c r="AH46" i="6"/>
  <c r="AH45" i="6"/>
  <c r="AH44" i="6"/>
  <c r="AH43" i="6"/>
  <c r="AH42" i="6"/>
  <c r="AH41" i="6"/>
  <c r="AH40" i="6"/>
  <c r="AH39" i="6"/>
  <c r="AH38" i="6"/>
  <c r="AH37" i="6"/>
  <c r="AH35" i="6"/>
  <c r="AH34" i="6"/>
  <c r="AH33" i="6"/>
  <c r="AH32" i="6"/>
  <c r="AH12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5" i="6"/>
  <c r="S34" i="6"/>
  <c r="S33" i="6"/>
  <c r="S32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Q62" i="6"/>
  <c r="Q61" i="6"/>
  <c r="Q60" i="6"/>
  <c r="Q59" i="6"/>
  <c r="Q58" i="6"/>
  <c r="Q57" i="6"/>
  <c r="Q56" i="6"/>
  <c r="Q55" i="6"/>
  <c r="Q54" i="6"/>
  <c r="Q53" i="6"/>
  <c r="Q52" i="6"/>
  <c r="Q51" i="6"/>
  <c r="Q50" i="6"/>
  <c r="Q49" i="6"/>
  <c r="Q48" i="6"/>
  <c r="Q47" i="6"/>
  <c r="Q46" i="6"/>
  <c r="Q45" i="6"/>
  <c r="Q44" i="6"/>
  <c r="Q43" i="6"/>
  <c r="Q42" i="6"/>
  <c r="Q41" i="6"/>
  <c r="Q36" i="6"/>
  <c r="Q31" i="6"/>
  <c r="Q30" i="6"/>
  <c r="Q29" i="6"/>
  <c r="Q28" i="6"/>
  <c r="Q23" i="6"/>
  <c r="Q22" i="6"/>
  <c r="Q15" i="6"/>
  <c r="Q7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O62" i="6"/>
  <c r="O61" i="6"/>
  <c r="O60" i="6"/>
  <c r="O59" i="6"/>
  <c r="O58" i="6"/>
  <c r="O57" i="6"/>
  <c r="O56" i="6"/>
  <c r="O55" i="6"/>
  <c r="O54" i="6"/>
  <c r="O53" i="6"/>
  <c r="O52" i="6"/>
  <c r="O51" i="6"/>
  <c r="O50" i="6"/>
  <c r="O49" i="6"/>
  <c r="O48" i="6"/>
  <c r="O47" i="6"/>
  <c r="O46" i="6"/>
  <c r="O45" i="6"/>
  <c r="O44" i="6"/>
  <c r="O43" i="6"/>
  <c r="O42" i="6"/>
  <c r="O41" i="6"/>
  <c r="O40" i="6"/>
  <c r="O39" i="6"/>
  <c r="O38" i="6"/>
  <c r="O37" i="6"/>
  <c r="O35" i="6"/>
  <c r="O34" i="6"/>
  <c r="O33" i="6"/>
  <c r="O32" i="6"/>
  <c r="O12" i="6"/>
  <c r="N27" i="6"/>
  <c r="N26" i="6"/>
  <c r="N20" i="6"/>
  <c r="N12" i="6"/>
  <c r="N12" i="7" s="1"/>
  <c r="AP62" i="6"/>
  <c r="AP61" i="6"/>
  <c r="AP60" i="6"/>
  <c r="AP59" i="6"/>
  <c r="AP58" i="6"/>
  <c r="AP57" i="6"/>
  <c r="AP56" i="6"/>
  <c r="AP55" i="6"/>
  <c r="AP54" i="6"/>
  <c r="AP53" i="6"/>
  <c r="AP52" i="6"/>
  <c r="AP51" i="6"/>
  <c r="AP50" i="6"/>
  <c r="AP49" i="6"/>
  <c r="AP48" i="6"/>
  <c r="AP47" i="6"/>
  <c r="AP46" i="6"/>
  <c r="AP45" i="6"/>
  <c r="AP44" i="6"/>
  <c r="AP43" i="6"/>
  <c r="AP42" i="6"/>
  <c r="AP41" i="6"/>
  <c r="AP40" i="6"/>
  <c r="AP39" i="6"/>
  <c r="AP38" i="6"/>
  <c r="AP37" i="6"/>
  <c r="AP35" i="6"/>
  <c r="AP34" i="6"/>
  <c r="AP33" i="6"/>
  <c r="AP32" i="6"/>
  <c r="M12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36" i="6"/>
  <c r="L31" i="6"/>
  <c r="L30" i="6"/>
  <c r="L29" i="6"/>
  <c r="L28" i="6"/>
  <c r="L23" i="6"/>
  <c r="L22" i="6"/>
  <c r="L15" i="6"/>
  <c r="L7" i="6"/>
  <c r="AJ68" i="6"/>
  <c r="AI67" i="6"/>
  <c r="AH67" i="6"/>
  <c r="AA69" i="6"/>
  <c r="U69" i="6"/>
  <c r="F44" i="5"/>
  <c r="F42" i="5"/>
  <c r="D42" i="5"/>
  <c r="E40" i="5"/>
  <c r="D40" i="5"/>
  <c r="E28" i="5"/>
  <c r="AL68" i="6" s="1"/>
  <c r="F23" i="5"/>
  <c r="AG67" i="7" s="1"/>
  <c r="D23" i="5"/>
  <c r="AG67" i="6" s="1"/>
  <c r="F20" i="5"/>
  <c r="E20" i="5"/>
  <c r="D20" i="5"/>
  <c r="AD67" i="6" s="1"/>
  <c r="T41" i="4"/>
  <c r="S41" i="4"/>
  <c r="R41" i="4"/>
  <c r="Q41" i="4"/>
  <c r="P41" i="4"/>
  <c r="O41" i="4"/>
  <c r="N41" i="4"/>
  <c r="M41" i="4"/>
  <c r="L41" i="4"/>
  <c r="K41" i="4"/>
  <c r="J41" i="4"/>
  <c r="I41" i="4"/>
  <c r="U41" i="4" s="1"/>
  <c r="T40" i="4"/>
  <c r="S40" i="4"/>
  <c r="R40" i="4"/>
  <c r="Q40" i="4"/>
  <c r="P40" i="4"/>
  <c r="O40" i="4"/>
  <c r="N40" i="4"/>
  <c r="M40" i="4"/>
  <c r="L40" i="4"/>
  <c r="K40" i="4"/>
  <c r="J40" i="4"/>
  <c r="I40" i="4"/>
  <c r="U40" i="4" s="1"/>
  <c r="T39" i="4"/>
  <c r="S39" i="4"/>
  <c r="R39" i="4"/>
  <c r="Q39" i="4"/>
  <c r="P39" i="4"/>
  <c r="O39" i="4"/>
  <c r="N39" i="4"/>
  <c r="M39" i="4"/>
  <c r="L39" i="4"/>
  <c r="K39" i="4"/>
  <c r="J39" i="4"/>
  <c r="I39" i="4"/>
  <c r="U39" i="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T59" i="3"/>
  <c r="S59" i="3"/>
  <c r="R59" i="3"/>
  <c r="Q59" i="3"/>
  <c r="P59" i="3"/>
  <c r="O59" i="3"/>
  <c r="N59" i="3"/>
  <c r="M59" i="3"/>
  <c r="L59" i="3"/>
  <c r="K59" i="3"/>
  <c r="J59" i="3"/>
  <c r="I59" i="3"/>
  <c r="U59" i="3" s="1"/>
  <c r="T58" i="3"/>
  <c r="S58" i="3"/>
  <c r="R58" i="3"/>
  <c r="Q58" i="3"/>
  <c r="P58" i="3"/>
  <c r="O58" i="3"/>
  <c r="N58" i="3"/>
  <c r="M58" i="3"/>
  <c r="L58" i="3"/>
  <c r="K58" i="3"/>
  <c r="J58" i="3"/>
  <c r="I58" i="3"/>
  <c r="U58" i="3" s="1"/>
  <c r="T57" i="3"/>
  <c r="S57" i="3"/>
  <c r="R57" i="3"/>
  <c r="Q57" i="3"/>
  <c r="P57" i="3"/>
  <c r="O57" i="3"/>
  <c r="N57" i="3"/>
  <c r="M57" i="3"/>
  <c r="L57" i="3"/>
  <c r="K57" i="3"/>
  <c r="J57" i="3"/>
  <c r="I57" i="3"/>
  <c r="U57" i="3" s="1"/>
  <c r="T56" i="3"/>
  <c r="S56" i="3"/>
  <c r="R56" i="3"/>
  <c r="Q56" i="3"/>
  <c r="P56" i="3"/>
  <c r="O56" i="3"/>
  <c r="N56" i="3"/>
  <c r="M56" i="3"/>
  <c r="L56" i="3"/>
  <c r="K56" i="3"/>
  <c r="J56" i="3"/>
  <c r="I56" i="3"/>
  <c r="U56" i="3" s="1"/>
  <c r="T55" i="3"/>
  <c r="S55" i="3"/>
  <c r="R55" i="3"/>
  <c r="Q55" i="3"/>
  <c r="P55" i="3"/>
  <c r="O55" i="3"/>
  <c r="N55" i="3"/>
  <c r="M55" i="3"/>
  <c r="L55" i="3"/>
  <c r="K55" i="3"/>
  <c r="J55" i="3"/>
  <c r="I55" i="3"/>
  <c r="U55" i="3" s="1"/>
  <c r="T54" i="3"/>
  <c r="S54" i="3"/>
  <c r="R54" i="3"/>
  <c r="Q54" i="3"/>
  <c r="P54" i="3"/>
  <c r="O54" i="3"/>
  <c r="N54" i="3"/>
  <c r="M54" i="3"/>
  <c r="L54" i="3"/>
  <c r="K54" i="3"/>
  <c r="J54" i="3"/>
  <c r="I54" i="3"/>
  <c r="U54" i="3" s="1"/>
  <c r="T53" i="3"/>
  <c r="S53" i="3"/>
  <c r="R53" i="3"/>
  <c r="Q53" i="3"/>
  <c r="P53" i="3"/>
  <c r="O53" i="3"/>
  <c r="N53" i="3"/>
  <c r="M53" i="3"/>
  <c r="L53" i="3"/>
  <c r="K53" i="3"/>
  <c r="J53" i="3"/>
  <c r="I53" i="3"/>
  <c r="U53" i="3" s="1"/>
  <c r="T52" i="3"/>
  <c r="S52" i="3"/>
  <c r="R52" i="3"/>
  <c r="Q52" i="3"/>
  <c r="P52" i="3"/>
  <c r="O52" i="3"/>
  <c r="N52" i="3"/>
  <c r="M52" i="3"/>
  <c r="L52" i="3"/>
  <c r="K52" i="3"/>
  <c r="J52" i="3"/>
  <c r="I52" i="3"/>
  <c r="U52" i="3" s="1"/>
  <c r="T51" i="3"/>
  <c r="S51" i="3"/>
  <c r="R51" i="3"/>
  <c r="Q51" i="3"/>
  <c r="P51" i="3"/>
  <c r="O51" i="3"/>
  <c r="N51" i="3"/>
  <c r="M51" i="3"/>
  <c r="L51" i="3"/>
  <c r="K51" i="3"/>
  <c r="J51" i="3"/>
  <c r="I51" i="3"/>
  <c r="U51" i="3" s="1"/>
  <c r="T50" i="3"/>
  <c r="S50" i="3"/>
  <c r="R50" i="3"/>
  <c r="Q50" i="3"/>
  <c r="P50" i="3"/>
  <c r="O50" i="3"/>
  <c r="N50" i="3"/>
  <c r="M50" i="3"/>
  <c r="L50" i="3"/>
  <c r="K50" i="3"/>
  <c r="J50" i="3"/>
  <c r="I50" i="3"/>
  <c r="U50" i="3" s="1"/>
  <c r="T49" i="3"/>
  <c r="S49" i="3"/>
  <c r="R49" i="3"/>
  <c r="Q49" i="3"/>
  <c r="P49" i="3"/>
  <c r="O49" i="3"/>
  <c r="N49" i="3"/>
  <c r="M49" i="3"/>
  <c r="L49" i="3"/>
  <c r="K49" i="3"/>
  <c r="J49" i="3"/>
  <c r="I49" i="3"/>
  <c r="U49" i="3" s="1"/>
  <c r="T48" i="3"/>
  <c r="S48" i="3"/>
  <c r="R48" i="3"/>
  <c r="Q48" i="3"/>
  <c r="P48" i="3"/>
  <c r="O48" i="3"/>
  <c r="N48" i="3"/>
  <c r="M48" i="3"/>
  <c r="L48" i="3"/>
  <c r="K48" i="3"/>
  <c r="J48" i="3"/>
  <c r="I48" i="3"/>
  <c r="U48" i="3" s="1"/>
  <c r="T47" i="3"/>
  <c r="S47" i="3"/>
  <c r="R47" i="3"/>
  <c r="Q47" i="3"/>
  <c r="P47" i="3"/>
  <c r="O47" i="3"/>
  <c r="N47" i="3"/>
  <c r="M47" i="3"/>
  <c r="L47" i="3"/>
  <c r="K47" i="3"/>
  <c r="J47" i="3"/>
  <c r="I47" i="3"/>
  <c r="U47" i="3" s="1"/>
  <c r="T46" i="3"/>
  <c r="S46" i="3"/>
  <c r="R46" i="3"/>
  <c r="Q46" i="3"/>
  <c r="P46" i="3"/>
  <c r="O46" i="3"/>
  <c r="N46" i="3"/>
  <c r="M46" i="3"/>
  <c r="L46" i="3"/>
  <c r="K46" i="3"/>
  <c r="J46" i="3"/>
  <c r="I46" i="3"/>
  <c r="U46" i="3" s="1"/>
  <c r="T45" i="3"/>
  <c r="S45" i="3"/>
  <c r="R45" i="3"/>
  <c r="Q45" i="3"/>
  <c r="P45" i="3"/>
  <c r="O45" i="3"/>
  <c r="N45" i="3"/>
  <c r="M45" i="3"/>
  <c r="L45" i="3"/>
  <c r="K45" i="3"/>
  <c r="J45" i="3"/>
  <c r="I45" i="3"/>
  <c r="U45" i="3" s="1"/>
  <c r="T44" i="3"/>
  <c r="S44" i="3"/>
  <c r="R44" i="3"/>
  <c r="Q44" i="3"/>
  <c r="P44" i="3"/>
  <c r="O44" i="3"/>
  <c r="N44" i="3"/>
  <c r="M44" i="3"/>
  <c r="L44" i="3"/>
  <c r="K44" i="3"/>
  <c r="J44" i="3"/>
  <c r="I44" i="3"/>
  <c r="U44" i="3" s="1"/>
  <c r="T43" i="3"/>
  <c r="S43" i="3"/>
  <c r="R43" i="3"/>
  <c r="Q43" i="3"/>
  <c r="P43" i="3"/>
  <c r="O43" i="3"/>
  <c r="N43" i="3"/>
  <c r="M43" i="3"/>
  <c r="L43" i="3"/>
  <c r="K43" i="3"/>
  <c r="J43" i="3"/>
  <c r="I43" i="3"/>
  <c r="U43" i="3" s="1"/>
  <c r="T42" i="3"/>
  <c r="S42" i="3"/>
  <c r="R42" i="3"/>
  <c r="Q42" i="3"/>
  <c r="P42" i="3"/>
  <c r="O42" i="3"/>
  <c r="N42" i="3"/>
  <c r="M42" i="3"/>
  <c r="L42" i="3"/>
  <c r="K42" i="3"/>
  <c r="J42" i="3"/>
  <c r="I42" i="3"/>
  <c r="U42" i="3" s="1"/>
  <c r="T41" i="3"/>
  <c r="S41" i="3"/>
  <c r="R41" i="3"/>
  <c r="Q41" i="3"/>
  <c r="P41" i="3"/>
  <c r="O41" i="3"/>
  <c r="N41" i="3"/>
  <c r="M41" i="3"/>
  <c r="L41" i="3"/>
  <c r="K41" i="3"/>
  <c r="J41" i="3"/>
  <c r="I41" i="3"/>
  <c r="U41" i="3" s="1"/>
  <c r="T40" i="3"/>
  <c r="S40" i="3"/>
  <c r="R40" i="3"/>
  <c r="Q40" i="3"/>
  <c r="P40" i="3"/>
  <c r="O40" i="3"/>
  <c r="N40" i="3"/>
  <c r="M40" i="3"/>
  <c r="L40" i="3"/>
  <c r="K40" i="3"/>
  <c r="J40" i="3"/>
  <c r="I40" i="3"/>
  <c r="U40" i="3" s="1"/>
  <c r="T39" i="3"/>
  <c r="S39" i="3"/>
  <c r="R39" i="3"/>
  <c r="Q39" i="3"/>
  <c r="P39" i="3"/>
  <c r="O39" i="3"/>
  <c r="N39" i="3"/>
  <c r="M39" i="3"/>
  <c r="L39" i="3"/>
  <c r="K39" i="3"/>
  <c r="J39" i="3"/>
  <c r="I39" i="3"/>
  <c r="U39" i="3" s="1"/>
  <c r="T38" i="3"/>
  <c r="S38" i="3"/>
  <c r="R38" i="3"/>
  <c r="Q38" i="3"/>
  <c r="P38" i="3"/>
  <c r="O38" i="3"/>
  <c r="N38" i="3"/>
  <c r="M38" i="3"/>
  <c r="L38" i="3"/>
  <c r="K38" i="3"/>
  <c r="J38" i="3"/>
  <c r="I38" i="3"/>
  <c r="U38" i="3" s="1"/>
  <c r="T37" i="3"/>
  <c r="S37" i="3"/>
  <c r="R37" i="3"/>
  <c r="Q37" i="3"/>
  <c r="P37" i="3"/>
  <c r="O37" i="3"/>
  <c r="N37" i="3"/>
  <c r="M37" i="3"/>
  <c r="L37" i="3"/>
  <c r="K37" i="3"/>
  <c r="J37" i="3"/>
  <c r="I37" i="3"/>
  <c r="U37" i="3" s="1"/>
  <c r="T36" i="3"/>
  <c r="S36" i="3"/>
  <c r="R36" i="3"/>
  <c r="Q36" i="3"/>
  <c r="P36" i="3"/>
  <c r="O36" i="3"/>
  <c r="N36" i="3"/>
  <c r="M36" i="3"/>
  <c r="L36" i="3"/>
  <c r="K36" i="3"/>
  <c r="J36" i="3"/>
  <c r="I36" i="3"/>
  <c r="U36" i="3" s="1"/>
  <c r="T35" i="3"/>
  <c r="S35" i="3"/>
  <c r="R35" i="3"/>
  <c r="Q35" i="3"/>
  <c r="P35" i="3"/>
  <c r="O35" i="3"/>
  <c r="N35" i="3"/>
  <c r="M35" i="3"/>
  <c r="L35" i="3"/>
  <c r="K35" i="3"/>
  <c r="J35" i="3"/>
  <c r="I35" i="3"/>
  <c r="U35" i="3" s="1"/>
  <c r="T34" i="3"/>
  <c r="S34" i="3"/>
  <c r="R34" i="3"/>
  <c r="Q34" i="3"/>
  <c r="P34" i="3"/>
  <c r="O34" i="3"/>
  <c r="N34" i="3"/>
  <c r="M34" i="3"/>
  <c r="L34" i="3"/>
  <c r="K34" i="3"/>
  <c r="J34" i="3"/>
  <c r="I34" i="3"/>
  <c r="U34" i="3" s="1"/>
  <c r="T33" i="3"/>
  <c r="S33" i="3"/>
  <c r="R33" i="3"/>
  <c r="Q33" i="3"/>
  <c r="P33" i="3"/>
  <c r="O33" i="3"/>
  <c r="N33" i="3"/>
  <c r="M33" i="3"/>
  <c r="L33" i="3"/>
  <c r="K33" i="3"/>
  <c r="J33" i="3"/>
  <c r="I33" i="3"/>
  <c r="U33" i="3" s="1"/>
  <c r="T32" i="3"/>
  <c r="S32" i="3"/>
  <c r="R32" i="3"/>
  <c r="Q32" i="3"/>
  <c r="P32" i="3"/>
  <c r="O32" i="3"/>
  <c r="N32" i="3"/>
  <c r="M32" i="3"/>
  <c r="L32" i="3"/>
  <c r="K32" i="3"/>
  <c r="J32" i="3"/>
  <c r="I32" i="3"/>
  <c r="U32" i="3" s="1"/>
  <c r="T31" i="3"/>
  <c r="S31" i="3"/>
  <c r="R31" i="3"/>
  <c r="Q31" i="3"/>
  <c r="P31" i="3"/>
  <c r="O31" i="3"/>
  <c r="N31" i="3"/>
  <c r="M31" i="3"/>
  <c r="L31" i="3"/>
  <c r="K31" i="3"/>
  <c r="J31" i="3"/>
  <c r="I31" i="3"/>
  <c r="U31" i="3" s="1"/>
  <c r="T30" i="3"/>
  <c r="S30" i="3"/>
  <c r="R30" i="3"/>
  <c r="Q30" i="3"/>
  <c r="P30" i="3"/>
  <c r="O30" i="3"/>
  <c r="N30" i="3"/>
  <c r="M30" i="3"/>
  <c r="L30" i="3"/>
  <c r="K30" i="3"/>
  <c r="J30" i="3"/>
  <c r="I30" i="3"/>
  <c r="U30" i="3" s="1"/>
  <c r="T29" i="3"/>
  <c r="S29" i="3"/>
  <c r="R29" i="3"/>
  <c r="Q29" i="3"/>
  <c r="P29" i="3"/>
  <c r="O29" i="3"/>
  <c r="N29" i="3"/>
  <c r="M29" i="3"/>
  <c r="L29" i="3"/>
  <c r="K29" i="3"/>
  <c r="J29" i="3"/>
  <c r="I29" i="3"/>
  <c r="U29" i="3" s="1"/>
  <c r="T28" i="3"/>
  <c r="S28" i="3"/>
  <c r="R28" i="3"/>
  <c r="Q28" i="3"/>
  <c r="P28" i="3"/>
  <c r="O28" i="3"/>
  <c r="N28" i="3"/>
  <c r="M28" i="3"/>
  <c r="L28" i="3"/>
  <c r="K28" i="3"/>
  <c r="J28" i="3"/>
  <c r="I28" i="3"/>
  <c r="U28" i="3" s="1"/>
  <c r="T27" i="3"/>
  <c r="S27" i="3"/>
  <c r="R27" i="3"/>
  <c r="Q27" i="3"/>
  <c r="P27" i="3"/>
  <c r="O27" i="3"/>
  <c r="N27" i="3"/>
  <c r="M27" i="3"/>
  <c r="L27" i="3"/>
  <c r="K27" i="3"/>
  <c r="J27" i="3"/>
  <c r="I27" i="3"/>
  <c r="U27" i="3" s="1"/>
  <c r="T26" i="3"/>
  <c r="S26" i="3"/>
  <c r="R26" i="3"/>
  <c r="Q26" i="3"/>
  <c r="P26" i="3"/>
  <c r="O26" i="3"/>
  <c r="N26" i="3"/>
  <c r="M26" i="3"/>
  <c r="L26" i="3"/>
  <c r="K26" i="3"/>
  <c r="J26" i="3"/>
  <c r="I26" i="3"/>
  <c r="U26" i="3" s="1"/>
  <c r="T25" i="3"/>
  <c r="S25" i="3"/>
  <c r="R25" i="3"/>
  <c r="Q25" i="3"/>
  <c r="P25" i="3"/>
  <c r="O25" i="3"/>
  <c r="N25" i="3"/>
  <c r="M25" i="3"/>
  <c r="L25" i="3"/>
  <c r="K25" i="3"/>
  <c r="J25" i="3"/>
  <c r="I25" i="3"/>
  <c r="U25" i="3" s="1"/>
  <c r="T24" i="3"/>
  <c r="S24" i="3"/>
  <c r="R24" i="3"/>
  <c r="Q24" i="3"/>
  <c r="P24" i="3"/>
  <c r="O24" i="3"/>
  <c r="N24" i="3"/>
  <c r="M24" i="3"/>
  <c r="L24" i="3"/>
  <c r="K24" i="3"/>
  <c r="J24" i="3"/>
  <c r="I24" i="3"/>
  <c r="U24" i="3" s="1"/>
  <c r="T23" i="3"/>
  <c r="S23" i="3"/>
  <c r="R23" i="3"/>
  <c r="Q23" i="3"/>
  <c r="P23" i="3"/>
  <c r="O23" i="3"/>
  <c r="N23" i="3"/>
  <c r="M23" i="3"/>
  <c r="L23" i="3"/>
  <c r="K23" i="3"/>
  <c r="J23" i="3"/>
  <c r="I23" i="3"/>
  <c r="U23" i="3" s="1"/>
  <c r="T22" i="3"/>
  <c r="S22" i="3"/>
  <c r="R22" i="3"/>
  <c r="Q22" i="3"/>
  <c r="P22" i="3"/>
  <c r="O22" i="3"/>
  <c r="N22" i="3"/>
  <c r="M22" i="3"/>
  <c r="L22" i="3"/>
  <c r="K22" i="3"/>
  <c r="J22" i="3"/>
  <c r="I22" i="3"/>
  <c r="U22" i="3" s="1"/>
  <c r="T21" i="3"/>
  <c r="S21" i="3"/>
  <c r="R21" i="3"/>
  <c r="Q21" i="3"/>
  <c r="P21" i="3"/>
  <c r="O21" i="3"/>
  <c r="N21" i="3"/>
  <c r="M21" i="3"/>
  <c r="L21" i="3"/>
  <c r="K21" i="3"/>
  <c r="J21" i="3"/>
  <c r="I21" i="3"/>
  <c r="U21" i="3" s="1"/>
  <c r="T20" i="3"/>
  <c r="S20" i="3"/>
  <c r="R20" i="3"/>
  <c r="Q20" i="3"/>
  <c r="P20" i="3"/>
  <c r="O20" i="3"/>
  <c r="N20" i="3"/>
  <c r="M20" i="3"/>
  <c r="L20" i="3"/>
  <c r="K20" i="3"/>
  <c r="J20" i="3"/>
  <c r="I20" i="3"/>
  <c r="U20" i="3" s="1"/>
  <c r="T19" i="3"/>
  <c r="S19" i="3"/>
  <c r="R19" i="3"/>
  <c r="Q19" i="3"/>
  <c r="P19" i="3"/>
  <c r="O19" i="3"/>
  <c r="N19" i="3"/>
  <c r="M19" i="3"/>
  <c r="L19" i="3"/>
  <c r="K19" i="3"/>
  <c r="J19" i="3"/>
  <c r="I19" i="3"/>
  <c r="U19" i="3" s="1"/>
  <c r="T18" i="3"/>
  <c r="S18" i="3"/>
  <c r="R18" i="3"/>
  <c r="Q18" i="3"/>
  <c r="P18" i="3"/>
  <c r="O18" i="3"/>
  <c r="N18" i="3"/>
  <c r="M18" i="3"/>
  <c r="L18" i="3"/>
  <c r="K18" i="3"/>
  <c r="J18" i="3"/>
  <c r="I18" i="3"/>
  <c r="U18" i="3" s="1"/>
  <c r="T17" i="3"/>
  <c r="S17" i="3"/>
  <c r="R17" i="3"/>
  <c r="Q17" i="3"/>
  <c r="P17" i="3"/>
  <c r="O17" i="3"/>
  <c r="N17" i="3"/>
  <c r="M17" i="3"/>
  <c r="L17" i="3"/>
  <c r="K17" i="3"/>
  <c r="J17" i="3"/>
  <c r="I17" i="3"/>
  <c r="U17" i="3" s="1"/>
  <c r="Q16" i="3"/>
  <c r="M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U15" i="3" s="1"/>
  <c r="T14" i="3"/>
  <c r="T16" i="3" s="1"/>
  <c r="S14" i="3"/>
  <c r="S16" i="3" s="1"/>
  <c r="R14" i="3"/>
  <c r="R16" i="3" s="1"/>
  <c r="Q14" i="3"/>
  <c r="P14" i="3"/>
  <c r="P16" i="3" s="1"/>
  <c r="O14" i="3"/>
  <c r="O16" i="3" s="1"/>
  <c r="N14" i="3"/>
  <c r="N16" i="3" s="1"/>
  <c r="M14" i="3"/>
  <c r="L14" i="3"/>
  <c r="L16" i="3" s="1"/>
  <c r="K14" i="3"/>
  <c r="K16" i="3" s="1"/>
  <c r="J14" i="3"/>
  <c r="J16" i="3" s="1"/>
  <c r="I14" i="3"/>
  <c r="U14" i="3" s="1"/>
  <c r="T13" i="3"/>
  <c r="S13" i="3"/>
  <c r="R13" i="3"/>
  <c r="Q13" i="3"/>
  <c r="P13" i="3"/>
  <c r="O13" i="3"/>
  <c r="N13" i="3"/>
  <c r="M13" i="3"/>
  <c r="L13" i="3"/>
  <c r="K13" i="3"/>
  <c r="J13" i="3"/>
  <c r="I13" i="3"/>
  <c r="U13" i="3" s="1"/>
  <c r="T12" i="3"/>
  <c r="S12" i="3"/>
  <c r="R12" i="3"/>
  <c r="Q12" i="3"/>
  <c r="P12" i="3"/>
  <c r="O12" i="3"/>
  <c r="N12" i="3"/>
  <c r="M12" i="3"/>
  <c r="L12" i="3"/>
  <c r="K12" i="3"/>
  <c r="J12" i="3"/>
  <c r="I12" i="3"/>
  <c r="U12" i="3" s="1"/>
  <c r="T11" i="3"/>
  <c r="S11" i="3"/>
  <c r="R11" i="3"/>
  <c r="Q11" i="3"/>
  <c r="P11" i="3"/>
  <c r="O11" i="3"/>
  <c r="N11" i="3"/>
  <c r="M11" i="3"/>
  <c r="L11" i="3"/>
  <c r="K11" i="3"/>
  <c r="J11" i="3"/>
  <c r="I11" i="3"/>
  <c r="U11" i="3" s="1"/>
  <c r="T10" i="3"/>
  <c r="S10" i="3"/>
  <c r="R10" i="3"/>
  <c r="Q10" i="3"/>
  <c r="P10" i="3"/>
  <c r="O10" i="3"/>
  <c r="N10" i="3"/>
  <c r="M10" i="3"/>
  <c r="L10" i="3"/>
  <c r="K10" i="3"/>
  <c r="J10" i="3"/>
  <c r="I10" i="3"/>
  <c r="U10" i="3" s="1"/>
  <c r="T9" i="3"/>
  <c r="S9" i="3"/>
  <c r="R9" i="3"/>
  <c r="Q9" i="3"/>
  <c r="P9" i="3"/>
  <c r="O9" i="3"/>
  <c r="N9" i="3"/>
  <c r="M9" i="3"/>
  <c r="L9" i="3"/>
  <c r="K9" i="3"/>
  <c r="J9" i="3"/>
  <c r="I9" i="3"/>
  <c r="U9" i="3" s="1"/>
  <c r="Q8" i="3"/>
  <c r="M8" i="3"/>
  <c r="I8" i="3"/>
  <c r="T7" i="3"/>
  <c r="S7" i="3"/>
  <c r="R7" i="3"/>
  <c r="Q7" i="3"/>
  <c r="P7" i="3"/>
  <c r="O7" i="3"/>
  <c r="N7" i="3"/>
  <c r="M7" i="3"/>
  <c r="L7" i="3"/>
  <c r="K7" i="3"/>
  <c r="J7" i="3"/>
  <c r="I7" i="3"/>
  <c r="U7" i="3" s="1"/>
  <c r="T6" i="3"/>
  <c r="T8" i="3" s="1"/>
  <c r="S6" i="3"/>
  <c r="S8" i="3" s="1"/>
  <c r="R6" i="3"/>
  <c r="R8" i="3" s="1"/>
  <c r="Q6" i="3"/>
  <c r="P6" i="3"/>
  <c r="P8" i="3" s="1"/>
  <c r="O6" i="3"/>
  <c r="O8" i="3" s="1"/>
  <c r="N6" i="3"/>
  <c r="N8" i="3" s="1"/>
  <c r="M6" i="3"/>
  <c r="L6" i="3"/>
  <c r="L8" i="3" s="1"/>
  <c r="K6" i="3"/>
  <c r="K8" i="3" s="1"/>
  <c r="J6" i="3"/>
  <c r="J8" i="3" s="1"/>
  <c r="I6" i="3"/>
  <c r="U6" i="3" s="1"/>
  <c r="T5" i="3"/>
  <c r="S5" i="3"/>
  <c r="R5" i="3"/>
  <c r="Q5" i="3"/>
  <c r="P5" i="3"/>
  <c r="O5" i="3"/>
  <c r="N5" i="3"/>
  <c r="M5" i="3"/>
  <c r="L5" i="3"/>
  <c r="K5" i="3"/>
  <c r="J5" i="3"/>
  <c r="I5" i="3"/>
  <c r="U5" i="3" s="1"/>
  <c r="T4" i="3"/>
  <c r="S4" i="3"/>
  <c r="R4" i="3"/>
  <c r="Q4" i="3"/>
  <c r="P4" i="3"/>
  <c r="O4" i="3"/>
  <c r="N4" i="3"/>
  <c r="M4" i="3"/>
  <c r="L4" i="3"/>
  <c r="K4" i="3"/>
  <c r="J4" i="3"/>
  <c r="I4" i="3"/>
  <c r="U4" i="3" s="1"/>
  <c r="T3" i="3"/>
  <c r="S3" i="3"/>
  <c r="R3" i="3"/>
  <c r="Q3" i="3"/>
  <c r="P3" i="3"/>
  <c r="O3" i="3"/>
  <c r="N3" i="3"/>
  <c r="M3" i="3"/>
  <c r="L3" i="3"/>
  <c r="K3" i="3"/>
  <c r="J3" i="3"/>
  <c r="I3" i="3"/>
  <c r="U3" i="3" s="1"/>
  <c r="T2" i="3"/>
  <c r="S2" i="3"/>
  <c r="R2" i="3"/>
  <c r="Q2" i="3"/>
  <c r="P2" i="3"/>
  <c r="O2" i="3"/>
  <c r="N2" i="3"/>
  <c r="M2" i="3"/>
  <c r="L2" i="3"/>
  <c r="K2" i="3"/>
  <c r="J2" i="3"/>
  <c r="I2" i="3"/>
  <c r="U2" i="3" s="1"/>
  <c r="H1" i="2"/>
  <c r="I20" i="23" l="1"/>
  <c r="I20" i="6"/>
  <c r="I20" i="9"/>
  <c r="I20" i="14"/>
  <c r="I20" i="8"/>
  <c r="I20" i="7"/>
  <c r="I21" i="23"/>
  <c r="AO84" i="23" s="1"/>
  <c r="I21" i="9"/>
  <c r="I21" i="14"/>
  <c r="I21" i="8"/>
  <c r="I21" i="7"/>
  <c r="I21" i="6"/>
  <c r="I22" i="23"/>
  <c r="I22" i="14"/>
  <c r="I22" i="8"/>
  <c r="I22" i="7"/>
  <c r="I22" i="6"/>
  <c r="I22" i="9"/>
  <c r="I23" i="23"/>
  <c r="I23" i="14"/>
  <c r="I23" i="8"/>
  <c r="I23" i="7"/>
  <c r="I23" i="6"/>
  <c r="I23" i="9"/>
  <c r="I24" i="23"/>
  <c r="I24" i="6"/>
  <c r="I24" i="9"/>
  <c r="I24" i="14"/>
  <c r="I24" i="8"/>
  <c r="I24" i="7"/>
  <c r="I25" i="23"/>
  <c r="I25" i="9"/>
  <c r="I25" i="14"/>
  <c r="I25" i="8"/>
  <c r="I25" i="7"/>
  <c r="I25" i="6"/>
  <c r="I26" i="23"/>
  <c r="I26" i="14"/>
  <c r="I26" i="8"/>
  <c r="I26" i="7"/>
  <c r="I26" i="9"/>
  <c r="I26" i="6"/>
  <c r="I27" i="23"/>
  <c r="I27" i="14"/>
  <c r="I27" i="8"/>
  <c r="I27" i="7"/>
  <c r="I27" i="9"/>
  <c r="I27" i="6"/>
  <c r="I28" i="23"/>
  <c r="I28" i="9"/>
  <c r="I28" i="6"/>
  <c r="I28" i="14"/>
  <c r="I28" i="8"/>
  <c r="I28" i="7"/>
  <c r="I29" i="23"/>
  <c r="I29" i="9"/>
  <c r="I29" i="6"/>
  <c r="I29" i="14"/>
  <c r="I29" i="8"/>
  <c r="I29" i="7"/>
  <c r="I30" i="23"/>
  <c r="I30" i="6"/>
  <c r="I30" i="14"/>
  <c r="I30" i="8"/>
  <c r="I30" i="7"/>
  <c r="I30" i="9"/>
  <c r="I31" i="23"/>
  <c r="I31" i="14"/>
  <c r="I31" i="8"/>
  <c r="I31" i="7"/>
  <c r="I31" i="9"/>
  <c r="I31" i="6"/>
  <c r="I32" i="23"/>
  <c r="I32" i="9"/>
  <c r="I32" i="6"/>
  <c r="I32" i="14"/>
  <c r="I32" i="8"/>
  <c r="I32" i="7"/>
  <c r="I33" i="23"/>
  <c r="I33" i="14"/>
  <c r="I33" i="9"/>
  <c r="I33" i="7"/>
  <c r="I33" i="6"/>
  <c r="I33" i="8"/>
  <c r="I34" i="23"/>
  <c r="I34" i="6"/>
  <c r="I34" i="14"/>
  <c r="I34" i="8"/>
  <c r="I34" i="9"/>
  <c r="I34" i="7"/>
  <c r="I35" i="23"/>
  <c r="I35" i="8"/>
  <c r="I35" i="7"/>
  <c r="I35" i="14"/>
  <c r="I35" i="9"/>
  <c r="I35" i="6"/>
  <c r="I36" i="23"/>
  <c r="I36" i="9"/>
  <c r="I36" i="6"/>
  <c r="I36" i="14"/>
  <c r="I36" i="8"/>
  <c r="I36" i="7"/>
  <c r="I37" i="23"/>
  <c r="I37" i="9"/>
  <c r="I37" i="6"/>
  <c r="I37" i="14"/>
  <c r="I37" i="8"/>
  <c r="I37" i="7"/>
  <c r="I38" i="23"/>
  <c r="I38" i="7"/>
  <c r="I38" i="6"/>
  <c r="I38" i="8"/>
  <c r="I38" i="14"/>
  <c r="I38" i="9"/>
  <c r="I39" i="23"/>
  <c r="I39" i="14"/>
  <c r="I39" i="8"/>
  <c r="I39" i="9"/>
  <c r="I39" i="7"/>
  <c r="I39" i="6"/>
  <c r="I40" i="23"/>
  <c r="I40" i="7"/>
  <c r="I40" i="14"/>
  <c r="I40" i="9"/>
  <c r="I40" i="6"/>
  <c r="I40" i="8"/>
  <c r="I41" i="23"/>
  <c r="I41" i="9"/>
  <c r="I41" i="6"/>
  <c r="I41" i="14"/>
  <c r="I41" i="8"/>
  <c r="I41" i="7"/>
  <c r="I42" i="23"/>
  <c r="I42" i="7"/>
  <c r="I42" i="6"/>
  <c r="I42" i="8"/>
  <c r="I42" i="14"/>
  <c r="I42" i="9"/>
  <c r="I43" i="23"/>
  <c r="I43" i="14"/>
  <c r="I43" i="8"/>
  <c r="I43" i="9"/>
  <c r="I43" i="7"/>
  <c r="I43" i="6"/>
  <c r="I44" i="23"/>
  <c r="I44" i="7"/>
  <c r="I44" i="14"/>
  <c r="I44" i="9"/>
  <c r="I44" i="6"/>
  <c r="I44" i="8"/>
  <c r="I45" i="23"/>
  <c r="I45" i="9"/>
  <c r="I45" i="6"/>
  <c r="I45" i="14"/>
  <c r="I45" i="8"/>
  <c r="I45" i="7"/>
  <c r="I46" i="23"/>
  <c r="I46" i="7"/>
  <c r="I46" i="6"/>
  <c r="I46" i="8"/>
  <c r="I46" i="14"/>
  <c r="I46" i="9"/>
  <c r="I47" i="23"/>
  <c r="I47" i="14"/>
  <c r="I47" i="8"/>
  <c r="I47" i="9"/>
  <c r="I47" i="7"/>
  <c r="I47" i="6"/>
  <c r="I48" i="23"/>
  <c r="I48" i="7"/>
  <c r="I48" i="14"/>
  <c r="I48" i="9"/>
  <c r="I48" i="6"/>
  <c r="I48" i="8"/>
  <c r="I49" i="23"/>
  <c r="I49" i="9"/>
  <c r="I49" i="6"/>
  <c r="I49" i="14"/>
  <c r="I49" i="8"/>
  <c r="I49" i="7"/>
  <c r="I50" i="23"/>
  <c r="I50" i="7"/>
  <c r="I50" i="6"/>
  <c r="I50" i="8"/>
  <c r="I50" i="14"/>
  <c r="I50" i="9"/>
  <c r="I51" i="23"/>
  <c r="I51" i="14"/>
  <c r="I51" i="8"/>
  <c r="I51" i="9"/>
  <c r="I51" i="7"/>
  <c r="I51" i="6"/>
  <c r="I52" i="23"/>
  <c r="I52" i="7"/>
  <c r="I52" i="14"/>
  <c r="I52" i="9"/>
  <c r="I52" i="6"/>
  <c r="I52" i="8"/>
  <c r="I53" i="23"/>
  <c r="I53" i="9"/>
  <c r="I53" i="6"/>
  <c r="I53" i="14"/>
  <c r="I53" i="8"/>
  <c r="I53" i="7"/>
  <c r="I54" i="23"/>
  <c r="I54" i="7"/>
  <c r="I54" i="6"/>
  <c r="I54" i="8"/>
  <c r="I54" i="14"/>
  <c r="I54" i="9"/>
  <c r="I55" i="23"/>
  <c r="I55" i="14"/>
  <c r="I55" i="8"/>
  <c r="I55" i="9"/>
  <c r="I55" i="7"/>
  <c r="I55" i="6"/>
  <c r="I56" i="23"/>
  <c r="I56" i="7"/>
  <c r="I56" i="14"/>
  <c r="I56" i="9"/>
  <c r="I56" i="6"/>
  <c r="I56" i="8"/>
  <c r="I57" i="23"/>
  <c r="I57" i="9"/>
  <c r="I57" i="6"/>
  <c r="I57" i="14"/>
  <c r="I57" i="8"/>
  <c r="I57" i="7"/>
  <c r="I58" i="23"/>
  <c r="I58" i="7"/>
  <c r="I58" i="6"/>
  <c r="I58" i="8"/>
  <c r="I58" i="14"/>
  <c r="I58" i="9"/>
  <c r="I59" i="23"/>
  <c r="I59" i="14"/>
  <c r="I59" i="8"/>
  <c r="I59" i="9"/>
  <c r="I59" i="7"/>
  <c r="I59" i="6"/>
  <c r="I60" i="23"/>
  <c r="I60" i="7"/>
  <c r="I60" i="14"/>
  <c r="I60" i="9"/>
  <c r="I60" i="6"/>
  <c r="I60" i="8"/>
  <c r="I61" i="23"/>
  <c r="I61" i="9"/>
  <c r="I61" i="6"/>
  <c r="I61" i="14"/>
  <c r="I61" i="8"/>
  <c r="I61" i="7"/>
  <c r="I62" i="23"/>
  <c r="I62" i="7"/>
  <c r="I62" i="6"/>
  <c r="I62" i="8"/>
  <c r="I62" i="14"/>
  <c r="I62" i="9"/>
  <c r="P14" i="5"/>
  <c r="I5" i="24"/>
  <c r="I5" i="11"/>
  <c r="I5" i="12"/>
  <c r="I5" i="13"/>
  <c r="I5" i="10"/>
  <c r="I6" i="24"/>
  <c r="I6" i="11"/>
  <c r="I6" i="12"/>
  <c r="I6" i="13"/>
  <c r="I6" i="10"/>
  <c r="I7" i="24"/>
  <c r="I7" i="12"/>
  <c r="I7" i="13"/>
  <c r="I7" i="10"/>
  <c r="I7" i="11"/>
  <c r="I8" i="24"/>
  <c r="I8" i="13"/>
  <c r="I8" i="10"/>
  <c r="I8" i="11"/>
  <c r="I8" i="12"/>
  <c r="I9" i="24"/>
  <c r="I9" i="11"/>
  <c r="I9" i="12"/>
  <c r="I9" i="13"/>
  <c r="I9" i="10"/>
  <c r="I10" i="24"/>
  <c r="I10" i="11"/>
  <c r="I10" i="12"/>
  <c r="I10" i="13"/>
  <c r="I10" i="10"/>
  <c r="I11" i="24"/>
  <c r="I11" i="12"/>
  <c r="I11" i="13"/>
  <c r="I11" i="10"/>
  <c r="I11" i="11"/>
  <c r="I12" i="24"/>
  <c r="I12" i="13"/>
  <c r="I12" i="10"/>
  <c r="I12" i="11"/>
  <c r="I12" i="12"/>
  <c r="I13" i="24"/>
  <c r="I13" i="11"/>
  <c r="I13" i="12"/>
  <c r="I13" i="13"/>
  <c r="I13" i="10"/>
  <c r="I14" i="24"/>
  <c r="I14" i="11"/>
  <c r="I14" i="12"/>
  <c r="I14" i="13"/>
  <c r="I14" i="10"/>
  <c r="I15" i="24"/>
  <c r="I15" i="12"/>
  <c r="I15" i="13"/>
  <c r="I15" i="10"/>
  <c r="I15" i="11"/>
  <c r="I16" i="24"/>
  <c r="I16" i="13"/>
  <c r="I16" i="10"/>
  <c r="I16" i="11"/>
  <c r="I16" i="12"/>
  <c r="I17" i="24"/>
  <c r="I17" i="11"/>
  <c r="I17" i="12"/>
  <c r="I17" i="13"/>
  <c r="I17" i="10"/>
  <c r="I18" i="24"/>
  <c r="I18" i="11"/>
  <c r="I18" i="12"/>
  <c r="I18" i="13"/>
  <c r="I18" i="10"/>
  <c r="I19" i="24"/>
  <c r="I19" i="12"/>
  <c r="I19" i="13"/>
  <c r="I19" i="10"/>
  <c r="I19" i="11"/>
  <c r="I20" i="24"/>
  <c r="I20" i="13"/>
  <c r="I20" i="10"/>
  <c r="I20" i="11"/>
  <c r="I20" i="12"/>
  <c r="I21" i="24"/>
  <c r="I21" i="11"/>
  <c r="I21" i="12"/>
  <c r="I21" i="13"/>
  <c r="I21" i="10"/>
  <c r="I22" i="24"/>
  <c r="I22" i="11"/>
  <c r="I22" i="12"/>
  <c r="I22" i="13"/>
  <c r="I22" i="10"/>
  <c r="I23" i="24"/>
  <c r="I23" i="12"/>
  <c r="I23" i="13"/>
  <c r="I23" i="10"/>
  <c r="I23" i="11"/>
  <c r="I24" i="24"/>
  <c r="I24" i="13"/>
  <c r="I24" i="10"/>
  <c r="I24" i="11"/>
  <c r="I24" i="12"/>
  <c r="I25" i="24"/>
  <c r="I25" i="11"/>
  <c r="I25" i="12"/>
  <c r="I25" i="13"/>
  <c r="I25" i="10"/>
  <c r="I26" i="24"/>
  <c r="I26" i="11"/>
  <c r="I26" i="12"/>
  <c r="I26" i="13"/>
  <c r="I26" i="10"/>
  <c r="I27" i="24"/>
  <c r="I27" i="12"/>
  <c r="I27" i="13"/>
  <c r="I27" i="10"/>
  <c r="I27" i="11"/>
  <c r="I28" i="24"/>
  <c r="I28" i="13"/>
  <c r="I28" i="10"/>
  <c r="I28" i="11"/>
  <c r="I28" i="12"/>
  <c r="I29" i="24"/>
  <c r="I29" i="11"/>
  <c r="I29" i="12"/>
  <c r="I29" i="13"/>
  <c r="I29" i="10"/>
  <c r="I30" i="24"/>
  <c r="I30" i="11"/>
  <c r="I30" i="12"/>
  <c r="I30" i="13"/>
  <c r="I30" i="10"/>
  <c r="I31" i="24"/>
  <c r="I31" i="12"/>
  <c r="I31" i="13"/>
  <c r="I31" i="10"/>
  <c r="I31" i="11"/>
  <c r="I32" i="24"/>
  <c r="I32" i="13"/>
  <c r="I32" i="10"/>
  <c r="I32" i="11"/>
  <c r="I32" i="12"/>
  <c r="I33" i="24"/>
  <c r="AD78" i="24" s="1"/>
  <c r="I33" i="11"/>
  <c r="I33" i="12"/>
  <c r="I33" i="13"/>
  <c r="I33" i="10"/>
  <c r="I34" i="24"/>
  <c r="I34" i="11"/>
  <c r="I34" i="12"/>
  <c r="I34" i="13"/>
  <c r="I34" i="10"/>
  <c r="I35" i="24"/>
  <c r="I35" i="12"/>
  <c r="I35" i="13"/>
  <c r="I35" i="10"/>
  <c r="I35" i="11"/>
  <c r="I36" i="24"/>
  <c r="I36" i="13"/>
  <c r="I36" i="10"/>
  <c r="I36" i="11"/>
  <c r="I36" i="12"/>
  <c r="I37" i="24"/>
  <c r="I37" i="11"/>
  <c r="I37" i="12"/>
  <c r="I37" i="13"/>
  <c r="I37" i="10"/>
  <c r="I38" i="24"/>
  <c r="I38" i="11"/>
  <c r="I38" i="12"/>
  <c r="I38" i="13"/>
  <c r="I38" i="10"/>
  <c r="I39" i="24"/>
  <c r="I39" i="12"/>
  <c r="I39" i="13"/>
  <c r="I39" i="10"/>
  <c r="I39" i="11"/>
  <c r="I40" i="24"/>
  <c r="I40" i="13"/>
  <c r="I40" i="10"/>
  <c r="I40" i="11"/>
  <c r="I40" i="12"/>
  <c r="I41" i="24"/>
  <c r="AD86" i="24" s="1"/>
  <c r="I41" i="11"/>
  <c r="I41" i="12"/>
  <c r="I41" i="13"/>
  <c r="I41" i="10"/>
  <c r="I42" i="24"/>
  <c r="I42" i="11"/>
  <c r="I42" i="12"/>
  <c r="I42" i="13"/>
  <c r="I42" i="10"/>
  <c r="I43" i="24"/>
  <c r="I43" i="12"/>
  <c r="I43" i="13"/>
  <c r="I43" i="10"/>
  <c r="I43" i="11"/>
  <c r="I44" i="24"/>
  <c r="I44" i="13"/>
  <c r="I44" i="10"/>
  <c r="I44" i="11"/>
  <c r="I44" i="12"/>
  <c r="I12" i="23"/>
  <c r="BA75" i="23" s="1"/>
  <c r="I12" i="6"/>
  <c r="I12" i="14"/>
  <c r="I12" i="9"/>
  <c r="I12" i="8"/>
  <c r="I12" i="7"/>
  <c r="I13" i="23"/>
  <c r="BA76" i="23" s="1"/>
  <c r="I13" i="9"/>
  <c r="I13" i="14"/>
  <c r="I13" i="8"/>
  <c r="I13" i="7"/>
  <c r="I13" i="6"/>
  <c r="I14" i="23"/>
  <c r="BA77" i="23" s="1"/>
  <c r="I14" i="14"/>
  <c r="I14" i="8"/>
  <c r="I14" i="7"/>
  <c r="I14" i="6"/>
  <c r="I14" i="9"/>
  <c r="I15" i="23"/>
  <c r="BA78" i="23" s="1"/>
  <c r="I15" i="14"/>
  <c r="I15" i="8"/>
  <c r="I15" i="7"/>
  <c r="I15" i="6"/>
  <c r="I15" i="9"/>
  <c r="I16" i="23"/>
  <c r="BA79" i="23" s="1"/>
  <c r="I16" i="6"/>
  <c r="I16" i="9"/>
  <c r="I16" i="14"/>
  <c r="I16" i="8"/>
  <c r="I16" i="7"/>
  <c r="I17" i="23"/>
  <c r="BD80" i="23" s="1"/>
  <c r="I17" i="9"/>
  <c r="I17" i="14"/>
  <c r="I17" i="8"/>
  <c r="I17" i="7"/>
  <c r="I17" i="6"/>
  <c r="I18" i="23"/>
  <c r="AW81" i="23" s="1"/>
  <c r="I18" i="14"/>
  <c r="I18" i="8"/>
  <c r="I18" i="7"/>
  <c r="I18" i="6"/>
  <c r="I18" i="9"/>
  <c r="U16" i="3"/>
  <c r="I5" i="23"/>
  <c r="BA68" i="23" s="1"/>
  <c r="P12" i="5"/>
  <c r="I5" i="14"/>
  <c r="I5" i="9"/>
  <c r="I5" i="8"/>
  <c r="I5" i="7"/>
  <c r="I5" i="6"/>
  <c r="I6" i="23"/>
  <c r="BA69" i="23" s="1"/>
  <c r="I6" i="8"/>
  <c r="I6" i="7"/>
  <c r="I6" i="6"/>
  <c r="I6" i="14"/>
  <c r="I6" i="9"/>
  <c r="I7" i="23"/>
  <c r="BA70" i="23" s="1"/>
  <c r="I7" i="8"/>
  <c r="I7" i="7"/>
  <c r="M74" i="6" s="1"/>
  <c r="I7" i="6"/>
  <c r="I7" i="14"/>
  <c r="I7" i="9"/>
  <c r="I8" i="23"/>
  <c r="BA71" i="23" s="1"/>
  <c r="I8" i="6"/>
  <c r="I8" i="14"/>
  <c r="I8" i="9"/>
  <c r="I8" i="8"/>
  <c r="I8" i="7"/>
  <c r="I9" i="23"/>
  <c r="BA72" i="23" s="1"/>
  <c r="I9" i="14"/>
  <c r="I9" i="9"/>
  <c r="I9" i="8"/>
  <c r="I9" i="7"/>
  <c r="I9" i="6"/>
  <c r="I10" i="23"/>
  <c r="BA73" i="23" s="1"/>
  <c r="I10" i="8"/>
  <c r="I10" i="7"/>
  <c r="I10" i="6"/>
  <c r="I10" i="14"/>
  <c r="I10" i="9"/>
  <c r="U8" i="3"/>
  <c r="AJ4" i="16"/>
  <c r="AT4" i="16"/>
  <c r="AO5" i="16"/>
  <c r="AT6" i="16"/>
  <c r="AT7" i="16"/>
  <c r="AJ7" i="16"/>
  <c r="AO4" i="16"/>
  <c r="AT5" i="16"/>
  <c r="AJ5" i="16"/>
  <c r="AT2" i="16"/>
  <c r="AO2" i="16"/>
  <c r="AO3" i="16"/>
  <c r="AJ3" i="16"/>
  <c r="AT3" i="16"/>
  <c r="AA10" i="21"/>
  <c r="AA9" i="21"/>
  <c r="AA11" i="21"/>
  <c r="AC2" i="17"/>
  <c r="AI2" i="17" s="1"/>
  <c r="AC6" i="17"/>
  <c r="AC10" i="17"/>
  <c r="AC14" i="17"/>
  <c r="AC111" i="17"/>
  <c r="AC115" i="17"/>
  <c r="AC119" i="17"/>
  <c r="AC123" i="17"/>
  <c r="AC127" i="17"/>
  <c r="AC131" i="17"/>
  <c r="AC135" i="17"/>
  <c r="AC139" i="17"/>
  <c r="AC143" i="17"/>
  <c r="AC147" i="17"/>
  <c r="AC151" i="17"/>
  <c r="AC155" i="17"/>
  <c r="AC159" i="17"/>
  <c r="AC163" i="17"/>
  <c r="AC167" i="17"/>
  <c r="AC183" i="17"/>
  <c r="AC231" i="17"/>
  <c r="AC235" i="17"/>
  <c r="AC239" i="17"/>
  <c r="AC243" i="17"/>
  <c r="AC247" i="17"/>
  <c r="AC251" i="17"/>
  <c r="AC255" i="17"/>
  <c r="AC259" i="17"/>
  <c r="AC263" i="17"/>
  <c r="AC267" i="17"/>
  <c r="AC271" i="17"/>
  <c r="AC275" i="17"/>
  <c r="AC279" i="17"/>
  <c r="AC283" i="17"/>
  <c r="AC287" i="17"/>
  <c r="AC397" i="17"/>
  <c r="AC399" i="17"/>
  <c r="AC401" i="17"/>
  <c r="AC403" i="17"/>
  <c r="AC405" i="17"/>
  <c r="AC407" i="17"/>
  <c r="AC409" i="17"/>
  <c r="AC411" i="17"/>
  <c r="AC415" i="17"/>
  <c r="AC417" i="17"/>
  <c r="AC419" i="17"/>
  <c r="AA12" i="21"/>
  <c r="J1531" i="21"/>
  <c r="M1531" i="21" s="1"/>
  <c r="J1526" i="21"/>
  <c r="M1526" i="21" s="1"/>
  <c r="J1523" i="21"/>
  <c r="M1523" i="21" s="1"/>
  <c r="J1518" i="21"/>
  <c r="M1518" i="21" s="1"/>
  <c r="J1515" i="21"/>
  <c r="M1515" i="21" s="1"/>
  <c r="J1533" i="21"/>
  <c r="M1533" i="21" s="1"/>
  <c r="J1528" i="21"/>
  <c r="M1528" i="21" s="1"/>
  <c r="J1525" i="21"/>
  <c r="M1525" i="21" s="1"/>
  <c r="J1520" i="21"/>
  <c r="M1520" i="21" s="1"/>
  <c r="J1517" i="21"/>
  <c r="M1517" i="21" s="1"/>
  <c r="J1530" i="21"/>
  <c r="M1530" i="21" s="1"/>
  <c r="J1527" i="21"/>
  <c r="M1527" i="21" s="1"/>
  <c r="J1522" i="21"/>
  <c r="M1522" i="21" s="1"/>
  <c r="J1519" i="21"/>
  <c r="M1519" i="21" s="1"/>
  <c r="J1514" i="21"/>
  <c r="M1514" i="21" s="1"/>
  <c r="J1532" i="21"/>
  <c r="M1532" i="21" s="1"/>
  <c r="J1529" i="21"/>
  <c r="M1529" i="21" s="1"/>
  <c r="J1524" i="21"/>
  <c r="M1524" i="21" s="1"/>
  <c r="J1521" i="21"/>
  <c r="M1521" i="21" s="1"/>
  <c r="J1516" i="21"/>
  <c r="M1516" i="21" s="1"/>
  <c r="AC523" i="17"/>
  <c r="AC527" i="17"/>
  <c r="AC531" i="17"/>
  <c r="AC535" i="17"/>
  <c r="AC539" i="17"/>
  <c r="AC543" i="17"/>
  <c r="AC547" i="17"/>
  <c r="AC571" i="17"/>
  <c r="AC575" i="17"/>
  <c r="AC579" i="17"/>
  <c r="AC583" i="17"/>
  <c r="AC587" i="17"/>
  <c r="AD10" i="21"/>
  <c r="AC101" i="17"/>
  <c r="AC105" i="17"/>
  <c r="AC205" i="17"/>
  <c r="AC209" i="17"/>
  <c r="AC3" i="17"/>
  <c r="AC7" i="17"/>
  <c r="AC11" i="17"/>
  <c r="AC15" i="17"/>
  <c r="AC27" i="17"/>
  <c r="AC31" i="17"/>
  <c r="AC35" i="17"/>
  <c r="AC108" i="17"/>
  <c r="AI3" i="17" s="1"/>
  <c r="AC112" i="17"/>
  <c r="AC116" i="17"/>
  <c r="AC120" i="17"/>
  <c r="AC124" i="17"/>
  <c r="AC128" i="17"/>
  <c r="AC132" i="17"/>
  <c r="AC136" i="17"/>
  <c r="AC140" i="17"/>
  <c r="AC144" i="17"/>
  <c r="AC148" i="17"/>
  <c r="AC152" i="17"/>
  <c r="AC156" i="17"/>
  <c r="AC160" i="17"/>
  <c r="AC164" i="17"/>
  <c r="AC168" i="17"/>
  <c r="AC172" i="17"/>
  <c r="AC176" i="17"/>
  <c r="AC180" i="17"/>
  <c r="AC184" i="17"/>
  <c r="AC228" i="17"/>
  <c r="AC232" i="17"/>
  <c r="AC236" i="17"/>
  <c r="AC240" i="17"/>
  <c r="AC244" i="17"/>
  <c r="AC248" i="17"/>
  <c r="AC252" i="17"/>
  <c r="AC256" i="17"/>
  <c r="AC260" i="17"/>
  <c r="AC264" i="17"/>
  <c r="AC268" i="17"/>
  <c r="AC272" i="17"/>
  <c r="AC276" i="17"/>
  <c r="AC280" i="17"/>
  <c r="AC284" i="17"/>
  <c r="AC288" i="17"/>
  <c r="AC292" i="17"/>
  <c r="AC296" i="17"/>
  <c r="AC300" i="17"/>
  <c r="AC304" i="17"/>
  <c r="AC54" i="17"/>
  <c r="AC55" i="17"/>
  <c r="AC56" i="17"/>
  <c r="AC57" i="17"/>
  <c r="AC58" i="17"/>
  <c r="AC60" i="17"/>
  <c r="AC62" i="17"/>
  <c r="AC63" i="17"/>
  <c r="AC67" i="17"/>
  <c r="AC71" i="17"/>
  <c r="AC75" i="17"/>
  <c r="AC79" i="17"/>
  <c r="AC83" i="17"/>
  <c r="AC87" i="17"/>
  <c r="AC91" i="17"/>
  <c r="AC95" i="17"/>
  <c r="AC99" i="17"/>
  <c r="AC216" i="17"/>
  <c r="AC220" i="17"/>
  <c r="AC307" i="17"/>
  <c r="AC308" i="17"/>
  <c r="AC309" i="17"/>
  <c r="AC310" i="17"/>
  <c r="AC311" i="17"/>
  <c r="AC312" i="17"/>
  <c r="AC313" i="17"/>
  <c r="AC314" i="17"/>
  <c r="AC315" i="17"/>
  <c r="AC316" i="17"/>
  <c r="AC317" i="17"/>
  <c r="AC318" i="17"/>
  <c r="AC319" i="17"/>
  <c r="AC320" i="17"/>
  <c r="AC321" i="17"/>
  <c r="AC322" i="17"/>
  <c r="AC323" i="17"/>
  <c r="AC324" i="17"/>
  <c r="AC459" i="17"/>
  <c r="AC463" i="17"/>
  <c r="AC467" i="17"/>
  <c r="AC498" i="17"/>
  <c r="AD11" i="21"/>
  <c r="AC413" i="17"/>
  <c r="AC521" i="17"/>
  <c r="AI8" i="17" s="1"/>
  <c r="AC525" i="17"/>
  <c r="AC529" i="17"/>
  <c r="AC533" i="17"/>
  <c r="AC537" i="17"/>
  <c r="AC541" i="17"/>
  <c r="AC545" i="17"/>
  <c r="AC549" i="17"/>
  <c r="AC553" i="17"/>
  <c r="AC557" i="17"/>
  <c r="AC573" i="17"/>
  <c r="AC577" i="17"/>
  <c r="AC581" i="17"/>
  <c r="AC585" i="17"/>
  <c r="AC589" i="17"/>
  <c r="AD9" i="21"/>
  <c r="AC52" i="17"/>
  <c r="AC53" i="17"/>
  <c r="AC66" i="17"/>
  <c r="AC70" i="17"/>
  <c r="AC74" i="17"/>
  <c r="AC78" i="17"/>
  <c r="AC82" i="17"/>
  <c r="AC86" i="17"/>
  <c r="AC90" i="17"/>
  <c r="AC94" i="17"/>
  <c r="AC98" i="17"/>
  <c r="AC102" i="17"/>
  <c r="AC106" i="17"/>
  <c r="AC206" i="17"/>
  <c r="AC210" i="17"/>
  <c r="AC215" i="17"/>
  <c r="AC219" i="17"/>
  <c r="AC422" i="17"/>
  <c r="AC426" i="17"/>
  <c r="AC430" i="17"/>
  <c r="AC434" i="17"/>
  <c r="AC438" i="17"/>
  <c r="AC442" i="17"/>
  <c r="AC446" i="17"/>
  <c r="AC450" i="17"/>
  <c r="AC454" i="17"/>
  <c r="AC458" i="17"/>
  <c r="AC462" i="17"/>
  <c r="AC466" i="17"/>
  <c r="AC497" i="17"/>
  <c r="AC501" i="17"/>
  <c r="AC502" i="17"/>
  <c r="AC503" i="17"/>
  <c r="AC504" i="17"/>
  <c r="AC505" i="17"/>
  <c r="AC506" i="17"/>
  <c r="AC507" i="17"/>
  <c r="AC508" i="17"/>
  <c r="AC509" i="17"/>
  <c r="AC510" i="17"/>
  <c r="AC511" i="17"/>
  <c r="AC512" i="17"/>
  <c r="AC513" i="17"/>
  <c r="AC514" i="17"/>
  <c r="AC515" i="17"/>
  <c r="AC516" i="17"/>
  <c r="AC517" i="17"/>
  <c r="AC518" i="17"/>
  <c r="AC519" i="17"/>
  <c r="AC669" i="17"/>
  <c r="AC670" i="17"/>
  <c r="AC671" i="17"/>
  <c r="AC672" i="17"/>
  <c r="AC673" i="17"/>
  <c r="P17" i="5"/>
  <c r="U11" i="21"/>
  <c r="P15" i="5"/>
  <c r="E35" i="5"/>
  <c r="AF8" i="21"/>
  <c r="AF13" i="21"/>
  <c r="R12" i="21"/>
  <c r="AF4" i="21"/>
  <c r="AJ6" i="21"/>
  <c r="AI8" i="21"/>
  <c r="F35" i="5"/>
  <c r="D30" i="5" s="1"/>
  <c r="W67" i="6"/>
  <c r="M51" i="11"/>
  <c r="O51" i="11"/>
  <c r="AJ67" i="6"/>
  <c r="AJ65" i="9" s="1"/>
  <c r="M51" i="12"/>
  <c r="O51" i="12"/>
  <c r="AJ8" i="21"/>
  <c r="AJ4" i="21"/>
  <c r="BB83" i="23"/>
  <c r="AX83" i="23"/>
  <c r="AT83" i="23"/>
  <c r="AP83" i="23"/>
  <c r="AL83" i="23"/>
  <c r="BD83" i="23"/>
  <c r="AZ83" i="23"/>
  <c r="AV83" i="23"/>
  <c r="AR83" i="23"/>
  <c r="AN83" i="23"/>
  <c r="AJ83" i="23"/>
  <c r="BC83" i="23"/>
  <c r="AY83" i="23"/>
  <c r="AU83" i="23"/>
  <c r="AQ83" i="23"/>
  <c r="AM83" i="23"/>
  <c r="AI83" i="23"/>
  <c r="BB87" i="23"/>
  <c r="AX87" i="23"/>
  <c r="AT87" i="23"/>
  <c r="AP87" i="23"/>
  <c r="AL87" i="23"/>
  <c r="BA87" i="23"/>
  <c r="AW87" i="23"/>
  <c r="AS87" i="23"/>
  <c r="AO87" i="23"/>
  <c r="AK87" i="23"/>
  <c r="BD87" i="23"/>
  <c r="AZ87" i="23"/>
  <c r="AV87" i="23"/>
  <c r="AR87" i="23"/>
  <c r="AN87" i="23"/>
  <c r="AJ87" i="23"/>
  <c r="BC87" i="23"/>
  <c r="AY87" i="23"/>
  <c r="AU87" i="23"/>
  <c r="AQ87" i="23"/>
  <c r="AM87" i="23"/>
  <c r="AI87" i="23"/>
  <c r="BB91" i="23"/>
  <c r="AX91" i="23"/>
  <c r="AT91" i="23"/>
  <c r="AP91" i="23"/>
  <c r="AL91" i="23"/>
  <c r="BA91" i="23"/>
  <c r="AW91" i="23"/>
  <c r="AS91" i="23"/>
  <c r="AO91" i="23"/>
  <c r="AK91" i="23"/>
  <c r="BD91" i="23"/>
  <c r="AZ91" i="23"/>
  <c r="AV91" i="23"/>
  <c r="AR91" i="23"/>
  <c r="AN91" i="23"/>
  <c r="AJ91" i="23"/>
  <c r="BC91" i="23"/>
  <c r="AY91" i="23"/>
  <c r="AU91" i="23"/>
  <c r="AQ91" i="23"/>
  <c r="AM91" i="23"/>
  <c r="AI91" i="23"/>
  <c r="BD95" i="23"/>
  <c r="AZ95" i="23"/>
  <c r="AV95" i="23"/>
  <c r="AR95" i="23"/>
  <c r="AN95" i="23"/>
  <c r="AJ95" i="23"/>
  <c r="AY95" i="23"/>
  <c r="AT95" i="23"/>
  <c r="AO95" i="23"/>
  <c r="AI95" i="23"/>
  <c r="R95" i="23"/>
  <c r="BC95" i="23"/>
  <c r="AX95" i="23"/>
  <c r="AS95" i="23"/>
  <c r="AM95" i="23"/>
  <c r="BB95" i="23"/>
  <c r="AW95" i="23"/>
  <c r="AQ95" i="23"/>
  <c r="AL95" i="23"/>
  <c r="P95" i="23"/>
  <c r="BA95" i="23"/>
  <c r="AU95" i="23"/>
  <c r="AP95" i="23"/>
  <c r="AK95" i="23"/>
  <c r="BD99" i="23"/>
  <c r="AZ99" i="23"/>
  <c r="AV99" i="23"/>
  <c r="AR99" i="23"/>
  <c r="AN99" i="23"/>
  <c r="AJ99" i="23"/>
  <c r="BC99" i="23"/>
  <c r="AY99" i="23"/>
  <c r="AU99" i="23"/>
  <c r="AQ99" i="23"/>
  <c r="AM99" i="23"/>
  <c r="AI99" i="23"/>
  <c r="BB99" i="23"/>
  <c r="AX99" i="23"/>
  <c r="AT99" i="23"/>
  <c r="AP99" i="23"/>
  <c r="AL99" i="23"/>
  <c r="BA99" i="23"/>
  <c r="AW99" i="23"/>
  <c r="AS99" i="23"/>
  <c r="AO99" i="23"/>
  <c r="AK99" i="23"/>
  <c r="BD103" i="23"/>
  <c r="AZ103" i="23"/>
  <c r="AV103" i="23"/>
  <c r="AR103" i="23"/>
  <c r="BC103" i="23"/>
  <c r="AX103" i="23"/>
  <c r="AS103" i="23"/>
  <c r="AN103" i="23"/>
  <c r="AJ103" i="23"/>
  <c r="BB103" i="23"/>
  <c r="AW103" i="23"/>
  <c r="AQ103" i="23"/>
  <c r="AM103" i="23"/>
  <c r="AI103" i="23"/>
  <c r="R103" i="23"/>
  <c r="BA103" i="23"/>
  <c r="AU103" i="23"/>
  <c r="AP103" i="23"/>
  <c r="AL103" i="23"/>
  <c r="AY103" i="23"/>
  <c r="AT103" i="23"/>
  <c r="AO103" i="23"/>
  <c r="AK103" i="23"/>
  <c r="P103" i="23"/>
  <c r="BD107" i="23"/>
  <c r="AZ107" i="23"/>
  <c r="AV107" i="23"/>
  <c r="AR107" i="23"/>
  <c r="AN107" i="23"/>
  <c r="AJ107" i="23"/>
  <c r="BB107" i="23"/>
  <c r="AW107" i="23"/>
  <c r="AQ107" i="23"/>
  <c r="AL107" i="23"/>
  <c r="AY107" i="23"/>
  <c r="AS107" i="23"/>
  <c r="AK107" i="23"/>
  <c r="AX107" i="23"/>
  <c r="AP107" i="23"/>
  <c r="AI107" i="23"/>
  <c r="BC107" i="23"/>
  <c r="AU107" i="23"/>
  <c r="AO107" i="23"/>
  <c r="BA107" i="23"/>
  <c r="AT107" i="23"/>
  <c r="AM107" i="23"/>
  <c r="BD111" i="23"/>
  <c r="AZ111" i="23"/>
  <c r="AV111" i="23"/>
  <c r="AR111" i="23"/>
  <c r="AN111" i="23"/>
  <c r="AJ111" i="23"/>
  <c r="BB111" i="23"/>
  <c r="AW111" i="23"/>
  <c r="AQ111" i="23"/>
  <c r="AL111" i="23"/>
  <c r="BA111" i="23"/>
  <c r="AT111" i="23"/>
  <c r="AM111" i="23"/>
  <c r="AY111" i="23"/>
  <c r="AS111" i="23"/>
  <c r="AK111" i="23"/>
  <c r="AX111" i="23"/>
  <c r="AP111" i="23"/>
  <c r="AI111" i="23"/>
  <c r="BC111" i="23"/>
  <c r="AU111" i="23"/>
  <c r="AO111" i="23"/>
  <c r="BD115" i="23"/>
  <c r="AZ115" i="23"/>
  <c r="AV115" i="23"/>
  <c r="AR115" i="23"/>
  <c r="AN115" i="23"/>
  <c r="AJ115" i="23"/>
  <c r="BB115" i="23"/>
  <c r="AW115" i="23"/>
  <c r="AQ115" i="23"/>
  <c r="AL115" i="23"/>
  <c r="BA115" i="23"/>
  <c r="AU115" i="23"/>
  <c r="AP115" i="23"/>
  <c r="AK115" i="23"/>
  <c r="AT115" i="23"/>
  <c r="AI115" i="23"/>
  <c r="BC115" i="23"/>
  <c r="AS115" i="23"/>
  <c r="AY115" i="23"/>
  <c r="AO115" i="23"/>
  <c r="AX115" i="23"/>
  <c r="AM115" i="23"/>
  <c r="BD119" i="23"/>
  <c r="AZ119" i="23"/>
  <c r="AV119" i="23"/>
  <c r="AR119" i="23"/>
  <c r="AN119" i="23"/>
  <c r="AJ119" i="23"/>
  <c r="BA119" i="23"/>
  <c r="AW119" i="23"/>
  <c r="AS119" i="23"/>
  <c r="AO119" i="23"/>
  <c r="BB119" i="23"/>
  <c r="AT119" i="23"/>
  <c r="AL119" i="23"/>
  <c r="AY119" i="23"/>
  <c r="AQ119" i="23"/>
  <c r="AK119" i="23"/>
  <c r="AP119" i="23"/>
  <c r="BC119" i="23"/>
  <c r="AM119" i="23"/>
  <c r="AX119" i="23"/>
  <c r="AI119" i="23"/>
  <c r="AU119" i="23"/>
  <c r="BD123" i="23"/>
  <c r="AZ123" i="23"/>
  <c r="AV123" i="23"/>
  <c r="AR123" i="23"/>
  <c r="AN123" i="23"/>
  <c r="AJ123" i="23"/>
  <c r="BA123" i="23"/>
  <c r="AW123" i="23"/>
  <c r="AS123" i="23"/>
  <c r="AO123" i="23"/>
  <c r="AK123" i="23"/>
  <c r="BC123" i="23"/>
  <c r="AU123" i="23"/>
  <c r="AM123" i="23"/>
  <c r="BB123" i="23"/>
  <c r="AT123" i="23"/>
  <c r="AL123" i="23"/>
  <c r="AY123" i="23"/>
  <c r="AQ123" i="23"/>
  <c r="AI123" i="23"/>
  <c r="AX123" i="23"/>
  <c r="AP123" i="23"/>
  <c r="AL68" i="23"/>
  <c r="AP68" i="23"/>
  <c r="AT68" i="23"/>
  <c r="AX68" i="23"/>
  <c r="BB68" i="23"/>
  <c r="AL69" i="23"/>
  <c r="AP69" i="23"/>
  <c r="AT69" i="23"/>
  <c r="AX69" i="23"/>
  <c r="BB69" i="23"/>
  <c r="AL70" i="23"/>
  <c r="AP70" i="23"/>
  <c r="AT70" i="23"/>
  <c r="AX70" i="23"/>
  <c r="BB70" i="23"/>
  <c r="AL71" i="23"/>
  <c r="AP71" i="23"/>
  <c r="AT71" i="23"/>
  <c r="AX71" i="23"/>
  <c r="BB71" i="23"/>
  <c r="AL72" i="23"/>
  <c r="AP72" i="23"/>
  <c r="AT72" i="23"/>
  <c r="AX72" i="23"/>
  <c r="BB72" i="23"/>
  <c r="AL73" i="23"/>
  <c r="AP73" i="23"/>
  <c r="AT73" i="23"/>
  <c r="AX73" i="23"/>
  <c r="BB73" i="23"/>
  <c r="AL75" i="23"/>
  <c r="AP75" i="23"/>
  <c r="AT75" i="23"/>
  <c r="AX75" i="23"/>
  <c r="BB75" i="23"/>
  <c r="AL76" i="23"/>
  <c r="AP76" i="23"/>
  <c r="AT76" i="23"/>
  <c r="AX76" i="23"/>
  <c r="BB76" i="23"/>
  <c r="AL77" i="23"/>
  <c r="AP77" i="23"/>
  <c r="AT77" i="23"/>
  <c r="AX77" i="23"/>
  <c r="BB77" i="23"/>
  <c r="AL78" i="23"/>
  <c r="AP78" i="23"/>
  <c r="AT78" i="23"/>
  <c r="AX78" i="23"/>
  <c r="BB78" i="23"/>
  <c r="AL79" i="23"/>
  <c r="AP79" i="23"/>
  <c r="AT79" i="23"/>
  <c r="AX79" i="23"/>
  <c r="BB79" i="23"/>
  <c r="AI80" i="23"/>
  <c r="AN80" i="23"/>
  <c r="AS80" i="23"/>
  <c r="AY80" i="23"/>
  <c r="AS81" i="23"/>
  <c r="AK83" i="23"/>
  <c r="BA83" i="23"/>
  <c r="BB80" i="23"/>
  <c r="AX80" i="23"/>
  <c r="AT80" i="23"/>
  <c r="AP80" i="23"/>
  <c r="AL80" i="23"/>
  <c r="BB84" i="23"/>
  <c r="AX84" i="23"/>
  <c r="AT84" i="23"/>
  <c r="AP84" i="23"/>
  <c r="AL84" i="23"/>
  <c r="BA84" i="23"/>
  <c r="AW84" i="23"/>
  <c r="BD84" i="23"/>
  <c r="AZ84" i="23"/>
  <c r="AV84" i="23"/>
  <c r="AR84" i="23"/>
  <c r="AN84" i="23"/>
  <c r="AJ84" i="23"/>
  <c r="BC84" i="23"/>
  <c r="AY84" i="23"/>
  <c r="AU84" i="23"/>
  <c r="AQ84" i="23"/>
  <c r="AM84" i="23"/>
  <c r="AI84" i="23"/>
  <c r="BB88" i="23"/>
  <c r="AX88" i="23"/>
  <c r="AT88" i="23"/>
  <c r="AP88" i="23"/>
  <c r="AL88" i="23"/>
  <c r="BA88" i="23"/>
  <c r="AW88" i="23"/>
  <c r="AS88" i="23"/>
  <c r="AO88" i="23"/>
  <c r="AK88" i="23"/>
  <c r="BD88" i="23"/>
  <c r="AZ88" i="23"/>
  <c r="AV88" i="23"/>
  <c r="AR88" i="23"/>
  <c r="AN88" i="23"/>
  <c r="AJ88" i="23"/>
  <c r="BC88" i="23"/>
  <c r="AY88" i="23"/>
  <c r="AU88" i="23"/>
  <c r="AQ88" i="23"/>
  <c r="AM88" i="23"/>
  <c r="AI88" i="23"/>
  <c r="BB92" i="23"/>
  <c r="AX92" i="23"/>
  <c r="AT92" i="23"/>
  <c r="AP92" i="23"/>
  <c r="AL92" i="23"/>
  <c r="BA92" i="23"/>
  <c r="AW92" i="23"/>
  <c r="AS92" i="23"/>
  <c r="AO92" i="23"/>
  <c r="AK92" i="23"/>
  <c r="BD92" i="23"/>
  <c r="AZ92" i="23"/>
  <c r="AV92" i="23"/>
  <c r="AR92" i="23"/>
  <c r="AN92" i="23"/>
  <c r="AJ92" i="23"/>
  <c r="BC92" i="23"/>
  <c r="AY92" i="23"/>
  <c r="AU92" i="23"/>
  <c r="AQ92" i="23"/>
  <c r="AM92" i="23"/>
  <c r="AI92" i="23"/>
  <c r="BD96" i="23"/>
  <c r="AZ96" i="23"/>
  <c r="AV96" i="23"/>
  <c r="AR96" i="23"/>
  <c r="AN96" i="23"/>
  <c r="AJ96" i="23"/>
  <c r="BC96" i="23"/>
  <c r="AX96" i="23"/>
  <c r="AS96" i="23"/>
  <c r="AM96" i="23"/>
  <c r="BB96" i="23"/>
  <c r="AW96" i="23"/>
  <c r="AQ96" i="23"/>
  <c r="AL96" i="23"/>
  <c r="P96" i="23"/>
  <c r="BA96" i="23"/>
  <c r="AU96" i="23"/>
  <c r="AP96" i="23"/>
  <c r="AK96" i="23"/>
  <c r="AY96" i="23"/>
  <c r="AT96" i="23"/>
  <c r="AO96" i="23"/>
  <c r="AI96" i="23"/>
  <c r="R96" i="23"/>
  <c r="BD100" i="23"/>
  <c r="AZ100" i="23"/>
  <c r="AV100" i="23"/>
  <c r="AR100" i="23"/>
  <c r="AN100" i="23"/>
  <c r="AJ100" i="23"/>
  <c r="BC100" i="23"/>
  <c r="AY100" i="23"/>
  <c r="AU100" i="23"/>
  <c r="AQ100" i="23"/>
  <c r="AM100" i="23"/>
  <c r="AI100" i="23"/>
  <c r="R100" i="23"/>
  <c r="BB100" i="23"/>
  <c r="AX100" i="23"/>
  <c r="AT100" i="23"/>
  <c r="AP100" i="23"/>
  <c r="AL100" i="23"/>
  <c r="BA100" i="23"/>
  <c r="AW100" i="23"/>
  <c r="AS100" i="23"/>
  <c r="AO100" i="23"/>
  <c r="AK100" i="23"/>
  <c r="P100" i="23"/>
  <c r="BD104" i="23"/>
  <c r="AZ104" i="23"/>
  <c r="AV104" i="23"/>
  <c r="AR104" i="23"/>
  <c r="AN104" i="23"/>
  <c r="AJ104" i="23"/>
  <c r="BB104" i="23"/>
  <c r="AW104" i="23"/>
  <c r="AQ104" i="23"/>
  <c r="AL104" i="23"/>
  <c r="BA104" i="23"/>
  <c r="AU104" i="23"/>
  <c r="AP104" i="23"/>
  <c r="AK104" i="23"/>
  <c r="AY104" i="23"/>
  <c r="AT104" i="23"/>
  <c r="AO104" i="23"/>
  <c r="AI104" i="23"/>
  <c r="BC104" i="23"/>
  <c r="AX104" i="23"/>
  <c r="AS104" i="23"/>
  <c r="AM104" i="23"/>
  <c r="BD108" i="23"/>
  <c r="AZ108" i="23"/>
  <c r="AV108" i="23"/>
  <c r="AR108" i="23"/>
  <c r="AN108" i="23"/>
  <c r="AJ108" i="23"/>
  <c r="BA108" i="23"/>
  <c r="AU108" i="23"/>
  <c r="AP108" i="23"/>
  <c r="AK108" i="23"/>
  <c r="AX108" i="23"/>
  <c r="AQ108" i="23"/>
  <c r="AI108" i="23"/>
  <c r="BC108" i="23"/>
  <c r="AW108" i="23"/>
  <c r="AO108" i="23"/>
  <c r="BB108" i="23"/>
  <c r="AT108" i="23"/>
  <c r="AM108" i="23"/>
  <c r="AY108" i="23"/>
  <c r="AS108" i="23"/>
  <c r="AL108" i="23"/>
  <c r="BD112" i="23"/>
  <c r="AZ112" i="23"/>
  <c r="AV112" i="23"/>
  <c r="AR112" i="23"/>
  <c r="AN112" i="23"/>
  <c r="AJ112" i="23"/>
  <c r="BA112" i="23"/>
  <c r="AU112" i="23"/>
  <c r="AP112" i="23"/>
  <c r="AK112" i="23"/>
  <c r="AY112" i="23"/>
  <c r="AT112" i="23"/>
  <c r="AO112" i="23"/>
  <c r="AI112" i="23"/>
  <c r="AX112" i="23"/>
  <c r="AM112" i="23"/>
  <c r="AW112" i="23"/>
  <c r="AL112" i="23"/>
  <c r="BC112" i="23"/>
  <c r="AS112" i="23"/>
  <c r="BB112" i="23"/>
  <c r="AQ112" i="23"/>
  <c r="BD116" i="23"/>
  <c r="AZ116" i="23"/>
  <c r="AV116" i="23"/>
  <c r="AR116" i="23"/>
  <c r="AN116" i="23"/>
  <c r="AJ116" i="23"/>
  <c r="BA116" i="23"/>
  <c r="AU116" i="23"/>
  <c r="AP116" i="23"/>
  <c r="AK116" i="23"/>
  <c r="AY116" i="23"/>
  <c r="AT116" i="23"/>
  <c r="AO116" i="23"/>
  <c r="AI116" i="23"/>
  <c r="BC116" i="23"/>
  <c r="AS116" i="23"/>
  <c r="BB116" i="23"/>
  <c r="AQ116" i="23"/>
  <c r="AX116" i="23"/>
  <c r="AM116" i="23"/>
  <c r="AW116" i="23"/>
  <c r="AL116" i="23"/>
  <c r="BD120" i="23"/>
  <c r="AZ120" i="23"/>
  <c r="AV120" i="23"/>
  <c r="AR120" i="23"/>
  <c r="AN120" i="23"/>
  <c r="AJ120" i="23"/>
  <c r="BA120" i="23"/>
  <c r="AW120" i="23"/>
  <c r="AS120" i="23"/>
  <c r="AO120" i="23"/>
  <c r="AK120" i="23"/>
  <c r="AX120" i="23"/>
  <c r="AP120" i="23"/>
  <c r="BC120" i="23"/>
  <c r="AU120" i="23"/>
  <c r="AM120" i="23"/>
  <c r="AT120" i="23"/>
  <c r="AQ120" i="23"/>
  <c r="BB120" i="23"/>
  <c r="AL120" i="23"/>
  <c r="AY120" i="23"/>
  <c r="AI120" i="23"/>
  <c r="BB124" i="23"/>
  <c r="AX124" i="23"/>
  <c r="AT124" i="23"/>
  <c r="BA124" i="23"/>
  <c r="AW124" i="23"/>
  <c r="AS124" i="23"/>
  <c r="AO124" i="23"/>
  <c r="BC124" i="23"/>
  <c r="AU124" i="23"/>
  <c r="AN124" i="23"/>
  <c r="AJ124" i="23"/>
  <c r="BD124" i="23"/>
  <c r="AV124" i="23"/>
  <c r="AP124" i="23"/>
  <c r="AK124" i="23"/>
  <c r="AR124" i="23"/>
  <c r="AI124" i="23"/>
  <c r="AQ124" i="23"/>
  <c r="AZ124" i="23"/>
  <c r="AM124" i="23"/>
  <c r="AY124" i="23"/>
  <c r="AL124" i="23"/>
  <c r="AI68" i="23"/>
  <c r="AM68" i="23"/>
  <c r="AQ68" i="23"/>
  <c r="AU68" i="23"/>
  <c r="AY68" i="23"/>
  <c r="BC68" i="23"/>
  <c r="AI69" i="23"/>
  <c r="AM69" i="23"/>
  <c r="AQ69" i="23"/>
  <c r="AU69" i="23"/>
  <c r="AY69" i="23"/>
  <c r="BC69" i="23"/>
  <c r="AI70" i="23"/>
  <c r="AM70" i="23"/>
  <c r="AQ70" i="23"/>
  <c r="AU70" i="23"/>
  <c r="AY70" i="23"/>
  <c r="BC70" i="23"/>
  <c r="AI71" i="23"/>
  <c r="AM71" i="23"/>
  <c r="AQ71" i="23"/>
  <c r="AU71" i="23"/>
  <c r="AY71" i="23"/>
  <c r="BC71" i="23"/>
  <c r="AI72" i="23"/>
  <c r="AM72" i="23"/>
  <c r="AQ72" i="23"/>
  <c r="AU72" i="23"/>
  <c r="AY72" i="23"/>
  <c r="BC72" i="23"/>
  <c r="AI73" i="23"/>
  <c r="AM73" i="23"/>
  <c r="AQ73" i="23"/>
  <c r="AU73" i="23"/>
  <c r="AY73" i="23"/>
  <c r="BC73" i="23"/>
  <c r="AI75" i="23"/>
  <c r="AM75" i="23"/>
  <c r="AQ75" i="23"/>
  <c r="AU75" i="23"/>
  <c r="AY75" i="23"/>
  <c r="BC75" i="23"/>
  <c r="AI76" i="23"/>
  <c r="AM76" i="23"/>
  <c r="AQ76" i="23"/>
  <c r="AU76" i="23"/>
  <c r="AY76" i="23"/>
  <c r="BC76" i="23"/>
  <c r="AI77" i="23"/>
  <c r="AM77" i="23"/>
  <c r="AQ77" i="23"/>
  <c r="AU77" i="23"/>
  <c r="AY77" i="23"/>
  <c r="BC77" i="23"/>
  <c r="AI78" i="23"/>
  <c r="AM78" i="23"/>
  <c r="AQ78" i="23"/>
  <c r="AU78" i="23"/>
  <c r="AY78" i="23"/>
  <c r="BC78" i="23"/>
  <c r="AI79" i="23"/>
  <c r="AM79" i="23"/>
  <c r="AQ79" i="23"/>
  <c r="AU79" i="23"/>
  <c r="AY79" i="23"/>
  <c r="BC79" i="23"/>
  <c r="AJ80" i="23"/>
  <c r="AO80" i="23"/>
  <c r="AU80" i="23"/>
  <c r="AZ80" i="23"/>
  <c r="AB81" i="23"/>
  <c r="AI81" i="23"/>
  <c r="AO83" i="23"/>
  <c r="AS84" i="23"/>
  <c r="BB81" i="23"/>
  <c r="AX81" i="23"/>
  <c r="AT81" i="23"/>
  <c r="AP81" i="23"/>
  <c r="AL81" i="23"/>
  <c r="BD81" i="23"/>
  <c r="AZ81" i="23"/>
  <c r="AV81" i="23"/>
  <c r="AR81" i="23"/>
  <c r="AN81" i="23"/>
  <c r="AJ81" i="23"/>
  <c r="BC81" i="23"/>
  <c r="AY81" i="23"/>
  <c r="AU81" i="23"/>
  <c r="AQ81" i="23"/>
  <c r="AM81" i="23"/>
  <c r="BB85" i="23"/>
  <c r="AX85" i="23"/>
  <c r="AT85" i="23"/>
  <c r="AP85" i="23"/>
  <c r="AL85" i="23"/>
  <c r="BA85" i="23"/>
  <c r="AW85" i="23"/>
  <c r="AS85" i="23"/>
  <c r="AO85" i="23"/>
  <c r="AK85" i="23"/>
  <c r="BD85" i="23"/>
  <c r="AZ85" i="23"/>
  <c r="AV85" i="23"/>
  <c r="AR85" i="23"/>
  <c r="AN85" i="23"/>
  <c r="AJ85" i="23"/>
  <c r="BC85" i="23"/>
  <c r="AY85" i="23"/>
  <c r="AU85" i="23"/>
  <c r="AQ85" i="23"/>
  <c r="AM85" i="23"/>
  <c r="AI85" i="23"/>
  <c r="BB89" i="23"/>
  <c r="AX89" i="23"/>
  <c r="AT89" i="23"/>
  <c r="AP89" i="23"/>
  <c r="AL89" i="23"/>
  <c r="BA89" i="23"/>
  <c r="AW89" i="23"/>
  <c r="AS89" i="23"/>
  <c r="AO89" i="23"/>
  <c r="AK89" i="23"/>
  <c r="BD89" i="23"/>
  <c r="AZ89" i="23"/>
  <c r="AV89" i="23"/>
  <c r="AR89" i="23"/>
  <c r="AN89" i="23"/>
  <c r="AJ89" i="23"/>
  <c r="BC89" i="23"/>
  <c r="AY89" i="23"/>
  <c r="AU89" i="23"/>
  <c r="AQ89" i="23"/>
  <c r="AM89" i="23"/>
  <c r="AI89" i="23"/>
  <c r="BB93" i="23"/>
  <c r="AX93" i="23"/>
  <c r="AT93" i="23"/>
  <c r="AP93" i="23"/>
  <c r="AL93" i="23"/>
  <c r="BA93" i="23"/>
  <c r="AW93" i="23"/>
  <c r="AS93" i="23"/>
  <c r="AO93" i="23"/>
  <c r="AK93" i="23"/>
  <c r="BD93" i="23"/>
  <c r="AZ93" i="23"/>
  <c r="AV93" i="23"/>
  <c r="AR93" i="23"/>
  <c r="AN93" i="23"/>
  <c r="AJ93" i="23"/>
  <c r="BC93" i="23"/>
  <c r="AY93" i="23"/>
  <c r="AU93" i="23"/>
  <c r="AQ93" i="23"/>
  <c r="AM93" i="23"/>
  <c r="AI93" i="23"/>
  <c r="BD97" i="23"/>
  <c r="AZ97" i="23"/>
  <c r="AV97" i="23"/>
  <c r="AR97" i="23"/>
  <c r="AN97" i="23"/>
  <c r="AJ97" i="23"/>
  <c r="BB97" i="23"/>
  <c r="AX97" i="23"/>
  <c r="AT97" i="23"/>
  <c r="AP97" i="23"/>
  <c r="AL97" i="23"/>
  <c r="BA97" i="23"/>
  <c r="AW97" i="23"/>
  <c r="AS97" i="23"/>
  <c r="AO97" i="23"/>
  <c r="AK97" i="23"/>
  <c r="AY97" i="23"/>
  <c r="AI97" i="23"/>
  <c r="P97" i="23"/>
  <c r="AU97" i="23"/>
  <c r="AQ97" i="23"/>
  <c r="R97" i="23"/>
  <c r="BC97" i="23"/>
  <c r="AM97" i="23"/>
  <c r="BD101" i="23"/>
  <c r="AZ101" i="23"/>
  <c r="AV101" i="23"/>
  <c r="AR101" i="23"/>
  <c r="AN101" i="23"/>
  <c r="AJ101" i="23"/>
  <c r="BC101" i="23"/>
  <c r="AY101" i="23"/>
  <c r="AU101" i="23"/>
  <c r="AQ101" i="23"/>
  <c r="AM101" i="23"/>
  <c r="AI101" i="23"/>
  <c r="R101" i="23"/>
  <c r="BB101" i="23"/>
  <c r="AX101" i="23"/>
  <c r="AT101" i="23"/>
  <c r="AP101" i="23"/>
  <c r="AL101" i="23"/>
  <c r="BA101" i="23"/>
  <c r="AW101" i="23"/>
  <c r="AS101" i="23"/>
  <c r="AO101" i="23"/>
  <c r="AK101" i="23"/>
  <c r="P101" i="23"/>
  <c r="BD105" i="23"/>
  <c r="AZ105" i="23"/>
  <c r="AV105" i="23"/>
  <c r="AR105" i="23"/>
  <c r="AN105" i="23"/>
  <c r="AJ105" i="23"/>
  <c r="BA105" i="23"/>
  <c r="AU105" i="23"/>
  <c r="AP105" i="23"/>
  <c r="AK105" i="23"/>
  <c r="AY105" i="23"/>
  <c r="AT105" i="23"/>
  <c r="AO105" i="23"/>
  <c r="AI105" i="23"/>
  <c r="BC105" i="23"/>
  <c r="AX105" i="23"/>
  <c r="AS105" i="23"/>
  <c r="AM105" i="23"/>
  <c r="BB105" i="23"/>
  <c r="AW105" i="23"/>
  <c r="AQ105" i="23"/>
  <c r="AL105" i="23"/>
  <c r="BD109" i="23"/>
  <c r="AZ109" i="23"/>
  <c r="AV109" i="23"/>
  <c r="AR109" i="23"/>
  <c r="AN109" i="23"/>
  <c r="AJ109" i="23"/>
  <c r="AY109" i="23"/>
  <c r="AT109" i="23"/>
  <c r="AO109" i="23"/>
  <c r="AI109" i="23"/>
  <c r="BC109" i="23"/>
  <c r="AW109" i="23"/>
  <c r="AP109" i="23"/>
  <c r="BB109" i="23"/>
  <c r="AU109" i="23"/>
  <c r="AM109" i="23"/>
  <c r="BA109" i="23"/>
  <c r="AS109" i="23"/>
  <c r="AL109" i="23"/>
  <c r="AX109" i="23"/>
  <c r="AQ109" i="23"/>
  <c r="AK109" i="23"/>
  <c r="BD113" i="23"/>
  <c r="AZ113" i="23"/>
  <c r="AV113" i="23"/>
  <c r="AR113" i="23"/>
  <c r="AN113" i="23"/>
  <c r="AJ113" i="23"/>
  <c r="AY113" i="23"/>
  <c r="AT113" i="23"/>
  <c r="AO113" i="23"/>
  <c r="AI113" i="23"/>
  <c r="BC113" i="23"/>
  <c r="AX113" i="23"/>
  <c r="AS113" i="23"/>
  <c r="AM113" i="23"/>
  <c r="AW113" i="23"/>
  <c r="AL113" i="23"/>
  <c r="AU113" i="23"/>
  <c r="AK113" i="23"/>
  <c r="BB113" i="23"/>
  <c r="AQ113" i="23"/>
  <c r="BA113" i="23"/>
  <c r="AP113" i="23"/>
  <c r="BD117" i="23"/>
  <c r="AZ117" i="23"/>
  <c r="AV117" i="23"/>
  <c r="AR117" i="23"/>
  <c r="AN117" i="23"/>
  <c r="AJ117" i="23"/>
  <c r="AY117" i="23"/>
  <c r="AT117" i="23"/>
  <c r="AO117" i="23"/>
  <c r="AI117" i="23"/>
  <c r="BC117" i="23"/>
  <c r="AX117" i="23"/>
  <c r="AS117" i="23"/>
  <c r="AM117" i="23"/>
  <c r="BB117" i="23"/>
  <c r="AQ117" i="23"/>
  <c r="BA117" i="23"/>
  <c r="AP117" i="23"/>
  <c r="AW117" i="23"/>
  <c r="AL117" i="23"/>
  <c r="AU117" i="23"/>
  <c r="AK117" i="23"/>
  <c r="BD121" i="23"/>
  <c r="AZ121" i="23"/>
  <c r="AV121" i="23"/>
  <c r="AR121" i="23"/>
  <c r="AN121" i="23"/>
  <c r="AJ121" i="23"/>
  <c r="BA121" i="23"/>
  <c r="AW121" i="23"/>
  <c r="AS121" i="23"/>
  <c r="AO121" i="23"/>
  <c r="AK121" i="23"/>
  <c r="BC121" i="23"/>
  <c r="AU121" i="23"/>
  <c r="AM121" i="23"/>
  <c r="BB121" i="23"/>
  <c r="AT121" i="23"/>
  <c r="AL121" i="23"/>
  <c r="AY121" i="23"/>
  <c r="AQ121" i="23"/>
  <c r="AI121" i="23"/>
  <c r="AX121" i="23"/>
  <c r="AP121" i="23"/>
  <c r="BB125" i="23"/>
  <c r="AX125" i="23"/>
  <c r="AT125" i="23"/>
  <c r="AP125" i="23"/>
  <c r="AL125" i="23"/>
  <c r="BA125" i="23"/>
  <c r="AW125" i="23"/>
  <c r="AS125" i="23"/>
  <c r="AO125" i="23"/>
  <c r="AK125" i="23"/>
  <c r="AY125" i="23"/>
  <c r="AQ125" i="23"/>
  <c r="AI125" i="23"/>
  <c r="AZ125" i="23"/>
  <c r="AR125" i="23"/>
  <c r="AJ125" i="23"/>
  <c r="AV125" i="23"/>
  <c r="AU125" i="23"/>
  <c r="BD125" i="23"/>
  <c r="AN125" i="23"/>
  <c r="BC125" i="23"/>
  <c r="AM125" i="23"/>
  <c r="AJ68" i="23"/>
  <c r="AN68" i="23"/>
  <c r="AR68" i="23"/>
  <c r="AV68" i="23"/>
  <c r="AZ68" i="23"/>
  <c r="BD68" i="23"/>
  <c r="AJ69" i="23"/>
  <c r="AN69" i="23"/>
  <c r="AR69" i="23"/>
  <c r="AV69" i="23"/>
  <c r="AZ69" i="23"/>
  <c r="BD69" i="23"/>
  <c r="AJ70" i="23"/>
  <c r="AN70" i="23"/>
  <c r="AR70" i="23"/>
  <c r="AV70" i="23"/>
  <c r="AZ70" i="23"/>
  <c r="BD70" i="23"/>
  <c r="AJ71" i="23"/>
  <c r="AN71" i="23"/>
  <c r="AR71" i="23"/>
  <c r="AV71" i="23"/>
  <c r="AZ71" i="23"/>
  <c r="BD71" i="23"/>
  <c r="AJ72" i="23"/>
  <c r="AN72" i="23"/>
  <c r="AR72" i="23"/>
  <c r="AV72" i="23"/>
  <c r="AZ72" i="23"/>
  <c r="BD72" i="23"/>
  <c r="AJ73" i="23"/>
  <c r="AN73" i="23"/>
  <c r="AR73" i="23"/>
  <c r="AV73" i="23"/>
  <c r="AZ73" i="23"/>
  <c r="BD73" i="23"/>
  <c r="AJ75" i="23"/>
  <c r="AN75" i="23"/>
  <c r="AR75" i="23"/>
  <c r="AV75" i="23"/>
  <c r="AZ75" i="23"/>
  <c r="BD75" i="23"/>
  <c r="AJ76" i="23"/>
  <c r="AN76" i="23"/>
  <c r="AR76" i="23"/>
  <c r="AV76" i="23"/>
  <c r="AZ76" i="23"/>
  <c r="BD76" i="23"/>
  <c r="AJ77" i="23"/>
  <c r="AN77" i="23"/>
  <c r="AR77" i="23"/>
  <c r="AV77" i="23"/>
  <c r="AZ77" i="23"/>
  <c r="BD77" i="23"/>
  <c r="AJ78" i="23"/>
  <c r="AN78" i="23"/>
  <c r="AR78" i="23"/>
  <c r="AV78" i="23"/>
  <c r="AZ78" i="23"/>
  <c r="BD78" i="23"/>
  <c r="AJ79" i="23"/>
  <c r="AN79" i="23"/>
  <c r="AR79" i="23"/>
  <c r="AV79" i="23"/>
  <c r="AZ79" i="23"/>
  <c r="BD79" i="23"/>
  <c r="AK80" i="23"/>
  <c r="AQ80" i="23"/>
  <c r="AV80" i="23"/>
  <c r="BA80" i="23"/>
  <c r="AK81" i="23"/>
  <c r="BA81" i="23"/>
  <c r="AS83" i="23"/>
  <c r="BB86" i="23"/>
  <c r="AX86" i="23"/>
  <c r="AT86" i="23"/>
  <c r="AP86" i="23"/>
  <c r="AL86" i="23"/>
  <c r="BA86" i="23"/>
  <c r="AW86" i="23"/>
  <c r="AS86" i="23"/>
  <c r="AO86" i="23"/>
  <c r="AK86" i="23"/>
  <c r="BD86" i="23"/>
  <c r="AZ86" i="23"/>
  <c r="AV86" i="23"/>
  <c r="AR86" i="23"/>
  <c r="AN86" i="23"/>
  <c r="AJ86" i="23"/>
  <c r="BC86" i="23"/>
  <c r="AY86" i="23"/>
  <c r="AU86" i="23"/>
  <c r="AQ86" i="23"/>
  <c r="AM86" i="23"/>
  <c r="AI86" i="23"/>
  <c r="BB90" i="23"/>
  <c r="AX90" i="23"/>
  <c r="AT90" i="23"/>
  <c r="AP90" i="23"/>
  <c r="AL90" i="23"/>
  <c r="BA90" i="23"/>
  <c r="AW90" i="23"/>
  <c r="AS90" i="23"/>
  <c r="AO90" i="23"/>
  <c r="AK90" i="23"/>
  <c r="BD90" i="23"/>
  <c r="AZ90" i="23"/>
  <c r="AV90" i="23"/>
  <c r="AR90" i="23"/>
  <c r="AN90" i="23"/>
  <c r="AJ90" i="23"/>
  <c r="BC90" i="23"/>
  <c r="AY90" i="23"/>
  <c r="AU90" i="23"/>
  <c r="AQ90" i="23"/>
  <c r="AM90" i="23"/>
  <c r="AI90" i="23"/>
  <c r="BD94" i="23"/>
  <c r="AZ94" i="23"/>
  <c r="AV94" i="23"/>
  <c r="AR94" i="23"/>
  <c r="BA94" i="23"/>
  <c r="AU94" i="23"/>
  <c r="AP94" i="23"/>
  <c r="AL94" i="23"/>
  <c r="AY94" i="23"/>
  <c r="AT94" i="23"/>
  <c r="AO94" i="23"/>
  <c r="AK94" i="23"/>
  <c r="BC94" i="23"/>
  <c r="AX94" i="23"/>
  <c r="AS94" i="23"/>
  <c r="AN94" i="23"/>
  <c r="AJ94" i="23"/>
  <c r="BB94" i="23"/>
  <c r="AW94" i="23"/>
  <c r="AQ94" i="23"/>
  <c r="AM94" i="23"/>
  <c r="AI94" i="23"/>
  <c r="BD98" i="23"/>
  <c r="AZ98" i="23"/>
  <c r="AV98" i="23"/>
  <c r="AR98" i="23"/>
  <c r="AN98" i="23"/>
  <c r="AJ98" i="23"/>
  <c r="BC98" i="23"/>
  <c r="AY98" i="23"/>
  <c r="BB98" i="23"/>
  <c r="AX98" i="23"/>
  <c r="AT98" i="23"/>
  <c r="AP98" i="23"/>
  <c r="AL98" i="23"/>
  <c r="BA98" i="23"/>
  <c r="AW98" i="23"/>
  <c r="AS98" i="23"/>
  <c r="AO98" i="23"/>
  <c r="AK98" i="23"/>
  <c r="P98" i="23"/>
  <c r="AM98" i="23"/>
  <c r="AI98" i="23"/>
  <c r="R98" i="23"/>
  <c r="AU98" i="23"/>
  <c r="AQ98" i="23"/>
  <c r="BD102" i="23"/>
  <c r="AZ102" i="23"/>
  <c r="AV102" i="23"/>
  <c r="AR102" i="23"/>
  <c r="AN102" i="23"/>
  <c r="AJ102" i="23"/>
  <c r="BC102" i="23"/>
  <c r="AY102" i="23"/>
  <c r="AU102" i="23"/>
  <c r="AQ102" i="23"/>
  <c r="AM102" i="23"/>
  <c r="AI102" i="23"/>
  <c r="R102" i="23"/>
  <c r="BB102" i="23"/>
  <c r="AX102" i="23"/>
  <c r="AT102" i="23"/>
  <c r="AP102" i="23"/>
  <c r="AL102" i="23"/>
  <c r="BA102" i="23"/>
  <c r="AW102" i="23"/>
  <c r="AS102" i="23"/>
  <c r="AO102" i="23"/>
  <c r="AK102" i="23"/>
  <c r="P102" i="23"/>
  <c r="BD106" i="23"/>
  <c r="AZ106" i="23"/>
  <c r="AV106" i="23"/>
  <c r="AR106" i="23"/>
  <c r="AN106" i="23"/>
  <c r="AJ106" i="23"/>
  <c r="BC106" i="23"/>
  <c r="AX106" i="23"/>
  <c r="AS106" i="23"/>
  <c r="AM106" i="23"/>
  <c r="BA106" i="23"/>
  <c r="AT106" i="23"/>
  <c r="AL106" i="23"/>
  <c r="AY106" i="23"/>
  <c r="AQ106" i="23"/>
  <c r="AK106" i="23"/>
  <c r="AW106" i="23"/>
  <c r="AP106" i="23"/>
  <c r="AI106" i="23"/>
  <c r="BB106" i="23"/>
  <c r="AU106" i="23"/>
  <c r="AO106" i="23"/>
  <c r="BD110" i="23"/>
  <c r="AZ110" i="23"/>
  <c r="AV110" i="23"/>
  <c r="AR110" i="23"/>
  <c r="AN110" i="23"/>
  <c r="AJ110" i="23"/>
  <c r="BC110" i="23"/>
  <c r="AX110" i="23"/>
  <c r="AS110" i="23"/>
  <c r="AM110" i="23"/>
  <c r="BB110" i="23"/>
  <c r="AU110" i="23"/>
  <c r="AO110" i="23"/>
  <c r="BA110" i="23"/>
  <c r="AT110" i="23"/>
  <c r="AL110" i="23"/>
  <c r="AY110" i="23"/>
  <c r="AQ110" i="23"/>
  <c r="AK110" i="23"/>
  <c r="AW110" i="23"/>
  <c r="AP110" i="23"/>
  <c r="AI110" i="23"/>
  <c r="BD114" i="23"/>
  <c r="AZ114" i="23"/>
  <c r="AV114" i="23"/>
  <c r="AR114" i="23"/>
  <c r="AN114" i="23"/>
  <c r="AJ114" i="23"/>
  <c r="BC114" i="23"/>
  <c r="AX114" i="23"/>
  <c r="AS114" i="23"/>
  <c r="AM114" i="23"/>
  <c r="BB114" i="23"/>
  <c r="AW114" i="23"/>
  <c r="AQ114" i="23"/>
  <c r="AL114" i="23"/>
  <c r="AU114" i="23"/>
  <c r="AK114" i="23"/>
  <c r="AT114" i="23"/>
  <c r="AI114" i="23"/>
  <c r="BA114" i="23"/>
  <c r="AP114" i="23"/>
  <c r="AY114" i="23"/>
  <c r="AO114" i="23"/>
  <c r="BD118" i="23"/>
  <c r="AZ118" i="23"/>
  <c r="AV118" i="23"/>
  <c r="AR118" i="23"/>
  <c r="AN118" i="23"/>
  <c r="AJ118" i="23"/>
  <c r="BC118" i="23"/>
  <c r="AX118" i="23"/>
  <c r="AS118" i="23"/>
  <c r="AM118" i="23"/>
  <c r="BB118" i="23"/>
  <c r="AW118" i="23"/>
  <c r="AQ118" i="23"/>
  <c r="AL118" i="23"/>
  <c r="BA118" i="23"/>
  <c r="AP118" i="23"/>
  <c r="AY118" i="23"/>
  <c r="AO118" i="23"/>
  <c r="AU118" i="23"/>
  <c r="AK118" i="23"/>
  <c r="AT118" i="23"/>
  <c r="AI118" i="23"/>
  <c r="BD122" i="23"/>
  <c r="AZ122" i="23"/>
  <c r="AV122" i="23"/>
  <c r="AR122" i="23"/>
  <c r="AN122" i="23"/>
  <c r="AJ122" i="23"/>
  <c r="BA122" i="23"/>
  <c r="AW122" i="23"/>
  <c r="AS122" i="23"/>
  <c r="AO122" i="23"/>
  <c r="AK122" i="23"/>
  <c r="AY122" i="23"/>
  <c r="AQ122" i="23"/>
  <c r="AI122" i="23"/>
  <c r="AX122" i="23"/>
  <c r="AP122" i="23"/>
  <c r="BC122" i="23"/>
  <c r="AU122" i="23"/>
  <c r="AM122" i="23"/>
  <c r="AT122" i="23"/>
  <c r="AL122" i="23"/>
  <c r="BB122" i="23"/>
  <c r="AK68" i="23"/>
  <c r="AO68" i="23"/>
  <c r="AS68" i="23"/>
  <c r="AW68" i="23"/>
  <c r="AK69" i="23"/>
  <c r="AO69" i="23"/>
  <c r="AS69" i="23"/>
  <c r="AW69" i="23"/>
  <c r="AK70" i="23"/>
  <c r="AO70" i="23"/>
  <c r="AS70" i="23"/>
  <c r="AW70" i="23"/>
  <c r="AK71" i="23"/>
  <c r="AO71" i="23"/>
  <c r="AS71" i="23"/>
  <c r="AW71" i="23"/>
  <c r="AB72" i="23"/>
  <c r="AK72" i="23"/>
  <c r="AO72" i="23"/>
  <c r="AS72" i="23"/>
  <c r="AW72" i="23"/>
  <c r="AB73" i="23"/>
  <c r="AK73" i="23"/>
  <c r="AO73" i="23"/>
  <c r="AS73" i="23"/>
  <c r="AW73" i="23"/>
  <c r="AK75" i="23"/>
  <c r="AO75" i="23"/>
  <c r="AS75" i="23"/>
  <c r="AW75" i="23"/>
  <c r="AK76" i="23"/>
  <c r="AO76" i="23"/>
  <c r="AS76" i="23"/>
  <c r="AW76" i="23"/>
  <c r="AK77" i="23"/>
  <c r="AO77" i="23"/>
  <c r="AS77" i="23"/>
  <c r="AW77" i="23"/>
  <c r="AK78" i="23"/>
  <c r="AO78" i="23"/>
  <c r="AS78" i="23"/>
  <c r="AW78" i="23"/>
  <c r="AK79" i="23"/>
  <c r="AO79" i="23"/>
  <c r="AS79" i="23"/>
  <c r="AW79" i="23"/>
  <c r="AB80" i="23"/>
  <c r="AM80" i="23"/>
  <c r="AR80" i="23"/>
  <c r="AW80" i="23"/>
  <c r="BC80" i="23"/>
  <c r="AO81" i="23"/>
  <c r="AW83" i="23"/>
  <c r="AK84" i="23"/>
  <c r="AD52" i="24"/>
  <c r="Z52" i="24"/>
  <c r="AC52" i="24"/>
  <c r="Y52" i="24"/>
  <c r="AF52" i="24"/>
  <c r="AB52" i="24"/>
  <c r="X52" i="24"/>
  <c r="W52" i="24"/>
  <c r="AE52" i="24"/>
  <c r="AA52" i="24"/>
  <c r="AD56" i="24"/>
  <c r="Z56" i="24"/>
  <c r="AC56" i="24"/>
  <c r="Y56" i="24"/>
  <c r="AF56" i="24"/>
  <c r="AB56" i="24"/>
  <c r="X56" i="24"/>
  <c r="W56" i="24"/>
  <c r="AE56" i="24"/>
  <c r="AA56" i="24"/>
  <c r="AD60" i="24"/>
  <c r="Z60" i="24"/>
  <c r="AC60" i="24"/>
  <c r="Y60" i="24"/>
  <c r="AF60" i="24"/>
  <c r="AB60" i="24"/>
  <c r="X60" i="24"/>
  <c r="W60" i="24"/>
  <c r="AE60" i="24"/>
  <c r="AA60" i="24"/>
  <c r="AD64" i="24"/>
  <c r="Z64" i="24"/>
  <c r="AC64" i="24"/>
  <c r="Y64" i="24"/>
  <c r="AF64" i="24"/>
  <c r="AB64" i="24"/>
  <c r="X64" i="24"/>
  <c r="W64" i="24"/>
  <c r="AE64" i="24"/>
  <c r="AA64" i="24"/>
  <c r="AC68" i="24"/>
  <c r="AE68" i="24"/>
  <c r="Z68" i="24"/>
  <c r="AD68" i="24"/>
  <c r="Y68" i="24"/>
  <c r="AB68" i="24"/>
  <c r="X68" i="24"/>
  <c r="W68" i="24"/>
  <c r="AF68" i="24"/>
  <c r="AA68" i="24"/>
  <c r="AC72" i="24"/>
  <c r="Y72" i="24"/>
  <c r="AE72" i="24"/>
  <c r="Z72" i="24"/>
  <c r="AD72" i="24"/>
  <c r="X72" i="24"/>
  <c r="AB72" i="24"/>
  <c r="W72" i="24"/>
  <c r="AA72" i="24"/>
  <c r="AF72" i="24"/>
  <c r="AC76" i="24"/>
  <c r="Y76" i="24"/>
  <c r="AE76" i="24"/>
  <c r="Z76" i="24"/>
  <c r="AD76" i="24"/>
  <c r="X76" i="24"/>
  <c r="AB76" i="24"/>
  <c r="W76" i="24"/>
  <c r="AF76" i="24"/>
  <c r="AA76" i="24"/>
  <c r="AF80" i="24"/>
  <c r="AB80" i="24"/>
  <c r="X80" i="24"/>
  <c r="AE80" i="24"/>
  <c r="AA80" i="24"/>
  <c r="W80" i="24"/>
  <c r="AC80" i="24"/>
  <c r="AD80" i="24"/>
  <c r="Z80" i="24"/>
  <c r="Y80" i="24"/>
  <c r="AF84" i="24"/>
  <c r="AB84" i="24"/>
  <c r="X84" i="24"/>
  <c r="AE84" i="24"/>
  <c r="AA84" i="24"/>
  <c r="W84" i="24"/>
  <c r="AC84" i="24"/>
  <c r="Y84" i="24"/>
  <c r="AD84" i="24"/>
  <c r="Z84" i="24"/>
  <c r="AF88" i="24"/>
  <c r="AB88" i="24"/>
  <c r="X88" i="24"/>
  <c r="AE88" i="24"/>
  <c r="AA88" i="24"/>
  <c r="W88" i="24"/>
  <c r="AC88" i="24"/>
  <c r="AD88" i="24"/>
  <c r="Z88" i="24"/>
  <c r="Y88" i="24"/>
  <c r="AD53" i="24"/>
  <c r="Z53" i="24"/>
  <c r="AC53" i="24"/>
  <c r="Y53" i="24"/>
  <c r="AF53" i="24"/>
  <c r="AB53" i="24"/>
  <c r="X53" i="24"/>
  <c r="AE53" i="24"/>
  <c r="AA53" i="24"/>
  <c r="W53" i="24"/>
  <c r="AD57" i="24"/>
  <c r="Z57" i="24"/>
  <c r="AC57" i="24"/>
  <c r="Y57" i="24"/>
  <c r="AF57" i="24"/>
  <c r="AB57" i="24"/>
  <c r="X57" i="24"/>
  <c r="AE57" i="24"/>
  <c r="AA57" i="24"/>
  <c r="W57" i="24"/>
  <c r="AD61" i="24"/>
  <c r="Z61" i="24"/>
  <c r="AC61" i="24"/>
  <c r="Y61" i="24"/>
  <c r="AF61" i="24"/>
  <c r="AB61" i="24"/>
  <c r="X61" i="24"/>
  <c r="AE61" i="24"/>
  <c r="AA61" i="24"/>
  <c r="W61" i="24"/>
  <c r="AD65" i="24"/>
  <c r="Z65" i="24"/>
  <c r="AC65" i="24"/>
  <c r="Y65" i="24"/>
  <c r="AF65" i="24"/>
  <c r="AB65" i="24"/>
  <c r="X65" i="24"/>
  <c r="AE65" i="24"/>
  <c r="AA65" i="24"/>
  <c r="W65" i="24"/>
  <c r="AC69" i="24"/>
  <c r="Y69" i="24"/>
  <c r="AF69" i="24"/>
  <c r="AA69" i="24"/>
  <c r="AE69" i="24"/>
  <c r="Z69" i="24"/>
  <c r="AD69" i="24"/>
  <c r="X69" i="24"/>
  <c r="W69" i="24"/>
  <c r="AB69" i="24"/>
  <c r="AC73" i="24"/>
  <c r="Y73" i="24"/>
  <c r="AF73" i="24"/>
  <c r="AA73" i="24"/>
  <c r="AE73" i="24"/>
  <c r="Z73" i="24"/>
  <c r="AD73" i="24"/>
  <c r="X73" i="24"/>
  <c r="AB73" i="24"/>
  <c r="W73" i="24"/>
  <c r="AF77" i="24"/>
  <c r="AB77" i="24"/>
  <c r="X77" i="24"/>
  <c r="AE77" i="24"/>
  <c r="AA77" i="24"/>
  <c r="W77" i="24"/>
  <c r="Y77" i="24"/>
  <c r="Z77" i="24"/>
  <c r="AD77" i="24"/>
  <c r="AC77" i="24"/>
  <c r="AF81" i="24"/>
  <c r="AB81" i="24"/>
  <c r="X81" i="24"/>
  <c r="AE81" i="24"/>
  <c r="AA81" i="24"/>
  <c r="W81" i="24"/>
  <c r="Y81" i="24"/>
  <c r="AD81" i="24"/>
  <c r="AC81" i="24"/>
  <c r="Z81" i="24"/>
  <c r="AF85" i="24"/>
  <c r="AB85" i="24"/>
  <c r="X85" i="24"/>
  <c r="AE85" i="24"/>
  <c r="AA85" i="24"/>
  <c r="W85" i="24"/>
  <c r="Y85" i="24"/>
  <c r="Z85" i="24"/>
  <c r="AD85" i="24"/>
  <c r="AC85" i="24"/>
  <c r="AE89" i="24"/>
  <c r="AB89" i="24"/>
  <c r="X89" i="24"/>
  <c r="AF89" i="24"/>
  <c r="AA89" i="24"/>
  <c r="W89" i="24"/>
  <c r="Y89" i="24"/>
  <c r="AD89" i="24"/>
  <c r="AC89" i="24"/>
  <c r="Z89" i="24"/>
  <c r="X50" i="24"/>
  <c r="AB50" i="24"/>
  <c r="AF50" i="24"/>
  <c r="X51" i="24"/>
  <c r="AB51" i="24"/>
  <c r="AF51" i="24"/>
  <c r="X54" i="24"/>
  <c r="AB54" i="24"/>
  <c r="AF54" i="24"/>
  <c r="X55" i="24"/>
  <c r="AB55" i="24"/>
  <c r="AF55" i="24"/>
  <c r="X58" i="24"/>
  <c r="AB58" i="24"/>
  <c r="AF58" i="24"/>
  <c r="X59" i="24"/>
  <c r="AB59" i="24"/>
  <c r="AF59" i="24"/>
  <c r="X62" i="24"/>
  <c r="AB62" i="24"/>
  <c r="AF62" i="24"/>
  <c r="X63" i="24"/>
  <c r="AB63" i="24"/>
  <c r="AF63" i="24"/>
  <c r="X66" i="24"/>
  <c r="AB66" i="24"/>
  <c r="AF66" i="24"/>
  <c r="X67" i="24"/>
  <c r="AB67" i="24"/>
  <c r="AF67" i="24"/>
  <c r="Z70" i="24"/>
  <c r="AA71" i="24"/>
  <c r="AF71" i="24"/>
  <c r="Z74" i="24"/>
  <c r="AA75" i="24"/>
  <c r="AF75" i="24"/>
  <c r="AC83" i="24"/>
  <c r="AC70" i="24"/>
  <c r="Y70" i="24"/>
  <c r="AC74" i="24"/>
  <c r="Y74" i="24"/>
  <c r="AF78" i="24"/>
  <c r="AB78" i="24"/>
  <c r="X78" i="24"/>
  <c r="AE78" i="24"/>
  <c r="AA78" i="24"/>
  <c r="W78" i="24"/>
  <c r="AC78" i="24"/>
  <c r="AF82" i="24"/>
  <c r="AB82" i="24"/>
  <c r="X82" i="24"/>
  <c r="AE82" i="24"/>
  <c r="AA82" i="24"/>
  <c r="W82" i="24"/>
  <c r="AC82" i="24"/>
  <c r="AF86" i="24"/>
  <c r="AB86" i="24"/>
  <c r="X86" i="24"/>
  <c r="AE86" i="24"/>
  <c r="AA86" i="24"/>
  <c r="W86" i="24"/>
  <c r="AC86" i="24"/>
  <c r="Y50" i="24"/>
  <c r="AC50" i="24"/>
  <c r="Y51" i="24"/>
  <c r="AC51" i="24"/>
  <c r="H8" i="26" s="1"/>
  <c r="Y54" i="24"/>
  <c r="AC54" i="24"/>
  <c r="Y55" i="24"/>
  <c r="AC55" i="24"/>
  <c r="Y58" i="24"/>
  <c r="AC58" i="24"/>
  <c r="Y59" i="24"/>
  <c r="AC59" i="24"/>
  <c r="Y62" i="24"/>
  <c r="AC62" i="24"/>
  <c r="Y63" i="24"/>
  <c r="AC63" i="24"/>
  <c r="Y66" i="24"/>
  <c r="AC66" i="24"/>
  <c r="Y67" i="24"/>
  <c r="AC67" i="24"/>
  <c r="AA70" i="24"/>
  <c r="AF70" i="24"/>
  <c r="W71" i="24"/>
  <c r="AA74" i="24"/>
  <c r="AF74" i="24"/>
  <c r="W75" i="24"/>
  <c r="Y78" i="24"/>
  <c r="AD82" i="24"/>
  <c r="Y86" i="24"/>
  <c r="AC71" i="24"/>
  <c r="Y71" i="24"/>
  <c r="AC75" i="24"/>
  <c r="Y75" i="24"/>
  <c r="AF79" i="24"/>
  <c r="AB79" i="24"/>
  <c r="X79" i="24"/>
  <c r="AE79" i="24"/>
  <c r="AA79" i="24"/>
  <c r="W79" i="24"/>
  <c r="Y79" i="24"/>
  <c r="AF83" i="24"/>
  <c r="AB83" i="24"/>
  <c r="X83" i="24"/>
  <c r="AE83" i="24"/>
  <c r="AA83" i="24"/>
  <c r="W83" i="24"/>
  <c r="Y83" i="24"/>
  <c r="AF87" i="24"/>
  <c r="AB87" i="24"/>
  <c r="X87" i="24"/>
  <c r="AE87" i="24"/>
  <c r="AA87" i="24"/>
  <c r="W87" i="24"/>
  <c r="Y87" i="24"/>
  <c r="Z50" i="24"/>
  <c r="Z51" i="24"/>
  <c r="Z54" i="24"/>
  <c r="Z55" i="24"/>
  <c r="Z58" i="24"/>
  <c r="Z59" i="24"/>
  <c r="Z62" i="24"/>
  <c r="Z63" i="24"/>
  <c r="Z66" i="24"/>
  <c r="Z67" i="24"/>
  <c r="W70" i="24"/>
  <c r="AB70" i="24"/>
  <c r="X71" i="24"/>
  <c r="AD71" i="24"/>
  <c r="W74" i="24"/>
  <c r="AB74" i="24"/>
  <c r="X75" i="24"/>
  <c r="AD75" i="24"/>
  <c r="Z78" i="24"/>
  <c r="AC79" i="24"/>
  <c r="Z86" i="24"/>
  <c r="AC87" i="24"/>
  <c r="D8" i="26"/>
  <c r="AJ13" i="21"/>
  <c r="Z4" i="21"/>
  <c r="AH4" i="21" s="1"/>
  <c r="Z8" i="21"/>
  <c r="AH8" i="21" s="1"/>
  <c r="Z3" i="21"/>
  <c r="AH3" i="21" s="1"/>
  <c r="Z13" i="21"/>
  <c r="AH13" i="21" s="1"/>
  <c r="Z6" i="21"/>
  <c r="AH6" i="21" s="1"/>
  <c r="AJ3" i="21"/>
  <c r="R9" i="21"/>
  <c r="M1340" i="21"/>
  <c r="U9" i="21" s="1"/>
  <c r="AI9" i="21" s="1"/>
  <c r="U10" i="21"/>
  <c r="AI10" i="21" s="1"/>
  <c r="R10" i="21"/>
  <c r="X10" i="21" s="1"/>
  <c r="AF10" i="21" s="1"/>
  <c r="R11" i="21"/>
  <c r="X11" i="21" s="1"/>
  <c r="AF11" i="21" s="1"/>
  <c r="X12" i="21"/>
  <c r="AF12" i="21" s="1"/>
  <c r="X3" i="21"/>
  <c r="AF3" i="21" s="1"/>
  <c r="Y4" i="21"/>
  <c r="AG4" i="21" s="1"/>
  <c r="X6" i="21"/>
  <c r="AF6" i="21" s="1"/>
  <c r="AI6" i="21"/>
  <c r="AO8" i="16"/>
  <c r="AT8" i="16"/>
  <c r="AJ2" i="16"/>
  <c r="AJ8" i="16" s="1"/>
  <c r="AT9" i="16"/>
  <c r="AT10" i="16" s="1"/>
  <c r="AJ6" i="16"/>
  <c r="AJ9" i="16" s="1"/>
  <c r="AC212" i="17"/>
  <c r="AO9" i="16"/>
  <c r="AO10" i="16" s="1"/>
  <c r="AC373" i="17"/>
  <c r="AC381" i="17"/>
  <c r="AC385" i="17"/>
  <c r="AC387" i="17"/>
  <c r="AC389" i="17"/>
  <c r="AC391" i="17"/>
  <c r="AC393" i="17"/>
  <c r="AC395" i="17"/>
  <c r="AC421" i="17"/>
  <c r="AC423" i="17"/>
  <c r="AC425" i="17"/>
  <c r="AC427" i="17"/>
  <c r="AC429" i="17"/>
  <c r="AC431" i="17"/>
  <c r="AC433" i="17"/>
  <c r="AC435" i="17"/>
  <c r="AC437" i="17"/>
  <c r="AC439" i="17"/>
  <c r="AC441" i="17"/>
  <c r="AC443" i="17"/>
  <c r="AC445" i="17"/>
  <c r="AC447" i="17"/>
  <c r="AC449" i="17"/>
  <c r="AC451" i="17"/>
  <c r="AC453" i="17"/>
  <c r="AC455" i="17"/>
  <c r="AC457" i="17"/>
  <c r="AC171" i="17"/>
  <c r="AC175" i="17"/>
  <c r="AC179" i="17"/>
  <c r="AC195" i="17"/>
  <c r="AC199" i="17"/>
  <c r="AC203" i="17"/>
  <c r="AC291" i="17"/>
  <c r="AC295" i="17"/>
  <c r="AC299" i="17"/>
  <c r="AC303" i="17"/>
  <c r="AC18" i="17"/>
  <c r="AC19" i="17"/>
  <c r="AC20" i="17"/>
  <c r="AC21" i="17"/>
  <c r="AC22" i="17"/>
  <c r="AC23" i="17"/>
  <c r="AC24" i="17"/>
  <c r="AC25" i="17"/>
  <c r="AC26" i="17"/>
  <c r="AC30" i="17"/>
  <c r="AC34" i="17"/>
  <c r="AC38" i="17"/>
  <c r="AI7" i="17" s="1"/>
  <c r="AC40" i="17"/>
  <c r="AC42" i="17"/>
  <c r="AC44" i="17"/>
  <c r="AC46" i="17"/>
  <c r="AC48" i="17"/>
  <c r="AC50" i="17"/>
  <c r="AC186" i="17"/>
  <c r="AC187" i="17"/>
  <c r="AC188" i="17"/>
  <c r="AC189" i="17"/>
  <c r="AC190" i="17"/>
  <c r="AC191" i="17"/>
  <c r="AC192" i="17"/>
  <c r="AC196" i="17"/>
  <c r="AC200" i="17"/>
  <c r="AC4" i="17"/>
  <c r="AC8" i="17"/>
  <c r="AC12" i="17"/>
  <c r="AC28" i="17"/>
  <c r="AC32" i="17"/>
  <c r="AC36" i="17"/>
  <c r="AC39" i="17"/>
  <c r="AC41" i="17"/>
  <c r="AC43" i="17"/>
  <c r="AC45" i="17"/>
  <c r="AC47" i="17"/>
  <c r="AC49" i="17"/>
  <c r="AC170" i="17"/>
  <c r="AC174" i="17"/>
  <c r="AC178" i="17"/>
  <c r="AC194" i="17"/>
  <c r="AC198" i="17"/>
  <c r="AC202" i="17"/>
  <c r="AC551" i="17"/>
  <c r="AC555" i="17"/>
  <c r="AC559" i="17"/>
  <c r="AC563" i="17"/>
  <c r="AC567" i="17"/>
  <c r="AC591" i="17"/>
  <c r="AC595" i="17"/>
  <c r="AC599" i="17"/>
  <c r="AC603" i="17"/>
  <c r="AC607" i="17"/>
  <c r="AC611" i="17"/>
  <c r="AC615" i="17"/>
  <c r="AC619" i="17"/>
  <c r="AC623" i="17"/>
  <c r="AC627" i="17"/>
  <c r="AC631" i="17"/>
  <c r="AC635" i="17"/>
  <c r="AC639" i="17"/>
  <c r="AC643" i="17"/>
  <c r="AC647" i="17"/>
  <c r="AC651" i="17"/>
  <c r="AC655" i="17"/>
  <c r="AC659" i="17"/>
  <c r="AC663" i="17"/>
  <c r="AC667" i="17"/>
  <c r="AC520" i="17"/>
  <c r="AC524" i="17"/>
  <c r="AC528" i="17"/>
  <c r="AC532" i="17"/>
  <c r="AC536" i="17"/>
  <c r="AC540" i="17"/>
  <c r="AC544" i="17"/>
  <c r="AC548" i="17"/>
  <c r="AC552" i="17"/>
  <c r="AC556" i="17"/>
  <c r="AC560" i="17"/>
  <c r="AC564" i="17"/>
  <c r="AC568" i="17"/>
  <c r="AC572" i="17"/>
  <c r="AC576" i="17"/>
  <c r="AC580" i="17"/>
  <c r="AC584" i="17"/>
  <c r="AC588" i="17"/>
  <c r="AC592" i="17"/>
  <c r="AC596" i="17"/>
  <c r="AC600" i="17"/>
  <c r="AC604" i="17"/>
  <c r="AC608" i="17"/>
  <c r="AC612" i="17"/>
  <c r="AC616" i="17"/>
  <c r="AC620" i="17"/>
  <c r="AC624" i="17"/>
  <c r="AC628" i="17"/>
  <c r="AC632" i="17"/>
  <c r="AC636" i="17"/>
  <c r="AC640" i="17"/>
  <c r="AC644" i="17"/>
  <c r="AC648" i="17"/>
  <c r="AC652" i="17"/>
  <c r="AC656" i="17"/>
  <c r="AC660" i="17"/>
  <c r="AC664" i="17"/>
  <c r="AC668" i="17"/>
  <c r="AC561" i="17"/>
  <c r="AC565" i="17"/>
  <c r="AC569" i="17"/>
  <c r="AC593" i="17"/>
  <c r="AC597" i="17"/>
  <c r="AC601" i="17"/>
  <c r="AC605" i="17"/>
  <c r="AC609" i="17"/>
  <c r="AC613" i="17"/>
  <c r="AC617" i="17"/>
  <c r="AC621" i="17"/>
  <c r="AC625" i="17"/>
  <c r="AC629" i="17"/>
  <c r="AC633" i="17"/>
  <c r="AC637" i="17"/>
  <c r="AC641" i="17"/>
  <c r="AC645" i="17"/>
  <c r="AC649" i="17"/>
  <c r="AC653" i="17"/>
  <c r="AC657" i="17"/>
  <c r="AC661" i="17"/>
  <c r="AC665" i="17"/>
  <c r="AC522" i="17"/>
  <c r="AC526" i="17"/>
  <c r="AC530" i="17"/>
  <c r="AC534" i="17"/>
  <c r="AC538" i="17"/>
  <c r="AC542" i="17"/>
  <c r="AC546" i="17"/>
  <c r="AC550" i="17"/>
  <c r="AC554" i="17"/>
  <c r="AC558" i="17"/>
  <c r="AC562" i="17"/>
  <c r="AC566" i="17"/>
  <c r="AC570" i="17"/>
  <c r="AC574" i="17"/>
  <c r="AC578" i="17"/>
  <c r="AC582" i="17"/>
  <c r="AC586" i="17"/>
  <c r="AC590" i="17"/>
  <c r="AC594" i="17"/>
  <c r="AC598" i="17"/>
  <c r="AC602" i="17"/>
  <c r="AC606" i="17"/>
  <c r="AC610" i="17"/>
  <c r="AC614" i="17"/>
  <c r="AC618" i="17"/>
  <c r="AC622" i="17"/>
  <c r="AC626" i="17"/>
  <c r="AC630" i="17"/>
  <c r="AC634" i="17"/>
  <c r="AC638" i="17"/>
  <c r="AC642" i="17"/>
  <c r="AC646" i="17"/>
  <c r="AC650" i="17"/>
  <c r="AC654" i="17"/>
  <c r="AC658" i="17"/>
  <c r="AC662" i="17"/>
  <c r="AC666" i="17"/>
  <c r="AG65" i="8"/>
  <c r="AG65" i="9"/>
  <c r="AG65" i="7"/>
  <c r="AJ65" i="8"/>
  <c r="AJ65" i="7"/>
  <c r="AD65" i="8"/>
  <c r="AD65" i="9"/>
  <c r="AD65" i="7"/>
  <c r="W65" i="9"/>
  <c r="W65" i="8"/>
  <c r="W69" i="8" s="1"/>
  <c r="W65" i="7"/>
  <c r="AI65" i="8"/>
  <c r="AI65" i="9"/>
  <c r="AI65" i="7"/>
  <c r="AL65" i="8"/>
  <c r="AL65" i="9"/>
  <c r="AL65" i="7"/>
  <c r="AH65" i="8"/>
  <c r="AH65" i="9"/>
  <c r="AH65" i="7"/>
  <c r="AB65" i="8"/>
  <c r="AB65" i="9"/>
  <c r="AB65" i="7"/>
  <c r="AD66" i="9"/>
  <c r="AD66" i="8"/>
  <c r="X47" i="13"/>
  <c r="X47" i="12"/>
  <c r="X47" i="11"/>
  <c r="X47" i="10"/>
  <c r="Q47" i="13"/>
  <c r="Q47" i="12"/>
  <c r="Q47" i="11"/>
  <c r="Q47" i="10"/>
  <c r="Z67" i="9"/>
  <c r="Z67" i="8"/>
  <c r="AI66" i="9"/>
  <c r="AI66" i="8"/>
  <c r="AJ67" i="9"/>
  <c r="AJ67" i="8"/>
  <c r="M65" i="6"/>
  <c r="M12" i="7"/>
  <c r="V65" i="6"/>
  <c r="V12" i="7"/>
  <c r="S65" i="9"/>
  <c r="S65" i="8"/>
  <c r="S65" i="7"/>
  <c r="X65" i="8"/>
  <c r="X69" i="8" s="1"/>
  <c r="X12" i="9" s="1"/>
  <c r="X65" i="9"/>
  <c r="X65" i="7"/>
  <c r="AC65" i="8"/>
  <c r="AC69" i="8" s="1"/>
  <c r="AC65" i="9"/>
  <c r="AC65" i="7"/>
  <c r="AD68" i="6"/>
  <c r="AF65" i="8"/>
  <c r="AF65" i="9"/>
  <c r="AF65" i="7"/>
  <c r="AG69" i="6"/>
  <c r="AI65" i="6"/>
  <c r="AK65" i="8"/>
  <c r="AK69" i="8" s="1"/>
  <c r="AK12" i="9" s="1"/>
  <c r="AK65" i="9"/>
  <c r="AK65" i="7"/>
  <c r="U67" i="7"/>
  <c r="AB66" i="9"/>
  <c r="AB66" i="8"/>
  <c r="AD67" i="9"/>
  <c r="AD67" i="8"/>
  <c r="AL66" i="9"/>
  <c r="AL66" i="8"/>
  <c r="X49" i="13"/>
  <c r="X49" i="12"/>
  <c r="X49" i="11"/>
  <c r="X49" i="10"/>
  <c r="AA67" i="9"/>
  <c r="AA67" i="8"/>
  <c r="AH66" i="9"/>
  <c r="AH66" i="8"/>
  <c r="F28" i="5"/>
  <c r="AI67" i="9"/>
  <c r="AI67" i="8"/>
  <c r="D44" i="5"/>
  <c r="Y47" i="13"/>
  <c r="Y47" i="12"/>
  <c r="Y47" i="11"/>
  <c r="Y47" i="10"/>
  <c r="Y50" i="10" s="1"/>
  <c r="O65" i="6"/>
  <c r="O12" i="7"/>
  <c r="U65" i="6"/>
  <c r="U12" i="7"/>
  <c r="AH65" i="6"/>
  <c r="AH12" i="7"/>
  <c r="N65" i="6"/>
  <c r="Q65" i="9"/>
  <c r="Q65" i="8"/>
  <c r="Q69" i="8" s="1"/>
  <c r="Q12" i="9" s="1"/>
  <c r="Q65" i="7"/>
  <c r="R65" i="8"/>
  <c r="R69" i="8" s="1"/>
  <c r="R12" i="9" s="1"/>
  <c r="R65" i="9"/>
  <c r="R65" i="7"/>
  <c r="AD69" i="6"/>
  <c r="AD66" i="7"/>
  <c r="AH66" i="7"/>
  <c r="AL66" i="7"/>
  <c r="Z67" i="7"/>
  <c r="AD67" i="7"/>
  <c r="U67" i="9"/>
  <c r="U67" i="8"/>
  <c r="AC65" i="6"/>
  <c r="AC12" i="7"/>
  <c r="M65" i="9"/>
  <c r="M65" i="8"/>
  <c r="M69" i="8" s="1"/>
  <c r="M65" i="7"/>
  <c r="O65" i="9"/>
  <c r="O65" i="8"/>
  <c r="O69" i="8" s="1"/>
  <c r="O65" i="7"/>
  <c r="P65" i="8"/>
  <c r="P69" i="8" s="1"/>
  <c r="P12" i="9" s="1"/>
  <c r="P65" i="9"/>
  <c r="P65" i="7"/>
  <c r="Z69" i="6"/>
  <c r="AB68" i="6"/>
  <c r="AE65" i="8"/>
  <c r="AE65" i="9"/>
  <c r="AE65" i="7"/>
  <c r="AH68" i="6"/>
  <c r="AI68" i="6"/>
  <c r="AJ69" i="6"/>
  <c r="AI66" i="7"/>
  <c r="AA67" i="7"/>
  <c r="AI67" i="7"/>
  <c r="F18" i="5"/>
  <c r="V47" i="13"/>
  <c r="V47" i="12"/>
  <c r="V47" i="11"/>
  <c r="V47" i="10"/>
  <c r="Z48" i="13"/>
  <c r="Z48" i="12"/>
  <c r="Z48" i="11"/>
  <c r="Z48" i="10"/>
  <c r="F40" i="5"/>
  <c r="T49" i="13"/>
  <c r="T49" i="12"/>
  <c r="T49" i="11"/>
  <c r="T49" i="10"/>
  <c r="AH67" i="9"/>
  <c r="AH67" i="8"/>
  <c r="Y48" i="13"/>
  <c r="Y48" i="12"/>
  <c r="Y48" i="11"/>
  <c r="Y48" i="10"/>
  <c r="AG67" i="9"/>
  <c r="AG67" i="8"/>
  <c r="V48" i="13"/>
  <c r="V48" i="12"/>
  <c r="V48" i="11"/>
  <c r="V48" i="10"/>
  <c r="Z49" i="13"/>
  <c r="Z49" i="12"/>
  <c r="Z49" i="11"/>
  <c r="Z49" i="10"/>
  <c r="V67" i="9"/>
  <c r="V67" i="8"/>
  <c r="AJ66" i="9"/>
  <c r="AJ66" i="8"/>
  <c r="Y49" i="13"/>
  <c r="Y49" i="12"/>
  <c r="Y49" i="11"/>
  <c r="Y49" i="10"/>
  <c r="W65" i="6"/>
  <c r="W12" i="7"/>
  <c r="Y65" i="6"/>
  <c r="Y12" i="7"/>
  <c r="L65" i="8"/>
  <c r="L69" i="8" s="1"/>
  <c r="L12" i="9" s="1"/>
  <c r="L65" i="9"/>
  <c r="L65" i="7"/>
  <c r="U65" i="9"/>
  <c r="U65" i="8"/>
  <c r="U65" i="7"/>
  <c r="V69" i="6"/>
  <c r="X65" i="6"/>
  <c r="AH69" i="6"/>
  <c r="AI69" i="6"/>
  <c r="AB66" i="7"/>
  <c r="AJ66" i="7"/>
  <c r="AJ67" i="7"/>
  <c r="W46" i="11"/>
  <c r="X46" i="11"/>
  <c r="N50" i="10"/>
  <c r="N50" i="11" s="1"/>
  <c r="T50" i="10"/>
  <c r="T50" i="11" s="1"/>
  <c r="W50" i="10"/>
  <c r="M46" i="10"/>
  <c r="O46" i="10"/>
  <c r="R46" i="10"/>
  <c r="S46" i="10"/>
  <c r="U46" i="10"/>
  <c r="X46" i="10"/>
  <c r="Y46" i="10"/>
  <c r="M50" i="10"/>
  <c r="O50" i="10"/>
  <c r="S50" i="10"/>
  <c r="S50" i="11" s="1"/>
  <c r="U50" i="10"/>
  <c r="U50" i="11" s="1"/>
  <c r="L46" i="10"/>
  <c r="N46" i="10"/>
  <c r="P46" i="10"/>
  <c r="Q46" i="10"/>
  <c r="T46" i="10"/>
  <c r="V46" i="10"/>
  <c r="W46" i="10"/>
  <c r="W51" i="10" s="1"/>
  <c r="Z46" i="10"/>
  <c r="M75" i="6"/>
  <c r="M80" i="6"/>
  <c r="M78" i="6"/>
  <c r="AM68" i="7"/>
  <c r="AF65" i="6"/>
  <c r="Q65" i="6"/>
  <c r="S65" i="6"/>
  <c r="AJ65" i="6"/>
  <c r="Z65" i="6"/>
  <c r="Z67" i="6" s="1"/>
  <c r="AA65" i="6"/>
  <c r="AA67" i="6" s="1"/>
  <c r="D36" i="5"/>
  <c r="M12" i="9" l="1"/>
  <c r="AI6" i="17"/>
  <c r="AI11" i="21"/>
  <c r="Z82" i="24"/>
  <c r="Y82" i="24"/>
  <c r="D6" i="26" s="1"/>
  <c r="AE74" i="24"/>
  <c r="X74" i="24"/>
  <c r="AD74" i="24"/>
  <c r="AE70" i="24"/>
  <c r="X70" i="24"/>
  <c r="AD70" i="24"/>
  <c r="AD66" i="24"/>
  <c r="AE66" i="24"/>
  <c r="AA66" i="24"/>
  <c r="W66" i="24"/>
  <c r="AD62" i="24"/>
  <c r="W62" i="24"/>
  <c r="AE62" i="24"/>
  <c r="AA62" i="24"/>
  <c r="AD58" i="24"/>
  <c r="AE58" i="24"/>
  <c r="AA58" i="24"/>
  <c r="W58" i="24"/>
  <c r="AD54" i="24"/>
  <c r="W54" i="24"/>
  <c r="AE54" i="24"/>
  <c r="AA54" i="24"/>
  <c r="AA46" i="10"/>
  <c r="AD50" i="24"/>
  <c r="AE50" i="24"/>
  <c r="AA50" i="24"/>
  <c r="W50" i="24"/>
  <c r="M81" i="6"/>
  <c r="M76" i="6" s="1"/>
  <c r="M82" i="6" s="1"/>
  <c r="M79" i="6"/>
  <c r="I19" i="23"/>
  <c r="I19" i="14"/>
  <c r="I19" i="8"/>
  <c r="I19" i="7"/>
  <c r="I19" i="6"/>
  <c r="I19" i="9"/>
  <c r="AI5" i="17"/>
  <c r="I11" i="23"/>
  <c r="I11" i="8"/>
  <c r="I11" i="7"/>
  <c r="I11" i="6"/>
  <c r="I11" i="14"/>
  <c r="I11" i="9"/>
  <c r="P13" i="5"/>
  <c r="P16" i="5" s="1"/>
  <c r="AE65" i="6"/>
  <c r="P65" i="6"/>
  <c r="R65" i="6"/>
  <c r="AK65" i="6"/>
  <c r="L65" i="6"/>
  <c r="Z87" i="24"/>
  <c r="AD87" i="24"/>
  <c r="AD83" i="24"/>
  <c r="Z83" i="24"/>
  <c r="Z79" i="24"/>
  <c r="AD79" i="24"/>
  <c r="AB75" i="24"/>
  <c r="AE75" i="24"/>
  <c r="Z75" i="24"/>
  <c r="AB71" i="24"/>
  <c r="AE71" i="24"/>
  <c r="Z71" i="24"/>
  <c r="AD67" i="24"/>
  <c r="AE67" i="24"/>
  <c r="AA67" i="24"/>
  <c r="W67" i="24"/>
  <c r="AD63" i="24"/>
  <c r="AA63" i="24"/>
  <c r="W63" i="24"/>
  <c r="AE63" i="24"/>
  <c r="AD59" i="24"/>
  <c r="AE59" i="24"/>
  <c r="AA59" i="24"/>
  <c r="W59" i="24"/>
  <c r="AD55" i="24"/>
  <c r="AA55" i="24"/>
  <c r="F6" i="26" s="1"/>
  <c r="W55" i="24"/>
  <c r="AE55" i="24"/>
  <c r="AD51" i="24"/>
  <c r="AE51" i="24"/>
  <c r="J6" i="26" s="1"/>
  <c r="AA51" i="24"/>
  <c r="W51" i="24"/>
  <c r="D4" i="5"/>
  <c r="F30" i="5" s="1"/>
  <c r="T12" i="7"/>
  <c r="W12" i="9"/>
  <c r="O12" i="9"/>
  <c r="M50" i="12"/>
  <c r="T51" i="10"/>
  <c r="T11" i="11" s="1"/>
  <c r="N51" i="10"/>
  <c r="N39" i="11" s="1"/>
  <c r="N39" i="12" s="1"/>
  <c r="O50" i="12"/>
  <c r="AC12" i="9"/>
  <c r="AD12" i="9" s="1"/>
  <c r="Q51" i="10"/>
  <c r="Q37" i="11" s="1"/>
  <c r="E10" i="26"/>
  <c r="E6" i="26"/>
  <c r="E8" i="26"/>
  <c r="H10" i="26"/>
  <c r="H6" i="26"/>
  <c r="K10" i="26"/>
  <c r="K6" i="26"/>
  <c r="K8" i="26"/>
  <c r="D10" i="26"/>
  <c r="G10" i="26"/>
  <c r="G6" i="26"/>
  <c r="G8" i="26"/>
  <c r="C10" i="26"/>
  <c r="C6" i="26"/>
  <c r="C8" i="26"/>
  <c r="X9" i="21"/>
  <c r="AF9" i="21" s="1"/>
  <c r="AJ10" i="16"/>
  <c r="N39" i="13"/>
  <c r="E36" i="5"/>
  <c r="Q48" i="13"/>
  <c r="Q48" i="12"/>
  <c r="Q48" i="11"/>
  <c r="Q51" i="11" s="1"/>
  <c r="Q48" i="10"/>
  <c r="AA65" i="8"/>
  <c r="AA69" i="8" s="1"/>
  <c r="AA65" i="9"/>
  <c r="AA65" i="7"/>
  <c r="F36" i="5"/>
  <c r="Q49" i="13"/>
  <c r="Q49" i="12"/>
  <c r="Q51" i="12" s="1"/>
  <c r="Q50" i="12" s="1"/>
  <c r="Q49" i="11"/>
  <c r="Q49" i="10"/>
  <c r="R37" i="11"/>
  <c r="R47" i="13"/>
  <c r="R47" i="12"/>
  <c r="R47" i="11"/>
  <c r="R47" i="10"/>
  <c r="Z65" i="8"/>
  <c r="Z69" i="8" s="1"/>
  <c r="Z65" i="9"/>
  <c r="Z65" i="7"/>
  <c r="T12" i="11"/>
  <c r="T8" i="11"/>
  <c r="T6" i="11"/>
  <c r="T18" i="11"/>
  <c r="T10" i="11"/>
  <c r="T39" i="11"/>
  <c r="T20" i="11"/>
  <c r="T33" i="11"/>
  <c r="T22" i="11"/>
  <c r="T43" i="11"/>
  <c r="T24" i="11"/>
  <c r="T21" i="11"/>
  <c r="T37" i="11"/>
  <c r="T26" i="11"/>
  <c r="T19" i="11"/>
  <c r="T35" i="11"/>
  <c r="T15" i="11"/>
  <c r="T29" i="11"/>
  <c r="M50" i="11"/>
  <c r="N38" i="11"/>
  <c r="T41" i="11"/>
  <c r="N33" i="11"/>
  <c r="T14" i="11"/>
  <c r="Q13" i="11"/>
  <c r="Q7" i="11"/>
  <c r="Q18" i="11"/>
  <c r="Q10" i="11"/>
  <c r="Q9" i="11"/>
  <c r="Q19" i="11"/>
  <c r="Q15" i="11"/>
  <c r="Q29" i="11"/>
  <c r="Q34" i="11"/>
  <c r="Q39" i="11"/>
  <c r="Q36" i="11"/>
  <c r="Q33" i="11"/>
  <c r="Q38" i="11"/>
  <c r="Q31" i="11"/>
  <c r="Q44" i="11"/>
  <c r="Q41" i="11"/>
  <c r="T50" i="12"/>
  <c r="S50" i="12"/>
  <c r="N50" i="12"/>
  <c r="U50" i="12"/>
  <c r="T34" i="11"/>
  <c r="Q30" i="11"/>
  <c r="T25" i="11"/>
  <c r="N16" i="11"/>
  <c r="O50" i="11"/>
  <c r="T44" i="11"/>
  <c r="N36" i="11"/>
  <c r="T30" i="11"/>
  <c r="Q26" i="11"/>
  <c r="Q24" i="11"/>
  <c r="Q43" i="11"/>
  <c r="N11" i="11"/>
  <c r="N12" i="11"/>
  <c r="N8" i="11"/>
  <c r="N6" i="11"/>
  <c r="N5" i="11"/>
  <c r="N31" i="11"/>
  <c r="N44" i="11"/>
  <c r="N41" i="11"/>
  <c r="N19" i="11"/>
  <c r="N15" i="11"/>
  <c r="N29" i="11"/>
  <c r="N34" i="11"/>
  <c r="N43" i="11"/>
  <c r="N40" i="11"/>
  <c r="N37" i="11"/>
  <c r="T17" i="11"/>
  <c r="N42" i="11"/>
  <c r="N23" i="11"/>
  <c r="V49" i="13"/>
  <c r="V49" i="12"/>
  <c r="V49" i="11"/>
  <c r="V49" i="10"/>
  <c r="U69" i="8"/>
  <c r="AB12" i="7"/>
  <c r="Z47" i="13"/>
  <c r="Z47" i="12"/>
  <c r="Z47" i="11"/>
  <c r="Z47" i="10"/>
  <c r="AJ69" i="8"/>
  <c r="AJ12" i="9" s="1"/>
  <c r="Y51" i="11"/>
  <c r="Y50" i="11" s="1"/>
  <c r="AH69" i="8"/>
  <c r="AH12" i="9" s="1"/>
  <c r="AB67" i="9"/>
  <c r="AB67" i="8"/>
  <c r="AB67" i="7"/>
  <c r="AB69" i="6"/>
  <c r="AD12" i="7"/>
  <c r="Y51" i="12"/>
  <c r="Y50" i="12" s="1"/>
  <c r="AL12" i="7"/>
  <c r="AL67" i="9"/>
  <c r="AL67" i="8"/>
  <c r="AL67" i="7"/>
  <c r="AL69" i="6"/>
  <c r="AI69" i="8"/>
  <c r="S51" i="10"/>
  <c r="Y51" i="10"/>
  <c r="O51" i="10"/>
  <c r="U51" i="10"/>
  <c r="M51" i="10"/>
  <c r="Z64" i="7" l="1"/>
  <c r="Z69" i="7" s="1"/>
  <c r="AG64" i="7"/>
  <c r="AF64" i="7"/>
  <c r="AE64" i="7"/>
  <c r="AA64" i="7"/>
  <c r="AA69" i="7" s="1"/>
  <c r="J10" i="26"/>
  <c r="J8" i="26"/>
  <c r="I10" i="26"/>
  <c r="I8" i="26"/>
  <c r="BA74" i="23"/>
  <c r="AX74" i="23"/>
  <c r="AM74" i="23"/>
  <c r="BC74" i="23"/>
  <c r="AN74" i="23"/>
  <c r="BD74" i="23"/>
  <c r="AS74" i="23"/>
  <c r="AL74" i="23"/>
  <c r="BB74" i="23"/>
  <c r="AQ74" i="23"/>
  <c r="AR74" i="23"/>
  <c r="AB74" i="23"/>
  <c r="AW74" i="23"/>
  <c r="AP74" i="23"/>
  <c r="AU74" i="23"/>
  <c r="AV74" i="23"/>
  <c r="AK74" i="23"/>
  <c r="AT74" i="23"/>
  <c r="AI74" i="23"/>
  <c r="AY74" i="23"/>
  <c r="AJ74" i="23"/>
  <c r="AZ74" i="23"/>
  <c r="AO74" i="23"/>
  <c r="AO82" i="23"/>
  <c r="AW82" i="23"/>
  <c r="AT82" i="23"/>
  <c r="AZ82" i="23"/>
  <c r="AJ82" i="23"/>
  <c r="AQ82" i="23"/>
  <c r="AB82" i="23"/>
  <c r="AK82" i="23"/>
  <c r="AP82" i="23"/>
  <c r="AV82" i="23"/>
  <c r="BC82" i="23"/>
  <c r="AM82" i="23"/>
  <c r="AS82" i="23"/>
  <c r="BA82" i="23"/>
  <c r="BB82" i="23"/>
  <c r="AL82" i="23"/>
  <c r="AR82" i="23"/>
  <c r="AY82" i="23"/>
  <c r="AI82" i="23"/>
  <c r="AX82" i="23"/>
  <c r="BD82" i="23"/>
  <c r="AN82" i="23"/>
  <c r="AU82" i="23"/>
  <c r="B10" i="26"/>
  <c r="B8" i="26"/>
  <c r="M62" i="6"/>
  <c r="M36" i="6"/>
  <c r="M25" i="6"/>
  <c r="M41" i="6"/>
  <c r="M49" i="6"/>
  <c r="M57" i="6"/>
  <c r="P66" i="6"/>
  <c r="P71" i="6" s="1"/>
  <c r="AI66" i="6"/>
  <c r="AI71" i="6" s="1"/>
  <c r="M8" i="6"/>
  <c r="M35" i="6"/>
  <c r="AF66" i="6"/>
  <c r="AF71" i="6" s="1"/>
  <c r="M38" i="6"/>
  <c r="M46" i="6"/>
  <c r="M54" i="6"/>
  <c r="Y66" i="6"/>
  <c r="M22" i="6"/>
  <c r="Q66" i="6"/>
  <c r="Q71" i="6" s="1"/>
  <c r="M32" i="6"/>
  <c r="AA66" i="6"/>
  <c r="M29" i="6"/>
  <c r="M43" i="6"/>
  <c r="M51" i="6"/>
  <c r="M59" i="6"/>
  <c r="R66" i="6"/>
  <c r="R71" i="6" s="1"/>
  <c r="M28" i="6"/>
  <c r="M48" i="6"/>
  <c r="M23" i="6"/>
  <c r="M7" i="6"/>
  <c r="M37" i="6"/>
  <c r="M45" i="6"/>
  <c r="M53" i="6"/>
  <c r="M61" i="6"/>
  <c r="X66" i="6"/>
  <c r="X71" i="6" s="1"/>
  <c r="M34" i="6"/>
  <c r="M30" i="6"/>
  <c r="M15" i="6"/>
  <c r="M42" i="6"/>
  <c r="M50" i="6"/>
  <c r="M58" i="6"/>
  <c r="S66" i="6"/>
  <c r="S71" i="6" s="1"/>
  <c r="M56" i="6"/>
  <c r="U66" i="6"/>
  <c r="U71" i="6" s="1"/>
  <c r="M24" i="6"/>
  <c r="M16" i="6"/>
  <c r="M39" i="6"/>
  <c r="M47" i="6"/>
  <c r="M55" i="6"/>
  <c r="L66" i="6"/>
  <c r="L71" i="6" s="1"/>
  <c r="Z66" i="6"/>
  <c r="M33" i="6"/>
  <c r="V66" i="6"/>
  <c r="M31" i="6"/>
  <c r="M44" i="6"/>
  <c r="M52" i="6"/>
  <c r="M60" i="6"/>
  <c r="W66" i="6"/>
  <c r="W71" i="6" s="1"/>
  <c r="AC66" i="6"/>
  <c r="AC71" i="6" s="1"/>
  <c r="O66" i="6"/>
  <c r="O71" i="6" s="1"/>
  <c r="AH66" i="6"/>
  <c r="AH71" i="6" s="1"/>
  <c r="M40" i="6"/>
  <c r="B6" i="26"/>
  <c r="I6" i="26"/>
  <c r="F10" i="26"/>
  <c r="F8" i="26"/>
  <c r="AE66" i="6"/>
  <c r="AE71" i="6" s="1"/>
  <c r="U45" i="7"/>
  <c r="U52" i="7"/>
  <c r="U8" i="7"/>
  <c r="U29" i="7"/>
  <c r="U29" i="9" s="1"/>
  <c r="U18" i="7"/>
  <c r="U30" i="7"/>
  <c r="U41" i="7"/>
  <c r="Q27" i="11"/>
  <c r="Q27" i="13" s="1"/>
  <c r="R27" i="13" s="1"/>
  <c r="N21" i="11"/>
  <c r="N27" i="11"/>
  <c r="N32" i="11"/>
  <c r="N30" i="11"/>
  <c r="N30" i="13" s="1"/>
  <c r="N28" i="11"/>
  <c r="N7" i="11"/>
  <c r="N9" i="11"/>
  <c r="N18" i="11"/>
  <c r="N18" i="13" s="1"/>
  <c r="N22" i="11"/>
  <c r="Q40" i="11"/>
  <c r="Q21" i="11"/>
  <c r="Q28" i="11"/>
  <c r="R28" i="11" s="1"/>
  <c r="Q22" i="11"/>
  <c r="Q20" i="11"/>
  <c r="Q17" i="11"/>
  <c r="Q35" i="11"/>
  <c r="Q35" i="12" s="1"/>
  <c r="Q12" i="11"/>
  <c r="Q5" i="11"/>
  <c r="Q42" i="11"/>
  <c r="AC47" i="7"/>
  <c r="AC47" i="9" s="1"/>
  <c r="AD47" i="9" s="1"/>
  <c r="AC60" i="7"/>
  <c r="AC11" i="7"/>
  <c r="AC36" i="7"/>
  <c r="AI57" i="7"/>
  <c r="AI57" i="9" s="1"/>
  <c r="AI49" i="7"/>
  <c r="AI15" i="7"/>
  <c r="F4" i="5"/>
  <c r="E4" i="5"/>
  <c r="U48" i="7"/>
  <c r="U39" i="7"/>
  <c r="U11" i="7"/>
  <c r="U23" i="7"/>
  <c r="U15" i="7"/>
  <c r="N24" i="11"/>
  <c r="N24" i="13" s="1"/>
  <c r="N17" i="11"/>
  <c r="N35" i="11"/>
  <c r="N35" i="13" s="1"/>
  <c r="N25" i="11"/>
  <c r="N14" i="11"/>
  <c r="N14" i="13" s="1"/>
  <c r="N13" i="11"/>
  <c r="N10" i="11"/>
  <c r="N10" i="13" s="1"/>
  <c r="N20" i="11"/>
  <c r="N26" i="11"/>
  <c r="Q25" i="11"/>
  <c r="Q14" i="11"/>
  <c r="Q14" i="13" s="1"/>
  <c r="R14" i="13" s="1"/>
  <c r="Q16" i="11"/>
  <c r="Q23" i="11"/>
  <c r="Q32" i="11"/>
  <c r="Q8" i="11"/>
  <c r="Q46" i="11" s="1"/>
  <c r="Q11" i="11"/>
  <c r="Q6" i="11"/>
  <c r="Q6" i="12" s="1"/>
  <c r="R6" i="12" s="1"/>
  <c r="AC52" i="7"/>
  <c r="AC37" i="7"/>
  <c r="AD37" i="7" s="1"/>
  <c r="AC7" i="7"/>
  <c r="AC22" i="7"/>
  <c r="AC22" i="9" s="1"/>
  <c r="AD22" i="9" s="1"/>
  <c r="AI38" i="7"/>
  <c r="AI53" i="7"/>
  <c r="AI53" i="9" s="1"/>
  <c r="AI6" i="7"/>
  <c r="AI14" i="7"/>
  <c r="E30" i="5"/>
  <c r="T5" i="11"/>
  <c r="T5" i="12" s="1"/>
  <c r="T27" i="11"/>
  <c r="T27" i="12" s="1"/>
  <c r="T16" i="11"/>
  <c r="T23" i="11"/>
  <c r="T23" i="12" s="1"/>
  <c r="T9" i="11"/>
  <c r="T31" i="11"/>
  <c r="T28" i="11"/>
  <c r="T28" i="12" s="1"/>
  <c r="T32" i="11"/>
  <c r="T42" i="11"/>
  <c r="T40" i="11"/>
  <c r="T38" i="11"/>
  <c r="T38" i="12" s="1"/>
  <c r="T36" i="11"/>
  <c r="T7" i="11"/>
  <c r="T13" i="11"/>
  <c r="U37" i="7"/>
  <c r="U37" i="9" s="1"/>
  <c r="U34" i="7"/>
  <c r="U54" i="7"/>
  <c r="U40" i="7"/>
  <c r="U43" i="7"/>
  <c r="U43" i="9" s="1"/>
  <c r="U9" i="7"/>
  <c r="U7" i="7"/>
  <c r="U24" i="7"/>
  <c r="U16" i="7"/>
  <c r="U16" i="9" s="1"/>
  <c r="U13" i="7"/>
  <c r="U28" i="7"/>
  <c r="U27" i="7"/>
  <c r="U57" i="7"/>
  <c r="U57" i="9" s="1"/>
  <c r="AC57" i="7"/>
  <c r="AC45" i="7"/>
  <c r="AD45" i="7" s="1"/>
  <c r="AC62" i="7"/>
  <c r="AC58" i="7"/>
  <c r="AD58" i="7" s="1"/>
  <c r="AC48" i="7"/>
  <c r="AC38" i="7"/>
  <c r="AD38" i="7" s="1"/>
  <c r="AC44" i="7"/>
  <c r="AC33" i="7"/>
  <c r="AD33" i="7" s="1"/>
  <c r="AC6" i="7"/>
  <c r="AC23" i="7"/>
  <c r="AD23" i="7" s="1"/>
  <c r="AC13" i="7"/>
  <c r="AC28" i="7"/>
  <c r="AD28" i="7" s="1"/>
  <c r="AC27" i="7"/>
  <c r="AC21" i="7"/>
  <c r="AD21" i="7" s="1"/>
  <c r="AI43" i="7"/>
  <c r="AI61" i="7"/>
  <c r="AI61" i="9" s="1"/>
  <c r="AI41" i="7"/>
  <c r="AI39" i="7"/>
  <c r="AI37" i="7"/>
  <c r="AI34" i="7"/>
  <c r="AI34" i="9" s="1"/>
  <c r="AI32" i="7"/>
  <c r="AI8" i="7"/>
  <c r="AI10" i="7"/>
  <c r="AI28" i="7"/>
  <c r="AI28" i="9" s="1"/>
  <c r="AI22" i="7"/>
  <c r="AI19" i="7"/>
  <c r="AI16" i="7"/>
  <c r="AI31" i="7"/>
  <c r="AI31" i="9" s="1"/>
  <c r="U56" i="7"/>
  <c r="U62" i="7"/>
  <c r="AC35" i="7"/>
  <c r="AC56" i="7"/>
  <c r="AC56" i="9" s="1"/>
  <c r="AD56" i="9" s="1"/>
  <c r="AC46" i="7"/>
  <c r="AC42" i="7"/>
  <c r="AC55" i="7"/>
  <c r="AC49" i="7"/>
  <c r="AC49" i="9" s="1"/>
  <c r="AD49" i="9" s="1"/>
  <c r="AC51" i="7"/>
  <c r="AC8" i="7"/>
  <c r="AC9" i="7"/>
  <c r="AC26" i="7"/>
  <c r="AC26" i="9" s="1"/>
  <c r="AD26" i="9" s="1"/>
  <c r="AC18" i="7"/>
  <c r="AC15" i="7"/>
  <c r="AC30" i="7"/>
  <c r="AC24" i="7"/>
  <c r="AC24" i="9" s="1"/>
  <c r="AD24" i="9" s="1"/>
  <c r="AI54" i="7"/>
  <c r="AI47" i="7"/>
  <c r="AI45" i="7"/>
  <c r="AI60" i="7"/>
  <c r="AI60" i="9" s="1"/>
  <c r="AI50" i="7"/>
  <c r="AI56" i="7"/>
  <c r="AI62" i="7"/>
  <c r="AI52" i="7"/>
  <c r="AI52" i="9" s="1"/>
  <c r="AI7" i="7"/>
  <c r="AI18" i="7"/>
  <c r="AI11" i="7"/>
  <c r="AI25" i="7"/>
  <c r="AI25" i="9" s="1"/>
  <c r="AI24" i="7"/>
  <c r="AI21" i="7"/>
  <c r="AI36" i="7"/>
  <c r="U53" i="7"/>
  <c r="U35" i="7"/>
  <c r="U61" i="7"/>
  <c r="U55" i="7"/>
  <c r="U32" i="7"/>
  <c r="U32" i="9" s="1"/>
  <c r="U58" i="7"/>
  <c r="U5" i="7"/>
  <c r="U19" i="7"/>
  <c r="U36" i="7"/>
  <c r="U36" i="9" s="1"/>
  <c r="U26" i="7"/>
  <c r="U20" i="7"/>
  <c r="U17" i="7"/>
  <c r="U60" i="7"/>
  <c r="U60" i="9" s="1"/>
  <c r="U50" i="7"/>
  <c r="AC41" i="7"/>
  <c r="AC40" i="7"/>
  <c r="AC59" i="7"/>
  <c r="AD59" i="7" s="1"/>
  <c r="AC53" i="7"/>
  <c r="AC39" i="7"/>
  <c r="AC32" i="7"/>
  <c r="AC34" i="7"/>
  <c r="AD34" i="7" s="1"/>
  <c r="AC5" i="7"/>
  <c r="AC14" i="7"/>
  <c r="AC31" i="7"/>
  <c r="AC20" i="7"/>
  <c r="AC20" i="9" s="1"/>
  <c r="AD20" i="9" s="1"/>
  <c r="AC17" i="7"/>
  <c r="AC10" i="7"/>
  <c r="AI59" i="7"/>
  <c r="AI58" i="7"/>
  <c r="AI48" i="7"/>
  <c r="AI44" i="7"/>
  <c r="AI33" i="7"/>
  <c r="AI40" i="7"/>
  <c r="AI46" i="7"/>
  <c r="AI35" i="7"/>
  <c r="AI9" i="7"/>
  <c r="AI20" i="7"/>
  <c r="AI13" i="7"/>
  <c r="AI30" i="7"/>
  <c r="AI27" i="7"/>
  <c r="N39" i="24"/>
  <c r="N84" i="24" s="1"/>
  <c r="AP12" i="9"/>
  <c r="AO12" i="9"/>
  <c r="AO12" i="8"/>
  <c r="AM12" i="7"/>
  <c r="AP12" i="8"/>
  <c r="L8" i="26"/>
  <c r="Q50" i="11"/>
  <c r="Q37" i="12"/>
  <c r="R37" i="12" s="1"/>
  <c r="U48" i="9"/>
  <c r="N42" i="12"/>
  <c r="N42" i="13"/>
  <c r="N15" i="12"/>
  <c r="N15" i="13"/>
  <c r="N6" i="12"/>
  <c r="N6" i="13"/>
  <c r="T30" i="12"/>
  <c r="T30" i="13"/>
  <c r="R16" i="11"/>
  <c r="Q16" i="12"/>
  <c r="R16" i="12" s="1"/>
  <c r="Q16" i="13"/>
  <c r="R16" i="13" s="1"/>
  <c r="Q32" i="12"/>
  <c r="R32" i="12" s="1"/>
  <c r="R32" i="11"/>
  <c r="Q32" i="13"/>
  <c r="R32" i="13" s="1"/>
  <c r="R6" i="11"/>
  <c r="T35" i="12"/>
  <c r="T35" i="13"/>
  <c r="T33" i="12"/>
  <c r="T33" i="13"/>
  <c r="T8" i="12"/>
  <c r="T8" i="13"/>
  <c r="AD52" i="7"/>
  <c r="AC52" i="9"/>
  <c r="AD52" i="9" s="1"/>
  <c r="AD47" i="7"/>
  <c r="AD60" i="7"/>
  <c r="AC60" i="9"/>
  <c r="AD60" i="9" s="1"/>
  <c r="AD7" i="7"/>
  <c r="AC7" i="9"/>
  <c r="AD7" i="9" s="1"/>
  <c r="AD22" i="7"/>
  <c r="AD36" i="7"/>
  <c r="AC36" i="9"/>
  <c r="AD36" i="9" s="1"/>
  <c r="AI54" i="9"/>
  <c r="AI47" i="9"/>
  <c r="AI45" i="9"/>
  <c r="AI50" i="9"/>
  <c r="AI56" i="9"/>
  <c r="AI62" i="9"/>
  <c r="AI7" i="9"/>
  <c r="AI18" i="9"/>
  <c r="AI11" i="9"/>
  <c r="AI24" i="9"/>
  <c r="AI21" i="9"/>
  <c r="AI36" i="9"/>
  <c r="M7" i="11"/>
  <c r="M5" i="11"/>
  <c r="M18" i="11"/>
  <c r="M11" i="11"/>
  <c r="M10" i="11"/>
  <c r="M12" i="11"/>
  <c r="M9" i="11"/>
  <c r="M8" i="11"/>
  <c r="M13" i="11"/>
  <c r="M6" i="11"/>
  <c r="M29" i="11"/>
  <c r="M26" i="11"/>
  <c r="M42" i="11"/>
  <c r="M23" i="11"/>
  <c r="M39" i="11"/>
  <c r="M28" i="11"/>
  <c r="M44" i="11"/>
  <c r="M16" i="11"/>
  <c r="M33" i="11"/>
  <c r="M30" i="11"/>
  <c r="M27" i="11"/>
  <c r="M43" i="11"/>
  <c r="M15" i="11"/>
  <c r="M32" i="11"/>
  <c r="M25" i="11"/>
  <c r="M41" i="11"/>
  <c r="M22" i="11"/>
  <c r="M38" i="11"/>
  <c r="M19" i="11"/>
  <c r="M35" i="11"/>
  <c r="M34" i="11"/>
  <c r="M14" i="11"/>
  <c r="M40" i="11"/>
  <c r="M31" i="11"/>
  <c r="M20" i="11"/>
  <c r="M21" i="11"/>
  <c r="M24" i="11"/>
  <c r="M37" i="11"/>
  <c r="M17" i="11"/>
  <c r="M36" i="11"/>
  <c r="AI12" i="9"/>
  <c r="AL12" i="9" s="1"/>
  <c r="U58" i="9"/>
  <c r="U5" i="9"/>
  <c r="U26" i="9"/>
  <c r="U20" i="9"/>
  <c r="U17" i="9"/>
  <c r="U50" i="9"/>
  <c r="N23" i="12"/>
  <c r="N23" i="13"/>
  <c r="T17" i="12"/>
  <c r="R17" i="24" s="1"/>
  <c r="R62" i="24" s="1"/>
  <c r="T17" i="13"/>
  <c r="N24" i="12"/>
  <c r="N17" i="12"/>
  <c r="N17" i="24" s="1"/>
  <c r="N62" i="24" s="1"/>
  <c r="N17" i="13"/>
  <c r="N35" i="12"/>
  <c r="N25" i="12"/>
  <c r="N25" i="13"/>
  <c r="N14" i="12"/>
  <c r="N13" i="12"/>
  <c r="N13" i="24" s="1"/>
  <c r="N58" i="24" s="1"/>
  <c r="N13" i="13"/>
  <c r="N10" i="12"/>
  <c r="N36" i="12"/>
  <c r="N36" i="13"/>
  <c r="N16" i="12"/>
  <c r="N16" i="13"/>
  <c r="Q30" i="12"/>
  <c r="R30" i="12" s="1"/>
  <c r="R30" i="11"/>
  <c r="Q30" i="13"/>
  <c r="R30" i="13" s="1"/>
  <c r="Q44" i="12"/>
  <c r="R44" i="12" s="1"/>
  <c r="R44" i="11"/>
  <c r="Q44" i="13"/>
  <c r="R44" i="13" s="1"/>
  <c r="R38" i="11"/>
  <c r="Q38" i="12"/>
  <c r="R38" i="12" s="1"/>
  <c r="Q38" i="13"/>
  <c r="R38" i="13" s="1"/>
  <c r="Q36" i="12"/>
  <c r="R36" i="12" s="1"/>
  <c r="R36" i="11"/>
  <c r="Q36" i="13"/>
  <c r="R36" i="13" s="1"/>
  <c r="Q34" i="12"/>
  <c r="R34" i="12" s="1"/>
  <c r="R34" i="11"/>
  <c r="Q34" i="13"/>
  <c r="R34" i="13" s="1"/>
  <c r="R15" i="11"/>
  <c r="Q15" i="12"/>
  <c r="R15" i="12" s="1"/>
  <c r="Q15" i="13"/>
  <c r="R15" i="13" s="1"/>
  <c r="Q9" i="12"/>
  <c r="R9" i="12" s="1"/>
  <c r="R9" i="11"/>
  <c r="Q9" i="13"/>
  <c r="R9" i="13" s="1"/>
  <c r="Q18" i="12"/>
  <c r="R18" i="12" s="1"/>
  <c r="R18" i="11"/>
  <c r="Q18" i="13"/>
  <c r="R18" i="13" s="1"/>
  <c r="R13" i="11"/>
  <c r="Q13" i="12"/>
  <c r="R13" i="12" s="1"/>
  <c r="Q13" i="13"/>
  <c r="R13" i="13" s="1"/>
  <c r="N38" i="12"/>
  <c r="N38" i="13"/>
  <c r="T29" i="12"/>
  <c r="T29" i="13"/>
  <c r="T19" i="12"/>
  <c r="T19" i="13"/>
  <c r="T21" i="12"/>
  <c r="T21" i="13"/>
  <c r="T27" i="13"/>
  <c r="T16" i="12"/>
  <c r="T16" i="13"/>
  <c r="T23" i="13"/>
  <c r="T9" i="12"/>
  <c r="T9" i="13"/>
  <c r="AD57" i="7"/>
  <c r="AC57" i="9"/>
  <c r="AD57" i="9" s="1"/>
  <c r="AC45" i="9"/>
  <c r="AD45" i="9" s="1"/>
  <c r="AD62" i="7"/>
  <c r="AC62" i="9"/>
  <c r="AD62" i="9" s="1"/>
  <c r="AD48" i="7"/>
  <c r="AC48" i="9"/>
  <c r="AD48" i="9" s="1"/>
  <c r="AC38" i="9"/>
  <c r="AD38" i="9" s="1"/>
  <c r="AD44" i="7"/>
  <c r="AC44" i="9"/>
  <c r="AD44" i="9" s="1"/>
  <c r="AD6" i="7"/>
  <c r="AC6" i="9"/>
  <c r="AD6" i="9" s="1"/>
  <c r="AC23" i="9"/>
  <c r="AD23" i="9" s="1"/>
  <c r="AD13" i="7"/>
  <c r="AC13" i="9"/>
  <c r="AD13" i="9" s="1"/>
  <c r="AD27" i="7"/>
  <c r="AC27" i="9"/>
  <c r="AD27" i="9" s="1"/>
  <c r="AC21" i="9"/>
  <c r="AD21" i="9" s="1"/>
  <c r="R49" i="13"/>
  <c r="R49" i="12"/>
  <c r="R49" i="11"/>
  <c r="R49" i="10"/>
  <c r="AI59" i="9"/>
  <c r="AI58" i="9"/>
  <c r="AI48" i="9"/>
  <c r="AI44" i="9"/>
  <c r="AI33" i="9"/>
  <c r="AI40" i="9"/>
  <c r="AI46" i="9"/>
  <c r="AI35" i="9"/>
  <c r="AI9" i="9"/>
  <c r="AI20" i="9"/>
  <c r="AI13" i="9"/>
  <c r="AI30" i="9"/>
  <c r="AI27" i="9"/>
  <c r="Y18" i="11"/>
  <c r="Y9" i="11"/>
  <c r="Y7" i="11"/>
  <c r="Y12" i="11"/>
  <c r="Y11" i="11"/>
  <c r="Y8" i="11"/>
  <c r="Y6" i="11"/>
  <c r="Y5" i="11"/>
  <c r="Y13" i="11"/>
  <c r="Y10" i="11"/>
  <c r="Y27" i="11"/>
  <c r="Y43" i="11"/>
  <c r="Y24" i="11"/>
  <c r="Y40" i="11"/>
  <c r="Y21" i="11"/>
  <c r="Y37" i="11"/>
  <c r="Y26" i="11"/>
  <c r="Y42" i="11"/>
  <c r="Y14" i="11"/>
  <c r="Y31" i="11"/>
  <c r="Y28" i="11"/>
  <c r="Y44" i="11"/>
  <c r="Y25" i="11"/>
  <c r="Y41" i="11"/>
  <c r="Y30" i="11"/>
  <c r="Y23" i="11"/>
  <c r="Y39" i="11"/>
  <c r="Y20" i="11"/>
  <c r="Y36" i="11"/>
  <c r="Y16" i="11"/>
  <c r="Y33" i="11"/>
  <c r="Y35" i="11"/>
  <c r="Y15" i="11"/>
  <c r="Y22" i="11"/>
  <c r="Y32" i="11"/>
  <c r="Y34" i="11"/>
  <c r="Y29" i="11"/>
  <c r="Y38" i="11"/>
  <c r="Y19" i="11"/>
  <c r="Y17" i="11"/>
  <c r="U11" i="9"/>
  <c r="U23" i="9"/>
  <c r="U15" i="9"/>
  <c r="N40" i="12"/>
  <c r="N40" i="13"/>
  <c r="N41" i="12"/>
  <c r="N41" i="13"/>
  <c r="N12" i="12"/>
  <c r="N12" i="13"/>
  <c r="N26" i="12"/>
  <c r="N26" i="13"/>
  <c r="R14" i="11"/>
  <c r="R8" i="11"/>
  <c r="Q8" i="13"/>
  <c r="R8" i="13" s="1"/>
  <c r="T43" i="12"/>
  <c r="T43" i="13"/>
  <c r="T18" i="12"/>
  <c r="T18" i="13"/>
  <c r="S18" i="11"/>
  <c r="S10" i="11"/>
  <c r="S7" i="11"/>
  <c r="S12" i="11"/>
  <c r="S11" i="11"/>
  <c r="S9" i="11"/>
  <c r="S8" i="11"/>
  <c r="S6" i="11"/>
  <c r="S13" i="11"/>
  <c r="S5" i="11"/>
  <c r="S21" i="11"/>
  <c r="S37" i="11"/>
  <c r="S17" i="11"/>
  <c r="S34" i="11"/>
  <c r="S14" i="11"/>
  <c r="S31" i="11"/>
  <c r="S20" i="11"/>
  <c r="S36" i="11"/>
  <c r="S25" i="11"/>
  <c r="S41" i="11"/>
  <c r="S22" i="11"/>
  <c r="S38" i="11"/>
  <c r="S19" i="11"/>
  <c r="S35" i="11"/>
  <c r="S24" i="11"/>
  <c r="S40" i="11"/>
  <c r="S16" i="11"/>
  <c r="S33" i="11"/>
  <c r="S30" i="11"/>
  <c r="S27" i="11"/>
  <c r="S43" i="11"/>
  <c r="S42" i="11"/>
  <c r="S23" i="11"/>
  <c r="S15" i="11"/>
  <c r="S39" i="11"/>
  <c r="S28" i="11"/>
  <c r="S29" i="11"/>
  <c r="S32" i="11"/>
  <c r="S26" i="11"/>
  <c r="S44" i="11"/>
  <c r="U8" i="11"/>
  <c r="U6" i="11"/>
  <c r="U13" i="11"/>
  <c r="U5" i="11"/>
  <c r="U18" i="11"/>
  <c r="U10" i="11"/>
  <c r="U7" i="11"/>
  <c r="U12" i="11"/>
  <c r="U11" i="11"/>
  <c r="U9" i="11"/>
  <c r="U25" i="11"/>
  <c r="U41" i="11"/>
  <c r="U22" i="11"/>
  <c r="U38" i="11"/>
  <c r="U19" i="11"/>
  <c r="U35" i="11"/>
  <c r="U24" i="11"/>
  <c r="U40" i="11"/>
  <c r="U29" i="11"/>
  <c r="U26" i="11"/>
  <c r="U42" i="11"/>
  <c r="U23" i="11"/>
  <c r="U39" i="11"/>
  <c r="U28" i="11"/>
  <c r="U44" i="11"/>
  <c r="U21" i="11"/>
  <c r="U37" i="11"/>
  <c r="U17" i="11"/>
  <c r="U34" i="11"/>
  <c r="U14" i="11"/>
  <c r="U31" i="11"/>
  <c r="U27" i="11"/>
  <c r="U20" i="11"/>
  <c r="U16" i="11"/>
  <c r="U43" i="11"/>
  <c r="U32" i="11"/>
  <c r="U33" i="11"/>
  <c r="U36" i="11"/>
  <c r="U30" i="11"/>
  <c r="U15" i="11"/>
  <c r="U54" i="9"/>
  <c r="U39" i="9"/>
  <c r="U40" i="9"/>
  <c r="U41" i="9"/>
  <c r="Q27" i="12"/>
  <c r="N37" i="12"/>
  <c r="N37" i="13"/>
  <c r="N43" i="12"/>
  <c r="N43" i="13"/>
  <c r="N29" i="12"/>
  <c r="N29" i="13"/>
  <c r="N19" i="12"/>
  <c r="N19" i="13"/>
  <c r="N44" i="12"/>
  <c r="N44" i="13"/>
  <c r="N5" i="12"/>
  <c r="N5" i="13"/>
  <c r="N46" i="11"/>
  <c r="N8" i="12"/>
  <c r="N8" i="13"/>
  <c r="N11" i="12"/>
  <c r="N11" i="13"/>
  <c r="R43" i="11"/>
  <c r="Q43" i="12"/>
  <c r="Q43" i="13"/>
  <c r="R43" i="13" s="1"/>
  <c r="N22" i="12"/>
  <c r="N22" i="24" s="1"/>
  <c r="N67" i="24" s="1"/>
  <c r="N22" i="13"/>
  <c r="Q40" i="12"/>
  <c r="R40" i="11"/>
  <c r="Q40" i="13"/>
  <c r="R40" i="13" s="1"/>
  <c r="R21" i="11"/>
  <c r="Q21" i="12"/>
  <c r="Q21" i="13"/>
  <c r="R21" i="13" s="1"/>
  <c r="T34" i="12"/>
  <c r="T34" i="13"/>
  <c r="Q28" i="12"/>
  <c r="Q28" i="13"/>
  <c r="R28" i="13" s="1"/>
  <c r="Q22" i="12"/>
  <c r="R22" i="11"/>
  <c r="Q22" i="13"/>
  <c r="R22" i="13" s="1"/>
  <c r="Q20" i="12"/>
  <c r="R20" i="11"/>
  <c r="Q20" i="13"/>
  <c r="R20" i="13" s="1"/>
  <c r="Q17" i="12"/>
  <c r="R17" i="11"/>
  <c r="Q17" i="13"/>
  <c r="R17" i="13" s="1"/>
  <c r="R35" i="11"/>
  <c r="Q35" i="13"/>
  <c r="R35" i="13" s="1"/>
  <c r="Q12" i="12"/>
  <c r="R12" i="11"/>
  <c r="Q12" i="13"/>
  <c r="R12" i="13" s="1"/>
  <c r="Q5" i="12"/>
  <c r="R5" i="11"/>
  <c r="Q5" i="13"/>
  <c r="T14" i="12"/>
  <c r="T14" i="13"/>
  <c r="R42" i="11"/>
  <c r="Q42" i="12"/>
  <c r="Q42" i="13"/>
  <c r="R42" i="13" s="1"/>
  <c r="T32" i="12"/>
  <c r="T32" i="13"/>
  <c r="T42" i="12"/>
  <c r="T42" i="13"/>
  <c r="T40" i="12"/>
  <c r="T40" i="13"/>
  <c r="T38" i="13"/>
  <c r="T36" i="12"/>
  <c r="T36" i="13"/>
  <c r="T7" i="12"/>
  <c r="T7" i="13"/>
  <c r="T13" i="12"/>
  <c r="T13" i="13"/>
  <c r="T11" i="12"/>
  <c r="T11" i="13"/>
  <c r="Q37" i="13"/>
  <c r="R37" i="13" s="1"/>
  <c r="AD35" i="7"/>
  <c r="AC35" i="9"/>
  <c r="AD35" i="9" s="1"/>
  <c r="AD56" i="7"/>
  <c r="AD46" i="7"/>
  <c r="AC46" i="9"/>
  <c r="AD46" i="9" s="1"/>
  <c r="AD42" i="7"/>
  <c r="AC42" i="9"/>
  <c r="AD42" i="9" s="1"/>
  <c r="AD55" i="7"/>
  <c r="AC55" i="9"/>
  <c r="AD55" i="9" s="1"/>
  <c r="AD49" i="7"/>
  <c r="AD51" i="7"/>
  <c r="AC51" i="9"/>
  <c r="AD51" i="9" s="1"/>
  <c r="AD8" i="7"/>
  <c r="AC8" i="9"/>
  <c r="AD8" i="9" s="1"/>
  <c r="AD9" i="7"/>
  <c r="AC9" i="9"/>
  <c r="AD9" i="9" s="1"/>
  <c r="AD26" i="7"/>
  <c r="AD18" i="7"/>
  <c r="AC18" i="9"/>
  <c r="AD18" i="9" s="1"/>
  <c r="AD15" i="7"/>
  <c r="AC15" i="9"/>
  <c r="AD15" i="9" s="1"/>
  <c r="AD30" i="7"/>
  <c r="AC30" i="9"/>
  <c r="AD30" i="9" s="1"/>
  <c r="AD24" i="7"/>
  <c r="AA61" i="9"/>
  <c r="AA57" i="9"/>
  <c r="AA41" i="9"/>
  <c r="AA33" i="9"/>
  <c r="AA55" i="9"/>
  <c r="AA28" i="9"/>
  <c r="AA20" i="9"/>
  <c r="AA42" i="9"/>
  <c r="AA27" i="9"/>
  <c r="AA29" i="9"/>
  <c r="AA14" i="9"/>
  <c r="AA9" i="9"/>
  <c r="AA18" i="9"/>
  <c r="AA13" i="9"/>
  <c r="AA62" i="9"/>
  <c r="AA56" i="9"/>
  <c r="AA47" i="9"/>
  <c r="AA39" i="9"/>
  <c r="AA58" i="9"/>
  <c r="AA49" i="9"/>
  <c r="AA26" i="9"/>
  <c r="AA19" i="9"/>
  <c r="AA38" i="9"/>
  <c r="AA23" i="9"/>
  <c r="AA44" i="9"/>
  <c r="AA12" i="9"/>
  <c r="AA7" i="9"/>
  <c r="AA15" i="9"/>
  <c r="AA21" i="9"/>
  <c r="AA59" i="9"/>
  <c r="AA53" i="9"/>
  <c r="AA54" i="9"/>
  <c r="AA52" i="9"/>
  <c r="AA43" i="9"/>
  <c r="AA35" i="9"/>
  <c r="AA60" i="9"/>
  <c r="AA30" i="9"/>
  <c r="AA22" i="9"/>
  <c r="AA37" i="9"/>
  <c r="AA48" i="9"/>
  <c r="AA40" i="9"/>
  <c r="AA11" i="9"/>
  <c r="AA6" i="9"/>
  <c r="AA50" i="9"/>
  <c r="AA46" i="9"/>
  <c r="AA32" i="9"/>
  <c r="AA10" i="9"/>
  <c r="AA17" i="9"/>
  <c r="AA51" i="9"/>
  <c r="AA34" i="9"/>
  <c r="AA36" i="9"/>
  <c r="AA5" i="9"/>
  <c r="AA8" i="9"/>
  <c r="AA45" i="9"/>
  <c r="AA24" i="9"/>
  <c r="AA31" i="9"/>
  <c r="AA16" i="9"/>
  <c r="AA25" i="9"/>
  <c r="AI38" i="9"/>
  <c r="AI49" i="9"/>
  <c r="AI6" i="9"/>
  <c r="AI15" i="9"/>
  <c r="AI14" i="9"/>
  <c r="U61" i="9"/>
  <c r="U8" i="9"/>
  <c r="U18" i="9"/>
  <c r="U30" i="9"/>
  <c r="N34" i="12"/>
  <c r="N34" i="13"/>
  <c r="N31" i="12"/>
  <c r="N31" i="13"/>
  <c r="Q24" i="12"/>
  <c r="R24" i="11"/>
  <c r="Q24" i="13"/>
  <c r="R24" i="13" s="1"/>
  <c r="R25" i="11"/>
  <c r="Q25" i="12"/>
  <c r="Q25" i="13"/>
  <c r="R25" i="13" s="1"/>
  <c r="R23" i="11"/>
  <c r="Q23" i="12"/>
  <c r="Q23" i="13"/>
  <c r="R23" i="13" s="1"/>
  <c r="R11" i="11"/>
  <c r="Q11" i="12"/>
  <c r="Q11" i="13"/>
  <c r="R11" i="13" s="1"/>
  <c r="T41" i="12"/>
  <c r="T41" i="13"/>
  <c r="T37" i="12"/>
  <c r="T37" i="13"/>
  <c r="T39" i="12"/>
  <c r="T39" i="13"/>
  <c r="AD11" i="7"/>
  <c r="AC11" i="9"/>
  <c r="AD11" i="9" s="1"/>
  <c r="L47" i="13"/>
  <c r="L47" i="12"/>
  <c r="L47" i="11"/>
  <c r="L47" i="10"/>
  <c r="O12" i="11"/>
  <c r="O9" i="11"/>
  <c r="O8" i="11"/>
  <c r="O13" i="11"/>
  <c r="O6" i="11"/>
  <c r="O7" i="11"/>
  <c r="O5" i="11"/>
  <c r="O18" i="11"/>
  <c r="O11" i="11"/>
  <c r="O10" i="11"/>
  <c r="O16" i="11"/>
  <c r="O33" i="11"/>
  <c r="O30" i="11"/>
  <c r="O27" i="11"/>
  <c r="O43" i="11"/>
  <c r="O15" i="11"/>
  <c r="O32" i="11"/>
  <c r="O21" i="11"/>
  <c r="O37" i="11"/>
  <c r="O17" i="11"/>
  <c r="O34" i="11"/>
  <c r="O14" i="11"/>
  <c r="O31" i="11"/>
  <c r="O20" i="11"/>
  <c r="O36" i="11"/>
  <c r="O29" i="11"/>
  <c r="O26" i="11"/>
  <c r="O42" i="11"/>
  <c r="O23" i="11"/>
  <c r="O39" i="11"/>
  <c r="O38" i="11"/>
  <c r="O19" i="11"/>
  <c r="O44" i="11"/>
  <c r="O35" i="11"/>
  <c r="O24" i="11"/>
  <c r="O25" i="11"/>
  <c r="O28" i="11"/>
  <c r="O41" i="11"/>
  <c r="O22" i="11"/>
  <c r="O40" i="11"/>
  <c r="U34" i="9"/>
  <c r="U35" i="9"/>
  <c r="U45" i="9"/>
  <c r="U55" i="9"/>
  <c r="U52" i="9"/>
  <c r="U9" i="9"/>
  <c r="U7" i="9"/>
  <c r="U24" i="9"/>
  <c r="U13" i="9"/>
  <c r="U28" i="9"/>
  <c r="U27" i="9"/>
  <c r="U19" i="9"/>
  <c r="U56" i="9"/>
  <c r="U12" i="9"/>
  <c r="U62" i="9"/>
  <c r="U53" i="9"/>
  <c r="T31" i="12"/>
  <c r="T31" i="13"/>
  <c r="N21" i="12"/>
  <c r="N21" i="13"/>
  <c r="N27" i="12"/>
  <c r="N27" i="13"/>
  <c r="N32" i="12"/>
  <c r="N32" i="13"/>
  <c r="N30" i="12"/>
  <c r="N28" i="12"/>
  <c r="N28" i="13"/>
  <c r="N7" i="12"/>
  <c r="N7" i="13"/>
  <c r="N9" i="12"/>
  <c r="N9" i="13"/>
  <c r="N18" i="12"/>
  <c r="N20" i="12"/>
  <c r="N20" i="13"/>
  <c r="Q26" i="12"/>
  <c r="R26" i="11"/>
  <c r="Q26" i="13"/>
  <c r="R26" i="13" s="1"/>
  <c r="T44" i="12"/>
  <c r="T44" i="13"/>
  <c r="T25" i="12"/>
  <c r="T25" i="13"/>
  <c r="R41" i="11"/>
  <c r="Q41" i="12"/>
  <c r="Q41" i="13"/>
  <c r="R41" i="13" s="1"/>
  <c r="R31" i="11"/>
  <c r="Q31" i="12"/>
  <c r="Q31" i="13"/>
  <c r="R31" i="13" s="1"/>
  <c r="R33" i="11"/>
  <c r="Q33" i="12"/>
  <c r="Q33" i="13"/>
  <c r="R33" i="13" s="1"/>
  <c r="R39" i="11"/>
  <c r="Q39" i="12"/>
  <c r="Q39" i="13"/>
  <c r="R39" i="13" s="1"/>
  <c r="R29" i="11"/>
  <c r="Q29" i="12"/>
  <c r="Q29" i="13"/>
  <c r="R29" i="13" s="1"/>
  <c r="R19" i="11"/>
  <c r="Q19" i="12"/>
  <c r="Q19" i="13"/>
  <c r="R19" i="13" s="1"/>
  <c r="Q10" i="12"/>
  <c r="R10" i="11"/>
  <c r="Q10" i="13"/>
  <c r="R10" i="13" s="1"/>
  <c r="R7" i="11"/>
  <c r="Q7" i="12"/>
  <c r="Q7" i="13"/>
  <c r="R7" i="13" s="1"/>
  <c r="N33" i="12"/>
  <c r="N33" i="13"/>
  <c r="T15" i="12"/>
  <c r="T15" i="13"/>
  <c r="T26" i="12"/>
  <c r="T26" i="13"/>
  <c r="T24" i="12"/>
  <c r="T24" i="13"/>
  <c r="T22" i="12"/>
  <c r="T22" i="13"/>
  <c r="T20" i="12"/>
  <c r="T20" i="13"/>
  <c r="T10" i="12"/>
  <c r="T10" i="13"/>
  <c r="T6" i="12"/>
  <c r="T6" i="13"/>
  <c r="T12" i="12"/>
  <c r="T12" i="13"/>
  <c r="Z57" i="9"/>
  <c r="Z52" i="9"/>
  <c r="Z60" i="9"/>
  <c r="Z44" i="9"/>
  <c r="Z36" i="9"/>
  <c r="Z43" i="9"/>
  <c r="Z29" i="9"/>
  <c r="Z21" i="9"/>
  <c r="Z14" i="9"/>
  <c r="Z9" i="9"/>
  <c r="Z28" i="9"/>
  <c r="Z33" i="9"/>
  <c r="Z19" i="9"/>
  <c r="Z6" i="9"/>
  <c r="Z62" i="9"/>
  <c r="Z55" i="9"/>
  <c r="Z50" i="9"/>
  <c r="Z51" i="9"/>
  <c r="Z42" i="9"/>
  <c r="Z34" i="9"/>
  <c r="Z39" i="9"/>
  <c r="Z27" i="9"/>
  <c r="Z45" i="9"/>
  <c r="Z12" i="9"/>
  <c r="Z7" i="9"/>
  <c r="Z24" i="9"/>
  <c r="Z30" i="9"/>
  <c r="Z8" i="9"/>
  <c r="Z17" i="9"/>
  <c r="Z61" i="9"/>
  <c r="Z53" i="9"/>
  <c r="Z58" i="9"/>
  <c r="Z48" i="9"/>
  <c r="Z40" i="9"/>
  <c r="Z32" i="9"/>
  <c r="Z35" i="9"/>
  <c r="Z25" i="9"/>
  <c r="Z37" i="9"/>
  <c r="Z11" i="9"/>
  <c r="Z5" i="9"/>
  <c r="Z20" i="9"/>
  <c r="Z26" i="9"/>
  <c r="Z18" i="9"/>
  <c r="Z13" i="9"/>
  <c r="Z59" i="9"/>
  <c r="Z56" i="9"/>
  <c r="Z49" i="9"/>
  <c r="Z46" i="9"/>
  <c r="Z38" i="9"/>
  <c r="Z47" i="9"/>
  <c r="Z31" i="9"/>
  <c r="Z23" i="9"/>
  <c r="Z16" i="9"/>
  <c r="Z10" i="9"/>
  <c r="Z54" i="9"/>
  <c r="Z41" i="9"/>
  <c r="Z22" i="9"/>
  <c r="Z15" i="9"/>
  <c r="AD41" i="7"/>
  <c r="AC41" i="9"/>
  <c r="AD41" i="9" s="1"/>
  <c r="AD40" i="7"/>
  <c r="AC40" i="9"/>
  <c r="AD40" i="9" s="1"/>
  <c r="AC59" i="9"/>
  <c r="AD59" i="9" s="1"/>
  <c r="AD53" i="7"/>
  <c r="AC53" i="9"/>
  <c r="AD53" i="9" s="1"/>
  <c r="AD39" i="7"/>
  <c r="AC39" i="9"/>
  <c r="AD39" i="9" s="1"/>
  <c r="AD32" i="7"/>
  <c r="AC32" i="9"/>
  <c r="AD32" i="9" s="1"/>
  <c r="AC34" i="9"/>
  <c r="AD34" i="9" s="1"/>
  <c r="AD5" i="7"/>
  <c r="AC5" i="9"/>
  <c r="AD14" i="7"/>
  <c r="AC14" i="9"/>
  <c r="AD14" i="9" s="1"/>
  <c r="AD31" i="7"/>
  <c r="AC31" i="9"/>
  <c r="AD31" i="9" s="1"/>
  <c r="AD20" i="7"/>
  <c r="AD17" i="7"/>
  <c r="AC17" i="9"/>
  <c r="AD17" i="9" s="1"/>
  <c r="AD10" i="7"/>
  <c r="AC10" i="9"/>
  <c r="AD10" i="9" s="1"/>
  <c r="R48" i="13"/>
  <c r="R48" i="12"/>
  <c r="R48" i="11"/>
  <c r="R48" i="10"/>
  <c r="AI43" i="9"/>
  <c r="AI41" i="9"/>
  <c r="AI39" i="9"/>
  <c r="AI37" i="9"/>
  <c r="AI32" i="9"/>
  <c r="AI8" i="9"/>
  <c r="AI10" i="9"/>
  <c r="AI22" i="9"/>
  <c r="AI19" i="9"/>
  <c r="AI16" i="9"/>
  <c r="N67" i="6"/>
  <c r="D34" i="5"/>
  <c r="L6" i="26" l="1"/>
  <c r="L10" i="26"/>
  <c r="AH18" i="7"/>
  <c r="AH26" i="7"/>
  <c r="AH27" i="7"/>
  <c r="AH30" i="7"/>
  <c r="AH13" i="7"/>
  <c r="AH10" i="7"/>
  <c r="AH34" i="7"/>
  <c r="AH61" i="7"/>
  <c r="AH55" i="7"/>
  <c r="AH49" i="7"/>
  <c r="AH59" i="7"/>
  <c r="AH44" i="7"/>
  <c r="AH46" i="7"/>
  <c r="AH37" i="7"/>
  <c r="AH28" i="7"/>
  <c r="AH28" i="9" s="1"/>
  <c r="AH36" i="7"/>
  <c r="AH36" i="9" s="1"/>
  <c r="AH21" i="7"/>
  <c r="AH21" i="9" s="1"/>
  <c r="AH24" i="7"/>
  <c r="AH24" i="9" s="1"/>
  <c r="AH25" i="7"/>
  <c r="AH25" i="9" s="1"/>
  <c r="AH11" i="7"/>
  <c r="AH11" i="9" s="1"/>
  <c r="AH6" i="7"/>
  <c r="AH6" i="9" s="1"/>
  <c r="AH51" i="7"/>
  <c r="AH51" i="9" s="1"/>
  <c r="AH33" i="7"/>
  <c r="AH33" i="9" s="1"/>
  <c r="AH35" i="7"/>
  <c r="AH35" i="9" s="1"/>
  <c r="AH38" i="7"/>
  <c r="AH38" i="9" s="1"/>
  <c r="AH40" i="7"/>
  <c r="AH40" i="9" s="1"/>
  <c r="AH60" i="7"/>
  <c r="AH60" i="9" s="1"/>
  <c r="AH62" i="7"/>
  <c r="AH62" i="9" s="1"/>
  <c r="AH58" i="7"/>
  <c r="AH58" i="9" s="1"/>
  <c r="AH23" i="7"/>
  <c r="AH23" i="9" s="1"/>
  <c r="AH31" i="7"/>
  <c r="AH31" i="9" s="1"/>
  <c r="AH16" i="7"/>
  <c r="AH16" i="9" s="1"/>
  <c r="AH19" i="7"/>
  <c r="AH19" i="9" s="1"/>
  <c r="AH22" i="7"/>
  <c r="AH22" i="9" s="1"/>
  <c r="AH8" i="7"/>
  <c r="AH8" i="9" s="1"/>
  <c r="AH9" i="7"/>
  <c r="AH9" i="9" s="1"/>
  <c r="AH48" i="7"/>
  <c r="AH48" i="9" s="1"/>
  <c r="AH50" i="7"/>
  <c r="AH50" i="9" s="1"/>
  <c r="AH52" i="7"/>
  <c r="AH52" i="9" s="1"/>
  <c r="AH54" i="7"/>
  <c r="AH54" i="9" s="1"/>
  <c r="AH56" i="7"/>
  <c r="AH56" i="9" s="1"/>
  <c r="AH41" i="7"/>
  <c r="AH41" i="9" s="1"/>
  <c r="AH53" i="7"/>
  <c r="AH53" i="9" s="1"/>
  <c r="AH20" i="7"/>
  <c r="AH20" i="9" s="1"/>
  <c r="AH29" i="7"/>
  <c r="AH14" i="7"/>
  <c r="AH14" i="9" s="1"/>
  <c r="AH17" i="7"/>
  <c r="AH17" i="9" s="1"/>
  <c r="AH15" i="7"/>
  <c r="AH15" i="9" s="1"/>
  <c r="AH5" i="7"/>
  <c r="AH7" i="7"/>
  <c r="AH7" i="9" s="1"/>
  <c r="AH45" i="7"/>
  <c r="AH45" i="9" s="1"/>
  <c r="AH39" i="7"/>
  <c r="AH39" i="9" s="1"/>
  <c r="AH32" i="7"/>
  <c r="AH32" i="9" s="1"/>
  <c r="AH43" i="7"/>
  <c r="AH43" i="9" s="1"/>
  <c r="AH47" i="7"/>
  <c r="AH47" i="9" s="1"/>
  <c r="AH57" i="7"/>
  <c r="AH57" i="9" s="1"/>
  <c r="AH42" i="7"/>
  <c r="AH42" i="9" s="1"/>
  <c r="V67" i="6"/>
  <c r="Y67" i="6"/>
  <c r="P30" i="7"/>
  <c r="P30" i="9" s="1"/>
  <c r="P15" i="7"/>
  <c r="P15" i="9" s="1"/>
  <c r="P25" i="7"/>
  <c r="P25" i="9" s="1"/>
  <c r="P38" i="7"/>
  <c r="P38" i="9" s="1"/>
  <c r="P23" i="7"/>
  <c r="P23" i="9" s="1"/>
  <c r="P36" i="7"/>
  <c r="P36" i="9" s="1"/>
  <c r="P19" i="7"/>
  <c r="P19" i="9" s="1"/>
  <c r="P5" i="7"/>
  <c r="P53" i="7"/>
  <c r="P53" i="9" s="1"/>
  <c r="P59" i="7"/>
  <c r="P59" i="9" s="1"/>
  <c r="P46" i="7"/>
  <c r="P46" i="9" s="1"/>
  <c r="P45" i="7"/>
  <c r="P45" i="9" s="1"/>
  <c r="P49" i="7"/>
  <c r="P49" i="9" s="1"/>
  <c r="P44" i="7"/>
  <c r="P44" i="9" s="1"/>
  <c r="P37" i="7"/>
  <c r="P27" i="7"/>
  <c r="P40" i="7"/>
  <c r="P20" i="7"/>
  <c r="P33" i="7"/>
  <c r="P16" i="7"/>
  <c r="P29" i="7"/>
  <c r="P7" i="7"/>
  <c r="P8" i="7"/>
  <c r="P42" i="7"/>
  <c r="P52" i="7"/>
  <c r="P62" i="7"/>
  <c r="P61" i="7"/>
  <c r="P54" i="7"/>
  <c r="P60" i="7"/>
  <c r="P34" i="7"/>
  <c r="P22" i="7"/>
  <c r="P35" i="7"/>
  <c r="P18" i="7"/>
  <c r="P31" i="7"/>
  <c r="P14" i="7"/>
  <c r="P24" i="7"/>
  <c r="P11" i="7"/>
  <c r="P9" i="7"/>
  <c r="P58" i="7"/>
  <c r="P41" i="7"/>
  <c r="P47" i="7"/>
  <c r="P50" i="7"/>
  <c r="P55" i="7"/>
  <c r="P32" i="7"/>
  <c r="P17" i="7"/>
  <c r="P28" i="7"/>
  <c r="P13" i="7"/>
  <c r="P26" i="7"/>
  <c r="P39" i="7"/>
  <c r="P21" i="7"/>
  <c r="P10" i="7"/>
  <c r="P6" i="7"/>
  <c r="P43" i="7"/>
  <c r="P57" i="7"/>
  <c r="P56" i="7"/>
  <c r="P51" i="7"/>
  <c r="P48" i="7"/>
  <c r="H10" i="25"/>
  <c r="H6" i="25"/>
  <c r="H8" i="25"/>
  <c r="B8" i="25"/>
  <c r="B10" i="25"/>
  <c r="B6" i="25"/>
  <c r="N8" i="25"/>
  <c r="N10" i="25"/>
  <c r="N6" i="25"/>
  <c r="K8" i="25"/>
  <c r="K6" i="25"/>
  <c r="K10" i="25"/>
  <c r="L6" i="25"/>
  <c r="L8" i="25"/>
  <c r="L10" i="25"/>
  <c r="F8" i="25"/>
  <c r="F6" i="25"/>
  <c r="F10" i="25"/>
  <c r="O29" i="7"/>
  <c r="O29" i="9" s="1"/>
  <c r="O30" i="7"/>
  <c r="O30" i="9" s="1"/>
  <c r="O15" i="7"/>
  <c r="O15" i="9" s="1"/>
  <c r="O18" i="7"/>
  <c r="O18" i="9" s="1"/>
  <c r="O23" i="7"/>
  <c r="O23" i="9" s="1"/>
  <c r="O6" i="7"/>
  <c r="O6" i="9" s="1"/>
  <c r="O5" i="7"/>
  <c r="O48" i="7"/>
  <c r="O48" i="9" s="1"/>
  <c r="O58" i="7"/>
  <c r="O58" i="9" s="1"/>
  <c r="O37" i="7"/>
  <c r="O37" i="9" s="1"/>
  <c r="O34" i="7"/>
  <c r="O34" i="9" s="1"/>
  <c r="O41" i="7"/>
  <c r="O41" i="9" s="1"/>
  <c r="O44" i="7"/>
  <c r="O44" i="9" s="1"/>
  <c r="O38" i="7"/>
  <c r="O38" i="9" s="1"/>
  <c r="O24" i="7"/>
  <c r="O24" i="9" s="1"/>
  <c r="O27" i="7"/>
  <c r="O27" i="9" s="1"/>
  <c r="O28" i="7"/>
  <c r="O28" i="9" s="1"/>
  <c r="O13" i="7"/>
  <c r="O13" i="9" s="1"/>
  <c r="O16" i="7"/>
  <c r="O16" i="9" s="1"/>
  <c r="O7" i="7"/>
  <c r="O7" i="9" s="1"/>
  <c r="O8" i="7"/>
  <c r="O8" i="9" s="1"/>
  <c r="O32" i="7"/>
  <c r="O32" i="9" s="1"/>
  <c r="O47" i="7"/>
  <c r="O47" i="9" s="1"/>
  <c r="O53" i="7"/>
  <c r="O53" i="9" s="1"/>
  <c r="O51" i="7"/>
  <c r="O51" i="9" s="1"/>
  <c r="O57" i="7"/>
  <c r="O57" i="9" s="1"/>
  <c r="O60" i="7"/>
  <c r="O60" i="9" s="1"/>
  <c r="O54" i="7"/>
  <c r="O54" i="9" s="1"/>
  <c r="O21" i="7"/>
  <c r="O21" i="9" s="1"/>
  <c r="O22" i="7"/>
  <c r="O22" i="9" s="1"/>
  <c r="O25" i="7"/>
  <c r="O25" i="9" s="1"/>
  <c r="O31" i="7"/>
  <c r="O31" i="9" s="1"/>
  <c r="O14" i="7"/>
  <c r="O14" i="9" s="1"/>
  <c r="O11" i="7"/>
  <c r="O11" i="9" s="1"/>
  <c r="O43" i="7"/>
  <c r="O43" i="9" s="1"/>
  <c r="O49" i="7"/>
  <c r="O49" i="9" s="1"/>
  <c r="O35" i="7"/>
  <c r="O35" i="9" s="1"/>
  <c r="O46" i="7"/>
  <c r="O46" i="9" s="1"/>
  <c r="O40" i="7"/>
  <c r="O40" i="9" s="1"/>
  <c r="O39" i="7"/>
  <c r="O39" i="9" s="1"/>
  <c r="O45" i="7"/>
  <c r="O45" i="9" s="1"/>
  <c r="O33" i="7"/>
  <c r="O33" i="9" s="1"/>
  <c r="O36" i="7"/>
  <c r="O36" i="9" s="1"/>
  <c r="O19" i="7"/>
  <c r="O19" i="9" s="1"/>
  <c r="O17" i="7"/>
  <c r="O17" i="9" s="1"/>
  <c r="O20" i="7"/>
  <c r="O20" i="9" s="1"/>
  <c r="O26" i="7"/>
  <c r="O26" i="9" s="1"/>
  <c r="O9" i="7"/>
  <c r="O9" i="9" s="1"/>
  <c r="O10" i="7"/>
  <c r="O10" i="9" s="1"/>
  <c r="O59" i="7"/>
  <c r="O59" i="9" s="1"/>
  <c r="O42" i="7"/>
  <c r="O42" i="9" s="1"/>
  <c r="O52" i="7"/>
  <c r="O52" i="9" s="1"/>
  <c r="O62" i="7"/>
  <c r="O62" i="9" s="1"/>
  <c r="O56" i="7"/>
  <c r="O56" i="9" s="1"/>
  <c r="O55" i="7"/>
  <c r="O55" i="9" s="1"/>
  <c r="O61" i="7"/>
  <c r="O61" i="9" s="1"/>
  <c r="O50" i="7"/>
  <c r="O50" i="9" s="1"/>
  <c r="U47" i="7"/>
  <c r="U47" i="9" s="1"/>
  <c r="U46" i="7"/>
  <c r="U46" i="9" s="1"/>
  <c r="U44" i="7"/>
  <c r="U44" i="9" s="1"/>
  <c r="U10" i="7"/>
  <c r="U10" i="9" s="1"/>
  <c r="U31" i="7"/>
  <c r="U31" i="9" s="1"/>
  <c r="U6" i="7"/>
  <c r="U6" i="9" s="1"/>
  <c r="U42" i="7"/>
  <c r="U42" i="9" s="1"/>
  <c r="U38" i="7"/>
  <c r="U38" i="9" s="1"/>
  <c r="U14" i="7"/>
  <c r="U14" i="9" s="1"/>
  <c r="U33" i="7"/>
  <c r="U33" i="9" s="1"/>
  <c r="U22" i="7"/>
  <c r="U22" i="9" s="1"/>
  <c r="U21" i="7"/>
  <c r="U21" i="9" s="1"/>
  <c r="U59" i="7"/>
  <c r="U59" i="9" s="1"/>
  <c r="U49" i="7"/>
  <c r="U49" i="9" s="1"/>
  <c r="U51" i="7"/>
  <c r="U51" i="9" s="1"/>
  <c r="U25" i="7"/>
  <c r="U25" i="9" s="1"/>
  <c r="S8" i="25"/>
  <c r="S10" i="25"/>
  <c r="S6" i="25"/>
  <c r="M8" i="25"/>
  <c r="M10" i="25"/>
  <c r="M6" i="25"/>
  <c r="I8" i="25"/>
  <c r="I6" i="25"/>
  <c r="I10" i="25"/>
  <c r="J10" i="25"/>
  <c r="J6" i="25"/>
  <c r="J8" i="25"/>
  <c r="W8" i="25"/>
  <c r="W10" i="25"/>
  <c r="W6" i="25"/>
  <c r="Q8" i="25"/>
  <c r="Q6" i="25"/>
  <c r="Q10" i="25"/>
  <c r="AC29" i="7"/>
  <c r="AC50" i="7"/>
  <c r="AC19" i="7"/>
  <c r="AC54" i="7"/>
  <c r="AC25" i="7"/>
  <c r="AC43" i="7"/>
  <c r="AC16" i="7"/>
  <c r="AC61" i="7"/>
  <c r="X62" i="7"/>
  <c r="X62" i="9" s="1"/>
  <c r="X61" i="7"/>
  <c r="X61" i="9" s="1"/>
  <c r="X44" i="7"/>
  <c r="X44" i="9" s="1"/>
  <c r="X24" i="7"/>
  <c r="X24" i="9" s="1"/>
  <c r="X50" i="7"/>
  <c r="X50" i="9" s="1"/>
  <c r="X22" i="7"/>
  <c r="X22" i="9" s="1"/>
  <c r="X48" i="7"/>
  <c r="X48" i="9" s="1"/>
  <c r="X28" i="7"/>
  <c r="X28" i="9" s="1"/>
  <c r="X13" i="7"/>
  <c r="X13" i="9" s="1"/>
  <c r="X46" i="7"/>
  <c r="X46" i="9" s="1"/>
  <c r="X31" i="7"/>
  <c r="X31" i="9" s="1"/>
  <c r="X14" i="7"/>
  <c r="X14" i="9" s="1"/>
  <c r="X10" i="7"/>
  <c r="X10" i="9" s="1"/>
  <c r="X15" i="7"/>
  <c r="X23" i="7"/>
  <c r="X57" i="7"/>
  <c r="X58" i="7"/>
  <c r="X58" i="9" s="1"/>
  <c r="X39" i="7"/>
  <c r="X21" i="7"/>
  <c r="X21" i="9" s="1"/>
  <c r="X45" i="7"/>
  <c r="X32" i="7"/>
  <c r="X32" i="9" s="1"/>
  <c r="X17" i="7"/>
  <c r="X43" i="7"/>
  <c r="X43" i="9" s="1"/>
  <c r="X25" i="7"/>
  <c r="X11" i="7"/>
  <c r="X11" i="9" s="1"/>
  <c r="X41" i="7"/>
  <c r="X26" i="7"/>
  <c r="X26" i="9" s="1"/>
  <c r="X9" i="7"/>
  <c r="X5" i="7"/>
  <c r="X59" i="7"/>
  <c r="X52" i="7"/>
  <c r="X19" i="7"/>
  <c r="X30" i="7"/>
  <c r="X54" i="7"/>
  <c r="X6" i="7"/>
  <c r="X36" i="7"/>
  <c r="X40" i="7"/>
  <c r="X8" i="7"/>
  <c r="X56" i="7"/>
  <c r="X56" i="9" s="1"/>
  <c r="X55" i="7"/>
  <c r="X55" i="9" s="1"/>
  <c r="X47" i="7"/>
  <c r="X47" i="9" s="1"/>
  <c r="X29" i="7"/>
  <c r="X29" i="9" s="1"/>
  <c r="X53" i="7"/>
  <c r="X53" i="9" s="1"/>
  <c r="X37" i="7"/>
  <c r="X37" i="9" s="1"/>
  <c r="X27" i="7"/>
  <c r="X27" i="9" s="1"/>
  <c r="X51" i="7"/>
  <c r="X51" i="9" s="1"/>
  <c r="X35" i="7"/>
  <c r="X35" i="9" s="1"/>
  <c r="X18" i="7"/>
  <c r="X18" i="9" s="1"/>
  <c r="X49" i="7"/>
  <c r="X49" i="9" s="1"/>
  <c r="X33" i="7"/>
  <c r="X33" i="9" s="1"/>
  <c r="X16" i="7"/>
  <c r="X16" i="9" s="1"/>
  <c r="X7" i="7"/>
  <c r="X7" i="9" s="1"/>
  <c r="X34" i="7"/>
  <c r="X34" i="9" s="1"/>
  <c r="X60" i="7"/>
  <c r="X42" i="7"/>
  <c r="X20" i="7"/>
  <c r="X38" i="7"/>
  <c r="M66" i="6"/>
  <c r="M71" i="6" s="1"/>
  <c r="Q25" i="7"/>
  <c r="Q25" i="9" s="1"/>
  <c r="Q11" i="7"/>
  <c r="Q16" i="7"/>
  <c r="Q16" i="9" s="1"/>
  <c r="Q21" i="7"/>
  <c r="Q32" i="7"/>
  <c r="Q32" i="9" s="1"/>
  <c r="Q10" i="7"/>
  <c r="Q6" i="7"/>
  <c r="Q6" i="9" s="1"/>
  <c r="Q43" i="7"/>
  <c r="Q57" i="7"/>
  <c r="Q57" i="9" s="1"/>
  <c r="Q46" i="7"/>
  <c r="Q46" i="9" s="1"/>
  <c r="Q36" i="7"/>
  <c r="Q31" i="7"/>
  <c r="Q31" i="9" s="1"/>
  <c r="Q29" i="7"/>
  <c r="Q18" i="7"/>
  <c r="Q18" i="9" s="1"/>
  <c r="Q17" i="7"/>
  <c r="Q17" i="9" s="1"/>
  <c r="Q48" i="7"/>
  <c r="Q48" i="9" s="1"/>
  <c r="Q22" i="7"/>
  <c r="Q20" i="7"/>
  <c r="Q20" i="9" s="1"/>
  <c r="Q38" i="7"/>
  <c r="Q38" i="9" s="1"/>
  <c r="Q14" i="7"/>
  <c r="Q14" i="9" s="1"/>
  <c r="Q19" i="7"/>
  <c r="Q19" i="9" s="1"/>
  <c r="Q27" i="7"/>
  <c r="Q27" i="9" s="1"/>
  <c r="Q5" i="7"/>
  <c r="Q7" i="7"/>
  <c r="Q7" i="9" s="1"/>
  <c r="Q59" i="7"/>
  <c r="Q59" i="9" s="1"/>
  <c r="Q42" i="7"/>
  <c r="Q42" i="9" s="1"/>
  <c r="Q52" i="7"/>
  <c r="Q52" i="9" s="1"/>
  <c r="Q62" i="7"/>
  <c r="Q62" i="9" s="1"/>
  <c r="Q56" i="7"/>
  <c r="Q56" i="9" s="1"/>
  <c r="Q55" i="7"/>
  <c r="Q55" i="9" s="1"/>
  <c r="Q53" i="7"/>
  <c r="Q53" i="9" s="1"/>
  <c r="Q40" i="7"/>
  <c r="Q40" i="9" s="1"/>
  <c r="Q39" i="7"/>
  <c r="Q8" i="7"/>
  <c r="Q8" i="9" s="1"/>
  <c r="Q58" i="7"/>
  <c r="Q58" i="9" s="1"/>
  <c r="Q44" i="7"/>
  <c r="Q44" i="9" s="1"/>
  <c r="Q33" i="7"/>
  <c r="Q33" i="9" s="1"/>
  <c r="Q30" i="7"/>
  <c r="Q23" i="7"/>
  <c r="Q23" i="9" s="1"/>
  <c r="Q35" i="7"/>
  <c r="Q13" i="7"/>
  <c r="Q26" i="7"/>
  <c r="Q24" i="7"/>
  <c r="Q34" i="7"/>
  <c r="Q15" i="7"/>
  <c r="Q9" i="7"/>
  <c r="Q54" i="7"/>
  <c r="Q41" i="7"/>
  <c r="Q47" i="7"/>
  <c r="Q61" i="7"/>
  <c r="Q51" i="7"/>
  <c r="Q50" i="7"/>
  <c r="Q60" i="7"/>
  <c r="Q28" i="7"/>
  <c r="Q37" i="7"/>
  <c r="Q37" i="9" s="1"/>
  <c r="Q45" i="7"/>
  <c r="Q49" i="7"/>
  <c r="Q49" i="9" s="1"/>
  <c r="C8" i="25"/>
  <c r="C6" i="25"/>
  <c r="C10" i="25"/>
  <c r="D8" i="25"/>
  <c r="D10" i="25"/>
  <c r="D6" i="25"/>
  <c r="P6" i="25"/>
  <c r="P8" i="25"/>
  <c r="P10" i="25"/>
  <c r="U8" i="25"/>
  <c r="U6" i="25"/>
  <c r="U10" i="25"/>
  <c r="G8" i="25"/>
  <c r="G6" i="25"/>
  <c r="G10" i="25"/>
  <c r="T8" i="25"/>
  <c r="T10" i="25"/>
  <c r="T6" i="25"/>
  <c r="N16" i="24"/>
  <c r="N61" i="24" s="1"/>
  <c r="N25" i="24"/>
  <c r="N70" i="24" s="1"/>
  <c r="W31" i="7"/>
  <c r="W31" i="9" s="1"/>
  <c r="W14" i="7"/>
  <c r="W14" i="9" s="1"/>
  <c r="W21" i="7"/>
  <c r="W21" i="9" s="1"/>
  <c r="W22" i="7"/>
  <c r="W22" i="9" s="1"/>
  <c r="W25" i="7"/>
  <c r="W25" i="9" s="1"/>
  <c r="W11" i="7"/>
  <c r="W11" i="9" s="1"/>
  <c r="W7" i="7"/>
  <c r="W7" i="9" s="1"/>
  <c r="W49" i="7"/>
  <c r="W49" i="9" s="1"/>
  <c r="W35" i="7"/>
  <c r="W35" i="9" s="1"/>
  <c r="W38" i="7"/>
  <c r="W38" i="9" s="1"/>
  <c r="W40" i="7"/>
  <c r="W40" i="9" s="1"/>
  <c r="W42" i="7"/>
  <c r="W42" i="9" s="1"/>
  <c r="W61" i="7"/>
  <c r="W61" i="9" s="1"/>
  <c r="W59" i="7"/>
  <c r="W59" i="9" s="1"/>
  <c r="W60" i="7"/>
  <c r="W60" i="9" s="1"/>
  <c r="W26" i="7"/>
  <c r="W26" i="9" s="1"/>
  <c r="W36" i="7"/>
  <c r="W36" i="9" s="1"/>
  <c r="W19" i="7"/>
  <c r="W19" i="9" s="1"/>
  <c r="W17" i="7"/>
  <c r="W17" i="9" s="1"/>
  <c r="W20" i="7"/>
  <c r="W20" i="9" s="1"/>
  <c r="W8" i="7"/>
  <c r="W8" i="9" s="1"/>
  <c r="W10" i="7"/>
  <c r="W10" i="9" s="1"/>
  <c r="W33" i="7"/>
  <c r="W33" i="9" s="1"/>
  <c r="W52" i="7"/>
  <c r="W52" i="9" s="1"/>
  <c r="W54" i="7"/>
  <c r="W54" i="9" s="1"/>
  <c r="W56" i="7"/>
  <c r="W58" i="7"/>
  <c r="W58" i="9" s="1"/>
  <c r="W46" i="7"/>
  <c r="W46" i="9" s="1"/>
  <c r="W48" i="7"/>
  <c r="W48" i="9" s="1"/>
  <c r="W5" i="7"/>
  <c r="W23" i="7"/>
  <c r="W23" i="9" s="1"/>
  <c r="W29" i="7"/>
  <c r="W29" i="9" s="1"/>
  <c r="W30" i="7"/>
  <c r="W30" i="9" s="1"/>
  <c r="W15" i="7"/>
  <c r="W15" i="9" s="1"/>
  <c r="W18" i="7"/>
  <c r="W18" i="9" s="1"/>
  <c r="W9" i="7"/>
  <c r="W9" i="9" s="1"/>
  <c r="W50" i="7"/>
  <c r="W50" i="9" s="1"/>
  <c r="W37" i="7"/>
  <c r="W37" i="9" s="1"/>
  <c r="W34" i="7"/>
  <c r="W34" i="9" s="1"/>
  <c r="W41" i="7"/>
  <c r="W41" i="9" s="1"/>
  <c r="W39" i="7"/>
  <c r="W39" i="9" s="1"/>
  <c r="W62" i="7"/>
  <c r="W62" i="9" s="1"/>
  <c r="W55" i="7"/>
  <c r="W55" i="9" s="1"/>
  <c r="W16" i="7"/>
  <c r="W16" i="9" s="1"/>
  <c r="W24" i="7"/>
  <c r="W24" i="9" s="1"/>
  <c r="W27" i="7"/>
  <c r="W27" i="9" s="1"/>
  <c r="W28" i="7"/>
  <c r="W28" i="9" s="1"/>
  <c r="W13" i="7"/>
  <c r="W13" i="9" s="1"/>
  <c r="W6" i="7"/>
  <c r="W6" i="9" s="1"/>
  <c r="W32" i="7"/>
  <c r="W32" i="9" s="1"/>
  <c r="W47" i="7"/>
  <c r="W53" i="7"/>
  <c r="W53" i="9" s="1"/>
  <c r="W51" i="7"/>
  <c r="W51" i="9" s="1"/>
  <c r="W57" i="7"/>
  <c r="W57" i="9" s="1"/>
  <c r="W45" i="7"/>
  <c r="W45" i="9" s="1"/>
  <c r="W43" i="7"/>
  <c r="W43" i="9" s="1"/>
  <c r="W44" i="7"/>
  <c r="W44" i="9" s="1"/>
  <c r="L20" i="7"/>
  <c r="L20" i="9" s="1"/>
  <c r="L38" i="7"/>
  <c r="L38" i="9" s="1"/>
  <c r="L14" i="7"/>
  <c r="L14" i="9" s="1"/>
  <c r="L19" i="7"/>
  <c r="L19" i="9" s="1"/>
  <c r="L27" i="7"/>
  <c r="L27" i="9" s="1"/>
  <c r="L5" i="7"/>
  <c r="L7" i="7"/>
  <c r="L7" i="9" s="1"/>
  <c r="L49" i="7"/>
  <c r="L49" i="9" s="1"/>
  <c r="L51" i="7"/>
  <c r="L51" i="9" s="1"/>
  <c r="L53" i="7"/>
  <c r="L53" i="9" s="1"/>
  <c r="L55" i="7"/>
  <c r="L55" i="9" s="1"/>
  <c r="L57" i="7"/>
  <c r="L57" i="9" s="1"/>
  <c r="L45" i="7"/>
  <c r="L45" i="9" s="1"/>
  <c r="L22" i="7"/>
  <c r="L22" i="9" s="1"/>
  <c r="L40" i="7"/>
  <c r="L40" i="9" s="1"/>
  <c r="L18" i="7"/>
  <c r="L18" i="9" s="1"/>
  <c r="L33" i="7"/>
  <c r="L33" i="9" s="1"/>
  <c r="L39" i="7"/>
  <c r="L39" i="9" s="1"/>
  <c r="L37" i="7"/>
  <c r="L37" i="9" s="1"/>
  <c r="L17" i="7"/>
  <c r="L17" i="9" s="1"/>
  <c r="L8" i="7"/>
  <c r="L8" i="9" s="1"/>
  <c r="L47" i="7"/>
  <c r="L47" i="9" s="1"/>
  <c r="L42" i="7"/>
  <c r="L42" i="9" s="1"/>
  <c r="L36" i="7"/>
  <c r="L36" i="9" s="1"/>
  <c r="L46" i="7"/>
  <c r="L46" i="9" s="1"/>
  <c r="L44" i="7"/>
  <c r="L44" i="9" s="1"/>
  <c r="L43" i="7"/>
  <c r="L43" i="9" s="1"/>
  <c r="L61" i="7"/>
  <c r="L61" i="9" s="1"/>
  <c r="L50" i="7"/>
  <c r="L50" i="9" s="1"/>
  <c r="L35" i="7"/>
  <c r="L35" i="9" s="1"/>
  <c r="L13" i="7"/>
  <c r="L13" i="9" s="1"/>
  <c r="L26" i="7"/>
  <c r="L26" i="9" s="1"/>
  <c r="L24" i="7"/>
  <c r="L24" i="9" s="1"/>
  <c r="L34" i="7"/>
  <c r="L34" i="9" s="1"/>
  <c r="L15" i="7"/>
  <c r="L15" i="9" s="1"/>
  <c r="L9" i="7"/>
  <c r="L9" i="9" s="1"/>
  <c r="L28" i="7"/>
  <c r="L28" i="9" s="1"/>
  <c r="L58" i="7"/>
  <c r="L58" i="9" s="1"/>
  <c r="L56" i="7"/>
  <c r="L56" i="9" s="1"/>
  <c r="L62" i="7"/>
  <c r="L62" i="9" s="1"/>
  <c r="L60" i="7"/>
  <c r="L60" i="9" s="1"/>
  <c r="L59" i="7"/>
  <c r="L59" i="9" s="1"/>
  <c r="L30" i="7"/>
  <c r="L30" i="9" s="1"/>
  <c r="L25" i="7"/>
  <c r="L25" i="9" s="1"/>
  <c r="L11" i="7"/>
  <c r="L11" i="9" s="1"/>
  <c r="L16" i="7"/>
  <c r="L16" i="9" s="1"/>
  <c r="L21" i="7"/>
  <c r="L21" i="9" s="1"/>
  <c r="L32" i="7"/>
  <c r="L32" i="9" s="1"/>
  <c r="L10" i="7"/>
  <c r="L10" i="9" s="1"/>
  <c r="L6" i="7"/>
  <c r="L6" i="9" s="1"/>
  <c r="L52" i="7"/>
  <c r="L52" i="9" s="1"/>
  <c r="L23" i="7"/>
  <c r="L23" i="9" s="1"/>
  <c r="L29" i="7"/>
  <c r="L29" i="9" s="1"/>
  <c r="L31" i="7"/>
  <c r="L31" i="9" s="1"/>
  <c r="L41" i="7"/>
  <c r="L41" i="9" s="1"/>
  <c r="L48" i="7"/>
  <c r="L48" i="9" s="1"/>
  <c r="L54" i="7"/>
  <c r="L54" i="9" s="1"/>
  <c r="S21" i="7"/>
  <c r="S22" i="7"/>
  <c r="S25" i="7"/>
  <c r="S11" i="7"/>
  <c r="S16" i="7"/>
  <c r="S7" i="7"/>
  <c r="S33" i="7"/>
  <c r="S44" i="7"/>
  <c r="S38" i="7"/>
  <c r="S48" i="7"/>
  <c r="S58" i="7"/>
  <c r="S46" i="7"/>
  <c r="S40" i="7"/>
  <c r="S61" i="7"/>
  <c r="S34" i="7"/>
  <c r="S36" i="7"/>
  <c r="S19" i="7"/>
  <c r="S17" i="7"/>
  <c r="S20" i="7"/>
  <c r="S31" i="7"/>
  <c r="S14" i="7"/>
  <c r="S10" i="7"/>
  <c r="S50" i="7"/>
  <c r="S60" i="7"/>
  <c r="S54" i="7"/>
  <c r="S41" i="7"/>
  <c r="S47" i="7"/>
  <c r="S62" i="7"/>
  <c r="S56" i="7"/>
  <c r="S45" i="7"/>
  <c r="S29" i="7"/>
  <c r="S15" i="7"/>
  <c r="S18" i="7"/>
  <c r="S9" i="7"/>
  <c r="S5" i="7"/>
  <c r="S43" i="7"/>
  <c r="S35" i="7"/>
  <c r="S30" i="7"/>
  <c r="S26" i="7"/>
  <c r="S39" i="7"/>
  <c r="S57" i="7"/>
  <c r="S32" i="7"/>
  <c r="S24" i="7"/>
  <c r="S27" i="7"/>
  <c r="S28" i="7"/>
  <c r="S13" i="7"/>
  <c r="S23" i="7"/>
  <c r="S6" i="7"/>
  <c r="S8" i="7"/>
  <c r="S55" i="7"/>
  <c r="S53" i="7"/>
  <c r="S59" i="7"/>
  <c r="S42" i="7"/>
  <c r="S52" i="7"/>
  <c r="S51" i="7"/>
  <c r="S49" i="7"/>
  <c r="S37" i="7"/>
  <c r="R16" i="7"/>
  <c r="R16" i="9" s="1"/>
  <c r="R29" i="7"/>
  <c r="R29" i="9" s="1"/>
  <c r="R27" i="7"/>
  <c r="R27" i="9" s="1"/>
  <c r="R40" i="7"/>
  <c r="R40" i="9" s="1"/>
  <c r="R8" i="7"/>
  <c r="R8" i="9" s="1"/>
  <c r="R42" i="7"/>
  <c r="R42" i="9" s="1"/>
  <c r="R55" i="7"/>
  <c r="R55" i="9" s="1"/>
  <c r="R54" i="7"/>
  <c r="R54" i="9" s="1"/>
  <c r="R26" i="7"/>
  <c r="R26" i="9" s="1"/>
  <c r="R17" i="7"/>
  <c r="R17" i="9" s="1"/>
  <c r="R6" i="7"/>
  <c r="R6" i="9" s="1"/>
  <c r="R45" i="7"/>
  <c r="R45" i="9" s="1"/>
  <c r="R31" i="7"/>
  <c r="R31" i="9" s="1"/>
  <c r="R14" i="7"/>
  <c r="R14" i="9" s="1"/>
  <c r="R24" i="7"/>
  <c r="R24" i="9" s="1"/>
  <c r="R34" i="7"/>
  <c r="R34" i="9" s="1"/>
  <c r="R22" i="7"/>
  <c r="R22" i="9" s="1"/>
  <c r="R35" i="7"/>
  <c r="R35" i="9" s="1"/>
  <c r="R18" i="7"/>
  <c r="R18" i="9" s="1"/>
  <c r="R9" i="7"/>
  <c r="R9" i="9" s="1"/>
  <c r="R5" i="7"/>
  <c r="R58" i="7"/>
  <c r="R58" i="9" s="1"/>
  <c r="R57" i="7"/>
  <c r="R57" i="9" s="1"/>
  <c r="R56" i="7"/>
  <c r="R56" i="9" s="1"/>
  <c r="R44" i="7"/>
  <c r="R44" i="9" s="1"/>
  <c r="R47" i="7"/>
  <c r="R47" i="9" s="1"/>
  <c r="R39" i="7"/>
  <c r="R39" i="9" s="1"/>
  <c r="R28" i="7"/>
  <c r="R28" i="9" s="1"/>
  <c r="R51" i="7"/>
  <c r="R51" i="9" s="1"/>
  <c r="R43" i="7"/>
  <c r="R43" i="9" s="1"/>
  <c r="R21" i="7"/>
  <c r="R21" i="9" s="1"/>
  <c r="R48" i="7"/>
  <c r="R48" i="9" s="1"/>
  <c r="R60" i="7"/>
  <c r="R60" i="9" s="1"/>
  <c r="R38" i="7"/>
  <c r="R38" i="9" s="1"/>
  <c r="R23" i="7"/>
  <c r="R23" i="9" s="1"/>
  <c r="R36" i="7"/>
  <c r="R36" i="9" s="1"/>
  <c r="R19" i="7"/>
  <c r="R19" i="9" s="1"/>
  <c r="R30" i="7"/>
  <c r="R30" i="9" s="1"/>
  <c r="R15" i="7"/>
  <c r="R15" i="9" s="1"/>
  <c r="R25" i="7"/>
  <c r="R25" i="9" s="1"/>
  <c r="R11" i="7"/>
  <c r="R11" i="9" s="1"/>
  <c r="R7" i="7"/>
  <c r="R7" i="9" s="1"/>
  <c r="R53" i="7"/>
  <c r="R53" i="9" s="1"/>
  <c r="R52" i="7"/>
  <c r="R52" i="9" s="1"/>
  <c r="R62" i="7"/>
  <c r="R62" i="9" s="1"/>
  <c r="R61" i="7"/>
  <c r="R61" i="9" s="1"/>
  <c r="R49" i="7"/>
  <c r="R49" i="9" s="1"/>
  <c r="R59" i="7"/>
  <c r="R59" i="9" s="1"/>
  <c r="R33" i="7"/>
  <c r="R33" i="9" s="1"/>
  <c r="R37" i="7"/>
  <c r="R37" i="9" s="1"/>
  <c r="R20" i="7"/>
  <c r="R20" i="9" s="1"/>
  <c r="R10" i="7"/>
  <c r="R10" i="9" s="1"/>
  <c r="R41" i="7"/>
  <c r="R41" i="9" s="1"/>
  <c r="R50" i="7"/>
  <c r="R50" i="9" s="1"/>
  <c r="R32" i="7"/>
  <c r="R32" i="9" s="1"/>
  <c r="R13" i="7"/>
  <c r="R13" i="9" s="1"/>
  <c r="R46" i="7"/>
  <c r="R46" i="9" s="1"/>
  <c r="AI26" i="7"/>
  <c r="AI26" i="9" s="1"/>
  <c r="AI23" i="7"/>
  <c r="AI23" i="9" s="1"/>
  <c r="AI42" i="7"/>
  <c r="AI42" i="9" s="1"/>
  <c r="AI5" i="7"/>
  <c r="AI5" i="9" s="1"/>
  <c r="AI29" i="7"/>
  <c r="AI29" i="9" s="1"/>
  <c r="AI51" i="7"/>
  <c r="AI51" i="9" s="1"/>
  <c r="AI17" i="7"/>
  <c r="AI17" i="9" s="1"/>
  <c r="AI55" i="7"/>
  <c r="AI55" i="9" s="1"/>
  <c r="R6" i="25"/>
  <c r="R8" i="25"/>
  <c r="R10" i="25"/>
  <c r="O6" i="25"/>
  <c r="O8" i="25"/>
  <c r="O10" i="25"/>
  <c r="E8" i="25"/>
  <c r="E10" i="25"/>
  <c r="E6" i="25"/>
  <c r="V8" i="25"/>
  <c r="V10" i="25"/>
  <c r="V6" i="25"/>
  <c r="AA43" i="8"/>
  <c r="Z43" i="23" s="1"/>
  <c r="Z106" i="23" s="1"/>
  <c r="AA57" i="8"/>
  <c r="Z57" i="23" s="1"/>
  <c r="Z120" i="23" s="1"/>
  <c r="AA38" i="8"/>
  <c r="Z38" i="23" s="1"/>
  <c r="Z101" i="23" s="1"/>
  <c r="AA27" i="8"/>
  <c r="Z27" i="23" s="1"/>
  <c r="Z90" i="23" s="1"/>
  <c r="AA5" i="8"/>
  <c r="Z5" i="23" s="1"/>
  <c r="Z68" i="23" s="1"/>
  <c r="AA9" i="8"/>
  <c r="Z9" i="23" s="1"/>
  <c r="Z72" i="23" s="1"/>
  <c r="AA37" i="8"/>
  <c r="Z37" i="23" s="1"/>
  <c r="Z100" i="23" s="1"/>
  <c r="AA33" i="8"/>
  <c r="Z33" i="23" s="1"/>
  <c r="Z96" i="23" s="1"/>
  <c r="AA20" i="8"/>
  <c r="Z20" i="23" s="1"/>
  <c r="Z83" i="23" s="1"/>
  <c r="AA17" i="8"/>
  <c r="Z17" i="23" s="1"/>
  <c r="Z80" i="23" s="1"/>
  <c r="AA55" i="8"/>
  <c r="Z55" i="23" s="1"/>
  <c r="Z118" i="23" s="1"/>
  <c r="AA40" i="8"/>
  <c r="Z40" i="23" s="1"/>
  <c r="Z103" i="23" s="1"/>
  <c r="AA54" i="8"/>
  <c r="Z54" i="23" s="1"/>
  <c r="Z117" i="23" s="1"/>
  <c r="AA39" i="8"/>
  <c r="Z39" i="23" s="1"/>
  <c r="Z102" i="23" s="1"/>
  <c r="AA53" i="8"/>
  <c r="Z53" i="23" s="1"/>
  <c r="Z116" i="23" s="1"/>
  <c r="AA36" i="8"/>
  <c r="Z36" i="23" s="1"/>
  <c r="Z99" i="23" s="1"/>
  <c r="AA52" i="8"/>
  <c r="Z52" i="23" s="1"/>
  <c r="Z115" i="23" s="1"/>
  <c r="AA35" i="8"/>
  <c r="Z35" i="23" s="1"/>
  <c r="Z98" i="23" s="1"/>
  <c r="AA14" i="8"/>
  <c r="Z14" i="23" s="1"/>
  <c r="Z77" i="23" s="1"/>
  <c r="AA22" i="8"/>
  <c r="Z22" i="23" s="1"/>
  <c r="Z85" i="23" s="1"/>
  <c r="AA13" i="8"/>
  <c r="Z13" i="23" s="1"/>
  <c r="Z76" i="23" s="1"/>
  <c r="AA31" i="8"/>
  <c r="Z31" i="23" s="1"/>
  <c r="Z94" i="23" s="1"/>
  <c r="AA7" i="8"/>
  <c r="Z7" i="23" s="1"/>
  <c r="Z70" i="23" s="1"/>
  <c r="AA19" i="8"/>
  <c r="Z19" i="23" s="1"/>
  <c r="Z82" i="23" s="1"/>
  <c r="AA6" i="8"/>
  <c r="Z6" i="23" s="1"/>
  <c r="Z69" i="23" s="1"/>
  <c r="AA34" i="8"/>
  <c r="Z34" i="23" s="1"/>
  <c r="Z97" i="23" s="1"/>
  <c r="AA30" i="8"/>
  <c r="Z30" i="23" s="1"/>
  <c r="Z93" i="23" s="1"/>
  <c r="AA29" i="8"/>
  <c r="Z29" i="23" s="1"/>
  <c r="Z92" i="23" s="1"/>
  <c r="AA50" i="8"/>
  <c r="Z50" i="23" s="1"/>
  <c r="Z113" i="23" s="1"/>
  <c r="AA48" i="8"/>
  <c r="Z48" i="23" s="1"/>
  <c r="Z111" i="23" s="1"/>
  <c r="AA12" i="8"/>
  <c r="Z12" i="23" s="1"/>
  <c r="Z75" i="23" s="1"/>
  <c r="AA47" i="8"/>
  <c r="Z47" i="23" s="1"/>
  <c r="Z110" i="23" s="1"/>
  <c r="AA62" i="8"/>
  <c r="Z62" i="23" s="1"/>
  <c r="Z125" i="23" s="1"/>
  <c r="AA46" i="8"/>
  <c r="Z46" i="23" s="1"/>
  <c r="Z109" i="23" s="1"/>
  <c r="AA61" i="8"/>
  <c r="Z61" i="23" s="1"/>
  <c r="Z124" i="23" s="1"/>
  <c r="AA45" i="8"/>
  <c r="Z45" i="23" s="1"/>
  <c r="Z108" i="23" s="1"/>
  <c r="AA60" i="8"/>
  <c r="Z60" i="23" s="1"/>
  <c r="Z123" i="23" s="1"/>
  <c r="AA44" i="8"/>
  <c r="Z44" i="23" s="1"/>
  <c r="Z107" i="23" s="1"/>
  <c r="AA28" i="8"/>
  <c r="Z28" i="23" s="1"/>
  <c r="Z91" i="23" s="1"/>
  <c r="AA32" i="8"/>
  <c r="Z32" i="23" s="1"/>
  <c r="Z95" i="23" s="1"/>
  <c r="AA18" i="8"/>
  <c r="Z18" i="23" s="1"/>
  <c r="Z81" i="23" s="1"/>
  <c r="AA10" i="8"/>
  <c r="Z10" i="23" s="1"/>
  <c r="Z73" i="23" s="1"/>
  <c r="AA24" i="8"/>
  <c r="Z24" i="23" s="1"/>
  <c r="Z87" i="23" s="1"/>
  <c r="AA23" i="8"/>
  <c r="Z23" i="23" s="1"/>
  <c r="Z86" i="23" s="1"/>
  <c r="AA11" i="8"/>
  <c r="Z11" i="23" s="1"/>
  <c r="Z74" i="23" s="1"/>
  <c r="AA59" i="8"/>
  <c r="Z59" i="23" s="1"/>
  <c r="Z122" i="23" s="1"/>
  <c r="AA58" i="8"/>
  <c r="Z58" i="23" s="1"/>
  <c r="Z121" i="23" s="1"/>
  <c r="AA42" i="8"/>
  <c r="Z42" i="23" s="1"/>
  <c r="Z105" i="23" s="1"/>
  <c r="AA41" i="8"/>
  <c r="Z41" i="23" s="1"/>
  <c r="Z104" i="23" s="1"/>
  <c r="AA56" i="8"/>
  <c r="Z56" i="23" s="1"/>
  <c r="Z119" i="23" s="1"/>
  <c r="AA25" i="8"/>
  <c r="Z25" i="23" s="1"/>
  <c r="Z88" i="23" s="1"/>
  <c r="AA16" i="8"/>
  <c r="Z16" i="23" s="1"/>
  <c r="Z79" i="23" s="1"/>
  <c r="AA15" i="8"/>
  <c r="Z15" i="23" s="1"/>
  <c r="Z78" i="23" s="1"/>
  <c r="AA21" i="8"/>
  <c r="Z21" i="23" s="1"/>
  <c r="Z84" i="23" s="1"/>
  <c r="AA51" i="8"/>
  <c r="Z51" i="23" s="1"/>
  <c r="Z114" i="23" s="1"/>
  <c r="AA49" i="8"/>
  <c r="Z49" i="23" s="1"/>
  <c r="Z112" i="23" s="1"/>
  <c r="AA8" i="8"/>
  <c r="Z8" i="23" s="1"/>
  <c r="Z71" i="23" s="1"/>
  <c r="AA26" i="8"/>
  <c r="Z26" i="23" s="1"/>
  <c r="Z89" i="23" s="1"/>
  <c r="Z52" i="8"/>
  <c r="Y52" i="23" s="1"/>
  <c r="Y115" i="23" s="1"/>
  <c r="Z35" i="8"/>
  <c r="Y35" i="23" s="1"/>
  <c r="Y98" i="23" s="1"/>
  <c r="Z47" i="8"/>
  <c r="Y47" i="23" s="1"/>
  <c r="Y110" i="23" s="1"/>
  <c r="Z62" i="8"/>
  <c r="Y62" i="23" s="1"/>
  <c r="Y125" i="23" s="1"/>
  <c r="Z46" i="8"/>
  <c r="Y46" i="23" s="1"/>
  <c r="Y109" i="23" s="1"/>
  <c r="Z61" i="8"/>
  <c r="Y61" i="23" s="1"/>
  <c r="Y124" i="23" s="1"/>
  <c r="Z45" i="8"/>
  <c r="Y45" i="23" s="1"/>
  <c r="Y108" i="23" s="1"/>
  <c r="Z26" i="8"/>
  <c r="Y26" i="23" s="1"/>
  <c r="Y89" i="23" s="1"/>
  <c r="Z17" i="8"/>
  <c r="Y17" i="23" s="1"/>
  <c r="Y80" i="23" s="1"/>
  <c r="Z30" i="8"/>
  <c r="Y30" i="23" s="1"/>
  <c r="Y93" i="23" s="1"/>
  <c r="Z8" i="8"/>
  <c r="Y8" i="23" s="1"/>
  <c r="Y71" i="23" s="1"/>
  <c r="Z20" i="8"/>
  <c r="Y20" i="23" s="1"/>
  <c r="Y83" i="23" s="1"/>
  <c r="Z12" i="8"/>
  <c r="Y12" i="23" s="1"/>
  <c r="Y75" i="23" s="1"/>
  <c r="Z29" i="8"/>
  <c r="Y29" i="23" s="1"/>
  <c r="Y92" i="23" s="1"/>
  <c r="Z53" i="8"/>
  <c r="Y53" i="23" s="1"/>
  <c r="Y116" i="23" s="1"/>
  <c r="Z48" i="8"/>
  <c r="Y48" i="23" s="1"/>
  <c r="Y111" i="23" s="1"/>
  <c r="Z59" i="8"/>
  <c r="Y59" i="23" s="1"/>
  <c r="Y122" i="23" s="1"/>
  <c r="Z43" i="8"/>
  <c r="Y43" i="23" s="1"/>
  <c r="Y106" i="23" s="1"/>
  <c r="Z58" i="8"/>
  <c r="Y58" i="23" s="1"/>
  <c r="Y121" i="23" s="1"/>
  <c r="Z42" i="8"/>
  <c r="Y42" i="23" s="1"/>
  <c r="Y105" i="23" s="1"/>
  <c r="Z57" i="8"/>
  <c r="Y57" i="23" s="1"/>
  <c r="Y120" i="23" s="1"/>
  <c r="Z41" i="8"/>
  <c r="Y41" i="23" s="1"/>
  <c r="Y104" i="23" s="1"/>
  <c r="Z23" i="8"/>
  <c r="Y23" i="23" s="1"/>
  <c r="Y86" i="23" s="1"/>
  <c r="Z11" i="8"/>
  <c r="Y11" i="23" s="1"/>
  <c r="Y74" i="23" s="1"/>
  <c r="Z28" i="8"/>
  <c r="Y28" i="23" s="1"/>
  <c r="Y91" i="23" s="1"/>
  <c r="Z32" i="8"/>
  <c r="Y32" i="23" s="1"/>
  <c r="Y95" i="23" s="1"/>
  <c r="Z18" i="8"/>
  <c r="Y18" i="23" s="1"/>
  <c r="Y81" i="23" s="1"/>
  <c r="Z10" i="8"/>
  <c r="Y10" i="23" s="1"/>
  <c r="Y73" i="23" s="1"/>
  <c r="Z24" i="8"/>
  <c r="Y24" i="23" s="1"/>
  <c r="Y87" i="23" s="1"/>
  <c r="Z54" i="8"/>
  <c r="Y54" i="23" s="1"/>
  <c r="Y117" i="23" s="1"/>
  <c r="Z9" i="8"/>
  <c r="Y9" i="23" s="1"/>
  <c r="Y72" i="23" s="1"/>
  <c r="Z27" i="8"/>
  <c r="Y27" i="23" s="1"/>
  <c r="Y90" i="23" s="1"/>
  <c r="Z5" i="8"/>
  <c r="Z60" i="8"/>
  <c r="Y60" i="23" s="1"/>
  <c r="Y123" i="23" s="1"/>
  <c r="Z44" i="8"/>
  <c r="Y44" i="23" s="1"/>
  <c r="Y107" i="23" s="1"/>
  <c r="Z55" i="8"/>
  <c r="Y55" i="23" s="1"/>
  <c r="Y118" i="23" s="1"/>
  <c r="Z39" i="8"/>
  <c r="Y39" i="23" s="1"/>
  <c r="Y102" i="23" s="1"/>
  <c r="Z36" i="8"/>
  <c r="Y36" i="23" s="1"/>
  <c r="Y99" i="23" s="1"/>
  <c r="Z21" i="8"/>
  <c r="Y21" i="23" s="1"/>
  <c r="Y84" i="23" s="1"/>
  <c r="Z25" i="8"/>
  <c r="Y25" i="23" s="1"/>
  <c r="Y88" i="23" s="1"/>
  <c r="Z16" i="8"/>
  <c r="Y16" i="23" s="1"/>
  <c r="Y79" i="23" s="1"/>
  <c r="Z15" i="8"/>
  <c r="Y15" i="23" s="1"/>
  <c r="Y78" i="23" s="1"/>
  <c r="Z56" i="8"/>
  <c r="Y56" i="23" s="1"/>
  <c r="Y119" i="23" s="1"/>
  <c r="Z38" i="8"/>
  <c r="Y38" i="23" s="1"/>
  <c r="Y101" i="23" s="1"/>
  <c r="Z51" i="8"/>
  <c r="Y51" i="23" s="1"/>
  <c r="Y114" i="23" s="1"/>
  <c r="Z37" i="8"/>
  <c r="Y37" i="23" s="1"/>
  <c r="Y100" i="23" s="1"/>
  <c r="Z50" i="8"/>
  <c r="Y50" i="23" s="1"/>
  <c r="Y113" i="23" s="1"/>
  <c r="Z34" i="8"/>
  <c r="Y34" i="23" s="1"/>
  <c r="Y97" i="23" s="1"/>
  <c r="Z49" i="8"/>
  <c r="Y49" i="23" s="1"/>
  <c r="Y112" i="23" s="1"/>
  <c r="Z33" i="8"/>
  <c r="Y33" i="23" s="1"/>
  <c r="Y96" i="23" s="1"/>
  <c r="Z19" i="8"/>
  <c r="Y19" i="23" s="1"/>
  <c r="Y82" i="23" s="1"/>
  <c r="Z6" i="8"/>
  <c r="Y6" i="23" s="1"/>
  <c r="Y69" i="23" s="1"/>
  <c r="Z14" i="8"/>
  <c r="Y14" i="23" s="1"/>
  <c r="Y77" i="23" s="1"/>
  <c r="Z22" i="8"/>
  <c r="Y22" i="23" s="1"/>
  <c r="Y85" i="23" s="1"/>
  <c r="Z13" i="8"/>
  <c r="Y13" i="23" s="1"/>
  <c r="Y76" i="23" s="1"/>
  <c r="Z31" i="8"/>
  <c r="Y31" i="23" s="1"/>
  <c r="Y94" i="23" s="1"/>
  <c r="Z7" i="8"/>
  <c r="Y7" i="23" s="1"/>
  <c r="Y70" i="23" s="1"/>
  <c r="Z40" i="8"/>
  <c r="Y40" i="23" s="1"/>
  <c r="Y103" i="23" s="1"/>
  <c r="AC64" i="7"/>
  <c r="AC69" i="7" s="1"/>
  <c r="AC12" i="8" s="1"/>
  <c r="R27" i="11"/>
  <c r="Q8" i="12"/>
  <c r="Q14" i="12"/>
  <c r="R14" i="12" s="1"/>
  <c r="T46" i="11"/>
  <c r="T28" i="13"/>
  <c r="R28" i="24" s="1"/>
  <c r="R73" i="24" s="1"/>
  <c r="AC37" i="9"/>
  <c r="AD37" i="9" s="1"/>
  <c r="Q6" i="13"/>
  <c r="R6" i="13" s="1"/>
  <c r="AC33" i="9"/>
  <c r="AD33" i="9" s="1"/>
  <c r="AC58" i="9"/>
  <c r="AD58" i="9" s="1"/>
  <c r="T5" i="13"/>
  <c r="AC28" i="9"/>
  <c r="AD28" i="9" s="1"/>
  <c r="R39" i="24"/>
  <c r="R84" i="24" s="1"/>
  <c r="R41" i="24"/>
  <c r="R86" i="24" s="1"/>
  <c r="N34" i="24"/>
  <c r="N79" i="24" s="1"/>
  <c r="R42" i="24"/>
  <c r="R87" i="24" s="1"/>
  <c r="N11" i="24"/>
  <c r="N56" i="24" s="1"/>
  <c r="R43" i="24"/>
  <c r="R88" i="24" s="1"/>
  <c r="N26" i="24"/>
  <c r="N71" i="24" s="1"/>
  <c r="N41" i="24"/>
  <c r="N86" i="24" s="1"/>
  <c r="R33" i="24"/>
  <c r="R78" i="24" s="1"/>
  <c r="R23" i="24"/>
  <c r="R68" i="24" s="1"/>
  <c r="R27" i="24"/>
  <c r="R72" i="24" s="1"/>
  <c r="R19" i="24"/>
  <c r="R64" i="24" s="1"/>
  <c r="N38" i="24"/>
  <c r="N83" i="24" s="1"/>
  <c r="R8" i="24"/>
  <c r="R53" i="24" s="1"/>
  <c r="R35" i="24"/>
  <c r="R80" i="24" s="1"/>
  <c r="R12" i="24"/>
  <c r="R57" i="24" s="1"/>
  <c r="R10" i="24"/>
  <c r="R55" i="24" s="1"/>
  <c r="R22" i="24"/>
  <c r="R67" i="24" s="1"/>
  <c r="R26" i="24"/>
  <c r="R71" i="24" s="1"/>
  <c r="N33" i="24"/>
  <c r="N78" i="24" s="1"/>
  <c r="R44" i="24"/>
  <c r="R89" i="24" s="1"/>
  <c r="V38" i="11"/>
  <c r="V34" i="11"/>
  <c r="N20" i="24"/>
  <c r="N65" i="24" s="1"/>
  <c r="N9" i="24"/>
  <c r="N54" i="24" s="1"/>
  <c r="N28" i="24"/>
  <c r="N73" i="24" s="1"/>
  <c r="N32" i="24"/>
  <c r="N77" i="24" s="1"/>
  <c r="N21" i="24"/>
  <c r="N66" i="24" s="1"/>
  <c r="R13" i="24"/>
  <c r="R58" i="24" s="1"/>
  <c r="R36" i="24"/>
  <c r="R81" i="24" s="1"/>
  <c r="R5" i="24"/>
  <c r="R50" i="24" s="1"/>
  <c r="R16" i="24"/>
  <c r="R61" i="24" s="1"/>
  <c r="R21" i="24"/>
  <c r="R66" i="24" s="1"/>
  <c r="R29" i="24"/>
  <c r="R74" i="24" s="1"/>
  <c r="N6" i="24"/>
  <c r="N51" i="24" s="1"/>
  <c r="N42" i="24"/>
  <c r="N87" i="24" s="1"/>
  <c r="N44" i="24"/>
  <c r="N89" i="24" s="1"/>
  <c r="N29" i="24"/>
  <c r="N74" i="24" s="1"/>
  <c r="N37" i="24"/>
  <c r="N82" i="24" s="1"/>
  <c r="R9" i="24"/>
  <c r="R54" i="24" s="1"/>
  <c r="N36" i="24"/>
  <c r="N81" i="24" s="1"/>
  <c r="N10" i="24"/>
  <c r="N55" i="24" s="1"/>
  <c r="N14" i="24"/>
  <c r="N59" i="24" s="1"/>
  <c r="N35" i="24"/>
  <c r="N80" i="24" s="1"/>
  <c r="N24" i="24"/>
  <c r="N69" i="24" s="1"/>
  <c r="N23" i="24"/>
  <c r="N68" i="24" s="1"/>
  <c r="R30" i="24"/>
  <c r="R75" i="24" s="1"/>
  <c r="N15" i="24"/>
  <c r="N60" i="24" s="1"/>
  <c r="R20" i="24"/>
  <c r="R65" i="24" s="1"/>
  <c r="R24" i="24"/>
  <c r="R69" i="24" s="1"/>
  <c r="R7" i="12"/>
  <c r="P7" i="24"/>
  <c r="P52" i="24" s="1"/>
  <c r="R10" i="12"/>
  <c r="P10" i="24"/>
  <c r="P55" i="24" s="1"/>
  <c r="R39" i="12"/>
  <c r="P39" i="24"/>
  <c r="P84" i="24" s="1"/>
  <c r="R29" i="12"/>
  <c r="P29" i="24"/>
  <c r="P74" i="24" s="1"/>
  <c r="R41" i="12"/>
  <c r="P41" i="24"/>
  <c r="P86" i="24" s="1"/>
  <c r="R26" i="12"/>
  <c r="P26" i="24"/>
  <c r="P71" i="24" s="1"/>
  <c r="N18" i="24"/>
  <c r="N63" i="24" s="1"/>
  <c r="N7" i="24"/>
  <c r="N52" i="24" s="1"/>
  <c r="N30" i="24"/>
  <c r="N75" i="24" s="1"/>
  <c r="N27" i="24"/>
  <c r="N72" i="24" s="1"/>
  <c r="R31" i="24"/>
  <c r="R76" i="24" s="1"/>
  <c r="R11" i="24"/>
  <c r="R56" i="24" s="1"/>
  <c r="R7" i="24"/>
  <c r="R52" i="24" s="1"/>
  <c r="R38" i="24"/>
  <c r="R83" i="24" s="1"/>
  <c r="R14" i="24"/>
  <c r="R59" i="24" s="1"/>
  <c r="P5" i="24"/>
  <c r="P50" i="24" s="1"/>
  <c r="R20" i="12"/>
  <c r="P20" i="24"/>
  <c r="P65" i="24" s="1"/>
  <c r="R34" i="24"/>
  <c r="R79" i="24" s="1"/>
  <c r="N8" i="24"/>
  <c r="N53" i="24" s="1"/>
  <c r="R18" i="24"/>
  <c r="R63" i="24" s="1"/>
  <c r="R8" i="12"/>
  <c r="P8" i="24"/>
  <c r="P53" i="24" s="1"/>
  <c r="N12" i="24"/>
  <c r="N57" i="24" s="1"/>
  <c r="N40" i="24"/>
  <c r="N85" i="24" s="1"/>
  <c r="R19" i="12"/>
  <c r="P19" i="24"/>
  <c r="P64" i="24" s="1"/>
  <c r="R31" i="12"/>
  <c r="P31" i="24"/>
  <c r="P76" i="24" s="1"/>
  <c r="R25" i="12"/>
  <c r="P25" i="24"/>
  <c r="P70" i="24" s="1"/>
  <c r="R24" i="12"/>
  <c r="P24" i="24"/>
  <c r="P69" i="24" s="1"/>
  <c r="R42" i="12"/>
  <c r="P42" i="24"/>
  <c r="P87" i="24" s="1"/>
  <c r="R35" i="12"/>
  <c r="P35" i="24"/>
  <c r="P80" i="24" s="1"/>
  <c r="R17" i="12"/>
  <c r="P17" i="24"/>
  <c r="P62" i="24" s="1"/>
  <c r="R33" i="12"/>
  <c r="P33" i="24"/>
  <c r="P78" i="24" s="1"/>
  <c r="R23" i="12"/>
  <c r="P23" i="24"/>
  <c r="P68" i="24" s="1"/>
  <c r="R28" i="12"/>
  <c r="P28" i="24"/>
  <c r="P73" i="24" s="1"/>
  <c r="R6" i="24"/>
  <c r="R51" i="24" s="1"/>
  <c r="R15" i="24"/>
  <c r="R60" i="24" s="1"/>
  <c r="R25" i="24"/>
  <c r="R70" i="24" s="1"/>
  <c r="R37" i="24"/>
  <c r="R82" i="24" s="1"/>
  <c r="R11" i="12"/>
  <c r="P11" i="24"/>
  <c r="P56" i="24" s="1"/>
  <c r="N31" i="24"/>
  <c r="N76" i="24" s="1"/>
  <c r="R40" i="24"/>
  <c r="R85" i="24" s="1"/>
  <c r="R32" i="24"/>
  <c r="R77" i="24" s="1"/>
  <c r="R12" i="12"/>
  <c r="P12" i="24"/>
  <c r="P57" i="24" s="1"/>
  <c r="R22" i="12"/>
  <c r="P22" i="24"/>
  <c r="P67" i="24" s="1"/>
  <c r="R21" i="12"/>
  <c r="P21" i="24"/>
  <c r="P66" i="24" s="1"/>
  <c r="R40" i="12"/>
  <c r="P40" i="24"/>
  <c r="P85" i="24" s="1"/>
  <c r="R43" i="12"/>
  <c r="P43" i="24"/>
  <c r="P88" i="24" s="1"/>
  <c r="N5" i="24"/>
  <c r="N50" i="24" s="1"/>
  <c r="N19" i="24"/>
  <c r="N64" i="24" s="1"/>
  <c r="N43" i="24"/>
  <c r="N88" i="24" s="1"/>
  <c r="R27" i="12"/>
  <c r="P27" i="24"/>
  <c r="P72" i="24" s="1"/>
  <c r="V18" i="11"/>
  <c r="P37" i="24"/>
  <c r="P82" i="24" s="1"/>
  <c r="P13" i="24"/>
  <c r="P58" i="24" s="1"/>
  <c r="P34" i="24"/>
  <c r="P79" i="24" s="1"/>
  <c r="P18" i="24"/>
  <c r="P63" i="24" s="1"/>
  <c r="P36" i="24"/>
  <c r="P81" i="24" s="1"/>
  <c r="P32" i="24"/>
  <c r="P77" i="24" s="1"/>
  <c r="P9" i="24"/>
  <c r="P54" i="24" s="1"/>
  <c r="P38" i="24"/>
  <c r="P83" i="24" s="1"/>
  <c r="P6" i="24"/>
  <c r="P51" i="24" s="1"/>
  <c r="P30" i="24"/>
  <c r="P75" i="24" s="1"/>
  <c r="P15" i="24"/>
  <c r="P60" i="24" s="1"/>
  <c r="P44" i="24"/>
  <c r="P89" i="24" s="1"/>
  <c r="P16" i="24"/>
  <c r="P61" i="24" s="1"/>
  <c r="AD12" i="8"/>
  <c r="AA12" i="23"/>
  <c r="AA75" i="23" s="1"/>
  <c r="AC53" i="8"/>
  <c r="AC43" i="8"/>
  <c r="AC15" i="8"/>
  <c r="AC46" i="8"/>
  <c r="V42" i="11"/>
  <c r="AC33" i="8"/>
  <c r="AC44" i="8"/>
  <c r="AC22" i="8"/>
  <c r="AC25" i="8"/>
  <c r="AC5" i="8"/>
  <c r="AA5" i="23" s="1"/>
  <c r="AA68" i="23" s="1"/>
  <c r="AC19" i="8"/>
  <c r="AC11" i="8"/>
  <c r="AC62" i="8"/>
  <c r="AC14" i="8"/>
  <c r="AC34" i="8"/>
  <c r="AC10" i="8"/>
  <c r="AC17" i="8"/>
  <c r="AC31" i="8"/>
  <c r="V30" i="11"/>
  <c r="AC28" i="8"/>
  <c r="AC13" i="8"/>
  <c r="O28" i="12"/>
  <c r="O28" i="13"/>
  <c r="O36" i="12"/>
  <c r="O36" i="13"/>
  <c r="O32" i="12"/>
  <c r="O32" i="13"/>
  <c r="O30" i="12"/>
  <c r="O30" i="13"/>
  <c r="O12" i="12"/>
  <c r="O12" i="13"/>
  <c r="AC39" i="8"/>
  <c r="AC41" i="8"/>
  <c r="O40" i="12"/>
  <c r="O40" i="13"/>
  <c r="O25" i="12"/>
  <c r="O25" i="13"/>
  <c r="O19" i="12"/>
  <c r="O19" i="13"/>
  <c r="O42" i="12"/>
  <c r="O42" i="13"/>
  <c r="O20" i="12"/>
  <c r="O20" i="13"/>
  <c r="O17" i="12"/>
  <c r="O17" i="13"/>
  <c r="O15" i="12"/>
  <c r="O15" i="13"/>
  <c r="O33" i="12"/>
  <c r="O33" i="13"/>
  <c r="O18" i="12"/>
  <c r="O18" i="13"/>
  <c r="O13" i="12"/>
  <c r="O13" i="13"/>
  <c r="L50" i="10"/>
  <c r="L51" i="10" s="1"/>
  <c r="AC30" i="8"/>
  <c r="AC9" i="8"/>
  <c r="AC8" i="8"/>
  <c r="AC55" i="8"/>
  <c r="AC42" i="8"/>
  <c r="AC35" i="8"/>
  <c r="R5" i="12"/>
  <c r="Q46" i="12"/>
  <c r="U36" i="12"/>
  <c r="U36" i="13"/>
  <c r="U16" i="12"/>
  <c r="U16" i="13"/>
  <c r="U14" i="12"/>
  <c r="U14" i="13"/>
  <c r="U21" i="12"/>
  <c r="U21" i="13"/>
  <c r="U23" i="12"/>
  <c r="U23" i="13"/>
  <c r="U40" i="12"/>
  <c r="U40" i="13"/>
  <c r="U38" i="12"/>
  <c r="U38" i="13"/>
  <c r="U9" i="12"/>
  <c r="U9" i="13"/>
  <c r="U10" i="12"/>
  <c r="U10" i="13"/>
  <c r="U6" i="12"/>
  <c r="U6" i="13"/>
  <c r="S26" i="12"/>
  <c r="V26" i="11"/>
  <c r="S26" i="13"/>
  <c r="S39" i="12"/>
  <c r="S39" i="13"/>
  <c r="S43" i="12"/>
  <c r="S43" i="13"/>
  <c r="S16" i="12"/>
  <c r="V16" i="11"/>
  <c r="S16" i="13"/>
  <c r="V19" i="11"/>
  <c r="S19" i="12"/>
  <c r="S19" i="13"/>
  <c r="V25" i="11"/>
  <c r="S25" i="12"/>
  <c r="S25" i="13"/>
  <c r="S14" i="12"/>
  <c r="V14" i="12" s="1"/>
  <c r="V14" i="11"/>
  <c r="S14" i="13"/>
  <c r="V21" i="11"/>
  <c r="S21" i="12"/>
  <c r="S21" i="13"/>
  <c r="S8" i="12"/>
  <c r="V8" i="11"/>
  <c r="S8" i="13"/>
  <c r="V7" i="11"/>
  <c r="S7" i="12"/>
  <c r="S7" i="13"/>
  <c r="Z38" i="11"/>
  <c r="Y38" i="12"/>
  <c r="Z38" i="12" s="1"/>
  <c r="Y38" i="13"/>
  <c r="Z38" i="13" s="1"/>
  <c r="Z22" i="11"/>
  <c r="Y22" i="12"/>
  <c r="Z22" i="12" s="1"/>
  <c r="Y22" i="13"/>
  <c r="Z22" i="13" s="1"/>
  <c r="Y16" i="12"/>
  <c r="Z16" i="12" s="1"/>
  <c r="Z16" i="11"/>
  <c r="Y16" i="13"/>
  <c r="Z16" i="13" s="1"/>
  <c r="Y23" i="12"/>
  <c r="Z23" i="12" s="1"/>
  <c r="Z23" i="11"/>
  <c r="Y23" i="13"/>
  <c r="Z23" i="13" s="1"/>
  <c r="Z44" i="11"/>
  <c r="Y44" i="12"/>
  <c r="Z44" i="12" s="1"/>
  <c r="Y44" i="13"/>
  <c r="Z44" i="13" s="1"/>
  <c r="Z42" i="11"/>
  <c r="Y42" i="12"/>
  <c r="Z42" i="12" s="1"/>
  <c r="Y42" i="13"/>
  <c r="Z42" i="13" s="1"/>
  <c r="Z40" i="11"/>
  <c r="Y40" i="12"/>
  <c r="Z40" i="12" s="1"/>
  <c r="Y40" i="13"/>
  <c r="Z40" i="13" s="1"/>
  <c r="Z10" i="11"/>
  <c r="Y10" i="12"/>
  <c r="Z10" i="12" s="1"/>
  <c r="Y10" i="13"/>
  <c r="Z10" i="13" s="1"/>
  <c r="Y8" i="12"/>
  <c r="Z8" i="12" s="1"/>
  <c r="Z8" i="11"/>
  <c r="Y8" i="13"/>
  <c r="Z8" i="13" s="1"/>
  <c r="Y9" i="12"/>
  <c r="Z9" i="12" s="1"/>
  <c r="Z9" i="11"/>
  <c r="Y9" i="13"/>
  <c r="Z9" i="13" s="1"/>
  <c r="AC58" i="8"/>
  <c r="AC57" i="8"/>
  <c r="U64" i="9"/>
  <c r="M36" i="12"/>
  <c r="M36" i="13"/>
  <c r="M21" i="12"/>
  <c r="M21" i="13"/>
  <c r="M14" i="12"/>
  <c r="M14" i="13"/>
  <c r="M38" i="12"/>
  <c r="M38" i="13"/>
  <c r="M32" i="12"/>
  <c r="M32" i="13"/>
  <c r="M30" i="12"/>
  <c r="M30" i="13"/>
  <c r="M28" i="12"/>
  <c r="M28" i="13"/>
  <c r="M26" i="12"/>
  <c r="M26" i="13"/>
  <c r="M8" i="12"/>
  <c r="M8" i="13"/>
  <c r="M11" i="12"/>
  <c r="M11" i="13"/>
  <c r="AC7" i="8"/>
  <c r="AC60" i="8"/>
  <c r="O23" i="12"/>
  <c r="O23" i="13"/>
  <c r="O6" i="12"/>
  <c r="O6" i="13"/>
  <c r="R46" i="11"/>
  <c r="V43" i="11"/>
  <c r="U43" i="12"/>
  <c r="U43" i="13"/>
  <c r="U37" i="12"/>
  <c r="U37" i="13"/>
  <c r="U29" i="12"/>
  <c r="U29" i="13"/>
  <c r="U7" i="12"/>
  <c r="U7" i="13"/>
  <c r="S28" i="12"/>
  <c r="V28" i="11"/>
  <c r="S28" i="13"/>
  <c r="V33" i="11"/>
  <c r="S33" i="12"/>
  <c r="S33" i="13"/>
  <c r="V41" i="11"/>
  <c r="S41" i="12"/>
  <c r="S41" i="13"/>
  <c r="V6" i="11"/>
  <c r="S6" i="12"/>
  <c r="S6" i="13"/>
  <c r="M24" i="12"/>
  <c r="M24" i="13"/>
  <c r="M40" i="12"/>
  <c r="M40" i="13"/>
  <c r="M19" i="12"/>
  <c r="M19" i="13"/>
  <c r="M25" i="12"/>
  <c r="M25" i="13"/>
  <c r="M27" i="12"/>
  <c r="M27" i="13"/>
  <c r="M44" i="12"/>
  <c r="M44" i="13"/>
  <c r="M42" i="12"/>
  <c r="M42" i="13"/>
  <c r="M13" i="12"/>
  <c r="M13" i="13"/>
  <c r="M10" i="12"/>
  <c r="M10" i="13"/>
  <c r="M7" i="12"/>
  <c r="M7" i="13"/>
  <c r="AI64" i="9"/>
  <c r="AC29" i="8"/>
  <c r="AC20" i="8"/>
  <c r="Z64" i="9"/>
  <c r="O22" i="12"/>
  <c r="O22" i="24" s="1"/>
  <c r="O67" i="24" s="1"/>
  <c r="O22" i="13"/>
  <c r="O24" i="12"/>
  <c r="O24" i="13"/>
  <c r="O38" i="12"/>
  <c r="O38" i="24" s="1"/>
  <c r="O83" i="24" s="1"/>
  <c r="O38" i="13"/>
  <c r="O26" i="12"/>
  <c r="O26" i="13"/>
  <c r="O31" i="12"/>
  <c r="O31" i="24" s="1"/>
  <c r="O76" i="24" s="1"/>
  <c r="O31" i="13"/>
  <c r="O37" i="12"/>
  <c r="O37" i="13"/>
  <c r="O43" i="12"/>
  <c r="O43" i="24" s="1"/>
  <c r="O88" i="24" s="1"/>
  <c r="O43" i="13"/>
  <c r="O16" i="12"/>
  <c r="O16" i="13"/>
  <c r="O5" i="12"/>
  <c r="O5" i="24" s="1"/>
  <c r="O50" i="24" s="1"/>
  <c r="O5" i="13"/>
  <c r="O46" i="11"/>
  <c r="O8" i="12"/>
  <c r="O8" i="13"/>
  <c r="AC54" i="8"/>
  <c r="AC24" i="8"/>
  <c r="AC26" i="8"/>
  <c r="AC49" i="8"/>
  <c r="U33" i="12"/>
  <c r="U33" i="13"/>
  <c r="U20" i="12"/>
  <c r="U20" i="13"/>
  <c r="U34" i="12"/>
  <c r="U34" i="13"/>
  <c r="U44" i="12"/>
  <c r="U44" i="13"/>
  <c r="U42" i="12"/>
  <c r="U42" i="13"/>
  <c r="U24" i="12"/>
  <c r="U24" i="13"/>
  <c r="U22" i="12"/>
  <c r="U22" i="13"/>
  <c r="U11" i="12"/>
  <c r="U11" i="13"/>
  <c r="U18" i="12"/>
  <c r="U18" i="13"/>
  <c r="U8" i="12"/>
  <c r="U8" i="13"/>
  <c r="S32" i="12"/>
  <c r="V32" i="11"/>
  <c r="S32" i="13"/>
  <c r="V15" i="11"/>
  <c r="S15" i="12"/>
  <c r="S15" i="13"/>
  <c r="V27" i="11"/>
  <c r="S27" i="12"/>
  <c r="Q27" i="24" s="1"/>
  <c r="Q72" i="24" s="1"/>
  <c r="S27" i="13"/>
  <c r="S40" i="12"/>
  <c r="V40" i="11"/>
  <c r="S40" i="13"/>
  <c r="V40" i="13" s="1"/>
  <c r="S38" i="12"/>
  <c r="S38" i="13"/>
  <c r="V38" i="13" s="1"/>
  <c r="S36" i="12"/>
  <c r="V36" i="11"/>
  <c r="S36" i="13"/>
  <c r="V36" i="13" s="1"/>
  <c r="S34" i="12"/>
  <c r="S34" i="13"/>
  <c r="S5" i="12"/>
  <c r="Q5" i="24" s="1"/>
  <c r="Q50" i="24" s="1"/>
  <c r="V5" i="11"/>
  <c r="S5" i="13"/>
  <c r="S46" i="11"/>
  <c r="S9" i="12"/>
  <c r="V9" i="12" s="1"/>
  <c r="V9" i="11"/>
  <c r="S9" i="13"/>
  <c r="V9" i="13" s="1"/>
  <c r="S10" i="12"/>
  <c r="V10" i="11"/>
  <c r="S10" i="13"/>
  <c r="V10" i="13" s="1"/>
  <c r="Y29" i="12"/>
  <c r="Z29" i="12" s="1"/>
  <c r="Z29" i="11"/>
  <c r="Y29" i="13"/>
  <c r="Z29" i="13" s="1"/>
  <c r="Z15" i="11"/>
  <c r="Y15" i="12"/>
  <c r="Z15" i="12" s="1"/>
  <c r="Y15" i="13"/>
  <c r="Z15" i="13" s="1"/>
  <c r="Z36" i="11"/>
  <c r="Y36" i="12"/>
  <c r="Z36" i="12" s="1"/>
  <c r="Y36" i="13"/>
  <c r="Z36" i="13" s="1"/>
  <c r="Z30" i="11"/>
  <c r="Y30" i="12"/>
  <c r="Z30" i="12" s="1"/>
  <c r="Y30" i="13"/>
  <c r="Z30" i="13" s="1"/>
  <c r="Z28" i="11"/>
  <c r="Y28" i="12"/>
  <c r="Z28" i="12" s="1"/>
  <c r="Y28" i="13"/>
  <c r="Z28" i="13" s="1"/>
  <c r="Z26" i="11"/>
  <c r="Y26" i="12"/>
  <c r="Z26" i="12" s="1"/>
  <c r="Y26" i="13"/>
  <c r="Z26" i="13" s="1"/>
  <c r="Z24" i="11"/>
  <c r="Y24" i="12"/>
  <c r="Z24" i="12" s="1"/>
  <c r="Y24" i="13"/>
  <c r="Z24" i="13" s="1"/>
  <c r="Y13" i="12"/>
  <c r="Z13" i="12" s="1"/>
  <c r="Z13" i="11"/>
  <c r="Y13" i="13"/>
  <c r="Z13" i="13" s="1"/>
  <c r="Y11" i="12"/>
  <c r="Z11" i="12" s="1"/>
  <c r="Z11" i="11"/>
  <c r="Y11" i="13"/>
  <c r="Z11" i="13" s="1"/>
  <c r="Z18" i="11"/>
  <c r="Y18" i="12"/>
  <c r="Z18" i="12" s="1"/>
  <c r="Y18" i="13"/>
  <c r="Z18" i="13" s="1"/>
  <c r="AC27" i="8"/>
  <c r="AC6" i="8"/>
  <c r="AC48" i="8"/>
  <c r="AC45" i="8"/>
  <c r="T46" i="13"/>
  <c r="M17" i="12"/>
  <c r="M17" i="13"/>
  <c r="M20" i="12"/>
  <c r="M20" i="24" s="1"/>
  <c r="M65" i="24" s="1"/>
  <c r="M20" i="13"/>
  <c r="M34" i="12"/>
  <c r="M34" i="13"/>
  <c r="M22" i="12"/>
  <c r="M22" i="24" s="1"/>
  <c r="M67" i="24" s="1"/>
  <c r="M22" i="13"/>
  <c r="M15" i="12"/>
  <c r="M15" i="13"/>
  <c r="M33" i="12"/>
  <c r="M33" i="24" s="1"/>
  <c r="M78" i="24" s="1"/>
  <c r="M33" i="13"/>
  <c r="M39" i="12"/>
  <c r="M39" i="13"/>
  <c r="M29" i="12"/>
  <c r="M29" i="24" s="1"/>
  <c r="M74" i="24" s="1"/>
  <c r="M29" i="13"/>
  <c r="M9" i="12"/>
  <c r="M9" i="13"/>
  <c r="M18" i="12"/>
  <c r="M18" i="24" s="1"/>
  <c r="M63" i="24" s="1"/>
  <c r="M18" i="13"/>
  <c r="AC16" i="8"/>
  <c r="AC47" i="8"/>
  <c r="AC52" i="8"/>
  <c r="D45" i="5"/>
  <c r="P47" i="13"/>
  <c r="P47" i="12"/>
  <c r="P47" i="11"/>
  <c r="P47" i="10"/>
  <c r="AD5" i="8"/>
  <c r="O44" i="12"/>
  <c r="O44" i="13"/>
  <c r="O34" i="12"/>
  <c r="O34" i="13"/>
  <c r="O11" i="12"/>
  <c r="O11" i="13"/>
  <c r="N46" i="12"/>
  <c r="U30" i="12"/>
  <c r="S30" i="24" s="1"/>
  <c r="S75" i="24" s="1"/>
  <c r="U30" i="13"/>
  <c r="U31" i="12"/>
  <c r="U31" i="13"/>
  <c r="V39" i="11"/>
  <c r="U39" i="12"/>
  <c r="U39" i="13"/>
  <c r="U19" i="12"/>
  <c r="U19" i="13"/>
  <c r="U25" i="12"/>
  <c r="U25" i="13"/>
  <c r="V13" i="11"/>
  <c r="U13" i="12"/>
  <c r="S13" i="24" s="1"/>
  <c r="S58" i="24" s="1"/>
  <c r="U13" i="13"/>
  <c r="S44" i="12"/>
  <c r="V44" i="12" s="1"/>
  <c r="V44" i="11"/>
  <c r="S44" i="13"/>
  <c r="S42" i="12"/>
  <c r="V42" i="12" s="1"/>
  <c r="S42" i="13"/>
  <c r="V42" i="13" s="1"/>
  <c r="S35" i="12"/>
  <c r="S35" i="13"/>
  <c r="V31" i="11"/>
  <c r="S31" i="12"/>
  <c r="Q31" i="24" s="1"/>
  <c r="Q76" i="24" s="1"/>
  <c r="S31" i="13"/>
  <c r="V37" i="11"/>
  <c r="S37" i="12"/>
  <c r="S37" i="13"/>
  <c r="V37" i="13" s="1"/>
  <c r="S12" i="12"/>
  <c r="S12" i="13"/>
  <c r="Y19" i="12"/>
  <c r="Z19" i="12" s="1"/>
  <c r="Z19" i="11"/>
  <c r="Y19" i="13"/>
  <c r="Z19" i="13" s="1"/>
  <c r="Z32" i="11"/>
  <c r="Y32" i="12"/>
  <c r="Z32" i="12" s="1"/>
  <c r="Y32" i="13"/>
  <c r="Z32" i="13" s="1"/>
  <c r="Y33" i="12"/>
  <c r="Z33" i="12" s="1"/>
  <c r="Z33" i="11"/>
  <c r="Y33" i="13"/>
  <c r="Z33" i="13" s="1"/>
  <c r="Y39" i="12"/>
  <c r="Z39" i="12" s="1"/>
  <c r="Z39" i="11"/>
  <c r="Y39" i="13"/>
  <c r="Z39" i="13" s="1"/>
  <c r="Y25" i="12"/>
  <c r="Z25" i="12" s="1"/>
  <c r="Z25" i="11"/>
  <c r="Y25" i="13"/>
  <c r="Z25" i="13" s="1"/>
  <c r="Z14" i="11"/>
  <c r="Y14" i="12"/>
  <c r="Z14" i="12" s="1"/>
  <c r="Y14" i="13"/>
  <c r="Z14" i="13" s="1"/>
  <c r="Y21" i="12"/>
  <c r="Z21" i="12" s="1"/>
  <c r="Z21" i="11"/>
  <c r="Y21" i="13"/>
  <c r="Z21" i="13" s="1"/>
  <c r="Y27" i="12"/>
  <c r="Z27" i="12" s="1"/>
  <c r="Z27" i="11"/>
  <c r="Y27" i="13"/>
  <c r="Z27" i="13" s="1"/>
  <c r="Z6" i="11"/>
  <c r="Y6" i="12"/>
  <c r="Z6" i="12" s="1"/>
  <c r="Y6" i="13"/>
  <c r="Z6" i="13" s="1"/>
  <c r="Z7" i="11"/>
  <c r="Y7" i="12"/>
  <c r="Z7" i="12" s="1"/>
  <c r="Y7" i="13"/>
  <c r="Z7" i="13" s="1"/>
  <c r="F34" i="5"/>
  <c r="L49" i="13"/>
  <c r="L49" i="12"/>
  <c r="L51" i="12" s="1"/>
  <c r="L49" i="11"/>
  <c r="L49" i="10"/>
  <c r="N65" i="8"/>
  <c r="N65" i="9"/>
  <c r="N65" i="7"/>
  <c r="AC32" i="8"/>
  <c r="AD5" i="9"/>
  <c r="AC59" i="8"/>
  <c r="AC40" i="8"/>
  <c r="V12" i="11"/>
  <c r="O41" i="12"/>
  <c r="O41" i="13"/>
  <c r="O35" i="12"/>
  <c r="O35" i="13"/>
  <c r="O39" i="12"/>
  <c r="O39" i="13"/>
  <c r="O29" i="12"/>
  <c r="O29" i="13"/>
  <c r="O14" i="12"/>
  <c r="O14" i="13"/>
  <c r="O21" i="12"/>
  <c r="O21" i="13"/>
  <c r="O27" i="12"/>
  <c r="O27" i="13"/>
  <c r="O10" i="12"/>
  <c r="O10" i="13"/>
  <c r="O7" i="12"/>
  <c r="O7" i="13"/>
  <c r="O9" i="12"/>
  <c r="O9" i="13"/>
  <c r="AC50" i="8"/>
  <c r="AC61" i="8"/>
  <c r="AA64" i="9"/>
  <c r="AC18" i="8"/>
  <c r="AC51" i="8"/>
  <c r="AC56" i="8"/>
  <c r="R5" i="13"/>
  <c r="R46" i="13" s="1"/>
  <c r="Q46" i="13"/>
  <c r="N46" i="13"/>
  <c r="U15" i="12"/>
  <c r="U15" i="13"/>
  <c r="U32" i="12"/>
  <c r="U32" i="13"/>
  <c r="U27" i="12"/>
  <c r="U27" i="13"/>
  <c r="U17" i="12"/>
  <c r="U17" i="13"/>
  <c r="U28" i="12"/>
  <c r="U28" i="13"/>
  <c r="U26" i="12"/>
  <c r="U26" i="13"/>
  <c r="V35" i="11"/>
  <c r="U35" i="12"/>
  <c r="U35" i="13"/>
  <c r="U41" i="12"/>
  <c r="S41" i="24" s="1"/>
  <c r="S86" i="24" s="1"/>
  <c r="U41" i="13"/>
  <c r="U12" i="12"/>
  <c r="U12" i="13"/>
  <c r="U5" i="12"/>
  <c r="S5" i="24" s="1"/>
  <c r="S50" i="24" s="1"/>
  <c r="U5" i="13"/>
  <c r="U46" i="11"/>
  <c r="V29" i="11"/>
  <c r="S29" i="12"/>
  <c r="S29" i="13"/>
  <c r="V29" i="13" s="1"/>
  <c r="V23" i="11"/>
  <c r="S23" i="12"/>
  <c r="S23" i="13"/>
  <c r="V23" i="13" s="1"/>
  <c r="S30" i="12"/>
  <c r="S30" i="13"/>
  <c r="V30" i="13" s="1"/>
  <c r="S24" i="12"/>
  <c r="V24" i="12" s="1"/>
  <c r="V24" i="11"/>
  <c r="S24" i="13"/>
  <c r="S22" i="12"/>
  <c r="V22" i="12" s="1"/>
  <c r="V22" i="11"/>
  <c r="S22" i="13"/>
  <c r="V22" i="13" s="1"/>
  <c r="S20" i="12"/>
  <c r="V20" i="12" s="1"/>
  <c r="V20" i="11"/>
  <c r="S20" i="13"/>
  <c r="S17" i="12"/>
  <c r="V17" i="11"/>
  <c r="S17" i="13"/>
  <c r="V17" i="13" s="1"/>
  <c r="S13" i="12"/>
  <c r="S13" i="13"/>
  <c r="V13" i="13" s="1"/>
  <c r="V11" i="11"/>
  <c r="S11" i="12"/>
  <c r="V11" i="12" s="1"/>
  <c r="S11" i="13"/>
  <c r="S18" i="12"/>
  <c r="V18" i="12" s="1"/>
  <c r="S18" i="13"/>
  <c r="Y17" i="12"/>
  <c r="Z17" i="12" s="1"/>
  <c r="Z17" i="11"/>
  <c r="Y17" i="13"/>
  <c r="Z17" i="13" s="1"/>
  <c r="Z34" i="11"/>
  <c r="Y34" i="12"/>
  <c r="Z34" i="12" s="1"/>
  <c r="Y34" i="13"/>
  <c r="Z34" i="13" s="1"/>
  <c r="Y35" i="12"/>
  <c r="Z35" i="12" s="1"/>
  <c r="Z35" i="11"/>
  <c r="Y35" i="13"/>
  <c r="Z35" i="13" s="1"/>
  <c r="Z20" i="11"/>
  <c r="Y20" i="12"/>
  <c r="Z20" i="12" s="1"/>
  <c r="Y20" i="13"/>
  <c r="Z20" i="13" s="1"/>
  <c r="Z41" i="11"/>
  <c r="Y41" i="12"/>
  <c r="Z41" i="12" s="1"/>
  <c r="Y41" i="13"/>
  <c r="Z41" i="13" s="1"/>
  <c r="Y31" i="12"/>
  <c r="Z31" i="12" s="1"/>
  <c r="Z31" i="11"/>
  <c r="Y31" i="13"/>
  <c r="Z31" i="13" s="1"/>
  <c r="Z37" i="11"/>
  <c r="Y37" i="12"/>
  <c r="Z37" i="12" s="1"/>
  <c r="Y37" i="13"/>
  <c r="Z37" i="13" s="1"/>
  <c r="Y43" i="12"/>
  <c r="Z43" i="12" s="1"/>
  <c r="Z43" i="11"/>
  <c r="Y43" i="13"/>
  <c r="Z43" i="13" s="1"/>
  <c r="Y5" i="12"/>
  <c r="Z5" i="11"/>
  <c r="Y5" i="13"/>
  <c r="Y46" i="11"/>
  <c r="Z12" i="11"/>
  <c r="Y12" i="12"/>
  <c r="Z12" i="12" s="1"/>
  <c r="Y12" i="13"/>
  <c r="Z12" i="13" s="1"/>
  <c r="AC21" i="8"/>
  <c r="AC23" i="8"/>
  <c r="AC38" i="8"/>
  <c r="T46" i="12"/>
  <c r="M37" i="12"/>
  <c r="M37" i="13"/>
  <c r="M31" i="12"/>
  <c r="M31" i="13"/>
  <c r="M35" i="12"/>
  <c r="M35" i="13"/>
  <c r="M41" i="12"/>
  <c r="M41" i="13"/>
  <c r="M43" i="12"/>
  <c r="M43" i="13"/>
  <c r="M16" i="12"/>
  <c r="M16" i="13"/>
  <c r="M23" i="12"/>
  <c r="M23" i="13"/>
  <c r="M6" i="12"/>
  <c r="M6" i="13"/>
  <c r="M12" i="12"/>
  <c r="M12" i="13"/>
  <c r="M5" i="12"/>
  <c r="M5" i="13"/>
  <c r="M46" i="11"/>
  <c r="AC36" i="8"/>
  <c r="AC37" i="8"/>
  <c r="D10" i="5"/>
  <c r="T67" i="6" s="1"/>
  <c r="P11" i="25" l="1"/>
  <c r="P9" i="25"/>
  <c r="P7" i="25"/>
  <c r="W5" i="9"/>
  <c r="W64" i="7"/>
  <c r="W69" i="7" s="1"/>
  <c r="W56" i="8"/>
  <c r="V56" i="23" s="1"/>
  <c r="V119" i="23" s="1"/>
  <c r="W56" i="9"/>
  <c r="Q60" i="9"/>
  <c r="Q47" i="9"/>
  <c r="Q15" i="9"/>
  <c r="Q13" i="9"/>
  <c r="Q39" i="9"/>
  <c r="Q22" i="9"/>
  <c r="Q29" i="9"/>
  <c r="X42" i="9"/>
  <c r="X6" i="9"/>
  <c r="X52" i="9"/>
  <c r="X23" i="9"/>
  <c r="AC16" i="9"/>
  <c r="AD16" i="9" s="1"/>
  <c r="AD64" i="9" s="1"/>
  <c r="AD16" i="7"/>
  <c r="AC19" i="9"/>
  <c r="AD19" i="9" s="1"/>
  <c r="AD19" i="7"/>
  <c r="X6" i="25"/>
  <c r="P56" i="9"/>
  <c r="P10" i="9"/>
  <c r="P13" i="9"/>
  <c r="P55" i="9"/>
  <c r="P58" i="9"/>
  <c r="P14" i="9"/>
  <c r="P22" i="9"/>
  <c r="P61" i="9"/>
  <c r="P8" i="9"/>
  <c r="P33" i="9"/>
  <c r="P37" i="9"/>
  <c r="V65" i="8"/>
  <c r="V69" i="8" s="1"/>
  <c r="V12" i="9" s="1"/>
  <c r="V65" i="9"/>
  <c r="V71" i="6"/>
  <c r="V65" i="7"/>
  <c r="AH37" i="9"/>
  <c r="AH49" i="9"/>
  <c r="AH10" i="9"/>
  <c r="AH26" i="9"/>
  <c r="AA64" i="8"/>
  <c r="S64" i="7"/>
  <c r="Q45" i="9"/>
  <c r="Q50" i="9"/>
  <c r="Q41" i="9"/>
  <c r="Q34" i="9"/>
  <c r="Q35" i="9"/>
  <c r="Q43" i="9"/>
  <c r="Q21" i="9"/>
  <c r="M54" i="7"/>
  <c r="M54" i="9" s="1"/>
  <c r="M22" i="7"/>
  <c r="M22" i="9" s="1"/>
  <c r="M51" i="7"/>
  <c r="M51" i="9" s="1"/>
  <c r="M41" i="7"/>
  <c r="M41" i="9" s="1"/>
  <c r="M59" i="7"/>
  <c r="M59" i="9" s="1"/>
  <c r="M24" i="7"/>
  <c r="M24" i="9" s="1"/>
  <c r="M52" i="7"/>
  <c r="M52" i="9" s="1"/>
  <c r="M14" i="7"/>
  <c r="M14" i="9" s="1"/>
  <c r="M17" i="7"/>
  <c r="M17" i="9" s="1"/>
  <c r="M9" i="7"/>
  <c r="M9" i="9" s="1"/>
  <c r="M5" i="7"/>
  <c r="M61" i="7"/>
  <c r="M61" i="9" s="1"/>
  <c r="M57" i="7"/>
  <c r="M57" i="9" s="1"/>
  <c r="M43" i="7"/>
  <c r="M43" i="9" s="1"/>
  <c r="M56" i="7"/>
  <c r="M56" i="9" s="1"/>
  <c r="M31" i="7"/>
  <c r="M31" i="9" s="1"/>
  <c r="M25" i="7"/>
  <c r="M25" i="9" s="1"/>
  <c r="M35" i="7"/>
  <c r="M35" i="9" s="1"/>
  <c r="M47" i="7"/>
  <c r="M47" i="9" s="1"/>
  <c r="M55" i="7"/>
  <c r="M55" i="9" s="1"/>
  <c r="M49" i="7"/>
  <c r="M49" i="9" s="1"/>
  <c r="M21" i="7"/>
  <c r="M21" i="9" s="1"/>
  <c r="M20" i="7"/>
  <c r="M20" i="9" s="1"/>
  <c r="M6" i="7"/>
  <c r="M6" i="9" s="1"/>
  <c r="M62" i="7"/>
  <c r="M62" i="9" s="1"/>
  <c r="M37" i="7"/>
  <c r="M37" i="9" s="1"/>
  <c r="M34" i="7"/>
  <c r="M34" i="9" s="1"/>
  <c r="M45" i="7"/>
  <c r="M45" i="9" s="1"/>
  <c r="M30" i="7"/>
  <c r="M30" i="9" s="1"/>
  <c r="M19" i="7"/>
  <c r="M19" i="9" s="1"/>
  <c r="M18" i="7"/>
  <c r="M18" i="9" s="1"/>
  <c r="M11" i="7"/>
  <c r="M11" i="9" s="1"/>
  <c r="M23" i="7"/>
  <c r="M23" i="9" s="1"/>
  <c r="M29" i="7"/>
  <c r="M29" i="9" s="1"/>
  <c r="M48" i="7"/>
  <c r="M48" i="9" s="1"/>
  <c r="M16" i="7"/>
  <c r="M16" i="9" s="1"/>
  <c r="M60" i="7"/>
  <c r="M60" i="9" s="1"/>
  <c r="M38" i="7"/>
  <c r="M38" i="9" s="1"/>
  <c r="M44" i="7"/>
  <c r="M44" i="9" s="1"/>
  <c r="M46" i="7"/>
  <c r="M46" i="9" s="1"/>
  <c r="M40" i="7"/>
  <c r="M40" i="9" s="1"/>
  <c r="M53" i="7"/>
  <c r="M53" i="9" s="1"/>
  <c r="M7" i="7"/>
  <c r="M7" i="9" s="1"/>
  <c r="M8" i="7"/>
  <c r="M8" i="9" s="1"/>
  <c r="M26" i="7"/>
  <c r="M26" i="9" s="1"/>
  <c r="M27" i="7"/>
  <c r="M27" i="9" s="1"/>
  <c r="M13" i="7"/>
  <c r="M13" i="9" s="1"/>
  <c r="M10" i="7"/>
  <c r="M10" i="9" s="1"/>
  <c r="M32" i="7"/>
  <c r="M32" i="9" s="1"/>
  <c r="M15" i="7"/>
  <c r="M15" i="9" s="1"/>
  <c r="M36" i="7"/>
  <c r="M36" i="9" s="1"/>
  <c r="M28" i="7"/>
  <c r="M28" i="9" s="1"/>
  <c r="M39" i="7"/>
  <c r="M39" i="9" s="1"/>
  <c r="M33" i="7"/>
  <c r="M33" i="9" s="1"/>
  <c r="M50" i="7"/>
  <c r="M50" i="9" s="1"/>
  <c r="M58" i="7"/>
  <c r="M58" i="9" s="1"/>
  <c r="M42" i="7"/>
  <c r="M42" i="9" s="1"/>
  <c r="X60" i="9"/>
  <c r="X8" i="9"/>
  <c r="X8" i="8"/>
  <c r="W8" i="23" s="1"/>
  <c r="W71" i="23" s="1"/>
  <c r="X54" i="9"/>
  <c r="X59" i="9"/>
  <c r="X59" i="8"/>
  <c r="W59" i="23" s="1"/>
  <c r="W122" i="23" s="1"/>
  <c r="X41" i="9"/>
  <c r="X17" i="9"/>
  <c r="X39" i="9"/>
  <c r="X15" i="9"/>
  <c r="X15" i="8"/>
  <c r="W15" i="23" s="1"/>
  <c r="W78" i="23" s="1"/>
  <c r="AC43" i="9"/>
  <c r="AD43" i="9" s="1"/>
  <c r="AD43" i="7"/>
  <c r="AC50" i="9"/>
  <c r="AD50" i="9" s="1"/>
  <c r="AD50" i="7"/>
  <c r="X10" i="25"/>
  <c r="P57" i="9"/>
  <c r="P21" i="9"/>
  <c r="P28" i="9"/>
  <c r="P50" i="9"/>
  <c r="P9" i="9"/>
  <c r="P31" i="9"/>
  <c r="P34" i="9"/>
  <c r="P62" i="9"/>
  <c r="P7" i="9"/>
  <c r="P20" i="9"/>
  <c r="AH5" i="9"/>
  <c r="AH64" i="7"/>
  <c r="AH69" i="7" s="1"/>
  <c r="AH37" i="8" s="1"/>
  <c r="AD37" i="23" s="1"/>
  <c r="AD100" i="23" s="1"/>
  <c r="AH29" i="8"/>
  <c r="AD29" i="23" s="1"/>
  <c r="AD92" i="23" s="1"/>
  <c r="AH29" i="9"/>
  <c r="AH46" i="9"/>
  <c r="AH55" i="8"/>
  <c r="AD55" i="23" s="1"/>
  <c r="AD118" i="23" s="1"/>
  <c r="AH55" i="9"/>
  <c r="AH13" i="9"/>
  <c r="AH13" i="8"/>
  <c r="AD13" i="23" s="1"/>
  <c r="AD76" i="23" s="1"/>
  <c r="AH18" i="8"/>
  <c r="AD18" i="23" s="1"/>
  <c r="AD81" i="23" s="1"/>
  <c r="AH18" i="9"/>
  <c r="R5" i="9"/>
  <c r="R64" i="9" s="1"/>
  <c r="R64" i="7"/>
  <c r="Q51" i="8"/>
  <c r="Q51" i="23" s="1"/>
  <c r="Q114" i="23" s="1"/>
  <c r="Q51" i="9"/>
  <c r="Q54" i="9"/>
  <c r="Q24" i="9"/>
  <c r="Q5" i="9"/>
  <c r="Q64" i="7"/>
  <c r="Q69" i="7" s="1"/>
  <c r="Q13" i="8" s="1"/>
  <c r="Q13" i="23" s="1"/>
  <c r="Q76" i="23" s="1"/>
  <c r="Q36" i="8"/>
  <c r="Q36" i="23" s="1"/>
  <c r="Q99" i="23" s="1"/>
  <c r="Q36" i="9"/>
  <c r="X38" i="9"/>
  <c r="X38" i="8"/>
  <c r="W38" i="23" s="1"/>
  <c r="W101" i="23" s="1"/>
  <c r="X40" i="9"/>
  <c r="X30" i="9"/>
  <c r="X30" i="8"/>
  <c r="W30" i="23" s="1"/>
  <c r="W93" i="23" s="1"/>
  <c r="X5" i="9"/>
  <c r="X64" i="7"/>
  <c r="X69" i="7" s="1"/>
  <c r="X6" i="8" s="1"/>
  <c r="W6" i="23" s="1"/>
  <c r="W69" i="23" s="1"/>
  <c r="AD25" i="7"/>
  <c r="AC25" i="9"/>
  <c r="AD25" i="9" s="1"/>
  <c r="AC29" i="9"/>
  <c r="AD29" i="9" s="1"/>
  <c r="AD29" i="7"/>
  <c r="X8" i="25"/>
  <c r="P48" i="9"/>
  <c r="P43" i="9"/>
  <c r="P39" i="9"/>
  <c r="P17" i="9"/>
  <c r="P47" i="9"/>
  <c r="P11" i="9"/>
  <c r="P18" i="9"/>
  <c r="P60" i="9"/>
  <c r="P52" i="9"/>
  <c r="P29" i="9"/>
  <c r="P40" i="9"/>
  <c r="AH44" i="9"/>
  <c r="AH61" i="9"/>
  <c r="AH61" i="8"/>
  <c r="AD61" i="23" s="1"/>
  <c r="AD124" i="23" s="1"/>
  <c r="AH30" i="9"/>
  <c r="U64" i="7"/>
  <c r="U69" i="7" s="1"/>
  <c r="Q8" i="24"/>
  <c r="Q53" i="24" s="1"/>
  <c r="Z64" i="8"/>
  <c r="L5" i="9"/>
  <c r="L64" i="9" s="1"/>
  <c r="L64" i="7"/>
  <c r="L69" i="7" s="1"/>
  <c r="W47" i="8"/>
  <c r="V47" i="23" s="1"/>
  <c r="V110" i="23" s="1"/>
  <c r="W47" i="9"/>
  <c r="Y5" i="23"/>
  <c r="Y68" i="23" s="1"/>
  <c r="Q28" i="8"/>
  <c r="Q28" i="9"/>
  <c r="Q61" i="9"/>
  <c r="Q9" i="9"/>
  <c r="Q9" i="8"/>
  <c r="Q9" i="23" s="1"/>
  <c r="Q72" i="23" s="1"/>
  <c r="Q26" i="9"/>
  <c r="Q30" i="8"/>
  <c r="Q30" i="9"/>
  <c r="Q10" i="9"/>
  <c r="Q11" i="8"/>
  <c r="Q11" i="9"/>
  <c r="X20" i="8"/>
  <c r="W20" i="23" s="1"/>
  <c r="W83" i="23" s="1"/>
  <c r="X20" i="9"/>
  <c r="X36" i="8"/>
  <c r="X36" i="9"/>
  <c r="X19" i="9"/>
  <c r="X19" i="8"/>
  <c r="X9" i="8"/>
  <c r="X9" i="9"/>
  <c r="X25" i="8"/>
  <c r="W25" i="23" s="1"/>
  <c r="W88" i="23" s="1"/>
  <c r="X25" i="9"/>
  <c r="X45" i="8"/>
  <c r="X45" i="9"/>
  <c r="X57" i="8"/>
  <c r="W57" i="23" s="1"/>
  <c r="W120" i="23" s="1"/>
  <c r="X57" i="9"/>
  <c r="AD61" i="7"/>
  <c r="AC61" i="9"/>
  <c r="AD61" i="9" s="1"/>
  <c r="AD54" i="7"/>
  <c r="AC54" i="9"/>
  <c r="AD54" i="9" s="1"/>
  <c r="AI64" i="7"/>
  <c r="AI69" i="7" s="1"/>
  <c r="O5" i="9"/>
  <c r="O64" i="9" s="1"/>
  <c r="O64" i="7"/>
  <c r="O69" i="7" s="1"/>
  <c r="P51" i="9"/>
  <c r="P6" i="9"/>
  <c r="P26" i="9"/>
  <c r="P32" i="9"/>
  <c r="P41" i="9"/>
  <c r="P24" i="9"/>
  <c r="P35" i="9"/>
  <c r="P54" i="9"/>
  <c r="P42" i="9"/>
  <c r="P16" i="9"/>
  <c r="P27" i="9"/>
  <c r="P64" i="7"/>
  <c r="P69" i="7" s="1"/>
  <c r="P56" i="8" s="1"/>
  <c r="P56" i="23" s="1"/>
  <c r="P119" i="23" s="1"/>
  <c r="P5" i="9"/>
  <c r="Y65" i="9"/>
  <c r="Y65" i="7"/>
  <c r="Y71" i="6"/>
  <c r="Y65" i="8"/>
  <c r="Y69" i="8" s="1"/>
  <c r="Y12" i="9" s="1"/>
  <c r="AB12" i="9" s="1"/>
  <c r="AH59" i="9"/>
  <c r="AH59" i="8"/>
  <c r="AD59" i="23" s="1"/>
  <c r="AD122" i="23" s="1"/>
  <c r="AH34" i="8"/>
  <c r="AD34" i="23" s="1"/>
  <c r="AD97" i="23" s="1"/>
  <c r="AH34" i="9"/>
  <c r="AH27" i="8"/>
  <c r="AH27" i="9"/>
  <c r="V18" i="13"/>
  <c r="V24" i="13"/>
  <c r="V37" i="12"/>
  <c r="V10" i="12"/>
  <c r="V36" i="12"/>
  <c r="R46" i="12"/>
  <c r="P14" i="24"/>
  <c r="P59" i="24" s="1"/>
  <c r="V29" i="12"/>
  <c r="V40" i="12"/>
  <c r="V11" i="13"/>
  <c r="V20" i="13"/>
  <c r="V23" i="12"/>
  <c r="V38" i="12"/>
  <c r="M7" i="24"/>
  <c r="M52" i="24" s="1"/>
  <c r="M13" i="24"/>
  <c r="M58" i="24" s="1"/>
  <c r="M44" i="24"/>
  <c r="M89" i="24" s="1"/>
  <c r="M25" i="24"/>
  <c r="M70" i="24" s="1"/>
  <c r="M40" i="24"/>
  <c r="M85" i="24" s="1"/>
  <c r="V6" i="12"/>
  <c r="M5" i="24"/>
  <c r="M50" i="24" s="1"/>
  <c r="M16" i="24"/>
  <c r="M61" i="24" s="1"/>
  <c r="M31" i="24"/>
  <c r="M76" i="24" s="1"/>
  <c r="M6" i="24"/>
  <c r="M51" i="24" s="1"/>
  <c r="M41" i="24"/>
  <c r="M86" i="24" s="1"/>
  <c r="V6" i="13"/>
  <c r="S29" i="24"/>
  <c r="S74" i="24" s="1"/>
  <c r="S43" i="24"/>
  <c r="S88" i="24" s="1"/>
  <c r="O23" i="24"/>
  <c r="O68" i="24" s="1"/>
  <c r="M11" i="24"/>
  <c r="M56" i="24" s="1"/>
  <c r="M26" i="24"/>
  <c r="M71" i="24" s="1"/>
  <c r="M30" i="24"/>
  <c r="M75" i="24" s="1"/>
  <c r="M38" i="24"/>
  <c r="M83" i="24" s="1"/>
  <c r="M21" i="24"/>
  <c r="M66" i="24" s="1"/>
  <c r="Q7" i="24"/>
  <c r="Q52" i="24" s="1"/>
  <c r="Q25" i="24"/>
  <c r="Q70" i="24" s="1"/>
  <c r="S6" i="24"/>
  <c r="S51" i="24" s="1"/>
  <c r="I11" i="26" s="1"/>
  <c r="S9" i="24"/>
  <c r="S54" i="24" s="1"/>
  <c r="S40" i="24"/>
  <c r="S85" i="24" s="1"/>
  <c r="S21" i="24"/>
  <c r="S66" i="24" s="1"/>
  <c r="S16" i="24"/>
  <c r="S61" i="24" s="1"/>
  <c r="O13" i="24"/>
  <c r="O58" i="24" s="1"/>
  <c r="O33" i="24"/>
  <c r="O78" i="24" s="1"/>
  <c r="O17" i="24"/>
  <c r="O62" i="24" s="1"/>
  <c r="O42" i="24"/>
  <c r="O87" i="24" s="1"/>
  <c r="O25" i="24"/>
  <c r="O70" i="24" s="1"/>
  <c r="O30" i="24"/>
  <c r="O75" i="24" s="1"/>
  <c r="O36" i="24"/>
  <c r="O81" i="24" s="1"/>
  <c r="V30" i="12"/>
  <c r="V44" i="13"/>
  <c r="V34" i="12"/>
  <c r="M10" i="24"/>
  <c r="M55" i="24" s="1"/>
  <c r="M42" i="24"/>
  <c r="M87" i="24" s="1"/>
  <c r="M27" i="24"/>
  <c r="M72" i="24" s="1"/>
  <c r="M19" i="24"/>
  <c r="M64" i="24" s="1"/>
  <c r="M24" i="24"/>
  <c r="M69" i="24" s="1"/>
  <c r="Q33" i="24"/>
  <c r="Q78" i="24" s="1"/>
  <c r="S7" i="24"/>
  <c r="S52" i="24" s="1"/>
  <c r="S37" i="24"/>
  <c r="S82" i="24" s="1"/>
  <c r="S10" i="24"/>
  <c r="S55" i="24" s="1"/>
  <c r="S38" i="24"/>
  <c r="S83" i="24" s="1"/>
  <c r="S23" i="24"/>
  <c r="S68" i="24" s="1"/>
  <c r="S14" i="24"/>
  <c r="S59" i="24" s="1"/>
  <c r="S36" i="24"/>
  <c r="S81" i="24" s="1"/>
  <c r="P15" i="25"/>
  <c r="S17" i="24"/>
  <c r="S62" i="24" s="1"/>
  <c r="M12" i="24"/>
  <c r="M57" i="24" s="1"/>
  <c r="M43" i="24"/>
  <c r="M88" i="24" s="1"/>
  <c r="M37" i="24"/>
  <c r="M82" i="24" s="1"/>
  <c r="U5" i="24"/>
  <c r="U50" i="24" s="1"/>
  <c r="V17" i="12"/>
  <c r="S12" i="24"/>
  <c r="S57" i="24" s="1"/>
  <c r="S35" i="24"/>
  <c r="S80" i="24" s="1"/>
  <c r="S31" i="24"/>
  <c r="S76" i="24" s="1"/>
  <c r="M9" i="24"/>
  <c r="M54" i="24" s="1"/>
  <c r="M39" i="24"/>
  <c r="M84" i="24" s="1"/>
  <c r="M15" i="24"/>
  <c r="M60" i="24" s="1"/>
  <c r="M34" i="24"/>
  <c r="M79" i="24" s="1"/>
  <c r="M17" i="24"/>
  <c r="M62" i="24" s="1"/>
  <c r="O16" i="24"/>
  <c r="O61" i="24" s="1"/>
  <c r="O37" i="24"/>
  <c r="O82" i="24" s="1"/>
  <c r="O26" i="24"/>
  <c r="O71" i="24" s="1"/>
  <c r="O24" i="24"/>
  <c r="O69" i="24" s="1"/>
  <c r="Q28" i="24"/>
  <c r="Q73" i="24" s="1"/>
  <c r="O6" i="24"/>
  <c r="O51" i="24" s="1"/>
  <c r="E9" i="26" s="1"/>
  <c r="M8" i="24"/>
  <c r="M53" i="24" s="1"/>
  <c r="M28" i="24"/>
  <c r="M73" i="24" s="1"/>
  <c r="M32" i="24"/>
  <c r="M77" i="24" s="1"/>
  <c r="M14" i="24"/>
  <c r="M59" i="24" s="1"/>
  <c r="M36" i="24"/>
  <c r="M81" i="24" s="1"/>
  <c r="V21" i="12"/>
  <c r="Q26" i="24"/>
  <c r="Q71" i="24" s="1"/>
  <c r="O18" i="24"/>
  <c r="O63" i="24" s="1"/>
  <c r="O15" i="24"/>
  <c r="O60" i="24" s="1"/>
  <c r="O20" i="24"/>
  <c r="O65" i="24" s="1"/>
  <c r="O19" i="24"/>
  <c r="O64" i="24" s="1"/>
  <c r="O40" i="24"/>
  <c r="O85" i="24" s="1"/>
  <c r="O12" i="24"/>
  <c r="O57" i="24" s="1"/>
  <c r="O32" i="24"/>
  <c r="O77" i="24" s="1"/>
  <c r="O28" i="24"/>
  <c r="O73" i="24" s="1"/>
  <c r="S32" i="24"/>
  <c r="S77" i="24" s="1"/>
  <c r="M23" i="24"/>
  <c r="M68" i="24" s="1"/>
  <c r="M35" i="24"/>
  <c r="M80" i="24" s="1"/>
  <c r="V13" i="12"/>
  <c r="S28" i="24"/>
  <c r="S73" i="24" s="1"/>
  <c r="S27" i="24"/>
  <c r="S72" i="24" s="1"/>
  <c r="S15" i="24"/>
  <c r="S60" i="24" s="1"/>
  <c r="O9" i="24"/>
  <c r="O54" i="24" s="1"/>
  <c r="O10" i="24"/>
  <c r="O55" i="24" s="1"/>
  <c r="O21" i="24"/>
  <c r="O66" i="24" s="1"/>
  <c r="O29" i="24"/>
  <c r="O74" i="24" s="1"/>
  <c r="O35" i="24"/>
  <c r="O80" i="24" s="1"/>
  <c r="Q12" i="24"/>
  <c r="Q57" i="24" s="1"/>
  <c r="Q35" i="24"/>
  <c r="Q80" i="24" s="1"/>
  <c r="S25" i="24"/>
  <c r="S70" i="24" s="1"/>
  <c r="S39" i="24"/>
  <c r="S84" i="24" s="1"/>
  <c r="O11" i="24"/>
  <c r="O56" i="24" s="1"/>
  <c r="O44" i="24"/>
  <c r="O89" i="24" s="1"/>
  <c r="Q15" i="24"/>
  <c r="Q60" i="24" s="1"/>
  <c r="Q32" i="24"/>
  <c r="Q77" i="24" s="1"/>
  <c r="S18" i="24"/>
  <c r="S63" i="24" s="1"/>
  <c r="S22" i="24"/>
  <c r="S67" i="24" s="1"/>
  <c r="S42" i="24"/>
  <c r="S87" i="24" s="1"/>
  <c r="S34" i="24"/>
  <c r="S79" i="24" s="1"/>
  <c r="S33" i="24"/>
  <c r="S78" i="24" s="1"/>
  <c r="Q41" i="24"/>
  <c r="Q86" i="24" s="1"/>
  <c r="Q19" i="24"/>
  <c r="Q64" i="24" s="1"/>
  <c r="Q16" i="24"/>
  <c r="Q61" i="24" s="1"/>
  <c r="Q39" i="24"/>
  <c r="Q84" i="24" s="1"/>
  <c r="H7" i="26"/>
  <c r="H13" i="26" s="1"/>
  <c r="S26" i="24"/>
  <c r="S71" i="24" s="1"/>
  <c r="O7" i="24"/>
  <c r="O52" i="24" s="1"/>
  <c r="O27" i="24"/>
  <c r="O72" i="24" s="1"/>
  <c r="O14" i="24"/>
  <c r="O59" i="24" s="1"/>
  <c r="O39" i="24"/>
  <c r="O84" i="24" s="1"/>
  <c r="O41" i="24"/>
  <c r="O86" i="24" s="1"/>
  <c r="S19" i="24"/>
  <c r="S64" i="24" s="1"/>
  <c r="O34" i="24"/>
  <c r="O79" i="24" s="1"/>
  <c r="S8" i="24"/>
  <c r="S53" i="24" s="1"/>
  <c r="S11" i="24"/>
  <c r="S56" i="24" s="1"/>
  <c r="S24" i="24"/>
  <c r="S69" i="24" s="1"/>
  <c r="S44" i="24"/>
  <c r="S89" i="24" s="1"/>
  <c r="S20" i="24"/>
  <c r="S65" i="24" s="1"/>
  <c r="O8" i="24"/>
  <c r="O53" i="24" s="1"/>
  <c r="Q43" i="24"/>
  <c r="Q88" i="24" s="1"/>
  <c r="C9" i="26"/>
  <c r="C11" i="26"/>
  <c r="I9" i="26"/>
  <c r="Z46" i="11"/>
  <c r="V34" i="13"/>
  <c r="V21" i="13"/>
  <c r="V16" i="13"/>
  <c r="U21" i="24"/>
  <c r="U66" i="24" s="1"/>
  <c r="U9" i="24"/>
  <c r="U54" i="24" s="1"/>
  <c r="U42" i="24"/>
  <c r="U87" i="24" s="1"/>
  <c r="U22" i="24"/>
  <c r="U67" i="24" s="1"/>
  <c r="Q37" i="24"/>
  <c r="Q82" i="24" s="1"/>
  <c r="U12" i="24"/>
  <c r="U57" i="24" s="1"/>
  <c r="U31" i="24"/>
  <c r="U76" i="24" s="1"/>
  <c r="U34" i="24"/>
  <c r="U79" i="24" s="1"/>
  <c r="Q40" i="24"/>
  <c r="Q85" i="24" s="1"/>
  <c r="U18" i="24"/>
  <c r="U63" i="24" s="1"/>
  <c r="U26" i="24"/>
  <c r="U71" i="24" s="1"/>
  <c r="U15" i="24"/>
  <c r="U60" i="24" s="1"/>
  <c r="Q21" i="24"/>
  <c r="Q66" i="24" s="1"/>
  <c r="U39" i="24"/>
  <c r="U84" i="24" s="1"/>
  <c r="Q17" i="24"/>
  <c r="Q62" i="24" s="1"/>
  <c r="Q30" i="24"/>
  <c r="Q75" i="24" s="1"/>
  <c r="U7" i="24"/>
  <c r="U52" i="24" s="1"/>
  <c r="U14" i="24"/>
  <c r="U59" i="24" s="1"/>
  <c r="U8" i="24"/>
  <c r="U53" i="24" s="1"/>
  <c r="U44" i="24"/>
  <c r="U89" i="24" s="1"/>
  <c r="U38" i="24"/>
  <c r="U83" i="24" s="1"/>
  <c r="Q42" i="24"/>
  <c r="Q87" i="24" s="1"/>
  <c r="U41" i="24"/>
  <c r="U86" i="24" s="1"/>
  <c r="U17" i="24"/>
  <c r="U62" i="24" s="1"/>
  <c r="Q34" i="24"/>
  <c r="Q79" i="24" s="1"/>
  <c r="U11" i="24"/>
  <c r="U56" i="24" s="1"/>
  <c r="U28" i="24"/>
  <c r="U73" i="24" s="1"/>
  <c r="U29" i="24"/>
  <c r="U74" i="24" s="1"/>
  <c r="Q14" i="24"/>
  <c r="Q59" i="24" s="1"/>
  <c r="H11" i="26"/>
  <c r="U33" i="24"/>
  <c r="U78" i="24" s="1"/>
  <c r="Q18" i="24"/>
  <c r="Q63" i="24" s="1"/>
  <c r="Q20" i="24"/>
  <c r="Q65" i="24" s="1"/>
  <c r="Q23" i="24"/>
  <c r="Q68" i="24" s="1"/>
  <c r="D7" i="26"/>
  <c r="D13" i="26" s="1"/>
  <c r="F9" i="26"/>
  <c r="F11" i="26"/>
  <c r="F7" i="26"/>
  <c r="F13" i="26" s="1"/>
  <c r="V16" i="12"/>
  <c r="U6" i="24"/>
  <c r="U51" i="24" s="1"/>
  <c r="K11" i="26" s="1"/>
  <c r="U25" i="24"/>
  <c r="U70" i="24" s="1"/>
  <c r="U10" i="24"/>
  <c r="U55" i="24" s="1"/>
  <c r="U23" i="24"/>
  <c r="U68" i="24" s="1"/>
  <c r="U43" i="24"/>
  <c r="U88" i="24" s="1"/>
  <c r="U20" i="24"/>
  <c r="U65" i="24" s="1"/>
  <c r="Q10" i="24"/>
  <c r="Q55" i="24" s="1"/>
  <c r="Q36" i="24"/>
  <c r="Q81" i="24" s="1"/>
  <c r="U13" i="24"/>
  <c r="U58" i="24" s="1"/>
  <c r="U30" i="24"/>
  <c r="U75" i="24" s="1"/>
  <c r="H9" i="26"/>
  <c r="U32" i="24"/>
  <c r="U77" i="24" s="1"/>
  <c r="Q11" i="24"/>
  <c r="Q56" i="24" s="1"/>
  <c r="Q22" i="24"/>
  <c r="Q67" i="24" s="1"/>
  <c r="Q29" i="24"/>
  <c r="Q74" i="24" s="1"/>
  <c r="U27" i="24"/>
  <c r="U72" i="24" s="1"/>
  <c r="U40" i="24"/>
  <c r="U85" i="24" s="1"/>
  <c r="U16" i="24"/>
  <c r="U61" i="24" s="1"/>
  <c r="Q6" i="24"/>
  <c r="Q51" i="24" s="1"/>
  <c r="G9" i="26" s="1"/>
  <c r="Q44" i="24"/>
  <c r="Q89" i="24" s="1"/>
  <c r="U37" i="24"/>
  <c r="U82" i="24" s="1"/>
  <c r="U35" i="24"/>
  <c r="U80" i="24" s="1"/>
  <c r="Q9" i="24"/>
  <c r="Q54" i="24" s="1"/>
  <c r="Q38" i="24"/>
  <c r="Q83" i="24" s="1"/>
  <c r="D11" i="26"/>
  <c r="D9" i="26"/>
  <c r="U24" i="24"/>
  <c r="U69" i="24" s="1"/>
  <c r="U36" i="24"/>
  <c r="U81" i="24" s="1"/>
  <c r="U19" i="24"/>
  <c r="U64" i="24" s="1"/>
  <c r="Q13" i="24"/>
  <c r="Q58" i="24" s="1"/>
  <c r="Q24" i="24"/>
  <c r="Q69" i="24" s="1"/>
  <c r="AD61" i="8"/>
  <c r="AA61" i="23"/>
  <c r="AA124" i="23" s="1"/>
  <c r="AD49" i="8"/>
  <c r="AA49" i="23"/>
  <c r="AA112" i="23" s="1"/>
  <c r="AD20" i="8"/>
  <c r="AA20" i="23"/>
  <c r="AA83" i="23" s="1"/>
  <c r="AD58" i="8"/>
  <c r="AA58" i="23"/>
  <c r="AA121" i="23" s="1"/>
  <c r="AD30" i="8"/>
  <c r="AA30" i="23"/>
  <c r="AA93" i="23" s="1"/>
  <c r="AD10" i="8"/>
  <c r="AA10" i="23"/>
  <c r="AA73" i="23" s="1"/>
  <c r="AD51" i="8"/>
  <c r="AA51" i="23"/>
  <c r="AA114" i="23" s="1"/>
  <c r="AD29" i="8"/>
  <c r="AA29" i="23"/>
  <c r="AA92" i="23" s="1"/>
  <c r="AD7" i="8"/>
  <c r="AA7" i="23"/>
  <c r="AA70" i="23" s="1"/>
  <c r="AD55" i="8"/>
  <c r="AA55" i="23"/>
  <c r="AA118" i="23" s="1"/>
  <c r="AD62" i="8"/>
  <c r="AA62" i="23"/>
  <c r="AA125" i="23" s="1"/>
  <c r="AD43" i="8"/>
  <c r="AA43" i="23"/>
  <c r="AA106" i="23" s="1"/>
  <c r="AD36" i="8"/>
  <c r="AA36" i="23"/>
  <c r="AA99" i="23" s="1"/>
  <c r="AD56" i="8"/>
  <c r="AA56" i="23"/>
  <c r="AA119" i="23" s="1"/>
  <c r="AD45" i="8"/>
  <c r="AA45" i="23"/>
  <c r="AA108" i="23" s="1"/>
  <c r="AD41" i="8"/>
  <c r="AA41" i="23"/>
  <c r="AA104" i="23" s="1"/>
  <c r="AD34" i="8"/>
  <c r="AA34" i="23"/>
  <c r="AA97" i="23" s="1"/>
  <c r="AD11" i="8"/>
  <c r="AA11" i="23"/>
  <c r="AA74" i="23" s="1"/>
  <c r="AD25" i="8"/>
  <c r="AA25" i="23"/>
  <c r="AA88" i="23" s="1"/>
  <c r="AD44" i="8"/>
  <c r="AA44" i="23"/>
  <c r="AA107" i="23" s="1"/>
  <c r="AD23" i="8"/>
  <c r="AA23" i="23"/>
  <c r="AA86" i="23" s="1"/>
  <c r="AD18" i="8"/>
  <c r="AA18" i="23"/>
  <c r="AA81" i="23" s="1"/>
  <c r="AD6" i="8"/>
  <c r="AA6" i="23"/>
  <c r="AA69" i="23" s="1"/>
  <c r="AD24" i="8"/>
  <c r="AA24" i="23"/>
  <c r="AA87" i="23" s="1"/>
  <c r="AD8" i="8"/>
  <c r="AA8" i="23"/>
  <c r="AA71" i="23" s="1"/>
  <c r="AD39" i="8"/>
  <c r="AA39" i="23"/>
  <c r="AA102" i="23" s="1"/>
  <c r="AD31" i="8"/>
  <c r="AA31" i="23"/>
  <c r="AA94" i="23" s="1"/>
  <c r="AD14" i="8"/>
  <c r="AA14" i="23"/>
  <c r="AA77" i="23" s="1"/>
  <c r="AD19" i="8"/>
  <c r="AA19" i="23"/>
  <c r="AA82" i="23" s="1"/>
  <c r="AD22" i="8"/>
  <c r="AA22" i="23"/>
  <c r="AA85" i="23" s="1"/>
  <c r="AD33" i="8"/>
  <c r="AA33" i="23"/>
  <c r="AA96" i="23" s="1"/>
  <c r="AD46" i="8"/>
  <c r="AA46" i="23"/>
  <c r="AA109" i="23" s="1"/>
  <c r="AD53" i="8"/>
  <c r="AA53" i="23"/>
  <c r="AA116" i="23" s="1"/>
  <c r="AD40" i="8"/>
  <c r="AA40" i="23"/>
  <c r="AA103" i="23" s="1"/>
  <c r="AD47" i="8"/>
  <c r="AA47" i="23"/>
  <c r="AA110" i="23" s="1"/>
  <c r="AD60" i="8"/>
  <c r="AA60" i="23"/>
  <c r="AA123" i="23" s="1"/>
  <c r="AD42" i="8"/>
  <c r="AA42" i="23"/>
  <c r="AA105" i="23" s="1"/>
  <c r="AD28" i="8"/>
  <c r="AA28" i="23"/>
  <c r="AA91" i="23" s="1"/>
  <c r="AD38" i="8"/>
  <c r="AA38" i="23"/>
  <c r="AA101" i="23" s="1"/>
  <c r="AD50" i="8"/>
  <c r="AA50" i="23"/>
  <c r="AA113" i="23" s="1"/>
  <c r="AD59" i="8"/>
  <c r="AA59" i="23"/>
  <c r="AA122" i="23" s="1"/>
  <c r="AD16" i="8"/>
  <c r="AA16" i="23"/>
  <c r="AA79" i="23" s="1"/>
  <c r="AD48" i="8"/>
  <c r="AA48" i="23"/>
  <c r="AA111" i="23" s="1"/>
  <c r="AD26" i="8"/>
  <c r="AA26" i="23"/>
  <c r="AA89" i="23" s="1"/>
  <c r="AD37" i="8"/>
  <c r="AA37" i="23"/>
  <c r="AA100" i="23" s="1"/>
  <c r="AD21" i="8"/>
  <c r="AA21" i="23"/>
  <c r="AA84" i="23" s="1"/>
  <c r="AD32" i="8"/>
  <c r="AA32" i="23"/>
  <c r="AA95" i="23" s="1"/>
  <c r="AD52" i="8"/>
  <c r="AA52" i="23"/>
  <c r="AA115" i="23" s="1"/>
  <c r="AD27" i="8"/>
  <c r="AA27" i="23"/>
  <c r="AA90" i="23" s="1"/>
  <c r="AD54" i="8"/>
  <c r="AA54" i="23"/>
  <c r="AA117" i="23" s="1"/>
  <c r="AD57" i="8"/>
  <c r="AA57" i="23"/>
  <c r="AA120" i="23" s="1"/>
  <c r="AD35" i="8"/>
  <c r="AA35" i="23"/>
  <c r="AA98" i="23" s="1"/>
  <c r="AD9" i="8"/>
  <c r="AA9" i="23"/>
  <c r="AA72" i="23" s="1"/>
  <c r="AD13" i="8"/>
  <c r="AA13" i="23"/>
  <c r="AA76" i="23" s="1"/>
  <c r="AD17" i="8"/>
  <c r="AA17" i="23"/>
  <c r="AA80" i="23" s="1"/>
  <c r="AD15" i="8"/>
  <c r="AA15" i="23"/>
  <c r="AA78" i="23" s="1"/>
  <c r="V31" i="13"/>
  <c r="U46" i="12"/>
  <c r="M46" i="13"/>
  <c r="V14" i="13"/>
  <c r="L13" i="11"/>
  <c r="L6" i="11"/>
  <c r="L7" i="11"/>
  <c r="L5" i="11"/>
  <c r="L18" i="11"/>
  <c r="L11" i="11"/>
  <c r="L10" i="11"/>
  <c r="L12" i="11"/>
  <c r="L9" i="11"/>
  <c r="L8" i="11"/>
  <c r="L27" i="11"/>
  <c r="L43" i="11"/>
  <c r="L24" i="11"/>
  <c r="L40" i="11"/>
  <c r="L21" i="11"/>
  <c r="L37" i="11"/>
  <c r="L26" i="11"/>
  <c r="L42" i="11"/>
  <c r="L14" i="11"/>
  <c r="L31" i="11"/>
  <c r="L28" i="11"/>
  <c r="L44" i="11"/>
  <c r="L25" i="11"/>
  <c r="L41" i="11"/>
  <c r="L30" i="11"/>
  <c r="L23" i="11"/>
  <c r="L39" i="11"/>
  <c r="L20" i="11"/>
  <c r="L36" i="11"/>
  <c r="L16" i="11"/>
  <c r="L33" i="11"/>
  <c r="L22" i="11"/>
  <c r="L38" i="11"/>
  <c r="L19" i="11"/>
  <c r="L34" i="11"/>
  <c r="L35" i="11"/>
  <c r="L15" i="11"/>
  <c r="L32" i="11"/>
  <c r="L29" i="11"/>
  <c r="L17" i="11"/>
  <c r="N67" i="9"/>
  <c r="N67" i="8"/>
  <c r="N67" i="7"/>
  <c r="M46" i="12"/>
  <c r="Z5" i="13"/>
  <c r="Z46" i="13" s="1"/>
  <c r="Y46" i="13"/>
  <c r="U46" i="13"/>
  <c r="V31" i="12"/>
  <c r="AC64" i="8"/>
  <c r="V5" i="12"/>
  <c r="S46" i="12"/>
  <c r="V27" i="12"/>
  <c r="O46" i="13"/>
  <c r="V41" i="13"/>
  <c r="V33" i="12"/>
  <c r="V28" i="12"/>
  <c r="V8" i="13"/>
  <c r="V19" i="13"/>
  <c r="V39" i="13"/>
  <c r="V26" i="12"/>
  <c r="F45" i="5"/>
  <c r="P49" i="13"/>
  <c r="P49" i="12"/>
  <c r="P49" i="11"/>
  <c r="P49" i="10"/>
  <c r="AA47" i="13"/>
  <c r="AA47" i="12"/>
  <c r="W51" i="12" s="1"/>
  <c r="AA47" i="11"/>
  <c r="AA47" i="10"/>
  <c r="V32" i="13"/>
  <c r="O46" i="12"/>
  <c r="V41" i="12"/>
  <c r="V7" i="13"/>
  <c r="V25" i="13"/>
  <c r="V19" i="12"/>
  <c r="V39" i="12"/>
  <c r="Z5" i="12"/>
  <c r="Z46" i="12" s="1"/>
  <c r="Y46" i="12"/>
  <c r="N69" i="8"/>
  <c r="N12" i="9" s="1"/>
  <c r="V12" i="13"/>
  <c r="V35" i="13"/>
  <c r="S46" i="13"/>
  <c r="V5" i="13"/>
  <c r="V15" i="13"/>
  <c r="V28" i="13"/>
  <c r="V7" i="12"/>
  <c r="V8" i="12"/>
  <c r="V25" i="12"/>
  <c r="V43" i="13"/>
  <c r="V26" i="13"/>
  <c r="E34" i="5"/>
  <c r="L48" i="13"/>
  <c r="L48" i="12"/>
  <c r="L48" i="11"/>
  <c r="L51" i="11" s="1"/>
  <c r="L50" i="11" s="1"/>
  <c r="L48" i="10"/>
  <c r="N66" i="9"/>
  <c r="N66" i="8"/>
  <c r="N66" i="7"/>
  <c r="T65" i="8"/>
  <c r="T65" i="9"/>
  <c r="T65" i="7"/>
  <c r="V12" i="12"/>
  <c r="V35" i="12"/>
  <c r="V46" i="11"/>
  <c r="V27" i="13"/>
  <c r="V15" i="12"/>
  <c r="V32" i="12"/>
  <c r="V33" i="13"/>
  <c r="V43" i="12"/>
  <c r="L50" i="12"/>
  <c r="E10" i="5"/>
  <c r="N68" i="6"/>
  <c r="F10" i="5"/>
  <c r="F46" i="5" s="1"/>
  <c r="N69" i="6"/>
  <c r="D46" i="5"/>
  <c r="D29" i="5"/>
  <c r="F29" i="5"/>
  <c r="AC64" i="9" l="1"/>
  <c r="AD27" i="23"/>
  <c r="AD90" i="23" s="1"/>
  <c r="P26" i="8"/>
  <c r="P26" i="23" s="1"/>
  <c r="P89" i="23" s="1"/>
  <c r="P51" i="8"/>
  <c r="P51" i="23" s="1"/>
  <c r="P114" i="23" s="1"/>
  <c r="W19" i="23"/>
  <c r="W82" i="23" s="1"/>
  <c r="Q10" i="8"/>
  <c r="Q10" i="23" s="1"/>
  <c r="Q73" i="23" s="1"/>
  <c r="Q26" i="8"/>
  <c r="Q26" i="23" s="1"/>
  <c r="Q89" i="23" s="1"/>
  <c r="Q61" i="8"/>
  <c r="Q61" i="23" s="1"/>
  <c r="Q124" i="23" s="1"/>
  <c r="O7" i="25"/>
  <c r="O13" i="25" s="1"/>
  <c r="O9" i="25"/>
  <c r="O11" i="25"/>
  <c r="AH30" i="8"/>
  <c r="AD30" i="23" s="1"/>
  <c r="AD93" i="23" s="1"/>
  <c r="AH44" i="8"/>
  <c r="AD44" i="23" s="1"/>
  <c r="AD107" i="23" s="1"/>
  <c r="Q64" i="9"/>
  <c r="AH46" i="8"/>
  <c r="AD46" i="23" s="1"/>
  <c r="AD109" i="23" s="1"/>
  <c r="AH64" i="9"/>
  <c r="P28" i="8"/>
  <c r="P28" i="23" s="1"/>
  <c r="P91" i="23" s="1"/>
  <c r="P57" i="8"/>
  <c r="P57" i="23" s="1"/>
  <c r="P120" i="23" s="1"/>
  <c r="X54" i="8"/>
  <c r="W54" i="23" s="1"/>
  <c r="W117" i="23" s="1"/>
  <c r="X60" i="8"/>
  <c r="W60" i="23" s="1"/>
  <c r="W123" i="23" s="1"/>
  <c r="M5" i="9"/>
  <c r="M64" i="9" s="1"/>
  <c r="M64" i="7"/>
  <c r="M69" i="7" s="1"/>
  <c r="Q21" i="8"/>
  <c r="Q21" i="23" s="1"/>
  <c r="Q84" i="23" s="1"/>
  <c r="Q45" i="8"/>
  <c r="Q45" i="23" s="1"/>
  <c r="Q108" i="23" s="1"/>
  <c r="AH26" i="8"/>
  <c r="AD26" i="23" s="1"/>
  <c r="AD89" i="23" s="1"/>
  <c r="AH49" i="8"/>
  <c r="AD49" i="23" s="1"/>
  <c r="AD112" i="23" s="1"/>
  <c r="Q15" i="8"/>
  <c r="Q15" i="23" s="1"/>
  <c r="Q78" i="23" s="1"/>
  <c r="Q60" i="8"/>
  <c r="Q60" i="23" s="1"/>
  <c r="Q123" i="23" s="1"/>
  <c r="W64" i="9"/>
  <c r="P64" i="9"/>
  <c r="P16" i="8"/>
  <c r="P16" i="23" s="1"/>
  <c r="P79" i="23" s="1"/>
  <c r="P54" i="8"/>
  <c r="P54" i="23" s="1"/>
  <c r="P117" i="23" s="1"/>
  <c r="P24" i="8"/>
  <c r="P24" i="23" s="1"/>
  <c r="P87" i="23" s="1"/>
  <c r="O12" i="8"/>
  <c r="O12" i="23" s="1"/>
  <c r="O75" i="23" s="1"/>
  <c r="O10" i="8"/>
  <c r="O10" i="23" s="1"/>
  <c r="O73" i="23" s="1"/>
  <c r="O55" i="8"/>
  <c r="O55" i="23" s="1"/>
  <c r="O118" i="23" s="1"/>
  <c r="O23" i="8"/>
  <c r="O23" i="23" s="1"/>
  <c r="O86" i="23" s="1"/>
  <c r="O37" i="8"/>
  <c r="O37" i="23" s="1"/>
  <c r="O100" i="23" s="1"/>
  <c r="O53" i="8"/>
  <c r="O53" i="23" s="1"/>
  <c r="O116" i="23" s="1"/>
  <c r="O59" i="8"/>
  <c r="O59" i="23" s="1"/>
  <c r="O122" i="23" s="1"/>
  <c r="O58" i="8"/>
  <c r="O58" i="23" s="1"/>
  <c r="O121" i="23" s="1"/>
  <c r="O47" i="8"/>
  <c r="O47" i="23" s="1"/>
  <c r="O110" i="23" s="1"/>
  <c r="O36" i="8"/>
  <c r="O36" i="23" s="1"/>
  <c r="O99" i="23" s="1"/>
  <c r="O50" i="8"/>
  <c r="O50" i="23" s="1"/>
  <c r="O113" i="23" s="1"/>
  <c r="O41" i="8"/>
  <c r="O41" i="23" s="1"/>
  <c r="O104" i="23" s="1"/>
  <c r="O28" i="8"/>
  <c r="O28" i="23" s="1"/>
  <c r="O91" i="23" s="1"/>
  <c r="O54" i="8"/>
  <c r="O54" i="23" s="1"/>
  <c r="O117" i="23" s="1"/>
  <c r="O32" i="8"/>
  <c r="O32" i="23" s="1"/>
  <c r="O95" i="23" s="1"/>
  <c r="O19" i="8"/>
  <c r="O19" i="23" s="1"/>
  <c r="O82" i="23" s="1"/>
  <c r="O52" i="8"/>
  <c r="O52" i="23" s="1"/>
  <c r="O115" i="23" s="1"/>
  <c r="O34" i="8"/>
  <c r="O34" i="23" s="1"/>
  <c r="O97" i="23" s="1"/>
  <c r="O24" i="8"/>
  <c r="O24" i="23" s="1"/>
  <c r="O87" i="23" s="1"/>
  <c r="O57" i="8"/>
  <c r="O57" i="23" s="1"/>
  <c r="O120" i="23" s="1"/>
  <c r="O48" i="8"/>
  <c r="O48" i="23" s="1"/>
  <c r="O111" i="23" s="1"/>
  <c r="O14" i="8"/>
  <c r="O14" i="23" s="1"/>
  <c r="O77" i="23" s="1"/>
  <c r="O45" i="8"/>
  <c r="O45" i="23" s="1"/>
  <c r="O108" i="23" s="1"/>
  <c r="O11" i="8"/>
  <c r="O11" i="23" s="1"/>
  <c r="O74" i="23" s="1"/>
  <c r="O33" i="8"/>
  <c r="O33" i="23" s="1"/>
  <c r="O96" i="23" s="1"/>
  <c r="O6" i="8"/>
  <c r="O6" i="23" s="1"/>
  <c r="O69" i="23" s="1"/>
  <c r="O17" i="8"/>
  <c r="O17" i="23" s="1"/>
  <c r="O80" i="23" s="1"/>
  <c r="O42" i="8"/>
  <c r="O42" i="23" s="1"/>
  <c r="O105" i="23" s="1"/>
  <c r="O27" i="8"/>
  <c r="O27" i="23" s="1"/>
  <c r="O90" i="23" s="1"/>
  <c r="O29" i="8"/>
  <c r="O29" i="23" s="1"/>
  <c r="O92" i="23" s="1"/>
  <c r="O38" i="8"/>
  <c r="O38" i="23" s="1"/>
  <c r="O101" i="23" s="1"/>
  <c r="O16" i="8"/>
  <c r="O16" i="23" s="1"/>
  <c r="O79" i="23" s="1"/>
  <c r="O60" i="8"/>
  <c r="O60" i="23" s="1"/>
  <c r="O123" i="23" s="1"/>
  <c r="O20" i="8"/>
  <c r="O20" i="23" s="1"/>
  <c r="O83" i="23" s="1"/>
  <c r="O56" i="8"/>
  <c r="O56" i="23" s="1"/>
  <c r="O119" i="23" s="1"/>
  <c r="O44" i="8"/>
  <c r="O44" i="23" s="1"/>
  <c r="O107" i="23" s="1"/>
  <c r="O13" i="8"/>
  <c r="O13" i="23" s="1"/>
  <c r="O76" i="23" s="1"/>
  <c r="O43" i="8"/>
  <c r="O43" i="23" s="1"/>
  <c r="O106" i="23" s="1"/>
  <c r="O49" i="8"/>
  <c r="O49" i="23" s="1"/>
  <c r="O112" i="23" s="1"/>
  <c r="O21" i="8"/>
  <c r="O21" i="23" s="1"/>
  <c r="O84" i="23" s="1"/>
  <c r="O31" i="8"/>
  <c r="O31" i="23" s="1"/>
  <c r="O94" i="23" s="1"/>
  <c r="O18" i="8"/>
  <c r="O18" i="23" s="1"/>
  <c r="O81" i="23" s="1"/>
  <c r="O62" i="8"/>
  <c r="O62" i="23" s="1"/>
  <c r="O125" i="23" s="1"/>
  <c r="O51" i="8"/>
  <c r="O51" i="23" s="1"/>
  <c r="O114" i="23" s="1"/>
  <c r="O26" i="8"/>
  <c r="O26" i="23" s="1"/>
  <c r="O89" i="23" s="1"/>
  <c r="O15" i="8"/>
  <c r="O15" i="23" s="1"/>
  <c r="O78" i="23" s="1"/>
  <c r="O8" i="8"/>
  <c r="O8" i="23" s="1"/>
  <c r="O71" i="23" s="1"/>
  <c r="O25" i="8"/>
  <c r="O25" i="23" s="1"/>
  <c r="O88" i="23" s="1"/>
  <c r="O9" i="8"/>
  <c r="O9" i="23" s="1"/>
  <c r="O72" i="23" s="1"/>
  <c r="O61" i="8"/>
  <c r="O61" i="23" s="1"/>
  <c r="O124" i="23" s="1"/>
  <c r="O5" i="8"/>
  <c r="O7" i="8"/>
  <c r="O7" i="23" s="1"/>
  <c r="O70" i="23" s="1"/>
  <c r="O35" i="8"/>
  <c r="O35" i="23" s="1"/>
  <c r="O98" i="23" s="1"/>
  <c r="O22" i="8"/>
  <c r="O22" i="23" s="1"/>
  <c r="O85" i="23" s="1"/>
  <c r="O46" i="8"/>
  <c r="O46" i="23" s="1"/>
  <c r="O109" i="23" s="1"/>
  <c r="O30" i="8"/>
  <c r="O30" i="23" s="1"/>
  <c r="O93" i="23" s="1"/>
  <c r="O40" i="8"/>
  <c r="O40" i="23" s="1"/>
  <c r="O103" i="23" s="1"/>
  <c r="O39" i="8"/>
  <c r="O39" i="23" s="1"/>
  <c r="O102" i="23" s="1"/>
  <c r="P29" i="8"/>
  <c r="P29" i="23" s="1"/>
  <c r="P92" i="23" s="1"/>
  <c r="P60" i="8"/>
  <c r="P60" i="23" s="1"/>
  <c r="P123" i="23" s="1"/>
  <c r="P11" i="8"/>
  <c r="P11" i="23" s="1"/>
  <c r="P74" i="23" s="1"/>
  <c r="P17" i="8"/>
  <c r="P17" i="23" s="1"/>
  <c r="P80" i="23" s="1"/>
  <c r="P43" i="8"/>
  <c r="P43" i="23" s="1"/>
  <c r="P106" i="23" s="1"/>
  <c r="X12" i="8"/>
  <c r="W12" i="23" s="1"/>
  <c r="W75" i="23" s="1"/>
  <c r="X56" i="8"/>
  <c r="W56" i="23" s="1"/>
  <c r="W119" i="23" s="1"/>
  <c r="X35" i="8"/>
  <c r="W35" i="23" s="1"/>
  <c r="W98" i="23" s="1"/>
  <c r="X58" i="8"/>
  <c r="W58" i="23" s="1"/>
  <c r="W121" i="23" s="1"/>
  <c r="X22" i="8"/>
  <c r="W22" i="23" s="1"/>
  <c r="W85" i="23" s="1"/>
  <c r="X37" i="8"/>
  <c r="W37" i="23" s="1"/>
  <c r="W100" i="23" s="1"/>
  <c r="X7" i="8"/>
  <c r="W7" i="23" s="1"/>
  <c r="W70" i="23" s="1"/>
  <c r="X24" i="8"/>
  <c r="W24" i="23" s="1"/>
  <c r="W87" i="23" s="1"/>
  <c r="X31" i="8"/>
  <c r="W31" i="23" s="1"/>
  <c r="W94" i="23" s="1"/>
  <c r="X47" i="8"/>
  <c r="W47" i="23" s="1"/>
  <c r="W110" i="23" s="1"/>
  <c r="X49" i="8"/>
  <c r="W49" i="23" s="1"/>
  <c r="W112" i="23" s="1"/>
  <c r="X32" i="8"/>
  <c r="W32" i="23" s="1"/>
  <c r="W95" i="23" s="1"/>
  <c r="X62" i="8"/>
  <c r="W62" i="23" s="1"/>
  <c r="W125" i="23" s="1"/>
  <c r="X28" i="8"/>
  <c r="W28" i="23" s="1"/>
  <c r="W91" i="23" s="1"/>
  <c r="X51" i="8"/>
  <c r="W51" i="23" s="1"/>
  <c r="W114" i="23" s="1"/>
  <c r="X21" i="8"/>
  <c r="W21" i="23" s="1"/>
  <c r="W84" i="23" s="1"/>
  <c r="X34" i="8"/>
  <c r="W34" i="23" s="1"/>
  <c r="W97" i="23" s="1"/>
  <c r="X53" i="8"/>
  <c r="W53" i="23" s="1"/>
  <c r="W116" i="23" s="1"/>
  <c r="X16" i="8"/>
  <c r="W16" i="23" s="1"/>
  <c r="W79" i="23" s="1"/>
  <c r="X11" i="8"/>
  <c r="W11" i="23" s="1"/>
  <c r="W74" i="23" s="1"/>
  <c r="X44" i="8"/>
  <c r="W44" i="23" s="1"/>
  <c r="W107" i="23" s="1"/>
  <c r="X46" i="8"/>
  <c r="W46" i="23" s="1"/>
  <c r="W109" i="23" s="1"/>
  <c r="X55" i="8"/>
  <c r="W55" i="23" s="1"/>
  <c r="W118" i="23" s="1"/>
  <c r="X18" i="8"/>
  <c r="W18" i="23" s="1"/>
  <c r="W81" i="23" s="1"/>
  <c r="X43" i="8"/>
  <c r="W43" i="23" s="1"/>
  <c r="W106" i="23" s="1"/>
  <c r="X48" i="8"/>
  <c r="W48" i="23" s="1"/>
  <c r="W111" i="23" s="1"/>
  <c r="X10" i="8"/>
  <c r="W10" i="23" s="1"/>
  <c r="W73" i="23" s="1"/>
  <c r="X14" i="8"/>
  <c r="W14" i="23" s="1"/>
  <c r="W77" i="23" s="1"/>
  <c r="X27" i="8"/>
  <c r="W27" i="23" s="1"/>
  <c r="W90" i="23" s="1"/>
  <c r="X50" i="8"/>
  <c r="W50" i="23" s="1"/>
  <c r="W113" i="23" s="1"/>
  <c r="X29" i="8"/>
  <c r="W29" i="23" s="1"/>
  <c r="W92" i="23" s="1"/>
  <c r="X33" i="8"/>
  <c r="W33" i="23" s="1"/>
  <c r="W96" i="23" s="1"/>
  <c r="X26" i="8"/>
  <c r="W26" i="23" s="1"/>
  <c r="W89" i="23" s="1"/>
  <c r="X61" i="8"/>
  <c r="W61" i="23" s="1"/>
  <c r="W124" i="23" s="1"/>
  <c r="X13" i="8"/>
  <c r="W13" i="23" s="1"/>
  <c r="W76" i="23" s="1"/>
  <c r="X5" i="8"/>
  <c r="X40" i="8"/>
  <c r="W40" i="23" s="1"/>
  <c r="W103" i="23" s="1"/>
  <c r="Q24" i="8"/>
  <c r="Q24" i="23" s="1"/>
  <c r="Q87" i="23" s="1"/>
  <c r="P20" i="8"/>
  <c r="P20" i="23" s="1"/>
  <c r="P83" i="23" s="1"/>
  <c r="P62" i="8"/>
  <c r="P62" i="23" s="1"/>
  <c r="P125" i="23" s="1"/>
  <c r="P31" i="8"/>
  <c r="P31" i="23" s="1"/>
  <c r="P94" i="23" s="1"/>
  <c r="P50" i="8"/>
  <c r="P50" i="23" s="1"/>
  <c r="P113" i="23" s="1"/>
  <c r="X39" i="8"/>
  <c r="W39" i="23" s="1"/>
  <c r="W102" i="23" s="1"/>
  <c r="X41" i="8"/>
  <c r="W41" i="23" s="1"/>
  <c r="W104" i="23" s="1"/>
  <c r="Q34" i="8"/>
  <c r="Q34" i="23" s="1"/>
  <c r="Q97" i="23" s="1"/>
  <c r="Q50" i="8"/>
  <c r="Q50" i="23" s="1"/>
  <c r="Q113" i="23" s="1"/>
  <c r="V28" i="7"/>
  <c r="V13" i="7"/>
  <c r="V23" i="7"/>
  <c r="V29" i="7"/>
  <c r="V30" i="7"/>
  <c r="V15" i="7"/>
  <c r="V9" i="7"/>
  <c r="V32" i="7"/>
  <c r="V39" i="7"/>
  <c r="V37" i="7"/>
  <c r="V43" i="7"/>
  <c r="V41" i="7"/>
  <c r="V44" i="7"/>
  <c r="V42" i="7"/>
  <c r="V47" i="7"/>
  <c r="V25" i="7"/>
  <c r="V11" i="7"/>
  <c r="V16" i="7"/>
  <c r="V24" i="7"/>
  <c r="V27" i="7"/>
  <c r="V10" i="7"/>
  <c r="V6" i="7"/>
  <c r="V49" i="7"/>
  <c r="V55" i="7"/>
  <c r="V53" i="7"/>
  <c r="V59" i="7"/>
  <c r="V57" i="7"/>
  <c r="V60" i="7"/>
  <c r="V58" i="7"/>
  <c r="V20" i="7"/>
  <c r="V31" i="7"/>
  <c r="V14" i="7"/>
  <c r="V21" i="7"/>
  <c r="V22" i="7"/>
  <c r="V5" i="7"/>
  <c r="V7" i="7"/>
  <c r="V46" i="7"/>
  <c r="V35" i="7"/>
  <c r="V33" i="7"/>
  <c r="V40" i="7"/>
  <c r="V38" i="7"/>
  <c r="V45" i="7"/>
  <c r="V34" i="7"/>
  <c r="V18" i="7"/>
  <c r="V26" i="7"/>
  <c r="V36" i="7"/>
  <c r="V19" i="7"/>
  <c r="V17" i="7"/>
  <c r="V8" i="7"/>
  <c r="V48" i="7"/>
  <c r="V62" i="7"/>
  <c r="V52" i="7"/>
  <c r="V50" i="7"/>
  <c r="V56" i="7"/>
  <c r="V54" i="7"/>
  <c r="V61" i="7"/>
  <c r="V51" i="7"/>
  <c r="P37" i="8"/>
  <c r="P8" i="8"/>
  <c r="P8" i="23" s="1"/>
  <c r="P71" i="23" s="1"/>
  <c r="P22" i="8"/>
  <c r="P22" i="23" s="1"/>
  <c r="P85" i="23" s="1"/>
  <c r="P58" i="8"/>
  <c r="P58" i="23" s="1"/>
  <c r="P121" i="23" s="1"/>
  <c r="P13" i="8"/>
  <c r="P13" i="23" s="1"/>
  <c r="P76" i="23" s="1"/>
  <c r="AD64" i="7"/>
  <c r="X52" i="8"/>
  <c r="W52" i="23" s="1"/>
  <c r="W115" i="23" s="1"/>
  <c r="Q22" i="8"/>
  <c r="Q22" i="23" s="1"/>
  <c r="Q85" i="23" s="1"/>
  <c r="Q47" i="8"/>
  <c r="Q47" i="23" s="1"/>
  <c r="Q110" i="23" s="1"/>
  <c r="P13" i="25"/>
  <c r="Y27" i="7"/>
  <c r="Y27" i="9" s="1"/>
  <c r="Y28" i="7"/>
  <c r="Y13" i="7"/>
  <c r="Y13" i="9" s="1"/>
  <c r="Y16" i="7"/>
  <c r="Y16" i="9" s="1"/>
  <c r="Y24" i="7"/>
  <c r="Y10" i="7"/>
  <c r="Y9" i="7"/>
  <c r="Y9" i="9" s="1"/>
  <c r="Y33" i="7"/>
  <c r="Y37" i="7"/>
  <c r="Y37" i="9" s="1"/>
  <c r="Y34" i="7"/>
  <c r="Y34" i="9" s="1"/>
  <c r="Y41" i="7"/>
  <c r="Y41" i="9" s="1"/>
  <c r="Y45" i="7"/>
  <c r="Y43" i="7"/>
  <c r="Y39" i="7"/>
  <c r="Y39" i="9" s="1"/>
  <c r="Y22" i="7"/>
  <c r="Y25" i="7"/>
  <c r="Y25" i="9" s="1"/>
  <c r="Y31" i="7"/>
  <c r="Y31" i="9" s="1"/>
  <c r="Y14" i="7"/>
  <c r="Y14" i="9" s="1"/>
  <c r="Y21" i="7"/>
  <c r="Y5" i="7"/>
  <c r="Y6" i="7"/>
  <c r="Y6" i="9" s="1"/>
  <c r="Y50" i="7"/>
  <c r="Y50" i="9" s="1"/>
  <c r="Y53" i="7"/>
  <c r="Y53" i="9" s="1"/>
  <c r="Y51" i="7"/>
  <c r="Y51" i="9" s="1"/>
  <c r="Y57" i="7"/>
  <c r="Y57" i="9" s="1"/>
  <c r="Y61" i="7"/>
  <c r="Y61" i="9" s="1"/>
  <c r="Y59" i="7"/>
  <c r="Y59" i="9" s="1"/>
  <c r="Y55" i="7"/>
  <c r="Y55" i="9" s="1"/>
  <c r="Y17" i="7"/>
  <c r="Y20" i="7"/>
  <c r="Y20" i="9" s="1"/>
  <c r="Y26" i="7"/>
  <c r="Y26" i="9" s="1"/>
  <c r="Y36" i="7"/>
  <c r="Y36" i="9" s="1"/>
  <c r="Y19" i="7"/>
  <c r="Y8" i="7"/>
  <c r="Y8" i="9" s="1"/>
  <c r="Y32" i="7"/>
  <c r="Y32" i="9" s="1"/>
  <c r="Y47" i="7"/>
  <c r="Y38" i="7"/>
  <c r="Y38" i="9" s="1"/>
  <c r="Y35" i="7"/>
  <c r="Y35" i="9" s="1"/>
  <c r="Y42" i="7"/>
  <c r="Y42" i="9" s="1"/>
  <c r="Y46" i="7"/>
  <c r="Y46" i="9" s="1"/>
  <c r="Y44" i="7"/>
  <c r="Y40" i="7"/>
  <c r="Y30" i="7"/>
  <c r="Y30" i="9" s="1"/>
  <c r="Y15" i="7"/>
  <c r="Y15" i="9" s="1"/>
  <c r="Y18" i="7"/>
  <c r="Y18" i="9" s="1"/>
  <c r="Y23" i="7"/>
  <c r="Y23" i="9" s="1"/>
  <c r="Y29" i="7"/>
  <c r="Y29" i="9" s="1"/>
  <c r="Y7" i="7"/>
  <c r="Y11" i="7"/>
  <c r="Y11" i="9" s="1"/>
  <c r="Y49" i="7"/>
  <c r="Y48" i="7"/>
  <c r="Y48" i="9" s="1"/>
  <c r="Y54" i="7"/>
  <c r="Y52" i="7"/>
  <c r="Y52" i="9" s="1"/>
  <c r="Y58" i="7"/>
  <c r="Y58" i="9" s="1"/>
  <c r="Y62" i="7"/>
  <c r="Y62" i="9" s="1"/>
  <c r="Y60" i="7"/>
  <c r="Y60" i="9" s="1"/>
  <c r="Y56" i="7"/>
  <c r="Y56" i="9" s="1"/>
  <c r="P12" i="8"/>
  <c r="P12" i="23" s="1"/>
  <c r="P75" i="23" s="1"/>
  <c r="P49" i="8"/>
  <c r="P49" i="23" s="1"/>
  <c r="P112" i="23" s="1"/>
  <c r="P44" i="8"/>
  <c r="P44" i="23" s="1"/>
  <c r="P107" i="23" s="1"/>
  <c r="P15" i="8"/>
  <c r="P15" i="23" s="1"/>
  <c r="P78" i="23" s="1"/>
  <c r="P5" i="8"/>
  <c r="P23" i="8"/>
  <c r="P23" i="23" s="1"/>
  <c r="P86" i="23" s="1"/>
  <c r="P25" i="8"/>
  <c r="P25" i="23" s="1"/>
  <c r="P88" i="23" s="1"/>
  <c r="P53" i="8"/>
  <c r="P53" i="23" s="1"/>
  <c r="P116" i="23" s="1"/>
  <c r="P38" i="8"/>
  <c r="P59" i="8"/>
  <c r="P59" i="23" s="1"/>
  <c r="P122" i="23" s="1"/>
  <c r="P30" i="8"/>
  <c r="P30" i="23" s="1"/>
  <c r="P93" i="23" s="1"/>
  <c r="P19" i="8"/>
  <c r="P19" i="23" s="1"/>
  <c r="P82" i="23" s="1"/>
  <c r="P46" i="8"/>
  <c r="P46" i="23" s="1"/>
  <c r="P109" i="23" s="1"/>
  <c r="P36" i="8"/>
  <c r="P36" i="23" s="1"/>
  <c r="P99" i="23" s="1"/>
  <c r="P45" i="8"/>
  <c r="P45" i="23" s="1"/>
  <c r="P108" i="23" s="1"/>
  <c r="P32" i="8"/>
  <c r="P6" i="8"/>
  <c r="P6" i="23" s="1"/>
  <c r="P69" i="23" s="1"/>
  <c r="P40" i="8"/>
  <c r="P52" i="8"/>
  <c r="P52" i="23" s="1"/>
  <c r="P115" i="23" s="1"/>
  <c r="X64" i="9"/>
  <c r="P21" i="8"/>
  <c r="P21" i="23" s="1"/>
  <c r="P84" i="23" s="1"/>
  <c r="Q43" i="8"/>
  <c r="Q43" i="23" s="1"/>
  <c r="Q106" i="23" s="1"/>
  <c r="AH10" i="8"/>
  <c r="AD10" i="23" s="1"/>
  <c r="AD73" i="23" s="1"/>
  <c r="X42" i="8"/>
  <c r="W42" i="23" s="1"/>
  <c r="W105" i="23" s="1"/>
  <c r="P14" i="25"/>
  <c r="P27" i="8"/>
  <c r="P27" i="23" s="1"/>
  <c r="P90" i="23" s="1"/>
  <c r="P42" i="8"/>
  <c r="P42" i="23" s="1"/>
  <c r="P105" i="23" s="1"/>
  <c r="P35" i="8"/>
  <c r="P41" i="8"/>
  <c r="P41" i="23" s="1"/>
  <c r="P104" i="23" s="1"/>
  <c r="AI19" i="8"/>
  <c r="AE19" i="23" s="1"/>
  <c r="AE82" i="23" s="1"/>
  <c r="AI41" i="8"/>
  <c r="AE41" i="23" s="1"/>
  <c r="AE104" i="23" s="1"/>
  <c r="AI16" i="8"/>
  <c r="AE16" i="23" s="1"/>
  <c r="AE79" i="23" s="1"/>
  <c r="AI37" i="8"/>
  <c r="AE37" i="23" s="1"/>
  <c r="AE100" i="23" s="1"/>
  <c r="AI42" i="8"/>
  <c r="AE42" i="23" s="1"/>
  <c r="AE105" i="23" s="1"/>
  <c r="AI58" i="8"/>
  <c r="AE58" i="23" s="1"/>
  <c r="AE121" i="23" s="1"/>
  <c r="AI44" i="8"/>
  <c r="AE44" i="23" s="1"/>
  <c r="AE107" i="23" s="1"/>
  <c r="AI56" i="8"/>
  <c r="AE56" i="23" s="1"/>
  <c r="AE119" i="23" s="1"/>
  <c r="AI26" i="8"/>
  <c r="AE26" i="23" s="1"/>
  <c r="AE89" i="23" s="1"/>
  <c r="AI55" i="8"/>
  <c r="AE55" i="23" s="1"/>
  <c r="AE118" i="23" s="1"/>
  <c r="AI14" i="8"/>
  <c r="AE14" i="23" s="1"/>
  <c r="AE77" i="23" s="1"/>
  <c r="AI38" i="8"/>
  <c r="AE38" i="23" s="1"/>
  <c r="AE101" i="23" s="1"/>
  <c r="AI27" i="8"/>
  <c r="AE27" i="23" s="1"/>
  <c r="AE90" i="23" s="1"/>
  <c r="AI33" i="8"/>
  <c r="AE33" i="23" s="1"/>
  <c r="AE96" i="23" s="1"/>
  <c r="AI7" i="8"/>
  <c r="AE7" i="23" s="1"/>
  <c r="AE70" i="23" s="1"/>
  <c r="AI54" i="8"/>
  <c r="AE54" i="23" s="1"/>
  <c r="AE117" i="23" s="1"/>
  <c r="AI32" i="8"/>
  <c r="AE32" i="23" s="1"/>
  <c r="AE95" i="23" s="1"/>
  <c r="AI61" i="8"/>
  <c r="AE61" i="23" s="1"/>
  <c r="AE124" i="23" s="1"/>
  <c r="AI25" i="8"/>
  <c r="AE25" i="23" s="1"/>
  <c r="AE88" i="23" s="1"/>
  <c r="AI40" i="8"/>
  <c r="AE40" i="23" s="1"/>
  <c r="AE103" i="23" s="1"/>
  <c r="AI18" i="8"/>
  <c r="AE18" i="23" s="1"/>
  <c r="AE81" i="23" s="1"/>
  <c r="AI15" i="8"/>
  <c r="AE15" i="23" s="1"/>
  <c r="AE78" i="23" s="1"/>
  <c r="AI49" i="8"/>
  <c r="AE49" i="23" s="1"/>
  <c r="AE112" i="23" s="1"/>
  <c r="AI13" i="8"/>
  <c r="AE13" i="23" s="1"/>
  <c r="AE76" i="23" s="1"/>
  <c r="AI48" i="8"/>
  <c r="AE48" i="23" s="1"/>
  <c r="AE111" i="23" s="1"/>
  <c r="AI36" i="8"/>
  <c r="AE36" i="23" s="1"/>
  <c r="AE99" i="23" s="1"/>
  <c r="AI62" i="8"/>
  <c r="AE62" i="23" s="1"/>
  <c r="AE125" i="23" s="1"/>
  <c r="AI17" i="8"/>
  <c r="AE17" i="23" s="1"/>
  <c r="AE80" i="23" s="1"/>
  <c r="AI29" i="8"/>
  <c r="AE29" i="23" s="1"/>
  <c r="AE92" i="23" s="1"/>
  <c r="AI12" i="8"/>
  <c r="AE12" i="23" s="1"/>
  <c r="AE75" i="23" s="1"/>
  <c r="AI10" i="8"/>
  <c r="AE10" i="23" s="1"/>
  <c r="AE73" i="23" s="1"/>
  <c r="AI39" i="8"/>
  <c r="AE39" i="23" s="1"/>
  <c r="AE102" i="23" s="1"/>
  <c r="AI31" i="8"/>
  <c r="AE31" i="23" s="1"/>
  <c r="AE94" i="23" s="1"/>
  <c r="AI28" i="8"/>
  <c r="AE28" i="23" s="1"/>
  <c r="AE91" i="23" s="1"/>
  <c r="AI51" i="8"/>
  <c r="AE51" i="23" s="1"/>
  <c r="AE114" i="23" s="1"/>
  <c r="AI60" i="8"/>
  <c r="AE60" i="23" s="1"/>
  <c r="AE123" i="23" s="1"/>
  <c r="AI35" i="8"/>
  <c r="AE35" i="23" s="1"/>
  <c r="AE98" i="23" s="1"/>
  <c r="AI47" i="8"/>
  <c r="AE47" i="23" s="1"/>
  <c r="AE110" i="23" s="1"/>
  <c r="AI6" i="8"/>
  <c r="AE6" i="23" s="1"/>
  <c r="AE69" i="23" s="1"/>
  <c r="AI53" i="8"/>
  <c r="AE53" i="23" s="1"/>
  <c r="AE116" i="23" s="1"/>
  <c r="AI9" i="8"/>
  <c r="AE9" i="23" s="1"/>
  <c r="AE72" i="23" s="1"/>
  <c r="AI59" i="8"/>
  <c r="AE59" i="23" s="1"/>
  <c r="AE122" i="23" s="1"/>
  <c r="AI24" i="8"/>
  <c r="AE24" i="23" s="1"/>
  <c r="AE87" i="23" s="1"/>
  <c r="AI50" i="8"/>
  <c r="AE50" i="23" s="1"/>
  <c r="AE113" i="23" s="1"/>
  <c r="AI23" i="8"/>
  <c r="AE23" i="23" s="1"/>
  <c r="AE86" i="23" s="1"/>
  <c r="AI43" i="8"/>
  <c r="AE43" i="23" s="1"/>
  <c r="AE106" i="23" s="1"/>
  <c r="AI22" i="8"/>
  <c r="AE22" i="23" s="1"/>
  <c r="AE85" i="23" s="1"/>
  <c r="AI34" i="8"/>
  <c r="AE34" i="23" s="1"/>
  <c r="AE97" i="23" s="1"/>
  <c r="AI8" i="8"/>
  <c r="AE8" i="23" s="1"/>
  <c r="AE71" i="23" s="1"/>
  <c r="AI5" i="8"/>
  <c r="AI20" i="8"/>
  <c r="AE20" i="23" s="1"/>
  <c r="AE83" i="23" s="1"/>
  <c r="AI30" i="8"/>
  <c r="AE30" i="23" s="1"/>
  <c r="AE93" i="23" s="1"/>
  <c r="AI21" i="8"/>
  <c r="AE21" i="23" s="1"/>
  <c r="AE84" i="23" s="1"/>
  <c r="AI52" i="8"/>
  <c r="AE52" i="23" s="1"/>
  <c r="AE115" i="23" s="1"/>
  <c r="AI57" i="8"/>
  <c r="AE57" i="23" s="1"/>
  <c r="AE120" i="23" s="1"/>
  <c r="AI46" i="8"/>
  <c r="AE46" i="23" s="1"/>
  <c r="AE109" i="23" s="1"/>
  <c r="AI11" i="8"/>
  <c r="AE11" i="23" s="1"/>
  <c r="AE74" i="23" s="1"/>
  <c r="AI45" i="8"/>
  <c r="AE45" i="23" s="1"/>
  <c r="AE108" i="23" s="1"/>
  <c r="W45" i="23"/>
  <c r="W108" i="23" s="1"/>
  <c r="W9" i="23"/>
  <c r="W72" i="23" s="1"/>
  <c r="W36" i="23"/>
  <c r="W99" i="23" s="1"/>
  <c r="Q11" i="23"/>
  <c r="Q74" i="23" s="1"/>
  <c r="Q30" i="23"/>
  <c r="Q93" i="23" s="1"/>
  <c r="Q28" i="23"/>
  <c r="Q91" i="23" s="1"/>
  <c r="L12" i="8"/>
  <c r="L12" i="23" s="1"/>
  <c r="L75" i="23" s="1"/>
  <c r="L29" i="8"/>
  <c r="L29" i="23" s="1"/>
  <c r="L92" i="23" s="1"/>
  <c r="L6" i="8"/>
  <c r="L6" i="23" s="1"/>
  <c r="L69" i="23" s="1"/>
  <c r="L21" i="8"/>
  <c r="L21" i="23" s="1"/>
  <c r="L84" i="23" s="1"/>
  <c r="L27" i="8"/>
  <c r="L27" i="23" s="1"/>
  <c r="L90" i="23" s="1"/>
  <c r="L8" i="8"/>
  <c r="L8" i="23" s="1"/>
  <c r="L71" i="23" s="1"/>
  <c r="L50" i="8"/>
  <c r="L50" i="23" s="1"/>
  <c r="L113" i="23" s="1"/>
  <c r="L15" i="8"/>
  <c r="L15" i="23" s="1"/>
  <c r="L78" i="23" s="1"/>
  <c r="L30" i="8"/>
  <c r="L30" i="23" s="1"/>
  <c r="L93" i="23" s="1"/>
  <c r="L7" i="8"/>
  <c r="L7" i="23" s="1"/>
  <c r="L70" i="23" s="1"/>
  <c r="L16" i="8"/>
  <c r="L16" i="23" s="1"/>
  <c r="L79" i="23" s="1"/>
  <c r="L11" i="8"/>
  <c r="L11" i="23" s="1"/>
  <c r="L74" i="23" s="1"/>
  <c r="L59" i="8"/>
  <c r="L59" i="23" s="1"/>
  <c r="L122" i="23" s="1"/>
  <c r="L40" i="8"/>
  <c r="L40" i="23" s="1"/>
  <c r="L103" i="23" s="1"/>
  <c r="L42" i="8"/>
  <c r="L42" i="23" s="1"/>
  <c r="L105" i="23" s="1"/>
  <c r="L28" i="8"/>
  <c r="L28" i="23" s="1"/>
  <c r="L91" i="23" s="1"/>
  <c r="L51" i="8"/>
  <c r="L51" i="23" s="1"/>
  <c r="L114" i="23" s="1"/>
  <c r="L52" i="8"/>
  <c r="L52" i="23" s="1"/>
  <c r="L115" i="23" s="1"/>
  <c r="L10" i="8"/>
  <c r="L10" i="23" s="1"/>
  <c r="L73" i="23" s="1"/>
  <c r="L19" i="8"/>
  <c r="L19" i="23" s="1"/>
  <c r="L82" i="23" s="1"/>
  <c r="L18" i="8"/>
  <c r="L18" i="23" s="1"/>
  <c r="L81" i="23" s="1"/>
  <c r="L36" i="8"/>
  <c r="L36" i="23" s="1"/>
  <c r="L99" i="23" s="1"/>
  <c r="L9" i="8"/>
  <c r="L9" i="23" s="1"/>
  <c r="L72" i="23" s="1"/>
  <c r="L35" i="8"/>
  <c r="L35" i="23" s="1"/>
  <c r="L98" i="23" s="1"/>
  <c r="L58" i="8"/>
  <c r="L58" i="23" s="1"/>
  <c r="L121" i="23" s="1"/>
  <c r="L47" i="8"/>
  <c r="L47" i="23" s="1"/>
  <c r="L110" i="23" s="1"/>
  <c r="L49" i="8"/>
  <c r="L49" i="23" s="1"/>
  <c r="L112" i="23" s="1"/>
  <c r="L5" i="8"/>
  <c r="L53" i="8"/>
  <c r="L53" i="23" s="1"/>
  <c r="L116" i="23" s="1"/>
  <c r="L20" i="8"/>
  <c r="L20" i="23" s="1"/>
  <c r="L83" i="23" s="1"/>
  <c r="L33" i="8"/>
  <c r="L33" i="23" s="1"/>
  <c r="L96" i="23" s="1"/>
  <c r="L46" i="8"/>
  <c r="L46" i="23" s="1"/>
  <c r="L109" i="23" s="1"/>
  <c r="L13" i="8"/>
  <c r="L13" i="23" s="1"/>
  <c r="L76" i="23" s="1"/>
  <c r="L56" i="8"/>
  <c r="L56" i="23" s="1"/>
  <c r="L119" i="23" s="1"/>
  <c r="L55" i="8"/>
  <c r="L55" i="23" s="1"/>
  <c r="L118" i="23" s="1"/>
  <c r="L41" i="8"/>
  <c r="L41" i="23" s="1"/>
  <c r="L104" i="23" s="1"/>
  <c r="L23" i="8"/>
  <c r="L23" i="23" s="1"/>
  <c r="L86" i="23" s="1"/>
  <c r="L39" i="8"/>
  <c r="L39" i="23" s="1"/>
  <c r="L102" i="23" s="1"/>
  <c r="L44" i="8"/>
  <c r="L44" i="23" s="1"/>
  <c r="L107" i="23" s="1"/>
  <c r="L22" i="8"/>
  <c r="L22" i="23" s="1"/>
  <c r="L85" i="23" s="1"/>
  <c r="L57" i="8"/>
  <c r="L57" i="23" s="1"/>
  <c r="L120" i="23" s="1"/>
  <c r="L54" i="8"/>
  <c r="L54" i="23" s="1"/>
  <c r="L117" i="23" s="1"/>
  <c r="L31" i="8"/>
  <c r="L31" i="23" s="1"/>
  <c r="L94" i="23" s="1"/>
  <c r="L32" i="8"/>
  <c r="L32" i="23" s="1"/>
  <c r="L95" i="23" s="1"/>
  <c r="L25" i="8"/>
  <c r="L25" i="23" s="1"/>
  <c r="L88" i="23" s="1"/>
  <c r="L14" i="8"/>
  <c r="L14" i="23" s="1"/>
  <c r="L77" i="23" s="1"/>
  <c r="L37" i="8"/>
  <c r="L37" i="23" s="1"/>
  <c r="L100" i="23" s="1"/>
  <c r="L43" i="8"/>
  <c r="L43" i="23" s="1"/>
  <c r="L106" i="23" s="1"/>
  <c r="L24" i="8"/>
  <c r="L24" i="23" s="1"/>
  <c r="L87" i="23" s="1"/>
  <c r="L60" i="8"/>
  <c r="L60" i="23" s="1"/>
  <c r="L123" i="23" s="1"/>
  <c r="L45" i="8"/>
  <c r="L45" i="23" s="1"/>
  <c r="L108" i="23" s="1"/>
  <c r="L48" i="8"/>
  <c r="L48" i="23" s="1"/>
  <c r="L111" i="23" s="1"/>
  <c r="L17" i="8"/>
  <c r="L17" i="23" s="1"/>
  <c r="L80" i="23" s="1"/>
  <c r="L61" i="8"/>
  <c r="L61" i="23" s="1"/>
  <c r="L124" i="23" s="1"/>
  <c r="L26" i="8"/>
  <c r="L26" i="23" s="1"/>
  <c r="L89" i="23" s="1"/>
  <c r="L62" i="8"/>
  <c r="L62" i="23" s="1"/>
  <c r="L125" i="23" s="1"/>
  <c r="L38" i="8"/>
  <c r="L38" i="23" s="1"/>
  <c r="L101" i="23" s="1"/>
  <c r="L34" i="8"/>
  <c r="L34" i="23" s="1"/>
  <c r="L97" i="23" s="1"/>
  <c r="U29" i="8"/>
  <c r="T29" i="23" s="1"/>
  <c r="T92" i="23" s="1"/>
  <c r="U34" i="8"/>
  <c r="T34" i="23" s="1"/>
  <c r="T97" i="23" s="1"/>
  <c r="U42" i="8"/>
  <c r="T42" i="23" s="1"/>
  <c r="T105" i="23" s="1"/>
  <c r="U55" i="8"/>
  <c r="T55" i="23" s="1"/>
  <c r="T118" i="23" s="1"/>
  <c r="U40" i="8"/>
  <c r="T40" i="23" s="1"/>
  <c r="T103" i="23" s="1"/>
  <c r="U36" i="8"/>
  <c r="T36" i="23" s="1"/>
  <c r="T99" i="23" s="1"/>
  <c r="U53" i="8"/>
  <c r="T53" i="23" s="1"/>
  <c r="T116" i="23" s="1"/>
  <c r="U47" i="8"/>
  <c r="T47" i="23" s="1"/>
  <c r="T110" i="23" s="1"/>
  <c r="U61" i="8"/>
  <c r="T61" i="23" s="1"/>
  <c r="T124" i="23" s="1"/>
  <c r="U10" i="8"/>
  <c r="T10" i="23" s="1"/>
  <c r="T73" i="23" s="1"/>
  <c r="U32" i="8"/>
  <c r="T32" i="23" s="1"/>
  <c r="T95" i="23" s="1"/>
  <c r="U5" i="8"/>
  <c r="U43" i="8"/>
  <c r="T43" i="23" s="1"/>
  <c r="T106" i="23" s="1"/>
  <c r="U30" i="8"/>
  <c r="T30" i="23" s="1"/>
  <c r="T93" i="23" s="1"/>
  <c r="U35" i="8"/>
  <c r="T35" i="23" s="1"/>
  <c r="T98" i="23" s="1"/>
  <c r="U22" i="8"/>
  <c r="T22" i="23" s="1"/>
  <c r="T85" i="23" s="1"/>
  <c r="U54" i="8"/>
  <c r="T54" i="23" s="1"/>
  <c r="T117" i="23" s="1"/>
  <c r="U46" i="8"/>
  <c r="T46" i="23" s="1"/>
  <c r="T109" i="23" s="1"/>
  <c r="U56" i="8"/>
  <c r="T56" i="23" s="1"/>
  <c r="T119" i="23" s="1"/>
  <c r="U50" i="8"/>
  <c r="T50" i="23" s="1"/>
  <c r="T113" i="23" s="1"/>
  <c r="U38" i="8"/>
  <c r="T38" i="23" s="1"/>
  <c r="T101" i="23" s="1"/>
  <c r="U45" i="8"/>
  <c r="T45" i="23" s="1"/>
  <c r="T108" i="23" s="1"/>
  <c r="U31" i="8"/>
  <c r="T31" i="23" s="1"/>
  <c r="T94" i="23" s="1"/>
  <c r="U59" i="8"/>
  <c r="T59" i="23" s="1"/>
  <c r="T122" i="23" s="1"/>
  <c r="U19" i="8"/>
  <c r="T19" i="23" s="1"/>
  <c r="T82" i="23" s="1"/>
  <c r="U39" i="8"/>
  <c r="T39" i="23" s="1"/>
  <c r="T102" i="23" s="1"/>
  <c r="U49" i="8"/>
  <c r="T49" i="23" s="1"/>
  <c r="T112" i="23" s="1"/>
  <c r="U57" i="8"/>
  <c r="T57" i="23" s="1"/>
  <c r="T120" i="23" s="1"/>
  <c r="U25" i="8"/>
  <c r="T25" i="23" s="1"/>
  <c r="T88" i="23" s="1"/>
  <c r="U28" i="8"/>
  <c r="T28" i="23" s="1"/>
  <c r="T91" i="23" s="1"/>
  <c r="U14" i="8"/>
  <c r="T14" i="23" s="1"/>
  <c r="T77" i="23" s="1"/>
  <c r="U11" i="8"/>
  <c r="T11" i="23" s="1"/>
  <c r="T74" i="23" s="1"/>
  <c r="U12" i="8"/>
  <c r="T12" i="23" s="1"/>
  <c r="T75" i="23" s="1"/>
  <c r="U58" i="8"/>
  <c r="T58" i="23" s="1"/>
  <c r="T121" i="23" s="1"/>
  <c r="U48" i="8"/>
  <c r="T48" i="23" s="1"/>
  <c r="T111" i="23" s="1"/>
  <c r="U16" i="8"/>
  <c r="T16" i="23" s="1"/>
  <c r="T79" i="23" s="1"/>
  <c r="U60" i="8"/>
  <c r="T60" i="23" s="1"/>
  <c r="T123" i="23" s="1"/>
  <c r="U51" i="8"/>
  <c r="T51" i="23" s="1"/>
  <c r="T114" i="23" s="1"/>
  <c r="U27" i="8"/>
  <c r="T27" i="23" s="1"/>
  <c r="T90" i="23" s="1"/>
  <c r="U52" i="8"/>
  <c r="T52" i="23" s="1"/>
  <c r="T115" i="23" s="1"/>
  <c r="U8" i="8"/>
  <c r="T8" i="23" s="1"/>
  <c r="T71" i="23" s="1"/>
  <c r="U13" i="8"/>
  <c r="T13" i="23" s="1"/>
  <c r="T76" i="23" s="1"/>
  <c r="U21" i="8"/>
  <c r="T21" i="23" s="1"/>
  <c r="T84" i="23" s="1"/>
  <c r="U44" i="8"/>
  <c r="T44" i="23" s="1"/>
  <c r="T107" i="23" s="1"/>
  <c r="U24" i="8"/>
  <c r="T24" i="23" s="1"/>
  <c r="T87" i="23" s="1"/>
  <c r="U6" i="8"/>
  <c r="T6" i="23" s="1"/>
  <c r="T69" i="23" s="1"/>
  <c r="U17" i="8"/>
  <c r="T17" i="23" s="1"/>
  <c r="T80" i="23" s="1"/>
  <c r="U33" i="8"/>
  <c r="T33" i="23" s="1"/>
  <c r="T96" i="23" s="1"/>
  <c r="U62" i="8"/>
  <c r="T62" i="23" s="1"/>
  <c r="T125" i="23" s="1"/>
  <c r="U37" i="8"/>
  <c r="T37" i="23" s="1"/>
  <c r="T100" i="23" s="1"/>
  <c r="U9" i="8"/>
  <c r="T9" i="23" s="1"/>
  <c r="T72" i="23" s="1"/>
  <c r="U18" i="8"/>
  <c r="T18" i="23" s="1"/>
  <c r="T81" i="23" s="1"/>
  <c r="U23" i="8"/>
  <c r="T23" i="23" s="1"/>
  <c r="T86" i="23" s="1"/>
  <c r="U26" i="8"/>
  <c r="T26" i="23" s="1"/>
  <c r="T89" i="23" s="1"/>
  <c r="U7" i="8"/>
  <c r="T7" i="23" s="1"/>
  <c r="T70" i="23" s="1"/>
  <c r="U15" i="8"/>
  <c r="T15" i="23" s="1"/>
  <c r="T78" i="23" s="1"/>
  <c r="U41" i="8"/>
  <c r="T41" i="23" s="1"/>
  <c r="T104" i="23" s="1"/>
  <c r="U20" i="8"/>
  <c r="T20" i="23" s="1"/>
  <c r="T83" i="23" s="1"/>
  <c r="P18" i="8"/>
  <c r="P18" i="23" s="1"/>
  <c r="P81" i="23" s="1"/>
  <c r="P47" i="8"/>
  <c r="P47" i="23" s="1"/>
  <c r="P110" i="23" s="1"/>
  <c r="P39" i="8"/>
  <c r="P48" i="8"/>
  <c r="P48" i="23" s="1"/>
  <c r="P111" i="23" s="1"/>
  <c r="Q44" i="8"/>
  <c r="Q44" i="23" s="1"/>
  <c r="Q107" i="23" s="1"/>
  <c r="Q58" i="8"/>
  <c r="Q58" i="23" s="1"/>
  <c r="Q121" i="23" s="1"/>
  <c r="Q32" i="8"/>
  <c r="Q32" i="23" s="1"/>
  <c r="Q95" i="23" s="1"/>
  <c r="Q31" i="8"/>
  <c r="Q31" i="23" s="1"/>
  <c r="Q94" i="23" s="1"/>
  <c r="Q40" i="8"/>
  <c r="Q40" i="23" s="1"/>
  <c r="Q103" i="23" s="1"/>
  <c r="Q38" i="8"/>
  <c r="Q38" i="23" s="1"/>
  <c r="Q101" i="23" s="1"/>
  <c r="Q62" i="8"/>
  <c r="Q62" i="23" s="1"/>
  <c r="Q125" i="23" s="1"/>
  <c r="Q49" i="8"/>
  <c r="Q49" i="23" s="1"/>
  <c r="Q112" i="23" s="1"/>
  <c r="Q6" i="8"/>
  <c r="Q6" i="23" s="1"/>
  <c r="Q69" i="23" s="1"/>
  <c r="Q33" i="8"/>
  <c r="Q33" i="23" s="1"/>
  <c r="Q96" i="23" s="1"/>
  <c r="Q37" i="8"/>
  <c r="Q37" i="23" s="1"/>
  <c r="Q100" i="23" s="1"/>
  <c r="Q19" i="8"/>
  <c r="Q19" i="23" s="1"/>
  <c r="Q82" i="23" s="1"/>
  <c r="Q20" i="8"/>
  <c r="Q20" i="23" s="1"/>
  <c r="Q83" i="23" s="1"/>
  <c r="Q55" i="8"/>
  <c r="Q55" i="23" s="1"/>
  <c r="Q118" i="23" s="1"/>
  <c r="Q23" i="8"/>
  <c r="Q23" i="23" s="1"/>
  <c r="Q86" i="23" s="1"/>
  <c r="Q56" i="8"/>
  <c r="Q56" i="23" s="1"/>
  <c r="Q119" i="23" s="1"/>
  <c r="Q53" i="8"/>
  <c r="Q53" i="23" s="1"/>
  <c r="Q116" i="23" s="1"/>
  <c r="Q52" i="8"/>
  <c r="Q52" i="23" s="1"/>
  <c r="Q115" i="23" s="1"/>
  <c r="Q25" i="8"/>
  <c r="Q25" i="23" s="1"/>
  <c r="Q88" i="23" s="1"/>
  <c r="Q57" i="8"/>
  <c r="Q57" i="23" s="1"/>
  <c r="Q120" i="23" s="1"/>
  <c r="Q48" i="8"/>
  <c r="Q48" i="23" s="1"/>
  <c r="Q111" i="23" s="1"/>
  <c r="Q14" i="8"/>
  <c r="Q14" i="23" s="1"/>
  <c r="Q77" i="23" s="1"/>
  <c r="Q7" i="8"/>
  <c r="Q7" i="23" s="1"/>
  <c r="Q70" i="23" s="1"/>
  <c r="Q5" i="8"/>
  <c r="Q8" i="8"/>
  <c r="Q8" i="23" s="1"/>
  <c r="Q71" i="23" s="1"/>
  <c r="Q18" i="8"/>
  <c r="Q18" i="23" s="1"/>
  <c r="Q81" i="23" s="1"/>
  <c r="Q17" i="8"/>
  <c r="Q17" i="23" s="1"/>
  <c r="Q80" i="23" s="1"/>
  <c r="Q16" i="8"/>
  <c r="Q16" i="23" s="1"/>
  <c r="Q79" i="23" s="1"/>
  <c r="Q46" i="8"/>
  <c r="Q46" i="23" s="1"/>
  <c r="Q109" i="23" s="1"/>
  <c r="Q12" i="8"/>
  <c r="Q12" i="23" s="1"/>
  <c r="Q75" i="23" s="1"/>
  <c r="Q27" i="8"/>
  <c r="Q27" i="23" s="1"/>
  <c r="Q90" i="23" s="1"/>
  <c r="Q42" i="8"/>
  <c r="Q42" i="23" s="1"/>
  <c r="Q105" i="23" s="1"/>
  <c r="Q59" i="8"/>
  <c r="Q59" i="23" s="1"/>
  <c r="Q122" i="23" s="1"/>
  <c r="Q54" i="8"/>
  <c r="Q54" i="23" s="1"/>
  <c r="Q117" i="23" s="1"/>
  <c r="S69" i="7"/>
  <c r="R69" i="7"/>
  <c r="AH12" i="8"/>
  <c r="AD12" i="23" s="1"/>
  <c r="AD75" i="23" s="1"/>
  <c r="AH28" i="8"/>
  <c r="AD28" i="23" s="1"/>
  <c r="AD91" i="23" s="1"/>
  <c r="AH33" i="8"/>
  <c r="AD33" i="23" s="1"/>
  <c r="AD96" i="23" s="1"/>
  <c r="AH22" i="8"/>
  <c r="AD22" i="23" s="1"/>
  <c r="AD85" i="23" s="1"/>
  <c r="AH41" i="8"/>
  <c r="AD41" i="23" s="1"/>
  <c r="AD104" i="23" s="1"/>
  <c r="AH24" i="8"/>
  <c r="AD24" i="23" s="1"/>
  <c r="AD87" i="23" s="1"/>
  <c r="AH40" i="8"/>
  <c r="AD40" i="23" s="1"/>
  <c r="AD103" i="23" s="1"/>
  <c r="AH31" i="8"/>
  <c r="AD31" i="23" s="1"/>
  <c r="AD94" i="23" s="1"/>
  <c r="AH52" i="8"/>
  <c r="AD52" i="23" s="1"/>
  <c r="AD115" i="23" s="1"/>
  <c r="AH15" i="8"/>
  <c r="AD15" i="23" s="1"/>
  <c r="AD78" i="23" s="1"/>
  <c r="AH43" i="8"/>
  <c r="AD43" i="23" s="1"/>
  <c r="AD106" i="23" s="1"/>
  <c r="AH21" i="8"/>
  <c r="AD21" i="23" s="1"/>
  <c r="AD84" i="23" s="1"/>
  <c r="AH38" i="8"/>
  <c r="AD38" i="23" s="1"/>
  <c r="AD101" i="23" s="1"/>
  <c r="AH9" i="8"/>
  <c r="AD9" i="23" s="1"/>
  <c r="AD72" i="23" s="1"/>
  <c r="AH11" i="8"/>
  <c r="AD11" i="23" s="1"/>
  <c r="AD74" i="23" s="1"/>
  <c r="AH62" i="8"/>
  <c r="AD62" i="23" s="1"/>
  <c r="AD125" i="23" s="1"/>
  <c r="AH19" i="8"/>
  <c r="AD19" i="23" s="1"/>
  <c r="AD82" i="23" s="1"/>
  <c r="AH56" i="8"/>
  <c r="AD56" i="23" s="1"/>
  <c r="AD119" i="23" s="1"/>
  <c r="AH57" i="8"/>
  <c r="AD57" i="23" s="1"/>
  <c r="AD120" i="23" s="1"/>
  <c r="AH45" i="8"/>
  <c r="AD45" i="23" s="1"/>
  <c r="AD108" i="23" s="1"/>
  <c r="AH32" i="8"/>
  <c r="AD32" i="23" s="1"/>
  <c r="AD95" i="23" s="1"/>
  <c r="AH42" i="8"/>
  <c r="AD42" i="23" s="1"/>
  <c r="AD105" i="23" s="1"/>
  <c r="AH25" i="8"/>
  <c r="AD25" i="23" s="1"/>
  <c r="AD88" i="23" s="1"/>
  <c r="AH60" i="8"/>
  <c r="AD60" i="23" s="1"/>
  <c r="AD123" i="23" s="1"/>
  <c r="AH23" i="8"/>
  <c r="AD23" i="23" s="1"/>
  <c r="AD86" i="23" s="1"/>
  <c r="AH50" i="8"/>
  <c r="AD50" i="23" s="1"/>
  <c r="AD113" i="23" s="1"/>
  <c r="AH51" i="8"/>
  <c r="AD51" i="23" s="1"/>
  <c r="AD114" i="23" s="1"/>
  <c r="AH8" i="8"/>
  <c r="AD8" i="23" s="1"/>
  <c r="AD71" i="23" s="1"/>
  <c r="AH53" i="8"/>
  <c r="AD53" i="23" s="1"/>
  <c r="AD116" i="23" s="1"/>
  <c r="AH7" i="8"/>
  <c r="AD7" i="23" s="1"/>
  <c r="AD70" i="23" s="1"/>
  <c r="AH20" i="8"/>
  <c r="AD20" i="23" s="1"/>
  <c r="AD83" i="23" s="1"/>
  <c r="AH6" i="8"/>
  <c r="AD6" i="23" s="1"/>
  <c r="AD69" i="23" s="1"/>
  <c r="AH58" i="8"/>
  <c r="AD58" i="23" s="1"/>
  <c r="AD121" i="23" s="1"/>
  <c r="AH16" i="8"/>
  <c r="AD16" i="23" s="1"/>
  <c r="AD79" i="23" s="1"/>
  <c r="AH54" i="8"/>
  <c r="AD54" i="23" s="1"/>
  <c r="AD117" i="23" s="1"/>
  <c r="AH36" i="8"/>
  <c r="AD36" i="23" s="1"/>
  <c r="AD99" i="23" s="1"/>
  <c r="AH35" i="8"/>
  <c r="AD35" i="23" s="1"/>
  <c r="AD98" i="23" s="1"/>
  <c r="AH48" i="8"/>
  <c r="AD48" i="23" s="1"/>
  <c r="AD111" i="23" s="1"/>
  <c r="AH14" i="8"/>
  <c r="AD14" i="23" s="1"/>
  <c r="AD77" i="23" s="1"/>
  <c r="AH39" i="8"/>
  <c r="AD39" i="23" s="1"/>
  <c r="AD102" i="23" s="1"/>
  <c r="AH17" i="8"/>
  <c r="AD17" i="23" s="1"/>
  <c r="AD80" i="23" s="1"/>
  <c r="AH47" i="8"/>
  <c r="AD47" i="23" s="1"/>
  <c r="AD110" i="23" s="1"/>
  <c r="AH5" i="8"/>
  <c r="P7" i="8"/>
  <c r="P7" i="23" s="1"/>
  <c r="P70" i="23" s="1"/>
  <c r="P34" i="8"/>
  <c r="P9" i="8"/>
  <c r="P9" i="23" s="1"/>
  <c r="P72" i="23" s="1"/>
  <c r="X17" i="8"/>
  <c r="W17" i="23" s="1"/>
  <c r="W80" i="23" s="1"/>
  <c r="Q35" i="8"/>
  <c r="Q35" i="23" s="1"/>
  <c r="Q98" i="23" s="1"/>
  <c r="Q41" i="8"/>
  <c r="Q41" i="23" s="1"/>
  <c r="Q104" i="23" s="1"/>
  <c r="P33" i="8"/>
  <c r="P61" i="8"/>
  <c r="P61" i="23" s="1"/>
  <c r="P124" i="23" s="1"/>
  <c r="P14" i="8"/>
  <c r="P14" i="23" s="1"/>
  <c r="P77" i="23" s="1"/>
  <c r="P55" i="8"/>
  <c r="P55" i="23" s="1"/>
  <c r="P118" i="23" s="1"/>
  <c r="P10" i="8"/>
  <c r="P10" i="23" s="1"/>
  <c r="P73" i="23" s="1"/>
  <c r="X23" i="8"/>
  <c r="W23" i="23" s="1"/>
  <c r="W86" i="23" s="1"/>
  <c r="Q29" i="8"/>
  <c r="Q29" i="23" s="1"/>
  <c r="Q92" i="23" s="1"/>
  <c r="Q39" i="8"/>
  <c r="Q39" i="23" s="1"/>
  <c r="Q102" i="23" s="1"/>
  <c r="W12" i="8"/>
  <c r="V12" i="23" s="1"/>
  <c r="V75" i="23" s="1"/>
  <c r="W28" i="8"/>
  <c r="V28" i="23" s="1"/>
  <c r="V91" i="23" s="1"/>
  <c r="W20" i="8"/>
  <c r="V20" i="23" s="1"/>
  <c r="V83" i="23" s="1"/>
  <c r="W25" i="8"/>
  <c r="V25" i="23" s="1"/>
  <c r="V88" i="23" s="1"/>
  <c r="W61" i="8"/>
  <c r="V61" i="23" s="1"/>
  <c r="V124" i="23" s="1"/>
  <c r="W30" i="8"/>
  <c r="V30" i="23" s="1"/>
  <c r="V93" i="23" s="1"/>
  <c r="W39" i="8"/>
  <c r="V39" i="23" s="1"/>
  <c r="V102" i="23" s="1"/>
  <c r="W57" i="8"/>
  <c r="V57" i="23" s="1"/>
  <c r="V120" i="23" s="1"/>
  <c r="W24" i="8"/>
  <c r="V24" i="23" s="1"/>
  <c r="V87" i="23" s="1"/>
  <c r="W17" i="8"/>
  <c r="V17" i="23" s="1"/>
  <c r="V80" i="23" s="1"/>
  <c r="W58" i="8"/>
  <c r="V58" i="23" s="1"/>
  <c r="V121" i="23" s="1"/>
  <c r="W15" i="8"/>
  <c r="V15" i="23" s="1"/>
  <c r="V78" i="23" s="1"/>
  <c r="W62" i="8"/>
  <c r="V62" i="23" s="1"/>
  <c r="V125" i="23" s="1"/>
  <c r="W31" i="8"/>
  <c r="V31" i="23" s="1"/>
  <c r="V94" i="23" s="1"/>
  <c r="W46" i="8"/>
  <c r="V46" i="23" s="1"/>
  <c r="V109" i="23" s="1"/>
  <c r="W7" i="8"/>
  <c r="V7" i="23" s="1"/>
  <c r="V70" i="23" s="1"/>
  <c r="W60" i="8"/>
  <c r="V60" i="23" s="1"/>
  <c r="V123" i="23" s="1"/>
  <c r="W18" i="8"/>
  <c r="V18" i="23" s="1"/>
  <c r="V81" i="23" s="1"/>
  <c r="W6" i="8"/>
  <c r="V6" i="23" s="1"/>
  <c r="V69" i="23" s="1"/>
  <c r="W8" i="8"/>
  <c r="V8" i="23" s="1"/>
  <c r="V71" i="23" s="1"/>
  <c r="W48" i="8"/>
  <c r="V48" i="23" s="1"/>
  <c r="V111" i="23" s="1"/>
  <c r="W5" i="8"/>
  <c r="W13" i="8"/>
  <c r="V13" i="23" s="1"/>
  <c r="V76" i="23" s="1"/>
  <c r="W22" i="8"/>
  <c r="V22" i="23" s="1"/>
  <c r="V85" i="23" s="1"/>
  <c r="W42" i="8"/>
  <c r="V42" i="23" s="1"/>
  <c r="V105" i="23" s="1"/>
  <c r="W9" i="8"/>
  <c r="V9" i="23" s="1"/>
  <c r="V72" i="23" s="1"/>
  <c r="W19" i="8"/>
  <c r="V19" i="23" s="1"/>
  <c r="V82" i="23" s="1"/>
  <c r="W26" i="8"/>
  <c r="V26" i="23" s="1"/>
  <c r="V89" i="23" s="1"/>
  <c r="W10" i="8"/>
  <c r="V10" i="23" s="1"/>
  <c r="V73" i="23" s="1"/>
  <c r="W35" i="8"/>
  <c r="V35" i="23" s="1"/>
  <c r="V98" i="23" s="1"/>
  <c r="W50" i="8"/>
  <c r="V50" i="23" s="1"/>
  <c r="V113" i="23" s="1"/>
  <c r="W27" i="8"/>
  <c r="V27" i="23" s="1"/>
  <c r="V90" i="23" s="1"/>
  <c r="W51" i="8"/>
  <c r="V51" i="23" s="1"/>
  <c r="V114" i="23" s="1"/>
  <c r="W33" i="8"/>
  <c r="V33" i="23" s="1"/>
  <c r="V96" i="23" s="1"/>
  <c r="W16" i="8"/>
  <c r="V16" i="23" s="1"/>
  <c r="V79" i="23" s="1"/>
  <c r="W37" i="8"/>
  <c r="V37" i="23" s="1"/>
  <c r="V100" i="23" s="1"/>
  <c r="W53" i="8"/>
  <c r="V53" i="23" s="1"/>
  <c r="V116" i="23" s="1"/>
  <c r="W55" i="8"/>
  <c r="V55" i="23" s="1"/>
  <c r="V118" i="23" s="1"/>
  <c r="W11" i="8"/>
  <c r="V11" i="23" s="1"/>
  <c r="V74" i="23" s="1"/>
  <c r="W59" i="8"/>
  <c r="V59" i="23" s="1"/>
  <c r="V122" i="23" s="1"/>
  <c r="W38" i="8"/>
  <c r="V38" i="23" s="1"/>
  <c r="V101" i="23" s="1"/>
  <c r="W52" i="8"/>
  <c r="V52" i="23" s="1"/>
  <c r="V115" i="23" s="1"/>
  <c r="W45" i="8"/>
  <c r="V45" i="23" s="1"/>
  <c r="V108" i="23" s="1"/>
  <c r="W21" i="8"/>
  <c r="V21" i="23" s="1"/>
  <c r="V84" i="23" s="1"/>
  <c r="W40" i="8"/>
  <c r="V40" i="23" s="1"/>
  <c r="V103" i="23" s="1"/>
  <c r="W23" i="8"/>
  <c r="V23" i="23" s="1"/>
  <c r="V86" i="23" s="1"/>
  <c r="W34" i="8"/>
  <c r="V34" i="23" s="1"/>
  <c r="V97" i="23" s="1"/>
  <c r="W32" i="8"/>
  <c r="V32" i="23" s="1"/>
  <c r="V95" i="23" s="1"/>
  <c r="W44" i="8"/>
  <c r="V44" i="23" s="1"/>
  <c r="V107" i="23" s="1"/>
  <c r="W36" i="8"/>
  <c r="V36" i="23" s="1"/>
  <c r="V99" i="23" s="1"/>
  <c r="W54" i="8"/>
  <c r="V54" i="23" s="1"/>
  <c r="V117" i="23" s="1"/>
  <c r="W29" i="8"/>
  <c r="V29" i="23" s="1"/>
  <c r="V92" i="23" s="1"/>
  <c r="W41" i="8"/>
  <c r="V41" i="23" s="1"/>
  <c r="V104" i="23" s="1"/>
  <c r="W43" i="8"/>
  <c r="V43" i="23" s="1"/>
  <c r="V106" i="23" s="1"/>
  <c r="W14" i="8"/>
  <c r="V14" i="23" s="1"/>
  <c r="V77" i="23" s="1"/>
  <c r="W49" i="8"/>
  <c r="V49" i="23" s="1"/>
  <c r="V112" i="23" s="1"/>
  <c r="E11" i="26"/>
  <c r="E41" i="5"/>
  <c r="E21" i="5"/>
  <c r="C7" i="26"/>
  <c r="C13" i="26" s="1"/>
  <c r="I7" i="26"/>
  <c r="I13" i="26" s="1"/>
  <c r="E7" i="26"/>
  <c r="E13" i="26" s="1"/>
  <c r="Q11" i="25"/>
  <c r="G14" i="26"/>
  <c r="G15" i="26"/>
  <c r="AD64" i="8"/>
  <c r="D14" i="26"/>
  <c r="D15" i="26"/>
  <c r="F14" i="26"/>
  <c r="F15" i="26"/>
  <c r="E14" i="26"/>
  <c r="E15" i="26"/>
  <c r="K9" i="26"/>
  <c r="I15" i="26"/>
  <c r="I14" i="26"/>
  <c r="G7" i="26"/>
  <c r="G13" i="26" s="1"/>
  <c r="H14" i="26"/>
  <c r="H15" i="26"/>
  <c r="G11" i="26"/>
  <c r="K7" i="26"/>
  <c r="K13" i="26" s="1"/>
  <c r="C14" i="26"/>
  <c r="C15" i="26"/>
  <c r="Q7" i="25"/>
  <c r="Q13" i="25" s="1"/>
  <c r="Q9" i="25"/>
  <c r="V46" i="12"/>
  <c r="P17" i="11"/>
  <c r="AA17" i="11" s="1"/>
  <c r="L17" i="12"/>
  <c r="P17" i="12" s="1"/>
  <c r="L17" i="13"/>
  <c r="P17" i="13" s="1"/>
  <c r="P35" i="11"/>
  <c r="AA35" i="11" s="1"/>
  <c r="L35" i="12"/>
  <c r="P35" i="12" s="1"/>
  <c r="L35" i="13"/>
  <c r="P35" i="13" s="1"/>
  <c r="P22" i="11"/>
  <c r="AA22" i="11" s="1"/>
  <c r="L22" i="12"/>
  <c r="P22" i="12" s="1"/>
  <c r="L22" i="13"/>
  <c r="P22" i="13" s="1"/>
  <c r="P20" i="11"/>
  <c r="AA20" i="11" s="1"/>
  <c r="L20" i="12"/>
  <c r="P20" i="12" s="1"/>
  <c r="L20" i="13"/>
  <c r="P20" i="13" s="1"/>
  <c r="P41" i="11"/>
  <c r="AA41" i="11" s="1"/>
  <c r="L41" i="12"/>
  <c r="P41" i="12" s="1"/>
  <c r="L41" i="13"/>
  <c r="P41" i="13" s="1"/>
  <c r="P31" i="11"/>
  <c r="AA31" i="11" s="1"/>
  <c r="L31" i="12"/>
  <c r="P31" i="12" s="1"/>
  <c r="L31" i="13"/>
  <c r="P31" i="13" s="1"/>
  <c r="P37" i="11"/>
  <c r="AA37" i="11" s="1"/>
  <c r="L37" i="12"/>
  <c r="P37" i="12" s="1"/>
  <c r="L37" i="13"/>
  <c r="P37" i="13" s="1"/>
  <c r="P43" i="11"/>
  <c r="AA43" i="11" s="1"/>
  <c r="L43" i="12"/>
  <c r="P43" i="12" s="1"/>
  <c r="L43" i="13"/>
  <c r="P43" i="13" s="1"/>
  <c r="P12" i="11"/>
  <c r="AA12" i="11" s="1"/>
  <c r="L12" i="12"/>
  <c r="P12" i="12" s="1"/>
  <c r="L12" i="13"/>
  <c r="P12" i="13" s="1"/>
  <c r="P5" i="11"/>
  <c r="L5" i="12"/>
  <c r="L5" i="13"/>
  <c r="L46" i="11"/>
  <c r="AM69" i="6"/>
  <c r="AM67" i="9"/>
  <c r="AM67" i="8"/>
  <c r="AM67" i="7"/>
  <c r="V46" i="13"/>
  <c r="P29" i="11"/>
  <c r="AA29" i="11" s="1"/>
  <c r="L29" i="12"/>
  <c r="P29" i="12" s="1"/>
  <c r="L29" i="13"/>
  <c r="P29" i="13" s="1"/>
  <c r="P34" i="11"/>
  <c r="AA34" i="11" s="1"/>
  <c r="L34" i="12"/>
  <c r="P34" i="12" s="1"/>
  <c r="L34" i="13"/>
  <c r="P34" i="13" s="1"/>
  <c r="P33" i="11"/>
  <c r="AA33" i="11" s="1"/>
  <c r="L33" i="12"/>
  <c r="P33" i="12" s="1"/>
  <c r="L33" i="13"/>
  <c r="P33" i="13" s="1"/>
  <c r="P39" i="11"/>
  <c r="AA39" i="11" s="1"/>
  <c r="L39" i="12"/>
  <c r="P39" i="12" s="1"/>
  <c r="L39" i="13"/>
  <c r="P39" i="13" s="1"/>
  <c r="P25" i="11"/>
  <c r="AA25" i="11" s="1"/>
  <c r="L25" i="12"/>
  <c r="P25" i="12" s="1"/>
  <c r="L25" i="13"/>
  <c r="P25" i="13" s="1"/>
  <c r="P14" i="11"/>
  <c r="AA14" i="11" s="1"/>
  <c r="L14" i="12"/>
  <c r="P14" i="12" s="1"/>
  <c r="L14" i="13"/>
  <c r="P14" i="13" s="1"/>
  <c r="P21" i="11"/>
  <c r="AA21" i="11" s="1"/>
  <c r="L21" i="12"/>
  <c r="P21" i="12" s="1"/>
  <c r="L21" i="13"/>
  <c r="P21" i="13" s="1"/>
  <c r="P27" i="11"/>
  <c r="AA27" i="11" s="1"/>
  <c r="L27" i="12"/>
  <c r="P27" i="12" s="1"/>
  <c r="L27" i="13"/>
  <c r="P27" i="13" s="1"/>
  <c r="P10" i="11"/>
  <c r="AA10" i="11" s="1"/>
  <c r="L10" i="12"/>
  <c r="P10" i="12" s="1"/>
  <c r="L10" i="13"/>
  <c r="P10" i="13" s="1"/>
  <c r="P7" i="11"/>
  <c r="AA7" i="11" s="1"/>
  <c r="L7" i="12"/>
  <c r="P7" i="12" s="1"/>
  <c r="L7" i="13"/>
  <c r="P7" i="13" s="1"/>
  <c r="T69" i="6"/>
  <c r="T67" i="9"/>
  <c r="T67" i="8"/>
  <c r="T67" i="7"/>
  <c r="P48" i="13"/>
  <c r="P48" i="12"/>
  <c r="P48" i="11"/>
  <c r="P48" i="10"/>
  <c r="AM67" i="6"/>
  <c r="AM65" i="9"/>
  <c r="AM65" i="7"/>
  <c r="AM65" i="8" s="1"/>
  <c r="T68" i="6"/>
  <c r="T66" i="9"/>
  <c r="T66" i="8"/>
  <c r="T66" i="7"/>
  <c r="P32" i="11"/>
  <c r="AA32" i="11" s="1"/>
  <c r="L32" i="12"/>
  <c r="P32" i="12" s="1"/>
  <c r="L32" i="13"/>
  <c r="P32" i="13" s="1"/>
  <c r="P19" i="11"/>
  <c r="AA19" i="11" s="1"/>
  <c r="L19" i="12"/>
  <c r="P19" i="12" s="1"/>
  <c r="L19" i="13"/>
  <c r="P19" i="13" s="1"/>
  <c r="P16" i="11"/>
  <c r="AA16" i="11" s="1"/>
  <c r="L16" i="12"/>
  <c r="P16" i="12" s="1"/>
  <c r="L16" i="13"/>
  <c r="P16" i="13" s="1"/>
  <c r="P23" i="11"/>
  <c r="AA23" i="11" s="1"/>
  <c r="L23" i="12"/>
  <c r="P23" i="12" s="1"/>
  <c r="L23" i="13"/>
  <c r="P23" i="13" s="1"/>
  <c r="P44" i="11"/>
  <c r="AA44" i="11" s="1"/>
  <c r="L44" i="12"/>
  <c r="P44" i="12" s="1"/>
  <c r="L44" i="13"/>
  <c r="P44" i="13" s="1"/>
  <c r="P42" i="11"/>
  <c r="AA42" i="11" s="1"/>
  <c r="L42" i="12"/>
  <c r="P42" i="12" s="1"/>
  <c r="L42" i="13"/>
  <c r="P42" i="13" s="1"/>
  <c r="P40" i="11"/>
  <c r="AA40" i="11" s="1"/>
  <c r="L40" i="12"/>
  <c r="P40" i="12" s="1"/>
  <c r="L40" i="13"/>
  <c r="P40" i="13" s="1"/>
  <c r="P8" i="11"/>
  <c r="AA8" i="11" s="1"/>
  <c r="L8" i="12"/>
  <c r="P8" i="12" s="1"/>
  <c r="L8" i="13"/>
  <c r="P8" i="13" s="1"/>
  <c r="P11" i="11"/>
  <c r="AA11" i="11" s="1"/>
  <c r="L11" i="12"/>
  <c r="P11" i="12" s="1"/>
  <c r="L11" i="13"/>
  <c r="P11" i="13" s="1"/>
  <c r="P6" i="11"/>
  <c r="AA6" i="11" s="1"/>
  <c r="L6" i="12"/>
  <c r="P6" i="12" s="1"/>
  <c r="L6" i="13"/>
  <c r="P6" i="13" s="1"/>
  <c r="AA49" i="13"/>
  <c r="AA49" i="12"/>
  <c r="AA49" i="11"/>
  <c r="AA49" i="10"/>
  <c r="P15" i="11"/>
  <c r="AA15" i="11" s="1"/>
  <c r="L15" i="12"/>
  <c r="P15" i="12" s="1"/>
  <c r="L15" i="13"/>
  <c r="P15" i="13" s="1"/>
  <c r="P38" i="11"/>
  <c r="AA38" i="11" s="1"/>
  <c r="L38" i="12"/>
  <c r="P38" i="12" s="1"/>
  <c r="L38" i="13"/>
  <c r="P38" i="13" s="1"/>
  <c r="P36" i="11"/>
  <c r="AA36" i="11" s="1"/>
  <c r="L36" i="12"/>
  <c r="P36" i="12" s="1"/>
  <c r="L36" i="13"/>
  <c r="P36" i="13" s="1"/>
  <c r="P30" i="11"/>
  <c r="AA30" i="11" s="1"/>
  <c r="L30" i="12"/>
  <c r="P30" i="12" s="1"/>
  <c r="L30" i="13"/>
  <c r="P30" i="13" s="1"/>
  <c r="P28" i="11"/>
  <c r="AA28" i="11" s="1"/>
  <c r="L28" i="12"/>
  <c r="P28" i="12" s="1"/>
  <c r="L28" i="13"/>
  <c r="P28" i="13" s="1"/>
  <c r="P26" i="11"/>
  <c r="AA26" i="11" s="1"/>
  <c r="L26" i="12"/>
  <c r="P26" i="12" s="1"/>
  <c r="L26" i="13"/>
  <c r="P26" i="13" s="1"/>
  <c r="P24" i="11"/>
  <c r="AA24" i="11" s="1"/>
  <c r="L24" i="12"/>
  <c r="P24" i="12" s="1"/>
  <c r="L24" i="13"/>
  <c r="P24" i="13" s="1"/>
  <c r="P9" i="11"/>
  <c r="AA9" i="11" s="1"/>
  <c r="L9" i="12"/>
  <c r="P9" i="12" s="1"/>
  <c r="L9" i="13"/>
  <c r="P9" i="13" s="1"/>
  <c r="P18" i="11"/>
  <c r="AA18" i="11" s="1"/>
  <c r="L18" i="12"/>
  <c r="P18" i="12" s="1"/>
  <c r="L18" i="13"/>
  <c r="P18" i="13" s="1"/>
  <c r="P13" i="11"/>
  <c r="AA13" i="11" s="1"/>
  <c r="L13" i="12"/>
  <c r="P13" i="12" s="1"/>
  <c r="L13" i="13"/>
  <c r="P13" i="13" s="1"/>
  <c r="AB21" i="7" l="1"/>
  <c r="Y21" i="9"/>
  <c r="AB22" i="7"/>
  <c r="Y22" i="9"/>
  <c r="AB22" i="9" s="1"/>
  <c r="V56" i="9"/>
  <c r="AB56" i="7"/>
  <c r="V48" i="9"/>
  <c r="AB48" i="9" s="1"/>
  <c r="AB48" i="7"/>
  <c r="V36" i="9"/>
  <c r="AB36" i="7"/>
  <c r="V45" i="9"/>
  <c r="AB45" i="7"/>
  <c r="V35" i="9"/>
  <c r="AB35" i="7"/>
  <c r="V22" i="9"/>
  <c r="V20" i="9"/>
  <c r="AB20" i="7"/>
  <c r="V59" i="9"/>
  <c r="AB59" i="9" s="1"/>
  <c r="AB59" i="7"/>
  <c r="V6" i="9"/>
  <c r="AB6" i="7"/>
  <c r="V16" i="9"/>
  <c r="AB16" i="7"/>
  <c r="V42" i="9"/>
  <c r="AB42" i="9" s="1"/>
  <c r="AB42" i="7"/>
  <c r="V37" i="9"/>
  <c r="AB37" i="7"/>
  <c r="V15" i="9"/>
  <c r="AB15" i="7"/>
  <c r="V13" i="9"/>
  <c r="AB13" i="9" s="1"/>
  <c r="AB13" i="7"/>
  <c r="X64" i="8"/>
  <c r="W5" i="23"/>
  <c r="W68" i="23" s="1"/>
  <c r="O5" i="23"/>
  <c r="O68" i="23" s="1"/>
  <c r="O64" i="8"/>
  <c r="R12" i="8"/>
  <c r="R12" i="23" s="1"/>
  <c r="R75" i="23" s="1"/>
  <c r="R42" i="8"/>
  <c r="R42" i="23" s="1"/>
  <c r="R105" i="23" s="1"/>
  <c r="R29" i="8"/>
  <c r="R29" i="23" s="1"/>
  <c r="R92" i="23" s="1"/>
  <c r="R51" i="8"/>
  <c r="R51" i="23" s="1"/>
  <c r="R114" i="23" s="1"/>
  <c r="R62" i="8"/>
  <c r="R62" i="23" s="1"/>
  <c r="R125" i="23" s="1"/>
  <c r="R15" i="8"/>
  <c r="R15" i="23" s="1"/>
  <c r="R78" i="23" s="1"/>
  <c r="R44" i="8"/>
  <c r="R44" i="23" s="1"/>
  <c r="R107" i="23" s="1"/>
  <c r="R60" i="8"/>
  <c r="R60" i="23" s="1"/>
  <c r="R123" i="23" s="1"/>
  <c r="R6" i="8"/>
  <c r="R6" i="23" s="1"/>
  <c r="R69" i="23" s="1"/>
  <c r="R21" i="8"/>
  <c r="R21" i="23" s="1"/>
  <c r="R84" i="23" s="1"/>
  <c r="R8" i="8"/>
  <c r="R8" i="23" s="1"/>
  <c r="R71" i="23" s="1"/>
  <c r="R23" i="8"/>
  <c r="R23" i="23" s="1"/>
  <c r="R86" i="23" s="1"/>
  <c r="R35" i="8"/>
  <c r="R25" i="8"/>
  <c r="R25" i="23" s="1"/>
  <c r="R88" i="23" s="1"/>
  <c r="R18" i="8"/>
  <c r="R18" i="23" s="1"/>
  <c r="R81" i="23" s="1"/>
  <c r="R54" i="8"/>
  <c r="R54" i="23" s="1"/>
  <c r="R117" i="23" s="1"/>
  <c r="R10" i="8"/>
  <c r="R10" i="23" s="1"/>
  <c r="R73" i="23" s="1"/>
  <c r="R16" i="8"/>
  <c r="R16" i="23" s="1"/>
  <c r="R79" i="23" s="1"/>
  <c r="R28" i="8"/>
  <c r="R28" i="23" s="1"/>
  <c r="R91" i="23" s="1"/>
  <c r="R52" i="8"/>
  <c r="R52" i="23" s="1"/>
  <c r="R115" i="23" s="1"/>
  <c r="R19" i="8"/>
  <c r="R19" i="23" s="1"/>
  <c r="R82" i="23" s="1"/>
  <c r="R5" i="8"/>
  <c r="R45" i="8"/>
  <c r="R45" i="23" s="1"/>
  <c r="R108" i="23" s="1"/>
  <c r="R13" i="8"/>
  <c r="R13" i="23" s="1"/>
  <c r="R76" i="23" s="1"/>
  <c r="R39" i="8"/>
  <c r="R40" i="8"/>
  <c r="R34" i="8"/>
  <c r="R24" i="8"/>
  <c r="R24" i="23" s="1"/>
  <c r="R87" i="23" s="1"/>
  <c r="R30" i="8"/>
  <c r="R30" i="23" s="1"/>
  <c r="R93" i="23" s="1"/>
  <c r="R22" i="8"/>
  <c r="R22" i="23" s="1"/>
  <c r="R85" i="23" s="1"/>
  <c r="R50" i="8"/>
  <c r="R50" i="23" s="1"/>
  <c r="R113" i="23" s="1"/>
  <c r="R20" i="8"/>
  <c r="R20" i="23" s="1"/>
  <c r="R83" i="23" s="1"/>
  <c r="R33" i="8"/>
  <c r="R49" i="8"/>
  <c r="R49" i="23" s="1"/>
  <c r="R112" i="23" s="1"/>
  <c r="R53" i="8"/>
  <c r="R53" i="23" s="1"/>
  <c r="R116" i="23" s="1"/>
  <c r="R36" i="8"/>
  <c r="R36" i="23" s="1"/>
  <c r="R99" i="23" s="1"/>
  <c r="R47" i="8"/>
  <c r="R47" i="23" s="1"/>
  <c r="R110" i="23" s="1"/>
  <c r="R46" i="8"/>
  <c r="R46" i="23" s="1"/>
  <c r="R109" i="23" s="1"/>
  <c r="R17" i="8"/>
  <c r="R17" i="23" s="1"/>
  <c r="R80" i="23" s="1"/>
  <c r="R26" i="8"/>
  <c r="R26" i="23" s="1"/>
  <c r="R89" i="23" s="1"/>
  <c r="R37" i="8"/>
  <c r="R57" i="8"/>
  <c r="R57" i="23" s="1"/>
  <c r="R120" i="23" s="1"/>
  <c r="R31" i="8"/>
  <c r="R31" i="23" s="1"/>
  <c r="R94" i="23" s="1"/>
  <c r="R56" i="8"/>
  <c r="R56" i="23" s="1"/>
  <c r="R119" i="23" s="1"/>
  <c r="R41" i="8"/>
  <c r="R41" i="23" s="1"/>
  <c r="R104" i="23" s="1"/>
  <c r="R27" i="8"/>
  <c r="R27" i="23" s="1"/>
  <c r="R90" i="23" s="1"/>
  <c r="R43" i="8"/>
  <c r="R43" i="23" s="1"/>
  <c r="R106" i="23" s="1"/>
  <c r="R61" i="8"/>
  <c r="R61" i="23" s="1"/>
  <c r="R124" i="23" s="1"/>
  <c r="R7" i="8"/>
  <c r="R7" i="23" s="1"/>
  <c r="R70" i="23" s="1"/>
  <c r="R38" i="8"/>
  <c r="R14" i="8"/>
  <c r="R14" i="23" s="1"/>
  <c r="R77" i="23" s="1"/>
  <c r="R48" i="8"/>
  <c r="R48" i="23" s="1"/>
  <c r="R111" i="23" s="1"/>
  <c r="R32" i="8"/>
  <c r="R55" i="8"/>
  <c r="R55" i="23" s="1"/>
  <c r="R118" i="23" s="1"/>
  <c r="R11" i="8"/>
  <c r="R11" i="23" s="1"/>
  <c r="R74" i="23" s="1"/>
  <c r="R9" i="8"/>
  <c r="R9" i="23" s="1"/>
  <c r="R72" i="23" s="1"/>
  <c r="R59" i="8"/>
  <c r="R59" i="23" s="1"/>
  <c r="R122" i="23" s="1"/>
  <c r="R58" i="8"/>
  <c r="R58" i="23" s="1"/>
  <c r="R121" i="23" s="1"/>
  <c r="Q5" i="23"/>
  <c r="Q68" i="23" s="1"/>
  <c r="Q64" i="8"/>
  <c r="L5" i="23"/>
  <c r="L68" i="23" s="1"/>
  <c r="L64" i="8"/>
  <c r="P5" i="23"/>
  <c r="P68" i="23" s="1"/>
  <c r="P64" i="8"/>
  <c r="Y49" i="9"/>
  <c r="AB40" i="7"/>
  <c r="Y40" i="9"/>
  <c r="AB35" i="9"/>
  <c r="AB20" i="9"/>
  <c r="AB10" i="7"/>
  <c r="Y10" i="9"/>
  <c r="AB28" i="7"/>
  <c r="Y28" i="9"/>
  <c r="V51" i="9"/>
  <c r="AB51" i="7"/>
  <c r="V50" i="9"/>
  <c r="AB50" i="9" s="1"/>
  <c r="AB50" i="7"/>
  <c r="V8" i="9"/>
  <c r="AB8" i="9" s="1"/>
  <c r="AB8" i="7"/>
  <c r="V26" i="9"/>
  <c r="AB26" i="9" s="1"/>
  <c r="AB26" i="7"/>
  <c r="V38" i="9"/>
  <c r="AB38" i="7"/>
  <c r="V46" i="9"/>
  <c r="AB46" i="7"/>
  <c r="V21" i="9"/>
  <c r="V58" i="9"/>
  <c r="AB58" i="9" s="1"/>
  <c r="AB58" i="7"/>
  <c r="V53" i="9"/>
  <c r="AB53" i="9" s="1"/>
  <c r="AB53" i="7"/>
  <c r="V10" i="9"/>
  <c r="V11" i="9"/>
  <c r="AB11" i="7"/>
  <c r="V44" i="9"/>
  <c r="V39" i="9"/>
  <c r="AB39" i="9" s="1"/>
  <c r="AB39" i="7"/>
  <c r="V30" i="9"/>
  <c r="AB30" i="9" s="1"/>
  <c r="AB30" i="7"/>
  <c r="V28" i="9"/>
  <c r="V5" i="23"/>
  <c r="V68" i="23" s="1"/>
  <c r="W64" i="8"/>
  <c r="AD5" i="23"/>
  <c r="AD68" i="23" s="1"/>
  <c r="AH64" i="8"/>
  <c r="S12" i="8"/>
  <c r="S8" i="8"/>
  <c r="S45" i="8"/>
  <c r="S13" i="8"/>
  <c r="S39" i="8"/>
  <c r="S25" i="8"/>
  <c r="S9" i="8"/>
  <c r="S56" i="8"/>
  <c r="S43" i="8"/>
  <c r="S50" i="8"/>
  <c r="S27" i="8"/>
  <c r="S47" i="8"/>
  <c r="S52" i="8"/>
  <c r="S15" i="8"/>
  <c r="S38" i="8"/>
  <c r="S44" i="8"/>
  <c r="S40" i="8"/>
  <c r="S46" i="8"/>
  <c r="S17" i="8"/>
  <c r="S26" i="8"/>
  <c r="S30" i="8"/>
  <c r="S35" i="8"/>
  <c r="S58" i="8"/>
  <c r="S51" i="8"/>
  <c r="S42" i="8"/>
  <c r="S29" i="8"/>
  <c r="S49" i="8"/>
  <c r="S53" i="8"/>
  <c r="S19" i="8"/>
  <c r="S14" i="8"/>
  <c r="S5" i="8"/>
  <c r="S37" i="8"/>
  <c r="S48" i="8"/>
  <c r="S32" i="8"/>
  <c r="S41" i="8"/>
  <c r="S34" i="8"/>
  <c r="S24" i="8"/>
  <c r="S18" i="8"/>
  <c r="S28" i="8"/>
  <c r="S10" i="8"/>
  <c r="S16" i="8"/>
  <c r="S61" i="8"/>
  <c r="S7" i="8"/>
  <c r="S36" i="8"/>
  <c r="S55" i="8"/>
  <c r="S60" i="8"/>
  <c r="S6" i="8"/>
  <c r="S21" i="8"/>
  <c r="S59" i="8"/>
  <c r="S57" i="8"/>
  <c r="S31" i="8"/>
  <c r="S22" i="8"/>
  <c r="S54" i="8"/>
  <c r="S20" i="8"/>
  <c r="S33" i="8"/>
  <c r="S62" i="8"/>
  <c r="S11" i="8"/>
  <c r="S23" i="8"/>
  <c r="AB56" i="9"/>
  <c r="AB11" i="9"/>
  <c r="AB44" i="7"/>
  <c r="Y44" i="9"/>
  <c r="AB44" i="9" s="1"/>
  <c r="AB38" i="9"/>
  <c r="AB19" i="7"/>
  <c r="Y19" i="9"/>
  <c r="AB17" i="7"/>
  <c r="Y17" i="9"/>
  <c r="AB17" i="9" s="1"/>
  <c r="AB6" i="9"/>
  <c r="AB43" i="7"/>
  <c r="Y43" i="9"/>
  <c r="AB37" i="9"/>
  <c r="AB24" i="7"/>
  <c r="Y24" i="9"/>
  <c r="AB24" i="9" s="1"/>
  <c r="V61" i="9"/>
  <c r="AB61" i="9" s="1"/>
  <c r="AB61" i="7"/>
  <c r="V52" i="9"/>
  <c r="AB52" i="9" s="1"/>
  <c r="AB52" i="7"/>
  <c r="V17" i="9"/>
  <c r="V18" i="9"/>
  <c r="AB18" i="9" s="1"/>
  <c r="AB18" i="7"/>
  <c r="V40" i="9"/>
  <c r="V7" i="9"/>
  <c r="AB7" i="7"/>
  <c r="V14" i="9"/>
  <c r="AB14" i="9" s="1"/>
  <c r="AB14" i="7"/>
  <c r="V60" i="9"/>
  <c r="AB60" i="7"/>
  <c r="V55" i="9"/>
  <c r="AB55" i="7"/>
  <c r="V27" i="9"/>
  <c r="AB27" i="9" s="1"/>
  <c r="AB27" i="7"/>
  <c r="V25" i="9"/>
  <c r="AB25" i="7"/>
  <c r="V41" i="9"/>
  <c r="AB41" i="9" s="1"/>
  <c r="AB41" i="7"/>
  <c r="V32" i="9"/>
  <c r="AB32" i="9" s="1"/>
  <c r="AB32" i="7"/>
  <c r="V29" i="9"/>
  <c r="AB29" i="9" s="1"/>
  <c r="AB29" i="7"/>
  <c r="M35" i="8"/>
  <c r="M35" i="23" s="1"/>
  <c r="M98" i="23" s="1"/>
  <c r="M14" i="8"/>
  <c r="M14" i="23" s="1"/>
  <c r="M77" i="23" s="1"/>
  <c r="M9" i="8"/>
  <c r="M9" i="23" s="1"/>
  <c r="M72" i="23" s="1"/>
  <c r="M57" i="8"/>
  <c r="M57" i="23" s="1"/>
  <c r="M120" i="23" s="1"/>
  <c r="M53" i="8"/>
  <c r="M53" i="23" s="1"/>
  <c r="M116" i="23" s="1"/>
  <c r="M6" i="8"/>
  <c r="M6" i="23" s="1"/>
  <c r="M69" i="23" s="1"/>
  <c r="M23" i="8"/>
  <c r="M23" i="23" s="1"/>
  <c r="M86" i="23" s="1"/>
  <c r="M44" i="8"/>
  <c r="M44" i="23" s="1"/>
  <c r="M107" i="23" s="1"/>
  <c r="M42" i="8"/>
  <c r="M42" i="23" s="1"/>
  <c r="M105" i="23" s="1"/>
  <c r="M61" i="8"/>
  <c r="M61" i="23" s="1"/>
  <c r="M124" i="23" s="1"/>
  <c r="M26" i="8"/>
  <c r="M26" i="23" s="1"/>
  <c r="M89" i="23" s="1"/>
  <c r="M24" i="8"/>
  <c r="M24" i="23" s="1"/>
  <c r="M87" i="23" s="1"/>
  <c r="M38" i="8"/>
  <c r="M38" i="23" s="1"/>
  <c r="M101" i="23" s="1"/>
  <c r="M40" i="8"/>
  <c r="M40" i="23" s="1"/>
  <c r="M103" i="23" s="1"/>
  <c r="M27" i="8"/>
  <c r="M27" i="23" s="1"/>
  <c r="M90" i="23" s="1"/>
  <c r="M45" i="8"/>
  <c r="M45" i="23" s="1"/>
  <c r="M108" i="23" s="1"/>
  <c r="M51" i="8"/>
  <c r="M51" i="23" s="1"/>
  <c r="M114" i="23" s="1"/>
  <c r="M50" i="8"/>
  <c r="M50" i="23" s="1"/>
  <c r="M113" i="23" s="1"/>
  <c r="M20" i="8"/>
  <c r="M20" i="23" s="1"/>
  <c r="M83" i="23" s="1"/>
  <c r="M59" i="8"/>
  <c r="M59" i="23" s="1"/>
  <c r="M122" i="23" s="1"/>
  <c r="M43" i="8"/>
  <c r="M43" i="23" s="1"/>
  <c r="M106" i="23" s="1"/>
  <c r="M8" i="8"/>
  <c r="M8" i="23" s="1"/>
  <c r="M71" i="23" s="1"/>
  <c r="M49" i="8"/>
  <c r="M49" i="23" s="1"/>
  <c r="M112" i="23" s="1"/>
  <c r="M5" i="8"/>
  <c r="M7" i="8"/>
  <c r="M7" i="23" s="1"/>
  <c r="M70" i="23" s="1"/>
  <c r="M48" i="8"/>
  <c r="M48" i="23" s="1"/>
  <c r="M111" i="23" s="1"/>
  <c r="M32" i="8"/>
  <c r="M32" i="23" s="1"/>
  <c r="M95" i="23" s="1"/>
  <c r="M36" i="8"/>
  <c r="M36" i="23" s="1"/>
  <c r="M99" i="23" s="1"/>
  <c r="M12" i="8"/>
  <c r="M12" i="23" s="1"/>
  <c r="M75" i="23" s="1"/>
  <c r="M34" i="8"/>
  <c r="M34" i="23" s="1"/>
  <c r="M97" i="23" s="1"/>
  <c r="M60" i="8"/>
  <c r="M60" i="23" s="1"/>
  <c r="M123" i="23" s="1"/>
  <c r="M62" i="8"/>
  <c r="M62" i="23" s="1"/>
  <c r="M125" i="23" s="1"/>
  <c r="M29" i="8"/>
  <c r="M29" i="23" s="1"/>
  <c r="M92" i="23" s="1"/>
  <c r="M52" i="8"/>
  <c r="M52" i="23" s="1"/>
  <c r="M115" i="23" s="1"/>
  <c r="M15" i="8"/>
  <c r="M15" i="23" s="1"/>
  <c r="M78" i="23" s="1"/>
  <c r="M33" i="8"/>
  <c r="M33" i="23" s="1"/>
  <c r="M96" i="23" s="1"/>
  <c r="M13" i="8"/>
  <c r="M13" i="23" s="1"/>
  <c r="M76" i="23" s="1"/>
  <c r="M22" i="8"/>
  <c r="M22" i="23" s="1"/>
  <c r="M85" i="23" s="1"/>
  <c r="M11" i="8"/>
  <c r="M11" i="23" s="1"/>
  <c r="M74" i="23" s="1"/>
  <c r="M17" i="8"/>
  <c r="M17" i="23" s="1"/>
  <c r="M80" i="23" s="1"/>
  <c r="M41" i="8"/>
  <c r="M41" i="23" s="1"/>
  <c r="M104" i="23" s="1"/>
  <c r="M21" i="8"/>
  <c r="M21" i="23" s="1"/>
  <c r="M84" i="23" s="1"/>
  <c r="M10" i="8"/>
  <c r="M10" i="23" s="1"/>
  <c r="M73" i="23" s="1"/>
  <c r="M18" i="8"/>
  <c r="M18" i="23" s="1"/>
  <c r="M81" i="23" s="1"/>
  <c r="M37" i="8"/>
  <c r="M37" i="23" s="1"/>
  <c r="M100" i="23" s="1"/>
  <c r="M55" i="8"/>
  <c r="M55" i="23" s="1"/>
  <c r="M118" i="23" s="1"/>
  <c r="M25" i="8"/>
  <c r="M25" i="23" s="1"/>
  <c r="M88" i="23" s="1"/>
  <c r="M30" i="8"/>
  <c r="M30" i="23" s="1"/>
  <c r="M93" i="23" s="1"/>
  <c r="M54" i="8"/>
  <c r="M54" i="23" s="1"/>
  <c r="M117" i="23" s="1"/>
  <c r="M47" i="8"/>
  <c r="M47" i="23" s="1"/>
  <c r="M110" i="23" s="1"/>
  <c r="M28" i="8"/>
  <c r="M28" i="23" s="1"/>
  <c r="M91" i="23" s="1"/>
  <c r="M16" i="8"/>
  <c r="M16" i="23" s="1"/>
  <c r="M79" i="23" s="1"/>
  <c r="M19" i="8"/>
  <c r="M19" i="23" s="1"/>
  <c r="M82" i="23" s="1"/>
  <c r="M39" i="8"/>
  <c r="M39" i="23" s="1"/>
  <c r="M102" i="23" s="1"/>
  <c r="M31" i="8"/>
  <c r="M31" i="23" s="1"/>
  <c r="M94" i="23" s="1"/>
  <c r="M46" i="8"/>
  <c r="M46" i="23" s="1"/>
  <c r="M109" i="23" s="1"/>
  <c r="M58" i="8"/>
  <c r="M58" i="23" s="1"/>
  <c r="M121" i="23" s="1"/>
  <c r="M56" i="8"/>
  <c r="M56" i="23" s="1"/>
  <c r="M119" i="23" s="1"/>
  <c r="O14" i="25"/>
  <c r="O15" i="25"/>
  <c r="T5" i="23"/>
  <c r="T68" i="23" s="1"/>
  <c r="U64" i="8"/>
  <c r="AE5" i="23"/>
  <c r="AE68" i="23" s="1"/>
  <c r="AI64" i="8"/>
  <c r="AB60" i="9"/>
  <c r="Y54" i="9"/>
  <c r="Y7" i="9"/>
  <c r="AB7" i="9" s="1"/>
  <c r="AB15" i="9"/>
  <c r="AB46" i="9"/>
  <c r="AB47" i="7"/>
  <c r="Y47" i="9"/>
  <c r="AB36" i="9"/>
  <c r="AB55" i="9"/>
  <c r="AB51" i="9"/>
  <c r="Y5" i="9"/>
  <c r="Y64" i="7"/>
  <c r="Y69" i="7" s="1"/>
  <c r="Y49" i="8" s="1"/>
  <c r="AB25" i="9"/>
  <c r="Y45" i="9"/>
  <c r="AB45" i="9" s="1"/>
  <c r="AB33" i="7"/>
  <c r="Y33" i="9"/>
  <c r="AB16" i="9"/>
  <c r="V54" i="9"/>
  <c r="V54" i="8"/>
  <c r="U54" i="23" s="1"/>
  <c r="U117" i="23" s="1"/>
  <c r="AB54" i="7"/>
  <c r="V62" i="9"/>
  <c r="AB62" i="9" s="1"/>
  <c r="V62" i="8"/>
  <c r="AB62" i="7"/>
  <c r="V19" i="9"/>
  <c r="V19" i="8"/>
  <c r="U19" i="23" s="1"/>
  <c r="U82" i="23" s="1"/>
  <c r="V34" i="9"/>
  <c r="AB34" i="9" s="1"/>
  <c r="V34" i="8"/>
  <c r="U34" i="23" s="1"/>
  <c r="U97" i="23" s="1"/>
  <c r="AB34" i="7"/>
  <c r="V33" i="9"/>
  <c r="V5" i="9"/>
  <c r="V64" i="7"/>
  <c r="V69" i="7" s="1"/>
  <c r="V12" i="8" s="1"/>
  <c r="V5" i="8"/>
  <c r="AB5" i="7"/>
  <c r="V31" i="9"/>
  <c r="U31" i="23" s="1"/>
  <c r="U94" i="23" s="1"/>
  <c r="V31" i="8"/>
  <c r="AB31" i="7"/>
  <c r="V57" i="8"/>
  <c r="U57" i="23" s="1"/>
  <c r="U120" i="23" s="1"/>
  <c r="V57" i="9"/>
  <c r="AB57" i="9" s="1"/>
  <c r="AB57" i="7"/>
  <c r="V49" i="8"/>
  <c r="U49" i="23" s="1"/>
  <c r="U112" i="23" s="1"/>
  <c r="V49" i="9"/>
  <c r="AB49" i="7"/>
  <c r="V24" i="8"/>
  <c r="V24" i="9"/>
  <c r="V47" i="8"/>
  <c r="V47" i="9"/>
  <c r="U47" i="23" s="1"/>
  <c r="U110" i="23" s="1"/>
  <c r="V43" i="8"/>
  <c r="V43" i="9"/>
  <c r="U43" i="23"/>
  <c r="U106" i="23" s="1"/>
  <c r="V9" i="8"/>
  <c r="U9" i="23" s="1"/>
  <c r="U72" i="23" s="1"/>
  <c r="V9" i="9"/>
  <c r="AB9" i="9" s="1"/>
  <c r="AB9" i="7"/>
  <c r="V23" i="8"/>
  <c r="U23" i="23" s="1"/>
  <c r="U86" i="23" s="1"/>
  <c r="V23" i="9"/>
  <c r="AB23" i="9" s="1"/>
  <c r="AB23" i="7"/>
  <c r="L5" i="24"/>
  <c r="L50" i="24" s="1"/>
  <c r="L12" i="24"/>
  <c r="L57" i="24" s="1"/>
  <c r="L36" i="24"/>
  <c r="L81" i="24" s="1"/>
  <c r="K14" i="26"/>
  <c r="K15" i="26"/>
  <c r="L41" i="24"/>
  <c r="L86" i="24" s="1"/>
  <c r="L17" i="24"/>
  <c r="L62" i="24" s="1"/>
  <c r="L27" i="24"/>
  <c r="L72" i="24" s="1"/>
  <c r="L24" i="24"/>
  <c r="L69" i="24" s="1"/>
  <c r="Q15" i="25"/>
  <c r="Q14" i="25"/>
  <c r="L16" i="24"/>
  <c r="L61" i="24" s="1"/>
  <c r="L43" i="24"/>
  <c r="L88" i="24" s="1"/>
  <c r="L20" i="24"/>
  <c r="L65" i="24" s="1"/>
  <c r="L13" i="24"/>
  <c r="L58" i="24" s="1"/>
  <c r="L26" i="24"/>
  <c r="L71" i="24" s="1"/>
  <c r="L38" i="24"/>
  <c r="L83" i="24" s="1"/>
  <c r="L25" i="24"/>
  <c r="L70" i="24" s="1"/>
  <c r="L6" i="24"/>
  <c r="L51" i="24" s="1"/>
  <c r="B9" i="26" s="1"/>
  <c r="L42" i="24"/>
  <c r="L87" i="24" s="1"/>
  <c r="L19" i="24"/>
  <c r="L64" i="24" s="1"/>
  <c r="L14" i="24"/>
  <c r="L59" i="24" s="1"/>
  <c r="L37" i="24"/>
  <c r="L82" i="24" s="1"/>
  <c r="L22" i="24"/>
  <c r="L67" i="24" s="1"/>
  <c r="L18" i="24"/>
  <c r="L63" i="24" s="1"/>
  <c r="L28" i="24"/>
  <c r="L73" i="24" s="1"/>
  <c r="L15" i="24"/>
  <c r="L60" i="24" s="1"/>
  <c r="L33" i="24"/>
  <c r="L78" i="24" s="1"/>
  <c r="L11" i="24"/>
  <c r="L56" i="24" s="1"/>
  <c r="L44" i="24"/>
  <c r="L89" i="24" s="1"/>
  <c r="L32" i="24"/>
  <c r="L77" i="24" s="1"/>
  <c r="L39" i="24"/>
  <c r="L84" i="24" s="1"/>
  <c r="L21" i="24"/>
  <c r="L66" i="24" s="1"/>
  <c r="L40" i="24"/>
  <c r="L85" i="24" s="1"/>
  <c r="L31" i="24"/>
  <c r="L76" i="24" s="1"/>
  <c r="L35" i="24"/>
  <c r="L80" i="24" s="1"/>
  <c r="L9" i="24"/>
  <c r="L54" i="24" s="1"/>
  <c r="L30" i="24"/>
  <c r="L75" i="24" s="1"/>
  <c r="L7" i="24"/>
  <c r="L52" i="24" s="1"/>
  <c r="L29" i="24"/>
  <c r="L74" i="24" s="1"/>
  <c r="L8" i="24"/>
  <c r="L53" i="24" s="1"/>
  <c r="L23" i="24"/>
  <c r="L68" i="24" s="1"/>
  <c r="L10" i="24"/>
  <c r="L55" i="24" s="1"/>
  <c r="L34" i="24"/>
  <c r="L79" i="24" s="1"/>
  <c r="W18" i="13"/>
  <c r="W28" i="13"/>
  <c r="W15" i="13"/>
  <c r="W40" i="13"/>
  <c r="W16" i="13"/>
  <c r="W7" i="13"/>
  <c r="W14" i="13"/>
  <c r="W34" i="13"/>
  <c r="P5" i="12"/>
  <c r="L46" i="12"/>
  <c r="W12" i="13"/>
  <c r="W41" i="13"/>
  <c r="W17" i="13"/>
  <c r="AE66" i="9"/>
  <c r="AE66" i="8"/>
  <c r="AO65" i="8" s="1"/>
  <c r="AE66" i="7"/>
  <c r="W13" i="13"/>
  <c r="W26" i="13"/>
  <c r="W38" i="13"/>
  <c r="W8" i="13"/>
  <c r="W23" i="13"/>
  <c r="W21" i="13"/>
  <c r="W33" i="13"/>
  <c r="AA5" i="11"/>
  <c r="P46" i="11"/>
  <c r="W31" i="13"/>
  <c r="W35" i="13"/>
  <c r="W11" i="13"/>
  <c r="W44" i="13"/>
  <c r="W32" i="13"/>
  <c r="W27" i="13"/>
  <c r="W39" i="13"/>
  <c r="W37" i="13"/>
  <c r="W22" i="13"/>
  <c r="E42" i="5"/>
  <c r="W48" i="13"/>
  <c r="W48" i="12"/>
  <c r="W48" i="11"/>
  <c r="W51" i="11" s="1"/>
  <c r="W34" i="12" s="1"/>
  <c r="X34" i="12" s="1"/>
  <c r="AA34" i="12" s="1"/>
  <c r="W48" i="10"/>
  <c r="W24" i="13"/>
  <c r="W36" i="13"/>
  <c r="W9" i="13"/>
  <c r="W30" i="13"/>
  <c r="W6" i="13"/>
  <c r="W42" i="13"/>
  <c r="W19" i="13"/>
  <c r="W10" i="13"/>
  <c r="W25" i="13"/>
  <c r="W29" i="13"/>
  <c r="P5" i="13"/>
  <c r="L46" i="13"/>
  <c r="W43" i="13"/>
  <c r="W20" i="13"/>
  <c r="E23" i="5"/>
  <c r="AE68" i="6"/>
  <c r="AB49" i="8" l="1"/>
  <c r="X49" i="23"/>
  <c r="X112" i="23" s="1"/>
  <c r="M5" i="23"/>
  <c r="M68" i="23" s="1"/>
  <c r="M64" i="8"/>
  <c r="L7" i="25"/>
  <c r="L13" i="25" s="1"/>
  <c r="L11" i="25"/>
  <c r="L9" i="25"/>
  <c r="V46" i="8"/>
  <c r="AB10" i="9"/>
  <c r="V20" i="8"/>
  <c r="V36" i="8"/>
  <c r="AB64" i="7"/>
  <c r="V33" i="8"/>
  <c r="U62" i="23"/>
  <c r="U125" i="23" s="1"/>
  <c r="AB33" i="9"/>
  <c r="AB54" i="9"/>
  <c r="U9" i="25"/>
  <c r="U7" i="25"/>
  <c r="U13" i="25" s="1"/>
  <c r="U11" i="25"/>
  <c r="V14" i="8"/>
  <c r="V52" i="8"/>
  <c r="AB31" i="9"/>
  <c r="V10" i="8"/>
  <c r="U10" i="23" s="1"/>
  <c r="U73" i="23" s="1"/>
  <c r="V53" i="8"/>
  <c r="V58" i="8"/>
  <c r="U58" i="23" s="1"/>
  <c r="U121" i="23" s="1"/>
  <c r="V26" i="8"/>
  <c r="V8" i="8"/>
  <c r="V50" i="8"/>
  <c r="V51" i="8"/>
  <c r="F7" i="25"/>
  <c r="F13" i="25" s="1"/>
  <c r="F9" i="25"/>
  <c r="F11" i="25"/>
  <c r="G11" i="25"/>
  <c r="G7" i="25"/>
  <c r="G13" i="25" s="1"/>
  <c r="G9" i="25"/>
  <c r="E7" i="25"/>
  <c r="E13" i="25" s="1"/>
  <c r="E11" i="25"/>
  <c r="E9" i="25"/>
  <c r="V35" i="8"/>
  <c r="V45" i="8"/>
  <c r="AB21" i="9"/>
  <c r="U24" i="23"/>
  <c r="U87" i="23" s="1"/>
  <c r="U5" i="23"/>
  <c r="U68" i="23" s="1"/>
  <c r="Y12" i="8"/>
  <c r="X12" i="23" s="1"/>
  <c r="X75" i="23" s="1"/>
  <c r="Y29" i="8"/>
  <c r="Y15" i="8"/>
  <c r="Y10" i="8"/>
  <c r="Y14" i="8"/>
  <c r="X14" i="23" s="1"/>
  <c r="X77" i="23" s="1"/>
  <c r="Y62" i="8"/>
  <c r="X62" i="23" s="1"/>
  <c r="X125" i="23" s="1"/>
  <c r="Y31" i="8"/>
  <c r="Y50" i="8"/>
  <c r="X50" i="23" s="1"/>
  <c r="X113" i="23" s="1"/>
  <c r="Y5" i="8"/>
  <c r="Y41" i="8"/>
  <c r="X41" i="23" s="1"/>
  <c r="X104" i="23" s="1"/>
  <c r="Y57" i="8"/>
  <c r="X57" i="23" s="1"/>
  <c r="X120" i="23" s="1"/>
  <c r="Y8" i="8"/>
  <c r="X8" i="23" s="1"/>
  <c r="X71" i="23" s="1"/>
  <c r="Y59" i="8"/>
  <c r="X59" i="23" s="1"/>
  <c r="X122" i="23" s="1"/>
  <c r="Y56" i="8"/>
  <c r="Y23" i="8"/>
  <c r="Y30" i="8"/>
  <c r="Y60" i="8"/>
  <c r="X60" i="23" s="1"/>
  <c r="X123" i="23" s="1"/>
  <c r="Y18" i="8"/>
  <c r="X18" i="23" s="1"/>
  <c r="X81" i="23" s="1"/>
  <c r="Y27" i="8"/>
  <c r="X27" i="23" s="1"/>
  <c r="X90" i="23" s="1"/>
  <c r="Y17" i="8"/>
  <c r="X17" i="23" s="1"/>
  <c r="X80" i="23" s="1"/>
  <c r="Y44" i="8"/>
  <c r="X44" i="23" s="1"/>
  <c r="X107" i="23" s="1"/>
  <c r="Y9" i="8"/>
  <c r="Y11" i="8"/>
  <c r="Y58" i="8"/>
  <c r="Y34" i="8"/>
  <c r="Y16" i="8"/>
  <c r="X16" i="23" s="1"/>
  <c r="X79" i="23" s="1"/>
  <c r="Y48" i="8"/>
  <c r="X48" i="23" s="1"/>
  <c r="X111" i="23" s="1"/>
  <c r="Y13" i="8"/>
  <c r="X13" i="23" s="1"/>
  <c r="X76" i="23" s="1"/>
  <c r="Y6" i="8"/>
  <c r="X6" i="23" s="1"/>
  <c r="X69" i="23" s="1"/>
  <c r="Y26" i="8"/>
  <c r="X26" i="23" s="1"/>
  <c r="X89" i="23" s="1"/>
  <c r="Y53" i="8"/>
  <c r="X53" i="23" s="1"/>
  <c r="X116" i="23" s="1"/>
  <c r="Y39" i="8"/>
  <c r="X39" i="23" s="1"/>
  <c r="X102" i="23" s="1"/>
  <c r="Y55" i="8"/>
  <c r="X55" i="23" s="1"/>
  <c r="X118" i="23" s="1"/>
  <c r="Y38" i="8"/>
  <c r="X38" i="23" s="1"/>
  <c r="X101" i="23" s="1"/>
  <c r="Y47" i="8"/>
  <c r="Y37" i="8"/>
  <c r="Y33" i="8"/>
  <c r="X33" i="23" s="1"/>
  <c r="X96" i="23" s="1"/>
  <c r="Y52" i="8"/>
  <c r="X52" i="23" s="1"/>
  <c r="X115" i="23" s="1"/>
  <c r="Y43" i="8"/>
  <c r="X43" i="23" s="1"/>
  <c r="X106" i="23" s="1"/>
  <c r="Y61" i="8"/>
  <c r="X61" i="23" s="1"/>
  <c r="X124" i="23" s="1"/>
  <c r="Y19" i="8"/>
  <c r="X19" i="23" s="1"/>
  <c r="X82" i="23" s="1"/>
  <c r="Y25" i="8"/>
  <c r="X25" i="23" s="1"/>
  <c r="X88" i="23" s="1"/>
  <c r="Y32" i="8"/>
  <c r="X32" i="23" s="1"/>
  <c r="X95" i="23" s="1"/>
  <c r="Y28" i="8"/>
  <c r="X28" i="23" s="1"/>
  <c r="X91" i="23" s="1"/>
  <c r="Y22" i="8"/>
  <c r="X22" i="23" s="1"/>
  <c r="X85" i="23" s="1"/>
  <c r="Y20" i="8"/>
  <c r="X20" i="23" s="1"/>
  <c r="X83" i="23" s="1"/>
  <c r="Y46" i="8"/>
  <c r="X46" i="23" s="1"/>
  <c r="X109" i="23" s="1"/>
  <c r="Y42" i="8"/>
  <c r="X42" i="23" s="1"/>
  <c r="X105" i="23" s="1"/>
  <c r="Y21" i="8"/>
  <c r="X21" i="23" s="1"/>
  <c r="X84" i="23" s="1"/>
  <c r="Y35" i="8"/>
  <c r="X35" i="23" s="1"/>
  <c r="X98" i="23" s="1"/>
  <c r="Y24" i="8"/>
  <c r="X24" i="23" s="1"/>
  <c r="X87" i="23" s="1"/>
  <c r="Y36" i="8"/>
  <c r="X36" i="23" s="1"/>
  <c r="X99" i="23" s="1"/>
  <c r="Y40" i="8"/>
  <c r="X40" i="23" s="1"/>
  <c r="X103" i="23" s="1"/>
  <c r="Y51" i="8"/>
  <c r="X51" i="23" s="1"/>
  <c r="X114" i="23" s="1"/>
  <c r="Y54" i="8"/>
  <c r="V41" i="8"/>
  <c r="V25" i="8"/>
  <c r="V27" i="8"/>
  <c r="V55" i="8"/>
  <c r="V60" i="8"/>
  <c r="V40" i="8"/>
  <c r="V17" i="8"/>
  <c r="V61" i="8"/>
  <c r="AB19" i="9"/>
  <c r="S64" i="8"/>
  <c r="T9" i="25"/>
  <c r="T11" i="25"/>
  <c r="T7" i="25"/>
  <c r="T13" i="25" s="1"/>
  <c r="V44" i="8"/>
  <c r="V11" i="8"/>
  <c r="U11" i="23" s="1"/>
  <c r="U74" i="23" s="1"/>
  <c r="V21" i="8"/>
  <c r="AB28" i="9"/>
  <c r="AB40" i="9"/>
  <c r="AB49" i="9"/>
  <c r="R5" i="23"/>
  <c r="R68" i="23" s="1"/>
  <c r="R64" i="8"/>
  <c r="S69" i="8" s="1"/>
  <c r="M11" i="25"/>
  <c r="M7" i="25"/>
  <c r="M13" i="25" s="1"/>
  <c r="M9" i="25"/>
  <c r="V15" i="8"/>
  <c r="U15" i="23" s="1"/>
  <c r="U78" i="23" s="1"/>
  <c r="V16" i="8"/>
  <c r="V6" i="8"/>
  <c r="V64" i="8" s="1"/>
  <c r="V59" i="8"/>
  <c r="V48" i="8"/>
  <c r="V56" i="8"/>
  <c r="U56" i="23" s="1"/>
  <c r="U119" i="23" s="1"/>
  <c r="V64" i="9"/>
  <c r="AB5" i="9"/>
  <c r="AB64" i="9" s="1"/>
  <c r="AB19" i="8"/>
  <c r="U12" i="23"/>
  <c r="U75" i="23" s="1"/>
  <c r="AB12" i="8"/>
  <c r="Y45" i="8"/>
  <c r="X45" i="23" s="1"/>
  <c r="X108" i="23" s="1"/>
  <c r="Y64" i="9"/>
  <c r="AB47" i="9"/>
  <c r="Y7" i="8"/>
  <c r="X7" i="23" s="1"/>
  <c r="X70" i="23" s="1"/>
  <c r="J11" i="25"/>
  <c r="J7" i="25"/>
  <c r="J13" i="25" s="1"/>
  <c r="J9" i="25"/>
  <c r="V29" i="8"/>
  <c r="U29" i="23" s="1"/>
  <c r="U92" i="23" s="1"/>
  <c r="V32" i="8"/>
  <c r="V7" i="8"/>
  <c r="V18" i="8"/>
  <c r="AB43" i="9"/>
  <c r="V28" i="8"/>
  <c r="V30" i="8"/>
  <c r="U30" i="23" s="1"/>
  <c r="U93" i="23" s="1"/>
  <c r="V39" i="8"/>
  <c r="V38" i="8"/>
  <c r="B9" i="25"/>
  <c r="B11" i="25"/>
  <c r="B7" i="25"/>
  <c r="B13" i="25" s="1"/>
  <c r="V13" i="8"/>
  <c r="V37" i="8"/>
  <c r="U37" i="23" s="1"/>
  <c r="U100" i="23" s="1"/>
  <c r="V42" i="8"/>
  <c r="V22" i="8"/>
  <c r="W6" i="12"/>
  <c r="X6" i="12" s="1"/>
  <c r="AA6" i="12" s="1"/>
  <c r="E46" i="5"/>
  <c r="W30" i="12"/>
  <c r="X30" i="12" s="1"/>
  <c r="AA30" i="12" s="1"/>
  <c r="B14" i="26"/>
  <c r="B15" i="26"/>
  <c r="E29" i="5"/>
  <c r="AM66" i="7" s="1"/>
  <c r="B11" i="26"/>
  <c r="B7" i="26"/>
  <c r="B13" i="26" s="1"/>
  <c r="X8" i="13"/>
  <c r="AA8" i="13" s="1"/>
  <c r="X41" i="13"/>
  <c r="AA41" i="13" s="1"/>
  <c r="S31" i="28" s="1"/>
  <c r="X34" i="13"/>
  <c r="AA34" i="13" s="1"/>
  <c r="T34" i="24"/>
  <c r="T79" i="24" s="1"/>
  <c r="X40" i="13"/>
  <c r="AA40" i="13" s="1"/>
  <c r="S29" i="28" s="1"/>
  <c r="X43" i="13"/>
  <c r="AA43" i="13" s="1"/>
  <c r="S32" i="28" s="1"/>
  <c r="X25" i="13"/>
  <c r="AA25" i="13" s="1"/>
  <c r="S14" i="28" s="1"/>
  <c r="X42" i="13"/>
  <c r="AA42" i="13" s="1"/>
  <c r="S30" i="28" s="1"/>
  <c r="X24" i="13"/>
  <c r="AA24" i="13" s="1"/>
  <c r="S13" i="28" s="1"/>
  <c r="X37" i="13"/>
  <c r="AA37" i="13" s="1"/>
  <c r="X27" i="13"/>
  <c r="AA27" i="13" s="1"/>
  <c r="S17" i="28" s="1"/>
  <c r="X44" i="13"/>
  <c r="AA44" i="13" s="1"/>
  <c r="S33" i="28" s="1"/>
  <c r="X35" i="13"/>
  <c r="AA35" i="13" s="1"/>
  <c r="X33" i="13"/>
  <c r="AA33" i="13" s="1"/>
  <c r="S24" i="28" s="1"/>
  <c r="X38" i="13"/>
  <c r="AA38" i="13" s="1"/>
  <c r="S27" i="28" s="1"/>
  <c r="X12" i="13"/>
  <c r="AA12" i="13" s="1"/>
  <c r="S7" i="28" s="1"/>
  <c r="X14" i="13"/>
  <c r="AA14" i="13" s="1"/>
  <c r="S11" i="28" s="1"/>
  <c r="X15" i="13"/>
  <c r="AA15" i="13" s="1"/>
  <c r="X29" i="13"/>
  <c r="AA29" i="13" s="1"/>
  <c r="S19" i="28" s="1"/>
  <c r="X22" i="13"/>
  <c r="AA22" i="13" s="1"/>
  <c r="X10" i="13"/>
  <c r="AA10" i="13" s="1"/>
  <c r="S5" i="28" s="1"/>
  <c r="X6" i="13"/>
  <c r="AA6" i="13" s="1"/>
  <c r="G6" i="28" s="1"/>
  <c r="T6" i="24"/>
  <c r="T51" i="24" s="1"/>
  <c r="X9" i="13"/>
  <c r="AA9" i="13" s="1"/>
  <c r="X11" i="13"/>
  <c r="AA11" i="13" s="1"/>
  <c r="S6" i="28" s="1"/>
  <c r="X31" i="13"/>
  <c r="AA31" i="13" s="1"/>
  <c r="S22" i="28" s="1"/>
  <c r="X21" i="13"/>
  <c r="AA21" i="13" s="1"/>
  <c r="X26" i="13"/>
  <c r="AA26" i="13" s="1"/>
  <c r="X7" i="13"/>
  <c r="AA7" i="13" s="1"/>
  <c r="X28" i="13"/>
  <c r="AA28" i="13" s="1"/>
  <c r="S18" i="28" s="1"/>
  <c r="X30" i="13"/>
  <c r="AA30" i="13" s="1"/>
  <c r="X39" i="13"/>
  <c r="AA39" i="13" s="1"/>
  <c r="S28" i="28" s="1"/>
  <c r="X20" i="13"/>
  <c r="AA20" i="13" s="1"/>
  <c r="X19" i="13"/>
  <c r="AA19" i="13" s="1"/>
  <c r="S10" i="28" s="1"/>
  <c r="X36" i="13"/>
  <c r="AA36" i="13" s="1"/>
  <c r="X32" i="13"/>
  <c r="AA32" i="13" s="1"/>
  <c r="S23" i="28" s="1"/>
  <c r="X23" i="13"/>
  <c r="AA23" i="13" s="1"/>
  <c r="S12" i="28" s="1"/>
  <c r="X13" i="13"/>
  <c r="AA13" i="13" s="1"/>
  <c r="S9" i="28" s="1"/>
  <c r="X17" i="13"/>
  <c r="AA17" i="13" s="1"/>
  <c r="X16" i="13"/>
  <c r="AA16" i="13" s="1"/>
  <c r="X18" i="13"/>
  <c r="AA18" i="13" s="1"/>
  <c r="S8" i="28" s="1"/>
  <c r="W39" i="12"/>
  <c r="W27" i="12"/>
  <c r="W32" i="12"/>
  <c r="W44" i="12"/>
  <c r="W11" i="12"/>
  <c r="W16" i="12"/>
  <c r="W40" i="12"/>
  <c r="W15" i="12"/>
  <c r="W28" i="12"/>
  <c r="W18" i="12"/>
  <c r="P46" i="13"/>
  <c r="W19" i="12"/>
  <c r="W42" i="12"/>
  <c r="W37" i="12"/>
  <c r="W21" i="12"/>
  <c r="P46" i="12"/>
  <c r="W7" i="12"/>
  <c r="W43" i="12"/>
  <c r="W24" i="12"/>
  <c r="W22" i="12"/>
  <c r="W33" i="12"/>
  <c r="W23" i="12"/>
  <c r="W8" i="12"/>
  <c r="W38" i="12"/>
  <c r="W26" i="12"/>
  <c r="W13" i="12"/>
  <c r="W14" i="12"/>
  <c r="W20" i="12"/>
  <c r="W25" i="12"/>
  <c r="W10" i="12"/>
  <c r="AG68" i="6"/>
  <c r="AG66" i="9"/>
  <c r="AG66" i="8"/>
  <c r="AG66" i="7"/>
  <c r="W29" i="12"/>
  <c r="W9" i="12"/>
  <c r="W36" i="12"/>
  <c r="E45" i="5"/>
  <c r="X48" i="13"/>
  <c r="X48" i="12"/>
  <c r="X48" i="11"/>
  <c r="X48" i="10"/>
  <c r="W35" i="12"/>
  <c r="W31" i="12"/>
  <c r="W5" i="12"/>
  <c r="AA46" i="11"/>
  <c r="W5" i="13"/>
  <c r="W17" i="12"/>
  <c r="W41" i="12"/>
  <c r="W12" i="12"/>
  <c r="S21" i="28" l="1"/>
  <c r="S16" i="28"/>
  <c r="S26" i="28"/>
  <c r="G18" i="28"/>
  <c r="G13" i="28"/>
  <c r="S20" i="28"/>
  <c r="S25" i="28"/>
  <c r="S15" i="28"/>
  <c r="G14" i="28"/>
  <c r="G19" i="28"/>
  <c r="AB42" i="8"/>
  <c r="U42" i="23"/>
  <c r="U105" i="23" s="1"/>
  <c r="U7" i="23"/>
  <c r="U70" i="23" s="1"/>
  <c r="AB7" i="8"/>
  <c r="U48" i="23"/>
  <c r="U111" i="23" s="1"/>
  <c r="AB48" i="8"/>
  <c r="S12" i="9"/>
  <c r="S59" i="9"/>
  <c r="S59" i="23" s="1"/>
  <c r="S122" i="23" s="1"/>
  <c r="S53" i="9"/>
  <c r="S53" i="23" s="1"/>
  <c r="S116" i="23" s="1"/>
  <c r="S30" i="9"/>
  <c r="S30" i="23" s="1"/>
  <c r="S93" i="23" s="1"/>
  <c r="S22" i="9"/>
  <c r="S22" i="23" s="1"/>
  <c r="S85" i="23" s="1"/>
  <c r="S31" i="9"/>
  <c r="S31" i="23" s="1"/>
  <c r="S94" i="23" s="1"/>
  <c r="S28" i="9"/>
  <c r="S28" i="23" s="1"/>
  <c r="S91" i="23" s="1"/>
  <c r="S8" i="9"/>
  <c r="S8" i="23" s="1"/>
  <c r="S71" i="23" s="1"/>
  <c r="S33" i="9"/>
  <c r="S33" i="23" s="1"/>
  <c r="S96" i="23" s="1"/>
  <c r="S44" i="9"/>
  <c r="S44" i="23" s="1"/>
  <c r="S107" i="23" s="1"/>
  <c r="S17" i="9"/>
  <c r="S17" i="23" s="1"/>
  <c r="S80" i="23" s="1"/>
  <c r="S42" i="9"/>
  <c r="S42" i="23" s="1"/>
  <c r="S105" i="23" s="1"/>
  <c r="S16" i="9"/>
  <c r="S16" i="23" s="1"/>
  <c r="S79" i="23" s="1"/>
  <c r="S46" i="9"/>
  <c r="S46" i="23" s="1"/>
  <c r="S109" i="23" s="1"/>
  <c r="S18" i="9"/>
  <c r="S18" i="23" s="1"/>
  <c r="S81" i="23" s="1"/>
  <c r="S47" i="9"/>
  <c r="S47" i="23" s="1"/>
  <c r="S110" i="23" s="1"/>
  <c r="S49" i="9"/>
  <c r="S49" i="23" s="1"/>
  <c r="S112" i="23" s="1"/>
  <c r="S11" i="9"/>
  <c r="S11" i="23" s="1"/>
  <c r="S74" i="23" s="1"/>
  <c r="S19" i="9"/>
  <c r="S19" i="23" s="1"/>
  <c r="S82" i="23" s="1"/>
  <c r="S14" i="9"/>
  <c r="S14" i="23" s="1"/>
  <c r="S77" i="23" s="1"/>
  <c r="S56" i="9"/>
  <c r="S56" i="23" s="1"/>
  <c r="S119" i="23" s="1"/>
  <c r="S21" i="9"/>
  <c r="S21" i="23" s="1"/>
  <c r="S84" i="23" s="1"/>
  <c r="S20" i="9"/>
  <c r="S20" i="23" s="1"/>
  <c r="S83" i="23" s="1"/>
  <c r="S62" i="9"/>
  <c r="S62" i="23" s="1"/>
  <c r="S125" i="23" s="1"/>
  <c r="S34" i="9"/>
  <c r="S34" i="23" s="1"/>
  <c r="S97" i="23" s="1"/>
  <c r="S5" i="9"/>
  <c r="S10" i="9"/>
  <c r="S10" i="23" s="1"/>
  <c r="S73" i="23" s="1"/>
  <c r="S43" i="9"/>
  <c r="S43" i="23" s="1"/>
  <c r="S106" i="23" s="1"/>
  <c r="S48" i="9"/>
  <c r="S48" i="23" s="1"/>
  <c r="S111" i="23" s="1"/>
  <c r="S39" i="9"/>
  <c r="S39" i="23" s="1"/>
  <c r="S102" i="23" s="1"/>
  <c r="S15" i="9"/>
  <c r="S15" i="23" s="1"/>
  <c r="S78" i="23" s="1"/>
  <c r="S24" i="9"/>
  <c r="S24" i="23" s="1"/>
  <c r="S87" i="23" s="1"/>
  <c r="S37" i="9"/>
  <c r="S37" i="23" s="1"/>
  <c r="S100" i="23" s="1"/>
  <c r="S13" i="9"/>
  <c r="S13" i="23" s="1"/>
  <c r="S76" i="23" s="1"/>
  <c r="S45" i="9"/>
  <c r="S45" i="23" s="1"/>
  <c r="S108" i="23" s="1"/>
  <c r="S57" i="9"/>
  <c r="S57" i="23" s="1"/>
  <c r="S120" i="23" s="1"/>
  <c r="S61" i="9"/>
  <c r="S61" i="23" s="1"/>
  <c r="S124" i="23" s="1"/>
  <c r="S25" i="9"/>
  <c r="S25" i="23" s="1"/>
  <c r="S88" i="23" s="1"/>
  <c r="S23" i="9"/>
  <c r="S23" i="23" s="1"/>
  <c r="S86" i="23" s="1"/>
  <c r="S35" i="9"/>
  <c r="S35" i="23" s="1"/>
  <c r="S98" i="23" s="1"/>
  <c r="S58" i="9"/>
  <c r="S58" i="23" s="1"/>
  <c r="S121" i="23" s="1"/>
  <c r="S54" i="9"/>
  <c r="S54" i="23" s="1"/>
  <c r="S117" i="23" s="1"/>
  <c r="S40" i="9"/>
  <c r="S40" i="23" s="1"/>
  <c r="S103" i="23" s="1"/>
  <c r="S7" i="9"/>
  <c r="S7" i="23" s="1"/>
  <c r="S70" i="23" s="1"/>
  <c r="S51" i="9"/>
  <c r="S51" i="23" s="1"/>
  <c r="S114" i="23" s="1"/>
  <c r="S50" i="9"/>
  <c r="S50" i="23" s="1"/>
  <c r="S113" i="23" s="1"/>
  <c r="S27" i="9"/>
  <c r="S27" i="23" s="1"/>
  <c r="S90" i="23" s="1"/>
  <c r="S60" i="9"/>
  <c r="S60" i="23" s="1"/>
  <c r="S123" i="23" s="1"/>
  <c r="S32" i="9"/>
  <c r="S32" i="23" s="1"/>
  <c r="S95" i="23" s="1"/>
  <c r="S52" i="9"/>
  <c r="S52" i="23" s="1"/>
  <c r="S115" i="23" s="1"/>
  <c r="S38" i="9"/>
  <c r="S38" i="23" s="1"/>
  <c r="S101" i="23" s="1"/>
  <c r="S55" i="9"/>
  <c r="S55" i="23" s="1"/>
  <c r="S118" i="23" s="1"/>
  <c r="S36" i="9"/>
  <c r="S36" i="23" s="1"/>
  <c r="S99" i="23" s="1"/>
  <c r="S29" i="9"/>
  <c r="S29" i="23" s="1"/>
  <c r="S92" i="23" s="1"/>
  <c r="S26" i="9"/>
  <c r="S26" i="23" s="1"/>
  <c r="S89" i="23" s="1"/>
  <c r="S9" i="9"/>
  <c r="S9" i="23" s="1"/>
  <c r="S72" i="23" s="1"/>
  <c r="S6" i="9"/>
  <c r="S6" i="23" s="1"/>
  <c r="S69" i="23" s="1"/>
  <c r="S41" i="9"/>
  <c r="S41" i="23" s="1"/>
  <c r="S104" i="23" s="1"/>
  <c r="U60" i="23"/>
  <c r="U123" i="23" s="1"/>
  <c r="AB60" i="8"/>
  <c r="AB41" i="8"/>
  <c r="U41" i="23"/>
  <c r="U104" i="23" s="1"/>
  <c r="AB37" i="8"/>
  <c r="X37" i="23"/>
  <c r="X100" i="23" s="1"/>
  <c r="AB58" i="8"/>
  <c r="X58" i="23"/>
  <c r="X121" i="23" s="1"/>
  <c r="AB30" i="8"/>
  <c r="X30" i="23"/>
  <c r="X93" i="23" s="1"/>
  <c r="AB10" i="8"/>
  <c r="X10" i="23"/>
  <c r="X73" i="23" s="1"/>
  <c r="U45" i="23"/>
  <c r="U108" i="23" s="1"/>
  <c r="AB45" i="8"/>
  <c r="U50" i="23"/>
  <c r="U113" i="23" s="1"/>
  <c r="AB50" i="8"/>
  <c r="U53" i="23"/>
  <c r="U116" i="23" s="1"/>
  <c r="AB53" i="8"/>
  <c r="U14" i="23"/>
  <c r="U77" i="23" s="1"/>
  <c r="AB14" i="8"/>
  <c r="AB24" i="8"/>
  <c r="B15" i="25"/>
  <c r="B14" i="25"/>
  <c r="AB28" i="8"/>
  <c r="U28" i="23"/>
  <c r="U91" i="23" s="1"/>
  <c r="AB32" i="8"/>
  <c r="U32" i="23"/>
  <c r="U95" i="23" s="1"/>
  <c r="U59" i="23"/>
  <c r="U122" i="23" s="1"/>
  <c r="AB59" i="8"/>
  <c r="M14" i="25"/>
  <c r="M15" i="25"/>
  <c r="H9" i="25"/>
  <c r="H11" i="25"/>
  <c r="H7" i="25"/>
  <c r="H13" i="25" s="1"/>
  <c r="U21" i="23"/>
  <c r="U84" i="23" s="1"/>
  <c r="AB21" i="8"/>
  <c r="AB61" i="8"/>
  <c r="U61" i="23"/>
  <c r="U124" i="23" s="1"/>
  <c r="AB55" i="8"/>
  <c r="U55" i="23"/>
  <c r="U118" i="23" s="1"/>
  <c r="AB54" i="8"/>
  <c r="X54" i="23"/>
  <c r="X117" i="23" s="1"/>
  <c r="AB47" i="8"/>
  <c r="X47" i="23"/>
  <c r="X110" i="23" s="1"/>
  <c r="AB11" i="8"/>
  <c r="X11" i="23"/>
  <c r="X74" i="23" s="1"/>
  <c r="AB23" i="8"/>
  <c r="X23" i="23"/>
  <c r="X86" i="23" s="1"/>
  <c r="AB31" i="8"/>
  <c r="X31" i="23"/>
  <c r="X94" i="23" s="1"/>
  <c r="AB15" i="8"/>
  <c r="X15" i="23"/>
  <c r="X78" i="23" s="1"/>
  <c r="U35" i="23"/>
  <c r="U98" i="23" s="1"/>
  <c r="AB35" i="8"/>
  <c r="G14" i="25"/>
  <c r="G15" i="25"/>
  <c r="F14" i="25"/>
  <c r="F15" i="25"/>
  <c r="U8" i="23"/>
  <c r="U71" i="23" s="1"/>
  <c r="AB8" i="8"/>
  <c r="AB57" i="8"/>
  <c r="U46" i="23"/>
  <c r="U109" i="23" s="1"/>
  <c r="AB46" i="8"/>
  <c r="AB43" i="8"/>
  <c r="AB13" i="8"/>
  <c r="U13" i="23"/>
  <c r="U76" i="23" s="1"/>
  <c r="U38" i="23"/>
  <c r="U101" i="23" s="1"/>
  <c r="AB38" i="8"/>
  <c r="AB6" i="8"/>
  <c r="U6" i="23"/>
  <c r="U69" i="23" s="1"/>
  <c r="K9" i="25" s="1"/>
  <c r="T15" i="25"/>
  <c r="T14" i="25"/>
  <c r="AB17" i="8"/>
  <c r="U17" i="23"/>
  <c r="U80" i="23" s="1"/>
  <c r="AB27" i="8"/>
  <c r="U27" i="23"/>
  <c r="U90" i="23" s="1"/>
  <c r="AB9" i="8"/>
  <c r="X9" i="23"/>
  <c r="X72" i="23" s="1"/>
  <c r="N9" i="25" s="1"/>
  <c r="AB56" i="8"/>
  <c r="X56" i="23"/>
  <c r="X119" i="23" s="1"/>
  <c r="AB29" i="8"/>
  <c r="X29" i="23"/>
  <c r="X92" i="23" s="1"/>
  <c r="E15" i="25"/>
  <c r="E14" i="25"/>
  <c r="U26" i="23"/>
  <c r="U89" i="23" s="1"/>
  <c r="AB26" i="8"/>
  <c r="U36" i="23"/>
  <c r="U99" i="23" s="1"/>
  <c r="AB36" i="8"/>
  <c r="L15" i="25"/>
  <c r="L14" i="25"/>
  <c r="C7" i="25"/>
  <c r="C13" i="25" s="1"/>
  <c r="C11" i="25"/>
  <c r="C9" i="25"/>
  <c r="U22" i="23"/>
  <c r="U85" i="23" s="1"/>
  <c r="AB22" i="8"/>
  <c r="U39" i="23"/>
  <c r="U102" i="23" s="1"/>
  <c r="AB39" i="8"/>
  <c r="AB18" i="8"/>
  <c r="U18" i="23"/>
  <c r="U81" i="23" s="1"/>
  <c r="J15" i="25"/>
  <c r="J14" i="25"/>
  <c r="U16" i="23"/>
  <c r="U79" i="23" s="1"/>
  <c r="AB16" i="8"/>
  <c r="AB44" i="8"/>
  <c r="U44" i="23"/>
  <c r="U107" i="23" s="1"/>
  <c r="U40" i="23"/>
  <c r="U103" i="23" s="1"/>
  <c r="AB40" i="8"/>
  <c r="U25" i="23"/>
  <c r="U88" i="23" s="1"/>
  <c r="AB25" i="8"/>
  <c r="X34" i="23"/>
  <c r="X97" i="23" s="1"/>
  <c r="AB34" i="8"/>
  <c r="X5" i="23"/>
  <c r="X68" i="23" s="1"/>
  <c r="AB5" i="8"/>
  <c r="Y64" i="8"/>
  <c r="U51" i="23"/>
  <c r="U114" i="23" s="1"/>
  <c r="AB51" i="8"/>
  <c r="U52" i="23"/>
  <c r="U115" i="23" s="1"/>
  <c r="AB52" i="8"/>
  <c r="U15" i="25"/>
  <c r="U14" i="25"/>
  <c r="U33" i="23"/>
  <c r="U96" i="23" s="1"/>
  <c r="AB33" i="8"/>
  <c r="U20" i="23"/>
  <c r="U83" i="23" s="1"/>
  <c r="AB20" i="8"/>
  <c r="AB62" i="8"/>
  <c r="T30" i="24"/>
  <c r="T75" i="24" s="1"/>
  <c r="AA8" i="16"/>
  <c r="AG8" i="16" s="1"/>
  <c r="AA11" i="16"/>
  <c r="AG11" i="16" s="1"/>
  <c r="AA89" i="17"/>
  <c r="AA155" i="16"/>
  <c r="AG155" i="16" s="1"/>
  <c r="AA39" i="17"/>
  <c r="AM66" i="8"/>
  <c r="AA17" i="16"/>
  <c r="AG17" i="16" s="1"/>
  <c r="AA146" i="16"/>
  <c r="AG146" i="16" s="1"/>
  <c r="AA230" i="16"/>
  <c r="AG230" i="16" s="1"/>
  <c r="AA44" i="17"/>
  <c r="AA54" i="17"/>
  <c r="AA156" i="16"/>
  <c r="AG156" i="16" s="1"/>
  <c r="AA169" i="16"/>
  <c r="AA147" i="16"/>
  <c r="AG147" i="16" s="1"/>
  <c r="AA50" i="17"/>
  <c r="AA250" i="16"/>
  <c r="AG250" i="16" s="1"/>
  <c r="AA231" i="16"/>
  <c r="AG231" i="16" s="1"/>
  <c r="AA240" i="16"/>
  <c r="AG240" i="16" s="1"/>
  <c r="AA233" i="16"/>
  <c r="AG233" i="16" s="1"/>
  <c r="AA78" i="17"/>
  <c r="AA277" i="16"/>
  <c r="AG277" i="16" s="1"/>
  <c r="AM66" i="9"/>
  <c r="AA15" i="16"/>
  <c r="AG15" i="16" s="1"/>
  <c r="AA25" i="16"/>
  <c r="L25" i="21" s="1"/>
  <c r="O25" i="21" s="1"/>
  <c r="AA162" i="16"/>
  <c r="L162" i="21" s="1"/>
  <c r="O162" i="21" s="1"/>
  <c r="AA235" i="16"/>
  <c r="AG235" i="16" s="1"/>
  <c r="AA19" i="16"/>
  <c r="L19" i="21" s="1"/>
  <c r="O19" i="21" s="1"/>
  <c r="AA152" i="16"/>
  <c r="AG152" i="16" s="1"/>
  <c r="AA175" i="16"/>
  <c r="AG175" i="16" s="1"/>
  <c r="AA160" i="16"/>
  <c r="AG160" i="16" s="1"/>
  <c r="AA234" i="16"/>
  <c r="AG234" i="16" s="1"/>
  <c r="AA6" i="16"/>
  <c r="AG6" i="16" s="1"/>
  <c r="AA159" i="16"/>
  <c r="AG159" i="16" s="1"/>
  <c r="AA237" i="16"/>
  <c r="AG237" i="16" s="1"/>
  <c r="AA40" i="17"/>
  <c r="AA46" i="17"/>
  <c r="AA56" i="17"/>
  <c r="AA79" i="17"/>
  <c r="AA93" i="17"/>
  <c r="AA62" i="17"/>
  <c r="AA252" i="16"/>
  <c r="AG252" i="16" s="1"/>
  <c r="AA281" i="16"/>
  <c r="AG281" i="16" s="1"/>
  <c r="AM68" i="6"/>
  <c r="AA23" i="16"/>
  <c r="AG23" i="16" s="1"/>
  <c r="AA3" i="16"/>
  <c r="AG3" i="16" s="1"/>
  <c r="AA144" i="16"/>
  <c r="AG144" i="16" s="1"/>
  <c r="AA168" i="16"/>
  <c r="L168" i="21" s="1"/>
  <c r="O168" i="21" s="1"/>
  <c r="AA239" i="16"/>
  <c r="AG239" i="16" s="1"/>
  <c r="AA27" i="16"/>
  <c r="L27" i="21" s="1"/>
  <c r="O27" i="21" s="1"/>
  <c r="AA158" i="16"/>
  <c r="L158" i="21" s="1"/>
  <c r="O158" i="21" s="1"/>
  <c r="AA232" i="16"/>
  <c r="AG232" i="16" s="1"/>
  <c r="AA143" i="16"/>
  <c r="AG143" i="16" s="1"/>
  <c r="AA166" i="16"/>
  <c r="AG166" i="16" s="1"/>
  <c r="AA238" i="16"/>
  <c r="AG238" i="16" s="1"/>
  <c r="AA21" i="16"/>
  <c r="AG21" i="16" s="1"/>
  <c r="AA165" i="16"/>
  <c r="AG165" i="16" s="1"/>
  <c r="AA241" i="16"/>
  <c r="AG241" i="16" s="1"/>
  <c r="AA42" i="17"/>
  <c r="AA47" i="17"/>
  <c r="AA59" i="17"/>
  <c r="AA85" i="17"/>
  <c r="AA95" i="17"/>
  <c r="AA244" i="16"/>
  <c r="AG244" i="16" s="1"/>
  <c r="AA270" i="16"/>
  <c r="AG270" i="16" s="1"/>
  <c r="AA283" i="16"/>
  <c r="AG283" i="16" s="1"/>
  <c r="AA2" i="16"/>
  <c r="AG2" i="16" s="1"/>
  <c r="AA9" i="16"/>
  <c r="L9" i="21" s="1"/>
  <c r="O9" i="21" s="1"/>
  <c r="AA150" i="16"/>
  <c r="AG150" i="16" s="1"/>
  <c r="AA173" i="16"/>
  <c r="AG173" i="16" s="1"/>
  <c r="AA5" i="16"/>
  <c r="AG5" i="16" s="1"/>
  <c r="AA140" i="16"/>
  <c r="L140" i="21" s="1"/>
  <c r="O140" i="21" s="1"/>
  <c r="AA163" i="16"/>
  <c r="AG163" i="16" s="1"/>
  <c r="AA236" i="16"/>
  <c r="AG236" i="16" s="1"/>
  <c r="AA149" i="16"/>
  <c r="AG149" i="16" s="1"/>
  <c r="AA172" i="16"/>
  <c r="AG172" i="16" s="1"/>
  <c r="AA242" i="16"/>
  <c r="AG242" i="16" s="1"/>
  <c r="AA141" i="16"/>
  <c r="L141" i="21" s="1"/>
  <c r="O141" i="21" s="1"/>
  <c r="AA170" i="16"/>
  <c r="AG170" i="16" s="1"/>
  <c r="AA38" i="17"/>
  <c r="AA43" i="17"/>
  <c r="AA48" i="17"/>
  <c r="AA55" i="17"/>
  <c r="AA87" i="17"/>
  <c r="AA52" i="17"/>
  <c r="AA248" i="16"/>
  <c r="AG248" i="16" s="1"/>
  <c r="AA272" i="16"/>
  <c r="AG272" i="16" s="1"/>
  <c r="AA285" i="16"/>
  <c r="AG285" i="16" s="1"/>
  <c r="T5" i="24"/>
  <c r="T50" i="24" s="1"/>
  <c r="J9" i="26" s="1"/>
  <c r="AA13" i="16"/>
  <c r="AG13" i="16" s="1"/>
  <c r="AA153" i="16"/>
  <c r="AG153" i="16" s="1"/>
  <c r="AA176" i="16"/>
  <c r="AG176" i="16" s="1"/>
  <c r="AA41" i="17"/>
  <c r="AA45" i="17"/>
  <c r="AA49" i="17"/>
  <c r="AA60" i="17"/>
  <c r="AA80" i="17"/>
  <c r="AA91" i="17"/>
  <c r="AA61" i="17"/>
  <c r="AA246" i="16"/>
  <c r="AG246" i="16" s="1"/>
  <c r="AA254" i="16"/>
  <c r="AG254" i="16" s="1"/>
  <c r="AA279" i="16"/>
  <c r="AG279" i="16" s="1"/>
  <c r="AA287" i="16"/>
  <c r="AG287" i="16" s="1"/>
  <c r="X31" i="12"/>
  <c r="AA31" i="12" s="1"/>
  <c r="T31" i="24"/>
  <c r="T76" i="24" s="1"/>
  <c r="X22" i="12"/>
  <c r="AA22" i="12" s="1"/>
  <c r="T22" i="24"/>
  <c r="T67" i="24" s="1"/>
  <c r="X39" i="12"/>
  <c r="AA39" i="12" s="1"/>
  <c r="T39" i="24"/>
  <c r="T84" i="24" s="1"/>
  <c r="X40" i="12"/>
  <c r="AA40" i="12" s="1"/>
  <c r="T40" i="24"/>
  <c r="T85" i="24" s="1"/>
  <c r="X44" i="12"/>
  <c r="AA44" i="12" s="1"/>
  <c r="T44" i="24"/>
  <c r="T89" i="24" s="1"/>
  <c r="X17" i="12"/>
  <c r="AA17" i="12" s="1"/>
  <c r="T17" i="24"/>
  <c r="T62" i="24" s="1"/>
  <c r="X9" i="12"/>
  <c r="AA9" i="12" s="1"/>
  <c r="T9" i="24"/>
  <c r="T54" i="24" s="1"/>
  <c r="X20" i="12"/>
  <c r="AA20" i="12" s="1"/>
  <c r="T20" i="24"/>
  <c r="T65" i="24" s="1"/>
  <c r="X38" i="12"/>
  <c r="AA38" i="12" s="1"/>
  <c r="T38" i="24"/>
  <c r="T83" i="24" s="1"/>
  <c r="X19" i="12"/>
  <c r="AA19" i="12" s="1"/>
  <c r="T19" i="24"/>
  <c r="T64" i="24" s="1"/>
  <c r="X11" i="12"/>
  <c r="AA11" i="12" s="1"/>
  <c r="T11" i="24"/>
  <c r="T56" i="24" s="1"/>
  <c r="X10" i="12"/>
  <c r="AA10" i="12" s="1"/>
  <c r="T10" i="24"/>
  <c r="T55" i="24" s="1"/>
  <c r="X13" i="12"/>
  <c r="AA13" i="12" s="1"/>
  <c r="T13" i="24"/>
  <c r="T58" i="24" s="1"/>
  <c r="X23" i="12"/>
  <c r="AA23" i="12" s="1"/>
  <c r="T23" i="24"/>
  <c r="T68" i="24" s="1"/>
  <c r="X43" i="12"/>
  <c r="AA43" i="12" s="1"/>
  <c r="T43" i="24"/>
  <c r="T88" i="24" s="1"/>
  <c r="X37" i="12"/>
  <c r="AA37" i="12" s="1"/>
  <c r="T37" i="24"/>
  <c r="T82" i="24" s="1"/>
  <c r="X18" i="12"/>
  <c r="AA18" i="12" s="1"/>
  <c r="T18" i="24"/>
  <c r="T63" i="24" s="1"/>
  <c r="X16" i="12"/>
  <c r="AA16" i="12" s="1"/>
  <c r="T16" i="24"/>
  <c r="T61" i="24" s="1"/>
  <c r="X32" i="12"/>
  <c r="AA32" i="12" s="1"/>
  <c r="T32" i="24"/>
  <c r="T77" i="24" s="1"/>
  <c r="X15" i="12"/>
  <c r="AA15" i="12" s="1"/>
  <c r="T15" i="24"/>
  <c r="T60" i="24" s="1"/>
  <c r="X35" i="12"/>
  <c r="AA35" i="12" s="1"/>
  <c r="T35" i="24"/>
  <c r="T80" i="24" s="1"/>
  <c r="X29" i="12"/>
  <c r="AA29" i="12" s="1"/>
  <c r="T29" i="24"/>
  <c r="T74" i="24" s="1"/>
  <c r="X14" i="12"/>
  <c r="AA14" i="12" s="1"/>
  <c r="T14" i="24"/>
  <c r="T59" i="24" s="1"/>
  <c r="X8" i="12"/>
  <c r="AA8" i="12" s="1"/>
  <c r="T8" i="24"/>
  <c r="T53" i="24" s="1"/>
  <c r="X24" i="12"/>
  <c r="AA24" i="12" s="1"/>
  <c r="T24" i="24"/>
  <c r="T69" i="24" s="1"/>
  <c r="X21" i="12"/>
  <c r="AA21" i="12" s="1"/>
  <c r="T21" i="24"/>
  <c r="T66" i="24" s="1"/>
  <c r="X12" i="12"/>
  <c r="AA12" i="12" s="1"/>
  <c r="T12" i="24"/>
  <c r="T57" i="24" s="1"/>
  <c r="X41" i="12"/>
  <c r="AA41" i="12" s="1"/>
  <c r="T41" i="24"/>
  <c r="T86" i="24" s="1"/>
  <c r="X36" i="12"/>
  <c r="AA36" i="12" s="1"/>
  <c r="T36" i="24"/>
  <c r="T81" i="24" s="1"/>
  <c r="X25" i="12"/>
  <c r="AA25" i="12" s="1"/>
  <c r="T25" i="24"/>
  <c r="T70" i="24" s="1"/>
  <c r="X26" i="12"/>
  <c r="AA26" i="12" s="1"/>
  <c r="T26" i="24"/>
  <c r="T71" i="24" s="1"/>
  <c r="X33" i="12"/>
  <c r="AA33" i="12" s="1"/>
  <c r="T33" i="24"/>
  <c r="T78" i="24" s="1"/>
  <c r="X7" i="12"/>
  <c r="AA7" i="12" s="1"/>
  <c r="T7" i="24"/>
  <c r="T52" i="24" s="1"/>
  <c r="X42" i="12"/>
  <c r="AA42" i="12" s="1"/>
  <c r="T42" i="24"/>
  <c r="T87" i="24" s="1"/>
  <c r="X28" i="12"/>
  <c r="AA28" i="12" s="1"/>
  <c r="T28" i="24"/>
  <c r="T73" i="24" s="1"/>
  <c r="X27" i="12"/>
  <c r="AA27" i="12" s="1"/>
  <c r="T27" i="24"/>
  <c r="T72" i="24" s="1"/>
  <c r="AA86" i="17"/>
  <c r="AA90" i="17"/>
  <c r="AA94" i="17"/>
  <c r="AA57" i="17"/>
  <c r="AA58" i="17"/>
  <c r="AA245" i="16"/>
  <c r="AG245" i="16" s="1"/>
  <c r="AA249" i="16"/>
  <c r="AG249" i="16" s="1"/>
  <c r="AA253" i="16"/>
  <c r="AG253" i="16" s="1"/>
  <c r="AA271" i="16"/>
  <c r="AG271" i="16" s="1"/>
  <c r="AA278" i="16"/>
  <c r="AG278" i="16" s="1"/>
  <c r="AA282" i="16"/>
  <c r="AG282" i="16" s="1"/>
  <c r="AA286" i="16"/>
  <c r="AG286" i="16" s="1"/>
  <c r="AA63" i="17"/>
  <c r="AA84" i="17"/>
  <c r="AA88" i="17"/>
  <c r="AA92" i="17"/>
  <c r="AA51" i="17"/>
  <c r="AA53" i="17"/>
  <c r="AA243" i="16"/>
  <c r="AG243" i="16" s="1"/>
  <c r="AA247" i="16"/>
  <c r="AG247" i="16" s="1"/>
  <c r="AA251" i="16"/>
  <c r="AG251" i="16" s="1"/>
  <c r="AA255" i="16"/>
  <c r="AG255" i="16" s="1"/>
  <c r="AA276" i="16"/>
  <c r="AG276" i="16" s="1"/>
  <c r="AA280" i="16"/>
  <c r="AG280" i="16" s="1"/>
  <c r="AA284" i="16"/>
  <c r="AG284" i="16" s="1"/>
  <c r="L277" i="21"/>
  <c r="O277" i="21" s="1"/>
  <c r="L234" i="21"/>
  <c r="L278" i="21"/>
  <c r="L237" i="21"/>
  <c r="L231" i="21"/>
  <c r="O231" i="21" s="1"/>
  <c r="AG169" i="16"/>
  <c r="L169" i="21"/>
  <c r="O169" i="21" s="1"/>
  <c r="X5" i="12"/>
  <c r="W46" i="12"/>
  <c r="X5" i="13"/>
  <c r="W46" i="13"/>
  <c r="AA48" i="13"/>
  <c r="AA48" i="12"/>
  <c r="AA48" i="11"/>
  <c r="AA48" i="10"/>
  <c r="AG162" i="16" l="1"/>
  <c r="L8" i="21"/>
  <c r="O8" i="21" s="1"/>
  <c r="AG27" i="16"/>
  <c r="AG141" i="16"/>
  <c r="N15" i="25"/>
  <c r="N14" i="25"/>
  <c r="K15" i="25"/>
  <c r="K14" i="25"/>
  <c r="N7" i="25"/>
  <c r="N13" i="25" s="1"/>
  <c r="N11" i="25"/>
  <c r="K11" i="25"/>
  <c r="S5" i="23"/>
  <c r="S68" i="23" s="1"/>
  <c r="S64" i="9"/>
  <c r="K7" i="25"/>
  <c r="K13" i="25" s="1"/>
  <c r="T12" i="9"/>
  <c r="S12" i="23"/>
  <c r="S75" i="23" s="1"/>
  <c r="I9" i="25" s="1"/>
  <c r="AB64" i="8"/>
  <c r="C15" i="25"/>
  <c r="C14" i="25"/>
  <c r="H14" i="25"/>
  <c r="H15" i="25"/>
  <c r="L170" i="21"/>
  <c r="O170" i="21" s="1"/>
  <c r="L11" i="21"/>
  <c r="O11" i="21" s="1"/>
  <c r="L282" i="21"/>
  <c r="O282" i="21" s="1"/>
  <c r="L241" i="21"/>
  <c r="O241" i="21" s="1"/>
  <c r="L246" i="21"/>
  <c r="O246" i="21" s="1"/>
  <c r="L286" i="21"/>
  <c r="L254" i="21"/>
  <c r="AG168" i="16"/>
  <c r="L156" i="21"/>
  <c r="O156" i="21" s="1"/>
  <c r="AG25" i="16"/>
  <c r="L146" i="21"/>
  <c r="O146" i="21" s="1"/>
  <c r="L152" i="21"/>
  <c r="O152" i="21" s="1"/>
  <c r="L143" i="21"/>
  <c r="O143" i="21" s="1"/>
  <c r="L163" i="21"/>
  <c r="O163" i="21" s="1"/>
  <c r="L165" i="21"/>
  <c r="O165" i="21" s="1"/>
  <c r="L6" i="21"/>
  <c r="O6" i="21" s="1"/>
  <c r="L150" i="21"/>
  <c r="O150" i="21" s="1"/>
  <c r="L155" i="21"/>
  <c r="O155" i="21" s="1"/>
  <c r="L23" i="21"/>
  <c r="O23" i="21" s="1"/>
  <c r="L153" i="21"/>
  <c r="O153" i="21" s="1"/>
  <c r="L172" i="21"/>
  <c r="O172" i="21" s="1"/>
  <c r="L21" i="21"/>
  <c r="O21" i="21" s="1"/>
  <c r="L17" i="21"/>
  <c r="O17" i="21" s="1"/>
  <c r="O234" i="21"/>
  <c r="AG19" i="16"/>
  <c r="L15" i="21"/>
  <c r="O15" i="21" s="1"/>
  <c r="AG140" i="16"/>
  <c r="AG9" i="16"/>
  <c r="L13" i="21"/>
  <c r="O13" i="21" s="1"/>
  <c r="J11" i="26"/>
  <c r="L11" i="26" s="1"/>
  <c r="L5" i="21"/>
  <c r="O5" i="21" s="1"/>
  <c r="AG158" i="16"/>
  <c r="L144" i="21"/>
  <c r="O144" i="21" s="1"/>
  <c r="L149" i="21"/>
  <c r="O149" i="21" s="1"/>
  <c r="L160" i="21"/>
  <c r="O160" i="21" s="1"/>
  <c r="L2" i="21"/>
  <c r="O2" i="21" s="1"/>
  <c r="O237" i="21"/>
  <c r="L147" i="21"/>
  <c r="O147" i="21" s="1"/>
  <c r="O254" i="21"/>
  <c r="L175" i="21"/>
  <c r="O175" i="21" s="1"/>
  <c r="L166" i="21"/>
  <c r="O166" i="21" s="1"/>
  <c r="L239" i="21"/>
  <c r="O239" i="21" s="1"/>
  <c r="L232" i="21"/>
  <c r="O232" i="21" s="1"/>
  <c r="L280" i="21"/>
  <c r="O280" i="21" s="1"/>
  <c r="L238" i="21"/>
  <c r="O238" i="21" s="1"/>
  <c r="L270" i="21"/>
  <c r="O270" i="21" s="1"/>
  <c r="L245" i="21"/>
  <c r="O245" i="21" s="1"/>
  <c r="L3" i="21"/>
  <c r="O3" i="21" s="1"/>
  <c r="L159" i="21"/>
  <c r="O159" i="21" s="1"/>
  <c r="L173" i="21"/>
  <c r="O173" i="21" s="1"/>
  <c r="L176" i="21"/>
  <c r="O176" i="21" s="1"/>
  <c r="L283" i="21"/>
  <c r="O283" i="21" s="1"/>
  <c r="L235" i="21"/>
  <c r="O235" i="21" s="1"/>
  <c r="L248" i="21"/>
  <c r="O248" i="21" s="1"/>
  <c r="L281" i="21"/>
  <c r="O281" i="21" s="1"/>
  <c r="L276" i="21"/>
  <c r="O276" i="21" s="1"/>
  <c r="L233" i="21"/>
  <c r="O233" i="21" s="1"/>
  <c r="L252" i="21"/>
  <c r="O252" i="21" s="1"/>
  <c r="L243" i="21"/>
  <c r="O243" i="21" s="1"/>
  <c r="L236" i="21"/>
  <c r="O236" i="21" s="1"/>
  <c r="L255" i="21"/>
  <c r="O255" i="21" s="1"/>
  <c r="L287" i="21"/>
  <c r="O287" i="21" s="1"/>
  <c r="L242" i="21"/>
  <c r="O242" i="21" s="1"/>
  <c r="L272" i="21"/>
  <c r="O272" i="21" s="1"/>
  <c r="L249" i="21"/>
  <c r="O249" i="21" s="1"/>
  <c r="L285" i="21"/>
  <c r="O285" i="21" s="1"/>
  <c r="L251" i="21"/>
  <c r="O251" i="21" s="1"/>
  <c r="L244" i="21"/>
  <c r="O244" i="21" s="1"/>
  <c r="L284" i="21"/>
  <c r="O284" i="21" s="1"/>
  <c r="L250" i="21"/>
  <c r="O250" i="21" s="1"/>
  <c r="L240" i="21"/>
  <c r="O240" i="21" s="1"/>
  <c r="L271" i="21"/>
  <c r="O271" i="21" s="1"/>
  <c r="L230" i="21"/>
  <c r="O230" i="21" s="1"/>
  <c r="L247" i="21"/>
  <c r="O247" i="21" s="1"/>
  <c r="L279" i="21"/>
  <c r="O279" i="21" s="1"/>
  <c r="L253" i="21"/>
  <c r="O253" i="21" s="1"/>
  <c r="O286" i="21"/>
  <c r="J7" i="26"/>
  <c r="J13" i="26" s="1"/>
  <c r="AA1326" i="16"/>
  <c r="AG1326" i="16" s="1"/>
  <c r="AA1260" i="16"/>
  <c r="AG1260" i="16" s="1"/>
  <c r="AA1244" i="16"/>
  <c r="AG1244" i="16" s="1"/>
  <c r="AA1180" i="16"/>
  <c r="AG1180" i="16" s="1"/>
  <c r="AA577" i="16"/>
  <c r="AG577" i="16" s="1"/>
  <c r="AA573" i="16"/>
  <c r="AG573" i="16" s="1"/>
  <c r="AA569" i="16"/>
  <c r="AG569" i="16" s="1"/>
  <c r="AA509" i="17"/>
  <c r="AA1339" i="16"/>
  <c r="AG1339" i="16" s="1"/>
  <c r="AA1323" i="16"/>
  <c r="AG1323" i="16" s="1"/>
  <c r="AA1257" i="16"/>
  <c r="AG1257" i="16" s="1"/>
  <c r="AA1241" i="16"/>
  <c r="AG1241" i="16" s="1"/>
  <c r="AA1177" i="16"/>
  <c r="AG1177" i="16" s="1"/>
  <c r="AA504" i="17"/>
  <c r="AA1324" i="16"/>
  <c r="AG1324" i="16" s="1"/>
  <c r="AA1243" i="16"/>
  <c r="AG1243" i="16" s="1"/>
  <c r="AA507" i="17"/>
  <c r="AA436" i="17"/>
  <c r="AA372" i="17"/>
  <c r="AA356" i="17"/>
  <c r="AA1263" i="16"/>
  <c r="AG1263" i="16" s="1"/>
  <c r="AA503" i="17"/>
  <c r="AA370" i="17"/>
  <c r="AA1325" i="16"/>
  <c r="AG1325" i="16" s="1"/>
  <c r="AA1246" i="16"/>
  <c r="AG1246" i="16" s="1"/>
  <c r="AA506" i="17"/>
  <c r="AA435" i="17"/>
  <c r="AA371" i="17"/>
  <c r="AA227" i="17"/>
  <c r="AA1255" i="16"/>
  <c r="AG1255" i="16" s="1"/>
  <c r="AA438" i="17"/>
  <c r="AA1258" i="16"/>
  <c r="AG1258" i="16" s="1"/>
  <c r="AA1250" i="16"/>
  <c r="AG1250" i="16" s="1"/>
  <c r="AA1334" i="16"/>
  <c r="AG1334" i="16" s="1"/>
  <c r="AA1318" i="16"/>
  <c r="AG1318" i="16" s="1"/>
  <c r="AA1252" i="16"/>
  <c r="AG1252" i="16" s="1"/>
  <c r="AA1188" i="16"/>
  <c r="AG1188" i="16" s="1"/>
  <c r="AA579" i="16"/>
  <c r="AG579" i="16" s="1"/>
  <c r="AA575" i="16"/>
  <c r="AG575" i="16" s="1"/>
  <c r="AA571" i="16"/>
  <c r="AG571" i="16" s="1"/>
  <c r="AA517" i="17"/>
  <c r="AA501" i="17"/>
  <c r="AA1331" i="16"/>
  <c r="AG1331" i="16" s="1"/>
  <c r="AA1315" i="16"/>
  <c r="AG1315" i="16" s="1"/>
  <c r="AA1249" i="16"/>
  <c r="AG1249" i="16" s="1"/>
  <c r="AA1185" i="16"/>
  <c r="AG1185" i="16" s="1"/>
  <c r="AA512" i="17"/>
  <c r="AA496" i="17"/>
  <c r="AA1259" i="16"/>
  <c r="AG1259" i="16" s="1"/>
  <c r="AA1179" i="16"/>
  <c r="AG1179" i="16" s="1"/>
  <c r="AA444" i="17"/>
  <c r="AA428" i="17"/>
  <c r="AA364" i="17"/>
  <c r="AA1336" i="16"/>
  <c r="AG1336" i="16" s="1"/>
  <c r="AA1183" i="16"/>
  <c r="AG1183" i="16" s="1"/>
  <c r="AA434" i="17"/>
  <c r="AA358" i="17"/>
  <c r="AA1262" i="16"/>
  <c r="AG1262" i="16" s="1"/>
  <c r="AA1182" i="16"/>
  <c r="AG1182" i="16" s="1"/>
  <c r="AA443" i="17"/>
  <c r="AA427" i="17"/>
  <c r="AA363" i="17"/>
  <c r="AA222" i="17"/>
  <c r="AA519" i="17"/>
  <c r="AA422" i="17"/>
  <c r="AA357" i="17"/>
  <c r="AA441" i="17"/>
  <c r="AA1264" i="16"/>
  <c r="AG1264" i="16" s="1"/>
  <c r="AA1184" i="16"/>
  <c r="AG1184" i="16" s="1"/>
  <c r="AA574" i="16"/>
  <c r="AG574" i="16" s="1"/>
  <c r="AA513" i="17"/>
  <c r="AA1327" i="16"/>
  <c r="AG1327" i="16" s="1"/>
  <c r="AA1245" i="16"/>
  <c r="AG1245" i="16" s="1"/>
  <c r="AA508" i="17"/>
  <c r="AA1251" i="16"/>
  <c r="AG1251" i="16" s="1"/>
  <c r="AA440" i="17"/>
  <c r="AA360" i="17"/>
  <c r="AA511" i="17"/>
  <c r="AA1333" i="16"/>
  <c r="AG1333" i="16" s="1"/>
  <c r="AA514" i="17"/>
  <c r="AA423" i="17"/>
  <c r="AA1328" i="16"/>
  <c r="AG1328" i="16" s="1"/>
  <c r="AA362" i="17"/>
  <c r="AA425" i="17"/>
  <c r="AA1186" i="16"/>
  <c r="AG1186" i="16" s="1"/>
  <c r="AA365" i="17"/>
  <c r="AA502" i="17"/>
  <c r="AA221" i="17"/>
  <c r="AA217" i="17"/>
  <c r="AA1338" i="16"/>
  <c r="AG1338" i="16" s="1"/>
  <c r="AA1256" i="16"/>
  <c r="AG1256" i="16" s="1"/>
  <c r="AA1176" i="16"/>
  <c r="AG1176" i="16" s="1"/>
  <c r="AA572" i="16"/>
  <c r="AG572" i="16" s="1"/>
  <c r="AA505" i="17"/>
  <c r="AA1319" i="16"/>
  <c r="AG1319" i="16" s="1"/>
  <c r="AA1189" i="16"/>
  <c r="AG1189" i="16" s="1"/>
  <c r="AA500" i="17"/>
  <c r="AA1187" i="16"/>
  <c r="AG1187" i="16" s="1"/>
  <c r="AA432" i="17"/>
  <c r="AA224" i="17"/>
  <c r="AA442" i="17"/>
  <c r="AA1317" i="16"/>
  <c r="AG1317" i="16" s="1"/>
  <c r="AA498" i="17"/>
  <c r="AA367" i="17"/>
  <c r="AA1191" i="16"/>
  <c r="AG1191" i="16" s="1"/>
  <c r="AA429" i="17"/>
  <c r="AA369" i="17"/>
  <c r="AA510" i="17"/>
  <c r="AA226" i="17"/>
  <c r="AA433" i="17"/>
  <c r="AA220" i="17"/>
  <c r="AA216" i="17"/>
  <c r="AA1330" i="16"/>
  <c r="AG1330" i="16" s="1"/>
  <c r="AA1248" i="16"/>
  <c r="AG1248" i="16" s="1"/>
  <c r="AA578" i="16"/>
  <c r="AG578" i="16" s="1"/>
  <c r="AA570" i="16"/>
  <c r="AG570" i="16" s="1"/>
  <c r="AA497" i="17"/>
  <c r="AA1261" i="16"/>
  <c r="AG1261" i="16" s="1"/>
  <c r="AA1181" i="16"/>
  <c r="AG1181" i="16" s="1"/>
  <c r="AA1332" i="16"/>
  <c r="AG1332" i="16" s="1"/>
  <c r="AA515" i="17"/>
  <c r="AA424" i="17"/>
  <c r="AA1320" i="16"/>
  <c r="AG1320" i="16" s="1"/>
  <c r="AA430" i="17"/>
  <c r="AA1254" i="16"/>
  <c r="AG1254" i="16" s="1"/>
  <c r="AA439" i="17"/>
  <c r="AA359" i="17"/>
  <c r="AA495" i="17"/>
  <c r="AA1337" i="16"/>
  <c r="AG1337" i="16" s="1"/>
  <c r="AA1329" i="16"/>
  <c r="AG1329" i="16" s="1"/>
  <c r="AA437" i="17"/>
  <c r="AA1321" i="16"/>
  <c r="AG1321" i="16" s="1"/>
  <c r="AA361" i="17"/>
  <c r="AA219" i="17"/>
  <c r="AA1322" i="16"/>
  <c r="AG1322" i="16" s="1"/>
  <c r="AA1335" i="16"/>
  <c r="AG1335" i="16" s="1"/>
  <c r="AA499" i="17"/>
  <c r="AA1190" i="16"/>
  <c r="AG1190" i="16" s="1"/>
  <c r="AA518" i="17"/>
  <c r="AA225" i="17"/>
  <c r="AA1192" i="16"/>
  <c r="AG1192" i="16" s="1"/>
  <c r="AA1253" i="16"/>
  <c r="AG1253" i="16" s="1"/>
  <c r="AA368" i="17"/>
  <c r="AA431" i="17"/>
  <c r="AA1242" i="16"/>
  <c r="AG1242" i="16" s="1"/>
  <c r="AA218" i="17"/>
  <c r="AA576" i="16"/>
  <c r="AG576" i="16" s="1"/>
  <c r="AA516" i="17"/>
  <c r="AA1247" i="16"/>
  <c r="AG1247" i="16" s="1"/>
  <c r="AA223" i="17"/>
  <c r="AA421" i="17"/>
  <c r="AA426" i="17"/>
  <c r="AA568" i="16"/>
  <c r="AG568" i="16" s="1"/>
  <c r="AA1178" i="16"/>
  <c r="AG1178" i="16" s="1"/>
  <c r="AA1316" i="16"/>
  <c r="AG1316" i="16" s="1"/>
  <c r="AA1095" i="16"/>
  <c r="AA1047" i="16"/>
  <c r="AA974" i="16"/>
  <c r="AA952" i="16"/>
  <c r="AA931" i="16"/>
  <c r="AA766" i="16"/>
  <c r="AA750" i="16"/>
  <c r="AA734" i="16"/>
  <c r="AA553" i="16"/>
  <c r="AA537" i="16"/>
  <c r="AA453" i="16"/>
  <c r="AA437" i="16"/>
  <c r="AA1096" i="16"/>
  <c r="AA1048" i="16"/>
  <c r="AA1032" i="16"/>
  <c r="AA954" i="16"/>
  <c r="AA932" i="16"/>
  <c r="AA767" i="16"/>
  <c r="AA751" i="16"/>
  <c r="AA735" i="16"/>
  <c r="AA546" i="16"/>
  <c r="AA506" i="16"/>
  <c r="AA442" i="16"/>
  <c r="AA426" i="16"/>
  <c r="AA1098" i="16"/>
  <c r="AA1050" i="16"/>
  <c r="AA1034" i="16"/>
  <c r="AA956" i="16"/>
  <c r="AA935" i="16"/>
  <c r="AA765" i="16"/>
  <c r="AA749" i="16"/>
  <c r="AA733" i="16"/>
  <c r="AA544" i="16"/>
  <c r="AA508" i="16"/>
  <c r="AA444" i="16"/>
  <c r="AA428" i="16"/>
  <c r="AA1105" i="16"/>
  <c r="AA1057" i="16"/>
  <c r="AA1041" i="16"/>
  <c r="AA966" i="16"/>
  <c r="AA944" i="16"/>
  <c r="AA800" i="16"/>
  <c r="AA760" i="16"/>
  <c r="AA744" i="16"/>
  <c r="AA728" i="16"/>
  <c r="AA547" i="16"/>
  <c r="AA511" i="16"/>
  <c r="AA447" i="16"/>
  <c r="AA431" i="16"/>
  <c r="AA1107" i="16"/>
  <c r="AA1059" i="16"/>
  <c r="AA1043" i="16"/>
  <c r="AA968" i="16"/>
  <c r="AA947" i="16"/>
  <c r="AA802" i="16"/>
  <c r="AA762" i="16"/>
  <c r="AA746" i="16"/>
  <c r="AA730" i="16"/>
  <c r="AA549" i="16"/>
  <c r="AA513" i="16"/>
  <c r="AA449" i="16"/>
  <c r="AA433" i="16"/>
  <c r="AA1092" i="16"/>
  <c r="AA1044" i="16"/>
  <c r="AA970" i="16"/>
  <c r="AA948" i="16"/>
  <c r="AA803" i="16"/>
  <c r="AA763" i="16"/>
  <c r="AA747" i="16"/>
  <c r="AA731" i="16"/>
  <c r="AA542" i="16"/>
  <c r="AA502" i="16"/>
  <c r="AA438" i="16"/>
  <c r="AA1094" i="16"/>
  <c r="AA1046" i="16"/>
  <c r="AA973" i="16"/>
  <c r="AA951" i="16"/>
  <c r="AA801" i="16"/>
  <c r="AA761" i="16"/>
  <c r="AA745" i="16"/>
  <c r="AA729" i="16"/>
  <c r="AA540" i="16"/>
  <c r="AA504" i="16"/>
  <c r="AA440" i="16"/>
  <c r="AA1101" i="16"/>
  <c r="AA1053" i="16"/>
  <c r="AA1037" i="16"/>
  <c r="AA960" i="16"/>
  <c r="AA939" i="16"/>
  <c r="AA796" i="16"/>
  <c r="AA756" i="16"/>
  <c r="AA740" i="16"/>
  <c r="AA543" i="16"/>
  <c r="AA507" i="16"/>
  <c r="AA443" i="16"/>
  <c r="AA427" i="16"/>
  <c r="AA1103" i="16"/>
  <c r="AA1055" i="16"/>
  <c r="AA1039" i="16"/>
  <c r="AA963" i="16"/>
  <c r="AA942" i="16"/>
  <c r="AA798" i="16"/>
  <c r="AA758" i="16"/>
  <c r="AA742" i="16"/>
  <c r="AA726" i="16"/>
  <c r="AA545" i="16"/>
  <c r="AA509" i="16"/>
  <c r="AA445" i="16"/>
  <c r="AA429" i="16"/>
  <c r="AA1104" i="16"/>
  <c r="AA1056" i="16"/>
  <c r="AA1040" i="16"/>
  <c r="AA964" i="16"/>
  <c r="AA943" i="16"/>
  <c r="AA799" i="16"/>
  <c r="AA759" i="16"/>
  <c r="AA743" i="16"/>
  <c r="AA727" i="16"/>
  <c r="AA554" i="16"/>
  <c r="AA538" i="16"/>
  <c r="AA450" i="16"/>
  <c r="AA434" i="16"/>
  <c r="AA1106" i="16"/>
  <c r="AA1058" i="16"/>
  <c r="AA1042" i="16"/>
  <c r="AA967" i="16"/>
  <c r="AA946" i="16"/>
  <c r="AA797" i="16"/>
  <c r="AA757" i="16"/>
  <c r="AA741" i="16"/>
  <c r="AA725" i="16"/>
  <c r="AA552" i="16"/>
  <c r="AA536" i="16"/>
  <c r="AA452" i="16"/>
  <c r="AA436" i="16"/>
  <c r="AA1097" i="16"/>
  <c r="AA1049" i="16"/>
  <c r="AA1033" i="16"/>
  <c r="AA955" i="16"/>
  <c r="AA934" i="16"/>
  <c r="AA768" i="16"/>
  <c r="AA752" i="16"/>
  <c r="AA736" i="16"/>
  <c r="AA555" i="16"/>
  <c r="AA539" i="16"/>
  <c r="AA503" i="16"/>
  <c r="AA439" i="16"/>
  <c r="AA1035" i="16"/>
  <c r="AA754" i="16"/>
  <c r="AA505" i="16"/>
  <c r="AA959" i="16"/>
  <c r="AA739" i="16"/>
  <c r="AA446" i="16"/>
  <c r="AA1102" i="16"/>
  <c r="AA940" i="16"/>
  <c r="AA432" i="16"/>
  <c r="AA1093" i="16"/>
  <c r="AA804" i="16"/>
  <c r="AA551" i="16"/>
  <c r="AA794" i="16"/>
  <c r="AA1036" i="16"/>
  <c r="AA962" i="16"/>
  <c r="AA448" i="16"/>
  <c r="AA732" i="16"/>
  <c r="AA958" i="16"/>
  <c r="AA738" i="16"/>
  <c r="AA441" i="16"/>
  <c r="AA1100" i="16"/>
  <c r="AA938" i="16"/>
  <c r="AA430" i="16"/>
  <c r="AA1054" i="16"/>
  <c r="AA793" i="16"/>
  <c r="AA548" i="16"/>
  <c r="AA1045" i="16"/>
  <c r="AA764" i="16"/>
  <c r="AA535" i="16"/>
  <c r="AA510" i="16"/>
  <c r="AA737" i="16"/>
  <c r="AA950" i="16"/>
  <c r="AA435" i="16"/>
  <c r="AA1099" i="16"/>
  <c r="AA936" i="16"/>
  <c r="AA425" i="16"/>
  <c r="AA1052" i="16"/>
  <c r="AA795" i="16"/>
  <c r="AA550" i="16"/>
  <c r="AA1038" i="16"/>
  <c r="AA753" i="16"/>
  <c r="AA512" i="16"/>
  <c r="AA971" i="16"/>
  <c r="AA748" i="16"/>
  <c r="AA451" i="16"/>
  <c r="AA366" i="17"/>
  <c r="AA1051" i="16"/>
  <c r="AA541" i="16"/>
  <c r="AA755" i="16"/>
  <c r="AA666" i="17"/>
  <c r="AA662" i="17"/>
  <c r="AA658" i="17"/>
  <c r="AA654" i="17"/>
  <c r="AA650" i="17"/>
  <c r="AA646" i="17"/>
  <c r="AA642" i="17"/>
  <c r="AA638" i="17"/>
  <c r="AA634" i="17"/>
  <c r="AA630" i="17"/>
  <c r="AA626" i="17"/>
  <c r="AA622" i="17"/>
  <c r="AA618" i="17"/>
  <c r="AA614" i="17"/>
  <c r="AA610" i="17"/>
  <c r="AA606" i="17"/>
  <c r="AA602" i="17"/>
  <c r="AA598" i="17"/>
  <c r="AA594" i="17"/>
  <c r="AA590" i="17"/>
  <c r="AA1597" i="16"/>
  <c r="AG1597" i="16" s="1"/>
  <c r="AA1581" i="16"/>
  <c r="AG1581" i="16" s="1"/>
  <c r="AA1565" i="16"/>
  <c r="AG1565" i="16" s="1"/>
  <c r="AA1549" i="16"/>
  <c r="AG1549" i="16" s="1"/>
  <c r="AA1611" i="16"/>
  <c r="AG1611" i="16" s="1"/>
  <c r="AA1595" i="16"/>
  <c r="AG1595" i="16" s="1"/>
  <c r="AA1579" i="16"/>
  <c r="AG1579" i="16" s="1"/>
  <c r="AA1563" i="16"/>
  <c r="AG1563" i="16" s="1"/>
  <c r="AA1547" i="16"/>
  <c r="AG1547" i="16" s="1"/>
  <c r="AA1596" i="16"/>
  <c r="AG1596" i="16" s="1"/>
  <c r="AA1564" i="16"/>
  <c r="AG1564" i="16" s="1"/>
  <c r="AA1535" i="16"/>
  <c r="AG1535" i="16" s="1"/>
  <c r="AA1550" i="16"/>
  <c r="AG1550" i="16" s="1"/>
  <c r="AA1594" i="16"/>
  <c r="AG1594" i="16" s="1"/>
  <c r="AA1562" i="16"/>
  <c r="AG1562" i="16" s="1"/>
  <c r="AA1534" i="16"/>
  <c r="AG1534" i="16" s="1"/>
  <c r="AA1558" i="16"/>
  <c r="AG1558" i="16" s="1"/>
  <c r="AA1592" i="16"/>
  <c r="AG1592" i="16" s="1"/>
  <c r="AA1560" i="16"/>
  <c r="AG1560" i="16" s="1"/>
  <c r="AA665" i="17"/>
  <c r="AA661" i="17"/>
  <c r="AA657" i="17"/>
  <c r="AA653" i="17"/>
  <c r="AA649" i="17"/>
  <c r="AA645" i="17"/>
  <c r="AA641" i="17"/>
  <c r="AA637" i="17"/>
  <c r="AA633" i="17"/>
  <c r="AA629" i="17"/>
  <c r="AA625" i="17"/>
  <c r="AA621" i="17"/>
  <c r="AA617" i="17"/>
  <c r="AA613" i="17"/>
  <c r="AA609" i="17"/>
  <c r="AA605" i="17"/>
  <c r="AA601" i="17"/>
  <c r="AA597" i="17"/>
  <c r="AA593" i="17"/>
  <c r="AA1609" i="16"/>
  <c r="AG1609" i="16" s="1"/>
  <c r="AA1593" i="16"/>
  <c r="AG1593" i="16" s="1"/>
  <c r="AA1577" i="16"/>
  <c r="AG1577" i="16" s="1"/>
  <c r="AA1561" i="16"/>
  <c r="AG1561" i="16" s="1"/>
  <c r="AA1545" i="16"/>
  <c r="AG1545" i="16" s="1"/>
  <c r="AA1607" i="16"/>
  <c r="AG1607" i="16" s="1"/>
  <c r="AA1591" i="16"/>
  <c r="AG1591" i="16" s="1"/>
  <c r="AA1575" i="16"/>
  <c r="AG1575" i="16" s="1"/>
  <c r="AA1559" i="16"/>
  <c r="AG1559" i="16" s="1"/>
  <c r="AA1543" i="16"/>
  <c r="AG1543" i="16" s="1"/>
  <c r="AA1588" i="16"/>
  <c r="AG1588" i="16" s="1"/>
  <c r="AA1556" i="16"/>
  <c r="AG1556" i="16" s="1"/>
  <c r="AA1606" i="16"/>
  <c r="AG1606" i="16" s="1"/>
  <c r="AA1536" i="16"/>
  <c r="AG1536" i="16" s="1"/>
  <c r="AA1586" i="16"/>
  <c r="AG1586" i="16" s="1"/>
  <c r="AA1554" i="16"/>
  <c r="AG1554" i="16" s="1"/>
  <c r="AA1598" i="16"/>
  <c r="AG1598" i="16" s="1"/>
  <c r="AA1542" i="16"/>
  <c r="AG1542" i="16" s="1"/>
  <c r="AA1584" i="16"/>
  <c r="AG1584" i="16" s="1"/>
  <c r="AA1552" i="16"/>
  <c r="AG1552" i="16" s="1"/>
  <c r="AA668" i="17"/>
  <c r="AA664" i="17"/>
  <c r="AA660" i="17"/>
  <c r="AA656" i="17"/>
  <c r="AA652" i="17"/>
  <c r="AA648" i="17"/>
  <c r="AA644" i="17"/>
  <c r="AA640" i="17"/>
  <c r="AA636" i="17"/>
  <c r="AA632" i="17"/>
  <c r="AA628" i="17"/>
  <c r="AA624" i="17"/>
  <c r="AA620" i="17"/>
  <c r="AA616" i="17"/>
  <c r="AA612" i="17"/>
  <c r="AA608" i="17"/>
  <c r="AA604" i="17"/>
  <c r="AA600" i="17"/>
  <c r="AA596" i="17"/>
  <c r="AA592" i="17"/>
  <c r="AA1605" i="16"/>
  <c r="AG1605" i="16" s="1"/>
  <c r="AA1589" i="16"/>
  <c r="AG1589" i="16" s="1"/>
  <c r="AA1573" i="16"/>
  <c r="AG1573" i="16" s="1"/>
  <c r="AA1557" i="16"/>
  <c r="AG1557" i="16" s="1"/>
  <c r="AA1541" i="16"/>
  <c r="AG1541" i="16" s="1"/>
  <c r="AA1603" i="16"/>
  <c r="AG1603" i="16" s="1"/>
  <c r="AA1587" i="16"/>
  <c r="AG1587" i="16" s="1"/>
  <c r="AA1571" i="16"/>
  <c r="AG1571" i="16" s="1"/>
  <c r="AA1555" i="16"/>
  <c r="AG1555" i="16" s="1"/>
  <c r="AA1612" i="16"/>
  <c r="AG1612" i="16" s="1"/>
  <c r="AA1580" i="16"/>
  <c r="AG1580" i="16" s="1"/>
  <c r="AA1548" i="16"/>
  <c r="AG1548" i="16" s="1"/>
  <c r="AA1582" i="16"/>
  <c r="AG1582" i="16" s="1"/>
  <c r="AA1610" i="16"/>
  <c r="AG1610" i="16" s="1"/>
  <c r="AA1578" i="16"/>
  <c r="AG1578" i="16" s="1"/>
  <c r="AA1546" i="16"/>
  <c r="AG1546" i="16" s="1"/>
  <c r="AA1590" i="16"/>
  <c r="AG1590" i="16" s="1"/>
  <c r="AA1608" i="16"/>
  <c r="AG1608" i="16" s="1"/>
  <c r="AA1576" i="16"/>
  <c r="AG1576" i="16" s="1"/>
  <c r="AA1544" i="16"/>
  <c r="AG1544" i="16" s="1"/>
  <c r="AA659" i="17"/>
  <c r="AA643" i="17"/>
  <c r="AA627" i="17"/>
  <c r="AA611" i="17"/>
  <c r="AA595" i="17"/>
  <c r="AA1569" i="16"/>
  <c r="AG1569" i="16" s="1"/>
  <c r="AA1583" i="16"/>
  <c r="AG1583" i="16" s="1"/>
  <c r="AA1572" i="16"/>
  <c r="AG1572" i="16" s="1"/>
  <c r="AA1570" i="16"/>
  <c r="AG1570" i="16" s="1"/>
  <c r="AA1568" i="16"/>
  <c r="AG1568" i="16" s="1"/>
  <c r="AA663" i="17"/>
  <c r="AA599" i="17"/>
  <c r="AA1604" i="16"/>
  <c r="AG1604" i="16" s="1"/>
  <c r="AA655" i="17"/>
  <c r="AA639" i="17"/>
  <c r="AA623" i="17"/>
  <c r="AA607" i="17"/>
  <c r="AA591" i="17"/>
  <c r="AA1553" i="16"/>
  <c r="AG1553" i="16" s="1"/>
  <c r="AA1567" i="16"/>
  <c r="AG1567" i="16" s="1"/>
  <c r="AA1540" i="16"/>
  <c r="AG1540" i="16" s="1"/>
  <c r="AA1539" i="16"/>
  <c r="AG1539" i="16" s="1"/>
  <c r="AA1538" i="16"/>
  <c r="AG1538" i="16" s="1"/>
  <c r="AA647" i="17"/>
  <c r="AA615" i="17"/>
  <c r="AA1585" i="16"/>
  <c r="AG1585" i="16" s="1"/>
  <c r="AA1602" i="16"/>
  <c r="AG1602" i="16" s="1"/>
  <c r="AA667" i="17"/>
  <c r="AA651" i="17"/>
  <c r="AA635" i="17"/>
  <c r="AA619" i="17"/>
  <c r="AA603" i="17"/>
  <c r="AA1601" i="16"/>
  <c r="AG1601" i="16" s="1"/>
  <c r="AA1537" i="16"/>
  <c r="AG1537" i="16" s="1"/>
  <c r="AA1551" i="16"/>
  <c r="AG1551" i="16" s="1"/>
  <c r="AA1566" i="16"/>
  <c r="AG1566" i="16" s="1"/>
  <c r="AA1574" i="16"/>
  <c r="AG1574" i="16" s="1"/>
  <c r="AA631" i="17"/>
  <c r="AA1599" i="16"/>
  <c r="AG1599" i="16" s="1"/>
  <c r="AA1600" i="16"/>
  <c r="AG1600" i="16" s="1"/>
  <c r="AA1359" i="16"/>
  <c r="AA1343" i="16"/>
  <c r="AA1352" i="16"/>
  <c r="AA1366" i="16"/>
  <c r="AA1350" i="16"/>
  <c r="AA1361" i="16"/>
  <c r="AA1345" i="16"/>
  <c r="AA1355" i="16"/>
  <c r="AA1364" i="16"/>
  <c r="AA1348" i="16"/>
  <c r="AA1362" i="16"/>
  <c r="AA1346" i="16"/>
  <c r="AA1357" i="16"/>
  <c r="AA1341" i="16"/>
  <c r="AA1367" i="16"/>
  <c r="AA1351" i="16"/>
  <c r="AA1360" i="16"/>
  <c r="AA1344" i="16"/>
  <c r="AA1358" i="16"/>
  <c r="AA1342" i="16"/>
  <c r="AA1353" i="16"/>
  <c r="AA1340" i="16"/>
  <c r="AA1363" i="16"/>
  <c r="AA1354" i="16"/>
  <c r="AA1347" i="16"/>
  <c r="AA1365" i="16"/>
  <c r="AA1349" i="16"/>
  <c r="AA1356" i="16"/>
  <c r="AA585" i="17"/>
  <c r="AA581" i="17"/>
  <c r="AA584" i="17"/>
  <c r="AA583" i="17"/>
  <c r="AA1527" i="16"/>
  <c r="AA1529" i="16"/>
  <c r="AA1528" i="16"/>
  <c r="AA1525" i="16"/>
  <c r="AA586" i="17"/>
  <c r="AA1530" i="16"/>
  <c r="AA582" i="17"/>
  <c r="AA1526" i="16"/>
  <c r="AA530" i="17"/>
  <c r="AA526" i="17"/>
  <c r="AA522" i="17"/>
  <c r="AA1467" i="16"/>
  <c r="AG1467" i="16" s="1"/>
  <c r="AA1474" i="16"/>
  <c r="AG1474" i="16" s="1"/>
  <c r="AA1469" i="16"/>
  <c r="AG1469" i="16" s="1"/>
  <c r="AA529" i="17"/>
  <c r="AA525" i="17"/>
  <c r="AA521" i="17"/>
  <c r="AA1476" i="16"/>
  <c r="AG1476" i="16" s="1"/>
  <c r="AA1470" i="16"/>
  <c r="AG1470" i="16" s="1"/>
  <c r="AA1465" i="16"/>
  <c r="AG1465" i="16" s="1"/>
  <c r="AA532" i="17"/>
  <c r="AA528" i="17"/>
  <c r="AA524" i="17"/>
  <c r="AA1475" i="16"/>
  <c r="AG1475" i="16" s="1"/>
  <c r="AA1472" i="16"/>
  <c r="AG1472" i="16" s="1"/>
  <c r="AA1466" i="16"/>
  <c r="AG1466" i="16" s="1"/>
  <c r="AA531" i="17"/>
  <c r="AA1468" i="16"/>
  <c r="AG1468" i="16" s="1"/>
  <c r="AA527" i="17"/>
  <c r="AA1473" i="16"/>
  <c r="AG1473" i="16" s="1"/>
  <c r="AA523" i="17"/>
  <c r="AA1471" i="16"/>
  <c r="AG1471" i="16" s="1"/>
  <c r="AA2005" i="16"/>
  <c r="AA2011" i="16"/>
  <c r="AA1995" i="16"/>
  <c r="AA1996" i="16"/>
  <c r="AA1994" i="16"/>
  <c r="AA1992" i="16"/>
  <c r="AA2001" i="16"/>
  <c r="AA2007" i="16"/>
  <c r="AA1991" i="16"/>
  <c r="AA1998" i="16"/>
  <c r="AA2006" i="16"/>
  <c r="AA1997" i="16"/>
  <c r="AA2003" i="16"/>
  <c r="AA2012" i="16"/>
  <c r="AA2010" i="16"/>
  <c r="AA2008" i="16"/>
  <c r="AA1993" i="16"/>
  <c r="AA2000" i="16"/>
  <c r="AA1999" i="16"/>
  <c r="AA2004" i="16"/>
  <c r="AA2009" i="16"/>
  <c r="AA2002" i="16"/>
  <c r="AA1459" i="16"/>
  <c r="AA1443" i="16"/>
  <c r="AA1427" i="16"/>
  <c r="AA1460" i="16"/>
  <c r="AA1444" i="16"/>
  <c r="AA1428" i="16"/>
  <c r="AA1458" i="16"/>
  <c r="AA1442" i="16"/>
  <c r="AA1426" i="16"/>
  <c r="AA1457" i="16"/>
  <c r="AA1441" i="16"/>
  <c r="AA1425" i="16"/>
  <c r="AA1455" i="16"/>
  <c r="AA1439" i="16"/>
  <c r="AA1423" i="16"/>
  <c r="AA1456" i="16"/>
  <c r="AA1440" i="16"/>
  <c r="AA1424" i="16"/>
  <c r="AA1454" i="16"/>
  <c r="AA1438" i="16"/>
  <c r="AA1422" i="16"/>
  <c r="AA1453" i="16"/>
  <c r="AA1437" i="16"/>
  <c r="AA1421" i="16"/>
  <c r="AA520" i="17"/>
  <c r="AA1451" i="16"/>
  <c r="AA1435" i="16"/>
  <c r="AA1419" i="16"/>
  <c r="AA1452" i="16"/>
  <c r="AA1436" i="16"/>
  <c r="AA1420" i="16"/>
  <c r="AA1450" i="16"/>
  <c r="AA1434" i="16"/>
  <c r="AA1418" i="16"/>
  <c r="AA1449" i="16"/>
  <c r="AA1433" i="16"/>
  <c r="AA1417" i="16"/>
  <c r="AA1447" i="16"/>
  <c r="AA1432" i="16"/>
  <c r="AA1461" i="16"/>
  <c r="AA1430" i="16"/>
  <c r="AA1431" i="16"/>
  <c r="AA1462" i="16"/>
  <c r="AA1445" i="16"/>
  <c r="AA1463" i="16"/>
  <c r="AA1464" i="16"/>
  <c r="AA1446" i="16"/>
  <c r="AA1429" i="16"/>
  <c r="AA1448" i="16"/>
  <c r="AA1383" i="16"/>
  <c r="AA1388" i="16"/>
  <c r="AA1372" i="16"/>
  <c r="AA1382" i="16"/>
  <c r="AA1389" i="16"/>
  <c r="AA1373" i="16"/>
  <c r="AA1379" i="16"/>
  <c r="AA1384" i="16"/>
  <c r="AA1368" i="16"/>
  <c r="AA1378" i="16"/>
  <c r="AA1385" i="16"/>
  <c r="AA1369" i="16"/>
  <c r="AA1391" i="16"/>
  <c r="AA1375" i="16"/>
  <c r="AA1380" i="16"/>
  <c r="AA1390" i="16"/>
  <c r="AA1374" i="16"/>
  <c r="AA1381" i="16"/>
  <c r="AA1387" i="16"/>
  <c r="AA1370" i="16"/>
  <c r="AA1371" i="16"/>
  <c r="AA1377" i="16"/>
  <c r="AA1376" i="16"/>
  <c r="AA1386" i="16"/>
  <c r="AA1773" i="16"/>
  <c r="AA1733" i="16"/>
  <c r="AA1693" i="16"/>
  <c r="AA1677" i="16"/>
  <c r="AA1771" i="16"/>
  <c r="AA1731" i="16"/>
  <c r="AA1691" i="16"/>
  <c r="AA1675" i="16"/>
  <c r="AA1764" i="16"/>
  <c r="AA1684" i="16"/>
  <c r="AA1734" i="16"/>
  <c r="AA1802" i="16"/>
  <c r="AA1698" i="16"/>
  <c r="AA1806" i="16"/>
  <c r="AA1768" i="16"/>
  <c r="AA1688" i="16"/>
  <c r="AA1809" i="16"/>
  <c r="AA1769" i="16"/>
  <c r="AA1729" i="16"/>
  <c r="AA1689" i="16"/>
  <c r="AA1811" i="16"/>
  <c r="AA1767" i="16"/>
  <c r="AA1727" i="16"/>
  <c r="AA1687" i="16"/>
  <c r="AA1812" i="16"/>
  <c r="AA1732" i="16"/>
  <c r="AA1676" i="16"/>
  <c r="AA1702" i="16"/>
  <c r="AA1770" i="16"/>
  <c r="AA1690" i="16"/>
  <c r="AA1694" i="16"/>
  <c r="AA1736" i="16"/>
  <c r="AA1680" i="16"/>
  <c r="AA1805" i="16"/>
  <c r="AA1765" i="16"/>
  <c r="AA1701" i="16"/>
  <c r="AA1685" i="16"/>
  <c r="AA1807" i="16"/>
  <c r="AA1763" i="16"/>
  <c r="AA1699" i="16"/>
  <c r="AA1683" i="16"/>
  <c r="AA1804" i="16"/>
  <c r="AA1700" i="16"/>
  <c r="AA1774" i="16"/>
  <c r="AA1686" i="16"/>
  <c r="AA1738" i="16"/>
  <c r="AA1682" i="16"/>
  <c r="AA1678" i="16"/>
  <c r="AA1728" i="16"/>
  <c r="AA1681" i="16"/>
  <c r="AA1679" i="16"/>
  <c r="AA1810" i="16"/>
  <c r="AA1696" i="16"/>
  <c r="AA1801" i="16"/>
  <c r="AA1803" i="16"/>
  <c r="AA1772" i="16"/>
  <c r="AA1730" i="16"/>
  <c r="AA1737" i="16"/>
  <c r="AA1735" i="16"/>
  <c r="AA1692" i="16"/>
  <c r="AA1674" i="16"/>
  <c r="AA1695" i="16"/>
  <c r="AA1766" i="16"/>
  <c r="AA1808" i="16"/>
  <c r="AA1697" i="16"/>
  <c r="O278" i="21"/>
  <c r="AA579" i="17"/>
  <c r="AA575" i="17"/>
  <c r="AA571" i="17"/>
  <c r="AA1515" i="16"/>
  <c r="AA1522" i="16"/>
  <c r="AA1517" i="16"/>
  <c r="AA578" i="17"/>
  <c r="AA574" i="17"/>
  <c r="AA570" i="17"/>
  <c r="AA1524" i="16"/>
  <c r="AA1518" i="16"/>
  <c r="AA576" i="17"/>
  <c r="AA1519" i="16"/>
  <c r="AA1521" i="16"/>
  <c r="AA573" i="17"/>
  <c r="AA1520" i="16"/>
  <c r="AA580" i="17"/>
  <c r="AA572" i="17"/>
  <c r="AA1516" i="16"/>
  <c r="AA1523" i="16"/>
  <c r="AA1514" i="16"/>
  <c r="AA577" i="17"/>
  <c r="AA1977" i="16"/>
  <c r="AG1977" i="16" s="1"/>
  <c r="AA1961" i="16"/>
  <c r="AG1961" i="16" s="1"/>
  <c r="AA694" i="17"/>
  <c r="AA678" i="17"/>
  <c r="AA1986" i="16"/>
  <c r="AG1986" i="16" s="1"/>
  <c r="AA1970" i="16"/>
  <c r="AG1970" i="16" s="1"/>
  <c r="AA701" i="17"/>
  <c r="AA685" i="17"/>
  <c r="AA669" i="17"/>
  <c r="AA1963" i="16"/>
  <c r="AG1963" i="16" s="1"/>
  <c r="AA688" i="17"/>
  <c r="AA1959" i="16"/>
  <c r="AG1959" i="16" s="1"/>
  <c r="AA1972" i="16"/>
  <c r="AG1972" i="16" s="1"/>
  <c r="AA695" i="17"/>
  <c r="AA1983" i="16"/>
  <c r="AG1983" i="16" s="1"/>
  <c r="AA676" i="17"/>
  <c r="AA699" i="17"/>
  <c r="AA683" i="17"/>
  <c r="AA1985" i="16"/>
  <c r="AG1985" i="16" s="1"/>
  <c r="AA1969" i="16"/>
  <c r="AG1969" i="16" s="1"/>
  <c r="AA702" i="17"/>
  <c r="AA686" i="17"/>
  <c r="AA670" i="17"/>
  <c r="AA1978" i="16"/>
  <c r="AG1978" i="16" s="1"/>
  <c r="AA1962" i="16"/>
  <c r="AG1962" i="16" s="1"/>
  <c r="AA693" i="17"/>
  <c r="AA677" i="17"/>
  <c r="AA1979" i="16"/>
  <c r="AG1979" i="16" s="1"/>
  <c r="AA704" i="17"/>
  <c r="AA672" i="17"/>
  <c r="AA1988" i="16"/>
  <c r="AG1988" i="16" s="1"/>
  <c r="AA1956" i="16"/>
  <c r="AG1956" i="16" s="1"/>
  <c r="AA679" i="17"/>
  <c r="AA700" i="17"/>
  <c r="AA675" i="17"/>
  <c r="AA691" i="17"/>
  <c r="AA1973" i="16"/>
  <c r="AG1973" i="16" s="1"/>
  <c r="AA690" i="17"/>
  <c r="AA1982" i="16"/>
  <c r="AG1982" i="16" s="1"/>
  <c r="AA697" i="17"/>
  <c r="AA1987" i="16"/>
  <c r="AG1987" i="16" s="1"/>
  <c r="AA680" i="17"/>
  <c r="AA1964" i="16"/>
  <c r="AG1964" i="16" s="1"/>
  <c r="AA1967" i="16"/>
  <c r="AG1967" i="16" s="1"/>
  <c r="AA1976" i="16"/>
  <c r="AG1976" i="16" s="1"/>
  <c r="AA1965" i="16"/>
  <c r="AG1965" i="16" s="1"/>
  <c r="AA682" i="17"/>
  <c r="AA1974" i="16"/>
  <c r="AG1974" i="16" s="1"/>
  <c r="AA689" i="17"/>
  <c r="AA1971" i="16"/>
  <c r="AG1971" i="16" s="1"/>
  <c r="AA1975" i="16"/>
  <c r="AG1975" i="16" s="1"/>
  <c r="AA703" i="17"/>
  <c r="AA684" i="17"/>
  <c r="AA1968" i="16"/>
  <c r="AG1968" i="16" s="1"/>
  <c r="AA1989" i="16"/>
  <c r="AG1989" i="16" s="1"/>
  <c r="AA1957" i="16"/>
  <c r="AG1957" i="16" s="1"/>
  <c r="AA674" i="17"/>
  <c r="AA1966" i="16"/>
  <c r="AG1966" i="16" s="1"/>
  <c r="AA681" i="17"/>
  <c r="AA1955" i="16"/>
  <c r="AG1955" i="16" s="1"/>
  <c r="AA692" i="17"/>
  <c r="AA687" i="17"/>
  <c r="AA1960" i="16"/>
  <c r="AG1960" i="16" s="1"/>
  <c r="AA1981" i="16"/>
  <c r="AG1981" i="16" s="1"/>
  <c r="AA673" i="17"/>
  <c r="AA1984" i="16"/>
  <c r="AG1984" i="16" s="1"/>
  <c r="AA698" i="17"/>
  <c r="AA696" i="17"/>
  <c r="AA1990" i="16"/>
  <c r="AG1990" i="16" s="1"/>
  <c r="AA1980" i="16"/>
  <c r="AG1980" i="16" s="1"/>
  <c r="AA1958" i="16"/>
  <c r="AG1958" i="16" s="1"/>
  <c r="AA1949" i="16"/>
  <c r="AA1933" i="16"/>
  <c r="AA1917" i="16"/>
  <c r="AA1901" i="16"/>
  <c r="AA1885" i="16"/>
  <c r="AA1869" i="16"/>
  <c r="AA1853" i="16"/>
  <c r="AA1837" i="16"/>
  <c r="AA1821" i="16"/>
  <c r="AA1943" i="16"/>
  <c r="AA1927" i="16"/>
  <c r="AA1911" i="16"/>
  <c r="AA1895" i="16"/>
  <c r="AA1879" i="16"/>
  <c r="AA1863" i="16"/>
  <c r="AA1847" i="16"/>
  <c r="AA1831" i="16"/>
  <c r="AA1815" i="16"/>
  <c r="AA1940" i="16"/>
  <c r="AA1908" i="16"/>
  <c r="AA1876" i="16"/>
  <c r="AA1844" i="16"/>
  <c r="AA1918" i="16"/>
  <c r="AA1854" i="16"/>
  <c r="AA1946" i="16"/>
  <c r="AA1914" i="16"/>
  <c r="AA1882" i="16"/>
  <c r="AA1850" i="16"/>
  <c r="AA1818" i="16"/>
  <c r="AA1942" i="16"/>
  <c r="AA1878" i="16"/>
  <c r="AA1814" i="16"/>
  <c r="AA1928" i="16"/>
  <c r="AA1896" i="16"/>
  <c r="AA1864" i="16"/>
  <c r="AA1832" i="16"/>
  <c r="AA671" i="17"/>
  <c r="AA1945" i="16"/>
  <c r="AA1929" i="16"/>
  <c r="AA1913" i="16"/>
  <c r="AA1897" i="16"/>
  <c r="AA1881" i="16"/>
  <c r="AA1865" i="16"/>
  <c r="AA1849" i="16"/>
  <c r="AA1833" i="16"/>
  <c r="AA1817" i="16"/>
  <c r="AA1939" i="16"/>
  <c r="AA1923" i="16"/>
  <c r="AA1907" i="16"/>
  <c r="AA1891" i="16"/>
  <c r="AA1875" i="16"/>
  <c r="AA1859" i="16"/>
  <c r="AA1843" i="16"/>
  <c r="AA1827" i="16"/>
  <c r="AA1932" i="16"/>
  <c r="AA1900" i="16"/>
  <c r="AA1868" i="16"/>
  <c r="AA1836" i="16"/>
  <c r="AA1902" i="16"/>
  <c r="AA1838" i="16"/>
  <c r="AA1938" i="16"/>
  <c r="AA1906" i="16"/>
  <c r="AA1874" i="16"/>
  <c r="AA1842" i="16"/>
  <c r="AA1926" i="16"/>
  <c r="AA1862" i="16"/>
  <c r="AA1952" i="16"/>
  <c r="AA1920" i="16"/>
  <c r="AA1888" i="16"/>
  <c r="AA1856" i="16"/>
  <c r="AA1824" i="16"/>
  <c r="AA1941" i="16"/>
  <c r="AA1925" i="16"/>
  <c r="AA1909" i="16"/>
  <c r="AA1893" i="16"/>
  <c r="AA1877" i="16"/>
  <c r="AA1861" i="16"/>
  <c r="AA1845" i="16"/>
  <c r="AA1829" i="16"/>
  <c r="AA1813" i="16"/>
  <c r="AA1951" i="16"/>
  <c r="AA1935" i="16"/>
  <c r="AA1919" i="16"/>
  <c r="AA1903" i="16"/>
  <c r="AA1887" i="16"/>
  <c r="AA1871" i="16"/>
  <c r="AA1855" i="16"/>
  <c r="AA1839" i="16"/>
  <c r="AA1823" i="16"/>
  <c r="AA1924" i="16"/>
  <c r="AA1892" i="16"/>
  <c r="AA1860" i="16"/>
  <c r="AA1828" i="16"/>
  <c r="AA1950" i="16"/>
  <c r="AA1886" i="16"/>
  <c r="AA1822" i="16"/>
  <c r="AA1930" i="16"/>
  <c r="AA1898" i="16"/>
  <c r="AA1866" i="16"/>
  <c r="AA1834" i="16"/>
  <c r="AA1910" i="16"/>
  <c r="AA1846" i="16"/>
  <c r="AA1944" i="16"/>
  <c r="AA1912" i="16"/>
  <c r="AA1880" i="16"/>
  <c r="AA1848" i="16"/>
  <c r="AA1816" i="16"/>
  <c r="AA1921" i="16"/>
  <c r="AA1857" i="16"/>
  <c r="AA1899" i="16"/>
  <c r="AA1835" i="16"/>
  <c r="AA1884" i="16"/>
  <c r="AA1870" i="16"/>
  <c r="AA1858" i="16"/>
  <c r="AA1830" i="16"/>
  <c r="AA1872" i="16"/>
  <c r="AA1905" i="16"/>
  <c r="AA1841" i="16"/>
  <c r="AA1947" i="16"/>
  <c r="AA1883" i="16"/>
  <c r="AA1819" i="16"/>
  <c r="AA1852" i="16"/>
  <c r="AA1954" i="16"/>
  <c r="AA1826" i="16"/>
  <c r="AA1840" i="16"/>
  <c r="AA1953" i="16"/>
  <c r="AA1889" i="16"/>
  <c r="AA1825" i="16"/>
  <c r="AA1931" i="16"/>
  <c r="AA1867" i="16"/>
  <c r="AA1948" i="16"/>
  <c r="AA1820" i="16"/>
  <c r="AA1922" i="16"/>
  <c r="AA1936" i="16"/>
  <c r="AA1873" i="16"/>
  <c r="AA1916" i="16"/>
  <c r="AA1904" i="16"/>
  <c r="AA1894" i="16"/>
  <c r="AA1934" i="16"/>
  <c r="AA1851" i="16"/>
  <c r="AA1915" i="16"/>
  <c r="AA1890" i="16"/>
  <c r="AA1937" i="16"/>
  <c r="AA1280" i="16"/>
  <c r="AG1280" i="16" s="1"/>
  <c r="AA1216" i="16"/>
  <c r="AG1216" i="16" s="1"/>
  <c r="AA1200" i="16"/>
  <c r="AG1200" i="16" s="1"/>
  <c r="AA1134" i="16"/>
  <c r="AG1134" i="16" s="1"/>
  <c r="AA565" i="16"/>
  <c r="AG565" i="16" s="1"/>
  <c r="AA561" i="16"/>
  <c r="AG561" i="16" s="1"/>
  <c r="AA557" i="16"/>
  <c r="AG557" i="16" s="1"/>
  <c r="AA460" i="17"/>
  <c r="AA1281" i="16"/>
  <c r="AG1281" i="16" s="1"/>
  <c r="AA1265" i="16"/>
  <c r="AG1265" i="16" s="1"/>
  <c r="AA1201" i="16"/>
  <c r="AG1201" i="16" s="1"/>
  <c r="AA1276" i="16"/>
  <c r="AG1276" i="16" s="1"/>
  <c r="AA1212" i="16"/>
  <c r="AG1212" i="16" s="1"/>
  <c r="AA1196" i="16"/>
  <c r="AG1196" i="16" s="1"/>
  <c r="AA1130" i="16"/>
  <c r="AG1130" i="16" s="1"/>
  <c r="AA564" i="16"/>
  <c r="AG564" i="16" s="1"/>
  <c r="AA560" i="16"/>
  <c r="AG560" i="16" s="1"/>
  <c r="AA556" i="16"/>
  <c r="AG556" i="16" s="1"/>
  <c r="AA456" i="17"/>
  <c r="AA1277" i="16"/>
  <c r="AG1277" i="16" s="1"/>
  <c r="AA1213" i="16"/>
  <c r="AG1213" i="16" s="1"/>
  <c r="AA1197" i="16"/>
  <c r="AG1197" i="16" s="1"/>
  <c r="AA1135" i="16"/>
  <c r="AG1135" i="16" s="1"/>
  <c r="AA463" i="17"/>
  <c r="AA1275" i="16"/>
  <c r="AG1275" i="16" s="1"/>
  <c r="AA1195" i="16"/>
  <c r="AG1195" i="16" s="1"/>
  <c r="AA458" i="17"/>
  <c r="AA392" i="17"/>
  <c r="AA376" i="17"/>
  <c r="AA312" i="17"/>
  <c r="AA1137" i="16"/>
  <c r="AG1137" i="16" s="1"/>
  <c r="AA394" i="17"/>
  <c r="AA1278" i="16"/>
  <c r="AG1278" i="16" s="1"/>
  <c r="AA1198" i="16"/>
  <c r="AG1198" i="16" s="1"/>
  <c r="AA465" i="17"/>
  <c r="AA395" i="17"/>
  <c r="AA379" i="17"/>
  <c r="AA315" i="17"/>
  <c r="AA1271" i="16"/>
  <c r="AG1271" i="16" s="1"/>
  <c r="AA446" i="17"/>
  <c r="AA1202" i="16"/>
  <c r="AG1202" i="16" s="1"/>
  <c r="AA373" i="17"/>
  <c r="AA210" i="17"/>
  <c r="AA206" i="17"/>
  <c r="AA1194" i="16"/>
  <c r="AG1194" i="16" s="1"/>
  <c r="AA321" i="17"/>
  <c r="AA453" i="17"/>
  <c r="AA1266" i="16"/>
  <c r="AG1266" i="16" s="1"/>
  <c r="AA377" i="17"/>
  <c r="AA214" i="17"/>
  <c r="AA1288" i="16"/>
  <c r="AG1288" i="16" s="1"/>
  <c r="AA1272" i="16"/>
  <c r="AG1272" i="16" s="1"/>
  <c r="AA1208" i="16"/>
  <c r="AG1208" i="16" s="1"/>
  <c r="AA1142" i="16"/>
  <c r="AG1142" i="16" s="1"/>
  <c r="AA567" i="16"/>
  <c r="AG567" i="16" s="1"/>
  <c r="AA563" i="16"/>
  <c r="AG563" i="16" s="1"/>
  <c r="AA559" i="16"/>
  <c r="AG559" i="16" s="1"/>
  <c r="AA468" i="17"/>
  <c r="AA1289" i="16"/>
  <c r="AG1289" i="16" s="1"/>
  <c r="AA1273" i="16"/>
  <c r="AG1273" i="16" s="1"/>
  <c r="AA1209" i="16"/>
  <c r="AG1209" i="16" s="1"/>
  <c r="AA1193" i="16"/>
  <c r="AG1193" i="16" s="1"/>
  <c r="AA1131" i="16"/>
  <c r="AG1131" i="16" s="1"/>
  <c r="AA459" i="17"/>
  <c r="AA1267" i="16"/>
  <c r="AG1267" i="16" s="1"/>
  <c r="AA1141" i="16"/>
  <c r="AG1141" i="16" s="1"/>
  <c r="AA452" i="17"/>
  <c r="AA388" i="17"/>
  <c r="AA324" i="17"/>
  <c r="AA308" i="17"/>
  <c r="AA1129" i="16"/>
  <c r="AG1129" i="16" s="1"/>
  <c r="AA386" i="17"/>
  <c r="AA1270" i="16"/>
  <c r="AG1270" i="16" s="1"/>
  <c r="AA1144" i="16"/>
  <c r="AG1144" i="16" s="1"/>
  <c r="AA457" i="17"/>
  <c r="AA391" i="17"/>
  <c r="AA375" i="17"/>
  <c r="AA311" i="17"/>
  <c r="AA1215" i="16"/>
  <c r="AG1215" i="16" s="1"/>
  <c r="AA390" i="17"/>
  <c r="AA469" i="17"/>
  <c r="AA322" i="17"/>
  <c r="AA209" i="17"/>
  <c r="AA205" i="17"/>
  <c r="AA1140" i="16"/>
  <c r="AG1140" i="16" s="1"/>
  <c r="AA313" i="17"/>
  <c r="AA381" i="17"/>
  <c r="AA1210" i="16"/>
  <c r="AG1210" i="16" s="1"/>
  <c r="AA317" i="17"/>
  <c r="AA213" i="17"/>
  <c r="AA1204" i="16"/>
  <c r="AG1204" i="16" s="1"/>
  <c r="AA558" i="16"/>
  <c r="AG558" i="16" s="1"/>
  <c r="AA1205" i="16"/>
  <c r="AG1205" i="16" s="1"/>
  <c r="AA467" i="17"/>
  <c r="AA1203" i="16"/>
  <c r="AG1203" i="16" s="1"/>
  <c r="AA396" i="17"/>
  <c r="AA316" i="17"/>
  <c r="AA450" i="17"/>
  <c r="AA1206" i="16"/>
  <c r="AG1206" i="16" s="1"/>
  <c r="AA447" i="17"/>
  <c r="AA319" i="17"/>
  <c r="AA462" i="17"/>
  <c r="AA389" i="17"/>
  <c r="AA207" i="17"/>
  <c r="AA385" i="17"/>
  <c r="AA310" i="17"/>
  <c r="AA215" i="17"/>
  <c r="AA305" i="17"/>
  <c r="AA301" i="17"/>
  <c r="AA297" i="17"/>
  <c r="AA293" i="17"/>
  <c r="AA289" i="17"/>
  <c r="AA1138" i="16"/>
  <c r="AG1138" i="16" s="1"/>
  <c r="AA464" i="17"/>
  <c r="AA1143" i="16"/>
  <c r="AG1143" i="16" s="1"/>
  <c r="AA455" i="17"/>
  <c r="AA1133" i="16"/>
  <c r="AG1133" i="16" s="1"/>
  <c r="AA384" i="17"/>
  <c r="AA1287" i="16"/>
  <c r="AG1287" i="16" s="1"/>
  <c r="AA378" i="17"/>
  <c r="AA1136" i="16"/>
  <c r="AG1136" i="16" s="1"/>
  <c r="AA387" i="17"/>
  <c r="AA307" i="17"/>
  <c r="AA382" i="17"/>
  <c r="AA314" i="17"/>
  <c r="AA204" i="17"/>
  <c r="AA1274" i="16"/>
  <c r="AG1274" i="16" s="1"/>
  <c r="AA449" i="17"/>
  <c r="AA212" i="17"/>
  <c r="AA304" i="17"/>
  <c r="AA300" i="17"/>
  <c r="AA296" i="17"/>
  <c r="AA292" i="17"/>
  <c r="AA288" i="17"/>
  <c r="AA1123" i="16"/>
  <c r="AG1123" i="16" s="1"/>
  <c r="AA1075" i="16"/>
  <c r="AA1003" i="16"/>
  <c r="AA987" i="16"/>
  <c r="AA874" i="16"/>
  <c r="AA853" i="16"/>
  <c r="AA774" i="16"/>
  <c r="AA673" i="16"/>
  <c r="AA657" i="16"/>
  <c r="AA641" i="16"/>
  <c r="AA533" i="16"/>
  <c r="AA517" i="16"/>
  <c r="AA421" i="16"/>
  <c r="AA405" i="16"/>
  <c r="AA1120" i="16"/>
  <c r="AG1120" i="16" s="1"/>
  <c r="AA1072" i="16"/>
  <c r="AA1000" i="16"/>
  <c r="AA984" i="16"/>
  <c r="AA876" i="16"/>
  <c r="AA854" i="16"/>
  <c r="AA775" i="16"/>
  <c r="AA674" i="16"/>
  <c r="AA658" i="16"/>
  <c r="AA642" i="16"/>
  <c r="AA526" i="16"/>
  <c r="AA498" i="16"/>
  <c r="AA418" i="16"/>
  <c r="AA1284" i="16"/>
  <c r="AG1284" i="16" s="1"/>
  <c r="AA566" i="16"/>
  <c r="AG566" i="16" s="1"/>
  <c r="AA1285" i="16"/>
  <c r="AG1285" i="16" s="1"/>
  <c r="AA1139" i="16"/>
  <c r="AG1139" i="16" s="1"/>
  <c r="AA1283" i="16"/>
  <c r="AG1283" i="16" s="1"/>
  <c r="AA466" i="17"/>
  <c r="AA380" i="17"/>
  <c r="AA1199" i="16"/>
  <c r="AG1199" i="16" s="1"/>
  <c r="AA1286" i="16"/>
  <c r="AG1286" i="16" s="1"/>
  <c r="AA1128" i="16"/>
  <c r="AG1128" i="16" s="1"/>
  <c r="AA383" i="17"/>
  <c r="AA1279" i="16"/>
  <c r="AG1279" i="16" s="1"/>
  <c r="AA374" i="17"/>
  <c r="AA211" i="17"/>
  <c r="AA1282" i="16"/>
  <c r="AG1282" i="16" s="1"/>
  <c r="AA1132" i="16"/>
  <c r="AG1132" i="16" s="1"/>
  <c r="AA393" i="17"/>
  <c r="AA303" i="17"/>
  <c r="AA299" i="17"/>
  <c r="AA295" i="17"/>
  <c r="AA291" i="17"/>
  <c r="AA1119" i="16"/>
  <c r="AG1119" i="16" s="1"/>
  <c r="AA1071" i="16"/>
  <c r="AA999" i="16"/>
  <c r="AA983" i="16"/>
  <c r="AA869" i="16"/>
  <c r="AA848" i="16"/>
  <c r="AA770" i="16"/>
  <c r="AA669" i="16"/>
  <c r="AA653" i="16"/>
  <c r="AA529" i="16"/>
  <c r="AA501" i="16"/>
  <c r="AA417" i="16"/>
  <c r="AA401" i="16"/>
  <c r="AA1116" i="16"/>
  <c r="AG1116" i="16" s="1"/>
  <c r="AA1068" i="16"/>
  <c r="AA996" i="16"/>
  <c r="AA980" i="16"/>
  <c r="AA870" i="16"/>
  <c r="AA849" i="16"/>
  <c r="AA771" i="16"/>
  <c r="AA670" i="16"/>
  <c r="AA654" i="16"/>
  <c r="AA522" i="16"/>
  <c r="AA494" i="16"/>
  <c r="AA414" i="16"/>
  <c r="AA1269" i="16"/>
  <c r="AG1269" i="16" s="1"/>
  <c r="AA320" i="17"/>
  <c r="AA323" i="17"/>
  <c r="AA461" i="17"/>
  <c r="AA302" i="17"/>
  <c r="AA1111" i="16"/>
  <c r="AG1111" i="16" s="1"/>
  <c r="AA991" i="16"/>
  <c r="AA858" i="16"/>
  <c r="AA677" i="16"/>
  <c r="AA645" i="16"/>
  <c r="AA521" i="16"/>
  <c r="AA409" i="16"/>
  <c r="AA1124" i="16"/>
  <c r="AG1124" i="16" s="1"/>
  <c r="AA1060" i="16"/>
  <c r="AA881" i="16"/>
  <c r="AA779" i="16"/>
  <c r="AA662" i="16"/>
  <c r="AA530" i="16"/>
  <c r="AA422" i="16"/>
  <c r="AA398" i="16"/>
  <c r="AA1114" i="16"/>
  <c r="AG1114" i="16" s="1"/>
  <c r="AA1066" i="16"/>
  <c r="AA994" i="16"/>
  <c r="AA978" i="16"/>
  <c r="AA868" i="16"/>
  <c r="AA846" i="16"/>
  <c r="AA769" i="16"/>
  <c r="AA668" i="16"/>
  <c r="AA652" i="16"/>
  <c r="AA532" i="16"/>
  <c r="AA516" i="16"/>
  <c r="AA424" i="16"/>
  <c r="AA408" i="16"/>
  <c r="AA1117" i="16"/>
  <c r="AG1117" i="16" s="1"/>
  <c r="AA1069" i="16"/>
  <c r="AA997" i="16"/>
  <c r="AA981" i="16"/>
  <c r="AA872" i="16"/>
  <c r="AA850" i="16"/>
  <c r="AA772" i="16"/>
  <c r="AA671" i="16"/>
  <c r="AA655" i="16"/>
  <c r="AA527" i="16"/>
  <c r="AA499" i="16"/>
  <c r="AA419" i="16"/>
  <c r="AA403" i="16"/>
  <c r="AA1127" i="16"/>
  <c r="AG1127" i="16" s="1"/>
  <c r="AA454" i="17"/>
  <c r="AA1207" i="16"/>
  <c r="AG1207" i="16" s="1"/>
  <c r="AA318" i="17"/>
  <c r="AA298" i="17"/>
  <c r="AA1067" i="16"/>
  <c r="AA979" i="16"/>
  <c r="AA842" i="16"/>
  <c r="AA665" i="16"/>
  <c r="AA497" i="16"/>
  <c r="AA397" i="16"/>
  <c r="AA1112" i="16"/>
  <c r="AG1112" i="16" s="1"/>
  <c r="AA992" i="16"/>
  <c r="AA865" i="16"/>
  <c r="AA682" i="16"/>
  <c r="AA650" i="16"/>
  <c r="AA518" i="16"/>
  <c r="AA410" i="16"/>
  <c r="AA1126" i="16"/>
  <c r="AG1126" i="16" s="1"/>
  <c r="AA1110" i="16"/>
  <c r="AG1110" i="16" s="1"/>
  <c r="AA1062" i="16"/>
  <c r="AA990" i="16"/>
  <c r="AA884" i="16"/>
  <c r="AA862" i="16"/>
  <c r="AA841" i="16"/>
  <c r="AA680" i="16"/>
  <c r="AA664" i="16"/>
  <c r="AA648" i="16"/>
  <c r="AA528" i="16"/>
  <c r="AA500" i="16"/>
  <c r="AA420" i="16"/>
  <c r="AA404" i="16"/>
  <c r="AA1113" i="16"/>
  <c r="AG1113" i="16" s="1"/>
  <c r="AA1065" i="16"/>
  <c r="AA993" i="16"/>
  <c r="AA977" i="16"/>
  <c r="AA866" i="16"/>
  <c r="AA845" i="16"/>
  <c r="AA683" i="16"/>
  <c r="AA667" i="16"/>
  <c r="AA651" i="16"/>
  <c r="AA523" i="16"/>
  <c r="AA495" i="16"/>
  <c r="AA415" i="16"/>
  <c r="AA399" i="16"/>
  <c r="AA1268" i="16"/>
  <c r="AG1268" i="16" s="1"/>
  <c r="AA1211" i="16"/>
  <c r="AG1211" i="16" s="1"/>
  <c r="AA1214" i="16"/>
  <c r="AG1214" i="16" s="1"/>
  <c r="AA445" i="17"/>
  <c r="AA309" i="17"/>
  <c r="AA294" i="17"/>
  <c r="AA1063" i="16"/>
  <c r="AA880" i="16"/>
  <c r="AA778" i="16"/>
  <c r="AA661" i="16"/>
  <c r="AA493" i="16"/>
  <c r="AA1108" i="16"/>
  <c r="AG1108" i="16" s="1"/>
  <c r="AA988" i="16"/>
  <c r="AA860" i="16"/>
  <c r="AA678" i="16"/>
  <c r="AA646" i="16"/>
  <c r="AA514" i="16"/>
  <c r="AA406" i="16"/>
  <c r="AA1122" i="16"/>
  <c r="AG1122" i="16" s="1"/>
  <c r="AA1074" i="16"/>
  <c r="AA1002" i="16"/>
  <c r="AA986" i="16"/>
  <c r="AA878" i="16"/>
  <c r="AA857" i="16"/>
  <c r="AA777" i="16"/>
  <c r="AA676" i="16"/>
  <c r="AA660" i="16"/>
  <c r="AA644" i="16"/>
  <c r="AA524" i="16"/>
  <c r="AA496" i="16"/>
  <c r="AA416" i="16"/>
  <c r="AA400" i="16"/>
  <c r="AA1125" i="16"/>
  <c r="AG1125" i="16" s="1"/>
  <c r="AA1109" i="16"/>
  <c r="AG1109" i="16" s="1"/>
  <c r="AA1061" i="16"/>
  <c r="AA989" i="16"/>
  <c r="AA883" i="16"/>
  <c r="AA861" i="16"/>
  <c r="AA780" i="16"/>
  <c r="AA679" i="16"/>
  <c r="AA663" i="16"/>
  <c r="AA647" i="16"/>
  <c r="AA519" i="16"/>
  <c r="AA491" i="16"/>
  <c r="AA411" i="16"/>
  <c r="AA562" i="16"/>
  <c r="AG562" i="16" s="1"/>
  <c r="AA1115" i="16"/>
  <c r="AG1115" i="16" s="1"/>
  <c r="AA649" i="16"/>
  <c r="AA666" i="16"/>
  <c r="AA1070" i="16"/>
  <c r="AA852" i="16"/>
  <c r="AA640" i="16"/>
  <c r="AA396" i="16"/>
  <c r="AA1073" i="16"/>
  <c r="AA856" i="16"/>
  <c r="AA643" i="16"/>
  <c r="AA407" i="16"/>
  <c r="AA448" i="17"/>
  <c r="AA995" i="16"/>
  <c r="AA525" i="16"/>
  <c r="AA1064" i="16"/>
  <c r="AA534" i="16"/>
  <c r="AA998" i="16"/>
  <c r="AA773" i="16"/>
  <c r="AA520" i="16"/>
  <c r="AA1001" i="16"/>
  <c r="AA776" i="16"/>
  <c r="AA531" i="16"/>
  <c r="AA451" i="17"/>
  <c r="AA306" i="17"/>
  <c r="AA864" i="16"/>
  <c r="AA413" i="16"/>
  <c r="AA976" i="16"/>
  <c r="AA490" i="16"/>
  <c r="AA982" i="16"/>
  <c r="AA672" i="16"/>
  <c r="AA492" i="16"/>
  <c r="AA985" i="16"/>
  <c r="AA675" i="16"/>
  <c r="AA515" i="16"/>
  <c r="AA208" i="17"/>
  <c r="AA873" i="16"/>
  <c r="AA877" i="16"/>
  <c r="AA1118" i="16"/>
  <c r="AG1118" i="16" s="1"/>
  <c r="AA844" i="16"/>
  <c r="AA656" i="16"/>
  <c r="AA659" i="16"/>
  <c r="AA290" i="17"/>
  <c r="AA402" i="16"/>
  <c r="AA412" i="16"/>
  <c r="AA423" i="16"/>
  <c r="AA681" i="16"/>
  <c r="AA1121" i="16"/>
  <c r="AG1121" i="16" s="1"/>
  <c r="AA542" i="17"/>
  <c r="AA538" i="17"/>
  <c r="AA534" i="17"/>
  <c r="AA1479" i="16"/>
  <c r="AG1479" i="16" s="1"/>
  <c r="AA1486" i="16"/>
  <c r="AG1486" i="16" s="1"/>
  <c r="AA1481" i="16"/>
  <c r="AG1481" i="16" s="1"/>
  <c r="AA541" i="17"/>
  <c r="AA537" i="17"/>
  <c r="AA533" i="17"/>
  <c r="AA1488" i="16"/>
  <c r="AG1488" i="16" s="1"/>
  <c r="AA1482" i="16"/>
  <c r="AG1482" i="16" s="1"/>
  <c r="AA1477" i="16"/>
  <c r="AG1477" i="16" s="1"/>
  <c r="AA544" i="17"/>
  <c r="AA540" i="17"/>
  <c r="AA536" i="17"/>
  <c r="AA1487" i="16"/>
  <c r="AG1487" i="16" s="1"/>
  <c r="AA1484" i="16"/>
  <c r="AG1484" i="16" s="1"/>
  <c r="AA1478" i="16"/>
  <c r="AG1478" i="16" s="1"/>
  <c r="AA535" i="17"/>
  <c r="AA1483" i="16"/>
  <c r="AG1483" i="16" s="1"/>
  <c r="AA543" i="17"/>
  <c r="AA1480" i="16"/>
  <c r="AG1480" i="16" s="1"/>
  <c r="AA539" i="17"/>
  <c r="AA1485" i="16"/>
  <c r="AG1485" i="16" s="1"/>
  <c r="AA555" i="17"/>
  <c r="AA551" i="17"/>
  <c r="AA547" i="17"/>
  <c r="AA1495" i="16"/>
  <c r="AG1495" i="16" s="1"/>
  <c r="AA1492" i="16"/>
  <c r="AG1492" i="16" s="1"/>
  <c r="AA1497" i="16"/>
  <c r="AG1497" i="16" s="1"/>
  <c r="AA554" i="17"/>
  <c r="AA550" i="17"/>
  <c r="AA546" i="17"/>
  <c r="AA1491" i="16"/>
  <c r="AG1491" i="16" s="1"/>
  <c r="AA1498" i="16"/>
  <c r="AG1498" i="16" s="1"/>
  <c r="AA1493" i="16"/>
  <c r="AG1493" i="16" s="1"/>
  <c r="AA553" i="17"/>
  <c r="AA549" i="17"/>
  <c r="AA545" i="17"/>
  <c r="AA1500" i="16"/>
  <c r="AG1500" i="16" s="1"/>
  <c r="AA1494" i="16"/>
  <c r="AG1494" i="16" s="1"/>
  <c r="AA1489" i="16"/>
  <c r="AG1489" i="16" s="1"/>
  <c r="AA1499" i="16"/>
  <c r="AG1499" i="16" s="1"/>
  <c r="AA556" i="17"/>
  <c r="AA1496" i="16"/>
  <c r="AG1496" i="16" s="1"/>
  <c r="AA552" i="17"/>
  <c r="AA1490" i="16"/>
  <c r="AG1490" i="16" s="1"/>
  <c r="AA548" i="17"/>
  <c r="AA589" i="17"/>
  <c r="AA1532" i="16"/>
  <c r="AA588" i="17"/>
  <c r="AA1533" i="16"/>
  <c r="AA587" i="17"/>
  <c r="AA1531" i="16"/>
  <c r="AA1407" i="16"/>
  <c r="AA1416" i="16"/>
  <c r="AA1400" i="16"/>
  <c r="AA1410" i="16"/>
  <c r="AA1394" i="16"/>
  <c r="AA1401" i="16"/>
  <c r="AA1403" i="16"/>
  <c r="AA1412" i="16"/>
  <c r="AA1396" i="16"/>
  <c r="AA1406" i="16"/>
  <c r="AA1413" i="16"/>
  <c r="AA1397" i="16"/>
  <c r="AA1415" i="16"/>
  <c r="AA1399" i="16"/>
  <c r="AA1408" i="16"/>
  <c r="AA1392" i="16"/>
  <c r="AA1402" i="16"/>
  <c r="AA1409" i="16"/>
  <c r="AA1393" i="16"/>
  <c r="AA1411" i="16"/>
  <c r="AA1398" i="16"/>
  <c r="AA1395" i="16"/>
  <c r="AA1405" i="16"/>
  <c r="AA1404" i="16"/>
  <c r="AA1414" i="16"/>
  <c r="AA567" i="17"/>
  <c r="AA563" i="17"/>
  <c r="AA559" i="17"/>
  <c r="AA1507" i="16"/>
  <c r="AG1507" i="16" s="1"/>
  <c r="AA566" i="17"/>
  <c r="AA562" i="17"/>
  <c r="AA558" i="17"/>
  <c r="AA1503" i="16"/>
  <c r="AG1503" i="16" s="1"/>
  <c r="AA569" i="17"/>
  <c r="AA565" i="17"/>
  <c r="AA561" i="17"/>
  <c r="AA557" i="17"/>
  <c r="AA1512" i="16"/>
  <c r="AG1512" i="16" s="1"/>
  <c r="AA560" i="17"/>
  <c r="AA1510" i="16"/>
  <c r="AG1510" i="16" s="1"/>
  <c r="AA1509" i="16"/>
  <c r="AG1509" i="16" s="1"/>
  <c r="AA1513" i="16"/>
  <c r="AG1513" i="16" s="1"/>
  <c r="AA1511" i="16"/>
  <c r="AG1511" i="16" s="1"/>
  <c r="AA1506" i="16"/>
  <c r="AG1506" i="16" s="1"/>
  <c r="AA1505" i="16"/>
  <c r="AG1505" i="16" s="1"/>
  <c r="AA564" i="17"/>
  <c r="AA568" i="17"/>
  <c r="AA1508" i="16"/>
  <c r="AG1508" i="16" s="1"/>
  <c r="AA1502" i="16"/>
  <c r="AG1502" i="16" s="1"/>
  <c r="AA1501" i="16"/>
  <c r="AA1504" i="16"/>
  <c r="AG1504" i="16" s="1"/>
  <c r="AA1781" i="16"/>
  <c r="AA1741" i="16"/>
  <c r="AA1641" i="16"/>
  <c r="AA1625" i="16"/>
  <c r="AA1787" i="16"/>
  <c r="AA1747" i="16"/>
  <c r="AA1707" i="16"/>
  <c r="AA1635" i="16"/>
  <c r="AA1619" i="16"/>
  <c r="AA1740" i="16"/>
  <c r="AA1620" i="16"/>
  <c r="AA1786" i="16"/>
  <c r="AA1706" i="16"/>
  <c r="AA1618" i="16"/>
  <c r="AA1630" i="16"/>
  <c r="AA1744" i="16"/>
  <c r="AA1632" i="16"/>
  <c r="AA1777" i="16"/>
  <c r="AA1713" i="16"/>
  <c r="AA1637" i="16"/>
  <c r="AA1621" i="16"/>
  <c r="AA1783" i="16"/>
  <c r="AA1743" i="16"/>
  <c r="AA1703" i="16"/>
  <c r="AA1631" i="16"/>
  <c r="AA1615" i="16"/>
  <c r="AA1708" i="16"/>
  <c r="AA1750" i="16"/>
  <c r="AA1778" i="16"/>
  <c r="AA1642" i="16"/>
  <c r="AA1782" i="16"/>
  <c r="AA1614" i="16"/>
  <c r="AA1712" i="16"/>
  <c r="AA1624" i="16"/>
  <c r="AA1749" i="16"/>
  <c r="AA1709" i="16"/>
  <c r="AA1633" i="16"/>
  <c r="AA1617" i="16"/>
  <c r="AA1779" i="16"/>
  <c r="AA1739" i="16"/>
  <c r="AA1643" i="16"/>
  <c r="AA1627" i="16"/>
  <c r="AA1780" i="16"/>
  <c r="AA1636" i="16"/>
  <c r="AA1638" i="16"/>
  <c r="AA1746" i="16"/>
  <c r="AA1634" i="16"/>
  <c r="AA1742" i="16"/>
  <c r="AA1784" i="16"/>
  <c r="AA1704" i="16"/>
  <c r="AA1616" i="16"/>
  <c r="AA1705" i="16"/>
  <c r="AA1711" i="16"/>
  <c r="AA1628" i="16"/>
  <c r="AA1710" i="16"/>
  <c r="AA1629" i="16"/>
  <c r="AA1639" i="16"/>
  <c r="AA1622" i="16"/>
  <c r="AA1776" i="16"/>
  <c r="AA1785" i="16"/>
  <c r="AA1613" i="16"/>
  <c r="AA1623" i="16"/>
  <c r="AA1714" i="16"/>
  <c r="AA1640" i="16"/>
  <c r="AA1626" i="16"/>
  <c r="AA1745" i="16"/>
  <c r="AA1775" i="16"/>
  <c r="AA1748" i="16"/>
  <c r="AA1797" i="16"/>
  <c r="AA1757" i="16"/>
  <c r="AA1717" i="16"/>
  <c r="AA1661" i="16"/>
  <c r="AA1645" i="16"/>
  <c r="AA1753" i="16"/>
  <c r="AA1669" i="16"/>
  <c r="AA1649" i="16"/>
  <c r="AA1759" i="16"/>
  <c r="AA1719" i="16"/>
  <c r="AA1663" i="16"/>
  <c r="AA1647" i="16"/>
  <c r="AA1724" i="16"/>
  <c r="AA1652" i="16"/>
  <c r="AA1718" i="16"/>
  <c r="AA1762" i="16"/>
  <c r="AA1658" i="16"/>
  <c r="AA1662" i="16"/>
  <c r="AA1760" i="16"/>
  <c r="AA1664" i="16"/>
  <c r="AA1793" i="16"/>
  <c r="AA1725" i="16"/>
  <c r="AA1665" i="16"/>
  <c r="AA1799" i="16"/>
  <c r="AA1755" i="16"/>
  <c r="AA1715" i="16"/>
  <c r="AA1659" i="16"/>
  <c r="AA1796" i="16"/>
  <c r="AA1716" i="16"/>
  <c r="AA1644" i="16"/>
  <c r="AA1670" i="16"/>
  <c r="AA1754" i="16"/>
  <c r="AA1650" i="16"/>
  <c r="AA1646" i="16"/>
  <c r="AA1752" i="16"/>
  <c r="AA1656" i="16"/>
  <c r="AA1789" i="16"/>
  <c r="AA1721" i="16"/>
  <c r="AA1657" i="16"/>
  <c r="AA1795" i="16"/>
  <c r="AA1751" i="16"/>
  <c r="AA1671" i="16"/>
  <c r="AA1655" i="16"/>
  <c r="AA1788" i="16"/>
  <c r="AA1668" i="16"/>
  <c r="AA1798" i="16"/>
  <c r="AA1654" i="16"/>
  <c r="AA1722" i="16"/>
  <c r="AA1758" i="16"/>
  <c r="AA1800" i="16"/>
  <c r="AA1720" i="16"/>
  <c r="AA1648" i="16"/>
  <c r="AA1653" i="16"/>
  <c r="AA1651" i="16"/>
  <c r="AA1794" i="16"/>
  <c r="AA1672" i="16"/>
  <c r="AA1791" i="16"/>
  <c r="AA1756" i="16"/>
  <c r="AA1666" i="16"/>
  <c r="AA1761" i="16"/>
  <c r="AA1723" i="16"/>
  <c r="AA1660" i="16"/>
  <c r="AA1726" i="16"/>
  <c r="AA1792" i="16"/>
  <c r="AA1673" i="16"/>
  <c r="AA1667" i="16"/>
  <c r="AA1790" i="16"/>
  <c r="L9" i="26"/>
  <c r="J14" i="26"/>
  <c r="J15" i="26"/>
  <c r="X46" i="13"/>
  <c r="AA5" i="13"/>
  <c r="G5" i="28" s="1"/>
  <c r="X46" i="12"/>
  <c r="AA5" i="12"/>
  <c r="AA46" i="12" s="1"/>
  <c r="I14" i="25" l="1"/>
  <c r="I15" i="25"/>
  <c r="I11" i="25"/>
  <c r="I7" i="25"/>
  <c r="I13" i="25" s="1"/>
  <c r="L7" i="26"/>
  <c r="L13" i="26" s="1"/>
  <c r="AG1667" i="16"/>
  <c r="L1667" i="21"/>
  <c r="O1667" i="21" s="1"/>
  <c r="AG1756" i="16"/>
  <c r="L1756" i="21"/>
  <c r="O1756" i="21" s="1"/>
  <c r="AG1800" i="16"/>
  <c r="L1800" i="21"/>
  <c r="O1800" i="21" s="1"/>
  <c r="AG1671" i="16"/>
  <c r="L1671" i="21"/>
  <c r="O1671" i="21" s="1"/>
  <c r="AG1646" i="16"/>
  <c r="L1646" i="21"/>
  <c r="O1646" i="21" s="1"/>
  <c r="AG1715" i="16"/>
  <c r="L1715" i="21"/>
  <c r="O1715" i="21" s="1"/>
  <c r="L1725" i="21"/>
  <c r="O1725" i="21" s="1"/>
  <c r="AG1725" i="16"/>
  <c r="L1652" i="21"/>
  <c r="O1652" i="21" s="1"/>
  <c r="AG1652" i="16"/>
  <c r="AG1753" i="16"/>
  <c r="L1753" i="21"/>
  <c r="O1753" i="21" s="1"/>
  <c r="AG1745" i="16"/>
  <c r="L1745" i="21"/>
  <c r="O1745" i="21" s="1"/>
  <c r="AG1622" i="16"/>
  <c r="L1622" i="21"/>
  <c r="O1622" i="21" s="1"/>
  <c r="AG1704" i="16"/>
  <c r="L1704" i="21"/>
  <c r="O1704" i="21" s="1"/>
  <c r="AG1627" i="16"/>
  <c r="L1627" i="21"/>
  <c r="O1627" i="21" s="1"/>
  <c r="AG1624" i="16"/>
  <c r="L1624" i="21"/>
  <c r="O1624" i="21" s="1"/>
  <c r="AG1615" i="16"/>
  <c r="L1615" i="21"/>
  <c r="O1615" i="21" s="1"/>
  <c r="AG1777" i="16"/>
  <c r="L1777" i="21"/>
  <c r="O1777" i="21" s="1"/>
  <c r="AG1740" i="16"/>
  <c r="L1740" i="21"/>
  <c r="O1740" i="21" s="1"/>
  <c r="AG1741" i="16"/>
  <c r="L1741" i="21"/>
  <c r="O1741" i="21" s="1"/>
  <c r="AG1395" i="16"/>
  <c r="L1395" i="21"/>
  <c r="O1395" i="21" s="1"/>
  <c r="AG1399" i="16"/>
  <c r="L1399" i="21"/>
  <c r="O1399" i="21" s="1"/>
  <c r="AG1401" i="16"/>
  <c r="L1401" i="21"/>
  <c r="O1401" i="21" s="1"/>
  <c r="AG1533" i="16"/>
  <c r="L1533" i="21"/>
  <c r="O1533" i="21" s="1"/>
  <c r="AG844" i="16"/>
  <c r="L844" i="21"/>
  <c r="O844" i="21" s="1"/>
  <c r="AG492" i="16"/>
  <c r="L492" i="21"/>
  <c r="O492" i="21" s="1"/>
  <c r="AG1064" i="16"/>
  <c r="L1064" i="21"/>
  <c r="O1064" i="21" s="1"/>
  <c r="AG396" i="16"/>
  <c r="L396" i="21"/>
  <c r="AG411" i="16"/>
  <c r="L411" i="21"/>
  <c r="O411" i="21" s="1"/>
  <c r="L777" i="21"/>
  <c r="O777" i="21" s="1"/>
  <c r="AG777" i="16"/>
  <c r="AG514" i="16"/>
  <c r="L514" i="21"/>
  <c r="O514" i="21" s="1"/>
  <c r="L778" i="21"/>
  <c r="O778" i="21" s="1"/>
  <c r="AG778" i="16"/>
  <c r="L845" i="21"/>
  <c r="O845" i="21" s="1"/>
  <c r="AG845" i="16"/>
  <c r="AG500" i="16"/>
  <c r="L500" i="21"/>
  <c r="O500" i="21" s="1"/>
  <c r="AG680" i="16"/>
  <c r="L680" i="21"/>
  <c r="O680" i="21" s="1"/>
  <c r="AG410" i="16"/>
  <c r="L410" i="21"/>
  <c r="O410" i="21" s="1"/>
  <c r="L865" i="21"/>
  <c r="O865" i="21" s="1"/>
  <c r="AG865" i="16"/>
  <c r="AG1067" i="16"/>
  <c r="L1067" i="21"/>
  <c r="O1067" i="21" s="1"/>
  <c r="AG499" i="16"/>
  <c r="L499" i="21"/>
  <c r="O499" i="21" s="1"/>
  <c r="AG997" i="16"/>
  <c r="L997" i="21"/>
  <c r="O997" i="21" s="1"/>
  <c r="L668" i="21"/>
  <c r="O668" i="21" s="1"/>
  <c r="AG668" i="16"/>
  <c r="L978" i="21"/>
  <c r="O978" i="21" s="1"/>
  <c r="AG978" i="16"/>
  <c r="AG779" i="16"/>
  <c r="L779" i="21"/>
  <c r="O779" i="21" s="1"/>
  <c r="AG858" i="16"/>
  <c r="L858" i="21"/>
  <c r="O858" i="21" s="1"/>
  <c r="AG670" i="16"/>
  <c r="L670" i="21"/>
  <c r="O670" i="21" s="1"/>
  <c r="L401" i="21"/>
  <c r="O401" i="21" s="1"/>
  <c r="AG401" i="16"/>
  <c r="L869" i="21"/>
  <c r="O869" i="21" s="1"/>
  <c r="AG869" i="16"/>
  <c r="L775" i="21"/>
  <c r="O775" i="21" s="1"/>
  <c r="AG775" i="16"/>
  <c r="AG1000" i="16"/>
  <c r="L1000" i="21"/>
  <c r="O1000" i="21" s="1"/>
  <c r="AG657" i="16"/>
  <c r="L657" i="21"/>
  <c r="O657" i="21" s="1"/>
  <c r="AG874" i="16"/>
  <c r="L874" i="21"/>
  <c r="O874" i="21" s="1"/>
  <c r="AG1916" i="16"/>
  <c r="L1916" i="21"/>
  <c r="O1916" i="21" s="1"/>
  <c r="AG1825" i="16"/>
  <c r="L1825" i="21"/>
  <c r="O1825" i="21" s="1"/>
  <c r="AG1883" i="16"/>
  <c r="L1883" i="21"/>
  <c r="O1883" i="21" s="1"/>
  <c r="AG1884" i="16"/>
  <c r="L1884" i="21"/>
  <c r="O1884" i="21" s="1"/>
  <c r="AG1912" i="16"/>
  <c r="L1912" i="21"/>
  <c r="O1912" i="21" s="1"/>
  <c r="L1822" i="21"/>
  <c r="O1822" i="21" s="1"/>
  <c r="AG1822" i="16"/>
  <c r="AG1839" i="16"/>
  <c r="L1839" i="21"/>
  <c r="O1839" i="21" s="1"/>
  <c r="AG1813" i="16"/>
  <c r="L1813" i="21"/>
  <c r="O1813" i="21" s="1"/>
  <c r="AG1941" i="16"/>
  <c r="L1941" i="21"/>
  <c r="O1941" i="21" s="1"/>
  <c r="AG1842" i="16"/>
  <c r="L1842" i="21"/>
  <c r="O1842" i="21" s="1"/>
  <c r="AG1838" i="16"/>
  <c r="L1838" i="21"/>
  <c r="O1838" i="21" s="1"/>
  <c r="AG1859" i="16"/>
  <c r="L1859" i="21"/>
  <c r="O1859" i="21" s="1"/>
  <c r="L1849" i="21"/>
  <c r="O1849" i="21" s="1"/>
  <c r="AG1849" i="16"/>
  <c r="AG1832" i="16"/>
  <c r="L1832" i="21"/>
  <c r="O1832" i="21" s="1"/>
  <c r="AG1850" i="16"/>
  <c r="L1850" i="21"/>
  <c r="O1850" i="21" s="1"/>
  <c r="AG1908" i="16"/>
  <c r="L1908" i="21"/>
  <c r="O1908" i="21" s="1"/>
  <c r="AG1911" i="16"/>
  <c r="L1911" i="21"/>
  <c r="O1911" i="21" s="1"/>
  <c r="AG1837" i="16"/>
  <c r="L1837" i="21"/>
  <c r="O1837" i="21" s="1"/>
  <c r="AG1901" i="16"/>
  <c r="L1901" i="21"/>
  <c r="O1901" i="21" s="1"/>
  <c r="AG1514" i="16"/>
  <c r="L1514" i="21"/>
  <c r="AG1737" i="16"/>
  <c r="L1737" i="21"/>
  <c r="O1737" i="21" s="1"/>
  <c r="AG1681" i="16"/>
  <c r="L1681" i="21"/>
  <c r="O1681" i="21" s="1"/>
  <c r="AG1804" i="16"/>
  <c r="L1804" i="21"/>
  <c r="O1804" i="21" s="1"/>
  <c r="L1807" i="21"/>
  <c r="O1807" i="21" s="1"/>
  <c r="AG1807" i="16"/>
  <c r="AG1690" i="16"/>
  <c r="L1690" i="21"/>
  <c r="O1690" i="21" s="1"/>
  <c r="AG1767" i="16"/>
  <c r="L1767" i="21"/>
  <c r="O1767" i="21" s="1"/>
  <c r="L1806" i="21"/>
  <c r="O1806" i="21" s="1"/>
  <c r="AG1806" i="16"/>
  <c r="L1733" i="21"/>
  <c r="O1733" i="21" s="1"/>
  <c r="AG1733" i="16"/>
  <c r="AG1381" i="16"/>
  <c r="L1381" i="21"/>
  <c r="O1381" i="21" s="1"/>
  <c r="AG1378" i="16"/>
  <c r="L1378" i="21"/>
  <c r="O1378" i="21" s="1"/>
  <c r="L1388" i="21"/>
  <c r="O1388" i="21" s="1"/>
  <c r="AG1388" i="16"/>
  <c r="AG1462" i="16"/>
  <c r="L1462" i="21"/>
  <c r="O1462" i="21" s="1"/>
  <c r="AG1449" i="16"/>
  <c r="L1449" i="21"/>
  <c r="O1449" i="21" s="1"/>
  <c r="AG1435" i="16"/>
  <c r="L1435" i="21"/>
  <c r="O1435" i="21" s="1"/>
  <c r="AG1454" i="16"/>
  <c r="L1454" i="21"/>
  <c r="O1454" i="21" s="1"/>
  <c r="AG1441" i="16"/>
  <c r="L1441" i="21"/>
  <c r="O1441" i="21" s="1"/>
  <c r="AG1427" i="16"/>
  <c r="L1427" i="21"/>
  <c r="O1427" i="21" s="1"/>
  <c r="AG1993" i="16"/>
  <c r="L1993" i="21"/>
  <c r="O1993" i="21" s="1"/>
  <c r="AG1991" i="16"/>
  <c r="L1991" i="21"/>
  <c r="AG2005" i="16"/>
  <c r="L2005" i="21"/>
  <c r="O2005" i="21" s="1"/>
  <c r="AG1363" i="16"/>
  <c r="L1363" i="21"/>
  <c r="O1363" i="21" s="1"/>
  <c r="AG1367" i="16"/>
  <c r="L1367" i="21"/>
  <c r="O1367" i="21" s="1"/>
  <c r="AG1345" i="16"/>
  <c r="L1345" i="21"/>
  <c r="O1345" i="21" s="1"/>
  <c r="L1051" i="21"/>
  <c r="O1051" i="21" s="1"/>
  <c r="AG1051" i="16"/>
  <c r="AG550" i="16"/>
  <c r="L550" i="21"/>
  <c r="O550" i="21" s="1"/>
  <c r="AG737" i="16"/>
  <c r="L737" i="21"/>
  <c r="O737" i="21" s="1"/>
  <c r="L430" i="21"/>
  <c r="O430" i="21" s="1"/>
  <c r="AG430" i="16"/>
  <c r="AG962" i="16"/>
  <c r="L962" i="21"/>
  <c r="O962" i="21" s="1"/>
  <c r="AG1102" i="16"/>
  <c r="L1102" i="21"/>
  <c r="O1102" i="21" s="1"/>
  <c r="AG503" i="16"/>
  <c r="L503" i="21"/>
  <c r="O503" i="21" s="1"/>
  <c r="AG1033" i="16"/>
  <c r="L1033" i="21"/>
  <c r="O1033" i="21" s="1"/>
  <c r="AG741" i="16"/>
  <c r="L741" i="21"/>
  <c r="O741" i="21" s="1"/>
  <c r="AG434" i="16"/>
  <c r="L434" i="21"/>
  <c r="O434" i="21" s="1"/>
  <c r="AG943" i="16"/>
  <c r="L943" i="21"/>
  <c r="O943" i="21" s="1"/>
  <c r="AG545" i="16"/>
  <c r="L545" i="21"/>
  <c r="O545" i="21" s="1"/>
  <c r="AG1055" i="16"/>
  <c r="L1055" i="21"/>
  <c r="O1055" i="21" s="1"/>
  <c r="AG796" i="16"/>
  <c r="L796" i="21"/>
  <c r="O796" i="21" s="1"/>
  <c r="AG540" i="16"/>
  <c r="L540" i="21"/>
  <c r="O540" i="21" s="1"/>
  <c r="AG1094" i="16"/>
  <c r="L1094" i="21"/>
  <c r="O1094" i="21" s="1"/>
  <c r="AG948" i="16"/>
  <c r="L948" i="21"/>
  <c r="O948" i="21" s="1"/>
  <c r="AG730" i="16"/>
  <c r="L730" i="21"/>
  <c r="O730" i="21" s="1"/>
  <c r="L1332" i="21"/>
  <c r="O1332" i="21" s="1"/>
  <c r="L1316" i="21"/>
  <c r="O1316" i="21" s="1"/>
  <c r="L1264" i="21"/>
  <c r="O1264" i="21" s="1"/>
  <c r="L1248" i="21"/>
  <c r="O1248" i="21" s="1"/>
  <c r="L1331" i="21"/>
  <c r="O1331" i="21" s="1"/>
  <c r="L1315" i="21"/>
  <c r="O1315" i="21" s="1"/>
  <c r="L1249" i="21"/>
  <c r="O1249" i="21" s="1"/>
  <c r="L1185" i="21"/>
  <c r="O1185" i="21" s="1"/>
  <c r="L1321" i="21"/>
  <c r="O1321" i="21" s="1"/>
  <c r="L1263" i="21"/>
  <c r="O1263" i="21" s="1"/>
  <c r="L1247" i="21"/>
  <c r="O1247" i="21" s="1"/>
  <c r="L1179" i="21"/>
  <c r="O1179" i="21" s="1"/>
  <c r="L1191" i="21"/>
  <c r="O1191" i="21" s="1"/>
  <c r="L1176" i="21"/>
  <c r="O1176" i="21" s="1"/>
  <c r="L1250" i="21"/>
  <c r="O1250" i="21" s="1"/>
  <c r="L1177" i="21"/>
  <c r="O1177" i="21" s="1"/>
  <c r="L1178" i="21"/>
  <c r="O1178" i="21" s="1"/>
  <c r="L1328" i="21"/>
  <c r="O1328" i="21" s="1"/>
  <c r="L1333" i="21"/>
  <c r="O1333" i="21" s="1"/>
  <c r="L1260" i="21"/>
  <c r="O1260" i="21" s="1"/>
  <c r="L1244" i="21"/>
  <c r="O1244" i="21" s="1"/>
  <c r="L1326" i="21"/>
  <c r="O1326" i="21" s="1"/>
  <c r="L1261" i="21"/>
  <c r="O1261" i="21" s="1"/>
  <c r="L1245" i="21"/>
  <c r="O1245" i="21" s="1"/>
  <c r="L1181" i="21"/>
  <c r="O1181" i="21" s="1"/>
  <c r="L1338" i="21"/>
  <c r="O1338" i="21" s="1"/>
  <c r="L1259" i="21"/>
  <c r="O1259" i="21" s="1"/>
  <c r="L1243" i="21"/>
  <c r="O1243" i="21" s="1"/>
  <c r="L1335" i="21"/>
  <c r="O1335" i="21" s="1"/>
  <c r="L1188" i="21"/>
  <c r="O1188" i="21" s="1"/>
  <c r="L1262" i="21"/>
  <c r="O1262" i="21" s="1"/>
  <c r="L1246" i="21"/>
  <c r="O1246" i="21" s="1"/>
  <c r="L1187" i="21"/>
  <c r="O1187" i="21" s="1"/>
  <c r="L1107" i="21"/>
  <c r="O1107" i="21" s="1"/>
  <c r="AG1107" i="16"/>
  <c r="L1324" i="21"/>
  <c r="O1324" i="21" s="1"/>
  <c r="L1325" i="21"/>
  <c r="O1325" i="21" s="1"/>
  <c r="L1256" i="21"/>
  <c r="O1256" i="21" s="1"/>
  <c r="L1339" i="21"/>
  <c r="O1339" i="21" s="1"/>
  <c r="L1323" i="21"/>
  <c r="O1323" i="21" s="1"/>
  <c r="L1257" i="21"/>
  <c r="O1257" i="21" s="1"/>
  <c r="L1241" i="21"/>
  <c r="O1241" i="21" s="1"/>
  <c r="L1337" i="21"/>
  <c r="O1337" i="21" s="1"/>
  <c r="L1330" i="21"/>
  <c r="O1330" i="21" s="1"/>
  <c r="L1255" i="21"/>
  <c r="O1255" i="21" s="1"/>
  <c r="L1190" i="21"/>
  <c r="O1190" i="21" s="1"/>
  <c r="L1327" i="21"/>
  <c r="O1327" i="21" s="1"/>
  <c r="L1183" i="21"/>
  <c r="O1183" i="21" s="1"/>
  <c r="L1258" i="21"/>
  <c r="O1258" i="21" s="1"/>
  <c r="L1242" i="21"/>
  <c r="O1242" i="21" s="1"/>
  <c r="L1192" i="21"/>
  <c r="O1192" i="21" s="1"/>
  <c r="L1317" i="21"/>
  <c r="O1317" i="21" s="1"/>
  <c r="L1253" i="21"/>
  <c r="O1253" i="21" s="1"/>
  <c r="L1251" i="21"/>
  <c r="O1251" i="21" s="1"/>
  <c r="L1254" i="21"/>
  <c r="O1254" i="21" s="1"/>
  <c r="L1252" i="21"/>
  <c r="O1252" i="21" s="1"/>
  <c r="L1189" i="21"/>
  <c r="O1189" i="21" s="1"/>
  <c r="L1182" i="21"/>
  <c r="O1182" i="21" s="1"/>
  <c r="L1186" i="21"/>
  <c r="O1186" i="21" s="1"/>
  <c r="L1336" i="21"/>
  <c r="O1336" i="21" s="1"/>
  <c r="L1334" i="21"/>
  <c r="O1334" i="21" s="1"/>
  <c r="L1329" i="21"/>
  <c r="O1329" i="21" s="1"/>
  <c r="L1319" i="21"/>
  <c r="O1319" i="21" s="1"/>
  <c r="L1184" i="21"/>
  <c r="O1184" i="21" s="1"/>
  <c r="L1180" i="21"/>
  <c r="O1180" i="21" s="1"/>
  <c r="L1320" i="21"/>
  <c r="O1320" i="21" s="1"/>
  <c r="L1322" i="21"/>
  <c r="O1322" i="21" s="1"/>
  <c r="L1318" i="21"/>
  <c r="O1318" i="21" s="1"/>
  <c r="AG800" i="16"/>
  <c r="L800" i="21"/>
  <c r="O800" i="21" s="1"/>
  <c r="L508" i="21"/>
  <c r="O508" i="21" s="1"/>
  <c r="AG508" i="16"/>
  <c r="L1050" i="21"/>
  <c r="O1050" i="21" s="1"/>
  <c r="AG1050" i="16"/>
  <c r="L767" i="21"/>
  <c r="O767" i="21" s="1"/>
  <c r="AG767" i="16"/>
  <c r="AG537" i="16"/>
  <c r="L537" i="21"/>
  <c r="O537" i="21" s="1"/>
  <c r="L1047" i="21"/>
  <c r="O1047" i="21" s="1"/>
  <c r="AG1047" i="16"/>
  <c r="AG1673" i="16"/>
  <c r="L1673" i="21"/>
  <c r="O1673" i="21" s="1"/>
  <c r="AG1723" i="16"/>
  <c r="L1723" i="21"/>
  <c r="O1723" i="21" s="1"/>
  <c r="AG1791" i="16"/>
  <c r="L1791" i="21"/>
  <c r="O1791" i="21" s="1"/>
  <c r="L1653" i="21"/>
  <c r="O1653" i="21" s="1"/>
  <c r="AG1653" i="16"/>
  <c r="L1758" i="21"/>
  <c r="O1758" i="21" s="1"/>
  <c r="AG1758" i="16"/>
  <c r="L1668" i="21"/>
  <c r="O1668" i="21" s="1"/>
  <c r="AG1668" i="16"/>
  <c r="L1751" i="21"/>
  <c r="O1751" i="21" s="1"/>
  <c r="AG1751" i="16"/>
  <c r="AG1789" i="16"/>
  <c r="L1789" i="21"/>
  <c r="O1789" i="21" s="1"/>
  <c r="AG1650" i="16"/>
  <c r="L1650" i="21"/>
  <c r="O1650" i="21" s="1"/>
  <c r="AG1716" i="16"/>
  <c r="L1716" i="21"/>
  <c r="O1716" i="21" s="1"/>
  <c r="AG1755" i="16"/>
  <c r="L1755" i="21"/>
  <c r="O1755" i="21" s="1"/>
  <c r="AG1793" i="16"/>
  <c r="L1793" i="21"/>
  <c r="O1793" i="21" s="1"/>
  <c r="AG1658" i="16"/>
  <c r="L1658" i="21"/>
  <c r="O1658" i="21" s="1"/>
  <c r="AG1724" i="16"/>
  <c r="L1724" i="21"/>
  <c r="O1724" i="21" s="1"/>
  <c r="AG1759" i="16"/>
  <c r="L1759" i="21"/>
  <c r="O1759" i="21" s="1"/>
  <c r="AG1645" i="16"/>
  <c r="L1645" i="21"/>
  <c r="O1645" i="21" s="1"/>
  <c r="L1797" i="21"/>
  <c r="O1797" i="21" s="1"/>
  <c r="AG1797" i="16"/>
  <c r="AG1626" i="16"/>
  <c r="L1626" i="21"/>
  <c r="O1626" i="21" s="1"/>
  <c r="AG1613" i="16"/>
  <c r="L1613" i="21"/>
  <c r="AG1639" i="16"/>
  <c r="L1639" i="21"/>
  <c r="O1639" i="21" s="1"/>
  <c r="AG1711" i="16"/>
  <c r="L1711" i="21"/>
  <c r="O1711" i="21" s="1"/>
  <c r="L1784" i="21"/>
  <c r="O1784" i="21" s="1"/>
  <c r="AG1784" i="16"/>
  <c r="L1638" i="21"/>
  <c r="O1638" i="21" s="1"/>
  <c r="AG1638" i="16"/>
  <c r="AG1643" i="16"/>
  <c r="L1643" i="21"/>
  <c r="O1643" i="21" s="1"/>
  <c r="AG1633" i="16"/>
  <c r="L1633" i="21"/>
  <c r="O1633" i="21" s="1"/>
  <c r="AG1712" i="16"/>
  <c r="L1712" i="21"/>
  <c r="O1712" i="21" s="1"/>
  <c r="AG1778" i="16"/>
  <c r="L1778" i="21"/>
  <c r="O1778" i="21" s="1"/>
  <c r="AG1631" i="16"/>
  <c r="L1631" i="21"/>
  <c r="O1631" i="21" s="1"/>
  <c r="AG1621" i="16"/>
  <c r="L1621" i="21"/>
  <c r="O1621" i="21" s="1"/>
  <c r="L1632" i="21"/>
  <c r="O1632" i="21" s="1"/>
  <c r="AG1632" i="16"/>
  <c r="L1706" i="21"/>
  <c r="O1706" i="21" s="1"/>
  <c r="AG1706" i="16"/>
  <c r="L1619" i="21"/>
  <c r="O1619" i="21" s="1"/>
  <c r="AG1619" i="16"/>
  <c r="L1787" i="21"/>
  <c r="O1787" i="21" s="1"/>
  <c r="AG1787" i="16"/>
  <c r="L1781" i="21"/>
  <c r="O1781" i="21" s="1"/>
  <c r="AG1781" i="16"/>
  <c r="AG1414" i="16"/>
  <c r="L1414" i="21"/>
  <c r="O1414" i="21" s="1"/>
  <c r="AG1398" i="16"/>
  <c r="L1398" i="21"/>
  <c r="O1398" i="21" s="1"/>
  <c r="AG1402" i="16"/>
  <c r="L1402" i="21"/>
  <c r="O1402" i="21" s="1"/>
  <c r="AG1415" i="16"/>
  <c r="L1415" i="21"/>
  <c r="O1415" i="21" s="1"/>
  <c r="AG1396" i="16"/>
  <c r="L1396" i="21"/>
  <c r="O1396" i="21" s="1"/>
  <c r="L1394" i="21"/>
  <c r="O1394" i="21" s="1"/>
  <c r="AG1394" i="16"/>
  <c r="L1407" i="21"/>
  <c r="O1407" i="21" s="1"/>
  <c r="AG1407" i="16"/>
  <c r="AG681" i="16"/>
  <c r="L681" i="21"/>
  <c r="O681" i="21" s="1"/>
  <c r="AG515" i="16"/>
  <c r="L515" i="21"/>
  <c r="O515" i="21" s="1"/>
  <c r="AG672" i="16"/>
  <c r="L672" i="21"/>
  <c r="O672" i="21" s="1"/>
  <c r="AG413" i="16"/>
  <c r="L413" i="21"/>
  <c r="O413" i="21" s="1"/>
  <c r="AG531" i="16"/>
  <c r="L531" i="21"/>
  <c r="O531" i="21" s="1"/>
  <c r="AG773" i="16"/>
  <c r="L773" i="21"/>
  <c r="O773" i="21" s="1"/>
  <c r="AG525" i="16"/>
  <c r="L525" i="21"/>
  <c r="O525" i="21" s="1"/>
  <c r="L643" i="21"/>
  <c r="O643" i="21" s="1"/>
  <c r="AG643" i="16"/>
  <c r="AG640" i="16"/>
  <c r="L640" i="21"/>
  <c r="O640" i="21" s="1"/>
  <c r="AG649" i="16"/>
  <c r="L649" i="21"/>
  <c r="O649" i="21" s="1"/>
  <c r="AG491" i="16"/>
  <c r="L491" i="21"/>
  <c r="O491" i="21" s="1"/>
  <c r="AG679" i="16"/>
  <c r="L679" i="21"/>
  <c r="O679" i="21" s="1"/>
  <c r="AG989" i="16"/>
  <c r="L989" i="21"/>
  <c r="O989" i="21" s="1"/>
  <c r="AG400" i="16"/>
  <c r="L400" i="21"/>
  <c r="O400" i="21" s="1"/>
  <c r="AG644" i="16"/>
  <c r="L644" i="21"/>
  <c r="O644" i="21" s="1"/>
  <c r="AG857" i="16"/>
  <c r="L857" i="21"/>
  <c r="O857" i="21" s="1"/>
  <c r="AG1074" i="16"/>
  <c r="L1074" i="21"/>
  <c r="O1074" i="21" s="1"/>
  <c r="AG646" i="16"/>
  <c r="L646" i="21"/>
  <c r="O646" i="21" s="1"/>
  <c r="L880" i="21"/>
  <c r="O880" i="21" s="1"/>
  <c r="AG880" i="16"/>
  <c r="AG399" i="16"/>
  <c r="L399" i="21"/>
  <c r="O399" i="21" s="1"/>
  <c r="AG651" i="16"/>
  <c r="L651" i="21"/>
  <c r="O651" i="21" s="1"/>
  <c r="AG866" i="16"/>
  <c r="L866" i="21"/>
  <c r="O866" i="21" s="1"/>
  <c r="L528" i="21"/>
  <c r="O528" i="21" s="1"/>
  <c r="AG528" i="16"/>
  <c r="AG841" i="16"/>
  <c r="L841" i="21"/>
  <c r="O841" i="21" s="1"/>
  <c r="AG1062" i="16"/>
  <c r="L1062" i="21"/>
  <c r="O1062" i="21" s="1"/>
  <c r="AG518" i="16"/>
  <c r="L518" i="21"/>
  <c r="O518" i="21" s="1"/>
  <c r="L992" i="21"/>
  <c r="O992" i="21" s="1"/>
  <c r="AG992" i="16"/>
  <c r="AG665" i="16"/>
  <c r="L665" i="21"/>
  <c r="O665" i="21" s="1"/>
  <c r="AG527" i="16"/>
  <c r="L527" i="21"/>
  <c r="O527" i="21" s="1"/>
  <c r="AG850" i="16"/>
  <c r="L850" i="21"/>
  <c r="O850" i="21" s="1"/>
  <c r="AG1069" i="16"/>
  <c r="L1069" i="21"/>
  <c r="O1069" i="21" s="1"/>
  <c r="AG516" i="16"/>
  <c r="L516" i="21"/>
  <c r="O516" i="21" s="1"/>
  <c r="AG769" i="16"/>
  <c r="L769" i="21"/>
  <c r="O769" i="21" s="1"/>
  <c r="AG994" i="16"/>
  <c r="L994" i="21"/>
  <c r="O994" i="21" s="1"/>
  <c r="AG422" i="16"/>
  <c r="L422" i="21"/>
  <c r="O422" i="21" s="1"/>
  <c r="AG881" i="16"/>
  <c r="L881" i="21"/>
  <c r="O881" i="21" s="1"/>
  <c r="L521" i="21"/>
  <c r="O521" i="21" s="1"/>
  <c r="AG521" i="16"/>
  <c r="AG991" i="16"/>
  <c r="L991" i="21"/>
  <c r="O991" i="21" s="1"/>
  <c r="AG494" i="16"/>
  <c r="L494" i="21"/>
  <c r="O494" i="21" s="1"/>
  <c r="AG771" i="16"/>
  <c r="L771" i="21"/>
  <c r="O771" i="21" s="1"/>
  <c r="AG996" i="16"/>
  <c r="L996" i="21"/>
  <c r="O996" i="21" s="1"/>
  <c r="AG417" i="16"/>
  <c r="L417" i="21"/>
  <c r="O417" i="21" s="1"/>
  <c r="AG669" i="16"/>
  <c r="L669" i="21"/>
  <c r="O669" i="21" s="1"/>
  <c r="AG983" i="16"/>
  <c r="L983" i="21"/>
  <c r="O983" i="21" s="1"/>
  <c r="AG642" i="16"/>
  <c r="L642" i="21"/>
  <c r="O642" i="21" s="1"/>
  <c r="AG854" i="16"/>
  <c r="L854" i="21"/>
  <c r="O854" i="21" s="1"/>
  <c r="AG1072" i="16"/>
  <c r="L1072" i="21"/>
  <c r="O1072" i="21" s="1"/>
  <c r="AG517" i="16"/>
  <c r="L517" i="21"/>
  <c r="O517" i="21" s="1"/>
  <c r="AG673" i="16"/>
  <c r="L673" i="21"/>
  <c r="O673" i="21" s="1"/>
  <c r="AG987" i="16"/>
  <c r="L987" i="21"/>
  <c r="O987" i="21" s="1"/>
  <c r="L1937" i="21"/>
  <c r="O1937" i="21" s="1"/>
  <c r="AG1937" i="16"/>
  <c r="AG1934" i="16"/>
  <c r="L1934" i="21"/>
  <c r="O1934" i="21" s="1"/>
  <c r="L1873" i="21"/>
  <c r="O1873" i="21" s="1"/>
  <c r="AG1873" i="16"/>
  <c r="AG1948" i="16"/>
  <c r="L1948" i="21"/>
  <c r="O1948" i="21" s="1"/>
  <c r="AG1889" i="16"/>
  <c r="L1889" i="21"/>
  <c r="O1889" i="21" s="1"/>
  <c r="AG1954" i="16"/>
  <c r="L1975" i="21"/>
  <c r="O1975" i="21" s="1"/>
  <c r="L1959" i="21"/>
  <c r="O1959" i="21" s="1"/>
  <c r="L1972" i="21"/>
  <c r="O1972" i="21" s="1"/>
  <c r="L1986" i="21"/>
  <c r="O1986" i="21" s="1"/>
  <c r="L1970" i="21"/>
  <c r="O1970" i="21" s="1"/>
  <c r="L1984" i="21"/>
  <c r="O1984" i="21" s="1"/>
  <c r="L1985" i="21"/>
  <c r="O1985" i="21" s="1"/>
  <c r="L1990" i="21"/>
  <c r="O1990" i="21" s="1"/>
  <c r="L1958" i="21"/>
  <c r="O1958" i="21" s="1"/>
  <c r="L1987" i="21"/>
  <c r="O1987" i="21" s="1"/>
  <c r="L1971" i="21"/>
  <c r="O1971" i="21" s="1"/>
  <c r="L1955" i="21"/>
  <c r="O1955" i="21" s="1"/>
  <c r="L1964" i="21"/>
  <c r="O1964" i="21" s="1"/>
  <c r="L1981" i="21"/>
  <c r="O1981" i="21" s="1"/>
  <c r="L1965" i="21"/>
  <c r="O1965" i="21" s="1"/>
  <c r="L1976" i="21"/>
  <c r="O1976" i="21" s="1"/>
  <c r="L1977" i="21"/>
  <c r="O1977" i="21" s="1"/>
  <c r="L1982" i="21"/>
  <c r="O1982" i="21" s="1"/>
  <c r="L1954" i="21"/>
  <c r="O1954" i="21" s="1"/>
  <c r="L1983" i="21"/>
  <c r="O1983" i="21" s="1"/>
  <c r="L1967" i="21"/>
  <c r="O1967" i="21" s="1"/>
  <c r="L1988" i="21"/>
  <c r="O1988" i="21" s="1"/>
  <c r="L1956" i="21"/>
  <c r="O1956" i="21" s="1"/>
  <c r="L1978" i="21"/>
  <c r="O1978" i="21" s="1"/>
  <c r="L1962" i="21"/>
  <c r="O1962" i="21" s="1"/>
  <c r="L1968" i="21"/>
  <c r="O1968" i="21" s="1"/>
  <c r="L1969" i="21"/>
  <c r="O1969" i="21" s="1"/>
  <c r="L1974" i="21"/>
  <c r="O1974" i="21" s="1"/>
  <c r="L1989" i="21"/>
  <c r="O1989" i="21" s="1"/>
  <c r="L1961" i="21"/>
  <c r="O1961" i="21" s="1"/>
  <c r="L1980" i="21"/>
  <c r="O1980" i="21" s="1"/>
  <c r="L1979" i="21"/>
  <c r="O1979" i="21" s="1"/>
  <c r="L1973" i="21"/>
  <c r="O1973" i="21" s="1"/>
  <c r="L1966" i="21"/>
  <c r="O1966" i="21" s="1"/>
  <c r="L1960" i="21"/>
  <c r="O1960" i="21" s="1"/>
  <c r="L1963" i="21"/>
  <c r="O1963" i="21" s="1"/>
  <c r="L1957" i="21"/>
  <c r="O1957" i="21" s="1"/>
  <c r="AG1947" i="16"/>
  <c r="L1947" i="21"/>
  <c r="O1947" i="21" s="1"/>
  <c r="AG1830" i="16"/>
  <c r="L1830" i="21"/>
  <c r="O1830" i="21" s="1"/>
  <c r="L1835" i="21"/>
  <c r="O1835" i="21" s="1"/>
  <c r="AG1835" i="16"/>
  <c r="AG1816" i="16"/>
  <c r="L1816" i="21"/>
  <c r="O1816" i="21" s="1"/>
  <c r="AG1944" i="16"/>
  <c r="L1944" i="21"/>
  <c r="O1944" i="21" s="1"/>
  <c r="AG1866" i="16"/>
  <c r="L1866" i="21"/>
  <c r="O1866" i="21" s="1"/>
  <c r="AG1886" i="16"/>
  <c r="L1886" i="21"/>
  <c r="O1886" i="21" s="1"/>
  <c r="AG1892" i="16"/>
  <c r="L1892" i="21"/>
  <c r="O1892" i="21" s="1"/>
  <c r="AG1855" i="16"/>
  <c r="L1855" i="21"/>
  <c r="O1855" i="21" s="1"/>
  <c r="AG1919" i="16"/>
  <c r="L1919" i="21"/>
  <c r="O1919" i="21" s="1"/>
  <c r="AG1829" i="16"/>
  <c r="L1829" i="21"/>
  <c r="O1829" i="21" s="1"/>
  <c r="AG1893" i="16"/>
  <c r="L1893" i="21"/>
  <c r="O1893" i="21" s="1"/>
  <c r="AG1824" i="16"/>
  <c r="L1824" i="21"/>
  <c r="O1824" i="21" s="1"/>
  <c r="AG1952" i="16"/>
  <c r="L1952" i="21"/>
  <c r="O1952" i="21" s="1"/>
  <c r="AG1874" i="16"/>
  <c r="L1874" i="21"/>
  <c r="O1874" i="21" s="1"/>
  <c r="AG1902" i="16"/>
  <c r="L1902" i="21"/>
  <c r="O1902" i="21" s="1"/>
  <c r="AG1932" i="16"/>
  <c r="L1932" i="21"/>
  <c r="O1932" i="21" s="1"/>
  <c r="L1875" i="21"/>
  <c r="O1875" i="21" s="1"/>
  <c r="AG1875" i="16"/>
  <c r="AG1939" i="16"/>
  <c r="L1939" i="21"/>
  <c r="O1939" i="21" s="1"/>
  <c r="AG1865" i="16"/>
  <c r="L1865" i="21"/>
  <c r="O1865" i="21" s="1"/>
  <c r="AG1929" i="16"/>
  <c r="L1929" i="21"/>
  <c r="O1929" i="21" s="1"/>
  <c r="L1864" i="21"/>
  <c r="O1864" i="21" s="1"/>
  <c r="AG1864" i="16"/>
  <c r="L1878" i="21"/>
  <c r="O1878" i="21" s="1"/>
  <c r="AG1878" i="16"/>
  <c r="L1882" i="21"/>
  <c r="O1882" i="21" s="1"/>
  <c r="AG1882" i="16"/>
  <c r="L1918" i="21"/>
  <c r="O1918" i="21" s="1"/>
  <c r="AG1918" i="16"/>
  <c r="L1940" i="21"/>
  <c r="O1940" i="21" s="1"/>
  <c r="AG1940" i="16"/>
  <c r="AG1863" i="16"/>
  <c r="L1863" i="21"/>
  <c r="O1863" i="21" s="1"/>
  <c r="AG1927" i="16"/>
  <c r="L1927" i="21"/>
  <c r="O1927" i="21" s="1"/>
  <c r="AG1853" i="16"/>
  <c r="L1853" i="21"/>
  <c r="O1853" i="21" s="1"/>
  <c r="AG1917" i="16"/>
  <c r="L1917" i="21"/>
  <c r="O1917" i="21" s="1"/>
  <c r="AG1523" i="16"/>
  <c r="L1523" i="21"/>
  <c r="O1523" i="21" s="1"/>
  <c r="AG1520" i="16"/>
  <c r="L1520" i="21"/>
  <c r="O1520" i="21" s="1"/>
  <c r="L1515" i="21"/>
  <c r="O1515" i="21" s="1"/>
  <c r="AG1515" i="16"/>
  <c r="AG1697" i="16"/>
  <c r="L1697" i="21"/>
  <c r="O1697" i="21" s="1"/>
  <c r="AG1674" i="16"/>
  <c r="L1674" i="21"/>
  <c r="O1674" i="21" s="1"/>
  <c r="AG1730" i="16"/>
  <c r="L1730" i="21"/>
  <c r="O1730" i="21" s="1"/>
  <c r="AG1696" i="16"/>
  <c r="L1696" i="21"/>
  <c r="O1696" i="21" s="1"/>
  <c r="AG1728" i="16"/>
  <c r="L1728" i="21"/>
  <c r="O1728" i="21" s="1"/>
  <c r="AG1686" i="16"/>
  <c r="L1686" i="21"/>
  <c r="O1686" i="21" s="1"/>
  <c r="AG1683" i="16"/>
  <c r="L1683" i="21"/>
  <c r="O1683" i="21" s="1"/>
  <c r="AG1685" i="16"/>
  <c r="L1685" i="21"/>
  <c r="O1685" i="21" s="1"/>
  <c r="AG1680" i="16"/>
  <c r="L1680" i="21"/>
  <c r="O1680" i="21" s="1"/>
  <c r="AG1770" i="16"/>
  <c r="L1770" i="21"/>
  <c r="O1770" i="21" s="1"/>
  <c r="AG1812" i="16"/>
  <c r="L1812" i="21"/>
  <c r="O1812" i="21" s="1"/>
  <c r="AG1811" i="16"/>
  <c r="L1811" i="21"/>
  <c r="O1811" i="21" s="1"/>
  <c r="AG1809" i="16"/>
  <c r="L1809" i="21"/>
  <c r="O1809" i="21" s="1"/>
  <c r="AG1698" i="16"/>
  <c r="L1698" i="21"/>
  <c r="O1698" i="21" s="1"/>
  <c r="AG1764" i="16"/>
  <c r="L1764" i="21"/>
  <c r="O1764" i="21" s="1"/>
  <c r="AG1771" i="16"/>
  <c r="L1771" i="21"/>
  <c r="O1771" i="21" s="1"/>
  <c r="AG1773" i="16"/>
  <c r="L1773" i="21"/>
  <c r="O1773" i="21" s="1"/>
  <c r="AG1371" i="16"/>
  <c r="L1371" i="21"/>
  <c r="O1371" i="21" s="1"/>
  <c r="AG1374" i="16"/>
  <c r="L1374" i="21"/>
  <c r="O1374" i="21" s="1"/>
  <c r="AG1391" i="16"/>
  <c r="L1391" i="21"/>
  <c r="O1391" i="21" s="1"/>
  <c r="L1368" i="21"/>
  <c r="O1368" i="21" s="1"/>
  <c r="AG1368" i="16"/>
  <c r="AG1389" i="16"/>
  <c r="L1389" i="21"/>
  <c r="O1389" i="21" s="1"/>
  <c r="AG1383" i="16"/>
  <c r="L1383" i="21"/>
  <c r="O1383" i="21" s="1"/>
  <c r="L1464" i="21"/>
  <c r="O1464" i="21" s="1"/>
  <c r="AG1464" i="16"/>
  <c r="AG1431" i="16"/>
  <c r="L1431" i="21"/>
  <c r="O1431" i="21" s="1"/>
  <c r="L1447" i="21"/>
  <c r="O1447" i="21" s="1"/>
  <c r="AG1447" i="16"/>
  <c r="AG1418" i="16"/>
  <c r="L1418" i="21"/>
  <c r="O1418" i="21" s="1"/>
  <c r="AG1436" i="16"/>
  <c r="L1436" i="21"/>
  <c r="O1436" i="21" s="1"/>
  <c r="AG1451" i="16"/>
  <c r="L1451" i="21"/>
  <c r="O1451" i="21" s="1"/>
  <c r="AG1453" i="16"/>
  <c r="L1453" i="21"/>
  <c r="O1453" i="21" s="1"/>
  <c r="AG1424" i="16"/>
  <c r="L1424" i="21"/>
  <c r="O1424" i="21" s="1"/>
  <c r="AG1439" i="16"/>
  <c r="L1439" i="21"/>
  <c r="O1439" i="21" s="1"/>
  <c r="AG1457" i="16"/>
  <c r="L1457" i="21"/>
  <c r="O1457" i="21" s="1"/>
  <c r="AG1428" i="16"/>
  <c r="L1428" i="21"/>
  <c r="O1428" i="21" s="1"/>
  <c r="AG1443" i="16"/>
  <c r="L1443" i="21"/>
  <c r="O1443" i="21" s="1"/>
  <c r="AG2004" i="16"/>
  <c r="L2004" i="21"/>
  <c r="O2004" i="21" s="1"/>
  <c r="AG2008" i="16"/>
  <c r="L2008" i="21"/>
  <c r="O2008" i="21" s="1"/>
  <c r="AG1997" i="16"/>
  <c r="L1997" i="21"/>
  <c r="O1997" i="21" s="1"/>
  <c r="AG2007" i="16"/>
  <c r="L2007" i="21"/>
  <c r="O2007" i="21" s="1"/>
  <c r="L1996" i="21"/>
  <c r="O1996" i="21" s="1"/>
  <c r="AG1996" i="16"/>
  <c r="AG1530" i="16"/>
  <c r="L1530" i="21"/>
  <c r="O1530" i="21" s="1"/>
  <c r="AG1529" i="16"/>
  <c r="L1529" i="21"/>
  <c r="O1529" i="21" s="1"/>
  <c r="AG1365" i="16"/>
  <c r="L1365" i="21"/>
  <c r="O1365" i="21" s="1"/>
  <c r="AG1340" i="16"/>
  <c r="L1340" i="21"/>
  <c r="AG1344" i="16"/>
  <c r="L1344" i="21"/>
  <c r="O1344" i="21" s="1"/>
  <c r="AG1341" i="16"/>
  <c r="L1341" i="21"/>
  <c r="O1341" i="21" s="1"/>
  <c r="AG1348" i="16"/>
  <c r="L1348" i="21"/>
  <c r="O1348" i="21" s="1"/>
  <c r="L1361" i="21"/>
  <c r="O1361" i="21" s="1"/>
  <c r="AG1361" i="16"/>
  <c r="L1343" i="21"/>
  <c r="O1343" i="21" s="1"/>
  <c r="AG1343" i="16"/>
  <c r="AG512" i="16"/>
  <c r="L512" i="21"/>
  <c r="O512" i="21" s="1"/>
  <c r="L795" i="21"/>
  <c r="O795" i="21" s="1"/>
  <c r="AG795" i="16"/>
  <c r="AG1099" i="16"/>
  <c r="L1099" i="21"/>
  <c r="O1099" i="21" s="1"/>
  <c r="L510" i="21"/>
  <c r="O510" i="21" s="1"/>
  <c r="AG510" i="16"/>
  <c r="AG548" i="16"/>
  <c r="L548" i="21"/>
  <c r="O548" i="21" s="1"/>
  <c r="AG938" i="16"/>
  <c r="L938" i="21"/>
  <c r="O938" i="21" s="1"/>
  <c r="L958" i="21"/>
  <c r="O958" i="21" s="1"/>
  <c r="AG958" i="16"/>
  <c r="AG1036" i="16"/>
  <c r="L1036" i="21"/>
  <c r="O1036" i="21" s="1"/>
  <c r="L1093" i="21"/>
  <c r="O1093" i="21" s="1"/>
  <c r="AG1093" i="16"/>
  <c r="AG446" i="16"/>
  <c r="L446" i="21"/>
  <c r="O446" i="21" s="1"/>
  <c r="AG754" i="16"/>
  <c r="L754" i="21"/>
  <c r="O754" i="21" s="1"/>
  <c r="AG539" i="16"/>
  <c r="L539" i="21"/>
  <c r="O539" i="21" s="1"/>
  <c r="L768" i="21"/>
  <c r="O768" i="21" s="1"/>
  <c r="AG768" i="16"/>
  <c r="L1049" i="21"/>
  <c r="O1049" i="21" s="1"/>
  <c r="AG1049" i="16"/>
  <c r="AG536" i="16"/>
  <c r="L536" i="21"/>
  <c r="O536" i="21" s="1"/>
  <c r="AG757" i="16"/>
  <c r="L757" i="21"/>
  <c r="O757" i="21" s="1"/>
  <c r="AG1042" i="16"/>
  <c r="L1042" i="21"/>
  <c r="O1042" i="21" s="1"/>
  <c r="AG450" i="16"/>
  <c r="L450" i="21"/>
  <c r="O450" i="21" s="1"/>
  <c r="AG743" i="16"/>
  <c r="L743" i="21"/>
  <c r="O743" i="21" s="1"/>
  <c r="AG964" i="16"/>
  <c r="L964" i="21"/>
  <c r="O964" i="21" s="1"/>
  <c r="L429" i="21"/>
  <c r="O429" i="21" s="1"/>
  <c r="AG429" i="16"/>
  <c r="AG726" i="16"/>
  <c r="L726" i="21"/>
  <c r="O726" i="21" s="1"/>
  <c r="AG942" i="16"/>
  <c r="L942" i="21"/>
  <c r="O942" i="21" s="1"/>
  <c r="AG1103" i="16"/>
  <c r="L1103" i="21"/>
  <c r="O1103" i="21" s="1"/>
  <c r="L543" i="21"/>
  <c r="O543" i="21" s="1"/>
  <c r="AG543" i="16"/>
  <c r="AG939" i="16"/>
  <c r="L939" i="21"/>
  <c r="O939" i="21" s="1"/>
  <c r="AG1101" i="16"/>
  <c r="L1101" i="21"/>
  <c r="O1101" i="21" s="1"/>
  <c r="L729" i="21"/>
  <c r="O729" i="21" s="1"/>
  <c r="AG729" i="16"/>
  <c r="L951" i="21"/>
  <c r="O951" i="21" s="1"/>
  <c r="AG951" i="16"/>
  <c r="AG438" i="16"/>
  <c r="L438" i="21"/>
  <c r="O438" i="21" s="1"/>
  <c r="AG747" i="16"/>
  <c r="L747" i="21"/>
  <c r="O747" i="21" s="1"/>
  <c r="AG970" i="16"/>
  <c r="L970" i="21"/>
  <c r="O970" i="21" s="1"/>
  <c r="AG449" i="16"/>
  <c r="L449" i="21"/>
  <c r="O449" i="21" s="1"/>
  <c r="AG746" i="16"/>
  <c r="L746" i="21"/>
  <c r="O746" i="21" s="1"/>
  <c r="AG968" i="16"/>
  <c r="L968" i="21"/>
  <c r="O968" i="21" s="1"/>
  <c r="L431" i="21"/>
  <c r="O431" i="21" s="1"/>
  <c r="AG431" i="16"/>
  <c r="AG728" i="16"/>
  <c r="L728" i="21"/>
  <c r="O728" i="21" s="1"/>
  <c r="AG944" i="16"/>
  <c r="L944" i="21"/>
  <c r="O944" i="21" s="1"/>
  <c r="AG1105" i="16"/>
  <c r="L1105" i="21"/>
  <c r="O1105" i="21" s="1"/>
  <c r="AG544" i="16"/>
  <c r="L544" i="21"/>
  <c r="O544" i="21" s="1"/>
  <c r="AG935" i="16"/>
  <c r="L935" i="21"/>
  <c r="O935" i="21" s="1"/>
  <c r="AG1098" i="16"/>
  <c r="L1098" i="21"/>
  <c r="O1098" i="21" s="1"/>
  <c r="AG546" i="16"/>
  <c r="L546" i="21"/>
  <c r="O546" i="21" s="1"/>
  <c r="AG932" i="16"/>
  <c r="L932" i="21"/>
  <c r="O932" i="21" s="1"/>
  <c r="AG1096" i="16"/>
  <c r="L1096" i="21"/>
  <c r="O1096" i="21" s="1"/>
  <c r="AG553" i="16"/>
  <c r="L553" i="21"/>
  <c r="O553" i="21" s="1"/>
  <c r="AG931" i="16"/>
  <c r="L931" i="21"/>
  <c r="O931" i="21" s="1"/>
  <c r="AG1095" i="16"/>
  <c r="L1095" i="21"/>
  <c r="O1095" i="21" s="1"/>
  <c r="AG1660" i="16"/>
  <c r="L1660" i="21"/>
  <c r="O1660" i="21" s="1"/>
  <c r="AG1651" i="16"/>
  <c r="L1651" i="21"/>
  <c r="O1651" i="21" s="1"/>
  <c r="AG1798" i="16"/>
  <c r="L1798" i="21"/>
  <c r="O1798" i="21" s="1"/>
  <c r="AG1721" i="16"/>
  <c r="L1721" i="21"/>
  <c r="O1721" i="21" s="1"/>
  <c r="AG1644" i="16"/>
  <c r="L1644" i="21"/>
  <c r="O1644" i="21" s="1"/>
  <c r="L1662" i="21"/>
  <c r="O1662" i="21" s="1"/>
  <c r="AG1662" i="16"/>
  <c r="L1719" i="21"/>
  <c r="O1719" i="21" s="1"/>
  <c r="AG1719" i="16"/>
  <c r="AG1757" i="16"/>
  <c r="L1757" i="21"/>
  <c r="O1757" i="21" s="1"/>
  <c r="AG1623" i="16"/>
  <c r="L1623" i="21"/>
  <c r="O1623" i="21" s="1"/>
  <c r="AG1628" i="16"/>
  <c r="L1628" i="21"/>
  <c r="O1628" i="21" s="1"/>
  <c r="AG1746" i="16"/>
  <c r="L1746" i="21"/>
  <c r="O1746" i="21" s="1"/>
  <c r="AG1617" i="16"/>
  <c r="L1617" i="21"/>
  <c r="O1617" i="21" s="1"/>
  <c r="AG1642" i="16"/>
  <c r="L1642" i="21"/>
  <c r="O1642" i="21" s="1"/>
  <c r="AG1783" i="16"/>
  <c r="L1783" i="21"/>
  <c r="O1783" i="21" s="1"/>
  <c r="AG1618" i="16"/>
  <c r="L1618" i="21"/>
  <c r="O1618" i="21" s="1"/>
  <c r="AG1747" i="16"/>
  <c r="L1747" i="21"/>
  <c r="O1747" i="21" s="1"/>
  <c r="AG1409" i="16"/>
  <c r="L1409" i="21"/>
  <c r="O1409" i="21" s="1"/>
  <c r="AG1406" i="16"/>
  <c r="L1406" i="21"/>
  <c r="O1406" i="21" s="1"/>
  <c r="AG1416" i="16"/>
  <c r="L1416" i="21"/>
  <c r="O1416" i="21" s="1"/>
  <c r="L402" i="21"/>
  <c r="O402" i="21" s="1"/>
  <c r="AG402" i="16"/>
  <c r="AG976" i="16"/>
  <c r="L976" i="21"/>
  <c r="O976" i="21" s="1"/>
  <c r="L520" i="21"/>
  <c r="O520" i="21" s="1"/>
  <c r="AG520" i="16"/>
  <c r="L407" i="21"/>
  <c r="O407" i="21" s="1"/>
  <c r="AG407" i="16"/>
  <c r="AG666" i="16"/>
  <c r="L666" i="21"/>
  <c r="O666" i="21" s="1"/>
  <c r="AG663" i="16"/>
  <c r="L663" i="21"/>
  <c r="O663" i="21" s="1"/>
  <c r="AG883" i="16"/>
  <c r="L883" i="21"/>
  <c r="O883" i="21" s="1"/>
  <c r="AG524" i="16"/>
  <c r="L524" i="21"/>
  <c r="O524" i="21" s="1"/>
  <c r="L1002" i="21"/>
  <c r="O1002" i="21" s="1"/>
  <c r="AG1002" i="16"/>
  <c r="AG988" i="16"/>
  <c r="L988" i="21"/>
  <c r="O988" i="21" s="1"/>
  <c r="L523" i="21"/>
  <c r="O523" i="21" s="1"/>
  <c r="AG523" i="16"/>
  <c r="L1065" i="21"/>
  <c r="O1065" i="21" s="1"/>
  <c r="AG1065" i="16"/>
  <c r="AG990" i="16"/>
  <c r="L990" i="21"/>
  <c r="O990" i="21" s="1"/>
  <c r="AG497" i="16"/>
  <c r="L497" i="21"/>
  <c r="O497" i="21" s="1"/>
  <c r="AG772" i="16"/>
  <c r="L772" i="21"/>
  <c r="O772" i="21" s="1"/>
  <c r="AG424" i="16"/>
  <c r="L424" i="21"/>
  <c r="O424" i="21" s="1"/>
  <c r="AG398" i="16"/>
  <c r="L398" i="21"/>
  <c r="O398" i="21" s="1"/>
  <c r="L409" i="21"/>
  <c r="O409" i="21" s="1"/>
  <c r="AG409" i="16"/>
  <c r="AG414" i="16"/>
  <c r="L414" i="21"/>
  <c r="O414" i="21" s="1"/>
  <c r="AG980" i="16"/>
  <c r="L980" i="21"/>
  <c r="O980" i="21" s="1"/>
  <c r="AG653" i="16"/>
  <c r="L653" i="21"/>
  <c r="O653" i="21" s="1"/>
  <c r="AG526" i="16"/>
  <c r="L526" i="21"/>
  <c r="O526" i="21" s="1"/>
  <c r="AG421" i="16"/>
  <c r="L421" i="21"/>
  <c r="O421" i="21" s="1"/>
  <c r="AG1851" i="16"/>
  <c r="L1851" i="21"/>
  <c r="O1851" i="21" s="1"/>
  <c r="AG1820" i="16"/>
  <c r="L1820" i="21"/>
  <c r="O1820" i="21" s="1"/>
  <c r="AG1826" i="16"/>
  <c r="L1826" i="21"/>
  <c r="O1826" i="21" s="1"/>
  <c r="AG1872" i="16"/>
  <c r="L1872" i="21"/>
  <c r="O1872" i="21" s="1"/>
  <c r="AG1921" i="16"/>
  <c r="L1921" i="21"/>
  <c r="O1921" i="21" s="1"/>
  <c r="AG1834" i="16"/>
  <c r="L1834" i="21"/>
  <c r="O1834" i="21" s="1"/>
  <c r="L1860" i="21"/>
  <c r="O1860" i="21" s="1"/>
  <c r="AG1860" i="16"/>
  <c r="AG1903" i="16"/>
  <c r="L1903" i="21"/>
  <c r="O1903" i="21" s="1"/>
  <c r="AG1877" i="16"/>
  <c r="L1877" i="21"/>
  <c r="O1877" i="21" s="1"/>
  <c r="AG1920" i="16"/>
  <c r="L1920" i="21"/>
  <c r="O1920" i="21" s="1"/>
  <c r="AG1900" i="16"/>
  <c r="L1900" i="21"/>
  <c r="O1900" i="21" s="1"/>
  <c r="AG1923" i="16"/>
  <c r="L1923" i="21"/>
  <c r="O1923" i="21" s="1"/>
  <c r="L1913" i="21"/>
  <c r="O1913" i="21" s="1"/>
  <c r="AG1913" i="16"/>
  <c r="AG1814" i="16"/>
  <c r="L1814" i="21"/>
  <c r="O1814" i="21" s="1"/>
  <c r="AG1854" i="16"/>
  <c r="L1854" i="21"/>
  <c r="O1854" i="21" s="1"/>
  <c r="AG1847" i="16"/>
  <c r="L1847" i="21"/>
  <c r="O1847" i="21" s="1"/>
  <c r="L1519" i="21"/>
  <c r="O1519" i="21" s="1"/>
  <c r="AG1519" i="16"/>
  <c r="AG1522" i="16"/>
  <c r="L1522" i="21"/>
  <c r="O1522" i="21" s="1"/>
  <c r="AG1695" i="16"/>
  <c r="L1695" i="21"/>
  <c r="O1695" i="21" s="1"/>
  <c r="AG1801" i="16"/>
  <c r="L1801" i="21"/>
  <c r="O1801" i="21" s="1"/>
  <c r="AG1738" i="16"/>
  <c r="L1738" i="21"/>
  <c r="O1738" i="21" s="1"/>
  <c r="L1805" i="21"/>
  <c r="O1805" i="21" s="1"/>
  <c r="AG1805" i="16"/>
  <c r="AG1732" i="16"/>
  <c r="L1732" i="21"/>
  <c r="O1732" i="21" s="1"/>
  <c r="AG1769" i="16"/>
  <c r="L1769" i="21"/>
  <c r="O1769" i="21" s="1"/>
  <c r="L1684" i="21"/>
  <c r="O1684" i="21" s="1"/>
  <c r="AG1684" i="16"/>
  <c r="L1731" i="21"/>
  <c r="O1731" i="21" s="1"/>
  <c r="AG1731" i="16"/>
  <c r="AG1377" i="16"/>
  <c r="L1377" i="21"/>
  <c r="O1377" i="21" s="1"/>
  <c r="AG1375" i="16"/>
  <c r="L1375" i="21"/>
  <c r="O1375" i="21" s="1"/>
  <c r="L1373" i="21"/>
  <c r="O1373" i="21" s="1"/>
  <c r="AG1373" i="16"/>
  <c r="L1446" i="21"/>
  <c r="O1446" i="21" s="1"/>
  <c r="AG1446" i="16"/>
  <c r="L1432" i="21"/>
  <c r="O1432" i="21" s="1"/>
  <c r="AG1432" i="16"/>
  <c r="AG1420" i="16"/>
  <c r="L1420" i="21"/>
  <c r="O1420" i="21" s="1"/>
  <c r="AG1437" i="16"/>
  <c r="L1437" i="21"/>
  <c r="O1437" i="21" s="1"/>
  <c r="AG1423" i="16"/>
  <c r="L1423" i="21"/>
  <c r="O1423" i="21" s="1"/>
  <c r="AG1458" i="16"/>
  <c r="L1458" i="21"/>
  <c r="O1458" i="21" s="1"/>
  <c r="AG2009" i="16"/>
  <c r="L2009" i="21"/>
  <c r="O2009" i="21" s="1"/>
  <c r="AG2003" i="16"/>
  <c r="L2003" i="21"/>
  <c r="O2003" i="21" s="1"/>
  <c r="AG1994" i="16"/>
  <c r="L1994" i="21"/>
  <c r="O1994" i="21" s="1"/>
  <c r="AG1528" i="16"/>
  <c r="L1528" i="21"/>
  <c r="O1528" i="21" s="1"/>
  <c r="AG1349" i="16"/>
  <c r="L1349" i="21"/>
  <c r="O1349" i="21" s="1"/>
  <c r="AG1358" i="16"/>
  <c r="L1358" i="21"/>
  <c r="O1358" i="21" s="1"/>
  <c r="AG1362" i="16"/>
  <c r="L1362" i="21"/>
  <c r="O1362" i="21" s="1"/>
  <c r="AG1352" i="16"/>
  <c r="L1352" i="21"/>
  <c r="O1352" i="21" s="1"/>
  <c r="L971" i="21"/>
  <c r="O971" i="21" s="1"/>
  <c r="AG971" i="16"/>
  <c r="AG936" i="16"/>
  <c r="L936" i="21"/>
  <c r="O936" i="21" s="1"/>
  <c r="AG1045" i="16"/>
  <c r="L1045" i="21"/>
  <c r="O1045" i="21" s="1"/>
  <c r="L738" i="21"/>
  <c r="O738" i="21" s="1"/>
  <c r="AG738" i="16"/>
  <c r="L804" i="21"/>
  <c r="O804" i="21" s="1"/>
  <c r="AG804" i="16"/>
  <c r="AG505" i="16"/>
  <c r="L505" i="21"/>
  <c r="O505" i="21" s="1"/>
  <c r="AG752" i="16"/>
  <c r="L752" i="21"/>
  <c r="O752" i="21" s="1"/>
  <c r="AG452" i="16"/>
  <c r="L452" i="21"/>
  <c r="O452" i="21" s="1"/>
  <c r="AG967" i="16"/>
  <c r="L967" i="21"/>
  <c r="O967" i="21" s="1"/>
  <c r="AG727" i="16"/>
  <c r="L727" i="21"/>
  <c r="O727" i="21" s="1"/>
  <c r="AG1104" i="16"/>
  <c r="L1104" i="21"/>
  <c r="O1104" i="21" s="1"/>
  <c r="AG798" i="16"/>
  <c r="L798" i="21"/>
  <c r="O798" i="21" s="1"/>
  <c r="AG507" i="16"/>
  <c r="L507" i="21"/>
  <c r="O507" i="21" s="1"/>
  <c r="AG1053" i="16"/>
  <c r="L1053" i="21"/>
  <c r="O1053" i="21" s="1"/>
  <c r="AG801" i="16"/>
  <c r="L801" i="21"/>
  <c r="O801" i="21" s="1"/>
  <c r="AG731" i="16"/>
  <c r="L731" i="21"/>
  <c r="O731" i="21" s="1"/>
  <c r="L433" i="21"/>
  <c r="O433" i="21" s="1"/>
  <c r="AG433" i="16"/>
  <c r="AG947" i="16"/>
  <c r="L947" i="21"/>
  <c r="O947" i="21" s="1"/>
  <c r="AG547" i="16"/>
  <c r="L547" i="21"/>
  <c r="O547" i="21" s="1"/>
  <c r="AG1057" i="16"/>
  <c r="L1057" i="21"/>
  <c r="O1057" i="21" s="1"/>
  <c r="L765" i="21"/>
  <c r="O765" i="21" s="1"/>
  <c r="AG765" i="16"/>
  <c r="L506" i="21"/>
  <c r="O506" i="21" s="1"/>
  <c r="AG506" i="16"/>
  <c r="L1048" i="21"/>
  <c r="O1048" i="21" s="1"/>
  <c r="AG1048" i="16"/>
  <c r="L766" i="21"/>
  <c r="O766" i="21" s="1"/>
  <c r="AG766" i="16"/>
  <c r="AG1792" i="16"/>
  <c r="L1792" i="21"/>
  <c r="O1792" i="21" s="1"/>
  <c r="AG1761" i="16"/>
  <c r="L1761" i="21"/>
  <c r="O1761" i="21" s="1"/>
  <c r="AG1672" i="16"/>
  <c r="L1672" i="21"/>
  <c r="O1672" i="21" s="1"/>
  <c r="AG1648" i="16"/>
  <c r="L1648" i="21"/>
  <c r="O1648" i="21" s="1"/>
  <c r="AG1722" i="16"/>
  <c r="L1722" i="21"/>
  <c r="O1722" i="21" s="1"/>
  <c r="AG1788" i="16"/>
  <c r="L1788" i="21"/>
  <c r="O1788" i="21" s="1"/>
  <c r="AG1795" i="16"/>
  <c r="L1795" i="21"/>
  <c r="O1795" i="21" s="1"/>
  <c r="AG1656" i="16"/>
  <c r="L1656" i="21"/>
  <c r="O1656" i="21" s="1"/>
  <c r="AG1754" i="16"/>
  <c r="L1754" i="21"/>
  <c r="O1754" i="21" s="1"/>
  <c r="AG1796" i="16"/>
  <c r="L1796" i="21"/>
  <c r="O1796" i="21" s="1"/>
  <c r="AG1799" i="16"/>
  <c r="L1799" i="21"/>
  <c r="O1799" i="21" s="1"/>
  <c r="L1664" i="21"/>
  <c r="O1664" i="21" s="1"/>
  <c r="AG1664" i="16"/>
  <c r="AG1762" i="16"/>
  <c r="L1762" i="21"/>
  <c r="O1762" i="21" s="1"/>
  <c r="L1647" i="21"/>
  <c r="O1647" i="21" s="1"/>
  <c r="AG1647" i="16"/>
  <c r="AG1649" i="16"/>
  <c r="L1649" i="21"/>
  <c r="O1649" i="21" s="1"/>
  <c r="AG1661" i="16"/>
  <c r="L1661" i="21"/>
  <c r="O1661" i="21" s="1"/>
  <c r="AG1748" i="16"/>
  <c r="L1748" i="21"/>
  <c r="O1748" i="21" s="1"/>
  <c r="AG1640" i="16"/>
  <c r="L1640" i="21"/>
  <c r="O1640" i="21" s="1"/>
  <c r="AG1785" i="16"/>
  <c r="L1785" i="21"/>
  <c r="O1785" i="21" s="1"/>
  <c r="AG1629" i="16"/>
  <c r="L1629" i="21"/>
  <c r="O1629" i="21" s="1"/>
  <c r="AG1705" i="16"/>
  <c r="L1705" i="21"/>
  <c r="O1705" i="21" s="1"/>
  <c r="AG1742" i="16"/>
  <c r="L1742" i="21"/>
  <c r="O1742" i="21" s="1"/>
  <c r="AG1636" i="16"/>
  <c r="L1636" i="21"/>
  <c r="O1636" i="21" s="1"/>
  <c r="AG1739" i="16"/>
  <c r="L1739" i="21"/>
  <c r="O1739" i="21" s="1"/>
  <c r="AG1709" i="16"/>
  <c r="L1709" i="21"/>
  <c r="O1709" i="21" s="1"/>
  <c r="AG1614" i="16"/>
  <c r="L1614" i="21"/>
  <c r="O1614" i="21" s="1"/>
  <c r="AG1750" i="16"/>
  <c r="L1750" i="21"/>
  <c r="O1750" i="21" s="1"/>
  <c r="AG1703" i="16"/>
  <c r="L1703" i="21"/>
  <c r="O1703" i="21" s="1"/>
  <c r="AG1637" i="16"/>
  <c r="L1637" i="21"/>
  <c r="O1637" i="21" s="1"/>
  <c r="AG1744" i="16"/>
  <c r="L1744" i="21"/>
  <c r="O1744" i="21" s="1"/>
  <c r="AG1786" i="16"/>
  <c r="L1786" i="21"/>
  <c r="O1786" i="21" s="1"/>
  <c r="AG1635" i="16"/>
  <c r="L1635" i="21"/>
  <c r="O1635" i="21" s="1"/>
  <c r="AG1625" i="16"/>
  <c r="L1625" i="21"/>
  <c r="O1625" i="21" s="1"/>
  <c r="AG1404" i="16"/>
  <c r="L1404" i="21"/>
  <c r="O1404" i="21" s="1"/>
  <c r="AG1411" i="16"/>
  <c r="L1411" i="21"/>
  <c r="O1411" i="21" s="1"/>
  <c r="AG1392" i="16"/>
  <c r="L1392" i="21"/>
  <c r="O1392" i="21" s="1"/>
  <c r="AG1397" i="16"/>
  <c r="L1397" i="21"/>
  <c r="O1397" i="21" s="1"/>
  <c r="AG1412" i="16"/>
  <c r="L1412" i="21"/>
  <c r="O1412" i="21" s="1"/>
  <c r="AG1410" i="16"/>
  <c r="L1410" i="21"/>
  <c r="O1410" i="21" s="1"/>
  <c r="AG1531" i="16"/>
  <c r="L1531" i="21"/>
  <c r="O1531" i="21" s="1"/>
  <c r="AG1532" i="16"/>
  <c r="L1532" i="21"/>
  <c r="O1532" i="21" s="1"/>
  <c r="AG423" i="16"/>
  <c r="L423" i="21"/>
  <c r="O423" i="21" s="1"/>
  <c r="AG659" i="16"/>
  <c r="L659" i="21"/>
  <c r="O659" i="21" s="1"/>
  <c r="AG877" i="16"/>
  <c r="L877" i="21"/>
  <c r="O877" i="21" s="1"/>
  <c r="L675" i="21"/>
  <c r="O675" i="21" s="1"/>
  <c r="AG675" i="16"/>
  <c r="AG982" i="16"/>
  <c r="L982" i="21"/>
  <c r="O982" i="21" s="1"/>
  <c r="AG864" i="16"/>
  <c r="L864" i="21"/>
  <c r="O864" i="21" s="1"/>
  <c r="AG776" i="16"/>
  <c r="L776" i="21"/>
  <c r="O776" i="21" s="1"/>
  <c r="AG998" i="16"/>
  <c r="L998" i="21"/>
  <c r="O998" i="21" s="1"/>
  <c r="AG995" i="16"/>
  <c r="L995" i="21"/>
  <c r="O995" i="21" s="1"/>
  <c r="AG856" i="16"/>
  <c r="L856" i="21"/>
  <c r="O856" i="21" s="1"/>
  <c r="AG852" i="16"/>
  <c r="L852" i="21"/>
  <c r="O852" i="21" s="1"/>
  <c r="AG519" i="16"/>
  <c r="L519" i="21"/>
  <c r="O519" i="21" s="1"/>
  <c r="AG780" i="16"/>
  <c r="L780" i="21"/>
  <c r="O780" i="21" s="1"/>
  <c r="AG1061" i="16"/>
  <c r="L1061" i="21"/>
  <c r="O1061" i="21" s="1"/>
  <c r="AG416" i="16"/>
  <c r="L416" i="21"/>
  <c r="O416" i="21" s="1"/>
  <c r="L660" i="21"/>
  <c r="O660" i="21" s="1"/>
  <c r="AG660" i="16"/>
  <c r="L878" i="21"/>
  <c r="O878" i="21" s="1"/>
  <c r="AG878" i="16"/>
  <c r="AG678" i="16"/>
  <c r="L678" i="21"/>
  <c r="O678" i="21" s="1"/>
  <c r="AG493" i="16"/>
  <c r="L493" i="21"/>
  <c r="O493" i="21" s="1"/>
  <c r="L1063" i="21"/>
  <c r="O1063" i="21" s="1"/>
  <c r="AG1063" i="16"/>
  <c r="L415" i="21"/>
  <c r="O415" i="21" s="1"/>
  <c r="AG415" i="16"/>
  <c r="L667" i="21"/>
  <c r="O667" i="21" s="1"/>
  <c r="AG667" i="16"/>
  <c r="L977" i="21"/>
  <c r="O977" i="21" s="1"/>
  <c r="AG977" i="16"/>
  <c r="AG404" i="16"/>
  <c r="L404" i="21"/>
  <c r="O404" i="21" s="1"/>
  <c r="AG648" i="16"/>
  <c r="L648" i="21"/>
  <c r="O648" i="21" s="1"/>
  <c r="AG862" i="16"/>
  <c r="L862" i="21"/>
  <c r="O862" i="21" s="1"/>
  <c r="L650" i="21"/>
  <c r="O650" i="21" s="1"/>
  <c r="AG650" i="16"/>
  <c r="AG842" i="16"/>
  <c r="L842" i="21"/>
  <c r="O842" i="21" s="1"/>
  <c r="AG403" i="16"/>
  <c r="L403" i="21"/>
  <c r="O403" i="21" s="1"/>
  <c r="AG655" i="16"/>
  <c r="L655" i="21"/>
  <c r="O655" i="21" s="1"/>
  <c r="AG872" i="16"/>
  <c r="L872" i="21"/>
  <c r="O872" i="21" s="1"/>
  <c r="AG532" i="16"/>
  <c r="L532" i="21"/>
  <c r="O532" i="21" s="1"/>
  <c r="AG846" i="16"/>
  <c r="L846" i="21"/>
  <c r="O846" i="21" s="1"/>
  <c r="L1066" i="21"/>
  <c r="O1066" i="21" s="1"/>
  <c r="AG1066" i="16"/>
  <c r="AG530" i="16"/>
  <c r="L530" i="21"/>
  <c r="O530" i="21" s="1"/>
  <c r="AG1060" i="16"/>
  <c r="L1060" i="21"/>
  <c r="O1060" i="21" s="1"/>
  <c r="AG645" i="16"/>
  <c r="L645" i="21"/>
  <c r="O645" i="21" s="1"/>
  <c r="AG522" i="16"/>
  <c r="L522" i="21"/>
  <c r="O522" i="21" s="1"/>
  <c r="AG849" i="16"/>
  <c r="L849" i="21"/>
  <c r="O849" i="21" s="1"/>
  <c r="AG1068" i="16"/>
  <c r="L1068" i="21"/>
  <c r="O1068" i="21" s="1"/>
  <c r="L501" i="21"/>
  <c r="O501" i="21" s="1"/>
  <c r="AG501" i="16"/>
  <c r="L770" i="21"/>
  <c r="O770" i="21" s="1"/>
  <c r="AG770" i="16"/>
  <c r="AG999" i="16"/>
  <c r="L999" i="21"/>
  <c r="O999" i="21" s="1"/>
  <c r="AG418" i="16"/>
  <c r="L418" i="21"/>
  <c r="O418" i="21" s="1"/>
  <c r="AG658" i="16"/>
  <c r="L658" i="21"/>
  <c r="O658" i="21" s="1"/>
  <c r="L876" i="21"/>
  <c r="O876" i="21" s="1"/>
  <c r="AG876" i="16"/>
  <c r="AG533" i="16"/>
  <c r="L533" i="21"/>
  <c r="O533" i="21" s="1"/>
  <c r="AG774" i="16"/>
  <c r="L774" i="21"/>
  <c r="O774" i="21" s="1"/>
  <c r="AG1003" i="16"/>
  <c r="L1003" i="21"/>
  <c r="O1003" i="21" s="1"/>
  <c r="AG1890" i="16"/>
  <c r="L1890" i="21"/>
  <c r="O1890" i="21" s="1"/>
  <c r="AG1894" i="16"/>
  <c r="L1894" i="21"/>
  <c r="O1894" i="21" s="1"/>
  <c r="AG1936" i="16"/>
  <c r="L1936" i="21"/>
  <c r="O1936" i="21" s="1"/>
  <c r="L1867" i="21"/>
  <c r="O1867" i="21" s="1"/>
  <c r="AG1867" i="16"/>
  <c r="AG1953" i="16"/>
  <c r="L1953" i="21"/>
  <c r="O1953" i="21" s="1"/>
  <c r="AG1852" i="16"/>
  <c r="L1852" i="21"/>
  <c r="O1852" i="21" s="1"/>
  <c r="L1841" i="21"/>
  <c r="O1841" i="21" s="1"/>
  <c r="AG1841" i="16"/>
  <c r="AG1858" i="16"/>
  <c r="L1858" i="21"/>
  <c r="O1858" i="21" s="1"/>
  <c r="L1899" i="21"/>
  <c r="O1899" i="21" s="1"/>
  <c r="AG1899" i="16"/>
  <c r="L1848" i="21"/>
  <c r="O1848" i="21" s="1"/>
  <c r="AG1848" i="16"/>
  <c r="L1846" i="21"/>
  <c r="O1846" i="21" s="1"/>
  <c r="AG1846" i="16"/>
  <c r="L1898" i="21"/>
  <c r="O1898" i="21" s="1"/>
  <c r="AG1898" i="16"/>
  <c r="AG1950" i="16"/>
  <c r="L1950" i="21"/>
  <c r="O1950" i="21" s="1"/>
  <c r="L1924" i="21"/>
  <c r="O1924" i="21" s="1"/>
  <c r="AG1924" i="16"/>
  <c r="AG1871" i="16"/>
  <c r="L1871" i="21"/>
  <c r="O1871" i="21" s="1"/>
  <c r="AG1935" i="16"/>
  <c r="L1935" i="21"/>
  <c r="O1935" i="21" s="1"/>
  <c r="AG1845" i="16"/>
  <c r="L1845" i="21"/>
  <c r="O1845" i="21" s="1"/>
  <c r="AG1909" i="16"/>
  <c r="L1909" i="21"/>
  <c r="O1909" i="21" s="1"/>
  <c r="AG1856" i="16"/>
  <c r="L1856" i="21"/>
  <c r="O1856" i="21" s="1"/>
  <c r="AG1862" i="16"/>
  <c r="L1862" i="21"/>
  <c r="O1862" i="21" s="1"/>
  <c r="AG1906" i="16"/>
  <c r="L1906" i="21"/>
  <c r="O1906" i="21" s="1"/>
  <c r="AG1836" i="16"/>
  <c r="L1836" i="21"/>
  <c r="O1836" i="21" s="1"/>
  <c r="AG1827" i="16"/>
  <c r="L1827" i="21"/>
  <c r="O1827" i="21" s="1"/>
  <c r="AG1891" i="16"/>
  <c r="L1891" i="21"/>
  <c r="O1891" i="21" s="1"/>
  <c r="L1817" i="21"/>
  <c r="O1817" i="21" s="1"/>
  <c r="AG1817" i="16"/>
  <c r="L1881" i="21"/>
  <c r="O1881" i="21" s="1"/>
  <c r="AG1881" i="16"/>
  <c r="L1945" i="21"/>
  <c r="O1945" i="21" s="1"/>
  <c r="AG1945" i="16"/>
  <c r="AG1896" i="16"/>
  <c r="L1896" i="21"/>
  <c r="O1896" i="21" s="1"/>
  <c r="AG1942" i="16"/>
  <c r="L1942" i="21"/>
  <c r="O1942" i="21" s="1"/>
  <c r="AG1914" i="16"/>
  <c r="L1914" i="21"/>
  <c r="O1914" i="21" s="1"/>
  <c r="AG1844" i="16"/>
  <c r="L1844" i="21"/>
  <c r="O1844" i="21" s="1"/>
  <c r="AG1815" i="16"/>
  <c r="L1815" i="21"/>
  <c r="O1815" i="21" s="1"/>
  <c r="AG1879" i="16"/>
  <c r="L1879" i="21"/>
  <c r="O1879" i="21" s="1"/>
  <c r="AG1943" i="16"/>
  <c r="L1943" i="21"/>
  <c r="O1943" i="21" s="1"/>
  <c r="AG1869" i="16"/>
  <c r="L1869" i="21"/>
  <c r="O1869" i="21" s="1"/>
  <c r="AG1933" i="16"/>
  <c r="L1933" i="21"/>
  <c r="O1933" i="21" s="1"/>
  <c r="AG1516" i="16"/>
  <c r="L1516" i="21"/>
  <c r="O1516" i="21" s="1"/>
  <c r="AG1518" i="16"/>
  <c r="L1518" i="21"/>
  <c r="O1518" i="21" s="1"/>
  <c r="AG1808" i="16"/>
  <c r="L1808" i="21"/>
  <c r="O1808" i="21" s="1"/>
  <c r="AG1692" i="16"/>
  <c r="L1692" i="21"/>
  <c r="O1692" i="21" s="1"/>
  <c r="AG1772" i="16"/>
  <c r="L1772" i="21"/>
  <c r="O1772" i="21" s="1"/>
  <c r="AG1810" i="16"/>
  <c r="L1810" i="21"/>
  <c r="O1810" i="21" s="1"/>
  <c r="AG1678" i="16"/>
  <c r="L1678" i="21"/>
  <c r="O1678" i="21" s="1"/>
  <c r="AG1774" i="16"/>
  <c r="L1774" i="21"/>
  <c r="O1774" i="21" s="1"/>
  <c r="L1699" i="21"/>
  <c r="O1699" i="21" s="1"/>
  <c r="AG1699" i="16"/>
  <c r="AG1701" i="16"/>
  <c r="L1701" i="21"/>
  <c r="O1701" i="21" s="1"/>
  <c r="AG1736" i="16"/>
  <c r="L1736" i="21"/>
  <c r="O1736" i="21" s="1"/>
  <c r="AG1702" i="16"/>
  <c r="L1702" i="21"/>
  <c r="O1702" i="21" s="1"/>
  <c r="AG1687" i="16"/>
  <c r="L1687" i="21"/>
  <c r="O1687" i="21" s="1"/>
  <c r="AG1689" i="16"/>
  <c r="L1689" i="21"/>
  <c r="O1689" i="21" s="1"/>
  <c r="L1688" i="21"/>
  <c r="O1688" i="21" s="1"/>
  <c r="AG1688" i="16"/>
  <c r="L1802" i="21"/>
  <c r="O1802" i="21" s="1"/>
  <c r="AG1802" i="16"/>
  <c r="L1675" i="21"/>
  <c r="O1675" i="21" s="1"/>
  <c r="AG1675" i="16"/>
  <c r="L1677" i="21"/>
  <c r="O1677" i="21" s="1"/>
  <c r="AG1677" i="16"/>
  <c r="AG1386" i="16"/>
  <c r="L1386" i="21"/>
  <c r="O1386" i="21" s="1"/>
  <c r="AG1370" i="16"/>
  <c r="L1370" i="21"/>
  <c r="O1370" i="21" s="1"/>
  <c r="AG1390" i="16"/>
  <c r="L1390" i="21"/>
  <c r="O1390" i="21" s="1"/>
  <c r="AG1369" i="16"/>
  <c r="L1369" i="21"/>
  <c r="O1369" i="21" s="1"/>
  <c r="AG1384" i="16"/>
  <c r="L1384" i="21"/>
  <c r="O1384" i="21" s="1"/>
  <c r="L1382" i="21"/>
  <c r="O1382" i="21" s="1"/>
  <c r="AG1382" i="16"/>
  <c r="AG1448" i="16"/>
  <c r="L1448" i="21"/>
  <c r="O1448" i="21" s="1"/>
  <c r="AG1463" i="16"/>
  <c r="L1463" i="21"/>
  <c r="O1463" i="21" s="1"/>
  <c r="AG1430" i="16"/>
  <c r="L1430" i="21"/>
  <c r="O1430" i="21" s="1"/>
  <c r="L1611" i="21"/>
  <c r="O1611" i="21" s="1"/>
  <c r="L1603" i="21"/>
  <c r="O1603" i="21" s="1"/>
  <c r="L1595" i="21"/>
  <c r="O1595" i="21" s="1"/>
  <c r="L1587" i="21"/>
  <c r="O1587" i="21" s="1"/>
  <c r="L1579" i="21"/>
  <c r="O1579" i="21" s="1"/>
  <c r="L1571" i="21"/>
  <c r="O1571" i="21" s="1"/>
  <c r="L1563" i="21"/>
  <c r="O1563" i="21" s="1"/>
  <c r="L1592" i="21"/>
  <c r="O1592" i="21" s="1"/>
  <c r="L1560" i="21"/>
  <c r="O1560" i="21" s="1"/>
  <c r="L1586" i="21"/>
  <c r="O1586" i="21" s="1"/>
  <c r="L1559" i="21"/>
  <c r="O1559" i="21" s="1"/>
  <c r="L1551" i="21"/>
  <c r="O1551" i="21" s="1"/>
  <c r="L1543" i="21"/>
  <c r="O1543" i="21" s="1"/>
  <c r="L1535" i="21"/>
  <c r="O1535" i="21" s="1"/>
  <c r="L1588" i="21"/>
  <c r="O1588" i="21" s="1"/>
  <c r="L1556" i="21"/>
  <c r="O1556" i="21" s="1"/>
  <c r="L1582" i="21"/>
  <c r="O1582" i="21" s="1"/>
  <c r="L1538" i="21"/>
  <c r="O1538" i="21" s="1"/>
  <c r="L1606" i="21"/>
  <c r="O1606" i="21" s="1"/>
  <c r="L1417" i="21"/>
  <c r="O1417" i="21" s="1"/>
  <c r="L1609" i="21"/>
  <c r="O1609" i="21" s="1"/>
  <c r="L1601" i="21"/>
  <c r="O1601" i="21" s="1"/>
  <c r="L1593" i="21"/>
  <c r="O1593" i="21" s="1"/>
  <c r="L1585" i="21"/>
  <c r="O1585" i="21" s="1"/>
  <c r="L1577" i="21"/>
  <c r="O1577" i="21" s="1"/>
  <c r="L1569" i="21"/>
  <c r="O1569" i="21" s="1"/>
  <c r="L1561" i="21"/>
  <c r="O1561" i="21" s="1"/>
  <c r="L1584" i="21"/>
  <c r="O1584" i="21" s="1"/>
  <c r="L1610" i="21"/>
  <c r="O1610" i="21" s="1"/>
  <c r="L1578" i="21"/>
  <c r="O1578" i="21" s="1"/>
  <c r="L1557" i="21"/>
  <c r="O1557" i="21" s="1"/>
  <c r="L1549" i="21"/>
  <c r="O1549" i="21" s="1"/>
  <c r="L1541" i="21"/>
  <c r="O1541" i="21" s="1"/>
  <c r="L1612" i="21"/>
  <c r="O1612" i="21" s="1"/>
  <c r="L1580" i="21"/>
  <c r="O1580" i="21" s="1"/>
  <c r="L1548" i="21"/>
  <c r="O1548" i="21" s="1"/>
  <c r="L1566" i="21"/>
  <c r="O1566" i="21" s="1"/>
  <c r="L1552" i="21"/>
  <c r="O1552" i="21" s="1"/>
  <c r="L1574" i="21"/>
  <c r="O1574" i="21" s="1"/>
  <c r="L1590" i="21"/>
  <c r="O1590" i="21" s="1"/>
  <c r="L1607" i="21"/>
  <c r="O1607" i="21" s="1"/>
  <c r="L1599" i="21"/>
  <c r="O1599" i="21" s="1"/>
  <c r="L1591" i="21"/>
  <c r="O1591" i="21" s="1"/>
  <c r="L1583" i="21"/>
  <c r="O1583" i="21" s="1"/>
  <c r="L1575" i="21"/>
  <c r="O1575" i="21" s="1"/>
  <c r="L1567" i="21"/>
  <c r="O1567" i="21" s="1"/>
  <c r="L1608" i="21"/>
  <c r="O1608" i="21" s="1"/>
  <c r="L1576" i="21"/>
  <c r="O1576" i="21" s="1"/>
  <c r="L1602" i="21"/>
  <c r="O1602" i="21" s="1"/>
  <c r="L1570" i="21"/>
  <c r="O1570" i="21" s="1"/>
  <c r="L1555" i="21"/>
  <c r="O1555" i="21" s="1"/>
  <c r="L1547" i="21"/>
  <c r="O1547" i="21" s="1"/>
  <c r="L1539" i="21"/>
  <c r="O1539" i="21" s="1"/>
  <c r="L1604" i="21"/>
  <c r="O1604" i="21" s="1"/>
  <c r="L1572" i="21"/>
  <c r="O1572" i="21" s="1"/>
  <c r="L1540" i="21"/>
  <c r="O1540" i="21" s="1"/>
  <c r="L1554" i="21"/>
  <c r="O1554" i="21" s="1"/>
  <c r="L1544" i="21"/>
  <c r="O1544" i="21" s="1"/>
  <c r="L1550" i="21"/>
  <c r="O1550" i="21" s="1"/>
  <c r="L1542" i="21"/>
  <c r="O1542" i="21" s="1"/>
  <c r="L1605" i="21"/>
  <c r="O1605" i="21" s="1"/>
  <c r="L1573" i="21"/>
  <c r="O1573" i="21" s="1"/>
  <c r="L1594" i="21"/>
  <c r="O1594" i="21" s="1"/>
  <c r="L1537" i="21"/>
  <c r="O1537" i="21" s="1"/>
  <c r="L1546" i="21"/>
  <c r="O1546" i="21" s="1"/>
  <c r="AG1417" i="16"/>
  <c r="L1545" i="21"/>
  <c r="O1545" i="21" s="1"/>
  <c r="L1597" i="21"/>
  <c r="O1597" i="21" s="1"/>
  <c r="L1565" i="21"/>
  <c r="O1565" i="21" s="1"/>
  <c r="L1562" i="21"/>
  <c r="O1562" i="21" s="1"/>
  <c r="L1596" i="21"/>
  <c r="O1596" i="21" s="1"/>
  <c r="L1536" i="21"/>
  <c r="O1536" i="21" s="1"/>
  <c r="L1568" i="21"/>
  <c r="O1568" i="21" s="1"/>
  <c r="L1598" i="21"/>
  <c r="O1598" i="21" s="1"/>
  <c r="L1589" i="21"/>
  <c r="O1589" i="21" s="1"/>
  <c r="L1600" i="21"/>
  <c r="O1600" i="21" s="1"/>
  <c r="L1553" i="21"/>
  <c r="O1553" i="21" s="1"/>
  <c r="L1564" i="21"/>
  <c r="O1564" i="21" s="1"/>
  <c r="L1534" i="21"/>
  <c r="O1534" i="21" s="1"/>
  <c r="L1581" i="21"/>
  <c r="O1581" i="21" s="1"/>
  <c r="L1558" i="21"/>
  <c r="O1558" i="21" s="1"/>
  <c r="AG1434" i="16"/>
  <c r="L1434" i="21"/>
  <c r="O1434" i="21" s="1"/>
  <c r="AG1452" i="16"/>
  <c r="L1452" i="21"/>
  <c r="O1452" i="21" s="1"/>
  <c r="AG1422" i="16"/>
  <c r="L1422" i="21"/>
  <c r="O1422" i="21" s="1"/>
  <c r="AG1440" i="16"/>
  <c r="L1440" i="21"/>
  <c r="O1440" i="21" s="1"/>
  <c r="AG1455" i="16"/>
  <c r="L1455" i="21"/>
  <c r="O1455" i="21" s="1"/>
  <c r="AG1426" i="16"/>
  <c r="L1426" i="21"/>
  <c r="O1426" i="21" s="1"/>
  <c r="AG1444" i="16"/>
  <c r="L1444" i="21"/>
  <c r="O1444" i="21" s="1"/>
  <c r="AG1459" i="16"/>
  <c r="L1459" i="21"/>
  <c r="O1459" i="21" s="1"/>
  <c r="AG1999" i="16"/>
  <c r="L1999" i="21"/>
  <c r="O1999" i="21" s="1"/>
  <c r="L2010" i="21"/>
  <c r="O2010" i="21" s="1"/>
  <c r="AG2010" i="16"/>
  <c r="AG2006" i="16"/>
  <c r="L2006" i="21"/>
  <c r="O2006" i="21" s="1"/>
  <c r="AG2001" i="16"/>
  <c r="L2001" i="21"/>
  <c r="O2001" i="21" s="1"/>
  <c r="AG1995" i="16"/>
  <c r="L1995" i="21"/>
  <c r="O1995" i="21" s="1"/>
  <c r="AG1527" i="16"/>
  <c r="L1527" i="21"/>
  <c r="O1527" i="21" s="1"/>
  <c r="AG1347" i="16"/>
  <c r="L1347" i="21"/>
  <c r="O1347" i="21" s="1"/>
  <c r="AG1353" i="16"/>
  <c r="L1353" i="21"/>
  <c r="O1353" i="21" s="1"/>
  <c r="AG1360" i="16"/>
  <c r="L1360" i="21"/>
  <c r="O1360" i="21" s="1"/>
  <c r="AG1357" i="16"/>
  <c r="L1357" i="21"/>
  <c r="O1357" i="21" s="1"/>
  <c r="AG1364" i="16"/>
  <c r="L1364" i="21"/>
  <c r="O1364" i="21" s="1"/>
  <c r="AG1350" i="16"/>
  <c r="L1350" i="21"/>
  <c r="O1350" i="21" s="1"/>
  <c r="AG1359" i="16"/>
  <c r="L1359" i="21"/>
  <c r="O1359" i="21" s="1"/>
  <c r="AG755" i="16"/>
  <c r="L755" i="21"/>
  <c r="O755" i="21" s="1"/>
  <c r="AG451" i="16"/>
  <c r="L451" i="21"/>
  <c r="O451" i="21" s="1"/>
  <c r="AG753" i="16"/>
  <c r="L753" i="21"/>
  <c r="O753" i="21" s="1"/>
  <c r="L1052" i="21"/>
  <c r="O1052" i="21" s="1"/>
  <c r="AG1052" i="16"/>
  <c r="AG435" i="16"/>
  <c r="L435" i="21"/>
  <c r="O435" i="21" s="1"/>
  <c r="AG535" i="16"/>
  <c r="L535" i="21"/>
  <c r="O535" i="21" s="1"/>
  <c r="AG793" i="16"/>
  <c r="L793" i="21"/>
  <c r="O793" i="21" s="1"/>
  <c r="AG1100" i="16"/>
  <c r="L1100" i="21"/>
  <c r="O1100" i="21" s="1"/>
  <c r="AG732" i="16"/>
  <c r="L732" i="21"/>
  <c r="O732" i="21" s="1"/>
  <c r="L794" i="21"/>
  <c r="O794" i="21" s="1"/>
  <c r="AG794" i="16"/>
  <c r="AG432" i="16"/>
  <c r="L432" i="21"/>
  <c r="O432" i="21" s="1"/>
  <c r="L739" i="21"/>
  <c r="O739" i="21" s="1"/>
  <c r="AG739" i="16"/>
  <c r="AG1035" i="16"/>
  <c r="L1035" i="21"/>
  <c r="O1035" i="21" s="1"/>
  <c r="L575" i="21"/>
  <c r="O575" i="21" s="1"/>
  <c r="L569" i="21"/>
  <c r="O569" i="21" s="1"/>
  <c r="L570" i="21"/>
  <c r="O570" i="21" s="1"/>
  <c r="L571" i="21"/>
  <c r="O571" i="21" s="1"/>
  <c r="L572" i="21"/>
  <c r="O572" i="21" s="1"/>
  <c r="L574" i="21"/>
  <c r="O574" i="21" s="1"/>
  <c r="AG555" i="16"/>
  <c r="L577" i="21"/>
  <c r="O577" i="21" s="1"/>
  <c r="L576" i="21"/>
  <c r="O576" i="21" s="1"/>
  <c r="L578" i="21"/>
  <c r="O578" i="21" s="1"/>
  <c r="L579" i="21"/>
  <c r="O579" i="21" s="1"/>
  <c r="L573" i="21"/>
  <c r="O573" i="21" s="1"/>
  <c r="L568" i="21"/>
  <c r="O568" i="21" s="1"/>
  <c r="L555" i="21"/>
  <c r="O555" i="21" s="1"/>
  <c r="AG934" i="16"/>
  <c r="L934" i="21"/>
  <c r="O934" i="21" s="1"/>
  <c r="AG1097" i="16"/>
  <c r="L1097" i="21"/>
  <c r="O1097" i="21" s="1"/>
  <c r="AG552" i="16"/>
  <c r="L552" i="21"/>
  <c r="O552" i="21" s="1"/>
  <c r="AG797" i="16"/>
  <c r="L797" i="21"/>
  <c r="O797" i="21" s="1"/>
  <c r="AG1058" i="16"/>
  <c r="L1058" i="21"/>
  <c r="O1058" i="21" s="1"/>
  <c r="AG538" i="16"/>
  <c r="L538" i="21"/>
  <c r="O538" i="21" s="1"/>
  <c r="AG759" i="16"/>
  <c r="L759" i="21"/>
  <c r="O759" i="21" s="1"/>
  <c r="AG1040" i="16"/>
  <c r="L1040" i="21"/>
  <c r="O1040" i="21" s="1"/>
  <c r="AG445" i="16"/>
  <c r="L445" i="21"/>
  <c r="O445" i="21" s="1"/>
  <c r="AG742" i="16"/>
  <c r="L742" i="21"/>
  <c r="O742" i="21" s="1"/>
  <c r="AG963" i="16"/>
  <c r="L963" i="21"/>
  <c r="O963" i="21" s="1"/>
  <c r="AG427" i="16"/>
  <c r="L427" i="21"/>
  <c r="O427" i="21" s="1"/>
  <c r="AG740" i="16"/>
  <c r="L740" i="21"/>
  <c r="O740" i="21" s="1"/>
  <c r="AG960" i="16"/>
  <c r="L960" i="21"/>
  <c r="O960" i="21" s="1"/>
  <c r="AG440" i="16"/>
  <c r="L440" i="21"/>
  <c r="O440" i="21" s="1"/>
  <c r="AG745" i="16"/>
  <c r="L745" i="21"/>
  <c r="O745" i="21" s="1"/>
  <c r="AG973" i="16"/>
  <c r="L973" i="21"/>
  <c r="O973" i="21" s="1"/>
  <c r="AG502" i="16"/>
  <c r="L502" i="21"/>
  <c r="O502" i="21" s="1"/>
  <c r="AG763" i="16"/>
  <c r="L763" i="21"/>
  <c r="O763" i="21" s="1"/>
  <c r="AG1044" i="16"/>
  <c r="L1044" i="21"/>
  <c r="O1044" i="21" s="1"/>
  <c r="L513" i="21"/>
  <c r="O513" i="21" s="1"/>
  <c r="AG513" i="16"/>
  <c r="AG762" i="16"/>
  <c r="L762" i="21"/>
  <c r="O762" i="21" s="1"/>
  <c r="AG1043" i="16"/>
  <c r="L1043" i="21"/>
  <c r="O1043" i="21" s="1"/>
  <c r="AG447" i="16"/>
  <c r="L447" i="21"/>
  <c r="O447" i="21" s="1"/>
  <c r="AG744" i="16"/>
  <c r="L744" i="21"/>
  <c r="O744" i="21" s="1"/>
  <c r="AG966" i="16"/>
  <c r="L966" i="21"/>
  <c r="O966" i="21" s="1"/>
  <c r="L428" i="21"/>
  <c r="O428" i="21" s="1"/>
  <c r="AG428" i="16"/>
  <c r="L733" i="21"/>
  <c r="O733" i="21" s="1"/>
  <c r="AG733" i="16"/>
  <c r="L956" i="21"/>
  <c r="O956" i="21" s="1"/>
  <c r="AG956" i="16"/>
  <c r="L426" i="21"/>
  <c r="O426" i="21" s="1"/>
  <c r="AG426" i="16"/>
  <c r="L735" i="21"/>
  <c r="O735" i="21" s="1"/>
  <c r="AG735" i="16"/>
  <c r="L954" i="21"/>
  <c r="O954" i="21" s="1"/>
  <c r="AG954" i="16"/>
  <c r="AG437" i="16"/>
  <c r="L437" i="21"/>
  <c r="O437" i="21" s="1"/>
  <c r="L734" i="21"/>
  <c r="O734" i="21" s="1"/>
  <c r="AG734" i="16"/>
  <c r="L952" i="21"/>
  <c r="O952" i="21" s="1"/>
  <c r="AG952" i="16"/>
  <c r="AG1790" i="16"/>
  <c r="L1790" i="21"/>
  <c r="O1790" i="21" s="1"/>
  <c r="AG1726" i="16"/>
  <c r="L1726" i="21"/>
  <c r="O1726" i="21" s="1"/>
  <c r="AG1666" i="16"/>
  <c r="L1666" i="21"/>
  <c r="O1666" i="21" s="1"/>
  <c r="AG1794" i="16"/>
  <c r="L1794" i="21"/>
  <c r="O1794" i="21" s="1"/>
  <c r="L1720" i="21"/>
  <c r="O1720" i="21" s="1"/>
  <c r="AG1720" i="16"/>
  <c r="L1654" i="21"/>
  <c r="O1654" i="21" s="1"/>
  <c r="AG1654" i="16"/>
  <c r="L1655" i="21"/>
  <c r="O1655" i="21" s="1"/>
  <c r="AG1655" i="16"/>
  <c r="AG1657" i="16"/>
  <c r="L1657" i="21"/>
  <c r="O1657" i="21" s="1"/>
  <c r="AG1752" i="16"/>
  <c r="L1752" i="21"/>
  <c r="O1752" i="21" s="1"/>
  <c r="AG1670" i="16"/>
  <c r="L1670" i="21"/>
  <c r="O1670" i="21" s="1"/>
  <c r="AG1659" i="16"/>
  <c r="L1659" i="21"/>
  <c r="O1659" i="21" s="1"/>
  <c r="AG1665" i="16"/>
  <c r="L1665" i="21"/>
  <c r="O1665" i="21" s="1"/>
  <c r="AG1760" i="16"/>
  <c r="L1760" i="21"/>
  <c r="O1760" i="21" s="1"/>
  <c r="AG1718" i="16"/>
  <c r="L1718" i="21"/>
  <c r="O1718" i="21" s="1"/>
  <c r="AG1663" i="16"/>
  <c r="L1663" i="21"/>
  <c r="O1663" i="21" s="1"/>
  <c r="AG1669" i="16"/>
  <c r="L1669" i="21"/>
  <c r="O1669" i="21" s="1"/>
  <c r="L1717" i="21"/>
  <c r="O1717" i="21" s="1"/>
  <c r="AG1717" i="16"/>
  <c r="AG1775" i="16"/>
  <c r="L1775" i="21"/>
  <c r="O1775" i="21" s="1"/>
  <c r="AG1714" i="16"/>
  <c r="L1714" i="21"/>
  <c r="O1714" i="21" s="1"/>
  <c r="AG1776" i="16"/>
  <c r="L1776" i="21"/>
  <c r="O1776" i="21" s="1"/>
  <c r="AG1710" i="16"/>
  <c r="L1710" i="21"/>
  <c r="O1710" i="21" s="1"/>
  <c r="L1616" i="21"/>
  <c r="O1616" i="21" s="1"/>
  <c r="AG1616" i="16"/>
  <c r="AG1634" i="16"/>
  <c r="L1634" i="21"/>
  <c r="O1634" i="21" s="1"/>
  <c r="L1780" i="21"/>
  <c r="O1780" i="21" s="1"/>
  <c r="AG1780" i="16"/>
  <c r="L1779" i="21"/>
  <c r="O1779" i="21" s="1"/>
  <c r="AG1779" i="16"/>
  <c r="L1749" i="21"/>
  <c r="O1749" i="21" s="1"/>
  <c r="AG1749" i="16"/>
  <c r="AG1782" i="16"/>
  <c r="L1782" i="21"/>
  <c r="O1782" i="21" s="1"/>
  <c r="AG1708" i="16"/>
  <c r="L1708" i="21"/>
  <c r="O1708" i="21" s="1"/>
  <c r="AG1743" i="16"/>
  <c r="L1743" i="21"/>
  <c r="O1743" i="21" s="1"/>
  <c r="AG1713" i="16"/>
  <c r="L1713" i="21"/>
  <c r="O1713" i="21" s="1"/>
  <c r="L1630" i="21"/>
  <c r="O1630" i="21" s="1"/>
  <c r="AG1630" i="16"/>
  <c r="L1620" i="21"/>
  <c r="O1620" i="21" s="1"/>
  <c r="AG1620" i="16"/>
  <c r="L1707" i="21"/>
  <c r="O1707" i="21" s="1"/>
  <c r="AG1707" i="16"/>
  <c r="L1641" i="21"/>
  <c r="O1641" i="21" s="1"/>
  <c r="AG1641" i="16"/>
  <c r="L1510" i="21"/>
  <c r="O1510" i="21" s="1"/>
  <c r="L1494" i="21"/>
  <c r="O1494" i="21" s="1"/>
  <c r="L1478" i="21"/>
  <c r="O1478" i="21" s="1"/>
  <c r="L1513" i="21"/>
  <c r="O1513" i="21" s="1"/>
  <c r="L1497" i="21"/>
  <c r="O1497" i="21" s="1"/>
  <c r="L1481" i="21"/>
  <c r="O1481" i="21" s="1"/>
  <c r="L1465" i="21"/>
  <c r="O1465" i="21" s="1"/>
  <c r="L1500" i="21"/>
  <c r="O1500" i="21" s="1"/>
  <c r="L1484" i="21"/>
  <c r="O1484" i="21" s="1"/>
  <c r="L1468" i="21"/>
  <c r="O1468" i="21" s="1"/>
  <c r="L1499" i="21"/>
  <c r="O1499" i="21" s="1"/>
  <c r="L1495" i="21"/>
  <c r="O1495" i="21" s="1"/>
  <c r="L1475" i="21"/>
  <c r="O1475" i="21" s="1"/>
  <c r="L1506" i="21"/>
  <c r="O1506" i="21" s="1"/>
  <c r="L1490" i="21"/>
  <c r="O1490" i="21" s="1"/>
  <c r="L1474" i="21"/>
  <c r="O1474" i="21" s="1"/>
  <c r="L1509" i="21"/>
  <c r="O1509" i="21" s="1"/>
  <c r="L1493" i="21"/>
  <c r="O1493" i="21" s="1"/>
  <c r="L1477" i="21"/>
  <c r="O1477" i="21" s="1"/>
  <c r="L1512" i="21"/>
  <c r="O1512" i="21" s="1"/>
  <c r="L1496" i="21"/>
  <c r="O1496" i="21" s="1"/>
  <c r="L1480" i="21"/>
  <c r="O1480" i="21" s="1"/>
  <c r="L1503" i="21"/>
  <c r="O1503" i="21" s="1"/>
  <c r="L1483" i="21"/>
  <c r="O1483" i="21" s="1"/>
  <c r="L1479" i="21"/>
  <c r="O1479" i="21" s="1"/>
  <c r="L1502" i="21"/>
  <c r="O1502" i="21" s="1"/>
  <c r="L1486" i="21"/>
  <c r="O1486" i="21" s="1"/>
  <c r="L1470" i="21"/>
  <c r="O1470" i="21" s="1"/>
  <c r="L1505" i="21"/>
  <c r="O1505" i="21" s="1"/>
  <c r="L1489" i="21"/>
  <c r="O1489" i="21" s="1"/>
  <c r="L1473" i="21"/>
  <c r="O1473" i="21" s="1"/>
  <c r="L1508" i="21"/>
  <c r="O1508" i="21" s="1"/>
  <c r="L1492" i="21"/>
  <c r="O1492" i="21" s="1"/>
  <c r="L1476" i="21"/>
  <c r="O1476" i="21" s="1"/>
  <c r="L1487" i="21"/>
  <c r="O1487" i="21" s="1"/>
  <c r="L1467" i="21"/>
  <c r="O1467" i="21" s="1"/>
  <c r="L1507" i="21"/>
  <c r="O1507" i="21" s="1"/>
  <c r="L1482" i="21"/>
  <c r="O1482" i="21" s="1"/>
  <c r="L1469" i="21"/>
  <c r="O1469" i="21" s="1"/>
  <c r="L1471" i="21"/>
  <c r="O1471" i="21" s="1"/>
  <c r="L1466" i="21"/>
  <c r="O1466" i="21" s="1"/>
  <c r="L1504" i="21"/>
  <c r="O1504" i="21" s="1"/>
  <c r="L1511" i="21"/>
  <c r="O1511" i="21" s="1"/>
  <c r="AG1501" i="16"/>
  <c r="L1501" i="21"/>
  <c r="O1501" i="21" s="1"/>
  <c r="L1488" i="21"/>
  <c r="O1488" i="21" s="1"/>
  <c r="L1491" i="21"/>
  <c r="O1491" i="21" s="1"/>
  <c r="L1472" i="21"/>
  <c r="O1472" i="21" s="1"/>
  <c r="L1498" i="21"/>
  <c r="O1498" i="21" s="1"/>
  <c r="L1485" i="21"/>
  <c r="O1485" i="21" s="1"/>
  <c r="AG1405" i="16"/>
  <c r="L1405" i="21"/>
  <c r="O1405" i="21" s="1"/>
  <c r="AG1393" i="16"/>
  <c r="L1393" i="21"/>
  <c r="O1393" i="21" s="1"/>
  <c r="AG1408" i="16"/>
  <c r="L1408" i="21"/>
  <c r="O1408" i="21" s="1"/>
  <c r="AG1413" i="16"/>
  <c r="L1413" i="21"/>
  <c r="O1413" i="21" s="1"/>
  <c r="AG1403" i="16"/>
  <c r="L1403" i="21"/>
  <c r="O1403" i="21" s="1"/>
  <c r="L1400" i="21"/>
  <c r="O1400" i="21" s="1"/>
  <c r="AG1400" i="16"/>
  <c r="L412" i="21"/>
  <c r="O412" i="21" s="1"/>
  <c r="AG412" i="16"/>
  <c r="AG656" i="16"/>
  <c r="L656" i="21"/>
  <c r="O656" i="21" s="1"/>
  <c r="AG873" i="16"/>
  <c r="L873" i="21"/>
  <c r="O873" i="21" s="1"/>
  <c r="L985" i="21"/>
  <c r="O985" i="21" s="1"/>
  <c r="AG985" i="16"/>
  <c r="L490" i="21"/>
  <c r="O490" i="21" s="1"/>
  <c r="AG490" i="16"/>
  <c r="AG1001" i="16"/>
  <c r="L1001" i="21"/>
  <c r="O1001" i="21" s="1"/>
  <c r="L563" i="21"/>
  <c r="O563" i="21" s="1"/>
  <c r="L557" i="21"/>
  <c r="O557" i="21" s="1"/>
  <c r="L566" i="21"/>
  <c r="O566" i="21" s="1"/>
  <c r="L567" i="21"/>
  <c r="O567" i="21" s="1"/>
  <c r="L534" i="21"/>
  <c r="O534" i="21" s="1"/>
  <c r="L559" i="21"/>
  <c r="O559" i="21" s="1"/>
  <c r="L564" i="21"/>
  <c r="O564" i="21" s="1"/>
  <c r="L558" i="21"/>
  <c r="O558" i="21" s="1"/>
  <c r="L560" i="21"/>
  <c r="O560" i="21" s="1"/>
  <c r="AG534" i="16"/>
  <c r="L565" i="21"/>
  <c r="O565" i="21" s="1"/>
  <c r="L556" i="21"/>
  <c r="O556" i="21" s="1"/>
  <c r="L562" i="21"/>
  <c r="O562" i="21" s="1"/>
  <c r="L561" i="21"/>
  <c r="O561" i="21" s="1"/>
  <c r="L1073" i="21"/>
  <c r="O1073" i="21" s="1"/>
  <c r="AG1073" i="16"/>
  <c r="AG1070" i="16"/>
  <c r="L1070" i="21"/>
  <c r="O1070" i="21" s="1"/>
  <c r="AG647" i="16"/>
  <c r="L647" i="21"/>
  <c r="O647" i="21" s="1"/>
  <c r="AG861" i="16"/>
  <c r="L861" i="21"/>
  <c r="O861" i="21" s="1"/>
  <c r="AG496" i="16"/>
  <c r="L496" i="21"/>
  <c r="O496" i="21" s="1"/>
  <c r="AG676" i="16"/>
  <c r="L676" i="21"/>
  <c r="O676" i="21" s="1"/>
  <c r="AG986" i="16"/>
  <c r="L986" i="21"/>
  <c r="O986" i="21" s="1"/>
  <c r="AG406" i="16"/>
  <c r="L406" i="21"/>
  <c r="O406" i="21" s="1"/>
  <c r="AG860" i="16"/>
  <c r="L860" i="21"/>
  <c r="O860" i="21" s="1"/>
  <c r="L661" i="21"/>
  <c r="O661" i="21" s="1"/>
  <c r="AG661" i="16"/>
  <c r="AG495" i="16"/>
  <c r="L495" i="21"/>
  <c r="O495" i="21" s="1"/>
  <c r="AG683" i="16"/>
  <c r="L683" i="21"/>
  <c r="O683" i="21" s="1"/>
  <c r="AG993" i="16"/>
  <c r="L993" i="21"/>
  <c r="O993" i="21" s="1"/>
  <c r="AG420" i="16"/>
  <c r="L420" i="21"/>
  <c r="O420" i="21" s="1"/>
  <c r="AG664" i="16"/>
  <c r="L664" i="21"/>
  <c r="O664" i="21" s="1"/>
  <c r="AG884" i="16"/>
  <c r="L884" i="21"/>
  <c r="O884" i="21" s="1"/>
  <c r="L682" i="21"/>
  <c r="O682" i="21" s="1"/>
  <c r="AG682" i="16"/>
  <c r="AG397" i="16"/>
  <c r="L397" i="21"/>
  <c r="O397" i="21" s="1"/>
  <c r="AG979" i="16"/>
  <c r="L979" i="21"/>
  <c r="O979" i="21" s="1"/>
  <c r="AG419" i="16"/>
  <c r="L419" i="21"/>
  <c r="O419" i="21" s="1"/>
  <c r="AG671" i="16"/>
  <c r="L671" i="21"/>
  <c r="O671" i="21" s="1"/>
  <c r="AG981" i="16"/>
  <c r="L981" i="21"/>
  <c r="O981" i="21" s="1"/>
  <c r="AG408" i="16"/>
  <c r="L408" i="21"/>
  <c r="O408" i="21" s="1"/>
  <c r="AG652" i="16"/>
  <c r="L652" i="21"/>
  <c r="O652" i="21" s="1"/>
  <c r="AG868" i="16"/>
  <c r="L868" i="21"/>
  <c r="O868" i="21" s="1"/>
  <c r="AG662" i="16"/>
  <c r="L662" i="21"/>
  <c r="O662" i="21" s="1"/>
  <c r="AG677" i="16"/>
  <c r="L677" i="21"/>
  <c r="O677" i="21" s="1"/>
  <c r="AG654" i="16"/>
  <c r="L654" i="21"/>
  <c r="O654" i="21" s="1"/>
  <c r="AG870" i="16"/>
  <c r="L870" i="21"/>
  <c r="O870" i="21" s="1"/>
  <c r="AG529" i="16"/>
  <c r="L529" i="21"/>
  <c r="O529" i="21" s="1"/>
  <c r="AG848" i="16"/>
  <c r="L848" i="21"/>
  <c r="O848" i="21" s="1"/>
  <c r="AG1071" i="16"/>
  <c r="L1071" i="21"/>
  <c r="O1071" i="21" s="1"/>
  <c r="L498" i="21"/>
  <c r="O498" i="21" s="1"/>
  <c r="AG498" i="16"/>
  <c r="AG674" i="16"/>
  <c r="L674" i="21"/>
  <c r="O674" i="21" s="1"/>
  <c r="AG984" i="16"/>
  <c r="L984" i="21"/>
  <c r="O984" i="21" s="1"/>
  <c r="AG405" i="16"/>
  <c r="L405" i="21"/>
  <c r="O405" i="21" s="1"/>
  <c r="AG641" i="16"/>
  <c r="L641" i="21"/>
  <c r="O641" i="21" s="1"/>
  <c r="AG853" i="16"/>
  <c r="L853" i="21"/>
  <c r="O853" i="21" s="1"/>
  <c r="AG1075" i="16"/>
  <c r="L1276" i="21"/>
  <c r="O1276" i="21" s="1"/>
  <c r="L1279" i="21"/>
  <c r="O1279" i="21" s="1"/>
  <c r="L1216" i="21"/>
  <c r="O1216" i="21" s="1"/>
  <c r="L1200" i="21"/>
  <c r="O1200" i="21" s="1"/>
  <c r="L1269" i="21"/>
  <c r="O1269" i="21" s="1"/>
  <c r="L1205" i="21"/>
  <c r="O1205" i="21" s="1"/>
  <c r="L1283" i="21"/>
  <c r="O1283" i="21" s="1"/>
  <c r="L1211" i="21"/>
  <c r="O1211" i="21" s="1"/>
  <c r="L1195" i="21"/>
  <c r="O1195" i="21" s="1"/>
  <c r="L1131" i="21"/>
  <c r="O1131" i="21" s="1"/>
  <c r="L1115" i="21"/>
  <c r="O1115" i="21" s="1"/>
  <c r="L1286" i="21"/>
  <c r="O1286" i="21" s="1"/>
  <c r="L1214" i="21"/>
  <c r="O1214" i="21" s="1"/>
  <c r="L1198" i="21"/>
  <c r="O1198" i="21" s="1"/>
  <c r="L1133" i="21"/>
  <c r="O1133" i="21" s="1"/>
  <c r="L1117" i="21"/>
  <c r="O1117" i="21" s="1"/>
  <c r="L1142" i="21"/>
  <c r="O1142" i="21" s="1"/>
  <c r="L1134" i="21"/>
  <c r="O1134" i="21" s="1"/>
  <c r="L1126" i="21"/>
  <c r="O1126" i="21" s="1"/>
  <c r="L1118" i="21"/>
  <c r="O1118" i="21" s="1"/>
  <c r="L1110" i="21"/>
  <c r="O1110" i="21" s="1"/>
  <c r="L1288" i="21"/>
  <c r="O1288" i="21" s="1"/>
  <c r="L1272" i="21"/>
  <c r="O1272" i="21" s="1"/>
  <c r="L1274" i="21"/>
  <c r="O1274" i="21" s="1"/>
  <c r="L1212" i="21"/>
  <c r="O1212" i="21" s="1"/>
  <c r="L1196" i="21"/>
  <c r="O1196" i="21" s="1"/>
  <c r="L1265" i="21"/>
  <c r="O1265" i="21" s="1"/>
  <c r="L1201" i="21"/>
  <c r="O1201" i="21" s="1"/>
  <c r="L1278" i="21"/>
  <c r="O1278" i="21" s="1"/>
  <c r="L1207" i="21"/>
  <c r="O1207" i="21" s="1"/>
  <c r="L1143" i="21"/>
  <c r="O1143" i="21" s="1"/>
  <c r="L1127" i="21"/>
  <c r="O1127" i="21" s="1"/>
  <c r="L1111" i="21"/>
  <c r="O1111" i="21" s="1"/>
  <c r="L1275" i="21"/>
  <c r="O1275" i="21" s="1"/>
  <c r="L1210" i="21"/>
  <c r="O1210" i="21" s="1"/>
  <c r="L1194" i="21"/>
  <c r="O1194" i="21" s="1"/>
  <c r="L1129" i="21"/>
  <c r="O1129" i="21" s="1"/>
  <c r="L1113" i="21"/>
  <c r="O1113" i="21" s="1"/>
  <c r="L1140" i="21"/>
  <c r="O1140" i="21" s="1"/>
  <c r="L1132" i="21"/>
  <c r="O1132" i="21" s="1"/>
  <c r="L1124" i="21"/>
  <c r="O1124" i="21" s="1"/>
  <c r="L1116" i="21"/>
  <c r="O1116" i="21" s="1"/>
  <c r="L1108" i="21"/>
  <c r="O1108" i="21" s="1"/>
  <c r="L1284" i="21"/>
  <c r="O1284" i="21" s="1"/>
  <c r="L1287" i="21"/>
  <c r="O1287" i="21" s="1"/>
  <c r="L1271" i="21"/>
  <c r="O1271" i="21" s="1"/>
  <c r="L1208" i="21"/>
  <c r="O1208" i="21" s="1"/>
  <c r="L1285" i="21"/>
  <c r="O1285" i="21" s="1"/>
  <c r="L1213" i="21"/>
  <c r="O1213" i="21" s="1"/>
  <c r="L1197" i="21"/>
  <c r="O1197" i="21" s="1"/>
  <c r="L1267" i="21"/>
  <c r="O1267" i="21" s="1"/>
  <c r="L1203" i="21"/>
  <c r="O1203" i="21" s="1"/>
  <c r="L1139" i="21"/>
  <c r="O1139" i="21" s="1"/>
  <c r="L1123" i="21"/>
  <c r="O1123" i="21" s="1"/>
  <c r="L1289" i="21"/>
  <c r="O1289" i="21" s="1"/>
  <c r="L1270" i="21"/>
  <c r="O1270" i="21" s="1"/>
  <c r="L1206" i="21"/>
  <c r="O1206" i="21" s="1"/>
  <c r="L1141" i="21"/>
  <c r="O1141" i="21" s="1"/>
  <c r="L1125" i="21"/>
  <c r="O1125" i="21" s="1"/>
  <c r="L1109" i="21"/>
  <c r="O1109" i="21" s="1"/>
  <c r="L1138" i="21"/>
  <c r="O1138" i="21" s="1"/>
  <c r="L1130" i="21"/>
  <c r="O1130" i="21" s="1"/>
  <c r="L1122" i="21"/>
  <c r="O1122" i="21" s="1"/>
  <c r="L1114" i="21"/>
  <c r="O1114" i="21" s="1"/>
  <c r="L1281" i="21"/>
  <c r="O1281" i="21" s="1"/>
  <c r="L1268" i="21"/>
  <c r="O1268" i="21" s="1"/>
  <c r="L1193" i="21"/>
  <c r="O1193" i="21" s="1"/>
  <c r="L1119" i="21"/>
  <c r="O1119" i="21" s="1"/>
  <c r="L1137" i="21"/>
  <c r="O1137" i="21" s="1"/>
  <c r="L1128" i="21"/>
  <c r="O1128" i="21" s="1"/>
  <c r="L1204" i="21"/>
  <c r="O1204" i="21" s="1"/>
  <c r="L1215" i="21"/>
  <c r="O1215" i="21" s="1"/>
  <c r="L1273" i="21"/>
  <c r="O1273" i="21" s="1"/>
  <c r="L1121" i="21"/>
  <c r="O1121" i="21" s="1"/>
  <c r="L1120" i="21"/>
  <c r="O1120" i="21" s="1"/>
  <c r="L1280" i="21"/>
  <c r="O1280" i="21" s="1"/>
  <c r="L1277" i="21"/>
  <c r="O1277" i="21" s="1"/>
  <c r="L1199" i="21"/>
  <c r="O1199" i="21" s="1"/>
  <c r="L1266" i="21"/>
  <c r="O1266" i="21" s="1"/>
  <c r="L1144" i="21"/>
  <c r="O1144" i="21" s="1"/>
  <c r="L1112" i="21"/>
  <c r="O1112" i="21" s="1"/>
  <c r="L1282" i="21"/>
  <c r="O1282" i="21" s="1"/>
  <c r="L1136" i="21"/>
  <c r="O1136" i="21" s="1"/>
  <c r="L1209" i="21"/>
  <c r="O1209" i="21" s="1"/>
  <c r="L1075" i="21"/>
  <c r="O1075" i="21" s="1"/>
  <c r="L1135" i="21"/>
  <c r="O1135" i="21" s="1"/>
  <c r="L1202" i="21"/>
  <c r="O1202" i="21" s="1"/>
  <c r="AG1915" i="16"/>
  <c r="L1915" i="21"/>
  <c r="O1915" i="21" s="1"/>
  <c r="AG1904" i="16"/>
  <c r="L1904" i="21"/>
  <c r="O1904" i="21" s="1"/>
  <c r="AG1922" i="16"/>
  <c r="L1922" i="21"/>
  <c r="O1922" i="21" s="1"/>
  <c r="L1931" i="21"/>
  <c r="O1931" i="21" s="1"/>
  <c r="AG1931" i="16"/>
  <c r="AG1840" i="16"/>
  <c r="L1840" i="21"/>
  <c r="O1840" i="21" s="1"/>
  <c r="AG1819" i="16"/>
  <c r="L1819" i="21"/>
  <c r="O1819" i="21" s="1"/>
  <c r="AG1905" i="16"/>
  <c r="L1905" i="21"/>
  <c r="O1905" i="21" s="1"/>
  <c r="AG1870" i="16"/>
  <c r="L1870" i="21"/>
  <c r="O1870" i="21" s="1"/>
  <c r="AG1857" i="16"/>
  <c r="L1857" i="21"/>
  <c r="O1857" i="21" s="1"/>
  <c r="AG1880" i="16"/>
  <c r="L1880" i="21"/>
  <c r="O1880" i="21" s="1"/>
  <c r="AG1910" i="16"/>
  <c r="L1910" i="21"/>
  <c r="O1910" i="21" s="1"/>
  <c r="AG1930" i="16"/>
  <c r="L1930" i="21"/>
  <c r="O1930" i="21" s="1"/>
  <c r="AG1828" i="16"/>
  <c r="L1828" i="21"/>
  <c r="O1828" i="21" s="1"/>
  <c r="AG1823" i="16"/>
  <c r="L1823" i="21"/>
  <c r="O1823" i="21" s="1"/>
  <c r="AG1887" i="16"/>
  <c r="L1887" i="21"/>
  <c r="O1887" i="21" s="1"/>
  <c r="AG1951" i="16"/>
  <c r="L1951" i="21"/>
  <c r="O1951" i="21" s="1"/>
  <c r="AG1861" i="16"/>
  <c r="L1861" i="21"/>
  <c r="O1861" i="21" s="1"/>
  <c r="AG1925" i="16"/>
  <c r="L1925" i="21"/>
  <c r="O1925" i="21" s="1"/>
  <c r="AG1888" i="16"/>
  <c r="L1888" i="21"/>
  <c r="O1888" i="21" s="1"/>
  <c r="AG1926" i="16"/>
  <c r="L1926" i="21"/>
  <c r="O1926" i="21" s="1"/>
  <c r="AG1938" i="16"/>
  <c r="L1938" i="21"/>
  <c r="O1938" i="21" s="1"/>
  <c r="AG1868" i="16"/>
  <c r="L1868" i="21"/>
  <c r="O1868" i="21" s="1"/>
  <c r="AG1843" i="16"/>
  <c r="L1843" i="21"/>
  <c r="O1843" i="21" s="1"/>
  <c r="L1907" i="21"/>
  <c r="O1907" i="21" s="1"/>
  <c r="AG1907" i="16"/>
  <c r="AG1833" i="16"/>
  <c r="L1833" i="21"/>
  <c r="O1833" i="21" s="1"/>
  <c r="AG1897" i="16"/>
  <c r="L1897" i="21"/>
  <c r="O1897" i="21" s="1"/>
  <c r="L1928" i="21"/>
  <c r="O1928" i="21" s="1"/>
  <c r="AG1928" i="16"/>
  <c r="L1818" i="21"/>
  <c r="O1818" i="21" s="1"/>
  <c r="AG1818" i="16"/>
  <c r="L1946" i="21"/>
  <c r="O1946" i="21" s="1"/>
  <c r="AG1946" i="16"/>
  <c r="L1876" i="21"/>
  <c r="O1876" i="21" s="1"/>
  <c r="AG1876" i="16"/>
  <c r="AG1831" i="16"/>
  <c r="L1831" i="21"/>
  <c r="O1831" i="21" s="1"/>
  <c r="AG1895" i="16"/>
  <c r="L1895" i="21"/>
  <c r="O1895" i="21" s="1"/>
  <c r="AG1821" i="16"/>
  <c r="L1821" i="21"/>
  <c r="O1821" i="21" s="1"/>
  <c r="AG1885" i="16"/>
  <c r="L1885" i="21"/>
  <c r="O1885" i="21" s="1"/>
  <c r="AG1949" i="16"/>
  <c r="L1949" i="21"/>
  <c r="O1949" i="21" s="1"/>
  <c r="L1521" i="21"/>
  <c r="O1521" i="21" s="1"/>
  <c r="AG1521" i="16"/>
  <c r="AG1524" i="16"/>
  <c r="L1524" i="21"/>
  <c r="O1524" i="21" s="1"/>
  <c r="AG1517" i="16"/>
  <c r="L1517" i="21"/>
  <c r="O1517" i="21" s="1"/>
  <c r="AG1766" i="16"/>
  <c r="L1766" i="21"/>
  <c r="O1766" i="21" s="1"/>
  <c r="AG1735" i="16"/>
  <c r="L1735" i="21"/>
  <c r="O1735" i="21" s="1"/>
  <c r="AG1803" i="16"/>
  <c r="L1803" i="21"/>
  <c r="O1803" i="21" s="1"/>
  <c r="AG1679" i="16"/>
  <c r="L1679" i="21"/>
  <c r="O1679" i="21" s="1"/>
  <c r="AG1682" i="16"/>
  <c r="L1682" i="21"/>
  <c r="O1682" i="21" s="1"/>
  <c r="AG1700" i="16"/>
  <c r="L1700" i="21"/>
  <c r="O1700" i="21" s="1"/>
  <c r="AG1763" i="16"/>
  <c r="L1763" i="21"/>
  <c r="O1763" i="21" s="1"/>
  <c r="AG1765" i="16"/>
  <c r="L1765" i="21"/>
  <c r="O1765" i="21" s="1"/>
  <c r="AG1694" i="16"/>
  <c r="L1694" i="21"/>
  <c r="O1694" i="21" s="1"/>
  <c r="AG1676" i="16"/>
  <c r="L1676" i="21"/>
  <c r="O1676" i="21" s="1"/>
  <c r="AG1727" i="16"/>
  <c r="L1727" i="21"/>
  <c r="O1727" i="21" s="1"/>
  <c r="AG1729" i="16"/>
  <c r="L1729" i="21"/>
  <c r="O1729" i="21" s="1"/>
  <c r="AG1768" i="16"/>
  <c r="L1768" i="21"/>
  <c r="O1768" i="21" s="1"/>
  <c r="AG1734" i="16"/>
  <c r="L1734" i="21"/>
  <c r="O1734" i="21" s="1"/>
  <c r="AG1691" i="16"/>
  <c r="L1691" i="21"/>
  <c r="O1691" i="21" s="1"/>
  <c r="AG1693" i="16"/>
  <c r="L1693" i="21"/>
  <c r="O1693" i="21" s="1"/>
  <c r="AG1376" i="16"/>
  <c r="L1376" i="21"/>
  <c r="O1376" i="21" s="1"/>
  <c r="AG1387" i="16"/>
  <c r="L1387" i="21"/>
  <c r="O1387" i="21" s="1"/>
  <c r="AG1380" i="16"/>
  <c r="L1380" i="21"/>
  <c r="O1380" i="21" s="1"/>
  <c r="L1385" i="21"/>
  <c r="O1385" i="21" s="1"/>
  <c r="AG1385" i="16"/>
  <c r="L1379" i="21"/>
  <c r="O1379" i="21" s="1"/>
  <c r="AG1379" i="16"/>
  <c r="AG1372" i="16"/>
  <c r="L1372" i="21"/>
  <c r="O1372" i="21" s="1"/>
  <c r="L1429" i="21"/>
  <c r="O1429" i="21" s="1"/>
  <c r="AG1429" i="16"/>
  <c r="AG1445" i="16"/>
  <c r="L1445" i="21"/>
  <c r="O1445" i="21" s="1"/>
  <c r="L1461" i="21"/>
  <c r="O1461" i="21" s="1"/>
  <c r="AG1461" i="16"/>
  <c r="AG1433" i="16"/>
  <c r="L1433" i="21"/>
  <c r="O1433" i="21" s="1"/>
  <c r="AG1450" i="16"/>
  <c r="L1450" i="21"/>
  <c r="O1450" i="21" s="1"/>
  <c r="AG1419" i="16"/>
  <c r="L1419" i="21"/>
  <c r="O1419" i="21" s="1"/>
  <c r="AG1421" i="16"/>
  <c r="L1421" i="21"/>
  <c r="O1421" i="21" s="1"/>
  <c r="AG1438" i="16"/>
  <c r="L1438" i="21"/>
  <c r="O1438" i="21" s="1"/>
  <c r="AG1456" i="16"/>
  <c r="L1456" i="21"/>
  <c r="O1456" i="21" s="1"/>
  <c r="AG1425" i="16"/>
  <c r="L1425" i="21"/>
  <c r="O1425" i="21" s="1"/>
  <c r="AG1442" i="16"/>
  <c r="L1442" i="21"/>
  <c r="O1442" i="21" s="1"/>
  <c r="AG1460" i="16"/>
  <c r="L1460" i="21"/>
  <c r="O1460" i="21" s="1"/>
  <c r="AG2002" i="16"/>
  <c r="L2002" i="21"/>
  <c r="O2002" i="21" s="1"/>
  <c r="AG2000" i="16"/>
  <c r="L2000" i="21"/>
  <c r="O2000" i="21" s="1"/>
  <c r="AG2012" i="16"/>
  <c r="L2012" i="21"/>
  <c r="O2012" i="21" s="1"/>
  <c r="AG1998" i="16"/>
  <c r="L1998" i="21"/>
  <c r="O1998" i="21" s="1"/>
  <c r="L1992" i="21"/>
  <c r="O1992" i="21" s="1"/>
  <c r="AG1992" i="16"/>
  <c r="L2011" i="21"/>
  <c r="O2011" i="21" s="1"/>
  <c r="AG2011" i="16"/>
  <c r="L1526" i="21"/>
  <c r="O1526" i="21" s="1"/>
  <c r="AG1526" i="16"/>
  <c r="AG1525" i="16"/>
  <c r="L1525" i="21"/>
  <c r="O1525" i="21" s="1"/>
  <c r="AG1356" i="16"/>
  <c r="L1356" i="21"/>
  <c r="O1356" i="21" s="1"/>
  <c r="AG1354" i="16"/>
  <c r="L1354" i="21"/>
  <c r="O1354" i="21" s="1"/>
  <c r="AG1342" i="16"/>
  <c r="L1342" i="21"/>
  <c r="O1342" i="21" s="1"/>
  <c r="AG1351" i="16"/>
  <c r="L1351" i="21"/>
  <c r="O1351" i="21" s="1"/>
  <c r="AG1346" i="16"/>
  <c r="L1346" i="21"/>
  <c r="O1346" i="21" s="1"/>
  <c r="AG1355" i="16"/>
  <c r="L1355" i="21"/>
  <c r="O1355" i="21" s="1"/>
  <c r="L1366" i="21"/>
  <c r="O1366" i="21" s="1"/>
  <c r="AG1366" i="16"/>
  <c r="AG541" i="16"/>
  <c r="L541" i="21"/>
  <c r="O541" i="21" s="1"/>
  <c r="L748" i="21"/>
  <c r="O748" i="21" s="1"/>
  <c r="AG748" i="16"/>
  <c r="AG1038" i="16"/>
  <c r="L1038" i="21"/>
  <c r="O1038" i="21" s="1"/>
  <c r="AG425" i="16"/>
  <c r="L425" i="21"/>
  <c r="O425" i="21" s="1"/>
  <c r="AG950" i="16"/>
  <c r="L950" i="21"/>
  <c r="O950" i="21" s="1"/>
  <c r="AG764" i="16"/>
  <c r="L764" i="21"/>
  <c r="O764" i="21" s="1"/>
  <c r="AG1054" i="16"/>
  <c r="L1054" i="21"/>
  <c r="O1054" i="21" s="1"/>
  <c r="AG441" i="16"/>
  <c r="L441" i="21"/>
  <c r="O441" i="21" s="1"/>
  <c r="AG448" i="16"/>
  <c r="L448" i="21"/>
  <c r="O448" i="21" s="1"/>
  <c r="AG551" i="16"/>
  <c r="L551" i="21"/>
  <c r="O551" i="21" s="1"/>
  <c r="AG940" i="16"/>
  <c r="L940" i="21"/>
  <c r="O940" i="21" s="1"/>
  <c r="L959" i="21"/>
  <c r="O959" i="21" s="1"/>
  <c r="AG959" i="16"/>
  <c r="AG439" i="16"/>
  <c r="L439" i="21"/>
  <c r="O439" i="21" s="1"/>
  <c r="L736" i="21"/>
  <c r="O736" i="21" s="1"/>
  <c r="AG736" i="16"/>
  <c r="L955" i="21"/>
  <c r="O955" i="21" s="1"/>
  <c r="AG955" i="16"/>
  <c r="AG436" i="16"/>
  <c r="L436" i="21"/>
  <c r="O436" i="21" s="1"/>
  <c r="AG725" i="16"/>
  <c r="L725" i="21"/>
  <c r="O725" i="21" s="1"/>
  <c r="AG946" i="16"/>
  <c r="L946" i="21"/>
  <c r="O946" i="21" s="1"/>
  <c r="AG1106" i="16"/>
  <c r="L1106" i="21"/>
  <c r="O1106" i="21" s="1"/>
  <c r="AG554" i="16"/>
  <c r="L554" i="21"/>
  <c r="O554" i="21" s="1"/>
  <c r="AG799" i="16"/>
  <c r="L799" i="21"/>
  <c r="O799" i="21" s="1"/>
  <c r="AG1056" i="16"/>
  <c r="L1056" i="21"/>
  <c r="O1056" i="21" s="1"/>
  <c r="L509" i="21"/>
  <c r="O509" i="21" s="1"/>
  <c r="AG509" i="16"/>
  <c r="AG758" i="16"/>
  <c r="L758" i="21"/>
  <c r="O758" i="21" s="1"/>
  <c r="AG1039" i="16"/>
  <c r="L1039" i="21"/>
  <c r="O1039" i="21" s="1"/>
  <c r="L443" i="21"/>
  <c r="O443" i="21" s="1"/>
  <c r="AG443" i="16"/>
  <c r="AG756" i="16"/>
  <c r="L756" i="21"/>
  <c r="O756" i="21" s="1"/>
  <c r="AG1037" i="16"/>
  <c r="L1037" i="21"/>
  <c r="O1037" i="21" s="1"/>
  <c r="L504" i="21"/>
  <c r="O504" i="21" s="1"/>
  <c r="AG504" i="16"/>
  <c r="L761" i="21"/>
  <c r="O761" i="21" s="1"/>
  <c r="AG761" i="16"/>
  <c r="L1046" i="21"/>
  <c r="O1046" i="21" s="1"/>
  <c r="AG1046" i="16"/>
  <c r="AG542" i="16"/>
  <c r="L542" i="21"/>
  <c r="O542" i="21" s="1"/>
  <c r="AG803" i="16"/>
  <c r="L803" i="21"/>
  <c r="O803" i="21" s="1"/>
  <c r="AG1092" i="16"/>
  <c r="L1092" i="21"/>
  <c r="O1092" i="21" s="1"/>
  <c r="AG549" i="16"/>
  <c r="L549" i="21"/>
  <c r="O549" i="21" s="1"/>
  <c r="AG802" i="16"/>
  <c r="L802" i="21"/>
  <c r="O802" i="21" s="1"/>
  <c r="AG1059" i="16"/>
  <c r="L1059" i="21"/>
  <c r="O1059" i="21" s="1"/>
  <c r="L511" i="21"/>
  <c r="O511" i="21" s="1"/>
  <c r="AG511" i="16"/>
  <c r="AG760" i="16"/>
  <c r="L760" i="21"/>
  <c r="O760" i="21" s="1"/>
  <c r="AG1041" i="16"/>
  <c r="L1041" i="21"/>
  <c r="O1041" i="21" s="1"/>
  <c r="AG444" i="16"/>
  <c r="L444" i="21"/>
  <c r="O444" i="21" s="1"/>
  <c r="AG749" i="16"/>
  <c r="L749" i="21"/>
  <c r="O749" i="21" s="1"/>
  <c r="AG1034" i="16"/>
  <c r="L1034" i="21"/>
  <c r="O1034" i="21" s="1"/>
  <c r="AG442" i="16"/>
  <c r="L442" i="21"/>
  <c r="O442" i="21" s="1"/>
  <c r="AG751" i="16"/>
  <c r="L751" i="21"/>
  <c r="O751" i="21" s="1"/>
  <c r="AG1032" i="16"/>
  <c r="L1032" i="21"/>
  <c r="O1032" i="21" s="1"/>
  <c r="AG453" i="16"/>
  <c r="L453" i="21"/>
  <c r="O453" i="21" s="1"/>
  <c r="AG750" i="16"/>
  <c r="L750" i="21"/>
  <c r="O750" i="21" s="1"/>
  <c r="AG974" i="16"/>
  <c r="L974" i="21"/>
  <c r="O974" i="21" s="1"/>
  <c r="L14" i="26"/>
  <c r="L15" i="26"/>
  <c r="AA299" i="16"/>
  <c r="AG299" i="16" s="1"/>
  <c r="AA298" i="16"/>
  <c r="AG298" i="16" s="1"/>
  <c r="AA297" i="16"/>
  <c r="AG297" i="16" s="1"/>
  <c r="AA296" i="16"/>
  <c r="AG296" i="16" s="1"/>
  <c r="AA295" i="16"/>
  <c r="AG295" i="16" s="1"/>
  <c r="AA294" i="16"/>
  <c r="AG294" i="16" s="1"/>
  <c r="AA293" i="16"/>
  <c r="AG293" i="16" s="1"/>
  <c r="AA292" i="16"/>
  <c r="AG292" i="16" s="1"/>
  <c r="AA291" i="16"/>
  <c r="AG291" i="16" s="1"/>
  <c r="AA290" i="16"/>
  <c r="AG290" i="16" s="1"/>
  <c r="AA289" i="16"/>
  <c r="AG289" i="16" s="1"/>
  <c r="AA288" i="16"/>
  <c r="AG288" i="16" s="1"/>
  <c r="AA275" i="16"/>
  <c r="AG275" i="16" s="1"/>
  <c r="AA274" i="16"/>
  <c r="AG274" i="16" s="1"/>
  <c r="AA273" i="16"/>
  <c r="AG273" i="16" s="1"/>
  <c r="AA269" i="16"/>
  <c r="AG269" i="16" s="1"/>
  <c r="AA268" i="16"/>
  <c r="AG268" i="16" s="1"/>
  <c r="AA267" i="16"/>
  <c r="AG267" i="16" s="1"/>
  <c r="AA266" i="16"/>
  <c r="AG266" i="16" s="1"/>
  <c r="AA265" i="16"/>
  <c r="AG265" i="16" s="1"/>
  <c r="AA264" i="16"/>
  <c r="AG264" i="16" s="1"/>
  <c r="AA263" i="16"/>
  <c r="AG263" i="16" s="1"/>
  <c r="AA262" i="16"/>
  <c r="AG262" i="16" s="1"/>
  <c r="AA261" i="16"/>
  <c r="AG261" i="16" s="1"/>
  <c r="AA260" i="16"/>
  <c r="AG260" i="16" s="1"/>
  <c r="AA259" i="16"/>
  <c r="AG259" i="16" s="1"/>
  <c r="AA258" i="16"/>
  <c r="AG258" i="16" s="1"/>
  <c r="AA257" i="16"/>
  <c r="AG257" i="16" s="1"/>
  <c r="AA256" i="16"/>
  <c r="AG256" i="16" s="1"/>
  <c r="AA107" i="17"/>
  <c r="AA106" i="17"/>
  <c r="AA105" i="17"/>
  <c r="AA104" i="17"/>
  <c r="AA103" i="17"/>
  <c r="AA102" i="17"/>
  <c r="AA101" i="17"/>
  <c r="AA100" i="17"/>
  <c r="AA99" i="17"/>
  <c r="AA98" i="17"/>
  <c r="AA97" i="17"/>
  <c r="AA96" i="17"/>
  <c r="AA83" i="17"/>
  <c r="AA82" i="17"/>
  <c r="AA81" i="17"/>
  <c r="AA77" i="17"/>
  <c r="AA76" i="17"/>
  <c r="AA75" i="17"/>
  <c r="AA74" i="17"/>
  <c r="AA73" i="17"/>
  <c r="AA72" i="17"/>
  <c r="AA71" i="17"/>
  <c r="AA70" i="17"/>
  <c r="AA69" i="17"/>
  <c r="AA68" i="17"/>
  <c r="AA67" i="17"/>
  <c r="AA66" i="17"/>
  <c r="AA65" i="17"/>
  <c r="AA64" i="17"/>
  <c r="AA46" i="13"/>
  <c r="AA228" i="16"/>
  <c r="AA223" i="16"/>
  <c r="AA218" i="16"/>
  <c r="AA212" i="16"/>
  <c r="AA206" i="16"/>
  <c r="AA200" i="16"/>
  <c r="AA194" i="16"/>
  <c r="AA62" i="16"/>
  <c r="AA54" i="16"/>
  <c r="AA47" i="16"/>
  <c r="AA41" i="16"/>
  <c r="AA224" i="16"/>
  <c r="AA219" i="16"/>
  <c r="AA213" i="16"/>
  <c r="AA208" i="16"/>
  <c r="AA202" i="16"/>
  <c r="AA196" i="16"/>
  <c r="AA190" i="16"/>
  <c r="AA64" i="16"/>
  <c r="AA56" i="16"/>
  <c r="AA48" i="16"/>
  <c r="AA227" i="16"/>
  <c r="AA222" i="16"/>
  <c r="AA216" i="16"/>
  <c r="AA210" i="16"/>
  <c r="AA205" i="16"/>
  <c r="AA199" i="16"/>
  <c r="AA193" i="16"/>
  <c r="AA60" i="16"/>
  <c r="AA52" i="16"/>
  <c r="AA45" i="16"/>
  <c r="AA226" i="16"/>
  <c r="AA220" i="16"/>
  <c r="AA215" i="16"/>
  <c r="AA209" i="16"/>
  <c r="AA203" i="16"/>
  <c r="AA197" i="16"/>
  <c r="AA191" i="16"/>
  <c r="AA66" i="16"/>
  <c r="AA58" i="16"/>
  <c r="AA50" i="16"/>
  <c r="AA44" i="16"/>
  <c r="AA42" i="16"/>
  <c r="AP5" i="16" l="1"/>
  <c r="AQ5" i="16" s="1"/>
  <c r="AP4" i="16"/>
  <c r="AC9" i="21"/>
  <c r="AP7" i="16"/>
  <c r="AQ7" i="16" s="1"/>
  <c r="AC12" i="21"/>
  <c r="AP3" i="16"/>
  <c r="AQ3" i="16" s="1"/>
  <c r="AC7" i="21"/>
  <c r="T7" i="21"/>
  <c r="O396" i="21"/>
  <c r="W7" i="21" s="1"/>
  <c r="O1613" i="21"/>
  <c r="W11" i="21" s="1"/>
  <c r="T11" i="21"/>
  <c r="T10" i="21"/>
  <c r="O1514" i="21"/>
  <c r="W10" i="21" s="1"/>
  <c r="T9" i="21"/>
  <c r="O1340" i="21"/>
  <c r="W9" i="21" s="1"/>
  <c r="O1991" i="21"/>
  <c r="W12" i="21" s="1"/>
  <c r="T12" i="21"/>
  <c r="AP6" i="16"/>
  <c r="AQ6" i="16" s="1"/>
  <c r="AC11" i="21"/>
  <c r="AC10" i="21"/>
  <c r="AG191" i="16"/>
  <c r="L191" i="21"/>
  <c r="O191" i="21" s="1"/>
  <c r="AG216" i="16"/>
  <c r="L216" i="21"/>
  <c r="O216" i="21" s="1"/>
  <c r="AG48" i="16"/>
  <c r="L48" i="21"/>
  <c r="O48" i="21" s="1"/>
  <c r="AG62" i="16"/>
  <c r="L62" i="21"/>
  <c r="O62" i="21" s="1"/>
  <c r="AG50" i="16"/>
  <c r="L50" i="21"/>
  <c r="O50" i="21" s="1"/>
  <c r="AG220" i="16"/>
  <c r="L220" i="21"/>
  <c r="O220" i="21" s="1"/>
  <c r="AG45" i="16"/>
  <c r="L45" i="21"/>
  <c r="O45" i="21" s="1"/>
  <c r="AG199" i="16"/>
  <c r="L199" i="21"/>
  <c r="O199" i="21" s="1"/>
  <c r="AG56" i="16"/>
  <c r="L56" i="21"/>
  <c r="O56" i="21" s="1"/>
  <c r="AG224" i="16"/>
  <c r="L224" i="21"/>
  <c r="O224" i="21" s="1"/>
  <c r="AG194" i="16"/>
  <c r="L194" i="21"/>
  <c r="O194" i="21" s="1"/>
  <c r="AG203" i="16"/>
  <c r="L203" i="21"/>
  <c r="O203" i="21" s="1"/>
  <c r="AG208" i="16"/>
  <c r="L208" i="21"/>
  <c r="O208" i="21" s="1"/>
  <c r="AG47" i="16"/>
  <c r="L47" i="21"/>
  <c r="O47" i="21" s="1"/>
  <c r="AG223" i="16"/>
  <c r="L223" i="21"/>
  <c r="O223" i="21" s="1"/>
  <c r="AG44" i="16"/>
  <c r="L44" i="21"/>
  <c r="O44" i="21" s="1"/>
  <c r="AG215" i="16"/>
  <c r="L215" i="21"/>
  <c r="O215" i="21" s="1"/>
  <c r="AG193" i="16"/>
  <c r="L193" i="21"/>
  <c r="O193" i="21" s="1"/>
  <c r="AG219" i="16"/>
  <c r="L219" i="21"/>
  <c r="O219" i="21" s="1"/>
  <c r="AG212" i="16"/>
  <c r="L212" i="21"/>
  <c r="O212" i="21" s="1"/>
  <c r="AG197" i="16"/>
  <c r="L197" i="21"/>
  <c r="O197" i="21" s="1"/>
  <c r="AG222" i="16"/>
  <c r="L222" i="21"/>
  <c r="O222" i="21" s="1"/>
  <c r="AG202" i="16"/>
  <c r="L202" i="21"/>
  <c r="O202" i="21" s="1"/>
  <c r="AG41" i="16"/>
  <c r="L41" i="21"/>
  <c r="AG218" i="16"/>
  <c r="L218" i="21"/>
  <c r="O218" i="21" s="1"/>
  <c r="AG58" i="16"/>
  <c r="L58" i="21"/>
  <c r="O58" i="21" s="1"/>
  <c r="AG226" i="16"/>
  <c r="L226" i="21"/>
  <c r="O226" i="21" s="1"/>
  <c r="AG52" i="16"/>
  <c r="L52" i="21"/>
  <c r="O52" i="21" s="1"/>
  <c r="AG205" i="16"/>
  <c r="L205" i="21"/>
  <c r="O205" i="21" s="1"/>
  <c r="AG227" i="16"/>
  <c r="L227" i="21"/>
  <c r="O227" i="21" s="1"/>
  <c r="AG64" i="16"/>
  <c r="L64" i="21"/>
  <c r="O64" i="21" s="1"/>
  <c r="AG200" i="16"/>
  <c r="L200" i="21"/>
  <c r="O200" i="21" s="1"/>
  <c r="AG42" i="16"/>
  <c r="L42" i="21"/>
  <c r="O42" i="21" s="1"/>
  <c r="AG66" i="16"/>
  <c r="L66" i="21"/>
  <c r="O66" i="21" s="1"/>
  <c r="AG209" i="16"/>
  <c r="L209" i="21"/>
  <c r="O209" i="21" s="1"/>
  <c r="AG60" i="16"/>
  <c r="L60" i="21"/>
  <c r="O60" i="21" s="1"/>
  <c r="AG210" i="16"/>
  <c r="L210" i="21"/>
  <c r="O210" i="21" s="1"/>
  <c r="AG190" i="16"/>
  <c r="L190" i="21"/>
  <c r="O190" i="21" s="1"/>
  <c r="AG213" i="16"/>
  <c r="L213" i="21"/>
  <c r="O213" i="21" s="1"/>
  <c r="AG54" i="16"/>
  <c r="L54" i="21"/>
  <c r="O54" i="21" s="1"/>
  <c r="AG206" i="16"/>
  <c r="L206" i="21"/>
  <c r="O206" i="21" s="1"/>
  <c r="AG228" i="16"/>
  <c r="L299" i="21"/>
  <c r="O299" i="21" s="1"/>
  <c r="L295" i="21"/>
  <c r="O295" i="21" s="1"/>
  <c r="L291" i="21"/>
  <c r="O291" i="21" s="1"/>
  <c r="L297" i="21"/>
  <c r="O297" i="21" s="1"/>
  <c r="L293" i="21"/>
  <c r="O293" i="21" s="1"/>
  <c r="L289" i="21"/>
  <c r="O289" i="21" s="1"/>
  <c r="L273" i="21"/>
  <c r="O273" i="21" s="1"/>
  <c r="L269" i="21"/>
  <c r="O269" i="21" s="1"/>
  <c r="L265" i="21"/>
  <c r="O265" i="21" s="1"/>
  <c r="L261" i="21"/>
  <c r="O261" i="21" s="1"/>
  <c r="L257" i="21"/>
  <c r="O257" i="21" s="1"/>
  <c r="L292" i="21"/>
  <c r="O292" i="21" s="1"/>
  <c r="L288" i="21"/>
  <c r="O288" i="21" s="1"/>
  <c r="L263" i="21"/>
  <c r="O263" i="21" s="1"/>
  <c r="L256" i="21"/>
  <c r="O256" i="21" s="1"/>
  <c r="L296" i="21"/>
  <c r="O296" i="21" s="1"/>
  <c r="L264" i="21"/>
  <c r="O264" i="21" s="1"/>
  <c r="L262" i="21"/>
  <c r="O262" i="21" s="1"/>
  <c r="L294" i="21"/>
  <c r="O294" i="21" s="1"/>
  <c r="L275" i="21"/>
  <c r="O275" i="21" s="1"/>
  <c r="L268" i="21"/>
  <c r="O268" i="21" s="1"/>
  <c r="L298" i="21"/>
  <c r="O298" i="21" s="1"/>
  <c r="L274" i="21"/>
  <c r="O274" i="21" s="1"/>
  <c r="L267" i="21"/>
  <c r="O267" i="21" s="1"/>
  <c r="L260" i="21"/>
  <c r="O260" i="21" s="1"/>
  <c r="L266" i="21"/>
  <c r="O266" i="21" s="1"/>
  <c r="L259" i="21"/>
  <c r="O259" i="21" s="1"/>
  <c r="L258" i="21"/>
  <c r="O258" i="21" s="1"/>
  <c r="L290" i="21"/>
  <c r="O290" i="21" s="1"/>
  <c r="L228" i="21"/>
  <c r="O228" i="21" s="1"/>
  <c r="AG196" i="16"/>
  <c r="L196" i="21"/>
  <c r="O196" i="21" s="1"/>
  <c r="Z12" i="21" l="1"/>
  <c r="AH12" i="21" s="1"/>
  <c r="AP2" i="16"/>
  <c r="AP8" i="16" s="1"/>
  <c r="Z9" i="21"/>
  <c r="AH9" i="21" s="1"/>
  <c r="Z10" i="21"/>
  <c r="AH10" i="21" s="1"/>
  <c r="Z7" i="21"/>
  <c r="AH7" i="21" s="1"/>
  <c r="Z11" i="21"/>
  <c r="AH11" i="21" s="1"/>
  <c r="AQ4" i="16"/>
  <c r="AP9" i="16"/>
  <c r="AQ9" i="16" s="1"/>
  <c r="O41" i="21"/>
  <c r="W5" i="21" s="1"/>
  <c r="T5" i="21"/>
  <c r="AC5" i="21"/>
  <c r="AQ2" i="16" l="1"/>
  <c r="Z5" i="21"/>
  <c r="AH5" i="21" s="1"/>
  <c r="AQ8" i="16"/>
  <c r="AP10" i="16"/>
  <c r="AQ10" i="16" s="1"/>
  <c r="J2" i="21" l="1"/>
  <c r="K2" i="21"/>
  <c r="M2" i="21"/>
  <c r="N2" i="21"/>
  <c r="J3" i="21"/>
  <c r="K3" i="21"/>
  <c r="M3" i="21"/>
  <c r="N3" i="21"/>
  <c r="J4" i="21"/>
  <c r="K4" i="21"/>
  <c r="M4" i="21"/>
  <c r="N4" i="21"/>
  <c r="J5" i="21"/>
  <c r="K5" i="21"/>
  <c r="M5" i="21"/>
  <c r="N5" i="21"/>
  <c r="R5" i="21"/>
  <c r="S5" i="21"/>
  <c r="U5" i="21"/>
  <c r="V5" i="21"/>
  <c r="X5" i="21"/>
  <c r="Y5" i="21"/>
  <c r="AA5" i="21"/>
  <c r="AB5" i="21"/>
  <c r="AD5" i="21"/>
  <c r="AE5" i="21"/>
  <c r="AF5" i="21"/>
  <c r="AG5" i="21"/>
  <c r="AI5" i="21"/>
  <c r="AJ5" i="21"/>
  <c r="J6" i="21"/>
  <c r="K6" i="21"/>
  <c r="M6" i="21"/>
  <c r="N6" i="21"/>
  <c r="J7" i="21"/>
  <c r="K7" i="21"/>
  <c r="M7" i="21"/>
  <c r="N7" i="21"/>
  <c r="R7" i="21"/>
  <c r="S7" i="21"/>
  <c r="U7" i="21"/>
  <c r="V7" i="21"/>
  <c r="X7" i="21"/>
  <c r="Y7" i="21"/>
  <c r="AA7" i="21"/>
  <c r="AB7" i="21"/>
  <c r="AD7" i="21"/>
  <c r="AE7" i="21"/>
  <c r="AF7" i="21"/>
  <c r="AG7" i="21"/>
  <c r="AI7" i="21"/>
  <c r="AJ7" i="21"/>
  <c r="J8" i="21"/>
  <c r="K8" i="21"/>
  <c r="M8" i="21"/>
  <c r="N8" i="21"/>
  <c r="J9" i="21"/>
  <c r="K9" i="21"/>
  <c r="M9" i="21"/>
  <c r="N9" i="21"/>
  <c r="S9" i="21"/>
  <c r="V9" i="21"/>
  <c r="Y9" i="21"/>
  <c r="AB9" i="21"/>
  <c r="AE9" i="21"/>
  <c r="AG9" i="21"/>
  <c r="AJ9" i="21"/>
  <c r="J10" i="21"/>
  <c r="K10" i="21"/>
  <c r="M10" i="21"/>
  <c r="N10" i="21"/>
  <c r="S10" i="21"/>
  <c r="V10" i="21"/>
  <c r="Y10" i="21"/>
  <c r="AB10" i="21"/>
  <c r="AE10" i="21"/>
  <c r="AG10" i="21"/>
  <c r="AJ10" i="21"/>
  <c r="J11" i="21"/>
  <c r="K11" i="21"/>
  <c r="M11" i="21"/>
  <c r="N11" i="21"/>
  <c r="S11" i="21"/>
  <c r="V11" i="21"/>
  <c r="Y11" i="21"/>
  <c r="AB11" i="21"/>
  <c r="AE11" i="21"/>
  <c r="AG11" i="21"/>
  <c r="AJ11" i="21"/>
  <c r="J12" i="21"/>
  <c r="K12" i="21"/>
  <c r="M12" i="21"/>
  <c r="N12" i="21"/>
  <c r="S12" i="21"/>
  <c r="V12" i="21"/>
  <c r="Y12" i="21"/>
  <c r="AB12" i="21"/>
  <c r="AG12" i="21"/>
  <c r="AJ12" i="21"/>
  <c r="J13" i="21"/>
  <c r="K13" i="21"/>
  <c r="M13" i="21"/>
  <c r="N13" i="21"/>
  <c r="J14" i="21"/>
  <c r="K14" i="21"/>
  <c r="M14" i="21"/>
  <c r="N14" i="21"/>
  <c r="J15" i="21"/>
  <c r="K15" i="21"/>
  <c r="M15" i="21"/>
  <c r="N15" i="21"/>
  <c r="J16" i="21"/>
  <c r="K16" i="21"/>
  <c r="M16" i="21"/>
  <c r="N16" i="21"/>
  <c r="J17" i="21"/>
  <c r="K17" i="21"/>
  <c r="M17" i="21"/>
  <c r="N17" i="21"/>
  <c r="J18" i="21"/>
  <c r="K18" i="21"/>
  <c r="M18" i="21"/>
  <c r="N18" i="21"/>
  <c r="J19" i="21"/>
  <c r="K19" i="21"/>
  <c r="M19" i="21"/>
  <c r="N19" i="21"/>
  <c r="J20" i="21"/>
  <c r="K20" i="21"/>
  <c r="M20" i="21"/>
  <c r="N20" i="21"/>
  <c r="J21" i="21"/>
  <c r="K21" i="21"/>
  <c r="M21" i="21"/>
  <c r="N21" i="21"/>
  <c r="J22" i="21"/>
  <c r="K22" i="21"/>
  <c r="M22" i="21"/>
  <c r="N22" i="21"/>
  <c r="J23" i="21"/>
  <c r="K23" i="21"/>
  <c r="M23" i="21"/>
  <c r="N23" i="21"/>
  <c r="J24" i="21"/>
  <c r="K24" i="21"/>
  <c r="M24" i="21"/>
  <c r="N24" i="21"/>
  <c r="J25" i="21"/>
  <c r="K25" i="21"/>
  <c r="M25" i="21"/>
  <c r="N25" i="21"/>
  <c r="J26" i="21"/>
  <c r="K26" i="21"/>
  <c r="M26" i="21"/>
  <c r="N26" i="21"/>
  <c r="J27" i="21"/>
  <c r="K27" i="21"/>
  <c r="M27" i="21"/>
  <c r="N27" i="21"/>
  <c r="J28" i="21"/>
  <c r="K28" i="21"/>
  <c r="M28" i="21"/>
  <c r="N28" i="21"/>
  <c r="K29" i="21"/>
  <c r="N29" i="21"/>
  <c r="K30" i="21"/>
  <c r="N30" i="21"/>
  <c r="K31" i="21"/>
  <c r="N31" i="21"/>
  <c r="K32" i="21"/>
  <c r="N32" i="21"/>
  <c r="K33" i="21"/>
  <c r="N33" i="21"/>
  <c r="K34" i="21"/>
  <c r="N34" i="21"/>
  <c r="K35" i="21"/>
  <c r="N35" i="21"/>
  <c r="K36" i="21"/>
  <c r="N36" i="21"/>
  <c r="K37" i="21"/>
  <c r="N37" i="21"/>
  <c r="K38" i="21"/>
  <c r="N38" i="21"/>
  <c r="K39" i="21"/>
  <c r="N39" i="21"/>
  <c r="K40" i="21"/>
  <c r="N40" i="21"/>
  <c r="J41" i="21"/>
  <c r="K41" i="21"/>
  <c r="M41" i="21"/>
  <c r="N41" i="21"/>
  <c r="J42" i="21"/>
  <c r="K42" i="21"/>
  <c r="M42" i="21"/>
  <c r="N42" i="21"/>
  <c r="J43" i="21"/>
  <c r="K43" i="21"/>
  <c r="M43" i="21"/>
  <c r="N43" i="21"/>
  <c r="J44" i="21"/>
  <c r="K44" i="21"/>
  <c r="M44" i="21"/>
  <c r="N44" i="21"/>
  <c r="J45" i="21"/>
  <c r="K45" i="21"/>
  <c r="M45" i="21"/>
  <c r="N45" i="21"/>
  <c r="J46" i="21"/>
  <c r="K46" i="21"/>
  <c r="M46" i="21"/>
  <c r="N46" i="21"/>
  <c r="J47" i="21"/>
  <c r="K47" i="21"/>
  <c r="M47" i="21"/>
  <c r="N47" i="21"/>
  <c r="J48" i="21"/>
  <c r="K48" i="21"/>
  <c r="M48" i="21"/>
  <c r="N48" i="21"/>
  <c r="J49" i="21"/>
  <c r="K49" i="21"/>
  <c r="M49" i="21"/>
  <c r="N49" i="21"/>
  <c r="J50" i="21"/>
  <c r="K50" i="21"/>
  <c r="M50" i="21"/>
  <c r="N50" i="21"/>
  <c r="J51" i="21"/>
  <c r="K51" i="21"/>
  <c r="M51" i="21"/>
  <c r="N51" i="21"/>
  <c r="J52" i="21"/>
  <c r="K52" i="21"/>
  <c r="M52" i="21"/>
  <c r="N52" i="21"/>
  <c r="J53" i="21"/>
  <c r="K53" i="21"/>
  <c r="M53" i="21"/>
  <c r="N53" i="21"/>
  <c r="J54" i="21"/>
  <c r="K54" i="21"/>
  <c r="M54" i="21"/>
  <c r="N54" i="21"/>
  <c r="J55" i="21"/>
  <c r="K55" i="21"/>
  <c r="M55" i="21"/>
  <c r="N55" i="21"/>
  <c r="J56" i="21"/>
  <c r="K56" i="21"/>
  <c r="M56" i="21"/>
  <c r="N56" i="21"/>
  <c r="J57" i="21"/>
  <c r="K57" i="21"/>
  <c r="M57" i="21"/>
  <c r="N57" i="21"/>
  <c r="J58" i="21"/>
  <c r="K58" i="21"/>
  <c r="M58" i="21"/>
  <c r="N58" i="21"/>
  <c r="J59" i="21"/>
  <c r="K59" i="21"/>
  <c r="M59" i="21"/>
  <c r="N59" i="21"/>
  <c r="J60" i="21"/>
  <c r="K60" i="21"/>
  <c r="M60" i="21"/>
  <c r="N60" i="21"/>
  <c r="J61" i="21"/>
  <c r="K61" i="21"/>
  <c r="M61" i="21"/>
  <c r="N61" i="21"/>
  <c r="J62" i="21"/>
  <c r="K62" i="21"/>
  <c r="M62" i="21"/>
  <c r="N62" i="21"/>
  <c r="J63" i="21"/>
  <c r="K63" i="21"/>
  <c r="M63" i="21"/>
  <c r="N63" i="21"/>
  <c r="J64" i="21"/>
  <c r="K64" i="21"/>
  <c r="M64" i="21"/>
  <c r="N64" i="21"/>
  <c r="J65" i="21"/>
  <c r="K65" i="21"/>
  <c r="M65" i="21"/>
  <c r="N65" i="21"/>
  <c r="J66" i="21"/>
  <c r="K66" i="21"/>
  <c r="M66" i="21"/>
  <c r="N66" i="21"/>
  <c r="J67" i="21"/>
  <c r="K67" i="21"/>
  <c r="M67" i="21"/>
  <c r="N67" i="21"/>
  <c r="J68" i="21"/>
  <c r="K68" i="21"/>
  <c r="M68" i="21"/>
  <c r="N68" i="21"/>
  <c r="J69" i="21"/>
  <c r="K69" i="21"/>
  <c r="M69" i="21"/>
  <c r="N69" i="21"/>
  <c r="J70" i="21"/>
  <c r="K70" i="21"/>
  <c r="M70" i="21"/>
  <c r="N70" i="21"/>
  <c r="J71" i="21"/>
  <c r="K71" i="21"/>
  <c r="M71" i="21"/>
  <c r="N71" i="21"/>
  <c r="J72" i="21"/>
  <c r="K72" i="21"/>
  <c r="M72" i="21"/>
  <c r="N72" i="21"/>
  <c r="J73" i="21"/>
  <c r="K73" i="21"/>
  <c r="M73" i="21"/>
  <c r="N73" i="21"/>
  <c r="J74" i="21"/>
  <c r="K74" i="21"/>
  <c r="M74" i="21"/>
  <c r="N74" i="21"/>
  <c r="J75" i="21"/>
  <c r="K75" i="21"/>
  <c r="M75" i="21"/>
  <c r="N75" i="21"/>
  <c r="J76" i="21"/>
  <c r="K76" i="21"/>
  <c r="M76" i="21"/>
  <c r="N76" i="21"/>
  <c r="J77" i="21"/>
  <c r="K77" i="21"/>
  <c r="M77" i="21"/>
  <c r="N77" i="21"/>
  <c r="J78" i="21"/>
  <c r="K78" i="21"/>
  <c r="M78" i="21"/>
  <c r="N78" i="21"/>
  <c r="J79" i="21"/>
  <c r="K79" i="21"/>
  <c r="M79" i="21"/>
  <c r="N79" i="21"/>
  <c r="K80" i="21"/>
  <c r="N80" i="21"/>
  <c r="K81" i="21"/>
  <c r="N81" i="21"/>
  <c r="K82" i="21"/>
  <c r="N82" i="21"/>
  <c r="K83" i="21"/>
  <c r="N83" i="21"/>
  <c r="K84" i="21"/>
  <c r="N84" i="21"/>
  <c r="K85" i="21"/>
  <c r="N85" i="21"/>
  <c r="K86" i="21"/>
  <c r="N86" i="21"/>
  <c r="K87" i="21"/>
  <c r="N87" i="21"/>
  <c r="K88" i="21"/>
  <c r="N88" i="21"/>
  <c r="K89" i="21"/>
  <c r="N89" i="21"/>
  <c r="K90" i="21"/>
  <c r="N90" i="21"/>
  <c r="K91" i="21"/>
  <c r="N91" i="21"/>
  <c r="J92" i="21"/>
  <c r="K92" i="21"/>
  <c r="M92" i="21"/>
  <c r="N92" i="21"/>
  <c r="J93" i="21"/>
  <c r="K93" i="21"/>
  <c r="M93" i="21"/>
  <c r="N93" i="21"/>
  <c r="J94" i="21"/>
  <c r="K94" i="21"/>
  <c r="M94" i="21"/>
  <c r="N94" i="21"/>
  <c r="J95" i="21"/>
  <c r="K95" i="21"/>
  <c r="M95" i="21"/>
  <c r="N95" i="21"/>
  <c r="J96" i="21"/>
  <c r="K96" i="21"/>
  <c r="M96" i="21"/>
  <c r="N96" i="21"/>
  <c r="J97" i="21"/>
  <c r="K97" i="21"/>
  <c r="M97" i="21"/>
  <c r="N97" i="21"/>
  <c r="J98" i="21"/>
  <c r="K98" i="21"/>
  <c r="M98" i="21"/>
  <c r="N98" i="21"/>
  <c r="J99" i="21"/>
  <c r="K99" i="21"/>
  <c r="M99" i="21"/>
  <c r="N99" i="21"/>
  <c r="J100" i="21"/>
  <c r="K100" i="21"/>
  <c r="M100" i="21"/>
  <c r="N100" i="21"/>
  <c r="J101" i="21"/>
  <c r="K101" i="21"/>
  <c r="M101" i="21"/>
  <c r="N101" i="21"/>
  <c r="J102" i="21"/>
  <c r="K102" i="21"/>
  <c r="M102" i="21"/>
  <c r="N102" i="21"/>
  <c r="J103" i="21"/>
  <c r="K103" i="21"/>
  <c r="M103" i="21"/>
  <c r="N103" i="21"/>
  <c r="J104" i="21"/>
  <c r="K104" i="21"/>
  <c r="M104" i="21"/>
  <c r="N104" i="21"/>
  <c r="J105" i="21"/>
  <c r="K105" i="21"/>
  <c r="M105" i="21"/>
  <c r="N105" i="21"/>
  <c r="J106" i="21"/>
  <c r="K106" i="21"/>
  <c r="M106" i="21"/>
  <c r="N106" i="21"/>
  <c r="J107" i="21"/>
  <c r="K107" i="21"/>
  <c r="M107" i="21"/>
  <c r="N107" i="21"/>
  <c r="J108" i="21"/>
  <c r="K108" i="21"/>
  <c r="M108" i="21"/>
  <c r="N108" i="21"/>
  <c r="J109" i="21"/>
  <c r="K109" i="21"/>
  <c r="M109" i="21"/>
  <c r="N109" i="21"/>
  <c r="J110" i="21"/>
  <c r="K110" i="21"/>
  <c r="M110" i="21"/>
  <c r="N110" i="21"/>
  <c r="J111" i="21"/>
  <c r="K111" i="21"/>
  <c r="M111" i="21"/>
  <c r="N111" i="21"/>
  <c r="J112" i="21"/>
  <c r="K112" i="21"/>
  <c r="M112" i="21"/>
  <c r="N112" i="21"/>
  <c r="J113" i="21"/>
  <c r="K113" i="21"/>
  <c r="M113" i="21"/>
  <c r="N113" i="21"/>
  <c r="J114" i="21"/>
  <c r="K114" i="21"/>
  <c r="M114" i="21"/>
  <c r="N114" i="21"/>
  <c r="J115" i="21"/>
  <c r="K115" i="21"/>
  <c r="M115" i="21"/>
  <c r="N115" i="21"/>
  <c r="K116" i="21"/>
  <c r="N116" i="21"/>
  <c r="K117" i="21"/>
  <c r="N117" i="21"/>
  <c r="K118" i="21"/>
  <c r="N118" i="21"/>
  <c r="K119" i="21"/>
  <c r="N119" i="21"/>
  <c r="K120" i="21"/>
  <c r="N120" i="21"/>
  <c r="K121" i="21"/>
  <c r="N121" i="21"/>
  <c r="K122" i="21"/>
  <c r="N122" i="21"/>
  <c r="K123" i="21"/>
  <c r="N123" i="21"/>
  <c r="K124" i="21"/>
  <c r="N124" i="21"/>
  <c r="K125" i="21"/>
  <c r="N125" i="21"/>
  <c r="K126" i="21"/>
  <c r="N126" i="21"/>
  <c r="K127" i="21"/>
  <c r="N127" i="21"/>
  <c r="J128" i="21"/>
  <c r="K128" i="21"/>
  <c r="M128" i="21"/>
  <c r="N128" i="21"/>
  <c r="J129" i="21"/>
  <c r="K129" i="21"/>
  <c r="M129" i="21"/>
  <c r="N129" i="21"/>
  <c r="J130" i="21"/>
  <c r="K130" i="21"/>
  <c r="M130" i="21"/>
  <c r="N130" i="21"/>
  <c r="J131" i="21"/>
  <c r="K131" i="21"/>
  <c r="M131" i="21"/>
  <c r="N131" i="21"/>
  <c r="J132" i="21"/>
  <c r="K132" i="21"/>
  <c r="M132" i="21"/>
  <c r="N132" i="21"/>
  <c r="J133" i="21"/>
  <c r="K133" i="21"/>
  <c r="M133" i="21"/>
  <c r="N133" i="21"/>
  <c r="J134" i="21"/>
  <c r="K134" i="21"/>
  <c r="M134" i="21"/>
  <c r="N134" i="21"/>
  <c r="J135" i="21"/>
  <c r="K135" i="21"/>
  <c r="M135" i="21"/>
  <c r="N135" i="21"/>
  <c r="J136" i="21"/>
  <c r="K136" i="21"/>
  <c r="M136" i="21"/>
  <c r="N136" i="21"/>
  <c r="J137" i="21"/>
  <c r="K137" i="21"/>
  <c r="M137" i="21"/>
  <c r="N137" i="21"/>
  <c r="J138" i="21"/>
  <c r="K138" i="21"/>
  <c r="M138" i="21"/>
  <c r="N138" i="21"/>
  <c r="J139" i="21"/>
  <c r="K139" i="21"/>
  <c r="M139" i="21"/>
  <c r="N139" i="21"/>
  <c r="J140" i="21"/>
  <c r="K140" i="21"/>
  <c r="M140" i="21"/>
  <c r="N140" i="21"/>
  <c r="J141" i="21"/>
  <c r="K141" i="21"/>
  <c r="M141" i="21"/>
  <c r="N141" i="21"/>
  <c r="J142" i="21"/>
  <c r="K142" i="21"/>
  <c r="M142" i="21"/>
  <c r="N142" i="21"/>
  <c r="J143" i="21"/>
  <c r="K143" i="21"/>
  <c r="M143" i="21"/>
  <c r="N143" i="21"/>
  <c r="J144" i="21"/>
  <c r="K144" i="21"/>
  <c r="M144" i="21"/>
  <c r="N144" i="21"/>
  <c r="J145" i="21"/>
  <c r="K145" i="21"/>
  <c r="M145" i="21"/>
  <c r="N145" i="21"/>
  <c r="J146" i="21"/>
  <c r="K146" i="21"/>
  <c r="M146" i="21"/>
  <c r="N146" i="21"/>
  <c r="J147" i="21"/>
  <c r="K147" i="21"/>
  <c r="M147" i="21"/>
  <c r="N147" i="21"/>
  <c r="J148" i="21"/>
  <c r="K148" i="21"/>
  <c r="M148" i="21"/>
  <c r="N148" i="21"/>
  <c r="J149" i="21"/>
  <c r="K149" i="21"/>
  <c r="M149" i="21"/>
  <c r="N149" i="21"/>
  <c r="J150" i="21"/>
  <c r="K150" i="21"/>
  <c r="M150" i="21"/>
  <c r="N150" i="21"/>
  <c r="J151" i="21"/>
  <c r="K151" i="21"/>
  <c r="M151" i="21"/>
  <c r="N151" i="21"/>
  <c r="J152" i="21"/>
  <c r="K152" i="21"/>
  <c r="M152" i="21"/>
  <c r="N152" i="21"/>
  <c r="J153" i="21"/>
  <c r="K153" i="21"/>
  <c r="M153" i="21"/>
  <c r="N153" i="21"/>
  <c r="J154" i="21"/>
  <c r="K154" i="21"/>
  <c r="M154" i="21"/>
  <c r="N154" i="21"/>
  <c r="J155" i="21"/>
  <c r="K155" i="21"/>
  <c r="M155" i="21"/>
  <c r="N155" i="21"/>
  <c r="J156" i="21"/>
  <c r="K156" i="21"/>
  <c r="M156" i="21"/>
  <c r="N156" i="21"/>
  <c r="J157" i="21"/>
  <c r="K157" i="21"/>
  <c r="M157" i="21"/>
  <c r="N157" i="21"/>
  <c r="J158" i="21"/>
  <c r="K158" i="21"/>
  <c r="M158" i="21"/>
  <c r="N158" i="21"/>
  <c r="J159" i="21"/>
  <c r="K159" i="21"/>
  <c r="M159" i="21"/>
  <c r="N159" i="21"/>
  <c r="J160" i="21"/>
  <c r="K160" i="21"/>
  <c r="M160" i="21"/>
  <c r="N160" i="21"/>
  <c r="J161" i="21"/>
  <c r="K161" i="21"/>
  <c r="M161" i="21"/>
  <c r="N161" i="21"/>
  <c r="J162" i="21"/>
  <c r="K162" i="21"/>
  <c r="M162" i="21"/>
  <c r="N162" i="21"/>
  <c r="J163" i="21"/>
  <c r="K163" i="21"/>
  <c r="M163" i="21"/>
  <c r="N163" i="21"/>
  <c r="J164" i="21"/>
  <c r="K164" i="21"/>
  <c r="M164" i="21"/>
  <c r="N164" i="21"/>
  <c r="J165" i="21"/>
  <c r="K165" i="21"/>
  <c r="M165" i="21"/>
  <c r="N165" i="21"/>
  <c r="J166" i="21"/>
  <c r="K166" i="21"/>
  <c r="M166" i="21"/>
  <c r="N166" i="21"/>
  <c r="J167" i="21"/>
  <c r="K167" i="21"/>
  <c r="M167" i="21"/>
  <c r="N167" i="21"/>
  <c r="J168" i="21"/>
  <c r="K168" i="21"/>
  <c r="M168" i="21"/>
  <c r="N168" i="21"/>
  <c r="J169" i="21"/>
  <c r="K169" i="21"/>
  <c r="M169" i="21"/>
  <c r="N169" i="21"/>
  <c r="J170" i="21"/>
  <c r="K170" i="21"/>
  <c r="M170" i="21"/>
  <c r="N170" i="21"/>
  <c r="J171" i="21"/>
  <c r="K171" i="21"/>
  <c r="M171" i="21"/>
  <c r="N171" i="21"/>
  <c r="J172" i="21"/>
  <c r="K172" i="21"/>
  <c r="M172" i="21"/>
  <c r="N172" i="21"/>
  <c r="J173" i="21"/>
  <c r="K173" i="21"/>
  <c r="M173" i="21"/>
  <c r="N173" i="21"/>
  <c r="J174" i="21"/>
  <c r="K174" i="21"/>
  <c r="M174" i="21"/>
  <c r="N174" i="21"/>
  <c r="J175" i="21"/>
  <c r="K175" i="21"/>
  <c r="M175" i="21"/>
  <c r="N175" i="21"/>
  <c r="J176" i="21"/>
  <c r="K176" i="21"/>
  <c r="M176" i="21"/>
  <c r="N176" i="21"/>
  <c r="J177" i="21"/>
  <c r="K177" i="21"/>
  <c r="M177" i="21"/>
  <c r="N177" i="21"/>
  <c r="K178" i="21"/>
  <c r="N178" i="21"/>
  <c r="K179" i="21"/>
  <c r="N179" i="21"/>
  <c r="K180" i="21"/>
  <c r="N180" i="21"/>
  <c r="K181" i="21"/>
  <c r="N181" i="21"/>
  <c r="K182" i="21"/>
  <c r="N182" i="21"/>
  <c r="K183" i="21"/>
  <c r="N183" i="21"/>
  <c r="K184" i="21"/>
  <c r="N184" i="21"/>
  <c r="K185" i="21"/>
  <c r="N185" i="21"/>
  <c r="K186" i="21"/>
  <c r="N186" i="21"/>
  <c r="K187" i="21"/>
  <c r="N187" i="21"/>
  <c r="K188" i="21"/>
  <c r="N188" i="21"/>
  <c r="K189" i="21"/>
  <c r="N189" i="21"/>
  <c r="J190" i="21"/>
  <c r="K190" i="21"/>
  <c r="M190" i="21"/>
  <c r="N190" i="21"/>
  <c r="J191" i="21"/>
  <c r="K191" i="21"/>
  <c r="M191" i="21"/>
  <c r="N191" i="21"/>
  <c r="J192" i="21"/>
  <c r="K192" i="21"/>
  <c r="M192" i="21"/>
  <c r="N192" i="21"/>
  <c r="J193" i="21"/>
  <c r="K193" i="21"/>
  <c r="M193" i="21"/>
  <c r="N193" i="21"/>
  <c r="J194" i="21"/>
  <c r="K194" i="21"/>
  <c r="M194" i="21"/>
  <c r="N194" i="21"/>
  <c r="J195" i="21"/>
  <c r="K195" i="21"/>
  <c r="M195" i="21"/>
  <c r="N195" i="21"/>
  <c r="J196" i="21"/>
  <c r="K196" i="21"/>
  <c r="M196" i="21"/>
  <c r="N196" i="21"/>
  <c r="J197" i="21"/>
  <c r="K197" i="21"/>
  <c r="M197" i="21"/>
  <c r="N197" i="21"/>
  <c r="J198" i="21"/>
  <c r="K198" i="21"/>
  <c r="M198" i="21"/>
  <c r="N198" i="21"/>
  <c r="J199" i="21"/>
  <c r="K199" i="21"/>
  <c r="M199" i="21"/>
  <c r="N199" i="21"/>
  <c r="J200" i="21"/>
  <c r="K200" i="21"/>
  <c r="M200" i="21"/>
  <c r="N200" i="21"/>
  <c r="J201" i="21"/>
  <c r="K201" i="21"/>
  <c r="M201" i="21"/>
  <c r="N201" i="21"/>
  <c r="J202" i="21"/>
  <c r="K202" i="21"/>
  <c r="M202" i="21"/>
  <c r="N202" i="21"/>
  <c r="J203" i="21"/>
  <c r="K203" i="21"/>
  <c r="M203" i="21"/>
  <c r="N203" i="21"/>
  <c r="J204" i="21"/>
  <c r="K204" i="21"/>
  <c r="M204" i="21"/>
  <c r="N204" i="21"/>
  <c r="J205" i="21"/>
  <c r="K205" i="21"/>
  <c r="M205" i="21"/>
  <c r="N205" i="21"/>
  <c r="J206" i="21"/>
  <c r="K206" i="21"/>
  <c r="M206" i="21"/>
  <c r="N206" i="21"/>
  <c r="J207" i="21"/>
  <c r="K207" i="21"/>
  <c r="M207" i="21"/>
  <c r="N207" i="21"/>
  <c r="J208" i="21"/>
  <c r="K208" i="21"/>
  <c r="M208" i="21"/>
  <c r="N208" i="21"/>
  <c r="J209" i="21"/>
  <c r="K209" i="21"/>
  <c r="M209" i="21"/>
  <c r="N209" i="21"/>
  <c r="J210" i="21"/>
  <c r="K210" i="21"/>
  <c r="M210" i="21"/>
  <c r="N210" i="21"/>
  <c r="J211" i="21"/>
  <c r="K211" i="21"/>
  <c r="M211" i="21"/>
  <c r="N211" i="21"/>
  <c r="J212" i="21"/>
  <c r="K212" i="21"/>
  <c r="M212" i="21"/>
  <c r="N212" i="21"/>
  <c r="J213" i="21"/>
  <c r="K213" i="21"/>
  <c r="M213" i="21"/>
  <c r="N213" i="21"/>
  <c r="J214" i="21"/>
  <c r="K214" i="21"/>
  <c r="M214" i="21"/>
  <c r="N214" i="21"/>
  <c r="J215" i="21"/>
  <c r="K215" i="21"/>
  <c r="M215" i="21"/>
  <c r="N215" i="21"/>
  <c r="J216" i="21"/>
  <c r="K216" i="21"/>
  <c r="M216" i="21"/>
  <c r="N216" i="21"/>
  <c r="J217" i="21"/>
  <c r="K217" i="21"/>
  <c r="M217" i="21"/>
  <c r="N217" i="21"/>
  <c r="J218" i="21"/>
  <c r="K218" i="21"/>
  <c r="M218" i="21"/>
  <c r="N218" i="21"/>
  <c r="J219" i="21"/>
  <c r="K219" i="21"/>
  <c r="M219" i="21"/>
  <c r="N219" i="21"/>
  <c r="J220" i="21"/>
  <c r="K220" i="21"/>
  <c r="M220" i="21"/>
  <c r="N220" i="21"/>
  <c r="J221" i="21"/>
  <c r="K221" i="21"/>
  <c r="M221" i="21"/>
  <c r="N221" i="21"/>
  <c r="J222" i="21"/>
  <c r="K222" i="21"/>
  <c r="M222" i="21"/>
  <c r="N222" i="21"/>
  <c r="J223" i="21"/>
  <c r="K223" i="21"/>
  <c r="M223" i="21"/>
  <c r="N223" i="21"/>
  <c r="J224" i="21"/>
  <c r="K224" i="21"/>
  <c r="M224" i="21"/>
  <c r="N224" i="21"/>
  <c r="J225" i="21"/>
  <c r="K225" i="21"/>
  <c r="M225" i="21"/>
  <c r="N225" i="21"/>
  <c r="J226" i="21"/>
  <c r="K226" i="21"/>
  <c r="M226" i="21"/>
  <c r="N226" i="21"/>
  <c r="J227" i="21"/>
  <c r="K227" i="21"/>
  <c r="M227" i="21"/>
  <c r="N227" i="21"/>
  <c r="J228" i="21"/>
  <c r="K228" i="21"/>
  <c r="M228" i="21"/>
  <c r="N228" i="21"/>
  <c r="J229" i="21"/>
  <c r="K229" i="21"/>
  <c r="M229" i="21"/>
  <c r="N229" i="21"/>
  <c r="J230" i="21"/>
  <c r="K230" i="21"/>
  <c r="M230" i="21"/>
  <c r="N230" i="21"/>
  <c r="J231" i="21"/>
  <c r="K231" i="21"/>
  <c r="M231" i="21"/>
  <c r="N231" i="21"/>
  <c r="J232" i="21"/>
  <c r="K232" i="21"/>
  <c r="M232" i="21"/>
  <c r="N232" i="21"/>
  <c r="J233" i="21"/>
  <c r="K233" i="21"/>
  <c r="M233" i="21"/>
  <c r="N233" i="21"/>
  <c r="J234" i="21"/>
  <c r="K234" i="21"/>
  <c r="M234" i="21"/>
  <c r="N234" i="21"/>
  <c r="J235" i="21"/>
  <c r="K235" i="21"/>
  <c r="M235" i="21"/>
  <c r="N235" i="21"/>
  <c r="J236" i="21"/>
  <c r="K236" i="21"/>
  <c r="M236" i="21"/>
  <c r="N236" i="21"/>
  <c r="J237" i="21"/>
  <c r="K237" i="21"/>
  <c r="M237" i="21"/>
  <c r="N237" i="21"/>
  <c r="J238" i="21"/>
  <c r="K238" i="21"/>
  <c r="M238" i="21"/>
  <c r="N238" i="21"/>
  <c r="J239" i="21"/>
  <c r="K239" i="21"/>
  <c r="M239" i="21"/>
  <c r="N239" i="21"/>
  <c r="J240" i="21"/>
  <c r="K240" i="21"/>
  <c r="M240" i="21"/>
  <c r="N240" i="21"/>
  <c r="J241" i="21"/>
  <c r="K241" i="21"/>
  <c r="M241" i="21"/>
  <c r="N241" i="21"/>
  <c r="J242" i="21"/>
  <c r="K242" i="21"/>
  <c r="M242" i="21"/>
  <c r="N242" i="21"/>
  <c r="J243" i="21"/>
  <c r="K243" i="21"/>
  <c r="M243" i="21"/>
  <c r="N243" i="21"/>
  <c r="J244" i="21"/>
  <c r="K244" i="21"/>
  <c r="M244" i="21"/>
  <c r="N244" i="21"/>
  <c r="J245" i="21"/>
  <c r="K245" i="21"/>
  <c r="M245" i="21"/>
  <c r="N245" i="21"/>
  <c r="J246" i="21"/>
  <c r="K246" i="21"/>
  <c r="M246" i="21"/>
  <c r="N246" i="21"/>
  <c r="J247" i="21"/>
  <c r="K247" i="21"/>
  <c r="M247" i="21"/>
  <c r="N247" i="21"/>
  <c r="J248" i="21"/>
  <c r="K248" i="21"/>
  <c r="M248" i="21"/>
  <c r="N248" i="21"/>
  <c r="J249" i="21"/>
  <c r="K249" i="21"/>
  <c r="M249" i="21"/>
  <c r="N249" i="21"/>
  <c r="J250" i="21"/>
  <c r="K250" i="21"/>
  <c r="M250" i="21"/>
  <c r="N250" i="21"/>
  <c r="J251" i="21"/>
  <c r="K251" i="21"/>
  <c r="M251" i="21"/>
  <c r="N251" i="21"/>
  <c r="J252" i="21"/>
  <c r="K252" i="21"/>
  <c r="M252" i="21"/>
  <c r="N252" i="21"/>
  <c r="J253" i="21"/>
  <c r="K253" i="21"/>
  <c r="M253" i="21"/>
  <c r="N253" i="21"/>
  <c r="J254" i="21"/>
  <c r="K254" i="21"/>
  <c r="M254" i="21"/>
  <c r="N254" i="21"/>
  <c r="J255" i="21"/>
  <c r="K255" i="21"/>
  <c r="M255" i="21"/>
  <c r="N255" i="21"/>
  <c r="J256" i="21"/>
  <c r="K256" i="21"/>
  <c r="M256" i="21"/>
  <c r="N256" i="21"/>
  <c r="J257" i="21"/>
  <c r="K257" i="21"/>
  <c r="M257" i="21"/>
  <c r="N257" i="21"/>
  <c r="J258" i="21"/>
  <c r="K258" i="21"/>
  <c r="M258" i="21"/>
  <c r="N258" i="21"/>
  <c r="J259" i="21"/>
  <c r="K259" i="21"/>
  <c r="M259" i="21"/>
  <c r="N259" i="21"/>
  <c r="J260" i="21"/>
  <c r="K260" i="21"/>
  <c r="M260" i="21"/>
  <c r="N260" i="21"/>
  <c r="J261" i="21"/>
  <c r="K261" i="21"/>
  <c r="M261" i="21"/>
  <c r="N261" i="21"/>
  <c r="J262" i="21"/>
  <c r="K262" i="21"/>
  <c r="M262" i="21"/>
  <c r="N262" i="21"/>
  <c r="J263" i="21"/>
  <c r="K263" i="21"/>
  <c r="M263" i="21"/>
  <c r="N263" i="21"/>
  <c r="J264" i="21"/>
  <c r="K264" i="21"/>
  <c r="M264" i="21"/>
  <c r="N264" i="21"/>
  <c r="J265" i="21"/>
  <c r="K265" i="21"/>
  <c r="M265" i="21"/>
  <c r="N265" i="21"/>
  <c r="J266" i="21"/>
  <c r="K266" i="21"/>
  <c r="M266" i="21"/>
  <c r="N266" i="21"/>
  <c r="J267" i="21"/>
  <c r="K267" i="21"/>
  <c r="M267" i="21"/>
  <c r="N267" i="21"/>
  <c r="J268" i="21"/>
  <c r="K268" i="21"/>
  <c r="M268" i="21"/>
  <c r="N268" i="21"/>
  <c r="J269" i="21"/>
  <c r="K269" i="21"/>
  <c r="M269" i="21"/>
  <c r="N269" i="21"/>
  <c r="J270" i="21"/>
  <c r="K270" i="21"/>
  <c r="M270" i="21"/>
  <c r="N270" i="21"/>
  <c r="J271" i="21"/>
  <c r="K271" i="21"/>
  <c r="M271" i="21"/>
  <c r="N271" i="21"/>
  <c r="J272" i="21"/>
  <c r="K272" i="21"/>
  <c r="M272" i="21"/>
  <c r="N272" i="21"/>
  <c r="J273" i="21"/>
  <c r="K273" i="21"/>
  <c r="M273" i="21"/>
  <c r="N273" i="21"/>
  <c r="J274" i="21"/>
  <c r="K274" i="21"/>
  <c r="M274" i="21"/>
  <c r="N274" i="21"/>
  <c r="J275" i="21"/>
  <c r="K275" i="21"/>
  <c r="M275" i="21"/>
  <c r="N275" i="21"/>
  <c r="J276" i="21"/>
  <c r="K276" i="21"/>
  <c r="M276" i="21"/>
  <c r="N276" i="21"/>
  <c r="J277" i="21"/>
  <c r="K277" i="21"/>
  <c r="M277" i="21"/>
  <c r="N277" i="21"/>
  <c r="J278" i="21"/>
  <c r="K278" i="21"/>
  <c r="M278" i="21"/>
  <c r="N278" i="21"/>
  <c r="J279" i="21"/>
  <c r="K279" i="21"/>
  <c r="M279" i="21"/>
  <c r="N279" i="21"/>
  <c r="J280" i="21"/>
  <c r="K280" i="21"/>
  <c r="M280" i="21"/>
  <c r="N280" i="21"/>
  <c r="J281" i="21"/>
  <c r="K281" i="21"/>
  <c r="M281" i="21"/>
  <c r="N281" i="21"/>
  <c r="J282" i="21"/>
  <c r="K282" i="21"/>
  <c r="M282" i="21"/>
  <c r="N282" i="21"/>
  <c r="J283" i="21"/>
  <c r="K283" i="21"/>
  <c r="M283" i="21"/>
  <c r="N283" i="21"/>
  <c r="J284" i="21"/>
  <c r="K284" i="21"/>
  <c r="M284" i="21"/>
  <c r="N284" i="21"/>
  <c r="J285" i="21"/>
  <c r="K285" i="21"/>
  <c r="M285" i="21"/>
  <c r="N285" i="21"/>
  <c r="J286" i="21"/>
  <c r="K286" i="21"/>
  <c r="M286" i="21"/>
  <c r="N286" i="21"/>
  <c r="J287" i="21"/>
  <c r="K287" i="21"/>
  <c r="M287" i="21"/>
  <c r="N287" i="21"/>
  <c r="J288" i="21"/>
  <c r="K288" i="21"/>
  <c r="M288" i="21"/>
  <c r="N288" i="21"/>
  <c r="J289" i="21"/>
  <c r="K289" i="21"/>
  <c r="M289" i="21"/>
  <c r="N289" i="21"/>
  <c r="J290" i="21"/>
  <c r="K290" i="21"/>
  <c r="M290" i="21"/>
  <c r="N290" i="21"/>
  <c r="J291" i="21"/>
  <c r="K291" i="21"/>
  <c r="M291" i="21"/>
  <c r="N291" i="21"/>
  <c r="J292" i="21"/>
  <c r="K292" i="21"/>
  <c r="M292" i="21"/>
  <c r="N292" i="21"/>
  <c r="J293" i="21"/>
  <c r="K293" i="21"/>
  <c r="M293" i="21"/>
  <c r="N293" i="21"/>
  <c r="J294" i="21"/>
  <c r="K294" i="21"/>
  <c r="M294" i="21"/>
  <c r="N294" i="21"/>
  <c r="J295" i="21"/>
  <c r="K295" i="21"/>
  <c r="M295" i="21"/>
  <c r="N295" i="21"/>
  <c r="J296" i="21"/>
  <c r="K296" i="21"/>
  <c r="M296" i="21"/>
  <c r="N296" i="21"/>
  <c r="J297" i="21"/>
  <c r="K297" i="21"/>
  <c r="M297" i="21"/>
  <c r="N297" i="21"/>
  <c r="J298" i="21"/>
  <c r="K298" i="21"/>
  <c r="M298" i="21"/>
  <c r="N298" i="21"/>
  <c r="J299" i="21"/>
  <c r="K299" i="21"/>
  <c r="M299" i="21"/>
  <c r="N299" i="21"/>
  <c r="J300" i="21"/>
  <c r="K300" i="21"/>
  <c r="M300" i="21"/>
  <c r="N300" i="21"/>
  <c r="J301" i="21"/>
  <c r="K301" i="21"/>
  <c r="M301" i="21"/>
  <c r="N301" i="21"/>
  <c r="J302" i="21"/>
  <c r="K302" i="21"/>
  <c r="M302" i="21"/>
  <c r="N302" i="21"/>
  <c r="J303" i="21"/>
  <c r="K303" i="21"/>
  <c r="M303" i="21"/>
  <c r="N303" i="21"/>
  <c r="J304" i="21"/>
  <c r="K304" i="21"/>
  <c r="M304" i="21"/>
  <c r="N304" i="21"/>
  <c r="J305" i="21"/>
  <c r="K305" i="21"/>
  <c r="M305" i="21"/>
  <c r="N305" i="21"/>
  <c r="J306" i="21"/>
  <c r="K306" i="21"/>
  <c r="M306" i="21"/>
  <c r="N306" i="21"/>
  <c r="J307" i="21"/>
  <c r="K307" i="21"/>
  <c r="M307" i="21"/>
  <c r="N307" i="21"/>
  <c r="J308" i="21"/>
  <c r="K308" i="21"/>
  <c r="M308" i="21"/>
  <c r="N308" i="21"/>
  <c r="J309" i="21"/>
  <c r="K309" i="21"/>
  <c r="M309" i="21"/>
  <c r="N309" i="21"/>
  <c r="J310" i="21"/>
  <c r="K310" i="21"/>
  <c r="M310" i="21"/>
  <c r="N310" i="21"/>
  <c r="J311" i="21"/>
  <c r="K311" i="21"/>
  <c r="M311" i="21"/>
  <c r="N311" i="21"/>
  <c r="J312" i="21"/>
  <c r="K312" i="21"/>
  <c r="M312" i="21"/>
  <c r="N312" i="21"/>
  <c r="J313" i="21"/>
  <c r="K313" i="21"/>
  <c r="M313" i="21"/>
  <c r="N313" i="21"/>
  <c r="J314" i="21"/>
  <c r="K314" i="21"/>
  <c r="M314" i="21"/>
  <c r="N314" i="21"/>
  <c r="J315" i="21"/>
  <c r="K315" i="21"/>
  <c r="M315" i="21"/>
  <c r="N315" i="21"/>
  <c r="J316" i="21"/>
  <c r="K316" i="21"/>
  <c r="M316" i="21"/>
  <c r="N316" i="21"/>
  <c r="J317" i="21"/>
  <c r="K317" i="21"/>
  <c r="M317" i="21"/>
  <c r="N317" i="21"/>
  <c r="J318" i="21"/>
  <c r="K318" i="21"/>
  <c r="M318" i="21"/>
  <c r="N318" i="21"/>
  <c r="J319" i="21"/>
  <c r="K319" i="21"/>
  <c r="M319" i="21"/>
  <c r="N319" i="21"/>
  <c r="J320" i="21"/>
  <c r="K320" i="21"/>
  <c r="M320" i="21"/>
  <c r="N320" i="21"/>
  <c r="J321" i="21"/>
  <c r="K321" i="21"/>
  <c r="M321" i="21"/>
  <c r="N321" i="21"/>
  <c r="J322" i="21"/>
  <c r="K322" i="21"/>
  <c r="M322" i="21"/>
  <c r="N322" i="21"/>
  <c r="J323" i="21"/>
  <c r="K323" i="21"/>
  <c r="M323" i="21"/>
  <c r="N323" i="21"/>
  <c r="J324" i="21"/>
  <c r="K324" i="21"/>
  <c r="M324" i="21"/>
  <c r="N324" i="21"/>
  <c r="J325" i="21"/>
  <c r="K325" i="21"/>
  <c r="M325" i="21"/>
  <c r="N325" i="21"/>
  <c r="J326" i="21"/>
  <c r="K326" i="21"/>
  <c r="M326" i="21"/>
  <c r="N326" i="21"/>
  <c r="J327" i="21"/>
  <c r="K327" i="21"/>
  <c r="M327" i="21"/>
  <c r="N327" i="21"/>
  <c r="J328" i="21"/>
  <c r="K328" i="21"/>
  <c r="M328" i="21"/>
  <c r="N328" i="21"/>
  <c r="J329" i="21"/>
  <c r="K329" i="21"/>
  <c r="M329" i="21"/>
  <c r="N329" i="21"/>
  <c r="J330" i="21"/>
  <c r="K330" i="21"/>
  <c r="M330" i="21"/>
  <c r="N330" i="21"/>
  <c r="J331" i="21"/>
  <c r="K331" i="21"/>
  <c r="M331" i="21"/>
  <c r="N331" i="21"/>
  <c r="J332" i="21"/>
  <c r="K332" i="21"/>
  <c r="M332" i="21"/>
  <c r="N332" i="21"/>
  <c r="J333" i="21"/>
  <c r="K333" i="21"/>
  <c r="M333" i="21"/>
  <c r="N333" i="21"/>
  <c r="J334" i="21"/>
  <c r="K334" i="21"/>
  <c r="M334" i="21"/>
  <c r="N334" i="21"/>
  <c r="J335" i="21"/>
  <c r="K335" i="21"/>
  <c r="M335" i="21"/>
  <c r="N335" i="21"/>
  <c r="J336" i="21"/>
  <c r="M336" i="21"/>
  <c r="J337" i="21"/>
  <c r="M337" i="21"/>
  <c r="J338" i="21"/>
  <c r="M338" i="21"/>
  <c r="J339" i="21"/>
  <c r="M339" i="21"/>
  <c r="J340" i="21"/>
  <c r="M340" i="21"/>
  <c r="J341" i="21"/>
  <c r="M341" i="21"/>
  <c r="J342" i="21"/>
  <c r="M342" i="21"/>
  <c r="J343" i="21"/>
  <c r="M343" i="21"/>
  <c r="J344" i="21"/>
  <c r="M344" i="21"/>
  <c r="J345" i="21"/>
  <c r="M345" i="21"/>
  <c r="J346" i="21"/>
  <c r="M346" i="21"/>
  <c r="J347" i="21"/>
  <c r="M347" i="21"/>
  <c r="J348" i="21"/>
  <c r="M348" i="21"/>
  <c r="J349" i="21"/>
  <c r="M349" i="21"/>
  <c r="J350" i="21"/>
  <c r="M350" i="21"/>
  <c r="J351" i="21"/>
  <c r="M351" i="21"/>
  <c r="J352" i="21"/>
  <c r="M352" i="21"/>
  <c r="J353" i="21"/>
  <c r="M353" i="21"/>
  <c r="J354" i="21"/>
  <c r="M354" i="21"/>
  <c r="J355" i="21"/>
  <c r="M355" i="21"/>
  <c r="J356" i="21"/>
  <c r="M356" i="21"/>
  <c r="J357" i="21"/>
  <c r="M357" i="21"/>
  <c r="J358" i="21"/>
  <c r="M358" i="21"/>
  <c r="J359" i="21"/>
  <c r="M359" i="21"/>
  <c r="J360" i="21"/>
  <c r="M360" i="21"/>
  <c r="J361" i="21"/>
  <c r="M361" i="21"/>
  <c r="J362" i="21"/>
  <c r="M362" i="21"/>
  <c r="J363" i="21"/>
  <c r="M363" i="21"/>
  <c r="J364" i="21"/>
  <c r="M364" i="21"/>
  <c r="J365" i="21"/>
  <c r="M365" i="21"/>
  <c r="J366" i="21"/>
  <c r="M366" i="21"/>
  <c r="J367" i="21"/>
  <c r="M367" i="21"/>
  <c r="J368" i="21"/>
  <c r="M368" i="21"/>
  <c r="J369" i="21"/>
  <c r="M369" i="21"/>
  <c r="J370" i="21"/>
  <c r="M370" i="21"/>
  <c r="J371" i="21"/>
  <c r="M371" i="21"/>
  <c r="J372" i="21"/>
  <c r="M372" i="21"/>
  <c r="J373" i="21"/>
  <c r="M373" i="21"/>
  <c r="J374" i="21"/>
  <c r="M374" i="21"/>
  <c r="J375" i="21"/>
  <c r="M375" i="21"/>
  <c r="J376" i="21"/>
  <c r="M376" i="21"/>
  <c r="J377" i="21"/>
  <c r="M377" i="21"/>
  <c r="J378" i="21"/>
  <c r="M378" i="21"/>
  <c r="J379" i="21"/>
  <c r="M379" i="21"/>
  <c r="J380" i="21"/>
  <c r="M380" i="21"/>
  <c r="J381" i="21"/>
  <c r="M381" i="21"/>
  <c r="J382" i="21"/>
  <c r="M382" i="21"/>
  <c r="J383" i="21"/>
  <c r="M383" i="21"/>
  <c r="J384" i="21"/>
  <c r="M384" i="21"/>
  <c r="J385" i="21"/>
  <c r="M385" i="21"/>
  <c r="J386" i="21"/>
  <c r="M386" i="21"/>
  <c r="J387" i="21"/>
  <c r="M387" i="21"/>
  <c r="J388" i="21"/>
  <c r="M388" i="21"/>
  <c r="J389" i="21"/>
  <c r="M389" i="21"/>
  <c r="J390" i="21"/>
  <c r="M390" i="21"/>
  <c r="J391" i="21"/>
  <c r="M391" i="21"/>
  <c r="J392" i="21"/>
  <c r="M392" i="21"/>
  <c r="J393" i="21"/>
  <c r="M393" i="21"/>
  <c r="J394" i="21"/>
  <c r="M394" i="21"/>
  <c r="J395" i="21"/>
  <c r="M395" i="21"/>
  <c r="J396" i="21"/>
  <c r="K396" i="21"/>
  <c r="M396" i="21"/>
  <c r="N396" i="21"/>
  <c r="J397" i="21"/>
  <c r="K397" i="21"/>
  <c r="M397" i="21"/>
  <c r="N397" i="21"/>
  <c r="J398" i="21"/>
  <c r="K398" i="21"/>
  <c r="M398" i="21"/>
  <c r="N398" i="21"/>
  <c r="J399" i="21"/>
  <c r="K399" i="21"/>
  <c r="M399" i="21"/>
  <c r="N399" i="21"/>
  <c r="J400" i="21"/>
  <c r="K400" i="21"/>
  <c r="M400" i="21"/>
  <c r="N400" i="21"/>
  <c r="J401" i="21"/>
  <c r="K401" i="21"/>
  <c r="M401" i="21"/>
  <c r="N401" i="21"/>
  <c r="J402" i="21"/>
  <c r="K402" i="21"/>
  <c r="M402" i="21"/>
  <c r="N402" i="21"/>
  <c r="J403" i="21"/>
  <c r="K403" i="21"/>
  <c r="M403" i="21"/>
  <c r="N403" i="21"/>
  <c r="J404" i="21"/>
  <c r="K404" i="21"/>
  <c r="M404" i="21"/>
  <c r="N404" i="21"/>
  <c r="J405" i="21"/>
  <c r="K405" i="21"/>
  <c r="M405" i="21"/>
  <c r="N405" i="21"/>
  <c r="J406" i="21"/>
  <c r="K406" i="21"/>
  <c r="M406" i="21"/>
  <c r="N406" i="21"/>
  <c r="J407" i="21"/>
  <c r="K407" i="21"/>
  <c r="M407" i="21"/>
  <c r="N407" i="21"/>
  <c r="J408" i="21"/>
  <c r="K408" i="21"/>
  <c r="M408" i="21"/>
  <c r="N408" i="21"/>
  <c r="J409" i="21"/>
  <c r="K409" i="21"/>
  <c r="M409" i="21"/>
  <c r="N409" i="21"/>
  <c r="J410" i="21"/>
  <c r="K410" i="21"/>
  <c r="M410" i="21"/>
  <c r="N410" i="21"/>
  <c r="J411" i="21"/>
  <c r="K411" i="21"/>
  <c r="M411" i="21"/>
  <c r="N411" i="21"/>
  <c r="J412" i="21"/>
  <c r="K412" i="21"/>
  <c r="M412" i="21"/>
  <c r="N412" i="21"/>
  <c r="J413" i="21"/>
  <c r="K413" i="21"/>
  <c r="M413" i="21"/>
  <c r="N413" i="21"/>
  <c r="J414" i="21"/>
  <c r="K414" i="21"/>
  <c r="M414" i="21"/>
  <c r="N414" i="21"/>
  <c r="J415" i="21"/>
  <c r="K415" i="21"/>
  <c r="M415" i="21"/>
  <c r="N415" i="21"/>
  <c r="J416" i="21"/>
  <c r="K416" i="21"/>
  <c r="M416" i="21"/>
  <c r="N416" i="21"/>
  <c r="J417" i="21"/>
  <c r="K417" i="21"/>
  <c r="M417" i="21"/>
  <c r="N417" i="21"/>
  <c r="J418" i="21"/>
  <c r="K418" i="21"/>
  <c r="M418" i="21"/>
  <c r="N418" i="21"/>
  <c r="J419" i="21"/>
  <c r="K419" i="21"/>
  <c r="M419" i="21"/>
  <c r="N419" i="21"/>
  <c r="J420" i="21"/>
  <c r="K420" i="21"/>
  <c r="M420" i="21"/>
  <c r="N420" i="21"/>
  <c r="J421" i="21"/>
  <c r="K421" i="21"/>
  <c r="M421" i="21"/>
  <c r="N421" i="21"/>
  <c r="J422" i="21"/>
  <c r="K422" i="21"/>
  <c r="M422" i="21"/>
  <c r="N422" i="21"/>
  <c r="J423" i="21"/>
  <c r="K423" i="21"/>
  <c r="M423" i="21"/>
  <c r="N423" i="21"/>
  <c r="J424" i="21"/>
  <c r="K424" i="21"/>
  <c r="M424" i="21"/>
  <c r="N424" i="21"/>
  <c r="J425" i="21"/>
  <c r="K425" i="21"/>
  <c r="M425" i="21"/>
  <c r="N425" i="21"/>
  <c r="J426" i="21"/>
  <c r="K426" i="21"/>
  <c r="M426" i="21"/>
  <c r="N426" i="21"/>
  <c r="J427" i="21"/>
  <c r="K427" i="21"/>
  <c r="M427" i="21"/>
  <c r="N427" i="21"/>
  <c r="J428" i="21"/>
  <c r="K428" i="21"/>
  <c r="M428" i="21"/>
  <c r="N428" i="21"/>
  <c r="J429" i="21"/>
  <c r="K429" i="21"/>
  <c r="M429" i="21"/>
  <c r="N429" i="21"/>
  <c r="J430" i="21"/>
  <c r="K430" i="21"/>
  <c r="M430" i="21"/>
  <c r="N430" i="21"/>
  <c r="J431" i="21"/>
  <c r="K431" i="21"/>
  <c r="M431" i="21"/>
  <c r="N431" i="21"/>
  <c r="J432" i="21"/>
  <c r="K432" i="21"/>
  <c r="M432" i="21"/>
  <c r="N432" i="21"/>
  <c r="J433" i="21"/>
  <c r="K433" i="21"/>
  <c r="M433" i="21"/>
  <c r="N433" i="21"/>
  <c r="J434" i="21"/>
  <c r="K434" i="21"/>
  <c r="M434" i="21"/>
  <c r="N434" i="21"/>
  <c r="J435" i="21"/>
  <c r="K435" i="21"/>
  <c r="M435" i="21"/>
  <c r="N435" i="21"/>
  <c r="J436" i="21"/>
  <c r="K436" i="21"/>
  <c r="M436" i="21"/>
  <c r="N436" i="21"/>
  <c r="J437" i="21"/>
  <c r="K437" i="21"/>
  <c r="M437" i="21"/>
  <c r="N437" i="21"/>
  <c r="J438" i="21"/>
  <c r="K438" i="21"/>
  <c r="M438" i="21"/>
  <c r="N438" i="21"/>
  <c r="J439" i="21"/>
  <c r="K439" i="21"/>
  <c r="M439" i="21"/>
  <c r="N439" i="21"/>
  <c r="J440" i="21"/>
  <c r="K440" i="21"/>
  <c r="M440" i="21"/>
  <c r="N440" i="21"/>
  <c r="J441" i="21"/>
  <c r="K441" i="21"/>
  <c r="M441" i="21"/>
  <c r="N441" i="21"/>
  <c r="J442" i="21"/>
  <c r="K442" i="21"/>
  <c r="M442" i="21"/>
  <c r="N442" i="21"/>
  <c r="J443" i="21"/>
  <c r="K443" i="21"/>
  <c r="M443" i="21"/>
  <c r="N443" i="21"/>
  <c r="J444" i="21"/>
  <c r="K444" i="21"/>
  <c r="M444" i="21"/>
  <c r="N444" i="21"/>
  <c r="J445" i="21"/>
  <c r="K445" i="21"/>
  <c r="M445" i="21"/>
  <c r="N445" i="21"/>
  <c r="J446" i="21"/>
  <c r="K446" i="21"/>
  <c r="M446" i="21"/>
  <c r="N446" i="21"/>
  <c r="J447" i="21"/>
  <c r="K447" i="21"/>
  <c r="M447" i="21"/>
  <c r="N447" i="21"/>
  <c r="J448" i="21"/>
  <c r="K448" i="21"/>
  <c r="M448" i="21"/>
  <c r="N448" i="21"/>
  <c r="J449" i="21"/>
  <c r="K449" i="21"/>
  <c r="M449" i="21"/>
  <c r="N449" i="21"/>
  <c r="J450" i="21"/>
  <c r="K450" i="21"/>
  <c r="M450" i="21"/>
  <c r="N450" i="21"/>
  <c r="J451" i="21"/>
  <c r="K451" i="21"/>
  <c r="M451" i="21"/>
  <c r="N451" i="21"/>
  <c r="J452" i="21"/>
  <c r="K452" i="21"/>
  <c r="M452" i="21"/>
  <c r="N452" i="21"/>
  <c r="J453" i="21"/>
  <c r="K453" i="21"/>
  <c r="M453" i="21"/>
  <c r="N453" i="21"/>
  <c r="J454" i="21"/>
  <c r="K454" i="21"/>
  <c r="M454" i="21"/>
  <c r="N454" i="21"/>
  <c r="J455" i="21"/>
  <c r="K455" i="21"/>
  <c r="M455" i="21"/>
  <c r="N455" i="21"/>
  <c r="J456" i="21"/>
  <c r="K456" i="21"/>
  <c r="M456" i="21"/>
  <c r="N456" i="21"/>
  <c r="J457" i="21"/>
  <c r="K457" i="21"/>
  <c r="M457" i="21"/>
  <c r="N457" i="21"/>
  <c r="J458" i="21"/>
  <c r="K458" i="21"/>
  <c r="M458" i="21"/>
  <c r="N458" i="21"/>
  <c r="J459" i="21"/>
  <c r="K459" i="21"/>
  <c r="M459" i="21"/>
  <c r="N459" i="21"/>
  <c r="J460" i="21"/>
  <c r="K460" i="21"/>
  <c r="M460" i="21"/>
  <c r="N460" i="21"/>
  <c r="J461" i="21"/>
  <c r="K461" i="21"/>
  <c r="M461" i="21"/>
  <c r="N461" i="21"/>
  <c r="J462" i="21"/>
  <c r="K462" i="21"/>
  <c r="M462" i="21"/>
  <c r="N462" i="21"/>
  <c r="J463" i="21"/>
  <c r="K463" i="21"/>
  <c r="M463" i="21"/>
  <c r="N463" i="21"/>
  <c r="J464" i="21"/>
  <c r="K464" i="21"/>
  <c r="M464" i="21"/>
  <c r="N464" i="21"/>
  <c r="J465" i="21"/>
  <c r="K465" i="21"/>
  <c r="M465" i="21"/>
  <c r="N465" i="21"/>
  <c r="K466" i="21"/>
  <c r="N466" i="21"/>
  <c r="K467" i="21"/>
  <c r="N467" i="21"/>
  <c r="K468" i="21"/>
  <c r="N468" i="21"/>
  <c r="K469" i="21"/>
  <c r="N469" i="21"/>
  <c r="K470" i="21"/>
  <c r="N470" i="21"/>
  <c r="K471" i="21"/>
  <c r="N471" i="21"/>
  <c r="K472" i="21"/>
  <c r="N472" i="21"/>
  <c r="K473" i="21"/>
  <c r="N473" i="21"/>
  <c r="K474" i="21"/>
  <c r="N474" i="21"/>
  <c r="K475" i="21"/>
  <c r="N475" i="21"/>
  <c r="K476" i="21"/>
  <c r="N476" i="21"/>
  <c r="K477" i="21"/>
  <c r="N477" i="21"/>
  <c r="J478" i="21"/>
  <c r="K478" i="21"/>
  <c r="M478" i="21"/>
  <c r="N478" i="21"/>
  <c r="J479" i="21"/>
  <c r="K479" i="21"/>
  <c r="M479" i="21"/>
  <c r="N479" i="21"/>
  <c r="J480" i="21"/>
  <c r="K480" i="21"/>
  <c r="M480" i="21"/>
  <c r="N480" i="21"/>
  <c r="J481" i="21"/>
  <c r="K481" i="21"/>
  <c r="M481" i="21"/>
  <c r="N481" i="21"/>
  <c r="J482" i="21"/>
  <c r="K482" i="21"/>
  <c r="M482" i="21"/>
  <c r="N482" i="21"/>
  <c r="J483" i="21"/>
  <c r="K483" i="21"/>
  <c r="M483" i="21"/>
  <c r="N483" i="21"/>
  <c r="J484" i="21"/>
  <c r="K484" i="21"/>
  <c r="M484" i="21"/>
  <c r="N484" i="21"/>
  <c r="J485" i="21"/>
  <c r="K485" i="21"/>
  <c r="M485" i="21"/>
  <c r="N485" i="21"/>
  <c r="J486" i="21"/>
  <c r="K486" i="21"/>
  <c r="M486" i="21"/>
  <c r="N486" i="21"/>
  <c r="J487" i="21"/>
  <c r="K487" i="21"/>
  <c r="M487" i="21"/>
  <c r="N487" i="21"/>
  <c r="J488" i="21"/>
  <c r="K488" i="21"/>
  <c r="M488" i="21"/>
  <c r="N488" i="21"/>
  <c r="J489" i="21"/>
  <c r="K489" i="21"/>
  <c r="M489" i="21"/>
  <c r="N489" i="21"/>
  <c r="J490" i="21"/>
  <c r="K490" i="21"/>
  <c r="M490" i="21"/>
  <c r="N490" i="21"/>
  <c r="J491" i="21"/>
  <c r="K491" i="21"/>
  <c r="M491" i="21"/>
  <c r="N491" i="21"/>
  <c r="J492" i="21"/>
  <c r="K492" i="21"/>
  <c r="M492" i="21"/>
  <c r="N492" i="21"/>
  <c r="J493" i="21"/>
  <c r="K493" i="21"/>
  <c r="M493" i="21"/>
  <c r="N493" i="21"/>
  <c r="J494" i="21"/>
  <c r="K494" i="21"/>
  <c r="M494" i="21"/>
  <c r="N494" i="21"/>
  <c r="J495" i="21"/>
  <c r="K495" i="21"/>
  <c r="M495" i="21"/>
  <c r="N495" i="21"/>
  <c r="J496" i="21"/>
  <c r="K496" i="21"/>
  <c r="M496" i="21"/>
  <c r="N496" i="21"/>
  <c r="J497" i="21"/>
  <c r="K497" i="21"/>
  <c r="M497" i="21"/>
  <c r="N497" i="21"/>
  <c r="J498" i="21"/>
  <c r="K498" i="21"/>
  <c r="M498" i="21"/>
  <c r="N498" i="21"/>
  <c r="J499" i="21"/>
  <c r="K499" i="21"/>
  <c r="M499" i="21"/>
  <c r="N499" i="21"/>
  <c r="J500" i="21"/>
  <c r="K500" i="21"/>
  <c r="M500" i="21"/>
  <c r="N500" i="21"/>
  <c r="J501" i="21"/>
  <c r="K501" i="21"/>
  <c r="M501" i="21"/>
  <c r="N501" i="21"/>
  <c r="J502" i="21"/>
  <c r="K502" i="21"/>
  <c r="M502" i="21"/>
  <c r="N502" i="21"/>
  <c r="J503" i="21"/>
  <c r="K503" i="21"/>
  <c r="M503" i="21"/>
  <c r="N503" i="21"/>
  <c r="J504" i="21"/>
  <c r="K504" i="21"/>
  <c r="M504" i="21"/>
  <c r="N504" i="21"/>
  <c r="J505" i="21"/>
  <c r="K505" i="21"/>
  <c r="M505" i="21"/>
  <c r="N505" i="21"/>
  <c r="J506" i="21"/>
  <c r="K506" i="21"/>
  <c r="M506" i="21"/>
  <c r="N506" i="21"/>
  <c r="J507" i="21"/>
  <c r="K507" i="21"/>
  <c r="M507" i="21"/>
  <c r="N507" i="21"/>
  <c r="J508" i="21"/>
  <c r="K508" i="21"/>
  <c r="M508" i="21"/>
  <c r="N508" i="21"/>
  <c r="J509" i="21"/>
  <c r="K509" i="21"/>
  <c r="M509" i="21"/>
  <c r="N509" i="21"/>
  <c r="J510" i="21"/>
  <c r="K510" i="21"/>
  <c r="M510" i="21"/>
  <c r="N510" i="21"/>
  <c r="J511" i="21"/>
  <c r="K511" i="21"/>
  <c r="M511" i="21"/>
  <c r="N511" i="21"/>
  <c r="J512" i="21"/>
  <c r="K512" i="21"/>
  <c r="M512" i="21"/>
  <c r="N512" i="21"/>
  <c r="J513" i="21"/>
  <c r="K513" i="21"/>
  <c r="M513" i="21"/>
  <c r="N513" i="21"/>
  <c r="J514" i="21"/>
  <c r="K514" i="21"/>
  <c r="M514" i="21"/>
  <c r="N514" i="21"/>
  <c r="J515" i="21"/>
  <c r="K515" i="21"/>
  <c r="M515" i="21"/>
  <c r="N515" i="21"/>
  <c r="J516" i="21"/>
  <c r="K516" i="21"/>
  <c r="M516" i="21"/>
  <c r="N516" i="21"/>
  <c r="J517" i="21"/>
  <c r="K517" i="21"/>
  <c r="M517" i="21"/>
  <c r="N517" i="21"/>
  <c r="J518" i="21"/>
  <c r="K518" i="21"/>
  <c r="M518" i="21"/>
  <c r="N518" i="21"/>
  <c r="J519" i="21"/>
  <c r="K519" i="21"/>
  <c r="M519" i="21"/>
  <c r="N519" i="21"/>
  <c r="J520" i="21"/>
  <c r="K520" i="21"/>
  <c r="M520" i="21"/>
  <c r="N520" i="21"/>
  <c r="J521" i="21"/>
  <c r="K521" i="21"/>
  <c r="M521" i="21"/>
  <c r="N521" i="21"/>
  <c r="J522" i="21"/>
  <c r="K522" i="21"/>
  <c r="M522" i="21"/>
  <c r="N522" i="21"/>
  <c r="J523" i="21"/>
  <c r="K523" i="21"/>
  <c r="M523" i="21"/>
  <c r="N523" i="21"/>
  <c r="J524" i="21"/>
  <c r="K524" i="21"/>
  <c r="M524" i="21"/>
  <c r="N524" i="21"/>
  <c r="J525" i="21"/>
  <c r="K525" i="21"/>
  <c r="M525" i="21"/>
  <c r="N525" i="21"/>
  <c r="J526" i="21"/>
  <c r="K526" i="21"/>
  <c r="M526" i="21"/>
  <c r="N526" i="21"/>
  <c r="J527" i="21"/>
  <c r="K527" i="21"/>
  <c r="M527" i="21"/>
  <c r="N527" i="21"/>
  <c r="J528" i="21"/>
  <c r="K528" i="21"/>
  <c r="M528" i="21"/>
  <c r="N528" i="21"/>
  <c r="J529" i="21"/>
  <c r="K529" i="21"/>
  <c r="M529" i="21"/>
  <c r="N529" i="21"/>
  <c r="J530" i="21"/>
  <c r="K530" i="21"/>
  <c r="M530" i="21"/>
  <c r="N530" i="21"/>
  <c r="J531" i="21"/>
  <c r="K531" i="21"/>
  <c r="M531" i="21"/>
  <c r="N531" i="21"/>
  <c r="J532" i="21"/>
  <c r="K532" i="21"/>
  <c r="M532" i="21"/>
  <c r="N532" i="21"/>
  <c r="J533" i="21"/>
  <c r="K533" i="21"/>
  <c r="M533" i="21"/>
  <c r="N533" i="21"/>
  <c r="J534" i="21"/>
  <c r="K534" i="21"/>
  <c r="M534" i="21"/>
  <c r="N534" i="21"/>
  <c r="J535" i="21"/>
  <c r="K535" i="21"/>
  <c r="M535" i="21"/>
  <c r="N535" i="21"/>
  <c r="J536" i="21"/>
  <c r="K536" i="21"/>
  <c r="M536" i="21"/>
  <c r="N536" i="21"/>
  <c r="J537" i="21"/>
  <c r="K537" i="21"/>
  <c r="M537" i="21"/>
  <c r="N537" i="21"/>
  <c r="J538" i="21"/>
  <c r="K538" i="21"/>
  <c r="M538" i="21"/>
  <c r="N538" i="21"/>
  <c r="J539" i="21"/>
  <c r="K539" i="21"/>
  <c r="M539" i="21"/>
  <c r="N539" i="21"/>
  <c r="J540" i="21"/>
  <c r="K540" i="21"/>
  <c r="M540" i="21"/>
  <c r="N540" i="21"/>
  <c r="J541" i="21"/>
  <c r="K541" i="21"/>
  <c r="M541" i="21"/>
  <c r="N541" i="21"/>
  <c r="J542" i="21"/>
  <c r="K542" i="21"/>
  <c r="M542" i="21"/>
  <c r="N542" i="21"/>
  <c r="J543" i="21"/>
  <c r="K543" i="21"/>
  <c r="M543" i="21"/>
  <c r="N543" i="21"/>
  <c r="J544" i="21"/>
  <c r="K544" i="21"/>
  <c r="M544" i="21"/>
  <c r="N544" i="21"/>
  <c r="J545" i="21"/>
  <c r="K545" i="21"/>
  <c r="M545" i="21"/>
  <c r="N545" i="21"/>
  <c r="J546" i="21"/>
  <c r="K546" i="21"/>
  <c r="M546" i="21"/>
  <c r="N546" i="21"/>
  <c r="J547" i="21"/>
  <c r="K547" i="21"/>
  <c r="M547" i="21"/>
  <c r="N547" i="21"/>
  <c r="J548" i="21"/>
  <c r="K548" i="21"/>
  <c r="M548" i="21"/>
  <c r="N548" i="21"/>
  <c r="J549" i="21"/>
  <c r="K549" i="21"/>
  <c r="M549" i="21"/>
  <c r="N549" i="21"/>
  <c r="J550" i="21"/>
  <c r="K550" i="21"/>
  <c r="M550" i="21"/>
  <c r="N550" i="21"/>
  <c r="J551" i="21"/>
  <c r="K551" i="21"/>
  <c r="M551" i="21"/>
  <c r="N551" i="21"/>
  <c r="J552" i="21"/>
  <c r="K552" i="21"/>
  <c r="M552" i="21"/>
  <c r="N552" i="21"/>
  <c r="J553" i="21"/>
  <c r="K553" i="21"/>
  <c r="M553" i="21"/>
  <c r="N553" i="21"/>
  <c r="J554" i="21"/>
  <c r="K554" i="21"/>
  <c r="M554" i="21"/>
  <c r="N554" i="21"/>
  <c r="J555" i="21"/>
  <c r="K555" i="21"/>
  <c r="M555" i="21"/>
  <c r="N555" i="21"/>
  <c r="J556" i="21"/>
  <c r="K556" i="21"/>
  <c r="M556" i="21"/>
  <c r="N556" i="21"/>
  <c r="J557" i="21"/>
  <c r="K557" i="21"/>
  <c r="M557" i="21"/>
  <c r="N557" i="21"/>
  <c r="J558" i="21"/>
  <c r="K558" i="21"/>
  <c r="M558" i="21"/>
  <c r="N558" i="21"/>
  <c r="J559" i="21"/>
  <c r="K559" i="21"/>
  <c r="M559" i="21"/>
  <c r="N559" i="21"/>
  <c r="J560" i="21"/>
  <c r="K560" i="21"/>
  <c r="M560" i="21"/>
  <c r="N560" i="21"/>
  <c r="J561" i="21"/>
  <c r="K561" i="21"/>
  <c r="M561" i="21"/>
  <c r="N561" i="21"/>
  <c r="J562" i="21"/>
  <c r="K562" i="21"/>
  <c r="M562" i="21"/>
  <c r="N562" i="21"/>
  <c r="J563" i="21"/>
  <c r="K563" i="21"/>
  <c r="M563" i="21"/>
  <c r="N563" i="21"/>
  <c r="J564" i="21"/>
  <c r="K564" i="21"/>
  <c r="M564" i="21"/>
  <c r="N564" i="21"/>
  <c r="J565" i="21"/>
  <c r="K565" i="21"/>
  <c r="M565" i="21"/>
  <c r="N565" i="21"/>
  <c r="J566" i="21"/>
  <c r="K566" i="21"/>
  <c r="M566" i="21"/>
  <c r="N566" i="21"/>
  <c r="J567" i="21"/>
  <c r="K567" i="21"/>
  <c r="M567" i="21"/>
  <c r="N567" i="21"/>
  <c r="J568" i="21"/>
  <c r="K568" i="21"/>
  <c r="M568" i="21"/>
  <c r="N568" i="21"/>
  <c r="J569" i="21"/>
  <c r="K569" i="21"/>
  <c r="M569" i="21"/>
  <c r="N569" i="21"/>
  <c r="J570" i="21"/>
  <c r="K570" i="21"/>
  <c r="M570" i="21"/>
  <c r="N570" i="21"/>
  <c r="J571" i="21"/>
  <c r="K571" i="21"/>
  <c r="M571" i="21"/>
  <c r="N571" i="21"/>
  <c r="J572" i="21"/>
  <c r="K572" i="21"/>
  <c r="M572" i="21"/>
  <c r="N572" i="21"/>
  <c r="J573" i="21"/>
  <c r="K573" i="21"/>
  <c r="M573" i="21"/>
  <c r="N573" i="21"/>
  <c r="J574" i="21"/>
  <c r="K574" i="21"/>
  <c r="M574" i="21"/>
  <c r="N574" i="21"/>
  <c r="J575" i="21"/>
  <c r="K575" i="21"/>
  <c r="M575" i="21"/>
  <c r="N575" i="21"/>
  <c r="J576" i="21"/>
  <c r="K576" i="21"/>
  <c r="M576" i="21"/>
  <c r="N576" i="21"/>
  <c r="J577" i="21"/>
  <c r="K577" i="21"/>
  <c r="M577" i="21"/>
  <c r="N577" i="21"/>
  <c r="J578" i="21"/>
  <c r="K578" i="21"/>
  <c r="M578" i="21"/>
  <c r="N578" i="21"/>
  <c r="J579" i="21"/>
  <c r="K579" i="21"/>
  <c r="M579" i="21"/>
  <c r="N579" i="21"/>
  <c r="J580" i="21"/>
  <c r="K580" i="21"/>
  <c r="M580" i="21"/>
  <c r="N580" i="21"/>
  <c r="J581" i="21"/>
  <c r="K581" i="21"/>
  <c r="M581" i="21"/>
  <c r="N581" i="21"/>
  <c r="J582" i="21"/>
  <c r="K582" i="21"/>
  <c r="M582" i="21"/>
  <c r="N582" i="21"/>
  <c r="J583" i="21"/>
  <c r="K583" i="21"/>
  <c r="M583" i="21"/>
  <c r="N583" i="21"/>
  <c r="J584" i="21"/>
  <c r="K584" i="21"/>
  <c r="M584" i="21"/>
  <c r="N584" i="21"/>
  <c r="J585" i="21"/>
  <c r="K585" i="21"/>
  <c r="M585" i="21"/>
  <c r="N585" i="21"/>
  <c r="J586" i="21"/>
  <c r="K586" i="21"/>
  <c r="M586" i="21"/>
  <c r="N586" i="21"/>
  <c r="J587" i="21"/>
  <c r="K587" i="21"/>
  <c r="M587" i="21"/>
  <c r="N587" i="21"/>
  <c r="J588" i="21"/>
  <c r="K588" i="21"/>
  <c r="M588" i="21"/>
  <c r="N588" i="21"/>
  <c r="J589" i="21"/>
  <c r="K589" i="21"/>
  <c r="M589" i="21"/>
  <c r="N589" i="21"/>
  <c r="J590" i="21"/>
  <c r="K590" i="21"/>
  <c r="M590" i="21"/>
  <c r="N590" i="21"/>
  <c r="J591" i="21"/>
  <c r="K591" i="21"/>
  <c r="M591" i="21"/>
  <c r="N591" i="21"/>
  <c r="J592" i="21"/>
  <c r="K592" i="21"/>
  <c r="M592" i="21"/>
  <c r="N592" i="21"/>
  <c r="J593" i="21"/>
  <c r="K593" i="21"/>
  <c r="M593" i="21"/>
  <c r="N593" i="21"/>
  <c r="J594" i="21"/>
  <c r="K594" i="21"/>
  <c r="M594" i="21"/>
  <c r="N594" i="21"/>
  <c r="J595" i="21"/>
  <c r="K595" i="21"/>
  <c r="M595" i="21"/>
  <c r="N595" i="21"/>
  <c r="J596" i="21"/>
  <c r="K596" i="21"/>
  <c r="M596" i="21"/>
  <c r="N596" i="21"/>
  <c r="J597" i="21"/>
  <c r="K597" i="21"/>
  <c r="M597" i="21"/>
  <c r="N597" i="21"/>
  <c r="J598" i="21"/>
  <c r="K598" i="21"/>
  <c r="M598" i="21"/>
  <c r="N598" i="21"/>
  <c r="J599" i="21"/>
  <c r="K599" i="21"/>
  <c r="M599" i="21"/>
  <c r="N599" i="21"/>
  <c r="J600" i="21"/>
  <c r="K600" i="21"/>
  <c r="M600" i="21"/>
  <c r="N600" i="21"/>
  <c r="J601" i="21"/>
  <c r="K601" i="21"/>
  <c r="M601" i="21"/>
  <c r="N601" i="21"/>
  <c r="J602" i="21"/>
  <c r="K602" i="21"/>
  <c r="M602" i="21"/>
  <c r="N602" i="21"/>
  <c r="J603" i="21"/>
  <c r="K603" i="21"/>
  <c r="M603" i="21"/>
  <c r="N603" i="21"/>
  <c r="J604" i="21"/>
  <c r="K604" i="21"/>
  <c r="M604" i="21"/>
  <c r="N604" i="21"/>
  <c r="J605" i="21"/>
  <c r="K605" i="21"/>
  <c r="M605" i="21"/>
  <c r="N605" i="21"/>
  <c r="J606" i="21"/>
  <c r="K606" i="21"/>
  <c r="M606" i="21"/>
  <c r="N606" i="21"/>
  <c r="J607" i="21"/>
  <c r="K607" i="21"/>
  <c r="M607" i="21"/>
  <c r="N607" i="21"/>
  <c r="J608" i="21"/>
  <c r="K608" i="21"/>
  <c r="M608" i="21"/>
  <c r="N608" i="21"/>
  <c r="J609" i="21"/>
  <c r="K609" i="21"/>
  <c r="M609" i="21"/>
  <c r="N609" i="21"/>
  <c r="J610" i="21"/>
  <c r="K610" i="21"/>
  <c r="M610" i="21"/>
  <c r="N610" i="21"/>
  <c r="J611" i="21"/>
  <c r="K611" i="21"/>
  <c r="M611" i="21"/>
  <c r="N611" i="21"/>
  <c r="J612" i="21"/>
  <c r="K612" i="21"/>
  <c r="M612" i="21"/>
  <c r="N612" i="21"/>
  <c r="J613" i="21"/>
  <c r="K613" i="21"/>
  <c r="M613" i="21"/>
  <c r="N613" i="21"/>
  <c r="J614" i="21"/>
  <c r="K614" i="21"/>
  <c r="M614" i="21"/>
  <c r="N614" i="21"/>
  <c r="J615" i="21"/>
  <c r="K615" i="21"/>
  <c r="M615" i="21"/>
  <c r="N615" i="21"/>
  <c r="J616" i="21"/>
  <c r="M616" i="21"/>
  <c r="J617" i="21"/>
  <c r="M617" i="21"/>
  <c r="J618" i="21"/>
  <c r="M618" i="21"/>
  <c r="J619" i="21"/>
  <c r="M619" i="21"/>
  <c r="J620" i="21"/>
  <c r="M620" i="21"/>
  <c r="J621" i="21"/>
  <c r="M621" i="21"/>
  <c r="J622" i="21"/>
  <c r="M622" i="21"/>
  <c r="J623" i="21"/>
  <c r="M623" i="21"/>
  <c r="J624" i="21"/>
  <c r="M624" i="21"/>
  <c r="J625" i="21"/>
  <c r="M625" i="21"/>
  <c r="J626" i="21"/>
  <c r="M626" i="21"/>
  <c r="J627" i="21"/>
  <c r="M627" i="21"/>
  <c r="J628" i="21"/>
  <c r="M628" i="21"/>
  <c r="J629" i="21"/>
  <c r="M629" i="21"/>
  <c r="J630" i="21"/>
  <c r="M630" i="21"/>
  <c r="J631" i="21"/>
  <c r="M631" i="21"/>
  <c r="J632" i="21"/>
  <c r="M632" i="21"/>
  <c r="J633" i="21"/>
  <c r="M633" i="21"/>
  <c r="J634" i="21"/>
  <c r="M634" i="21"/>
  <c r="J635" i="21"/>
  <c r="M635" i="21"/>
  <c r="J636" i="21"/>
  <c r="M636" i="21"/>
  <c r="J637" i="21"/>
  <c r="M637" i="21"/>
  <c r="J638" i="21"/>
  <c r="M638" i="21"/>
  <c r="J639" i="21"/>
  <c r="M639" i="21"/>
  <c r="K640" i="21"/>
  <c r="N640" i="21"/>
  <c r="K641" i="21"/>
  <c r="N641" i="21"/>
  <c r="K642" i="21"/>
  <c r="N642" i="21"/>
  <c r="K643" i="21"/>
  <c r="N643" i="21"/>
  <c r="K644" i="21"/>
  <c r="N644" i="21"/>
  <c r="K645" i="21"/>
  <c r="N645" i="21"/>
  <c r="K646" i="21"/>
  <c r="N646" i="21"/>
  <c r="K647" i="21"/>
  <c r="N647" i="21"/>
  <c r="K648" i="21"/>
  <c r="N648" i="21"/>
  <c r="K649" i="21"/>
  <c r="N649" i="21"/>
  <c r="K650" i="21"/>
  <c r="N650" i="21"/>
  <c r="K651" i="21"/>
  <c r="N651" i="21"/>
  <c r="K652" i="21"/>
  <c r="N652" i="21"/>
  <c r="K653" i="21"/>
  <c r="N653" i="21"/>
  <c r="K654" i="21"/>
  <c r="N654" i="21"/>
  <c r="K655" i="21"/>
  <c r="N655" i="21"/>
  <c r="K656" i="21"/>
  <c r="N656" i="21"/>
  <c r="K657" i="21"/>
  <c r="N657" i="21"/>
  <c r="K658" i="21"/>
  <c r="N658" i="21"/>
  <c r="K659" i="21"/>
  <c r="N659" i="21"/>
  <c r="K660" i="21"/>
  <c r="N660" i="21"/>
  <c r="K661" i="21"/>
  <c r="N661" i="21"/>
  <c r="K662" i="21"/>
  <c r="N662" i="21"/>
  <c r="K663" i="21"/>
  <c r="N663" i="21"/>
  <c r="K664" i="21"/>
  <c r="N664" i="21"/>
  <c r="K665" i="21"/>
  <c r="N665" i="21"/>
  <c r="K666" i="21"/>
  <c r="N666" i="21"/>
  <c r="K667" i="21"/>
  <c r="N667" i="21"/>
  <c r="K668" i="21"/>
  <c r="N668" i="21"/>
  <c r="K669" i="21"/>
  <c r="N669" i="21"/>
  <c r="K670" i="21"/>
  <c r="N670" i="21"/>
  <c r="K671" i="21"/>
  <c r="N671" i="21"/>
  <c r="K672" i="21"/>
  <c r="N672" i="21"/>
  <c r="K673" i="21"/>
  <c r="N673" i="21"/>
  <c r="K674" i="21"/>
  <c r="N674" i="21"/>
  <c r="K675" i="21"/>
  <c r="N675" i="21"/>
  <c r="K676" i="21"/>
  <c r="N676" i="21"/>
  <c r="K677" i="21"/>
  <c r="N677" i="21"/>
  <c r="K678" i="21"/>
  <c r="N678" i="21"/>
  <c r="K679" i="21"/>
  <c r="N679" i="21"/>
  <c r="K680" i="21"/>
  <c r="N680" i="21"/>
  <c r="K681" i="21"/>
  <c r="N681" i="21"/>
  <c r="K682" i="21"/>
  <c r="N682" i="21"/>
  <c r="K683" i="21"/>
  <c r="N683" i="21"/>
  <c r="J684" i="21"/>
  <c r="M684" i="21"/>
  <c r="J685" i="21"/>
  <c r="M685" i="21"/>
  <c r="J686" i="21"/>
  <c r="M686" i="21"/>
  <c r="J687" i="21"/>
  <c r="M687" i="21"/>
  <c r="J688" i="21"/>
  <c r="M688" i="21"/>
  <c r="J689" i="21"/>
  <c r="M689" i="21"/>
  <c r="J690" i="21"/>
  <c r="M690" i="21"/>
  <c r="J691" i="21"/>
  <c r="M691" i="21"/>
  <c r="J692" i="21"/>
  <c r="M692" i="21"/>
  <c r="J693" i="21"/>
  <c r="M693" i="21"/>
  <c r="J694" i="21"/>
  <c r="M694" i="21"/>
  <c r="J695" i="21"/>
  <c r="M695" i="21"/>
  <c r="J696" i="21"/>
  <c r="M696" i="21"/>
  <c r="J697" i="21"/>
  <c r="M697" i="21"/>
  <c r="J698" i="21"/>
  <c r="M698" i="21"/>
  <c r="J699" i="21"/>
  <c r="M699" i="21"/>
  <c r="J700" i="21"/>
  <c r="M700" i="21"/>
  <c r="J701" i="21"/>
  <c r="M701" i="21"/>
  <c r="J702" i="21"/>
  <c r="M702" i="21"/>
  <c r="J703" i="21"/>
  <c r="M703" i="21"/>
  <c r="J704" i="21"/>
  <c r="M704" i="21"/>
  <c r="J705" i="21"/>
  <c r="M705" i="21"/>
  <c r="J706" i="21"/>
  <c r="M706" i="21"/>
  <c r="J707" i="21"/>
  <c r="M707" i="21"/>
  <c r="J708" i="21"/>
  <c r="M708" i="21"/>
  <c r="J709" i="21"/>
  <c r="M709" i="21"/>
  <c r="J710" i="21"/>
  <c r="M710" i="21"/>
  <c r="J711" i="21"/>
  <c r="M711" i="21"/>
  <c r="J712" i="21"/>
  <c r="M712" i="21"/>
  <c r="J713" i="21"/>
  <c r="M713" i="21"/>
  <c r="J714" i="21"/>
  <c r="M714" i="21"/>
  <c r="J715" i="21"/>
  <c r="M715" i="21"/>
  <c r="J716" i="21"/>
  <c r="M716" i="21"/>
  <c r="J717" i="21"/>
  <c r="M717" i="21"/>
  <c r="J718" i="21"/>
  <c r="M718" i="21"/>
  <c r="J719" i="21"/>
  <c r="M719" i="21"/>
  <c r="J720" i="21"/>
  <c r="M720" i="21"/>
  <c r="J721" i="21"/>
  <c r="M721" i="21"/>
  <c r="J722" i="21"/>
  <c r="M722" i="21"/>
  <c r="J723" i="21"/>
  <c r="M723" i="21"/>
  <c r="J724" i="21"/>
  <c r="M724" i="21"/>
  <c r="K725" i="21"/>
  <c r="N725" i="21"/>
  <c r="K726" i="21"/>
  <c r="N726" i="21"/>
  <c r="K727" i="21"/>
  <c r="N727" i="21"/>
  <c r="K728" i="21"/>
  <c r="N728" i="21"/>
  <c r="K729" i="21"/>
  <c r="N729" i="21"/>
  <c r="K730" i="21"/>
  <c r="N730" i="21"/>
  <c r="K731" i="21"/>
  <c r="N731" i="21"/>
  <c r="K732" i="21"/>
  <c r="N732" i="21"/>
  <c r="K733" i="21"/>
  <c r="N733" i="21"/>
  <c r="K734" i="21"/>
  <c r="N734" i="21"/>
  <c r="K735" i="21"/>
  <c r="N735" i="21"/>
  <c r="K736" i="21"/>
  <c r="N736" i="21"/>
  <c r="K737" i="21"/>
  <c r="N737" i="21"/>
  <c r="K738" i="21"/>
  <c r="N738" i="21"/>
  <c r="K739" i="21"/>
  <c r="N739" i="21"/>
  <c r="K740" i="21"/>
  <c r="N740" i="21"/>
  <c r="K741" i="21"/>
  <c r="N741" i="21"/>
  <c r="K742" i="21"/>
  <c r="N742" i="21"/>
  <c r="K743" i="21"/>
  <c r="N743" i="21"/>
  <c r="K744" i="21"/>
  <c r="N744" i="21"/>
  <c r="K745" i="21"/>
  <c r="N745" i="21"/>
  <c r="K746" i="21"/>
  <c r="N746" i="21"/>
  <c r="K747" i="21"/>
  <c r="N747" i="21"/>
  <c r="K748" i="21"/>
  <c r="N748" i="21"/>
  <c r="K749" i="21"/>
  <c r="N749" i="21"/>
  <c r="K750" i="21"/>
  <c r="N750" i="21"/>
  <c r="K751" i="21"/>
  <c r="N751" i="21"/>
  <c r="K752" i="21"/>
  <c r="N752" i="21"/>
  <c r="K753" i="21"/>
  <c r="N753" i="21"/>
  <c r="K754" i="21"/>
  <c r="N754" i="21"/>
  <c r="K755" i="21"/>
  <c r="N755" i="21"/>
  <c r="K756" i="21"/>
  <c r="N756" i="21"/>
  <c r="K757" i="21"/>
  <c r="N757" i="21"/>
  <c r="K758" i="21"/>
  <c r="N758" i="21"/>
  <c r="K759" i="21"/>
  <c r="N759" i="21"/>
  <c r="K760" i="21"/>
  <c r="N760" i="21"/>
  <c r="K761" i="21"/>
  <c r="N761" i="21"/>
  <c r="K762" i="21"/>
  <c r="N762" i="21"/>
  <c r="K763" i="21"/>
  <c r="N763" i="21"/>
  <c r="K764" i="21"/>
  <c r="N764" i="21"/>
  <c r="K765" i="21"/>
  <c r="N765" i="21"/>
  <c r="K766" i="21"/>
  <c r="N766" i="21"/>
  <c r="K767" i="21"/>
  <c r="N767" i="21"/>
  <c r="K768" i="21"/>
  <c r="N768" i="21"/>
  <c r="K769" i="21"/>
  <c r="N769" i="21"/>
  <c r="K770" i="21"/>
  <c r="N770" i="21"/>
  <c r="K771" i="21"/>
  <c r="N771" i="21"/>
  <c r="K772" i="21"/>
  <c r="N772" i="21"/>
  <c r="K773" i="21"/>
  <c r="N773" i="21"/>
  <c r="K774" i="21"/>
  <c r="N774" i="21"/>
  <c r="K775" i="21"/>
  <c r="N775" i="21"/>
  <c r="K776" i="21"/>
  <c r="N776" i="21"/>
  <c r="K777" i="21"/>
  <c r="N777" i="21"/>
  <c r="K778" i="21"/>
  <c r="N778" i="21"/>
  <c r="K779" i="21"/>
  <c r="N779" i="21"/>
  <c r="K780" i="21"/>
  <c r="N780" i="21"/>
  <c r="J781" i="21"/>
  <c r="M781" i="21"/>
  <c r="J782" i="21"/>
  <c r="M782" i="21"/>
  <c r="J783" i="21"/>
  <c r="M783" i="21"/>
  <c r="J784" i="21"/>
  <c r="M784" i="21"/>
  <c r="J785" i="21"/>
  <c r="M785" i="21"/>
  <c r="J786" i="21"/>
  <c r="M786" i="21"/>
  <c r="J787" i="21"/>
  <c r="M787" i="21"/>
  <c r="J788" i="21"/>
  <c r="M788" i="21"/>
  <c r="J789" i="21"/>
  <c r="M789" i="21"/>
  <c r="J790" i="21"/>
  <c r="M790" i="21"/>
  <c r="J791" i="21"/>
  <c r="M791" i="21"/>
  <c r="J792" i="21"/>
  <c r="M792" i="21"/>
  <c r="K793" i="21"/>
  <c r="N793" i="21"/>
  <c r="K794" i="21"/>
  <c r="N794" i="21"/>
  <c r="K795" i="21"/>
  <c r="N795" i="21"/>
  <c r="K796" i="21"/>
  <c r="N796" i="21"/>
  <c r="K797" i="21"/>
  <c r="N797" i="21"/>
  <c r="K798" i="21"/>
  <c r="N798" i="21"/>
  <c r="K799" i="21"/>
  <c r="N799" i="21"/>
  <c r="K800" i="21"/>
  <c r="N800" i="21"/>
  <c r="K801" i="21"/>
  <c r="N801" i="21"/>
  <c r="K802" i="21"/>
  <c r="N802" i="21"/>
  <c r="K803" i="21"/>
  <c r="N803" i="21"/>
  <c r="K804" i="21"/>
  <c r="N804" i="21"/>
  <c r="K805" i="21"/>
  <c r="N805" i="21"/>
  <c r="K806" i="21"/>
  <c r="N806" i="21"/>
  <c r="K807" i="21"/>
  <c r="N807" i="21"/>
  <c r="K808" i="21"/>
  <c r="N808" i="21"/>
  <c r="K809" i="21"/>
  <c r="N809" i="21"/>
  <c r="K810" i="21"/>
  <c r="N810" i="21"/>
  <c r="K811" i="21"/>
  <c r="N811" i="21"/>
  <c r="K812" i="21"/>
  <c r="N812" i="21"/>
  <c r="K813" i="21"/>
  <c r="N813" i="21"/>
  <c r="K814" i="21"/>
  <c r="N814" i="21"/>
  <c r="K815" i="21"/>
  <c r="N815" i="21"/>
  <c r="K816" i="21"/>
  <c r="N816" i="21"/>
  <c r="J817" i="21"/>
  <c r="M817" i="21"/>
  <c r="J818" i="21"/>
  <c r="M818" i="21"/>
  <c r="J819" i="21"/>
  <c r="M819" i="21"/>
  <c r="J820" i="21"/>
  <c r="M820" i="21"/>
  <c r="J821" i="21"/>
  <c r="M821" i="21"/>
  <c r="J822" i="21"/>
  <c r="M822" i="21"/>
  <c r="J823" i="21"/>
  <c r="M823" i="21"/>
  <c r="J824" i="21"/>
  <c r="M824" i="21"/>
  <c r="J825" i="21"/>
  <c r="M825" i="21"/>
  <c r="J826" i="21"/>
  <c r="M826" i="21"/>
  <c r="J827" i="21"/>
  <c r="M827" i="21"/>
  <c r="J828" i="21"/>
  <c r="M828" i="21"/>
  <c r="K829" i="21"/>
  <c r="N829" i="21"/>
  <c r="K830" i="21"/>
  <c r="N830" i="21"/>
  <c r="K831" i="21"/>
  <c r="N831" i="21"/>
  <c r="K832" i="21"/>
  <c r="N832" i="21"/>
  <c r="K833" i="21"/>
  <c r="N833" i="21"/>
  <c r="K834" i="21"/>
  <c r="N834" i="21"/>
  <c r="K835" i="21"/>
  <c r="N835" i="21"/>
  <c r="K836" i="21"/>
  <c r="N836" i="21"/>
  <c r="K837" i="21"/>
  <c r="N837" i="21"/>
  <c r="K838" i="21"/>
  <c r="N838" i="21"/>
  <c r="K839" i="21"/>
  <c r="N839" i="21"/>
  <c r="K840" i="21"/>
  <c r="N840" i="21"/>
  <c r="K841" i="21"/>
  <c r="N841" i="21"/>
  <c r="K842" i="21"/>
  <c r="N842" i="21"/>
  <c r="K843" i="21"/>
  <c r="N843" i="21"/>
  <c r="K844" i="21"/>
  <c r="N844" i="21"/>
  <c r="K845" i="21"/>
  <c r="N845" i="21"/>
  <c r="K846" i="21"/>
  <c r="N846" i="21"/>
  <c r="K847" i="21"/>
  <c r="N847" i="21"/>
  <c r="K848" i="21"/>
  <c r="N848" i="21"/>
  <c r="K849" i="21"/>
  <c r="N849" i="21"/>
  <c r="K850" i="21"/>
  <c r="N850" i="21"/>
  <c r="K851" i="21"/>
  <c r="N851" i="21"/>
  <c r="K852" i="21"/>
  <c r="N852" i="21"/>
  <c r="K853" i="21"/>
  <c r="N853" i="21"/>
  <c r="K854" i="21"/>
  <c r="N854" i="21"/>
  <c r="K855" i="21"/>
  <c r="N855" i="21"/>
  <c r="K856" i="21"/>
  <c r="N856" i="21"/>
  <c r="K857" i="21"/>
  <c r="N857" i="21"/>
  <c r="K858" i="21"/>
  <c r="N858" i="21"/>
  <c r="K859" i="21"/>
  <c r="N859" i="21"/>
  <c r="K860" i="21"/>
  <c r="N860" i="21"/>
  <c r="K861" i="21"/>
  <c r="N861" i="21"/>
  <c r="K862" i="21"/>
  <c r="N862" i="21"/>
  <c r="K863" i="21"/>
  <c r="N863" i="21"/>
  <c r="K864" i="21"/>
  <c r="N864" i="21"/>
  <c r="K865" i="21"/>
  <c r="N865" i="21"/>
  <c r="K866" i="21"/>
  <c r="N866" i="21"/>
  <c r="K867" i="21"/>
  <c r="N867" i="21"/>
  <c r="K868" i="21"/>
  <c r="N868" i="21"/>
  <c r="K869" i="21"/>
  <c r="N869" i="21"/>
  <c r="K870" i="21"/>
  <c r="N870" i="21"/>
  <c r="K871" i="21"/>
  <c r="N871" i="21"/>
  <c r="K872" i="21"/>
  <c r="N872" i="21"/>
  <c r="K873" i="21"/>
  <c r="N873" i="21"/>
  <c r="K874" i="21"/>
  <c r="N874" i="21"/>
  <c r="K875" i="21"/>
  <c r="N875" i="21"/>
  <c r="K876" i="21"/>
  <c r="N876" i="21"/>
  <c r="K877" i="21"/>
  <c r="N877" i="21"/>
  <c r="K878" i="21"/>
  <c r="N878" i="21"/>
  <c r="K879" i="21"/>
  <c r="N879" i="21"/>
  <c r="K880" i="21"/>
  <c r="N880" i="21"/>
  <c r="K881" i="21"/>
  <c r="N881" i="21"/>
  <c r="K882" i="21"/>
  <c r="N882" i="21"/>
  <c r="K883" i="21"/>
  <c r="N883" i="21"/>
  <c r="K884" i="21"/>
  <c r="N884" i="21"/>
  <c r="K885" i="21"/>
  <c r="N885" i="21"/>
  <c r="J886" i="21"/>
  <c r="M886" i="21"/>
  <c r="J887" i="21"/>
  <c r="M887" i="21"/>
  <c r="J888" i="21"/>
  <c r="M888" i="21"/>
  <c r="J889" i="21"/>
  <c r="M889" i="21"/>
  <c r="J890" i="21"/>
  <c r="M890" i="21"/>
  <c r="J891" i="21"/>
  <c r="M891" i="21"/>
  <c r="J892" i="21"/>
  <c r="M892" i="21"/>
  <c r="J893" i="21"/>
  <c r="M893" i="21"/>
  <c r="J894" i="21"/>
  <c r="M894" i="21"/>
  <c r="J895" i="21"/>
  <c r="M895" i="21"/>
  <c r="J896" i="21"/>
  <c r="M896" i="21"/>
  <c r="J897" i="21"/>
  <c r="M897" i="21"/>
  <c r="J898" i="21"/>
  <c r="M898" i="21"/>
  <c r="J899" i="21"/>
  <c r="M899" i="21"/>
  <c r="J900" i="21"/>
  <c r="M900" i="21"/>
  <c r="J901" i="21"/>
  <c r="M901" i="21"/>
  <c r="J902" i="21"/>
  <c r="M902" i="21"/>
  <c r="J903" i="21"/>
  <c r="M903" i="21"/>
  <c r="J904" i="21"/>
  <c r="M904" i="21"/>
  <c r="J905" i="21"/>
  <c r="M905" i="21"/>
  <c r="J906" i="21"/>
  <c r="M906" i="21"/>
  <c r="J907" i="21"/>
  <c r="M907" i="21"/>
  <c r="J908" i="21"/>
  <c r="M908" i="21"/>
  <c r="J909" i="21"/>
  <c r="M909" i="21"/>
  <c r="J910" i="21"/>
  <c r="M910" i="21"/>
  <c r="J911" i="21"/>
  <c r="M911" i="21"/>
  <c r="J912" i="21"/>
  <c r="M912" i="21"/>
  <c r="J913" i="21"/>
  <c r="M913" i="21"/>
  <c r="J914" i="21"/>
  <c r="M914" i="21"/>
  <c r="J915" i="21"/>
  <c r="M915" i="21"/>
  <c r="J916" i="21"/>
  <c r="M916" i="21"/>
  <c r="J917" i="21"/>
  <c r="M917" i="21"/>
  <c r="J918" i="21"/>
  <c r="M918" i="21"/>
  <c r="J919" i="21"/>
  <c r="M919" i="21"/>
  <c r="J920" i="21"/>
  <c r="M920" i="21"/>
  <c r="J921" i="21"/>
  <c r="M921" i="21"/>
  <c r="J922" i="21"/>
  <c r="M922" i="21"/>
  <c r="J923" i="21"/>
  <c r="M923" i="21"/>
  <c r="J924" i="21"/>
  <c r="M924" i="21"/>
  <c r="J925" i="21"/>
  <c r="M925" i="21"/>
  <c r="J926" i="21"/>
  <c r="M926" i="21"/>
  <c r="J927" i="21"/>
  <c r="M927" i="21"/>
  <c r="J928" i="21"/>
  <c r="M928" i="21"/>
  <c r="J929" i="21"/>
  <c r="M929" i="21"/>
  <c r="J930" i="21"/>
  <c r="M930" i="21"/>
  <c r="K931" i="21"/>
  <c r="N931" i="21"/>
  <c r="K932" i="21"/>
  <c r="N932" i="21"/>
  <c r="K933" i="21"/>
  <c r="N933" i="21"/>
  <c r="K934" i="21"/>
  <c r="N934" i="21"/>
  <c r="K935" i="21"/>
  <c r="N935" i="21"/>
  <c r="K936" i="21"/>
  <c r="N936" i="21"/>
  <c r="K937" i="21"/>
  <c r="N937" i="21"/>
  <c r="K938" i="21"/>
  <c r="N938" i="21"/>
  <c r="K939" i="21"/>
  <c r="N939" i="21"/>
  <c r="K940" i="21"/>
  <c r="N940" i="21"/>
  <c r="K941" i="21"/>
  <c r="N941" i="21"/>
  <c r="K942" i="21"/>
  <c r="N942" i="21"/>
  <c r="K943" i="21"/>
  <c r="N943" i="21"/>
  <c r="K944" i="21"/>
  <c r="N944" i="21"/>
  <c r="K945" i="21"/>
  <c r="N945" i="21"/>
  <c r="K946" i="21"/>
  <c r="N946" i="21"/>
  <c r="K947" i="21"/>
  <c r="N947" i="21"/>
  <c r="K948" i="21"/>
  <c r="N948" i="21"/>
  <c r="K949" i="21"/>
  <c r="N949" i="21"/>
  <c r="K950" i="21"/>
  <c r="N950" i="21"/>
  <c r="K951" i="21"/>
  <c r="N951" i="21"/>
  <c r="K952" i="21"/>
  <c r="N952" i="21"/>
  <c r="K953" i="21"/>
  <c r="N953" i="21"/>
  <c r="K954" i="21"/>
  <c r="N954" i="21"/>
  <c r="K955" i="21"/>
  <c r="N955" i="21"/>
  <c r="K956" i="21"/>
  <c r="N956" i="21"/>
  <c r="K957" i="21"/>
  <c r="N957" i="21"/>
  <c r="K958" i="21"/>
  <c r="N958" i="21"/>
  <c r="K959" i="21"/>
  <c r="N959" i="21"/>
  <c r="K960" i="21"/>
  <c r="N960" i="21"/>
  <c r="K961" i="21"/>
  <c r="N961" i="21"/>
  <c r="K962" i="21"/>
  <c r="N962" i="21"/>
  <c r="K963" i="21"/>
  <c r="N963" i="21"/>
  <c r="K964" i="21"/>
  <c r="N964" i="21"/>
  <c r="K965" i="21"/>
  <c r="N965" i="21"/>
  <c r="K966" i="21"/>
  <c r="N966" i="21"/>
  <c r="K967" i="21"/>
  <c r="N967" i="21"/>
  <c r="K968" i="21"/>
  <c r="N968" i="21"/>
  <c r="K969" i="21"/>
  <c r="N969" i="21"/>
  <c r="K970" i="21"/>
  <c r="N970" i="21"/>
  <c r="K971" i="21"/>
  <c r="N971" i="21"/>
  <c r="K972" i="21"/>
  <c r="N972" i="21"/>
  <c r="K973" i="21"/>
  <c r="N973" i="21"/>
  <c r="K974" i="21"/>
  <c r="N974" i="21"/>
  <c r="K975" i="21"/>
  <c r="N975" i="21"/>
  <c r="K976" i="21"/>
  <c r="N976" i="21"/>
  <c r="K977" i="21"/>
  <c r="N977" i="21"/>
  <c r="K978" i="21"/>
  <c r="N978" i="21"/>
  <c r="K979" i="21"/>
  <c r="N979" i="21"/>
  <c r="K980" i="21"/>
  <c r="N980" i="21"/>
  <c r="K981" i="21"/>
  <c r="N981" i="21"/>
  <c r="K982" i="21"/>
  <c r="N982" i="21"/>
  <c r="K983" i="21"/>
  <c r="N983" i="21"/>
  <c r="K984" i="21"/>
  <c r="N984" i="21"/>
  <c r="K985" i="21"/>
  <c r="N985" i="21"/>
  <c r="K986" i="21"/>
  <c r="N986" i="21"/>
  <c r="K987" i="21"/>
  <c r="N987" i="21"/>
  <c r="K988" i="21"/>
  <c r="N988" i="21"/>
  <c r="K989" i="21"/>
  <c r="N989" i="21"/>
  <c r="K990" i="21"/>
  <c r="N990" i="21"/>
  <c r="K991" i="21"/>
  <c r="N991" i="21"/>
  <c r="K992" i="21"/>
  <c r="N992" i="21"/>
  <c r="K993" i="21"/>
  <c r="N993" i="21"/>
  <c r="K994" i="21"/>
  <c r="N994" i="21"/>
  <c r="K995" i="21"/>
  <c r="N995" i="21"/>
  <c r="K996" i="21"/>
  <c r="N996" i="21"/>
  <c r="K997" i="21"/>
  <c r="N997" i="21"/>
  <c r="K998" i="21"/>
  <c r="N998" i="21"/>
  <c r="K999" i="21"/>
  <c r="N999" i="21"/>
  <c r="K1000" i="21"/>
  <c r="N1000" i="21"/>
  <c r="K1001" i="21"/>
  <c r="N1001" i="21"/>
  <c r="K1002" i="21"/>
  <c r="N1002" i="21"/>
  <c r="K1003" i="21"/>
  <c r="N1003" i="21"/>
  <c r="J1004" i="21"/>
  <c r="M1004" i="21"/>
  <c r="J1005" i="21"/>
  <c r="M1005" i="21"/>
  <c r="J1006" i="21"/>
  <c r="M1006" i="21"/>
  <c r="J1007" i="21"/>
  <c r="M1007" i="21"/>
  <c r="J1008" i="21"/>
  <c r="M1008" i="21"/>
  <c r="J1009" i="21"/>
  <c r="M1009" i="21"/>
  <c r="J1010" i="21"/>
  <c r="M1010" i="21"/>
  <c r="J1011" i="21"/>
  <c r="M1011" i="21"/>
  <c r="J1012" i="21"/>
  <c r="M1012" i="21"/>
  <c r="J1013" i="21"/>
  <c r="M1013" i="21"/>
  <c r="J1014" i="21"/>
  <c r="M1014" i="21"/>
  <c r="J1015" i="21"/>
  <c r="M1015" i="21"/>
  <c r="J1016" i="21"/>
  <c r="M1016" i="21"/>
  <c r="J1017" i="21"/>
  <c r="M1017" i="21"/>
  <c r="J1018" i="21"/>
  <c r="M1018" i="21"/>
  <c r="J1019" i="21"/>
  <c r="M1019" i="21"/>
  <c r="J1020" i="21"/>
  <c r="M1020" i="21"/>
  <c r="J1021" i="21"/>
  <c r="M1021" i="21"/>
  <c r="J1022" i="21"/>
  <c r="M1022" i="21"/>
  <c r="J1023" i="21"/>
  <c r="M1023" i="21"/>
  <c r="J1024" i="21"/>
  <c r="M1024" i="21"/>
  <c r="J1025" i="21"/>
  <c r="M1025" i="21"/>
  <c r="J1026" i="21"/>
  <c r="M1026" i="21"/>
  <c r="J1027" i="21"/>
  <c r="M1027" i="21"/>
  <c r="J1028" i="21"/>
  <c r="M1028" i="21"/>
  <c r="J1029" i="21"/>
  <c r="M1029" i="21"/>
  <c r="J1030" i="21"/>
  <c r="M1030" i="21"/>
  <c r="J1031" i="21"/>
  <c r="M1031" i="21"/>
  <c r="K1032" i="21"/>
  <c r="N1032" i="21"/>
  <c r="K1033" i="21"/>
  <c r="N1033" i="21"/>
  <c r="K1034" i="21"/>
  <c r="N1034" i="21"/>
  <c r="K1035" i="21"/>
  <c r="N1035" i="21"/>
  <c r="K1036" i="21"/>
  <c r="N1036" i="21"/>
  <c r="K1037" i="21"/>
  <c r="N1037" i="21"/>
  <c r="K1038" i="21"/>
  <c r="N1038" i="21"/>
  <c r="K1039" i="21"/>
  <c r="N1039" i="21"/>
  <c r="K1040" i="21"/>
  <c r="N1040" i="21"/>
  <c r="K1041" i="21"/>
  <c r="N1041" i="21"/>
  <c r="K1042" i="21"/>
  <c r="N1042" i="21"/>
  <c r="K1043" i="21"/>
  <c r="N1043" i="21"/>
  <c r="K1044" i="21"/>
  <c r="N1044" i="21"/>
  <c r="K1045" i="21"/>
  <c r="N1045" i="21"/>
  <c r="K1046" i="21"/>
  <c r="N1046" i="21"/>
  <c r="K1047" i="21"/>
  <c r="N1047" i="21"/>
  <c r="K1048" i="21"/>
  <c r="N1048" i="21"/>
  <c r="K1049" i="21"/>
  <c r="N1049" i="21"/>
  <c r="K1050" i="21"/>
  <c r="N1050" i="21"/>
  <c r="K1051" i="21"/>
  <c r="N1051" i="21"/>
  <c r="K1052" i="21"/>
  <c r="N1052" i="21"/>
  <c r="K1053" i="21"/>
  <c r="N1053" i="21"/>
  <c r="K1054" i="21"/>
  <c r="N1054" i="21"/>
  <c r="K1055" i="21"/>
  <c r="N1055" i="21"/>
  <c r="K1056" i="21"/>
  <c r="N1056" i="21"/>
  <c r="K1057" i="21"/>
  <c r="N1057" i="21"/>
  <c r="K1058" i="21"/>
  <c r="N1058" i="21"/>
  <c r="K1059" i="21"/>
  <c r="N1059" i="21"/>
  <c r="K1060" i="21"/>
  <c r="N1060" i="21"/>
  <c r="K1061" i="21"/>
  <c r="N1061" i="21"/>
  <c r="K1062" i="21"/>
  <c r="N1062" i="21"/>
  <c r="K1063" i="21"/>
  <c r="N1063" i="21"/>
  <c r="K1064" i="21"/>
  <c r="N1064" i="21"/>
  <c r="K1065" i="21"/>
  <c r="N1065" i="21"/>
  <c r="K1066" i="21"/>
  <c r="N1066" i="21"/>
  <c r="K1067" i="21"/>
  <c r="N1067" i="21"/>
  <c r="K1068" i="21"/>
  <c r="N1068" i="21"/>
  <c r="K1069" i="21"/>
  <c r="N1069" i="21"/>
  <c r="K1070" i="21"/>
  <c r="N1070" i="21"/>
  <c r="K1071" i="21"/>
  <c r="N1071" i="21"/>
  <c r="K1072" i="21"/>
  <c r="N1072" i="21"/>
  <c r="K1073" i="21"/>
  <c r="N1073" i="21"/>
  <c r="K1074" i="21"/>
  <c r="N1074" i="21"/>
  <c r="K1075" i="21"/>
  <c r="N1075" i="21"/>
  <c r="J1076" i="21"/>
  <c r="M1076" i="21"/>
  <c r="J1077" i="21"/>
  <c r="M1077" i="21"/>
  <c r="J1078" i="21"/>
  <c r="M1078" i="21"/>
  <c r="J1079" i="21"/>
  <c r="M1079" i="21"/>
  <c r="J1080" i="21"/>
  <c r="M1080" i="21"/>
  <c r="J1081" i="21"/>
  <c r="M1081" i="21"/>
  <c r="J1082" i="21"/>
  <c r="M1082" i="21"/>
  <c r="J1083" i="21"/>
  <c r="M1083" i="21"/>
  <c r="J1084" i="21"/>
  <c r="M1084" i="21"/>
  <c r="J1085" i="21"/>
  <c r="M1085" i="21"/>
  <c r="J1086" i="21"/>
  <c r="M1086" i="21"/>
  <c r="J1087" i="21"/>
  <c r="M1087" i="21"/>
  <c r="J1088" i="21"/>
  <c r="M1088" i="21"/>
  <c r="J1089" i="21"/>
  <c r="M1089" i="21"/>
  <c r="J1090" i="21"/>
  <c r="M1090" i="21"/>
  <c r="J1091" i="21"/>
  <c r="M1091" i="21"/>
  <c r="K1092" i="21"/>
  <c r="N1092" i="21"/>
  <c r="K1093" i="21"/>
  <c r="N1093" i="21"/>
  <c r="K1094" i="21"/>
  <c r="N1094" i="21"/>
  <c r="K1095" i="21"/>
  <c r="N1095" i="21"/>
  <c r="K1096" i="21"/>
  <c r="N1096" i="21"/>
  <c r="K1097" i="21"/>
  <c r="N1097" i="21"/>
  <c r="K1098" i="21"/>
  <c r="N1098" i="21"/>
  <c r="K1099" i="21"/>
  <c r="N1099" i="21"/>
  <c r="K1100" i="21"/>
  <c r="N1100" i="21"/>
  <c r="K1101" i="21"/>
  <c r="N1101" i="21"/>
  <c r="K1102" i="21"/>
  <c r="N1102" i="21"/>
  <c r="K1103" i="21"/>
  <c r="N1103" i="21"/>
  <c r="K1104" i="21"/>
  <c r="N1104" i="21"/>
  <c r="K1105" i="21"/>
  <c r="N1105" i="21"/>
  <c r="K1106" i="21"/>
  <c r="N1106" i="21"/>
  <c r="K1107" i="21"/>
  <c r="N1107" i="21"/>
  <c r="K1108" i="21"/>
  <c r="N1108" i="21"/>
  <c r="K1109" i="21"/>
  <c r="N1109" i="21"/>
  <c r="K1110" i="21"/>
  <c r="N1110" i="21"/>
  <c r="K1111" i="21"/>
  <c r="N1111" i="21"/>
  <c r="K1112" i="21"/>
  <c r="N1112" i="21"/>
  <c r="K1113" i="21"/>
  <c r="N1113" i="21"/>
  <c r="K1114" i="21"/>
  <c r="N1114" i="21"/>
  <c r="K1115" i="21"/>
  <c r="N1115" i="21"/>
  <c r="K1116" i="21"/>
  <c r="N1116" i="21"/>
  <c r="K1117" i="21"/>
  <c r="N1117" i="21"/>
  <c r="K1118" i="21"/>
  <c r="N1118" i="21"/>
  <c r="K1119" i="21"/>
  <c r="N1119" i="21"/>
  <c r="K1120" i="21"/>
  <c r="N1120" i="21"/>
  <c r="K1121" i="21"/>
  <c r="N1121" i="21"/>
  <c r="K1122" i="21"/>
  <c r="N1122" i="21"/>
  <c r="K1123" i="21"/>
  <c r="N1123" i="21"/>
  <c r="K1124" i="21"/>
  <c r="N1124" i="21"/>
  <c r="K1125" i="21"/>
  <c r="N1125" i="21"/>
  <c r="K1126" i="21"/>
  <c r="N1126" i="21"/>
  <c r="K1127" i="21"/>
  <c r="N1127" i="21"/>
  <c r="K1128" i="21"/>
  <c r="N1128" i="21"/>
  <c r="K1129" i="21"/>
  <c r="N1129" i="21"/>
  <c r="K1130" i="21"/>
  <c r="N1130" i="21"/>
  <c r="K1131" i="21"/>
  <c r="N1131" i="21"/>
  <c r="K1132" i="21"/>
  <c r="N1132" i="21"/>
  <c r="K1133" i="21"/>
  <c r="N1133" i="21"/>
  <c r="K1134" i="21"/>
  <c r="N1134" i="21"/>
  <c r="K1135" i="21"/>
  <c r="N1135" i="21"/>
  <c r="K1136" i="21"/>
  <c r="N1136" i="21"/>
  <c r="K1137" i="21"/>
  <c r="N1137" i="21"/>
  <c r="K1138" i="21"/>
  <c r="N1138" i="21"/>
  <c r="K1139" i="21"/>
  <c r="N1139" i="21"/>
  <c r="K1140" i="21"/>
  <c r="N1140" i="21"/>
  <c r="K1141" i="21"/>
  <c r="N1141" i="21"/>
  <c r="K1142" i="21"/>
  <c r="N1142" i="21"/>
  <c r="K1143" i="21"/>
  <c r="N1143" i="21"/>
  <c r="K1144" i="21"/>
  <c r="N1144" i="21"/>
  <c r="J1145" i="21"/>
  <c r="M1145" i="21"/>
  <c r="J1146" i="21"/>
  <c r="M1146" i="21"/>
  <c r="J1147" i="21"/>
  <c r="M1147" i="21"/>
  <c r="J1148" i="21"/>
  <c r="M1148" i="21"/>
  <c r="J1149" i="21"/>
  <c r="M1149" i="21"/>
  <c r="J1150" i="21"/>
  <c r="M1150" i="21"/>
  <c r="J1151" i="21"/>
  <c r="M1151" i="21"/>
  <c r="J1152" i="21"/>
  <c r="M1152" i="21"/>
  <c r="J1153" i="21"/>
  <c r="M1153" i="21"/>
  <c r="J1154" i="21"/>
  <c r="M1154" i="21"/>
  <c r="J1155" i="21"/>
  <c r="M1155" i="21"/>
  <c r="J1156" i="21"/>
  <c r="M1156" i="21"/>
  <c r="J1157" i="21"/>
  <c r="M1157" i="21"/>
  <c r="J1158" i="21"/>
  <c r="M1158" i="21"/>
  <c r="J1159" i="21"/>
  <c r="M1159" i="21"/>
  <c r="J1160" i="21"/>
  <c r="M1160" i="21"/>
  <c r="J1161" i="21"/>
  <c r="M1161" i="21"/>
  <c r="J1162" i="21"/>
  <c r="M1162" i="21"/>
  <c r="J1163" i="21"/>
  <c r="M1163" i="21"/>
  <c r="J1164" i="21"/>
  <c r="M1164" i="21"/>
  <c r="J1165" i="21"/>
  <c r="M1165" i="21"/>
  <c r="J1166" i="21"/>
  <c r="M1166" i="21"/>
  <c r="J1167" i="21"/>
  <c r="M1167" i="21"/>
  <c r="J1168" i="21"/>
  <c r="M1168" i="21"/>
  <c r="J1169" i="21"/>
  <c r="M1169" i="21"/>
  <c r="J1170" i="21"/>
  <c r="M1170" i="21"/>
  <c r="J1171" i="21"/>
  <c r="M1171" i="21"/>
  <c r="J1172" i="21"/>
  <c r="M1172" i="21"/>
  <c r="J1173" i="21"/>
  <c r="M1173" i="21"/>
  <c r="J1174" i="21"/>
  <c r="M1174" i="21"/>
  <c r="J1175" i="21"/>
  <c r="M1175" i="21"/>
  <c r="K1176" i="21"/>
  <c r="N1176" i="21"/>
  <c r="K1177" i="21"/>
  <c r="N1177" i="21"/>
  <c r="K1178" i="21"/>
  <c r="N1178" i="21"/>
  <c r="K1179" i="21"/>
  <c r="N1179" i="21"/>
  <c r="K1180" i="21"/>
  <c r="N1180" i="21"/>
  <c r="K1181" i="21"/>
  <c r="N1181" i="21"/>
  <c r="K1182" i="21"/>
  <c r="N1182" i="21"/>
  <c r="K1183" i="21"/>
  <c r="N1183" i="21"/>
  <c r="K1184" i="21"/>
  <c r="N1184" i="21"/>
  <c r="K1185" i="21"/>
  <c r="N1185" i="21"/>
  <c r="K1186" i="21"/>
  <c r="N1186" i="21"/>
  <c r="K1187" i="21"/>
  <c r="N1187" i="21"/>
  <c r="K1188" i="21"/>
  <c r="N1188" i="21"/>
  <c r="K1189" i="21"/>
  <c r="N1189" i="21"/>
  <c r="K1190" i="21"/>
  <c r="N1190" i="21"/>
  <c r="K1191" i="21"/>
  <c r="N1191" i="21"/>
  <c r="K1192" i="21"/>
  <c r="N1192" i="21"/>
  <c r="K1193" i="21"/>
  <c r="N1193" i="21"/>
  <c r="K1194" i="21"/>
  <c r="N1194" i="21"/>
  <c r="K1195" i="21"/>
  <c r="N1195" i="21"/>
  <c r="K1196" i="21"/>
  <c r="N1196" i="21"/>
  <c r="K1197" i="21"/>
  <c r="N1197" i="21"/>
  <c r="K1198" i="21"/>
  <c r="N1198" i="21"/>
  <c r="K1199" i="21"/>
  <c r="N1199" i="21"/>
  <c r="K1200" i="21"/>
  <c r="N1200" i="21"/>
  <c r="K1201" i="21"/>
  <c r="N1201" i="21"/>
  <c r="K1202" i="21"/>
  <c r="N1202" i="21"/>
  <c r="K1203" i="21"/>
  <c r="N1203" i="21"/>
  <c r="K1204" i="21"/>
  <c r="N1204" i="21"/>
  <c r="K1205" i="21"/>
  <c r="N1205" i="21"/>
  <c r="K1206" i="21"/>
  <c r="N1206" i="21"/>
  <c r="K1207" i="21"/>
  <c r="N1207" i="21"/>
  <c r="K1208" i="21"/>
  <c r="N1208" i="21"/>
  <c r="K1209" i="21"/>
  <c r="N1209" i="21"/>
  <c r="K1210" i="21"/>
  <c r="N1210" i="21"/>
  <c r="K1211" i="21"/>
  <c r="N1211" i="21"/>
  <c r="K1212" i="21"/>
  <c r="N1212" i="21"/>
  <c r="K1213" i="21"/>
  <c r="N1213" i="21"/>
  <c r="K1214" i="21"/>
  <c r="N1214" i="21"/>
  <c r="K1215" i="21"/>
  <c r="N1215" i="21"/>
  <c r="K1216" i="21"/>
  <c r="N1216" i="21"/>
  <c r="J1217" i="21"/>
  <c r="M1217" i="21"/>
  <c r="J1218" i="21"/>
  <c r="M1218" i="21"/>
  <c r="J1219" i="21"/>
  <c r="M1219" i="21"/>
  <c r="J1220" i="21"/>
  <c r="M1220" i="21"/>
  <c r="J1221" i="21"/>
  <c r="M1221" i="21"/>
  <c r="J1222" i="21"/>
  <c r="M1222" i="21"/>
  <c r="J1223" i="21"/>
  <c r="M1223" i="21"/>
  <c r="J1224" i="21"/>
  <c r="M1224" i="21"/>
  <c r="J1225" i="21"/>
  <c r="M1225" i="21"/>
  <c r="J1226" i="21"/>
  <c r="M1226" i="21"/>
  <c r="J1227" i="21"/>
  <c r="M1227" i="21"/>
  <c r="J1228" i="21"/>
  <c r="M1228" i="21"/>
  <c r="J1229" i="21"/>
  <c r="M1229" i="21"/>
  <c r="J1230" i="21"/>
  <c r="M1230" i="21"/>
  <c r="J1231" i="21"/>
  <c r="M1231" i="21"/>
  <c r="J1232" i="21"/>
  <c r="M1232" i="21"/>
  <c r="J1233" i="21"/>
  <c r="M1233" i="21"/>
  <c r="J1234" i="21"/>
  <c r="M1234" i="21"/>
  <c r="J1235" i="21"/>
  <c r="M1235" i="21"/>
  <c r="J1236" i="21"/>
  <c r="M1236" i="21"/>
  <c r="J1237" i="21"/>
  <c r="M1237" i="21"/>
  <c r="J1238" i="21"/>
  <c r="M1238" i="21"/>
  <c r="J1239" i="21"/>
  <c r="M1239" i="21"/>
  <c r="J1240" i="21"/>
  <c r="M1240" i="21"/>
  <c r="K1241" i="21"/>
  <c r="N1241" i="21"/>
  <c r="K1242" i="21"/>
  <c r="N1242" i="21"/>
  <c r="K1243" i="21"/>
  <c r="N1243" i="21"/>
  <c r="K1244" i="21"/>
  <c r="N1244" i="21"/>
  <c r="K1245" i="21"/>
  <c r="N1245" i="21"/>
  <c r="K1246" i="21"/>
  <c r="N1246" i="21"/>
  <c r="K1247" i="21"/>
  <c r="N1247" i="21"/>
  <c r="K1248" i="21"/>
  <c r="N1248" i="21"/>
  <c r="K1249" i="21"/>
  <c r="N1249" i="21"/>
  <c r="K1250" i="21"/>
  <c r="N1250" i="21"/>
  <c r="K1251" i="21"/>
  <c r="N1251" i="21"/>
  <c r="K1252" i="21"/>
  <c r="N1252" i="21"/>
  <c r="K1253" i="21"/>
  <c r="N1253" i="21"/>
  <c r="K1254" i="21"/>
  <c r="N1254" i="21"/>
  <c r="K1255" i="21"/>
  <c r="N1255" i="21"/>
  <c r="K1256" i="21"/>
  <c r="N1256" i="21"/>
  <c r="K1257" i="21"/>
  <c r="N1257" i="21"/>
  <c r="K1258" i="21"/>
  <c r="N1258" i="21"/>
  <c r="K1259" i="21"/>
  <c r="N1259" i="21"/>
  <c r="K1260" i="21"/>
  <c r="N1260" i="21"/>
  <c r="K1261" i="21"/>
  <c r="N1261" i="21"/>
  <c r="K1262" i="21"/>
  <c r="N1262" i="21"/>
  <c r="K1263" i="21"/>
  <c r="N1263" i="21"/>
  <c r="K1264" i="21"/>
  <c r="N1264" i="21"/>
  <c r="K1265" i="21"/>
  <c r="N1265" i="21"/>
  <c r="K1266" i="21"/>
  <c r="N1266" i="21"/>
  <c r="K1267" i="21"/>
  <c r="N1267" i="21"/>
  <c r="K1268" i="21"/>
  <c r="N1268" i="21"/>
  <c r="K1269" i="21"/>
  <c r="N1269" i="21"/>
  <c r="K1270" i="21"/>
  <c r="N1270" i="21"/>
  <c r="K1271" i="21"/>
  <c r="N1271" i="21"/>
  <c r="K1272" i="21"/>
  <c r="N1272" i="21"/>
  <c r="K1273" i="21"/>
  <c r="N1273" i="21"/>
  <c r="K1274" i="21"/>
  <c r="N1274" i="21"/>
  <c r="K1275" i="21"/>
  <c r="N1275" i="21"/>
  <c r="K1276" i="21"/>
  <c r="N1276" i="21"/>
  <c r="K1277" i="21"/>
  <c r="N1277" i="21"/>
  <c r="K1278" i="21"/>
  <c r="N1278" i="21"/>
  <c r="K1279" i="21"/>
  <c r="N1279" i="21"/>
  <c r="K1280" i="21"/>
  <c r="N1280" i="21"/>
  <c r="K1281" i="21"/>
  <c r="N1281" i="21"/>
  <c r="K1282" i="21"/>
  <c r="N1282" i="21"/>
  <c r="K1283" i="21"/>
  <c r="N1283" i="21"/>
  <c r="K1284" i="21"/>
  <c r="N1284" i="21"/>
  <c r="K1285" i="21"/>
  <c r="N1285" i="21"/>
  <c r="K1286" i="21"/>
  <c r="N1286" i="21"/>
  <c r="K1287" i="21"/>
  <c r="N1287" i="21"/>
  <c r="K1288" i="21"/>
  <c r="N1288" i="21"/>
  <c r="K1289" i="21"/>
  <c r="N1289" i="21"/>
  <c r="J1290" i="21"/>
  <c r="M1290" i="21"/>
  <c r="J1291" i="21"/>
  <c r="M1291" i="21"/>
  <c r="J1292" i="21"/>
  <c r="M1292" i="21"/>
  <c r="J1293" i="21"/>
  <c r="M1293" i="21"/>
  <c r="J1294" i="21"/>
  <c r="M1294" i="21"/>
  <c r="J1295" i="21"/>
  <c r="M1295" i="21"/>
  <c r="J1296" i="21"/>
  <c r="M1296" i="21"/>
  <c r="J1297" i="21"/>
  <c r="M1297" i="21"/>
  <c r="J1298" i="21"/>
  <c r="M1298" i="21"/>
  <c r="J1299" i="21"/>
  <c r="M1299" i="21"/>
  <c r="J1300" i="21"/>
  <c r="M1300" i="21"/>
  <c r="J1301" i="21"/>
  <c r="M1301" i="21"/>
  <c r="J1302" i="21"/>
  <c r="M1302" i="21"/>
  <c r="J1303" i="21"/>
  <c r="M1303" i="21"/>
  <c r="J1304" i="21"/>
  <c r="M1304" i="21"/>
  <c r="J1305" i="21"/>
  <c r="M1305" i="21"/>
  <c r="J1306" i="21"/>
  <c r="M1306" i="21"/>
  <c r="J1307" i="21"/>
  <c r="M1307" i="21"/>
  <c r="J1308" i="21"/>
  <c r="M1308" i="21"/>
  <c r="J1309" i="21"/>
  <c r="M1309" i="21"/>
  <c r="J1310" i="21"/>
  <c r="M1310" i="21"/>
  <c r="J1311" i="21"/>
  <c r="M1311" i="21"/>
  <c r="J1312" i="21"/>
  <c r="M1312" i="21"/>
  <c r="J1313" i="21"/>
  <c r="M1313" i="21"/>
  <c r="J1314" i="21"/>
  <c r="M1314" i="21"/>
  <c r="K1315" i="21"/>
  <c r="N1315" i="21"/>
  <c r="K1316" i="21"/>
  <c r="N1316" i="21"/>
  <c r="K1317" i="21"/>
  <c r="N1317" i="21"/>
  <c r="K1318" i="21"/>
  <c r="N1318" i="21"/>
  <c r="K1319" i="21"/>
  <c r="N1319" i="21"/>
  <c r="K1320" i="21"/>
  <c r="N1320" i="21"/>
  <c r="K1321" i="21"/>
  <c r="N1321" i="21"/>
  <c r="K1322" i="21"/>
  <c r="N1322" i="21"/>
  <c r="K1323" i="21"/>
  <c r="N1323" i="21"/>
  <c r="K1324" i="21"/>
  <c r="N1324" i="21"/>
  <c r="K1325" i="21"/>
  <c r="N1325" i="21"/>
  <c r="K1326" i="21"/>
  <c r="N1326" i="21"/>
  <c r="K1327" i="21"/>
  <c r="N1327" i="21"/>
  <c r="K1328" i="21"/>
  <c r="N1328" i="21"/>
  <c r="K1329" i="21"/>
  <c r="N1329" i="21"/>
  <c r="K1330" i="21"/>
  <c r="N1330" i="21"/>
  <c r="K1331" i="21"/>
  <c r="N1331" i="21"/>
  <c r="K1332" i="21"/>
  <c r="N1332" i="21"/>
  <c r="K1333" i="21"/>
  <c r="N1333" i="21"/>
  <c r="K1334" i="21"/>
  <c r="N1334" i="21"/>
  <c r="K1335" i="21"/>
  <c r="N1335" i="21"/>
  <c r="K1336" i="21"/>
  <c r="N1336" i="21"/>
  <c r="K1337" i="21"/>
  <c r="N1337" i="21"/>
  <c r="K1338" i="21"/>
  <c r="N1338" i="21"/>
  <c r="K1339" i="21"/>
  <c r="N1339" i="21"/>
  <c r="K1340" i="21"/>
  <c r="N1340" i="21"/>
  <c r="K1341" i="21"/>
  <c r="N1341" i="21"/>
  <c r="K1342" i="21"/>
  <c r="N1342" i="21"/>
  <c r="K1343" i="21"/>
  <c r="N1343" i="21"/>
  <c r="K1344" i="21"/>
  <c r="N1344" i="21"/>
  <c r="K1345" i="21"/>
  <c r="N1345" i="21"/>
  <c r="K1346" i="21"/>
  <c r="N1346" i="21"/>
  <c r="K1347" i="21"/>
  <c r="N1347" i="21"/>
  <c r="K1348" i="21"/>
  <c r="N1348" i="21"/>
  <c r="K1349" i="21"/>
  <c r="N1349" i="21"/>
  <c r="K1350" i="21"/>
  <c r="N1350" i="21"/>
  <c r="K1351" i="21"/>
  <c r="N1351" i="21"/>
  <c r="K1352" i="21"/>
  <c r="N1352" i="21"/>
  <c r="K1353" i="21"/>
  <c r="N1353" i="21"/>
  <c r="K1354" i="21"/>
  <c r="N1354" i="21"/>
  <c r="K1355" i="21"/>
  <c r="N1355" i="21"/>
  <c r="K1356" i="21"/>
  <c r="N1356" i="21"/>
  <c r="K1357" i="21"/>
  <c r="N1357" i="21"/>
  <c r="K1358" i="21"/>
  <c r="N1358" i="21"/>
  <c r="K1359" i="21"/>
  <c r="N1359" i="21"/>
  <c r="K1360" i="21"/>
  <c r="N1360" i="21"/>
  <c r="K1361" i="21"/>
  <c r="N1361" i="21"/>
  <c r="K1362" i="21"/>
  <c r="N1362" i="21"/>
  <c r="K1363" i="21"/>
  <c r="N1363" i="21"/>
  <c r="K1364" i="21"/>
  <c r="N1364" i="21"/>
  <c r="K1365" i="21"/>
  <c r="N1365" i="21"/>
  <c r="K1366" i="21"/>
  <c r="N1366" i="21"/>
  <c r="K1367" i="21"/>
  <c r="N1367" i="21"/>
  <c r="K1368" i="21"/>
  <c r="N1368" i="21"/>
  <c r="K1369" i="21"/>
  <c r="N1369" i="21"/>
  <c r="K1370" i="21"/>
  <c r="N1370" i="21"/>
  <c r="K1371" i="21"/>
  <c r="N1371" i="21"/>
  <c r="K1372" i="21"/>
  <c r="N1372" i="21"/>
  <c r="K1373" i="21"/>
  <c r="N1373" i="21"/>
  <c r="K1374" i="21"/>
  <c r="N1374" i="21"/>
  <c r="K1375" i="21"/>
  <c r="N1375" i="21"/>
  <c r="K1376" i="21"/>
  <c r="N1376" i="21"/>
  <c r="K1377" i="21"/>
  <c r="N1377" i="21"/>
  <c r="K1378" i="21"/>
  <c r="N1378" i="21"/>
  <c r="K1379" i="21"/>
  <c r="N1379" i="21"/>
  <c r="K1380" i="21"/>
  <c r="N1380" i="21"/>
  <c r="K1381" i="21"/>
  <c r="N1381" i="21"/>
  <c r="K1382" i="21"/>
  <c r="N1382" i="21"/>
  <c r="K1383" i="21"/>
  <c r="N1383" i="21"/>
  <c r="K1384" i="21"/>
  <c r="N1384" i="21"/>
  <c r="K1385" i="21"/>
  <c r="N1385" i="21"/>
  <c r="K1386" i="21"/>
  <c r="N1386" i="21"/>
  <c r="K1387" i="21"/>
  <c r="N1387" i="21"/>
  <c r="K1388" i="21"/>
  <c r="N1388" i="21"/>
  <c r="K1389" i="21"/>
  <c r="N1389" i="21"/>
  <c r="K1390" i="21"/>
  <c r="N1390" i="21"/>
  <c r="K1391" i="21"/>
  <c r="N1391" i="21"/>
  <c r="K1392" i="21"/>
  <c r="N1392" i="21"/>
  <c r="K1393" i="21"/>
  <c r="N1393" i="21"/>
  <c r="K1394" i="21"/>
  <c r="N1394" i="21"/>
  <c r="K1395" i="21"/>
  <c r="N1395" i="21"/>
  <c r="K1396" i="21"/>
  <c r="N1396" i="21"/>
  <c r="K1397" i="21"/>
  <c r="N1397" i="21"/>
  <c r="K1398" i="21"/>
  <c r="N1398" i="21"/>
  <c r="K1399" i="21"/>
  <c r="N1399" i="21"/>
  <c r="K1400" i="21"/>
  <c r="N1400" i="21"/>
  <c r="K1401" i="21"/>
  <c r="N1401" i="21"/>
  <c r="K1402" i="21"/>
  <c r="N1402" i="21"/>
  <c r="K1403" i="21"/>
  <c r="N1403" i="21"/>
  <c r="K1404" i="21"/>
  <c r="N1404" i="21"/>
  <c r="K1405" i="21"/>
  <c r="N1405" i="21"/>
  <c r="K1406" i="21"/>
  <c r="N1406" i="21"/>
  <c r="K1407" i="21"/>
  <c r="N1407" i="21"/>
  <c r="K1408" i="21"/>
  <c r="N1408" i="21"/>
  <c r="K1409" i="21"/>
  <c r="N1409" i="21"/>
  <c r="K1410" i="21"/>
  <c r="N1410" i="21"/>
  <c r="K1411" i="21"/>
  <c r="N1411" i="21"/>
  <c r="K1412" i="21"/>
  <c r="N1412" i="21"/>
  <c r="K1413" i="21"/>
  <c r="N1413" i="21"/>
  <c r="K1414" i="21"/>
  <c r="N1414" i="21"/>
  <c r="K1415" i="21"/>
  <c r="N1415" i="21"/>
  <c r="K1416" i="21"/>
  <c r="N1416" i="21"/>
  <c r="K1417" i="21"/>
  <c r="N1417" i="21"/>
  <c r="K1418" i="21"/>
  <c r="N1418" i="21"/>
  <c r="K1419" i="21"/>
  <c r="N1419" i="21"/>
  <c r="K1420" i="21"/>
  <c r="N1420" i="21"/>
  <c r="K1421" i="21"/>
  <c r="N1421" i="21"/>
  <c r="K1422" i="21"/>
  <c r="N1422" i="21"/>
  <c r="K1423" i="21"/>
  <c r="N1423" i="21"/>
  <c r="K1424" i="21"/>
  <c r="N1424" i="21"/>
  <c r="K1425" i="21"/>
  <c r="N1425" i="21"/>
  <c r="K1426" i="21"/>
  <c r="N1426" i="21"/>
  <c r="K1427" i="21"/>
  <c r="N1427" i="21"/>
  <c r="K1428" i="21"/>
  <c r="N1428" i="21"/>
  <c r="K1429" i="21"/>
  <c r="N1429" i="21"/>
  <c r="K1430" i="21"/>
  <c r="N1430" i="21"/>
  <c r="K1431" i="21"/>
  <c r="N1431" i="21"/>
  <c r="K1432" i="21"/>
  <c r="N1432" i="21"/>
  <c r="K1433" i="21"/>
  <c r="N1433" i="21"/>
  <c r="K1434" i="21"/>
  <c r="N1434" i="21"/>
  <c r="K1435" i="21"/>
  <c r="N1435" i="21"/>
  <c r="K1436" i="21"/>
  <c r="N1436" i="21"/>
  <c r="K1437" i="21"/>
  <c r="N1437" i="21"/>
  <c r="K1438" i="21"/>
  <c r="N1438" i="21"/>
  <c r="K1439" i="21"/>
  <c r="N1439" i="21"/>
  <c r="K1440" i="21"/>
  <c r="N1440" i="21"/>
  <c r="K1441" i="21"/>
  <c r="N1441" i="21"/>
  <c r="K1442" i="21"/>
  <c r="N1442" i="21"/>
  <c r="K1443" i="21"/>
  <c r="N1443" i="21"/>
  <c r="K1444" i="21"/>
  <c r="N1444" i="21"/>
  <c r="K1445" i="21"/>
  <c r="N1445" i="21"/>
  <c r="K1446" i="21"/>
  <c r="N1446" i="21"/>
  <c r="K1447" i="21"/>
  <c r="N1447" i="21"/>
  <c r="K1448" i="21"/>
  <c r="N1448" i="21"/>
  <c r="K1449" i="21"/>
  <c r="N1449" i="21"/>
  <c r="K1450" i="21"/>
  <c r="N1450" i="21"/>
  <c r="K1451" i="21"/>
  <c r="N1451" i="21"/>
  <c r="K1452" i="21"/>
  <c r="N1452" i="21"/>
  <c r="K1453" i="21"/>
  <c r="N1453" i="21"/>
  <c r="K1454" i="21"/>
  <c r="N1454" i="21"/>
  <c r="K1455" i="21"/>
  <c r="N1455" i="21"/>
  <c r="K1456" i="21"/>
  <c r="N1456" i="21"/>
  <c r="K1457" i="21"/>
  <c r="N1457" i="21"/>
  <c r="K1458" i="21"/>
  <c r="N1458" i="21"/>
  <c r="K1459" i="21"/>
  <c r="N1459" i="21"/>
  <c r="K1460" i="21"/>
  <c r="N1460" i="21"/>
  <c r="K1461" i="21"/>
  <c r="N1461" i="21"/>
  <c r="K1462" i="21"/>
  <c r="N1462" i="21"/>
  <c r="K1463" i="21"/>
  <c r="N1463" i="21"/>
  <c r="K1464" i="21"/>
  <c r="N1464" i="21"/>
  <c r="K1465" i="21"/>
  <c r="N1465" i="21"/>
  <c r="K1466" i="21"/>
  <c r="N1466" i="21"/>
  <c r="K1467" i="21"/>
  <c r="N1467" i="21"/>
  <c r="K1468" i="21"/>
  <c r="N1468" i="21"/>
  <c r="K1469" i="21"/>
  <c r="N1469" i="21"/>
  <c r="K1470" i="21"/>
  <c r="N1470" i="21"/>
  <c r="K1471" i="21"/>
  <c r="N1471" i="21"/>
  <c r="K1472" i="21"/>
  <c r="N1472" i="21"/>
  <c r="K1473" i="21"/>
  <c r="N1473" i="21"/>
  <c r="K1474" i="21"/>
  <c r="N1474" i="21"/>
  <c r="K1475" i="21"/>
  <c r="N1475" i="21"/>
  <c r="K1476" i="21"/>
  <c r="N1476" i="21"/>
  <c r="K1477" i="21"/>
  <c r="N1477" i="21"/>
  <c r="K1478" i="21"/>
  <c r="N1478" i="21"/>
  <c r="K1479" i="21"/>
  <c r="N1479" i="21"/>
  <c r="K1480" i="21"/>
  <c r="N1480" i="21"/>
  <c r="K1481" i="21"/>
  <c r="N1481" i="21"/>
  <c r="K1482" i="21"/>
  <c r="N1482" i="21"/>
  <c r="K1483" i="21"/>
  <c r="N1483" i="21"/>
  <c r="K1484" i="21"/>
  <c r="N1484" i="21"/>
  <c r="K1485" i="21"/>
  <c r="N1485" i="21"/>
  <c r="K1486" i="21"/>
  <c r="N1486" i="21"/>
  <c r="K1487" i="21"/>
  <c r="N1487" i="21"/>
  <c r="K1488" i="21"/>
  <c r="N1488" i="21"/>
  <c r="K1489" i="21"/>
  <c r="N1489" i="21"/>
  <c r="K1490" i="21"/>
  <c r="N1490" i="21"/>
  <c r="K1491" i="21"/>
  <c r="N1491" i="21"/>
  <c r="K1492" i="21"/>
  <c r="N1492" i="21"/>
  <c r="K1493" i="21"/>
  <c r="N1493" i="21"/>
  <c r="K1494" i="21"/>
  <c r="N1494" i="21"/>
  <c r="K1495" i="21"/>
  <c r="N1495" i="21"/>
  <c r="K1496" i="21"/>
  <c r="N1496" i="21"/>
  <c r="K1497" i="21"/>
  <c r="N1497" i="21"/>
  <c r="K1498" i="21"/>
  <c r="N1498" i="21"/>
  <c r="K1499" i="21"/>
  <c r="N1499" i="21"/>
  <c r="K1500" i="21"/>
  <c r="N1500" i="21"/>
  <c r="K1501" i="21"/>
  <c r="N1501" i="21"/>
  <c r="K1502" i="21"/>
  <c r="N1502" i="21"/>
  <c r="K1503" i="21"/>
  <c r="N1503" i="21"/>
  <c r="K1504" i="21"/>
  <c r="N1504" i="21"/>
  <c r="K1505" i="21"/>
  <c r="N1505" i="21"/>
  <c r="K1506" i="21"/>
  <c r="N1506" i="21"/>
  <c r="K1507" i="21"/>
  <c r="N1507" i="21"/>
  <c r="K1508" i="21"/>
  <c r="N1508" i="21"/>
  <c r="K1509" i="21"/>
  <c r="N1509" i="21"/>
  <c r="K1510" i="21"/>
  <c r="N1510" i="21"/>
  <c r="K1511" i="21"/>
  <c r="N1511" i="21"/>
  <c r="K1512" i="21"/>
  <c r="N1512" i="21"/>
  <c r="K1513" i="21"/>
  <c r="N1513" i="21"/>
  <c r="K1514" i="21"/>
  <c r="N1514" i="21"/>
  <c r="K1515" i="21"/>
  <c r="N1515" i="21"/>
  <c r="K1516" i="21"/>
  <c r="N1516" i="21"/>
  <c r="K1517" i="21"/>
  <c r="N1517" i="21"/>
  <c r="K1518" i="21"/>
  <c r="N1518" i="21"/>
  <c r="K1519" i="21"/>
  <c r="N1519" i="21"/>
  <c r="K1520" i="21"/>
  <c r="N1520" i="21"/>
  <c r="K1521" i="21"/>
  <c r="N1521" i="21"/>
  <c r="K1522" i="21"/>
  <c r="N1522" i="21"/>
  <c r="K1523" i="21"/>
  <c r="N1523" i="21"/>
  <c r="K1524" i="21"/>
  <c r="N1524" i="21"/>
  <c r="K1525" i="21"/>
  <c r="N1525" i="21"/>
  <c r="K1526" i="21"/>
  <c r="N1526" i="21"/>
  <c r="K1527" i="21"/>
  <c r="N1527" i="21"/>
  <c r="K1528" i="21"/>
  <c r="N1528" i="21"/>
  <c r="K1529" i="21"/>
  <c r="N1529" i="21"/>
  <c r="K1530" i="21"/>
  <c r="N1530" i="21"/>
  <c r="K1531" i="21"/>
  <c r="N1531" i="21"/>
  <c r="K1532" i="21"/>
  <c r="N1532" i="21"/>
  <c r="K1533" i="21"/>
  <c r="N1533" i="21"/>
  <c r="K1534" i="21"/>
  <c r="N1534" i="21"/>
  <c r="K1535" i="21"/>
  <c r="N1535" i="21"/>
  <c r="K1536" i="21"/>
  <c r="N1536" i="21"/>
  <c r="K1537" i="21"/>
  <c r="N1537" i="21"/>
  <c r="K1538" i="21"/>
  <c r="N1538" i="21"/>
  <c r="K1539" i="21"/>
  <c r="N1539" i="21"/>
  <c r="K1540" i="21"/>
  <c r="N1540" i="21"/>
  <c r="K1541" i="21"/>
  <c r="N1541" i="21"/>
  <c r="K1542" i="21"/>
  <c r="N1542" i="21"/>
  <c r="K1543" i="21"/>
  <c r="N1543" i="21"/>
  <c r="K1544" i="21"/>
  <c r="N1544" i="21"/>
  <c r="K1545" i="21"/>
  <c r="N1545" i="21"/>
  <c r="K1546" i="21"/>
  <c r="N1546" i="21"/>
  <c r="K1547" i="21"/>
  <c r="N1547" i="21"/>
  <c r="K1548" i="21"/>
  <c r="N1548" i="21"/>
  <c r="K1549" i="21"/>
  <c r="N1549" i="21"/>
  <c r="K1550" i="21"/>
  <c r="N1550" i="21"/>
  <c r="K1551" i="21"/>
  <c r="N1551" i="21"/>
  <c r="K1552" i="21"/>
  <c r="N1552" i="21"/>
  <c r="K1553" i="21"/>
  <c r="N1553" i="21"/>
  <c r="K1554" i="21"/>
  <c r="N1554" i="21"/>
  <c r="K1555" i="21"/>
  <c r="N1555" i="21"/>
  <c r="K1556" i="21"/>
  <c r="N1556" i="21"/>
  <c r="K1557" i="21"/>
  <c r="N1557" i="21"/>
  <c r="K1558" i="21"/>
  <c r="N1558" i="21"/>
  <c r="K1559" i="21"/>
  <c r="N1559" i="21"/>
  <c r="K1560" i="21"/>
  <c r="N1560" i="21"/>
  <c r="K1561" i="21"/>
  <c r="N1561" i="21"/>
  <c r="K1562" i="21"/>
  <c r="N1562" i="21"/>
  <c r="K1563" i="21"/>
  <c r="N1563" i="21"/>
  <c r="K1564" i="21"/>
  <c r="N1564" i="21"/>
  <c r="K1565" i="21"/>
  <c r="N1565" i="21"/>
  <c r="K1566" i="21"/>
  <c r="N1566" i="21"/>
  <c r="K1567" i="21"/>
  <c r="N1567" i="21"/>
  <c r="K1568" i="21"/>
  <c r="N1568" i="21"/>
  <c r="K1569" i="21"/>
  <c r="N1569" i="21"/>
  <c r="K1570" i="21"/>
  <c r="N1570" i="21"/>
  <c r="K1571" i="21"/>
  <c r="N1571" i="21"/>
  <c r="K1572" i="21"/>
  <c r="N1572" i="21"/>
  <c r="K1573" i="21"/>
  <c r="N1573" i="21"/>
  <c r="K1574" i="21"/>
  <c r="N1574" i="21"/>
  <c r="K1575" i="21"/>
  <c r="N1575" i="21"/>
  <c r="K1576" i="21"/>
  <c r="N1576" i="21"/>
  <c r="K1577" i="21"/>
  <c r="N1577" i="21"/>
  <c r="K1578" i="21"/>
  <c r="N1578" i="21"/>
  <c r="K1579" i="21"/>
  <c r="N1579" i="21"/>
  <c r="K1580" i="21"/>
  <c r="N1580" i="21"/>
  <c r="K1581" i="21"/>
  <c r="N1581" i="21"/>
  <c r="K1582" i="21"/>
  <c r="N1582" i="21"/>
  <c r="K1583" i="21"/>
  <c r="N1583" i="21"/>
  <c r="K1584" i="21"/>
  <c r="N1584" i="21"/>
  <c r="K1585" i="21"/>
  <c r="N1585" i="21"/>
  <c r="K1586" i="21"/>
  <c r="N1586" i="21"/>
  <c r="K1587" i="21"/>
  <c r="N1587" i="21"/>
  <c r="K1588" i="21"/>
  <c r="N1588" i="21"/>
  <c r="K1589" i="21"/>
  <c r="N1589" i="21"/>
  <c r="K1590" i="21"/>
  <c r="N1590" i="21"/>
  <c r="K1591" i="21"/>
  <c r="N1591" i="21"/>
  <c r="K1592" i="21"/>
  <c r="N1592" i="21"/>
  <c r="K1593" i="21"/>
  <c r="N1593" i="21"/>
  <c r="K1594" i="21"/>
  <c r="N1594" i="21"/>
  <c r="K1595" i="21"/>
  <c r="N1595" i="21"/>
  <c r="K1596" i="21"/>
  <c r="N1596" i="21"/>
  <c r="K1597" i="21"/>
  <c r="N1597" i="21"/>
  <c r="K1598" i="21"/>
  <c r="N1598" i="21"/>
  <c r="K1599" i="21"/>
  <c r="N1599" i="21"/>
  <c r="K1600" i="21"/>
  <c r="N1600" i="21"/>
  <c r="K1601" i="21"/>
  <c r="N1601" i="21"/>
  <c r="K1602" i="21"/>
  <c r="N1602" i="21"/>
  <c r="K1603" i="21"/>
  <c r="N1603" i="21"/>
  <c r="K1604" i="21"/>
  <c r="N1604" i="21"/>
  <c r="K1605" i="21"/>
  <c r="N1605" i="21"/>
  <c r="K1606" i="21"/>
  <c r="N1606" i="21"/>
  <c r="K1607" i="21"/>
  <c r="N1607" i="21"/>
  <c r="K1608" i="21"/>
  <c r="N1608" i="21"/>
  <c r="K1609" i="21"/>
  <c r="N1609" i="21"/>
  <c r="K1610" i="21"/>
  <c r="N1610" i="21"/>
  <c r="K1611" i="21"/>
  <c r="N1611" i="21"/>
  <c r="K1612" i="21"/>
  <c r="N1612" i="21"/>
  <c r="K1613" i="21"/>
  <c r="N1613" i="21"/>
  <c r="K1614" i="21"/>
  <c r="N1614" i="21"/>
  <c r="K1615" i="21"/>
  <c r="N1615" i="21"/>
  <c r="K1616" i="21"/>
  <c r="N1616" i="21"/>
  <c r="K1617" i="21"/>
  <c r="N1617" i="21"/>
  <c r="K1618" i="21"/>
  <c r="N1618" i="21"/>
  <c r="K1619" i="21"/>
  <c r="N1619" i="21"/>
  <c r="K1620" i="21"/>
  <c r="N1620" i="21"/>
  <c r="K1621" i="21"/>
  <c r="N1621" i="21"/>
  <c r="K1622" i="21"/>
  <c r="N1622" i="21"/>
  <c r="K1623" i="21"/>
  <c r="N1623" i="21"/>
  <c r="K1624" i="21"/>
  <c r="N1624" i="21"/>
  <c r="K1625" i="21"/>
  <c r="N1625" i="21"/>
  <c r="K1626" i="21"/>
  <c r="N1626" i="21"/>
  <c r="K1627" i="21"/>
  <c r="N1627" i="21"/>
  <c r="K1628" i="21"/>
  <c r="N1628" i="21"/>
  <c r="K1629" i="21"/>
  <c r="N1629" i="21"/>
  <c r="K1630" i="21"/>
  <c r="N1630" i="21"/>
  <c r="K1631" i="21"/>
  <c r="N1631" i="21"/>
  <c r="K1632" i="21"/>
  <c r="N1632" i="21"/>
  <c r="K1633" i="21"/>
  <c r="N1633" i="21"/>
  <c r="K1634" i="21"/>
  <c r="N1634" i="21"/>
  <c r="K1635" i="21"/>
  <c r="N1635" i="21"/>
  <c r="K1636" i="21"/>
  <c r="N1636" i="21"/>
  <c r="K1637" i="21"/>
  <c r="N1637" i="21"/>
  <c r="K1638" i="21"/>
  <c r="N1638" i="21"/>
  <c r="K1639" i="21"/>
  <c r="N1639" i="21"/>
  <c r="K1640" i="21"/>
  <c r="N1640" i="21"/>
  <c r="K1641" i="21"/>
  <c r="N1641" i="21"/>
  <c r="K1642" i="21"/>
  <c r="N1642" i="21"/>
  <c r="K1643" i="21"/>
  <c r="N1643" i="21"/>
  <c r="K1644" i="21"/>
  <c r="N1644" i="21"/>
  <c r="K1645" i="21"/>
  <c r="N1645" i="21"/>
  <c r="K1646" i="21"/>
  <c r="N1646" i="21"/>
  <c r="K1647" i="21"/>
  <c r="N1647" i="21"/>
  <c r="K1648" i="21"/>
  <c r="N1648" i="21"/>
  <c r="K1649" i="21"/>
  <c r="N1649" i="21"/>
  <c r="K1650" i="21"/>
  <c r="N1650" i="21"/>
  <c r="K1651" i="21"/>
  <c r="N1651" i="21"/>
  <c r="K1652" i="21"/>
  <c r="N1652" i="21"/>
  <c r="K1653" i="21"/>
  <c r="N1653" i="21"/>
  <c r="K1654" i="21"/>
  <c r="N1654" i="21"/>
  <c r="K1655" i="21"/>
  <c r="N1655" i="21"/>
  <c r="K1656" i="21"/>
  <c r="N1656" i="21"/>
  <c r="K1657" i="21"/>
  <c r="N1657" i="21"/>
  <c r="K1658" i="21"/>
  <c r="N1658" i="21"/>
  <c r="K1659" i="21"/>
  <c r="N1659" i="21"/>
  <c r="K1660" i="21"/>
  <c r="N1660" i="21"/>
  <c r="K1661" i="21"/>
  <c r="N1661" i="21"/>
  <c r="K1662" i="21"/>
  <c r="N1662" i="21"/>
  <c r="K1663" i="21"/>
  <c r="N1663" i="21"/>
  <c r="K1664" i="21"/>
  <c r="N1664" i="21"/>
  <c r="K1665" i="21"/>
  <c r="N1665" i="21"/>
  <c r="K1666" i="21"/>
  <c r="N1666" i="21"/>
  <c r="K1667" i="21"/>
  <c r="N1667" i="21"/>
  <c r="K1668" i="21"/>
  <c r="N1668" i="21"/>
  <c r="K1669" i="21"/>
  <c r="N1669" i="21"/>
  <c r="K1670" i="21"/>
  <c r="N1670" i="21"/>
  <c r="K1671" i="21"/>
  <c r="N1671" i="21"/>
  <c r="K1672" i="21"/>
  <c r="N1672" i="21"/>
  <c r="K1673" i="21"/>
  <c r="N1673" i="21"/>
  <c r="K1674" i="21"/>
  <c r="N1674" i="21"/>
  <c r="K1675" i="21"/>
  <c r="N1675" i="21"/>
  <c r="K1676" i="21"/>
  <c r="N1676" i="21"/>
  <c r="K1677" i="21"/>
  <c r="N1677" i="21"/>
  <c r="K1678" i="21"/>
  <c r="N1678" i="21"/>
  <c r="K1679" i="21"/>
  <c r="N1679" i="21"/>
  <c r="K1680" i="21"/>
  <c r="N1680" i="21"/>
  <c r="K1681" i="21"/>
  <c r="N1681" i="21"/>
  <c r="K1682" i="21"/>
  <c r="N1682" i="21"/>
  <c r="K1683" i="21"/>
  <c r="N1683" i="21"/>
  <c r="K1684" i="21"/>
  <c r="N1684" i="21"/>
  <c r="K1685" i="21"/>
  <c r="N1685" i="21"/>
  <c r="K1686" i="21"/>
  <c r="N1686" i="21"/>
  <c r="K1687" i="21"/>
  <c r="N1687" i="21"/>
  <c r="K1688" i="21"/>
  <c r="N1688" i="21"/>
  <c r="K1689" i="21"/>
  <c r="N1689" i="21"/>
  <c r="K1690" i="21"/>
  <c r="N1690" i="21"/>
  <c r="K1691" i="21"/>
  <c r="N1691" i="21"/>
  <c r="K1692" i="21"/>
  <c r="N1692" i="21"/>
  <c r="K1693" i="21"/>
  <c r="N1693" i="21"/>
  <c r="K1694" i="21"/>
  <c r="N1694" i="21"/>
  <c r="K1695" i="21"/>
  <c r="N1695" i="21"/>
  <c r="K1696" i="21"/>
  <c r="N1696" i="21"/>
  <c r="K1697" i="21"/>
  <c r="N1697" i="21"/>
  <c r="K1698" i="21"/>
  <c r="N1698" i="21"/>
  <c r="K1699" i="21"/>
  <c r="N1699" i="21"/>
  <c r="K1700" i="21"/>
  <c r="N1700" i="21"/>
  <c r="K1701" i="21"/>
  <c r="N1701" i="21"/>
  <c r="K1702" i="21"/>
  <c r="N1702" i="21"/>
  <c r="K1703" i="21"/>
  <c r="N1703" i="21"/>
  <c r="K1704" i="21"/>
  <c r="N1704" i="21"/>
  <c r="K1705" i="21"/>
  <c r="N1705" i="21"/>
  <c r="K1706" i="21"/>
  <c r="N1706" i="21"/>
  <c r="K1707" i="21"/>
  <c r="N1707" i="21"/>
  <c r="K1708" i="21"/>
  <c r="N1708" i="21"/>
  <c r="K1709" i="21"/>
  <c r="N1709" i="21"/>
  <c r="K1710" i="21"/>
  <c r="N1710" i="21"/>
  <c r="K1711" i="21"/>
  <c r="N1711" i="21"/>
  <c r="K1712" i="21"/>
  <c r="N1712" i="21"/>
  <c r="K1713" i="21"/>
  <c r="N1713" i="21"/>
  <c r="K1714" i="21"/>
  <c r="N1714" i="21"/>
  <c r="K1715" i="21"/>
  <c r="N1715" i="21"/>
  <c r="K1716" i="21"/>
  <c r="N1716" i="21"/>
  <c r="K1717" i="21"/>
  <c r="N1717" i="21"/>
  <c r="K1718" i="21"/>
  <c r="N1718" i="21"/>
  <c r="K1719" i="21"/>
  <c r="N1719" i="21"/>
  <c r="K1720" i="21"/>
  <c r="N1720" i="21"/>
  <c r="K1721" i="21"/>
  <c r="N1721" i="21"/>
  <c r="K1722" i="21"/>
  <c r="N1722" i="21"/>
  <c r="K1723" i="21"/>
  <c r="N1723" i="21"/>
  <c r="K1724" i="21"/>
  <c r="N1724" i="21"/>
  <c r="K1725" i="21"/>
  <c r="N1725" i="21"/>
  <c r="K1726" i="21"/>
  <c r="N1726" i="21"/>
  <c r="K1727" i="21"/>
  <c r="N1727" i="21"/>
  <c r="K1728" i="21"/>
  <c r="N1728" i="21"/>
  <c r="K1729" i="21"/>
  <c r="N1729" i="21"/>
  <c r="K1730" i="21"/>
  <c r="N1730" i="21"/>
  <c r="K1731" i="21"/>
  <c r="N1731" i="21"/>
  <c r="K1732" i="21"/>
  <c r="N1732" i="21"/>
  <c r="K1733" i="21"/>
  <c r="N1733" i="21"/>
  <c r="K1734" i="21"/>
  <c r="N1734" i="21"/>
  <c r="K1735" i="21"/>
  <c r="N1735" i="21"/>
  <c r="K1736" i="21"/>
  <c r="N1736" i="21"/>
  <c r="K1737" i="21"/>
  <c r="N1737" i="21"/>
  <c r="K1738" i="21"/>
  <c r="N1738" i="21"/>
  <c r="K1739" i="21"/>
  <c r="N1739" i="21"/>
  <c r="K1740" i="21"/>
  <c r="N1740" i="21"/>
  <c r="K1741" i="21"/>
  <c r="N1741" i="21"/>
  <c r="K1742" i="21"/>
  <c r="N1742" i="21"/>
  <c r="K1743" i="21"/>
  <c r="N1743" i="21"/>
  <c r="K1744" i="21"/>
  <c r="N1744" i="21"/>
  <c r="K1745" i="21"/>
  <c r="N1745" i="21"/>
  <c r="K1746" i="21"/>
  <c r="N1746" i="21"/>
  <c r="K1747" i="21"/>
  <c r="N1747" i="21"/>
  <c r="K1748" i="21"/>
  <c r="N1748" i="21"/>
  <c r="K1749" i="21"/>
  <c r="N1749" i="21"/>
  <c r="K1750" i="21"/>
  <c r="N1750" i="21"/>
  <c r="K1751" i="21"/>
  <c r="N1751" i="21"/>
  <c r="K1752" i="21"/>
  <c r="N1752" i="21"/>
  <c r="K1753" i="21"/>
  <c r="N1753" i="21"/>
  <c r="K1754" i="21"/>
  <c r="N1754" i="21"/>
  <c r="K1755" i="21"/>
  <c r="N1755" i="21"/>
  <c r="K1756" i="21"/>
  <c r="N1756" i="21"/>
  <c r="K1757" i="21"/>
  <c r="N1757" i="21"/>
  <c r="K1758" i="21"/>
  <c r="N1758" i="21"/>
  <c r="K1759" i="21"/>
  <c r="N1759" i="21"/>
  <c r="K1760" i="21"/>
  <c r="N1760" i="21"/>
  <c r="K1761" i="21"/>
  <c r="N1761" i="21"/>
  <c r="K1762" i="21"/>
  <c r="N1762" i="21"/>
  <c r="K1763" i="21"/>
  <c r="N1763" i="21"/>
  <c r="K1764" i="21"/>
  <c r="N1764" i="21"/>
  <c r="K1765" i="21"/>
  <c r="N1765" i="21"/>
  <c r="K1766" i="21"/>
  <c r="N1766" i="21"/>
  <c r="K1767" i="21"/>
  <c r="N1767" i="21"/>
  <c r="K1768" i="21"/>
  <c r="N1768" i="21"/>
  <c r="K1769" i="21"/>
  <c r="N1769" i="21"/>
  <c r="K1770" i="21"/>
  <c r="N1770" i="21"/>
  <c r="K1771" i="21"/>
  <c r="N1771" i="21"/>
  <c r="K1772" i="21"/>
  <c r="N1772" i="21"/>
  <c r="K1773" i="21"/>
  <c r="N1773" i="21"/>
  <c r="K1774" i="21"/>
  <c r="N1774" i="21"/>
  <c r="K1775" i="21"/>
  <c r="N1775" i="21"/>
  <c r="K1776" i="21"/>
  <c r="N1776" i="21"/>
  <c r="K1777" i="21"/>
  <c r="N1777" i="21"/>
  <c r="K1778" i="21"/>
  <c r="N1778" i="21"/>
  <c r="K1779" i="21"/>
  <c r="N1779" i="21"/>
  <c r="K1780" i="21"/>
  <c r="N1780" i="21"/>
  <c r="K1781" i="21"/>
  <c r="N1781" i="21"/>
  <c r="K1782" i="21"/>
  <c r="N1782" i="21"/>
  <c r="K1783" i="21"/>
  <c r="N1783" i="21"/>
  <c r="K1784" i="21"/>
  <c r="N1784" i="21"/>
  <c r="K1785" i="21"/>
  <c r="N1785" i="21"/>
  <c r="K1786" i="21"/>
  <c r="N1786" i="21"/>
  <c r="K1787" i="21"/>
  <c r="N1787" i="21"/>
  <c r="K1788" i="21"/>
  <c r="N1788" i="21"/>
  <c r="K1789" i="21"/>
  <c r="N1789" i="21"/>
  <c r="K1790" i="21"/>
  <c r="N1790" i="21"/>
  <c r="K1791" i="21"/>
  <c r="N1791" i="21"/>
  <c r="K1792" i="21"/>
  <c r="N1792" i="21"/>
  <c r="K1793" i="21"/>
  <c r="N1793" i="21"/>
  <c r="K1794" i="21"/>
  <c r="N1794" i="21"/>
  <c r="K1795" i="21"/>
  <c r="N1795" i="21"/>
  <c r="K1796" i="21"/>
  <c r="N1796" i="21"/>
  <c r="K1797" i="21"/>
  <c r="N1797" i="21"/>
  <c r="K1798" i="21"/>
  <c r="N1798" i="21"/>
  <c r="K1799" i="21"/>
  <c r="N1799" i="21"/>
  <c r="K1800" i="21"/>
  <c r="N1800" i="21"/>
  <c r="K1801" i="21"/>
  <c r="N1801" i="21"/>
  <c r="K1802" i="21"/>
  <c r="N1802" i="21"/>
  <c r="K1803" i="21"/>
  <c r="N1803" i="21"/>
  <c r="K1804" i="21"/>
  <c r="N1804" i="21"/>
  <c r="K1805" i="21"/>
  <c r="N1805" i="21"/>
  <c r="K1806" i="21"/>
  <c r="N1806" i="21"/>
  <c r="K1807" i="21"/>
  <c r="N1807" i="21"/>
  <c r="K1808" i="21"/>
  <c r="N1808" i="21"/>
  <c r="K1809" i="21"/>
  <c r="N1809" i="21"/>
  <c r="K1810" i="21"/>
  <c r="N1810" i="21"/>
  <c r="K1811" i="21"/>
  <c r="N1811" i="21"/>
  <c r="K1812" i="21"/>
  <c r="N1812" i="21"/>
  <c r="K1813" i="21"/>
  <c r="N1813" i="21"/>
  <c r="K1814" i="21"/>
  <c r="N1814" i="21"/>
  <c r="K1815" i="21"/>
  <c r="N1815" i="21"/>
  <c r="K1816" i="21"/>
  <c r="N1816" i="21"/>
  <c r="K1817" i="21"/>
  <c r="N1817" i="21"/>
  <c r="K1818" i="21"/>
  <c r="N1818" i="21"/>
  <c r="K1819" i="21"/>
  <c r="N1819" i="21"/>
  <c r="K1820" i="21"/>
  <c r="N1820" i="21"/>
  <c r="K1821" i="21"/>
  <c r="N1821" i="21"/>
  <c r="K1822" i="21"/>
  <c r="N1822" i="21"/>
  <c r="K1823" i="21"/>
  <c r="N1823" i="21"/>
  <c r="K1824" i="21"/>
  <c r="N1824" i="21"/>
  <c r="K1825" i="21"/>
  <c r="N1825" i="21"/>
  <c r="K1826" i="21"/>
  <c r="N1826" i="21"/>
  <c r="K1827" i="21"/>
  <c r="N1827" i="21"/>
  <c r="K1828" i="21"/>
  <c r="N1828" i="21"/>
  <c r="K1829" i="21"/>
  <c r="N1829" i="21"/>
  <c r="K1830" i="21"/>
  <c r="N1830" i="21"/>
  <c r="K1831" i="21"/>
  <c r="N1831" i="21"/>
  <c r="K1832" i="21"/>
  <c r="N1832" i="21"/>
  <c r="K1833" i="21"/>
  <c r="N1833" i="21"/>
  <c r="K1834" i="21"/>
  <c r="N1834" i="21"/>
  <c r="K1835" i="21"/>
  <c r="N1835" i="21"/>
  <c r="K1836" i="21"/>
  <c r="N1836" i="21"/>
  <c r="K1837" i="21"/>
  <c r="N1837" i="21"/>
  <c r="K1838" i="21"/>
  <c r="N1838" i="21"/>
  <c r="K1839" i="21"/>
  <c r="N1839" i="21"/>
  <c r="K1840" i="21"/>
  <c r="N1840" i="21"/>
  <c r="K1841" i="21"/>
  <c r="N1841" i="21"/>
  <c r="K1842" i="21"/>
  <c r="N1842" i="21"/>
  <c r="K1843" i="21"/>
  <c r="N1843" i="21"/>
  <c r="K1844" i="21"/>
  <c r="N1844" i="21"/>
  <c r="K1845" i="21"/>
  <c r="N1845" i="21"/>
  <c r="K1846" i="21"/>
  <c r="N1846" i="21"/>
  <c r="K1847" i="21"/>
  <c r="N1847" i="21"/>
  <c r="K1848" i="21"/>
  <c r="N1848" i="21"/>
  <c r="K1849" i="21"/>
  <c r="N1849" i="21"/>
  <c r="K1850" i="21"/>
  <c r="N1850" i="21"/>
  <c r="K1851" i="21"/>
  <c r="N1851" i="21"/>
  <c r="K1852" i="21"/>
  <c r="N1852" i="21"/>
  <c r="K1853" i="21"/>
  <c r="N1853" i="21"/>
  <c r="K1854" i="21"/>
  <c r="N1854" i="21"/>
  <c r="K1855" i="21"/>
  <c r="N1855" i="21"/>
  <c r="K1856" i="21"/>
  <c r="N1856" i="21"/>
  <c r="K1857" i="21"/>
  <c r="N1857" i="21"/>
  <c r="K1858" i="21"/>
  <c r="N1858" i="21"/>
  <c r="K1859" i="21"/>
  <c r="N1859" i="21"/>
  <c r="K1860" i="21"/>
  <c r="N1860" i="21"/>
  <c r="K1861" i="21"/>
  <c r="N1861" i="21"/>
  <c r="K1862" i="21"/>
  <c r="N1862" i="21"/>
  <c r="K1863" i="21"/>
  <c r="N1863" i="21"/>
  <c r="K1864" i="21"/>
  <c r="N1864" i="21"/>
  <c r="K1865" i="21"/>
  <c r="N1865" i="21"/>
  <c r="K1866" i="21"/>
  <c r="N1866" i="21"/>
  <c r="K1867" i="21"/>
  <c r="N1867" i="21"/>
  <c r="K1868" i="21"/>
  <c r="N1868" i="21"/>
  <c r="K1869" i="21"/>
  <c r="N1869" i="21"/>
  <c r="K1870" i="21"/>
  <c r="N1870" i="21"/>
  <c r="K1871" i="21"/>
  <c r="N1871" i="21"/>
  <c r="K1872" i="21"/>
  <c r="N1872" i="21"/>
  <c r="K1873" i="21"/>
  <c r="N1873" i="21"/>
  <c r="K1874" i="21"/>
  <c r="N1874" i="21"/>
  <c r="K1875" i="21"/>
  <c r="N1875" i="21"/>
  <c r="K1876" i="21"/>
  <c r="N1876" i="21"/>
  <c r="K1877" i="21"/>
  <c r="N1877" i="21"/>
  <c r="K1878" i="21"/>
  <c r="N1878" i="21"/>
  <c r="K1879" i="21"/>
  <c r="N1879" i="21"/>
  <c r="K1880" i="21"/>
  <c r="N1880" i="21"/>
  <c r="K1881" i="21"/>
  <c r="N1881" i="21"/>
  <c r="K1882" i="21"/>
  <c r="N1882" i="21"/>
  <c r="K1883" i="21"/>
  <c r="N1883" i="21"/>
  <c r="K1884" i="21"/>
  <c r="N1884" i="21"/>
  <c r="K1885" i="21"/>
  <c r="N1885" i="21"/>
  <c r="K1886" i="21"/>
  <c r="N1886" i="21"/>
  <c r="K1887" i="21"/>
  <c r="N1887" i="21"/>
  <c r="K1888" i="21"/>
  <c r="N1888" i="21"/>
  <c r="K1889" i="21"/>
  <c r="N1889" i="21"/>
  <c r="K1890" i="21"/>
  <c r="N1890" i="21"/>
  <c r="K1891" i="21"/>
  <c r="N1891" i="21"/>
  <c r="K1892" i="21"/>
  <c r="N1892" i="21"/>
  <c r="K1893" i="21"/>
  <c r="N1893" i="21"/>
  <c r="K1894" i="21"/>
  <c r="N1894" i="21"/>
  <c r="K1895" i="21"/>
  <c r="N1895" i="21"/>
  <c r="K1896" i="21"/>
  <c r="N1896" i="21"/>
  <c r="K1897" i="21"/>
  <c r="N1897" i="21"/>
  <c r="K1898" i="21"/>
  <c r="N1898" i="21"/>
  <c r="K1899" i="21"/>
  <c r="N1899" i="21"/>
  <c r="K1900" i="21"/>
  <c r="N1900" i="21"/>
  <c r="K1901" i="21"/>
  <c r="N1901" i="21"/>
  <c r="K1902" i="21"/>
  <c r="N1902" i="21"/>
  <c r="K1903" i="21"/>
  <c r="N1903" i="21"/>
  <c r="K1904" i="21"/>
  <c r="N1904" i="21"/>
  <c r="K1905" i="21"/>
  <c r="N1905" i="21"/>
  <c r="K1906" i="21"/>
  <c r="N1906" i="21"/>
  <c r="K1907" i="21"/>
  <c r="N1907" i="21"/>
  <c r="K1908" i="21"/>
  <c r="N1908" i="21"/>
  <c r="K1909" i="21"/>
  <c r="N1909" i="21"/>
  <c r="K1910" i="21"/>
  <c r="N1910" i="21"/>
  <c r="K1911" i="21"/>
  <c r="N1911" i="21"/>
  <c r="K1912" i="21"/>
  <c r="N1912" i="21"/>
  <c r="K1913" i="21"/>
  <c r="N1913" i="21"/>
  <c r="K1914" i="21"/>
  <c r="N1914" i="21"/>
  <c r="K1915" i="21"/>
  <c r="N1915" i="21"/>
  <c r="K1916" i="21"/>
  <c r="N1916" i="21"/>
  <c r="K1917" i="21"/>
  <c r="N1917" i="21"/>
  <c r="K1918" i="21"/>
  <c r="N1918" i="21"/>
  <c r="K1919" i="21"/>
  <c r="N1919" i="21"/>
  <c r="K1920" i="21"/>
  <c r="N1920" i="21"/>
  <c r="K1921" i="21"/>
  <c r="N1921" i="21"/>
  <c r="K1922" i="21"/>
  <c r="N1922" i="21"/>
  <c r="K1923" i="21"/>
  <c r="N1923" i="21"/>
  <c r="K1924" i="21"/>
  <c r="N1924" i="21"/>
  <c r="K1925" i="21"/>
  <c r="N1925" i="21"/>
  <c r="K1926" i="21"/>
  <c r="N1926" i="21"/>
  <c r="K1927" i="21"/>
  <c r="N1927" i="21"/>
  <c r="K1928" i="21"/>
  <c r="N1928" i="21"/>
  <c r="K1929" i="21"/>
  <c r="N1929" i="21"/>
  <c r="K1930" i="21"/>
  <c r="N1930" i="21"/>
  <c r="K1931" i="21"/>
  <c r="N1931" i="21"/>
  <c r="K1932" i="21"/>
  <c r="N1932" i="21"/>
  <c r="K1933" i="21"/>
  <c r="N1933" i="21"/>
  <c r="K1934" i="21"/>
  <c r="N1934" i="21"/>
  <c r="K1935" i="21"/>
  <c r="N1935" i="21"/>
  <c r="K1936" i="21"/>
  <c r="N1936" i="21"/>
  <c r="K1937" i="21"/>
  <c r="N1937" i="21"/>
  <c r="K1938" i="21"/>
  <c r="N1938" i="21"/>
  <c r="K1939" i="21"/>
  <c r="N1939" i="21"/>
  <c r="K1940" i="21"/>
  <c r="N1940" i="21"/>
  <c r="K1941" i="21"/>
  <c r="N1941" i="21"/>
  <c r="K1942" i="21"/>
  <c r="N1942" i="21"/>
  <c r="K1943" i="21"/>
  <c r="N1943" i="21"/>
  <c r="K1944" i="21"/>
  <c r="N1944" i="21"/>
  <c r="K1945" i="21"/>
  <c r="N1945" i="21"/>
  <c r="K1946" i="21"/>
  <c r="N1946" i="21"/>
  <c r="K1947" i="21"/>
  <c r="N1947" i="21"/>
  <c r="K1948" i="21"/>
  <c r="N1948" i="21"/>
  <c r="K1949" i="21"/>
  <c r="N1949" i="21"/>
  <c r="K1950" i="21"/>
  <c r="N1950" i="21"/>
  <c r="K1951" i="21"/>
  <c r="N1951" i="21"/>
  <c r="K1952" i="21"/>
  <c r="N1952" i="21"/>
  <c r="K1953" i="21"/>
  <c r="N1953" i="21"/>
  <c r="K1954" i="21"/>
  <c r="N1954" i="21"/>
  <c r="K1955" i="21"/>
  <c r="N1955" i="21"/>
  <c r="K1956" i="21"/>
  <c r="N1956" i="21"/>
  <c r="K1957" i="21"/>
  <c r="N1957" i="21"/>
  <c r="K1958" i="21"/>
  <c r="N1958" i="21"/>
  <c r="K1959" i="21"/>
  <c r="N1959" i="21"/>
  <c r="K1960" i="21"/>
  <c r="N1960" i="21"/>
  <c r="K1961" i="21"/>
  <c r="N1961" i="21"/>
  <c r="K1962" i="21"/>
  <c r="N1962" i="21"/>
  <c r="K1963" i="21"/>
  <c r="N1963" i="21"/>
  <c r="K1964" i="21"/>
  <c r="N1964" i="21"/>
  <c r="K1965" i="21"/>
  <c r="N1965" i="21"/>
  <c r="K1966" i="21"/>
  <c r="N1966" i="21"/>
  <c r="K1967" i="21"/>
  <c r="N1967" i="21"/>
  <c r="K1968" i="21"/>
  <c r="N1968" i="21"/>
  <c r="K1969" i="21"/>
  <c r="N1969" i="21"/>
  <c r="K1970" i="21"/>
  <c r="N1970" i="21"/>
  <c r="K1971" i="21"/>
  <c r="N1971" i="21"/>
  <c r="K1972" i="21"/>
  <c r="N1972" i="21"/>
  <c r="K1973" i="21"/>
  <c r="N1973" i="21"/>
  <c r="K1974" i="21"/>
  <c r="N1974" i="21"/>
  <c r="K1975" i="21"/>
  <c r="N1975" i="21"/>
  <c r="K1976" i="21"/>
  <c r="N1976" i="21"/>
  <c r="K1977" i="21"/>
  <c r="N1977" i="21"/>
  <c r="K1978" i="21"/>
  <c r="N1978" i="21"/>
  <c r="K1979" i="21"/>
  <c r="N1979" i="21"/>
  <c r="K1980" i="21"/>
  <c r="N1980" i="21"/>
  <c r="K1981" i="21"/>
  <c r="N1981" i="21"/>
  <c r="K1982" i="21"/>
  <c r="N1982" i="21"/>
  <c r="K1983" i="21"/>
  <c r="N1983" i="21"/>
  <c r="K1984" i="21"/>
  <c r="N1984" i="21"/>
  <c r="K1985" i="21"/>
  <c r="N1985" i="21"/>
  <c r="K1986" i="21"/>
  <c r="N1986" i="21"/>
  <c r="K1987" i="21"/>
  <c r="N1987" i="21"/>
  <c r="K1988" i="21"/>
  <c r="N1988" i="21"/>
  <c r="K1989" i="21"/>
  <c r="N1989" i="21"/>
  <c r="K1990" i="21"/>
  <c r="N1990" i="21"/>
  <c r="K1991" i="21"/>
  <c r="N1991" i="21"/>
  <c r="K1992" i="21"/>
  <c r="N1992" i="21"/>
  <c r="K1993" i="21"/>
  <c r="N1993" i="21"/>
  <c r="K1994" i="21"/>
  <c r="N1994" i="21"/>
  <c r="K1995" i="21"/>
  <c r="N1995" i="21"/>
  <c r="K1996" i="21"/>
  <c r="N1996" i="21"/>
  <c r="K1997" i="21"/>
  <c r="N1997" i="21"/>
  <c r="K1998" i="21"/>
  <c r="N1998" i="21"/>
  <c r="K1999" i="21"/>
  <c r="N1999" i="21"/>
  <c r="K2000" i="21"/>
  <c r="N2000" i="21"/>
  <c r="K2001" i="21"/>
  <c r="N2001" i="21"/>
  <c r="K2002" i="21"/>
  <c r="N2002" i="21"/>
  <c r="K2003" i="21"/>
  <c r="N2003" i="21"/>
  <c r="K2004" i="21"/>
  <c r="N2004" i="21"/>
  <c r="K2005" i="21"/>
  <c r="N2005" i="21"/>
  <c r="K2006" i="21"/>
  <c r="N2006" i="21"/>
  <c r="K2007" i="21"/>
  <c r="N2007" i="21"/>
  <c r="K2008" i="21"/>
  <c r="N2008" i="21"/>
  <c r="K2009" i="21"/>
  <c r="N2009" i="21"/>
  <c r="K2010" i="21"/>
  <c r="N2010" i="21"/>
  <c r="K2011" i="21"/>
  <c r="N2011" i="21"/>
  <c r="K2012" i="21"/>
  <c r="N2012" i="21"/>
  <c r="D47" i="5"/>
  <c r="E47" i="5"/>
  <c r="F47" i="5"/>
  <c r="H47" i="5"/>
  <c r="D48" i="5"/>
  <c r="E48" i="5"/>
  <c r="F48" i="5"/>
  <c r="Y2" i="16"/>
  <c r="Z2" i="16"/>
  <c r="AE2" i="16"/>
  <c r="AF2" i="16"/>
  <c r="AK2" i="16"/>
  <c r="AL2" i="16"/>
  <c r="AU2" i="16"/>
  <c r="AV2" i="16"/>
  <c r="Y3" i="16"/>
  <c r="Z3" i="16"/>
  <c r="AE3" i="16"/>
  <c r="AF3" i="16"/>
  <c r="AK3" i="16"/>
  <c r="AL3" i="16"/>
  <c r="AU3" i="16"/>
  <c r="AV3" i="16"/>
  <c r="Y4" i="16"/>
  <c r="Z4" i="16"/>
  <c r="AE4" i="16"/>
  <c r="AF4" i="16"/>
  <c r="AK4" i="16"/>
  <c r="AL4" i="16"/>
  <c r="AU4" i="16"/>
  <c r="AV4" i="16"/>
  <c r="Y5" i="16"/>
  <c r="Z5" i="16"/>
  <c r="AE5" i="16"/>
  <c r="AF5" i="16"/>
  <c r="AK5" i="16"/>
  <c r="AL5" i="16"/>
  <c r="AU5" i="16"/>
  <c r="AV5" i="16"/>
  <c r="Y6" i="16"/>
  <c r="Z6" i="16"/>
  <c r="AE6" i="16"/>
  <c r="AF6" i="16"/>
  <c r="AK6" i="16"/>
  <c r="AL6" i="16"/>
  <c r="AU6" i="16"/>
  <c r="AV6" i="16"/>
  <c r="Y7" i="16"/>
  <c r="Z7" i="16"/>
  <c r="AE7" i="16"/>
  <c r="AF7" i="16"/>
  <c r="AK7" i="16"/>
  <c r="AL7" i="16"/>
  <c r="AU7" i="16"/>
  <c r="AV7" i="16"/>
  <c r="Y8" i="16"/>
  <c r="Z8" i="16"/>
  <c r="AE8" i="16"/>
  <c r="AF8" i="16"/>
  <c r="AK8" i="16"/>
  <c r="AL8" i="16"/>
  <c r="AU8" i="16"/>
  <c r="AV8" i="16"/>
  <c r="Y9" i="16"/>
  <c r="Z9" i="16"/>
  <c r="AE9" i="16"/>
  <c r="AF9" i="16"/>
  <c r="AK9" i="16"/>
  <c r="AL9" i="16"/>
  <c r="AU9" i="16"/>
  <c r="AV9" i="16"/>
  <c r="Y10" i="16"/>
  <c r="Z10" i="16"/>
  <c r="AE10" i="16"/>
  <c r="AF10" i="16"/>
  <c r="AK10" i="16"/>
  <c r="AL10" i="16"/>
  <c r="AU10" i="16"/>
  <c r="AV10" i="16"/>
  <c r="Y11" i="16"/>
  <c r="Z11" i="16"/>
  <c r="AE11" i="16"/>
  <c r="AF11" i="16"/>
  <c r="Y12" i="16"/>
  <c r="Z12" i="16"/>
  <c r="AE12" i="16"/>
  <c r="AF12" i="16"/>
  <c r="AU12" i="16"/>
  <c r="Y13" i="16"/>
  <c r="Z13" i="16"/>
  <c r="AE13" i="16"/>
  <c r="AF13" i="16"/>
  <c r="Y14" i="16"/>
  <c r="Z14" i="16"/>
  <c r="AE14" i="16"/>
  <c r="AF14" i="16"/>
  <c r="Y15" i="16"/>
  <c r="Z15" i="16"/>
  <c r="AE15" i="16"/>
  <c r="AF15" i="16"/>
  <c r="Y16" i="16"/>
  <c r="Z16" i="16"/>
  <c r="AE16" i="16"/>
  <c r="AF16" i="16"/>
  <c r="Y17" i="16"/>
  <c r="Z17" i="16"/>
  <c r="AE17" i="16"/>
  <c r="AF17" i="16"/>
  <c r="Y18" i="16"/>
  <c r="Z18" i="16"/>
  <c r="AE18" i="16"/>
  <c r="AF18" i="16"/>
  <c r="Y19" i="16"/>
  <c r="Z19" i="16"/>
  <c r="AE19" i="16"/>
  <c r="AF19" i="16"/>
  <c r="Y20" i="16"/>
  <c r="Z20" i="16"/>
  <c r="AE20" i="16"/>
  <c r="AF20" i="16"/>
  <c r="Y21" i="16"/>
  <c r="Z21" i="16"/>
  <c r="AE21" i="16"/>
  <c r="AF21" i="16"/>
  <c r="Y22" i="16"/>
  <c r="Z22" i="16"/>
  <c r="AE22" i="16"/>
  <c r="AF22" i="16"/>
  <c r="Y23" i="16"/>
  <c r="Z23" i="16"/>
  <c r="AE23" i="16"/>
  <c r="AF23" i="16"/>
  <c r="Y24" i="16"/>
  <c r="Z24" i="16"/>
  <c r="AE24" i="16"/>
  <c r="AF24" i="16"/>
  <c r="Y25" i="16"/>
  <c r="Z25" i="16"/>
  <c r="AE25" i="16"/>
  <c r="AF25" i="16"/>
  <c r="Y26" i="16"/>
  <c r="Z26" i="16"/>
  <c r="AE26" i="16"/>
  <c r="AF26" i="16"/>
  <c r="Y27" i="16"/>
  <c r="Z27" i="16"/>
  <c r="AE27" i="16"/>
  <c r="AF27" i="16"/>
  <c r="Y28" i="16"/>
  <c r="Z28" i="16"/>
  <c r="AE28" i="16"/>
  <c r="AF28" i="16"/>
  <c r="Z29" i="16"/>
  <c r="AF29" i="16"/>
  <c r="Z30" i="16"/>
  <c r="AF30" i="16"/>
  <c r="Z31" i="16"/>
  <c r="AF31" i="16"/>
  <c r="Z32" i="16"/>
  <c r="AF32" i="16"/>
  <c r="Z33" i="16"/>
  <c r="AF33" i="16"/>
  <c r="Z34" i="16"/>
  <c r="AF34" i="16"/>
  <c r="Z35" i="16"/>
  <c r="AF35" i="16"/>
  <c r="Z36" i="16"/>
  <c r="AF36" i="16"/>
  <c r="Z37" i="16"/>
  <c r="AF37" i="16"/>
  <c r="Z38" i="16"/>
  <c r="AF38" i="16"/>
  <c r="Z39" i="16"/>
  <c r="AF39" i="16"/>
  <c r="Z40" i="16"/>
  <c r="AF40" i="16"/>
  <c r="Y41" i="16"/>
  <c r="Z41" i="16"/>
  <c r="AE41" i="16"/>
  <c r="AF41" i="16"/>
  <c r="Y42" i="16"/>
  <c r="Z42" i="16"/>
  <c r="AE42" i="16"/>
  <c r="AF42" i="16"/>
  <c r="Y43" i="16"/>
  <c r="Z43" i="16"/>
  <c r="AE43" i="16"/>
  <c r="AF43" i="16"/>
  <c r="Y44" i="16"/>
  <c r="Z44" i="16"/>
  <c r="AE44" i="16"/>
  <c r="AF44" i="16"/>
  <c r="Y45" i="16"/>
  <c r="Z45" i="16"/>
  <c r="AE45" i="16"/>
  <c r="AF45" i="16"/>
  <c r="Y46" i="16"/>
  <c r="Z46" i="16"/>
  <c r="AE46" i="16"/>
  <c r="AF46" i="16"/>
  <c r="Y47" i="16"/>
  <c r="Z47" i="16"/>
  <c r="AE47" i="16"/>
  <c r="AF47" i="16"/>
  <c r="Y48" i="16"/>
  <c r="Z48" i="16"/>
  <c r="AE48" i="16"/>
  <c r="AF48" i="16"/>
  <c r="Y49" i="16"/>
  <c r="Z49" i="16"/>
  <c r="AE49" i="16"/>
  <c r="AF49" i="16"/>
  <c r="Y50" i="16"/>
  <c r="Z50" i="16"/>
  <c r="AE50" i="16"/>
  <c r="AF50" i="16"/>
  <c r="Y51" i="16"/>
  <c r="Z51" i="16"/>
  <c r="AE51" i="16"/>
  <c r="AF51" i="16"/>
  <c r="Y52" i="16"/>
  <c r="Z52" i="16"/>
  <c r="AE52" i="16"/>
  <c r="AF52" i="16"/>
  <c r="Y53" i="16"/>
  <c r="Z53" i="16"/>
  <c r="AE53" i="16"/>
  <c r="AF53" i="16"/>
  <c r="Y54" i="16"/>
  <c r="Z54" i="16"/>
  <c r="AE54" i="16"/>
  <c r="AF54" i="16"/>
  <c r="Y55" i="16"/>
  <c r="Z55" i="16"/>
  <c r="AE55" i="16"/>
  <c r="AF55" i="16"/>
  <c r="Y56" i="16"/>
  <c r="Z56" i="16"/>
  <c r="AE56" i="16"/>
  <c r="AF56" i="16"/>
  <c r="Y57" i="16"/>
  <c r="Z57" i="16"/>
  <c r="AE57" i="16"/>
  <c r="AF57" i="16"/>
  <c r="Y58" i="16"/>
  <c r="Z58" i="16"/>
  <c r="AE58" i="16"/>
  <c r="AF58" i="16"/>
  <c r="Y59" i="16"/>
  <c r="Z59" i="16"/>
  <c r="AE59" i="16"/>
  <c r="AF59" i="16"/>
  <c r="Y60" i="16"/>
  <c r="Z60" i="16"/>
  <c r="AE60" i="16"/>
  <c r="AF60" i="16"/>
  <c r="Y61" i="16"/>
  <c r="Z61" i="16"/>
  <c r="AE61" i="16"/>
  <c r="AF61" i="16"/>
  <c r="Y62" i="16"/>
  <c r="Z62" i="16"/>
  <c r="AE62" i="16"/>
  <c r="AF62" i="16"/>
  <c r="Y63" i="16"/>
  <c r="Z63" i="16"/>
  <c r="AE63" i="16"/>
  <c r="AF63" i="16"/>
  <c r="Y64" i="16"/>
  <c r="Z64" i="16"/>
  <c r="AE64" i="16"/>
  <c r="AF64" i="16"/>
  <c r="Y65" i="16"/>
  <c r="Z65" i="16"/>
  <c r="AE65" i="16"/>
  <c r="AF65" i="16"/>
  <c r="Y66" i="16"/>
  <c r="Z66" i="16"/>
  <c r="AE66" i="16"/>
  <c r="AF66" i="16"/>
  <c r="Y67" i="16"/>
  <c r="Z67" i="16"/>
  <c r="AE67" i="16"/>
  <c r="AF67" i="16"/>
  <c r="Y68" i="16"/>
  <c r="Z68" i="16"/>
  <c r="AE68" i="16"/>
  <c r="AF68" i="16"/>
  <c r="Y69" i="16"/>
  <c r="Z69" i="16"/>
  <c r="AE69" i="16"/>
  <c r="AF69" i="16"/>
  <c r="Y70" i="16"/>
  <c r="Z70" i="16"/>
  <c r="AE70" i="16"/>
  <c r="AF70" i="16"/>
  <c r="Y71" i="16"/>
  <c r="Z71" i="16"/>
  <c r="AE71" i="16"/>
  <c r="AF71" i="16"/>
  <c r="Y72" i="16"/>
  <c r="Z72" i="16"/>
  <c r="AE72" i="16"/>
  <c r="AF72" i="16"/>
  <c r="Y73" i="16"/>
  <c r="Z73" i="16"/>
  <c r="AE73" i="16"/>
  <c r="AF73" i="16"/>
  <c r="Y74" i="16"/>
  <c r="Z74" i="16"/>
  <c r="AE74" i="16"/>
  <c r="AF74" i="16"/>
  <c r="Y75" i="16"/>
  <c r="Z75" i="16"/>
  <c r="AE75" i="16"/>
  <c r="AF75" i="16"/>
  <c r="Y76" i="16"/>
  <c r="Z76" i="16"/>
  <c r="AE76" i="16"/>
  <c r="AF76" i="16"/>
  <c r="Y77" i="16"/>
  <c r="Z77" i="16"/>
  <c r="AE77" i="16"/>
  <c r="AF77" i="16"/>
  <c r="Y78" i="16"/>
  <c r="Z78" i="16"/>
  <c r="AE78" i="16"/>
  <c r="AF78" i="16"/>
  <c r="Y79" i="16"/>
  <c r="Z79" i="16"/>
  <c r="AE79" i="16"/>
  <c r="AF79" i="16"/>
  <c r="Z80" i="16"/>
  <c r="AF80" i="16"/>
  <c r="Z81" i="16"/>
  <c r="AF81" i="16"/>
  <c r="Z82" i="16"/>
  <c r="AF82" i="16"/>
  <c r="Z83" i="16"/>
  <c r="AF83" i="16"/>
  <c r="Z84" i="16"/>
  <c r="AF84" i="16"/>
  <c r="Z85" i="16"/>
  <c r="AF85" i="16"/>
  <c r="Z86" i="16"/>
  <c r="AF86" i="16"/>
  <c r="Z87" i="16"/>
  <c r="AF87" i="16"/>
  <c r="Z88" i="16"/>
  <c r="AF88" i="16"/>
  <c r="Z89" i="16"/>
  <c r="AF89" i="16"/>
  <c r="Z90" i="16"/>
  <c r="AF90" i="16"/>
  <c r="Z91" i="16"/>
  <c r="AF91" i="16"/>
  <c r="Y92" i="16"/>
  <c r="Z92" i="16"/>
  <c r="AE92" i="16"/>
  <c r="AF92" i="16"/>
  <c r="Y93" i="16"/>
  <c r="Z93" i="16"/>
  <c r="AE93" i="16"/>
  <c r="AF93" i="16"/>
  <c r="Y94" i="16"/>
  <c r="Z94" i="16"/>
  <c r="AE94" i="16"/>
  <c r="AF94" i="16"/>
  <c r="Y95" i="16"/>
  <c r="Z95" i="16"/>
  <c r="AE95" i="16"/>
  <c r="AF95" i="16"/>
  <c r="Y96" i="16"/>
  <c r="Z96" i="16"/>
  <c r="AE96" i="16"/>
  <c r="AF96" i="16"/>
  <c r="Y97" i="16"/>
  <c r="Z97" i="16"/>
  <c r="AE97" i="16"/>
  <c r="AF97" i="16"/>
  <c r="Y98" i="16"/>
  <c r="Z98" i="16"/>
  <c r="AE98" i="16"/>
  <c r="AF98" i="16"/>
  <c r="Y99" i="16"/>
  <c r="Z99" i="16"/>
  <c r="AE99" i="16"/>
  <c r="AF99" i="16"/>
  <c r="Y100" i="16"/>
  <c r="Z100" i="16"/>
  <c r="AE100" i="16"/>
  <c r="AF100" i="16"/>
  <c r="Y101" i="16"/>
  <c r="Z101" i="16"/>
  <c r="AE101" i="16"/>
  <c r="AF101" i="16"/>
  <c r="Y102" i="16"/>
  <c r="Z102" i="16"/>
  <c r="AE102" i="16"/>
  <c r="AF102" i="16"/>
  <c r="Y103" i="16"/>
  <c r="Z103" i="16"/>
  <c r="AE103" i="16"/>
  <c r="AF103" i="16"/>
  <c r="Y104" i="16"/>
  <c r="Z104" i="16"/>
  <c r="AE104" i="16"/>
  <c r="AF104" i="16"/>
  <c r="Y105" i="16"/>
  <c r="Z105" i="16"/>
  <c r="AE105" i="16"/>
  <c r="AF105" i="16"/>
  <c r="Y106" i="16"/>
  <c r="Z106" i="16"/>
  <c r="AE106" i="16"/>
  <c r="AF106" i="16"/>
  <c r="Y107" i="16"/>
  <c r="Z107" i="16"/>
  <c r="AE107" i="16"/>
  <c r="AF107" i="16"/>
  <c r="Y108" i="16"/>
  <c r="Z108" i="16"/>
  <c r="AE108" i="16"/>
  <c r="AF108" i="16"/>
  <c r="Y109" i="16"/>
  <c r="Z109" i="16"/>
  <c r="AE109" i="16"/>
  <c r="AF109" i="16"/>
  <c r="Y110" i="16"/>
  <c r="Z110" i="16"/>
  <c r="AE110" i="16"/>
  <c r="AF110" i="16"/>
  <c r="Y111" i="16"/>
  <c r="Z111" i="16"/>
  <c r="AE111" i="16"/>
  <c r="AF111" i="16"/>
  <c r="Y112" i="16"/>
  <c r="Z112" i="16"/>
  <c r="AE112" i="16"/>
  <c r="AF112" i="16"/>
  <c r="Y113" i="16"/>
  <c r="Z113" i="16"/>
  <c r="AE113" i="16"/>
  <c r="AF113" i="16"/>
  <c r="Y114" i="16"/>
  <c r="Z114" i="16"/>
  <c r="AE114" i="16"/>
  <c r="AF114" i="16"/>
  <c r="Y115" i="16"/>
  <c r="Z115" i="16"/>
  <c r="AE115" i="16"/>
  <c r="AF115" i="16"/>
  <c r="Z116" i="16"/>
  <c r="AF116" i="16"/>
  <c r="Z117" i="16"/>
  <c r="AF117" i="16"/>
  <c r="Z118" i="16"/>
  <c r="AF118" i="16"/>
  <c r="Z119" i="16"/>
  <c r="AF119" i="16"/>
  <c r="Z120" i="16"/>
  <c r="AF120" i="16"/>
  <c r="Z121" i="16"/>
  <c r="AF121" i="16"/>
  <c r="Z122" i="16"/>
  <c r="AF122" i="16"/>
  <c r="Z123" i="16"/>
  <c r="AF123" i="16"/>
  <c r="Z124" i="16"/>
  <c r="AF124" i="16"/>
  <c r="Z125" i="16"/>
  <c r="AF125" i="16"/>
  <c r="Z126" i="16"/>
  <c r="AF126" i="16"/>
  <c r="Z127" i="16"/>
  <c r="AF127" i="16"/>
  <c r="Y128" i="16"/>
  <c r="Z128" i="16"/>
  <c r="AE128" i="16"/>
  <c r="AF128" i="16"/>
  <c r="Y129" i="16"/>
  <c r="Z129" i="16"/>
  <c r="AE129" i="16"/>
  <c r="AF129" i="16"/>
  <c r="Y130" i="16"/>
  <c r="Z130" i="16"/>
  <c r="AE130" i="16"/>
  <c r="AF130" i="16"/>
  <c r="Y131" i="16"/>
  <c r="Z131" i="16"/>
  <c r="AE131" i="16"/>
  <c r="AF131" i="16"/>
  <c r="Y132" i="16"/>
  <c r="Z132" i="16"/>
  <c r="AE132" i="16"/>
  <c r="AF132" i="16"/>
  <c r="Y133" i="16"/>
  <c r="Z133" i="16"/>
  <c r="AE133" i="16"/>
  <c r="AF133" i="16"/>
  <c r="Y134" i="16"/>
  <c r="Z134" i="16"/>
  <c r="AE134" i="16"/>
  <c r="AF134" i="16"/>
  <c r="Y135" i="16"/>
  <c r="Z135" i="16"/>
  <c r="AE135" i="16"/>
  <c r="AF135" i="16"/>
  <c r="Y136" i="16"/>
  <c r="Z136" i="16"/>
  <c r="AE136" i="16"/>
  <c r="AF136" i="16"/>
  <c r="Y137" i="16"/>
  <c r="Z137" i="16"/>
  <c r="AE137" i="16"/>
  <c r="AF137" i="16"/>
  <c r="Y138" i="16"/>
  <c r="Z138" i="16"/>
  <c r="AE138" i="16"/>
  <c r="AF138" i="16"/>
  <c r="Y139" i="16"/>
  <c r="Z139" i="16"/>
  <c r="AE139" i="16"/>
  <c r="AF139" i="16"/>
  <c r="Y140" i="16"/>
  <c r="Z140" i="16"/>
  <c r="AE140" i="16"/>
  <c r="AF140" i="16"/>
  <c r="Y141" i="16"/>
  <c r="Z141" i="16"/>
  <c r="AE141" i="16"/>
  <c r="AF141" i="16"/>
  <c r="Y142" i="16"/>
  <c r="Z142" i="16"/>
  <c r="AE142" i="16"/>
  <c r="AF142" i="16"/>
  <c r="Y143" i="16"/>
  <c r="Z143" i="16"/>
  <c r="AE143" i="16"/>
  <c r="AF143" i="16"/>
  <c r="Y144" i="16"/>
  <c r="Z144" i="16"/>
  <c r="AE144" i="16"/>
  <c r="AF144" i="16"/>
  <c r="Y145" i="16"/>
  <c r="Z145" i="16"/>
  <c r="AE145" i="16"/>
  <c r="AF145" i="16"/>
  <c r="Y146" i="16"/>
  <c r="Z146" i="16"/>
  <c r="AE146" i="16"/>
  <c r="AF146" i="16"/>
  <c r="Y147" i="16"/>
  <c r="Z147" i="16"/>
  <c r="AE147" i="16"/>
  <c r="AF147" i="16"/>
  <c r="Y148" i="16"/>
  <c r="Z148" i="16"/>
  <c r="AE148" i="16"/>
  <c r="AF148" i="16"/>
  <c r="Y149" i="16"/>
  <c r="Z149" i="16"/>
  <c r="AE149" i="16"/>
  <c r="AF149" i="16"/>
  <c r="Y150" i="16"/>
  <c r="Z150" i="16"/>
  <c r="AE150" i="16"/>
  <c r="AF150" i="16"/>
  <c r="Y151" i="16"/>
  <c r="Z151" i="16"/>
  <c r="AE151" i="16"/>
  <c r="AF151" i="16"/>
  <c r="Y152" i="16"/>
  <c r="Z152" i="16"/>
  <c r="AE152" i="16"/>
  <c r="AF152" i="16"/>
  <c r="Y153" i="16"/>
  <c r="Z153" i="16"/>
  <c r="AE153" i="16"/>
  <c r="AF153" i="16"/>
  <c r="Y154" i="16"/>
  <c r="Z154" i="16"/>
  <c r="AE154" i="16"/>
  <c r="AF154" i="16"/>
  <c r="Y155" i="16"/>
  <c r="Z155" i="16"/>
  <c r="AE155" i="16"/>
  <c r="AF155" i="16"/>
  <c r="Y156" i="16"/>
  <c r="Z156" i="16"/>
  <c r="AE156" i="16"/>
  <c r="AF156" i="16"/>
  <c r="Y157" i="16"/>
  <c r="Z157" i="16"/>
  <c r="AE157" i="16"/>
  <c r="AF157" i="16"/>
  <c r="Y158" i="16"/>
  <c r="Z158" i="16"/>
  <c r="AE158" i="16"/>
  <c r="AF158" i="16"/>
  <c r="Y159" i="16"/>
  <c r="Z159" i="16"/>
  <c r="AE159" i="16"/>
  <c r="AF159" i="16"/>
  <c r="Y160" i="16"/>
  <c r="Z160" i="16"/>
  <c r="AE160" i="16"/>
  <c r="AF160" i="16"/>
  <c r="Y161" i="16"/>
  <c r="Z161" i="16"/>
  <c r="AE161" i="16"/>
  <c r="AF161" i="16"/>
  <c r="Y162" i="16"/>
  <c r="Z162" i="16"/>
  <c r="AE162" i="16"/>
  <c r="AF162" i="16"/>
  <c r="Y163" i="16"/>
  <c r="Z163" i="16"/>
  <c r="AE163" i="16"/>
  <c r="AF163" i="16"/>
  <c r="Y164" i="16"/>
  <c r="Z164" i="16"/>
  <c r="AE164" i="16"/>
  <c r="AF164" i="16"/>
  <c r="Y165" i="16"/>
  <c r="Z165" i="16"/>
  <c r="AE165" i="16"/>
  <c r="AF165" i="16"/>
  <c r="Y166" i="16"/>
  <c r="Z166" i="16"/>
  <c r="AE166" i="16"/>
  <c r="AF166" i="16"/>
  <c r="Y167" i="16"/>
  <c r="Z167" i="16"/>
  <c r="AE167" i="16"/>
  <c r="AF167" i="16"/>
  <c r="Y168" i="16"/>
  <c r="Z168" i="16"/>
  <c r="AE168" i="16"/>
  <c r="AF168" i="16"/>
  <c r="Y169" i="16"/>
  <c r="Z169" i="16"/>
  <c r="AE169" i="16"/>
  <c r="AF169" i="16"/>
  <c r="Y170" i="16"/>
  <c r="Z170" i="16"/>
  <c r="AE170" i="16"/>
  <c r="AF170" i="16"/>
  <c r="Y171" i="16"/>
  <c r="Z171" i="16"/>
  <c r="AE171" i="16"/>
  <c r="AF171" i="16"/>
  <c r="Y172" i="16"/>
  <c r="Z172" i="16"/>
  <c r="AE172" i="16"/>
  <c r="AF172" i="16"/>
  <c r="Y173" i="16"/>
  <c r="Z173" i="16"/>
  <c r="AE173" i="16"/>
  <c r="AF173" i="16"/>
  <c r="Y174" i="16"/>
  <c r="Z174" i="16"/>
  <c r="AE174" i="16"/>
  <c r="AF174" i="16"/>
  <c r="Y175" i="16"/>
  <c r="Z175" i="16"/>
  <c r="AE175" i="16"/>
  <c r="AF175" i="16"/>
  <c r="Y176" i="16"/>
  <c r="Z176" i="16"/>
  <c r="AE176" i="16"/>
  <c r="AF176" i="16"/>
  <c r="Y177" i="16"/>
  <c r="Z177" i="16"/>
  <c r="AE177" i="16"/>
  <c r="AF177" i="16"/>
  <c r="Z178" i="16"/>
  <c r="AF178" i="16"/>
  <c r="Z179" i="16"/>
  <c r="AF179" i="16"/>
  <c r="Z180" i="16"/>
  <c r="AF180" i="16"/>
  <c r="Z181" i="16"/>
  <c r="AF181" i="16"/>
  <c r="Z182" i="16"/>
  <c r="AF182" i="16"/>
  <c r="Z183" i="16"/>
  <c r="AF183" i="16"/>
  <c r="Z184" i="16"/>
  <c r="AF184" i="16"/>
  <c r="Z185" i="16"/>
  <c r="AF185" i="16"/>
  <c r="Z186" i="16"/>
  <c r="AF186" i="16"/>
  <c r="Z187" i="16"/>
  <c r="AF187" i="16"/>
  <c r="Z188" i="16"/>
  <c r="AF188" i="16"/>
  <c r="Z189" i="16"/>
  <c r="AF189" i="16"/>
  <c r="Y190" i="16"/>
  <c r="Z190" i="16"/>
  <c r="AE190" i="16"/>
  <c r="AF190" i="16"/>
  <c r="Y191" i="16"/>
  <c r="Z191" i="16"/>
  <c r="AE191" i="16"/>
  <c r="AF191" i="16"/>
  <c r="Y192" i="16"/>
  <c r="Z192" i="16"/>
  <c r="AE192" i="16"/>
  <c r="AF192" i="16"/>
  <c r="Y193" i="16"/>
  <c r="Z193" i="16"/>
  <c r="AE193" i="16"/>
  <c r="AF193" i="16"/>
  <c r="Y194" i="16"/>
  <c r="Z194" i="16"/>
  <c r="AE194" i="16"/>
  <c r="AF194" i="16"/>
  <c r="Y195" i="16"/>
  <c r="Z195" i="16"/>
  <c r="AE195" i="16"/>
  <c r="AF195" i="16"/>
  <c r="Y196" i="16"/>
  <c r="Z196" i="16"/>
  <c r="AE196" i="16"/>
  <c r="AF196" i="16"/>
  <c r="Y197" i="16"/>
  <c r="Z197" i="16"/>
  <c r="AE197" i="16"/>
  <c r="AF197" i="16"/>
  <c r="Y198" i="16"/>
  <c r="Z198" i="16"/>
  <c r="AE198" i="16"/>
  <c r="AF198" i="16"/>
  <c r="Y199" i="16"/>
  <c r="Z199" i="16"/>
  <c r="AE199" i="16"/>
  <c r="AF199" i="16"/>
  <c r="Y200" i="16"/>
  <c r="Z200" i="16"/>
  <c r="AE200" i="16"/>
  <c r="AF200" i="16"/>
  <c r="Y201" i="16"/>
  <c r="Z201" i="16"/>
  <c r="AE201" i="16"/>
  <c r="AF201" i="16"/>
  <c r="Y202" i="16"/>
  <c r="Z202" i="16"/>
  <c r="AE202" i="16"/>
  <c r="AF202" i="16"/>
  <c r="Y203" i="16"/>
  <c r="Z203" i="16"/>
  <c r="AE203" i="16"/>
  <c r="AF203" i="16"/>
  <c r="Y204" i="16"/>
  <c r="Z204" i="16"/>
  <c r="AE204" i="16"/>
  <c r="AF204" i="16"/>
  <c r="Y205" i="16"/>
  <c r="Z205" i="16"/>
  <c r="AE205" i="16"/>
  <c r="AF205" i="16"/>
  <c r="Y206" i="16"/>
  <c r="Z206" i="16"/>
  <c r="AE206" i="16"/>
  <c r="AF206" i="16"/>
  <c r="Y207" i="16"/>
  <c r="Z207" i="16"/>
  <c r="AE207" i="16"/>
  <c r="AF207" i="16"/>
  <c r="Y208" i="16"/>
  <c r="Z208" i="16"/>
  <c r="AE208" i="16"/>
  <c r="AF208" i="16"/>
  <c r="Y209" i="16"/>
  <c r="Z209" i="16"/>
  <c r="AE209" i="16"/>
  <c r="AF209" i="16"/>
  <c r="Y210" i="16"/>
  <c r="Z210" i="16"/>
  <c r="AE210" i="16"/>
  <c r="AF210" i="16"/>
  <c r="Y211" i="16"/>
  <c r="Z211" i="16"/>
  <c r="AE211" i="16"/>
  <c r="AF211" i="16"/>
  <c r="Y212" i="16"/>
  <c r="Z212" i="16"/>
  <c r="AE212" i="16"/>
  <c r="AF212" i="16"/>
  <c r="Y213" i="16"/>
  <c r="Z213" i="16"/>
  <c r="AE213" i="16"/>
  <c r="AF213" i="16"/>
  <c r="Y214" i="16"/>
  <c r="Z214" i="16"/>
  <c r="AE214" i="16"/>
  <c r="AF214" i="16"/>
  <c r="Y215" i="16"/>
  <c r="Z215" i="16"/>
  <c r="AE215" i="16"/>
  <c r="AF215" i="16"/>
  <c r="Y216" i="16"/>
  <c r="Z216" i="16"/>
  <c r="AE216" i="16"/>
  <c r="AF216" i="16"/>
  <c r="Y217" i="16"/>
  <c r="Z217" i="16"/>
  <c r="AE217" i="16"/>
  <c r="AF217" i="16"/>
  <c r="Y218" i="16"/>
  <c r="Z218" i="16"/>
  <c r="AE218" i="16"/>
  <c r="AF218" i="16"/>
  <c r="Y219" i="16"/>
  <c r="Z219" i="16"/>
  <c r="AE219" i="16"/>
  <c r="AF219" i="16"/>
  <c r="Y220" i="16"/>
  <c r="Z220" i="16"/>
  <c r="AE220" i="16"/>
  <c r="AF220" i="16"/>
  <c r="Y221" i="16"/>
  <c r="Z221" i="16"/>
  <c r="AE221" i="16"/>
  <c r="AF221" i="16"/>
  <c r="Y222" i="16"/>
  <c r="Z222" i="16"/>
  <c r="AE222" i="16"/>
  <c r="AF222" i="16"/>
  <c r="Y223" i="16"/>
  <c r="Z223" i="16"/>
  <c r="AE223" i="16"/>
  <c r="AF223" i="16"/>
  <c r="Y224" i="16"/>
  <c r="Z224" i="16"/>
  <c r="AE224" i="16"/>
  <c r="AF224" i="16"/>
  <c r="Y225" i="16"/>
  <c r="Z225" i="16"/>
  <c r="AE225" i="16"/>
  <c r="AF225" i="16"/>
  <c r="Y226" i="16"/>
  <c r="Z226" i="16"/>
  <c r="AE226" i="16"/>
  <c r="AF226" i="16"/>
  <c r="Y227" i="16"/>
  <c r="Z227" i="16"/>
  <c r="AE227" i="16"/>
  <c r="AF227" i="16"/>
  <c r="Y228" i="16"/>
  <c r="Z228" i="16"/>
  <c r="AE228" i="16"/>
  <c r="AF228" i="16"/>
  <c r="Y229" i="16"/>
  <c r="Z229" i="16"/>
  <c r="AE229" i="16"/>
  <c r="AF229" i="16"/>
  <c r="Y230" i="16"/>
  <c r="Z230" i="16"/>
  <c r="AE230" i="16"/>
  <c r="AF230" i="16"/>
  <c r="Y231" i="16"/>
  <c r="Z231" i="16"/>
  <c r="AE231" i="16"/>
  <c r="AF231" i="16"/>
  <c r="Y232" i="16"/>
  <c r="Z232" i="16"/>
  <c r="AE232" i="16"/>
  <c r="AF232" i="16"/>
  <c r="Y233" i="16"/>
  <c r="Z233" i="16"/>
  <c r="AE233" i="16"/>
  <c r="AF233" i="16"/>
  <c r="Y234" i="16"/>
  <c r="Z234" i="16"/>
  <c r="AE234" i="16"/>
  <c r="AF234" i="16"/>
  <c r="Y235" i="16"/>
  <c r="Z235" i="16"/>
  <c r="AE235" i="16"/>
  <c r="AF235" i="16"/>
  <c r="Y236" i="16"/>
  <c r="Z236" i="16"/>
  <c r="AE236" i="16"/>
  <c r="AF236" i="16"/>
  <c r="Y237" i="16"/>
  <c r="Z237" i="16"/>
  <c r="AE237" i="16"/>
  <c r="AF237" i="16"/>
  <c r="Y238" i="16"/>
  <c r="Z238" i="16"/>
  <c r="AE238" i="16"/>
  <c r="AF238" i="16"/>
  <c r="Y239" i="16"/>
  <c r="Z239" i="16"/>
  <c r="AE239" i="16"/>
  <c r="AF239" i="16"/>
  <c r="Y240" i="16"/>
  <c r="Z240" i="16"/>
  <c r="AE240" i="16"/>
  <c r="AF240" i="16"/>
  <c r="Y241" i="16"/>
  <c r="Z241" i="16"/>
  <c r="AE241" i="16"/>
  <c r="AF241" i="16"/>
  <c r="Y242" i="16"/>
  <c r="Z242" i="16"/>
  <c r="AE242" i="16"/>
  <c r="AF242" i="16"/>
  <c r="Y243" i="16"/>
  <c r="Z243" i="16"/>
  <c r="AE243" i="16"/>
  <c r="AF243" i="16"/>
  <c r="Y244" i="16"/>
  <c r="Z244" i="16"/>
  <c r="AE244" i="16"/>
  <c r="AF244" i="16"/>
  <c r="Y245" i="16"/>
  <c r="Z245" i="16"/>
  <c r="AE245" i="16"/>
  <c r="AF245" i="16"/>
  <c r="Y246" i="16"/>
  <c r="Z246" i="16"/>
  <c r="AE246" i="16"/>
  <c r="AF246" i="16"/>
  <c r="Y247" i="16"/>
  <c r="Z247" i="16"/>
  <c r="AE247" i="16"/>
  <c r="AF247" i="16"/>
  <c r="Y248" i="16"/>
  <c r="Z248" i="16"/>
  <c r="AE248" i="16"/>
  <c r="AF248" i="16"/>
  <c r="Y249" i="16"/>
  <c r="Z249" i="16"/>
  <c r="AE249" i="16"/>
  <c r="AF249" i="16"/>
  <c r="Y250" i="16"/>
  <c r="Z250" i="16"/>
  <c r="AE250" i="16"/>
  <c r="AF250" i="16"/>
  <c r="Y251" i="16"/>
  <c r="Z251" i="16"/>
  <c r="AE251" i="16"/>
  <c r="AF251" i="16"/>
  <c r="Y252" i="16"/>
  <c r="Z252" i="16"/>
  <c r="AE252" i="16"/>
  <c r="AF252" i="16"/>
  <c r="Y253" i="16"/>
  <c r="Z253" i="16"/>
  <c r="AE253" i="16"/>
  <c r="AF253" i="16"/>
  <c r="Y254" i="16"/>
  <c r="Z254" i="16"/>
  <c r="AE254" i="16"/>
  <c r="AF254" i="16"/>
  <c r="Y255" i="16"/>
  <c r="Z255" i="16"/>
  <c r="AE255" i="16"/>
  <c r="AF255" i="16"/>
  <c r="Y256" i="16"/>
  <c r="Z256" i="16"/>
  <c r="AE256" i="16"/>
  <c r="AF256" i="16"/>
  <c r="Y257" i="16"/>
  <c r="Z257" i="16"/>
  <c r="AE257" i="16"/>
  <c r="AF257" i="16"/>
  <c r="Y258" i="16"/>
  <c r="Z258" i="16"/>
  <c r="AE258" i="16"/>
  <c r="AF258" i="16"/>
  <c r="Y259" i="16"/>
  <c r="Z259" i="16"/>
  <c r="AE259" i="16"/>
  <c r="AF259" i="16"/>
  <c r="Y260" i="16"/>
  <c r="Z260" i="16"/>
  <c r="AE260" i="16"/>
  <c r="AF260" i="16"/>
  <c r="Y261" i="16"/>
  <c r="Z261" i="16"/>
  <c r="AE261" i="16"/>
  <c r="AF261" i="16"/>
  <c r="Y262" i="16"/>
  <c r="Z262" i="16"/>
  <c r="AE262" i="16"/>
  <c r="AF262" i="16"/>
  <c r="Y263" i="16"/>
  <c r="Z263" i="16"/>
  <c r="AE263" i="16"/>
  <c r="AF263" i="16"/>
  <c r="Y264" i="16"/>
  <c r="Z264" i="16"/>
  <c r="AE264" i="16"/>
  <c r="AF264" i="16"/>
  <c r="Y265" i="16"/>
  <c r="Z265" i="16"/>
  <c r="AE265" i="16"/>
  <c r="AF265" i="16"/>
  <c r="Y266" i="16"/>
  <c r="Z266" i="16"/>
  <c r="AE266" i="16"/>
  <c r="AF266" i="16"/>
  <c r="Y267" i="16"/>
  <c r="Z267" i="16"/>
  <c r="AE267" i="16"/>
  <c r="AF267" i="16"/>
  <c r="Y268" i="16"/>
  <c r="Z268" i="16"/>
  <c r="AE268" i="16"/>
  <c r="AF268" i="16"/>
  <c r="Y269" i="16"/>
  <c r="Z269" i="16"/>
  <c r="AE269" i="16"/>
  <c r="AF269" i="16"/>
  <c r="Y270" i="16"/>
  <c r="Z270" i="16"/>
  <c r="AE270" i="16"/>
  <c r="AF270" i="16"/>
  <c r="Y271" i="16"/>
  <c r="Z271" i="16"/>
  <c r="AE271" i="16"/>
  <c r="AF271" i="16"/>
  <c r="Y272" i="16"/>
  <c r="Z272" i="16"/>
  <c r="AE272" i="16"/>
  <c r="AF272" i="16"/>
  <c r="Y273" i="16"/>
  <c r="Z273" i="16"/>
  <c r="AE273" i="16"/>
  <c r="AF273" i="16"/>
  <c r="Y274" i="16"/>
  <c r="Z274" i="16"/>
  <c r="AE274" i="16"/>
  <c r="AF274" i="16"/>
  <c r="Y275" i="16"/>
  <c r="Z275" i="16"/>
  <c r="AE275" i="16"/>
  <c r="AF275" i="16"/>
  <c r="Y276" i="16"/>
  <c r="Z276" i="16"/>
  <c r="AE276" i="16"/>
  <c r="AF276" i="16"/>
  <c r="Y277" i="16"/>
  <c r="Z277" i="16"/>
  <c r="AE277" i="16"/>
  <c r="AF277" i="16"/>
  <c r="Y278" i="16"/>
  <c r="Z278" i="16"/>
  <c r="AE278" i="16"/>
  <c r="AF278" i="16"/>
  <c r="Y279" i="16"/>
  <c r="Z279" i="16"/>
  <c r="AE279" i="16"/>
  <c r="AF279" i="16"/>
  <c r="Y280" i="16"/>
  <c r="Z280" i="16"/>
  <c r="AE280" i="16"/>
  <c r="AF280" i="16"/>
  <c r="Y281" i="16"/>
  <c r="Z281" i="16"/>
  <c r="AE281" i="16"/>
  <c r="AF281" i="16"/>
  <c r="Y282" i="16"/>
  <c r="Z282" i="16"/>
  <c r="AE282" i="16"/>
  <c r="AF282" i="16"/>
  <c r="Y283" i="16"/>
  <c r="Z283" i="16"/>
  <c r="AE283" i="16"/>
  <c r="AF283" i="16"/>
  <c r="Y284" i="16"/>
  <c r="Z284" i="16"/>
  <c r="AE284" i="16"/>
  <c r="AF284" i="16"/>
  <c r="Y285" i="16"/>
  <c r="Z285" i="16"/>
  <c r="AE285" i="16"/>
  <c r="AF285" i="16"/>
  <c r="Y286" i="16"/>
  <c r="Z286" i="16"/>
  <c r="AE286" i="16"/>
  <c r="AF286" i="16"/>
  <c r="Y287" i="16"/>
  <c r="Z287" i="16"/>
  <c r="AE287" i="16"/>
  <c r="AF287" i="16"/>
  <c r="Y288" i="16"/>
  <c r="Z288" i="16"/>
  <c r="AE288" i="16"/>
  <c r="AF288" i="16"/>
  <c r="Y289" i="16"/>
  <c r="Z289" i="16"/>
  <c r="AE289" i="16"/>
  <c r="AF289" i="16"/>
  <c r="Y290" i="16"/>
  <c r="Z290" i="16"/>
  <c r="AE290" i="16"/>
  <c r="AF290" i="16"/>
  <c r="Y291" i="16"/>
  <c r="Z291" i="16"/>
  <c r="AE291" i="16"/>
  <c r="AF291" i="16"/>
  <c r="Y292" i="16"/>
  <c r="Z292" i="16"/>
  <c r="AE292" i="16"/>
  <c r="AF292" i="16"/>
  <c r="Y293" i="16"/>
  <c r="Z293" i="16"/>
  <c r="AE293" i="16"/>
  <c r="AF293" i="16"/>
  <c r="Y294" i="16"/>
  <c r="Z294" i="16"/>
  <c r="AE294" i="16"/>
  <c r="AF294" i="16"/>
  <c r="Y295" i="16"/>
  <c r="Z295" i="16"/>
  <c r="AE295" i="16"/>
  <c r="AF295" i="16"/>
  <c r="Y296" i="16"/>
  <c r="Z296" i="16"/>
  <c r="AE296" i="16"/>
  <c r="AF296" i="16"/>
  <c r="Y297" i="16"/>
  <c r="Z297" i="16"/>
  <c r="AE297" i="16"/>
  <c r="AF297" i="16"/>
  <c r="Y298" i="16"/>
  <c r="Z298" i="16"/>
  <c r="AE298" i="16"/>
  <c r="AF298" i="16"/>
  <c r="Y299" i="16"/>
  <c r="Z299" i="16"/>
  <c r="AE299" i="16"/>
  <c r="AF299" i="16"/>
  <c r="Y300" i="16"/>
  <c r="Z300" i="16"/>
  <c r="AE300" i="16"/>
  <c r="AF300" i="16"/>
  <c r="Y301" i="16"/>
  <c r="Z301" i="16"/>
  <c r="AE301" i="16"/>
  <c r="AF301" i="16"/>
  <c r="Y302" i="16"/>
  <c r="Z302" i="16"/>
  <c r="AE302" i="16"/>
  <c r="AF302" i="16"/>
  <c r="Y303" i="16"/>
  <c r="Z303" i="16"/>
  <c r="AE303" i="16"/>
  <c r="AF303" i="16"/>
  <c r="Y304" i="16"/>
  <c r="Z304" i="16"/>
  <c r="AE304" i="16"/>
  <c r="AF304" i="16"/>
  <c r="Y305" i="16"/>
  <c r="Z305" i="16"/>
  <c r="AE305" i="16"/>
  <c r="AF305" i="16"/>
  <c r="Y306" i="16"/>
  <c r="Z306" i="16"/>
  <c r="AE306" i="16"/>
  <c r="AF306" i="16"/>
  <c r="Y307" i="16"/>
  <c r="Z307" i="16"/>
  <c r="AE307" i="16"/>
  <c r="AF307" i="16"/>
  <c r="Y308" i="16"/>
  <c r="Z308" i="16"/>
  <c r="AE308" i="16"/>
  <c r="AF308" i="16"/>
  <c r="Y309" i="16"/>
  <c r="Z309" i="16"/>
  <c r="AE309" i="16"/>
  <c r="AF309" i="16"/>
  <c r="Y310" i="16"/>
  <c r="Z310" i="16"/>
  <c r="AE310" i="16"/>
  <c r="AF310" i="16"/>
  <c r="Y311" i="16"/>
  <c r="Z311" i="16"/>
  <c r="AE311" i="16"/>
  <c r="AF311" i="16"/>
  <c r="Y312" i="16"/>
  <c r="Z312" i="16"/>
  <c r="AE312" i="16"/>
  <c r="AF312" i="16"/>
  <c r="Y313" i="16"/>
  <c r="Z313" i="16"/>
  <c r="AE313" i="16"/>
  <c r="AF313" i="16"/>
  <c r="Y314" i="16"/>
  <c r="Z314" i="16"/>
  <c r="AE314" i="16"/>
  <c r="AF314" i="16"/>
  <c r="Y315" i="16"/>
  <c r="Z315" i="16"/>
  <c r="AE315" i="16"/>
  <c r="AF315" i="16"/>
  <c r="Y316" i="16"/>
  <c r="Z316" i="16"/>
  <c r="AE316" i="16"/>
  <c r="AF316" i="16"/>
  <c r="Y317" i="16"/>
  <c r="Z317" i="16"/>
  <c r="AE317" i="16"/>
  <c r="AF317" i="16"/>
  <c r="Y318" i="16"/>
  <c r="Z318" i="16"/>
  <c r="AE318" i="16"/>
  <c r="AF318" i="16"/>
  <c r="Y319" i="16"/>
  <c r="Z319" i="16"/>
  <c r="AE319" i="16"/>
  <c r="AF319" i="16"/>
  <c r="Y320" i="16"/>
  <c r="Z320" i="16"/>
  <c r="AE320" i="16"/>
  <c r="AF320" i="16"/>
  <c r="Y321" i="16"/>
  <c r="Z321" i="16"/>
  <c r="AE321" i="16"/>
  <c r="AF321" i="16"/>
  <c r="Y322" i="16"/>
  <c r="Z322" i="16"/>
  <c r="AE322" i="16"/>
  <c r="AF322" i="16"/>
  <c r="Y323" i="16"/>
  <c r="Z323" i="16"/>
  <c r="AE323" i="16"/>
  <c r="AF323" i="16"/>
  <c r="Y324" i="16"/>
  <c r="Z324" i="16"/>
  <c r="AE324" i="16"/>
  <c r="AF324" i="16"/>
  <c r="Y325" i="16"/>
  <c r="Z325" i="16"/>
  <c r="AE325" i="16"/>
  <c r="AF325" i="16"/>
  <c r="Y326" i="16"/>
  <c r="Z326" i="16"/>
  <c r="AE326" i="16"/>
  <c r="AF326" i="16"/>
  <c r="Y327" i="16"/>
  <c r="Z327" i="16"/>
  <c r="AE327" i="16"/>
  <c r="AF327" i="16"/>
  <c r="Y328" i="16"/>
  <c r="Z328" i="16"/>
  <c r="AE328" i="16"/>
  <c r="AF328" i="16"/>
  <c r="Y329" i="16"/>
  <c r="Z329" i="16"/>
  <c r="AE329" i="16"/>
  <c r="AF329" i="16"/>
  <c r="Y330" i="16"/>
  <c r="Z330" i="16"/>
  <c r="AE330" i="16"/>
  <c r="AF330" i="16"/>
  <c r="Y331" i="16"/>
  <c r="Z331" i="16"/>
  <c r="AE331" i="16"/>
  <c r="AF331" i="16"/>
  <c r="Y332" i="16"/>
  <c r="Z332" i="16"/>
  <c r="AE332" i="16"/>
  <c r="AF332" i="16"/>
  <c r="Y333" i="16"/>
  <c r="Z333" i="16"/>
  <c r="AE333" i="16"/>
  <c r="AF333" i="16"/>
  <c r="Y334" i="16"/>
  <c r="Z334" i="16"/>
  <c r="AE334" i="16"/>
  <c r="AF334" i="16"/>
  <c r="Y335" i="16"/>
  <c r="Z335" i="16"/>
  <c r="AE335" i="16"/>
  <c r="AF335" i="16"/>
  <c r="Y336" i="16"/>
  <c r="AE336" i="16"/>
  <c r="Y337" i="16"/>
  <c r="AE337" i="16"/>
  <c r="Y338" i="16"/>
  <c r="AE338" i="16"/>
  <c r="Y339" i="16"/>
  <c r="AE339" i="16"/>
  <c r="Y340" i="16"/>
  <c r="AE340" i="16"/>
  <c r="Y341" i="16"/>
  <c r="AE341" i="16"/>
  <c r="Y342" i="16"/>
  <c r="AE342" i="16"/>
  <c r="Y343" i="16"/>
  <c r="AE343" i="16"/>
  <c r="Y344" i="16"/>
  <c r="AE344" i="16"/>
  <c r="Y345" i="16"/>
  <c r="AE345" i="16"/>
  <c r="Y346" i="16"/>
  <c r="AE346" i="16"/>
  <c r="Y347" i="16"/>
  <c r="AE347" i="16"/>
  <c r="Y348" i="16"/>
  <c r="AE348" i="16"/>
  <c r="Y349" i="16"/>
  <c r="AE349" i="16"/>
  <c r="Y350" i="16"/>
  <c r="AE350" i="16"/>
  <c r="Y351" i="16"/>
  <c r="AE351" i="16"/>
  <c r="Y352" i="16"/>
  <c r="AE352" i="16"/>
  <c r="Y353" i="16"/>
  <c r="AE353" i="16"/>
  <c r="Y354" i="16"/>
  <c r="AE354" i="16"/>
  <c r="Y355" i="16"/>
  <c r="AE355" i="16"/>
  <c r="Y356" i="16"/>
  <c r="AE356" i="16"/>
  <c r="Y357" i="16"/>
  <c r="AE357" i="16"/>
  <c r="Y358" i="16"/>
  <c r="AE358" i="16"/>
  <c r="Y359" i="16"/>
  <c r="AE359" i="16"/>
  <c r="Y360" i="16"/>
  <c r="AE360" i="16"/>
  <c r="Y361" i="16"/>
  <c r="AE361" i="16"/>
  <c r="Y362" i="16"/>
  <c r="AE362" i="16"/>
  <c r="Y363" i="16"/>
  <c r="AE363" i="16"/>
  <c r="Y364" i="16"/>
  <c r="AE364" i="16"/>
  <c r="Y365" i="16"/>
  <c r="AE365" i="16"/>
  <c r="Y366" i="16"/>
  <c r="AE366" i="16"/>
  <c r="Y367" i="16"/>
  <c r="AE367" i="16"/>
  <c r="Y368" i="16"/>
  <c r="AE368" i="16"/>
  <c r="Y369" i="16"/>
  <c r="AE369" i="16"/>
  <c r="Y370" i="16"/>
  <c r="AE370" i="16"/>
  <c r="Y371" i="16"/>
  <c r="AE371" i="16"/>
  <c r="Y372" i="16"/>
  <c r="AE372" i="16"/>
  <c r="Y373" i="16"/>
  <c r="AE373" i="16"/>
  <c r="Y374" i="16"/>
  <c r="AE374" i="16"/>
  <c r="Y375" i="16"/>
  <c r="AE375" i="16"/>
  <c r="Y376" i="16"/>
  <c r="AE376" i="16"/>
  <c r="Y377" i="16"/>
  <c r="AE377" i="16"/>
  <c r="Y378" i="16"/>
  <c r="AE378" i="16"/>
  <c r="Y379" i="16"/>
  <c r="AE379" i="16"/>
  <c r="Y380" i="16"/>
  <c r="AE380" i="16"/>
  <c r="Y381" i="16"/>
  <c r="AE381" i="16"/>
  <c r="Y382" i="16"/>
  <c r="AE382" i="16"/>
  <c r="Y383" i="16"/>
  <c r="AE383" i="16"/>
  <c r="Y384" i="16"/>
  <c r="AE384" i="16"/>
  <c r="Y385" i="16"/>
  <c r="AE385" i="16"/>
  <c r="Y386" i="16"/>
  <c r="AE386" i="16"/>
  <c r="Y387" i="16"/>
  <c r="AE387" i="16"/>
  <c r="Y388" i="16"/>
  <c r="AE388" i="16"/>
  <c r="Y389" i="16"/>
  <c r="AE389" i="16"/>
  <c r="Y390" i="16"/>
  <c r="AE390" i="16"/>
  <c r="Y391" i="16"/>
  <c r="AE391" i="16"/>
  <c r="Y392" i="16"/>
  <c r="AE392" i="16"/>
  <c r="Y393" i="16"/>
  <c r="AE393" i="16"/>
  <c r="Y394" i="16"/>
  <c r="AE394" i="16"/>
  <c r="Y395" i="16"/>
  <c r="AE395" i="16"/>
  <c r="Y396" i="16"/>
  <c r="Z396" i="16"/>
  <c r="AE396" i="16"/>
  <c r="AF396" i="16"/>
  <c r="Y397" i="16"/>
  <c r="Z397" i="16"/>
  <c r="AE397" i="16"/>
  <c r="AF397" i="16"/>
  <c r="Y398" i="16"/>
  <c r="Z398" i="16"/>
  <c r="AE398" i="16"/>
  <c r="AF398" i="16"/>
  <c r="Y399" i="16"/>
  <c r="Z399" i="16"/>
  <c r="AE399" i="16"/>
  <c r="AF399" i="16"/>
  <c r="Y400" i="16"/>
  <c r="Z400" i="16"/>
  <c r="AE400" i="16"/>
  <c r="AF400" i="16"/>
  <c r="Y401" i="16"/>
  <c r="Z401" i="16"/>
  <c r="AE401" i="16"/>
  <c r="AF401" i="16"/>
  <c r="Y402" i="16"/>
  <c r="Z402" i="16"/>
  <c r="AE402" i="16"/>
  <c r="AF402" i="16"/>
  <c r="Y403" i="16"/>
  <c r="Z403" i="16"/>
  <c r="AE403" i="16"/>
  <c r="AF403" i="16"/>
  <c r="Y404" i="16"/>
  <c r="Z404" i="16"/>
  <c r="AE404" i="16"/>
  <c r="AF404" i="16"/>
  <c r="Y405" i="16"/>
  <c r="Z405" i="16"/>
  <c r="AE405" i="16"/>
  <c r="AF405" i="16"/>
  <c r="Y406" i="16"/>
  <c r="Z406" i="16"/>
  <c r="AE406" i="16"/>
  <c r="AF406" i="16"/>
  <c r="Y407" i="16"/>
  <c r="Z407" i="16"/>
  <c r="AE407" i="16"/>
  <c r="AF407" i="16"/>
  <c r="Y408" i="16"/>
  <c r="Z408" i="16"/>
  <c r="AE408" i="16"/>
  <c r="AF408" i="16"/>
  <c r="Y409" i="16"/>
  <c r="Z409" i="16"/>
  <c r="AE409" i="16"/>
  <c r="AF409" i="16"/>
  <c r="Y410" i="16"/>
  <c r="Z410" i="16"/>
  <c r="AE410" i="16"/>
  <c r="AF410" i="16"/>
  <c r="Y411" i="16"/>
  <c r="Z411" i="16"/>
  <c r="AE411" i="16"/>
  <c r="AF411" i="16"/>
  <c r="Y412" i="16"/>
  <c r="Z412" i="16"/>
  <c r="AE412" i="16"/>
  <c r="AF412" i="16"/>
  <c r="Y413" i="16"/>
  <c r="Z413" i="16"/>
  <c r="AE413" i="16"/>
  <c r="AF413" i="16"/>
  <c r="Y414" i="16"/>
  <c r="Z414" i="16"/>
  <c r="AE414" i="16"/>
  <c r="AF414" i="16"/>
  <c r="Y415" i="16"/>
  <c r="Z415" i="16"/>
  <c r="AE415" i="16"/>
  <c r="AF415" i="16"/>
  <c r="Y416" i="16"/>
  <c r="Z416" i="16"/>
  <c r="AE416" i="16"/>
  <c r="AF416" i="16"/>
  <c r="Y417" i="16"/>
  <c r="Z417" i="16"/>
  <c r="AE417" i="16"/>
  <c r="AF417" i="16"/>
  <c r="Y418" i="16"/>
  <c r="Z418" i="16"/>
  <c r="AE418" i="16"/>
  <c r="AF418" i="16"/>
  <c r="Y419" i="16"/>
  <c r="Z419" i="16"/>
  <c r="AE419" i="16"/>
  <c r="AF419" i="16"/>
  <c r="Y420" i="16"/>
  <c r="Z420" i="16"/>
  <c r="AE420" i="16"/>
  <c r="AF420" i="16"/>
  <c r="Y421" i="16"/>
  <c r="Z421" i="16"/>
  <c r="AE421" i="16"/>
  <c r="AF421" i="16"/>
  <c r="Y422" i="16"/>
  <c r="Z422" i="16"/>
  <c r="AE422" i="16"/>
  <c r="AF422" i="16"/>
  <c r="Y423" i="16"/>
  <c r="Z423" i="16"/>
  <c r="AE423" i="16"/>
  <c r="AF423" i="16"/>
  <c r="Y424" i="16"/>
  <c r="Z424" i="16"/>
  <c r="AE424" i="16"/>
  <c r="AF424" i="16"/>
  <c r="Y425" i="16"/>
  <c r="Z425" i="16"/>
  <c r="AE425" i="16"/>
  <c r="AF425" i="16"/>
  <c r="Y426" i="16"/>
  <c r="Z426" i="16"/>
  <c r="AE426" i="16"/>
  <c r="AF426" i="16"/>
  <c r="Y427" i="16"/>
  <c r="Z427" i="16"/>
  <c r="AE427" i="16"/>
  <c r="AF427" i="16"/>
  <c r="Y428" i="16"/>
  <c r="Z428" i="16"/>
  <c r="AE428" i="16"/>
  <c r="AF428" i="16"/>
  <c r="Y429" i="16"/>
  <c r="Z429" i="16"/>
  <c r="AE429" i="16"/>
  <c r="AF429" i="16"/>
  <c r="Y430" i="16"/>
  <c r="Z430" i="16"/>
  <c r="AE430" i="16"/>
  <c r="AF430" i="16"/>
  <c r="Y431" i="16"/>
  <c r="Z431" i="16"/>
  <c r="AE431" i="16"/>
  <c r="AF431" i="16"/>
  <c r="Y432" i="16"/>
  <c r="Z432" i="16"/>
  <c r="AE432" i="16"/>
  <c r="AF432" i="16"/>
  <c r="Y433" i="16"/>
  <c r="Z433" i="16"/>
  <c r="AE433" i="16"/>
  <c r="AF433" i="16"/>
  <c r="Y434" i="16"/>
  <c r="Z434" i="16"/>
  <c r="AE434" i="16"/>
  <c r="AF434" i="16"/>
  <c r="Y435" i="16"/>
  <c r="Z435" i="16"/>
  <c r="AE435" i="16"/>
  <c r="AF435" i="16"/>
  <c r="Y436" i="16"/>
  <c r="Z436" i="16"/>
  <c r="AE436" i="16"/>
  <c r="AF436" i="16"/>
  <c r="Y437" i="16"/>
  <c r="Z437" i="16"/>
  <c r="AE437" i="16"/>
  <c r="AF437" i="16"/>
  <c r="Y438" i="16"/>
  <c r="Z438" i="16"/>
  <c r="AE438" i="16"/>
  <c r="AF438" i="16"/>
  <c r="Y439" i="16"/>
  <c r="Z439" i="16"/>
  <c r="AE439" i="16"/>
  <c r="AF439" i="16"/>
  <c r="Y440" i="16"/>
  <c r="Z440" i="16"/>
  <c r="AE440" i="16"/>
  <c r="AF440" i="16"/>
  <c r="Y441" i="16"/>
  <c r="Z441" i="16"/>
  <c r="AE441" i="16"/>
  <c r="AF441" i="16"/>
  <c r="Y442" i="16"/>
  <c r="Z442" i="16"/>
  <c r="AE442" i="16"/>
  <c r="AF442" i="16"/>
  <c r="Y443" i="16"/>
  <c r="Z443" i="16"/>
  <c r="AE443" i="16"/>
  <c r="AF443" i="16"/>
  <c r="Y444" i="16"/>
  <c r="Z444" i="16"/>
  <c r="AE444" i="16"/>
  <c r="AF444" i="16"/>
  <c r="Y445" i="16"/>
  <c r="Z445" i="16"/>
  <c r="AE445" i="16"/>
  <c r="AF445" i="16"/>
  <c r="Y446" i="16"/>
  <c r="Z446" i="16"/>
  <c r="AE446" i="16"/>
  <c r="AF446" i="16"/>
  <c r="Y447" i="16"/>
  <c r="Z447" i="16"/>
  <c r="AE447" i="16"/>
  <c r="AF447" i="16"/>
  <c r="Y448" i="16"/>
  <c r="Z448" i="16"/>
  <c r="AE448" i="16"/>
  <c r="AF448" i="16"/>
  <c r="Y449" i="16"/>
  <c r="Z449" i="16"/>
  <c r="AE449" i="16"/>
  <c r="AF449" i="16"/>
  <c r="Y450" i="16"/>
  <c r="Z450" i="16"/>
  <c r="AE450" i="16"/>
  <c r="AF450" i="16"/>
  <c r="Y451" i="16"/>
  <c r="Z451" i="16"/>
  <c r="AE451" i="16"/>
  <c r="AF451" i="16"/>
  <c r="Y452" i="16"/>
  <c r="Z452" i="16"/>
  <c r="AE452" i="16"/>
  <c r="AF452" i="16"/>
  <c r="Y453" i="16"/>
  <c r="Z453" i="16"/>
  <c r="AE453" i="16"/>
  <c r="AF453" i="16"/>
  <c r="Y454" i="16"/>
  <c r="Z454" i="16"/>
  <c r="AE454" i="16"/>
  <c r="AF454" i="16"/>
  <c r="Y455" i="16"/>
  <c r="Z455" i="16"/>
  <c r="AE455" i="16"/>
  <c r="AF455" i="16"/>
  <c r="Y456" i="16"/>
  <c r="Z456" i="16"/>
  <c r="AE456" i="16"/>
  <c r="AF456" i="16"/>
  <c r="Y457" i="16"/>
  <c r="Z457" i="16"/>
  <c r="AE457" i="16"/>
  <c r="AF457" i="16"/>
  <c r="Y458" i="16"/>
  <c r="Z458" i="16"/>
  <c r="AE458" i="16"/>
  <c r="AF458" i="16"/>
  <c r="Y459" i="16"/>
  <c r="Z459" i="16"/>
  <c r="AE459" i="16"/>
  <c r="AF459" i="16"/>
  <c r="Y460" i="16"/>
  <c r="Z460" i="16"/>
  <c r="AE460" i="16"/>
  <c r="AF460" i="16"/>
  <c r="Y461" i="16"/>
  <c r="Z461" i="16"/>
  <c r="AE461" i="16"/>
  <c r="AF461" i="16"/>
  <c r="Y462" i="16"/>
  <c r="Z462" i="16"/>
  <c r="AE462" i="16"/>
  <c r="AF462" i="16"/>
  <c r="Y463" i="16"/>
  <c r="Z463" i="16"/>
  <c r="AE463" i="16"/>
  <c r="AF463" i="16"/>
  <c r="Y464" i="16"/>
  <c r="Z464" i="16"/>
  <c r="AE464" i="16"/>
  <c r="AF464" i="16"/>
  <c r="Y465" i="16"/>
  <c r="Z465" i="16"/>
  <c r="AE465" i="16"/>
  <c r="AF465" i="16"/>
  <c r="Z466" i="16"/>
  <c r="AF466" i="16"/>
  <c r="Z467" i="16"/>
  <c r="AF467" i="16"/>
  <c r="Z468" i="16"/>
  <c r="AF468" i="16"/>
  <c r="Z469" i="16"/>
  <c r="AF469" i="16"/>
  <c r="Z470" i="16"/>
  <c r="AF470" i="16"/>
  <c r="Z471" i="16"/>
  <c r="AF471" i="16"/>
  <c r="Z472" i="16"/>
  <c r="AF472" i="16"/>
  <c r="Z473" i="16"/>
  <c r="AF473" i="16"/>
  <c r="Z474" i="16"/>
  <c r="AF474" i="16"/>
  <c r="Z475" i="16"/>
  <c r="AF475" i="16"/>
  <c r="Z476" i="16"/>
  <c r="AF476" i="16"/>
  <c r="Z477" i="16"/>
  <c r="AF477" i="16"/>
  <c r="Y478" i="16"/>
  <c r="Z478" i="16"/>
  <c r="AE478" i="16"/>
  <c r="AF478" i="16"/>
  <c r="Y479" i="16"/>
  <c r="Z479" i="16"/>
  <c r="AE479" i="16"/>
  <c r="AF479" i="16"/>
  <c r="Y480" i="16"/>
  <c r="Z480" i="16"/>
  <c r="AE480" i="16"/>
  <c r="AF480" i="16"/>
  <c r="Y481" i="16"/>
  <c r="Z481" i="16"/>
  <c r="AE481" i="16"/>
  <c r="AF481" i="16"/>
  <c r="Y482" i="16"/>
  <c r="Z482" i="16"/>
  <c r="AE482" i="16"/>
  <c r="AF482" i="16"/>
  <c r="Y483" i="16"/>
  <c r="Z483" i="16"/>
  <c r="AE483" i="16"/>
  <c r="AF483" i="16"/>
  <c r="Y484" i="16"/>
  <c r="Z484" i="16"/>
  <c r="AE484" i="16"/>
  <c r="AF484" i="16"/>
  <c r="Y485" i="16"/>
  <c r="Z485" i="16"/>
  <c r="AE485" i="16"/>
  <c r="AF485" i="16"/>
  <c r="Y486" i="16"/>
  <c r="Z486" i="16"/>
  <c r="AE486" i="16"/>
  <c r="AF486" i="16"/>
  <c r="Y487" i="16"/>
  <c r="Z487" i="16"/>
  <c r="AE487" i="16"/>
  <c r="AF487" i="16"/>
  <c r="Y488" i="16"/>
  <c r="Z488" i="16"/>
  <c r="AE488" i="16"/>
  <c r="AF488" i="16"/>
  <c r="Y489" i="16"/>
  <c r="Z489" i="16"/>
  <c r="AE489" i="16"/>
  <c r="AF489" i="16"/>
  <c r="Y490" i="16"/>
  <c r="Z490" i="16"/>
  <c r="AE490" i="16"/>
  <c r="AF490" i="16"/>
  <c r="Y491" i="16"/>
  <c r="Z491" i="16"/>
  <c r="AE491" i="16"/>
  <c r="AF491" i="16"/>
  <c r="Y492" i="16"/>
  <c r="Z492" i="16"/>
  <c r="AE492" i="16"/>
  <c r="AF492" i="16"/>
  <c r="Y493" i="16"/>
  <c r="Z493" i="16"/>
  <c r="AE493" i="16"/>
  <c r="AF493" i="16"/>
  <c r="Y494" i="16"/>
  <c r="Z494" i="16"/>
  <c r="AE494" i="16"/>
  <c r="AF494" i="16"/>
  <c r="Y495" i="16"/>
  <c r="Z495" i="16"/>
  <c r="AE495" i="16"/>
  <c r="AF495" i="16"/>
  <c r="Y496" i="16"/>
  <c r="Z496" i="16"/>
  <c r="AE496" i="16"/>
  <c r="AF496" i="16"/>
  <c r="Y497" i="16"/>
  <c r="Z497" i="16"/>
  <c r="AE497" i="16"/>
  <c r="AF497" i="16"/>
  <c r="Y498" i="16"/>
  <c r="Z498" i="16"/>
  <c r="AE498" i="16"/>
  <c r="AF498" i="16"/>
  <c r="Y499" i="16"/>
  <c r="Z499" i="16"/>
  <c r="AE499" i="16"/>
  <c r="AF499" i="16"/>
  <c r="Y500" i="16"/>
  <c r="Z500" i="16"/>
  <c r="AE500" i="16"/>
  <c r="AF500" i="16"/>
  <c r="Y501" i="16"/>
  <c r="Z501" i="16"/>
  <c r="AE501" i="16"/>
  <c r="AF501" i="16"/>
  <c r="Y502" i="16"/>
  <c r="Z502" i="16"/>
  <c r="AE502" i="16"/>
  <c r="AF502" i="16"/>
  <c r="Y503" i="16"/>
  <c r="Z503" i="16"/>
  <c r="AE503" i="16"/>
  <c r="AF503" i="16"/>
  <c r="Y504" i="16"/>
  <c r="Z504" i="16"/>
  <c r="AE504" i="16"/>
  <c r="AF504" i="16"/>
  <c r="Y505" i="16"/>
  <c r="Z505" i="16"/>
  <c r="AE505" i="16"/>
  <c r="AF505" i="16"/>
  <c r="Y506" i="16"/>
  <c r="Z506" i="16"/>
  <c r="AE506" i="16"/>
  <c r="AF506" i="16"/>
  <c r="Y507" i="16"/>
  <c r="Z507" i="16"/>
  <c r="AE507" i="16"/>
  <c r="AF507" i="16"/>
  <c r="Y508" i="16"/>
  <c r="Z508" i="16"/>
  <c r="AE508" i="16"/>
  <c r="AF508" i="16"/>
  <c r="Y509" i="16"/>
  <c r="Z509" i="16"/>
  <c r="AE509" i="16"/>
  <c r="AF509" i="16"/>
  <c r="Y510" i="16"/>
  <c r="Z510" i="16"/>
  <c r="AE510" i="16"/>
  <c r="AF510" i="16"/>
  <c r="Y511" i="16"/>
  <c r="Z511" i="16"/>
  <c r="AE511" i="16"/>
  <c r="AF511" i="16"/>
  <c r="Y512" i="16"/>
  <c r="Z512" i="16"/>
  <c r="AE512" i="16"/>
  <c r="AF512" i="16"/>
  <c r="Y513" i="16"/>
  <c r="Z513" i="16"/>
  <c r="AE513" i="16"/>
  <c r="AF513" i="16"/>
  <c r="Y514" i="16"/>
  <c r="Z514" i="16"/>
  <c r="AE514" i="16"/>
  <c r="AF514" i="16"/>
  <c r="Y515" i="16"/>
  <c r="Z515" i="16"/>
  <c r="AE515" i="16"/>
  <c r="AF515" i="16"/>
  <c r="Y516" i="16"/>
  <c r="Z516" i="16"/>
  <c r="AE516" i="16"/>
  <c r="AF516" i="16"/>
  <c r="Y517" i="16"/>
  <c r="Z517" i="16"/>
  <c r="AE517" i="16"/>
  <c r="AF517" i="16"/>
  <c r="Y518" i="16"/>
  <c r="Z518" i="16"/>
  <c r="AE518" i="16"/>
  <c r="AF518" i="16"/>
  <c r="Y519" i="16"/>
  <c r="Z519" i="16"/>
  <c r="AE519" i="16"/>
  <c r="AF519" i="16"/>
  <c r="Y520" i="16"/>
  <c r="Z520" i="16"/>
  <c r="AE520" i="16"/>
  <c r="AF520" i="16"/>
  <c r="Y521" i="16"/>
  <c r="Z521" i="16"/>
  <c r="AE521" i="16"/>
  <c r="AF521" i="16"/>
  <c r="Y522" i="16"/>
  <c r="Z522" i="16"/>
  <c r="AE522" i="16"/>
  <c r="AF522" i="16"/>
  <c r="Y523" i="16"/>
  <c r="Z523" i="16"/>
  <c r="AE523" i="16"/>
  <c r="AF523" i="16"/>
  <c r="Y524" i="16"/>
  <c r="Z524" i="16"/>
  <c r="AE524" i="16"/>
  <c r="AF524" i="16"/>
  <c r="Y525" i="16"/>
  <c r="Z525" i="16"/>
  <c r="AE525" i="16"/>
  <c r="AF525" i="16"/>
  <c r="Y526" i="16"/>
  <c r="Z526" i="16"/>
  <c r="AE526" i="16"/>
  <c r="AF526" i="16"/>
  <c r="Y527" i="16"/>
  <c r="Z527" i="16"/>
  <c r="AE527" i="16"/>
  <c r="AF527" i="16"/>
  <c r="Y528" i="16"/>
  <c r="Z528" i="16"/>
  <c r="AE528" i="16"/>
  <c r="AF528" i="16"/>
  <c r="Y529" i="16"/>
  <c r="Z529" i="16"/>
  <c r="AE529" i="16"/>
  <c r="AF529" i="16"/>
  <c r="Y530" i="16"/>
  <c r="Z530" i="16"/>
  <c r="AE530" i="16"/>
  <c r="AF530" i="16"/>
  <c r="Y531" i="16"/>
  <c r="Z531" i="16"/>
  <c r="AE531" i="16"/>
  <c r="AF531" i="16"/>
  <c r="Y532" i="16"/>
  <c r="Z532" i="16"/>
  <c r="AE532" i="16"/>
  <c r="AF532" i="16"/>
  <c r="Y533" i="16"/>
  <c r="Z533" i="16"/>
  <c r="AE533" i="16"/>
  <c r="AF533" i="16"/>
  <c r="Y534" i="16"/>
  <c r="Z534" i="16"/>
  <c r="AE534" i="16"/>
  <c r="AF534" i="16"/>
  <c r="Y535" i="16"/>
  <c r="Z535" i="16"/>
  <c r="AE535" i="16"/>
  <c r="AF535" i="16"/>
  <c r="Y536" i="16"/>
  <c r="Z536" i="16"/>
  <c r="AE536" i="16"/>
  <c r="AF536" i="16"/>
  <c r="Y537" i="16"/>
  <c r="Z537" i="16"/>
  <c r="AE537" i="16"/>
  <c r="AF537" i="16"/>
  <c r="Y538" i="16"/>
  <c r="Z538" i="16"/>
  <c r="AE538" i="16"/>
  <c r="AF538" i="16"/>
  <c r="Y539" i="16"/>
  <c r="Z539" i="16"/>
  <c r="AE539" i="16"/>
  <c r="AF539" i="16"/>
  <c r="Y540" i="16"/>
  <c r="Z540" i="16"/>
  <c r="AE540" i="16"/>
  <c r="AF540" i="16"/>
  <c r="Y541" i="16"/>
  <c r="Z541" i="16"/>
  <c r="AE541" i="16"/>
  <c r="AF541" i="16"/>
  <c r="Y542" i="16"/>
  <c r="Z542" i="16"/>
  <c r="AE542" i="16"/>
  <c r="AF542" i="16"/>
  <c r="Y543" i="16"/>
  <c r="Z543" i="16"/>
  <c r="AE543" i="16"/>
  <c r="AF543" i="16"/>
  <c r="Y544" i="16"/>
  <c r="Z544" i="16"/>
  <c r="AE544" i="16"/>
  <c r="AF544" i="16"/>
  <c r="Y545" i="16"/>
  <c r="Z545" i="16"/>
  <c r="AE545" i="16"/>
  <c r="AF545" i="16"/>
  <c r="Y546" i="16"/>
  <c r="Z546" i="16"/>
  <c r="AE546" i="16"/>
  <c r="AF546" i="16"/>
  <c r="Y547" i="16"/>
  <c r="Z547" i="16"/>
  <c r="AE547" i="16"/>
  <c r="AF547" i="16"/>
  <c r="Y548" i="16"/>
  <c r="Z548" i="16"/>
  <c r="AE548" i="16"/>
  <c r="AF548" i="16"/>
  <c r="Y549" i="16"/>
  <c r="Z549" i="16"/>
  <c r="AE549" i="16"/>
  <c r="AF549" i="16"/>
  <c r="Y550" i="16"/>
  <c r="Z550" i="16"/>
  <c r="AE550" i="16"/>
  <c r="AF550" i="16"/>
  <c r="Y551" i="16"/>
  <c r="Z551" i="16"/>
  <c r="AE551" i="16"/>
  <c r="AF551" i="16"/>
  <c r="Y552" i="16"/>
  <c r="Z552" i="16"/>
  <c r="AE552" i="16"/>
  <c r="AF552" i="16"/>
  <c r="Y553" i="16"/>
  <c r="Z553" i="16"/>
  <c r="AE553" i="16"/>
  <c r="AF553" i="16"/>
  <c r="Y554" i="16"/>
  <c r="Z554" i="16"/>
  <c r="AE554" i="16"/>
  <c r="AF554" i="16"/>
  <c r="Y555" i="16"/>
  <c r="Z555" i="16"/>
  <c r="AE555" i="16"/>
  <c r="AF555" i="16"/>
  <c r="Y556" i="16"/>
  <c r="Z556" i="16"/>
  <c r="AE556" i="16"/>
  <c r="AF556" i="16"/>
  <c r="Y557" i="16"/>
  <c r="Z557" i="16"/>
  <c r="AE557" i="16"/>
  <c r="AF557" i="16"/>
  <c r="Y558" i="16"/>
  <c r="Z558" i="16"/>
  <c r="AE558" i="16"/>
  <c r="AF558" i="16"/>
  <c r="Y559" i="16"/>
  <c r="Z559" i="16"/>
  <c r="AE559" i="16"/>
  <c r="AF559" i="16"/>
  <c r="Y560" i="16"/>
  <c r="Z560" i="16"/>
  <c r="AE560" i="16"/>
  <c r="AF560" i="16"/>
  <c r="Y561" i="16"/>
  <c r="Z561" i="16"/>
  <c r="AE561" i="16"/>
  <c r="AF561" i="16"/>
  <c r="Y562" i="16"/>
  <c r="Z562" i="16"/>
  <c r="AE562" i="16"/>
  <c r="AF562" i="16"/>
  <c r="Y563" i="16"/>
  <c r="Z563" i="16"/>
  <c r="AE563" i="16"/>
  <c r="AF563" i="16"/>
  <c r="Y564" i="16"/>
  <c r="Z564" i="16"/>
  <c r="AE564" i="16"/>
  <c r="AF564" i="16"/>
  <c r="Y565" i="16"/>
  <c r="Z565" i="16"/>
  <c r="AE565" i="16"/>
  <c r="AF565" i="16"/>
  <c r="Y566" i="16"/>
  <c r="Z566" i="16"/>
  <c r="AE566" i="16"/>
  <c r="AF566" i="16"/>
  <c r="Y567" i="16"/>
  <c r="Z567" i="16"/>
  <c r="AE567" i="16"/>
  <c r="AF567" i="16"/>
  <c r="Y568" i="16"/>
  <c r="Z568" i="16"/>
  <c r="AE568" i="16"/>
  <c r="AF568" i="16"/>
  <c r="Y569" i="16"/>
  <c r="Z569" i="16"/>
  <c r="AE569" i="16"/>
  <c r="AF569" i="16"/>
  <c r="Y570" i="16"/>
  <c r="Z570" i="16"/>
  <c r="AE570" i="16"/>
  <c r="AF570" i="16"/>
  <c r="Y571" i="16"/>
  <c r="Z571" i="16"/>
  <c r="AE571" i="16"/>
  <c r="AF571" i="16"/>
  <c r="Y572" i="16"/>
  <c r="Z572" i="16"/>
  <c r="AE572" i="16"/>
  <c r="AF572" i="16"/>
  <c r="Y573" i="16"/>
  <c r="Z573" i="16"/>
  <c r="AE573" i="16"/>
  <c r="AF573" i="16"/>
  <c r="Y574" i="16"/>
  <c r="Z574" i="16"/>
  <c r="AE574" i="16"/>
  <c r="AF574" i="16"/>
  <c r="Y575" i="16"/>
  <c r="Z575" i="16"/>
  <c r="AE575" i="16"/>
  <c r="AF575" i="16"/>
  <c r="Y576" i="16"/>
  <c r="Z576" i="16"/>
  <c r="AE576" i="16"/>
  <c r="AF576" i="16"/>
  <c r="Y577" i="16"/>
  <c r="Z577" i="16"/>
  <c r="AE577" i="16"/>
  <c r="AF577" i="16"/>
  <c r="Y578" i="16"/>
  <c r="Z578" i="16"/>
  <c r="AE578" i="16"/>
  <c r="AF578" i="16"/>
  <c r="Y579" i="16"/>
  <c r="Z579" i="16"/>
  <c r="AE579" i="16"/>
  <c r="AF579" i="16"/>
  <c r="Y580" i="16"/>
  <c r="Z580" i="16"/>
  <c r="AE580" i="16"/>
  <c r="AF580" i="16"/>
  <c r="Y581" i="16"/>
  <c r="Z581" i="16"/>
  <c r="AE581" i="16"/>
  <c r="AF581" i="16"/>
  <c r="Y582" i="16"/>
  <c r="Z582" i="16"/>
  <c r="AE582" i="16"/>
  <c r="AF582" i="16"/>
  <c r="Y583" i="16"/>
  <c r="Z583" i="16"/>
  <c r="AE583" i="16"/>
  <c r="AF583" i="16"/>
  <c r="Y584" i="16"/>
  <c r="Z584" i="16"/>
  <c r="AE584" i="16"/>
  <c r="AF584" i="16"/>
  <c r="Y585" i="16"/>
  <c r="Z585" i="16"/>
  <c r="AE585" i="16"/>
  <c r="AF585" i="16"/>
  <c r="Y586" i="16"/>
  <c r="Z586" i="16"/>
  <c r="AE586" i="16"/>
  <c r="AF586" i="16"/>
  <c r="Y587" i="16"/>
  <c r="Z587" i="16"/>
  <c r="AE587" i="16"/>
  <c r="AF587" i="16"/>
  <c r="Y588" i="16"/>
  <c r="Z588" i="16"/>
  <c r="AE588" i="16"/>
  <c r="AF588" i="16"/>
  <c r="Y589" i="16"/>
  <c r="Z589" i="16"/>
  <c r="AE589" i="16"/>
  <c r="AF589" i="16"/>
  <c r="Y590" i="16"/>
  <c r="Z590" i="16"/>
  <c r="AE590" i="16"/>
  <c r="AF590" i="16"/>
  <c r="Y591" i="16"/>
  <c r="Z591" i="16"/>
  <c r="AE591" i="16"/>
  <c r="AF591" i="16"/>
  <c r="Y592" i="16"/>
  <c r="Z592" i="16"/>
  <c r="AE592" i="16"/>
  <c r="AF592" i="16"/>
  <c r="Y593" i="16"/>
  <c r="Z593" i="16"/>
  <c r="AE593" i="16"/>
  <c r="AF593" i="16"/>
  <c r="Y594" i="16"/>
  <c r="Z594" i="16"/>
  <c r="AE594" i="16"/>
  <c r="AF594" i="16"/>
  <c r="Y595" i="16"/>
  <c r="Z595" i="16"/>
  <c r="AE595" i="16"/>
  <c r="AF595" i="16"/>
  <c r="Y596" i="16"/>
  <c r="Z596" i="16"/>
  <c r="AE596" i="16"/>
  <c r="AF596" i="16"/>
  <c r="Y597" i="16"/>
  <c r="Z597" i="16"/>
  <c r="AE597" i="16"/>
  <c r="AF597" i="16"/>
  <c r="Y598" i="16"/>
  <c r="Z598" i="16"/>
  <c r="AE598" i="16"/>
  <c r="AF598" i="16"/>
  <c r="Y599" i="16"/>
  <c r="Z599" i="16"/>
  <c r="AE599" i="16"/>
  <c r="AF599" i="16"/>
  <c r="Y600" i="16"/>
  <c r="Z600" i="16"/>
  <c r="AE600" i="16"/>
  <c r="AF600" i="16"/>
  <c r="Y601" i="16"/>
  <c r="Z601" i="16"/>
  <c r="AE601" i="16"/>
  <c r="AF601" i="16"/>
  <c r="Y602" i="16"/>
  <c r="Z602" i="16"/>
  <c r="AE602" i="16"/>
  <c r="AF602" i="16"/>
  <c r="Y603" i="16"/>
  <c r="Z603" i="16"/>
  <c r="AE603" i="16"/>
  <c r="AF603" i="16"/>
  <c r="Y604" i="16"/>
  <c r="Z604" i="16"/>
  <c r="AE604" i="16"/>
  <c r="AF604" i="16"/>
  <c r="Y605" i="16"/>
  <c r="Z605" i="16"/>
  <c r="AE605" i="16"/>
  <c r="AF605" i="16"/>
  <c r="Y606" i="16"/>
  <c r="Z606" i="16"/>
  <c r="AE606" i="16"/>
  <c r="AF606" i="16"/>
  <c r="Y607" i="16"/>
  <c r="Z607" i="16"/>
  <c r="AE607" i="16"/>
  <c r="AF607" i="16"/>
  <c r="Y608" i="16"/>
  <c r="Z608" i="16"/>
  <c r="AE608" i="16"/>
  <c r="AF608" i="16"/>
  <c r="Y609" i="16"/>
  <c r="Z609" i="16"/>
  <c r="AE609" i="16"/>
  <c r="AF609" i="16"/>
  <c r="Y610" i="16"/>
  <c r="Z610" i="16"/>
  <c r="AE610" i="16"/>
  <c r="AF610" i="16"/>
  <c r="Y611" i="16"/>
  <c r="Z611" i="16"/>
  <c r="AE611" i="16"/>
  <c r="AF611" i="16"/>
  <c r="Y612" i="16"/>
  <c r="Z612" i="16"/>
  <c r="AE612" i="16"/>
  <c r="AF612" i="16"/>
  <c r="Y613" i="16"/>
  <c r="Z613" i="16"/>
  <c r="AE613" i="16"/>
  <c r="AF613" i="16"/>
  <c r="Y614" i="16"/>
  <c r="Z614" i="16"/>
  <c r="AE614" i="16"/>
  <c r="AF614" i="16"/>
  <c r="Y615" i="16"/>
  <c r="Z615" i="16"/>
  <c r="AE615" i="16"/>
  <c r="AF615" i="16"/>
  <c r="Y616" i="16"/>
  <c r="AE616" i="16"/>
  <c r="Y617" i="16"/>
  <c r="AE617" i="16"/>
  <c r="Y618" i="16"/>
  <c r="AE618" i="16"/>
  <c r="Y619" i="16"/>
  <c r="AE619" i="16"/>
  <c r="Y620" i="16"/>
  <c r="AE620" i="16"/>
  <c r="Y621" i="16"/>
  <c r="AE621" i="16"/>
  <c r="Y622" i="16"/>
  <c r="AE622" i="16"/>
  <c r="Y623" i="16"/>
  <c r="AE623" i="16"/>
  <c r="Y624" i="16"/>
  <c r="AE624" i="16"/>
  <c r="Y625" i="16"/>
  <c r="AE625" i="16"/>
  <c r="Y626" i="16"/>
  <c r="AE626" i="16"/>
  <c r="Y627" i="16"/>
  <c r="AE627" i="16"/>
  <c r="Y628" i="16"/>
  <c r="AE628" i="16"/>
  <c r="Y629" i="16"/>
  <c r="AE629" i="16"/>
  <c r="Y630" i="16"/>
  <c r="AE630" i="16"/>
  <c r="Y631" i="16"/>
  <c r="AE631" i="16"/>
  <c r="Y632" i="16"/>
  <c r="AE632" i="16"/>
  <c r="Y633" i="16"/>
  <c r="AE633" i="16"/>
  <c r="Y634" i="16"/>
  <c r="AE634" i="16"/>
  <c r="Y635" i="16"/>
  <c r="AE635" i="16"/>
  <c r="Y636" i="16"/>
  <c r="AE636" i="16"/>
  <c r="Y637" i="16"/>
  <c r="AE637" i="16"/>
  <c r="Y638" i="16"/>
  <c r="AE638" i="16"/>
  <c r="Y639" i="16"/>
  <c r="AE639" i="16"/>
  <c r="Z640" i="16"/>
  <c r="AF640" i="16"/>
  <c r="Z641" i="16"/>
  <c r="AF641" i="16"/>
  <c r="Z642" i="16"/>
  <c r="AF642" i="16"/>
  <c r="Z643" i="16"/>
  <c r="AF643" i="16"/>
  <c r="Z644" i="16"/>
  <c r="AF644" i="16"/>
  <c r="Z645" i="16"/>
  <c r="AF645" i="16"/>
  <c r="Z646" i="16"/>
  <c r="AF646" i="16"/>
  <c r="Z647" i="16"/>
  <c r="AF647" i="16"/>
  <c r="Z648" i="16"/>
  <c r="AF648" i="16"/>
  <c r="Z649" i="16"/>
  <c r="AF649" i="16"/>
  <c r="Z650" i="16"/>
  <c r="AF650" i="16"/>
  <c r="Z651" i="16"/>
  <c r="AF651" i="16"/>
  <c r="Z652" i="16"/>
  <c r="AF652" i="16"/>
  <c r="Z653" i="16"/>
  <c r="AF653" i="16"/>
  <c r="Z654" i="16"/>
  <c r="AF654" i="16"/>
  <c r="Z655" i="16"/>
  <c r="AF655" i="16"/>
  <c r="Z656" i="16"/>
  <c r="AF656" i="16"/>
  <c r="Z657" i="16"/>
  <c r="AF657" i="16"/>
  <c r="Z658" i="16"/>
  <c r="AF658" i="16"/>
  <c r="Z659" i="16"/>
  <c r="AF659" i="16"/>
  <c r="Z660" i="16"/>
  <c r="AF660" i="16"/>
  <c r="Z661" i="16"/>
  <c r="AF661" i="16"/>
  <c r="Z662" i="16"/>
  <c r="AF662" i="16"/>
  <c r="Z663" i="16"/>
  <c r="AF663" i="16"/>
  <c r="Z664" i="16"/>
  <c r="AF664" i="16"/>
  <c r="Z665" i="16"/>
  <c r="AF665" i="16"/>
  <c r="Z666" i="16"/>
  <c r="AF666" i="16"/>
  <c r="Z667" i="16"/>
  <c r="AF667" i="16"/>
  <c r="Z668" i="16"/>
  <c r="AF668" i="16"/>
  <c r="Z669" i="16"/>
  <c r="AF669" i="16"/>
  <c r="Z670" i="16"/>
  <c r="AF670" i="16"/>
  <c r="Z671" i="16"/>
  <c r="AF671" i="16"/>
  <c r="Z672" i="16"/>
  <c r="AF672" i="16"/>
  <c r="Z673" i="16"/>
  <c r="AF673" i="16"/>
  <c r="Z674" i="16"/>
  <c r="AF674" i="16"/>
  <c r="Z675" i="16"/>
  <c r="AF675" i="16"/>
  <c r="Z676" i="16"/>
  <c r="AF676" i="16"/>
  <c r="Z677" i="16"/>
  <c r="AF677" i="16"/>
  <c r="Z678" i="16"/>
  <c r="AF678" i="16"/>
  <c r="Z679" i="16"/>
  <c r="AF679" i="16"/>
  <c r="Z680" i="16"/>
  <c r="AF680" i="16"/>
  <c r="Z681" i="16"/>
  <c r="AF681" i="16"/>
  <c r="Z682" i="16"/>
  <c r="AF682" i="16"/>
  <c r="Z683" i="16"/>
  <c r="AF683" i="16"/>
  <c r="Y684" i="16"/>
  <c r="AE684" i="16"/>
  <c r="Y685" i="16"/>
  <c r="AE685" i="16"/>
  <c r="Y686" i="16"/>
  <c r="AE686" i="16"/>
  <c r="Y687" i="16"/>
  <c r="AE687" i="16"/>
  <c r="Y688" i="16"/>
  <c r="AE688" i="16"/>
  <c r="Y689" i="16"/>
  <c r="AE689" i="16"/>
  <c r="Y690" i="16"/>
  <c r="AE690" i="16"/>
  <c r="Y691" i="16"/>
  <c r="AE691" i="16"/>
  <c r="Y692" i="16"/>
  <c r="AE692" i="16"/>
  <c r="Y693" i="16"/>
  <c r="AE693" i="16"/>
  <c r="Y694" i="16"/>
  <c r="AE694" i="16"/>
  <c r="Y695" i="16"/>
  <c r="AE695" i="16"/>
  <c r="Y696" i="16"/>
  <c r="AE696" i="16"/>
  <c r="Y697" i="16"/>
  <c r="AE697" i="16"/>
  <c r="Y698" i="16"/>
  <c r="AE698" i="16"/>
  <c r="Y699" i="16"/>
  <c r="AE699" i="16"/>
  <c r="Y700" i="16"/>
  <c r="AE700" i="16"/>
  <c r="Y701" i="16"/>
  <c r="AE701" i="16"/>
  <c r="Y702" i="16"/>
  <c r="AE702" i="16"/>
  <c r="Y703" i="16"/>
  <c r="AE703" i="16"/>
  <c r="Y704" i="16"/>
  <c r="AE704" i="16"/>
  <c r="Y705" i="16"/>
  <c r="AE705" i="16"/>
  <c r="Y706" i="16"/>
  <c r="AE706" i="16"/>
  <c r="Y707" i="16"/>
  <c r="AE707" i="16"/>
  <c r="Y708" i="16"/>
  <c r="AE708" i="16"/>
  <c r="Y709" i="16"/>
  <c r="AE709" i="16"/>
  <c r="Y710" i="16"/>
  <c r="AE710" i="16"/>
  <c r="Y711" i="16"/>
  <c r="AE711" i="16"/>
  <c r="Y712" i="16"/>
  <c r="AE712" i="16"/>
  <c r="Y713" i="16"/>
  <c r="AE713" i="16"/>
  <c r="Y714" i="16"/>
  <c r="AE714" i="16"/>
  <c r="Y715" i="16"/>
  <c r="AE715" i="16"/>
  <c r="Y716" i="16"/>
  <c r="AE716" i="16"/>
  <c r="Y717" i="16"/>
  <c r="AE717" i="16"/>
  <c r="Y718" i="16"/>
  <c r="AE718" i="16"/>
  <c r="Y719" i="16"/>
  <c r="AE719" i="16"/>
  <c r="Y720" i="16"/>
  <c r="AE720" i="16"/>
  <c r="Y721" i="16"/>
  <c r="AE721" i="16"/>
  <c r="Y722" i="16"/>
  <c r="AE722" i="16"/>
  <c r="Y723" i="16"/>
  <c r="AE723" i="16"/>
  <c r="Y724" i="16"/>
  <c r="AE724" i="16"/>
  <c r="Z725" i="16"/>
  <c r="AF725" i="16"/>
  <c r="Z726" i="16"/>
  <c r="AF726" i="16"/>
  <c r="Z727" i="16"/>
  <c r="AF727" i="16"/>
  <c r="Z728" i="16"/>
  <c r="AF728" i="16"/>
  <c r="Z729" i="16"/>
  <c r="AF729" i="16"/>
  <c r="Z730" i="16"/>
  <c r="AF730" i="16"/>
  <c r="Z731" i="16"/>
  <c r="AF731" i="16"/>
  <c r="Z732" i="16"/>
  <c r="AF732" i="16"/>
  <c r="Z733" i="16"/>
  <c r="AF733" i="16"/>
  <c r="Z734" i="16"/>
  <c r="AF734" i="16"/>
  <c r="Z735" i="16"/>
  <c r="AF735" i="16"/>
  <c r="Z736" i="16"/>
  <c r="AF736" i="16"/>
  <c r="Z737" i="16"/>
  <c r="AF737" i="16"/>
  <c r="Z738" i="16"/>
  <c r="AF738" i="16"/>
  <c r="Z739" i="16"/>
  <c r="AF739" i="16"/>
  <c r="Z740" i="16"/>
  <c r="AF740" i="16"/>
  <c r="Z741" i="16"/>
  <c r="AF741" i="16"/>
  <c r="Z742" i="16"/>
  <c r="AF742" i="16"/>
  <c r="Z743" i="16"/>
  <c r="AF743" i="16"/>
  <c r="Z744" i="16"/>
  <c r="AF744" i="16"/>
  <c r="Z745" i="16"/>
  <c r="AF745" i="16"/>
  <c r="Z746" i="16"/>
  <c r="AF746" i="16"/>
  <c r="Z747" i="16"/>
  <c r="AF747" i="16"/>
  <c r="Z748" i="16"/>
  <c r="AF748" i="16"/>
  <c r="Z749" i="16"/>
  <c r="AF749" i="16"/>
  <c r="Z750" i="16"/>
  <c r="AF750" i="16"/>
  <c r="Z751" i="16"/>
  <c r="AF751" i="16"/>
  <c r="Z752" i="16"/>
  <c r="AF752" i="16"/>
  <c r="Z753" i="16"/>
  <c r="AF753" i="16"/>
  <c r="Z754" i="16"/>
  <c r="AF754" i="16"/>
  <c r="Z755" i="16"/>
  <c r="AF755" i="16"/>
  <c r="Z756" i="16"/>
  <c r="AF756" i="16"/>
  <c r="Z757" i="16"/>
  <c r="AF757" i="16"/>
  <c r="Z758" i="16"/>
  <c r="AF758" i="16"/>
  <c r="Z759" i="16"/>
  <c r="AF759" i="16"/>
  <c r="Z760" i="16"/>
  <c r="AF760" i="16"/>
  <c r="Z761" i="16"/>
  <c r="AF761" i="16"/>
  <c r="Z762" i="16"/>
  <c r="AF762" i="16"/>
  <c r="Z763" i="16"/>
  <c r="AF763" i="16"/>
  <c r="Z764" i="16"/>
  <c r="AF764" i="16"/>
  <c r="Z765" i="16"/>
  <c r="AF765" i="16"/>
  <c r="Z766" i="16"/>
  <c r="AF766" i="16"/>
  <c r="Z767" i="16"/>
  <c r="AF767" i="16"/>
  <c r="Z768" i="16"/>
  <c r="AF768" i="16"/>
  <c r="Z769" i="16"/>
  <c r="AF769" i="16"/>
  <c r="Z770" i="16"/>
  <c r="AF770" i="16"/>
  <c r="Z771" i="16"/>
  <c r="AF771" i="16"/>
  <c r="Z772" i="16"/>
  <c r="AF772" i="16"/>
  <c r="Z773" i="16"/>
  <c r="AF773" i="16"/>
  <c r="Z774" i="16"/>
  <c r="AF774" i="16"/>
  <c r="Z775" i="16"/>
  <c r="AF775" i="16"/>
  <c r="Z776" i="16"/>
  <c r="AF776" i="16"/>
  <c r="Z777" i="16"/>
  <c r="AF777" i="16"/>
  <c r="Z778" i="16"/>
  <c r="AF778" i="16"/>
  <c r="Z779" i="16"/>
  <c r="AF779" i="16"/>
  <c r="Z780" i="16"/>
  <c r="AF780" i="16"/>
  <c r="Y781" i="16"/>
  <c r="AE781" i="16"/>
  <c r="Y782" i="16"/>
  <c r="AE782" i="16"/>
  <c r="Y783" i="16"/>
  <c r="AE783" i="16"/>
  <c r="Y784" i="16"/>
  <c r="AE784" i="16"/>
  <c r="Y785" i="16"/>
  <c r="AE785" i="16"/>
  <c r="Y786" i="16"/>
  <c r="AE786" i="16"/>
  <c r="Y787" i="16"/>
  <c r="AE787" i="16"/>
  <c r="Y788" i="16"/>
  <c r="AE788" i="16"/>
  <c r="Y789" i="16"/>
  <c r="AE789" i="16"/>
  <c r="Y790" i="16"/>
  <c r="AE790" i="16"/>
  <c r="Y791" i="16"/>
  <c r="AE791" i="16"/>
  <c r="Y792" i="16"/>
  <c r="AE792" i="16"/>
  <c r="Z793" i="16"/>
  <c r="AF793" i="16"/>
  <c r="Z794" i="16"/>
  <c r="AF794" i="16"/>
  <c r="Z795" i="16"/>
  <c r="AF795" i="16"/>
  <c r="Z796" i="16"/>
  <c r="AF796" i="16"/>
  <c r="Z797" i="16"/>
  <c r="AF797" i="16"/>
  <c r="Z798" i="16"/>
  <c r="AF798" i="16"/>
  <c r="Z799" i="16"/>
  <c r="AF799" i="16"/>
  <c r="Z800" i="16"/>
  <c r="AF800" i="16"/>
  <c r="Z801" i="16"/>
  <c r="AF801" i="16"/>
  <c r="Z802" i="16"/>
  <c r="AF802" i="16"/>
  <c r="Z803" i="16"/>
  <c r="AF803" i="16"/>
  <c r="Z804" i="16"/>
  <c r="AF804" i="16"/>
  <c r="Z805" i="16"/>
  <c r="AF805" i="16"/>
  <c r="Z806" i="16"/>
  <c r="AF806" i="16"/>
  <c r="Z807" i="16"/>
  <c r="AF807" i="16"/>
  <c r="Z808" i="16"/>
  <c r="AF808" i="16"/>
  <c r="Z809" i="16"/>
  <c r="AF809" i="16"/>
  <c r="Z810" i="16"/>
  <c r="AF810" i="16"/>
  <c r="Z811" i="16"/>
  <c r="AF811" i="16"/>
  <c r="Z812" i="16"/>
  <c r="AF812" i="16"/>
  <c r="Z813" i="16"/>
  <c r="AF813" i="16"/>
  <c r="Z814" i="16"/>
  <c r="AF814" i="16"/>
  <c r="Z815" i="16"/>
  <c r="AF815" i="16"/>
  <c r="Z816" i="16"/>
  <c r="AF816" i="16"/>
  <c r="Y817" i="16"/>
  <c r="AE817" i="16"/>
  <c r="Y818" i="16"/>
  <c r="AE818" i="16"/>
  <c r="Y819" i="16"/>
  <c r="AE819" i="16"/>
  <c r="Y820" i="16"/>
  <c r="AE820" i="16"/>
  <c r="Y821" i="16"/>
  <c r="AE821" i="16"/>
  <c r="Y822" i="16"/>
  <c r="AE822" i="16"/>
  <c r="Y823" i="16"/>
  <c r="AE823" i="16"/>
  <c r="Y824" i="16"/>
  <c r="AE824" i="16"/>
  <c r="Y825" i="16"/>
  <c r="AE825" i="16"/>
  <c r="Y826" i="16"/>
  <c r="AE826" i="16"/>
  <c r="Y827" i="16"/>
  <c r="AE827" i="16"/>
  <c r="Y828" i="16"/>
  <c r="AE828" i="16"/>
  <c r="Z829" i="16"/>
  <c r="AF829" i="16"/>
  <c r="Z830" i="16"/>
  <c r="AF830" i="16"/>
  <c r="Z831" i="16"/>
  <c r="AF831" i="16"/>
  <c r="Z832" i="16"/>
  <c r="AF832" i="16"/>
  <c r="Z833" i="16"/>
  <c r="AF833" i="16"/>
  <c r="Z834" i="16"/>
  <c r="AF834" i="16"/>
  <c r="Z835" i="16"/>
  <c r="AF835" i="16"/>
  <c r="Z836" i="16"/>
  <c r="AF836" i="16"/>
  <c r="Z837" i="16"/>
  <c r="AF837" i="16"/>
  <c r="Z838" i="16"/>
  <c r="AF838" i="16"/>
  <c r="Z839" i="16"/>
  <c r="AF839" i="16"/>
  <c r="Z840" i="16"/>
  <c r="AF840" i="16"/>
  <c r="Z841" i="16"/>
  <c r="AF841" i="16"/>
  <c r="Z842" i="16"/>
  <c r="AF842" i="16"/>
  <c r="Z843" i="16"/>
  <c r="AF843" i="16"/>
  <c r="Z844" i="16"/>
  <c r="AF844" i="16"/>
  <c r="Z845" i="16"/>
  <c r="AF845" i="16"/>
  <c r="Z846" i="16"/>
  <c r="AF846" i="16"/>
  <c r="Z847" i="16"/>
  <c r="AF847" i="16"/>
  <c r="Z848" i="16"/>
  <c r="AF848" i="16"/>
  <c r="Z849" i="16"/>
  <c r="AF849" i="16"/>
  <c r="Z850" i="16"/>
  <c r="AF850" i="16"/>
  <c r="Z851" i="16"/>
  <c r="AF851" i="16"/>
  <c r="Z852" i="16"/>
  <c r="AF852" i="16"/>
  <c r="Z853" i="16"/>
  <c r="AF853" i="16"/>
  <c r="Z854" i="16"/>
  <c r="AF854" i="16"/>
  <c r="Z855" i="16"/>
  <c r="AF855" i="16"/>
  <c r="Z856" i="16"/>
  <c r="AF856" i="16"/>
  <c r="Z857" i="16"/>
  <c r="AF857" i="16"/>
  <c r="Z858" i="16"/>
  <c r="AF858" i="16"/>
  <c r="Z859" i="16"/>
  <c r="AF859" i="16"/>
  <c r="Z860" i="16"/>
  <c r="AF860" i="16"/>
  <c r="Z861" i="16"/>
  <c r="AF861" i="16"/>
  <c r="Z862" i="16"/>
  <c r="AF862" i="16"/>
  <c r="Z863" i="16"/>
  <c r="AF863" i="16"/>
  <c r="Z864" i="16"/>
  <c r="AF864" i="16"/>
  <c r="Z865" i="16"/>
  <c r="AF865" i="16"/>
  <c r="Z866" i="16"/>
  <c r="AF866" i="16"/>
  <c r="Z867" i="16"/>
  <c r="AF867" i="16"/>
  <c r="Z868" i="16"/>
  <c r="AF868" i="16"/>
  <c r="Z869" i="16"/>
  <c r="AF869" i="16"/>
  <c r="Z870" i="16"/>
  <c r="AF870" i="16"/>
  <c r="Z871" i="16"/>
  <c r="AF871" i="16"/>
  <c r="Z872" i="16"/>
  <c r="AF872" i="16"/>
  <c r="Z873" i="16"/>
  <c r="AF873" i="16"/>
  <c r="Z874" i="16"/>
  <c r="AF874" i="16"/>
  <c r="Z875" i="16"/>
  <c r="AF875" i="16"/>
  <c r="Z876" i="16"/>
  <c r="AF876" i="16"/>
  <c r="Z877" i="16"/>
  <c r="AF877" i="16"/>
  <c r="Z878" i="16"/>
  <c r="AF878" i="16"/>
  <c r="Z879" i="16"/>
  <c r="AF879" i="16"/>
  <c r="Z880" i="16"/>
  <c r="AF880" i="16"/>
  <c r="Z881" i="16"/>
  <c r="AF881" i="16"/>
  <c r="Z882" i="16"/>
  <c r="AF882" i="16"/>
  <c r="Z883" i="16"/>
  <c r="AF883" i="16"/>
  <c r="Z884" i="16"/>
  <c r="AF884" i="16"/>
  <c r="Z885" i="16"/>
  <c r="AF885" i="16"/>
  <c r="Y886" i="16"/>
  <c r="AE886" i="16"/>
  <c r="Y887" i="16"/>
  <c r="AE887" i="16"/>
  <c r="Y888" i="16"/>
  <c r="AE888" i="16"/>
  <c r="Y889" i="16"/>
  <c r="AE889" i="16"/>
  <c r="Y890" i="16"/>
  <c r="AE890" i="16"/>
  <c r="Y891" i="16"/>
  <c r="AE891" i="16"/>
  <c r="Y892" i="16"/>
  <c r="AE892" i="16"/>
  <c r="Y893" i="16"/>
  <c r="AE893" i="16"/>
  <c r="Y894" i="16"/>
  <c r="AE894" i="16"/>
  <c r="Y895" i="16"/>
  <c r="AE895" i="16"/>
  <c r="Y896" i="16"/>
  <c r="AE896" i="16"/>
  <c r="Y897" i="16"/>
  <c r="AE897" i="16"/>
  <c r="Y898" i="16"/>
  <c r="AE898" i="16"/>
  <c r="Y899" i="16"/>
  <c r="AE899" i="16"/>
  <c r="Y900" i="16"/>
  <c r="AE900" i="16"/>
  <c r="Y901" i="16"/>
  <c r="AE901" i="16"/>
  <c r="Y902" i="16"/>
  <c r="AE902" i="16"/>
  <c r="Y903" i="16"/>
  <c r="AE903" i="16"/>
  <c r="Y904" i="16"/>
  <c r="AE904" i="16"/>
  <c r="Y905" i="16"/>
  <c r="AE905" i="16"/>
  <c r="Y906" i="16"/>
  <c r="AE906" i="16"/>
  <c r="Y907" i="16"/>
  <c r="AE907" i="16"/>
  <c r="Y908" i="16"/>
  <c r="AE908" i="16"/>
  <c r="Y909" i="16"/>
  <c r="AE909" i="16"/>
  <c r="Y910" i="16"/>
  <c r="AE910" i="16"/>
  <c r="Y911" i="16"/>
  <c r="AE911" i="16"/>
  <c r="Y912" i="16"/>
  <c r="AE912" i="16"/>
  <c r="Y913" i="16"/>
  <c r="AE913" i="16"/>
  <c r="Y914" i="16"/>
  <c r="AE914" i="16"/>
  <c r="Y915" i="16"/>
  <c r="AE915" i="16"/>
  <c r="Y916" i="16"/>
  <c r="AE916" i="16"/>
  <c r="Y917" i="16"/>
  <c r="AE917" i="16"/>
  <c r="Y918" i="16"/>
  <c r="AE918" i="16"/>
  <c r="Y919" i="16"/>
  <c r="AE919" i="16"/>
  <c r="Y920" i="16"/>
  <c r="AE920" i="16"/>
  <c r="Y921" i="16"/>
  <c r="AE921" i="16"/>
  <c r="Y922" i="16"/>
  <c r="AE922" i="16"/>
  <c r="Y923" i="16"/>
  <c r="AE923" i="16"/>
  <c r="Y924" i="16"/>
  <c r="AE924" i="16"/>
  <c r="Y925" i="16"/>
  <c r="AE925" i="16"/>
  <c r="Y926" i="16"/>
  <c r="AE926" i="16"/>
  <c r="Y927" i="16"/>
  <c r="AE927" i="16"/>
  <c r="Y928" i="16"/>
  <c r="AE928" i="16"/>
  <c r="Y929" i="16"/>
  <c r="AE929" i="16"/>
  <c r="Y930" i="16"/>
  <c r="AE930" i="16"/>
  <c r="Z931" i="16"/>
  <c r="AF931" i="16"/>
  <c r="Z932" i="16"/>
  <c r="AF932" i="16"/>
  <c r="Z933" i="16"/>
  <c r="AF933" i="16"/>
  <c r="Z934" i="16"/>
  <c r="AF934" i="16"/>
  <c r="Z935" i="16"/>
  <c r="AF935" i="16"/>
  <c r="Z936" i="16"/>
  <c r="AF936" i="16"/>
  <c r="Z937" i="16"/>
  <c r="AF937" i="16"/>
  <c r="Z938" i="16"/>
  <c r="AF938" i="16"/>
  <c r="Z939" i="16"/>
  <c r="AF939" i="16"/>
  <c r="Z940" i="16"/>
  <c r="AF940" i="16"/>
  <c r="Z941" i="16"/>
  <c r="AF941" i="16"/>
  <c r="Z942" i="16"/>
  <c r="AF942" i="16"/>
  <c r="Z943" i="16"/>
  <c r="AF943" i="16"/>
  <c r="Z944" i="16"/>
  <c r="AF944" i="16"/>
  <c r="Z945" i="16"/>
  <c r="AF945" i="16"/>
  <c r="Z946" i="16"/>
  <c r="AF946" i="16"/>
  <c r="Z947" i="16"/>
  <c r="AF947" i="16"/>
  <c r="Z948" i="16"/>
  <c r="AF948" i="16"/>
  <c r="Z949" i="16"/>
  <c r="AF949" i="16"/>
  <c r="Z950" i="16"/>
  <c r="AF950" i="16"/>
  <c r="Z951" i="16"/>
  <c r="AF951" i="16"/>
  <c r="Z952" i="16"/>
  <c r="AF952" i="16"/>
  <c r="Z953" i="16"/>
  <c r="AF953" i="16"/>
  <c r="Z954" i="16"/>
  <c r="AF954" i="16"/>
  <c r="Z955" i="16"/>
  <c r="AF955" i="16"/>
  <c r="Z956" i="16"/>
  <c r="AF956" i="16"/>
  <c r="Z957" i="16"/>
  <c r="AF957" i="16"/>
  <c r="Z958" i="16"/>
  <c r="AF958" i="16"/>
  <c r="Z959" i="16"/>
  <c r="AF959" i="16"/>
  <c r="Z960" i="16"/>
  <c r="AF960" i="16"/>
  <c r="Z961" i="16"/>
  <c r="AF961" i="16"/>
  <c r="Z962" i="16"/>
  <c r="AF962" i="16"/>
  <c r="Z963" i="16"/>
  <c r="AF963" i="16"/>
  <c r="Z964" i="16"/>
  <c r="AF964" i="16"/>
  <c r="Z965" i="16"/>
  <c r="AF965" i="16"/>
  <c r="Z966" i="16"/>
  <c r="AF966" i="16"/>
  <c r="Z967" i="16"/>
  <c r="AF967" i="16"/>
  <c r="Z968" i="16"/>
  <c r="AF968" i="16"/>
  <c r="Z969" i="16"/>
  <c r="AF969" i="16"/>
  <c r="Z970" i="16"/>
  <c r="AF970" i="16"/>
  <c r="Z971" i="16"/>
  <c r="AF971" i="16"/>
  <c r="Z972" i="16"/>
  <c r="AF972" i="16"/>
  <c r="Z973" i="16"/>
  <c r="AF973" i="16"/>
  <c r="Z974" i="16"/>
  <c r="AF974" i="16"/>
  <c r="Z975" i="16"/>
  <c r="AF975" i="16"/>
  <c r="Z976" i="16"/>
  <c r="AF976" i="16"/>
  <c r="Z977" i="16"/>
  <c r="AF977" i="16"/>
  <c r="Z978" i="16"/>
  <c r="AF978" i="16"/>
  <c r="Z979" i="16"/>
  <c r="AF979" i="16"/>
  <c r="Z980" i="16"/>
  <c r="AF980" i="16"/>
  <c r="Z981" i="16"/>
  <c r="AF981" i="16"/>
  <c r="Z982" i="16"/>
  <c r="AF982" i="16"/>
  <c r="Z983" i="16"/>
  <c r="AF983" i="16"/>
  <c r="Z984" i="16"/>
  <c r="AF984" i="16"/>
  <c r="Z985" i="16"/>
  <c r="AF985" i="16"/>
  <c r="Z986" i="16"/>
  <c r="AF986" i="16"/>
  <c r="Z987" i="16"/>
  <c r="AF987" i="16"/>
  <c r="Z988" i="16"/>
  <c r="AF988" i="16"/>
  <c r="Z989" i="16"/>
  <c r="AF989" i="16"/>
  <c r="Z990" i="16"/>
  <c r="AF990" i="16"/>
  <c r="Z991" i="16"/>
  <c r="AF991" i="16"/>
  <c r="Z992" i="16"/>
  <c r="AF992" i="16"/>
  <c r="Z993" i="16"/>
  <c r="AF993" i="16"/>
  <c r="Z994" i="16"/>
  <c r="AF994" i="16"/>
  <c r="Z995" i="16"/>
  <c r="AF995" i="16"/>
  <c r="Z996" i="16"/>
  <c r="AF996" i="16"/>
  <c r="Z997" i="16"/>
  <c r="AF997" i="16"/>
  <c r="Z998" i="16"/>
  <c r="AF998" i="16"/>
  <c r="Z999" i="16"/>
  <c r="AF999" i="16"/>
  <c r="Z1000" i="16"/>
  <c r="AF1000" i="16"/>
  <c r="Z1001" i="16"/>
  <c r="AF1001" i="16"/>
  <c r="Z1002" i="16"/>
  <c r="AF1002" i="16"/>
  <c r="Z1003" i="16"/>
  <c r="AF1003" i="16"/>
  <c r="Y1004" i="16"/>
  <c r="AE1004" i="16"/>
  <c r="Y1005" i="16"/>
  <c r="AE1005" i="16"/>
  <c r="Y1006" i="16"/>
  <c r="AE1006" i="16"/>
  <c r="Y1007" i="16"/>
  <c r="AE1007" i="16"/>
  <c r="Y1008" i="16"/>
  <c r="AE1008" i="16"/>
  <c r="Y1009" i="16"/>
  <c r="AE1009" i="16"/>
  <c r="Y1010" i="16"/>
  <c r="AE1010" i="16"/>
  <c r="Y1011" i="16"/>
  <c r="AE1011" i="16"/>
  <c r="Y1012" i="16"/>
  <c r="AE1012" i="16"/>
  <c r="Y1013" i="16"/>
  <c r="AE1013" i="16"/>
  <c r="Y1014" i="16"/>
  <c r="AE1014" i="16"/>
  <c r="Y1015" i="16"/>
  <c r="AE1015" i="16"/>
  <c r="Y1016" i="16"/>
  <c r="AE1016" i="16"/>
  <c r="Y1017" i="16"/>
  <c r="AE1017" i="16"/>
  <c r="Y1018" i="16"/>
  <c r="AE1018" i="16"/>
  <c r="Y1019" i="16"/>
  <c r="AE1019" i="16"/>
  <c r="Y1020" i="16"/>
  <c r="AE1020" i="16"/>
  <c r="Y1021" i="16"/>
  <c r="AE1021" i="16"/>
  <c r="Y1022" i="16"/>
  <c r="AE1022" i="16"/>
  <c r="Y1023" i="16"/>
  <c r="AE1023" i="16"/>
  <c r="Y1024" i="16"/>
  <c r="AE1024" i="16"/>
  <c r="Y1025" i="16"/>
  <c r="AE1025" i="16"/>
  <c r="Y1026" i="16"/>
  <c r="AE1026" i="16"/>
  <c r="Y1027" i="16"/>
  <c r="AE1027" i="16"/>
  <c r="Y1028" i="16"/>
  <c r="AE1028" i="16"/>
  <c r="Y1029" i="16"/>
  <c r="AE1029" i="16"/>
  <c r="Y1030" i="16"/>
  <c r="AE1030" i="16"/>
  <c r="Y1031" i="16"/>
  <c r="AE1031" i="16"/>
  <c r="Z1032" i="16"/>
  <c r="AF1032" i="16"/>
  <c r="Z1033" i="16"/>
  <c r="AF1033" i="16"/>
  <c r="Z1034" i="16"/>
  <c r="AF1034" i="16"/>
  <c r="Z1035" i="16"/>
  <c r="AF1035" i="16"/>
  <c r="Z1036" i="16"/>
  <c r="AF1036" i="16"/>
  <c r="Z1037" i="16"/>
  <c r="AF1037" i="16"/>
  <c r="Z1038" i="16"/>
  <c r="AF1038" i="16"/>
  <c r="Z1039" i="16"/>
  <c r="AF1039" i="16"/>
  <c r="Z1040" i="16"/>
  <c r="AF1040" i="16"/>
  <c r="Z1041" i="16"/>
  <c r="AF1041" i="16"/>
  <c r="Z1042" i="16"/>
  <c r="AF1042" i="16"/>
  <c r="Z1043" i="16"/>
  <c r="AF1043" i="16"/>
  <c r="Z1044" i="16"/>
  <c r="AF1044" i="16"/>
  <c r="Z1045" i="16"/>
  <c r="AF1045" i="16"/>
  <c r="Z1046" i="16"/>
  <c r="AF1046" i="16"/>
  <c r="Z1047" i="16"/>
  <c r="AF1047" i="16"/>
  <c r="Z1048" i="16"/>
  <c r="AF1048" i="16"/>
  <c r="Z1049" i="16"/>
  <c r="AF1049" i="16"/>
  <c r="Z1050" i="16"/>
  <c r="AF1050" i="16"/>
  <c r="Z1051" i="16"/>
  <c r="AF1051" i="16"/>
  <c r="Z1052" i="16"/>
  <c r="AF1052" i="16"/>
  <c r="Z1053" i="16"/>
  <c r="AF1053" i="16"/>
  <c r="Z1054" i="16"/>
  <c r="AF1054" i="16"/>
  <c r="Z1055" i="16"/>
  <c r="AF1055" i="16"/>
  <c r="Z1056" i="16"/>
  <c r="AF1056" i="16"/>
  <c r="Z1057" i="16"/>
  <c r="AF1057" i="16"/>
  <c r="Z1058" i="16"/>
  <c r="AF1058" i="16"/>
  <c r="Z1059" i="16"/>
  <c r="AF1059" i="16"/>
  <c r="Z1060" i="16"/>
  <c r="AF1060" i="16"/>
  <c r="Z1061" i="16"/>
  <c r="AF1061" i="16"/>
  <c r="Z1062" i="16"/>
  <c r="AF1062" i="16"/>
  <c r="Z1063" i="16"/>
  <c r="AF1063" i="16"/>
  <c r="Z1064" i="16"/>
  <c r="AF1064" i="16"/>
  <c r="Z1065" i="16"/>
  <c r="AF1065" i="16"/>
  <c r="Z1066" i="16"/>
  <c r="AF1066" i="16"/>
  <c r="Z1067" i="16"/>
  <c r="AF1067" i="16"/>
  <c r="Z1068" i="16"/>
  <c r="AF1068" i="16"/>
  <c r="Z1069" i="16"/>
  <c r="AF1069" i="16"/>
  <c r="Z1070" i="16"/>
  <c r="AF1070" i="16"/>
  <c r="Z1071" i="16"/>
  <c r="AF1071" i="16"/>
  <c r="Z1072" i="16"/>
  <c r="AF1072" i="16"/>
  <c r="Z1073" i="16"/>
  <c r="AF1073" i="16"/>
  <c r="Z1074" i="16"/>
  <c r="AF1074" i="16"/>
  <c r="Z1075" i="16"/>
  <c r="AF1075" i="16"/>
  <c r="Y1076" i="16"/>
  <c r="AE1076" i="16"/>
  <c r="Y1077" i="16"/>
  <c r="AE1077" i="16"/>
  <c r="Y1078" i="16"/>
  <c r="AE1078" i="16"/>
  <c r="Y1079" i="16"/>
  <c r="AE1079" i="16"/>
  <c r="Y1080" i="16"/>
  <c r="AE1080" i="16"/>
  <c r="Y1081" i="16"/>
  <c r="AE1081" i="16"/>
  <c r="Y1082" i="16"/>
  <c r="AE1082" i="16"/>
  <c r="Y1083" i="16"/>
  <c r="AE1083" i="16"/>
  <c r="Y1084" i="16"/>
  <c r="AE1084" i="16"/>
  <c r="Y1085" i="16"/>
  <c r="AE1085" i="16"/>
  <c r="Y1086" i="16"/>
  <c r="AE1086" i="16"/>
  <c r="Y1087" i="16"/>
  <c r="AE1087" i="16"/>
  <c r="Y1088" i="16"/>
  <c r="AE1088" i="16"/>
  <c r="Y1089" i="16"/>
  <c r="AE1089" i="16"/>
  <c r="Y1090" i="16"/>
  <c r="AE1090" i="16"/>
  <c r="Y1091" i="16"/>
  <c r="AE1091" i="16"/>
  <c r="Z1092" i="16"/>
  <c r="AF1092" i="16"/>
  <c r="Z1093" i="16"/>
  <c r="AF1093" i="16"/>
  <c r="Z1094" i="16"/>
  <c r="AF1094" i="16"/>
  <c r="Z1095" i="16"/>
  <c r="AF1095" i="16"/>
  <c r="Z1096" i="16"/>
  <c r="AF1096" i="16"/>
  <c r="Z1097" i="16"/>
  <c r="AF1097" i="16"/>
  <c r="Z1098" i="16"/>
  <c r="AF1098" i="16"/>
  <c r="Z1099" i="16"/>
  <c r="AF1099" i="16"/>
  <c r="Z1100" i="16"/>
  <c r="AF1100" i="16"/>
  <c r="Z1101" i="16"/>
  <c r="AF1101" i="16"/>
  <c r="Z1102" i="16"/>
  <c r="AF1102" i="16"/>
  <c r="Z1103" i="16"/>
  <c r="AF1103" i="16"/>
  <c r="Z1104" i="16"/>
  <c r="AF1104" i="16"/>
  <c r="Z1105" i="16"/>
  <c r="AF1105" i="16"/>
  <c r="Z1106" i="16"/>
  <c r="AF1106" i="16"/>
  <c r="Z1107" i="16"/>
  <c r="AF1107" i="16"/>
  <c r="Z1108" i="16"/>
  <c r="AF1108" i="16"/>
  <c r="Z1109" i="16"/>
  <c r="AF1109" i="16"/>
  <c r="Z1110" i="16"/>
  <c r="AF1110" i="16"/>
  <c r="Z1111" i="16"/>
  <c r="AF1111" i="16"/>
  <c r="Z1112" i="16"/>
  <c r="AF1112" i="16"/>
  <c r="Z1113" i="16"/>
  <c r="AF1113" i="16"/>
  <c r="Z1114" i="16"/>
  <c r="AF1114" i="16"/>
  <c r="Z1115" i="16"/>
  <c r="AF1115" i="16"/>
  <c r="Z1116" i="16"/>
  <c r="AF1116" i="16"/>
  <c r="Z1117" i="16"/>
  <c r="AF1117" i="16"/>
  <c r="Z1118" i="16"/>
  <c r="AF1118" i="16"/>
  <c r="Z1119" i="16"/>
  <c r="AF1119" i="16"/>
  <c r="Z1120" i="16"/>
  <c r="AF1120" i="16"/>
  <c r="Z1121" i="16"/>
  <c r="AF1121" i="16"/>
  <c r="Z1122" i="16"/>
  <c r="AF1122" i="16"/>
  <c r="Z1123" i="16"/>
  <c r="AF1123" i="16"/>
  <c r="Z1124" i="16"/>
  <c r="AF1124" i="16"/>
  <c r="Z1125" i="16"/>
  <c r="AF1125" i="16"/>
  <c r="Z1126" i="16"/>
  <c r="AF1126" i="16"/>
  <c r="Z1127" i="16"/>
  <c r="AF1127" i="16"/>
  <c r="Z1128" i="16"/>
  <c r="AF1128" i="16"/>
  <c r="Z1129" i="16"/>
  <c r="AF1129" i="16"/>
  <c r="Z1130" i="16"/>
  <c r="AF1130" i="16"/>
  <c r="Z1131" i="16"/>
  <c r="AF1131" i="16"/>
  <c r="Z1132" i="16"/>
  <c r="AF1132" i="16"/>
  <c r="Z1133" i="16"/>
  <c r="AF1133" i="16"/>
  <c r="Z1134" i="16"/>
  <c r="AF1134" i="16"/>
  <c r="Z1135" i="16"/>
  <c r="AF1135" i="16"/>
  <c r="Z1136" i="16"/>
  <c r="AF1136" i="16"/>
  <c r="Z1137" i="16"/>
  <c r="AF1137" i="16"/>
  <c r="Z1138" i="16"/>
  <c r="AF1138" i="16"/>
  <c r="Z1139" i="16"/>
  <c r="AF1139" i="16"/>
  <c r="Z1140" i="16"/>
  <c r="AF1140" i="16"/>
  <c r="Z1141" i="16"/>
  <c r="AF1141" i="16"/>
  <c r="Z1142" i="16"/>
  <c r="AF1142" i="16"/>
  <c r="Z1143" i="16"/>
  <c r="AF1143" i="16"/>
  <c r="Z1144" i="16"/>
  <c r="AF1144" i="16"/>
  <c r="Y1145" i="16"/>
  <c r="AE1145" i="16"/>
  <c r="Y1146" i="16"/>
  <c r="AE1146" i="16"/>
  <c r="Y1147" i="16"/>
  <c r="AE1147" i="16"/>
  <c r="Y1148" i="16"/>
  <c r="AE1148" i="16"/>
  <c r="Y1149" i="16"/>
  <c r="AE1149" i="16"/>
  <c r="Y1150" i="16"/>
  <c r="AE1150" i="16"/>
  <c r="Y1151" i="16"/>
  <c r="AE1151" i="16"/>
  <c r="Y1152" i="16"/>
  <c r="AE1152" i="16"/>
  <c r="Y1153" i="16"/>
  <c r="AE1153" i="16"/>
  <c r="Y1154" i="16"/>
  <c r="AE1154" i="16"/>
  <c r="Y1155" i="16"/>
  <c r="AE1155" i="16"/>
  <c r="Y1156" i="16"/>
  <c r="AE1156" i="16"/>
  <c r="Y1157" i="16"/>
  <c r="AE1157" i="16"/>
  <c r="Y1158" i="16"/>
  <c r="AE1158" i="16"/>
  <c r="Y1159" i="16"/>
  <c r="AE1159" i="16"/>
  <c r="Y1160" i="16"/>
  <c r="AE1160" i="16"/>
  <c r="Y1161" i="16"/>
  <c r="AE1161" i="16"/>
  <c r="Y1162" i="16"/>
  <c r="AE1162" i="16"/>
  <c r="Y1163" i="16"/>
  <c r="AE1163" i="16"/>
  <c r="Y1164" i="16"/>
  <c r="AE1164" i="16"/>
  <c r="Y1165" i="16"/>
  <c r="AE1165" i="16"/>
  <c r="Y1166" i="16"/>
  <c r="AE1166" i="16"/>
  <c r="Y1167" i="16"/>
  <c r="AE1167" i="16"/>
  <c r="Y1168" i="16"/>
  <c r="AE1168" i="16"/>
  <c r="Y1169" i="16"/>
  <c r="AE1169" i="16"/>
  <c r="Y1170" i="16"/>
  <c r="AE1170" i="16"/>
  <c r="Y1171" i="16"/>
  <c r="AE1171" i="16"/>
  <c r="Y1172" i="16"/>
  <c r="AE1172" i="16"/>
  <c r="Y1173" i="16"/>
  <c r="AE1173" i="16"/>
  <c r="Y1174" i="16"/>
  <c r="AE1174" i="16"/>
  <c r="Y1175" i="16"/>
  <c r="AE1175" i="16"/>
  <c r="Z1176" i="16"/>
  <c r="AF1176" i="16"/>
  <c r="Z1177" i="16"/>
  <c r="AF1177" i="16"/>
  <c r="Z1178" i="16"/>
  <c r="AF1178" i="16"/>
  <c r="Z1179" i="16"/>
  <c r="AF1179" i="16"/>
  <c r="Z1180" i="16"/>
  <c r="AF1180" i="16"/>
  <c r="Z1181" i="16"/>
  <c r="AF1181" i="16"/>
  <c r="Z1182" i="16"/>
  <c r="AF1182" i="16"/>
  <c r="Z1183" i="16"/>
  <c r="AF1183" i="16"/>
  <c r="Z1184" i="16"/>
  <c r="AF1184" i="16"/>
  <c r="Z1185" i="16"/>
  <c r="AF1185" i="16"/>
  <c r="Z1186" i="16"/>
  <c r="AF1186" i="16"/>
  <c r="Z1187" i="16"/>
  <c r="AF1187" i="16"/>
  <c r="Z1188" i="16"/>
  <c r="AF1188" i="16"/>
  <c r="Z1189" i="16"/>
  <c r="AF1189" i="16"/>
  <c r="Z1190" i="16"/>
  <c r="AF1190" i="16"/>
  <c r="Z1191" i="16"/>
  <c r="AF1191" i="16"/>
  <c r="Z1192" i="16"/>
  <c r="AF1192" i="16"/>
  <c r="Z1193" i="16"/>
  <c r="AF1193" i="16"/>
  <c r="Z1194" i="16"/>
  <c r="AF1194" i="16"/>
  <c r="Z1195" i="16"/>
  <c r="AF1195" i="16"/>
  <c r="Z1196" i="16"/>
  <c r="AF1196" i="16"/>
  <c r="Z1197" i="16"/>
  <c r="AF1197" i="16"/>
  <c r="Z1198" i="16"/>
  <c r="AF1198" i="16"/>
  <c r="Z1199" i="16"/>
  <c r="AF1199" i="16"/>
  <c r="Z1200" i="16"/>
  <c r="AF1200" i="16"/>
  <c r="Z1201" i="16"/>
  <c r="AF1201" i="16"/>
  <c r="Z1202" i="16"/>
  <c r="AF1202" i="16"/>
  <c r="Z1203" i="16"/>
  <c r="AF1203" i="16"/>
  <c r="Z1204" i="16"/>
  <c r="AF1204" i="16"/>
  <c r="Z1205" i="16"/>
  <c r="AF1205" i="16"/>
  <c r="Z1206" i="16"/>
  <c r="AF1206" i="16"/>
  <c r="Z1207" i="16"/>
  <c r="AF1207" i="16"/>
  <c r="Z1208" i="16"/>
  <c r="AF1208" i="16"/>
  <c r="Z1209" i="16"/>
  <c r="AF1209" i="16"/>
  <c r="Z1210" i="16"/>
  <c r="AF1210" i="16"/>
  <c r="Z1211" i="16"/>
  <c r="AF1211" i="16"/>
  <c r="Z1212" i="16"/>
  <c r="AF1212" i="16"/>
  <c r="Z1213" i="16"/>
  <c r="AF1213" i="16"/>
  <c r="Z1214" i="16"/>
  <c r="AF1214" i="16"/>
  <c r="Z1215" i="16"/>
  <c r="AF1215" i="16"/>
  <c r="Z1216" i="16"/>
  <c r="AF1216" i="16"/>
  <c r="Y1217" i="16"/>
  <c r="AE1217" i="16"/>
  <c r="Y1218" i="16"/>
  <c r="AE1218" i="16"/>
  <c r="Y1219" i="16"/>
  <c r="AE1219" i="16"/>
  <c r="Y1220" i="16"/>
  <c r="AE1220" i="16"/>
  <c r="Y1221" i="16"/>
  <c r="AE1221" i="16"/>
  <c r="Y1222" i="16"/>
  <c r="AE1222" i="16"/>
  <c r="Y1223" i="16"/>
  <c r="AE1223" i="16"/>
  <c r="Y1224" i="16"/>
  <c r="AE1224" i="16"/>
  <c r="Y1225" i="16"/>
  <c r="AE1225" i="16"/>
  <c r="Y1226" i="16"/>
  <c r="AE1226" i="16"/>
  <c r="Y1227" i="16"/>
  <c r="AE1227" i="16"/>
  <c r="Y1228" i="16"/>
  <c r="AE1228" i="16"/>
  <c r="Y1229" i="16"/>
  <c r="AE1229" i="16"/>
  <c r="Y1230" i="16"/>
  <c r="AE1230" i="16"/>
  <c r="Y1231" i="16"/>
  <c r="AE1231" i="16"/>
  <c r="Y1232" i="16"/>
  <c r="AE1232" i="16"/>
  <c r="Y1233" i="16"/>
  <c r="AE1233" i="16"/>
  <c r="Y1234" i="16"/>
  <c r="AE1234" i="16"/>
  <c r="Y1235" i="16"/>
  <c r="AE1235" i="16"/>
  <c r="Y1236" i="16"/>
  <c r="AE1236" i="16"/>
  <c r="Y1237" i="16"/>
  <c r="AE1237" i="16"/>
  <c r="Y1238" i="16"/>
  <c r="AE1238" i="16"/>
  <c r="Y1239" i="16"/>
  <c r="AE1239" i="16"/>
  <c r="Y1240" i="16"/>
  <c r="AE1240" i="16"/>
  <c r="Z1241" i="16"/>
  <c r="AF1241" i="16"/>
  <c r="Z1242" i="16"/>
  <c r="AF1242" i="16"/>
  <c r="Z1243" i="16"/>
  <c r="AF1243" i="16"/>
  <c r="Z1244" i="16"/>
  <c r="AF1244" i="16"/>
  <c r="Z1245" i="16"/>
  <c r="AF1245" i="16"/>
  <c r="Z1246" i="16"/>
  <c r="AF1246" i="16"/>
  <c r="Z1247" i="16"/>
  <c r="AF1247" i="16"/>
  <c r="Z1248" i="16"/>
  <c r="AF1248" i="16"/>
  <c r="Z1249" i="16"/>
  <c r="AF1249" i="16"/>
  <c r="Z1250" i="16"/>
  <c r="AF1250" i="16"/>
  <c r="Z1251" i="16"/>
  <c r="AF1251" i="16"/>
  <c r="Z1252" i="16"/>
  <c r="AF1252" i="16"/>
  <c r="Z1253" i="16"/>
  <c r="AF1253" i="16"/>
  <c r="Z1254" i="16"/>
  <c r="AF1254" i="16"/>
  <c r="Z1255" i="16"/>
  <c r="AF1255" i="16"/>
  <c r="Z1256" i="16"/>
  <c r="AF1256" i="16"/>
  <c r="Z1257" i="16"/>
  <c r="AF1257" i="16"/>
  <c r="Z1258" i="16"/>
  <c r="AF1258" i="16"/>
  <c r="Z1259" i="16"/>
  <c r="AF1259" i="16"/>
  <c r="Z1260" i="16"/>
  <c r="AF1260" i="16"/>
  <c r="Z1261" i="16"/>
  <c r="AF1261" i="16"/>
  <c r="Z1262" i="16"/>
  <c r="AF1262" i="16"/>
  <c r="Z1263" i="16"/>
  <c r="AF1263" i="16"/>
  <c r="Z1264" i="16"/>
  <c r="AF1264" i="16"/>
  <c r="Z1265" i="16"/>
  <c r="AF1265" i="16"/>
  <c r="Z1266" i="16"/>
  <c r="AF1266" i="16"/>
  <c r="Z1267" i="16"/>
  <c r="AF1267" i="16"/>
  <c r="Z1268" i="16"/>
  <c r="AF1268" i="16"/>
  <c r="Z1269" i="16"/>
  <c r="AF1269" i="16"/>
  <c r="Z1270" i="16"/>
  <c r="AF1270" i="16"/>
  <c r="Z1271" i="16"/>
  <c r="AF1271" i="16"/>
  <c r="Z1272" i="16"/>
  <c r="AF1272" i="16"/>
  <c r="Z1273" i="16"/>
  <c r="AF1273" i="16"/>
  <c r="Z1274" i="16"/>
  <c r="AF1274" i="16"/>
  <c r="Z1275" i="16"/>
  <c r="AF1275" i="16"/>
  <c r="Z1276" i="16"/>
  <c r="AF1276" i="16"/>
  <c r="Z1277" i="16"/>
  <c r="AF1277" i="16"/>
  <c r="Z1278" i="16"/>
  <c r="AF1278" i="16"/>
  <c r="Z1279" i="16"/>
  <c r="AF1279" i="16"/>
  <c r="Z1280" i="16"/>
  <c r="AF1280" i="16"/>
  <c r="Z1281" i="16"/>
  <c r="AF1281" i="16"/>
  <c r="Z1282" i="16"/>
  <c r="AF1282" i="16"/>
  <c r="Z1283" i="16"/>
  <c r="AF1283" i="16"/>
  <c r="Z1284" i="16"/>
  <c r="AF1284" i="16"/>
  <c r="Z1285" i="16"/>
  <c r="AF1285" i="16"/>
  <c r="Z1286" i="16"/>
  <c r="AF1286" i="16"/>
  <c r="Z1287" i="16"/>
  <c r="AF1287" i="16"/>
  <c r="Z1288" i="16"/>
  <c r="AF1288" i="16"/>
  <c r="Z1289" i="16"/>
  <c r="AF1289" i="16"/>
  <c r="Y1290" i="16"/>
  <c r="AE1290" i="16"/>
  <c r="Y1291" i="16"/>
  <c r="AE1291" i="16"/>
  <c r="Y1292" i="16"/>
  <c r="AE1292" i="16"/>
  <c r="Y1293" i="16"/>
  <c r="AE1293" i="16"/>
  <c r="Y1294" i="16"/>
  <c r="AE1294" i="16"/>
  <c r="Y1295" i="16"/>
  <c r="AE1295" i="16"/>
  <c r="Y1296" i="16"/>
  <c r="AE1296" i="16"/>
  <c r="Y1297" i="16"/>
  <c r="AE1297" i="16"/>
  <c r="Y1298" i="16"/>
  <c r="AE1298" i="16"/>
  <c r="Y1299" i="16"/>
  <c r="AE1299" i="16"/>
  <c r="Y1300" i="16"/>
  <c r="AE1300" i="16"/>
  <c r="Y1301" i="16"/>
  <c r="AE1301" i="16"/>
  <c r="Y1302" i="16"/>
  <c r="AE1302" i="16"/>
  <c r="Y1303" i="16"/>
  <c r="AE1303" i="16"/>
  <c r="Y1304" i="16"/>
  <c r="AE1304" i="16"/>
  <c r="Y1305" i="16"/>
  <c r="AE1305" i="16"/>
  <c r="Y1306" i="16"/>
  <c r="AE1306" i="16"/>
  <c r="Y1307" i="16"/>
  <c r="AE1307" i="16"/>
  <c r="Y1308" i="16"/>
  <c r="AE1308" i="16"/>
  <c r="Y1309" i="16"/>
  <c r="AE1309" i="16"/>
  <c r="Y1310" i="16"/>
  <c r="AE1310" i="16"/>
  <c r="Y1311" i="16"/>
  <c r="AE1311" i="16"/>
  <c r="Y1312" i="16"/>
  <c r="AE1312" i="16"/>
  <c r="Y1313" i="16"/>
  <c r="AE1313" i="16"/>
  <c r="Y1314" i="16"/>
  <c r="AE1314" i="16"/>
  <c r="Z1315" i="16"/>
  <c r="AF1315" i="16"/>
  <c r="Z1316" i="16"/>
  <c r="AF1316" i="16"/>
  <c r="Z1317" i="16"/>
  <c r="AF1317" i="16"/>
  <c r="Z1318" i="16"/>
  <c r="AF1318" i="16"/>
  <c r="Z1319" i="16"/>
  <c r="AF1319" i="16"/>
  <c r="Z1320" i="16"/>
  <c r="AF1320" i="16"/>
  <c r="Z1321" i="16"/>
  <c r="AF1321" i="16"/>
  <c r="Z1322" i="16"/>
  <c r="AF1322" i="16"/>
  <c r="Z1323" i="16"/>
  <c r="AF1323" i="16"/>
  <c r="Z1324" i="16"/>
  <c r="AF1324" i="16"/>
  <c r="Z1325" i="16"/>
  <c r="AF1325" i="16"/>
  <c r="Z1326" i="16"/>
  <c r="AF1326" i="16"/>
  <c r="Z1327" i="16"/>
  <c r="AF1327" i="16"/>
  <c r="Z1328" i="16"/>
  <c r="AF1328" i="16"/>
  <c r="Z1329" i="16"/>
  <c r="AF1329" i="16"/>
  <c r="Z1330" i="16"/>
  <c r="AF1330" i="16"/>
  <c r="Z1331" i="16"/>
  <c r="AF1331" i="16"/>
  <c r="Z1332" i="16"/>
  <c r="AF1332" i="16"/>
  <c r="Z1333" i="16"/>
  <c r="AF1333" i="16"/>
  <c r="Z1334" i="16"/>
  <c r="AF1334" i="16"/>
  <c r="Z1335" i="16"/>
  <c r="AF1335" i="16"/>
  <c r="Z1336" i="16"/>
  <c r="AF1336" i="16"/>
  <c r="Z1337" i="16"/>
  <c r="AF1337" i="16"/>
  <c r="Z1338" i="16"/>
  <c r="AF1338" i="16"/>
  <c r="Z1339" i="16"/>
  <c r="AF1339" i="16"/>
  <c r="Z1340" i="16"/>
  <c r="AF1340" i="16"/>
  <c r="Z1341" i="16"/>
  <c r="AF1341" i="16"/>
  <c r="Z1342" i="16"/>
  <c r="AF1342" i="16"/>
  <c r="Z1343" i="16"/>
  <c r="AF1343" i="16"/>
  <c r="Z1344" i="16"/>
  <c r="AF1344" i="16"/>
  <c r="Z1345" i="16"/>
  <c r="AF1345" i="16"/>
  <c r="Z1346" i="16"/>
  <c r="AF1346" i="16"/>
  <c r="Z1347" i="16"/>
  <c r="AF1347" i="16"/>
  <c r="Z1348" i="16"/>
  <c r="AF1348" i="16"/>
  <c r="Z1349" i="16"/>
  <c r="AF1349" i="16"/>
  <c r="Z1350" i="16"/>
  <c r="AF1350" i="16"/>
  <c r="Z1351" i="16"/>
  <c r="AF1351" i="16"/>
  <c r="Z1352" i="16"/>
  <c r="AF1352" i="16"/>
  <c r="Z1353" i="16"/>
  <c r="AF1353" i="16"/>
  <c r="Z1354" i="16"/>
  <c r="AF1354" i="16"/>
  <c r="Z1355" i="16"/>
  <c r="AF1355" i="16"/>
  <c r="Z1356" i="16"/>
  <c r="AF1356" i="16"/>
  <c r="Z1357" i="16"/>
  <c r="AF1357" i="16"/>
  <c r="Z1358" i="16"/>
  <c r="AF1358" i="16"/>
  <c r="Z1359" i="16"/>
  <c r="AF1359" i="16"/>
  <c r="Z1360" i="16"/>
  <c r="AF1360" i="16"/>
  <c r="Z1361" i="16"/>
  <c r="AF1361" i="16"/>
  <c r="Z1362" i="16"/>
  <c r="AF1362" i="16"/>
  <c r="Z1363" i="16"/>
  <c r="AF1363" i="16"/>
  <c r="Z1364" i="16"/>
  <c r="AF1364" i="16"/>
  <c r="Z1365" i="16"/>
  <c r="AF1365" i="16"/>
  <c r="Z1366" i="16"/>
  <c r="AF1366" i="16"/>
  <c r="Z1367" i="16"/>
  <c r="AF1367" i="16"/>
  <c r="Z1368" i="16"/>
  <c r="AF1368" i="16"/>
  <c r="Z1369" i="16"/>
  <c r="AF1369" i="16"/>
  <c r="Z1370" i="16"/>
  <c r="AF1370" i="16"/>
  <c r="Z1371" i="16"/>
  <c r="AF1371" i="16"/>
  <c r="Z1372" i="16"/>
  <c r="AF1372" i="16"/>
  <c r="Z1373" i="16"/>
  <c r="AF1373" i="16"/>
  <c r="Z1374" i="16"/>
  <c r="AF1374" i="16"/>
  <c r="Z1375" i="16"/>
  <c r="AF1375" i="16"/>
  <c r="Z1376" i="16"/>
  <c r="AF1376" i="16"/>
  <c r="Z1377" i="16"/>
  <c r="AF1377" i="16"/>
  <c r="Z1378" i="16"/>
  <c r="AF1378" i="16"/>
  <c r="Z1379" i="16"/>
  <c r="AF1379" i="16"/>
  <c r="Z1380" i="16"/>
  <c r="AF1380" i="16"/>
  <c r="Z1381" i="16"/>
  <c r="AF1381" i="16"/>
  <c r="Z1382" i="16"/>
  <c r="AF1382" i="16"/>
  <c r="Z1383" i="16"/>
  <c r="AF1383" i="16"/>
  <c r="Z1384" i="16"/>
  <c r="AF1384" i="16"/>
  <c r="Z1385" i="16"/>
  <c r="AF1385" i="16"/>
  <c r="Z1386" i="16"/>
  <c r="AF1386" i="16"/>
  <c r="Z1387" i="16"/>
  <c r="AF1387" i="16"/>
  <c r="Z1388" i="16"/>
  <c r="AF1388" i="16"/>
  <c r="Z1389" i="16"/>
  <c r="AF1389" i="16"/>
  <c r="Z1390" i="16"/>
  <c r="AF1390" i="16"/>
  <c r="Z1391" i="16"/>
  <c r="AF1391" i="16"/>
  <c r="Z1392" i="16"/>
  <c r="AF1392" i="16"/>
  <c r="Z1393" i="16"/>
  <c r="AF1393" i="16"/>
  <c r="Z1394" i="16"/>
  <c r="AF1394" i="16"/>
  <c r="Z1395" i="16"/>
  <c r="AF1395" i="16"/>
  <c r="Z1396" i="16"/>
  <c r="AF1396" i="16"/>
  <c r="Z1397" i="16"/>
  <c r="AF1397" i="16"/>
  <c r="Z1398" i="16"/>
  <c r="AF1398" i="16"/>
  <c r="Z1399" i="16"/>
  <c r="AF1399" i="16"/>
  <c r="Z1400" i="16"/>
  <c r="AF1400" i="16"/>
  <c r="Z1401" i="16"/>
  <c r="AF1401" i="16"/>
  <c r="Z1402" i="16"/>
  <c r="AF1402" i="16"/>
  <c r="Z1403" i="16"/>
  <c r="AF1403" i="16"/>
  <c r="Z1404" i="16"/>
  <c r="AF1404" i="16"/>
  <c r="Z1405" i="16"/>
  <c r="AF1405" i="16"/>
  <c r="Z1406" i="16"/>
  <c r="AF1406" i="16"/>
  <c r="Z1407" i="16"/>
  <c r="AF1407" i="16"/>
  <c r="Z1408" i="16"/>
  <c r="AF1408" i="16"/>
  <c r="Z1409" i="16"/>
  <c r="AF1409" i="16"/>
  <c r="Z1410" i="16"/>
  <c r="AF1410" i="16"/>
  <c r="Z1411" i="16"/>
  <c r="AF1411" i="16"/>
  <c r="Z1412" i="16"/>
  <c r="AF1412" i="16"/>
  <c r="Z1413" i="16"/>
  <c r="AF1413" i="16"/>
  <c r="Z1414" i="16"/>
  <c r="AF1414" i="16"/>
  <c r="Z1415" i="16"/>
  <c r="AF1415" i="16"/>
  <c r="Z1416" i="16"/>
  <c r="AF1416" i="16"/>
  <c r="Z1417" i="16"/>
  <c r="AF1417" i="16"/>
  <c r="Z1418" i="16"/>
  <c r="AF1418" i="16"/>
  <c r="Z1419" i="16"/>
  <c r="AF1419" i="16"/>
  <c r="Z1420" i="16"/>
  <c r="AF1420" i="16"/>
  <c r="Z1421" i="16"/>
  <c r="AF1421" i="16"/>
  <c r="Z1422" i="16"/>
  <c r="AF1422" i="16"/>
  <c r="Z1423" i="16"/>
  <c r="AF1423" i="16"/>
  <c r="Z1424" i="16"/>
  <c r="AF1424" i="16"/>
  <c r="Z1425" i="16"/>
  <c r="AF1425" i="16"/>
  <c r="Z1426" i="16"/>
  <c r="AF1426" i="16"/>
  <c r="Z1427" i="16"/>
  <c r="AF1427" i="16"/>
  <c r="Z1428" i="16"/>
  <c r="AF1428" i="16"/>
  <c r="Z1429" i="16"/>
  <c r="AF1429" i="16"/>
  <c r="Z1430" i="16"/>
  <c r="AF1430" i="16"/>
  <c r="Z1431" i="16"/>
  <c r="AF1431" i="16"/>
  <c r="Z1432" i="16"/>
  <c r="AF1432" i="16"/>
  <c r="Z1433" i="16"/>
  <c r="AF1433" i="16"/>
  <c r="Z1434" i="16"/>
  <c r="AF1434" i="16"/>
  <c r="Z1435" i="16"/>
  <c r="AF1435" i="16"/>
  <c r="Z1436" i="16"/>
  <c r="AF1436" i="16"/>
  <c r="Z1437" i="16"/>
  <c r="AF1437" i="16"/>
  <c r="Z1438" i="16"/>
  <c r="AF1438" i="16"/>
  <c r="Z1439" i="16"/>
  <c r="AF1439" i="16"/>
  <c r="Z1440" i="16"/>
  <c r="AF1440" i="16"/>
  <c r="Z1441" i="16"/>
  <c r="AF1441" i="16"/>
  <c r="Z1442" i="16"/>
  <c r="AF1442" i="16"/>
  <c r="Z1443" i="16"/>
  <c r="AF1443" i="16"/>
  <c r="Z1444" i="16"/>
  <c r="AF1444" i="16"/>
  <c r="Z1445" i="16"/>
  <c r="AF1445" i="16"/>
  <c r="Z1446" i="16"/>
  <c r="AF1446" i="16"/>
  <c r="Z1447" i="16"/>
  <c r="AF1447" i="16"/>
  <c r="Z1448" i="16"/>
  <c r="AF1448" i="16"/>
  <c r="Z1449" i="16"/>
  <c r="AF1449" i="16"/>
  <c r="Z1450" i="16"/>
  <c r="AF1450" i="16"/>
  <c r="Z1451" i="16"/>
  <c r="AF1451" i="16"/>
  <c r="Z1452" i="16"/>
  <c r="AF1452" i="16"/>
  <c r="Z1453" i="16"/>
  <c r="AF1453" i="16"/>
  <c r="Z1454" i="16"/>
  <c r="AF1454" i="16"/>
  <c r="Z1455" i="16"/>
  <c r="AF1455" i="16"/>
  <c r="Z1456" i="16"/>
  <c r="AF1456" i="16"/>
  <c r="Z1457" i="16"/>
  <c r="AF1457" i="16"/>
  <c r="Z1458" i="16"/>
  <c r="AF1458" i="16"/>
  <c r="Z1459" i="16"/>
  <c r="AF1459" i="16"/>
  <c r="Z1460" i="16"/>
  <c r="AF1460" i="16"/>
  <c r="Z1461" i="16"/>
  <c r="AF1461" i="16"/>
  <c r="Z1462" i="16"/>
  <c r="AF1462" i="16"/>
  <c r="Z1463" i="16"/>
  <c r="AF1463" i="16"/>
  <c r="Z1464" i="16"/>
  <c r="AF1464" i="16"/>
  <c r="Z1465" i="16"/>
  <c r="AF1465" i="16"/>
  <c r="Z1466" i="16"/>
  <c r="AF1466" i="16"/>
  <c r="Z1467" i="16"/>
  <c r="AF1467" i="16"/>
  <c r="Z1468" i="16"/>
  <c r="AF1468" i="16"/>
  <c r="Z1469" i="16"/>
  <c r="AF1469" i="16"/>
  <c r="Z1470" i="16"/>
  <c r="AF1470" i="16"/>
  <c r="Z1471" i="16"/>
  <c r="AF1471" i="16"/>
  <c r="Z1472" i="16"/>
  <c r="AF1472" i="16"/>
  <c r="Z1473" i="16"/>
  <c r="AF1473" i="16"/>
  <c r="Z1474" i="16"/>
  <c r="AF1474" i="16"/>
  <c r="Z1475" i="16"/>
  <c r="AF1475" i="16"/>
  <c r="Z1476" i="16"/>
  <c r="AF1476" i="16"/>
  <c r="Z1477" i="16"/>
  <c r="AF1477" i="16"/>
  <c r="Z1478" i="16"/>
  <c r="AF1478" i="16"/>
  <c r="Z1479" i="16"/>
  <c r="AF1479" i="16"/>
  <c r="Z1480" i="16"/>
  <c r="AF1480" i="16"/>
  <c r="Z1481" i="16"/>
  <c r="AF1481" i="16"/>
  <c r="Z1482" i="16"/>
  <c r="AF1482" i="16"/>
  <c r="Z1483" i="16"/>
  <c r="AF1483" i="16"/>
  <c r="Z1484" i="16"/>
  <c r="AF1484" i="16"/>
  <c r="Z1485" i="16"/>
  <c r="AF1485" i="16"/>
  <c r="Z1486" i="16"/>
  <c r="AF1486" i="16"/>
  <c r="Z1487" i="16"/>
  <c r="AF1487" i="16"/>
  <c r="Z1488" i="16"/>
  <c r="AF1488" i="16"/>
  <c r="Z1489" i="16"/>
  <c r="AF1489" i="16"/>
  <c r="Z1490" i="16"/>
  <c r="AF1490" i="16"/>
  <c r="Z1491" i="16"/>
  <c r="AF1491" i="16"/>
  <c r="Z1492" i="16"/>
  <c r="AF1492" i="16"/>
  <c r="Z1493" i="16"/>
  <c r="AF1493" i="16"/>
  <c r="Z1494" i="16"/>
  <c r="AF1494" i="16"/>
  <c r="Z1495" i="16"/>
  <c r="AF1495" i="16"/>
  <c r="Z1496" i="16"/>
  <c r="AF1496" i="16"/>
  <c r="Z1497" i="16"/>
  <c r="AF1497" i="16"/>
  <c r="Z1498" i="16"/>
  <c r="AF1498" i="16"/>
  <c r="Z1499" i="16"/>
  <c r="AF1499" i="16"/>
  <c r="Z1500" i="16"/>
  <c r="AF1500" i="16"/>
  <c r="Z1501" i="16"/>
  <c r="AF1501" i="16"/>
  <c r="Z1502" i="16"/>
  <c r="AF1502" i="16"/>
  <c r="Z1503" i="16"/>
  <c r="AF1503" i="16"/>
  <c r="Z1504" i="16"/>
  <c r="AF1504" i="16"/>
  <c r="Z1505" i="16"/>
  <c r="AF1505" i="16"/>
  <c r="Z1506" i="16"/>
  <c r="AF1506" i="16"/>
  <c r="Z1507" i="16"/>
  <c r="AF1507" i="16"/>
  <c r="Z1508" i="16"/>
  <c r="AF1508" i="16"/>
  <c r="Z1509" i="16"/>
  <c r="AF1509" i="16"/>
  <c r="Z1510" i="16"/>
  <c r="AF1510" i="16"/>
  <c r="Z1511" i="16"/>
  <c r="AF1511" i="16"/>
  <c r="Z1512" i="16"/>
  <c r="AF1512" i="16"/>
  <c r="Z1513" i="16"/>
  <c r="AF1513" i="16"/>
  <c r="Z1514" i="16"/>
  <c r="AF1514" i="16"/>
  <c r="Z1515" i="16"/>
  <c r="AF1515" i="16"/>
  <c r="Z1516" i="16"/>
  <c r="AF1516" i="16"/>
  <c r="Z1517" i="16"/>
  <c r="AF1517" i="16"/>
  <c r="Z1518" i="16"/>
  <c r="AF1518" i="16"/>
  <c r="Z1519" i="16"/>
  <c r="AF1519" i="16"/>
  <c r="Z1520" i="16"/>
  <c r="AF1520" i="16"/>
  <c r="Z1521" i="16"/>
  <c r="AF1521" i="16"/>
  <c r="Z1522" i="16"/>
  <c r="AF1522" i="16"/>
  <c r="Z1523" i="16"/>
  <c r="AF1523" i="16"/>
  <c r="Z1524" i="16"/>
  <c r="AF1524" i="16"/>
  <c r="Z1525" i="16"/>
  <c r="AF1525" i="16"/>
  <c r="Z1526" i="16"/>
  <c r="AF1526" i="16"/>
  <c r="Z1527" i="16"/>
  <c r="AF1527" i="16"/>
  <c r="Z1528" i="16"/>
  <c r="AF1528" i="16"/>
  <c r="Z1529" i="16"/>
  <c r="AF1529" i="16"/>
  <c r="Z1530" i="16"/>
  <c r="AF1530" i="16"/>
  <c r="Z1531" i="16"/>
  <c r="AF1531" i="16"/>
  <c r="Z1532" i="16"/>
  <c r="AF1532" i="16"/>
  <c r="Z1533" i="16"/>
  <c r="AF1533" i="16"/>
  <c r="Z1534" i="16"/>
  <c r="AF1534" i="16"/>
  <c r="Z1535" i="16"/>
  <c r="AF1535" i="16"/>
  <c r="Z1536" i="16"/>
  <c r="AF1536" i="16"/>
  <c r="Z1537" i="16"/>
  <c r="AF1537" i="16"/>
  <c r="Z1538" i="16"/>
  <c r="AF1538" i="16"/>
  <c r="Z1539" i="16"/>
  <c r="AF1539" i="16"/>
  <c r="Z1540" i="16"/>
  <c r="AF1540" i="16"/>
  <c r="Z1541" i="16"/>
  <c r="AF1541" i="16"/>
  <c r="Z1542" i="16"/>
  <c r="AF1542" i="16"/>
  <c r="Z1543" i="16"/>
  <c r="AF1543" i="16"/>
  <c r="Z1544" i="16"/>
  <c r="AF1544" i="16"/>
  <c r="Z1545" i="16"/>
  <c r="AF1545" i="16"/>
  <c r="Z1546" i="16"/>
  <c r="AF1546" i="16"/>
  <c r="Z1547" i="16"/>
  <c r="AF1547" i="16"/>
  <c r="Z1548" i="16"/>
  <c r="AF1548" i="16"/>
  <c r="Z1549" i="16"/>
  <c r="AF1549" i="16"/>
  <c r="Z1550" i="16"/>
  <c r="AF1550" i="16"/>
  <c r="Z1551" i="16"/>
  <c r="AF1551" i="16"/>
  <c r="Z1552" i="16"/>
  <c r="AF1552" i="16"/>
  <c r="Z1553" i="16"/>
  <c r="AF1553" i="16"/>
  <c r="Z1554" i="16"/>
  <c r="AF1554" i="16"/>
  <c r="Z1555" i="16"/>
  <c r="AF1555" i="16"/>
  <c r="Z1556" i="16"/>
  <c r="AF1556" i="16"/>
  <c r="Z1557" i="16"/>
  <c r="AF1557" i="16"/>
  <c r="Z1558" i="16"/>
  <c r="AF1558" i="16"/>
  <c r="Z1559" i="16"/>
  <c r="AF1559" i="16"/>
  <c r="Z1560" i="16"/>
  <c r="AF1560" i="16"/>
  <c r="Z1561" i="16"/>
  <c r="AF1561" i="16"/>
  <c r="Z1562" i="16"/>
  <c r="AF1562" i="16"/>
  <c r="Z1563" i="16"/>
  <c r="AF1563" i="16"/>
  <c r="Z1564" i="16"/>
  <c r="AF1564" i="16"/>
  <c r="Z1565" i="16"/>
  <c r="AF1565" i="16"/>
  <c r="Z1566" i="16"/>
  <c r="AF1566" i="16"/>
  <c r="Z1567" i="16"/>
  <c r="AF1567" i="16"/>
  <c r="Z1568" i="16"/>
  <c r="AF1568" i="16"/>
  <c r="Z1569" i="16"/>
  <c r="AF1569" i="16"/>
  <c r="Z1570" i="16"/>
  <c r="AF1570" i="16"/>
  <c r="Z1571" i="16"/>
  <c r="AF1571" i="16"/>
  <c r="Z1572" i="16"/>
  <c r="AF1572" i="16"/>
  <c r="Z1573" i="16"/>
  <c r="AF1573" i="16"/>
  <c r="Z1574" i="16"/>
  <c r="AF1574" i="16"/>
  <c r="Z1575" i="16"/>
  <c r="AF1575" i="16"/>
  <c r="Z1576" i="16"/>
  <c r="AF1576" i="16"/>
  <c r="Z1577" i="16"/>
  <c r="AF1577" i="16"/>
  <c r="Z1578" i="16"/>
  <c r="AF1578" i="16"/>
  <c r="Z1579" i="16"/>
  <c r="AF1579" i="16"/>
  <c r="Z1580" i="16"/>
  <c r="AF1580" i="16"/>
  <c r="Z1581" i="16"/>
  <c r="AF1581" i="16"/>
  <c r="Z1582" i="16"/>
  <c r="AF1582" i="16"/>
  <c r="Z1583" i="16"/>
  <c r="AF1583" i="16"/>
  <c r="Z1584" i="16"/>
  <c r="AF1584" i="16"/>
  <c r="Z1585" i="16"/>
  <c r="AF1585" i="16"/>
  <c r="Z1586" i="16"/>
  <c r="AF1586" i="16"/>
  <c r="Z1587" i="16"/>
  <c r="AF1587" i="16"/>
  <c r="Z1588" i="16"/>
  <c r="AF1588" i="16"/>
  <c r="Z1589" i="16"/>
  <c r="AF1589" i="16"/>
  <c r="Z1590" i="16"/>
  <c r="AF1590" i="16"/>
  <c r="Z1591" i="16"/>
  <c r="AF1591" i="16"/>
  <c r="Z1592" i="16"/>
  <c r="AF1592" i="16"/>
  <c r="Z1593" i="16"/>
  <c r="AF1593" i="16"/>
  <c r="Z1594" i="16"/>
  <c r="AF1594" i="16"/>
  <c r="Z1595" i="16"/>
  <c r="AF1595" i="16"/>
  <c r="Z1596" i="16"/>
  <c r="AF1596" i="16"/>
  <c r="Z1597" i="16"/>
  <c r="AF1597" i="16"/>
  <c r="Z1598" i="16"/>
  <c r="AF1598" i="16"/>
  <c r="Z1599" i="16"/>
  <c r="AF1599" i="16"/>
  <c r="Z1600" i="16"/>
  <c r="AF1600" i="16"/>
  <c r="Z1601" i="16"/>
  <c r="AF1601" i="16"/>
  <c r="Z1602" i="16"/>
  <c r="AF1602" i="16"/>
  <c r="Z1603" i="16"/>
  <c r="AF1603" i="16"/>
  <c r="Z1604" i="16"/>
  <c r="AF1604" i="16"/>
  <c r="Z1605" i="16"/>
  <c r="AF1605" i="16"/>
  <c r="Z1606" i="16"/>
  <c r="AF1606" i="16"/>
  <c r="Z1607" i="16"/>
  <c r="AF1607" i="16"/>
  <c r="Z1608" i="16"/>
  <c r="AF1608" i="16"/>
  <c r="Z1609" i="16"/>
  <c r="AF1609" i="16"/>
  <c r="Z1610" i="16"/>
  <c r="AF1610" i="16"/>
  <c r="Z1611" i="16"/>
  <c r="AF1611" i="16"/>
  <c r="Z1612" i="16"/>
  <c r="AF1612" i="16"/>
  <c r="Z1613" i="16"/>
  <c r="AF1613" i="16"/>
  <c r="Z1614" i="16"/>
  <c r="AF1614" i="16"/>
  <c r="Z1615" i="16"/>
  <c r="AF1615" i="16"/>
  <c r="Z1616" i="16"/>
  <c r="AF1616" i="16"/>
  <c r="Z1617" i="16"/>
  <c r="AF1617" i="16"/>
  <c r="Z1618" i="16"/>
  <c r="AF1618" i="16"/>
  <c r="Z1619" i="16"/>
  <c r="AF1619" i="16"/>
  <c r="Z1620" i="16"/>
  <c r="AF1620" i="16"/>
  <c r="Z1621" i="16"/>
  <c r="AF1621" i="16"/>
  <c r="Z1622" i="16"/>
  <c r="AF1622" i="16"/>
  <c r="Z1623" i="16"/>
  <c r="AF1623" i="16"/>
  <c r="Z1624" i="16"/>
  <c r="AF1624" i="16"/>
  <c r="Z1625" i="16"/>
  <c r="AF1625" i="16"/>
  <c r="Z1626" i="16"/>
  <c r="AF1626" i="16"/>
  <c r="Z1627" i="16"/>
  <c r="AF1627" i="16"/>
  <c r="Z1628" i="16"/>
  <c r="AF1628" i="16"/>
  <c r="Z1629" i="16"/>
  <c r="AF1629" i="16"/>
  <c r="Z1630" i="16"/>
  <c r="AF1630" i="16"/>
  <c r="Z1631" i="16"/>
  <c r="AF1631" i="16"/>
  <c r="Z1632" i="16"/>
  <c r="AF1632" i="16"/>
  <c r="Z1633" i="16"/>
  <c r="AF1633" i="16"/>
  <c r="Z1634" i="16"/>
  <c r="AF1634" i="16"/>
  <c r="Z1635" i="16"/>
  <c r="AF1635" i="16"/>
  <c r="Z1636" i="16"/>
  <c r="AF1636" i="16"/>
  <c r="Z1637" i="16"/>
  <c r="AF1637" i="16"/>
  <c r="Z1638" i="16"/>
  <c r="AF1638" i="16"/>
  <c r="Z1639" i="16"/>
  <c r="AF1639" i="16"/>
  <c r="Z1640" i="16"/>
  <c r="AF1640" i="16"/>
  <c r="Z1641" i="16"/>
  <c r="AF1641" i="16"/>
  <c r="Z1642" i="16"/>
  <c r="AF1642" i="16"/>
  <c r="Z1643" i="16"/>
  <c r="AF1643" i="16"/>
  <c r="Z1644" i="16"/>
  <c r="AF1644" i="16"/>
  <c r="Z1645" i="16"/>
  <c r="AF1645" i="16"/>
  <c r="Z1646" i="16"/>
  <c r="AF1646" i="16"/>
  <c r="Z1647" i="16"/>
  <c r="AF1647" i="16"/>
  <c r="Z1648" i="16"/>
  <c r="AF1648" i="16"/>
  <c r="Z1649" i="16"/>
  <c r="AF1649" i="16"/>
  <c r="Z1650" i="16"/>
  <c r="AF1650" i="16"/>
  <c r="Z1651" i="16"/>
  <c r="AF1651" i="16"/>
  <c r="Z1652" i="16"/>
  <c r="AF1652" i="16"/>
  <c r="Z1653" i="16"/>
  <c r="AF1653" i="16"/>
  <c r="Z1654" i="16"/>
  <c r="AF1654" i="16"/>
  <c r="Z1655" i="16"/>
  <c r="AF1655" i="16"/>
  <c r="Z1656" i="16"/>
  <c r="AF1656" i="16"/>
  <c r="Z1657" i="16"/>
  <c r="AF1657" i="16"/>
  <c r="Z1658" i="16"/>
  <c r="AF1658" i="16"/>
  <c r="Z1659" i="16"/>
  <c r="AF1659" i="16"/>
  <c r="Z1660" i="16"/>
  <c r="AF1660" i="16"/>
  <c r="Z1661" i="16"/>
  <c r="AF1661" i="16"/>
  <c r="Z1662" i="16"/>
  <c r="AF1662" i="16"/>
  <c r="Z1663" i="16"/>
  <c r="AF1663" i="16"/>
  <c r="Z1664" i="16"/>
  <c r="AF1664" i="16"/>
  <c r="Z1665" i="16"/>
  <c r="AF1665" i="16"/>
  <c r="Z1666" i="16"/>
  <c r="AF1666" i="16"/>
  <c r="Z1667" i="16"/>
  <c r="AF1667" i="16"/>
  <c r="Z1668" i="16"/>
  <c r="AF1668" i="16"/>
  <c r="Z1669" i="16"/>
  <c r="AF1669" i="16"/>
  <c r="Z1670" i="16"/>
  <c r="AF1670" i="16"/>
  <c r="Z1671" i="16"/>
  <c r="AF1671" i="16"/>
  <c r="Z1672" i="16"/>
  <c r="AF1672" i="16"/>
  <c r="Z1673" i="16"/>
  <c r="AF1673" i="16"/>
  <c r="Z1674" i="16"/>
  <c r="AF1674" i="16"/>
  <c r="Z1675" i="16"/>
  <c r="AF1675" i="16"/>
  <c r="Z1676" i="16"/>
  <c r="AF1676" i="16"/>
  <c r="Z1677" i="16"/>
  <c r="AF1677" i="16"/>
  <c r="Z1678" i="16"/>
  <c r="AF1678" i="16"/>
  <c r="Z1679" i="16"/>
  <c r="AF1679" i="16"/>
  <c r="Z1680" i="16"/>
  <c r="AF1680" i="16"/>
  <c r="Z1681" i="16"/>
  <c r="AF1681" i="16"/>
  <c r="Z1682" i="16"/>
  <c r="AF1682" i="16"/>
  <c r="Z1683" i="16"/>
  <c r="AF1683" i="16"/>
  <c r="Z1684" i="16"/>
  <c r="AF1684" i="16"/>
  <c r="Z1685" i="16"/>
  <c r="AF1685" i="16"/>
  <c r="Z1686" i="16"/>
  <c r="AF1686" i="16"/>
  <c r="Z1687" i="16"/>
  <c r="AF1687" i="16"/>
  <c r="Z1688" i="16"/>
  <c r="AF1688" i="16"/>
  <c r="Z1689" i="16"/>
  <c r="AF1689" i="16"/>
  <c r="Z1690" i="16"/>
  <c r="AF1690" i="16"/>
  <c r="Z1691" i="16"/>
  <c r="AF1691" i="16"/>
  <c r="Z1692" i="16"/>
  <c r="AF1692" i="16"/>
  <c r="Z1693" i="16"/>
  <c r="AF1693" i="16"/>
  <c r="Z1694" i="16"/>
  <c r="AF1694" i="16"/>
  <c r="Z1695" i="16"/>
  <c r="AF1695" i="16"/>
  <c r="Z1696" i="16"/>
  <c r="AF1696" i="16"/>
  <c r="Z1697" i="16"/>
  <c r="AF1697" i="16"/>
  <c r="Z1698" i="16"/>
  <c r="AF1698" i="16"/>
  <c r="Z1699" i="16"/>
  <c r="AF1699" i="16"/>
  <c r="Z1700" i="16"/>
  <c r="AF1700" i="16"/>
  <c r="Z1701" i="16"/>
  <c r="AF1701" i="16"/>
  <c r="Z1702" i="16"/>
  <c r="AF1702" i="16"/>
  <c r="Z1703" i="16"/>
  <c r="AF1703" i="16"/>
  <c r="Z1704" i="16"/>
  <c r="AF1704" i="16"/>
  <c r="Z1705" i="16"/>
  <c r="AF1705" i="16"/>
  <c r="Z1706" i="16"/>
  <c r="AF1706" i="16"/>
  <c r="Z1707" i="16"/>
  <c r="AF1707" i="16"/>
  <c r="Z1708" i="16"/>
  <c r="AF1708" i="16"/>
  <c r="Z1709" i="16"/>
  <c r="AF1709" i="16"/>
  <c r="Z1710" i="16"/>
  <c r="AF1710" i="16"/>
  <c r="Z1711" i="16"/>
  <c r="AF1711" i="16"/>
  <c r="Z1712" i="16"/>
  <c r="AF1712" i="16"/>
  <c r="Z1713" i="16"/>
  <c r="AF1713" i="16"/>
  <c r="Z1714" i="16"/>
  <c r="AF1714" i="16"/>
  <c r="Z1715" i="16"/>
  <c r="AF1715" i="16"/>
  <c r="Z1716" i="16"/>
  <c r="AF1716" i="16"/>
  <c r="Z1717" i="16"/>
  <c r="AF1717" i="16"/>
  <c r="Z1718" i="16"/>
  <c r="AF1718" i="16"/>
  <c r="Z1719" i="16"/>
  <c r="AF1719" i="16"/>
  <c r="Z1720" i="16"/>
  <c r="AF1720" i="16"/>
  <c r="Z1721" i="16"/>
  <c r="AF1721" i="16"/>
  <c r="Z1722" i="16"/>
  <c r="AF1722" i="16"/>
  <c r="Z1723" i="16"/>
  <c r="AF1723" i="16"/>
  <c r="Z1724" i="16"/>
  <c r="AF1724" i="16"/>
  <c r="Z1725" i="16"/>
  <c r="AF1725" i="16"/>
  <c r="Z1726" i="16"/>
  <c r="AF1726" i="16"/>
  <c r="Z1727" i="16"/>
  <c r="AF1727" i="16"/>
  <c r="Z1728" i="16"/>
  <c r="AF1728" i="16"/>
  <c r="Z1729" i="16"/>
  <c r="AF1729" i="16"/>
  <c r="Z1730" i="16"/>
  <c r="AF1730" i="16"/>
  <c r="Z1731" i="16"/>
  <c r="AF1731" i="16"/>
  <c r="Z1732" i="16"/>
  <c r="AF1732" i="16"/>
  <c r="Z1733" i="16"/>
  <c r="AF1733" i="16"/>
  <c r="Z1734" i="16"/>
  <c r="AF1734" i="16"/>
  <c r="Z1735" i="16"/>
  <c r="AF1735" i="16"/>
  <c r="Z1736" i="16"/>
  <c r="AF1736" i="16"/>
  <c r="Z1737" i="16"/>
  <c r="AF1737" i="16"/>
  <c r="Z1738" i="16"/>
  <c r="AF1738" i="16"/>
  <c r="Z1739" i="16"/>
  <c r="AF1739" i="16"/>
  <c r="Z1740" i="16"/>
  <c r="AF1740" i="16"/>
  <c r="Z1741" i="16"/>
  <c r="AF1741" i="16"/>
  <c r="Z1742" i="16"/>
  <c r="AF1742" i="16"/>
  <c r="Z1743" i="16"/>
  <c r="AF1743" i="16"/>
  <c r="Z1744" i="16"/>
  <c r="AF1744" i="16"/>
  <c r="Z1745" i="16"/>
  <c r="AF1745" i="16"/>
  <c r="Z1746" i="16"/>
  <c r="AF1746" i="16"/>
  <c r="Z1747" i="16"/>
  <c r="AF1747" i="16"/>
  <c r="Z1748" i="16"/>
  <c r="AF1748" i="16"/>
  <c r="Z1749" i="16"/>
  <c r="AF1749" i="16"/>
  <c r="Z1750" i="16"/>
  <c r="AF1750" i="16"/>
  <c r="Z1751" i="16"/>
  <c r="AF1751" i="16"/>
  <c r="Z1752" i="16"/>
  <c r="AF1752" i="16"/>
  <c r="Z1753" i="16"/>
  <c r="AF1753" i="16"/>
  <c r="Z1754" i="16"/>
  <c r="AF1754" i="16"/>
  <c r="Z1755" i="16"/>
  <c r="AF1755" i="16"/>
  <c r="Z1756" i="16"/>
  <c r="AF1756" i="16"/>
  <c r="Z1757" i="16"/>
  <c r="AF1757" i="16"/>
  <c r="Z1758" i="16"/>
  <c r="AF1758" i="16"/>
  <c r="Z1759" i="16"/>
  <c r="AF1759" i="16"/>
  <c r="Z1760" i="16"/>
  <c r="AF1760" i="16"/>
  <c r="Z1761" i="16"/>
  <c r="AF1761" i="16"/>
  <c r="Z1762" i="16"/>
  <c r="AF1762" i="16"/>
  <c r="Z1763" i="16"/>
  <c r="AF1763" i="16"/>
  <c r="Z1764" i="16"/>
  <c r="AF1764" i="16"/>
  <c r="Z1765" i="16"/>
  <c r="AF1765" i="16"/>
  <c r="Z1766" i="16"/>
  <c r="AF1766" i="16"/>
  <c r="Z1767" i="16"/>
  <c r="AF1767" i="16"/>
  <c r="Z1768" i="16"/>
  <c r="AF1768" i="16"/>
  <c r="Z1769" i="16"/>
  <c r="AF1769" i="16"/>
  <c r="Z1770" i="16"/>
  <c r="AF1770" i="16"/>
  <c r="Z1771" i="16"/>
  <c r="AF1771" i="16"/>
  <c r="Z1772" i="16"/>
  <c r="AF1772" i="16"/>
  <c r="Z1773" i="16"/>
  <c r="AF1773" i="16"/>
  <c r="Z1774" i="16"/>
  <c r="AF1774" i="16"/>
  <c r="Z1775" i="16"/>
  <c r="AF1775" i="16"/>
  <c r="Z1776" i="16"/>
  <c r="AF1776" i="16"/>
  <c r="Z1777" i="16"/>
  <c r="AF1777" i="16"/>
  <c r="Z1778" i="16"/>
  <c r="AF1778" i="16"/>
  <c r="Z1779" i="16"/>
  <c r="AF1779" i="16"/>
  <c r="Z1780" i="16"/>
  <c r="AF1780" i="16"/>
  <c r="Z1781" i="16"/>
  <c r="AF1781" i="16"/>
  <c r="Z1782" i="16"/>
  <c r="AF1782" i="16"/>
  <c r="Z1783" i="16"/>
  <c r="AF1783" i="16"/>
  <c r="Z1784" i="16"/>
  <c r="AF1784" i="16"/>
  <c r="Z1785" i="16"/>
  <c r="AF1785" i="16"/>
  <c r="Z1786" i="16"/>
  <c r="AF1786" i="16"/>
  <c r="Z1787" i="16"/>
  <c r="AF1787" i="16"/>
  <c r="Z1788" i="16"/>
  <c r="AF1788" i="16"/>
  <c r="Z1789" i="16"/>
  <c r="AF1789" i="16"/>
  <c r="Z1790" i="16"/>
  <c r="AF1790" i="16"/>
  <c r="Z1791" i="16"/>
  <c r="AF1791" i="16"/>
  <c r="Z1792" i="16"/>
  <c r="AF1792" i="16"/>
  <c r="Z1793" i="16"/>
  <c r="AF1793" i="16"/>
  <c r="Z1794" i="16"/>
  <c r="AF1794" i="16"/>
  <c r="Z1795" i="16"/>
  <c r="AF1795" i="16"/>
  <c r="Z1796" i="16"/>
  <c r="AF1796" i="16"/>
  <c r="Z1797" i="16"/>
  <c r="AF1797" i="16"/>
  <c r="Z1798" i="16"/>
  <c r="AF1798" i="16"/>
  <c r="Z1799" i="16"/>
  <c r="AF1799" i="16"/>
  <c r="Z1800" i="16"/>
  <c r="AF1800" i="16"/>
  <c r="Z1801" i="16"/>
  <c r="AF1801" i="16"/>
  <c r="Z1802" i="16"/>
  <c r="AF1802" i="16"/>
  <c r="Z1803" i="16"/>
  <c r="AF1803" i="16"/>
  <c r="Z1804" i="16"/>
  <c r="AF1804" i="16"/>
  <c r="Z1805" i="16"/>
  <c r="AF1805" i="16"/>
  <c r="Z1806" i="16"/>
  <c r="AF1806" i="16"/>
  <c r="Z1807" i="16"/>
  <c r="AF1807" i="16"/>
  <c r="Z1808" i="16"/>
  <c r="AF1808" i="16"/>
  <c r="Z1809" i="16"/>
  <c r="AF1809" i="16"/>
  <c r="Z1810" i="16"/>
  <c r="AF1810" i="16"/>
  <c r="Z1811" i="16"/>
  <c r="AF1811" i="16"/>
  <c r="Z1812" i="16"/>
  <c r="AF1812" i="16"/>
  <c r="Z1813" i="16"/>
  <c r="AF1813" i="16"/>
  <c r="Z1814" i="16"/>
  <c r="AF1814" i="16"/>
  <c r="Z1815" i="16"/>
  <c r="AF1815" i="16"/>
  <c r="Z1816" i="16"/>
  <c r="AF1816" i="16"/>
  <c r="Z1817" i="16"/>
  <c r="AF1817" i="16"/>
  <c r="Z1818" i="16"/>
  <c r="AF1818" i="16"/>
  <c r="Z1819" i="16"/>
  <c r="AF1819" i="16"/>
  <c r="Z1820" i="16"/>
  <c r="AF1820" i="16"/>
  <c r="Z1821" i="16"/>
  <c r="AF1821" i="16"/>
  <c r="Z1822" i="16"/>
  <c r="AF1822" i="16"/>
  <c r="Z1823" i="16"/>
  <c r="AF1823" i="16"/>
  <c r="Z1824" i="16"/>
  <c r="AF1824" i="16"/>
  <c r="Z1825" i="16"/>
  <c r="AF1825" i="16"/>
  <c r="Z1826" i="16"/>
  <c r="AF1826" i="16"/>
  <c r="Z1827" i="16"/>
  <c r="AF1827" i="16"/>
  <c r="Z1828" i="16"/>
  <c r="AF1828" i="16"/>
  <c r="Z1829" i="16"/>
  <c r="AF1829" i="16"/>
  <c r="Z1830" i="16"/>
  <c r="AF1830" i="16"/>
  <c r="Z1831" i="16"/>
  <c r="AF1831" i="16"/>
  <c r="Z1832" i="16"/>
  <c r="AF1832" i="16"/>
  <c r="Z1833" i="16"/>
  <c r="AF1833" i="16"/>
  <c r="Z1834" i="16"/>
  <c r="AF1834" i="16"/>
  <c r="Z1835" i="16"/>
  <c r="AF1835" i="16"/>
  <c r="Z1836" i="16"/>
  <c r="AF1836" i="16"/>
  <c r="Z1837" i="16"/>
  <c r="AF1837" i="16"/>
  <c r="Z1838" i="16"/>
  <c r="AF1838" i="16"/>
  <c r="Z1839" i="16"/>
  <c r="AF1839" i="16"/>
  <c r="Z1840" i="16"/>
  <c r="AF1840" i="16"/>
  <c r="Z1841" i="16"/>
  <c r="AF1841" i="16"/>
  <c r="Z1842" i="16"/>
  <c r="AF1842" i="16"/>
  <c r="Z1843" i="16"/>
  <c r="AF1843" i="16"/>
  <c r="Z1844" i="16"/>
  <c r="AF1844" i="16"/>
  <c r="Z1845" i="16"/>
  <c r="AF1845" i="16"/>
  <c r="Z1846" i="16"/>
  <c r="AF1846" i="16"/>
  <c r="Z1847" i="16"/>
  <c r="AF1847" i="16"/>
  <c r="Z1848" i="16"/>
  <c r="AF1848" i="16"/>
  <c r="Z1849" i="16"/>
  <c r="AF1849" i="16"/>
  <c r="Z1850" i="16"/>
  <c r="AF1850" i="16"/>
  <c r="Z1851" i="16"/>
  <c r="AF1851" i="16"/>
  <c r="Z1852" i="16"/>
  <c r="AF1852" i="16"/>
  <c r="Z1853" i="16"/>
  <c r="AF1853" i="16"/>
  <c r="Z1854" i="16"/>
  <c r="AF1854" i="16"/>
  <c r="Z1855" i="16"/>
  <c r="AF1855" i="16"/>
  <c r="Z1856" i="16"/>
  <c r="AF1856" i="16"/>
  <c r="Z1857" i="16"/>
  <c r="AF1857" i="16"/>
  <c r="Z1858" i="16"/>
  <c r="AF1858" i="16"/>
  <c r="Z1859" i="16"/>
  <c r="AF1859" i="16"/>
  <c r="Z1860" i="16"/>
  <c r="AF1860" i="16"/>
  <c r="Z1861" i="16"/>
  <c r="AF1861" i="16"/>
  <c r="Z1862" i="16"/>
  <c r="AF1862" i="16"/>
  <c r="Z1863" i="16"/>
  <c r="AF1863" i="16"/>
  <c r="Z1864" i="16"/>
  <c r="AF1864" i="16"/>
  <c r="Z1865" i="16"/>
  <c r="AF1865" i="16"/>
  <c r="Z1866" i="16"/>
  <c r="AF1866" i="16"/>
  <c r="Z1867" i="16"/>
  <c r="AF1867" i="16"/>
  <c r="Z1868" i="16"/>
  <c r="AF1868" i="16"/>
  <c r="Z1869" i="16"/>
  <c r="AF1869" i="16"/>
  <c r="Z1870" i="16"/>
  <c r="AF1870" i="16"/>
  <c r="Z1871" i="16"/>
  <c r="AF1871" i="16"/>
  <c r="Z1872" i="16"/>
  <c r="AF1872" i="16"/>
  <c r="Z1873" i="16"/>
  <c r="AF1873" i="16"/>
  <c r="Z1874" i="16"/>
  <c r="AF1874" i="16"/>
  <c r="Z1875" i="16"/>
  <c r="AF1875" i="16"/>
  <c r="Z1876" i="16"/>
  <c r="AF1876" i="16"/>
  <c r="Z1877" i="16"/>
  <c r="AF1877" i="16"/>
  <c r="Z1878" i="16"/>
  <c r="AF1878" i="16"/>
  <c r="Z1879" i="16"/>
  <c r="AF1879" i="16"/>
  <c r="Z1880" i="16"/>
  <c r="AF1880" i="16"/>
  <c r="Z1881" i="16"/>
  <c r="AF1881" i="16"/>
  <c r="Z1882" i="16"/>
  <c r="AF1882" i="16"/>
  <c r="Z1883" i="16"/>
  <c r="AF1883" i="16"/>
  <c r="Z1884" i="16"/>
  <c r="AF1884" i="16"/>
  <c r="Z1885" i="16"/>
  <c r="AF1885" i="16"/>
  <c r="Z1886" i="16"/>
  <c r="AF1886" i="16"/>
  <c r="Z1887" i="16"/>
  <c r="AF1887" i="16"/>
  <c r="Z1888" i="16"/>
  <c r="AF1888" i="16"/>
  <c r="Z1889" i="16"/>
  <c r="AF1889" i="16"/>
  <c r="Z1890" i="16"/>
  <c r="AF1890" i="16"/>
  <c r="Z1891" i="16"/>
  <c r="AF1891" i="16"/>
  <c r="Z1892" i="16"/>
  <c r="AF1892" i="16"/>
  <c r="Z1893" i="16"/>
  <c r="AF1893" i="16"/>
  <c r="Z1894" i="16"/>
  <c r="AF1894" i="16"/>
  <c r="Z1895" i="16"/>
  <c r="AF1895" i="16"/>
  <c r="Z1896" i="16"/>
  <c r="AF1896" i="16"/>
  <c r="Z1897" i="16"/>
  <c r="AF1897" i="16"/>
  <c r="Z1898" i="16"/>
  <c r="AF1898" i="16"/>
  <c r="Z1899" i="16"/>
  <c r="AF1899" i="16"/>
  <c r="Z1900" i="16"/>
  <c r="AF1900" i="16"/>
  <c r="Z1901" i="16"/>
  <c r="AF1901" i="16"/>
  <c r="Z1902" i="16"/>
  <c r="AF1902" i="16"/>
  <c r="Z1903" i="16"/>
  <c r="AF1903" i="16"/>
  <c r="Z1904" i="16"/>
  <c r="AF1904" i="16"/>
  <c r="Z1905" i="16"/>
  <c r="AF1905" i="16"/>
  <c r="Z1906" i="16"/>
  <c r="AF1906" i="16"/>
  <c r="Z1907" i="16"/>
  <c r="AF1907" i="16"/>
  <c r="Z1908" i="16"/>
  <c r="AF1908" i="16"/>
  <c r="Z1909" i="16"/>
  <c r="AF1909" i="16"/>
  <c r="Z1910" i="16"/>
  <c r="AF1910" i="16"/>
  <c r="Z1911" i="16"/>
  <c r="AF1911" i="16"/>
  <c r="Z1912" i="16"/>
  <c r="AF1912" i="16"/>
  <c r="Z1913" i="16"/>
  <c r="AF1913" i="16"/>
  <c r="Z1914" i="16"/>
  <c r="AF1914" i="16"/>
  <c r="Z1915" i="16"/>
  <c r="AF1915" i="16"/>
  <c r="Z1916" i="16"/>
  <c r="AF1916" i="16"/>
  <c r="Z1917" i="16"/>
  <c r="AF1917" i="16"/>
  <c r="Z1918" i="16"/>
  <c r="AF1918" i="16"/>
  <c r="Z1919" i="16"/>
  <c r="AF1919" i="16"/>
  <c r="Z1920" i="16"/>
  <c r="AF1920" i="16"/>
  <c r="Z1921" i="16"/>
  <c r="AF1921" i="16"/>
  <c r="Z1922" i="16"/>
  <c r="AF1922" i="16"/>
  <c r="Z1923" i="16"/>
  <c r="AF1923" i="16"/>
  <c r="Z1924" i="16"/>
  <c r="AF1924" i="16"/>
  <c r="Z1925" i="16"/>
  <c r="AF1925" i="16"/>
  <c r="Z1926" i="16"/>
  <c r="AF1926" i="16"/>
  <c r="Z1927" i="16"/>
  <c r="AF1927" i="16"/>
  <c r="Z1928" i="16"/>
  <c r="AF1928" i="16"/>
  <c r="Z1929" i="16"/>
  <c r="AF1929" i="16"/>
  <c r="Z1930" i="16"/>
  <c r="AF1930" i="16"/>
  <c r="Z1931" i="16"/>
  <c r="AF1931" i="16"/>
  <c r="Z1932" i="16"/>
  <c r="AF1932" i="16"/>
  <c r="Z1933" i="16"/>
  <c r="AF1933" i="16"/>
  <c r="Z1934" i="16"/>
  <c r="AF1934" i="16"/>
  <c r="Z1935" i="16"/>
  <c r="AF1935" i="16"/>
  <c r="Z1936" i="16"/>
  <c r="AF1936" i="16"/>
  <c r="Z1937" i="16"/>
  <c r="AF1937" i="16"/>
  <c r="Z1938" i="16"/>
  <c r="AF1938" i="16"/>
  <c r="Z1939" i="16"/>
  <c r="AF1939" i="16"/>
  <c r="Z1940" i="16"/>
  <c r="AF1940" i="16"/>
  <c r="Z1941" i="16"/>
  <c r="AF1941" i="16"/>
  <c r="Z1942" i="16"/>
  <c r="AF1942" i="16"/>
  <c r="Z1943" i="16"/>
  <c r="AF1943" i="16"/>
  <c r="Z1944" i="16"/>
  <c r="AF1944" i="16"/>
  <c r="Z1945" i="16"/>
  <c r="AF1945" i="16"/>
  <c r="Z1946" i="16"/>
  <c r="AF1946" i="16"/>
  <c r="Z1947" i="16"/>
  <c r="AF1947" i="16"/>
  <c r="Z1948" i="16"/>
  <c r="AF1948" i="16"/>
  <c r="Z1949" i="16"/>
  <c r="AF1949" i="16"/>
  <c r="Z1950" i="16"/>
  <c r="AF1950" i="16"/>
  <c r="Z1951" i="16"/>
  <c r="AF1951" i="16"/>
  <c r="Z1952" i="16"/>
  <c r="AF1952" i="16"/>
  <c r="Z1953" i="16"/>
  <c r="AF1953" i="16"/>
  <c r="Z1954" i="16"/>
  <c r="AF1954" i="16"/>
  <c r="Z1955" i="16"/>
  <c r="AF1955" i="16"/>
  <c r="Z1956" i="16"/>
  <c r="AF1956" i="16"/>
  <c r="Z1957" i="16"/>
  <c r="AF1957" i="16"/>
  <c r="Z1958" i="16"/>
  <c r="AF1958" i="16"/>
  <c r="Z1959" i="16"/>
  <c r="AF1959" i="16"/>
  <c r="Z1960" i="16"/>
  <c r="AF1960" i="16"/>
  <c r="Z1961" i="16"/>
  <c r="AF1961" i="16"/>
  <c r="Z1962" i="16"/>
  <c r="AF1962" i="16"/>
  <c r="Z1963" i="16"/>
  <c r="AF1963" i="16"/>
  <c r="Z1964" i="16"/>
  <c r="AF1964" i="16"/>
  <c r="Z1965" i="16"/>
  <c r="AF1965" i="16"/>
  <c r="Z1966" i="16"/>
  <c r="AF1966" i="16"/>
  <c r="Z1967" i="16"/>
  <c r="AF1967" i="16"/>
  <c r="Z1968" i="16"/>
  <c r="AF1968" i="16"/>
  <c r="Z1969" i="16"/>
  <c r="AF1969" i="16"/>
  <c r="Z1970" i="16"/>
  <c r="AF1970" i="16"/>
  <c r="Z1971" i="16"/>
  <c r="AF1971" i="16"/>
  <c r="Z1972" i="16"/>
  <c r="AF1972" i="16"/>
  <c r="Z1973" i="16"/>
  <c r="AF1973" i="16"/>
  <c r="Z1974" i="16"/>
  <c r="AF1974" i="16"/>
  <c r="Z1975" i="16"/>
  <c r="AF1975" i="16"/>
  <c r="Z1976" i="16"/>
  <c r="AF1976" i="16"/>
  <c r="Z1977" i="16"/>
  <c r="AF1977" i="16"/>
  <c r="Z1978" i="16"/>
  <c r="AF1978" i="16"/>
  <c r="Z1979" i="16"/>
  <c r="AF1979" i="16"/>
  <c r="Z1980" i="16"/>
  <c r="AF1980" i="16"/>
  <c r="Z1981" i="16"/>
  <c r="AF1981" i="16"/>
  <c r="Z1982" i="16"/>
  <c r="AF1982" i="16"/>
  <c r="Z1983" i="16"/>
  <c r="AF1983" i="16"/>
  <c r="Z1984" i="16"/>
  <c r="AF1984" i="16"/>
  <c r="Z1985" i="16"/>
  <c r="AF1985" i="16"/>
  <c r="Z1986" i="16"/>
  <c r="AF1986" i="16"/>
  <c r="Z1987" i="16"/>
  <c r="AF1987" i="16"/>
  <c r="Z1988" i="16"/>
  <c r="AF1988" i="16"/>
  <c r="Z1989" i="16"/>
  <c r="AF1989" i="16"/>
  <c r="Z1990" i="16"/>
  <c r="AF1990" i="16"/>
  <c r="Z1991" i="16"/>
  <c r="AF1991" i="16"/>
  <c r="Z1992" i="16"/>
  <c r="AF1992" i="16"/>
  <c r="Z1993" i="16"/>
  <c r="AF1993" i="16"/>
  <c r="Z1994" i="16"/>
  <c r="AF1994" i="16"/>
  <c r="Z1995" i="16"/>
  <c r="AF1995" i="16"/>
  <c r="Z1996" i="16"/>
  <c r="AF1996" i="16"/>
  <c r="Z1997" i="16"/>
  <c r="AF1997" i="16"/>
  <c r="Z1998" i="16"/>
  <c r="AF1998" i="16"/>
  <c r="Z1999" i="16"/>
  <c r="AF1999" i="16"/>
  <c r="Z2000" i="16"/>
  <c r="AF2000" i="16"/>
  <c r="Z2001" i="16"/>
  <c r="AF2001" i="16"/>
  <c r="Z2002" i="16"/>
  <c r="AF2002" i="16"/>
  <c r="Z2003" i="16"/>
  <c r="AF2003" i="16"/>
  <c r="Z2004" i="16"/>
  <c r="AF2004" i="16"/>
  <c r="Z2005" i="16"/>
  <c r="AF2005" i="16"/>
  <c r="Z2006" i="16"/>
  <c r="AF2006" i="16"/>
  <c r="Z2007" i="16"/>
  <c r="AF2007" i="16"/>
  <c r="Z2008" i="16"/>
  <c r="AF2008" i="16"/>
  <c r="Z2009" i="16"/>
  <c r="AF2009" i="16"/>
  <c r="Z2010" i="16"/>
  <c r="AF2010" i="16"/>
  <c r="Z2011" i="16"/>
  <c r="AF2011" i="16"/>
  <c r="Z2012" i="16"/>
  <c r="AF2012" i="16"/>
  <c r="D7" i="25"/>
  <c r="R7" i="25"/>
  <c r="S7" i="25"/>
  <c r="V7" i="25"/>
  <c r="W7" i="25"/>
  <c r="X7" i="25"/>
  <c r="D9" i="25"/>
  <c r="R9" i="25"/>
  <c r="S9" i="25"/>
  <c r="V9" i="25"/>
  <c r="W9" i="25"/>
  <c r="X9" i="25"/>
  <c r="D11" i="25"/>
  <c r="R11" i="25"/>
  <c r="S11" i="25"/>
  <c r="V11" i="25"/>
  <c r="W11" i="25"/>
  <c r="X11" i="25"/>
  <c r="D13" i="25"/>
  <c r="R13" i="25"/>
  <c r="S13" i="25"/>
  <c r="V13" i="25"/>
  <c r="W13" i="25"/>
  <c r="X13" i="25"/>
  <c r="D14" i="25"/>
  <c r="R14" i="25"/>
  <c r="S14" i="25"/>
  <c r="V14" i="25"/>
  <c r="W14" i="25"/>
  <c r="X14" i="25"/>
  <c r="D15" i="25"/>
  <c r="R15" i="25"/>
  <c r="S15" i="25"/>
  <c r="V15" i="25"/>
  <c r="W15" i="25"/>
  <c r="X15" i="25"/>
  <c r="Y2" i="17"/>
  <c r="Z2" i="17"/>
  <c r="AD2" i="17"/>
  <c r="AE2" i="17"/>
  <c r="AJ2" i="17"/>
  <c r="Y3" i="17"/>
  <c r="Z3" i="17"/>
  <c r="AD3" i="17"/>
  <c r="AE3" i="17"/>
  <c r="AJ3" i="17"/>
  <c r="Y4" i="17"/>
  <c r="Z4" i="17"/>
  <c r="AD4" i="17"/>
  <c r="AE4" i="17"/>
  <c r="Y5" i="17"/>
  <c r="Z5" i="17"/>
  <c r="AD5" i="17"/>
  <c r="AE5" i="17"/>
  <c r="AJ5" i="17"/>
  <c r="Y6" i="17"/>
  <c r="Z6" i="17"/>
  <c r="AD6" i="17"/>
  <c r="AE6" i="17"/>
  <c r="AJ6" i="17"/>
  <c r="Y7" i="17"/>
  <c r="Z7" i="17"/>
  <c r="AD7" i="17"/>
  <c r="AE7" i="17"/>
  <c r="AJ7" i="17"/>
  <c r="Y8" i="17"/>
  <c r="Z8" i="17"/>
  <c r="AD8" i="17"/>
  <c r="AE8" i="17"/>
  <c r="AJ8" i="17"/>
  <c r="Y9" i="17"/>
  <c r="Z9" i="17"/>
  <c r="AD9" i="17"/>
  <c r="AE9" i="17"/>
  <c r="Y10" i="17"/>
  <c r="Z10" i="17"/>
  <c r="AD10" i="17"/>
  <c r="AE10" i="17"/>
  <c r="Y11" i="17"/>
  <c r="Z11" i="17"/>
  <c r="AD11" i="17"/>
  <c r="AE11" i="17"/>
  <c r="AJ11" i="17"/>
  <c r="Y12" i="17"/>
  <c r="Z12" i="17"/>
  <c r="AD12" i="17"/>
  <c r="AE12" i="17"/>
  <c r="Y13" i="17"/>
  <c r="Z13" i="17"/>
  <c r="AD13" i="17"/>
  <c r="AE13" i="17"/>
  <c r="Z14" i="17"/>
  <c r="AE14" i="17"/>
  <c r="Z15" i="17"/>
  <c r="AE15" i="17"/>
  <c r="Z16" i="17"/>
  <c r="AE16" i="17"/>
  <c r="Z17" i="17"/>
  <c r="AE17" i="17"/>
  <c r="Z18" i="17"/>
  <c r="AE18" i="17"/>
  <c r="Z19" i="17"/>
  <c r="AE19" i="17"/>
  <c r="Z20" i="17"/>
  <c r="AE20" i="17"/>
  <c r="Z21" i="17"/>
  <c r="AE21" i="17"/>
  <c r="Z22" i="17"/>
  <c r="AE22" i="17"/>
  <c r="Z23" i="17"/>
  <c r="AE23" i="17"/>
  <c r="Z24" i="17"/>
  <c r="AE24" i="17"/>
  <c r="Z25" i="17"/>
  <c r="AE25" i="17"/>
  <c r="Y26" i="17"/>
  <c r="Z26" i="17"/>
  <c r="AD26" i="17"/>
  <c r="AE26" i="17"/>
  <c r="Y27" i="17"/>
  <c r="Z27" i="17"/>
  <c r="AD27" i="17"/>
  <c r="AE27" i="17"/>
  <c r="Y28" i="17"/>
  <c r="Z28" i="17"/>
  <c r="AD28" i="17"/>
  <c r="AE28" i="17"/>
  <c r="Y29" i="17"/>
  <c r="Z29" i="17"/>
  <c r="AD29" i="17"/>
  <c r="AE29" i="17"/>
  <c r="Y30" i="17"/>
  <c r="Z30" i="17"/>
  <c r="AD30" i="17"/>
  <c r="AE30" i="17"/>
  <c r="Y31" i="17"/>
  <c r="Z31" i="17"/>
  <c r="AD31" i="17"/>
  <c r="AE31" i="17"/>
  <c r="Y32" i="17"/>
  <c r="Z32" i="17"/>
  <c r="AD32" i="17"/>
  <c r="AE32" i="17"/>
  <c r="Y33" i="17"/>
  <c r="Z33" i="17"/>
  <c r="AD33" i="17"/>
  <c r="AE33" i="17"/>
  <c r="Y34" i="17"/>
  <c r="Z34" i="17"/>
  <c r="AD34" i="17"/>
  <c r="AE34" i="17"/>
  <c r="Y35" i="17"/>
  <c r="Z35" i="17"/>
  <c r="AD35" i="17"/>
  <c r="AE35" i="17"/>
  <c r="Y36" i="17"/>
  <c r="Z36" i="17"/>
  <c r="AD36" i="17"/>
  <c r="AE36" i="17"/>
  <c r="Y37" i="17"/>
  <c r="Z37" i="17"/>
  <c r="AD37" i="17"/>
  <c r="AE37" i="17"/>
  <c r="Y38" i="17"/>
  <c r="Z38" i="17"/>
  <c r="AD38" i="17"/>
  <c r="AE38" i="17"/>
  <c r="Y39" i="17"/>
  <c r="Z39" i="17"/>
  <c r="AD39" i="17"/>
  <c r="AE39" i="17"/>
  <c r="Y40" i="17"/>
  <c r="Z40" i="17"/>
  <c r="AD40" i="17"/>
  <c r="AE40" i="17"/>
  <c r="Y41" i="17"/>
  <c r="Z41" i="17"/>
  <c r="AD41" i="17"/>
  <c r="AE41" i="17"/>
  <c r="Y42" i="17"/>
  <c r="Z42" i="17"/>
  <c r="AD42" i="17"/>
  <c r="AE42" i="17"/>
  <c r="Y43" i="17"/>
  <c r="Z43" i="17"/>
  <c r="AD43" i="17"/>
  <c r="AE43" i="17"/>
  <c r="Y44" i="17"/>
  <c r="Z44" i="17"/>
  <c r="AD44" i="17"/>
  <c r="AE44" i="17"/>
  <c r="Y45" i="17"/>
  <c r="Z45" i="17"/>
  <c r="AD45" i="17"/>
  <c r="AE45" i="17"/>
  <c r="Y46" i="17"/>
  <c r="Z46" i="17"/>
  <c r="AD46" i="17"/>
  <c r="AE46" i="17"/>
  <c r="Y47" i="17"/>
  <c r="Z47" i="17"/>
  <c r="AD47" i="17"/>
  <c r="AE47" i="17"/>
  <c r="Y48" i="17"/>
  <c r="Z48" i="17"/>
  <c r="AD48" i="17"/>
  <c r="AE48" i="17"/>
  <c r="Y49" i="17"/>
  <c r="Z49" i="17"/>
  <c r="AD49" i="17"/>
  <c r="AE49" i="17"/>
  <c r="Y50" i="17"/>
  <c r="Z50" i="17"/>
  <c r="AD50" i="17"/>
  <c r="AE50" i="17"/>
  <c r="Y51" i="17"/>
  <c r="Z51" i="17"/>
  <c r="AD51" i="17"/>
  <c r="AE51" i="17"/>
  <c r="Y52" i="17"/>
  <c r="Z52" i="17"/>
  <c r="AD52" i="17"/>
  <c r="AE52" i="17"/>
  <c r="Y53" i="17"/>
  <c r="Z53" i="17"/>
  <c r="AD53" i="17"/>
  <c r="AE53" i="17"/>
  <c r="Y54" i="17"/>
  <c r="Z54" i="17"/>
  <c r="AD54" i="17"/>
  <c r="AE54" i="17"/>
  <c r="Y55" i="17"/>
  <c r="Z55" i="17"/>
  <c r="AD55" i="17"/>
  <c r="AE55" i="17"/>
  <c r="Y56" i="17"/>
  <c r="Z56" i="17"/>
  <c r="AD56" i="17"/>
  <c r="AE56" i="17"/>
  <c r="Y57" i="17"/>
  <c r="Z57" i="17"/>
  <c r="AD57" i="17"/>
  <c r="AE57" i="17"/>
  <c r="Y58" i="17"/>
  <c r="Z58" i="17"/>
  <c r="AD58" i="17"/>
  <c r="AE58" i="17"/>
  <c r="Y59" i="17"/>
  <c r="Z59" i="17"/>
  <c r="AD59" i="17"/>
  <c r="AE59" i="17"/>
  <c r="Y60" i="17"/>
  <c r="Z60" i="17"/>
  <c r="AD60" i="17"/>
  <c r="AE60" i="17"/>
  <c r="Y61" i="17"/>
  <c r="Z61" i="17"/>
  <c r="AD61" i="17"/>
  <c r="AE61" i="17"/>
  <c r="Y62" i="17"/>
  <c r="Z62" i="17"/>
  <c r="AD62" i="17"/>
  <c r="AE62" i="17"/>
  <c r="Y63" i="17"/>
  <c r="Z63" i="17"/>
  <c r="AD63" i="17"/>
  <c r="AE63" i="17"/>
  <c r="Y64" i="17"/>
  <c r="Z64" i="17"/>
  <c r="AD64" i="17"/>
  <c r="AE64" i="17"/>
  <c r="Y65" i="17"/>
  <c r="Z65" i="17"/>
  <c r="AD65" i="17"/>
  <c r="AE65" i="17"/>
  <c r="Y66" i="17"/>
  <c r="Z66" i="17"/>
  <c r="AD66" i="17"/>
  <c r="AE66" i="17"/>
  <c r="Y67" i="17"/>
  <c r="Z67" i="17"/>
  <c r="AD67" i="17"/>
  <c r="AE67" i="17"/>
  <c r="Y68" i="17"/>
  <c r="Z68" i="17"/>
  <c r="AD68" i="17"/>
  <c r="AE68" i="17"/>
  <c r="Y69" i="17"/>
  <c r="Z69" i="17"/>
  <c r="AD69" i="17"/>
  <c r="AE69" i="17"/>
  <c r="Y70" i="17"/>
  <c r="Z70" i="17"/>
  <c r="AD70" i="17"/>
  <c r="AE70" i="17"/>
  <c r="Y71" i="17"/>
  <c r="Z71" i="17"/>
  <c r="AD71" i="17"/>
  <c r="AE71" i="17"/>
  <c r="Y72" i="17"/>
  <c r="Z72" i="17"/>
  <c r="AD72" i="17"/>
  <c r="AE72" i="17"/>
  <c r="Y73" i="17"/>
  <c r="Z73" i="17"/>
  <c r="AD73" i="17"/>
  <c r="AE73" i="17"/>
  <c r="Y74" i="17"/>
  <c r="Z74" i="17"/>
  <c r="AD74" i="17"/>
  <c r="AE74" i="17"/>
  <c r="Y75" i="17"/>
  <c r="Z75" i="17"/>
  <c r="AD75" i="17"/>
  <c r="AE75" i="17"/>
  <c r="Y76" i="17"/>
  <c r="Z76" i="17"/>
  <c r="AD76" i="17"/>
  <c r="AE76" i="17"/>
  <c r="Y77" i="17"/>
  <c r="Z77" i="17"/>
  <c r="AD77" i="17"/>
  <c r="AE77" i="17"/>
  <c r="Y78" i="17"/>
  <c r="Z78" i="17"/>
  <c r="AD78" i="17"/>
  <c r="AE78" i="17"/>
  <c r="Y79" i="17"/>
  <c r="Z79" i="17"/>
  <c r="AD79" i="17"/>
  <c r="AE79" i="17"/>
  <c r="Y80" i="17"/>
  <c r="Z80" i="17"/>
  <c r="AD80" i="17"/>
  <c r="AE80" i="17"/>
  <c r="Y81" i="17"/>
  <c r="Z81" i="17"/>
  <c r="AD81" i="17"/>
  <c r="AE81" i="17"/>
  <c r="Y82" i="17"/>
  <c r="Z82" i="17"/>
  <c r="AD82" i="17"/>
  <c r="AE82" i="17"/>
  <c r="Y83" i="17"/>
  <c r="Z83" i="17"/>
  <c r="AD83" i="17"/>
  <c r="AE83" i="17"/>
  <c r="Y84" i="17"/>
  <c r="Z84" i="17"/>
  <c r="AD84" i="17"/>
  <c r="AE84" i="17"/>
  <c r="Y85" i="17"/>
  <c r="Z85" i="17"/>
  <c r="AD85" i="17"/>
  <c r="AE85" i="17"/>
  <c r="Y86" i="17"/>
  <c r="Z86" i="17"/>
  <c r="AD86" i="17"/>
  <c r="AE86" i="17"/>
  <c r="Y87" i="17"/>
  <c r="Z87" i="17"/>
  <c r="AD87" i="17"/>
  <c r="AE87" i="17"/>
  <c r="Y88" i="17"/>
  <c r="Z88" i="17"/>
  <c r="AD88" i="17"/>
  <c r="AE88" i="17"/>
  <c r="Y89" i="17"/>
  <c r="Z89" i="17"/>
  <c r="AD89" i="17"/>
  <c r="AE89" i="17"/>
  <c r="Y90" i="17"/>
  <c r="Z90" i="17"/>
  <c r="AD90" i="17"/>
  <c r="AE90" i="17"/>
  <c r="Y91" i="17"/>
  <c r="Z91" i="17"/>
  <c r="AD91" i="17"/>
  <c r="AE91" i="17"/>
  <c r="Y92" i="17"/>
  <c r="Z92" i="17"/>
  <c r="AD92" i="17"/>
  <c r="AE92" i="17"/>
  <c r="Y93" i="17"/>
  <c r="Z93" i="17"/>
  <c r="AD93" i="17"/>
  <c r="AE93" i="17"/>
  <c r="Y94" i="17"/>
  <c r="Z94" i="17"/>
  <c r="AD94" i="17"/>
  <c r="AE94" i="17"/>
  <c r="Y95" i="17"/>
  <c r="Z95" i="17"/>
  <c r="AD95" i="17"/>
  <c r="AE95" i="17"/>
  <c r="Y96" i="17"/>
  <c r="Z96" i="17"/>
  <c r="AD96" i="17"/>
  <c r="AE96" i="17"/>
  <c r="Y97" i="17"/>
  <c r="Z97" i="17"/>
  <c r="AD97" i="17"/>
  <c r="AE97" i="17"/>
  <c r="Y98" i="17"/>
  <c r="Z98" i="17"/>
  <c r="AD98" i="17"/>
  <c r="AE98" i="17"/>
  <c r="Y99" i="17"/>
  <c r="Z99" i="17"/>
  <c r="AD99" i="17"/>
  <c r="AE99" i="17"/>
  <c r="Y100" i="17"/>
  <c r="Z100" i="17"/>
  <c r="AD100" i="17"/>
  <c r="AE100" i="17"/>
  <c r="Y101" i="17"/>
  <c r="Z101" i="17"/>
  <c r="AD101" i="17"/>
  <c r="AE101" i="17"/>
  <c r="Y102" i="17"/>
  <c r="Z102" i="17"/>
  <c r="AD102" i="17"/>
  <c r="AE102" i="17"/>
  <c r="Y103" i="17"/>
  <c r="Z103" i="17"/>
  <c r="AD103" i="17"/>
  <c r="AE103" i="17"/>
  <c r="Y104" i="17"/>
  <c r="Z104" i="17"/>
  <c r="AD104" i="17"/>
  <c r="AE104" i="17"/>
  <c r="Y105" i="17"/>
  <c r="Z105" i="17"/>
  <c r="AD105" i="17"/>
  <c r="AE105" i="17"/>
  <c r="Y106" i="17"/>
  <c r="Z106" i="17"/>
  <c r="AD106" i="17"/>
  <c r="AE106" i="17"/>
  <c r="Y107" i="17"/>
  <c r="Z107" i="17"/>
  <c r="AD107" i="17"/>
  <c r="AE107" i="17"/>
  <c r="Y108" i="17"/>
  <c r="AD108" i="17"/>
  <c r="Y109" i="17"/>
  <c r="AD109" i="17"/>
  <c r="Y110" i="17"/>
  <c r="AD110" i="17"/>
  <c r="Y111" i="17"/>
  <c r="AD111" i="17"/>
  <c r="Y112" i="17"/>
  <c r="AD112" i="17"/>
  <c r="Y113" i="17"/>
  <c r="AD113" i="17"/>
  <c r="Y114" i="17"/>
  <c r="AD114" i="17"/>
  <c r="Y115" i="17"/>
  <c r="AD115" i="17"/>
  <c r="Y116" i="17"/>
  <c r="AD116" i="17"/>
  <c r="Y117" i="17"/>
  <c r="AD117" i="17"/>
  <c r="Y118" i="17"/>
  <c r="AD118" i="17"/>
  <c r="Y119" i="17"/>
  <c r="AD119" i="17"/>
  <c r="Y120" i="17"/>
  <c r="AD120" i="17"/>
  <c r="Y121" i="17"/>
  <c r="AD121" i="17"/>
  <c r="Y122" i="17"/>
  <c r="AD122" i="17"/>
  <c r="Y123" i="17"/>
  <c r="AD123" i="17"/>
  <c r="Y124" i="17"/>
  <c r="AD124" i="17"/>
  <c r="Y125" i="17"/>
  <c r="AD125" i="17"/>
  <c r="Y126" i="17"/>
  <c r="AD126" i="17"/>
  <c r="Y127" i="17"/>
  <c r="AD127" i="17"/>
  <c r="Y128" i="17"/>
  <c r="AD128" i="17"/>
  <c r="Y129" i="17"/>
  <c r="AD129" i="17"/>
  <c r="Y130" i="17"/>
  <c r="AD130" i="17"/>
  <c r="Y131" i="17"/>
  <c r="AD131" i="17"/>
  <c r="Y132" i="17"/>
  <c r="AD132" i="17"/>
  <c r="Y133" i="17"/>
  <c r="AD133" i="17"/>
  <c r="Y134" i="17"/>
  <c r="AD134" i="17"/>
  <c r="Y135" i="17"/>
  <c r="AD135" i="17"/>
  <c r="Y136" i="17"/>
  <c r="AD136" i="17"/>
  <c r="Y137" i="17"/>
  <c r="AD137" i="17"/>
  <c r="Y138" i="17"/>
  <c r="AD138" i="17"/>
  <c r="Y139" i="17"/>
  <c r="AD139" i="17"/>
  <c r="Y140" i="17"/>
  <c r="AD140" i="17"/>
  <c r="Y141" i="17"/>
  <c r="AD141" i="17"/>
  <c r="Y142" i="17"/>
  <c r="AD142" i="17"/>
  <c r="Y143" i="17"/>
  <c r="AD143" i="17"/>
  <c r="Y144" i="17"/>
  <c r="AD144" i="17"/>
  <c r="Y145" i="17"/>
  <c r="AD145" i="17"/>
  <c r="Y146" i="17"/>
  <c r="AD146" i="17"/>
  <c r="Y147" i="17"/>
  <c r="AD147" i="17"/>
  <c r="Y148" i="17"/>
  <c r="AD148" i="17"/>
  <c r="Y149" i="17"/>
  <c r="AD149" i="17"/>
  <c r="Y150" i="17"/>
  <c r="AD150" i="17"/>
  <c r="Y151" i="17"/>
  <c r="AD151" i="17"/>
  <c r="Y152" i="17"/>
  <c r="AD152" i="17"/>
  <c r="Y153" i="17"/>
  <c r="AD153" i="17"/>
  <c r="Y154" i="17"/>
  <c r="AD154" i="17"/>
  <c r="Y155" i="17"/>
  <c r="AD155" i="17"/>
  <c r="Y156" i="17"/>
  <c r="AD156" i="17"/>
  <c r="Y157" i="17"/>
  <c r="AD157" i="17"/>
  <c r="Y158" i="17"/>
  <c r="AD158" i="17"/>
  <c r="Y159" i="17"/>
  <c r="AD159" i="17"/>
  <c r="Y160" i="17"/>
  <c r="AD160" i="17"/>
  <c r="Y161" i="17"/>
  <c r="AD161" i="17"/>
  <c r="Y162" i="17"/>
  <c r="AD162" i="17"/>
  <c r="Y163" i="17"/>
  <c r="AD163" i="17"/>
  <c r="Y164" i="17"/>
  <c r="AD164" i="17"/>
  <c r="Y165" i="17"/>
  <c r="AD165" i="17"/>
  <c r="Y166" i="17"/>
  <c r="AD166" i="17"/>
  <c r="Y167" i="17"/>
  <c r="AD167" i="17"/>
  <c r="Y168" i="17"/>
  <c r="Z168" i="17"/>
  <c r="AD168" i="17"/>
  <c r="AE168" i="17"/>
  <c r="Y169" i="17"/>
  <c r="Z169" i="17"/>
  <c r="AD169" i="17"/>
  <c r="AE169" i="17"/>
  <c r="Y170" i="17"/>
  <c r="Z170" i="17"/>
  <c r="AD170" i="17"/>
  <c r="AE170" i="17"/>
  <c r="Y171" i="17"/>
  <c r="Z171" i="17"/>
  <c r="AD171" i="17"/>
  <c r="AE171" i="17"/>
  <c r="Y172" i="17"/>
  <c r="Z172" i="17"/>
  <c r="AD172" i="17"/>
  <c r="AE172" i="17"/>
  <c r="Y173" i="17"/>
  <c r="Z173" i="17"/>
  <c r="AD173" i="17"/>
  <c r="AE173" i="17"/>
  <c r="Y174" i="17"/>
  <c r="Z174" i="17"/>
  <c r="AD174" i="17"/>
  <c r="AE174" i="17"/>
  <c r="Y175" i="17"/>
  <c r="Z175" i="17"/>
  <c r="AD175" i="17"/>
  <c r="AE175" i="17"/>
  <c r="Y176" i="17"/>
  <c r="Z176" i="17"/>
  <c r="AD176" i="17"/>
  <c r="AE176" i="17"/>
  <c r="Y177" i="17"/>
  <c r="Z177" i="17"/>
  <c r="AD177" i="17"/>
  <c r="AE177" i="17"/>
  <c r="Y178" i="17"/>
  <c r="Z178" i="17"/>
  <c r="AD178" i="17"/>
  <c r="AE178" i="17"/>
  <c r="Y179" i="17"/>
  <c r="Z179" i="17"/>
  <c r="AD179" i="17"/>
  <c r="AE179" i="17"/>
  <c r="Z180" i="17"/>
  <c r="AE180" i="17"/>
  <c r="Z181" i="17"/>
  <c r="AE181" i="17"/>
  <c r="Z182" i="17"/>
  <c r="AE182" i="17"/>
  <c r="Z183" i="17"/>
  <c r="AE183" i="17"/>
  <c r="Z184" i="17"/>
  <c r="AE184" i="17"/>
  <c r="Z185" i="17"/>
  <c r="AE185" i="17"/>
  <c r="Z186" i="17"/>
  <c r="AE186" i="17"/>
  <c r="Z187" i="17"/>
  <c r="AE187" i="17"/>
  <c r="Z188" i="17"/>
  <c r="AE188" i="17"/>
  <c r="Z189" i="17"/>
  <c r="AE189" i="17"/>
  <c r="Z190" i="17"/>
  <c r="AE190" i="17"/>
  <c r="Z191" i="17"/>
  <c r="AE191" i="17"/>
  <c r="Y192" i="17"/>
  <c r="Z192" i="17"/>
  <c r="AD192" i="17"/>
  <c r="AE192" i="17"/>
  <c r="Y193" i="17"/>
  <c r="Z193" i="17"/>
  <c r="AD193" i="17"/>
  <c r="AE193" i="17"/>
  <c r="Y194" i="17"/>
  <c r="Z194" i="17"/>
  <c r="AD194" i="17"/>
  <c r="AE194" i="17"/>
  <c r="Y195" i="17"/>
  <c r="Z195" i="17"/>
  <c r="AD195" i="17"/>
  <c r="AE195" i="17"/>
  <c r="Y196" i="17"/>
  <c r="Z196" i="17"/>
  <c r="AD196" i="17"/>
  <c r="AE196" i="17"/>
  <c r="Y197" i="17"/>
  <c r="Z197" i="17"/>
  <c r="AD197" i="17"/>
  <c r="AE197" i="17"/>
  <c r="Y198" i="17"/>
  <c r="Z198" i="17"/>
  <c r="AD198" i="17"/>
  <c r="AE198" i="17"/>
  <c r="Y199" i="17"/>
  <c r="Z199" i="17"/>
  <c r="AD199" i="17"/>
  <c r="AE199" i="17"/>
  <c r="Y200" i="17"/>
  <c r="Z200" i="17"/>
  <c r="AD200" i="17"/>
  <c r="AE200" i="17"/>
  <c r="Y201" i="17"/>
  <c r="Z201" i="17"/>
  <c r="AD201" i="17"/>
  <c r="AE201" i="17"/>
  <c r="Y202" i="17"/>
  <c r="Z202" i="17"/>
  <c r="AD202" i="17"/>
  <c r="AE202" i="17"/>
  <c r="Y203" i="17"/>
  <c r="Z203" i="17"/>
  <c r="AD203" i="17"/>
  <c r="AE203" i="17"/>
  <c r="Y204" i="17"/>
  <c r="Z204" i="17"/>
  <c r="AD204" i="17"/>
  <c r="AE204" i="17"/>
  <c r="Y205" i="17"/>
  <c r="Z205" i="17"/>
  <c r="AD205" i="17"/>
  <c r="AE205" i="17"/>
  <c r="Y206" i="17"/>
  <c r="Z206" i="17"/>
  <c r="AD206" i="17"/>
  <c r="AE206" i="17"/>
  <c r="Y207" i="17"/>
  <c r="Z207" i="17"/>
  <c r="AD207" i="17"/>
  <c r="AE207" i="17"/>
  <c r="Y208" i="17"/>
  <c r="Z208" i="17"/>
  <c r="AD208" i="17"/>
  <c r="AE208" i="17"/>
  <c r="Y209" i="17"/>
  <c r="Z209" i="17"/>
  <c r="AD209" i="17"/>
  <c r="AE209" i="17"/>
  <c r="Y210" i="17"/>
  <c r="Z210" i="17"/>
  <c r="AD210" i="17"/>
  <c r="AE210" i="17"/>
  <c r="Y211" i="17"/>
  <c r="Z211" i="17"/>
  <c r="AD211" i="17"/>
  <c r="AE211" i="17"/>
  <c r="Y212" i="17"/>
  <c r="Z212" i="17"/>
  <c r="AD212" i="17"/>
  <c r="AE212" i="17"/>
  <c r="Y213" i="17"/>
  <c r="Z213" i="17"/>
  <c r="AD213" i="17"/>
  <c r="AE213" i="17"/>
  <c r="Y214" i="17"/>
  <c r="Z214" i="17"/>
  <c r="AD214" i="17"/>
  <c r="AE214" i="17"/>
  <c r="Y215" i="17"/>
  <c r="Z215" i="17"/>
  <c r="AD215" i="17"/>
  <c r="AE215" i="17"/>
  <c r="Y216" i="17"/>
  <c r="Z216" i="17"/>
  <c r="AD216" i="17"/>
  <c r="AE216" i="17"/>
  <c r="Y217" i="17"/>
  <c r="Z217" i="17"/>
  <c r="AD217" i="17"/>
  <c r="AE217" i="17"/>
  <c r="Y218" i="17"/>
  <c r="Z218" i="17"/>
  <c r="AD218" i="17"/>
  <c r="AE218" i="17"/>
  <c r="Y219" i="17"/>
  <c r="Z219" i="17"/>
  <c r="AD219" i="17"/>
  <c r="AE219" i="17"/>
  <c r="Y220" i="17"/>
  <c r="Z220" i="17"/>
  <c r="AD220" i="17"/>
  <c r="AE220" i="17"/>
  <c r="Y221" i="17"/>
  <c r="Z221" i="17"/>
  <c r="AD221" i="17"/>
  <c r="AE221" i="17"/>
  <c r="Y222" i="17"/>
  <c r="Z222" i="17"/>
  <c r="AD222" i="17"/>
  <c r="AE222" i="17"/>
  <c r="Y223" i="17"/>
  <c r="Z223" i="17"/>
  <c r="AD223" i="17"/>
  <c r="AE223" i="17"/>
  <c r="Y224" i="17"/>
  <c r="Z224" i="17"/>
  <c r="AD224" i="17"/>
  <c r="AE224" i="17"/>
  <c r="Y225" i="17"/>
  <c r="Z225" i="17"/>
  <c r="AD225" i="17"/>
  <c r="AE225" i="17"/>
  <c r="Y226" i="17"/>
  <c r="Z226" i="17"/>
  <c r="AD226" i="17"/>
  <c r="AE226" i="17"/>
  <c r="Y227" i="17"/>
  <c r="Z227" i="17"/>
  <c r="AD227" i="17"/>
  <c r="AE227" i="17"/>
  <c r="Y228" i="17"/>
  <c r="AD228" i="17"/>
  <c r="Y229" i="17"/>
  <c r="AD229" i="17"/>
  <c r="Y230" i="17"/>
  <c r="AD230" i="17"/>
  <c r="Y231" i="17"/>
  <c r="AD231" i="17"/>
  <c r="Y232" i="17"/>
  <c r="AD232" i="17"/>
  <c r="Y233" i="17"/>
  <c r="AD233" i="17"/>
  <c r="Y234" i="17"/>
  <c r="AD234" i="17"/>
  <c r="Y235" i="17"/>
  <c r="AD235" i="17"/>
  <c r="Y236" i="17"/>
  <c r="AD236" i="17"/>
  <c r="Y237" i="17"/>
  <c r="AD237" i="17"/>
  <c r="Y238" i="17"/>
  <c r="AD238" i="17"/>
  <c r="Y239" i="17"/>
  <c r="AD239" i="17"/>
  <c r="Y240" i="17"/>
  <c r="AD240" i="17"/>
  <c r="Y241" i="17"/>
  <c r="AD241" i="17"/>
  <c r="Y242" i="17"/>
  <c r="AD242" i="17"/>
  <c r="Y243" i="17"/>
  <c r="AD243" i="17"/>
  <c r="Y244" i="17"/>
  <c r="AD244" i="17"/>
  <c r="Y245" i="17"/>
  <c r="AD245" i="17"/>
  <c r="Y246" i="17"/>
  <c r="AD246" i="17"/>
  <c r="Y247" i="17"/>
  <c r="AD247" i="17"/>
  <c r="Y248" i="17"/>
  <c r="AD248" i="17"/>
  <c r="Y249" i="17"/>
  <c r="AD249" i="17"/>
  <c r="Y250" i="17"/>
  <c r="AD250" i="17"/>
  <c r="Y251" i="17"/>
  <c r="AD251" i="17"/>
  <c r="Z252" i="17"/>
  <c r="AE252" i="17"/>
  <c r="Z253" i="17"/>
  <c r="AE253" i="17"/>
  <c r="Z254" i="17"/>
  <c r="AE254" i="17"/>
  <c r="Z255" i="17"/>
  <c r="AE255" i="17"/>
  <c r="Z256" i="17"/>
  <c r="AE256" i="17"/>
  <c r="Z257" i="17"/>
  <c r="AE257" i="17"/>
  <c r="Z258" i="17"/>
  <c r="AE258" i="17"/>
  <c r="Z259" i="17"/>
  <c r="AE259" i="17"/>
  <c r="Z260" i="17"/>
  <c r="AE260" i="17"/>
  <c r="Z261" i="17"/>
  <c r="AE261" i="17"/>
  <c r="Z262" i="17"/>
  <c r="AE262" i="17"/>
  <c r="Z263" i="17"/>
  <c r="AE263" i="17"/>
  <c r="Y264" i="17"/>
  <c r="AD264" i="17"/>
  <c r="Y265" i="17"/>
  <c r="AD265" i="17"/>
  <c r="Y266" i="17"/>
  <c r="AD266" i="17"/>
  <c r="Y267" i="17"/>
  <c r="AD267" i="17"/>
  <c r="Y268" i="17"/>
  <c r="AD268" i="17"/>
  <c r="Y269" i="17"/>
  <c r="AD269" i="17"/>
  <c r="Y270" i="17"/>
  <c r="AD270" i="17"/>
  <c r="Y271" i="17"/>
  <c r="AD271" i="17"/>
  <c r="Y272" i="17"/>
  <c r="AD272" i="17"/>
  <c r="Y273" i="17"/>
  <c r="AD273" i="17"/>
  <c r="Y274" i="17"/>
  <c r="AD274" i="17"/>
  <c r="Y275" i="17"/>
  <c r="AD275" i="17"/>
  <c r="Z276" i="17"/>
  <c r="AE276" i="17"/>
  <c r="Z277" i="17"/>
  <c r="AE277" i="17"/>
  <c r="Z278" i="17"/>
  <c r="AE278" i="17"/>
  <c r="Z279" i="17"/>
  <c r="AE279" i="17"/>
  <c r="Z280" i="17"/>
  <c r="AE280" i="17"/>
  <c r="Z281" i="17"/>
  <c r="AE281" i="17"/>
  <c r="Z282" i="17"/>
  <c r="AE282" i="17"/>
  <c r="Z283" i="17"/>
  <c r="AE283" i="17"/>
  <c r="Z284" i="17"/>
  <c r="AE284" i="17"/>
  <c r="Z285" i="17"/>
  <c r="AE285" i="17"/>
  <c r="Z286" i="17"/>
  <c r="AE286" i="17"/>
  <c r="Z287" i="17"/>
  <c r="AE287" i="17"/>
  <c r="Z288" i="17"/>
  <c r="AE288" i="17"/>
  <c r="Z289" i="17"/>
  <c r="AE289" i="17"/>
  <c r="Z290" i="17"/>
  <c r="AE290" i="17"/>
  <c r="Z291" i="17"/>
  <c r="AE291" i="17"/>
  <c r="Z292" i="17"/>
  <c r="AE292" i="17"/>
  <c r="Z293" i="17"/>
  <c r="AE293" i="17"/>
  <c r="Z294" i="17"/>
  <c r="AE294" i="17"/>
  <c r="Z295" i="17"/>
  <c r="AE295" i="17"/>
  <c r="Z296" i="17"/>
  <c r="AE296" i="17"/>
  <c r="Z297" i="17"/>
  <c r="AE297" i="17"/>
  <c r="Z298" i="17"/>
  <c r="AE298" i="17"/>
  <c r="Z299" i="17"/>
  <c r="AE299" i="17"/>
  <c r="Z300" i="17"/>
  <c r="AE300" i="17"/>
  <c r="Z301" i="17"/>
  <c r="AE301" i="17"/>
  <c r="Z302" i="17"/>
  <c r="AE302" i="17"/>
  <c r="Z303" i="17"/>
  <c r="AE303" i="17"/>
  <c r="Z304" i="17"/>
  <c r="AE304" i="17"/>
  <c r="Z305" i="17"/>
  <c r="AE305" i="17"/>
  <c r="Z306" i="17"/>
  <c r="AE306" i="17"/>
  <c r="Z307" i="17"/>
  <c r="AE307" i="17"/>
  <c r="Z308" i="17"/>
  <c r="AE308" i="17"/>
  <c r="Z309" i="17"/>
  <c r="AE309" i="17"/>
  <c r="Z310" i="17"/>
  <c r="AE310" i="17"/>
  <c r="Z311" i="17"/>
  <c r="AE311" i="17"/>
  <c r="Z312" i="17"/>
  <c r="AE312" i="17"/>
  <c r="Z313" i="17"/>
  <c r="AE313" i="17"/>
  <c r="Z314" i="17"/>
  <c r="AE314" i="17"/>
  <c r="Z315" i="17"/>
  <c r="AE315" i="17"/>
  <c r="Z316" i="17"/>
  <c r="AE316" i="17"/>
  <c r="Z317" i="17"/>
  <c r="AE317" i="17"/>
  <c r="Z318" i="17"/>
  <c r="AE318" i="17"/>
  <c r="Z319" i="17"/>
  <c r="AE319" i="17"/>
  <c r="Z320" i="17"/>
  <c r="AE320" i="17"/>
  <c r="Z321" i="17"/>
  <c r="AE321" i="17"/>
  <c r="Z322" i="17"/>
  <c r="AE322" i="17"/>
  <c r="Z323" i="17"/>
  <c r="AE323" i="17"/>
  <c r="Z324" i="17"/>
  <c r="AE324" i="17"/>
  <c r="Y325" i="17"/>
  <c r="AD325" i="17"/>
  <c r="Y326" i="17"/>
  <c r="AD326" i="17"/>
  <c r="Y327" i="17"/>
  <c r="AD327" i="17"/>
  <c r="Y328" i="17"/>
  <c r="AD328" i="17"/>
  <c r="Y329" i="17"/>
  <c r="AD329" i="17"/>
  <c r="Y330" i="17"/>
  <c r="AD330" i="17"/>
  <c r="Y331" i="17"/>
  <c r="AD331" i="17"/>
  <c r="Y332" i="17"/>
  <c r="AD332" i="17"/>
  <c r="Y333" i="17"/>
  <c r="AD333" i="17"/>
  <c r="Y334" i="17"/>
  <c r="AD334" i="17"/>
  <c r="Y335" i="17"/>
  <c r="AD335" i="17"/>
  <c r="Y336" i="17"/>
  <c r="AD336" i="17"/>
  <c r="Y337" i="17"/>
  <c r="AD337" i="17"/>
  <c r="Y338" i="17"/>
  <c r="AD338" i="17"/>
  <c r="Y339" i="17"/>
  <c r="AD339" i="17"/>
  <c r="Y340" i="17"/>
  <c r="AD340" i="17"/>
  <c r="Y341" i="17"/>
  <c r="AD341" i="17"/>
  <c r="Y342" i="17"/>
  <c r="AD342" i="17"/>
  <c r="Y343" i="17"/>
  <c r="AD343" i="17"/>
  <c r="Y344" i="17"/>
  <c r="AD344" i="17"/>
  <c r="Y345" i="17"/>
  <c r="AD345" i="17"/>
  <c r="Y346" i="17"/>
  <c r="AD346" i="17"/>
  <c r="Y347" i="17"/>
  <c r="AD347" i="17"/>
  <c r="Y348" i="17"/>
  <c r="AD348" i="17"/>
  <c r="Y349" i="17"/>
  <c r="AD349" i="17"/>
  <c r="Y350" i="17"/>
  <c r="AD350" i="17"/>
  <c r="Y351" i="17"/>
  <c r="AD351" i="17"/>
  <c r="Y352" i="17"/>
  <c r="AD352" i="17"/>
  <c r="Y353" i="17"/>
  <c r="AD353" i="17"/>
  <c r="Y354" i="17"/>
  <c r="AD354" i="17"/>
  <c r="Y355" i="17"/>
  <c r="AD355" i="17"/>
  <c r="Z356" i="17"/>
  <c r="AE356" i="17"/>
  <c r="Z357" i="17"/>
  <c r="AE357" i="17"/>
  <c r="Z358" i="17"/>
  <c r="AE358" i="17"/>
  <c r="Z359" i="17"/>
  <c r="AE359" i="17"/>
  <c r="Z360" i="17"/>
  <c r="AE360" i="17"/>
  <c r="Z361" i="17"/>
  <c r="AE361" i="17"/>
  <c r="Z362" i="17"/>
  <c r="AE362" i="17"/>
  <c r="Z363" i="17"/>
  <c r="AE363" i="17"/>
  <c r="Z364" i="17"/>
  <c r="AE364" i="17"/>
  <c r="Z365" i="17"/>
  <c r="AE365" i="17"/>
  <c r="Z366" i="17"/>
  <c r="AE366" i="17"/>
  <c r="Z367" i="17"/>
  <c r="AE367" i="17"/>
  <c r="Z368" i="17"/>
  <c r="AE368" i="17"/>
  <c r="Z369" i="17"/>
  <c r="AE369" i="17"/>
  <c r="Z370" i="17"/>
  <c r="AE370" i="17"/>
  <c r="Z371" i="17"/>
  <c r="AE371" i="17"/>
  <c r="Z372" i="17"/>
  <c r="AE372" i="17"/>
  <c r="Z373" i="17"/>
  <c r="AE373" i="17"/>
  <c r="Z374" i="17"/>
  <c r="AE374" i="17"/>
  <c r="Z375" i="17"/>
  <c r="AE375" i="17"/>
  <c r="Z376" i="17"/>
  <c r="AE376" i="17"/>
  <c r="Z377" i="17"/>
  <c r="AE377" i="17"/>
  <c r="Z378" i="17"/>
  <c r="AE378" i="17"/>
  <c r="Z379" i="17"/>
  <c r="AE379" i="17"/>
  <c r="Z380" i="17"/>
  <c r="AE380" i="17"/>
  <c r="Z381" i="17"/>
  <c r="AE381" i="17"/>
  <c r="Z382" i="17"/>
  <c r="AE382" i="17"/>
  <c r="Z383" i="17"/>
  <c r="AE383" i="17"/>
  <c r="Z384" i="17"/>
  <c r="AE384" i="17"/>
  <c r="Z385" i="17"/>
  <c r="AE385" i="17"/>
  <c r="Z386" i="17"/>
  <c r="AE386" i="17"/>
  <c r="Z387" i="17"/>
  <c r="AE387" i="17"/>
  <c r="Z388" i="17"/>
  <c r="AE388" i="17"/>
  <c r="Z389" i="17"/>
  <c r="AE389" i="17"/>
  <c r="Z390" i="17"/>
  <c r="AE390" i="17"/>
  <c r="Z391" i="17"/>
  <c r="AE391" i="17"/>
  <c r="Z392" i="17"/>
  <c r="AE392" i="17"/>
  <c r="Z393" i="17"/>
  <c r="AE393" i="17"/>
  <c r="Z394" i="17"/>
  <c r="AE394" i="17"/>
  <c r="Z395" i="17"/>
  <c r="AE395" i="17"/>
  <c r="Z396" i="17"/>
  <c r="AE396" i="17"/>
  <c r="Y397" i="17"/>
  <c r="AD397" i="17"/>
  <c r="Y398" i="17"/>
  <c r="AD398" i="17"/>
  <c r="Y399" i="17"/>
  <c r="AD399" i="17"/>
  <c r="Y400" i="17"/>
  <c r="AD400" i="17"/>
  <c r="Y401" i="17"/>
  <c r="AD401" i="17"/>
  <c r="Y402" i="17"/>
  <c r="AD402" i="17"/>
  <c r="Y403" i="17"/>
  <c r="AD403" i="17"/>
  <c r="Y404" i="17"/>
  <c r="AD404" i="17"/>
  <c r="Y405" i="17"/>
  <c r="AD405" i="17"/>
  <c r="Y406" i="17"/>
  <c r="AD406" i="17"/>
  <c r="Y407" i="17"/>
  <c r="AD407" i="17"/>
  <c r="Y408" i="17"/>
  <c r="AD408" i="17"/>
  <c r="Y409" i="17"/>
  <c r="AD409" i="17"/>
  <c r="Y410" i="17"/>
  <c r="AD410" i="17"/>
  <c r="Y411" i="17"/>
  <c r="AD411" i="17"/>
  <c r="Y412" i="17"/>
  <c r="AD412" i="17"/>
  <c r="Y413" i="17"/>
  <c r="AD413" i="17"/>
  <c r="Y414" i="17"/>
  <c r="AD414" i="17"/>
  <c r="Y415" i="17"/>
  <c r="AD415" i="17"/>
  <c r="Y416" i="17"/>
  <c r="AD416" i="17"/>
  <c r="Y417" i="17"/>
  <c r="AD417" i="17"/>
  <c r="Y418" i="17"/>
  <c r="AD418" i="17"/>
  <c r="Y419" i="17"/>
  <c r="AD419" i="17"/>
  <c r="Y420" i="17"/>
  <c r="AD420" i="17"/>
  <c r="Z421" i="17"/>
  <c r="AE421" i="17"/>
  <c r="Z422" i="17"/>
  <c r="AE422" i="17"/>
  <c r="Z423" i="17"/>
  <c r="AE423" i="17"/>
  <c r="Z424" i="17"/>
  <c r="AE424" i="17"/>
  <c r="Z425" i="17"/>
  <c r="AE425" i="17"/>
  <c r="Z426" i="17"/>
  <c r="AE426" i="17"/>
  <c r="Z427" i="17"/>
  <c r="AE427" i="17"/>
  <c r="Z428" i="17"/>
  <c r="AE428" i="17"/>
  <c r="Z429" i="17"/>
  <c r="AE429" i="17"/>
  <c r="Z430" i="17"/>
  <c r="AE430" i="17"/>
  <c r="Z431" i="17"/>
  <c r="AE431" i="17"/>
  <c r="Z432" i="17"/>
  <c r="AE432" i="17"/>
  <c r="Z433" i="17"/>
  <c r="AE433" i="17"/>
  <c r="Z434" i="17"/>
  <c r="AE434" i="17"/>
  <c r="Z435" i="17"/>
  <c r="AE435" i="17"/>
  <c r="Z436" i="17"/>
  <c r="AE436" i="17"/>
  <c r="Z437" i="17"/>
  <c r="AE437" i="17"/>
  <c r="Z438" i="17"/>
  <c r="AE438" i="17"/>
  <c r="Z439" i="17"/>
  <c r="AE439" i="17"/>
  <c r="Z440" i="17"/>
  <c r="AE440" i="17"/>
  <c r="Z441" i="17"/>
  <c r="AE441" i="17"/>
  <c r="Z442" i="17"/>
  <c r="AE442" i="17"/>
  <c r="Z443" i="17"/>
  <c r="AE443" i="17"/>
  <c r="Z444" i="17"/>
  <c r="AE444" i="17"/>
  <c r="Z445" i="17"/>
  <c r="AE445" i="17"/>
  <c r="Z446" i="17"/>
  <c r="AE446" i="17"/>
  <c r="Z447" i="17"/>
  <c r="AE447" i="17"/>
  <c r="Z448" i="17"/>
  <c r="AE448" i="17"/>
  <c r="Z449" i="17"/>
  <c r="AE449" i="17"/>
  <c r="Z450" i="17"/>
  <c r="AE450" i="17"/>
  <c r="Z451" i="17"/>
  <c r="AE451" i="17"/>
  <c r="Z452" i="17"/>
  <c r="AE452" i="17"/>
  <c r="Z453" i="17"/>
  <c r="AE453" i="17"/>
  <c r="Z454" i="17"/>
  <c r="AE454" i="17"/>
  <c r="Z455" i="17"/>
  <c r="AE455" i="17"/>
  <c r="Z456" i="17"/>
  <c r="AE456" i="17"/>
  <c r="Z457" i="17"/>
  <c r="AE457" i="17"/>
  <c r="Z458" i="17"/>
  <c r="AE458" i="17"/>
  <c r="Z459" i="17"/>
  <c r="AE459" i="17"/>
  <c r="Z460" i="17"/>
  <c r="AE460" i="17"/>
  <c r="Z461" i="17"/>
  <c r="AE461" i="17"/>
  <c r="Z462" i="17"/>
  <c r="AE462" i="17"/>
  <c r="Z463" i="17"/>
  <c r="AE463" i="17"/>
  <c r="Z464" i="17"/>
  <c r="AE464" i="17"/>
  <c r="Z465" i="17"/>
  <c r="AE465" i="17"/>
  <c r="Z466" i="17"/>
  <c r="AE466" i="17"/>
  <c r="Z467" i="17"/>
  <c r="AE467" i="17"/>
  <c r="Z468" i="17"/>
  <c r="AE468" i="17"/>
  <c r="Z469" i="17"/>
  <c r="AE469" i="17"/>
  <c r="Y470" i="17"/>
  <c r="AD470" i="17"/>
  <c r="Y471" i="17"/>
  <c r="AD471" i="17"/>
  <c r="Y472" i="17"/>
  <c r="AD472" i="17"/>
  <c r="Y473" i="17"/>
  <c r="AD473" i="17"/>
  <c r="Y474" i="17"/>
  <c r="AD474" i="17"/>
  <c r="Y475" i="17"/>
  <c r="AD475" i="17"/>
  <c r="Y476" i="17"/>
  <c r="AD476" i="17"/>
  <c r="Y477" i="17"/>
  <c r="AD477" i="17"/>
  <c r="Y478" i="17"/>
  <c r="AD478" i="17"/>
  <c r="Y479" i="17"/>
  <c r="AD479" i="17"/>
  <c r="Y480" i="17"/>
  <c r="AD480" i="17"/>
  <c r="Y481" i="17"/>
  <c r="AD481" i="17"/>
  <c r="Y482" i="17"/>
  <c r="AD482" i="17"/>
  <c r="Y483" i="17"/>
  <c r="AD483" i="17"/>
  <c r="Y484" i="17"/>
  <c r="AD484" i="17"/>
  <c r="Y485" i="17"/>
  <c r="AD485" i="17"/>
  <c r="Y486" i="17"/>
  <c r="AD486" i="17"/>
  <c r="Y487" i="17"/>
  <c r="AD487" i="17"/>
  <c r="Y488" i="17"/>
  <c r="AD488" i="17"/>
  <c r="Y489" i="17"/>
  <c r="AD489" i="17"/>
  <c r="Y490" i="17"/>
  <c r="AD490" i="17"/>
  <c r="Y491" i="17"/>
  <c r="AD491" i="17"/>
  <c r="Y492" i="17"/>
  <c r="AD492" i="17"/>
  <c r="Y493" i="17"/>
  <c r="AD493" i="17"/>
  <c r="Y494" i="17"/>
  <c r="AD494" i="17"/>
  <c r="Z495" i="17"/>
  <c r="AE495" i="17"/>
  <c r="Z496" i="17"/>
  <c r="AE496" i="17"/>
  <c r="Z497" i="17"/>
  <c r="AE497" i="17"/>
  <c r="Z498" i="17"/>
  <c r="AE498" i="17"/>
  <c r="Z499" i="17"/>
  <c r="AE499" i="17"/>
  <c r="Z500" i="17"/>
  <c r="AE500" i="17"/>
  <c r="Z501" i="17"/>
  <c r="AE501" i="17"/>
  <c r="Z502" i="17"/>
  <c r="AE502" i="17"/>
  <c r="Z503" i="17"/>
  <c r="AE503" i="17"/>
  <c r="Z504" i="17"/>
  <c r="AE504" i="17"/>
  <c r="Z505" i="17"/>
  <c r="AE505" i="17"/>
  <c r="Z506" i="17"/>
  <c r="AE506" i="17"/>
  <c r="Z507" i="17"/>
  <c r="AE507" i="17"/>
  <c r="Z508" i="17"/>
  <c r="AE508" i="17"/>
  <c r="Z509" i="17"/>
  <c r="AE509" i="17"/>
  <c r="Z510" i="17"/>
  <c r="AE510" i="17"/>
  <c r="Z511" i="17"/>
  <c r="AE511" i="17"/>
  <c r="Z512" i="17"/>
  <c r="AE512" i="17"/>
  <c r="Z513" i="17"/>
  <c r="AE513" i="17"/>
  <c r="Z514" i="17"/>
  <c r="AE514" i="17"/>
  <c r="Z515" i="17"/>
  <c r="AE515" i="17"/>
  <c r="Z516" i="17"/>
  <c r="AE516" i="17"/>
  <c r="Z517" i="17"/>
  <c r="AE517" i="17"/>
  <c r="Z518" i="17"/>
  <c r="AE518" i="17"/>
  <c r="Z519" i="17"/>
  <c r="AE519" i="17"/>
  <c r="Z520" i="17"/>
  <c r="AE520" i="17"/>
  <c r="Z521" i="17"/>
  <c r="AE521" i="17"/>
  <c r="Z522" i="17"/>
  <c r="AE522" i="17"/>
  <c r="Z523" i="17"/>
  <c r="AE523" i="17"/>
  <c r="Z524" i="17"/>
  <c r="AE524" i="17"/>
  <c r="Z525" i="17"/>
  <c r="AE525" i="17"/>
  <c r="Z526" i="17"/>
  <c r="AE526" i="17"/>
  <c r="Z527" i="17"/>
  <c r="AE527" i="17"/>
  <c r="Z528" i="17"/>
  <c r="AE528" i="17"/>
  <c r="Z529" i="17"/>
  <c r="AE529" i="17"/>
  <c r="Z530" i="17"/>
  <c r="AE530" i="17"/>
  <c r="Z531" i="17"/>
  <c r="AE531" i="17"/>
  <c r="Z532" i="17"/>
  <c r="AE532" i="17"/>
  <c r="Z533" i="17"/>
  <c r="AE533" i="17"/>
  <c r="Z534" i="17"/>
  <c r="AE534" i="17"/>
  <c r="Z535" i="17"/>
  <c r="AE535" i="17"/>
  <c r="Z536" i="17"/>
  <c r="AE536" i="17"/>
  <c r="Z537" i="17"/>
  <c r="AE537" i="17"/>
  <c r="Z538" i="17"/>
  <c r="AE538" i="17"/>
  <c r="Z539" i="17"/>
  <c r="AE539" i="17"/>
  <c r="Z540" i="17"/>
  <c r="AE540" i="17"/>
  <c r="Z541" i="17"/>
  <c r="AE541" i="17"/>
  <c r="Z542" i="17"/>
  <c r="AE542" i="17"/>
  <c r="Z543" i="17"/>
  <c r="AE543" i="17"/>
  <c r="Z544" i="17"/>
  <c r="AE544" i="17"/>
  <c r="Z545" i="17"/>
  <c r="AE545" i="17"/>
  <c r="Z546" i="17"/>
  <c r="AE546" i="17"/>
  <c r="Z547" i="17"/>
  <c r="AE547" i="17"/>
  <c r="Z548" i="17"/>
  <c r="AE548" i="17"/>
  <c r="Z549" i="17"/>
  <c r="AE549" i="17"/>
  <c r="Z550" i="17"/>
  <c r="AE550" i="17"/>
  <c r="Z551" i="17"/>
  <c r="AE551" i="17"/>
  <c r="Z552" i="17"/>
  <c r="AE552" i="17"/>
  <c r="Z553" i="17"/>
  <c r="AE553" i="17"/>
  <c r="Z554" i="17"/>
  <c r="AE554" i="17"/>
  <c r="Z555" i="17"/>
  <c r="AE555" i="17"/>
  <c r="Z556" i="17"/>
  <c r="AE556" i="17"/>
  <c r="Z557" i="17"/>
  <c r="AE557" i="17"/>
  <c r="Z558" i="17"/>
  <c r="AE558" i="17"/>
  <c r="Z559" i="17"/>
  <c r="AE559" i="17"/>
  <c r="Z560" i="17"/>
  <c r="AE560" i="17"/>
  <c r="Z561" i="17"/>
  <c r="AE561" i="17"/>
  <c r="Z562" i="17"/>
  <c r="AE562" i="17"/>
  <c r="Z563" i="17"/>
  <c r="AE563" i="17"/>
  <c r="Z564" i="17"/>
  <c r="AE564" i="17"/>
  <c r="Z565" i="17"/>
  <c r="AE565" i="17"/>
  <c r="Z566" i="17"/>
  <c r="AE566" i="17"/>
  <c r="Z567" i="17"/>
  <c r="AE567" i="17"/>
  <c r="Z568" i="17"/>
  <c r="AE568" i="17"/>
  <c r="Z569" i="17"/>
  <c r="AE569" i="17"/>
  <c r="Z570" i="17"/>
  <c r="AE570" i="17"/>
  <c r="Z571" i="17"/>
  <c r="AE571" i="17"/>
  <c r="Z572" i="17"/>
  <c r="AE572" i="17"/>
  <c r="Z573" i="17"/>
  <c r="AE573" i="17"/>
  <c r="Z574" i="17"/>
  <c r="AE574" i="17"/>
  <c r="Z575" i="17"/>
  <c r="AE575" i="17"/>
  <c r="Z576" i="17"/>
  <c r="AE576" i="17"/>
  <c r="Z577" i="17"/>
  <c r="AE577" i="17"/>
  <c r="Z578" i="17"/>
  <c r="AE578" i="17"/>
  <c r="Z579" i="17"/>
  <c r="AE579" i="17"/>
  <c r="Z580" i="17"/>
  <c r="AE580" i="17"/>
  <c r="Z581" i="17"/>
  <c r="AE581" i="17"/>
  <c r="Z582" i="17"/>
  <c r="AE582" i="17"/>
  <c r="Z583" i="17"/>
  <c r="AE583" i="17"/>
  <c r="Z584" i="17"/>
  <c r="AE584" i="17"/>
  <c r="Z585" i="17"/>
  <c r="AE585" i="17"/>
  <c r="Z586" i="17"/>
  <c r="AE586" i="17"/>
  <c r="Z587" i="17"/>
  <c r="AE587" i="17"/>
  <c r="Z588" i="17"/>
  <c r="AE588" i="17"/>
  <c r="Z589" i="17"/>
  <c r="AE589" i="17"/>
  <c r="Z590" i="17"/>
  <c r="AE590" i="17"/>
  <c r="Z591" i="17"/>
  <c r="AE591" i="17"/>
  <c r="Z592" i="17"/>
  <c r="AE592" i="17"/>
  <c r="Z593" i="17"/>
  <c r="AE593" i="17"/>
  <c r="Z594" i="17"/>
  <c r="AE594" i="17"/>
  <c r="Z595" i="17"/>
  <c r="AE595" i="17"/>
  <c r="Z596" i="17"/>
  <c r="AE596" i="17"/>
  <c r="Z597" i="17"/>
  <c r="AE597" i="17"/>
  <c r="Z598" i="17"/>
  <c r="AE598" i="17"/>
  <c r="Z599" i="17"/>
  <c r="AE599" i="17"/>
  <c r="Z600" i="17"/>
  <c r="AE600" i="17"/>
  <c r="Z601" i="17"/>
  <c r="AE601" i="17"/>
  <c r="Z602" i="17"/>
  <c r="AE602" i="17"/>
  <c r="Z603" i="17"/>
  <c r="AE603" i="17"/>
  <c r="Z604" i="17"/>
  <c r="AE604" i="17"/>
  <c r="Z605" i="17"/>
  <c r="AE605" i="17"/>
  <c r="Z606" i="17"/>
  <c r="AE606" i="17"/>
  <c r="Z607" i="17"/>
  <c r="AE607" i="17"/>
  <c r="Z608" i="17"/>
  <c r="AE608" i="17"/>
  <c r="Z609" i="17"/>
  <c r="AE609" i="17"/>
  <c r="Z610" i="17"/>
  <c r="AE610" i="17"/>
  <c r="Z611" i="17"/>
  <c r="AE611" i="17"/>
  <c r="Z612" i="17"/>
  <c r="AE612" i="17"/>
  <c r="Z613" i="17"/>
  <c r="AE613" i="17"/>
  <c r="Z614" i="17"/>
  <c r="AE614" i="17"/>
  <c r="Z615" i="17"/>
  <c r="AE615" i="17"/>
  <c r="Z616" i="17"/>
  <c r="AE616" i="17"/>
  <c r="Z617" i="17"/>
  <c r="AE617" i="17"/>
  <c r="Z618" i="17"/>
  <c r="AE618" i="17"/>
  <c r="Z619" i="17"/>
  <c r="AE619" i="17"/>
  <c r="Z620" i="17"/>
  <c r="AE620" i="17"/>
  <c r="Z621" i="17"/>
  <c r="AE621" i="17"/>
  <c r="Z622" i="17"/>
  <c r="AE622" i="17"/>
  <c r="Z623" i="17"/>
  <c r="AE623" i="17"/>
  <c r="Z624" i="17"/>
  <c r="AE624" i="17"/>
  <c r="Z625" i="17"/>
  <c r="AE625" i="17"/>
  <c r="Z626" i="17"/>
  <c r="AE626" i="17"/>
  <c r="Z627" i="17"/>
  <c r="AE627" i="17"/>
  <c r="Z628" i="17"/>
  <c r="AE628" i="17"/>
  <c r="Z629" i="17"/>
  <c r="AE629" i="17"/>
  <c r="Z630" i="17"/>
  <c r="AE630" i="17"/>
  <c r="Z631" i="17"/>
  <c r="AE631" i="17"/>
  <c r="Z632" i="17"/>
  <c r="AE632" i="17"/>
  <c r="Z633" i="17"/>
  <c r="AE633" i="17"/>
  <c r="Z634" i="17"/>
  <c r="AE634" i="17"/>
  <c r="Z635" i="17"/>
  <c r="AE635" i="17"/>
  <c r="Z636" i="17"/>
  <c r="AE636" i="17"/>
  <c r="Z637" i="17"/>
  <c r="AE637" i="17"/>
  <c r="Z638" i="17"/>
  <c r="AE638" i="17"/>
  <c r="Z639" i="17"/>
  <c r="AE639" i="17"/>
  <c r="Z640" i="17"/>
  <c r="AE640" i="17"/>
  <c r="Z641" i="17"/>
  <c r="AE641" i="17"/>
  <c r="Z642" i="17"/>
  <c r="AE642" i="17"/>
  <c r="Z643" i="17"/>
  <c r="AE643" i="17"/>
  <c r="Z644" i="17"/>
  <c r="AE644" i="17"/>
  <c r="Z645" i="17"/>
  <c r="AE645" i="17"/>
  <c r="Z646" i="17"/>
  <c r="AE646" i="17"/>
  <c r="Z647" i="17"/>
  <c r="AE647" i="17"/>
  <c r="Z648" i="17"/>
  <c r="AE648" i="17"/>
  <c r="Z649" i="17"/>
  <c r="AE649" i="17"/>
  <c r="Z650" i="17"/>
  <c r="AE650" i="17"/>
  <c r="Z651" i="17"/>
  <c r="AE651" i="17"/>
  <c r="Z652" i="17"/>
  <c r="AE652" i="17"/>
  <c r="Z653" i="17"/>
  <c r="AE653" i="17"/>
  <c r="Z654" i="17"/>
  <c r="AE654" i="17"/>
  <c r="Z655" i="17"/>
  <c r="AE655" i="17"/>
  <c r="Z656" i="17"/>
  <c r="AE656" i="17"/>
  <c r="Z657" i="17"/>
  <c r="AE657" i="17"/>
  <c r="Z658" i="17"/>
  <c r="AE658" i="17"/>
  <c r="Z659" i="17"/>
  <c r="AE659" i="17"/>
  <c r="Z660" i="17"/>
  <c r="AE660" i="17"/>
  <c r="Z661" i="17"/>
  <c r="AE661" i="17"/>
  <c r="Z662" i="17"/>
  <c r="AE662" i="17"/>
  <c r="Z663" i="17"/>
  <c r="AE663" i="17"/>
  <c r="Z664" i="17"/>
  <c r="AE664" i="17"/>
  <c r="Z665" i="17"/>
  <c r="AE665" i="17"/>
  <c r="Z666" i="17"/>
  <c r="AE666" i="17"/>
  <c r="Z667" i="17"/>
  <c r="AE667" i="17"/>
  <c r="Z668" i="17"/>
  <c r="AE668" i="17"/>
  <c r="Z669" i="17"/>
  <c r="AE669" i="17"/>
  <c r="Z670" i="17"/>
  <c r="AE670" i="17"/>
  <c r="Z671" i="17"/>
  <c r="AE671" i="17"/>
  <c r="Z672" i="17"/>
  <c r="AE672" i="17"/>
  <c r="Z673" i="17"/>
  <c r="AE673" i="17"/>
  <c r="Z674" i="17"/>
  <c r="AE674" i="17"/>
  <c r="Z675" i="17"/>
  <c r="AE675" i="17"/>
  <c r="Z676" i="17"/>
  <c r="AE676" i="17"/>
  <c r="Z677" i="17"/>
  <c r="AE677" i="17"/>
  <c r="Z678" i="17"/>
  <c r="AE678" i="17"/>
  <c r="Z679" i="17"/>
  <c r="AE679" i="17"/>
  <c r="Z680" i="17"/>
  <c r="AE680" i="17"/>
  <c r="Z681" i="17"/>
  <c r="AE681" i="17"/>
  <c r="Z682" i="17"/>
  <c r="AE682" i="17"/>
  <c r="Z683" i="17"/>
  <c r="AE683" i="17"/>
  <c r="Z684" i="17"/>
  <c r="AE684" i="17"/>
  <c r="Z685" i="17"/>
  <c r="AE685" i="17"/>
  <c r="Z686" i="17"/>
  <c r="AE686" i="17"/>
  <c r="Z687" i="17"/>
  <c r="AE687" i="17"/>
  <c r="Z688" i="17"/>
  <c r="AE688" i="17"/>
  <c r="Z689" i="17"/>
  <c r="AE689" i="17"/>
  <c r="Z690" i="17"/>
  <c r="AE690" i="17"/>
  <c r="Z691" i="17"/>
  <c r="AE691" i="17"/>
  <c r="Z692" i="17"/>
  <c r="AE692" i="17"/>
  <c r="Z693" i="17"/>
  <c r="AE693" i="17"/>
  <c r="Z694" i="17"/>
  <c r="AE694" i="17"/>
  <c r="Z695" i="17"/>
  <c r="AE695" i="17"/>
  <c r="Z696" i="17"/>
  <c r="AE696" i="17"/>
  <c r="Z697" i="17"/>
  <c r="AE697" i="17"/>
  <c r="Z698" i="17"/>
  <c r="AE698" i="17"/>
  <c r="Z699" i="17"/>
  <c r="AE699" i="17"/>
  <c r="Z700" i="17"/>
  <c r="AE700" i="17"/>
  <c r="Z701" i="17"/>
  <c r="AE701" i="17"/>
  <c r="Z702" i="17"/>
  <c r="AE702" i="17"/>
  <c r="Z703" i="17"/>
  <c r="AE703" i="17"/>
  <c r="Z704" i="17"/>
  <c r="AE704" i="17"/>
  <c r="E5" i="28"/>
  <c r="F5" i="28"/>
  <c r="H5" i="28"/>
  <c r="I5" i="28"/>
  <c r="R5" i="28"/>
  <c r="U5" i="28"/>
  <c r="E6" i="28"/>
  <c r="F6" i="28"/>
  <c r="H6" i="28"/>
  <c r="I6" i="28"/>
  <c r="R6" i="28"/>
  <c r="U6" i="28"/>
  <c r="E7" i="28"/>
  <c r="F7" i="28"/>
  <c r="H7" i="28"/>
  <c r="I7" i="28"/>
  <c r="R7" i="28"/>
  <c r="U7" i="28"/>
  <c r="E8" i="28"/>
  <c r="F8" i="28"/>
  <c r="H8" i="28"/>
  <c r="I8" i="28"/>
  <c r="R8" i="28"/>
  <c r="U8" i="28"/>
  <c r="E9" i="28"/>
  <c r="F9" i="28"/>
  <c r="H9" i="28"/>
  <c r="I9" i="28"/>
  <c r="R9" i="28"/>
  <c r="U9" i="28"/>
  <c r="E10" i="28"/>
  <c r="F10" i="28"/>
  <c r="H10" i="28"/>
  <c r="I10" i="28"/>
  <c r="R10" i="28"/>
  <c r="U10" i="28"/>
  <c r="R11" i="28"/>
  <c r="U11" i="28"/>
  <c r="E12" i="28"/>
  <c r="R12" i="28"/>
  <c r="U12" i="28"/>
  <c r="E13" i="28"/>
  <c r="F13" i="28"/>
  <c r="H13" i="28"/>
  <c r="I13" i="28"/>
  <c r="R13" i="28"/>
  <c r="U13" i="28"/>
  <c r="E14" i="28"/>
  <c r="F14" i="28"/>
  <c r="H14" i="28"/>
  <c r="I14" i="28"/>
  <c r="R14" i="28"/>
  <c r="U14" i="28"/>
  <c r="E15" i="28"/>
  <c r="F15" i="28"/>
  <c r="H15" i="28"/>
  <c r="I15" i="28"/>
  <c r="R15" i="28"/>
  <c r="U15" i="28"/>
  <c r="E16" i="28"/>
  <c r="F16" i="28"/>
  <c r="H16" i="28"/>
  <c r="I16" i="28"/>
  <c r="R16" i="28"/>
  <c r="U16" i="28"/>
  <c r="E17" i="28"/>
  <c r="H17" i="28"/>
  <c r="R17" i="28"/>
  <c r="U17" i="28"/>
  <c r="F18" i="28"/>
  <c r="I18" i="28"/>
  <c r="R18" i="28"/>
  <c r="U18" i="28"/>
  <c r="F19" i="28"/>
  <c r="I19" i="28"/>
  <c r="R19" i="28"/>
  <c r="U19" i="28"/>
  <c r="E20" i="28"/>
  <c r="H20" i="28"/>
  <c r="R20" i="28"/>
  <c r="U20" i="28"/>
  <c r="F21" i="28"/>
  <c r="I21" i="28"/>
  <c r="R21" i="28"/>
  <c r="U21" i="28"/>
  <c r="F22" i="28"/>
  <c r="I22" i="28"/>
  <c r="R22" i="28"/>
  <c r="U22" i="28"/>
  <c r="E23" i="28"/>
  <c r="F23" i="28"/>
  <c r="H23" i="28"/>
  <c r="I23" i="28"/>
  <c r="R23" i="28"/>
  <c r="U23" i="28"/>
  <c r="E24" i="28"/>
  <c r="F24" i="28"/>
  <c r="H24" i="28"/>
  <c r="I24" i="28"/>
  <c r="R24" i="28"/>
  <c r="U24" i="28"/>
  <c r="R25" i="28"/>
  <c r="U25" i="28"/>
  <c r="E26" i="28"/>
  <c r="H26" i="28"/>
  <c r="R26" i="28"/>
  <c r="U26" i="28"/>
  <c r="R27" i="28"/>
  <c r="U27" i="28"/>
  <c r="R28" i="28"/>
  <c r="U28" i="28"/>
  <c r="R29" i="28"/>
  <c r="U29" i="28"/>
  <c r="R30" i="28"/>
  <c r="U30" i="28"/>
  <c r="R31" i="28"/>
  <c r="U31" i="28"/>
  <c r="R32" i="28"/>
  <c r="U32" i="28"/>
  <c r="R33" i="28"/>
  <c r="U33" i="28"/>
  <c r="Q34" i="28"/>
  <c r="T34" i="28"/>
  <c r="Q35" i="28"/>
  <c r="T35" i="28"/>
  <c r="N7" i="6"/>
  <c r="AJ7" i="6"/>
  <c r="AK7" i="6"/>
  <c r="N8" i="6"/>
  <c r="AJ8" i="6"/>
  <c r="AK8" i="6"/>
  <c r="N15" i="6"/>
  <c r="AJ15" i="6"/>
  <c r="AK15" i="6"/>
  <c r="N16" i="6"/>
  <c r="AJ16" i="6"/>
  <c r="AK16" i="6"/>
  <c r="N22" i="6"/>
  <c r="AJ22" i="6"/>
  <c r="AK22" i="6"/>
  <c r="N23" i="6"/>
  <c r="AJ23" i="6"/>
  <c r="AK23" i="6"/>
  <c r="N24" i="6"/>
  <c r="AJ24" i="6"/>
  <c r="AK24" i="6"/>
  <c r="N25" i="6"/>
  <c r="AJ25" i="6"/>
  <c r="AK25" i="6"/>
  <c r="N28" i="6"/>
  <c r="AJ28" i="6"/>
  <c r="AK28" i="6"/>
  <c r="N29" i="6"/>
  <c r="AJ29" i="6"/>
  <c r="AK29" i="6"/>
  <c r="N30" i="6"/>
  <c r="AJ30" i="6"/>
  <c r="AK30" i="6"/>
  <c r="N31" i="6"/>
  <c r="AJ31" i="6"/>
  <c r="AK31" i="6"/>
  <c r="N32" i="6"/>
  <c r="AJ32" i="6"/>
  <c r="AK32" i="6"/>
  <c r="N33" i="6"/>
  <c r="AJ33" i="6"/>
  <c r="AK33" i="6"/>
  <c r="N34" i="6"/>
  <c r="AJ34" i="6"/>
  <c r="AK34" i="6"/>
  <c r="N35" i="6"/>
  <c r="AJ35" i="6"/>
  <c r="AK35" i="6"/>
  <c r="N36" i="6"/>
  <c r="AJ36" i="6"/>
  <c r="AK36" i="6"/>
  <c r="N37" i="6"/>
  <c r="AJ37" i="6"/>
  <c r="AK37" i="6"/>
  <c r="N38" i="6"/>
  <c r="AJ38" i="6"/>
  <c r="AK38" i="6"/>
  <c r="N39" i="6"/>
  <c r="AJ39" i="6"/>
  <c r="AK39" i="6"/>
  <c r="N40" i="6"/>
  <c r="AJ40" i="6"/>
  <c r="AK40" i="6"/>
  <c r="N41" i="6"/>
  <c r="AJ41" i="6"/>
  <c r="AK41" i="6"/>
  <c r="N42" i="6"/>
  <c r="AJ42" i="6"/>
  <c r="AK42" i="6"/>
  <c r="N43" i="6"/>
  <c r="AJ43" i="6"/>
  <c r="AK43" i="6"/>
  <c r="N44" i="6"/>
  <c r="AJ44" i="6"/>
  <c r="AK44" i="6"/>
  <c r="N45" i="6"/>
  <c r="AJ45" i="6"/>
  <c r="AK45" i="6"/>
  <c r="N46" i="6"/>
  <c r="AJ46" i="6"/>
  <c r="AK46" i="6"/>
  <c r="N47" i="6"/>
  <c r="AJ47" i="6"/>
  <c r="AK47" i="6"/>
  <c r="N48" i="6"/>
  <c r="AJ48" i="6"/>
  <c r="AK48" i="6"/>
  <c r="N49" i="6"/>
  <c r="AJ49" i="6"/>
  <c r="AK49" i="6"/>
  <c r="N50" i="6"/>
  <c r="AJ50" i="6"/>
  <c r="AK50" i="6"/>
  <c r="N51" i="6"/>
  <c r="AJ51" i="6"/>
  <c r="AK51" i="6"/>
  <c r="N52" i="6"/>
  <c r="AJ52" i="6"/>
  <c r="AK52" i="6"/>
  <c r="N53" i="6"/>
  <c r="AJ53" i="6"/>
  <c r="AK53" i="6"/>
  <c r="N54" i="6"/>
  <c r="AJ54" i="6"/>
  <c r="AK54" i="6"/>
  <c r="N55" i="6"/>
  <c r="AJ55" i="6"/>
  <c r="AK55" i="6"/>
  <c r="N56" i="6"/>
  <c r="AJ56" i="6"/>
  <c r="AK56" i="6"/>
  <c r="N57" i="6"/>
  <c r="AJ57" i="6"/>
  <c r="AK57" i="6"/>
  <c r="N58" i="6"/>
  <c r="AJ58" i="6"/>
  <c r="AK58" i="6"/>
  <c r="N59" i="6"/>
  <c r="AJ59" i="6"/>
  <c r="AK59" i="6"/>
  <c r="N60" i="6"/>
  <c r="AJ60" i="6"/>
  <c r="AK60" i="6"/>
  <c r="N61" i="6"/>
  <c r="AJ61" i="6"/>
  <c r="AK61" i="6"/>
  <c r="N62" i="6"/>
  <c r="AJ62" i="6"/>
  <c r="AK62" i="6"/>
  <c r="N66" i="6"/>
  <c r="AJ66" i="6"/>
  <c r="AK66" i="6"/>
  <c r="N71" i="6"/>
  <c r="AJ71" i="6"/>
  <c r="AK71" i="6"/>
  <c r="L74" i="6"/>
  <c r="N74" i="6"/>
  <c r="L75" i="6"/>
  <c r="N75" i="6"/>
  <c r="L76" i="6"/>
  <c r="N76" i="6"/>
  <c r="N77" i="6"/>
  <c r="L78" i="6"/>
  <c r="L79" i="6"/>
  <c r="L80" i="6"/>
  <c r="L81" i="6"/>
  <c r="L82" i="6"/>
  <c r="N5" i="23"/>
  <c r="AB5" i="23"/>
  <c r="AC5" i="23"/>
  <c r="AF5" i="23"/>
  <c r="AG5" i="23"/>
  <c r="N6" i="23"/>
  <c r="AB6" i="23"/>
  <c r="AC6" i="23"/>
  <c r="AF6" i="23"/>
  <c r="AG6" i="23"/>
  <c r="N7" i="23"/>
  <c r="AB7" i="23"/>
  <c r="AC7" i="23"/>
  <c r="AF7" i="23"/>
  <c r="AG7" i="23"/>
  <c r="N8" i="23"/>
  <c r="AB8" i="23"/>
  <c r="AC8" i="23"/>
  <c r="AF8" i="23"/>
  <c r="AG8" i="23"/>
  <c r="N9" i="23"/>
  <c r="AC9" i="23"/>
  <c r="AF9" i="23"/>
  <c r="AG9" i="23"/>
  <c r="N10" i="23"/>
  <c r="AC10" i="23"/>
  <c r="AF10" i="23"/>
  <c r="AG10" i="23"/>
  <c r="N11" i="23"/>
  <c r="AC11" i="23"/>
  <c r="AF11" i="23"/>
  <c r="AG11" i="23"/>
  <c r="N12" i="23"/>
  <c r="AB12" i="23"/>
  <c r="AC12" i="23"/>
  <c r="AF12" i="23"/>
  <c r="AG12" i="23"/>
  <c r="N13" i="23"/>
  <c r="AB13" i="23"/>
  <c r="AC13" i="23"/>
  <c r="AF13" i="23"/>
  <c r="AG13" i="23"/>
  <c r="N14" i="23"/>
  <c r="AB14" i="23"/>
  <c r="AC14" i="23"/>
  <c r="AF14" i="23"/>
  <c r="AG14" i="23"/>
  <c r="N15" i="23"/>
  <c r="AB15" i="23"/>
  <c r="AC15" i="23"/>
  <c r="AF15" i="23"/>
  <c r="AG15" i="23"/>
  <c r="N16" i="23"/>
  <c r="AB16" i="23"/>
  <c r="AC16" i="23"/>
  <c r="AF16" i="23"/>
  <c r="AG16" i="23"/>
  <c r="N17" i="23"/>
  <c r="AC17" i="23"/>
  <c r="AF17" i="23"/>
  <c r="AG17" i="23"/>
  <c r="N18" i="23"/>
  <c r="AC18" i="23"/>
  <c r="AF18" i="23"/>
  <c r="AG18" i="23"/>
  <c r="N19" i="23"/>
  <c r="AC19" i="23"/>
  <c r="AF19" i="23"/>
  <c r="AG19" i="23"/>
  <c r="N20" i="23"/>
  <c r="AB20" i="23"/>
  <c r="AC20" i="23"/>
  <c r="AF20" i="23"/>
  <c r="AG20" i="23"/>
  <c r="N21" i="23"/>
  <c r="AB21" i="23"/>
  <c r="AC21" i="23"/>
  <c r="AF21" i="23"/>
  <c r="AG21" i="23"/>
  <c r="N22" i="23"/>
  <c r="AB22" i="23"/>
  <c r="AC22" i="23"/>
  <c r="AF22" i="23"/>
  <c r="AG22" i="23"/>
  <c r="N23" i="23"/>
  <c r="AB23" i="23"/>
  <c r="AC23" i="23"/>
  <c r="AF23" i="23"/>
  <c r="AG23" i="23"/>
  <c r="N24" i="23"/>
  <c r="AB24" i="23"/>
  <c r="AC24" i="23"/>
  <c r="AF24" i="23"/>
  <c r="AG24" i="23"/>
  <c r="N25" i="23"/>
  <c r="AB25" i="23"/>
  <c r="AC25" i="23"/>
  <c r="AF25" i="23"/>
  <c r="AG25" i="23"/>
  <c r="N26" i="23"/>
  <c r="AB26" i="23"/>
  <c r="AC26" i="23"/>
  <c r="AF26" i="23"/>
  <c r="AG26" i="23"/>
  <c r="N27" i="23"/>
  <c r="AB27" i="23"/>
  <c r="AC27" i="23"/>
  <c r="AF27" i="23"/>
  <c r="AG27" i="23"/>
  <c r="N28" i="23"/>
  <c r="AB28" i="23"/>
  <c r="AC28" i="23"/>
  <c r="AF28" i="23"/>
  <c r="AG28" i="23"/>
  <c r="N29" i="23"/>
  <c r="AB29" i="23"/>
  <c r="AC29" i="23"/>
  <c r="AF29" i="23"/>
  <c r="AG29" i="23"/>
  <c r="N30" i="23"/>
  <c r="AB30" i="23"/>
  <c r="AC30" i="23"/>
  <c r="AF30" i="23"/>
  <c r="AG30" i="23"/>
  <c r="N31" i="23"/>
  <c r="AB31" i="23"/>
  <c r="AC31" i="23"/>
  <c r="AF31" i="23"/>
  <c r="AG31" i="23"/>
  <c r="N32" i="23"/>
  <c r="AB32" i="23"/>
  <c r="AC32" i="23"/>
  <c r="AF32" i="23"/>
  <c r="AG32" i="23"/>
  <c r="N33" i="23"/>
  <c r="AB33" i="23"/>
  <c r="AC33" i="23"/>
  <c r="AF33" i="23"/>
  <c r="AG33" i="23"/>
  <c r="N34" i="23"/>
  <c r="AB34" i="23"/>
  <c r="AC34" i="23"/>
  <c r="AF34" i="23"/>
  <c r="AG34" i="23"/>
  <c r="N35" i="23"/>
  <c r="AB35" i="23"/>
  <c r="AC35" i="23"/>
  <c r="AF35" i="23"/>
  <c r="AG35" i="23"/>
  <c r="N36" i="23"/>
  <c r="AB36" i="23"/>
  <c r="AC36" i="23"/>
  <c r="AF36" i="23"/>
  <c r="AG36" i="23"/>
  <c r="N37" i="23"/>
  <c r="AB37" i="23"/>
  <c r="AC37" i="23"/>
  <c r="AF37" i="23"/>
  <c r="AG37" i="23"/>
  <c r="N38" i="23"/>
  <c r="AB38" i="23"/>
  <c r="AC38" i="23"/>
  <c r="AF38" i="23"/>
  <c r="AG38" i="23"/>
  <c r="N39" i="23"/>
  <c r="AB39" i="23"/>
  <c r="AC39" i="23"/>
  <c r="AF39" i="23"/>
  <c r="AG39" i="23"/>
  <c r="N40" i="23"/>
  <c r="AB40" i="23"/>
  <c r="AC40" i="23"/>
  <c r="AF40" i="23"/>
  <c r="AG40" i="23"/>
  <c r="N41" i="23"/>
  <c r="AB41" i="23"/>
  <c r="AC41" i="23"/>
  <c r="AF41" i="23"/>
  <c r="AG41" i="23"/>
  <c r="N42" i="23"/>
  <c r="AB42" i="23"/>
  <c r="AC42" i="23"/>
  <c r="AF42" i="23"/>
  <c r="AG42" i="23"/>
  <c r="N43" i="23"/>
  <c r="AB43" i="23"/>
  <c r="AC43" i="23"/>
  <c r="AF43" i="23"/>
  <c r="AG43" i="23"/>
  <c r="N44" i="23"/>
  <c r="AB44" i="23"/>
  <c r="AC44" i="23"/>
  <c r="AF44" i="23"/>
  <c r="AG44" i="23"/>
  <c r="N45" i="23"/>
  <c r="AB45" i="23"/>
  <c r="AC45" i="23"/>
  <c r="AF45" i="23"/>
  <c r="AG45" i="23"/>
  <c r="N46" i="23"/>
  <c r="AB46" i="23"/>
  <c r="AC46" i="23"/>
  <c r="AF46" i="23"/>
  <c r="AG46" i="23"/>
  <c r="N47" i="23"/>
  <c r="AB47" i="23"/>
  <c r="AC47" i="23"/>
  <c r="AF47" i="23"/>
  <c r="AG47" i="23"/>
  <c r="N48" i="23"/>
  <c r="AB48" i="23"/>
  <c r="AC48" i="23"/>
  <c r="AF48" i="23"/>
  <c r="AG48" i="23"/>
  <c r="N49" i="23"/>
  <c r="AB49" i="23"/>
  <c r="AC49" i="23"/>
  <c r="AF49" i="23"/>
  <c r="AG49" i="23"/>
  <c r="N50" i="23"/>
  <c r="AB50" i="23"/>
  <c r="AC50" i="23"/>
  <c r="AF50" i="23"/>
  <c r="AG50" i="23"/>
  <c r="N51" i="23"/>
  <c r="AB51" i="23"/>
  <c r="AC51" i="23"/>
  <c r="AF51" i="23"/>
  <c r="AG51" i="23"/>
  <c r="N52" i="23"/>
  <c r="AB52" i="23"/>
  <c r="AC52" i="23"/>
  <c r="AF52" i="23"/>
  <c r="AG52" i="23"/>
  <c r="N53" i="23"/>
  <c r="AB53" i="23"/>
  <c r="AC53" i="23"/>
  <c r="AF53" i="23"/>
  <c r="AG53" i="23"/>
  <c r="N54" i="23"/>
  <c r="AB54" i="23"/>
  <c r="AC54" i="23"/>
  <c r="AF54" i="23"/>
  <c r="AG54" i="23"/>
  <c r="N55" i="23"/>
  <c r="AB55" i="23"/>
  <c r="AC55" i="23"/>
  <c r="AF55" i="23"/>
  <c r="AG55" i="23"/>
  <c r="N56" i="23"/>
  <c r="AB56" i="23"/>
  <c r="AC56" i="23"/>
  <c r="AF56" i="23"/>
  <c r="AG56" i="23"/>
  <c r="N57" i="23"/>
  <c r="AB57" i="23"/>
  <c r="AC57" i="23"/>
  <c r="AF57" i="23"/>
  <c r="AG57" i="23"/>
  <c r="N58" i="23"/>
  <c r="AB58" i="23"/>
  <c r="AC58" i="23"/>
  <c r="AF58" i="23"/>
  <c r="AG58" i="23"/>
  <c r="N59" i="23"/>
  <c r="AB59" i="23"/>
  <c r="AC59" i="23"/>
  <c r="AF59" i="23"/>
  <c r="AG59" i="23"/>
  <c r="N60" i="23"/>
  <c r="AB60" i="23"/>
  <c r="AC60" i="23"/>
  <c r="AF60" i="23"/>
  <c r="AG60" i="23"/>
  <c r="N61" i="23"/>
  <c r="AB61" i="23"/>
  <c r="AC61" i="23"/>
  <c r="AF61" i="23"/>
  <c r="AG61" i="23"/>
  <c r="N62" i="23"/>
  <c r="AB62" i="23"/>
  <c r="AC62" i="23"/>
  <c r="AF62" i="23"/>
  <c r="AG62" i="23"/>
  <c r="N68" i="23"/>
  <c r="AB68" i="23"/>
  <c r="AC68" i="23"/>
  <c r="AF68" i="23"/>
  <c r="AG68" i="23"/>
  <c r="N69" i="23"/>
  <c r="AB69" i="23"/>
  <c r="AC69" i="23"/>
  <c r="AF69" i="23"/>
  <c r="AG69" i="23"/>
  <c r="N70" i="23"/>
  <c r="AB70" i="23"/>
  <c r="AC70" i="23"/>
  <c r="AF70" i="23"/>
  <c r="AG70" i="23"/>
  <c r="N71" i="23"/>
  <c r="AB71" i="23"/>
  <c r="AC71" i="23"/>
  <c r="AF71" i="23"/>
  <c r="AG71" i="23"/>
  <c r="N72" i="23"/>
  <c r="AC72" i="23"/>
  <c r="AF72" i="23"/>
  <c r="AG72" i="23"/>
  <c r="N73" i="23"/>
  <c r="AC73" i="23"/>
  <c r="AF73" i="23"/>
  <c r="AG73" i="23"/>
  <c r="N74" i="23"/>
  <c r="AC74" i="23"/>
  <c r="AF74" i="23"/>
  <c r="AG74" i="23"/>
  <c r="N75" i="23"/>
  <c r="AB75" i="23"/>
  <c r="AC75" i="23"/>
  <c r="AF75" i="23"/>
  <c r="AG75" i="23"/>
  <c r="N76" i="23"/>
  <c r="AB76" i="23"/>
  <c r="AC76" i="23"/>
  <c r="AF76" i="23"/>
  <c r="AG76" i="23"/>
  <c r="N77" i="23"/>
  <c r="AB77" i="23"/>
  <c r="AC77" i="23"/>
  <c r="AF77" i="23"/>
  <c r="AG77" i="23"/>
  <c r="N78" i="23"/>
  <c r="AB78" i="23"/>
  <c r="AC78" i="23"/>
  <c r="AF78" i="23"/>
  <c r="AG78" i="23"/>
  <c r="N79" i="23"/>
  <c r="AB79" i="23"/>
  <c r="AC79" i="23"/>
  <c r="AF79" i="23"/>
  <c r="AG79" i="23"/>
  <c r="N80" i="23"/>
  <c r="AC80" i="23"/>
  <c r="AF80" i="23"/>
  <c r="AG80" i="23"/>
  <c r="N81" i="23"/>
  <c r="AC81" i="23"/>
  <c r="AF81" i="23"/>
  <c r="AG81" i="23"/>
  <c r="N82" i="23"/>
  <c r="AC82" i="23"/>
  <c r="AF82" i="23"/>
  <c r="AG82" i="23"/>
  <c r="N83" i="23"/>
  <c r="AB83" i="23"/>
  <c r="AC83" i="23"/>
  <c r="AF83" i="23"/>
  <c r="AG83" i="23"/>
  <c r="N84" i="23"/>
  <c r="AB84" i="23"/>
  <c r="AC84" i="23"/>
  <c r="AF84" i="23"/>
  <c r="AG84" i="23"/>
  <c r="N85" i="23"/>
  <c r="AB85" i="23"/>
  <c r="AC85" i="23"/>
  <c r="AF85" i="23"/>
  <c r="AG85" i="23"/>
  <c r="N86" i="23"/>
  <c r="AB86" i="23"/>
  <c r="AC86" i="23"/>
  <c r="AF86" i="23"/>
  <c r="AG86" i="23"/>
  <c r="N87" i="23"/>
  <c r="AB87" i="23"/>
  <c r="AC87" i="23"/>
  <c r="AF87" i="23"/>
  <c r="AG87" i="23"/>
  <c r="N88" i="23"/>
  <c r="AB88" i="23"/>
  <c r="AC88" i="23"/>
  <c r="AF88" i="23"/>
  <c r="AG88" i="23"/>
  <c r="N89" i="23"/>
  <c r="AB89" i="23"/>
  <c r="AC89" i="23"/>
  <c r="AF89" i="23"/>
  <c r="AG89" i="23"/>
  <c r="N90" i="23"/>
  <c r="AB90" i="23"/>
  <c r="AC90" i="23"/>
  <c r="AF90" i="23"/>
  <c r="AG90" i="23"/>
  <c r="N91" i="23"/>
  <c r="AB91" i="23"/>
  <c r="AC91" i="23"/>
  <c r="AF91" i="23"/>
  <c r="AG91" i="23"/>
  <c r="N92" i="23"/>
  <c r="AB92" i="23"/>
  <c r="AC92" i="23"/>
  <c r="AF92" i="23"/>
  <c r="AG92" i="23"/>
  <c r="N93" i="23"/>
  <c r="AB93" i="23"/>
  <c r="AC93" i="23"/>
  <c r="AF93" i="23"/>
  <c r="AG93" i="23"/>
  <c r="N94" i="23"/>
  <c r="AB94" i="23"/>
  <c r="AC94" i="23"/>
  <c r="AF94" i="23"/>
  <c r="AG94" i="23"/>
  <c r="N95" i="23"/>
  <c r="AB95" i="23"/>
  <c r="AC95" i="23"/>
  <c r="AF95" i="23"/>
  <c r="AG95" i="23"/>
  <c r="N96" i="23"/>
  <c r="AB96" i="23"/>
  <c r="AC96" i="23"/>
  <c r="AF96" i="23"/>
  <c r="AG96" i="23"/>
  <c r="N97" i="23"/>
  <c r="AB97" i="23"/>
  <c r="AC97" i="23"/>
  <c r="AF97" i="23"/>
  <c r="AG97" i="23"/>
  <c r="N98" i="23"/>
  <c r="AB98" i="23"/>
  <c r="AC98" i="23"/>
  <c r="AF98" i="23"/>
  <c r="AG98" i="23"/>
  <c r="N99" i="23"/>
  <c r="AB99" i="23"/>
  <c r="AC99" i="23"/>
  <c r="AF99" i="23"/>
  <c r="AG99" i="23"/>
  <c r="N100" i="23"/>
  <c r="AB100" i="23"/>
  <c r="AC100" i="23"/>
  <c r="AF100" i="23"/>
  <c r="AG100" i="23"/>
  <c r="N101" i="23"/>
  <c r="AB101" i="23"/>
  <c r="AC101" i="23"/>
  <c r="AF101" i="23"/>
  <c r="AG101" i="23"/>
  <c r="N102" i="23"/>
  <c r="AB102" i="23"/>
  <c r="AC102" i="23"/>
  <c r="AF102" i="23"/>
  <c r="AG102" i="23"/>
  <c r="N103" i="23"/>
  <c r="AB103" i="23"/>
  <c r="AC103" i="23"/>
  <c r="AF103" i="23"/>
  <c r="AG103" i="23"/>
  <c r="N104" i="23"/>
  <c r="AB104" i="23"/>
  <c r="AC104" i="23"/>
  <c r="AF104" i="23"/>
  <c r="AG104" i="23"/>
  <c r="N105" i="23"/>
  <c r="AB105" i="23"/>
  <c r="AC105" i="23"/>
  <c r="AF105" i="23"/>
  <c r="AG105" i="23"/>
  <c r="N106" i="23"/>
  <c r="AB106" i="23"/>
  <c r="AC106" i="23"/>
  <c r="AF106" i="23"/>
  <c r="AG106" i="23"/>
  <c r="N107" i="23"/>
  <c r="AB107" i="23"/>
  <c r="AC107" i="23"/>
  <c r="AF107" i="23"/>
  <c r="AG107" i="23"/>
  <c r="N108" i="23"/>
  <c r="AB108" i="23"/>
  <c r="AC108" i="23"/>
  <c r="AF108" i="23"/>
  <c r="AG108" i="23"/>
  <c r="N109" i="23"/>
  <c r="AB109" i="23"/>
  <c r="AC109" i="23"/>
  <c r="AF109" i="23"/>
  <c r="AG109" i="23"/>
  <c r="N110" i="23"/>
  <c r="AB110" i="23"/>
  <c r="AC110" i="23"/>
  <c r="AF110" i="23"/>
  <c r="AG110" i="23"/>
  <c r="N111" i="23"/>
  <c r="AB111" i="23"/>
  <c r="AC111" i="23"/>
  <c r="AF111" i="23"/>
  <c r="AG111" i="23"/>
  <c r="N112" i="23"/>
  <c r="AB112" i="23"/>
  <c r="AC112" i="23"/>
  <c r="AF112" i="23"/>
  <c r="AG112" i="23"/>
  <c r="N113" i="23"/>
  <c r="AB113" i="23"/>
  <c r="AC113" i="23"/>
  <c r="AF113" i="23"/>
  <c r="AG113" i="23"/>
  <c r="N114" i="23"/>
  <c r="AB114" i="23"/>
  <c r="AC114" i="23"/>
  <c r="AF114" i="23"/>
  <c r="AG114" i="23"/>
  <c r="N115" i="23"/>
  <c r="AB115" i="23"/>
  <c r="AC115" i="23"/>
  <c r="AF115" i="23"/>
  <c r="AG115" i="23"/>
  <c r="N116" i="23"/>
  <c r="AB116" i="23"/>
  <c r="AC116" i="23"/>
  <c r="AF116" i="23"/>
  <c r="AG116" i="23"/>
  <c r="N117" i="23"/>
  <c r="AB117" i="23"/>
  <c r="AC117" i="23"/>
  <c r="AF117" i="23"/>
  <c r="AG117" i="23"/>
  <c r="N118" i="23"/>
  <c r="AB118" i="23"/>
  <c r="AC118" i="23"/>
  <c r="AF118" i="23"/>
  <c r="AG118" i="23"/>
  <c r="N119" i="23"/>
  <c r="AB119" i="23"/>
  <c r="AC119" i="23"/>
  <c r="AF119" i="23"/>
  <c r="AG119" i="23"/>
  <c r="N120" i="23"/>
  <c r="AB120" i="23"/>
  <c r="AC120" i="23"/>
  <c r="AF120" i="23"/>
  <c r="AG120" i="23"/>
  <c r="N121" i="23"/>
  <c r="AB121" i="23"/>
  <c r="AC121" i="23"/>
  <c r="AF121" i="23"/>
  <c r="AG121" i="23"/>
  <c r="N122" i="23"/>
  <c r="AB122" i="23"/>
  <c r="AC122" i="23"/>
  <c r="AF122" i="23"/>
  <c r="AG122" i="23"/>
  <c r="N123" i="23"/>
  <c r="AB123" i="23"/>
  <c r="AC123" i="23"/>
  <c r="AF123" i="23"/>
  <c r="AG123" i="23"/>
  <c r="N124" i="23"/>
  <c r="AB124" i="23"/>
  <c r="AC124" i="23"/>
  <c r="AF124" i="23"/>
  <c r="AG124" i="23"/>
  <c r="N125" i="23"/>
  <c r="AB125" i="23"/>
  <c r="AC125" i="23"/>
  <c r="AF125" i="23"/>
  <c r="AG125" i="23"/>
  <c r="N5" i="7"/>
  <c r="T5" i="7"/>
  <c r="AJ5" i="7"/>
  <c r="AK5" i="7"/>
  <c r="AL5" i="7"/>
  <c r="AM5" i="7"/>
  <c r="N6" i="7"/>
  <c r="T6" i="7"/>
  <c r="AJ6" i="7"/>
  <c r="AK6" i="7"/>
  <c r="AL6" i="7"/>
  <c r="AM6" i="7"/>
  <c r="N7" i="7"/>
  <c r="T7" i="7"/>
  <c r="AJ7" i="7"/>
  <c r="AK7" i="7"/>
  <c r="AL7" i="7"/>
  <c r="AM7" i="7"/>
  <c r="N8" i="7"/>
  <c r="T8" i="7"/>
  <c r="AJ8" i="7"/>
  <c r="AK8" i="7"/>
  <c r="AL8" i="7"/>
  <c r="AM8" i="7"/>
  <c r="N9" i="7"/>
  <c r="T9" i="7"/>
  <c r="AJ9" i="7"/>
  <c r="AK9" i="7"/>
  <c r="AL9" i="7"/>
  <c r="AM9" i="7"/>
  <c r="N10" i="7"/>
  <c r="T10" i="7"/>
  <c r="AJ10" i="7"/>
  <c r="AK10" i="7"/>
  <c r="AL10" i="7"/>
  <c r="AM10" i="7"/>
  <c r="N11" i="7"/>
  <c r="T11" i="7"/>
  <c r="AJ11" i="7"/>
  <c r="AK11" i="7"/>
  <c r="AL11" i="7"/>
  <c r="AM11" i="7"/>
  <c r="N13" i="7"/>
  <c r="T13" i="7"/>
  <c r="AJ13" i="7"/>
  <c r="AK13" i="7"/>
  <c r="AL13" i="7"/>
  <c r="AM13" i="7"/>
  <c r="N14" i="7"/>
  <c r="T14" i="7"/>
  <c r="AJ14" i="7"/>
  <c r="AK14" i="7"/>
  <c r="AL14" i="7"/>
  <c r="AM14" i="7"/>
  <c r="N15" i="7"/>
  <c r="T15" i="7"/>
  <c r="AJ15" i="7"/>
  <c r="AK15" i="7"/>
  <c r="AL15" i="7"/>
  <c r="AM15" i="7"/>
  <c r="N16" i="7"/>
  <c r="T16" i="7"/>
  <c r="AJ16" i="7"/>
  <c r="AK16" i="7"/>
  <c r="AL16" i="7"/>
  <c r="AM16" i="7"/>
  <c r="N17" i="7"/>
  <c r="T17" i="7"/>
  <c r="AJ17" i="7"/>
  <c r="AK17" i="7"/>
  <c r="AL17" i="7"/>
  <c r="AM17" i="7"/>
  <c r="N18" i="7"/>
  <c r="T18" i="7"/>
  <c r="AJ18" i="7"/>
  <c r="AK18" i="7"/>
  <c r="AL18" i="7"/>
  <c r="AM18" i="7"/>
  <c r="N19" i="7"/>
  <c r="T19" i="7"/>
  <c r="AJ19" i="7"/>
  <c r="AK19" i="7"/>
  <c r="AL19" i="7"/>
  <c r="AM19" i="7"/>
  <c r="N20" i="7"/>
  <c r="T20" i="7"/>
  <c r="AJ20" i="7"/>
  <c r="AK20" i="7"/>
  <c r="AL20" i="7"/>
  <c r="AM20" i="7"/>
  <c r="N21" i="7"/>
  <c r="T21" i="7"/>
  <c r="AJ21" i="7"/>
  <c r="AK21" i="7"/>
  <c r="AL21" i="7"/>
  <c r="AM21" i="7"/>
  <c r="N22" i="7"/>
  <c r="T22" i="7"/>
  <c r="AJ22" i="7"/>
  <c r="AK22" i="7"/>
  <c r="AL22" i="7"/>
  <c r="AM22" i="7"/>
  <c r="N23" i="7"/>
  <c r="T23" i="7"/>
  <c r="AJ23" i="7"/>
  <c r="AK23" i="7"/>
  <c r="AL23" i="7"/>
  <c r="AM23" i="7"/>
  <c r="N24" i="7"/>
  <c r="T24" i="7"/>
  <c r="AJ24" i="7"/>
  <c r="AK24" i="7"/>
  <c r="AL24" i="7"/>
  <c r="AM24" i="7"/>
  <c r="N25" i="7"/>
  <c r="T25" i="7"/>
  <c r="AJ25" i="7"/>
  <c r="AK25" i="7"/>
  <c r="AL25" i="7"/>
  <c r="AM25" i="7"/>
  <c r="N26" i="7"/>
  <c r="T26" i="7"/>
  <c r="AJ26" i="7"/>
  <c r="AK26" i="7"/>
  <c r="AL26" i="7"/>
  <c r="AM26" i="7"/>
  <c r="N27" i="7"/>
  <c r="T27" i="7"/>
  <c r="AJ27" i="7"/>
  <c r="AK27" i="7"/>
  <c r="AL27" i="7"/>
  <c r="AM27" i="7"/>
  <c r="N28" i="7"/>
  <c r="T28" i="7"/>
  <c r="AJ28" i="7"/>
  <c r="AK28" i="7"/>
  <c r="AL28" i="7"/>
  <c r="AM28" i="7"/>
  <c r="N29" i="7"/>
  <c r="T29" i="7"/>
  <c r="AJ29" i="7"/>
  <c r="AK29" i="7"/>
  <c r="AL29" i="7"/>
  <c r="AM29" i="7"/>
  <c r="N30" i="7"/>
  <c r="T30" i="7"/>
  <c r="AJ30" i="7"/>
  <c r="AK30" i="7"/>
  <c r="AL30" i="7"/>
  <c r="AM30" i="7"/>
  <c r="N31" i="7"/>
  <c r="T31" i="7"/>
  <c r="AJ31" i="7"/>
  <c r="AK31" i="7"/>
  <c r="AL31" i="7"/>
  <c r="AM31" i="7"/>
  <c r="N32" i="7"/>
  <c r="T32" i="7"/>
  <c r="AJ32" i="7"/>
  <c r="AK32" i="7"/>
  <c r="AL32" i="7"/>
  <c r="AM32" i="7"/>
  <c r="N33" i="7"/>
  <c r="T33" i="7"/>
  <c r="AJ33" i="7"/>
  <c r="AK33" i="7"/>
  <c r="AL33" i="7"/>
  <c r="AM33" i="7"/>
  <c r="N34" i="7"/>
  <c r="T34" i="7"/>
  <c r="AJ34" i="7"/>
  <c r="AK34" i="7"/>
  <c r="AL34" i="7"/>
  <c r="AM34" i="7"/>
  <c r="N35" i="7"/>
  <c r="T35" i="7"/>
  <c r="AJ35" i="7"/>
  <c r="AK35" i="7"/>
  <c r="AL35" i="7"/>
  <c r="AM35" i="7"/>
  <c r="N36" i="7"/>
  <c r="T36" i="7"/>
  <c r="AJ36" i="7"/>
  <c r="AK36" i="7"/>
  <c r="AL36" i="7"/>
  <c r="AM36" i="7"/>
  <c r="N37" i="7"/>
  <c r="T37" i="7"/>
  <c r="AJ37" i="7"/>
  <c r="AK37" i="7"/>
  <c r="AL37" i="7"/>
  <c r="AM37" i="7"/>
  <c r="N38" i="7"/>
  <c r="T38" i="7"/>
  <c r="AJ38" i="7"/>
  <c r="AK38" i="7"/>
  <c r="AL38" i="7"/>
  <c r="AM38" i="7"/>
  <c r="N39" i="7"/>
  <c r="T39" i="7"/>
  <c r="AJ39" i="7"/>
  <c r="AK39" i="7"/>
  <c r="AL39" i="7"/>
  <c r="AM39" i="7"/>
  <c r="N40" i="7"/>
  <c r="T40" i="7"/>
  <c r="AJ40" i="7"/>
  <c r="AK40" i="7"/>
  <c r="AL40" i="7"/>
  <c r="AM40" i="7"/>
  <c r="N41" i="7"/>
  <c r="T41" i="7"/>
  <c r="AJ41" i="7"/>
  <c r="AK41" i="7"/>
  <c r="AL41" i="7"/>
  <c r="AM41" i="7"/>
  <c r="N42" i="7"/>
  <c r="T42" i="7"/>
  <c r="AJ42" i="7"/>
  <c r="AK42" i="7"/>
  <c r="AL42" i="7"/>
  <c r="AM42" i="7"/>
  <c r="N43" i="7"/>
  <c r="T43" i="7"/>
  <c r="AJ43" i="7"/>
  <c r="AK43" i="7"/>
  <c r="AL43" i="7"/>
  <c r="AM43" i="7"/>
  <c r="N44" i="7"/>
  <c r="T44" i="7"/>
  <c r="AJ44" i="7"/>
  <c r="AK44" i="7"/>
  <c r="AL44" i="7"/>
  <c r="AM44" i="7"/>
  <c r="N45" i="7"/>
  <c r="T45" i="7"/>
  <c r="AJ45" i="7"/>
  <c r="AK45" i="7"/>
  <c r="AL45" i="7"/>
  <c r="AM45" i="7"/>
  <c r="N46" i="7"/>
  <c r="T46" i="7"/>
  <c r="AJ46" i="7"/>
  <c r="AK46" i="7"/>
  <c r="AL46" i="7"/>
  <c r="AM46" i="7"/>
  <c r="N47" i="7"/>
  <c r="T47" i="7"/>
  <c r="AJ47" i="7"/>
  <c r="AK47" i="7"/>
  <c r="AL47" i="7"/>
  <c r="AM47" i="7"/>
  <c r="N48" i="7"/>
  <c r="T48" i="7"/>
  <c r="AJ48" i="7"/>
  <c r="AK48" i="7"/>
  <c r="AL48" i="7"/>
  <c r="AM48" i="7"/>
  <c r="N49" i="7"/>
  <c r="T49" i="7"/>
  <c r="AJ49" i="7"/>
  <c r="AK49" i="7"/>
  <c r="AL49" i="7"/>
  <c r="AM49" i="7"/>
  <c r="N50" i="7"/>
  <c r="T50" i="7"/>
  <c r="AJ50" i="7"/>
  <c r="AK50" i="7"/>
  <c r="AL50" i="7"/>
  <c r="AM50" i="7"/>
  <c r="N51" i="7"/>
  <c r="T51" i="7"/>
  <c r="AJ51" i="7"/>
  <c r="AK51" i="7"/>
  <c r="AL51" i="7"/>
  <c r="AM51" i="7"/>
  <c r="N52" i="7"/>
  <c r="T52" i="7"/>
  <c r="AJ52" i="7"/>
  <c r="AK52" i="7"/>
  <c r="AL52" i="7"/>
  <c r="AM52" i="7"/>
  <c r="N53" i="7"/>
  <c r="T53" i="7"/>
  <c r="AJ53" i="7"/>
  <c r="AK53" i="7"/>
  <c r="AL53" i="7"/>
  <c r="AM53" i="7"/>
  <c r="N54" i="7"/>
  <c r="T54" i="7"/>
  <c r="AJ54" i="7"/>
  <c r="AK54" i="7"/>
  <c r="AL54" i="7"/>
  <c r="AM54" i="7"/>
  <c r="N55" i="7"/>
  <c r="T55" i="7"/>
  <c r="AJ55" i="7"/>
  <c r="AK55" i="7"/>
  <c r="AL55" i="7"/>
  <c r="AM55" i="7"/>
  <c r="N56" i="7"/>
  <c r="T56" i="7"/>
  <c r="AJ56" i="7"/>
  <c r="AK56" i="7"/>
  <c r="AL56" i="7"/>
  <c r="AM56" i="7"/>
  <c r="N57" i="7"/>
  <c r="T57" i="7"/>
  <c r="AJ57" i="7"/>
  <c r="AK57" i="7"/>
  <c r="AL57" i="7"/>
  <c r="AM57" i="7"/>
  <c r="N58" i="7"/>
  <c r="T58" i="7"/>
  <c r="AJ58" i="7"/>
  <c r="AK58" i="7"/>
  <c r="AL58" i="7"/>
  <c r="AM58" i="7"/>
  <c r="N59" i="7"/>
  <c r="T59" i="7"/>
  <c r="AJ59" i="7"/>
  <c r="AK59" i="7"/>
  <c r="AL59" i="7"/>
  <c r="AM59" i="7"/>
  <c r="N60" i="7"/>
  <c r="T60" i="7"/>
  <c r="AJ60" i="7"/>
  <c r="AK60" i="7"/>
  <c r="AL60" i="7"/>
  <c r="AM60" i="7"/>
  <c r="N61" i="7"/>
  <c r="T61" i="7"/>
  <c r="AJ61" i="7"/>
  <c r="AK61" i="7"/>
  <c r="AL61" i="7"/>
  <c r="AM61" i="7"/>
  <c r="N62" i="7"/>
  <c r="T62" i="7"/>
  <c r="AJ62" i="7"/>
  <c r="AK62" i="7"/>
  <c r="AL62" i="7"/>
  <c r="AM62" i="7"/>
  <c r="N64" i="7"/>
  <c r="T64" i="7"/>
  <c r="AJ64" i="7"/>
  <c r="AK64" i="7"/>
  <c r="AL64" i="7"/>
  <c r="AM64" i="7"/>
  <c r="N69" i="7"/>
  <c r="AE69" i="7"/>
  <c r="AF69" i="7"/>
  <c r="AJ69" i="7"/>
  <c r="AK69" i="7"/>
  <c r="N5" i="8"/>
  <c r="T5" i="8"/>
  <c r="AE5" i="8"/>
  <c r="AF5" i="8"/>
  <c r="AG5" i="8"/>
  <c r="AJ5" i="8"/>
  <c r="AK5" i="8"/>
  <c r="AL5" i="8"/>
  <c r="AM5" i="8"/>
  <c r="AO5" i="8"/>
  <c r="AP5" i="8"/>
  <c r="N6" i="8"/>
  <c r="T6" i="8"/>
  <c r="AE6" i="8"/>
  <c r="AF6" i="8"/>
  <c r="AG6" i="8"/>
  <c r="AJ6" i="8"/>
  <c r="AK6" i="8"/>
  <c r="AL6" i="8"/>
  <c r="AM6" i="8"/>
  <c r="AO6" i="8"/>
  <c r="AP6" i="8"/>
  <c r="N7" i="8"/>
  <c r="T7" i="8"/>
  <c r="AE7" i="8"/>
  <c r="AF7" i="8"/>
  <c r="AG7" i="8"/>
  <c r="AJ7" i="8"/>
  <c r="AK7" i="8"/>
  <c r="AL7" i="8"/>
  <c r="AM7" i="8"/>
  <c r="AO7" i="8"/>
  <c r="AP7" i="8"/>
  <c r="N8" i="8"/>
  <c r="T8" i="8"/>
  <c r="AE8" i="8"/>
  <c r="AF8" i="8"/>
  <c r="AG8" i="8"/>
  <c r="AJ8" i="8"/>
  <c r="AK8" i="8"/>
  <c r="AL8" i="8"/>
  <c r="AM8" i="8"/>
  <c r="AO8" i="8"/>
  <c r="AP8" i="8"/>
  <c r="N9" i="8"/>
  <c r="T9" i="8"/>
  <c r="AF9" i="8"/>
  <c r="AG9" i="8"/>
  <c r="AJ9" i="8"/>
  <c r="AK9" i="8"/>
  <c r="AL9" i="8"/>
  <c r="AM9" i="8"/>
  <c r="AP9" i="8"/>
  <c r="N10" i="8"/>
  <c r="T10" i="8"/>
  <c r="AF10" i="8"/>
  <c r="AG10" i="8"/>
  <c r="AJ10" i="8"/>
  <c r="AK10" i="8"/>
  <c r="AL10" i="8"/>
  <c r="AM10" i="8"/>
  <c r="AP10" i="8"/>
  <c r="N11" i="8"/>
  <c r="T11" i="8"/>
  <c r="AF11" i="8"/>
  <c r="AG11" i="8"/>
  <c r="AJ11" i="8"/>
  <c r="AK11" i="8"/>
  <c r="AL11" i="8"/>
  <c r="AM11" i="8"/>
  <c r="AP11" i="8"/>
  <c r="N12" i="8"/>
  <c r="T12" i="8"/>
  <c r="AE12" i="8"/>
  <c r="AF12" i="8"/>
  <c r="AG12" i="8"/>
  <c r="AJ12" i="8"/>
  <c r="AK12" i="8"/>
  <c r="AL12" i="8"/>
  <c r="AM12" i="8"/>
  <c r="N13" i="8"/>
  <c r="T13" i="8"/>
  <c r="AE13" i="8"/>
  <c r="AF13" i="8"/>
  <c r="AG13" i="8"/>
  <c r="AJ13" i="8"/>
  <c r="AK13" i="8"/>
  <c r="AL13" i="8"/>
  <c r="AM13" i="8"/>
  <c r="AO13" i="8"/>
  <c r="AP13" i="8"/>
  <c r="N14" i="8"/>
  <c r="T14" i="8"/>
  <c r="AE14" i="8"/>
  <c r="AF14" i="8"/>
  <c r="AG14" i="8"/>
  <c r="AJ14" i="8"/>
  <c r="AK14" i="8"/>
  <c r="AL14" i="8"/>
  <c r="AM14" i="8"/>
  <c r="AO14" i="8"/>
  <c r="AP14" i="8"/>
  <c r="N15" i="8"/>
  <c r="T15" i="8"/>
  <c r="AE15" i="8"/>
  <c r="AF15" i="8"/>
  <c r="AG15" i="8"/>
  <c r="AJ15" i="8"/>
  <c r="AK15" i="8"/>
  <c r="AL15" i="8"/>
  <c r="AM15" i="8"/>
  <c r="AO15" i="8"/>
  <c r="AP15" i="8"/>
  <c r="N16" i="8"/>
  <c r="T16" i="8"/>
  <c r="AE16" i="8"/>
  <c r="AF16" i="8"/>
  <c r="AG16" i="8"/>
  <c r="AJ16" i="8"/>
  <c r="AK16" i="8"/>
  <c r="AL16" i="8"/>
  <c r="AM16" i="8"/>
  <c r="AO16" i="8"/>
  <c r="AP16" i="8"/>
  <c r="N17" i="8"/>
  <c r="T17" i="8"/>
  <c r="AF17" i="8"/>
  <c r="AG17" i="8"/>
  <c r="AJ17" i="8"/>
  <c r="AK17" i="8"/>
  <c r="AL17" i="8"/>
  <c r="AM17" i="8"/>
  <c r="AP17" i="8"/>
  <c r="N18" i="8"/>
  <c r="T18" i="8"/>
  <c r="AF18" i="8"/>
  <c r="AG18" i="8"/>
  <c r="AJ18" i="8"/>
  <c r="AK18" i="8"/>
  <c r="AL18" i="8"/>
  <c r="AM18" i="8"/>
  <c r="AP18" i="8"/>
  <c r="N19" i="8"/>
  <c r="T19" i="8"/>
  <c r="AF19" i="8"/>
  <c r="AG19" i="8"/>
  <c r="AJ19" i="8"/>
  <c r="AK19" i="8"/>
  <c r="AL19" i="8"/>
  <c r="AM19" i="8"/>
  <c r="AP19" i="8"/>
  <c r="N20" i="8"/>
  <c r="T20" i="8"/>
  <c r="AE20" i="8"/>
  <c r="AF20" i="8"/>
  <c r="AG20" i="8"/>
  <c r="AJ20" i="8"/>
  <c r="AK20" i="8"/>
  <c r="AL20" i="8"/>
  <c r="AM20" i="8"/>
  <c r="AO20" i="8"/>
  <c r="AP20" i="8"/>
  <c r="N21" i="8"/>
  <c r="T21" i="8"/>
  <c r="AE21" i="8"/>
  <c r="AF21" i="8"/>
  <c r="AG21" i="8"/>
  <c r="AJ21" i="8"/>
  <c r="AK21" i="8"/>
  <c r="AL21" i="8"/>
  <c r="AM21" i="8"/>
  <c r="AO21" i="8"/>
  <c r="AP21" i="8"/>
  <c r="N22" i="8"/>
  <c r="T22" i="8"/>
  <c r="AE22" i="8"/>
  <c r="AF22" i="8"/>
  <c r="AG22" i="8"/>
  <c r="AJ22" i="8"/>
  <c r="AK22" i="8"/>
  <c r="AL22" i="8"/>
  <c r="AM22" i="8"/>
  <c r="AO22" i="8"/>
  <c r="AP22" i="8"/>
  <c r="N23" i="8"/>
  <c r="T23" i="8"/>
  <c r="AE23" i="8"/>
  <c r="AF23" i="8"/>
  <c r="AG23" i="8"/>
  <c r="AJ23" i="8"/>
  <c r="AK23" i="8"/>
  <c r="AL23" i="8"/>
  <c r="AM23" i="8"/>
  <c r="AO23" i="8"/>
  <c r="AP23" i="8"/>
  <c r="N24" i="8"/>
  <c r="T24" i="8"/>
  <c r="AE24" i="8"/>
  <c r="AF24" i="8"/>
  <c r="AG24" i="8"/>
  <c r="AJ24" i="8"/>
  <c r="AK24" i="8"/>
  <c r="AL24" i="8"/>
  <c r="AM24" i="8"/>
  <c r="AO24" i="8"/>
  <c r="AP24" i="8"/>
  <c r="N25" i="8"/>
  <c r="T25" i="8"/>
  <c r="AE25" i="8"/>
  <c r="AF25" i="8"/>
  <c r="AG25" i="8"/>
  <c r="AJ25" i="8"/>
  <c r="AK25" i="8"/>
  <c r="AL25" i="8"/>
  <c r="AM25" i="8"/>
  <c r="AO25" i="8"/>
  <c r="AP25" i="8"/>
  <c r="N26" i="8"/>
  <c r="T26" i="8"/>
  <c r="AE26" i="8"/>
  <c r="AF26" i="8"/>
  <c r="AG26" i="8"/>
  <c r="AJ26" i="8"/>
  <c r="AK26" i="8"/>
  <c r="AL26" i="8"/>
  <c r="AM26" i="8"/>
  <c r="AO26" i="8"/>
  <c r="AP26" i="8"/>
  <c r="N27" i="8"/>
  <c r="T27" i="8"/>
  <c r="AE27" i="8"/>
  <c r="AF27" i="8"/>
  <c r="AG27" i="8"/>
  <c r="AJ27" i="8"/>
  <c r="AK27" i="8"/>
  <c r="AL27" i="8"/>
  <c r="AM27" i="8"/>
  <c r="AO27" i="8"/>
  <c r="AP27" i="8"/>
  <c r="N28" i="8"/>
  <c r="T28" i="8"/>
  <c r="AE28" i="8"/>
  <c r="AF28" i="8"/>
  <c r="AG28" i="8"/>
  <c r="AJ28" i="8"/>
  <c r="AK28" i="8"/>
  <c r="AL28" i="8"/>
  <c r="AM28" i="8"/>
  <c r="AO28" i="8"/>
  <c r="AP28" i="8"/>
  <c r="N29" i="8"/>
  <c r="T29" i="8"/>
  <c r="AE29" i="8"/>
  <c r="AF29" i="8"/>
  <c r="AG29" i="8"/>
  <c r="AJ29" i="8"/>
  <c r="AK29" i="8"/>
  <c r="AL29" i="8"/>
  <c r="AM29" i="8"/>
  <c r="AO29" i="8"/>
  <c r="AP29" i="8"/>
  <c r="N30" i="8"/>
  <c r="T30" i="8"/>
  <c r="AE30" i="8"/>
  <c r="AF30" i="8"/>
  <c r="AG30" i="8"/>
  <c r="AJ30" i="8"/>
  <c r="AK30" i="8"/>
  <c r="AL30" i="8"/>
  <c r="AM30" i="8"/>
  <c r="AO30" i="8"/>
  <c r="AP30" i="8"/>
  <c r="N31" i="8"/>
  <c r="T31" i="8"/>
  <c r="AE31" i="8"/>
  <c r="AF31" i="8"/>
  <c r="AG31" i="8"/>
  <c r="AJ31" i="8"/>
  <c r="AK31" i="8"/>
  <c r="AL31" i="8"/>
  <c r="AM31" i="8"/>
  <c r="AO31" i="8"/>
  <c r="AP31" i="8"/>
  <c r="N32" i="8"/>
  <c r="T32" i="8"/>
  <c r="AE32" i="8"/>
  <c r="AF32" i="8"/>
  <c r="AG32" i="8"/>
  <c r="AJ32" i="8"/>
  <c r="AK32" i="8"/>
  <c r="AL32" i="8"/>
  <c r="AM32" i="8"/>
  <c r="AO32" i="8"/>
  <c r="AP32" i="8"/>
  <c r="N33" i="8"/>
  <c r="T33" i="8"/>
  <c r="AE33" i="8"/>
  <c r="AF33" i="8"/>
  <c r="AG33" i="8"/>
  <c r="AJ33" i="8"/>
  <c r="AK33" i="8"/>
  <c r="AL33" i="8"/>
  <c r="AM33" i="8"/>
  <c r="AO33" i="8"/>
  <c r="AP33" i="8"/>
  <c r="N34" i="8"/>
  <c r="T34" i="8"/>
  <c r="AE34" i="8"/>
  <c r="AF34" i="8"/>
  <c r="AG34" i="8"/>
  <c r="AJ34" i="8"/>
  <c r="AK34" i="8"/>
  <c r="AL34" i="8"/>
  <c r="AM34" i="8"/>
  <c r="AO34" i="8"/>
  <c r="AP34" i="8"/>
  <c r="N35" i="8"/>
  <c r="T35" i="8"/>
  <c r="AE35" i="8"/>
  <c r="AF35" i="8"/>
  <c r="AG35" i="8"/>
  <c r="AJ35" i="8"/>
  <c r="AK35" i="8"/>
  <c r="AL35" i="8"/>
  <c r="AM35" i="8"/>
  <c r="AO35" i="8"/>
  <c r="AP35" i="8"/>
  <c r="N36" i="8"/>
  <c r="T36" i="8"/>
  <c r="AE36" i="8"/>
  <c r="AF36" i="8"/>
  <c r="AG36" i="8"/>
  <c r="AJ36" i="8"/>
  <c r="AK36" i="8"/>
  <c r="AL36" i="8"/>
  <c r="AM36" i="8"/>
  <c r="AO36" i="8"/>
  <c r="AP36" i="8"/>
  <c r="N37" i="8"/>
  <c r="T37" i="8"/>
  <c r="AE37" i="8"/>
  <c r="AF37" i="8"/>
  <c r="AG37" i="8"/>
  <c r="AJ37" i="8"/>
  <c r="AK37" i="8"/>
  <c r="AL37" i="8"/>
  <c r="AM37" i="8"/>
  <c r="AO37" i="8"/>
  <c r="AP37" i="8"/>
  <c r="N38" i="8"/>
  <c r="T38" i="8"/>
  <c r="AE38" i="8"/>
  <c r="AF38" i="8"/>
  <c r="AG38" i="8"/>
  <c r="AJ38" i="8"/>
  <c r="AK38" i="8"/>
  <c r="AL38" i="8"/>
  <c r="AM38" i="8"/>
  <c r="AO38" i="8"/>
  <c r="AP38" i="8"/>
  <c r="N39" i="8"/>
  <c r="T39" i="8"/>
  <c r="AE39" i="8"/>
  <c r="AF39" i="8"/>
  <c r="AG39" i="8"/>
  <c r="AJ39" i="8"/>
  <c r="AK39" i="8"/>
  <c r="AL39" i="8"/>
  <c r="AM39" i="8"/>
  <c r="AO39" i="8"/>
  <c r="AP39" i="8"/>
  <c r="N40" i="8"/>
  <c r="T40" i="8"/>
  <c r="AE40" i="8"/>
  <c r="AF40" i="8"/>
  <c r="AG40" i="8"/>
  <c r="AJ40" i="8"/>
  <c r="AK40" i="8"/>
  <c r="AL40" i="8"/>
  <c r="AM40" i="8"/>
  <c r="AO40" i="8"/>
  <c r="AP40" i="8"/>
  <c r="N41" i="8"/>
  <c r="T41" i="8"/>
  <c r="AE41" i="8"/>
  <c r="AF41" i="8"/>
  <c r="AG41" i="8"/>
  <c r="AJ41" i="8"/>
  <c r="AK41" i="8"/>
  <c r="AL41" i="8"/>
  <c r="AM41" i="8"/>
  <c r="AO41" i="8"/>
  <c r="AP41" i="8"/>
  <c r="N42" i="8"/>
  <c r="T42" i="8"/>
  <c r="AE42" i="8"/>
  <c r="AF42" i="8"/>
  <c r="AG42" i="8"/>
  <c r="AJ42" i="8"/>
  <c r="AK42" i="8"/>
  <c r="AL42" i="8"/>
  <c r="AM42" i="8"/>
  <c r="AO42" i="8"/>
  <c r="AP42" i="8"/>
  <c r="N43" i="8"/>
  <c r="T43" i="8"/>
  <c r="AE43" i="8"/>
  <c r="AF43" i="8"/>
  <c r="AG43" i="8"/>
  <c r="AJ43" i="8"/>
  <c r="AK43" i="8"/>
  <c r="AL43" i="8"/>
  <c r="AM43" i="8"/>
  <c r="AO43" i="8"/>
  <c r="AP43" i="8"/>
  <c r="N44" i="8"/>
  <c r="T44" i="8"/>
  <c r="AE44" i="8"/>
  <c r="AF44" i="8"/>
  <c r="AG44" i="8"/>
  <c r="AJ44" i="8"/>
  <c r="AK44" i="8"/>
  <c r="AL44" i="8"/>
  <c r="AM44" i="8"/>
  <c r="AO44" i="8"/>
  <c r="AP44" i="8"/>
  <c r="N45" i="8"/>
  <c r="T45" i="8"/>
  <c r="AE45" i="8"/>
  <c r="AF45" i="8"/>
  <c r="AG45" i="8"/>
  <c r="AJ45" i="8"/>
  <c r="AK45" i="8"/>
  <c r="AL45" i="8"/>
  <c r="AM45" i="8"/>
  <c r="AO45" i="8"/>
  <c r="AP45" i="8"/>
  <c r="N46" i="8"/>
  <c r="T46" i="8"/>
  <c r="AE46" i="8"/>
  <c r="AF46" i="8"/>
  <c r="AG46" i="8"/>
  <c r="AJ46" i="8"/>
  <c r="AK46" i="8"/>
  <c r="AL46" i="8"/>
  <c r="AM46" i="8"/>
  <c r="AO46" i="8"/>
  <c r="AP46" i="8"/>
  <c r="N47" i="8"/>
  <c r="T47" i="8"/>
  <c r="AE47" i="8"/>
  <c r="AF47" i="8"/>
  <c r="AG47" i="8"/>
  <c r="AJ47" i="8"/>
  <c r="AK47" i="8"/>
  <c r="AL47" i="8"/>
  <c r="AM47" i="8"/>
  <c r="AO47" i="8"/>
  <c r="AP47" i="8"/>
  <c r="N48" i="8"/>
  <c r="T48" i="8"/>
  <c r="AE48" i="8"/>
  <c r="AF48" i="8"/>
  <c r="AG48" i="8"/>
  <c r="AJ48" i="8"/>
  <c r="AK48" i="8"/>
  <c r="AL48" i="8"/>
  <c r="AM48" i="8"/>
  <c r="AO48" i="8"/>
  <c r="AP48" i="8"/>
  <c r="N49" i="8"/>
  <c r="T49" i="8"/>
  <c r="AE49" i="8"/>
  <c r="AF49" i="8"/>
  <c r="AG49" i="8"/>
  <c r="AJ49" i="8"/>
  <c r="AK49" i="8"/>
  <c r="AL49" i="8"/>
  <c r="AM49" i="8"/>
  <c r="AO49" i="8"/>
  <c r="AP49" i="8"/>
  <c r="N50" i="8"/>
  <c r="T50" i="8"/>
  <c r="AE50" i="8"/>
  <c r="AF50" i="8"/>
  <c r="AG50" i="8"/>
  <c r="AJ50" i="8"/>
  <c r="AK50" i="8"/>
  <c r="AL50" i="8"/>
  <c r="AM50" i="8"/>
  <c r="AO50" i="8"/>
  <c r="AP50" i="8"/>
  <c r="N51" i="8"/>
  <c r="T51" i="8"/>
  <c r="AE51" i="8"/>
  <c r="AF51" i="8"/>
  <c r="AG51" i="8"/>
  <c r="AJ51" i="8"/>
  <c r="AK51" i="8"/>
  <c r="AL51" i="8"/>
  <c r="AM51" i="8"/>
  <c r="AO51" i="8"/>
  <c r="AP51" i="8"/>
  <c r="N52" i="8"/>
  <c r="T52" i="8"/>
  <c r="AE52" i="8"/>
  <c r="AF52" i="8"/>
  <c r="AG52" i="8"/>
  <c r="AJ52" i="8"/>
  <c r="AK52" i="8"/>
  <c r="AL52" i="8"/>
  <c r="AM52" i="8"/>
  <c r="AO52" i="8"/>
  <c r="AP52" i="8"/>
  <c r="N53" i="8"/>
  <c r="T53" i="8"/>
  <c r="AE53" i="8"/>
  <c r="AF53" i="8"/>
  <c r="AG53" i="8"/>
  <c r="AJ53" i="8"/>
  <c r="AK53" i="8"/>
  <c r="AL53" i="8"/>
  <c r="AM53" i="8"/>
  <c r="AO53" i="8"/>
  <c r="AP53" i="8"/>
  <c r="N54" i="8"/>
  <c r="T54" i="8"/>
  <c r="AE54" i="8"/>
  <c r="AF54" i="8"/>
  <c r="AG54" i="8"/>
  <c r="AJ54" i="8"/>
  <c r="AK54" i="8"/>
  <c r="AL54" i="8"/>
  <c r="AM54" i="8"/>
  <c r="AO54" i="8"/>
  <c r="AP54" i="8"/>
  <c r="N55" i="8"/>
  <c r="T55" i="8"/>
  <c r="AE55" i="8"/>
  <c r="AF55" i="8"/>
  <c r="AG55" i="8"/>
  <c r="AJ55" i="8"/>
  <c r="AK55" i="8"/>
  <c r="AL55" i="8"/>
  <c r="AM55" i="8"/>
  <c r="AO55" i="8"/>
  <c r="AP55" i="8"/>
  <c r="N56" i="8"/>
  <c r="T56" i="8"/>
  <c r="AE56" i="8"/>
  <c r="AF56" i="8"/>
  <c r="AG56" i="8"/>
  <c r="AJ56" i="8"/>
  <c r="AK56" i="8"/>
  <c r="AL56" i="8"/>
  <c r="AM56" i="8"/>
  <c r="AO56" i="8"/>
  <c r="AP56" i="8"/>
  <c r="N57" i="8"/>
  <c r="T57" i="8"/>
  <c r="AE57" i="8"/>
  <c r="AF57" i="8"/>
  <c r="AG57" i="8"/>
  <c r="AJ57" i="8"/>
  <c r="AK57" i="8"/>
  <c r="AL57" i="8"/>
  <c r="AM57" i="8"/>
  <c r="AO57" i="8"/>
  <c r="AP57" i="8"/>
  <c r="N58" i="8"/>
  <c r="T58" i="8"/>
  <c r="AE58" i="8"/>
  <c r="AF58" i="8"/>
  <c r="AG58" i="8"/>
  <c r="AJ58" i="8"/>
  <c r="AK58" i="8"/>
  <c r="AL58" i="8"/>
  <c r="AM58" i="8"/>
  <c r="AO58" i="8"/>
  <c r="AP58" i="8"/>
  <c r="N59" i="8"/>
  <c r="T59" i="8"/>
  <c r="AE59" i="8"/>
  <c r="AF59" i="8"/>
  <c r="AG59" i="8"/>
  <c r="AJ59" i="8"/>
  <c r="AK59" i="8"/>
  <c r="AL59" i="8"/>
  <c r="AM59" i="8"/>
  <c r="AO59" i="8"/>
  <c r="AP59" i="8"/>
  <c r="N60" i="8"/>
  <c r="T60" i="8"/>
  <c r="AE60" i="8"/>
  <c r="AF60" i="8"/>
  <c r="AG60" i="8"/>
  <c r="AJ60" i="8"/>
  <c r="AK60" i="8"/>
  <c r="AL60" i="8"/>
  <c r="AM60" i="8"/>
  <c r="AO60" i="8"/>
  <c r="AP60" i="8"/>
  <c r="N61" i="8"/>
  <c r="T61" i="8"/>
  <c r="AE61" i="8"/>
  <c r="AF61" i="8"/>
  <c r="AG61" i="8"/>
  <c r="AJ61" i="8"/>
  <c r="AK61" i="8"/>
  <c r="AL61" i="8"/>
  <c r="AM61" i="8"/>
  <c r="AO61" i="8"/>
  <c r="AP61" i="8"/>
  <c r="N62" i="8"/>
  <c r="T62" i="8"/>
  <c r="AE62" i="8"/>
  <c r="AF62" i="8"/>
  <c r="AG62" i="8"/>
  <c r="AJ62" i="8"/>
  <c r="AK62" i="8"/>
  <c r="AL62" i="8"/>
  <c r="AM62" i="8"/>
  <c r="AO62" i="8"/>
  <c r="AP62" i="8"/>
  <c r="N64" i="8"/>
  <c r="T64" i="8"/>
  <c r="AE64" i="8"/>
  <c r="AF64" i="8"/>
  <c r="AG64" i="8"/>
  <c r="AJ64" i="8"/>
  <c r="AK64" i="8"/>
  <c r="AL64" i="8"/>
  <c r="AM64" i="8"/>
  <c r="AO64" i="8"/>
  <c r="AP64" i="8"/>
  <c r="AO66" i="8"/>
  <c r="AP66" i="8"/>
  <c r="AE69" i="8"/>
  <c r="AF69" i="8"/>
  <c r="N5" i="9"/>
  <c r="T5" i="9"/>
  <c r="AE5" i="9"/>
  <c r="AF5" i="9"/>
  <c r="AG5" i="9"/>
  <c r="AJ5" i="9"/>
  <c r="AK5" i="9"/>
  <c r="AL5" i="9"/>
  <c r="AM5" i="9"/>
  <c r="AO5" i="9"/>
  <c r="AP5" i="9"/>
  <c r="N6" i="9"/>
  <c r="T6" i="9"/>
  <c r="AE6" i="9"/>
  <c r="AF6" i="9"/>
  <c r="AG6" i="9"/>
  <c r="AJ6" i="9"/>
  <c r="AK6" i="9"/>
  <c r="AL6" i="9"/>
  <c r="AM6" i="9"/>
  <c r="AO6" i="9"/>
  <c r="AP6" i="9"/>
  <c r="N7" i="9"/>
  <c r="T7" i="9"/>
  <c r="AE7" i="9"/>
  <c r="AF7" i="9"/>
  <c r="AG7" i="9"/>
  <c r="AJ7" i="9"/>
  <c r="AK7" i="9"/>
  <c r="AL7" i="9"/>
  <c r="AM7" i="9"/>
  <c r="AO7" i="9"/>
  <c r="AP7" i="9"/>
  <c r="N8" i="9"/>
  <c r="T8" i="9"/>
  <c r="AE8" i="9"/>
  <c r="AF8" i="9"/>
  <c r="AG8" i="9"/>
  <c r="AJ8" i="9"/>
  <c r="AK8" i="9"/>
  <c r="AL8" i="9"/>
  <c r="AM8" i="9"/>
  <c r="AO8" i="9"/>
  <c r="AP8" i="9"/>
  <c r="N9" i="9"/>
  <c r="T9" i="9"/>
  <c r="AF9" i="9"/>
  <c r="AG9" i="9"/>
  <c r="AJ9" i="9"/>
  <c r="AK9" i="9"/>
  <c r="AL9" i="9"/>
  <c r="AM9" i="9"/>
  <c r="AP9" i="9"/>
  <c r="N10" i="9"/>
  <c r="T10" i="9"/>
  <c r="AF10" i="9"/>
  <c r="AG10" i="9"/>
  <c r="AJ10" i="9"/>
  <c r="AK10" i="9"/>
  <c r="AL10" i="9"/>
  <c r="AM10" i="9"/>
  <c r="AP10" i="9"/>
  <c r="N11" i="9"/>
  <c r="T11" i="9"/>
  <c r="AF11" i="9"/>
  <c r="AG11" i="9"/>
  <c r="AJ11" i="9"/>
  <c r="AK11" i="9"/>
  <c r="AL11" i="9"/>
  <c r="AM11" i="9"/>
  <c r="AP11" i="9"/>
  <c r="AE12" i="9"/>
  <c r="AF12" i="9"/>
  <c r="AG12" i="9"/>
  <c r="AM12" i="9"/>
  <c r="N13" i="9"/>
  <c r="T13" i="9"/>
  <c r="AE13" i="9"/>
  <c r="AF13" i="9"/>
  <c r="AG13" i="9"/>
  <c r="AJ13" i="9"/>
  <c r="AK13" i="9"/>
  <c r="AL13" i="9"/>
  <c r="AM13" i="9"/>
  <c r="AO13" i="9"/>
  <c r="AP13" i="9"/>
  <c r="N14" i="9"/>
  <c r="T14" i="9"/>
  <c r="AE14" i="9"/>
  <c r="AF14" i="9"/>
  <c r="AG14" i="9"/>
  <c r="AJ14" i="9"/>
  <c r="AK14" i="9"/>
  <c r="AL14" i="9"/>
  <c r="AM14" i="9"/>
  <c r="AO14" i="9"/>
  <c r="AP14" i="9"/>
  <c r="N15" i="9"/>
  <c r="T15" i="9"/>
  <c r="AE15" i="9"/>
  <c r="AF15" i="9"/>
  <c r="AG15" i="9"/>
  <c r="AJ15" i="9"/>
  <c r="AK15" i="9"/>
  <c r="AL15" i="9"/>
  <c r="AM15" i="9"/>
  <c r="AO15" i="9"/>
  <c r="AP15" i="9"/>
  <c r="N16" i="9"/>
  <c r="T16" i="9"/>
  <c r="AE16" i="9"/>
  <c r="AF16" i="9"/>
  <c r="AG16" i="9"/>
  <c r="AJ16" i="9"/>
  <c r="AK16" i="9"/>
  <c r="AL16" i="9"/>
  <c r="AM16" i="9"/>
  <c r="AO16" i="9"/>
  <c r="AP16" i="9"/>
  <c r="N17" i="9"/>
  <c r="T17" i="9"/>
  <c r="AF17" i="9"/>
  <c r="AG17" i="9"/>
  <c r="AJ17" i="9"/>
  <c r="AK17" i="9"/>
  <c r="AL17" i="9"/>
  <c r="AM17" i="9"/>
  <c r="AP17" i="9"/>
  <c r="N18" i="9"/>
  <c r="T18" i="9"/>
  <c r="AF18" i="9"/>
  <c r="AG18" i="9"/>
  <c r="AJ18" i="9"/>
  <c r="AK18" i="9"/>
  <c r="AL18" i="9"/>
  <c r="AM18" i="9"/>
  <c r="AP18" i="9"/>
  <c r="N19" i="9"/>
  <c r="T19" i="9"/>
  <c r="AF19" i="9"/>
  <c r="AG19" i="9"/>
  <c r="AJ19" i="9"/>
  <c r="AK19" i="9"/>
  <c r="AL19" i="9"/>
  <c r="AM19" i="9"/>
  <c r="AP19" i="9"/>
  <c r="N20" i="9"/>
  <c r="T20" i="9"/>
  <c r="AE20" i="9"/>
  <c r="AF20" i="9"/>
  <c r="AG20" i="9"/>
  <c r="AJ20" i="9"/>
  <c r="AK20" i="9"/>
  <c r="AL20" i="9"/>
  <c r="AM20" i="9"/>
  <c r="AO20" i="9"/>
  <c r="AP20" i="9"/>
  <c r="N21" i="9"/>
  <c r="T21" i="9"/>
  <c r="AE21" i="9"/>
  <c r="AF21" i="9"/>
  <c r="AG21" i="9"/>
  <c r="AJ21" i="9"/>
  <c r="AK21" i="9"/>
  <c r="AL21" i="9"/>
  <c r="AM21" i="9"/>
  <c r="AO21" i="9"/>
  <c r="AP21" i="9"/>
  <c r="N22" i="9"/>
  <c r="T22" i="9"/>
  <c r="AE22" i="9"/>
  <c r="AF22" i="9"/>
  <c r="AG22" i="9"/>
  <c r="AJ22" i="9"/>
  <c r="AK22" i="9"/>
  <c r="AL22" i="9"/>
  <c r="AM22" i="9"/>
  <c r="AO22" i="9"/>
  <c r="AP22" i="9"/>
  <c r="N23" i="9"/>
  <c r="T23" i="9"/>
  <c r="AE23" i="9"/>
  <c r="AF23" i="9"/>
  <c r="AG23" i="9"/>
  <c r="AJ23" i="9"/>
  <c r="AK23" i="9"/>
  <c r="AL23" i="9"/>
  <c r="AM23" i="9"/>
  <c r="AO23" i="9"/>
  <c r="AP23" i="9"/>
  <c r="N24" i="9"/>
  <c r="T24" i="9"/>
  <c r="AE24" i="9"/>
  <c r="AF24" i="9"/>
  <c r="AG24" i="9"/>
  <c r="AJ24" i="9"/>
  <c r="AK24" i="9"/>
  <c r="AL24" i="9"/>
  <c r="AM24" i="9"/>
  <c r="AO24" i="9"/>
  <c r="AP24" i="9"/>
  <c r="N25" i="9"/>
  <c r="T25" i="9"/>
  <c r="AE25" i="9"/>
  <c r="AF25" i="9"/>
  <c r="AG25" i="9"/>
  <c r="AJ25" i="9"/>
  <c r="AK25" i="9"/>
  <c r="AL25" i="9"/>
  <c r="AM25" i="9"/>
  <c r="AO25" i="9"/>
  <c r="AP25" i="9"/>
  <c r="N26" i="9"/>
  <c r="T26" i="9"/>
  <c r="AE26" i="9"/>
  <c r="AF26" i="9"/>
  <c r="AG26" i="9"/>
  <c r="AJ26" i="9"/>
  <c r="AK26" i="9"/>
  <c r="AL26" i="9"/>
  <c r="AM26" i="9"/>
  <c r="AO26" i="9"/>
  <c r="AP26" i="9"/>
  <c r="N27" i="9"/>
  <c r="T27" i="9"/>
  <c r="AE27" i="9"/>
  <c r="AF27" i="9"/>
  <c r="AG27" i="9"/>
  <c r="AJ27" i="9"/>
  <c r="AK27" i="9"/>
  <c r="AL27" i="9"/>
  <c r="AM27" i="9"/>
  <c r="AO27" i="9"/>
  <c r="AP27" i="9"/>
  <c r="N28" i="9"/>
  <c r="T28" i="9"/>
  <c r="AE28" i="9"/>
  <c r="AF28" i="9"/>
  <c r="AG28" i="9"/>
  <c r="AJ28" i="9"/>
  <c r="AK28" i="9"/>
  <c r="AL28" i="9"/>
  <c r="AM28" i="9"/>
  <c r="AO28" i="9"/>
  <c r="AP28" i="9"/>
  <c r="N29" i="9"/>
  <c r="T29" i="9"/>
  <c r="AE29" i="9"/>
  <c r="AF29" i="9"/>
  <c r="AG29" i="9"/>
  <c r="AJ29" i="9"/>
  <c r="AK29" i="9"/>
  <c r="AL29" i="9"/>
  <c r="AM29" i="9"/>
  <c r="AO29" i="9"/>
  <c r="AP29" i="9"/>
  <c r="N30" i="9"/>
  <c r="T30" i="9"/>
  <c r="AE30" i="9"/>
  <c r="AF30" i="9"/>
  <c r="AG30" i="9"/>
  <c r="AJ30" i="9"/>
  <c r="AK30" i="9"/>
  <c r="AL30" i="9"/>
  <c r="AM30" i="9"/>
  <c r="AO30" i="9"/>
  <c r="AP30" i="9"/>
  <c r="N31" i="9"/>
  <c r="T31" i="9"/>
  <c r="AE31" i="9"/>
  <c r="AF31" i="9"/>
  <c r="AG31" i="9"/>
  <c r="AJ31" i="9"/>
  <c r="AK31" i="9"/>
  <c r="AL31" i="9"/>
  <c r="AM31" i="9"/>
  <c r="AO31" i="9"/>
  <c r="AP31" i="9"/>
  <c r="N32" i="9"/>
  <c r="T32" i="9"/>
  <c r="AE32" i="9"/>
  <c r="AF32" i="9"/>
  <c r="AG32" i="9"/>
  <c r="AJ32" i="9"/>
  <c r="AK32" i="9"/>
  <c r="AL32" i="9"/>
  <c r="AM32" i="9"/>
  <c r="AO32" i="9"/>
  <c r="AP32" i="9"/>
  <c r="N33" i="9"/>
  <c r="T33" i="9"/>
  <c r="AE33" i="9"/>
  <c r="AF33" i="9"/>
  <c r="AG33" i="9"/>
  <c r="AJ33" i="9"/>
  <c r="AK33" i="9"/>
  <c r="AL33" i="9"/>
  <c r="AM33" i="9"/>
  <c r="AO33" i="9"/>
  <c r="AP33" i="9"/>
  <c r="N34" i="9"/>
  <c r="T34" i="9"/>
  <c r="AE34" i="9"/>
  <c r="AF34" i="9"/>
  <c r="AG34" i="9"/>
  <c r="AJ34" i="9"/>
  <c r="AK34" i="9"/>
  <c r="AL34" i="9"/>
  <c r="AM34" i="9"/>
  <c r="AO34" i="9"/>
  <c r="AP34" i="9"/>
  <c r="N35" i="9"/>
  <c r="T35" i="9"/>
  <c r="AE35" i="9"/>
  <c r="AF35" i="9"/>
  <c r="AG35" i="9"/>
  <c r="AJ35" i="9"/>
  <c r="AK35" i="9"/>
  <c r="AL35" i="9"/>
  <c r="AM35" i="9"/>
  <c r="AO35" i="9"/>
  <c r="AP35" i="9"/>
  <c r="N36" i="9"/>
  <c r="T36" i="9"/>
  <c r="AE36" i="9"/>
  <c r="AF36" i="9"/>
  <c r="AG36" i="9"/>
  <c r="AJ36" i="9"/>
  <c r="AK36" i="9"/>
  <c r="AL36" i="9"/>
  <c r="AM36" i="9"/>
  <c r="AO36" i="9"/>
  <c r="AP36" i="9"/>
  <c r="N37" i="9"/>
  <c r="T37" i="9"/>
  <c r="AE37" i="9"/>
  <c r="AF37" i="9"/>
  <c r="AG37" i="9"/>
  <c r="AJ37" i="9"/>
  <c r="AK37" i="9"/>
  <c r="AL37" i="9"/>
  <c r="AM37" i="9"/>
  <c r="AO37" i="9"/>
  <c r="AP37" i="9"/>
  <c r="N38" i="9"/>
  <c r="T38" i="9"/>
  <c r="AE38" i="9"/>
  <c r="AF38" i="9"/>
  <c r="AG38" i="9"/>
  <c r="AJ38" i="9"/>
  <c r="AK38" i="9"/>
  <c r="AL38" i="9"/>
  <c r="AM38" i="9"/>
  <c r="AO38" i="9"/>
  <c r="AP38" i="9"/>
  <c r="N39" i="9"/>
  <c r="T39" i="9"/>
  <c r="AE39" i="9"/>
  <c r="AF39" i="9"/>
  <c r="AG39" i="9"/>
  <c r="AJ39" i="9"/>
  <c r="AK39" i="9"/>
  <c r="AL39" i="9"/>
  <c r="AM39" i="9"/>
  <c r="AO39" i="9"/>
  <c r="AP39" i="9"/>
  <c r="N40" i="9"/>
  <c r="T40" i="9"/>
  <c r="AE40" i="9"/>
  <c r="AF40" i="9"/>
  <c r="AG40" i="9"/>
  <c r="AJ40" i="9"/>
  <c r="AK40" i="9"/>
  <c r="AL40" i="9"/>
  <c r="AM40" i="9"/>
  <c r="AO40" i="9"/>
  <c r="AP40" i="9"/>
  <c r="N41" i="9"/>
  <c r="T41" i="9"/>
  <c r="AE41" i="9"/>
  <c r="AF41" i="9"/>
  <c r="AG41" i="9"/>
  <c r="AJ41" i="9"/>
  <c r="AK41" i="9"/>
  <c r="AL41" i="9"/>
  <c r="AM41" i="9"/>
  <c r="AO41" i="9"/>
  <c r="AP41" i="9"/>
  <c r="N42" i="9"/>
  <c r="T42" i="9"/>
  <c r="AE42" i="9"/>
  <c r="AF42" i="9"/>
  <c r="AG42" i="9"/>
  <c r="AJ42" i="9"/>
  <c r="AK42" i="9"/>
  <c r="AL42" i="9"/>
  <c r="AM42" i="9"/>
  <c r="AO42" i="9"/>
  <c r="AP42" i="9"/>
  <c r="N43" i="9"/>
  <c r="T43" i="9"/>
  <c r="AE43" i="9"/>
  <c r="AF43" i="9"/>
  <c r="AG43" i="9"/>
  <c r="AJ43" i="9"/>
  <c r="AK43" i="9"/>
  <c r="AL43" i="9"/>
  <c r="AM43" i="9"/>
  <c r="AO43" i="9"/>
  <c r="AP43" i="9"/>
  <c r="N44" i="9"/>
  <c r="T44" i="9"/>
  <c r="AE44" i="9"/>
  <c r="AF44" i="9"/>
  <c r="AG44" i="9"/>
  <c r="AJ44" i="9"/>
  <c r="AK44" i="9"/>
  <c r="AL44" i="9"/>
  <c r="AM44" i="9"/>
  <c r="AO44" i="9"/>
  <c r="AP44" i="9"/>
  <c r="N45" i="9"/>
  <c r="T45" i="9"/>
  <c r="AE45" i="9"/>
  <c r="AF45" i="9"/>
  <c r="AG45" i="9"/>
  <c r="AJ45" i="9"/>
  <c r="AK45" i="9"/>
  <c r="AL45" i="9"/>
  <c r="AM45" i="9"/>
  <c r="AO45" i="9"/>
  <c r="AP45" i="9"/>
  <c r="N46" i="9"/>
  <c r="T46" i="9"/>
  <c r="AE46" i="9"/>
  <c r="AF46" i="9"/>
  <c r="AG46" i="9"/>
  <c r="AJ46" i="9"/>
  <c r="AK46" i="9"/>
  <c r="AL46" i="9"/>
  <c r="AM46" i="9"/>
  <c r="AO46" i="9"/>
  <c r="AP46" i="9"/>
  <c r="N47" i="9"/>
  <c r="T47" i="9"/>
  <c r="AE47" i="9"/>
  <c r="AF47" i="9"/>
  <c r="AG47" i="9"/>
  <c r="AJ47" i="9"/>
  <c r="AK47" i="9"/>
  <c r="AL47" i="9"/>
  <c r="AM47" i="9"/>
  <c r="AO47" i="9"/>
  <c r="AP47" i="9"/>
  <c r="N48" i="9"/>
  <c r="T48" i="9"/>
  <c r="AE48" i="9"/>
  <c r="AF48" i="9"/>
  <c r="AG48" i="9"/>
  <c r="AJ48" i="9"/>
  <c r="AK48" i="9"/>
  <c r="AL48" i="9"/>
  <c r="AM48" i="9"/>
  <c r="AO48" i="9"/>
  <c r="AP48" i="9"/>
  <c r="N49" i="9"/>
  <c r="T49" i="9"/>
  <c r="AE49" i="9"/>
  <c r="AF49" i="9"/>
  <c r="AG49" i="9"/>
  <c r="AJ49" i="9"/>
  <c r="AK49" i="9"/>
  <c r="AL49" i="9"/>
  <c r="AM49" i="9"/>
  <c r="AO49" i="9"/>
  <c r="AP49" i="9"/>
  <c r="N50" i="9"/>
  <c r="T50" i="9"/>
  <c r="AE50" i="9"/>
  <c r="AF50" i="9"/>
  <c r="AG50" i="9"/>
  <c r="AJ50" i="9"/>
  <c r="AK50" i="9"/>
  <c r="AL50" i="9"/>
  <c r="AM50" i="9"/>
  <c r="AO50" i="9"/>
  <c r="AP50" i="9"/>
  <c r="N51" i="9"/>
  <c r="T51" i="9"/>
  <c r="AE51" i="9"/>
  <c r="AF51" i="9"/>
  <c r="AG51" i="9"/>
  <c r="AJ51" i="9"/>
  <c r="AK51" i="9"/>
  <c r="AL51" i="9"/>
  <c r="AM51" i="9"/>
  <c r="AO51" i="9"/>
  <c r="AP51" i="9"/>
  <c r="N52" i="9"/>
  <c r="T52" i="9"/>
  <c r="AE52" i="9"/>
  <c r="AF52" i="9"/>
  <c r="AG52" i="9"/>
  <c r="AJ52" i="9"/>
  <c r="AK52" i="9"/>
  <c r="AL52" i="9"/>
  <c r="AM52" i="9"/>
  <c r="AO52" i="9"/>
  <c r="AP52" i="9"/>
  <c r="N53" i="9"/>
  <c r="T53" i="9"/>
  <c r="AE53" i="9"/>
  <c r="AF53" i="9"/>
  <c r="AG53" i="9"/>
  <c r="AJ53" i="9"/>
  <c r="AK53" i="9"/>
  <c r="AL53" i="9"/>
  <c r="AM53" i="9"/>
  <c r="AO53" i="9"/>
  <c r="AP53" i="9"/>
  <c r="N54" i="9"/>
  <c r="T54" i="9"/>
  <c r="AE54" i="9"/>
  <c r="AF54" i="9"/>
  <c r="AG54" i="9"/>
  <c r="AJ54" i="9"/>
  <c r="AK54" i="9"/>
  <c r="AL54" i="9"/>
  <c r="AM54" i="9"/>
  <c r="AO54" i="9"/>
  <c r="AP54" i="9"/>
  <c r="N55" i="9"/>
  <c r="T55" i="9"/>
  <c r="AE55" i="9"/>
  <c r="AF55" i="9"/>
  <c r="AG55" i="9"/>
  <c r="AJ55" i="9"/>
  <c r="AK55" i="9"/>
  <c r="AL55" i="9"/>
  <c r="AM55" i="9"/>
  <c r="AO55" i="9"/>
  <c r="AP55" i="9"/>
  <c r="N56" i="9"/>
  <c r="T56" i="9"/>
  <c r="AE56" i="9"/>
  <c r="AF56" i="9"/>
  <c r="AG56" i="9"/>
  <c r="AJ56" i="9"/>
  <c r="AK56" i="9"/>
  <c r="AL56" i="9"/>
  <c r="AM56" i="9"/>
  <c r="AO56" i="9"/>
  <c r="AP56" i="9"/>
  <c r="N57" i="9"/>
  <c r="T57" i="9"/>
  <c r="AE57" i="9"/>
  <c r="AF57" i="9"/>
  <c r="AG57" i="9"/>
  <c r="AJ57" i="9"/>
  <c r="AK57" i="9"/>
  <c r="AL57" i="9"/>
  <c r="AM57" i="9"/>
  <c r="AO57" i="9"/>
  <c r="AP57" i="9"/>
  <c r="N58" i="9"/>
  <c r="T58" i="9"/>
  <c r="AE58" i="9"/>
  <c r="AF58" i="9"/>
  <c r="AG58" i="9"/>
  <c r="AJ58" i="9"/>
  <c r="AK58" i="9"/>
  <c r="AL58" i="9"/>
  <c r="AM58" i="9"/>
  <c r="AO58" i="9"/>
  <c r="AP58" i="9"/>
  <c r="N59" i="9"/>
  <c r="T59" i="9"/>
  <c r="AE59" i="9"/>
  <c r="AF59" i="9"/>
  <c r="AG59" i="9"/>
  <c r="AJ59" i="9"/>
  <c r="AK59" i="9"/>
  <c r="AL59" i="9"/>
  <c r="AM59" i="9"/>
  <c r="AO59" i="9"/>
  <c r="AP59" i="9"/>
  <c r="N60" i="9"/>
  <c r="T60" i="9"/>
  <c r="AE60" i="9"/>
  <c r="AF60" i="9"/>
  <c r="AG60" i="9"/>
  <c r="AJ60" i="9"/>
  <c r="AK60" i="9"/>
  <c r="AL60" i="9"/>
  <c r="AM60" i="9"/>
  <c r="AO60" i="9"/>
  <c r="AP60" i="9"/>
  <c r="N61" i="9"/>
  <c r="T61" i="9"/>
  <c r="AE61" i="9"/>
  <c r="AF61" i="9"/>
  <c r="AG61" i="9"/>
  <c r="AJ61" i="9"/>
  <c r="AK61" i="9"/>
  <c r="AL61" i="9"/>
  <c r="AM61" i="9"/>
  <c r="AO61" i="9"/>
  <c r="AP61" i="9"/>
  <c r="N62" i="9"/>
  <c r="T62" i="9"/>
  <c r="AE62" i="9"/>
  <c r="AF62" i="9"/>
  <c r="AG62" i="9"/>
  <c r="AJ62" i="9"/>
  <c r="AK62" i="9"/>
  <c r="AL62" i="9"/>
  <c r="AM62" i="9"/>
  <c r="AO62" i="9"/>
  <c r="AP62" i="9"/>
  <c r="N64" i="9"/>
  <c r="T64" i="9"/>
  <c r="AE64" i="9"/>
  <c r="AF64" i="9"/>
  <c r="AG64" i="9"/>
  <c r="AJ64" i="9"/>
  <c r="AK64" i="9"/>
  <c r="AL64" i="9"/>
  <c r="AM64" i="9"/>
  <c r="AO64" i="9"/>
  <c r="AP64" i="9"/>
  <c r="AO66" i="9"/>
  <c r="AP66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77809858-EB68-47C0-BEBC-519060405659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116C49-EF87-4C3E-B30C-E9A1F783BBC8}" name="Conexão" type="7" refreshedVersion="7" background="1" saveData="1"/>
  <connection id="2" xr16:uid="{67A8D671-83E4-44E8-90B6-D37E7D2830EB}" name="Conexão1" type="7" refreshedVersion="7" background="1" saveData="1"/>
  <connection id="3" xr16:uid="{E531C53A-C7B6-4E5D-A4B1-016E0AF13C3F}" name="Conexão2" type="7" refreshedVersion="7" background="1" saveData="1"/>
</connections>
</file>

<file path=xl/sharedStrings.xml><?xml version="1.0" encoding="utf-8"?>
<sst xmlns="http://schemas.openxmlformats.org/spreadsheetml/2006/main" count="71836" uniqueCount="1477">
  <si>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</si>
  <si>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</si>
  <si>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</si>
  <si>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</si>
  <si>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</si>
  <si>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</si>
  <si>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</si>
  <si>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</si>
  <si>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</si>
  <si>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</si>
  <si>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</si>
  <si>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</si>
  <si>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</si>
  <si>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</si>
  <si>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</si>
  <si>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</si>
  <si>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</si>
  <si>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</si>
  <si>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</si>
  <si>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</si>
  <si>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</si>
  <si>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Regular</t>
  </si>
  <si>
    <t>B1</t>
  </si>
  <si>
    <t>Convencional</t>
  </si>
  <si>
    <t>Residencial</t>
  </si>
  <si>
    <t>Não se aplica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</si>
  <si>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</si>
  <si>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</si>
  <si>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</si>
  <si>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</si>
  <si>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</si>
  <si>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</si>
  <si>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</si>
  <si>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A4</t>
  </si>
  <si>
    <t>Verde</t>
  </si>
  <si>
    <t>Ponta</t>
  </si>
  <si>
    <t>Fora ponta</t>
  </si>
  <si>
    <t>Branca</t>
  </si>
  <si>
    <t>Intermediário</t>
  </si>
  <si>
    <t>B3</t>
  </si>
  <si>
    <t>Industrial</t>
  </si>
  <si>
    <t>A3</t>
  </si>
  <si>
    <t>Azul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</si>
  <si>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</si>
  <si>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</si>
  <si>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</si>
  <si>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</si>
  <si>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</si>
  <si>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</si>
  <si>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</si>
  <si>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</si>
  <si>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</si>
  <si>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</si>
  <si>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</si>
  <si>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</si>
  <si>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</si>
  <si>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</si>
  <si>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LIVRE</t>
  </si>
  <si>
    <t>APE</t>
  </si>
  <si>
    <t>LIVRE APE</t>
  </si>
  <si>
    <t>Fonte incentivada</t>
  </si>
  <si>
    <t>Distribuição</t>
  </si>
  <si>
    <t>Celpe</t>
  </si>
  <si>
    <t>DISTRIBUIÇÃO</t>
  </si>
  <si>
    <t>Geração</t>
  </si>
  <si>
    <t>Dupla contratação</t>
  </si>
  <si>
    <t>MARITUBA</t>
  </si>
  <si>
    <t>GERAÇÃO</t>
  </si>
  <si>
    <t>SERRA GRANDE</t>
  </si>
  <si>
    <t>JITITUBA SANTO ANTÔNIO</t>
  </si>
  <si>
    <t>CORURIPE</t>
  </si>
  <si>
    <t>BEN BIOENERGIA</t>
  </si>
  <si>
    <t>GUSTAVO PAIVA</t>
  </si>
  <si>
    <t>UTE BIOFLEX CAETÉ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</si>
  <si>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</si>
  <si>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</si>
  <si>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</si>
  <si>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</si>
  <si>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</si>
  <si>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</si>
  <si>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</si>
  <si>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</si>
  <si>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</si>
  <si>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</si>
  <si>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</si>
  <si>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</si>
  <si>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</si>
  <si>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</si>
  <si>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</si>
  <si>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</si>
  <si>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</si>
  <si>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</si>
  <si>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</si>
  <si>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</si>
  <si>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</si>
  <si>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</si>
  <si>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</si>
  <si>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Energia convencional</t>
  </si>
  <si>
    <t>B</t>
  </si>
  <si>
    <t>TIPO 01</t>
  </si>
  <si>
    <t>TIPO 02</t>
  </si>
  <si>
    <t>EINT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</si>
  <si>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</si>
  <si>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</si>
  <si>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</si>
  <si>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</si>
  <si>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</si>
  <si>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</si>
  <si>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44317A3AzulNão se aplicaNão se aplicaNão se aplicaNão se aplicaFora ponta</t>
  </si>
  <si>
    <t>44348A3AzulNão se aplicaNão se aplicaNão se aplicaNão se aplicaFora ponta</t>
  </si>
  <si>
    <t>44378A3AzulNão se aplicaNão se aplicaNão se aplicaNão se aplicaFora ponta</t>
  </si>
  <si>
    <t>44409A3AzulNão se aplicaNão se aplicaNão se aplicaNão se aplicaFora ponta</t>
  </si>
  <si>
    <t>44440A3AzulNão se aplicaNão se aplicaNão se aplicaNão se aplicaFora ponta</t>
  </si>
  <si>
    <t>44470A3AzulNão se aplicaNão se aplicaNão se aplicaNão se aplicaFora ponta</t>
  </si>
  <si>
    <t>44501A3AzulNão se aplicaNão se aplicaNão se aplicaNão se aplicaFora ponta</t>
  </si>
  <si>
    <t>44531A3AzulNão se aplicaNão se aplicaNão se aplicaNão se aplicaFora ponta</t>
  </si>
  <si>
    <t>44562A3AzulNão se aplicaNão se aplicaNão se aplicaNão se aplicaFora ponta</t>
  </si>
  <si>
    <t>44593A3AzulNão se aplicaNão se aplicaNão se aplicaNão se aplicaFora ponta</t>
  </si>
  <si>
    <t>44621A3AzulNão se aplicaNão se aplicaNão se aplicaNão se aplicaFora ponta</t>
  </si>
  <si>
    <t>44652A3AzulNão se aplicaNão se aplicaNão se aplicaNão se aplicaFora ponta</t>
  </si>
  <si>
    <t>44317A3AzulNão se aplicaNão se aplicaNão se aplicaNão se aplicaNão se aplica</t>
  </si>
  <si>
    <t>44348A3AzulNão se aplicaNão se aplicaNão se aplicaNão se aplicaNão se aplica</t>
  </si>
  <si>
    <t>44378A3AzulNão se aplicaNão se aplicaNão se aplicaNão se aplicaNão se aplica</t>
  </si>
  <si>
    <t>44409A3AzulNão se aplicaNão se aplicaNão se aplicaNão se aplicaNão se aplica</t>
  </si>
  <si>
    <t>44440A3AzulNão se aplicaNão se aplicaNão se aplicaNão se aplicaNão se aplica</t>
  </si>
  <si>
    <t>44470A3AzulNão se aplicaNão se aplicaNão se aplicaNão se aplicaNão se aplica</t>
  </si>
  <si>
    <t>44501A3AzulNão se aplicaNão se aplicaNão se aplicaNão se aplicaNão se aplica</t>
  </si>
  <si>
    <t>44531A3AzulNão se aplicaNão se aplicaNão se aplicaNão se aplicaNão se aplica</t>
  </si>
  <si>
    <t>44562A3AzulNão se aplicaNão se aplicaNão se aplicaNão se aplicaNão se aplica</t>
  </si>
  <si>
    <t>44593A3AzulNão se aplicaNão se aplicaNão se aplicaNão se aplicaNão se aplica</t>
  </si>
  <si>
    <t>44621A3AzulNão se aplicaNão se aplicaNão se aplicaNão se aplicaNão se aplica</t>
  </si>
  <si>
    <t>44652A3AzulNão se aplicaNão se aplicaNão se aplicaNão se aplicaNão se aplica</t>
  </si>
  <si>
    <t>44317A3AzulNão se aplicaNão se aplicaNão se aplicaNão se aplicaPonta</t>
  </si>
  <si>
    <t>44348A3AzulNão se aplicaNão se aplicaNão se aplicaNão se aplicaPonta</t>
  </si>
  <si>
    <t>44378A3AzulNão se aplicaNão se aplicaNão se aplicaNão se aplicaPonta</t>
  </si>
  <si>
    <t>44409A3AzulNão se aplicaNão se aplicaNão se aplicaNão se aplicaPonta</t>
  </si>
  <si>
    <t>44440A3AzulNão se aplicaNão se aplicaNão se aplicaNão se aplicaPonta</t>
  </si>
  <si>
    <t>44470A3AzulNão se aplicaNão se aplicaNão se aplicaNão se aplicaPonta</t>
  </si>
  <si>
    <t>44501A3AzulNão se aplicaNão se aplicaNão se aplicaNão se aplicaPonta</t>
  </si>
  <si>
    <t>44531A3AzulNão se aplicaNão se aplicaNão se aplicaNão se aplicaPonta</t>
  </si>
  <si>
    <t>44562A3AzulNão se aplicaNão se aplicaNão se aplicaNão se aplicaPonta</t>
  </si>
  <si>
    <t>44593A3AzulNão se aplicaNão se aplicaNão se aplicaNão se aplicaPonta</t>
  </si>
  <si>
    <t>44621A3AzulNão se aplicaNão se aplicaNão se aplicaNão se aplicaPonta</t>
  </si>
  <si>
    <t>44652A3AzulNão se aplicaNão se aplicaNão se aplicaNão se aplicaPonta</t>
  </si>
  <si>
    <t>44317A3AzulNão se aplicaNão se aplicaAPENão se aplicaNão se aplica</t>
  </si>
  <si>
    <t>44348A3AzulNão se aplicaNão se aplicaAPENão se aplicaNão se aplica</t>
  </si>
  <si>
    <t>44378A3AzulNão se aplicaNão se aplicaAPENão se aplicaNão se aplica</t>
  </si>
  <si>
    <t>44409A3AzulNão se aplicaNão se aplicaAPENão se aplicaNão se aplica</t>
  </si>
  <si>
    <t>44440A3AzulNão se aplicaNão se aplicaAPENão se aplicaNão se aplica</t>
  </si>
  <si>
    <t>44470A3AzulNão se aplicaNão se aplicaAPENão se aplicaNão se aplica</t>
  </si>
  <si>
    <t>44501A3AzulNão se aplicaNão se aplicaAPENão se aplicaNão se aplica</t>
  </si>
  <si>
    <t>44531A3AzulNão se aplicaNão se aplicaAPENão se aplicaNão se aplica</t>
  </si>
  <si>
    <t>44562A3AzulNão se aplicaNão se aplicaAPENão se aplicaNão se aplica</t>
  </si>
  <si>
    <t>44593A3AzulNão se aplicaNão se aplicaAPENão se aplicaNão se aplica</t>
  </si>
  <si>
    <t>44621A3AzulNão se aplicaNão se aplicaAPENão se aplicaNão se aplica</t>
  </si>
  <si>
    <t>44652A3AzulNão se aplicaNão se aplicaAPENão se aplicaNão se aplica</t>
  </si>
  <si>
    <t>44317A3DistribuiçãoNão se aplicaNão se aplicaNão se aplicaCelpeFora ponta</t>
  </si>
  <si>
    <t>44348A3DistribuiçãoNão se aplicaNão se aplicaNão se aplicaCelpeFora ponta</t>
  </si>
  <si>
    <t>44378A3DistribuiçãoNão se aplicaNão se aplicaNão se aplicaCelpeFora ponta</t>
  </si>
  <si>
    <t>44409A3DistribuiçãoNão se aplicaNão se aplicaNão se aplicaCelpeFora ponta</t>
  </si>
  <si>
    <t>44440A3DistribuiçãoNão se aplicaNão se aplicaNão se aplicaCelpeFora ponta</t>
  </si>
  <si>
    <t>44470A3DistribuiçãoNão se aplicaNão se aplicaNão se aplicaCelpeFora ponta</t>
  </si>
  <si>
    <t>44501A3DistribuiçãoNão se aplicaNão se aplicaNão se aplicaCelpeFora ponta</t>
  </si>
  <si>
    <t>44531A3DistribuiçãoNão se aplicaNão se aplicaNão se aplicaCelpeFora ponta</t>
  </si>
  <si>
    <t>44562A3DistribuiçãoNão se aplicaNão se aplicaNão se aplicaCelpeFora ponta</t>
  </si>
  <si>
    <t>44593A3DistribuiçãoNão se aplicaNão se aplicaNão se aplicaCelpeFora ponta</t>
  </si>
  <si>
    <t>44621A3DistribuiçãoNão se aplicaNão se aplicaNão se aplicaCelpeFora ponta</t>
  </si>
  <si>
    <t>44652A3DistribuiçãoNão se aplicaNão se aplicaNão se aplicaCelpeFora ponta</t>
  </si>
  <si>
    <t>44317A3DistribuiçãoNão se aplicaNão se aplicaNão se aplicaCelpeNão se aplica</t>
  </si>
  <si>
    <t>44348A3DistribuiçãoNão se aplicaNão se aplicaNão se aplicaCelpeNão se aplica</t>
  </si>
  <si>
    <t>44378A3DistribuiçãoNão se aplicaNão se aplicaNão se aplicaCelpeNão se aplica</t>
  </si>
  <si>
    <t>44409A3DistribuiçãoNão se aplicaNão se aplicaNão se aplicaCelpeNão se aplica</t>
  </si>
  <si>
    <t>44440A3DistribuiçãoNão se aplicaNão se aplicaNão se aplicaCelpeNão se aplica</t>
  </si>
  <si>
    <t>44470A3DistribuiçãoNão se aplicaNão se aplicaNão se aplicaCelpeNão se aplica</t>
  </si>
  <si>
    <t>44501A3DistribuiçãoNão se aplicaNão se aplicaNão se aplicaCelpeNão se aplica</t>
  </si>
  <si>
    <t>44531A3DistribuiçãoNão se aplicaNão se aplicaNão se aplicaCelpeNão se aplica</t>
  </si>
  <si>
    <t>44562A3DistribuiçãoNão se aplicaNão se aplicaNão se aplicaCelpeNão se aplica</t>
  </si>
  <si>
    <t>44593A3DistribuiçãoNão se aplicaNão se aplicaNão se aplicaCelpeNão se aplica</t>
  </si>
  <si>
    <t>44621A3DistribuiçãoNão se aplicaNão se aplicaNão se aplicaCelpeNão se aplica</t>
  </si>
  <si>
    <t>44652A3DistribuiçãoNão se aplicaNão se aplicaNão se aplicaCelpeNão se aplica</t>
  </si>
  <si>
    <t>44317A3DistribuiçãoNão se aplicaNão se aplicaNão se aplicaCelpePonta</t>
  </si>
  <si>
    <t>44348A3DistribuiçãoNão se aplicaNão se aplicaNão se aplicaCelpePonta</t>
  </si>
  <si>
    <t>44378A3DistribuiçãoNão se aplicaNão se aplicaNão se aplicaCelpePonta</t>
  </si>
  <si>
    <t>44409A3DistribuiçãoNão se aplicaNão se aplicaNão se aplicaCelpePonta</t>
  </si>
  <si>
    <t>44440A3DistribuiçãoNão se aplicaNão se aplicaNão se aplicaCelpePonta</t>
  </si>
  <si>
    <t>44470A3DistribuiçãoNão se aplicaNão se aplicaNão se aplicaCelpePonta</t>
  </si>
  <si>
    <t>44501A3DistribuiçãoNão se aplicaNão se aplicaNão se aplicaCelpePonta</t>
  </si>
  <si>
    <t>44531A3DistribuiçãoNão se aplicaNão se aplicaNão se aplicaCelpePonta</t>
  </si>
  <si>
    <t>44562A3DistribuiçãoNão se aplicaNão se aplicaNão se aplicaCelpePonta</t>
  </si>
  <si>
    <t>44593A3DistribuiçãoNão se aplicaNão se aplicaNão se aplicaCelpePonta</t>
  </si>
  <si>
    <t>44621A3DistribuiçãoNão se aplicaNão se aplicaNão se aplicaCelpePonta</t>
  </si>
  <si>
    <t>44652A3DistribuiçãoNão se aplicaNão se aplicaNão se aplicaCelpePonta</t>
  </si>
  <si>
    <t>44317A3GeraçãoNão se aplicaNão se aplicaNão se aplicaNão se aplicaNão se aplica</t>
  </si>
  <si>
    <t>44348A3GeraçãoNão se aplicaNão se aplicaNão se aplicaNão se aplicaNão se aplica</t>
  </si>
  <si>
    <t>44378A3GeraçãoNão se aplicaNão se aplicaNão se aplicaNão se aplicaNão se aplica</t>
  </si>
  <si>
    <t>44409A3GeraçãoNão se aplicaNão se aplicaNão se aplicaNão se aplicaNão se aplica</t>
  </si>
  <si>
    <t>44440A3GeraçãoNão se aplicaNão se aplicaNão se aplicaNão se aplicaNão se aplica</t>
  </si>
  <si>
    <t>44470A3GeraçãoNão se aplicaNão se aplicaNão se aplicaNão se aplicaNão se aplica</t>
  </si>
  <si>
    <t>44501A3GeraçãoNão se aplicaNão se aplicaNão se aplicaNão se aplicaNão se aplica</t>
  </si>
  <si>
    <t>44531A3GeraçãoNão se aplicaNão se aplicaNão se aplicaNão se aplicaNão se aplica</t>
  </si>
  <si>
    <t>44562A3GeraçãoNão se aplicaNão se aplicaNão se aplicaNão se aplicaNão se aplica</t>
  </si>
  <si>
    <t>44593A3GeraçãoNão se aplicaNão se aplicaNão se aplicaNão se aplicaNão se aplica</t>
  </si>
  <si>
    <t>44621A3GeraçãoNão se aplicaNão se aplicaNão se aplicaNão se aplicaNão se aplica</t>
  </si>
  <si>
    <t>44652A3GeraçãoNão se aplicaNão se aplicaNão se aplicaNão se aplicaNão se aplica</t>
  </si>
  <si>
    <t>44317A4AzulNão se aplicaNão se aplicaNão se aplicaNão se aplicaFora ponta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</si>
  <si>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</si>
  <si>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</si>
  <si>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</si>
  <si>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</si>
  <si>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</si>
  <si>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44501A4AzulNão se aplicaNão se aplicaNão se aplicaNão se aplicaFora ponta</t>
  </si>
  <si>
    <t>44531A4AzulNão se aplicaNão se aplicaNão se aplicaNão se aplicaFora ponta</t>
  </si>
  <si>
    <t>44562A4AzulNão se aplicaNão se aplicaNão se aplicaNão se aplicaFora ponta</t>
  </si>
  <si>
    <t>44593A4AzulNão se aplicaNão se aplicaNão se aplicaNão se aplicaFora ponta</t>
  </si>
  <si>
    <t>44621A4AzulNão se aplicaNão se aplicaNão se aplicaNão se aplicaFora ponta</t>
  </si>
  <si>
    <t>44652A4AzulNão se aplicaNão se aplicaNão se aplicaNão se aplicaFora ponta</t>
  </si>
  <si>
    <t>44317A4AzulNão se aplicaNão se aplicaNão se aplicaNão se aplicaPonta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</si>
  <si>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</si>
  <si>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</si>
  <si>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</si>
  <si>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</si>
  <si>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</si>
  <si>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44501A4AzulNão se aplicaNão se aplicaNão se aplicaNão se aplicaPonta</t>
  </si>
  <si>
    <t>44531A4AzulNão se aplicaNão se aplicaNão se aplicaNão se aplicaPonta</t>
  </si>
  <si>
    <t>44562A4AzulNão se aplicaNão se aplicaNão se aplicaNão se aplicaPonta</t>
  </si>
  <si>
    <t>44593A4AzulNão se aplicaNão se aplicaNão se aplicaNão se aplicaPonta</t>
  </si>
  <si>
    <t>44621A4AzulNão se aplicaNão se aplicaNão se aplicaNão se aplicaPonta</t>
  </si>
  <si>
    <t>44652A4AzulNão se aplicaNão se aplicaNão se aplicaNão se aplicaPonta</t>
  </si>
  <si>
    <t>44317A4AzulNão se aplicaNão se aplicaNão se aplicaNão se aplicaNão se aplica</t>
  </si>
  <si>
    <t>44348A4AzulNão se aplicaNão se aplicaNão se aplicaNão se aplicaNão se aplica</t>
  </si>
  <si>
    <t>44378A4AzulNão se aplicaNão se aplicaNão se aplicaNão se aplicaNão se aplica</t>
  </si>
  <si>
    <t>44409A4AzulNão se aplicaNão se aplicaNão se aplicaNão se aplicaNão se aplica</t>
  </si>
  <si>
    <t>44440A4AzulNão se aplicaNão se aplicaNão se aplicaNão se aplicaNão se aplica</t>
  </si>
  <si>
    <t>44470A4AzulNão se aplicaNão se aplicaNão se aplicaNão se aplicaNão se aplica</t>
  </si>
  <si>
    <t>44501A4AzulNão se aplicaNão se aplicaNão se aplicaNão se aplicaNão se aplica</t>
  </si>
  <si>
    <t>44531A4AzulNão se aplicaNão se aplicaNão se aplicaNão se aplicaNão se aplica</t>
  </si>
  <si>
    <t>44562A4AzulNão se aplicaNão se aplicaNão se aplicaNão se aplicaNão se aplica</t>
  </si>
  <si>
    <t>44593A4AzulNão se aplicaNão se aplicaNão se aplicaNão se aplicaNão se aplica</t>
  </si>
  <si>
    <t>44621A4AzulNão se aplicaNão se aplicaNão se aplicaNão se aplicaNão se aplica</t>
  </si>
  <si>
    <t>44652A4AzulNão se aplicaNão se aplicaNão se aplicaNão se aplicaNão se aplica</t>
  </si>
  <si>
    <t>44317A4DistribuiçãoNão se aplicaNão se aplicaNão se aplicaCelpeFora ponta</t>
  </si>
  <si>
    <t>44348A4DistribuiçãoNão se aplicaNão se aplicaNão se aplicaCelpeFora ponta</t>
  </si>
  <si>
    <t>44378A4DistribuiçãoNão se aplicaNão se aplicaNão se aplicaCelpeFora ponta</t>
  </si>
  <si>
    <t>44409A4DistribuiçãoNão se aplicaNão se aplicaNão se aplicaCelpeFora ponta</t>
  </si>
  <si>
    <t>44440A4DistribuiçãoNão se aplicaNão se aplicaNão se aplicaCelpeFora ponta</t>
  </si>
  <si>
    <t>44470A4DistribuiçãoNão se aplicaNão se aplicaNão se aplicaCelpeFora ponta</t>
  </si>
  <si>
    <t>44501A4DistribuiçãoNão se aplicaNão se aplicaNão se aplicaCelpeFora ponta</t>
  </si>
  <si>
    <t>44531A4DistribuiçãoNão se aplicaNão se aplicaNão se aplicaCelpeFora ponta</t>
  </si>
  <si>
    <t>44562A4DistribuiçãoNão se aplicaNão se aplicaNão se aplicaCelpeFora ponta</t>
  </si>
  <si>
    <t>44593A4DistribuiçãoNão se aplicaNão se aplicaNão se aplicaCelpeFora ponta</t>
  </si>
  <si>
    <t>44621A4DistribuiçãoNão se aplicaNão se aplicaNão se aplicaCelpeFora ponta</t>
  </si>
  <si>
    <t>44652A4DistribuiçãoNão se aplicaNão se aplicaNão se aplicaCelpeFora ponta</t>
  </si>
  <si>
    <t>44317A4DistribuiçãoNão se aplicaNão se aplicaNão se aplicaCelpeNão se aplica</t>
  </si>
  <si>
    <t>44348A4DistribuiçãoNão se aplicaNão se aplicaNão se aplicaCelpeNão se aplica</t>
  </si>
  <si>
    <t>44378A4DistribuiçãoNão se aplicaNão se aplicaNão se aplicaCelpeNão se aplica</t>
  </si>
  <si>
    <t>44409A4DistribuiçãoNão se aplicaNão se aplicaNão se aplicaCelpeNão se aplica</t>
  </si>
  <si>
    <t>44440A4DistribuiçãoNão se aplicaNão se aplicaNão se aplicaCelpeNão se aplica</t>
  </si>
  <si>
    <t>44470A4DistribuiçãoNão se aplicaNão se aplicaNão se aplicaCelpeNão se aplica</t>
  </si>
  <si>
    <t>44501A4DistribuiçãoNão se aplicaNão se aplicaNão se aplicaCelpeNão se aplica</t>
  </si>
  <si>
    <t>44531A4DistribuiçãoNão se aplicaNão se aplicaNão se aplicaCelpeNão se aplica</t>
  </si>
  <si>
    <t>44562A4DistribuiçãoNão se aplicaNão se aplicaNão se aplicaCelpeNão se aplica</t>
  </si>
  <si>
    <t>44593A4DistribuiçãoNão se aplicaNão se aplicaNão se aplicaCelpeNão se aplica</t>
  </si>
  <si>
    <t>44621A4DistribuiçãoNão se aplicaNão se aplicaNão se aplicaCelpeNão se aplica</t>
  </si>
  <si>
    <t>44652A4DistribuiçãoNão se aplicaNão se aplicaNão se aplicaCelpeNão se aplica</t>
  </si>
  <si>
    <t>44317A4DistribuiçãoNão se aplicaNão se aplicaNão se aplicaCelpePonta</t>
  </si>
  <si>
    <t>44348A4DistribuiçãoNão se aplicaNão se aplicaNão se aplicaCelpePonta</t>
  </si>
  <si>
    <t>44378A4DistribuiçãoNão se aplicaNão se aplicaNão se aplicaCelpePonta</t>
  </si>
  <si>
    <t>44409A4DistribuiçãoNão se aplicaNão se aplicaNão se aplicaCelpePonta</t>
  </si>
  <si>
    <t>44440A4DistribuiçãoNão se aplicaNão se aplicaNão se aplicaCelpePonta</t>
  </si>
  <si>
    <t>44470A4DistribuiçãoNão se aplicaNão se aplicaNão se aplicaCelpePonta</t>
  </si>
  <si>
    <t>44501A4DistribuiçãoNão se aplicaNão se aplicaNão se aplicaCelpePonta</t>
  </si>
  <si>
    <t>44531A4DistribuiçãoNão se aplicaNão se aplicaNão se aplicaCelpePonta</t>
  </si>
  <si>
    <t>44562A4DistribuiçãoNão se aplicaNão se aplicaNão se aplicaCelpePonta</t>
  </si>
  <si>
    <t>44593A4DistribuiçãoNão se aplicaNão se aplicaNão se aplicaCelpePonta</t>
  </si>
  <si>
    <t>44621A4DistribuiçãoNão se aplicaNão se aplicaNão se aplicaCelpePonta</t>
  </si>
  <si>
    <t>44652A4DistribuiçãoNão se aplicaNão se aplicaNão se aplicaCelpePonta</t>
  </si>
  <si>
    <t>44317A4GeraçãoNão se aplicaNão se aplicaNão se aplicaNão se aplicaNão se aplica</t>
  </si>
  <si>
    <t>44348A4GeraçãoNão se aplicaNão se aplicaNão se aplicaNão se aplicaNão se aplica</t>
  </si>
  <si>
    <t>44378A4GeraçãoNão se aplicaNão se aplicaNão se aplicaNão se aplicaNão se aplica</t>
  </si>
  <si>
    <t>44409A4GeraçãoNão se aplicaNão se aplicaNão se aplicaNão se aplicaNão se aplica</t>
  </si>
  <si>
    <t>44440A4GeraçãoNão se aplicaNão se aplicaNão se aplicaNão se aplicaNão se aplica</t>
  </si>
  <si>
    <t>44470A4GeraçãoNão se aplicaNão se aplicaNão se aplicaNão se aplicaNão se aplica</t>
  </si>
  <si>
    <t>44501A4GeraçãoNão se aplicaNão se aplicaNão se aplicaNão se aplicaNão se aplica</t>
  </si>
  <si>
    <t>44531A4GeraçãoNão se aplicaNão se aplicaNão se aplicaNão se aplicaNão se aplica</t>
  </si>
  <si>
    <t>44562A4GeraçãoNão se aplicaNão se aplicaNão se aplicaNão se aplicaNão se aplica</t>
  </si>
  <si>
    <t>44593A4GeraçãoNão se aplicaNão se aplicaNão se aplicaNão se aplicaNão se aplica</t>
  </si>
  <si>
    <t>44621A4GeraçãoNão se aplicaNão se aplicaNão se aplicaNão se aplicaNão se aplica</t>
  </si>
  <si>
    <t>44652A4GeraçãoNão se aplicaNão se aplicaNão se aplicaNão se aplicaNão se aplica</t>
  </si>
  <si>
    <t>44317A4VerdeNão se aplicaNão se aplicaNão se aplicaNão se aplicaFora ponta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</si>
  <si>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</si>
  <si>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</si>
  <si>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</si>
  <si>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</si>
  <si>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</si>
  <si>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44501A4VerdeNão se aplicaNão se aplicaNão se aplicaNão se aplicaFora ponta</t>
  </si>
  <si>
    <t>44531A4VerdeNão se aplicaNão se aplicaNão se aplicaNão se aplicaFora ponta</t>
  </si>
  <si>
    <t>44562A4VerdeNão se aplicaNão se aplicaNão se aplicaNão se aplicaFora ponta</t>
  </si>
  <si>
    <t>44593A4VerdeNão se aplicaNão se aplicaNão se aplicaNão se aplicaFora ponta</t>
  </si>
  <si>
    <t>44621A4VerdeNão se aplicaNão se aplicaNão se aplicaNão se aplicaFora ponta</t>
  </si>
  <si>
    <t>44652A4VerdeNão se aplicaNão se aplicaNão se aplicaNão se aplicaFora ponta</t>
  </si>
  <si>
    <t>44317A4VerdeNão se aplicaNão se aplicaNão se aplicaNão se aplicaNão se aplica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</si>
  <si>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</si>
  <si>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</si>
  <si>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</si>
  <si>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</si>
  <si>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</si>
  <si>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44501A4VerdeNão se aplicaNão se aplicaNão se aplicaNão se aplicaNão se aplica</t>
  </si>
  <si>
    <t>44531A4VerdeNão se aplicaNão se aplicaNão se aplicaNão se aplicaNão se aplica</t>
  </si>
  <si>
    <t>44562A4VerdeNão se aplicaNão se aplicaNão se aplicaNão se aplicaNão se aplica</t>
  </si>
  <si>
    <t>44593A4VerdeNão se aplicaNão se aplicaNão se aplicaNão se aplicaNão se aplica</t>
  </si>
  <si>
    <t>44621A4VerdeNão se aplicaNão se aplicaNão se aplicaNão se aplicaNão se aplica</t>
  </si>
  <si>
    <t>44652A4VerdeNão se aplicaNão se aplicaNão se aplicaNão se aplicaNão se aplica</t>
  </si>
  <si>
    <t>44317A4VerdeNão se aplicaNão se aplicaNão se aplicaNão se aplicaPonta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</si>
  <si>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</si>
  <si>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</si>
  <si>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</si>
  <si>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</si>
  <si>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</si>
  <si>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44501A4VerdeNão se aplicaNão se aplicaNão se aplicaNão se aplicaPonta</t>
  </si>
  <si>
    <t>44531A4VerdeNão se aplicaNão se aplicaNão se aplicaNão se aplicaPonta</t>
  </si>
  <si>
    <t>44562A4VerdeNão se aplicaNão se aplicaNão se aplicaNão se aplicaPonta</t>
  </si>
  <si>
    <t>44593A4VerdeNão se aplicaNão se aplicaNão se aplicaNão se aplicaPonta</t>
  </si>
  <si>
    <t>44621A4VerdeNão se aplicaNão se aplicaNão se aplicaNão se aplicaPonta</t>
  </si>
  <si>
    <t>44652A4VerdeNão se aplicaNão se aplicaNão se aplicaNão se aplicaPonta</t>
  </si>
  <si>
    <t>44317B1BrancaResidencialResidencialNão se aplicaNão se aplicaFora 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</si>
  <si>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</si>
  <si>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</si>
  <si>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</si>
  <si>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</si>
  <si>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</si>
  <si>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44501B1BrancaResidencialResidencialNão se aplicaNão se aplicaFora ponta</t>
  </si>
  <si>
    <t>44531B1BrancaResidencialResidencialNão se aplicaNão se aplicaFora ponta</t>
  </si>
  <si>
    <t>44562B1BrancaResidencialResidencialNão se aplicaNão se aplicaFora ponta</t>
  </si>
  <si>
    <t>44593B1BrancaResidencialResidencialNão se aplicaNão se aplicaFora ponta</t>
  </si>
  <si>
    <t>44621B1BrancaResidencialResidencialNão se aplicaNão se aplicaFora ponta</t>
  </si>
  <si>
    <t>44652B1BrancaResidencialResidencialNão se aplicaNão se aplicaFora ponta</t>
  </si>
  <si>
    <t>44317B1BrancaResidencialResidencialNão se aplicaNão se aplicaIntermediário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</si>
  <si>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</si>
  <si>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</si>
  <si>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</si>
  <si>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</si>
  <si>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</si>
  <si>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44501B1BrancaResidencialResidencialNão se aplicaNão se aplicaIntermediário</t>
  </si>
  <si>
    <t>44531B1BrancaResidencialResidencialNão se aplicaNão se aplicaIntermediário</t>
  </si>
  <si>
    <t>44562B1BrancaResidencialResidencialNão se aplicaNão se aplicaIntermediário</t>
  </si>
  <si>
    <t>44593B1BrancaResidencialResidencialNão se aplicaNão se aplicaIntermediário</t>
  </si>
  <si>
    <t>44621B1BrancaResidencialResidencialNão se aplicaNão se aplicaIntermediário</t>
  </si>
  <si>
    <t>44652B1BrancaResidencialResidencialNão se aplicaNão se aplicaIntermediário</t>
  </si>
  <si>
    <t>44317B1BrancaResidencialResidencialNão se aplicaNão se aplicaPonta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</si>
  <si>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</si>
  <si>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</si>
  <si>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</si>
  <si>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</si>
  <si>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</si>
  <si>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44501B1BrancaResidencialResidencialNão se aplicaNão se aplicaPonta</t>
  </si>
  <si>
    <t>44531B1BrancaResidencialResidencialNão se aplicaNão se aplicaPonta</t>
  </si>
  <si>
    <t>44562B1BrancaResidencialResidencialNão se aplicaNão se aplicaPonta</t>
  </si>
  <si>
    <t>44593B1BrancaResidencialResidencialNão se aplicaNão se aplicaPonta</t>
  </si>
  <si>
    <t>44621B1BrancaResidencialResidencialNão se aplicaNão se aplicaPonta</t>
  </si>
  <si>
    <t>44652B1BrancaResidencialResidencialNão se aplicaNão se aplicaPonta</t>
  </si>
  <si>
    <t>44317B1ConvencionalResidencialResidencialNão se aplicaNão se aplicaNão se aplica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</si>
  <si>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</si>
  <si>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</si>
  <si>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</si>
  <si>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</si>
  <si>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</si>
  <si>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44501B1ConvencionalResidencialResidencialNão se aplicaNão se aplicaNão se aplica</t>
  </si>
  <si>
    <t>44531B1ConvencionalResidencialResidencialNão se aplicaNão se aplicaNão se aplica</t>
  </si>
  <si>
    <t>44562B1ConvencionalResidencialResidencialNão se aplicaNão se aplicaNão se aplica</t>
  </si>
  <si>
    <t>44593B1ConvencionalResidencialResidencialNão se aplicaNão se aplicaNão se aplica</t>
  </si>
  <si>
    <t>44621B1ConvencionalResidencialResidencialNão se aplicaNão se aplicaNão se aplica</t>
  </si>
  <si>
    <t>44652B1ConvencionalResidencialResidencialNão se aplicaNão se aplicaNão se aplica</t>
  </si>
  <si>
    <t>44317B1ConvencionalResidencialResidencial baixa renda – faixa 01Não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</si>
  <si>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</si>
  <si>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</si>
  <si>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</si>
  <si>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</si>
  <si>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</si>
  <si>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44501B1ConvencionalResidencialResidencial baixa renda – faixa 01Não se aplicaNão se aplicaNão se aplica</t>
  </si>
  <si>
    <t>44531B1ConvencionalResidencialResidencial baixa renda – faixa 01Não se aplicaNão se aplicaNão se aplica</t>
  </si>
  <si>
    <t>44562B1ConvencionalResidencialResidencial baixa renda – faixa 01Não se aplicaNão se aplicaNão se aplica</t>
  </si>
  <si>
    <t>44593B1ConvencionalResidencialResidencial baixa renda – faixa 01Não se aplicaNão se aplicaNão se aplica</t>
  </si>
  <si>
    <t>44621B1ConvencionalResidencialResidencial baixa renda – faixa 01Não se aplicaNão se aplicaNão se aplica</t>
  </si>
  <si>
    <t>44652B1ConvencionalResidencialResidencial baixa renda – faixa 01Não se aplicaNão se aplicaNão se aplica</t>
  </si>
  <si>
    <t>44317B1ConvencionalResidencialResidencial baixa renda – faixa 02Não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</si>
  <si>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</si>
  <si>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</si>
  <si>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</si>
  <si>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</si>
  <si>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</si>
  <si>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44501B1ConvencionalResidencialResidencial baixa renda – faixa 02Não se aplicaNão se aplicaNão se aplica</t>
  </si>
  <si>
    <t>44531B1ConvencionalResidencialResidencial baixa renda – faixa 02Não se aplicaNão se aplicaNão se aplica</t>
  </si>
  <si>
    <t>44562B1ConvencionalResidencialResidencial baixa renda – faixa 02Não se aplicaNão se aplicaNão se aplica</t>
  </si>
  <si>
    <t>44593B1ConvencionalResidencialResidencial baixa renda – faixa 02Não se aplicaNão se aplicaNão se aplica</t>
  </si>
  <si>
    <t>44621B1ConvencionalResidencialResidencial baixa renda – faixa 02Não se aplicaNão se aplicaNão se aplica</t>
  </si>
  <si>
    <t>44652B1ConvencionalResidencialResidencial baixa renda – faixa 02Não se aplicaNão se aplicaNão se aplica</t>
  </si>
  <si>
    <t>44317B1ConvencionalResidencialResidencial baixa renda – faixa 03Não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</si>
  <si>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</si>
  <si>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</si>
  <si>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</si>
  <si>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</si>
  <si>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</si>
  <si>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44501B1ConvencionalResidencialResidencial baixa renda – faixa 03Não se aplicaNão se aplicaNão se aplica</t>
  </si>
  <si>
    <t>44531B1ConvencionalResidencialResidencial baixa renda – faixa 03Não se aplicaNão se aplicaNão se aplica</t>
  </si>
  <si>
    <t>44562B1ConvencionalResidencialResidencial baixa renda – faixa 03Não se aplicaNão se aplicaNão se aplica</t>
  </si>
  <si>
    <t>44593B1ConvencionalResidencialResidencial baixa renda – faixa 03Não se aplicaNão se aplicaNão se aplica</t>
  </si>
  <si>
    <t>44621B1ConvencionalResidencialResidencial baixa renda – faixa 03Não se aplicaNão se aplicaNão se aplica</t>
  </si>
  <si>
    <t>44652B1ConvencionalResidencialResidencial baixa renda – faixa 03Não se aplicaNão se aplicaNão se aplica</t>
  </si>
  <si>
    <t>44317B1ConvencionalResidencialResidencial baixa renda – faixa 04Não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</si>
  <si>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</si>
  <si>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</si>
  <si>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</si>
  <si>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</si>
  <si>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</si>
  <si>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44501B1ConvencionalResidencialResidencial baixa renda – faixa 04Não se aplicaNão se aplicaNão se aplica</t>
  </si>
  <si>
    <t>44531B1ConvencionalResidencialResidencial baixa renda – faixa 04Não se aplicaNão se aplicaNão se aplica</t>
  </si>
  <si>
    <t>44562B1ConvencionalResidencialResidencial baixa renda – faixa 04Não se aplicaNão se aplicaNão se aplica</t>
  </si>
  <si>
    <t>44593B1ConvencionalResidencialResidencial baixa renda – faixa 04Não se aplicaNão se aplicaNão se aplica</t>
  </si>
  <si>
    <t>44621B1ConvencionalResidencialResidencial baixa renda – faixa 04Não se aplicaNão se aplicaNão se aplica</t>
  </si>
  <si>
    <t>44652B1ConvencionalResidencialResidencial baixa renda – faixa 04Não se aplicaNão se aplicaNão se aplica</t>
  </si>
  <si>
    <t>44317B2BrancaRuralNão se aplicaNão se aplicaNão se aplicaFora ponta</t>
  </si>
  <si>
    <t>44348B2BrancaRuralNão se aplicaNão se aplicaNão se aplicaFora ponta</t>
  </si>
  <si>
    <t>44378B2BrancaRuralNão se aplicaNão se aplicaNão se aplicaFora ponta</t>
  </si>
  <si>
    <t>44409B2BrancaRuralNão se aplicaNão se aplicaNão se aplicaFora ponta</t>
  </si>
  <si>
    <t>44470B2BrancaRuralNão se aplicaNão se aplicaNão se aplicaFora ponta</t>
  </si>
  <si>
    <t>44501B2BrancaRuralNão se aplicaNão se aplicaNão se aplicaFora ponta</t>
  </si>
  <si>
    <t>44531B2BrancaRuralNão se aplicaNão se aplicaNão se aplicaFora ponta</t>
  </si>
  <si>
    <t>44562B2BrancaRuralNão se aplicaNão se aplicaNão se aplicaFora ponta</t>
  </si>
  <si>
    <t>44593B2BrancaRuralNão se aplicaNão se aplicaNão se aplicaFora ponta</t>
  </si>
  <si>
    <t>44621B2BrancaRuralNão se aplicaNão se aplicaNão se aplicaFora ponta</t>
  </si>
  <si>
    <t>44652B2BrancaRuralNão se aplicaNão se aplicaNão se aplicaFora ponta</t>
  </si>
  <si>
    <t>44317B2BrancaRuralNão se aplicaNão se aplicaNão se aplicaIntermediário</t>
  </si>
  <si>
    <t>44470B2BrancaRuralNão se aplicaNão se aplicaNão se aplicaIntermediário</t>
  </si>
  <si>
    <t>44501B2BrancaRuralNão se aplicaNão se aplicaNão se aplicaIntermediário</t>
  </si>
  <si>
    <t>44531B2BrancaRuralNão se aplicaNão se aplicaNão se aplicaIntermediário</t>
  </si>
  <si>
    <t>44621B2BrancaRuralNão se aplicaNão se aplicaNão se aplicaIntermediário</t>
  </si>
  <si>
    <t>44652B2BrancaRuralNão se aplicaNão se aplicaNão se aplicaIntermediário</t>
  </si>
  <si>
    <t>44470B2BrancaRuralNão se aplicaNão se aplicaNão se aplicaPonta</t>
  </si>
  <si>
    <t>44501B2BrancaRuralNão se aplicaNão se aplicaNão se aplicaPonta</t>
  </si>
  <si>
    <t>44531B2BrancaRuralNão se aplicaNão se aplicaNão se aplicaPonta</t>
  </si>
  <si>
    <t>44317B2ConvencionalRuralNão se aplicaNão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</si>
  <si>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</si>
  <si>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</si>
  <si>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</si>
  <si>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</si>
  <si>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</si>
  <si>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44501B2ConvencionalRuralNão se aplicaNão se aplicaNão se aplicaNão se aplica</t>
  </si>
  <si>
    <t>44531B2ConvencionalRuralNão se aplicaNão se aplicaNão se aplicaNão se aplica</t>
  </si>
  <si>
    <t>44562B2ConvencionalRuralNão se aplicaNão se aplicaNão se aplicaNão se aplica</t>
  </si>
  <si>
    <t>44593B2ConvencionalRuralNão se aplicaNão se aplicaNão se aplicaNão se aplica</t>
  </si>
  <si>
    <t>44621B2ConvencionalRuralNão se aplicaNão se aplicaNão se aplicaNão se aplica</t>
  </si>
  <si>
    <t>44652B2ConvencionalRuralNão se aplicaNão se aplicaNão se aplicaNão se aplica</t>
  </si>
  <si>
    <t>44317B3BrancaNão se aplicaNão se aplicaNão se aplicaNão se aplicaFora ponta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</si>
  <si>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</si>
  <si>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</si>
  <si>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</si>
  <si>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</si>
  <si>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</si>
  <si>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44501B3BrancaNão se aplicaNão se aplicaNão se aplicaNão se aplicaFora ponta</t>
  </si>
  <si>
    <t>44531B3BrancaNão se aplicaNão se aplicaNão se aplicaNão se aplicaFora ponta</t>
  </si>
  <si>
    <t>44562B3BrancaNão se aplicaNão se aplicaNão se aplicaNão se aplicaFora ponta</t>
  </si>
  <si>
    <t>44593B3BrancaNão se aplicaNão se aplicaNão se aplicaNão se aplicaFora ponta</t>
  </si>
  <si>
    <t>44621B3BrancaNão se aplicaNão se aplicaNão se aplicaNão se aplicaFora ponta</t>
  </si>
  <si>
    <t>44652B3BrancaNão se aplicaNão se aplicaNão se aplicaNão se aplicaFora ponta</t>
  </si>
  <si>
    <t>44317B3BrancaNão se aplicaNão se aplicaNão se aplicaNão se aplicaIntermediário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</si>
  <si>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</si>
  <si>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</si>
  <si>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</si>
  <si>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</si>
  <si>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</si>
  <si>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44501B3BrancaNão se aplicaNão se aplicaNão se aplicaNão se aplicaIntermediário</t>
  </si>
  <si>
    <t>44531B3BrancaNão se aplicaNão se aplicaNão se aplicaNão se aplicaIntermediário</t>
  </si>
  <si>
    <t>44562B3BrancaNão se aplicaNão se aplicaNão se aplicaNão se aplicaIntermediário</t>
  </si>
  <si>
    <t>44593B3BrancaNão se aplicaNão se aplicaNão se aplicaNão se aplicaIntermediário</t>
  </si>
  <si>
    <t>44621B3BrancaNão se aplicaNão se aplicaNão se aplicaNão se aplicaIntermediário</t>
  </si>
  <si>
    <t>44652B3BrancaNão se aplicaNão se aplicaNão se aplicaNão se aplicaIntermediário</t>
  </si>
  <si>
    <t>44317B3BrancaNão se aplicaNão se aplicaNão se aplicaNão se aplicaPonta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</si>
  <si>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</si>
  <si>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</si>
  <si>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</si>
  <si>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</si>
  <si>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</si>
  <si>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44501B3BrancaNão se aplicaNão se aplicaNão se aplicaNão se aplicaPonta</t>
  </si>
  <si>
    <t>44531B3BrancaNão se aplicaNão se aplicaNão se aplicaNão se aplicaPonta</t>
  </si>
  <si>
    <t>44562B3BrancaNão se aplicaNão se aplicaNão se aplicaNão se aplicaPonta</t>
  </si>
  <si>
    <t>44593B3BrancaNão se aplicaNão se aplicaNão se aplicaNão se aplicaPonta</t>
  </si>
  <si>
    <t>44621B3BrancaNão se aplicaNão se aplicaNão se aplicaNão se aplicaPonta</t>
  </si>
  <si>
    <t>44652B3BrancaNão se aplicaNão se aplicaNão se aplicaNão se aplicaPonta</t>
  </si>
  <si>
    <t>44317B3ConvencionalNão se aplicaNão se aplicaNão se aplicaNão se aplicaNão se aplica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</si>
  <si>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</si>
  <si>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</si>
  <si>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</si>
  <si>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</si>
  <si>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</si>
  <si>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44501B3ConvencionalNão se aplicaNão se aplicaNão se aplicaNão se aplicaNão se aplica</t>
  </si>
  <si>
    <t>44531B3ConvencionalNão se aplicaNão se aplicaNão se aplicaNão se aplicaNão se aplica</t>
  </si>
  <si>
    <t>44562B3ConvencionalNão se aplicaNão se aplicaNão se aplicaNão se aplicaNão se aplica</t>
  </si>
  <si>
    <t>44593B3ConvencionalNão se aplicaNão se aplicaNão se aplicaNão se aplicaNão se aplica</t>
  </si>
  <si>
    <t>44621B3ConvencionalNão se aplicaNão se aplicaNão se aplicaNão se aplicaNão se aplica</t>
  </si>
  <si>
    <t>44652B3ConvencionalNão se aplicaNão se aplicaNão se aplicaNão se aplicaNão se aplica</t>
  </si>
  <si>
    <t>44317B4ConvencionalIluminação públicaIluminação pública – B4aNão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</si>
  <si>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</si>
  <si>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</si>
  <si>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</si>
  <si>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</si>
  <si>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</si>
  <si>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44501B4ConvencionalIluminação públicaIluminação pública – B4aNão se aplicaNão se aplicaNão se aplica</t>
  </si>
  <si>
    <t>44531B4ConvencionalIluminação públicaIluminação pública – B4aNão se aplicaNão se aplicaNão se aplica</t>
  </si>
  <si>
    <t>44562B4ConvencionalIluminação públicaIluminação pública – B4aNão se aplicaNão se aplicaNão se aplica</t>
  </si>
  <si>
    <t>44593B4ConvencionalIluminação públicaIluminação pública – B4aNão se aplicaNão se aplicaNão se aplica</t>
  </si>
  <si>
    <t>44621B4ConvencionalIluminação públicaIluminação pública – B4aNão se aplicaNão se aplicaNão se aplica</t>
  </si>
  <si>
    <t>44652B4ConvencionalIluminação públicaIluminação pública – B4aNão se aplicaNão se aplicaNão se aplica</t>
  </si>
  <si>
    <t>CHAVE TE</t>
  </si>
  <si>
    <t>44317A3Energia horáriaNão se aplicaNão se aplicaNão se aplicaNão se aplicaFora ponta</t>
  </si>
  <si>
    <t>44348A3Energia horáriaNão se aplicaNão se aplicaNão se aplicaNão se aplicaFora ponta</t>
  </si>
  <si>
    <t>44378A3Energia horáriaNão se aplicaNão se aplicaNão se aplicaNão se aplicaFora ponta</t>
  </si>
  <si>
    <t>44409A3Energia horáriaNão se aplicaNão se aplicaNão se aplicaNão se aplicaFora ponta</t>
  </si>
  <si>
    <t>44440A3Energia horáriaNão se aplicaNão se aplicaNão se aplicaNão se aplicaFora ponta</t>
  </si>
  <si>
    <t>44470A3Energia horáriaNão se aplicaNão se aplicaNão se aplicaNão se aplicaFora ponta</t>
  </si>
  <si>
    <t>44501A3Energia horáriaNão se aplicaNão se aplicaNão se aplicaNão se aplicaFora ponta</t>
  </si>
  <si>
    <t>44531A3Energia horáriaNão se aplicaNão se aplicaNão se aplicaNão se aplicaFora ponta</t>
  </si>
  <si>
    <t>44562A3Energia horáriaNão se aplicaNão se aplicaNão se aplicaNão se aplicaFora ponta</t>
  </si>
  <si>
    <t>44593A3Energia horáriaNão se aplicaNão se aplicaNão se aplicaNão se aplicaFora ponta</t>
  </si>
  <si>
    <t>44621A3Energia horáriaNão se aplicaNão se aplicaNão se aplicaNão se aplicaFora ponta</t>
  </si>
  <si>
    <t>44652A3Energia horáriaNão se aplicaNão se aplicaNão se aplicaNão se aplicaFora ponta</t>
  </si>
  <si>
    <t>44317A3Energia horáriaNão se aplicaNão se aplicaNão se aplicaNão se aplicaPonta</t>
  </si>
  <si>
    <t>44348A3Energia horáriaNão se aplicaNão se aplicaNão se aplicaNão se aplicaPonta</t>
  </si>
  <si>
    <t>44378A3Energia horáriaNão se aplicaNão se aplicaNão se aplicaNão se aplicaPonta</t>
  </si>
  <si>
    <t>44409A3Energia horáriaNão se aplicaNão se aplicaNão se aplicaNão se aplicaPonta</t>
  </si>
  <si>
    <t>44440A3Energia horáriaNão se aplicaNão se aplicaNão se aplicaNão se aplicaPonta</t>
  </si>
  <si>
    <t>44470A3Energia horáriaNão se aplicaNão se aplicaNão se aplicaNão se aplicaPonta</t>
  </si>
  <si>
    <t>44501A3Energia horáriaNão se aplicaNão se aplicaNão se aplicaNão se aplicaPonta</t>
  </si>
  <si>
    <t>44531A3Energia horáriaNão se aplicaNão se aplicaNão se aplicaNão se aplicaPonta</t>
  </si>
  <si>
    <t>44562A3Energia horáriaNão se aplicaNão se aplicaNão se aplicaNão se aplicaPonta</t>
  </si>
  <si>
    <t>44593A3Energia horáriaNão se aplicaNão se aplicaNão se aplicaNão se aplicaPonta</t>
  </si>
  <si>
    <t>44621A3Energia horáriaNão se aplicaNão se aplicaNão se aplicaNão se aplicaPonta</t>
  </si>
  <si>
    <t>44652A3Energia horáriaNão se aplicaNão se aplicaNão se aplicaNão se aplicaPonta</t>
  </si>
  <si>
    <t>44317A4Energia horáriaNão se aplicaNão se aplicaNão se aplicaNão se aplicaFora 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</si>
  <si>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</si>
  <si>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</si>
  <si>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</si>
  <si>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</si>
  <si>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</si>
  <si>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44501A4Energia horáriaNão se aplicaNão se aplicaNão se aplicaNão se aplicaFora ponta</t>
  </si>
  <si>
    <t>44531A4Energia horáriaNão se aplicaNão se aplicaNão se aplicaNão se aplicaFora ponta</t>
  </si>
  <si>
    <t>44562A4Energia horáriaNão se aplicaNão se aplicaNão se aplicaNão se aplicaFora ponta</t>
  </si>
  <si>
    <t>44593A4Energia horáriaNão se aplicaNão se aplicaNão se aplicaNão se aplicaFora ponta</t>
  </si>
  <si>
    <t>44621A4Energia horáriaNão se aplicaNão se aplicaNão se aplicaNão se aplicaFora ponta</t>
  </si>
  <si>
    <t>44652A4Energia horáriaNão se aplicaNão se aplicaNão se aplicaNão se aplicaFora ponta</t>
  </si>
  <si>
    <t>44317A4Energia horáriaNão se aplicaNão se aplicaNão se aplicaNão se aplicaPonta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</si>
  <si>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</si>
  <si>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</si>
  <si>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</si>
  <si>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</si>
  <si>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</si>
  <si>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44501A4Energia horáriaNão se aplicaNão se aplicaNão se aplicaNão se aplicaPonta</t>
  </si>
  <si>
    <t>44531A4Energia horáriaNão se aplicaNão se aplicaNão se aplicaNão se aplicaPonta</t>
  </si>
  <si>
    <t>44562A4Energia horáriaNão se aplicaNão se aplicaNão se aplicaNão se aplicaPonta</t>
  </si>
  <si>
    <t>44593A4Energia horáriaNão se aplicaNão se aplicaNão se aplicaNão se aplicaPonta</t>
  </si>
  <si>
    <t>44621A4Energia horáriaNão se aplicaNão se aplicaNão se aplicaNão se aplicaPonta</t>
  </si>
  <si>
    <t>44652A4Energia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</si>
  <si>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</si>
  <si>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</si>
  <si>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</si>
  <si>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</si>
  <si>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44317B1Energia horáriaResidencialResidencialNão se aplicaNão se aplicaFora ponta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</si>
  <si>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</si>
  <si>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</si>
  <si>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</si>
  <si>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</si>
  <si>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</si>
  <si>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44501B1Energia horáriaResidencialResidencialNão se aplicaNão se aplicaFora ponta</t>
  </si>
  <si>
    <t>44531B1Energia horáriaResidencialResidencialNão se aplicaNão se aplicaFora ponta</t>
  </si>
  <si>
    <t>44562B1Energia horáriaResidencialResidencialNão se aplicaNão se aplicaFora ponta</t>
  </si>
  <si>
    <t>44593B1Energia horáriaResidencialResidencialNão se aplicaNão se aplicaFora ponta</t>
  </si>
  <si>
    <t>44621B1Energia horáriaResidencialResidencialNão se aplicaNão se aplicaFora ponta</t>
  </si>
  <si>
    <t>44652B1Energia horáriaResidencialResidencialNão se aplicaNão se aplicaFora ponta</t>
  </si>
  <si>
    <t>44317B1Energia horáriaResidencialResidencialNão se aplicaNão se aplicaIntermediário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</si>
  <si>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</si>
  <si>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</si>
  <si>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</si>
  <si>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</si>
  <si>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</si>
  <si>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44501B1Energia horáriaResidencialResidencialNão se aplicaNão se aplicaIntermediário</t>
  </si>
  <si>
    <t>44531B1Energia horáriaResidencialResidencialNão se aplicaNão se aplicaIntermediário</t>
  </si>
  <si>
    <t>44562B1Energia horáriaResidencialResidencialNão se aplicaNão se aplicaIntermediário</t>
  </si>
  <si>
    <t>44593B1Energia horáriaResidencialResidencialNão se aplicaNão se aplicaIntermediário</t>
  </si>
  <si>
    <t>44621B1Energia horáriaResidencialResidencialNão se aplicaNão se aplicaIntermediário</t>
  </si>
  <si>
    <t>44652B1Energia horáriaResidencialResidencialNão se aplicaNão se aplicaIntermediário</t>
  </si>
  <si>
    <t>44317B1Energia horáriaResidencialResidencialNão se aplicaNão se aplicaPonta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</si>
  <si>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</si>
  <si>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</si>
  <si>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</si>
  <si>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</si>
  <si>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</si>
  <si>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44501B1Energia horáriaResidencialResidencialNão se aplicaNão se aplicaPonta</t>
  </si>
  <si>
    <t>44531B1Energia horáriaResidencialResidencialNão se aplicaNão se aplicaPonta</t>
  </si>
  <si>
    <t>44562B1Energia horáriaResidencialResidencialNão se aplicaNão se aplicaPonta</t>
  </si>
  <si>
    <t>44593B1Energia horáriaResidencialResidencialNão se aplicaNão se aplicaPonta</t>
  </si>
  <si>
    <t>44621B1Energia horáriaResidencialResidencialNão se aplicaNão se aplicaPonta</t>
  </si>
  <si>
    <t>44652B1Energia horáriaResidencialResidencialNão se aplicaNão se aplicaPonta</t>
  </si>
  <si>
    <t>44317B1Energia convencionalResidencialResidencialNão se aplicaNão se aplicaNão se aplica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</si>
  <si>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</si>
  <si>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</si>
  <si>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</si>
  <si>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</si>
  <si>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</si>
  <si>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44501B1Energia convencionalResidencialResidencialNão se aplicaNão se aplicaNão se aplica</t>
  </si>
  <si>
    <t>44531B1Energia convencionalResidencialResidencialNão se aplicaNão se aplicaNão se aplica</t>
  </si>
  <si>
    <t>44562B1Energia convencionalResidencialResidencialNão se aplicaNão se aplicaNão se aplica</t>
  </si>
  <si>
    <t>44593B1Energia convencionalResidencialResidencialNão se aplicaNão se aplicaNão se aplica</t>
  </si>
  <si>
    <t>44621B1Energia convencionalResidencialResidencialNão se aplicaNão se aplicaNão se aplica</t>
  </si>
  <si>
    <t>44652B1Energia convencionalResidencialResidencialNão se aplicaNão se aplicaNão se aplica</t>
  </si>
  <si>
    <t>44317B1Energia convencionalResidencialResidencial baixa renda – faixa 01Não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</si>
  <si>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</si>
  <si>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</si>
  <si>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</si>
  <si>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</si>
  <si>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</si>
  <si>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44501B1Energia convencionalResidencialResidencial baixa renda – faixa 01Não se aplicaNão se aplicaNão se aplica</t>
  </si>
  <si>
    <t>44531B1Energia convencionalResidencialResidencial baixa renda – faixa 01Não se aplicaNão se aplicaNão se aplica</t>
  </si>
  <si>
    <t>44562B1Energia convencionalResidencialResidencial baixa renda – faixa 01Não se aplicaNão se aplicaNão se aplica</t>
  </si>
  <si>
    <t>44593B1Energia convencionalResidencialResidencial baixa renda – faixa 01Não se aplicaNão se aplicaNão se aplica</t>
  </si>
  <si>
    <t>44621B1Energia convencionalResidencialResidencial baixa renda – faixa 01Não se aplicaNão se aplicaNão se aplica</t>
  </si>
  <si>
    <t>44652B1Energia convencionalResidencialResidencial baixa renda – faixa 01Não se aplicaNão se aplicaNão se aplica</t>
  </si>
  <si>
    <t>44317B1Energia convencionalResidencialResidencial baixa renda – faixa 02Não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</si>
  <si>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</si>
  <si>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</si>
  <si>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</si>
  <si>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</si>
  <si>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</si>
  <si>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44501B1Energia convencionalResidencialResidencial baixa renda – faixa 02Não se aplicaNão se aplicaNão se aplica</t>
  </si>
  <si>
    <t>44531B1Energia convencionalResidencialResidencial baixa renda – faixa 02Não se aplicaNão se aplicaNão se aplica</t>
  </si>
  <si>
    <t>44562B1Energia convencionalResidencialResidencial baixa renda – faixa 02Não se aplicaNão se aplicaNão se aplica</t>
  </si>
  <si>
    <t>44593B1Energia convencionalResidencialResidencial baixa renda – faixa 02Não se aplicaNão se aplicaNão se aplica</t>
  </si>
  <si>
    <t>44621B1Energia convencionalResidencialResidencial baixa renda – faixa 02Não se aplicaNão se aplicaNão se aplica</t>
  </si>
  <si>
    <t>44652B1Energia convencionalResidencialResidencial baixa renda – faixa 02Não se aplicaNão se aplicaNão se aplica</t>
  </si>
  <si>
    <t>44317B1Energia convencionalResidencialResidencial baixa renda – faixa 03Não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</si>
  <si>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</si>
  <si>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</si>
  <si>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</si>
  <si>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</si>
  <si>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</si>
  <si>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44501B1Energia convencionalResidencialResidencial baixa renda – faixa 03Não se aplicaNão se aplicaNão se aplica</t>
  </si>
  <si>
    <t>44531B1Energia convencionalResidencialResidencial baixa renda – faixa 03Não se aplicaNão se aplicaNão se aplica</t>
  </si>
  <si>
    <t>44562B1Energia convencionalResidencialResidencial baixa renda – faixa 03Não se aplicaNão se aplicaNão se aplica</t>
  </si>
  <si>
    <t>44593B1Energia convencionalResidencialResidencial baixa renda – faixa 03Não se aplicaNão se aplicaNão se aplica</t>
  </si>
  <si>
    <t>44621B1Energia convencionalResidencialResidencial baixa renda – faixa 03Não se aplicaNão se aplicaNão se aplica</t>
  </si>
  <si>
    <t>44652B1Energia convencionalResidencialResidencial baixa renda – faixa 03Não se aplicaNão se aplicaNão se aplica</t>
  </si>
  <si>
    <t>44317B1Energia convencionalResidencialResidencial baixa renda – faixa 04Não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</si>
  <si>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</si>
  <si>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</si>
  <si>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</si>
  <si>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</si>
  <si>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</si>
  <si>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44501B1Energia convencionalResidencialResidencial baixa renda – faixa 04Não se aplicaNão se aplicaNão se aplica</t>
  </si>
  <si>
    <t>44531B1Energia convencionalResidencialResidencial baixa renda – faixa 04Não se aplicaNão se aplicaNão se aplica</t>
  </si>
  <si>
    <t>44562B1Energia convencionalResidencialResidencial baixa renda – faixa 04Não se aplicaNão se aplicaNão se aplica</t>
  </si>
  <si>
    <t>44593B1Energia convencionalResidencialResidencial baixa renda – faixa 04Não se aplicaNão se aplicaNão se aplica</t>
  </si>
  <si>
    <t>44621B1Energia convencionalResidencialResidencial baixa renda – faixa 04Não se aplicaNão se aplicaNão se aplica</t>
  </si>
  <si>
    <t>44652B1Energia convencionalResidencialResidencial baixa renda – faixa 04Não se aplicaNão se aplicaNão se aplica</t>
  </si>
  <si>
    <t>44317B2Energia horáriaRuralNão se aplicaNão se aplicaNão se aplicaFora ponta</t>
  </si>
  <si>
    <t>44348B2Energia horáriaRuralNão se aplicaNão se aplicaNão se aplicaFora ponta</t>
  </si>
  <si>
    <t>44378B2Energia horáriaRuralNão se aplicaNão se aplicaNão se aplicaFora ponta</t>
  </si>
  <si>
    <t>44409B2Energia horáriaRuralNão se aplicaNão se aplicaNão se aplicaFora ponta</t>
  </si>
  <si>
    <t>44470B2Energia horáriaRuralNão se aplicaNão se aplicaNão se aplicaFora ponta</t>
  </si>
  <si>
    <t>44501B2Energia horáriaRuralNão se aplicaNão se aplicaNão se aplicaFora ponta</t>
  </si>
  <si>
    <t>44531B2Energia horáriaRuralNão se aplicaNão se aplicaNão se aplicaFora ponta</t>
  </si>
  <si>
    <t>44562B2Energia horáriaRuralNão se aplicaNão se aplicaNão se aplicaFora ponta</t>
  </si>
  <si>
    <t>44593B2Energia horáriaRuralNão se aplicaNão se aplicaNão se aplicaFora ponta</t>
  </si>
  <si>
    <t>44621B2Energia horáriaRuralNão se aplicaNão se aplicaNão se aplicaFora ponta</t>
  </si>
  <si>
    <t>44652B2Energia horáriaRuralNão se aplicaNão se aplicaNão se aplicaFora ponta</t>
  </si>
  <si>
    <t>44317B2Energia horáriaRuralNão se aplicaNão se aplicaNão se aplicaIntermediário</t>
  </si>
  <si>
    <t>44470B2Energia horáriaRuralNão se aplicaNão se aplicaNão se aplicaIntermediário</t>
  </si>
  <si>
    <t>44501B2Energia horáriaRuralNão se aplicaNão se aplicaNão se aplicaIntermediário</t>
  </si>
  <si>
    <t>44531B2Energia horáriaRuralNão se aplicaNão se aplicaNão se aplicaIntermediário</t>
  </si>
  <si>
    <t>44621B2Energia horáriaRuralNão se aplicaNão se aplicaNão se aplicaIntermediário</t>
  </si>
  <si>
    <t>44652B2Energia horáriaRuralNão se aplicaNão se aplicaNão se aplicaIntermediário</t>
  </si>
  <si>
    <t>44470B2Energia horáriaRuralNão se aplicaNão se aplicaNão se aplicaPonta</t>
  </si>
  <si>
    <t>44501B2Energia horáriaRuralNão se aplicaNão se aplicaNão se aplicaPonta</t>
  </si>
  <si>
    <t>44531B2Energia horáriaRuralNão se aplicaNão se aplicaNão se aplicaPonta</t>
  </si>
  <si>
    <t>44317B2Energia convencionalRuralNão se aplicaNão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</si>
  <si>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</si>
  <si>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</si>
  <si>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</si>
  <si>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</si>
  <si>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</si>
  <si>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44501B2Energia convencionalRuralNão se aplicaNão se aplicaNão se aplicaNão se aplica</t>
  </si>
  <si>
    <t>44531B2Energia convencionalRuralNão se aplicaNão se aplicaNão se aplicaNão se aplica</t>
  </si>
  <si>
    <t>44562B2Energia convencionalRuralNão se aplicaNão se aplicaNão se aplicaNão se aplica</t>
  </si>
  <si>
    <t>44593B2Energia convencionalRuralNão se aplicaNão se aplicaNão se aplicaNão se aplica</t>
  </si>
  <si>
    <t>44621B2Energia convencionalRuralNão se aplicaNão se aplicaNão se aplicaNão se aplica</t>
  </si>
  <si>
    <t>44652B2Energia convencionalRuralNão se aplicaNão se aplicaNão se aplicaNão se aplica</t>
  </si>
  <si>
    <t>44317B3Energia horáriaNão se aplicaNão se aplicaNão se aplicaNão se aplicaFora ponta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</si>
  <si>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</si>
  <si>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</si>
  <si>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</si>
  <si>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</si>
  <si>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</si>
  <si>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44501B3Energia horáriaNão se aplicaNão se aplicaNão se aplicaNão se aplicaFora ponta</t>
  </si>
  <si>
    <t>44531B3Energia horáriaNão se aplicaNão se aplicaNão se aplicaNão se aplicaFora ponta</t>
  </si>
  <si>
    <t>44562B3Energia horáriaNão se aplicaNão se aplicaNão se aplicaNão se aplicaFora ponta</t>
  </si>
  <si>
    <t>44593B3Energia horáriaNão se aplicaNão se aplicaNão se aplicaNão se aplicaFora ponta</t>
  </si>
  <si>
    <t>44621B3Energia horáriaNão se aplicaNão se aplicaNão se aplicaNão se aplicaFora ponta</t>
  </si>
  <si>
    <t>44652B3Energia horáriaNão se aplicaNão se aplicaNão se aplicaNão se aplicaFora ponta</t>
  </si>
  <si>
    <t>44317B3Energia horáriaNão se aplicaNão se aplicaNão se aplicaNão se aplicaIntermediário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</si>
  <si>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</si>
  <si>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</si>
  <si>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</si>
  <si>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</si>
  <si>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</si>
  <si>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44501B3Energia horáriaNão se aplicaNão se aplicaNão se aplicaNão se aplicaIntermediário</t>
  </si>
  <si>
    <t>44531B3Energia horáriaNão se aplicaNão se aplicaNão se aplicaNão se aplicaIntermediário</t>
  </si>
  <si>
    <t>44562B3Energia horáriaNão se aplicaNão se aplicaNão se aplicaNão se aplicaIntermediário</t>
  </si>
  <si>
    <t>44593B3Energia horáriaNão se aplicaNão se aplicaNão se aplicaNão se aplicaIntermediário</t>
  </si>
  <si>
    <t>44621B3Energia horáriaNão se aplicaNão se aplicaNão se aplicaNão se aplicaIntermediário</t>
  </si>
  <si>
    <t>44652B3Energia horáriaNão se aplicaNão se aplicaNão se aplicaNão se aplicaIntermediário</t>
  </si>
  <si>
    <t>44317B3Energia horáriaNão se aplicaNão se aplicaNão se aplicaNão se aplicaPonta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</si>
  <si>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</si>
  <si>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</si>
  <si>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</si>
  <si>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</si>
  <si>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</si>
  <si>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44501B3Energia horáriaNão se aplicaNão se aplicaNão se aplicaNão se aplicaPonta</t>
  </si>
  <si>
    <t>44531B3Energia horáriaNão se aplicaNão se aplicaNão se aplicaNão se aplicaPonta</t>
  </si>
  <si>
    <t>44562B3Energia horáriaNão se aplicaNão se aplicaNão se aplicaNão se aplicaPonta</t>
  </si>
  <si>
    <t>44593B3Energia horáriaNão se aplicaNão se aplicaNão se aplicaNão se aplicaPonta</t>
  </si>
  <si>
    <t>44621B3Energia horáriaNão se aplicaNão se aplicaNão se aplicaNão se aplicaPonta</t>
  </si>
  <si>
    <t>44652B3Energia horáriaNão se aplicaNão se aplicaNão se aplicaNão se aplicaPonta</t>
  </si>
  <si>
    <t>44317B3Energia convencionalNão se aplicaNão se aplicaNão se aplicaNão se aplicaNão se aplica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</si>
  <si>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</si>
  <si>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</si>
  <si>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</si>
  <si>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</si>
  <si>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</si>
  <si>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44501B3Energia convencionalNão se aplicaNão se aplicaNão se aplicaNão se aplicaNão se aplica</t>
  </si>
  <si>
    <t>44531B3Energia convencionalNão se aplicaNão se aplicaNão se aplicaNão se aplicaNão se aplica</t>
  </si>
  <si>
    <t>44562B3Energia convencionalNão se aplicaNão se aplicaNão se aplicaNão se aplicaNão se aplica</t>
  </si>
  <si>
    <t>44593B3Energia convencionalNão se aplicaNão se aplicaNão se aplicaNão se aplicaNão se aplica</t>
  </si>
  <si>
    <t>44621B3Energia convencionalNão se aplicaNão se aplicaNão se aplicaNão se aplicaNão se aplica</t>
  </si>
  <si>
    <t>44652B3Energia convencionalNão se aplicaNão se aplicaNão se aplicaNão se aplicaNão se aplica</t>
  </si>
  <si>
    <t>44317B4Energia convencionalIluminação públicaIluminação pública – B4aNão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</si>
  <si>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</si>
  <si>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</si>
  <si>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</si>
  <si>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</si>
  <si>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</si>
  <si>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44501B4Energia convencionalIluminação públicaIluminação pública – B4aNão se aplicaNão se aplicaNão se aplica</t>
  </si>
  <si>
    <t>44531B4Energia convencionalIluminação públicaIluminação pública – B4aNão se aplicaNão se aplicaNão se aplica</t>
  </si>
  <si>
    <t>44562B4Energia convencionalIluminação públicaIluminação pública – B4aNão se aplicaNão se aplicaNão se aplica</t>
  </si>
  <si>
    <t>44593B4Energia convencionalIluminação públicaIluminação pública – B4aNão se aplicaNão se aplicaNão se aplica</t>
  </si>
  <si>
    <t>44621B4Energia convencionalIluminação públicaIluminação pública – B4aNão se aplicaNão se aplicaNão se aplica</t>
  </si>
  <si>
    <t>44652B4Energia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</si>
  <si>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</si>
  <si>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</si>
  <si>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</si>
  <si>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</si>
  <si>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</si>
  <si>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</si>
  <si>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</si>
  <si>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</si>
  <si>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</si>
  <si>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</si>
  <si>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</si>
  <si>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</si>
  <si>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</si>
  <si>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</si>
  <si>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</si>
  <si>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</si>
  <si>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</si>
  <si>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</si>
  <si>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</si>
  <si>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</si>
  <si>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</si>
  <si>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</si>
  <si>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</si>
  <si>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</si>
  <si>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</si>
  <si>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</si>
  <si>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</si>
  <si>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</si>
  <si>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</si>
  <si>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</si>
  <si>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</si>
  <si>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</si>
  <si>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</si>
  <si>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</si>
  <si>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</si>
  <si>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</si>
  <si>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</si>
  <si>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</si>
  <si>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</si>
  <si>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</si>
  <si>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</si>
  <si>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</si>
  <si>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</si>
  <si>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</si>
  <si>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</si>
  <si>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</si>
  <si>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</si>
  <si>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</si>
  <si>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</si>
  <si>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</si>
  <si>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</si>
  <si>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</si>
  <si>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</si>
  <si>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</si>
  <si>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</si>
  <si>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</si>
  <si>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</si>
  <si>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</si>
  <si>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</si>
  <si>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</si>
  <si>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</si>
  <si>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</si>
  <si>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</si>
  <si>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</si>
  <si>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</si>
  <si>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</si>
  <si>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</si>
  <si>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</si>
  <si>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</si>
  <si>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</si>
  <si>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</si>
  <si>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</si>
  <si>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</si>
  <si>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</si>
  <si>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</si>
  <si>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</si>
  <si>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</si>
  <si>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</si>
  <si>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</si>
  <si>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</si>
  <si>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</si>
  <si>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</si>
  <si>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</si>
  <si>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</si>
  <si>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</si>
  <si>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</si>
  <si>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</si>
  <si>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</si>
  <si>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</si>
  <si>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</si>
  <si>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</si>
  <si>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</si>
  <si>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</si>
  <si>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</si>
  <si>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</si>
  <si>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</si>
  <si>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</si>
  <si>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</si>
  <si>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</si>
  <si>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</si>
  <si>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2.862, DE 27 DE ABRIL DE 2021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</si>
  <si>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</si>
  <si>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</si>
  <si>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</si>
  <si>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</si>
  <si>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</si>
  <si>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</si>
  <si>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</si>
  <si>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</si>
  <si>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</si>
  <si>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</si>
  <si>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</si>
  <si>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(SUB)GRUPO</t>
  </si>
  <si>
    <t>TUSD (R$)</t>
  </si>
  <si>
    <t>TUSD (MWh)</t>
  </si>
  <si>
    <t>PNT (R$/MWh)</t>
  </si>
  <si>
    <t>VAR. AX01</t>
  </si>
  <si>
    <t>VAR. AX02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</si>
  <si>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</si>
  <si>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</si>
  <si>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</si>
  <si>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</si>
  <si>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</si>
  <si>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</si>
  <si>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</si>
  <si>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</si>
  <si>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</si>
  <si>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</si>
  <si>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</si>
  <si>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</si>
  <si>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</si>
  <si>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</si>
  <si>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Coeficientes de transição</t>
  </si>
  <si>
    <t>A2</t>
  </si>
  <si>
    <t>A3a</t>
  </si>
  <si>
    <t>AS</t>
  </si>
  <si>
    <t>Carga</t>
  </si>
  <si>
    <t>Ajustado para o passo 4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</si>
  <si>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</si>
  <si>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</si>
  <si>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</si>
  <si>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</si>
  <si>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</si>
  <si>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</si>
  <si>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</si>
  <si>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</si>
  <si>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</si>
  <si>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Energia suprimento concessionária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</si>
  <si>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</si>
  <si>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</si>
  <si>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</si>
  <si>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</si>
  <si>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</si>
  <si>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</si>
  <si>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</si>
  <si>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</si>
  <si>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</si>
  <si>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</si>
  <si>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</si>
  <si>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</si>
  <si>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</si>
  <si>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</si>
  <si>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</si>
  <si>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</si>
  <si>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</si>
  <si>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</si>
  <si>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</si>
  <si>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</si>
  <si>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</si>
  <si>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</si>
  <si>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</si>
  <si>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</si>
  <si>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</si>
  <si>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</si>
  <si>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</si>
  <si>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</si>
  <si>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</si>
  <si>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</si>
  <si>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</si>
  <si>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</si>
  <si>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</si>
  <si>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</si>
  <si>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</si>
  <si>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</si>
  <si>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</si>
  <si>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</si>
  <si>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</si>
  <si>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</si>
  <si>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</si>
  <si>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</si>
  <si>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</si>
  <si>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</si>
  <si>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</si>
  <si>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</si>
  <si>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</si>
  <si>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</si>
  <si>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</si>
  <si>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CARGA FONTE INCENTIVADA</t>
  </si>
  <si>
    <t>SUBSIDIO RURAL</t>
  </si>
  <si>
    <t>SUBSIDIO IRRIGANTE/AQUICULTOR</t>
  </si>
  <si>
    <t>SUBSIDIO ÁGUA, ESGOTO E SANEAMENTO</t>
  </si>
  <si>
    <t>SUBSIDIO GERAÇÃO FONTE INCENTIVADA</t>
  </si>
  <si>
    <t>SUBSIDIO BAIXA RENDA</t>
  </si>
  <si>
    <t>R$ (TV)</t>
  </si>
  <si>
    <t>R$ (TN)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</si>
  <si>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</si>
  <si>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</si>
  <si>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</si>
  <si>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</si>
  <si>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</si>
  <si>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</si>
  <si>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</si>
  <si>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</si>
  <si>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</si>
  <si>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Convencional1RuralNão se aplicaRuralB2</t>
  </si>
  <si>
    <t>2021</t>
  </si>
  <si>
    <t>Azul1RuralNão se aplicaPlanilha CustoA3</t>
  </si>
  <si>
    <t>Planilha Custo</t>
  </si>
  <si>
    <t>Verde1RuralNão se aplicaPlanilha CustoA3</t>
  </si>
  <si>
    <t>Azul1Serviço públicoÁgua, esgoto e saneamentoPlanilha CUSTOA3</t>
  </si>
  <si>
    <t>Planilha CUSTO</t>
  </si>
  <si>
    <t>Verde1Serviço públicoÁgua, esgoto e saneamentoPlanilha CUSTOA3</t>
  </si>
  <si>
    <t>Azul1RuralNão se aplicaPlanilha CustoA4</t>
  </si>
  <si>
    <t>Verde1RuralNão se aplicaPlanilha CustoA4</t>
  </si>
  <si>
    <t>Convencional1RuralNão se aplicaPlanilha CustoA4</t>
  </si>
  <si>
    <t>Azul1Serviço públicoÁgua, esgoto e saneamentoPlanilha CUSTOA4</t>
  </si>
  <si>
    <t>Verde1Serviço públicoÁgua, esgoto e saneamentoPlanilha CUSTOA4</t>
  </si>
  <si>
    <t>Convencional 1Serviço públicoÁgua, esgoto e saneamentoPlanilha CUSTOA4</t>
  </si>
  <si>
    <t xml:space="preserve">Convencional </t>
  </si>
  <si>
    <t>Branca1RuralNão se aplicaRuralB2</t>
  </si>
  <si>
    <t>Convencional1RuralCooperativa de eletrificação ruralPlanilha CUSTOB2</t>
  </si>
  <si>
    <t>Branca 1RuralCooperativa de eletrificação ruralPlanilha CUSTOB2</t>
  </si>
  <si>
    <t xml:space="preserve">Branca </t>
  </si>
  <si>
    <t>Convencional1RuralServiço público de irrigação ruralPlanilha CUSTOB2</t>
  </si>
  <si>
    <t>Branca 1RuralServiço público de irrigação ruralPlanilha CUSTOB2</t>
  </si>
  <si>
    <t>Convencional1Serviço públicoÁgua, esgoto e saneamentoPlanilha CUSTOB3</t>
  </si>
  <si>
    <t>Branca1Serviço públicoÁgua, esgoto e saneamentoPlanilha CUSTOB3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</si>
  <si>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</si>
  <si>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</si>
  <si>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</si>
  <si>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</si>
  <si>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</si>
  <si>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</si>
  <si>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</si>
  <si>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</si>
  <si>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</si>
  <si>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</si>
  <si>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</si>
  <si>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</si>
  <si>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</si>
  <si>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</si>
  <si>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</si>
  <si>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</si>
  <si>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</si>
  <si>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</si>
  <si>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</si>
  <si>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</si>
  <si>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</si>
  <si>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</si>
  <si>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</si>
  <si>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</si>
  <si>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</si>
  <si>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</si>
  <si>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</si>
  <si>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</si>
  <si>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</si>
  <si>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</si>
  <si>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</si>
  <si>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</si>
  <si>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</si>
  <si>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</si>
  <si>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</si>
  <si>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</si>
  <si>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</si>
  <si>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</si>
  <si>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</si>
  <si>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</si>
  <si>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</si>
  <si>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</si>
  <si>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</si>
  <si>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</si>
  <si>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</si>
  <si>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</si>
  <si>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</si>
  <si>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</si>
  <si>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</si>
  <si>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</si>
  <si>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</si>
  <si>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</si>
  <si>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</si>
  <si>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</si>
  <si>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</si>
  <si>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</si>
  <si>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</si>
  <si>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</si>
  <si>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</si>
  <si>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</si>
  <si>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</si>
  <si>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</si>
  <si>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</si>
  <si>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</si>
  <si>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</si>
  <si>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</si>
  <si>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</si>
  <si>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</si>
  <si>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TUSD BASE FINANCEIRA NOVA</t>
  </si>
  <si>
    <t>TUSD BASE FINANCEIRA VIGENTE</t>
  </si>
  <si>
    <t>A3Azul</t>
  </si>
  <si>
    <t>A3AzulNão se aplica</t>
  </si>
  <si>
    <t>A3AzulNão se aplicaNão se aplica</t>
  </si>
  <si>
    <t>A3AzulNão se aplicaNão se aplicaNão se aplica</t>
  </si>
  <si>
    <t>A3AzulNão se aplicaNão se aplicaNão se aplicaNão se aplica</t>
  </si>
  <si>
    <t>A3AzulNão se aplicaNão se aplicaNão se aplicaNão se aplicaDP</t>
  </si>
  <si>
    <t>A3AzulNão se aplicaNão se aplicaNão se aplicaNão se aplicaDFP</t>
  </si>
  <si>
    <t>A3AzulNão se aplicaNão se aplicaNão se aplicaNão se aplicaE</t>
  </si>
  <si>
    <t>A3AzulNão se aplicaNão se aplicaAPE</t>
  </si>
  <si>
    <t>A3AzulNão se aplicaNão se aplicaAPENão se aplica</t>
  </si>
  <si>
    <t>A3AzulNão se aplicaNão se aplicaAPENão se aplicaE</t>
  </si>
  <si>
    <t>A3Distribuição</t>
  </si>
  <si>
    <t>A3DistribuiçãoNão se aplica</t>
  </si>
  <si>
    <t>A3DistribuiçãoNão se aplicaNão se aplica</t>
  </si>
  <si>
    <t>A3DistribuiçãoNão se aplicaNão se aplicaNão se aplica</t>
  </si>
  <si>
    <t>A3DistribuiçãoNão se aplicaNão se aplicaNão se aplicaCelpe</t>
  </si>
  <si>
    <t>A3DistribuiçãoNão se aplicaNão se aplicaNão se aplicaCelpeDP</t>
  </si>
  <si>
    <t>A3DistribuiçãoNão se aplicaNão se aplicaNão se aplicaCelpeDFP</t>
  </si>
  <si>
    <t>A3DistribuiçãoNão se aplicaNão se aplicaNão se aplicaCelpeE</t>
  </si>
  <si>
    <t>A3Geração</t>
  </si>
  <si>
    <t>A3GeraçãoNão se aplica</t>
  </si>
  <si>
    <t>A3GeraçãoNão se aplicaNão se aplica</t>
  </si>
  <si>
    <t>A3GeraçãoNão se aplicaNão se aplicaNão se aplica</t>
  </si>
  <si>
    <t>A3GeraçãoNão se aplicaNão se aplicaNão se aplicaNão se aplica</t>
  </si>
  <si>
    <t>A3GeraçãoNão se aplicaNão se aplicaNão se aplicaNão se aplicaD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</si>
  <si>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</si>
  <si>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</si>
  <si>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</si>
  <si>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</si>
  <si>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</si>
  <si>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</si>
  <si>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</si>
  <si>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</si>
  <si>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</si>
  <si>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</si>
  <si>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</si>
  <si>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A4Distribuição</t>
  </si>
  <si>
    <t>A4DistribuiçãoNão se aplica</t>
  </si>
  <si>
    <t>A4DistribuiçãoNão se aplicaNão se aplica</t>
  </si>
  <si>
    <t>A4DistribuiçãoNão se aplicaNão se aplicaNão se aplica</t>
  </si>
  <si>
    <t>A4DistribuiçãoNão se aplicaNão se aplicaNão se aplicaCelpe</t>
  </si>
  <si>
    <t>A4DistribuiçãoNão se aplicaNão se aplicaNão se aplicaCelpeDP</t>
  </si>
  <si>
    <t>A4DistribuiçãoNão se aplicaNão se aplicaNão se aplicaCelpeDFP</t>
  </si>
  <si>
    <t>A4DistribuiçãoNão se aplicaNão se aplicaNão se aplicaCelpeE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</si>
  <si>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</si>
  <si>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</si>
  <si>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</si>
  <si>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</si>
  <si>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</si>
  <si>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</si>
  <si>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</si>
  <si>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</si>
  <si>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</si>
  <si>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</si>
  <si>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</si>
  <si>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</si>
  <si>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</si>
  <si>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</si>
  <si>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</si>
  <si>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</si>
  <si>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</si>
  <si>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</si>
  <si>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</si>
  <si>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</si>
  <si>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</si>
  <si>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</si>
  <si>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</si>
  <si>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</si>
  <si>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</si>
  <si>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</si>
  <si>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</si>
  <si>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</si>
  <si>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</si>
  <si>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</si>
  <si>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</si>
  <si>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</si>
  <si>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</si>
  <si>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</si>
  <si>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</si>
  <si>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</si>
  <si>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</si>
  <si>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</si>
  <si>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</si>
  <si>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</si>
  <si>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</si>
  <si>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</si>
  <si>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</si>
  <si>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</si>
  <si>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</si>
  <si>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</si>
  <si>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</si>
  <si>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</si>
  <si>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</si>
  <si>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</si>
  <si>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</si>
  <si>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</si>
  <si>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</si>
  <si>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</si>
  <si>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</si>
  <si>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</si>
  <si>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</si>
  <si>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</si>
  <si>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</si>
  <si>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</si>
  <si>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</si>
  <si>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</si>
  <si>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</si>
  <si>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</si>
  <si>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</si>
  <si>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</si>
  <si>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</si>
  <si>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</si>
  <si>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</si>
  <si>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</si>
  <si>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</si>
  <si>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</si>
  <si>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</si>
  <si>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</si>
  <si>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</si>
  <si>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</si>
  <si>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</si>
  <si>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</si>
  <si>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</si>
  <si>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</si>
  <si>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</si>
  <si>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</si>
  <si>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</si>
  <si>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</si>
  <si>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</si>
  <si>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</si>
  <si>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</si>
  <si>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</si>
  <si>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</si>
  <si>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</si>
  <si>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</si>
  <si>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</si>
  <si>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</si>
  <si>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</si>
  <si>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</si>
  <si>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</si>
  <si>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</si>
  <si>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</si>
  <si>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</si>
  <si>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</si>
  <si>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</si>
  <si>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</si>
  <si>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</si>
  <si>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</si>
  <si>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</si>
  <si>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</si>
  <si>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</si>
  <si>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</si>
  <si>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</si>
  <si>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</si>
  <si>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</si>
  <si>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</si>
  <si>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</si>
  <si>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</si>
  <si>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</si>
  <si>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</si>
  <si>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</si>
  <si>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</si>
  <si>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</si>
  <si>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</si>
  <si>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</si>
  <si>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</si>
  <si>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</si>
  <si>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</si>
  <si>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</si>
  <si>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</si>
  <si>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</si>
  <si>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</si>
  <si>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</si>
  <si>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</si>
  <si>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</si>
  <si>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</si>
  <si>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</si>
  <si>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</si>
  <si>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</si>
  <si>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</si>
  <si>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</si>
  <si>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</si>
  <si>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</si>
  <si>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</si>
  <si>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</si>
  <si>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</si>
  <si>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</si>
  <si>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</si>
  <si>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</si>
  <si>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</si>
  <si>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</si>
  <si>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</si>
  <si>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</si>
  <si>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</si>
  <si>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</si>
  <si>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</si>
  <si>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</si>
  <si>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</si>
  <si>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</si>
  <si>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</si>
  <si>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</si>
  <si>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</si>
  <si>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</si>
  <si>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A3Energia horária</t>
  </si>
  <si>
    <t>A3Energia horáriaNão se aplica</t>
  </si>
  <si>
    <t>A3Energia horáriaNão se aplicaNão se aplica</t>
  </si>
  <si>
    <t>A3Energia horáriaNão se aplicaNão se aplicaNão se aplica</t>
  </si>
  <si>
    <t>A3Energia horáriaNão se aplicaNão se aplicaNão se aplicaNão se aplica</t>
  </si>
  <si>
    <t>A3Energia horáriaNão se aplicaNão se aplicaNão se aplicaNão se aplicaEP</t>
  </si>
  <si>
    <t>A3Energia horáriaNão se aplicaNão se aplicaNão se aplicaNão se aplicaEFP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</si>
  <si>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</si>
  <si>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</si>
  <si>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</si>
  <si>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</si>
  <si>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</si>
  <si>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</si>
  <si>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</si>
  <si>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A4Energia convencional</t>
  </si>
  <si>
    <t>A4Energia convencionalNão se aplica</t>
  </si>
  <si>
    <t>A4Energia convencionalNão se aplicaNão se aplica</t>
  </si>
  <si>
    <t>A4Energia convencionalNão se aplicaNão se aplicaNão se aplica</t>
  </si>
  <si>
    <t>A4Energia convencionalNão se aplicaNão se aplicaNão se aplicaNão se aplica</t>
  </si>
  <si>
    <t>A4Energia convencionalNão se aplicaNão se aplicaNão se aplicaNão se aplicaE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</si>
  <si>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</si>
  <si>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</si>
  <si>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</si>
  <si>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</si>
  <si>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</si>
  <si>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</si>
  <si>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</si>
  <si>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</si>
  <si>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</si>
  <si>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</si>
  <si>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</si>
  <si>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</si>
  <si>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</si>
  <si>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</si>
  <si>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</si>
  <si>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</si>
  <si>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</si>
  <si>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</si>
  <si>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</si>
  <si>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</si>
  <si>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</si>
  <si>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</si>
  <si>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</si>
  <si>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</si>
  <si>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</si>
  <si>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</si>
  <si>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</si>
  <si>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</si>
  <si>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</si>
  <si>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</si>
  <si>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</si>
  <si>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</si>
  <si>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</si>
  <si>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</si>
  <si>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</si>
  <si>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</si>
  <si>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</si>
  <si>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</si>
  <si>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</si>
  <si>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</si>
  <si>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</si>
  <si>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</si>
  <si>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</si>
  <si>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</si>
  <si>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</si>
  <si>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</si>
  <si>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</si>
  <si>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</si>
  <si>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</si>
  <si>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</si>
  <si>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</si>
  <si>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</si>
  <si>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</si>
  <si>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</si>
  <si>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</si>
  <si>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</si>
  <si>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</si>
  <si>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</si>
  <si>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</si>
  <si>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</si>
  <si>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</si>
  <si>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</si>
  <si>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</si>
  <si>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</si>
  <si>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</si>
  <si>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</si>
  <si>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</si>
  <si>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</si>
  <si>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</si>
  <si>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</si>
  <si>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</si>
  <si>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</si>
  <si>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</si>
  <si>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</si>
  <si>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</si>
  <si>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</si>
  <si>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</si>
  <si>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</si>
  <si>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</si>
  <si>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</si>
  <si>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</si>
  <si>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</si>
  <si>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</si>
  <si>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</si>
  <si>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</si>
  <si>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</si>
  <si>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</si>
  <si>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</si>
  <si>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</si>
  <si>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</si>
  <si>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</si>
  <si>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</si>
  <si>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</si>
  <si>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</si>
  <si>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</si>
  <si>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</si>
  <si>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</si>
  <si>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</si>
  <si>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</si>
  <si>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</si>
  <si>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</si>
  <si>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</si>
  <si>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</si>
  <si>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</si>
  <si>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</si>
  <si>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</si>
  <si>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</si>
  <si>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</si>
  <si>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</si>
  <si>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</si>
  <si>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</si>
  <si>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</si>
  <si>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</si>
  <si>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</si>
  <si>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</si>
  <si>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</si>
  <si>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</si>
  <si>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</si>
  <si>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</si>
  <si>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</si>
  <si>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</si>
  <si>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</si>
  <si>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</si>
  <si>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</si>
  <si>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</si>
  <si>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</si>
  <si>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</si>
  <si>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</si>
  <si>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</si>
  <si>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</si>
  <si>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</si>
  <si>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</si>
  <si>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</si>
  <si>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</si>
  <si>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</si>
  <si>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</si>
  <si>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</si>
  <si>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</si>
  <si>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</si>
  <si>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</si>
  <si>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</si>
  <si>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</si>
  <si>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</si>
  <si>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</si>
  <si>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</si>
  <si>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</si>
  <si>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</si>
  <si>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</si>
  <si>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</si>
  <si>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</si>
  <si>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</si>
  <si>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B4b</t>
  </si>
  <si>
    <t>B4a</t>
  </si>
  <si>
    <t>B2-IRRIGANTE</t>
  </si>
  <si>
    <t>B2-RURAL</t>
  </si>
  <si>
    <t>SUBGRUPO TARIFÁRIO</t>
  </si>
  <si>
    <t>Total TUSD</t>
  </si>
  <si>
    <t>Total TE</t>
  </si>
  <si>
    <t>TUSD_CDE_COVID</t>
  </si>
  <si>
    <t>TUSD_TFSEE</t>
  </si>
  <si>
    <t>TUSD_PeD</t>
  </si>
  <si>
    <t>TUSD_ONS</t>
  </si>
  <si>
    <t>TUSD_CCC</t>
  </si>
  <si>
    <t>TUSD_CDE</t>
  </si>
  <si>
    <t>TUSD_PROINFA</t>
  </si>
  <si>
    <t>Liminar1</t>
  </si>
  <si>
    <t>TUSD_RB</t>
  </si>
  <si>
    <t>TUSD_FR</t>
  </si>
  <si>
    <t>TUSD_CCT</t>
  </si>
  <si>
    <t>TUSD_CCD</t>
  </si>
  <si>
    <t>TUSD_CUSD</t>
  </si>
  <si>
    <t>TUSDG_T</t>
  </si>
  <si>
    <t>TUSDG_ONS</t>
  </si>
  <si>
    <t>TUSD_FioB</t>
  </si>
  <si>
    <t>TUSD Subsidio</t>
  </si>
  <si>
    <t>TUSD Outros</t>
  </si>
  <si>
    <t>TUSD_PT</t>
  </si>
  <si>
    <t>TUSD_Per_RB_D</t>
  </si>
  <si>
    <t>TUSD_PNT</t>
  </si>
  <si>
    <t>TUSD_RI</t>
  </si>
  <si>
    <t>TE_CDE_COVID</t>
  </si>
  <si>
    <t>TE_PeD</t>
  </si>
  <si>
    <t>TE_ESSERR</t>
  </si>
  <si>
    <t>TE_CFURH</t>
  </si>
  <si>
    <t>TE_ENERGIA</t>
  </si>
  <si>
    <t>TE_TRANSPORTE_ITAIPU</t>
  </si>
  <si>
    <t>TE_TUST_ITAIPU</t>
  </si>
  <si>
    <t>TE_TUST_CI</t>
  </si>
  <si>
    <t>TE Subsidio</t>
  </si>
  <si>
    <t>TE_Per_RB</t>
  </si>
  <si>
    <t>Baixa Renda</t>
  </si>
  <si>
    <t>Perdas</t>
  </si>
  <si>
    <t xml:space="preserve">TUSD </t>
  </si>
  <si>
    <t xml:space="preserve">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</si>
</sst>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_);[Red]\(#,##0.00\)"/>
    <numFmt numFmtId="169" formatCode="#,##0.00;[Red]#,##0.00"/>
  </numFmts>
  <fonts count="12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  <font>
      <sz val="8"/>
      <name val="Calibri"/>
      <family val="2"/>
      <scheme val="minor"/>
    </font>
    <font>
      <sz val="8"/>
      <color theme="1" tint="4.9989318521683403E-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indexed="65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5">
    <xf numFmtId="0" fontId="0" fillId="0" borderId="0" xfId="0"/>
    <xf numFmtId="0" fontId="2" fillId="0" borderId="0" xfId="0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8" xfId="0" applyNumberFormat="1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40" fontId="4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0" xfId="0" applyBorder="1"/>
    <xf numFmtId="0" fontId="0" fillId="0" borderId="13" xfId="0" applyBorder="1"/>
    <xf numFmtId="0" fontId="2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40" fontId="1" fillId="0" borderId="13" xfId="0" applyNumberFormat="1" applyFont="1" applyBorder="1" applyAlignment="1">
      <alignment horizontal="center" vertical="center"/>
    </xf>
    <xf numFmtId="165" fontId="1" fillId="0" borderId="13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3" xfId="0" applyFont="1" applyBorder="1"/>
    <xf numFmtId="0" fontId="4" fillId="0" borderId="13" xfId="0" applyFont="1" applyBorder="1"/>
    <xf numFmtId="40" fontId="1" fillId="2" borderId="0" xfId="0" applyNumberFormat="1" applyFont="1" applyFill="1" applyAlignment="1">
      <alignment horizontal="center" vertical="center"/>
    </xf>
    <xf numFmtId="40" fontId="7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4" fontId="2" fillId="0" borderId="13" xfId="0" applyNumberFormat="1" applyFont="1" applyBorder="1" applyAlignment="1">
      <alignment horizontal="center" vertical="center"/>
    </xf>
    <xf numFmtId="14" fontId="1" fillId="0" borderId="13" xfId="0" applyNumberFormat="1" applyFont="1" applyBorder="1" applyAlignment="1">
      <alignment horizontal="center" vertical="center"/>
    </xf>
    <xf numFmtId="40" fontId="3" fillId="0" borderId="13" xfId="0" applyNumberFormat="1" applyFont="1" applyBorder="1"/>
    <xf numFmtId="40" fontId="2" fillId="0" borderId="13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40" fontId="3" fillId="0" borderId="8" xfId="0" applyNumberFormat="1" applyFont="1" applyBorder="1" applyAlignment="1">
      <alignment horizontal="left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164" fontId="3" fillId="0" borderId="0" xfId="0" applyNumberFormat="1" applyFont="1"/>
    <xf numFmtId="40" fontId="3" fillId="2" borderId="1" xfId="0" applyNumberFormat="1" applyFont="1" applyFill="1" applyBorder="1" applyAlignment="1">
      <alignment vertical="center"/>
    </xf>
    <xf numFmtId="167" fontId="1" fillId="0" borderId="0" xfId="0" applyNumberFormat="1" applyFont="1" applyAlignment="1">
      <alignment horizontal="center" vertical="center"/>
    </xf>
    <xf numFmtId="40" fontId="3" fillId="2" borderId="13" xfId="0" applyNumberFormat="1" applyFont="1" applyFill="1" applyBorder="1" applyAlignment="1">
      <alignment horizontal="center" vertical="center"/>
    </xf>
    <xf numFmtId="168" fontId="3" fillId="0" borderId="0" xfId="0" applyNumberFormat="1" applyFont="1"/>
    <xf numFmtId="164" fontId="3" fillId="0" borderId="13" xfId="0" applyNumberFormat="1" applyFont="1" applyBorder="1" applyAlignment="1">
      <alignment vertical="center"/>
    </xf>
    <xf numFmtId="40" fontId="3" fillId="0" borderId="13" xfId="0" applyNumberFormat="1" applyFont="1" applyBorder="1" applyAlignment="1">
      <alignment horizontal="left" vertical="center" indent="1"/>
    </xf>
    <xf numFmtId="40" fontId="3" fillId="0" borderId="13" xfId="0" quotePrefix="1" applyNumberFormat="1" applyFont="1" applyBorder="1" applyAlignment="1">
      <alignment horizontal="left" vertical="center" indent="1"/>
    </xf>
    <xf numFmtId="0" fontId="3" fillId="0" borderId="13" xfId="0" applyFont="1" applyBorder="1" applyAlignment="1">
      <alignment vertical="center"/>
    </xf>
    <xf numFmtId="0" fontId="4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0" fontId="3" fillId="0" borderId="0" xfId="0" applyNumberFormat="1" applyFont="1"/>
    <xf numFmtId="2" fontId="8" fillId="3" borderId="15" xfId="0" applyNumberFormat="1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6" xfId="0" applyFont="1" applyFill="1" applyBorder="1" applyAlignment="1">
      <alignment horizontal="center" vertical="center"/>
    </xf>
    <xf numFmtId="40" fontId="8" fillId="3" borderId="15" xfId="0" applyNumberFormat="1" applyFont="1" applyFill="1" applyBorder="1" applyAlignment="1">
      <alignment horizontal="center" vertical="center"/>
    </xf>
    <xf numFmtId="169" fontId="8" fillId="4" borderId="0" xfId="0" applyNumberFormat="1" applyFont="1" applyFill="1" applyAlignment="1">
      <alignment horizontal="center" vertical="center"/>
    </xf>
    <xf numFmtId="4" fontId="11" fillId="6" borderId="18" xfId="0" applyNumberFormat="1" applyFont="1" applyFill="1" applyBorder="1"/>
    <xf numFmtId="4" fontId="11" fillId="6" borderId="12" xfId="0" applyNumberFormat="1" applyFont="1" applyFill="1" applyBorder="1"/>
    <xf numFmtId="4" fontId="11" fillId="6" borderId="19" xfId="0" applyNumberFormat="1" applyFont="1" applyFill="1" applyBorder="1"/>
    <xf numFmtId="4" fontId="11" fillId="6" borderId="6" xfId="0" applyNumberFormat="1" applyFont="1" applyFill="1" applyBorder="1"/>
    <xf numFmtId="4" fontId="11" fillId="6" borderId="13" xfId="0" applyNumberFormat="1" applyFont="1" applyFill="1" applyBorder="1"/>
    <xf numFmtId="4" fontId="11" fillId="6" borderId="5" xfId="0" applyNumberFormat="1" applyFont="1" applyFill="1" applyBorder="1"/>
    <xf numFmtId="4" fontId="11" fillId="6" borderId="20" xfId="0" applyNumberFormat="1" applyFont="1" applyFill="1" applyBorder="1"/>
    <xf numFmtId="4" fontId="11" fillId="6" borderId="10" xfId="0" applyNumberFormat="1" applyFont="1" applyFill="1" applyBorder="1"/>
    <xf numFmtId="4" fontId="11" fillId="6" borderId="17" xfId="0" applyNumberFormat="1" applyFont="1" applyFill="1" applyBorder="1"/>
    <xf numFmtId="4" fontId="11" fillId="6" borderId="19" xfId="0" applyNumberFormat="1" applyFont="1" applyFill="1" applyBorder="1" applyAlignment="1">
      <alignment horizontal="center"/>
    </xf>
    <xf numFmtId="4" fontId="11" fillId="6" borderId="12" xfId="0" applyNumberFormat="1" applyFont="1" applyFill="1" applyBorder="1" applyAlignment="1">
      <alignment horizont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horizontal="left" vertical="center"/>
    </xf>
    <xf numFmtId="40" fontId="4" fillId="0" borderId="10" xfId="0" applyNumberFormat="1" applyFont="1" applyBorder="1" applyAlignment="1">
      <alignment horizontal="center" vertical="center"/>
    </xf>
    <xf numFmtId="40" fontId="6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40" fontId="3" fillId="0" borderId="13" xfId="0" applyNumberFormat="1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" fontId="11" fillId="6" borderId="13" xfId="0" applyNumberFormat="1" applyFont="1" applyFill="1" applyBorder="1" applyAlignment="1">
      <alignment horizontal="center"/>
    </xf>
    <xf numFmtId="4" fontId="11" fillId="6" borderId="5" xfId="0" applyNumberFormat="1" applyFont="1" applyFill="1" applyBorder="1" applyAlignment="1">
      <alignment horizontal="center"/>
    </xf>
    <xf numFmtId="4" fontId="11" fillId="6" borderId="12" xfId="0" applyNumberFormat="1" applyFont="1" applyFill="1" applyBorder="1" applyAlignment="1">
      <alignment horizontal="center"/>
    </xf>
    <xf numFmtId="4" fontId="11" fillId="6" borderId="19" xfId="0" applyNumberFormat="1" applyFont="1" applyFill="1" applyBorder="1" applyAlignment="1">
      <alignment horizontal="center"/>
    </xf>
  </cellXfs>
  <cellStyles count="1">
    <cellStyle name="Normal" xfId="0" builtinId="0"/>
  </cellStyles>
  <dxfs count="1540"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</dxf>
    <dxf>
      <border>
        <bottom style="thin">
          <color indexed="64"/>
        </bottom>
      </border>
    </dxf>
    <dxf>
      <font>
        <b val="0"/>
        <i val="0"/>
        <strike val="0"/>
        <outline val="0"/>
        <shadow val="0"/>
        <u val="none"/>
        <vertAlign val="baseline"/>
        <sz val="8"/>
        <color theme="1" tint="4.9989318521683403E-2"/>
        <name val="Arial"/>
        <family val="2"/>
        <scheme val="none"/>
      </font>
      <numFmt numFmtId="4" formatCode="#,##0.00"/>
      <fill>
        <patternFill patternType="solid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8" formatCode="#,##0.00_);[Red]\(#,##0.00\)"/>
    </dxf>
    <dxf>
      <numFmt numFmtId="168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68" formatCode="#,##0.00_);[Red]\(#,##0.00\)"/>
    </dxf>
    <dxf>
      <numFmt numFmtId="168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68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2.674399482935599E-2</c:v>
                </c:pt>
                <c:pt idx="1">
                  <c:v>3.2112517770684491E-4</c:v>
                </c:pt>
                <c:pt idx="2">
                  <c:v>1.9500908678637284E-3</c:v>
                </c:pt>
                <c:pt idx="3">
                  <c:v>6.1920189651512145E-8</c:v>
                </c:pt>
                <c:pt idx="4">
                  <c:v>0</c:v>
                </c:pt>
                <c:pt idx="5">
                  <c:v>3.9098925043180563E-2</c:v>
                </c:pt>
                <c:pt idx="6">
                  <c:v>2.0186331026646066E-3</c:v>
                </c:pt>
                <c:pt idx="7">
                  <c:v>0</c:v>
                </c:pt>
                <c:pt idx="8">
                  <c:v>-2.0388345634777655E-3</c:v>
                </c:pt>
                <c:pt idx="9">
                  <c:v>-1.4777754988317814E-2</c:v>
                </c:pt>
                <c:pt idx="10">
                  <c:v>-8.3346212171036551E-4</c:v>
                </c:pt>
                <c:pt idx="11">
                  <c:v>0</c:v>
                </c:pt>
                <c:pt idx="12">
                  <c:v>-8.2888442357692592E-4</c:v>
                </c:pt>
                <c:pt idx="13">
                  <c:v>0</c:v>
                </c:pt>
                <c:pt idx="14">
                  <c:v>0</c:v>
                </c:pt>
                <c:pt idx="15">
                  <c:v>6.8133938431681779E-2</c:v>
                </c:pt>
                <c:pt idx="16">
                  <c:v>8.2316889889754968E-2</c:v>
                </c:pt>
                <c:pt idx="17">
                  <c:v>0</c:v>
                </c:pt>
                <c:pt idx="18">
                  <c:v>1.0577227820684525E-2</c:v>
                </c:pt>
                <c:pt idx="19">
                  <c:v>1.0719733680164428E-3</c:v>
                </c:pt>
                <c:pt idx="20">
                  <c:v>1.0316532174090315E-2</c:v>
                </c:pt>
                <c:pt idx="21">
                  <c:v>8.9259706095864456E-3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0-455E-8352-D6C8C27CF6F0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3.3060415775091438E-2</c:v>
                </c:pt>
                <c:pt idx="1">
                  <c:v>3.1379517242086802E-4</c:v>
                </c:pt>
                <c:pt idx="2">
                  <c:v>9.5367512602244483E-4</c:v>
                </c:pt>
                <c:pt idx="3">
                  <c:v>7.2786259208997346E-6</c:v>
                </c:pt>
                <c:pt idx="4">
                  <c:v>0</c:v>
                </c:pt>
                <c:pt idx="5">
                  <c:v>4.3159738113026667E-2</c:v>
                </c:pt>
                <c:pt idx="6">
                  <c:v>3.5316885184469753E-3</c:v>
                </c:pt>
                <c:pt idx="7">
                  <c:v>0</c:v>
                </c:pt>
                <c:pt idx="8">
                  <c:v>1.3481789753427056E-2</c:v>
                </c:pt>
                <c:pt idx="9">
                  <c:v>-3.363365923817984E-2</c:v>
                </c:pt>
                <c:pt idx="10">
                  <c:v>-5.8936661170889883E-4</c:v>
                </c:pt>
                <c:pt idx="11">
                  <c:v>0</c:v>
                </c:pt>
                <c:pt idx="12">
                  <c:v>-9.3536389098082822E-4</c:v>
                </c:pt>
                <c:pt idx="13">
                  <c:v>0</c:v>
                </c:pt>
                <c:pt idx="14">
                  <c:v>0</c:v>
                </c:pt>
                <c:pt idx="15">
                  <c:v>5.039880053083496E-2</c:v>
                </c:pt>
                <c:pt idx="16">
                  <c:v>8.9408843569641586E-2</c:v>
                </c:pt>
                <c:pt idx="17">
                  <c:v>0</c:v>
                </c:pt>
                <c:pt idx="18">
                  <c:v>6.7560921804614427E-3</c:v>
                </c:pt>
                <c:pt idx="19">
                  <c:v>8.6362627758430704E-4</c:v>
                </c:pt>
                <c:pt idx="20">
                  <c:v>9.6160541818381597E-3</c:v>
                </c:pt>
                <c:pt idx="21">
                  <c:v>8.3963766284561089E-3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40-455E-8352-D6C8C27CF6F0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3.3060415775091438E-2</c:v>
                </c:pt>
                <c:pt idx="1">
                  <c:v>3.1379517242086802E-4</c:v>
                </c:pt>
                <c:pt idx="2">
                  <c:v>9.5367512602244483E-4</c:v>
                </c:pt>
                <c:pt idx="3">
                  <c:v>7.2786259208997346E-6</c:v>
                </c:pt>
                <c:pt idx="4">
                  <c:v>0</c:v>
                </c:pt>
                <c:pt idx="5">
                  <c:v>4.3159738113026667E-2</c:v>
                </c:pt>
                <c:pt idx="6">
                  <c:v>3.5316885184469753E-3</c:v>
                </c:pt>
                <c:pt idx="7">
                  <c:v>0</c:v>
                </c:pt>
                <c:pt idx="8">
                  <c:v>1.3481789753427056E-2</c:v>
                </c:pt>
                <c:pt idx="9">
                  <c:v>-3.363365923817984E-2</c:v>
                </c:pt>
                <c:pt idx="10">
                  <c:v>-5.8936661170889883E-4</c:v>
                </c:pt>
                <c:pt idx="11">
                  <c:v>0</c:v>
                </c:pt>
                <c:pt idx="12">
                  <c:v>-9.3536389098082822E-4</c:v>
                </c:pt>
                <c:pt idx="13">
                  <c:v>0</c:v>
                </c:pt>
                <c:pt idx="14">
                  <c:v>0</c:v>
                </c:pt>
                <c:pt idx="15">
                  <c:v>5.039880053083496E-2</c:v>
                </c:pt>
                <c:pt idx="16">
                  <c:v>8.9408843569641586E-2</c:v>
                </c:pt>
                <c:pt idx="17">
                  <c:v>0</c:v>
                </c:pt>
                <c:pt idx="18">
                  <c:v>6.7560921804614427E-3</c:v>
                </c:pt>
                <c:pt idx="19">
                  <c:v>8.6362627758430704E-4</c:v>
                </c:pt>
                <c:pt idx="20">
                  <c:v>9.6160541818381597E-3</c:v>
                </c:pt>
                <c:pt idx="21">
                  <c:v>8.3963766284561089E-3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40-455E-8352-D6C8C27CF6F0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1740-455E-8352-D6C8C27CF6F0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1740-455E-8352-D6C8C27CF6F0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1740-455E-8352-D6C8C27CF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8867648"/>
        <c:axId val="388867320"/>
      </c:radarChart>
      <c:catAx>
        <c:axId val="388867648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88867320"/>
        <c:crosses val="autoZero"/>
        <c:auto val="1"/>
        <c:lblAlgn val="ctr"/>
        <c:lblOffset val="100"/>
        <c:noMultiLvlLbl val="0"/>
      </c:catAx>
      <c:valAx>
        <c:axId val="388867320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388867648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#,##0.00%_);[Red]\(#,##0.00%\)</c:formatCode>
                <c:ptCount val="10"/>
                <c:pt idx="0">
                  <c:v>1.7251127525889337E-3</c:v>
                </c:pt>
                <c:pt idx="1">
                  <c:v>7.4970313780077253E-3</c:v>
                </c:pt>
                <c:pt idx="2">
                  <c:v>0</c:v>
                </c:pt>
                <c:pt idx="3">
                  <c:v>0.14616373105305361</c:v>
                </c:pt>
                <c:pt idx="4">
                  <c:v>0.11983935202183271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8.0024923851519464E-2</c:v>
                </c:pt>
                <c:pt idx="9">
                  <c:v>6.1917449453971606E-3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51-4BA1-B106-30E9B4BFEAA0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#,##0.00%_);[Red]\(#,##0.00%\)</c:formatCode>
                <c:ptCount val="10"/>
                <c:pt idx="0">
                  <c:v>1.7614934634347251E-3</c:v>
                </c:pt>
                <c:pt idx="1">
                  <c:v>7.6077295428769046E-3</c:v>
                </c:pt>
                <c:pt idx="2">
                  <c:v>0</c:v>
                </c:pt>
                <c:pt idx="3">
                  <c:v>0.15044331092067575</c:v>
                </c:pt>
                <c:pt idx="4">
                  <c:v>0.11806536256907696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8.0223852622783545E-2</c:v>
                </c:pt>
                <c:pt idx="9">
                  <c:v>6.340594265181505E-3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51-4BA1-B106-30E9B4BFEAA0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#,##0.00%_);[Red]\(#,##0.00%\)</c:formatCode>
                <c:ptCount val="10"/>
                <c:pt idx="0">
                  <c:v>1.7614934634347251E-3</c:v>
                </c:pt>
                <c:pt idx="1">
                  <c:v>7.6077295428769046E-3</c:v>
                </c:pt>
                <c:pt idx="2">
                  <c:v>0</c:v>
                </c:pt>
                <c:pt idx="3">
                  <c:v>0.15044331092067575</c:v>
                </c:pt>
                <c:pt idx="4">
                  <c:v>0.11806536256907696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8.0223852622783545E-2</c:v>
                </c:pt>
                <c:pt idx="9">
                  <c:v>6.340594265181505E-3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51-4BA1-B106-30E9B4BFEAA0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0D51-4BA1-B106-30E9B4BFEAA0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0D51-4BA1-B106-30E9B4BFEAA0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0D51-4BA1-B106-30E9B4BFE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0801800"/>
        <c:axId val="390791632"/>
      </c:radarChart>
      <c:catAx>
        <c:axId val="39080180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390791632"/>
        <c:crosses val="autoZero"/>
        <c:auto val="1"/>
        <c:lblAlgn val="ctr"/>
        <c:lblOffset val="100"/>
        <c:noMultiLvlLbl val="0"/>
      </c:catAx>
      <c:valAx>
        <c:axId val="39079163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39080180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876301</xdr:colOff>
      <xdr:row>16</xdr:row>
      <xdr:rowOff>0</xdr:rowOff>
    </xdr:from>
    <xdr:to>
      <xdr:col>14</xdr:col>
      <xdr:colOff>95251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A19200E-C82E-4D20-A1F0-33D6FFCF0A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276226</xdr:colOff>
      <xdr:row>16</xdr:row>
      <xdr:rowOff>0</xdr:rowOff>
    </xdr:from>
    <xdr:to>
      <xdr:col>15</xdr:col>
      <xdr:colOff>342901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0E1AEE0-1E67-430B-8C96-22650D1431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64.482834490744" createdVersion="5" refreshedVersion="7" minRefreshableVersion="3" recordCount="703" xr:uid="{97ECED6E-5FC5-4E7C-90D9-88D60ED57F57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5">
        <s v="A3"/>
        <s v="A4"/>
        <s v="B1"/>
        <s v="B2"/>
        <s v="B3"/>
      </sharedItems>
    </cacheField>
    <cacheField name="Modalidade" numFmtId="0">
      <sharedItems count="5">
        <s v="Azul"/>
        <s v="Geração"/>
        <s v="Verde"/>
        <s v="Convencional"/>
        <s v="Branca"/>
      </sharedItems>
    </cacheField>
    <cacheField name="Classe" numFmtId="0">
      <sharedItems count="5">
        <s v="Industrial"/>
        <s v="Rural"/>
        <s v="Serviço público"/>
        <s v="Não se aplica"/>
        <s v="Residencial"/>
      </sharedItems>
    </cacheField>
    <cacheField name="Subclasse" numFmtId="0">
      <sharedItems count="8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5">
        <s v="Fonte incentivada"/>
        <s v="IRRIG./AQUIC. PR"/>
        <s v="Não se aplica"/>
        <s v="Dupla contratação"/>
        <s v="IRRIG./AQUIC."/>
      </sharedItems>
    </cacheField>
    <cacheField name="Agente" numFmtId="0">
      <sharedItems count="8">
        <s v="Não se aplica"/>
        <s v="MARITUBA"/>
        <s v="CORURIPE"/>
        <s v="BEN BIOENERGIA"/>
        <s v="UTE BIOFLEX CAETÉ"/>
        <s v="JITITUBA SANTO ANTÔNIO"/>
        <s v="SERRA GRANDE"/>
        <s v="GUSTAVO PAIV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5-01T00:00:00" maxDate="2022-04-02T00:00:00" count="12"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</sharedItems>
    </cacheField>
    <cacheField name="D" numFmtId="40">
      <sharedItems containsSemiMixedTypes="0" containsString="0" containsNumber="1" containsInteger="1" minValue="-7695" maxValue="52635"/>
    </cacheField>
    <cacheField name="Daj" numFmtId="40">
      <sharedItems containsSemiMixedTypes="0" containsString="0" containsNumber="1" minValue="-7387.2" maxValue="38697.599999999999"/>
    </cacheField>
    <cacheField name="TUSD_E" numFmtId="40">
      <sharedItems containsSemiMixedTypes="0" containsString="0" containsNumber="1" minValue="-1012.818" maxValue="99925.642999999996"/>
    </cacheField>
    <cacheField name="TUSD_Eaj" numFmtId="40">
      <sharedItems containsSemiMixedTypes="0" containsString="0" containsNumber="1" minValue="-1012.818" maxValue="99925.642999999996"/>
    </cacheField>
    <cacheField name="TE_E" numFmtId="40">
      <sharedItems containsSemiMixedTypes="0" containsString="0" containsNumber="1" minValue="-1012.818" maxValue="99925.642999999996"/>
    </cacheField>
    <cacheField name="TE_Eaj" numFmtId="40">
      <sharedItems containsSemiMixedTypes="0" containsString="0" containsNumber="1" minValue="-1012.818" maxValue="99925.642999999996"/>
    </cacheField>
    <cacheField name="UC" numFmtId="40">
      <sharedItems containsSemiMixedTypes="0" containsString="0" containsNumber="1" containsInteger="1" minValue="-265" maxValue="720359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31371"/>
    </cacheField>
    <cacheField name="CóD. AUX. TUSD R$/kW" numFmtId="0">
      <sharedItems containsSemiMixedTypes="0" containsString="0" containsNumber="1" containsInteger="1" minValue="0" maxValue="93"/>
    </cacheField>
    <cacheField name="CóD. AUX. TUSD R$/MWh" numFmtId="0">
      <sharedItems containsSemiMixedTypes="0" containsString="0" containsNumber="1" containsInteger="1" minValue="0" maxValue="94"/>
    </cacheField>
    <cacheField name="CóD. AUX. TE R$/MWh" numFmtId="0">
      <sharedItems containsSemiMixedTypes="0" containsString="0" containsNumber="1" containsInteger="1" minValue="0" maxValue="85"/>
    </cacheField>
    <cacheField name="TUSD (R$/kW)" numFmtId="40">
      <sharedItems containsSemiMixedTypes="0" containsString="0" containsNumber="1" minValue="0" maxValue="60.2"/>
    </cacheField>
    <cacheField name="TUSD (R$/MWh)" numFmtId="40">
      <sharedItems containsSemiMixedTypes="0" containsString="0" containsNumber="1" minValue="0" maxValue="1557.74"/>
    </cacheField>
    <cacheField name="TE (R$/MWh)" numFmtId="40">
      <sharedItems containsSemiMixedTypes="0" containsString="0" containsNumber="1" minValue="0" maxValue="346.61"/>
    </cacheField>
    <cacheField name="TUSD (R$/kW) NOVA" numFmtId="40">
      <sharedItems containsString="0" containsBlank="1" containsNumber="1" minValue="-124477131307.15851" maxValue="75.261961820947334"/>
    </cacheField>
    <cacheField name="TUSD (R$/MWh) NOVA" numFmtId="40">
      <sharedItems containsString="0" containsBlank="1" containsNumber="1" minValue="10064730486.617802" maxValue="28756374339.829216"/>
    </cacheField>
    <cacheField name="TE (R$/MWh) NOVA" numFmtId="40">
      <sharedItems containsString="0" containsBlank="1" containsNumber="1" minValue="103.80982310951202" maxValue="441.69177550112352"/>
    </cacheField>
    <cacheField name="SUBSIDIO kW - TV" numFmtId="40">
      <sharedItems containsSemiMixedTypes="0" containsString="0" containsNumber="1" minValue="-6725.4300000000048" maxValue="677694.10090829991"/>
    </cacheField>
    <cacheField name="SUBSIDIO MWh - TV" numFmtId="40">
      <sharedItems containsSemiMixedTypes="0" containsString="0" containsNumber="1" minValue="-98457.688439999998" maxValue="4649483.7848700006"/>
    </cacheField>
    <cacheField name="SUBSIDIO kW - TN" numFmtId="40">
      <sharedItems containsSemiMixedTypes="0" containsString="0" containsNumber="1" minValue="-1867156969607377.5" maxValue="847252.28486448003"/>
    </cacheField>
    <cacheField name="SUBSIDIO MWh - TN" numFmtId="40">
      <sharedItems containsSemiMixedTypes="0" containsString="0" containsNumber="1" minValue="-9930852294460.3008" maxValue="234740447723695.25"/>
    </cacheField>
    <cacheField name="TIPO" numFmtId="0">
      <sharedItems containsBlank="1" count="7">
        <s v="SUBSIDIO CARGA FONTE INCENTIVADA"/>
        <s v="SUBSIDIO IRRIGANTE/AQUICULTOR"/>
        <s v="SUBSIDIO RURAL"/>
        <s v="SUBSIDIO ÁGUA, ESGOTO E SANEAMENTO"/>
        <s v="SUBSIDIO GERAÇÃO FONTE INCENTIVADA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664.487958796293" createdVersion="5" refreshedVersion="7" minRefreshableVersion="3" recordCount="2011" xr:uid="{DCDCCCC6-881A-4D81-8F7F-9E04B0135B70}">
  <cacheSource type="worksheet">
    <worksheetSource name="Efeito"/>
  </cacheSource>
  <cacheFields count="36">
    <cacheField name="TipoMercado" numFmtId="0">
      <sharedItems/>
    </cacheField>
    <cacheField name="Subgrupo" numFmtId="0">
      <sharedItems count="6">
        <s v="A3"/>
        <s v="A4"/>
        <s v="B1"/>
        <s v="B2"/>
        <s v="B3"/>
        <s v="B4"/>
      </sharedItems>
    </cacheField>
    <cacheField name="Modalidade" numFmtId="0">
      <sharedItems count="6">
        <s v="Azul"/>
        <s v="Distribuição"/>
        <s v="Geração"/>
        <s v="Verde"/>
        <s v="Branca"/>
        <s v="Convencional"/>
      </sharedItems>
    </cacheField>
    <cacheField name="Classe" numFmtId="0">
      <sharedItems count="9">
        <s v="Comercial"/>
        <s v="Industrial"/>
        <s v="Rural"/>
        <s v="Serviço público"/>
        <s v="Não se aplica"/>
        <s v="Poder público"/>
        <s v="Consumo próprio"/>
        <s v="Residencial"/>
        <s v="Iluminação pública"/>
      </sharedItems>
    </cacheField>
    <cacheField name="Subclasse" numFmtId="0">
      <sharedItems count="9">
        <s v="Não se aplica"/>
        <s v="Agropecuária rural"/>
        <s v="Água, esgoto e saneamento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6">
        <s v="Não se aplica"/>
        <s v="APE"/>
        <s v="Fonte incentivada"/>
        <s v="IRRIG./AQUIC. PR"/>
        <s v="Dupla contratação"/>
        <s v="IRRIG./AQUIC."/>
      </sharedItems>
    </cacheField>
    <cacheField name="Agente" numFmtId="0">
      <sharedItems count="9">
        <s v="Não se aplica"/>
        <s v="Celpe"/>
        <s v="MARITUBA"/>
        <s v="CORURIPE"/>
        <s v="BEN BIOENERGIA"/>
        <s v="UTE BIOFLEX CAETÉ"/>
        <s v="JITITUBA SANTO ANTÔNIO"/>
        <s v="SERRA GRANDE"/>
        <s v="GUSTAVO PAIVA"/>
      </sharedItems>
    </cacheField>
    <cacheField name="Posto" numFmtId="0">
      <sharedItems count="4">
        <s v="Fora ponta"/>
        <s v="Não se aplica"/>
        <s v="Ponta"/>
        <s v="Intermediário"/>
      </sharedItems>
    </cacheField>
    <cacheField name="AnoMes" numFmtId="14">
      <sharedItems containsSemiMixedTypes="0" containsNonDate="0" containsDate="1" containsString="0" minDate="2021-05-01T00:00:00" maxDate="2022-04-02T00:00:00" count="12"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</sharedItems>
    </cacheField>
    <cacheField name="D" numFmtId="40">
      <sharedItems containsSemiMixedTypes="0" containsString="0" containsNumber="1" containsInteger="1" minValue="-7695" maxValue="91016"/>
    </cacheField>
    <cacheField name="Daj" numFmtId="40">
      <sharedItems containsSemiMixedTypes="0" containsString="0" containsNumber="1" minValue="-7695" maxValue="91016"/>
    </cacheField>
    <cacheField name="TUSD_E" numFmtId="40">
      <sharedItems containsSemiMixedTypes="0" containsString="0" containsNumber="1" minValue="-1709.421" maxValue="103690.25900000001"/>
    </cacheField>
    <cacheField name="TUSD_Eaj" numFmtId="40">
      <sharedItems containsSemiMixedTypes="0" containsString="0" containsNumber="1" minValue="-1709.421" maxValue="103690.25900000001"/>
    </cacheField>
    <cacheField name="TE_E" numFmtId="40">
      <sharedItems containsSemiMixedTypes="0" containsString="0" containsNumber="1" minValue="-1709.421" maxValue="103690.25900000001"/>
    </cacheField>
    <cacheField name="TE_Eaj" numFmtId="40">
      <sharedItems containsSemiMixedTypes="0" containsString="0" containsNumber="1" minValue="-1709.421" maxValue="103690.25900000001"/>
    </cacheField>
    <cacheField name="UC" numFmtId="40">
      <sharedItems containsSemiMixedTypes="0" containsString="0" containsNumber="1" containsInteger="1" minValue="-12795" maxValue="720359"/>
    </cacheField>
    <cacheField name="OPÇÃO" numFmtId="0">
      <sharedItems count="5">
        <s v="CATIVO"/>
        <s v="LIVRE"/>
        <s v="LIVRE APE"/>
        <s v="DISTRIBUIÇÃO"/>
        <s v="GERAÇÃO"/>
      </sharedItems>
    </cacheField>
    <cacheField name="CóD. AUX." numFmtId="0">
      <sharedItems containsSemiMixedTypes="0" containsString="0" containsNumber="1" containsInteger="1" minValue="0" maxValue="31371"/>
    </cacheField>
    <cacheField name="CóD. AUX. TUSD R$/kW" numFmtId="40">
      <sharedItems containsSemiMixedTypes="0" containsString="0" containsNumber="1" containsInteger="1" minValue="0" maxValue="97"/>
    </cacheField>
    <cacheField name="CóD. AUX. TUSD R$/MWh" numFmtId="40">
      <sharedItems containsSemiMixedTypes="0" containsString="0" containsNumber="1" containsInteger="1" minValue="0" maxValue="98"/>
    </cacheField>
    <cacheField name="CóD. AUX. TE R$/MWh" numFmtId="40">
      <sharedItems containsSemiMixedTypes="0" containsString="0" containsNumber="1" containsInteger="1" minValue="0" maxValue="85"/>
    </cacheField>
    <cacheField name="TUSD (R$/kW)" numFmtId="40">
      <sharedItems containsSemiMixedTypes="0" containsString="0" containsNumber="1" minValue="0" maxValue="60.2"/>
    </cacheField>
    <cacheField name="TUSD (R$/MWh)" numFmtId="40">
      <sharedItems containsSemiMixedTypes="0" containsString="0" containsNumber="1" minValue="0" maxValue="1557.74"/>
    </cacheField>
    <cacheField name="TE (R$/MWh)" numFmtId="40">
      <sharedItems containsSemiMixedTypes="0" containsString="0" containsNumber="1" minValue="0" maxValue="346.61"/>
    </cacheField>
    <cacheField name="TUSD (R$/kW) NOVA" numFmtId="40">
      <sharedItems containsString="0" containsBlank="1" containsNumber="1" minValue="15.110218248914832" maxValue="74.915369220436304"/>
    </cacheField>
    <cacheField name="TUSD (R$/MWh) NOVA" numFmtId="40">
      <sharedItems containsString="0" containsBlank="1" containsNumber="1" minValue="8.0812089192940917" maxValue="1938.4308905871562"/>
    </cacheField>
    <cacheField name="TE (R$/MWh) NOVA" numFmtId="40">
      <sharedItems containsString="0" containsBlank="1" containsNumber="1" minValue="103.80982312440176" maxValue="441.69177554366559"/>
    </cacheField>
    <cacheField name="RA0 ou RV - TUSD (kW)" numFmtId="40">
      <sharedItems containsSemiMixedTypes="0" containsString="0" containsNumber="1" minValue="-161410.32" maxValue="1988699.6"/>
    </cacheField>
    <cacheField name="RA0 ou RV - TUSD (MWh)" numFmtId="40">
      <sharedItems containsSemiMixedTypes="0" containsString="0" containsNumber="1" minValue="-676212.75917999994" maxValue="41017792.655220002"/>
    </cacheField>
    <cacheField name="RA0 ou RV - TE (MWh)" numFmtId="40">
      <sharedItems containsSemiMixedTypes="0" containsString="0" containsNumber="1" minValue="-394072.82313000003" maxValue="23903715.407270003"/>
    </cacheField>
    <cacheField name="RA1 ou RRD - TUSD (kW)" numFmtId="40">
      <sharedItems containsSemiMixedTypes="0" containsString="0" containsNumber="1" minValue="-220190.61121669272" maxValue="2528159.731812045"/>
    </cacheField>
    <cacheField name="RA1 ou RRD - TUSD (MWh)" numFmtId="40">
      <sharedItems containsSemiMixedTypes="0" containsString="0" containsNumber="1" minValue="-841395.73123927042" maxValue="51037480.698841505"/>
    </cacheField>
    <cacheField name="RA1 ou RRD - TE (MWh)" numFmtId="40">
      <sharedItems containsSemiMixedTypes="0" containsString="0" containsNumber="1" minValue="-507013.40472896566" maxValue="30754478.418609738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3">
  <r>
    <s v="Regular"/>
    <x v="0"/>
    <x v="0"/>
    <x v="0"/>
    <x v="0"/>
    <x v="0"/>
    <x v="0"/>
    <x v="0"/>
    <x v="0"/>
    <n v="7000"/>
    <n v="10.4559000000003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106450.756643"/>
    <n v="0"/>
    <n v="154379.76379910985"/>
    <n v="0"/>
    <x v="0"/>
  </r>
  <r>
    <s v="Regular"/>
    <x v="0"/>
    <x v="0"/>
    <x v="0"/>
    <x v="0"/>
    <x v="0"/>
    <x v="0"/>
    <x v="0"/>
    <x v="1"/>
    <n v="7000"/>
    <n v="5.6000000000001604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106524.712"/>
    <n v="0"/>
    <n v="154487.01724573047"/>
    <n v="0"/>
    <x v="0"/>
  </r>
  <r>
    <s v="Regular"/>
    <x v="0"/>
    <x v="0"/>
    <x v="0"/>
    <x v="0"/>
    <x v="0"/>
    <x v="0"/>
    <x v="0"/>
    <x v="2"/>
    <n v="7000"/>
    <n v="5.6000000000001604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106524.712"/>
    <n v="0"/>
    <n v="154487.01724573047"/>
    <n v="0"/>
    <x v="0"/>
  </r>
  <r>
    <s v="Regular"/>
    <x v="0"/>
    <x v="0"/>
    <x v="0"/>
    <x v="0"/>
    <x v="0"/>
    <x v="0"/>
    <x v="0"/>
    <x v="3"/>
    <n v="7000"/>
    <n v="0.70000000000069995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106599.33899999999"/>
    <n v="0"/>
    <n v="154595.24473979775"/>
    <n v="0"/>
    <x v="0"/>
  </r>
  <r>
    <s v="Regular"/>
    <x v="0"/>
    <x v="0"/>
    <x v="0"/>
    <x v="0"/>
    <x v="0"/>
    <x v="0"/>
    <x v="0"/>
    <x v="4"/>
    <n v="7000"/>
    <n v="5.6000000000001604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106524.712"/>
    <n v="0"/>
    <n v="154487.01724573047"/>
    <n v="0"/>
    <x v="0"/>
  </r>
  <r>
    <s v="Regular"/>
    <x v="0"/>
    <x v="0"/>
    <x v="0"/>
    <x v="0"/>
    <x v="0"/>
    <x v="0"/>
    <x v="0"/>
    <x v="5"/>
    <n v="7000"/>
    <n v="0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106610"/>
    <n v="0"/>
    <n v="154610.7058103788"/>
    <n v="0"/>
    <x v="0"/>
  </r>
  <r>
    <s v="Regular"/>
    <x v="0"/>
    <x v="0"/>
    <x v="0"/>
    <x v="0"/>
    <x v="0"/>
    <x v="0"/>
    <x v="0"/>
    <x v="6"/>
    <n v="7000"/>
    <n v="0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106610"/>
    <n v="0"/>
    <n v="154610.7058103788"/>
    <n v="0"/>
    <x v="0"/>
  </r>
  <r>
    <s v="Regular"/>
    <x v="0"/>
    <x v="0"/>
    <x v="0"/>
    <x v="0"/>
    <x v="0"/>
    <x v="0"/>
    <x v="0"/>
    <x v="7"/>
    <n v="13742"/>
    <n v="6871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104645.33"/>
    <n v="0"/>
    <n v="151761.45137473039"/>
    <n v="0"/>
    <x v="0"/>
  </r>
  <r>
    <s v="Regular"/>
    <x v="0"/>
    <x v="0"/>
    <x v="0"/>
    <x v="0"/>
    <x v="0"/>
    <x v="0"/>
    <x v="0"/>
    <x v="8"/>
    <n v="7022"/>
    <n v="3511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53472.53"/>
    <n v="0"/>
    <n v="77548.312585748557"/>
    <n v="0"/>
    <x v="0"/>
  </r>
  <r>
    <s v="Regular"/>
    <x v="0"/>
    <x v="0"/>
    <x v="0"/>
    <x v="0"/>
    <x v="0"/>
    <x v="0"/>
    <x v="0"/>
    <x v="9"/>
    <n v="10565"/>
    <n v="5282.5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80452.475000000006"/>
    <n v="0"/>
    <n v="116675.864777618"/>
    <n v="0"/>
    <x v="0"/>
  </r>
  <r>
    <s v="Regular"/>
    <x v="0"/>
    <x v="0"/>
    <x v="0"/>
    <x v="0"/>
    <x v="0"/>
    <x v="0"/>
    <x v="0"/>
    <x v="10"/>
    <n v="10565"/>
    <n v="5282.5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80452.475000000006"/>
    <n v="0"/>
    <n v="116675.864777618"/>
    <n v="0"/>
    <x v="0"/>
  </r>
  <r>
    <s v="PROJETADO"/>
    <x v="0"/>
    <x v="0"/>
    <x v="0"/>
    <x v="0"/>
    <x v="0"/>
    <x v="0"/>
    <x v="0"/>
    <x v="11"/>
    <n v="10565"/>
    <n v="5282.5"/>
    <n v="0"/>
    <n v="0"/>
    <n v="0"/>
    <n v="0"/>
    <n v="0"/>
    <s v="LIVRE"/>
    <n v="0"/>
    <n v="93"/>
    <n v="0"/>
    <n v="0"/>
    <n v="15.23"/>
    <n v="0"/>
    <n v="0"/>
    <n v="22.08724368719697"/>
    <n v="28756372469.298737"/>
    <m/>
    <n v="80452.475000000006"/>
    <n v="0"/>
    <n v="116675.864777618"/>
    <n v="0"/>
    <x v="0"/>
  </r>
  <r>
    <s v="Regular"/>
    <x v="0"/>
    <x v="0"/>
    <x v="0"/>
    <x v="0"/>
    <x v="0"/>
    <x v="0"/>
    <x v="1"/>
    <x v="0"/>
    <n v="0"/>
    <n v="0"/>
    <n v="574.60900000000004"/>
    <n v="574.60900000000004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1"/>
    <n v="0"/>
    <n v="0"/>
    <n v="540.64800000000002"/>
    <n v="540.64800000000002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2"/>
    <n v="0"/>
    <n v="0"/>
    <n v="572.745"/>
    <n v="572.745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3"/>
    <n v="0"/>
    <n v="0"/>
    <n v="682.30899999999997"/>
    <n v="682.30899999999997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4"/>
    <n v="0"/>
    <n v="0"/>
    <n v="463.755"/>
    <n v="463.755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5"/>
    <n v="0"/>
    <n v="0"/>
    <n v="42.067"/>
    <n v="42.067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6"/>
    <n v="0"/>
    <n v="0"/>
    <n v="34.969000000000001"/>
    <n v="34.969000000000001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7"/>
    <n v="0"/>
    <n v="0"/>
    <n v="8297.3130000000001"/>
    <n v="8297.3130000000001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8"/>
    <n v="0"/>
    <n v="0"/>
    <n v="3571.835"/>
    <n v="3571.835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9"/>
    <n v="0"/>
    <n v="0"/>
    <n v="2942.058"/>
    <n v="2942.058"/>
    <n v="0"/>
    <n v="0"/>
    <n v="2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1"/>
    <x v="10"/>
    <n v="0"/>
    <n v="0"/>
    <n v="3532.6480000000001"/>
    <n v="3532.6480000000001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PROJETADO"/>
    <x v="0"/>
    <x v="0"/>
    <x v="0"/>
    <x v="0"/>
    <x v="0"/>
    <x v="0"/>
    <x v="1"/>
    <x v="11"/>
    <n v="0"/>
    <n v="0"/>
    <n v="3532.6480000000001"/>
    <n v="3532.6480000000001"/>
    <n v="0"/>
    <n v="0"/>
    <n v="1"/>
    <s v="LIVRE"/>
    <n v="0"/>
    <n v="0"/>
    <n v="94"/>
    <n v="0"/>
    <n v="0"/>
    <n v="65.13"/>
    <n v="0"/>
    <m/>
    <n v="28756372469.298737"/>
    <m/>
    <n v="0"/>
    <n v="0"/>
    <n v="0"/>
    <n v="0"/>
    <x v="0"/>
  </r>
  <r>
    <s v="Regular"/>
    <x v="0"/>
    <x v="0"/>
    <x v="0"/>
    <x v="0"/>
    <x v="0"/>
    <x v="0"/>
    <x v="2"/>
    <x v="0"/>
    <n v="5000"/>
    <n v="7.4685499999999099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2102.382167"/>
    <n v="0"/>
    <n v="179754.873725743"/>
    <n v="0"/>
    <x v="0"/>
  </r>
  <r>
    <s v="Regular"/>
    <x v="0"/>
    <x v="0"/>
    <x v="0"/>
    <x v="0"/>
    <x v="0"/>
    <x v="0"/>
    <x v="2"/>
    <x v="1"/>
    <n v="5000"/>
    <n v="4.0000000000001101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2194.16"/>
    <n v="0"/>
    <n v="179879.75802011462"/>
    <n v="0"/>
    <x v="0"/>
  </r>
  <r>
    <s v="Regular"/>
    <x v="0"/>
    <x v="0"/>
    <x v="0"/>
    <x v="0"/>
    <x v="0"/>
    <x v="0"/>
    <x v="2"/>
    <x v="2"/>
    <n v="5000"/>
    <n v="4.0000000000001101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2194.16"/>
    <n v="0"/>
    <n v="179879.75802011462"/>
    <n v="0"/>
    <x v="0"/>
  </r>
  <r>
    <s v="Regular"/>
    <x v="0"/>
    <x v="0"/>
    <x v="0"/>
    <x v="0"/>
    <x v="0"/>
    <x v="0"/>
    <x v="2"/>
    <x v="3"/>
    <n v="5000"/>
    <n v="0.50000000000050004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2286.76999999999"/>
    <n v="0"/>
    <n v="180005.7746640438"/>
    <n v="0"/>
    <x v="0"/>
  </r>
  <r>
    <s v="Regular"/>
    <x v="0"/>
    <x v="0"/>
    <x v="0"/>
    <x v="0"/>
    <x v="0"/>
    <x v="0"/>
    <x v="2"/>
    <x v="4"/>
    <n v="5000"/>
    <n v="4.0000000000001101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2194.16"/>
    <n v="0"/>
    <n v="179879.75802011462"/>
    <n v="0"/>
    <x v="0"/>
  </r>
  <r>
    <s v="Regular"/>
    <x v="0"/>
    <x v="0"/>
    <x v="0"/>
    <x v="0"/>
    <x v="0"/>
    <x v="0"/>
    <x v="2"/>
    <x v="5"/>
    <n v="5000"/>
    <n v="0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2300"/>
    <n v="0"/>
    <n v="180023.77704174802"/>
    <n v="0"/>
    <x v="0"/>
  </r>
  <r>
    <s v="Regular"/>
    <x v="0"/>
    <x v="0"/>
    <x v="0"/>
    <x v="0"/>
    <x v="0"/>
    <x v="0"/>
    <x v="2"/>
    <x v="6"/>
    <n v="5000"/>
    <n v="0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2300"/>
    <n v="0"/>
    <n v="180023.77704174802"/>
    <n v="0"/>
    <x v="0"/>
  </r>
  <r>
    <s v="Regular"/>
    <x v="0"/>
    <x v="0"/>
    <x v="0"/>
    <x v="0"/>
    <x v="0"/>
    <x v="0"/>
    <x v="2"/>
    <x v="7"/>
    <n v="13389"/>
    <n v="6694.5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77136.47"/>
    <n v="0"/>
    <n v="241033.83508119642"/>
    <n v="0"/>
    <x v="0"/>
  </r>
  <r>
    <s v="Regular"/>
    <x v="0"/>
    <x v="0"/>
    <x v="0"/>
    <x v="0"/>
    <x v="0"/>
    <x v="0"/>
    <x v="2"/>
    <x v="8"/>
    <n v="6770"/>
    <n v="3385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89567.1"/>
    <n v="0"/>
    <n v="121876.09705726341"/>
    <n v="0"/>
    <x v="0"/>
  </r>
  <r>
    <s v="Regular"/>
    <x v="0"/>
    <x v="0"/>
    <x v="0"/>
    <x v="0"/>
    <x v="0"/>
    <x v="0"/>
    <x v="2"/>
    <x v="9"/>
    <n v="10565"/>
    <n v="5282.5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9774.95000000001"/>
    <n v="0"/>
    <n v="190195.12044460679"/>
    <n v="0"/>
    <x v="0"/>
  </r>
  <r>
    <s v="Regular"/>
    <x v="0"/>
    <x v="0"/>
    <x v="0"/>
    <x v="0"/>
    <x v="0"/>
    <x v="0"/>
    <x v="2"/>
    <x v="10"/>
    <n v="10565"/>
    <n v="5282.5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9774.95000000001"/>
    <n v="0"/>
    <n v="190195.12044460679"/>
    <n v="0"/>
    <x v="0"/>
  </r>
  <r>
    <s v="PROJETADO"/>
    <x v="0"/>
    <x v="0"/>
    <x v="0"/>
    <x v="0"/>
    <x v="0"/>
    <x v="0"/>
    <x v="2"/>
    <x v="11"/>
    <n v="10565"/>
    <n v="5282.5"/>
    <n v="0"/>
    <n v="0"/>
    <n v="0"/>
    <n v="0"/>
    <n v="0"/>
    <s v="LIVRE"/>
    <n v="0"/>
    <n v="92"/>
    <n v="0"/>
    <n v="0"/>
    <n v="26.46"/>
    <n v="0"/>
    <n v="0"/>
    <n v="36.004755408349602"/>
    <n v="28756372469.298737"/>
    <m/>
    <n v="139774.95000000001"/>
    <n v="0"/>
    <n v="190195.12044460679"/>
    <n v="0"/>
    <x v="0"/>
  </r>
  <r>
    <s v="Regular"/>
    <x v="0"/>
    <x v="0"/>
    <x v="1"/>
    <x v="1"/>
    <x v="1"/>
    <x v="0"/>
    <x v="0"/>
    <x v="0"/>
    <n v="0"/>
    <n v="0"/>
    <n v="398.63400000000001"/>
    <n v="39.863399999999999"/>
    <n v="398.63400000000001"/>
    <n v="39.863399999999999"/>
    <n v="0"/>
    <s v="CATIVO"/>
    <n v="0"/>
    <n v="0"/>
    <n v="94"/>
    <n v="48"/>
    <n v="0"/>
    <n v="65.13"/>
    <n v="219.97"/>
    <n v="22.08724368719697"/>
    <n v="28756372469.298737"/>
    <n v="283.40928724383144"/>
    <n v="0"/>
    <n v="102285.49806"/>
    <n v="0"/>
    <n v="10316941106312.709"/>
    <x v="1"/>
  </r>
  <r>
    <s v="Regular"/>
    <x v="0"/>
    <x v="0"/>
    <x v="1"/>
    <x v="1"/>
    <x v="1"/>
    <x v="0"/>
    <x v="0"/>
    <x v="1"/>
    <n v="0"/>
    <n v="0"/>
    <n v="396.06299999999999"/>
    <n v="39.606299999999997"/>
    <n v="396.06299999999999"/>
    <n v="39.606299999999997"/>
    <n v="0"/>
    <s v="CATIVO"/>
    <n v="0"/>
    <n v="0"/>
    <n v="94"/>
    <n v="48"/>
    <n v="0"/>
    <n v="65.13"/>
    <n v="219.97"/>
    <n v="22.08724368719697"/>
    <n v="28756372469.298737"/>
    <n v="283.40928724383144"/>
    <n v="0"/>
    <n v="101625.80517000001"/>
    <n v="0"/>
    <n v="10250401735400.219"/>
    <x v="1"/>
  </r>
  <r>
    <s v="Regular"/>
    <x v="0"/>
    <x v="0"/>
    <x v="1"/>
    <x v="1"/>
    <x v="1"/>
    <x v="0"/>
    <x v="0"/>
    <x v="2"/>
    <n v="0"/>
    <n v="0"/>
    <n v="778.96299999999997"/>
    <n v="77.896299999999997"/>
    <n v="778.96299999999997"/>
    <n v="77.896299999999997"/>
    <n v="0"/>
    <s v="CATIVO"/>
    <n v="0"/>
    <n v="0"/>
    <n v="94"/>
    <n v="48"/>
    <n v="0"/>
    <n v="65.13"/>
    <n v="219.97"/>
    <n v="22.08724368719697"/>
    <n v="28756372469.298737"/>
    <n v="283.40928724383144"/>
    <n v="0"/>
    <n v="199874.11616999999"/>
    <n v="0"/>
    <n v="20160135349710.93"/>
    <x v="1"/>
  </r>
  <r>
    <s v="Regular"/>
    <x v="0"/>
    <x v="0"/>
    <x v="1"/>
    <x v="1"/>
    <x v="1"/>
    <x v="0"/>
    <x v="0"/>
    <x v="3"/>
    <n v="0"/>
    <n v="0"/>
    <n v="152.744"/>
    <n v="15.2744"/>
    <n v="152.744"/>
    <n v="15.2744"/>
    <n v="0"/>
    <s v="CATIVO"/>
    <n v="0"/>
    <n v="0"/>
    <n v="94"/>
    <n v="48"/>
    <n v="0"/>
    <n v="65.13"/>
    <n v="219.97"/>
    <n v="22.08724368719697"/>
    <n v="28756372469.298737"/>
    <n v="283.40928724383144"/>
    <n v="0"/>
    <n v="39192.58296"/>
    <n v="0"/>
    <n v="3953127059765.6709"/>
    <x v="1"/>
  </r>
  <r>
    <s v="Refaturamento - Regular"/>
    <x v="0"/>
    <x v="0"/>
    <x v="1"/>
    <x v="1"/>
    <x v="1"/>
    <x v="0"/>
    <x v="0"/>
    <x v="3"/>
    <n v="0"/>
    <n v="0"/>
    <n v="-383.71600000000001"/>
    <n v="-38.371600000000001"/>
    <n v="-383.71600000000001"/>
    <n v="-38.371600000000001"/>
    <n v="0"/>
    <s v="CATIVO"/>
    <n v="0"/>
    <n v="0"/>
    <n v="94"/>
    <n v="48"/>
    <n v="0"/>
    <n v="65.13"/>
    <n v="219.97"/>
    <n v="22.08724368719697"/>
    <n v="28756372469.298737"/>
    <n v="283.40928724383144"/>
    <n v="0"/>
    <n v="-98457.688439999998"/>
    <n v="0"/>
    <n v="-9930852294460.3008"/>
    <x v="1"/>
  </r>
  <r>
    <s v="Regular"/>
    <x v="0"/>
    <x v="0"/>
    <x v="1"/>
    <x v="1"/>
    <x v="1"/>
    <x v="0"/>
    <x v="0"/>
    <x v="4"/>
    <n v="0"/>
    <n v="0"/>
    <n v="2586.7269999999999"/>
    <n v="258.67270000000002"/>
    <n v="2586.7269999999999"/>
    <n v="258.67270000000002"/>
    <n v="0"/>
    <s v="CATIVO"/>
    <n v="0"/>
    <n v="0"/>
    <n v="94"/>
    <n v="48"/>
    <n v="0"/>
    <n v="65.13"/>
    <n v="219.97"/>
    <n v="22.08724368719697"/>
    <n v="28756372469.298737"/>
    <n v="283.40928724383144"/>
    <n v="0"/>
    <n v="663728.28092999989"/>
    <n v="0"/>
    <n v="66946397239344.75"/>
    <x v="1"/>
  </r>
  <r>
    <s v="Regular"/>
    <x v="0"/>
    <x v="0"/>
    <x v="1"/>
    <x v="1"/>
    <x v="1"/>
    <x v="0"/>
    <x v="0"/>
    <x v="5"/>
    <n v="0"/>
    <n v="0"/>
    <n v="6206.6970000000001"/>
    <n v="620.66970000000003"/>
    <n v="6206.6970000000001"/>
    <n v="620.66970000000003"/>
    <n v="0"/>
    <s v="CATIVO"/>
    <n v="0"/>
    <n v="0"/>
    <n v="94"/>
    <n v="48"/>
    <n v="0"/>
    <n v="65.13"/>
    <n v="219.97"/>
    <n v="22.08724368719697"/>
    <n v="28756372469.298737"/>
    <n v="283.40928724383144"/>
    <n v="0"/>
    <n v="1592576.38323"/>
    <n v="0"/>
    <n v="160633883245603.19"/>
    <x v="1"/>
  </r>
  <r>
    <s v="Regular"/>
    <x v="0"/>
    <x v="0"/>
    <x v="1"/>
    <x v="1"/>
    <x v="1"/>
    <x v="0"/>
    <x v="0"/>
    <x v="6"/>
    <n v="0"/>
    <n v="0"/>
    <n v="6926.8459999999995"/>
    <n v="692.68460000000005"/>
    <n v="6926.8459999999995"/>
    <n v="692.68460000000005"/>
    <n v="0"/>
    <s v="CATIVO"/>
    <n v="0"/>
    <n v="0"/>
    <n v="94"/>
    <n v="48"/>
    <n v="0"/>
    <n v="65.13"/>
    <n v="219.97"/>
    <n v="22.08724368719697"/>
    <n v="28756372469.298737"/>
    <n v="283.40928724383144"/>
    <n v="0"/>
    <n v="1777359.4151399997"/>
    <n v="0"/>
    <n v="179271869018944.09"/>
    <x v="1"/>
  </r>
  <r>
    <s v="Regular"/>
    <x v="0"/>
    <x v="0"/>
    <x v="1"/>
    <x v="1"/>
    <x v="1"/>
    <x v="0"/>
    <x v="0"/>
    <x v="7"/>
    <n v="0"/>
    <n v="0"/>
    <n v="6748.4269999999997"/>
    <n v="674.84270000000004"/>
    <n v="6748.4269999999997"/>
    <n v="674.84270000000004"/>
    <n v="0"/>
    <s v="CATIVO"/>
    <n v="0"/>
    <n v="0"/>
    <n v="94"/>
    <n v="48"/>
    <n v="0"/>
    <n v="65.13"/>
    <n v="219.97"/>
    <n v="22.08724368719697"/>
    <n v="28756372469.298737"/>
    <n v="283.40928724383144"/>
    <n v="0"/>
    <n v="1731578.8839299998"/>
    <n v="0"/>
    <n v="174654254075795.22"/>
    <x v="1"/>
  </r>
  <r>
    <s v="Regular"/>
    <x v="0"/>
    <x v="0"/>
    <x v="1"/>
    <x v="1"/>
    <x v="1"/>
    <x v="0"/>
    <x v="0"/>
    <x v="8"/>
    <n v="0"/>
    <n v="0"/>
    <n v="5667.16"/>
    <n v="566.71600000000001"/>
    <n v="5667.16"/>
    <n v="566.71600000000001"/>
    <n v="0"/>
    <s v="CATIVO"/>
    <n v="0"/>
    <n v="0"/>
    <n v="94"/>
    <n v="48"/>
    <n v="0"/>
    <n v="65.13"/>
    <n v="219.97"/>
    <n v="22.08724368719697"/>
    <n v="28756372469.298737"/>
    <n v="283.40928724383144"/>
    <n v="0"/>
    <n v="1454136.5843999998"/>
    <n v="0"/>
    <n v="146670268868313.09"/>
    <x v="1"/>
  </r>
  <r>
    <s v="Regular"/>
    <x v="0"/>
    <x v="0"/>
    <x v="1"/>
    <x v="1"/>
    <x v="1"/>
    <x v="0"/>
    <x v="0"/>
    <x v="9"/>
    <n v="0"/>
    <n v="0"/>
    <n v="5531.8760000000002"/>
    <n v="553.18759999999997"/>
    <n v="5531.8760000000002"/>
    <n v="553.18759999999997"/>
    <n v="0"/>
    <s v="CATIVO"/>
    <n v="0"/>
    <n v="0"/>
    <n v="94"/>
    <n v="48"/>
    <n v="0"/>
    <n v="65.13"/>
    <n v="219.97"/>
    <n v="22.08724368719697"/>
    <n v="28756372469.298737"/>
    <n v="283.40928724383144"/>
    <n v="0"/>
    <n v="1419424.0628399998"/>
    <n v="0"/>
    <n v="143169019449983.5"/>
    <x v="1"/>
  </r>
  <r>
    <s v="Regular"/>
    <x v="0"/>
    <x v="0"/>
    <x v="1"/>
    <x v="1"/>
    <x v="1"/>
    <x v="0"/>
    <x v="0"/>
    <x v="10"/>
    <n v="0"/>
    <n v="0"/>
    <n v="2837.616"/>
    <n v="283.76159999999999"/>
    <n v="2837.616"/>
    <n v="283.76159999999999"/>
    <n v="0"/>
    <s v="CATIVO"/>
    <n v="0"/>
    <n v="0"/>
    <n v="94"/>
    <n v="48"/>
    <n v="0"/>
    <n v="65.13"/>
    <n v="219.97"/>
    <n v="22.08724368719697"/>
    <n v="28756372469.298737"/>
    <n v="283.40928724383144"/>
    <n v="0"/>
    <n v="728103.88944000006"/>
    <n v="0"/>
    <n v="73439589082543.516"/>
    <x v="1"/>
  </r>
  <r>
    <s v="PROJETADO"/>
    <x v="0"/>
    <x v="0"/>
    <x v="1"/>
    <x v="1"/>
    <x v="1"/>
    <x v="0"/>
    <x v="0"/>
    <x v="11"/>
    <n v="0"/>
    <n v="0"/>
    <n v="2837.616"/>
    <n v="283.76159999999999"/>
    <n v="2837.616"/>
    <n v="283.76159999999999"/>
    <n v="0"/>
    <s v="CATIVO"/>
    <n v="0"/>
    <n v="0"/>
    <n v="94"/>
    <n v="48"/>
    <n v="0"/>
    <n v="65.13"/>
    <n v="219.97"/>
    <n v="22.08724368719697"/>
    <n v="28756372469.298737"/>
    <n v="283.40928724383144"/>
    <n v="0"/>
    <n v="728103.88944000006"/>
    <n v="0"/>
    <n v="73439589082543.516"/>
    <x v="1"/>
  </r>
  <r>
    <s v="Regular"/>
    <x v="0"/>
    <x v="0"/>
    <x v="1"/>
    <x v="1"/>
    <x v="2"/>
    <x v="0"/>
    <x v="0"/>
    <x v="0"/>
    <n v="6202"/>
    <n v="5953.92"/>
    <n v="736.85199999999998"/>
    <n v="707.37792000000002"/>
    <n v="736.85199999999998"/>
    <n v="707.37792000000002"/>
    <n v="0"/>
    <s v="CATIVO"/>
    <n v="0"/>
    <n v="93"/>
    <n v="94"/>
    <n v="48"/>
    <n v="15.23"/>
    <n v="65.13"/>
    <n v="219.97"/>
    <n v="22.08724368719697"/>
    <n v="28756372469.298737"/>
    <n v="283.40928724383144"/>
    <n v="3778.2583999999988"/>
    <n v="8403.0602079999881"/>
    <n v="5479.4034139198229"/>
    <n v="847567631023.13538"/>
    <x v="2"/>
  </r>
  <r>
    <s v="Regular"/>
    <x v="0"/>
    <x v="0"/>
    <x v="1"/>
    <x v="1"/>
    <x v="2"/>
    <x v="0"/>
    <x v="0"/>
    <x v="1"/>
    <n v="5712"/>
    <n v="5483.52"/>
    <n v="681.64200000000005"/>
    <n v="654.37631999999996"/>
    <n v="681.64200000000005"/>
    <n v="654.37631999999996"/>
    <n v="0"/>
    <s v="CATIVO"/>
    <n v="0"/>
    <n v="93"/>
    <n v="94"/>
    <n v="48"/>
    <n v="15.23"/>
    <n v="65.13"/>
    <n v="219.97"/>
    <n v="22.08724368719697"/>
    <n v="28756372469.298737"/>
    <n v="283.40928724383144"/>
    <n v="3479.7503999999935"/>
    <n v="7773.4453680000252"/>
    <n v="5046.4934376507545"/>
    <n v="784062057436.05859"/>
    <x v="2"/>
  </r>
  <r>
    <s v="Regular"/>
    <x v="0"/>
    <x v="0"/>
    <x v="1"/>
    <x v="1"/>
    <x v="2"/>
    <x v="0"/>
    <x v="0"/>
    <x v="2"/>
    <n v="6117"/>
    <n v="5872.32"/>
    <n v="1326.828"/>
    <n v="1273.75488"/>
    <n v="1326.828"/>
    <n v="1273.75488"/>
    <n v="0"/>
    <s v="CATIVO"/>
    <n v="0"/>
    <n v="93"/>
    <n v="94"/>
    <n v="48"/>
    <n v="15.23"/>
    <n v="65.13"/>
    <n v="219.97"/>
    <n v="22.08724368719697"/>
    <n v="28756372469.298737"/>
    <n v="283.40928724383144"/>
    <n v="3726.4764000000046"/>
    <n v="15131.146512000005"/>
    <n v="5404.3067853833609"/>
    <n v="1526190421869.2036"/>
    <x v="2"/>
  </r>
  <r>
    <s v="Regular"/>
    <x v="0"/>
    <x v="0"/>
    <x v="1"/>
    <x v="1"/>
    <x v="2"/>
    <x v="0"/>
    <x v="0"/>
    <x v="3"/>
    <n v="5025"/>
    <n v="4824"/>
    <n v="345.79399999999998"/>
    <n v="331.96224000000001"/>
    <n v="345.79399999999998"/>
    <n v="331.96224000000001"/>
    <n v="0"/>
    <s v="CATIVO"/>
    <n v="0"/>
    <n v="93"/>
    <n v="94"/>
    <n v="48"/>
    <n v="15.23"/>
    <n v="65.13"/>
    <n v="219.97"/>
    <n v="22.08724368719697"/>
    <n v="28756372469.298737"/>
    <n v="283.40928724383144"/>
    <n v="3061.23"/>
    <n v="3943.4347759999928"/>
    <n v="4439.5359811265907"/>
    <n v="397751246385.99603"/>
    <x v="2"/>
  </r>
  <r>
    <s v="Refaturamento - Regular"/>
    <x v="0"/>
    <x v="0"/>
    <x v="1"/>
    <x v="1"/>
    <x v="2"/>
    <x v="0"/>
    <x v="0"/>
    <x v="3"/>
    <n v="156"/>
    <n v="149.76"/>
    <n v="-585.06799999999998"/>
    <n v="-561.66528000000005"/>
    <n v="-585.06799999999998"/>
    <n v="-561.66528000000005"/>
    <n v="0"/>
    <s v="CATIVO"/>
    <n v="0"/>
    <n v="93"/>
    <n v="94"/>
    <n v="48"/>
    <n v="15.23"/>
    <n v="65.13"/>
    <n v="219.97"/>
    <n v="22.08724368719697"/>
    <n v="28756372469.298737"/>
    <n v="283.40928724383144"/>
    <n v="95.035200000000145"/>
    <n v="-6672.1154719999804"/>
    <n v="137.8244006081093"/>
    <n v="-672977339747.25317"/>
    <x v="2"/>
  </r>
  <r>
    <s v="Regular"/>
    <x v="0"/>
    <x v="0"/>
    <x v="1"/>
    <x v="1"/>
    <x v="2"/>
    <x v="0"/>
    <x v="0"/>
    <x v="4"/>
    <n v="27321"/>
    <n v="26228.16"/>
    <n v="3880.0590000000002"/>
    <n v="3724.85664"/>
    <n v="3880.0590000000002"/>
    <n v="3724.85664"/>
    <n v="0"/>
    <s v="CATIVO"/>
    <n v="0"/>
    <n v="93"/>
    <n v="94"/>
    <n v="48"/>
    <n v="15.23"/>
    <n v="65.13"/>
    <n v="219.97"/>
    <n v="22.08724368719697"/>
    <n v="28756372469.298737"/>
    <n v="283.40928724383144"/>
    <n v="16643.953200000004"/>
    <n v="44248.19283600006"/>
    <n v="24137.823391116341"/>
    <n v="4463056916259.9883"/>
    <x v="2"/>
  </r>
  <r>
    <s v="Regular"/>
    <x v="0"/>
    <x v="0"/>
    <x v="1"/>
    <x v="1"/>
    <x v="2"/>
    <x v="0"/>
    <x v="0"/>
    <x v="5"/>
    <n v="39858"/>
    <n v="38263.68"/>
    <n v="9502.1970000000001"/>
    <n v="9122.1091199999992"/>
    <n v="9502.1970000000001"/>
    <n v="9122.1091199999992"/>
    <n v="0"/>
    <s v="CATIVO"/>
    <n v="0"/>
    <n v="93"/>
    <n v="94"/>
    <n v="48"/>
    <n v="15.23"/>
    <n v="65.13"/>
    <n v="219.97"/>
    <n v="22.08724368719697"/>
    <n v="28756372469.298737"/>
    <n v="283.40928724383144"/>
    <n v="24281.493599999998"/>
    <n v="108363.05458800028"/>
    <n v="35214.134355371869"/>
    <n v="10929948756066.584"/>
    <x v="2"/>
  </r>
  <r>
    <s v="Regular"/>
    <x v="0"/>
    <x v="0"/>
    <x v="1"/>
    <x v="1"/>
    <x v="2"/>
    <x v="0"/>
    <x v="0"/>
    <x v="6"/>
    <n v="40223"/>
    <n v="38614.080000000002"/>
    <n v="9331.5110000000004"/>
    <n v="8958.2505600000004"/>
    <n v="9331.5110000000004"/>
    <n v="8958.2505600000004"/>
    <n v="0"/>
    <s v="CATIVO"/>
    <n v="0"/>
    <n v="93"/>
    <n v="94"/>
    <n v="48"/>
    <n v="15.23"/>
    <n v="65.13"/>
    <n v="219.97"/>
    <n v="22.08724368719697"/>
    <n v="28756372469.298737"/>
    <n v="283.40928724383144"/>
    <n v="24503.851599999973"/>
    <n v="106416.55144400001"/>
    <n v="35536.608113204908"/>
    <n v="10733616346479.809"/>
    <x v="2"/>
  </r>
  <r>
    <s v="Regular"/>
    <x v="0"/>
    <x v="0"/>
    <x v="1"/>
    <x v="1"/>
    <x v="2"/>
    <x v="0"/>
    <x v="0"/>
    <x v="7"/>
    <n v="40310"/>
    <n v="38697.599999999999"/>
    <n v="9253.44"/>
    <n v="8883.3024000000005"/>
    <n v="9253.44"/>
    <n v="8883.3024000000005"/>
    <n v="0"/>
    <s v="CATIVO"/>
    <n v="0"/>
    <n v="93"/>
    <n v="94"/>
    <n v="48"/>
    <n v="15.23"/>
    <n v="65.13"/>
    <n v="219.97"/>
    <n v="22.08724368719697"/>
    <n v="28756372469.298737"/>
    <n v="283.40928724383144"/>
    <n v="24556.852000000024"/>
    <n v="105526.22976"/>
    <n v="35613.471721236427"/>
    <n v="10643814795392.742"/>
    <x v="2"/>
  </r>
  <r>
    <s v="Regular"/>
    <x v="0"/>
    <x v="0"/>
    <x v="1"/>
    <x v="1"/>
    <x v="2"/>
    <x v="0"/>
    <x v="0"/>
    <x v="8"/>
    <n v="34788"/>
    <n v="33396.480000000003"/>
    <n v="7363.6859999999997"/>
    <n v="7069.1385600000003"/>
    <n v="7363.6859999999997"/>
    <n v="7069.1385600000003"/>
    <n v="0"/>
    <s v="CATIVO"/>
    <n v="0"/>
    <n v="93"/>
    <n v="94"/>
    <n v="48"/>
    <n v="15.23"/>
    <n v="65.13"/>
    <n v="219.97"/>
    <n v="22.08724368719697"/>
    <n v="28756372469.298737"/>
    <n v="283.40928724383144"/>
    <n v="21192.84959999995"/>
    <n v="83975.475143999822"/>
    <n v="30734.841335608256"/>
    <n v="8470115977995.8838"/>
    <x v="2"/>
  </r>
  <r>
    <s v="Regular"/>
    <x v="0"/>
    <x v="0"/>
    <x v="1"/>
    <x v="1"/>
    <x v="2"/>
    <x v="0"/>
    <x v="0"/>
    <x v="9"/>
    <n v="36266"/>
    <n v="34815.360000000001"/>
    <n v="6688.0519999999997"/>
    <n v="6420.5299199999999"/>
    <n v="6688.0519999999997"/>
    <n v="6420.5299199999999"/>
    <n v="0"/>
    <s v="CATIVO"/>
    <n v="0"/>
    <n v="93"/>
    <n v="94"/>
    <n v="48"/>
    <n v="15.23"/>
    <n v="65.13"/>
    <n v="219.97"/>
    <n v="22.08724368719697"/>
    <n v="28756372469.298737"/>
    <n v="283.40928724383144"/>
    <n v="22093.247199999991"/>
    <n v="76270.545007999928"/>
    <n v="32040.6391823954"/>
    <n v="7692964652059.7686"/>
    <x v="2"/>
  </r>
  <r>
    <s v="Regular"/>
    <x v="0"/>
    <x v="0"/>
    <x v="1"/>
    <x v="1"/>
    <x v="2"/>
    <x v="0"/>
    <x v="0"/>
    <x v="10"/>
    <n v="29099"/>
    <n v="27935.040000000001"/>
    <n v="4225.5450000000001"/>
    <n v="4056.5232000000001"/>
    <n v="4225.5450000000001"/>
    <n v="4056.5232000000001"/>
    <n v="0"/>
    <s v="CATIVO"/>
    <n v="0"/>
    <n v="93"/>
    <n v="94"/>
    <n v="48"/>
    <n v="15.23"/>
    <n v="65.13"/>
    <n v="219.97"/>
    <n v="22.08724368719697"/>
    <n v="28756372469.298737"/>
    <n v="283.40928724383144"/>
    <n v="17727.110799999988"/>
    <n v="48188.115179999993"/>
    <n v="25708.668162149766"/>
    <n v="4860453884133.6641"/>
    <x v="2"/>
  </r>
  <r>
    <s v="PROJETADO"/>
    <x v="0"/>
    <x v="0"/>
    <x v="1"/>
    <x v="1"/>
    <x v="2"/>
    <x v="0"/>
    <x v="0"/>
    <x v="11"/>
    <n v="29099"/>
    <n v="27935.040000000001"/>
    <n v="4225.5450000000001"/>
    <n v="4056.5232000000001"/>
    <n v="4225.5450000000001"/>
    <n v="4056.5232000000001"/>
    <n v="0"/>
    <s v="CATIVO"/>
    <n v="0"/>
    <n v="93"/>
    <n v="94"/>
    <n v="48"/>
    <n v="15.23"/>
    <n v="65.13"/>
    <n v="219.97"/>
    <n v="22.08724368719697"/>
    <n v="28756372469.298737"/>
    <n v="283.40928724383144"/>
    <n v="17727.110799999988"/>
    <n v="48188.115179999993"/>
    <n v="25708.668162149766"/>
    <n v="4860453884133.6641"/>
    <x v="2"/>
  </r>
  <r>
    <s v="Regular"/>
    <x v="0"/>
    <x v="0"/>
    <x v="1"/>
    <x v="1"/>
    <x v="2"/>
    <x v="0"/>
    <x v="2"/>
    <x v="0"/>
    <n v="2656"/>
    <n v="2549.7600000000002"/>
    <n v="57.115000000000002"/>
    <n v="54.830399999999997"/>
    <n v="57.115000000000002"/>
    <n v="54.830399999999997"/>
    <n v="0"/>
    <s v="CATIVO"/>
    <n v="0"/>
    <n v="92"/>
    <n v="94"/>
    <n v="47"/>
    <n v="26.46"/>
    <n v="65.13"/>
    <n v="346.61"/>
    <n v="36.004755408349602"/>
    <n v="28756372469.298737"/>
    <n v="441.69177550112352"/>
    <n v="2811.1103999999941"/>
    <n v="940.66120400000193"/>
    <n v="3825.145214583054"/>
    <n v="65696809552.449051"/>
    <x v="2"/>
  </r>
  <r>
    <s v="Regular"/>
    <x v="0"/>
    <x v="0"/>
    <x v="1"/>
    <x v="1"/>
    <x v="2"/>
    <x v="0"/>
    <x v="2"/>
    <x v="1"/>
    <n v="2898"/>
    <n v="2782.08"/>
    <n v="55.436999999999998"/>
    <n v="53.219520000000003"/>
    <n v="55.436999999999998"/>
    <n v="53.219520000000003"/>
    <n v="0"/>
    <s v="CATIVO"/>
    <n v="0"/>
    <n v="92"/>
    <n v="94"/>
    <n v="47"/>
    <n v="26.46"/>
    <n v="65.13"/>
    <n v="346.61"/>
    <n v="36.004755408349602"/>
    <n v="28756372469.298737"/>
    <n v="441.69177550112352"/>
    <n v="3067.2432000000022"/>
    <n v="913.02521519999789"/>
    <n v="4173.6712469358881"/>
    <n v="63766681802.663094"/>
    <x v="2"/>
  </r>
  <r>
    <s v="Regular"/>
    <x v="0"/>
    <x v="0"/>
    <x v="1"/>
    <x v="1"/>
    <x v="2"/>
    <x v="0"/>
    <x v="2"/>
    <x v="2"/>
    <n v="2450"/>
    <n v="2352"/>
    <n v="66.162000000000006"/>
    <n v="63.515520000000002"/>
    <n v="66.162000000000006"/>
    <n v="63.515520000000002"/>
    <n v="0"/>
    <s v="CATIVO"/>
    <n v="0"/>
    <n v="92"/>
    <n v="94"/>
    <n v="47"/>
    <n v="26.46"/>
    <n v="65.13"/>
    <n v="346.61"/>
    <n v="36.004755408349602"/>
    <n v="28756372469.298737"/>
    <n v="441.69177550112352"/>
    <n v="2593.08"/>
    <n v="1089.6616752000016"/>
    <n v="3528.4660300182609"/>
    <n v="76103165781.478287"/>
    <x v="2"/>
  </r>
  <r>
    <s v="Regular"/>
    <x v="0"/>
    <x v="0"/>
    <x v="1"/>
    <x v="1"/>
    <x v="2"/>
    <x v="0"/>
    <x v="2"/>
    <x v="3"/>
    <n v="6866"/>
    <n v="6591.36"/>
    <n v="41.415999999999997"/>
    <n v="39.759360000000001"/>
    <n v="41.415999999999997"/>
    <n v="39.759360000000001"/>
    <n v="0"/>
    <s v="CATIVO"/>
    <n v="0"/>
    <n v="92"/>
    <n v="94"/>
    <n v="47"/>
    <n v="26.46"/>
    <n v="65.13"/>
    <n v="346.61"/>
    <n v="36.004755408349602"/>
    <n v="28756372469.298737"/>
    <n v="441.69177550112352"/>
    <n v="7266.9744000000092"/>
    <n v="682.10495359999834"/>
    <n v="9888.3460253491467"/>
    <n v="47638957619.263206"/>
    <x v="2"/>
  </r>
  <r>
    <s v="Refaturamento - Regular"/>
    <x v="0"/>
    <x v="0"/>
    <x v="1"/>
    <x v="1"/>
    <x v="2"/>
    <x v="0"/>
    <x v="2"/>
    <x v="3"/>
    <n v="-1"/>
    <n v="-0.96"/>
    <n v="-9.8640000000000008"/>
    <n v="-9.4694400000000005"/>
    <n v="-9.8640000000000008"/>
    <n v="-9.4694400000000005"/>
    <n v="0"/>
    <s v="CATIVO"/>
    <n v="0"/>
    <n v="92"/>
    <n v="94"/>
    <n v="47"/>
    <n v="26.46"/>
    <n v="65.13"/>
    <n v="346.61"/>
    <n v="36.004755408349602"/>
    <n v="28756372469.298737"/>
    <n v="441.69177550112352"/>
    <n v="-1.0584000000000009"/>
    <n v="-162.45613440000011"/>
    <n v="-1.4401902163339855"/>
    <n v="-11346114495.760424"/>
    <x v="2"/>
  </r>
  <r>
    <s v="Regular"/>
    <x v="0"/>
    <x v="0"/>
    <x v="1"/>
    <x v="1"/>
    <x v="2"/>
    <x v="0"/>
    <x v="2"/>
    <x v="4"/>
    <n v="10438"/>
    <n v="10020.48"/>
    <n v="285.35899999999998"/>
    <n v="273.94463999999999"/>
    <n v="285.35899999999998"/>
    <n v="273.94463999999999"/>
    <n v="0"/>
    <s v="CATIVO"/>
    <n v="0"/>
    <n v="92"/>
    <n v="94"/>
    <n v="47"/>
    <n v="26.46"/>
    <n v="65.13"/>
    <n v="346.61"/>
    <n v="36.004755408349602"/>
    <n v="28756372469.298737"/>
    <n v="441.69177550112352"/>
    <n v="11047.579200000011"/>
    <n v="4699.7485863999955"/>
    <n v="15032.705478094142"/>
    <n v="328235592700.29327"/>
    <x v="2"/>
  </r>
  <r>
    <s v="Refaturamento - Regular"/>
    <x v="0"/>
    <x v="0"/>
    <x v="1"/>
    <x v="1"/>
    <x v="2"/>
    <x v="0"/>
    <x v="2"/>
    <x v="4"/>
    <n v="-5000"/>
    <n v="-4800"/>
    <n v="0"/>
    <n v="0"/>
    <n v="0"/>
    <n v="0"/>
    <n v="0"/>
    <s v="CATIVO"/>
    <n v="0"/>
    <n v="92"/>
    <n v="0"/>
    <n v="0"/>
    <n v="26.46"/>
    <n v="0"/>
    <n v="0"/>
    <n v="36.004755408349602"/>
    <n v="28756372469.298737"/>
    <n v="441.69177550112352"/>
    <n v="-5292"/>
    <n v="0"/>
    <n v="-7200.9510816699203"/>
    <n v="0"/>
    <x v="2"/>
  </r>
  <r>
    <s v="Regular"/>
    <x v="0"/>
    <x v="0"/>
    <x v="1"/>
    <x v="1"/>
    <x v="2"/>
    <x v="0"/>
    <x v="2"/>
    <x v="5"/>
    <n v="19181"/>
    <n v="18413.759999999998"/>
    <n v="440.44600000000003"/>
    <n v="422.82816000000003"/>
    <n v="440.44600000000003"/>
    <n v="422.82816000000003"/>
    <n v="0"/>
    <s v="CATIVO"/>
    <n v="0"/>
    <n v="92"/>
    <n v="94"/>
    <n v="47"/>
    <n v="26.46"/>
    <n v="65.13"/>
    <n v="346.61"/>
    <n v="36.004755408349602"/>
    <n v="28756372469.298737"/>
    <n v="441.69177550112352"/>
    <n v="20301.170400000043"/>
    <n v="7253.9694416000011"/>
    <n v="27624.288539502206"/>
    <n v="506625176926.1651"/>
    <x v="2"/>
  </r>
  <r>
    <s v="Regular"/>
    <x v="0"/>
    <x v="0"/>
    <x v="1"/>
    <x v="1"/>
    <x v="2"/>
    <x v="0"/>
    <x v="2"/>
    <x v="6"/>
    <n v="17184"/>
    <n v="16496.64"/>
    <n v="393.58499999999998"/>
    <n v="377.84160000000003"/>
    <n v="393.58499999999998"/>
    <n v="377.84160000000003"/>
    <n v="0"/>
    <s v="CATIVO"/>
    <n v="0"/>
    <n v="92"/>
    <n v="94"/>
    <n v="47"/>
    <n v="26.46"/>
    <n v="65.13"/>
    <n v="346.61"/>
    <n v="36.004755408349602"/>
    <n v="28756372469.298737"/>
    <n v="441.69177550112352"/>
    <n v="18187.545600000016"/>
    <n v="6482.18751599998"/>
    <n v="24748.228677483203"/>
    <n v="452723081286.8866"/>
    <x v="2"/>
  </r>
  <r>
    <s v="Regular"/>
    <x v="0"/>
    <x v="0"/>
    <x v="1"/>
    <x v="1"/>
    <x v="2"/>
    <x v="0"/>
    <x v="2"/>
    <x v="7"/>
    <n v="13433"/>
    <n v="12895.68"/>
    <n v="339.88400000000001"/>
    <n v="326.28863999999999"/>
    <n v="339.88400000000001"/>
    <n v="326.28863999999999"/>
    <n v="0"/>
    <s v="CATIVO"/>
    <n v="0"/>
    <n v="92"/>
    <n v="94"/>
    <n v="47"/>
    <n v="26.46"/>
    <n v="65.13"/>
    <n v="346.61"/>
    <n v="36.004755408349602"/>
    <n v="28756372469.298737"/>
    <n v="441.69177550112352"/>
    <n v="14217.487199999992"/>
    <n v="5597.7535264000117"/>
    <n v="19346.075176014398"/>
    <n v="390953242019.16473"/>
    <x v="2"/>
  </r>
  <r>
    <s v="Regular"/>
    <x v="0"/>
    <x v="0"/>
    <x v="1"/>
    <x v="1"/>
    <x v="2"/>
    <x v="0"/>
    <x v="2"/>
    <x v="8"/>
    <n v="14199"/>
    <n v="13631.04"/>
    <n v="94.647000000000006"/>
    <n v="90.86112"/>
    <n v="94.647000000000006"/>
    <n v="90.86112"/>
    <n v="0"/>
    <s v="CATIVO"/>
    <n v="0"/>
    <n v="92"/>
    <n v="94"/>
    <n v="47"/>
    <n v="26.46"/>
    <n v="65.13"/>
    <n v="346.61"/>
    <n v="36.004755408349602"/>
    <n v="28756372469.298737"/>
    <n v="441.69177550112352"/>
    <n v="15028.221599999977"/>
    <n v="1558.7982312000024"/>
    <n v="20449.260881726208"/>
    <n v="108868177076.26094"/>
    <x v="2"/>
  </r>
  <r>
    <s v="Regular"/>
    <x v="0"/>
    <x v="0"/>
    <x v="1"/>
    <x v="1"/>
    <x v="2"/>
    <x v="0"/>
    <x v="2"/>
    <x v="9"/>
    <n v="14550"/>
    <n v="13968"/>
    <n v="257.23599999999999"/>
    <n v="246.94656000000001"/>
    <n v="257.23599999999999"/>
    <n v="246.94656000000001"/>
    <n v="0"/>
    <s v="CATIVO"/>
    <n v="0"/>
    <n v="92"/>
    <n v="94"/>
    <n v="47"/>
    <n v="26.46"/>
    <n v="65.13"/>
    <n v="346.61"/>
    <n v="36.004755408349602"/>
    <n v="28756372469.298737"/>
    <n v="441.69177550112352"/>
    <n v="15399.720000000001"/>
    <n v="4236.5740255999935"/>
    <n v="20954.767647659468"/>
    <n v="295886973685.26178"/>
    <x v="2"/>
  </r>
  <r>
    <s v="Regular"/>
    <x v="0"/>
    <x v="0"/>
    <x v="1"/>
    <x v="1"/>
    <x v="2"/>
    <x v="0"/>
    <x v="2"/>
    <x v="10"/>
    <n v="13990"/>
    <n v="13430.4"/>
    <n v="296.89499999999998"/>
    <n v="285.01920000000001"/>
    <n v="296.89499999999998"/>
    <n v="285.01920000000001"/>
    <n v="0"/>
    <s v="CATIVO"/>
    <n v="0"/>
    <n v="92"/>
    <n v="94"/>
    <n v="47"/>
    <n v="26.46"/>
    <n v="65.13"/>
    <n v="346.61"/>
    <n v="36.004755408349602"/>
    <n v="28756372469.298737"/>
    <n v="441.69177550112352"/>
    <n v="14807.016000000011"/>
    <n v="4889.7418919999882"/>
    <n v="20148.261126512451"/>
    <n v="341504933416.34027"/>
    <x v="2"/>
  </r>
  <r>
    <s v="PROJETADO"/>
    <x v="0"/>
    <x v="0"/>
    <x v="1"/>
    <x v="1"/>
    <x v="2"/>
    <x v="0"/>
    <x v="2"/>
    <x v="11"/>
    <n v="13990"/>
    <n v="13430.4"/>
    <n v="296.89499999999998"/>
    <n v="285.01920000000001"/>
    <n v="296.89499999999998"/>
    <n v="285.01920000000001"/>
    <n v="0"/>
    <s v="CATIVO"/>
    <n v="0"/>
    <n v="92"/>
    <n v="94"/>
    <n v="47"/>
    <n v="26.46"/>
    <n v="65.13"/>
    <n v="346.61"/>
    <n v="36.004755408349602"/>
    <n v="28756372469.298737"/>
    <n v="441.69177550112352"/>
    <n v="14807.016000000011"/>
    <n v="4889.7418919999882"/>
    <n v="20148.261126512451"/>
    <n v="341504933416.34027"/>
    <x v="2"/>
  </r>
  <r>
    <s v="Regular"/>
    <x v="0"/>
    <x v="0"/>
    <x v="1"/>
    <x v="0"/>
    <x v="2"/>
    <x v="0"/>
    <x v="0"/>
    <x v="0"/>
    <n v="144"/>
    <n v="138.24"/>
    <n v="8.6219999999999999"/>
    <n v="8.27712"/>
    <n v="8.6219999999999999"/>
    <n v="8.27712"/>
    <n v="0"/>
    <s v="CATIVO"/>
    <n v="0"/>
    <n v="93"/>
    <n v="94"/>
    <n v="48"/>
    <n v="15.23"/>
    <n v="65.13"/>
    <n v="219.97"/>
    <n v="22.08724368719697"/>
    <n v="28756372469.298737"/>
    <n v="283.40928724383144"/>
    <n v="87.72479999999986"/>
    <n v="98.325287999999958"/>
    <n v="127.22252363825434"/>
    <n v="9917497834.9539394"/>
    <x v="2"/>
  </r>
  <r>
    <s v="Regular"/>
    <x v="0"/>
    <x v="0"/>
    <x v="1"/>
    <x v="0"/>
    <x v="2"/>
    <x v="0"/>
    <x v="0"/>
    <x v="1"/>
    <n v="45"/>
    <n v="43.2"/>
    <n v="8.0399999999999991"/>
    <n v="7.7183999999999999"/>
    <n v="8.0399999999999991"/>
    <n v="7.7183999999999999"/>
    <n v="0"/>
    <s v="CATIVO"/>
    <n v="0"/>
    <n v="93"/>
    <n v="94"/>
    <n v="48"/>
    <n v="15.23"/>
    <n v="65.13"/>
    <n v="219.97"/>
    <n v="22.08724368719697"/>
    <n v="28756372469.298737"/>
    <n v="283.40928724383144"/>
    <n v="27.413999999999959"/>
    <n v="91.688159999999769"/>
    <n v="39.757038636954483"/>
    <n v="9248049477.2708778"/>
    <x v="2"/>
  </r>
  <r>
    <s v="Regular"/>
    <x v="0"/>
    <x v="0"/>
    <x v="1"/>
    <x v="0"/>
    <x v="2"/>
    <x v="0"/>
    <x v="0"/>
    <x v="2"/>
    <n v="45"/>
    <n v="43.2"/>
    <n v="8.1539999999999999"/>
    <n v="7.8278400000000001"/>
    <n v="8.1539999999999999"/>
    <n v="7.8278400000000001"/>
    <n v="0"/>
    <s v="CATIVO"/>
    <n v="0"/>
    <n v="93"/>
    <n v="94"/>
    <n v="48"/>
    <n v="15.23"/>
    <n v="65.13"/>
    <n v="219.97"/>
    <n v="22.08724368719697"/>
    <n v="28756372469.298737"/>
    <n v="283.40928724383144"/>
    <n v="27.413999999999959"/>
    <n v="92.988215999999937"/>
    <n v="39.757038636954483"/>
    <n v="9379178537.023243"/>
    <x v="2"/>
  </r>
  <r>
    <s v="Regular"/>
    <x v="0"/>
    <x v="0"/>
    <x v="1"/>
    <x v="0"/>
    <x v="2"/>
    <x v="0"/>
    <x v="2"/>
    <x v="0"/>
    <n v="1022"/>
    <n v="981.12"/>
    <n v="0.96599999999999997"/>
    <n v="0.92735999999999996"/>
    <n v="0.96599999999999997"/>
    <n v="0.92735999999999996"/>
    <n v="0"/>
    <s v="CATIVO"/>
    <n v="0"/>
    <n v="92"/>
    <n v="94"/>
    <n v="47"/>
    <n v="26.46"/>
    <n v="65.13"/>
    <n v="346.61"/>
    <n v="36.004755408349602"/>
    <n v="28756372469.298737"/>
    <n v="441.69177550112352"/>
    <n v="1081.6848"/>
    <n v="15.909633600000003"/>
    <n v="1471.8744010933315"/>
    <n v="1111146249.2806735"/>
    <x v="2"/>
  </r>
  <r>
    <s v="Regular"/>
    <x v="0"/>
    <x v="0"/>
    <x v="1"/>
    <x v="0"/>
    <x v="2"/>
    <x v="0"/>
    <x v="2"/>
    <x v="1"/>
    <n v="24"/>
    <n v="23.04"/>
    <n v="0.93600000000000005"/>
    <n v="0.89856000000000003"/>
    <n v="0.93600000000000005"/>
    <n v="0.89856000000000003"/>
    <n v="0"/>
    <s v="CATIVO"/>
    <n v="0"/>
    <n v="92"/>
    <n v="94"/>
    <n v="47"/>
    <n v="26.46"/>
    <n v="65.13"/>
    <n v="346.61"/>
    <n v="36.004755408349602"/>
    <n v="28756372469.298737"/>
    <n v="441.69177550112352"/>
    <n v="25.401600000000023"/>
    <n v="15.415545600000012"/>
    <n v="34.56456519201565"/>
    <n v="1076638601.7874856"/>
    <x v="2"/>
  </r>
  <r>
    <s v="Regular"/>
    <x v="0"/>
    <x v="0"/>
    <x v="1"/>
    <x v="0"/>
    <x v="2"/>
    <x v="0"/>
    <x v="2"/>
    <x v="2"/>
    <n v="24"/>
    <n v="23.04"/>
    <n v="0.99"/>
    <n v="0.95040000000000002"/>
    <n v="0.99"/>
    <n v="0.95040000000000002"/>
    <n v="0"/>
    <s v="CATIVO"/>
    <n v="0"/>
    <n v="92"/>
    <n v="94"/>
    <n v="47"/>
    <n v="26.46"/>
    <n v="65.13"/>
    <n v="346.61"/>
    <n v="36.004755408349602"/>
    <n v="28756372469.298737"/>
    <n v="441.69177550112352"/>
    <n v="25.401600000000023"/>
    <n v="16.304903999999986"/>
    <n v="34.56456519201565"/>
    <n v="1138752367.2752233"/>
    <x v="2"/>
  </r>
  <r>
    <s v="Regular"/>
    <x v="0"/>
    <x v="0"/>
    <x v="2"/>
    <x v="2"/>
    <x v="2"/>
    <x v="0"/>
    <x v="0"/>
    <x v="0"/>
    <n v="4600"/>
    <n v="3910"/>
    <n v="225.024"/>
    <n v="211.52256"/>
    <n v="225.024"/>
    <n v="211.52256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3849.2605440000007"/>
    <n v="15240.19814416591"/>
    <n v="388252441338.32227"/>
    <x v="3"/>
  </r>
  <r>
    <s v="Regular"/>
    <x v="0"/>
    <x v="0"/>
    <x v="2"/>
    <x v="2"/>
    <x v="2"/>
    <x v="0"/>
    <x v="0"/>
    <x v="1"/>
    <n v="4600"/>
    <n v="3910"/>
    <n v="282.38400000000001"/>
    <n v="265.44096000000002"/>
    <n v="282.38400000000001"/>
    <n v="265.44096000000002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4830.4607039999992"/>
    <n v="15240.19814416591"/>
    <n v="487220373804.04205"/>
    <x v="3"/>
  </r>
  <r>
    <s v="Regular"/>
    <x v="0"/>
    <x v="0"/>
    <x v="2"/>
    <x v="2"/>
    <x v="2"/>
    <x v="0"/>
    <x v="0"/>
    <x v="2"/>
    <n v="4600"/>
    <n v="3910"/>
    <n v="240.096"/>
    <n v="225.69023999999999"/>
    <n v="240.096"/>
    <n v="225.69023999999999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4107.0821760000044"/>
    <n v="15240.19814416591"/>
    <n v="414257404346.05157"/>
    <x v="3"/>
  </r>
  <r>
    <s v="Regular"/>
    <x v="0"/>
    <x v="0"/>
    <x v="2"/>
    <x v="2"/>
    <x v="2"/>
    <x v="0"/>
    <x v="0"/>
    <x v="3"/>
    <n v="4600"/>
    <n v="3910"/>
    <n v="341.88"/>
    <n v="321.36720000000003"/>
    <n v="341.88"/>
    <n v="321.36720000000003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5848.1992799999916"/>
    <n v="15240.19814416591"/>
    <n v="589873723001.74829"/>
    <x v="3"/>
  </r>
  <r>
    <s v="Regular"/>
    <x v="0"/>
    <x v="0"/>
    <x v="2"/>
    <x v="2"/>
    <x v="2"/>
    <x v="0"/>
    <x v="0"/>
    <x v="4"/>
    <n v="4600"/>
    <n v="3910"/>
    <n v="384.49200000000002"/>
    <n v="361.42248000000001"/>
    <n v="384.49200000000002"/>
    <n v="361.42248000000001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6577.1201520000031"/>
    <n v="15240.19814416591"/>
    <n v="663395716346.0531"/>
    <x v="3"/>
  </r>
  <r>
    <s v="Regular"/>
    <x v="0"/>
    <x v="0"/>
    <x v="2"/>
    <x v="2"/>
    <x v="2"/>
    <x v="0"/>
    <x v="0"/>
    <x v="5"/>
    <n v="4600"/>
    <n v="3910"/>
    <n v="380.964"/>
    <n v="358.10615999999999"/>
    <n v="380.964"/>
    <n v="358.10615999999999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6516.7701840000027"/>
    <n v="15240.19814416591"/>
    <n v="657308567361.75989"/>
    <x v="3"/>
  </r>
  <r>
    <s v="Regular"/>
    <x v="0"/>
    <x v="0"/>
    <x v="2"/>
    <x v="2"/>
    <x v="2"/>
    <x v="0"/>
    <x v="0"/>
    <x v="6"/>
    <n v="4600"/>
    <n v="3910"/>
    <n v="427.84800000000001"/>
    <n v="402.17712"/>
    <n v="427.84800000000001"/>
    <n v="402.17712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7318.767888000003"/>
    <n v="15240.19814416591"/>
    <n v="738201394170.03772"/>
    <x v="3"/>
  </r>
  <r>
    <s v="Regular"/>
    <x v="0"/>
    <x v="0"/>
    <x v="2"/>
    <x v="2"/>
    <x v="2"/>
    <x v="0"/>
    <x v="0"/>
    <x v="7"/>
    <n v="4600"/>
    <n v="3910"/>
    <n v="392.08800000000002"/>
    <n v="368.56272000000001"/>
    <n v="392.08800000000002"/>
    <n v="368.56272000000001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6707.0573280000026"/>
    <n v="15240.19814416591"/>
    <n v="676501720791.82727"/>
    <x v="3"/>
  </r>
  <r>
    <s v="Regular"/>
    <x v="0"/>
    <x v="0"/>
    <x v="2"/>
    <x v="2"/>
    <x v="2"/>
    <x v="0"/>
    <x v="0"/>
    <x v="8"/>
    <n v="4600"/>
    <n v="3910"/>
    <n v="325.572"/>
    <n v="306.03768000000002"/>
    <n v="325.572"/>
    <n v="306.03768000000002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5569.2346319999942"/>
    <n v="15240.19814416591"/>
    <n v="561736187390.67883"/>
    <x v="3"/>
  </r>
  <r>
    <s v="Regular"/>
    <x v="0"/>
    <x v="0"/>
    <x v="2"/>
    <x v="2"/>
    <x v="2"/>
    <x v="0"/>
    <x v="0"/>
    <x v="9"/>
    <n v="4600"/>
    <n v="3910"/>
    <n v="324.096"/>
    <n v="304.65024"/>
    <n v="324.096"/>
    <n v="304.65024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5543.9861760000022"/>
    <n v="15240.19814416591"/>
    <n v="559189523019.69983"/>
    <x v="3"/>
  </r>
  <r>
    <s v="Regular"/>
    <x v="0"/>
    <x v="0"/>
    <x v="2"/>
    <x v="2"/>
    <x v="2"/>
    <x v="0"/>
    <x v="0"/>
    <x v="10"/>
    <n v="4600"/>
    <n v="3910"/>
    <n v="407.02800000000002"/>
    <n v="382.60631999999998"/>
    <n v="407.02800000000002"/>
    <n v="382.60631999999998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6962.6209680000111"/>
    <n v="15240.19814416591"/>
    <n v="702278933327.35559"/>
    <x v="3"/>
  </r>
  <r>
    <s v="PROJETADO"/>
    <x v="0"/>
    <x v="0"/>
    <x v="2"/>
    <x v="2"/>
    <x v="2"/>
    <x v="0"/>
    <x v="0"/>
    <x v="11"/>
    <n v="4600"/>
    <n v="3910"/>
    <n v="407.02800000000002"/>
    <n v="382.60631999999998"/>
    <n v="407.02800000000002"/>
    <n v="382.60631999999998"/>
    <n v="0"/>
    <s v="CATIVO"/>
    <n v="0"/>
    <n v="93"/>
    <n v="94"/>
    <n v="48"/>
    <n v="15.23"/>
    <n v="65.13"/>
    <n v="219.97"/>
    <n v="22.08724368719697"/>
    <n v="28756372469.298737"/>
    <n v="283.40928724383144"/>
    <n v="10508.7"/>
    <n v="6962.6209680000111"/>
    <n v="15240.19814416591"/>
    <n v="702278933327.35559"/>
    <x v="3"/>
  </r>
  <r>
    <s v="Regular"/>
    <x v="0"/>
    <x v="0"/>
    <x v="2"/>
    <x v="2"/>
    <x v="2"/>
    <x v="0"/>
    <x v="2"/>
    <x v="0"/>
    <n v="50"/>
    <n v="42.5"/>
    <n v="1.764"/>
    <n v="1.6581600000000001"/>
    <n v="1.764"/>
    <n v="1.6581600000000001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43.578561599999972"/>
    <n v="270.035665562622"/>
    <n v="3043574508.8992343"/>
    <x v="3"/>
  </r>
  <r>
    <s v="Regular"/>
    <x v="0"/>
    <x v="0"/>
    <x v="2"/>
    <x v="2"/>
    <x v="2"/>
    <x v="0"/>
    <x v="2"/>
    <x v="1"/>
    <n v="50"/>
    <n v="42.5"/>
    <n v="1.776"/>
    <n v="1.66944"/>
    <n v="1.776"/>
    <n v="1.66944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43.875014399999991"/>
    <n v="270.035665562622"/>
    <n v="3064279097.3951488"/>
    <x v="3"/>
  </r>
  <r>
    <s v="Regular"/>
    <x v="0"/>
    <x v="0"/>
    <x v="2"/>
    <x v="2"/>
    <x v="2"/>
    <x v="0"/>
    <x v="2"/>
    <x v="2"/>
    <n v="50"/>
    <n v="42.5"/>
    <n v="1.764"/>
    <n v="1.6581600000000001"/>
    <n v="1.764"/>
    <n v="1.6581600000000001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43.578561599999972"/>
    <n v="270.035665562622"/>
    <n v="3043574508.8992343"/>
    <x v="3"/>
  </r>
  <r>
    <s v="Regular"/>
    <x v="0"/>
    <x v="0"/>
    <x v="2"/>
    <x v="2"/>
    <x v="2"/>
    <x v="0"/>
    <x v="2"/>
    <x v="3"/>
    <n v="50"/>
    <n v="42.5"/>
    <n v="1.776"/>
    <n v="1.66944"/>
    <n v="1.776"/>
    <n v="1.66944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43.875014399999991"/>
    <n v="270.035665562622"/>
    <n v="3064279097.3951488"/>
    <x v="3"/>
  </r>
  <r>
    <s v="Regular"/>
    <x v="0"/>
    <x v="0"/>
    <x v="2"/>
    <x v="2"/>
    <x v="2"/>
    <x v="0"/>
    <x v="2"/>
    <x v="4"/>
    <n v="50"/>
    <n v="42.5"/>
    <n v="1.74"/>
    <n v="1.6355999999999999"/>
    <n v="1.74"/>
    <n v="1.6355999999999999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42.98565600000002"/>
    <n v="270.035665562622"/>
    <n v="3002165331.9074106"/>
    <x v="3"/>
  </r>
  <r>
    <s v="Regular"/>
    <x v="0"/>
    <x v="0"/>
    <x v="2"/>
    <x v="2"/>
    <x v="2"/>
    <x v="0"/>
    <x v="2"/>
    <x v="5"/>
    <n v="50"/>
    <n v="42.5"/>
    <n v="1.272"/>
    <n v="1.1956800000000001"/>
    <n v="1.272"/>
    <n v="1.1956800000000001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31.423996799999976"/>
    <n v="270.035665562622"/>
    <n v="2194686380.5667939"/>
    <x v="3"/>
  </r>
  <r>
    <s v="Regular"/>
    <x v="0"/>
    <x v="0"/>
    <x v="2"/>
    <x v="2"/>
    <x v="2"/>
    <x v="0"/>
    <x v="2"/>
    <x v="6"/>
    <n v="50"/>
    <n v="42.5"/>
    <n v="1.716"/>
    <n v="1.61304"/>
    <n v="1.716"/>
    <n v="1.61304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42.392750399999976"/>
    <n v="270.035665562622"/>
    <n v="2960756154.9155817"/>
    <x v="3"/>
  </r>
  <r>
    <s v="Regular"/>
    <x v="0"/>
    <x v="0"/>
    <x v="2"/>
    <x v="2"/>
    <x v="2"/>
    <x v="0"/>
    <x v="2"/>
    <x v="7"/>
    <n v="50"/>
    <n v="42.5"/>
    <n v="1.8240000000000001"/>
    <n v="1.7145600000000001"/>
    <n v="1.8240000000000001"/>
    <n v="1.7145600000000001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45.060825599999994"/>
    <n v="270.035665562622"/>
    <n v="3147097451.3788013"/>
    <x v="3"/>
  </r>
  <r>
    <s v="Regular"/>
    <x v="0"/>
    <x v="0"/>
    <x v="2"/>
    <x v="2"/>
    <x v="2"/>
    <x v="0"/>
    <x v="2"/>
    <x v="8"/>
    <n v="50"/>
    <n v="42.5"/>
    <n v="1.5960000000000001"/>
    <n v="1.50024"/>
    <n v="1.5960000000000001"/>
    <n v="1.50024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39.428222400000031"/>
    <n v="270.035665562622"/>
    <n v="2753710269.9564533"/>
    <x v="3"/>
  </r>
  <r>
    <s v="Regular"/>
    <x v="0"/>
    <x v="0"/>
    <x v="2"/>
    <x v="2"/>
    <x v="2"/>
    <x v="0"/>
    <x v="2"/>
    <x v="9"/>
    <n v="50"/>
    <n v="42.5"/>
    <n v="1.6080000000000001"/>
    <n v="1.51152"/>
    <n v="1.6080000000000001"/>
    <n v="1.51152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39.72467520000005"/>
    <n v="270.035665562622"/>
    <n v="2774414858.4523678"/>
    <x v="3"/>
  </r>
  <r>
    <s v="Regular"/>
    <x v="0"/>
    <x v="0"/>
    <x v="2"/>
    <x v="2"/>
    <x v="2"/>
    <x v="0"/>
    <x v="2"/>
    <x v="10"/>
    <n v="50"/>
    <n v="42.5"/>
    <n v="1.728"/>
    <n v="1.62432"/>
    <n v="1.728"/>
    <n v="1.62432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42.689203200000001"/>
    <n v="270.035665562622"/>
    <n v="2981460743.4114962"/>
    <x v="3"/>
  </r>
  <r>
    <s v="PROJETADO"/>
    <x v="0"/>
    <x v="0"/>
    <x v="2"/>
    <x v="2"/>
    <x v="2"/>
    <x v="0"/>
    <x v="2"/>
    <x v="11"/>
    <n v="50"/>
    <n v="42.5"/>
    <n v="1.728"/>
    <n v="1.62432"/>
    <n v="1.728"/>
    <n v="1.62432"/>
    <n v="0"/>
    <s v="CATIVO"/>
    <n v="0"/>
    <n v="92"/>
    <n v="94"/>
    <n v="47"/>
    <n v="26.46"/>
    <n v="65.13"/>
    <n v="346.61"/>
    <n v="36.004755408349602"/>
    <n v="28756372469.298737"/>
    <n v="441.69177550112352"/>
    <n v="198.45000000000002"/>
    <n v="42.689203200000001"/>
    <n v="270.035665562622"/>
    <n v="2981460743.4114962"/>
    <x v="3"/>
  </r>
  <r>
    <s v="Regular"/>
    <x v="0"/>
    <x v="1"/>
    <x v="3"/>
    <x v="0"/>
    <x v="3"/>
    <x v="1"/>
    <x v="1"/>
    <x v="0"/>
    <n v="2305"/>
    <n v="1152.5"/>
    <n v="0"/>
    <n v="0"/>
    <n v="0"/>
    <n v="0"/>
    <n v="0"/>
    <s v="GERAÇÃO"/>
    <n v="28542"/>
    <n v="90"/>
    <n v="0"/>
    <n v="0"/>
    <n v="13.97"/>
    <n v="0"/>
    <n v="0"/>
    <n v="-124477131307.15851"/>
    <m/>
    <m/>
    <n v="16100.425000000001"/>
    <n v="0"/>
    <n v="-143459893831500.19"/>
    <n v="0"/>
    <x v="4"/>
  </r>
  <r>
    <s v="Regular"/>
    <x v="0"/>
    <x v="1"/>
    <x v="3"/>
    <x v="0"/>
    <x v="3"/>
    <x v="2"/>
    <x v="1"/>
    <x v="0"/>
    <n v="14270"/>
    <n v="7580.9375"/>
    <n v="0"/>
    <n v="0"/>
    <n v="0"/>
    <n v="0"/>
    <n v="0"/>
    <s v="GERAÇÃO"/>
    <n v="29161"/>
    <n v="90"/>
    <n v="0"/>
    <n v="0"/>
    <n v="13.97"/>
    <n v="0"/>
    <n v="0"/>
    <n v="-124477131307.15851"/>
    <m/>
    <m/>
    <n v="93446.203125"/>
    <n v="0"/>
    <n v="-832635311134290"/>
    <n v="0"/>
    <x v="4"/>
  </r>
  <r>
    <s v="Regular"/>
    <x v="0"/>
    <x v="1"/>
    <x v="3"/>
    <x v="0"/>
    <x v="3"/>
    <x v="3"/>
    <x v="1"/>
    <x v="0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0"/>
    <n v="16500"/>
    <n v="8250"/>
    <n v="0"/>
    <n v="0"/>
    <n v="0"/>
    <n v="0"/>
    <n v="0"/>
    <s v="GERAÇÃO"/>
    <n v="31371"/>
    <n v="90"/>
    <n v="0"/>
    <n v="0"/>
    <n v="13.97"/>
    <n v="0"/>
    <n v="0"/>
    <n v="-124477131307.15851"/>
    <m/>
    <m/>
    <n v="115252.5"/>
    <n v="0"/>
    <n v="-1026936333284057.8"/>
    <n v="0"/>
    <x v="4"/>
  </r>
  <r>
    <s v="Regular"/>
    <x v="0"/>
    <x v="1"/>
    <x v="3"/>
    <x v="0"/>
    <x v="3"/>
    <x v="1"/>
    <x v="1"/>
    <x v="1"/>
    <n v="2317"/>
    <n v="1158.5"/>
    <n v="0"/>
    <n v="0"/>
    <n v="0"/>
    <n v="0"/>
    <n v="0"/>
    <s v="GERAÇÃO"/>
    <n v="28542"/>
    <n v="90"/>
    <n v="0"/>
    <n v="0"/>
    <n v="13.97"/>
    <n v="0"/>
    <n v="0"/>
    <n v="-124477131307.15851"/>
    <m/>
    <m/>
    <n v="16184.245000000001"/>
    <n v="0"/>
    <n v="-144206756619343.13"/>
    <n v="0"/>
    <x v="4"/>
  </r>
  <r>
    <s v="Regular"/>
    <x v="0"/>
    <x v="1"/>
    <x v="3"/>
    <x v="0"/>
    <x v="3"/>
    <x v="2"/>
    <x v="1"/>
    <x v="1"/>
    <n v="14250"/>
    <n v="7570.3125"/>
    <n v="0"/>
    <n v="0"/>
    <n v="0"/>
    <n v="0"/>
    <n v="0"/>
    <s v="GERAÇÃO"/>
    <n v="29161"/>
    <n v="90"/>
    <n v="0"/>
    <n v="0"/>
    <n v="13.97"/>
    <n v="0"/>
    <n v="0"/>
    <n v="-124477131307.15851"/>
    <m/>
    <m/>
    <n v="93315.234375"/>
    <n v="0"/>
    <n v="-831468338028285.38"/>
    <n v="0"/>
    <x v="4"/>
  </r>
  <r>
    <s v="Regular"/>
    <x v="0"/>
    <x v="1"/>
    <x v="3"/>
    <x v="0"/>
    <x v="3"/>
    <x v="3"/>
    <x v="1"/>
    <x v="1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1"/>
    <n v="16500"/>
    <n v="8250"/>
    <n v="0"/>
    <n v="0"/>
    <n v="0"/>
    <n v="0"/>
    <n v="0"/>
    <s v="GERAÇÃO"/>
    <n v="31371"/>
    <n v="90"/>
    <n v="0"/>
    <n v="0"/>
    <n v="13.97"/>
    <n v="0"/>
    <n v="0"/>
    <n v="-124477131307.15851"/>
    <m/>
    <m/>
    <n v="115252.5"/>
    <n v="0"/>
    <n v="-1026936333284057.8"/>
    <n v="0"/>
    <x v="4"/>
  </r>
  <r>
    <s v="Regular"/>
    <x v="0"/>
    <x v="1"/>
    <x v="3"/>
    <x v="0"/>
    <x v="3"/>
    <x v="1"/>
    <x v="1"/>
    <x v="2"/>
    <n v="2342"/>
    <n v="1171"/>
    <n v="0"/>
    <n v="0"/>
    <n v="0"/>
    <n v="0"/>
    <n v="0"/>
    <s v="GERAÇÃO"/>
    <n v="28542"/>
    <n v="90"/>
    <n v="0"/>
    <n v="0"/>
    <n v="13.97"/>
    <n v="0"/>
    <n v="0"/>
    <n v="-124477131307.15851"/>
    <m/>
    <m/>
    <n v="16358.87"/>
    <n v="0"/>
    <n v="-145762720760682.63"/>
    <n v="0"/>
    <x v="4"/>
  </r>
  <r>
    <s v="Regular"/>
    <x v="0"/>
    <x v="1"/>
    <x v="3"/>
    <x v="0"/>
    <x v="3"/>
    <x v="2"/>
    <x v="1"/>
    <x v="2"/>
    <n v="15428"/>
    <n v="8196.125"/>
    <n v="0"/>
    <n v="0"/>
    <n v="0"/>
    <n v="0"/>
    <n v="0"/>
    <s v="GERAÇÃO"/>
    <n v="29161"/>
    <n v="90"/>
    <n v="0"/>
    <n v="0"/>
    <n v="13.97"/>
    <n v="0"/>
    <n v="0"/>
    <n v="-124477131307.15851"/>
    <m/>
    <m/>
    <n v="101029.29375000001"/>
    <n v="0"/>
    <n v="-900203053971956.88"/>
    <n v="0"/>
    <x v="4"/>
  </r>
  <r>
    <s v="Regular"/>
    <x v="0"/>
    <x v="1"/>
    <x v="3"/>
    <x v="0"/>
    <x v="3"/>
    <x v="3"/>
    <x v="1"/>
    <x v="2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2"/>
    <n v="16500"/>
    <n v="8250"/>
    <n v="0"/>
    <n v="0"/>
    <n v="0"/>
    <n v="0"/>
    <n v="0"/>
    <s v="GERAÇÃO"/>
    <n v="31371"/>
    <n v="90"/>
    <n v="0"/>
    <n v="0"/>
    <n v="13.97"/>
    <n v="0"/>
    <n v="0"/>
    <n v="-124477131307.15851"/>
    <m/>
    <m/>
    <n v="115252.5"/>
    <n v="0"/>
    <n v="-1026936333284057.8"/>
    <n v="0"/>
    <x v="4"/>
  </r>
  <r>
    <s v="Regular"/>
    <x v="0"/>
    <x v="1"/>
    <x v="3"/>
    <x v="0"/>
    <x v="3"/>
    <x v="1"/>
    <x v="1"/>
    <x v="3"/>
    <n v="1533"/>
    <n v="766.5"/>
    <n v="0"/>
    <n v="0"/>
    <n v="0"/>
    <n v="0"/>
    <n v="0"/>
    <s v="GERAÇÃO"/>
    <n v="28542"/>
    <n v="90"/>
    <n v="0"/>
    <n v="0"/>
    <n v="13.97"/>
    <n v="0"/>
    <n v="0"/>
    <n v="-124477131307.15851"/>
    <m/>
    <m/>
    <n v="10708.005000000001"/>
    <n v="0"/>
    <n v="-95411721146937"/>
    <n v="0"/>
    <x v="4"/>
  </r>
  <r>
    <s v="Regular"/>
    <x v="0"/>
    <x v="1"/>
    <x v="3"/>
    <x v="0"/>
    <x v="3"/>
    <x v="2"/>
    <x v="1"/>
    <x v="3"/>
    <n v="14393"/>
    <n v="7646.28125"/>
    <n v="0"/>
    <n v="0"/>
    <n v="0"/>
    <n v="0"/>
    <n v="0"/>
    <s v="GERAÇÃO"/>
    <n v="29161"/>
    <n v="90"/>
    <n v="0"/>
    <n v="0"/>
    <n v="13.97"/>
    <n v="0"/>
    <n v="0"/>
    <n v="-124477131307.15851"/>
    <m/>
    <m/>
    <n v="94251.660937499997"/>
    <n v="0"/>
    <n v="-839812195736218.38"/>
    <n v="0"/>
    <x v="4"/>
  </r>
  <r>
    <s v="Regular"/>
    <x v="0"/>
    <x v="1"/>
    <x v="3"/>
    <x v="0"/>
    <x v="3"/>
    <x v="3"/>
    <x v="1"/>
    <x v="3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3"/>
    <n v="16500"/>
    <n v="8250"/>
    <n v="0"/>
    <n v="0"/>
    <n v="0"/>
    <n v="0"/>
    <n v="0"/>
    <s v="GERAÇÃO"/>
    <n v="31371"/>
    <n v="90"/>
    <n v="0"/>
    <n v="0"/>
    <n v="13.97"/>
    <n v="0"/>
    <n v="0"/>
    <n v="-124477131307.15851"/>
    <m/>
    <m/>
    <n v="115252.5"/>
    <n v="0"/>
    <n v="-1026936333284057.8"/>
    <n v="0"/>
    <x v="4"/>
  </r>
  <r>
    <s v="Regular"/>
    <x v="0"/>
    <x v="1"/>
    <x v="3"/>
    <x v="0"/>
    <x v="3"/>
    <x v="1"/>
    <x v="1"/>
    <x v="4"/>
    <n v="1066"/>
    <n v="533"/>
    <n v="0"/>
    <n v="0"/>
    <n v="0"/>
    <n v="0"/>
    <n v="0"/>
    <s v="GERAÇÃO"/>
    <n v="28542"/>
    <n v="90"/>
    <n v="0"/>
    <n v="0"/>
    <n v="13.97"/>
    <n v="0"/>
    <n v="0"/>
    <n v="-124477131307.15851"/>
    <m/>
    <m/>
    <n v="7446.01"/>
    <n v="0"/>
    <n v="-66346310986715.484"/>
    <n v="0"/>
    <x v="4"/>
  </r>
  <r>
    <s v="Regular"/>
    <x v="0"/>
    <x v="1"/>
    <x v="3"/>
    <x v="0"/>
    <x v="3"/>
    <x v="2"/>
    <x v="1"/>
    <x v="4"/>
    <n v="12295"/>
    <n v="6531.71875"/>
    <n v="0"/>
    <n v="0"/>
    <n v="0"/>
    <n v="0"/>
    <n v="0"/>
    <s v="GERAÇÃO"/>
    <n v="29161"/>
    <n v="90"/>
    <n v="0"/>
    <n v="0"/>
    <n v="13.97"/>
    <n v="0"/>
    <n v="0"/>
    <n v="-124477131307.15851"/>
    <m/>
    <m/>
    <n v="80513.0390625"/>
    <n v="0"/>
    <n v="-717396716916334.63"/>
    <n v="0"/>
    <x v="4"/>
  </r>
  <r>
    <s v="Regular"/>
    <x v="0"/>
    <x v="1"/>
    <x v="3"/>
    <x v="0"/>
    <x v="3"/>
    <x v="3"/>
    <x v="1"/>
    <x v="4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4"/>
    <n v="16500"/>
    <n v="8250"/>
    <n v="0"/>
    <n v="0"/>
    <n v="0"/>
    <n v="0"/>
    <n v="0"/>
    <s v="GERAÇÃO"/>
    <n v="31371"/>
    <n v="90"/>
    <n v="0"/>
    <n v="0"/>
    <n v="13.97"/>
    <n v="0"/>
    <n v="0"/>
    <n v="-124477131307.15851"/>
    <m/>
    <m/>
    <n v="115252.5"/>
    <n v="0"/>
    <n v="-1026936333284057.8"/>
    <n v="0"/>
    <x v="4"/>
  </r>
  <r>
    <s v="Regular"/>
    <x v="0"/>
    <x v="1"/>
    <x v="3"/>
    <x v="0"/>
    <x v="3"/>
    <x v="1"/>
    <x v="1"/>
    <x v="5"/>
    <n v="1994"/>
    <n v="997"/>
    <n v="0"/>
    <n v="0"/>
    <n v="0"/>
    <n v="0"/>
    <n v="0"/>
    <s v="GERAÇÃO"/>
    <n v="28542"/>
    <n v="90"/>
    <n v="0"/>
    <n v="0"/>
    <n v="13.97"/>
    <n v="0"/>
    <n v="0"/>
    <n v="-124477131307.15851"/>
    <m/>
    <m/>
    <n v="13928.09"/>
    <n v="0"/>
    <n v="-124103699913237.03"/>
    <n v="0"/>
    <x v="4"/>
  </r>
  <r>
    <s v="Regular"/>
    <x v="0"/>
    <x v="1"/>
    <x v="3"/>
    <x v="0"/>
    <x v="3"/>
    <x v="2"/>
    <x v="1"/>
    <x v="5"/>
    <n v="11378"/>
    <n v="6044.5625"/>
    <n v="0"/>
    <n v="0"/>
    <n v="0"/>
    <n v="0"/>
    <n v="0"/>
    <s v="GERAÇÃO"/>
    <n v="29161"/>
    <n v="90"/>
    <n v="0"/>
    <n v="0"/>
    <n v="13.97"/>
    <n v="0"/>
    <n v="0"/>
    <n v="-124477131307.15851"/>
    <m/>
    <m/>
    <n v="74508.121874999997"/>
    <n v="0"/>
    <n v="-663891000006023.25"/>
    <n v="0"/>
    <x v="4"/>
  </r>
  <r>
    <s v="Regular"/>
    <x v="0"/>
    <x v="1"/>
    <x v="3"/>
    <x v="0"/>
    <x v="3"/>
    <x v="3"/>
    <x v="1"/>
    <x v="5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5"/>
    <n v="20888"/>
    <n v="10444"/>
    <n v="0"/>
    <n v="0"/>
    <n v="0"/>
    <n v="0"/>
    <n v="0"/>
    <s v="GERAÇÃO"/>
    <n v="31371"/>
    <n v="90"/>
    <n v="0"/>
    <n v="0"/>
    <n v="13.97"/>
    <n v="0"/>
    <n v="0"/>
    <n v="-124477131307.15851"/>
    <m/>
    <m/>
    <n v="145902.68"/>
    <n v="0"/>
    <n v="-1300039159371963.5"/>
    <n v="0"/>
    <x v="4"/>
  </r>
  <r>
    <s v="Regular"/>
    <x v="0"/>
    <x v="1"/>
    <x v="3"/>
    <x v="0"/>
    <x v="3"/>
    <x v="1"/>
    <x v="1"/>
    <x v="6"/>
    <n v="2636"/>
    <n v="1318"/>
    <n v="0"/>
    <n v="0"/>
    <n v="0"/>
    <n v="0"/>
    <n v="0"/>
    <s v="GERAÇÃO"/>
    <n v="28542"/>
    <n v="90"/>
    <n v="0"/>
    <n v="0"/>
    <n v="13.97"/>
    <n v="0"/>
    <n v="0"/>
    <n v="-124477131307.15851"/>
    <m/>
    <m/>
    <n v="18412.46"/>
    <n v="0"/>
    <n v="-164060859062834.91"/>
    <n v="0"/>
    <x v="4"/>
  </r>
  <r>
    <s v="Regular"/>
    <x v="0"/>
    <x v="1"/>
    <x v="3"/>
    <x v="0"/>
    <x v="3"/>
    <x v="2"/>
    <x v="1"/>
    <x v="6"/>
    <n v="12479"/>
    <n v="6629.46875"/>
    <n v="0"/>
    <n v="0"/>
    <n v="0"/>
    <n v="0"/>
    <n v="0"/>
    <s v="GERAÇÃO"/>
    <n v="29161"/>
    <n v="90"/>
    <n v="0"/>
    <n v="0"/>
    <n v="13.97"/>
    <n v="0"/>
    <n v="0"/>
    <n v="-124477131307.15851"/>
    <m/>
    <m/>
    <n v="81717.951562500006"/>
    <n v="0"/>
    <n v="-728132869491577"/>
    <n v="0"/>
    <x v="4"/>
  </r>
  <r>
    <s v="Regular"/>
    <x v="0"/>
    <x v="1"/>
    <x v="3"/>
    <x v="0"/>
    <x v="3"/>
    <x v="3"/>
    <x v="1"/>
    <x v="6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6"/>
    <n v="20751"/>
    <n v="10375.5"/>
    <n v="0"/>
    <n v="0"/>
    <n v="0"/>
    <n v="0"/>
    <n v="0"/>
    <s v="GERAÇÃO"/>
    <n v="31371"/>
    <n v="90"/>
    <n v="0"/>
    <n v="0"/>
    <n v="13.97"/>
    <n v="0"/>
    <n v="0"/>
    <n v="-124477131307.15851"/>
    <m/>
    <m/>
    <n v="144945.73500000002"/>
    <n v="0"/>
    <n v="-1291512475877423"/>
    <n v="0"/>
    <x v="4"/>
  </r>
  <r>
    <s v="Regular"/>
    <x v="0"/>
    <x v="1"/>
    <x v="3"/>
    <x v="0"/>
    <x v="3"/>
    <x v="1"/>
    <x v="1"/>
    <x v="7"/>
    <n v="1869"/>
    <n v="934.5"/>
    <n v="0"/>
    <n v="0"/>
    <n v="0"/>
    <n v="0"/>
    <n v="0"/>
    <s v="GERAÇÃO"/>
    <n v="28542"/>
    <n v="90"/>
    <n v="0"/>
    <n v="0"/>
    <n v="13.97"/>
    <n v="0"/>
    <n v="0"/>
    <n v="-124477131307.15851"/>
    <m/>
    <m/>
    <n v="13054.965"/>
    <n v="0"/>
    <n v="-116323879206539.63"/>
    <n v="0"/>
    <x v="4"/>
  </r>
  <r>
    <s v="Regular"/>
    <x v="0"/>
    <x v="1"/>
    <x v="3"/>
    <x v="0"/>
    <x v="3"/>
    <x v="2"/>
    <x v="1"/>
    <x v="7"/>
    <n v="13259"/>
    <n v="7043.84375"/>
    <n v="0"/>
    <n v="0"/>
    <n v="0"/>
    <n v="0"/>
    <n v="0"/>
    <s v="GERAÇÃO"/>
    <n v="29161"/>
    <n v="90"/>
    <n v="0"/>
    <n v="0"/>
    <n v="13.97"/>
    <n v="0"/>
    <n v="0"/>
    <n v="-124477131307.15851"/>
    <m/>
    <m/>
    <n v="86825.732812500006"/>
    <n v="0"/>
    <n v="-773644820625756.88"/>
    <n v="0"/>
    <x v="4"/>
  </r>
  <r>
    <s v="Regular"/>
    <x v="0"/>
    <x v="1"/>
    <x v="3"/>
    <x v="0"/>
    <x v="3"/>
    <x v="3"/>
    <x v="1"/>
    <x v="7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7"/>
    <n v="21732"/>
    <n v="10866"/>
    <n v="0"/>
    <n v="0"/>
    <n v="0"/>
    <n v="0"/>
    <n v="0"/>
    <s v="GERAÇÃO"/>
    <n v="31371"/>
    <n v="90"/>
    <n v="0"/>
    <n v="0"/>
    <n v="13.97"/>
    <n v="0"/>
    <n v="0"/>
    <n v="-124477131307.15851"/>
    <m/>
    <m/>
    <n v="151798.02000000002"/>
    <n v="0"/>
    <n v="-1352568508783584.3"/>
    <n v="0"/>
    <x v="4"/>
  </r>
  <r>
    <s v="Regular"/>
    <x v="0"/>
    <x v="1"/>
    <x v="3"/>
    <x v="0"/>
    <x v="3"/>
    <x v="1"/>
    <x v="1"/>
    <x v="8"/>
    <n v="2327"/>
    <n v="1163.5"/>
    <n v="0"/>
    <n v="0"/>
    <n v="0"/>
    <n v="0"/>
    <n v="0"/>
    <s v="GERAÇÃO"/>
    <n v="28542"/>
    <n v="90"/>
    <n v="0"/>
    <n v="0"/>
    <n v="13.97"/>
    <n v="0"/>
    <n v="0"/>
    <n v="-124477131307.15851"/>
    <m/>
    <m/>
    <n v="16254.095000000001"/>
    <n v="0"/>
    <n v="-144829142275878.94"/>
    <n v="0"/>
    <x v="4"/>
  </r>
  <r>
    <s v="Regular"/>
    <x v="0"/>
    <x v="1"/>
    <x v="3"/>
    <x v="0"/>
    <x v="3"/>
    <x v="2"/>
    <x v="1"/>
    <x v="8"/>
    <n v="12784"/>
    <n v="6791.5"/>
    <n v="0"/>
    <n v="0"/>
    <n v="0"/>
    <n v="0"/>
    <n v="0"/>
    <s v="GERAÇÃO"/>
    <n v="29161"/>
    <n v="90"/>
    <n v="0"/>
    <n v="0"/>
    <n v="13.97"/>
    <n v="0"/>
    <n v="0"/>
    <n v="-124477131307.15851"/>
    <m/>
    <m/>
    <n v="83715.225000000006"/>
    <n v="0"/>
    <n v="-745929209358147.38"/>
    <n v="0"/>
    <x v="4"/>
  </r>
  <r>
    <s v="Regular"/>
    <x v="0"/>
    <x v="1"/>
    <x v="3"/>
    <x v="0"/>
    <x v="3"/>
    <x v="3"/>
    <x v="1"/>
    <x v="8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8"/>
    <n v="16500"/>
    <n v="8250"/>
    <n v="0"/>
    <n v="0"/>
    <n v="0"/>
    <n v="0"/>
    <n v="0"/>
    <s v="GERAÇÃO"/>
    <n v="31371"/>
    <n v="90"/>
    <n v="0"/>
    <n v="0"/>
    <n v="13.97"/>
    <n v="0"/>
    <n v="0"/>
    <n v="-124477131307.15851"/>
    <m/>
    <m/>
    <n v="115252.5"/>
    <n v="0"/>
    <n v="-1026936333284057.8"/>
    <n v="0"/>
    <x v="4"/>
  </r>
  <r>
    <s v="Regular"/>
    <x v="0"/>
    <x v="1"/>
    <x v="3"/>
    <x v="0"/>
    <x v="3"/>
    <x v="1"/>
    <x v="1"/>
    <x v="9"/>
    <n v="1362"/>
    <n v="681"/>
    <n v="0"/>
    <n v="0"/>
    <n v="0"/>
    <n v="0"/>
    <n v="0"/>
    <s v="GERAÇÃO"/>
    <n v="28542"/>
    <n v="90"/>
    <n v="0"/>
    <n v="0"/>
    <n v="13.97"/>
    <n v="0"/>
    <n v="0"/>
    <n v="-124477131307.15851"/>
    <m/>
    <m/>
    <n v="9513.57"/>
    <n v="0"/>
    <n v="-84768926420174.938"/>
    <n v="0"/>
    <x v="4"/>
  </r>
  <r>
    <s v="Regular"/>
    <x v="0"/>
    <x v="1"/>
    <x v="3"/>
    <x v="0"/>
    <x v="3"/>
    <x v="2"/>
    <x v="1"/>
    <x v="9"/>
    <n v="11990"/>
    <n v="6369.6875"/>
    <n v="0"/>
    <n v="0"/>
    <n v="0"/>
    <n v="0"/>
    <n v="0"/>
    <s v="GERAÇÃO"/>
    <n v="29161"/>
    <n v="90"/>
    <n v="0"/>
    <n v="0"/>
    <n v="13.97"/>
    <n v="0"/>
    <n v="0"/>
    <n v="-124477131307.15851"/>
    <m/>
    <m/>
    <n v="78515.765625"/>
    <n v="0"/>
    <n v="-699600377049764.25"/>
    <n v="0"/>
    <x v="4"/>
  </r>
  <r>
    <s v="Regular"/>
    <x v="0"/>
    <x v="1"/>
    <x v="3"/>
    <x v="0"/>
    <x v="3"/>
    <x v="3"/>
    <x v="1"/>
    <x v="9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9"/>
    <n v="16500"/>
    <n v="8250"/>
    <n v="0"/>
    <n v="0"/>
    <n v="0"/>
    <n v="0"/>
    <n v="0"/>
    <s v="GERAÇÃO"/>
    <n v="31371"/>
    <n v="90"/>
    <n v="0"/>
    <n v="0"/>
    <n v="13.97"/>
    <n v="0"/>
    <n v="0"/>
    <n v="-124477131307.15851"/>
    <m/>
    <m/>
    <n v="115252.5"/>
    <n v="0"/>
    <n v="-1026936333284057.8"/>
    <n v="0"/>
    <x v="4"/>
  </r>
  <r>
    <s v="Regular"/>
    <x v="0"/>
    <x v="1"/>
    <x v="3"/>
    <x v="0"/>
    <x v="3"/>
    <x v="1"/>
    <x v="1"/>
    <x v="10"/>
    <n v="1131"/>
    <n v="565.5"/>
    <n v="0"/>
    <n v="0"/>
    <n v="0"/>
    <n v="0"/>
    <n v="0"/>
    <s v="GERAÇÃO"/>
    <n v="28542"/>
    <n v="90"/>
    <n v="0"/>
    <n v="0"/>
    <n v="13.97"/>
    <n v="0"/>
    <n v="0"/>
    <n v="-124477131307.15851"/>
    <m/>
    <m/>
    <n v="7900.0350000000008"/>
    <n v="0"/>
    <n v="-70391817754198.141"/>
    <n v="0"/>
    <x v="4"/>
  </r>
  <r>
    <s v="Regular"/>
    <x v="0"/>
    <x v="1"/>
    <x v="3"/>
    <x v="0"/>
    <x v="3"/>
    <x v="2"/>
    <x v="1"/>
    <x v="10"/>
    <n v="11908"/>
    <n v="6326.125"/>
    <n v="0"/>
    <n v="0"/>
    <n v="0"/>
    <n v="0"/>
    <n v="0"/>
    <s v="GERAÇÃO"/>
    <n v="29161"/>
    <n v="90"/>
    <n v="0"/>
    <n v="0"/>
    <n v="13.97"/>
    <n v="0"/>
    <n v="0"/>
    <n v="-124477131307.15851"/>
    <m/>
    <m/>
    <n v="77978.793749999997"/>
    <n v="0"/>
    <n v="-694815787315145.38"/>
    <n v="0"/>
    <x v="4"/>
  </r>
  <r>
    <s v="Regular"/>
    <x v="0"/>
    <x v="1"/>
    <x v="3"/>
    <x v="0"/>
    <x v="3"/>
    <x v="3"/>
    <x v="1"/>
    <x v="10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Regular"/>
    <x v="0"/>
    <x v="1"/>
    <x v="3"/>
    <x v="0"/>
    <x v="3"/>
    <x v="4"/>
    <x v="1"/>
    <x v="10"/>
    <n v="16500"/>
    <n v="8250"/>
    <n v="0"/>
    <n v="0"/>
    <n v="0"/>
    <n v="0"/>
    <n v="0"/>
    <s v="GERAÇÃO"/>
    <n v="31371"/>
    <n v="90"/>
    <n v="0"/>
    <n v="0"/>
    <n v="13.97"/>
    <n v="0"/>
    <n v="0"/>
    <n v="-124477131307.15851"/>
    <m/>
    <m/>
    <n v="115252.5"/>
    <n v="0"/>
    <n v="-1026936333284057.8"/>
    <n v="0"/>
    <x v="4"/>
  </r>
  <r>
    <s v="PROJETADO"/>
    <x v="0"/>
    <x v="1"/>
    <x v="3"/>
    <x v="0"/>
    <x v="3"/>
    <x v="1"/>
    <x v="1"/>
    <x v="11"/>
    <n v="1131"/>
    <n v="565.5"/>
    <n v="0"/>
    <n v="0"/>
    <n v="0"/>
    <n v="0"/>
    <n v="0"/>
    <s v="GERAÇÃO"/>
    <n v="28542"/>
    <n v="90"/>
    <n v="0"/>
    <n v="0"/>
    <n v="13.97"/>
    <n v="0"/>
    <n v="0"/>
    <n v="-124477131307.15851"/>
    <m/>
    <m/>
    <n v="7900.0350000000008"/>
    <n v="0"/>
    <n v="-70391817754198.141"/>
    <n v="0"/>
    <x v="4"/>
  </r>
  <r>
    <s v="PROJETADO"/>
    <x v="0"/>
    <x v="1"/>
    <x v="3"/>
    <x v="0"/>
    <x v="3"/>
    <x v="2"/>
    <x v="1"/>
    <x v="11"/>
    <n v="11908"/>
    <n v="6326.125"/>
    <n v="0"/>
    <n v="0"/>
    <n v="0"/>
    <n v="0"/>
    <n v="0"/>
    <s v="GERAÇÃO"/>
    <n v="29161"/>
    <n v="90"/>
    <n v="0"/>
    <n v="0"/>
    <n v="13.97"/>
    <n v="0"/>
    <n v="0"/>
    <n v="-124477131307.15851"/>
    <m/>
    <m/>
    <n v="77978.793749999997"/>
    <n v="0"/>
    <n v="-694815787315145.38"/>
    <n v="0"/>
    <x v="4"/>
  </r>
  <r>
    <s v="PROJETADO"/>
    <x v="0"/>
    <x v="1"/>
    <x v="3"/>
    <x v="0"/>
    <x v="3"/>
    <x v="3"/>
    <x v="1"/>
    <x v="11"/>
    <n v="30000"/>
    <n v="15000"/>
    <n v="0"/>
    <n v="0"/>
    <n v="0"/>
    <n v="0"/>
    <n v="0"/>
    <s v="GERAÇÃO"/>
    <n v="30048"/>
    <n v="90"/>
    <n v="0"/>
    <n v="0"/>
    <n v="13.97"/>
    <n v="0"/>
    <n v="0"/>
    <n v="-124477131307.15851"/>
    <m/>
    <m/>
    <n v="209550"/>
    <n v="0"/>
    <n v="-1867156969607377.5"/>
    <n v="0"/>
    <x v="4"/>
  </r>
  <r>
    <s v="PROJETADO"/>
    <x v="0"/>
    <x v="1"/>
    <x v="3"/>
    <x v="0"/>
    <x v="3"/>
    <x v="4"/>
    <x v="1"/>
    <x v="11"/>
    <n v="16500"/>
    <n v="8250"/>
    <n v="0"/>
    <n v="0"/>
    <n v="0"/>
    <n v="0"/>
    <n v="0"/>
    <s v="GERAÇÃO"/>
    <n v="31371"/>
    <n v="90"/>
    <n v="0"/>
    <n v="0"/>
    <n v="13.97"/>
    <n v="0"/>
    <n v="0"/>
    <n v="-124477131307.15851"/>
    <m/>
    <m/>
    <n v="115252.5"/>
    <n v="0"/>
    <n v="-1026936333284057.8"/>
    <n v="0"/>
    <x v="4"/>
  </r>
  <r>
    <s v="Regular"/>
    <x v="0"/>
    <x v="1"/>
    <x v="3"/>
    <x v="0"/>
    <x v="2"/>
    <x v="5"/>
    <x v="1"/>
    <x v="0"/>
    <n v="13000"/>
    <n v="6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90805"/>
    <n v="0"/>
    <n v="-809101353496530.25"/>
    <n v="0"/>
    <x v="4"/>
  </r>
  <r>
    <s v="Regular"/>
    <x v="0"/>
    <x v="1"/>
    <x v="3"/>
    <x v="0"/>
    <x v="2"/>
    <x v="5"/>
    <x v="1"/>
    <x v="1"/>
    <n v="13000"/>
    <n v="6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90805"/>
    <n v="0"/>
    <n v="-809101353496530.25"/>
    <n v="0"/>
    <x v="4"/>
  </r>
  <r>
    <s v="Regular"/>
    <x v="0"/>
    <x v="1"/>
    <x v="3"/>
    <x v="0"/>
    <x v="2"/>
    <x v="5"/>
    <x v="1"/>
    <x v="2"/>
    <n v="13000"/>
    <n v="6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90805"/>
    <n v="0"/>
    <n v="-809101353496530.25"/>
    <n v="0"/>
    <x v="4"/>
  </r>
  <r>
    <s v="Regular"/>
    <x v="0"/>
    <x v="1"/>
    <x v="3"/>
    <x v="0"/>
    <x v="2"/>
    <x v="5"/>
    <x v="1"/>
    <x v="3"/>
    <n v="11000"/>
    <n v="5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76835"/>
    <n v="0"/>
    <n v="-684624222189371.75"/>
    <n v="0"/>
    <x v="4"/>
  </r>
  <r>
    <s v="Regular"/>
    <x v="0"/>
    <x v="1"/>
    <x v="3"/>
    <x v="0"/>
    <x v="2"/>
    <x v="5"/>
    <x v="1"/>
    <x v="4"/>
    <n v="11000"/>
    <n v="5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76835"/>
    <n v="0"/>
    <n v="-684624222189371.75"/>
    <n v="0"/>
    <x v="4"/>
  </r>
  <r>
    <s v="Regular"/>
    <x v="0"/>
    <x v="1"/>
    <x v="3"/>
    <x v="0"/>
    <x v="2"/>
    <x v="5"/>
    <x v="1"/>
    <x v="5"/>
    <n v="11000"/>
    <n v="5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76835"/>
    <n v="0"/>
    <n v="-684624222189371.75"/>
    <n v="0"/>
    <x v="4"/>
  </r>
  <r>
    <s v="Regular"/>
    <x v="0"/>
    <x v="1"/>
    <x v="3"/>
    <x v="0"/>
    <x v="2"/>
    <x v="5"/>
    <x v="1"/>
    <x v="6"/>
    <n v="11000"/>
    <n v="5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76835"/>
    <n v="0"/>
    <n v="-684624222189371.75"/>
    <n v="0"/>
    <x v="4"/>
  </r>
  <r>
    <s v="Regular"/>
    <x v="0"/>
    <x v="1"/>
    <x v="3"/>
    <x v="0"/>
    <x v="2"/>
    <x v="5"/>
    <x v="1"/>
    <x v="7"/>
    <n v="11000"/>
    <n v="5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76835"/>
    <n v="0"/>
    <n v="-684624222189371.75"/>
    <n v="0"/>
    <x v="4"/>
  </r>
  <r>
    <s v="Regular"/>
    <x v="0"/>
    <x v="1"/>
    <x v="3"/>
    <x v="0"/>
    <x v="2"/>
    <x v="5"/>
    <x v="1"/>
    <x v="8"/>
    <n v="11000"/>
    <n v="5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76835"/>
    <n v="0"/>
    <n v="-684624222189371.75"/>
    <n v="0"/>
    <x v="4"/>
  </r>
  <r>
    <s v="Regular"/>
    <x v="0"/>
    <x v="1"/>
    <x v="3"/>
    <x v="0"/>
    <x v="2"/>
    <x v="5"/>
    <x v="1"/>
    <x v="9"/>
    <n v="11000"/>
    <n v="5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76835"/>
    <n v="0"/>
    <n v="-684624222189371.75"/>
    <n v="0"/>
    <x v="4"/>
  </r>
  <r>
    <s v="Regular"/>
    <x v="0"/>
    <x v="1"/>
    <x v="3"/>
    <x v="0"/>
    <x v="2"/>
    <x v="5"/>
    <x v="1"/>
    <x v="10"/>
    <n v="11000"/>
    <n v="5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76835"/>
    <n v="0"/>
    <n v="-684624222189371.75"/>
    <n v="0"/>
    <x v="4"/>
  </r>
  <r>
    <s v="PROJETADO"/>
    <x v="0"/>
    <x v="1"/>
    <x v="3"/>
    <x v="0"/>
    <x v="2"/>
    <x v="5"/>
    <x v="1"/>
    <x v="11"/>
    <n v="11000"/>
    <n v="5500"/>
    <n v="0"/>
    <n v="0"/>
    <n v="0"/>
    <n v="0"/>
    <n v="0"/>
    <s v="GERAÇÃO"/>
    <n v="28708"/>
    <n v="90"/>
    <n v="0"/>
    <n v="0"/>
    <n v="13.97"/>
    <n v="0"/>
    <n v="0"/>
    <n v="-124477131307.15851"/>
    <m/>
    <m/>
    <n v="76835"/>
    <n v="0"/>
    <n v="-684624222189371.75"/>
    <n v="0"/>
    <x v="4"/>
  </r>
  <r>
    <s v="Regular"/>
    <x v="1"/>
    <x v="0"/>
    <x v="0"/>
    <x v="0"/>
    <x v="0"/>
    <x v="0"/>
    <x v="0"/>
    <x v="0"/>
    <n v="11934"/>
    <n v="4575.6024092999996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160780.98735679503"/>
    <n v="0"/>
    <n v="205640.23126175371"/>
    <n v="0"/>
    <x v="0"/>
  </r>
  <r>
    <s v="Regular"/>
    <x v="1"/>
    <x v="0"/>
    <x v="0"/>
    <x v="0"/>
    <x v="0"/>
    <x v="0"/>
    <x v="0"/>
    <x v="1"/>
    <n v="12806"/>
    <n v="5134.5000052200003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167622.27488594301"/>
    <n v="0"/>
    <n v="214390.29538780713"/>
    <n v="0"/>
    <x v="0"/>
  </r>
  <r>
    <s v="Regular"/>
    <x v="1"/>
    <x v="0"/>
    <x v="0"/>
    <x v="0"/>
    <x v="0"/>
    <x v="0"/>
    <x v="0"/>
    <x v="2"/>
    <n v="14440"/>
    <n v="5777.5833460000003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189273.80388990004"/>
    <n v="0"/>
    <n v="242082.78257016127"/>
    <n v="0"/>
    <x v="0"/>
  </r>
  <r>
    <s v="Regular"/>
    <x v="1"/>
    <x v="0"/>
    <x v="0"/>
    <x v="0"/>
    <x v="0"/>
    <x v="0"/>
    <x v="0"/>
    <x v="3"/>
    <n v="16638"/>
    <n v="7136.5000708799998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207607.77345127202"/>
    <n v="0"/>
    <n v="265532.08340185659"/>
    <n v="0"/>
    <x v="0"/>
  </r>
  <r>
    <s v="Regular"/>
    <x v="1"/>
    <x v="0"/>
    <x v="0"/>
    <x v="0"/>
    <x v="0"/>
    <x v="0"/>
    <x v="0"/>
    <x v="4"/>
    <n v="16596"/>
    <n v="6355.4322254400004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223756.40587413602"/>
    <n v="0"/>
    <n v="286186.31970549043"/>
    <n v="0"/>
    <x v="0"/>
  </r>
  <r>
    <s v="Regular"/>
    <x v="1"/>
    <x v="0"/>
    <x v="0"/>
    <x v="0"/>
    <x v="0"/>
    <x v="0"/>
    <x v="0"/>
    <x v="5"/>
    <n v="17990"/>
    <n v="7682.4999719999996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225218.87561180003"/>
    <n v="0"/>
    <n v="288056.83076535322"/>
    <n v="0"/>
    <x v="0"/>
  </r>
  <r>
    <s v="Regular"/>
    <x v="1"/>
    <x v="0"/>
    <x v="0"/>
    <x v="0"/>
    <x v="0"/>
    <x v="0"/>
    <x v="0"/>
    <x v="6"/>
    <n v="17616"/>
    <n v="5862.0558854399997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256823.67890313599"/>
    <n v="0"/>
    <n v="328479.63923704089"/>
    <n v="0"/>
    <x v="0"/>
  </r>
  <r>
    <s v="Regular"/>
    <x v="1"/>
    <x v="0"/>
    <x v="0"/>
    <x v="0"/>
    <x v="0"/>
    <x v="0"/>
    <x v="0"/>
    <x v="7"/>
    <n v="18413"/>
    <n v="7289.0000090599997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243059.399802039"/>
    <n v="0"/>
    <n v="310875.01082895888"/>
    <n v="0"/>
    <x v="0"/>
  </r>
  <r>
    <s v="Regular"/>
    <x v="1"/>
    <x v="0"/>
    <x v="0"/>
    <x v="0"/>
    <x v="0"/>
    <x v="0"/>
    <x v="0"/>
    <x v="8"/>
    <n v="18542"/>
    <n v="7958.5000799199997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231249.47325374803"/>
    <n v="0"/>
    <n v="295770.01572661201"/>
    <n v="0"/>
    <x v="0"/>
  </r>
  <r>
    <s v="Regular"/>
    <x v="1"/>
    <x v="0"/>
    <x v="0"/>
    <x v="0"/>
    <x v="0"/>
    <x v="0"/>
    <x v="0"/>
    <x v="9"/>
    <n v="19122"/>
    <n v="8248.4999571600001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237585.97593605402"/>
    <n v="0"/>
    <n v="303874.45580004249"/>
    <n v="0"/>
    <x v="0"/>
  </r>
  <r>
    <s v="Regular"/>
    <x v="1"/>
    <x v="0"/>
    <x v="0"/>
    <x v="0"/>
    <x v="0"/>
    <x v="0"/>
    <x v="0"/>
    <x v="10"/>
    <n v="19895"/>
    <n v="8634.9999917500008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246031.00018026249"/>
    <n v="0"/>
    <n v="314675.71263482177"/>
    <n v="0"/>
    <x v="0"/>
  </r>
  <r>
    <s v="PROJETADO"/>
    <x v="1"/>
    <x v="0"/>
    <x v="0"/>
    <x v="0"/>
    <x v="0"/>
    <x v="0"/>
    <x v="0"/>
    <x v="11"/>
    <n v="19895"/>
    <n v="8634.9999917500008"/>
    <n v="0"/>
    <n v="0"/>
    <n v="0"/>
    <n v="0"/>
    <n v="0"/>
    <s v="LIVRE"/>
    <n v="0"/>
    <n v="87"/>
    <n v="0"/>
    <n v="0"/>
    <n v="21.85"/>
    <n v="0"/>
    <n v="0"/>
    <n v="27.946333250822786"/>
    <n v="28756372512.812618"/>
    <m/>
    <n v="246031.00018026249"/>
    <n v="0"/>
    <n v="314675.71263482177"/>
    <n v="0"/>
    <x v="0"/>
  </r>
  <r>
    <s v="Regular"/>
    <x v="1"/>
    <x v="0"/>
    <x v="0"/>
    <x v="0"/>
    <x v="0"/>
    <x v="0"/>
    <x v="1"/>
    <x v="0"/>
    <n v="0"/>
    <n v="0"/>
    <n v="4198.491"/>
    <n v="4198.491"/>
    <n v="0"/>
    <n v="0"/>
    <n v="22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1"/>
    <n v="0"/>
    <n v="0"/>
    <n v="4216.2759999999998"/>
    <n v="4216.2759999999998"/>
    <n v="0"/>
    <n v="0"/>
    <n v="24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2"/>
    <n v="0"/>
    <n v="0"/>
    <n v="5093.99"/>
    <n v="5093.99"/>
    <n v="0"/>
    <n v="0"/>
    <n v="24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3"/>
    <n v="0"/>
    <n v="0"/>
    <n v="5794.2820000000002"/>
    <n v="5794.2820000000002"/>
    <n v="0"/>
    <n v="0"/>
    <n v="27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4"/>
    <n v="0"/>
    <n v="0"/>
    <n v="6393.9769999999999"/>
    <n v="6393.9769999999999"/>
    <n v="0"/>
    <n v="0"/>
    <n v="29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5"/>
    <n v="0"/>
    <n v="0"/>
    <n v="7168.2340000000004"/>
    <n v="7168.2340000000004"/>
    <n v="0"/>
    <n v="0"/>
    <n v="31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6"/>
    <n v="0"/>
    <n v="0"/>
    <n v="6906.5820000000003"/>
    <n v="6906.5820000000003"/>
    <n v="0"/>
    <n v="0"/>
    <n v="32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7"/>
    <n v="0"/>
    <n v="0"/>
    <n v="6939.7569999999996"/>
    <n v="6939.7569999999996"/>
    <n v="0"/>
    <n v="0"/>
    <n v="33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8"/>
    <n v="0"/>
    <n v="0"/>
    <n v="6524.7719999999999"/>
    <n v="6524.7719999999999"/>
    <n v="0"/>
    <n v="0"/>
    <n v="34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9"/>
    <n v="0"/>
    <n v="0"/>
    <n v="6430.9620000000004"/>
    <n v="6430.9620000000004"/>
    <n v="0"/>
    <n v="0"/>
    <n v="35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1"/>
    <x v="10"/>
    <n v="0"/>
    <n v="0"/>
    <n v="7094.2309999999998"/>
    <n v="7094.2309999999998"/>
    <n v="0"/>
    <n v="0"/>
    <n v="36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PROJETADO"/>
    <x v="1"/>
    <x v="0"/>
    <x v="0"/>
    <x v="0"/>
    <x v="0"/>
    <x v="0"/>
    <x v="1"/>
    <x v="11"/>
    <n v="0"/>
    <n v="0"/>
    <n v="7094.2309999999998"/>
    <n v="7094.2309999999998"/>
    <n v="0"/>
    <n v="0"/>
    <n v="36"/>
    <s v="LIVRE"/>
    <n v="0"/>
    <n v="0"/>
    <n v="88"/>
    <n v="0"/>
    <n v="0"/>
    <n v="97.61"/>
    <n v="0"/>
    <m/>
    <n v="28756372512.812618"/>
    <m/>
    <n v="0"/>
    <n v="0"/>
    <n v="0"/>
    <n v="0"/>
    <x v="0"/>
  </r>
  <r>
    <s v="Regular"/>
    <x v="1"/>
    <x v="0"/>
    <x v="0"/>
    <x v="0"/>
    <x v="0"/>
    <x v="0"/>
    <x v="2"/>
    <x v="0"/>
    <n v="11035"/>
    <n v="4134.4795877500001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415411.32881745003"/>
    <n v="0"/>
    <n v="519346.70381142723"/>
    <n v="0"/>
    <x v="0"/>
  </r>
  <r>
    <s v="Regular"/>
    <x v="1"/>
    <x v="0"/>
    <x v="0"/>
    <x v="0"/>
    <x v="0"/>
    <x v="0"/>
    <x v="2"/>
    <x v="1"/>
    <n v="11843"/>
    <n v="4690.9999832800004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430550.40100654401"/>
    <n v="0"/>
    <n v="538273.55220179528"/>
    <n v="0"/>
    <x v="0"/>
  </r>
  <r>
    <s v="Regular"/>
    <x v="1"/>
    <x v="0"/>
    <x v="0"/>
    <x v="0"/>
    <x v="0"/>
    <x v="0"/>
    <x v="2"/>
    <x v="2"/>
    <n v="13530"/>
    <n v="5327.5820003999997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493785.56357592007"/>
    <n v="0"/>
    <n v="617330.07032534643"/>
    <n v="0"/>
    <x v="0"/>
  </r>
  <r>
    <s v="Regular"/>
    <x v="1"/>
    <x v="0"/>
    <x v="0"/>
    <x v="0"/>
    <x v="0"/>
    <x v="0"/>
    <x v="2"/>
    <x v="3"/>
    <n v="15338"/>
    <n v="6491.5000528199998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532559.29682023602"/>
    <n v="0"/>
    <n v="665804.94127367379"/>
    <n v="0"/>
    <x v="0"/>
  </r>
  <r>
    <s v="Regular"/>
    <x v="1"/>
    <x v="0"/>
    <x v="0"/>
    <x v="0"/>
    <x v="0"/>
    <x v="0"/>
    <x v="2"/>
    <x v="4"/>
    <n v="15730"/>
    <n v="5927.4009366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590116.46361668012"/>
    <n v="0"/>
    <n v="737762.83645566495"/>
    <n v="0"/>
    <x v="0"/>
  </r>
  <r>
    <s v="Regular"/>
    <x v="1"/>
    <x v="0"/>
    <x v="0"/>
    <x v="0"/>
    <x v="0"/>
    <x v="0"/>
    <x v="2"/>
    <x v="5"/>
    <n v="16882"/>
    <n v="7133.5000732999997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586859.69558734004"/>
    <n v="0"/>
    <n v="733691.22929480334"/>
    <n v="0"/>
    <x v="0"/>
  </r>
  <r>
    <s v="Regular"/>
    <x v="1"/>
    <x v="0"/>
    <x v="0"/>
    <x v="0"/>
    <x v="0"/>
    <x v="0"/>
    <x v="2"/>
    <x v="6"/>
    <n v="16746"/>
    <n v="5488.6229085000004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677694.10090829991"/>
    <n v="0"/>
    <n v="847252.28486448003"/>
    <n v="0"/>
    <x v="0"/>
  </r>
  <r>
    <s v="Regular"/>
    <x v="1"/>
    <x v="0"/>
    <x v="0"/>
    <x v="0"/>
    <x v="0"/>
    <x v="0"/>
    <x v="2"/>
    <x v="7"/>
    <n v="17504"/>
    <n v="6839.5000070400001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642002.89957619202"/>
    <n v="0"/>
    <n v="802631.19130964868"/>
    <n v="0"/>
    <x v="0"/>
  </r>
  <r>
    <s v="Regular"/>
    <x v="1"/>
    <x v="0"/>
    <x v="0"/>
    <x v="0"/>
    <x v="0"/>
    <x v="0"/>
    <x v="2"/>
    <x v="8"/>
    <n v="17596"/>
    <n v="7490.5000106400003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608351.09935947205"/>
    <n v="0"/>
    <n v="760559.75438079599"/>
    <n v="0"/>
    <x v="0"/>
  </r>
  <r>
    <s v="Regular"/>
    <x v="1"/>
    <x v="0"/>
    <x v="0"/>
    <x v="0"/>
    <x v="0"/>
    <x v="0"/>
    <x v="2"/>
    <x v="9"/>
    <n v="18083"/>
    <n v="7734.00000516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623009.799689368"/>
    <n v="0"/>
    <n v="778886.0424966322"/>
    <n v="0"/>
    <x v="0"/>
  </r>
  <r>
    <s v="Regular"/>
    <x v="1"/>
    <x v="0"/>
    <x v="0"/>
    <x v="0"/>
    <x v="0"/>
    <x v="0"/>
    <x v="2"/>
    <x v="10"/>
    <n v="18973"/>
    <n v="8178.9999904400001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649798.80057551211"/>
    <n v="0"/>
    <n v="812377.61661480996"/>
    <n v="0"/>
    <x v="0"/>
  </r>
  <r>
    <s v="PROJETADO"/>
    <x v="1"/>
    <x v="0"/>
    <x v="0"/>
    <x v="0"/>
    <x v="0"/>
    <x v="0"/>
    <x v="2"/>
    <x v="11"/>
    <n v="18973"/>
    <n v="8178.9999904400001"/>
    <n v="0"/>
    <n v="0"/>
    <n v="0"/>
    <n v="0"/>
    <n v="0"/>
    <s v="LIVRE"/>
    <n v="0"/>
    <n v="91"/>
    <n v="0"/>
    <n v="0"/>
    <n v="60.2"/>
    <n v="0"/>
    <n v="0"/>
    <n v="75.261961820947334"/>
    <n v="28756372512.812618"/>
    <m/>
    <n v="649798.80057551211"/>
    <n v="0"/>
    <n v="812377.61661480996"/>
    <n v="0"/>
    <x v="0"/>
  </r>
  <r>
    <s v="Regular"/>
    <x v="1"/>
    <x v="0"/>
    <x v="2"/>
    <x v="2"/>
    <x v="2"/>
    <x v="0"/>
    <x v="0"/>
    <x v="0"/>
    <n v="20470"/>
    <n v="17399.5"/>
    <n v="10577.843000000001"/>
    <n v="9943.1724200000008"/>
    <n v="10577.843000000001"/>
    <n v="9943.1724200000008"/>
    <n v="0"/>
    <s v="CATIVO"/>
    <n v="0"/>
    <n v="87"/>
    <n v="88"/>
    <n v="73"/>
    <n v="21.85"/>
    <n v="97.61"/>
    <n v="219.97"/>
    <n v="27.946333250822786"/>
    <n v="28756372512.812618"/>
    <n v="283.40928724383144"/>
    <n v="67090.425000000003"/>
    <n v="201558.68279639998"/>
    <n v="85809.216246651369"/>
    <n v="18250823801274.375"/>
    <x v="3"/>
  </r>
  <r>
    <s v="Regular"/>
    <x v="1"/>
    <x v="0"/>
    <x v="2"/>
    <x v="2"/>
    <x v="2"/>
    <x v="0"/>
    <x v="0"/>
    <x v="1"/>
    <n v="20341"/>
    <n v="17289.849999999999"/>
    <n v="10061.18"/>
    <n v="9457.5092000000004"/>
    <n v="10061.18"/>
    <n v="9457.5092000000004"/>
    <n v="0"/>
    <s v="CATIVO"/>
    <n v="0"/>
    <n v="87"/>
    <n v="88"/>
    <n v="73"/>
    <n v="21.85"/>
    <n v="97.61"/>
    <n v="219.97"/>
    <n v="27.946333250822786"/>
    <n v="28756372512.812618"/>
    <n v="283.40928724383144"/>
    <n v="66667.627500000031"/>
    <n v="191713.77266399996"/>
    <n v="85268.454698247981"/>
    <n v="17359382570993.512"/>
    <x v="3"/>
  </r>
  <r>
    <s v="Regular"/>
    <x v="1"/>
    <x v="0"/>
    <x v="2"/>
    <x v="2"/>
    <x v="2"/>
    <x v="0"/>
    <x v="0"/>
    <x v="2"/>
    <n v="19650"/>
    <n v="16702.5"/>
    <n v="10526.98"/>
    <n v="9895.3611999999994"/>
    <n v="10526.98"/>
    <n v="9895.3611999999994"/>
    <n v="0"/>
    <s v="CATIVO"/>
    <n v="0"/>
    <n v="87"/>
    <n v="88"/>
    <n v="73"/>
    <n v="21.85"/>
    <n v="97.61"/>
    <n v="219.97"/>
    <n v="27.946333250822786"/>
    <n v="28756372512.812618"/>
    <n v="283.40928724383144"/>
    <n v="64402.875000000007"/>
    <n v="200589.49850400005"/>
    <n v="82371.817256800161"/>
    <n v="18163065677902.328"/>
    <x v="3"/>
  </r>
  <r>
    <s v="Regular"/>
    <x v="1"/>
    <x v="0"/>
    <x v="2"/>
    <x v="2"/>
    <x v="2"/>
    <x v="0"/>
    <x v="0"/>
    <x v="3"/>
    <n v="20326"/>
    <n v="17277.099999999999"/>
    <n v="10516.733"/>
    <n v="9885.7290200000007"/>
    <n v="10516.733"/>
    <n v="9885.7290200000007"/>
    <n v="0"/>
    <s v="CATIVO"/>
    <n v="0"/>
    <n v="87"/>
    <n v="88"/>
    <n v="73"/>
    <n v="21.85"/>
    <n v="97.61"/>
    <n v="219.97"/>
    <n v="27.946333250822786"/>
    <n v="28756372512.812618"/>
    <n v="283.40928724383144"/>
    <n v="66618.46500000004"/>
    <n v="200394.24396839982"/>
    <n v="85205.575448433636"/>
    <n v="18145385684779.734"/>
    <x v="3"/>
  </r>
  <r>
    <s v="Regular"/>
    <x v="1"/>
    <x v="0"/>
    <x v="2"/>
    <x v="2"/>
    <x v="2"/>
    <x v="0"/>
    <x v="0"/>
    <x v="4"/>
    <n v="20296"/>
    <n v="17251.599999999999"/>
    <n v="10032.277"/>
    <n v="9430.3403799999996"/>
    <n v="10032.277"/>
    <n v="9430.3403799999996"/>
    <n v="0"/>
    <s v="CATIVO"/>
    <n v="0"/>
    <n v="87"/>
    <n v="88"/>
    <n v="73"/>
    <n v="21.85"/>
    <n v="97.61"/>
    <n v="219.97"/>
    <n v="27.946333250822786"/>
    <n v="28756372512.812618"/>
    <n v="283.40928724383144"/>
    <n v="66520.140000000043"/>
    <n v="191163.0317796001"/>
    <n v="85079.816948804932"/>
    <n v="17309513844417.773"/>
    <x v="3"/>
  </r>
  <r>
    <s v="Regular"/>
    <x v="1"/>
    <x v="0"/>
    <x v="2"/>
    <x v="2"/>
    <x v="2"/>
    <x v="0"/>
    <x v="0"/>
    <x v="5"/>
    <n v="19387"/>
    <n v="16478.95"/>
    <n v="11187.18"/>
    <n v="10515.949199999999"/>
    <n v="11187.18"/>
    <n v="10515.949199999999"/>
    <n v="0"/>
    <s v="CATIVO"/>
    <n v="0"/>
    <n v="87"/>
    <n v="88"/>
    <n v="73"/>
    <n v="21.85"/>
    <n v="97.61"/>
    <n v="219.97"/>
    <n v="27.946333250822786"/>
    <n v="28756372512.812618"/>
    <n v="283.40928724383144"/>
    <n v="63540.892499999987"/>
    <n v="213169.47746400037"/>
    <n v="81269.334410055177"/>
    <n v="19302163117106.301"/>
    <x v="3"/>
  </r>
  <r>
    <s v="Regular"/>
    <x v="1"/>
    <x v="0"/>
    <x v="2"/>
    <x v="2"/>
    <x v="2"/>
    <x v="0"/>
    <x v="0"/>
    <x v="6"/>
    <n v="19732"/>
    <n v="16772.2"/>
    <n v="10315.536"/>
    <n v="9696.6038399999998"/>
    <n v="10315.536"/>
    <n v="9696.6038399999998"/>
    <n v="0"/>
    <s v="CATIVO"/>
    <n v="0"/>
    <n v="87"/>
    <n v="88"/>
    <n v="73"/>
    <n v="21.85"/>
    <n v="97.61"/>
    <n v="219.97"/>
    <n v="27.946333250822786"/>
    <n v="28756372512.812618"/>
    <n v="283.40928724383144"/>
    <n v="64671.62999999999"/>
    <n v="196560.47537280008"/>
    <n v="82715.557155785267"/>
    <n v="17798243928530.871"/>
    <x v="3"/>
  </r>
  <r>
    <s v="Regular"/>
    <x v="1"/>
    <x v="0"/>
    <x v="2"/>
    <x v="2"/>
    <x v="2"/>
    <x v="0"/>
    <x v="0"/>
    <x v="7"/>
    <n v="19343"/>
    <n v="16441.55"/>
    <n v="10367.769"/>
    <n v="9745.7028599999994"/>
    <n v="10367.769"/>
    <n v="9745.7028599999994"/>
    <n v="0"/>
    <s v="CATIVO"/>
    <n v="0"/>
    <n v="87"/>
    <n v="88"/>
    <n v="73"/>
    <n v="21.85"/>
    <n v="97.61"/>
    <n v="219.97"/>
    <n v="27.946333250822786"/>
    <n v="28756372512.812618"/>
    <n v="283.40928724383144"/>
    <n v="63396.682500000017"/>
    <n v="197555.76474120026"/>
    <n v="81084.888610599795"/>
    <n v="17888365825746.789"/>
    <x v="3"/>
  </r>
  <r>
    <s v="Regular"/>
    <x v="1"/>
    <x v="0"/>
    <x v="2"/>
    <x v="2"/>
    <x v="2"/>
    <x v="0"/>
    <x v="0"/>
    <x v="8"/>
    <n v="19310"/>
    <n v="16413.5"/>
    <n v="10213.36"/>
    <n v="9600.5583999999999"/>
    <n v="10213.36"/>
    <n v="9600.5583999999999"/>
    <n v="0"/>
    <s v="CATIVO"/>
    <n v="0"/>
    <n v="87"/>
    <n v="88"/>
    <n v="73"/>
    <n v="21.85"/>
    <n v="97.61"/>
    <n v="219.97"/>
    <n v="27.946333250822786"/>
    <n v="28756372512.812618"/>
    <n v="283.40928724383144"/>
    <n v="63288.525000000001"/>
    <n v="194613.53212800022"/>
    <n v="80946.554261008205"/>
    <n v="17621951259721.277"/>
    <x v="3"/>
  </r>
  <r>
    <s v="Regular"/>
    <x v="1"/>
    <x v="0"/>
    <x v="2"/>
    <x v="2"/>
    <x v="2"/>
    <x v="0"/>
    <x v="0"/>
    <x v="9"/>
    <n v="19161"/>
    <n v="16286.85"/>
    <n v="8892.4869999999992"/>
    <n v="8358.9377800000002"/>
    <n v="8892.4869999999992"/>
    <n v="8358.9377800000002"/>
    <n v="0"/>
    <s v="CATIVO"/>
    <n v="0"/>
    <n v="87"/>
    <n v="88"/>
    <n v="73"/>
    <n v="21.85"/>
    <n v="97.61"/>
    <n v="219.97"/>
    <n v="27.946333250822786"/>
    <n v="28756372512.812618"/>
    <n v="283.40928724383144"/>
    <n v="62800.177499999998"/>
    <n v="169444.56128759967"/>
    <n v="80321.953712852293"/>
    <n v="15342940275453.387"/>
    <x v="3"/>
  </r>
  <r>
    <s v="Regular"/>
    <x v="1"/>
    <x v="0"/>
    <x v="2"/>
    <x v="2"/>
    <x v="2"/>
    <x v="0"/>
    <x v="0"/>
    <x v="10"/>
    <n v="19195"/>
    <n v="16315.75"/>
    <n v="10114.501"/>
    <n v="9507.6309399999991"/>
    <n v="10114.501"/>
    <n v="9507.6309399999991"/>
    <n v="0"/>
    <s v="CATIVO"/>
    <n v="0"/>
    <n v="87"/>
    <n v="88"/>
    <n v="73"/>
    <n v="21.85"/>
    <n v="97.61"/>
    <n v="219.97"/>
    <n v="27.946333250822786"/>
    <n v="28756372512.812618"/>
    <n v="283.40928724383144"/>
    <n v="62911.612500000003"/>
    <n v="192729.79365480036"/>
    <n v="80464.480012431508"/>
    <n v="17451381684225.588"/>
    <x v="3"/>
  </r>
  <r>
    <s v="PROJETADO"/>
    <x v="1"/>
    <x v="0"/>
    <x v="2"/>
    <x v="2"/>
    <x v="2"/>
    <x v="0"/>
    <x v="0"/>
    <x v="11"/>
    <n v="19195"/>
    <n v="16315.75"/>
    <n v="10114.501"/>
    <n v="9507.6309399999991"/>
    <n v="10114.501"/>
    <n v="9507.6309399999991"/>
    <n v="0"/>
    <s v="CATIVO"/>
    <n v="0"/>
    <n v="87"/>
    <n v="88"/>
    <n v="73"/>
    <n v="21.85"/>
    <n v="97.61"/>
    <n v="219.97"/>
    <n v="27.946333250822786"/>
    <n v="28756372512.812618"/>
    <n v="283.40928724383144"/>
    <n v="62911.612500000003"/>
    <n v="192729.79365480036"/>
    <n v="80464.480012431508"/>
    <n v="17451381684225.588"/>
    <x v="3"/>
  </r>
  <r>
    <s v="Regular"/>
    <x v="1"/>
    <x v="0"/>
    <x v="2"/>
    <x v="2"/>
    <x v="2"/>
    <x v="0"/>
    <x v="2"/>
    <x v="0"/>
    <n v="19802"/>
    <n v="16831.7"/>
    <n v="938.35599999999999"/>
    <n v="882.05463999999995"/>
    <n v="938.35599999999999"/>
    <n v="882.05463999999995"/>
    <n v="0"/>
    <s v="CATIVO"/>
    <n v="0"/>
    <n v="91"/>
    <n v="88"/>
    <n v="72"/>
    <n v="60.2"/>
    <n v="97.61"/>
    <n v="346.61"/>
    <n v="75.261961820947334"/>
    <n v="28756372512.812618"/>
    <n v="441.69177550112352"/>
    <n v="178812.05999999997"/>
    <n v="25010.190139200022"/>
    <n v="223550.6051967598"/>
    <n v="1619022906005.8169"/>
    <x v="3"/>
  </r>
  <r>
    <s v="Regular"/>
    <x v="1"/>
    <x v="0"/>
    <x v="2"/>
    <x v="2"/>
    <x v="2"/>
    <x v="0"/>
    <x v="2"/>
    <x v="1"/>
    <n v="19837"/>
    <n v="16861.45"/>
    <n v="924.98900000000003"/>
    <n v="869.48965999999996"/>
    <n v="924.98900000000003"/>
    <n v="869.48965999999996"/>
    <n v="0"/>
    <s v="CATIVO"/>
    <n v="0"/>
    <n v="91"/>
    <n v="88"/>
    <n v="72"/>
    <n v="60.2"/>
    <n v="97.61"/>
    <n v="346.61"/>
    <n v="75.261961820947334"/>
    <n v="28756372512.812618"/>
    <n v="441.69177550112352"/>
    <n v="179128.10999999996"/>
    <n v="24653.916814800032"/>
    <n v="223945.7304963198"/>
    <n v="1595959719768.8459"/>
    <x v="3"/>
  </r>
  <r>
    <s v="Regular"/>
    <x v="1"/>
    <x v="0"/>
    <x v="2"/>
    <x v="2"/>
    <x v="2"/>
    <x v="0"/>
    <x v="2"/>
    <x v="2"/>
    <n v="19603"/>
    <n v="16662.55"/>
    <n v="995.70600000000002"/>
    <n v="935.96364000000005"/>
    <n v="995.70600000000002"/>
    <n v="935.96364000000005"/>
    <n v="0"/>
    <s v="CATIVO"/>
    <n v="0"/>
    <n v="91"/>
    <n v="88"/>
    <n v="72"/>
    <n v="60.2"/>
    <n v="97.61"/>
    <n v="346.61"/>
    <n v="75.261961820947334"/>
    <n v="28756372512.812618"/>
    <n v="441.69177550112352"/>
    <n v="177015.09000000005"/>
    <n v="26538.751159199986"/>
    <n v="221304.03563640465"/>
    <n v="1717973585342.2639"/>
    <x v="3"/>
  </r>
  <r>
    <s v="Regular"/>
    <x v="1"/>
    <x v="0"/>
    <x v="2"/>
    <x v="2"/>
    <x v="2"/>
    <x v="0"/>
    <x v="2"/>
    <x v="3"/>
    <n v="20222"/>
    <n v="17188.7"/>
    <n v="996.13300000000004"/>
    <n v="936.36501999999996"/>
    <n v="996.13300000000004"/>
    <n v="936.36501999999996"/>
    <n v="0"/>
    <s v="CATIVO"/>
    <n v="0"/>
    <n v="91"/>
    <n v="88"/>
    <n v="72"/>
    <n v="60.2"/>
    <n v="97.61"/>
    <n v="346.61"/>
    <n v="75.261961820947334"/>
    <n v="28756372512.812618"/>
    <n v="441.69177550112352"/>
    <n v="182604.65999999997"/>
    <n v="26550.132075600035"/>
    <n v="228292.10879147949"/>
    <n v="1718710323617.3618"/>
    <x v="3"/>
  </r>
  <r>
    <s v="Regular"/>
    <x v="1"/>
    <x v="0"/>
    <x v="2"/>
    <x v="2"/>
    <x v="2"/>
    <x v="0"/>
    <x v="2"/>
    <x v="4"/>
    <n v="20187"/>
    <n v="17158.95"/>
    <n v="962.42899999999997"/>
    <n v="904.68326000000002"/>
    <n v="962.42899999999997"/>
    <n v="904.68326000000002"/>
    <n v="0"/>
    <s v="CATIVO"/>
    <n v="0"/>
    <n v="91"/>
    <n v="88"/>
    <n v="72"/>
    <n v="60.2"/>
    <n v="97.61"/>
    <n v="346.61"/>
    <n v="75.261961820947334"/>
    <n v="28756372512.812618"/>
    <n v="441.69177550112352"/>
    <n v="182288.60999999996"/>
    <n v="25651.812622799982"/>
    <n v="227896.98349191953"/>
    <n v="1660558035973.8413"/>
    <x v="3"/>
  </r>
  <r>
    <s v="Regular"/>
    <x v="1"/>
    <x v="0"/>
    <x v="2"/>
    <x v="2"/>
    <x v="2"/>
    <x v="0"/>
    <x v="2"/>
    <x v="5"/>
    <n v="19306"/>
    <n v="16410.099999999999"/>
    <n v="996.08100000000002"/>
    <n v="936.31614000000002"/>
    <n v="996.08100000000002"/>
    <n v="936.31614000000002"/>
    <n v="0"/>
    <s v="CATIVO"/>
    <n v="0"/>
    <n v="91"/>
    <n v="88"/>
    <n v="72"/>
    <n v="60.2"/>
    <n v="97.61"/>
    <n v="346.61"/>
    <n v="75.261961820947334"/>
    <n v="28756372512.812618"/>
    <n v="441.69177550112352"/>
    <n v="174333.18000000011"/>
    <n v="26548.746109200001"/>
    <n v="217951.11523728148"/>
    <n v="1718620603733.7415"/>
    <x v="3"/>
  </r>
  <r>
    <s v="Regular"/>
    <x v="1"/>
    <x v="0"/>
    <x v="2"/>
    <x v="2"/>
    <x v="2"/>
    <x v="0"/>
    <x v="2"/>
    <x v="6"/>
    <n v="19318"/>
    <n v="16420.3"/>
    <n v="908.31200000000001"/>
    <n v="853.81327999999996"/>
    <n v="908.31200000000001"/>
    <n v="853.81327999999996"/>
    <n v="0"/>
    <s v="CATIVO"/>
    <n v="0"/>
    <n v="91"/>
    <n v="88"/>
    <n v="72"/>
    <n v="60.2"/>
    <n v="97.61"/>
    <n v="346.61"/>
    <n v="75.261961820947334"/>
    <n v="28756372512.812618"/>
    <n v="441.69177550112352"/>
    <n v="174441.54000000007"/>
    <n v="24209.421398400023"/>
    <n v="218086.58676855915"/>
    <n v="1567185517863.1091"/>
    <x v="3"/>
  </r>
  <r>
    <s v="Regular"/>
    <x v="1"/>
    <x v="0"/>
    <x v="2"/>
    <x v="2"/>
    <x v="2"/>
    <x v="0"/>
    <x v="2"/>
    <x v="7"/>
    <n v="19424"/>
    <n v="16510.399999999998"/>
    <n v="1059.7370000000001"/>
    <n v="996.15278000000001"/>
    <n v="1059.7370000000001"/>
    <n v="996.15278000000001"/>
    <n v="0"/>
    <s v="CATIVO"/>
    <n v="0"/>
    <n v="91"/>
    <n v="88"/>
    <n v="72"/>
    <n v="60.2"/>
    <n v="97.61"/>
    <n v="346.61"/>
    <n v="75.261961820947334"/>
    <n v="28756372512.812618"/>
    <n v="441.69177550112352"/>
    <n v="175398.72000000015"/>
    <n v="28245.382208400035"/>
    <n v="219283.25196151232"/>
    <n v="1828451544341.2593"/>
    <x v="3"/>
  </r>
  <r>
    <s v="Regular"/>
    <x v="1"/>
    <x v="0"/>
    <x v="2"/>
    <x v="2"/>
    <x v="2"/>
    <x v="0"/>
    <x v="2"/>
    <x v="8"/>
    <n v="19206"/>
    <n v="16325.1"/>
    <n v="944.80399999999997"/>
    <n v="888.11576000000002"/>
    <n v="944.80399999999997"/>
    <n v="888.11576000000002"/>
    <n v="0"/>
    <s v="CATIVO"/>
    <n v="0"/>
    <n v="91"/>
    <n v="88"/>
    <n v="72"/>
    <n v="60.2"/>
    <n v="97.61"/>
    <n v="346.61"/>
    <n v="75.261961820947334"/>
    <n v="28756372512.812618"/>
    <n v="441.69177550112352"/>
    <n v="173430.18"/>
    <n v="25182.049972799978"/>
    <n v="216822.18580996714"/>
    <n v="1630148171574.4529"/>
    <x v="3"/>
  </r>
  <r>
    <s v="Regular"/>
    <x v="1"/>
    <x v="0"/>
    <x v="2"/>
    <x v="2"/>
    <x v="2"/>
    <x v="0"/>
    <x v="2"/>
    <x v="9"/>
    <n v="19036"/>
    <n v="16180.6"/>
    <n v="854.39700000000005"/>
    <n v="803.13318000000004"/>
    <n v="854.39700000000005"/>
    <n v="803.13318000000004"/>
    <n v="0"/>
    <s v="CATIVO"/>
    <n v="0"/>
    <n v="91"/>
    <n v="88"/>
    <n v="72"/>
    <n v="60.2"/>
    <n v="97.61"/>
    <n v="346.61"/>
    <n v="75.261961820947334"/>
    <n v="28756372512.812618"/>
    <n v="441.69177550112352"/>
    <n v="171895.08"/>
    <n v="22772.414120400004"/>
    <n v="214903.00578353298"/>
    <n v="1474161526992.5815"/>
    <x v="3"/>
  </r>
  <r>
    <s v="Regular"/>
    <x v="1"/>
    <x v="0"/>
    <x v="2"/>
    <x v="2"/>
    <x v="2"/>
    <x v="0"/>
    <x v="2"/>
    <x v="10"/>
    <n v="19159"/>
    <n v="16285.15"/>
    <n v="969.45799999999997"/>
    <n v="911.29052000000001"/>
    <n v="969.45799999999997"/>
    <n v="911.29052000000001"/>
    <n v="0"/>
    <s v="CATIVO"/>
    <n v="0"/>
    <n v="91"/>
    <n v="88"/>
    <n v="72"/>
    <n v="60.2"/>
    <n v="97.61"/>
    <n v="346.61"/>
    <n v="75.261961820947334"/>
    <n v="28756372512.812618"/>
    <n v="441.69177550112352"/>
    <n v="173005.77000000002"/>
    <n v="25839.157965599981"/>
    <n v="216291.58897912953"/>
    <n v="1672685748703.6738"/>
    <x v="3"/>
  </r>
  <r>
    <s v="PROJETADO"/>
    <x v="1"/>
    <x v="0"/>
    <x v="2"/>
    <x v="2"/>
    <x v="2"/>
    <x v="0"/>
    <x v="2"/>
    <x v="11"/>
    <n v="19159"/>
    <n v="16285.15"/>
    <n v="969.45799999999997"/>
    <n v="911.29052000000001"/>
    <n v="969.45799999999997"/>
    <n v="911.29052000000001"/>
    <n v="0"/>
    <s v="CATIVO"/>
    <n v="0"/>
    <n v="91"/>
    <n v="88"/>
    <n v="72"/>
    <n v="60.2"/>
    <n v="97.61"/>
    <n v="346.61"/>
    <n v="75.261961820947334"/>
    <n v="28756372512.812618"/>
    <n v="441.69177550112352"/>
    <n v="173005.77000000002"/>
    <n v="25839.157965599981"/>
    <n v="216291.58897912953"/>
    <n v="1672685748703.6738"/>
    <x v="3"/>
  </r>
  <r>
    <s v="Regular"/>
    <x v="1"/>
    <x v="1"/>
    <x v="3"/>
    <x v="0"/>
    <x v="3"/>
    <x v="6"/>
    <x v="1"/>
    <x v="0"/>
    <n v="2228"/>
    <n v="1114"/>
    <n v="0"/>
    <n v="0"/>
    <n v="0"/>
    <n v="0"/>
    <n v="0"/>
    <s v="GERAÇÃO"/>
    <n v="28543"/>
    <n v="6"/>
    <n v="0"/>
    <n v="0"/>
    <n v="11.99"/>
    <n v="0"/>
    <n v="0"/>
    <n v="14.385936656608823"/>
    <m/>
    <m/>
    <n v="13356.86"/>
    <n v="0"/>
    <n v="16025.93343546223"/>
    <n v="0"/>
    <x v="4"/>
  </r>
  <r>
    <s v="Regular"/>
    <x v="1"/>
    <x v="1"/>
    <x v="3"/>
    <x v="0"/>
    <x v="3"/>
    <x v="6"/>
    <x v="1"/>
    <x v="1"/>
    <n v="2297"/>
    <n v="1148.5"/>
    <n v="0"/>
    <n v="0"/>
    <n v="0"/>
    <n v="0"/>
    <n v="0"/>
    <s v="GERAÇÃO"/>
    <n v="28543"/>
    <n v="6"/>
    <n v="0"/>
    <n v="0"/>
    <n v="11.99"/>
    <n v="0"/>
    <n v="0"/>
    <n v="14.385936656608823"/>
    <m/>
    <m/>
    <n v="13770.514999999999"/>
    <n v="0"/>
    <n v="16522.248250115234"/>
    <n v="0"/>
    <x v="4"/>
  </r>
  <r>
    <s v="Regular"/>
    <x v="1"/>
    <x v="1"/>
    <x v="3"/>
    <x v="0"/>
    <x v="3"/>
    <x v="6"/>
    <x v="1"/>
    <x v="2"/>
    <n v="2266"/>
    <n v="1133"/>
    <n v="0"/>
    <n v="0"/>
    <n v="0"/>
    <n v="0"/>
    <n v="0"/>
    <s v="GERAÇÃO"/>
    <n v="28543"/>
    <n v="6"/>
    <n v="0"/>
    <n v="0"/>
    <n v="11.99"/>
    <n v="0"/>
    <n v="0"/>
    <n v="14.385936656608823"/>
    <m/>
    <m/>
    <n v="13584.67"/>
    <n v="0"/>
    <n v="16299.266231937798"/>
    <n v="0"/>
    <x v="4"/>
  </r>
  <r>
    <s v="Regular"/>
    <x v="1"/>
    <x v="1"/>
    <x v="3"/>
    <x v="0"/>
    <x v="3"/>
    <x v="6"/>
    <x v="1"/>
    <x v="3"/>
    <n v="2173"/>
    <n v="1086.5"/>
    <n v="0"/>
    <n v="0"/>
    <n v="0"/>
    <n v="0"/>
    <n v="0"/>
    <s v="GERAÇÃO"/>
    <n v="28543"/>
    <n v="6"/>
    <n v="0"/>
    <n v="0"/>
    <n v="11.99"/>
    <n v="0"/>
    <n v="0"/>
    <n v="14.385936656608823"/>
    <m/>
    <m/>
    <n v="13027.135"/>
    <n v="0"/>
    <n v="15630.320177405487"/>
    <n v="0"/>
    <x v="4"/>
  </r>
  <r>
    <s v="Regular"/>
    <x v="1"/>
    <x v="1"/>
    <x v="3"/>
    <x v="0"/>
    <x v="3"/>
    <x v="6"/>
    <x v="1"/>
    <x v="4"/>
    <n v="3136"/>
    <n v="1568"/>
    <n v="0"/>
    <n v="0"/>
    <n v="0"/>
    <n v="0"/>
    <n v="0"/>
    <s v="GERAÇÃO"/>
    <n v="28543"/>
    <n v="6"/>
    <n v="0"/>
    <n v="0"/>
    <n v="11.99"/>
    <n v="0"/>
    <n v="0"/>
    <n v="14.385936656608823"/>
    <m/>
    <m/>
    <n v="18800.32"/>
    <n v="0"/>
    <n v="22557.148677562636"/>
    <n v="0"/>
    <x v="4"/>
  </r>
  <r>
    <s v="Regular"/>
    <x v="1"/>
    <x v="1"/>
    <x v="3"/>
    <x v="0"/>
    <x v="3"/>
    <x v="6"/>
    <x v="1"/>
    <x v="5"/>
    <n v="2407"/>
    <n v="1203.5"/>
    <n v="0"/>
    <n v="0"/>
    <n v="0"/>
    <n v="0"/>
    <n v="0"/>
    <s v="GERAÇÃO"/>
    <n v="28543"/>
    <n v="6"/>
    <n v="0"/>
    <n v="0"/>
    <n v="11.99"/>
    <n v="0"/>
    <n v="0"/>
    <n v="14.385936656608823"/>
    <m/>
    <m/>
    <n v="14429.965"/>
    <n v="0"/>
    <n v="17313.474766228719"/>
    <n v="0"/>
    <x v="4"/>
  </r>
  <r>
    <s v="Regular"/>
    <x v="1"/>
    <x v="1"/>
    <x v="3"/>
    <x v="0"/>
    <x v="3"/>
    <x v="6"/>
    <x v="1"/>
    <x v="6"/>
    <n v="2002"/>
    <n v="1001"/>
    <n v="0"/>
    <n v="0"/>
    <n v="0"/>
    <n v="0"/>
    <n v="0"/>
    <s v="GERAÇÃO"/>
    <n v="28543"/>
    <n v="6"/>
    <n v="0"/>
    <n v="0"/>
    <n v="11.99"/>
    <n v="0"/>
    <n v="0"/>
    <n v="14.385936656608823"/>
    <m/>
    <m/>
    <n v="12001.99"/>
    <n v="0"/>
    <n v="14400.322593265431"/>
    <n v="0"/>
    <x v="4"/>
  </r>
  <r>
    <s v="Regular"/>
    <x v="1"/>
    <x v="1"/>
    <x v="3"/>
    <x v="0"/>
    <x v="3"/>
    <x v="6"/>
    <x v="1"/>
    <x v="7"/>
    <n v="2119"/>
    <n v="1059.5"/>
    <n v="0"/>
    <n v="0"/>
    <n v="0"/>
    <n v="0"/>
    <n v="0"/>
    <s v="GERAÇÃO"/>
    <n v="28543"/>
    <n v="6"/>
    <n v="0"/>
    <n v="0"/>
    <n v="11.99"/>
    <n v="0"/>
    <n v="0"/>
    <n v="14.385936656608823"/>
    <m/>
    <m/>
    <n v="12703.405000000001"/>
    <n v="0"/>
    <n v="15241.899887677049"/>
    <n v="0"/>
    <x v="4"/>
  </r>
  <r>
    <s v="Regular"/>
    <x v="1"/>
    <x v="1"/>
    <x v="3"/>
    <x v="0"/>
    <x v="3"/>
    <x v="6"/>
    <x v="1"/>
    <x v="8"/>
    <n v="2083"/>
    <n v="1041.5"/>
    <n v="0"/>
    <n v="0"/>
    <n v="0"/>
    <n v="0"/>
    <n v="0"/>
    <s v="GERAÇÃO"/>
    <n v="28543"/>
    <n v="6"/>
    <n v="0"/>
    <n v="0"/>
    <n v="11.99"/>
    <n v="0"/>
    <n v="0"/>
    <n v="14.385936656608823"/>
    <m/>
    <m/>
    <n v="12487.585000000001"/>
    <n v="0"/>
    <n v="14982.95302785809"/>
    <n v="0"/>
    <x v="4"/>
  </r>
  <r>
    <s v="Regular"/>
    <x v="1"/>
    <x v="1"/>
    <x v="3"/>
    <x v="0"/>
    <x v="3"/>
    <x v="6"/>
    <x v="1"/>
    <x v="9"/>
    <n v="1997"/>
    <n v="998.5"/>
    <n v="0"/>
    <n v="0"/>
    <n v="0"/>
    <n v="0"/>
    <n v="0"/>
    <s v="GERAÇÃO"/>
    <n v="28543"/>
    <n v="6"/>
    <n v="0"/>
    <n v="0"/>
    <n v="11.99"/>
    <n v="0"/>
    <n v="0"/>
    <n v="14.385936656608823"/>
    <m/>
    <m/>
    <n v="11972.014999999999"/>
    <n v="0"/>
    <n v="14364.357751623909"/>
    <n v="0"/>
    <x v="4"/>
  </r>
  <r>
    <s v="Regular"/>
    <x v="1"/>
    <x v="1"/>
    <x v="3"/>
    <x v="0"/>
    <x v="3"/>
    <x v="6"/>
    <x v="1"/>
    <x v="10"/>
    <n v="1963"/>
    <n v="981.5"/>
    <n v="0"/>
    <n v="0"/>
    <n v="0"/>
    <n v="0"/>
    <n v="0"/>
    <s v="GERAÇÃO"/>
    <n v="28543"/>
    <n v="6"/>
    <n v="0"/>
    <n v="0"/>
    <n v="11.99"/>
    <n v="0"/>
    <n v="0"/>
    <n v="14.385936656608823"/>
    <m/>
    <m/>
    <n v="11768.184999999999"/>
    <n v="0"/>
    <n v="14119.79682846156"/>
    <n v="0"/>
    <x v="4"/>
  </r>
  <r>
    <s v="PROJETADO"/>
    <x v="1"/>
    <x v="1"/>
    <x v="3"/>
    <x v="0"/>
    <x v="3"/>
    <x v="6"/>
    <x v="1"/>
    <x v="11"/>
    <n v="1963"/>
    <n v="981.5"/>
    <n v="0"/>
    <n v="0"/>
    <n v="0"/>
    <n v="0"/>
    <n v="0"/>
    <s v="GERAÇÃO"/>
    <n v="28543"/>
    <n v="6"/>
    <n v="0"/>
    <n v="0"/>
    <n v="11.99"/>
    <n v="0"/>
    <n v="0"/>
    <n v="14.385936656608823"/>
    <m/>
    <m/>
    <n v="11768.184999999999"/>
    <n v="0"/>
    <n v="14119.79682846156"/>
    <n v="0"/>
    <x v="4"/>
  </r>
  <r>
    <s v="Regular"/>
    <x v="1"/>
    <x v="1"/>
    <x v="3"/>
    <x v="0"/>
    <x v="2"/>
    <x v="7"/>
    <x v="1"/>
    <x v="0"/>
    <n v="950"/>
    <n v="475"/>
    <n v="0"/>
    <n v="0"/>
    <n v="0"/>
    <n v="0"/>
    <n v="0"/>
    <s v="GERAÇÃO"/>
    <n v="30112"/>
    <n v="6"/>
    <n v="0"/>
    <n v="0"/>
    <n v="11.99"/>
    <n v="0"/>
    <n v="0"/>
    <n v="14.385936656608823"/>
    <m/>
    <m/>
    <n v="5695.25"/>
    <n v="0"/>
    <n v="6833.3199118891907"/>
    <n v="0"/>
    <x v="4"/>
  </r>
  <r>
    <s v="Regular"/>
    <x v="1"/>
    <x v="1"/>
    <x v="3"/>
    <x v="0"/>
    <x v="2"/>
    <x v="7"/>
    <x v="1"/>
    <x v="1"/>
    <n v="950"/>
    <n v="475"/>
    <n v="0"/>
    <n v="0"/>
    <n v="0"/>
    <n v="0"/>
    <n v="0"/>
    <s v="GERAÇÃO"/>
    <n v="30112"/>
    <n v="6"/>
    <n v="0"/>
    <n v="0"/>
    <n v="11.99"/>
    <n v="0"/>
    <n v="0"/>
    <n v="14.385936656608823"/>
    <m/>
    <m/>
    <n v="5695.25"/>
    <n v="0"/>
    <n v="6833.3199118891907"/>
    <n v="0"/>
    <x v="4"/>
  </r>
  <r>
    <s v="Regular"/>
    <x v="1"/>
    <x v="1"/>
    <x v="3"/>
    <x v="0"/>
    <x v="2"/>
    <x v="7"/>
    <x v="1"/>
    <x v="2"/>
    <n v="955"/>
    <n v="477.5"/>
    <n v="0"/>
    <n v="0"/>
    <n v="0"/>
    <n v="0"/>
    <n v="0"/>
    <s v="GERAÇÃO"/>
    <n v="30112"/>
    <n v="6"/>
    <n v="0"/>
    <n v="0"/>
    <n v="11.99"/>
    <n v="0"/>
    <n v="0"/>
    <n v="14.385936656608823"/>
    <m/>
    <m/>
    <n v="5725.2250000000004"/>
    <n v="0"/>
    <n v="6869.2847535307128"/>
    <n v="0"/>
    <x v="4"/>
  </r>
  <r>
    <s v="Regular"/>
    <x v="1"/>
    <x v="1"/>
    <x v="3"/>
    <x v="0"/>
    <x v="2"/>
    <x v="7"/>
    <x v="1"/>
    <x v="3"/>
    <n v="985"/>
    <n v="492.5"/>
    <n v="0"/>
    <n v="0"/>
    <n v="0"/>
    <n v="0"/>
    <n v="0"/>
    <s v="GERAÇÃO"/>
    <n v="30112"/>
    <n v="6"/>
    <n v="0"/>
    <n v="0"/>
    <n v="11.99"/>
    <n v="0"/>
    <n v="0"/>
    <n v="14.385936656608823"/>
    <m/>
    <m/>
    <n v="5905.0749999999998"/>
    <n v="0"/>
    <n v="7085.0738033798452"/>
    <n v="0"/>
    <x v="4"/>
  </r>
  <r>
    <s v="Regular"/>
    <x v="1"/>
    <x v="1"/>
    <x v="3"/>
    <x v="0"/>
    <x v="2"/>
    <x v="7"/>
    <x v="1"/>
    <x v="4"/>
    <n v="1010"/>
    <n v="505"/>
    <n v="0"/>
    <n v="0"/>
    <n v="0"/>
    <n v="0"/>
    <n v="0"/>
    <s v="GERAÇÃO"/>
    <n v="30112"/>
    <n v="6"/>
    <n v="0"/>
    <n v="0"/>
    <n v="11.99"/>
    <n v="0"/>
    <n v="0"/>
    <n v="14.385936656608823"/>
    <m/>
    <m/>
    <n v="6054.95"/>
    <n v="0"/>
    <n v="7264.8980115874556"/>
    <n v="0"/>
    <x v="4"/>
  </r>
  <r>
    <s v="Regular"/>
    <x v="1"/>
    <x v="1"/>
    <x v="3"/>
    <x v="0"/>
    <x v="2"/>
    <x v="7"/>
    <x v="1"/>
    <x v="5"/>
    <n v="1010"/>
    <n v="505"/>
    <n v="0"/>
    <n v="0"/>
    <n v="0"/>
    <n v="0"/>
    <n v="0"/>
    <s v="GERAÇÃO"/>
    <n v="30112"/>
    <n v="6"/>
    <n v="0"/>
    <n v="0"/>
    <n v="11.99"/>
    <n v="0"/>
    <n v="0"/>
    <n v="14.385936656608823"/>
    <m/>
    <m/>
    <n v="6054.95"/>
    <n v="0"/>
    <n v="7264.8980115874556"/>
    <n v="0"/>
    <x v="4"/>
  </r>
  <r>
    <s v="Regular"/>
    <x v="1"/>
    <x v="1"/>
    <x v="3"/>
    <x v="0"/>
    <x v="2"/>
    <x v="7"/>
    <x v="1"/>
    <x v="6"/>
    <n v="1010"/>
    <n v="505"/>
    <n v="0"/>
    <n v="0"/>
    <n v="0"/>
    <n v="0"/>
    <n v="0"/>
    <s v="GERAÇÃO"/>
    <n v="30112"/>
    <n v="6"/>
    <n v="0"/>
    <n v="0"/>
    <n v="11.99"/>
    <n v="0"/>
    <n v="0"/>
    <n v="14.385936656608823"/>
    <m/>
    <m/>
    <n v="6054.95"/>
    <n v="0"/>
    <n v="7264.8980115874556"/>
    <n v="0"/>
    <x v="4"/>
  </r>
  <r>
    <s v="Regular"/>
    <x v="1"/>
    <x v="1"/>
    <x v="3"/>
    <x v="0"/>
    <x v="2"/>
    <x v="7"/>
    <x v="1"/>
    <x v="7"/>
    <n v="1010"/>
    <n v="505"/>
    <n v="0"/>
    <n v="0"/>
    <n v="0"/>
    <n v="0"/>
    <n v="0"/>
    <s v="GERAÇÃO"/>
    <n v="30112"/>
    <n v="6"/>
    <n v="0"/>
    <n v="0"/>
    <n v="11.99"/>
    <n v="0"/>
    <n v="0"/>
    <n v="14.385936656608823"/>
    <m/>
    <m/>
    <n v="6054.95"/>
    <n v="0"/>
    <n v="7264.8980115874556"/>
    <n v="0"/>
    <x v="4"/>
  </r>
  <r>
    <s v="Regular"/>
    <x v="1"/>
    <x v="1"/>
    <x v="3"/>
    <x v="0"/>
    <x v="2"/>
    <x v="7"/>
    <x v="1"/>
    <x v="8"/>
    <n v="948"/>
    <n v="474"/>
    <n v="0"/>
    <n v="0"/>
    <n v="0"/>
    <n v="0"/>
    <n v="0"/>
    <s v="GERAÇÃO"/>
    <n v="30112"/>
    <n v="6"/>
    <n v="0"/>
    <n v="0"/>
    <n v="11.99"/>
    <n v="0"/>
    <n v="0"/>
    <n v="14.385936656608823"/>
    <m/>
    <m/>
    <n v="5683.26"/>
    <n v="0"/>
    <n v="6818.9339752325823"/>
    <n v="0"/>
    <x v="4"/>
  </r>
  <r>
    <s v="Regular"/>
    <x v="1"/>
    <x v="1"/>
    <x v="3"/>
    <x v="0"/>
    <x v="2"/>
    <x v="7"/>
    <x v="1"/>
    <x v="9"/>
    <n v="860"/>
    <n v="430"/>
    <n v="0"/>
    <n v="0"/>
    <n v="0"/>
    <n v="0"/>
    <n v="0"/>
    <s v="GERAÇÃO"/>
    <n v="30112"/>
    <n v="6"/>
    <n v="0"/>
    <n v="0"/>
    <n v="11.99"/>
    <n v="0"/>
    <n v="0"/>
    <n v="14.385936656608823"/>
    <m/>
    <m/>
    <n v="5155.7"/>
    <n v="0"/>
    <n v="6185.9527623417944"/>
    <n v="0"/>
    <x v="4"/>
  </r>
  <r>
    <s v="Regular"/>
    <x v="1"/>
    <x v="1"/>
    <x v="3"/>
    <x v="0"/>
    <x v="2"/>
    <x v="7"/>
    <x v="1"/>
    <x v="10"/>
    <n v="908"/>
    <n v="454"/>
    <n v="0"/>
    <n v="0"/>
    <n v="0"/>
    <n v="0"/>
    <n v="0"/>
    <s v="GERAÇÃO"/>
    <n v="30112"/>
    <n v="6"/>
    <n v="0"/>
    <n v="0"/>
    <n v="11.99"/>
    <n v="0"/>
    <n v="0"/>
    <n v="14.385936656608823"/>
    <m/>
    <m/>
    <n v="5443.46"/>
    <n v="0"/>
    <n v="6531.2152421004057"/>
    <n v="0"/>
    <x v="4"/>
  </r>
  <r>
    <s v="PROJETADO"/>
    <x v="1"/>
    <x v="1"/>
    <x v="3"/>
    <x v="0"/>
    <x v="2"/>
    <x v="7"/>
    <x v="1"/>
    <x v="11"/>
    <n v="908"/>
    <n v="454"/>
    <n v="0"/>
    <n v="0"/>
    <n v="0"/>
    <n v="0"/>
    <n v="0"/>
    <s v="GERAÇÃO"/>
    <n v="30112"/>
    <n v="6"/>
    <n v="0"/>
    <n v="0"/>
    <n v="11.99"/>
    <n v="0"/>
    <n v="0"/>
    <n v="14.385936656608823"/>
    <m/>
    <m/>
    <n v="5443.46"/>
    <n v="0"/>
    <n v="6531.2152421004057"/>
    <n v="0"/>
    <x v="4"/>
  </r>
  <r>
    <s v="Regular"/>
    <x v="1"/>
    <x v="2"/>
    <x v="0"/>
    <x v="0"/>
    <x v="0"/>
    <x v="0"/>
    <x v="0"/>
    <x v="0"/>
    <n v="0"/>
    <n v="0"/>
    <n v="15586.54"/>
    <n v="15586.54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1"/>
    <n v="0"/>
    <n v="0"/>
    <n v="15347.862999999999"/>
    <n v="15347.862999999999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2"/>
    <n v="0"/>
    <n v="0"/>
    <n v="15846.188"/>
    <n v="15846.188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3"/>
    <n v="0"/>
    <n v="0"/>
    <n v="16030.883"/>
    <n v="16030.883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4"/>
    <n v="0"/>
    <n v="0"/>
    <n v="15535.214"/>
    <n v="15535.214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5"/>
    <n v="0"/>
    <n v="0"/>
    <n v="17306.638999999999"/>
    <n v="17306.638999999999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6"/>
    <n v="0"/>
    <n v="0"/>
    <n v="18463.737000000001"/>
    <n v="18463.737000000001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7"/>
    <n v="0"/>
    <n v="0"/>
    <n v="9772.5529999999999"/>
    <n v="9772.5529999999999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8"/>
    <n v="0"/>
    <n v="0"/>
    <n v="14363.013999999999"/>
    <n v="14363.013999999999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9"/>
    <n v="0"/>
    <n v="0"/>
    <n v="13550.341"/>
    <n v="13550.341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0"/>
    <x v="10"/>
    <n v="0"/>
    <n v="0"/>
    <n v="14927.39"/>
    <n v="14927.39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PROJETADO"/>
    <x v="1"/>
    <x v="2"/>
    <x v="0"/>
    <x v="0"/>
    <x v="0"/>
    <x v="0"/>
    <x v="0"/>
    <x v="11"/>
    <n v="0"/>
    <n v="0"/>
    <n v="14927.39"/>
    <n v="14927.39"/>
    <n v="0"/>
    <n v="0"/>
    <n v="0"/>
    <s v="LIVRE"/>
    <n v="0"/>
    <n v="0"/>
    <n v="29"/>
    <n v="0"/>
    <n v="0"/>
    <n v="97.61"/>
    <n v="0"/>
    <m/>
    <n v="28756372512.812618"/>
    <m/>
    <n v="0"/>
    <n v="0"/>
    <n v="0"/>
    <n v="0"/>
    <x v="0"/>
  </r>
  <r>
    <s v="Regular"/>
    <x v="1"/>
    <x v="2"/>
    <x v="0"/>
    <x v="0"/>
    <x v="0"/>
    <x v="0"/>
    <x v="1"/>
    <x v="0"/>
    <n v="49067"/>
    <n v="20699.682339219999"/>
    <n v="0"/>
    <n v="0"/>
    <n v="0"/>
    <n v="0"/>
    <n v="67"/>
    <s v="LIVRE"/>
    <n v="0"/>
    <n v="7"/>
    <n v="0"/>
    <n v="0"/>
    <n v="21.85"/>
    <n v="0"/>
    <n v="0"/>
    <n v="27.946333250822786"/>
    <m/>
    <m/>
    <n v="619825.8908880431"/>
    <n v="0"/>
    <n v="792762.51278010861"/>
    <n v="0"/>
    <x v="0"/>
  </r>
  <r>
    <s v="Regular"/>
    <x v="1"/>
    <x v="2"/>
    <x v="0"/>
    <x v="0"/>
    <x v="0"/>
    <x v="0"/>
    <x v="1"/>
    <x v="1"/>
    <n v="50965"/>
    <n v="22850.187309699999"/>
    <n v="0"/>
    <n v="0"/>
    <n v="0"/>
    <n v="0"/>
    <n v="67"/>
    <s v="LIVRE"/>
    <n v="0"/>
    <n v="7"/>
    <n v="0"/>
    <n v="0"/>
    <n v="21.85"/>
    <n v="0"/>
    <n v="0"/>
    <n v="27.946333250822786"/>
    <m/>
    <m/>
    <n v="614308.65728305501"/>
    <n v="0"/>
    <n v="785705.92472758528"/>
    <n v="0"/>
    <x v="0"/>
  </r>
  <r>
    <s v="Regular"/>
    <x v="1"/>
    <x v="2"/>
    <x v="0"/>
    <x v="0"/>
    <x v="0"/>
    <x v="0"/>
    <x v="1"/>
    <x v="2"/>
    <n v="49044"/>
    <n v="21385.2585612"/>
    <n v="0"/>
    <n v="0"/>
    <n v="0"/>
    <n v="0"/>
    <n v="67"/>
    <s v="LIVRE"/>
    <n v="0"/>
    <n v="7"/>
    <n v="0"/>
    <n v="0"/>
    <n v="21.85"/>
    <n v="0"/>
    <n v="0"/>
    <n v="27.946333250822786"/>
    <m/>
    <m/>
    <n v="604343.50043778005"/>
    <n v="0"/>
    <n v="772960.40554704645"/>
    <n v="0"/>
    <x v="0"/>
  </r>
  <r>
    <s v="Regular"/>
    <x v="1"/>
    <x v="2"/>
    <x v="0"/>
    <x v="0"/>
    <x v="0"/>
    <x v="0"/>
    <x v="1"/>
    <x v="3"/>
    <n v="48218"/>
    <n v="22244.500107659998"/>
    <n v="0"/>
    <n v="0"/>
    <n v="0"/>
    <n v="0"/>
    <n v="69"/>
    <s v="LIVRE"/>
    <n v="0"/>
    <n v="7"/>
    <n v="0"/>
    <n v="0"/>
    <n v="21.85"/>
    <n v="0"/>
    <n v="0"/>
    <n v="27.946333250822786"/>
    <m/>
    <m/>
    <n v="567520.9726476291"/>
    <n v="0"/>
    <n v="725864.08368154347"/>
    <n v="0"/>
    <x v="0"/>
  </r>
  <r>
    <s v="Regular"/>
    <x v="1"/>
    <x v="2"/>
    <x v="0"/>
    <x v="0"/>
    <x v="0"/>
    <x v="0"/>
    <x v="1"/>
    <x v="4"/>
    <n v="47981"/>
    <n v="22125.615755660001"/>
    <n v="0"/>
    <n v="0"/>
    <n v="0"/>
    <n v="0"/>
    <n v="71"/>
    <s v="LIVRE"/>
    <n v="0"/>
    <n v="7"/>
    <n v="0"/>
    <n v="0"/>
    <n v="21.85"/>
    <n v="0"/>
    <n v="0"/>
    <n v="27.946333250822786"/>
    <m/>
    <m/>
    <n v="564940.14573882904"/>
    <n v="0"/>
    <n v="722563.18442039844"/>
    <n v="0"/>
    <x v="0"/>
  </r>
  <r>
    <s v="Regular"/>
    <x v="1"/>
    <x v="2"/>
    <x v="0"/>
    <x v="0"/>
    <x v="0"/>
    <x v="0"/>
    <x v="1"/>
    <x v="5"/>
    <n v="51474"/>
    <n v="23885.087473380001"/>
    <n v="0"/>
    <n v="0"/>
    <n v="0"/>
    <n v="0"/>
    <n v="72"/>
    <s v="LIVRE"/>
    <n v="0"/>
    <n v="7"/>
    <n v="0"/>
    <n v="0"/>
    <n v="21.85"/>
    <n v="0"/>
    <n v="0"/>
    <n v="27.946333250822786"/>
    <m/>
    <m/>
    <n v="602817.73870664707"/>
    <n v="0"/>
    <n v="771008.9434967218"/>
    <n v="0"/>
    <x v="0"/>
  </r>
  <r>
    <s v="Regular"/>
    <x v="1"/>
    <x v="2"/>
    <x v="0"/>
    <x v="0"/>
    <x v="0"/>
    <x v="0"/>
    <x v="1"/>
    <x v="6"/>
    <n v="52635"/>
    <n v="24452.999867999999"/>
    <n v="0"/>
    <n v="0"/>
    <n v="0"/>
    <n v="0"/>
    <n v="77"/>
    <s v="LIVRE"/>
    <n v="0"/>
    <n v="7"/>
    <n v="0"/>
    <n v="0"/>
    <n v="21.85"/>
    <n v="0"/>
    <n v="0"/>
    <n v="27.946333250822786"/>
    <m/>
    <m/>
    <n v="615776.70288420003"/>
    <n v="0"/>
    <n v="787583.56736360374"/>
    <n v="0"/>
    <x v="0"/>
  </r>
  <r>
    <s v="Regular"/>
    <x v="1"/>
    <x v="2"/>
    <x v="0"/>
    <x v="0"/>
    <x v="0"/>
    <x v="0"/>
    <x v="1"/>
    <x v="7"/>
    <n v="40712"/>
    <n v="18287.499818560002"/>
    <n v="0"/>
    <n v="0"/>
    <n v="0"/>
    <n v="0"/>
    <n v="82"/>
    <s v="LIVRE"/>
    <n v="0"/>
    <n v="7"/>
    <n v="0"/>
    <n v="0"/>
    <n v="21.85"/>
    <n v="0"/>
    <n v="0"/>
    <n v="27.946333250822786"/>
    <m/>
    <m/>
    <n v="489975.32896446402"/>
    <n v="0"/>
    <n v="626682.5550536582"/>
    <n v="0"/>
    <x v="0"/>
  </r>
  <r>
    <s v="Regular"/>
    <x v="1"/>
    <x v="2"/>
    <x v="0"/>
    <x v="0"/>
    <x v="0"/>
    <x v="0"/>
    <x v="1"/>
    <x v="8"/>
    <n v="47400"/>
    <n v="21628.500078000001"/>
    <n v="0"/>
    <n v="0"/>
    <n v="0"/>
    <n v="0"/>
    <n v="80"/>
    <s v="LIVRE"/>
    <n v="0"/>
    <n v="7"/>
    <n v="0"/>
    <n v="0"/>
    <n v="21.85"/>
    <n v="0"/>
    <n v="0"/>
    <n v="27.946333250822786"/>
    <m/>
    <m/>
    <n v="563107.27329569997"/>
    <n v="0"/>
    <n v="720218.92519376543"/>
    <n v="0"/>
    <x v="0"/>
  </r>
  <r>
    <s v="Regular"/>
    <x v="1"/>
    <x v="2"/>
    <x v="0"/>
    <x v="0"/>
    <x v="0"/>
    <x v="0"/>
    <x v="1"/>
    <x v="9"/>
    <n v="47541"/>
    <n v="21905.743734029998"/>
    <n v="0"/>
    <n v="0"/>
    <n v="0"/>
    <n v="0"/>
    <n v="79"/>
    <s v="LIVRE"/>
    <n v="0"/>
    <n v="7"/>
    <n v="0"/>
    <n v="0"/>
    <n v="21.85"/>
    <n v="0"/>
    <n v="0"/>
    <n v="27.946333250822786"/>
    <m/>
    <m/>
    <n v="560130.34941144462"/>
    <n v="0"/>
    <n v="716411.4145790406"/>
    <n v="0"/>
    <x v="0"/>
  </r>
  <r>
    <s v="Regular"/>
    <x v="1"/>
    <x v="2"/>
    <x v="0"/>
    <x v="0"/>
    <x v="0"/>
    <x v="0"/>
    <x v="1"/>
    <x v="10"/>
    <n v="48504"/>
    <n v="22445.500047599999"/>
    <n v="0"/>
    <n v="0"/>
    <n v="0"/>
    <n v="0"/>
    <n v="82"/>
    <s v="LIVRE"/>
    <n v="0"/>
    <n v="7"/>
    <n v="0"/>
    <n v="0"/>
    <n v="21.85"/>
    <n v="0"/>
    <n v="0"/>
    <n v="27.946333250822786"/>
    <m/>
    <m/>
    <n v="569378.22395994002"/>
    <n v="0"/>
    <n v="728239.52368632017"/>
    <n v="0"/>
    <x v="0"/>
  </r>
  <r>
    <s v="PROJETADO"/>
    <x v="1"/>
    <x v="2"/>
    <x v="0"/>
    <x v="0"/>
    <x v="0"/>
    <x v="0"/>
    <x v="1"/>
    <x v="11"/>
    <n v="48504"/>
    <n v="22445.500047599999"/>
    <n v="0"/>
    <n v="0"/>
    <n v="0"/>
    <n v="0"/>
    <n v="82"/>
    <s v="LIVRE"/>
    <n v="0"/>
    <n v="7"/>
    <n v="0"/>
    <n v="0"/>
    <n v="21.85"/>
    <n v="0"/>
    <n v="0"/>
    <n v="27.946333250822786"/>
    <m/>
    <m/>
    <n v="569378.22395994002"/>
    <n v="0"/>
    <n v="728239.52368632017"/>
    <n v="0"/>
    <x v="0"/>
  </r>
  <r>
    <s v="Regular"/>
    <x v="1"/>
    <x v="2"/>
    <x v="0"/>
    <x v="0"/>
    <x v="0"/>
    <x v="0"/>
    <x v="2"/>
    <x v="0"/>
    <n v="0"/>
    <n v="0"/>
    <n v="1570.7380000000001"/>
    <n v="749.07661158122005"/>
    <n v="0"/>
    <n v="0"/>
    <n v="0"/>
    <s v="LIVRE"/>
    <n v="0"/>
    <n v="0"/>
    <n v="8"/>
    <n v="0"/>
    <n v="0"/>
    <n v="1557.74"/>
    <n v="0"/>
    <m/>
    <n v="28756374339.829216"/>
    <m/>
    <n v="0"/>
    <n v="1279934.8111954704"/>
    <n v="0"/>
    <n v="23628002465954.25"/>
    <x v="0"/>
  </r>
  <r>
    <s v="Regular"/>
    <x v="1"/>
    <x v="2"/>
    <x v="0"/>
    <x v="0"/>
    <x v="0"/>
    <x v="0"/>
    <x v="2"/>
    <x v="1"/>
    <n v="0"/>
    <n v="0"/>
    <n v="1541.66"/>
    <n v="765.59737471100004"/>
    <n v="0"/>
    <n v="0"/>
    <n v="0"/>
    <s v="LIVRE"/>
    <n v="0"/>
    <n v="0"/>
    <n v="8"/>
    <n v="0"/>
    <n v="0"/>
    <n v="1557.74"/>
    <n v="0"/>
    <m/>
    <n v="28756374339.829216"/>
    <m/>
    <n v="0"/>
    <n v="1208903.7939176869"/>
    <n v="0"/>
    <n v="22316747363961.098"/>
    <x v="0"/>
  </r>
  <r>
    <s v="Regular"/>
    <x v="1"/>
    <x v="2"/>
    <x v="0"/>
    <x v="0"/>
    <x v="0"/>
    <x v="0"/>
    <x v="2"/>
    <x v="2"/>
    <n v="0"/>
    <n v="0"/>
    <n v="1634.53"/>
    <n v="806.4250585648"/>
    <n v="0"/>
    <n v="0"/>
    <n v="0"/>
    <s v="LIVRE"/>
    <n v="0"/>
    <n v="0"/>
    <n v="8"/>
    <n v="0"/>
    <n v="0"/>
    <n v="1557.74"/>
    <n v="0"/>
    <m/>
    <n v="28756374339.829216"/>
    <m/>
    <n v="0"/>
    <n v="1289972.1914712684"/>
    <n v="0"/>
    <n v="23813295688572.961"/>
    <x v="0"/>
  </r>
  <r>
    <s v="Regular"/>
    <x v="1"/>
    <x v="2"/>
    <x v="0"/>
    <x v="0"/>
    <x v="0"/>
    <x v="0"/>
    <x v="2"/>
    <x v="3"/>
    <n v="0"/>
    <n v="0"/>
    <n v="1651.5540000000001"/>
    <n v="837.55897153397996"/>
    <n v="0"/>
    <n v="0"/>
    <n v="0"/>
    <s v="LIVRE"/>
    <n v="0"/>
    <n v="0"/>
    <n v="8"/>
    <n v="0"/>
    <n v="0"/>
    <n v="1557.74"/>
    <n v="0"/>
    <m/>
    <n v="28756374339.829216"/>
    <m/>
    <n v="0"/>
    <n v="1267992.6156426582"/>
    <n v="0"/>
    <n v="23407545749328.813"/>
    <x v="0"/>
  </r>
  <r>
    <s v="Regular"/>
    <x v="1"/>
    <x v="2"/>
    <x v="0"/>
    <x v="0"/>
    <x v="0"/>
    <x v="0"/>
    <x v="2"/>
    <x v="4"/>
    <n v="0"/>
    <n v="0"/>
    <n v="1595.287"/>
    <n v="821.04486072021996"/>
    <n v="0"/>
    <n v="0"/>
    <n v="0"/>
    <s v="LIVRE"/>
    <n v="0"/>
    <n v="0"/>
    <n v="8"/>
    <n v="0"/>
    <n v="0"/>
    <n v="1557.74"/>
    <n v="0"/>
    <m/>
    <n v="28756374339.829216"/>
    <m/>
    <n v="0"/>
    <n v="1206067.9500416846"/>
    <n v="0"/>
    <n v="22264396786799.547"/>
    <x v="0"/>
  </r>
  <r>
    <s v="Regular"/>
    <x v="1"/>
    <x v="2"/>
    <x v="0"/>
    <x v="0"/>
    <x v="0"/>
    <x v="0"/>
    <x v="2"/>
    <x v="5"/>
    <n v="0"/>
    <n v="0"/>
    <n v="1586.192"/>
    <n v="799.17606427904002"/>
    <n v="0"/>
    <n v="0"/>
    <n v="0"/>
    <s v="LIVRE"/>
    <n v="0"/>
    <n v="0"/>
    <n v="8"/>
    <n v="0"/>
    <n v="0"/>
    <n v="1557.74"/>
    <n v="0"/>
    <m/>
    <n v="28756374339.829216"/>
    <m/>
    <n v="0"/>
    <n v="1225966.2037099681"/>
    <n v="0"/>
    <n v="22631724859002.895"/>
    <x v="0"/>
  </r>
  <r>
    <s v="Regular"/>
    <x v="1"/>
    <x v="2"/>
    <x v="0"/>
    <x v="0"/>
    <x v="0"/>
    <x v="0"/>
    <x v="2"/>
    <x v="6"/>
    <n v="0"/>
    <n v="0"/>
    <n v="1812.165"/>
    <n v="924.22674769754997"/>
    <n v="0"/>
    <n v="0"/>
    <n v="0"/>
    <s v="LIVRE"/>
    <n v="0"/>
    <n v="0"/>
    <n v="8"/>
    <n v="0"/>
    <n v="0"/>
    <n v="1557.74"/>
    <n v="0"/>
    <m/>
    <n v="28756374339.829216"/>
    <m/>
    <n v="0"/>
    <n v="1383176.9331416185"/>
    <n v="0"/>
    <n v="25533884773862.973"/>
    <x v="0"/>
  </r>
  <r>
    <s v="Regular"/>
    <x v="1"/>
    <x v="2"/>
    <x v="0"/>
    <x v="0"/>
    <x v="0"/>
    <x v="0"/>
    <x v="2"/>
    <x v="7"/>
    <n v="0"/>
    <n v="0"/>
    <n v="1045.5999999999999"/>
    <n v="508.25532758399999"/>
    <n v="0"/>
    <n v="0"/>
    <n v="0"/>
    <s v="LIVRE"/>
    <n v="0"/>
    <n v="0"/>
    <n v="8"/>
    <n v="0"/>
    <n v="0"/>
    <n v="1557.74"/>
    <n v="0"/>
    <m/>
    <n v="28756374339.829216"/>
    <m/>
    <n v="0"/>
    <n v="837043.29000929964"/>
    <n v="0"/>
    <n v="15452084549507.395"/>
    <x v="0"/>
  </r>
  <r>
    <s v="Regular"/>
    <x v="1"/>
    <x v="2"/>
    <x v="0"/>
    <x v="0"/>
    <x v="0"/>
    <x v="0"/>
    <x v="2"/>
    <x v="8"/>
    <n v="0"/>
    <n v="0"/>
    <n v="1398.251"/>
    <n v="707.36800787236996"/>
    <n v="0"/>
    <n v="0"/>
    <n v="0"/>
    <s v="LIVRE"/>
    <n v="0"/>
    <n v="0"/>
    <n v="8"/>
    <n v="0"/>
    <n v="0"/>
    <n v="1557.74"/>
    <n v="0"/>
    <m/>
    <n v="28756374339.829216"/>
    <m/>
    <n v="0"/>
    <n v="1076216.0721568945"/>
    <n v="0"/>
    <n v="19867289946643.41"/>
    <x v="0"/>
  </r>
  <r>
    <s v="Regular"/>
    <x v="1"/>
    <x v="2"/>
    <x v="0"/>
    <x v="0"/>
    <x v="0"/>
    <x v="0"/>
    <x v="2"/>
    <x v="9"/>
    <n v="0"/>
    <n v="0"/>
    <n v="1336.328"/>
    <n v="671.57099496256001"/>
    <n v="0"/>
    <n v="0"/>
    <n v="0"/>
    <s v="LIVRE"/>
    <n v="0"/>
    <n v="0"/>
    <n v="8"/>
    <n v="0"/>
    <n v="0"/>
    <n v="1557.74"/>
    <n v="0"/>
    <m/>
    <n v="28756374339.829216"/>
    <m/>
    <n v="0"/>
    <n v="1035518.5770270218"/>
    <n v="0"/>
    <n v="19116001281880.359"/>
    <x v="0"/>
  </r>
  <r>
    <s v="Regular"/>
    <x v="1"/>
    <x v="2"/>
    <x v="0"/>
    <x v="0"/>
    <x v="0"/>
    <x v="0"/>
    <x v="2"/>
    <x v="10"/>
    <n v="0"/>
    <n v="0"/>
    <n v="1489.481"/>
    <n v="746.58496900673003"/>
    <n v="0"/>
    <n v="0"/>
    <n v="0"/>
    <s v="LIVRE"/>
    <n v="0"/>
    <n v="0"/>
    <n v="8"/>
    <n v="0"/>
    <n v="0"/>
    <n v="1557.74"/>
    <n v="0"/>
    <m/>
    <n v="28756374339.829216"/>
    <m/>
    <n v="0"/>
    <n v="1157238.8633194563"/>
    <n v="0"/>
    <n v="21362996362815.84"/>
    <x v="0"/>
  </r>
  <r>
    <s v="PROJETADO"/>
    <x v="1"/>
    <x v="2"/>
    <x v="0"/>
    <x v="0"/>
    <x v="0"/>
    <x v="0"/>
    <x v="2"/>
    <x v="11"/>
    <n v="0"/>
    <n v="0"/>
    <n v="1489.481"/>
    <n v="746.58496900673003"/>
    <n v="0"/>
    <n v="0"/>
    <n v="0"/>
    <s v="LIVRE"/>
    <n v="0"/>
    <n v="0"/>
    <n v="8"/>
    <n v="0"/>
    <n v="0"/>
    <n v="1557.74"/>
    <n v="0"/>
    <m/>
    <n v="28756374339.829216"/>
    <m/>
    <n v="0"/>
    <n v="1157238.8633194563"/>
    <n v="0"/>
    <n v="21362996362815.84"/>
    <x v="0"/>
  </r>
  <r>
    <s v="Regular"/>
    <x v="1"/>
    <x v="2"/>
    <x v="1"/>
    <x v="1"/>
    <x v="1"/>
    <x v="0"/>
    <x v="0"/>
    <x v="0"/>
    <n v="0"/>
    <n v="0"/>
    <n v="122.298"/>
    <n v="12.229799999999999"/>
    <n v="122.298"/>
    <n v="12.229799999999999"/>
    <n v="0"/>
    <s v="CATIVO"/>
    <n v="0"/>
    <n v="0"/>
    <n v="29"/>
    <n v="73"/>
    <n v="0"/>
    <n v="97.61"/>
    <n v="219.97"/>
    <m/>
    <n v="28756372512.812618"/>
    <n v="283.40928724383144"/>
    <n v="0"/>
    <n v="34955.458956000002"/>
    <n v="0"/>
    <n v="3165162192209.1118"/>
    <x v="1"/>
  </r>
  <r>
    <s v="Regular"/>
    <x v="1"/>
    <x v="2"/>
    <x v="1"/>
    <x v="1"/>
    <x v="1"/>
    <x v="0"/>
    <x v="0"/>
    <x v="1"/>
    <n v="0"/>
    <n v="0"/>
    <n v="117.717"/>
    <n v="11.771699999999999"/>
    <n v="117.717"/>
    <n v="11.771699999999999"/>
    <n v="0"/>
    <s v="CATIVO"/>
    <n v="0"/>
    <n v="0"/>
    <n v="29"/>
    <n v="73"/>
    <n v="0"/>
    <n v="97.61"/>
    <n v="219.97"/>
    <m/>
    <n v="28756372512.812618"/>
    <n v="283.40928724383144"/>
    <n v="0"/>
    <n v="33646.108374000003"/>
    <n v="0"/>
    <n v="3046602542807.5688"/>
    <x v="1"/>
  </r>
  <r>
    <s v="Refaturamento - Regular"/>
    <x v="1"/>
    <x v="2"/>
    <x v="1"/>
    <x v="1"/>
    <x v="1"/>
    <x v="0"/>
    <x v="0"/>
    <x v="1"/>
    <n v="0"/>
    <n v="0"/>
    <n v="-61.277000000000001"/>
    <n v="-6.1276999999999999"/>
    <n v="-61.277000000000001"/>
    <n v="-6.1276999999999999"/>
    <n v="0"/>
    <s v="CATIVO"/>
    <n v="0"/>
    <n v="0"/>
    <n v="29"/>
    <n v="73"/>
    <n v="0"/>
    <n v="97.61"/>
    <n v="219.97"/>
    <m/>
    <n v="28756372512.812618"/>
    <n v="283.40928724383144"/>
    <n v="0"/>
    <n v="-17514.314694000001"/>
    <n v="0"/>
    <n v="-1585893830250.6807"/>
    <x v="1"/>
  </r>
  <r>
    <s v="Regular"/>
    <x v="1"/>
    <x v="2"/>
    <x v="1"/>
    <x v="1"/>
    <x v="1"/>
    <x v="0"/>
    <x v="0"/>
    <x v="2"/>
    <n v="0"/>
    <n v="0"/>
    <n v="172.75399999999999"/>
    <n v="17.275400000000001"/>
    <n v="172.75399999999999"/>
    <n v="17.275400000000001"/>
    <n v="0"/>
    <s v="CATIVO"/>
    <n v="0"/>
    <n v="0"/>
    <n v="29"/>
    <n v="73"/>
    <n v="0"/>
    <n v="97.61"/>
    <n v="219.97"/>
    <m/>
    <n v="28756372512.812618"/>
    <n v="283.40928724383144"/>
    <n v="0"/>
    <n v="49376.893788000001"/>
    <n v="0"/>
    <n v="4471000583434.667"/>
    <x v="1"/>
  </r>
  <r>
    <s v="Refaturamento - Regular"/>
    <x v="1"/>
    <x v="2"/>
    <x v="1"/>
    <x v="1"/>
    <x v="1"/>
    <x v="0"/>
    <x v="0"/>
    <x v="2"/>
    <n v="0"/>
    <n v="0"/>
    <n v="-54.831000000000003"/>
    <n v="-5.4831000000000003"/>
    <n v="-54.831000000000003"/>
    <n v="-5.4831000000000003"/>
    <n v="0"/>
    <s v="CATIVO"/>
    <n v="0"/>
    <n v="0"/>
    <n v="29"/>
    <n v="73"/>
    <n v="0"/>
    <n v="97.61"/>
    <n v="219.97"/>
    <m/>
    <n v="28756372512.812618"/>
    <n v="283.40928724383144"/>
    <n v="0"/>
    <n v="-15671.906082000001"/>
    <n v="0"/>
    <n v="-1419066609110.679"/>
    <x v="1"/>
  </r>
  <r>
    <s v="Regular"/>
    <x v="1"/>
    <x v="2"/>
    <x v="1"/>
    <x v="1"/>
    <x v="1"/>
    <x v="0"/>
    <x v="0"/>
    <x v="3"/>
    <n v="0"/>
    <n v="0"/>
    <n v="289.83300000000003"/>
    <n v="28.9833"/>
    <n v="289.83300000000003"/>
    <n v="28.9833"/>
    <n v="0"/>
    <s v="CATIVO"/>
    <n v="0"/>
    <n v="0"/>
    <n v="29"/>
    <n v="73"/>
    <n v="0"/>
    <n v="97.61"/>
    <n v="219.97"/>
    <m/>
    <n v="28756372512.812618"/>
    <n v="283.40928724383144"/>
    <n v="0"/>
    <n v="82840.64772600001"/>
    <n v="0"/>
    <n v="7501091216982.6465"/>
    <x v="1"/>
  </r>
  <r>
    <s v="Refaturamento - Regular"/>
    <x v="1"/>
    <x v="2"/>
    <x v="1"/>
    <x v="1"/>
    <x v="1"/>
    <x v="0"/>
    <x v="0"/>
    <x v="3"/>
    <n v="0"/>
    <n v="0"/>
    <n v="43.429000000000002"/>
    <n v="4.3429000000000002"/>
    <n v="43.429000000000002"/>
    <n v="4.3429000000000002"/>
    <n v="0"/>
    <s v="CATIVO"/>
    <n v="0"/>
    <n v="0"/>
    <n v="29"/>
    <n v="73"/>
    <n v="0"/>
    <n v="97.61"/>
    <n v="219.97"/>
    <m/>
    <n v="28756372512.812618"/>
    <n v="283.40928724383144"/>
    <n v="0"/>
    <n v="12412.963637999999"/>
    <n v="0"/>
    <n v="1123974462750.4092"/>
    <x v="1"/>
  </r>
  <r>
    <s v="Regular"/>
    <x v="1"/>
    <x v="2"/>
    <x v="1"/>
    <x v="1"/>
    <x v="1"/>
    <x v="0"/>
    <x v="0"/>
    <x v="4"/>
    <n v="0"/>
    <n v="0"/>
    <n v="616.38"/>
    <n v="61.637999999999998"/>
    <n v="616.38"/>
    <n v="61.637999999999998"/>
    <n v="0"/>
    <s v="CATIVO"/>
    <n v="0"/>
    <n v="0"/>
    <n v="29"/>
    <n v="73"/>
    <n v="0"/>
    <n v="97.61"/>
    <n v="219.97"/>
    <m/>
    <n v="28756372512.812618"/>
    <n v="283.40928724383144"/>
    <n v="0"/>
    <n v="176174.96435999998"/>
    <n v="0"/>
    <n v="15952367757721.732"/>
    <x v="1"/>
  </r>
  <r>
    <s v="Refaturamento - Regular"/>
    <x v="1"/>
    <x v="2"/>
    <x v="1"/>
    <x v="1"/>
    <x v="1"/>
    <x v="0"/>
    <x v="0"/>
    <x v="4"/>
    <n v="0"/>
    <n v="0"/>
    <n v="-85.463999999999999"/>
    <n v="-8.5464000000000002"/>
    <n v="-85.463999999999999"/>
    <n v="-8.5464000000000002"/>
    <n v="0"/>
    <s v="CATIVO"/>
    <n v="0"/>
    <n v="0"/>
    <n v="29"/>
    <n v="73"/>
    <n v="0"/>
    <n v="97.61"/>
    <n v="219.97"/>
    <m/>
    <n v="28756372512.812618"/>
    <n v="283.40928724383144"/>
    <n v="0"/>
    <n v="-24427.491407999998"/>
    <n v="0"/>
    <n v="-2211871180190.6777"/>
    <x v="1"/>
  </r>
  <r>
    <s v="Regular"/>
    <x v="1"/>
    <x v="2"/>
    <x v="1"/>
    <x v="1"/>
    <x v="1"/>
    <x v="0"/>
    <x v="0"/>
    <x v="5"/>
    <n v="0"/>
    <n v="0"/>
    <n v="1721.6189999999999"/>
    <n v="172.1619"/>
    <n v="1721.6189999999999"/>
    <n v="172.1619"/>
    <n v="0"/>
    <s v="CATIVO"/>
    <n v="0"/>
    <n v="0"/>
    <n v="29"/>
    <n v="73"/>
    <n v="0"/>
    <n v="97.61"/>
    <n v="219.97"/>
    <m/>
    <n v="28756372512.812618"/>
    <n v="283.40928724383144"/>
    <n v="0"/>
    <n v="492076.5858179999"/>
    <n v="0"/>
    <n v="44556765999352.883"/>
    <x v="1"/>
  </r>
  <r>
    <s v="Regular"/>
    <x v="1"/>
    <x v="2"/>
    <x v="1"/>
    <x v="1"/>
    <x v="1"/>
    <x v="0"/>
    <x v="0"/>
    <x v="6"/>
    <n v="0"/>
    <n v="0"/>
    <n v="2664.7179999999998"/>
    <n v="266.47179999999997"/>
    <n v="2664.7179999999998"/>
    <n v="266.47179999999997"/>
    <n v="0"/>
    <s v="CATIVO"/>
    <n v="0"/>
    <n v="0"/>
    <n v="29"/>
    <n v="73"/>
    <n v="0"/>
    <n v="97.61"/>
    <n v="219.97"/>
    <m/>
    <n v="28756372512.812618"/>
    <n v="283.40928724383144"/>
    <n v="0"/>
    <n v="761635.02819600003"/>
    <n v="0"/>
    <n v="68964861784322.563"/>
    <x v="1"/>
  </r>
  <r>
    <s v="Regular"/>
    <x v="1"/>
    <x v="2"/>
    <x v="1"/>
    <x v="1"/>
    <x v="1"/>
    <x v="0"/>
    <x v="0"/>
    <x v="7"/>
    <n v="0"/>
    <n v="0"/>
    <n v="2411.5529999999999"/>
    <n v="241.15530000000001"/>
    <n v="2411.5529999999999"/>
    <n v="241.15530000000001"/>
    <n v="0"/>
    <s v="CATIVO"/>
    <n v="0"/>
    <n v="0"/>
    <n v="29"/>
    <n v="73"/>
    <n v="0"/>
    <n v="97.61"/>
    <n v="219.97"/>
    <m/>
    <n v="28756372512.812618"/>
    <n v="283.40928724383144"/>
    <n v="0"/>
    <n v="689274.90156599996"/>
    <n v="0"/>
    <n v="62412765377262.594"/>
    <x v="1"/>
  </r>
  <r>
    <s v="Regular"/>
    <x v="1"/>
    <x v="2"/>
    <x v="1"/>
    <x v="1"/>
    <x v="1"/>
    <x v="0"/>
    <x v="0"/>
    <x v="8"/>
    <n v="0"/>
    <n v="0"/>
    <n v="2089.877"/>
    <n v="208.98769999999999"/>
    <n v="2089.877"/>
    <n v="208.98769999999999"/>
    <n v="0"/>
    <s v="CATIVO"/>
    <n v="0"/>
    <n v="0"/>
    <n v="29"/>
    <n v="73"/>
    <n v="0"/>
    <n v="97.61"/>
    <n v="219.97"/>
    <m/>
    <n v="28756372512.812618"/>
    <n v="283.40928724383144"/>
    <n v="0"/>
    <n v="597332.82389399991"/>
    <n v="0"/>
    <n v="54087553899224.859"/>
    <x v="1"/>
  </r>
  <r>
    <s v="Refaturamento - Regular"/>
    <x v="1"/>
    <x v="2"/>
    <x v="1"/>
    <x v="1"/>
    <x v="1"/>
    <x v="0"/>
    <x v="0"/>
    <x v="8"/>
    <n v="0"/>
    <n v="0"/>
    <n v="-73.459999999999994"/>
    <n v="-7.3460000000000001"/>
    <n v="-73.459999999999994"/>
    <n v="-7.3460000000000001"/>
    <n v="0"/>
    <s v="CATIVO"/>
    <n v="0"/>
    <n v="0"/>
    <n v="29"/>
    <n v="73"/>
    <n v="0"/>
    <n v="97.61"/>
    <n v="219.97"/>
    <m/>
    <n v="28756372512.812618"/>
    <n v="283.40928724383144"/>
    <n v="0"/>
    <n v="-20996.484119999997"/>
    <n v="0"/>
    <n v="-1901198831049.4148"/>
    <x v="1"/>
  </r>
  <r>
    <s v="Regular"/>
    <x v="1"/>
    <x v="2"/>
    <x v="1"/>
    <x v="1"/>
    <x v="1"/>
    <x v="0"/>
    <x v="0"/>
    <x v="9"/>
    <n v="0"/>
    <n v="0"/>
    <n v="2718.4349999999999"/>
    <n v="271.84350000000001"/>
    <n v="2718.4349999999999"/>
    <n v="271.84350000000001"/>
    <n v="0"/>
    <s v="CATIVO"/>
    <n v="0"/>
    <n v="0"/>
    <n v="29"/>
    <n v="73"/>
    <n v="0"/>
    <n v="97.61"/>
    <n v="219.97"/>
    <m/>
    <n v="28756372512.812618"/>
    <n v="283.40928724383144"/>
    <n v="0"/>
    <n v="776988.52857000008"/>
    <n v="0"/>
    <n v="70355097254067.742"/>
    <x v="1"/>
  </r>
  <r>
    <s v="Regular"/>
    <x v="1"/>
    <x v="2"/>
    <x v="1"/>
    <x v="1"/>
    <x v="1"/>
    <x v="0"/>
    <x v="0"/>
    <x v="10"/>
    <n v="0"/>
    <n v="0"/>
    <n v="986.07399999999996"/>
    <n v="98.607399999999998"/>
    <n v="986.07399999999996"/>
    <n v="98.607399999999998"/>
    <n v="0"/>
    <s v="CATIVO"/>
    <n v="0"/>
    <n v="0"/>
    <n v="29"/>
    <n v="73"/>
    <n v="0"/>
    <n v="97.61"/>
    <n v="219.97"/>
    <m/>
    <n v="28756372512.812618"/>
    <n v="283.40928724383144"/>
    <n v="0"/>
    <n v="281841.64282800001"/>
    <n v="0"/>
    <n v="25520320393795.547"/>
    <x v="1"/>
  </r>
  <r>
    <s v="Refaturamento - Regular"/>
    <x v="1"/>
    <x v="2"/>
    <x v="1"/>
    <x v="1"/>
    <x v="1"/>
    <x v="0"/>
    <x v="0"/>
    <x v="10"/>
    <n v="0"/>
    <n v="0"/>
    <n v="6.6920000000000002"/>
    <n v="0.66920000000000002"/>
    <n v="6.6920000000000002"/>
    <n v="0.66920000000000002"/>
    <n v="0"/>
    <s v="CATIVO"/>
    <n v="0"/>
    <n v="0"/>
    <n v="29"/>
    <n v="73"/>
    <n v="0"/>
    <n v="97.61"/>
    <n v="219.97"/>
    <m/>
    <n v="28756372512.812618"/>
    <n v="283.40928724383144"/>
    <n v="0"/>
    <n v="1912.720824"/>
    <n v="0"/>
    <n v="173193882077.0853"/>
    <x v="1"/>
  </r>
  <r>
    <s v="PROJETADO"/>
    <x v="1"/>
    <x v="2"/>
    <x v="1"/>
    <x v="1"/>
    <x v="1"/>
    <x v="0"/>
    <x v="0"/>
    <x v="11"/>
    <n v="0"/>
    <n v="0"/>
    <n v="986.07399999999996"/>
    <n v="98.607399999999998"/>
    <n v="986.07399999999996"/>
    <n v="98.607399999999998"/>
    <n v="0"/>
    <s v="CATIVO"/>
    <n v="0"/>
    <n v="0"/>
    <n v="29"/>
    <n v="73"/>
    <n v="0"/>
    <n v="97.61"/>
    <n v="219.97"/>
    <m/>
    <n v="28756372512.812618"/>
    <n v="283.40928724383144"/>
    <n v="0"/>
    <n v="281841.64282800001"/>
    <n v="0"/>
    <n v="25520320393795.547"/>
    <x v="1"/>
  </r>
  <r>
    <s v="PROJETADO"/>
    <x v="1"/>
    <x v="2"/>
    <x v="1"/>
    <x v="1"/>
    <x v="1"/>
    <x v="0"/>
    <x v="0"/>
    <x v="11"/>
    <n v="0"/>
    <n v="0"/>
    <n v="6.6920000000000002"/>
    <n v="0.66920000000000002"/>
    <n v="6.6920000000000002"/>
    <n v="0.66920000000000002"/>
    <n v="0"/>
    <s v="CATIVO"/>
    <n v="0"/>
    <n v="0"/>
    <n v="29"/>
    <n v="73"/>
    <n v="0"/>
    <n v="97.61"/>
    <n v="219.97"/>
    <m/>
    <n v="28756372512.812618"/>
    <n v="283.40928724383144"/>
    <n v="0"/>
    <n v="1912.720824"/>
    <n v="0"/>
    <n v="173193882077.0853"/>
    <x v="1"/>
  </r>
  <r>
    <s v="Regular"/>
    <x v="1"/>
    <x v="2"/>
    <x v="1"/>
    <x v="1"/>
    <x v="2"/>
    <x v="0"/>
    <x v="0"/>
    <x v="0"/>
    <n v="0"/>
    <n v="0"/>
    <n v="191.85300000000001"/>
    <n v="184.17887999999999"/>
    <n v="191.85300000000001"/>
    <n v="184.17887999999999"/>
    <n v="0"/>
    <s v="CATIVO"/>
    <n v="0"/>
    <n v="0"/>
    <n v="29"/>
    <n v="73"/>
    <n v="0"/>
    <n v="97.61"/>
    <n v="219.97"/>
    <m/>
    <n v="28756372512.812618"/>
    <n v="283.40928724383144"/>
    <n v="0"/>
    <n v="2437.1470296000052"/>
    <n v="0"/>
    <n v="220679855602.9429"/>
    <x v="2"/>
  </r>
  <r>
    <s v="Regular"/>
    <x v="1"/>
    <x v="2"/>
    <x v="1"/>
    <x v="1"/>
    <x v="2"/>
    <x v="0"/>
    <x v="0"/>
    <x v="1"/>
    <n v="0"/>
    <n v="0"/>
    <n v="182.75399999999999"/>
    <n v="175.44383999999999"/>
    <n v="182.75399999999999"/>
    <n v="175.44383999999999"/>
    <n v="0"/>
    <s v="CATIVO"/>
    <n v="0"/>
    <n v="0"/>
    <n v="29"/>
    <n v="73"/>
    <n v="0"/>
    <n v="97.61"/>
    <n v="219.97"/>
    <m/>
    <n v="28756372512.812618"/>
    <n v="283.40928724383144"/>
    <n v="0"/>
    <n v="2321.560612799999"/>
    <n v="0"/>
    <n v="210213686160.02942"/>
    <x v="2"/>
  </r>
  <r>
    <s v="Refaturamento - Regular"/>
    <x v="1"/>
    <x v="2"/>
    <x v="1"/>
    <x v="1"/>
    <x v="2"/>
    <x v="0"/>
    <x v="0"/>
    <x v="1"/>
    <n v="0"/>
    <n v="0"/>
    <n v="-100.434"/>
    <n v="-96.416640000000001"/>
    <n v="-100.434"/>
    <n v="-96.416640000000001"/>
    <n v="0"/>
    <s v="CATIVO"/>
    <n v="0"/>
    <n v="0"/>
    <n v="29"/>
    <n v="73"/>
    <n v="0"/>
    <n v="97.61"/>
    <n v="219.97"/>
    <m/>
    <n v="28756372512.812618"/>
    <n v="283.40928724383144"/>
    <n v="0"/>
    <n v="-1275.8331887999989"/>
    <n v="0"/>
    <n v="-115524701816.62993"/>
    <x v="2"/>
  </r>
  <r>
    <s v="Regular"/>
    <x v="1"/>
    <x v="2"/>
    <x v="1"/>
    <x v="1"/>
    <x v="2"/>
    <x v="0"/>
    <x v="0"/>
    <x v="2"/>
    <n v="0"/>
    <n v="0"/>
    <n v="229.15899999999999"/>
    <n v="219.99263999999999"/>
    <n v="229.15899999999999"/>
    <n v="219.99263999999999"/>
    <n v="0"/>
    <s v="CATIVO"/>
    <n v="0"/>
    <n v="0"/>
    <n v="29"/>
    <n v="73"/>
    <n v="0"/>
    <n v="97.61"/>
    <n v="219.97"/>
    <m/>
    <n v="28756372512.812618"/>
    <n v="283.40928724383144"/>
    <n v="0"/>
    <n v="2911.0526087999992"/>
    <n v="0"/>
    <n v="263591265344.37653"/>
    <x v="2"/>
  </r>
  <r>
    <s v="Refaturamento - Regular"/>
    <x v="1"/>
    <x v="2"/>
    <x v="1"/>
    <x v="1"/>
    <x v="2"/>
    <x v="0"/>
    <x v="0"/>
    <x v="2"/>
    <n v="0"/>
    <n v="0"/>
    <n v="-11.388"/>
    <n v="-10.93248"/>
    <n v="-11.388"/>
    <n v="-10.93248"/>
    <n v="0"/>
    <s v="CATIVO"/>
    <n v="0"/>
    <n v="0"/>
    <n v="29"/>
    <n v="73"/>
    <n v="0"/>
    <n v="97.61"/>
    <n v="219.97"/>
    <m/>
    <n v="28756372512.812618"/>
    <n v="283.40928724383144"/>
    <n v="0"/>
    <n v="-144.66404159999999"/>
    <n v="0"/>
    <n v="-13099102936.135"/>
    <x v="2"/>
  </r>
  <r>
    <s v="Regular"/>
    <x v="1"/>
    <x v="2"/>
    <x v="1"/>
    <x v="1"/>
    <x v="2"/>
    <x v="0"/>
    <x v="0"/>
    <x v="3"/>
    <n v="0"/>
    <n v="0"/>
    <n v="359.40800000000002"/>
    <n v="345.03167999999999"/>
    <n v="359.40800000000002"/>
    <n v="345.03167999999999"/>
    <n v="0"/>
    <s v="CATIVO"/>
    <n v="0"/>
    <n v="0"/>
    <n v="29"/>
    <n v="73"/>
    <n v="0"/>
    <n v="97.61"/>
    <n v="219.97"/>
    <m/>
    <n v="28756372512.812618"/>
    <n v="283.40928724383144"/>
    <n v="0"/>
    <n v="4565.6317056000071"/>
    <n v="0"/>
    <n v="413410817357.78156"/>
    <x v="2"/>
  </r>
  <r>
    <s v="Refaturamento - Regular"/>
    <x v="1"/>
    <x v="2"/>
    <x v="1"/>
    <x v="1"/>
    <x v="2"/>
    <x v="0"/>
    <x v="0"/>
    <x v="3"/>
    <n v="0"/>
    <n v="0"/>
    <n v="-36.177"/>
    <n v="-34.72992"/>
    <n v="-36.177"/>
    <n v="-34.72992"/>
    <n v="0"/>
    <s v="CATIVO"/>
    <n v="0"/>
    <n v="0"/>
    <n v="29"/>
    <n v="73"/>
    <n v="0"/>
    <n v="97.61"/>
    <n v="219.97"/>
    <m/>
    <n v="28756372512.812618"/>
    <n v="283.40928724383144"/>
    <n v="0"/>
    <n v="-459.56366639999987"/>
    <n v="0"/>
    <n v="-41612771945.956787"/>
    <x v="2"/>
  </r>
  <r>
    <s v="Regular"/>
    <x v="1"/>
    <x v="2"/>
    <x v="1"/>
    <x v="1"/>
    <x v="2"/>
    <x v="0"/>
    <x v="0"/>
    <x v="4"/>
    <n v="0"/>
    <n v="0"/>
    <n v="794.12800000000004"/>
    <n v="762.36288000000002"/>
    <n v="794.12800000000004"/>
    <n v="762.36288000000002"/>
    <n v="0"/>
    <s v="CATIVO"/>
    <n v="0"/>
    <n v="0"/>
    <n v="29"/>
    <n v="73"/>
    <n v="0"/>
    <n v="97.61"/>
    <n v="219.97"/>
    <m/>
    <n v="28756372512.812618"/>
    <n v="283.40928724383144"/>
    <n v="0"/>
    <n v="10087.966809600008"/>
    <n v="0"/>
    <n v="913449632636.7251"/>
    <x v="2"/>
  </r>
  <r>
    <s v="Regular"/>
    <x v="1"/>
    <x v="2"/>
    <x v="1"/>
    <x v="1"/>
    <x v="2"/>
    <x v="0"/>
    <x v="0"/>
    <x v="5"/>
    <n v="0"/>
    <n v="0"/>
    <n v="2048.826"/>
    <n v="1966.8729599999999"/>
    <n v="2048.826"/>
    <n v="1966.8729599999999"/>
    <n v="0"/>
    <s v="CATIVO"/>
    <n v="0"/>
    <n v="0"/>
    <n v="29"/>
    <n v="73"/>
    <n v="0"/>
    <n v="97.61"/>
    <n v="219.97"/>
    <m/>
    <n v="28756372512.812618"/>
    <n v="283.40928724383144"/>
    <n v="0"/>
    <n v="26026.646443200032"/>
    <n v="0"/>
    <n v="2356672170023.6885"/>
    <x v="2"/>
  </r>
  <r>
    <s v="Regular"/>
    <x v="1"/>
    <x v="2"/>
    <x v="1"/>
    <x v="1"/>
    <x v="2"/>
    <x v="0"/>
    <x v="0"/>
    <x v="6"/>
    <n v="0"/>
    <n v="0"/>
    <n v="3389.585"/>
    <n v="3254.0016000000001"/>
    <n v="3389.585"/>
    <n v="3254.0016000000001"/>
    <n v="0"/>
    <s v="CATIVO"/>
    <n v="0"/>
    <n v="0"/>
    <n v="29"/>
    <n v="73"/>
    <n v="0"/>
    <n v="97.61"/>
    <n v="219.97"/>
    <m/>
    <n v="28756372512.812618"/>
    <n v="283.40928724383144"/>
    <n v="0"/>
    <n v="43058.576171999994"/>
    <n v="0"/>
    <n v="3898886795379.2725"/>
    <x v="2"/>
  </r>
  <r>
    <s v="Regular"/>
    <x v="1"/>
    <x v="2"/>
    <x v="1"/>
    <x v="1"/>
    <x v="2"/>
    <x v="0"/>
    <x v="0"/>
    <x v="7"/>
    <n v="0"/>
    <n v="0"/>
    <n v="2984.8510000000001"/>
    <n v="2865.45696"/>
    <n v="2984.8510000000001"/>
    <n v="2865.45696"/>
    <n v="0"/>
    <s v="CATIVO"/>
    <n v="0"/>
    <n v="0"/>
    <n v="29"/>
    <n v="73"/>
    <n v="0"/>
    <n v="97.61"/>
    <n v="219.97"/>
    <m/>
    <n v="28756372512.812618"/>
    <n v="283.40928724383144"/>
    <n v="0"/>
    <n v="37917.15922320004"/>
    <n v="0"/>
    <n v="3433339523887.0337"/>
    <x v="2"/>
  </r>
  <r>
    <s v="Regular"/>
    <x v="1"/>
    <x v="2"/>
    <x v="1"/>
    <x v="1"/>
    <x v="2"/>
    <x v="0"/>
    <x v="0"/>
    <x v="8"/>
    <n v="0"/>
    <n v="0"/>
    <n v="2603.8910000000001"/>
    <n v="2499.7353600000001"/>
    <n v="2603.8910000000001"/>
    <n v="2499.7353600000001"/>
    <n v="0"/>
    <s v="CATIVO"/>
    <n v="0"/>
    <n v="0"/>
    <n v="29"/>
    <n v="73"/>
    <n v="0"/>
    <n v="97.61"/>
    <n v="219.97"/>
    <m/>
    <n v="28756372512.812618"/>
    <n v="283.40928724383144"/>
    <n v="0"/>
    <n v="33077.748151199987"/>
    <n v="0"/>
    <n v="2995138412669.0806"/>
    <x v="2"/>
  </r>
  <r>
    <s v="Refaturamento - Regular"/>
    <x v="1"/>
    <x v="2"/>
    <x v="1"/>
    <x v="1"/>
    <x v="2"/>
    <x v="0"/>
    <x v="0"/>
    <x v="8"/>
    <n v="0"/>
    <n v="0"/>
    <n v="-14.539"/>
    <n v="-13.95744"/>
    <n v="-14.539"/>
    <n v="-13.95744"/>
    <n v="0"/>
    <s v="CATIVO"/>
    <n v="0"/>
    <n v="0"/>
    <n v="29"/>
    <n v="73"/>
    <n v="0"/>
    <n v="97.61"/>
    <n v="219.97"/>
    <m/>
    <n v="28756372512.812618"/>
    <n v="283.40928724383144"/>
    <n v="0"/>
    <n v="-184.69182479999989"/>
    <n v="0"/>
    <n v="-16723556163.370802"/>
    <x v="2"/>
  </r>
  <r>
    <s v="Regular"/>
    <x v="1"/>
    <x v="2"/>
    <x v="1"/>
    <x v="1"/>
    <x v="2"/>
    <x v="0"/>
    <x v="0"/>
    <x v="9"/>
    <n v="0"/>
    <n v="0"/>
    <n v="3362.259"/>
    <n v="3227.7686399999998"/>
    <n v="3362.259"/>
    <n v="3227.7686399999998"/>
    <n v="0"/>
    <s v="CATIVO"/>
    <n v="0"/>
    <n v="0"/>
    <n v="29"/>
    <n v="73"/>
    <n v="0"/>
    <n v="97.61"/>
    <n v="219.97"/>
    <m/>
    <n v="28756372512.812618"/>
    <n v="283.40928724383144"/>
    <n v="0"/>
    <n v="42711.448528800072"/>
    <n v="0"/>
    <n v="3867454929658.0972"/>
    <x v="2"/>
  </r>
  <r>
    <s v="Regular"/>
    <x v="1"/>
    <x v="2"/>
    <x v="1"/>
    <x v="1"/>
    <x v="2"/>
    <x v="0"/>
    <x v="0"/>
    <x v="10"/>
    <n v="0"/>
    <n v="0"/>
    <n v="1077.0920000000001"/>
    <n v="1034.0083199999999"/>
    <n v="1077.0920000000001"/>
    <n v="1034.0083199999999"/>
    <n v="0"/>
    <s v="CATIVO"/>
    <n v="0"/>
    <n v="0"/>
    <n v="29"/>
    <n v="73"/>
    <n v="0"/>
    <n v="97.61"/>
    <n v="219.97"/>
    <m/>
    <n v="28756372512.812618"/>
    <n v="283.40928724383144"/>
    <n v="0"/>
    <n v="13682.51509440006"/>
    <n v="0"/>
    <n v="1238930363513.135"/>
    <x v="2"/>
  </r>
  <r>
    <s v="Refaturamento - Regular"/>
    <x v="1"/>
    <x v="2"/>
    <x v="1"/>
    <x v="1"/>
    <x v="2"/>
    <x v="0"/>
    <x v="0"/>
    <x v="10"/>
    <n v="0"/>
    <n v="0"/>
    <n v="4.7569999999999997"/>
    <n v="4.5667200000000001"/>
    <n v="4.7569999999999997"/>
    <n v="4.5667200000000001"/>
    <n v="0"/>
    <s v="CATIVO"/>
    <n v="0"/>
    <n v="0"/>
    <n v="29"/>
    <n v="73"/>
    <n v="0"/>
    <n v="97.61"/>
    <n v="219.97"/>
    <m/>
    <n v="28756372512.812618"/>
    <n v="283.40928724383144"/>
    <n v="0"/>
    <n v="60.429122399999855"/>
    <n v="0"/>
    <n v="5471762615.6650915"/>
    <x v="2"/>
  </r>
  <r>
    <s v="PROJETADO"/>
    <x v="1"/>
    <x v="2"/>
    <x v="1"/>
    <x v="1"/>
    <x v="2"/>
    <x v="0"/>
    <x v="0"/>
    <x v="11"/>
    <n v="0"/>
    <n v="0"/>
    <n v="1077.0920000000001"/>
    <n v="1034.0083199999999"/>
    <n v="1077.0920000000001"/>
    <n v="1034.0083199999999"/>
    <n v="0"/>
    <s v="CATIVO"/>
    <n v="0"/>
    <n v="0"/>
    <n v="29"/>
    <n v="73"/>
    <n v="0"/>
    <n v="97.61"/>
    <n v="219.97"/>
    <m/>
    <n v="28756372512.812618"/>
    <n v="283.40928724383144"/>
    <n v="0"/>
    <n v="13682.51509440006"/>
    <n v="0"/>
    <n v="1238930363513.135"/>
    <x v="2"/>
  </r>
  <r>
    <s v="PROJETADO"/>
    <x v="1"/>
    <x v="2"/>
    <x v="1"/>
    <x v="1"/>
    <x v="2"/>
    <x v="0"/>
    <x v="0"/>
    <x v="11"/>
    <n v="0"/>
    <n v="0"/>
    <n v="4.7569999999999997"/>
    <n v="4.5667200000000001"/>
    <n v="4.7569999999999997"/>
    <n v="4.5667200000000001"/>
    <n v="0"/>
    <s v="CATIVO"/>
    <n v="0"/>
    <n v="0"/>
    <n v="29"/>
    <n v="73"/>
    <n v="0"/>
    <n v="97.61"/>
    <n v="219.97"/>
    <m/>
    <n v="28756372512.812618"/>
    <n v="283.40928724383144"/>
    <n v="0"/>
    <n v="60.429122399999855"/>
    <n v="0"/>
    <n v="5471762615.6650915"/>
    <x v="2"/>
  </r>
  <r>
    <s v="Regular"/>
    <x v="1"/>
    <x v="2"/>
    <x v="1"/>
    <x v="1"/>
    <x v="2"/>
    <x v="0"/>
    <x v="1"/>
    <x v="0"/>
    <n v="6226"/>
    <n v="5976.96"/>
    <n v="0"/>
    <n v="0"/>
    <n v="0"/>
    <n v="0"/>
    <n v="218"/>
    <s v="CATIVO"/>
    <n v="0"/>
    <n v="7"/>
    <n v="0"/>
    <n v="0"/>
    <n v="21.85"/>
    <n v="0"/>
    <n v="0"/>
    <n v="27.946333250822786"/>
    <m/>
    <m/>
    <n v="5441.5239999999994"/>
    <n v="0"/>
    <n v="6959.7548327849054"/>
    <n v="0"/>
    <x v="2"/>
  </r>
  <r>
    <s v="Sistema de Compensação"/>
    <x v="1"/>
    <x v="2"/>
    <x v="1"/>
    <x v="1"/>
    <x v="2"/>
    <x v="0"/>
    <x v="1"/>
    <x v="0"/>
    <n v="1096"/>
    <n v="1052.1600000000001"/>
    <n v="0"/>
    <n v="0"/>
    <n v="0"/>
    <n v="0"/>
    <n v="16"/>
    <s v="CATIVO"/>
    <n v="0"/>
    <n v="7"/>
    <n v="0"/>
    <n v="0"/>
    <n v="21.85"/>
    <n v="0"/>
    <n v="0"/>
    <n v="27.946333250822786"/>
    <m/>
    <m/>
    <n v="957.90399999999829"/>
    <n v="0"/>
    <n v="1225.1672497160687"/>
    <n v="0"/>
    <x v="2"/>
  </r>
  <r>
    <s v="Regular"/>
    <x v="1"/>
    <x v="2"/>
    <x v="1"/>
    <x v="1"/>
    <x v="2"/>
    <x v="0"/>
    <x v="1"/>
    <x v="1"/>
    <n v="5221"/>
    <n v="5012.16"/>
    <n v="0"/>
    <n v="0"/>
    <n v="0"/>
    <n v="0"/>
    <n v="212"/>
    <s v="CATIVO"/>
    <n v="0"/>
    <n v="7"/>
    <n v="0"/>
    <n v="0"/>
    <n v="21.85"/>
    <n v="0"/>
    <n v="0"/>
    <n v="27.946333250822786"/>
    <m/>
    <m/>
    <n v="4563.1540000000032"/>
    <n v="0"/>
    <n v="5836.312236101835"/>
    <n v="0"/>
    <x v="2"/>
  </r>
  <r>
    <s v="Refaturamento - Regular"/>
    <x v="1"/>
    <x v="2"/>
    <x v="1"/>
    <x v="1"/>
    <x v="2"/>
    <x v="0"/>
    <x v="1"/>
    <x v="1"/>
    <n v="-596"/>
    <n v="-572.16"/>
    <n v="0"/>
    <n v="0"/>
    <n v="0"/>
    <n v="0"/>
    <n v="-1"/>
    <s v="CATIVO"/>
    <n v="0"/>
    <n v="7"/>
    <n v="0"/>
    <n v="0"/>
    <n v="21.85"/>
    <n v="0"/>
    <n v="0"/>
    <n v="27.946333250822786"/>
    <m/>
    <m/>
    <n v="-520.90400000000068"/>
    <n v="0"/>
    <n v="-666.24058469961608"/>
    <n v="0"/>
    <x v="2"/>
  </r>
  <r>
    <s v="Sistema de Compensação"/>
    <x v="1"/>
    <x v="2"/>
    <x v="1"/>
    <x v="1"/>
    <x v="2"/>
    <x v="0"/>
    <x v="1"/>
    <x v="1"/>
    <n v="441"/>
    <n v="423.36"/>
    <n v="0"/>
    <n v="0"/>
    <n v="0"/>
    <n v="0"/>
    <n v="14"/>
    <s v="CATIVO"/>
    <n v="0"/>
    <n v="7"/>
    <n v="0"/>
    <n v="0"/>
    <n v="21.85"/>
    <n v="0"/>
    <n v="0"/>
    <n v="27.946333250822786"/>
    <m/>
    <m/>
    <n v="385.43399999999974"/>
    <n v="0"/>
    <n v="492.97331854451357"/>
    <n v="0"/>
    <x v="2"/>
  </r>
  <r>
    <s v="Regular"/>
    <x v="1"/>
    <x v="2"/>
    <x v="1"/>
    <x v="1"/>
    <x v="2"/>
    <x v="0"/>
    <x v="1"/>
    <x v="2"/>
    <n v="4974"/>
    <n v="4775.04"/>
    <n v="0"/>
    <n v="0"/>
    <n v="0"/>
    <n v="0"/>
    <n v="213"/>
    <s v="CATIVO"/>
    <n v="0"/>
    <n v="7"/>
    <n v="0"/>
    <n v="0"/>
    <n v="21.85"/>
    <n v="0"/>
    <n v="0"/>
    <n v="27.946333250822786"/>
    <m/>
    <m/>
    <n v="4347.2760000000007"/>
    <n v="0"/>
    <n v="5560.2024635837024"/>
    <n v="0"/>
    <x v="2"/>
  </r>
  <r>
    <s v="Refaturamento - Regular"/>
    <x v="1"/>
    <x v="2"/>
    <x v="1"/>
    <x v="1"/>
    <x v="2"/>
    <x v="0"/>
    <x v="1"/>
    <x v="2"/>
    <n v="-7695"/>
    <n v="-7387.2"/>
    <n v="0"/>
    <n v="0"/>
    <n v="0"/>
    <n v="0"/>
    <n v="-2"/>
    <s v="CATIVO"/>
    <n v="0"/>
    <n v="7"/>
    <n v="0"/>
    <n v="0"/>
    <n v="21.85"/>
    <n v="0"/>
    <n v="0"/>
    <n v="27.946333250822786"/>
    <m/>
    <m/>
    <n v="-6725.4300000000048"/>
    <n v="0"/>
    <n v="-8601.8813746032592"/>
    <n v="0"/>
    <x v="2"/>
  </r>
  <r>
    <s v="Sistema de Compensação"/>
    <x v="1"/>
    <x v="2"/>
    <x v="1"/>
    <x v="1"/>
    <x v="2"/>
    <x v="0"/>
    <x v="1"/>
    <x v="2"/>
    <n v="316"/>
    <n v="303.36"/>
    <n v="0"/>
    <n v="0"/>
    <n v="0"/>
    <n v="0"/>
    <n v="14"/>
    <s v="CATIVO"/>
    <n v="0"/>
    <n v="7"/>
    <n v="0"/>
    <n v="0"/>
    <n v="21.85"/>
    <n v="0"/>
    <n v="0"/>
    <n v="27.946333250822786"/>
    <m/>
    <m/>
    <n v="276.18399999999974"/>
    <n v="0"/>
    <n v="353.24165229039966"/>
    <n v="0"/>
    <x v="2"/>
  </r>
  <r>
    <s v="Regular"/>
    <x v="1"/>
    <x v="2"/>
    <x v="1"/>
    <x v="1"/>
    <x v="2"/>
    <x v="0"/>
    <x v="1"/>
    <x v="3"/>
    <n v="13775"/>
    <n v="13224"/>
    <n v="0"/>
    <n v="0"/>
    <n v="0"/>
    <n v="0"/>
    <n v="230"/>
    <s v="CATIVO"/>
    <n v="0"/>
    <n v="7"/>
    <n v="0"/>
    <n v="0"/>
    <n v="21.85"/>
    <n v="0"/>
    <n v="0"/>
    <n v="27.946333250822786"/>
    <m/>
    <m/>
    <n v="12039.35"/>
    <n v="0"/>
    <n v="15398.429621203355"/>
    <n v="0"/>
    <x v="2"/>
  </r>
  <r>
    <s v="Refaturamento - Regular"/>
    <x v="1"/>
    <x v="2"/>
    <x v="1"/>
    <x v="1"/>
    <x v="2"/>
    <x v="0"/>
    <x v="1"/>
    <x v="3"/>
    <n v="-57"/>
    <n v="-54.72"/>
    <n v="0"/>
    <n v="0"/>
    <n v="0"/>
    <n v="0"/>
    <n v="-5"/>
    <s v="CATIVO"/>
    <n v="0"/>
    <n v="7"/>
    <n v="0"/>
    <n v="0"/>
    <n v="21.85"/>
    <n v="0"/>
    <n v="0"/>
    <n v="27.946333250822786"/>
    <m/>
    <m/>
    <n v="-49.818000000000026"/>
    <n v="0"/>
    <n v="-63.717639811875983"/>
    <n v="0"/>
    <x v="2"/>
  </r>
  <r>
    <s v="Sistema de Compensação"/>
    <x v="1"/>
    <x v="2"/>
    <x v="1"/>
    <x v="1"/>
    <x v="2"/>
    <x v="0"/>
    <x v="1"/>
    <x v="3"/>
    <n v="528"/>
    <n v="506.88"/>
    <n v="0"/>
    <n v="0"/>
    <n v="0"/>
    <n v="0"/>
    <n v="13"/>
    <s v="CATIVO"/>
    <n v="0"/>
    <n v="7"/>
    <n v="0"/>
    <n v="0"/>
    <n v="21.85"/>
    <n v="0"/>
    <n v="0"/>
    <n v="27.946333250822786"/>
    <m/>
    <m/>
    <n v="461.47200000000015"/>
    <n v="0"/>
    <n v="590.22655825737741"/>
    <n v="0"/>
    <x v="2"/>
  </r>
  <r>
    <s v="Regular"/>
    <x v="1"/>
    <x v="2"/>
    <x v="1"/>
    <x v="1"/>
    <x v="2"/>
    <x v="0"/>
    <x v="1"/>
    <x v="4"/>
    <n v="18117"/>
    <n v="17392.32"/>
    <n v="0"/>
    <n v="0"/>
    <n v="0"/>
    <n v="0"/>
    <n v="230"/>
    <s v="CATIVO"/>
    <n v="0"/>
    <n v="7"/>
    <n v="0"/>
    <n v="0"/>
    <n v="21.85"/>
    <n v="0"/>
    <n v="0"/>
    <n v="27.946333250822786"/>
    <m/>
    <m/>
    <n v="15834.258000000007"/>
    <n v="0"/>
    <n v="20252.148780206266"/>
    <n v="0"/>
    <x v="2"/>
  </r>
  <r>
    <s v="Refaturamento - Regular"/>
    <x v="1"/>
    <x v="2"/>
    <x v="1"/>
    <x v="1"/>
    <x v="2"/>
    <x v="0"/>
    <x v="1"/>
    <x v="4"/>
    <n v="-196"/>
    <n v="-188.16"/>
    <n v="0"/>
    <n v="0"/>
    <n v="0"/>
    <n v="0"/>
    <n v="0"/>
    <s v="CATIVO"/>
    <n v="0"/>
    <n v="7"/>
    <n v="0"/>
    <n v="0"/>
    <n v="21.85"/>
    <n v="0"/>
    <n v="0"/>
    <n v="27.946333250822786"/>
    <m/>
    <m/>
    <n v="-171.30400000000009"/>
    <n v="0"/>
    <n v="-219.09925268645074"/>
    <n v="0"/>
    <x v="2"/>
  </r>
  <r>
    <s v="Sistema de Compensação"/>
    <x v="1"/>
    <x v="2"/>
    <x v="1"/>
    <x v="1"/>
    <x v="2"/>
    <x v="0"/>
    <x v="1"/>
    <x v="4"/>
    <n v="1778"/>
    <n v="1706.88"/>
    <n v="0"/>
    <n v="0"/>
    <n v="0"/>
    <n v="0"/>
    <n v="14"/>
    <s v="CATIVO"/>
    <n v="0"/>
    <n v="7"/>
    <n v="0"/>
    <n v="0"/>
    <n v="21.85"/>
    <n v="0"/>
    <n v="0"/>
    <n v="27.946333250822786"/>
    <m/>
    <m/>
    <n v="1553.9719999999977"/>
    <n v="0"/>
    <n v="1987.5432207985134"/>
    <n v="0"/>
    <x v="2"/>
  </r>
  <r>
    <s v="Regular"/>
    <x v="1"/>
    <x v="2"/>
    <x v="1"/>
    <x v="1"/>
    <x v="2"/>
    <x v="0"/>
    <x v="1"/>
    <x v="5"/>
    <n v="23146"/>
    <n v="22220.16"/>
    <n v="0"/>
    <n v="0"/>
    <n v="0"/>
    <n v="0"/>
    <n v="242"/>
    <s v="CATIVO"/>
    <n v="0"/>
    <n v="7"/>
    <n v="0"/>
    <n v="0"/>
    <n v="21.85"/>
    <n v="0"/>
    <n v="0"/>
    <n v="27.946333250822786"/>
    <m/>
    <m/>
    <n v="20229.604000000003"/>
    <n v="0"/>
    <n v="25873.833176941771"/>
    <n v="0"/>
    <x v="2"/>
  </r>
  <r>
    <s v="Refaturamento - Regular"/>
    <x v="1"/>
    <x v="2"/>
    <x v="1"/>
    <x v="1"/>
    <x v="2"/>
    <x v="0"/>
    <x v="1"/>
    <x v="5"/>
    <n v="-134"/>
    <n v="-128.63999999999999"/>
    <n v="0"/>
    <n v="0"/>
    <n v="0"/>
    <n v="0"/>
    <n v="0"/>
    <s v="CATIVO"/>
    <n v="0"/>
    <n v="7"/>
    <n v="0"/>
    <n v="0"/>
    <n v="21.85"/>
    <n v="0"/>
    <n v="0"/>
    <n v="27.946333250822786"/>
    <m/>
    <m/>
    <n v="-117.11600000000031"/>
    <n v="0"/>
    <n v="-149.79234622441052"/>
    <n v="0"/>
    <x v="2"/>
  </r>
  <r>
    <s v="Sistema de Compensação"/>
    <x v="1"/>
    <x v="2"/>
    <x v="1"/>
    <x v="1"/>
    <x v="2"/>
    <x v="0"/>
    <x v="1"/>
    <x v="5"/>
    <n v="2209"/>
    <n v="2120.64"/>
    <n v="0"/>
    <n v="0"/>
    <n v="0"/>
    <n v="0"/>
    <n v="14"/>
    <s v="CATIVO"/>
    <n v="0"/>
    <n v="7"/>
    <n v="0"/>
    <n v="0"/>
    <n v="21.85"/>
    <n v="0"/>
    <n v="0"/>
    <n v="27.946333250822786"/>
    <m/>
    <m/>
    <n v="1930.6660000000029"/>
    <n v="0"/>
    <n v="2469.3380060427048"/>
    <n v="0"/>
    <x v="2"/>
  </r>
  <r>
    <s v="Regular"/>
    <x v="1"/>
    <x v="2"/>
    <x v="1"/>
    <x v="1"/>
    <x v="2"/>
    <x v="0"/>
    <x v="1"/>
    <x v="6"/>
    <n v="25117"/>
    <n v="24112.32"/>
    <n v="0"/>
    <n v="0"/>
    <n v="0"/>
    <n v="0"/>
    <n v="225"/>
    <s v="CATIVO"/>
    <n v="0"/>
    <n v="7"/>
    <n v="0"/>
    <n v="0"/>
    <n v="21.85"/>
    <n v="0"/>
    <n v="0"/>
    <n v="27.946333250822786"/>
    <m/>
    <m/>
    <n v="21952.258000000009"/>
    <n v="0"/>
    <n v="28077.122090436646"/>
    <n v="0"/>
    <x v="2"/>
  </r>
  <r>
    <s v="Refaturamento - Regular"/>
    <x v="1"/>
    <x v="2"/>
    <x v="1"/>
    <x v="1"/>
    <x v="2"/>
    <x v="0"/>
    <x v="1"/>
    <x v="6"/>
    <n v="-1366"/>
    <n v="-1311.36"/>
    <n v="0"/>
    <n v="0"/>
    <n v="0"/>
    <n v="0"/>
    <n v="-4"/>
    <s v="CATIVO"/>
    <n v="0"/>
    <n v="7"/>
    <n v="0"/>
    <n v="0"/>
    <n v="21.85"/>
    <n v="0"/>
    <n v="0"/>
    <n v="27.946333250822786"/>
    <m/>
    <m/>
    <n v="-1193.8840000000023"/>
    <n v="0"/>
    <n v="-1526.9876488249597"/>
    <n v="0"/>
    <x v="2"/>
  </r>
  <r>
    <s v="Sistema de Compensação"/>
    <x v="1"/>
    <x v="2"/>
    <x v="1"/>
    <x v="1"/>
    <x v="2"/>
    <x v="0"/>
    <x v="1"/>
    <x v="6"/>
    <n v="2179"/>
    <n v="2091.84"/>
    <n v="0"/>
    <n v="0"/>
    <n v="0"/>
    <n v="0"/>
    <n v="15"/>
    <s v="CATIVO"/>
    <n v="0"/>
    <n v="7"/>
    <n v="0"/>
    <n v="0"/>
    <n v="21.85"/>
    <n v="0"/>
    <n v="0"/>
    <n v="27.946333250822786"/>
    <m/>
    <m/>
    <n v="1904.445999999997"/>
    <n v="0"/>
    <n v="2435.80240614171"/>
    <n v="0"/>
    <x v="2"/>
  </r>
  <r>
    <s v="Regular"/>
    <x v="1"/>
    <x v="2"/>
    <x v="1"/>
    <x v="1"/>
    <x v="2"/>
    <x v="0"/>
    <x v="1"/>
    <x v="7"/>
    <n v="26254"/>
    <n v="25203.84"/>
    <n v="0"/>
    <n v="0"/>
    <n v="0"/>
    <n v="0"/>
    <n v="224"/>
    <s v="CATIVO"/>
    <n v="0"/>
    <n v="7"/>
    <n v="0"/>
    <n v="0"/>
    <n v="21.85"/>
    <n v="0"/>
    <n v="0"/>
    <n v="27.946333250822786"/>
    <m/>
    <m/>
    <n v="22945.995999999999"/>
    <n v="0"/>
    <n v="29348.121326684053"/>
    <n v="0"/>
    <x v="2"/>
  </r>
  <r>
    <s v="Sistema de Compensação"/>
    <x v="1"/>
    <x v="2"/>
    <x v="1"/>
    <x v="1"/>
    <x v="2"/>
    <x v="0"/>
    <x v="1"/>
    <x v="7"/>
    <n v="2390"/>
    <n v="2294.4"/>
    <n v="0"/>
    <n v="0"/>
    <n v="0"/>
    <n v="0"/>
    <n v="15"/>
    <s v="CATIVO"/>
    <n v="0"/>
    <n v="7"/>
    <n v="0"/>
    <n v="0"/>
    <n v="21.85"/>
    <n v="0"/>
    <n v="0"/>
    <n v="27.946333250822786"/>
    <m/>
    <m/>
    <n v="2088.8599999999983"/>
    <n v="0"/>
    <n v="2671.6694587786556"/>
    <n v="0"/>
    <x v="2"/>
  </r>
  <r>
    <s v="Regular"/>
    <x v="1"/>
    <x v="2"/>
    <x v="1"/>
    <x v="1"/>
    <x v="2"/>
    <x v="0"/>
    <x v="1"/>
    <x v="8"/>
    <n v="23879"/>
    <n v="22923.84"/>
    <n v="0"/>
    <n v="0"/>
    <n v="0"/>
    <n v="0"/>
    <n v="217"/>
    <s v="CATIVO"/>
    <n v="0"/>
    <n v="7"/>
    <n v="0"/>
    <n v="0"/>
    <n v="21.85"/>
    <n v="0"/>
    <n v="0"/>
    <n v="27.946333250822786"/>
    <m/>
    <m/>
    <n v="20870.245999999999"/>
    <n v="0"/>
    <n v="26693.219667855887"/>
    <n v="0"/>
    <x v="2"/>
  </r>
  <r>
    <s v="Refaturamento - Regular"/>
    <x v="1"/>
    <x v="2"/>
    <x v="1"/>
    <x v="1"/>
    <x v="2"/>
    <x v="0"/>
    <x v="1"/>
    <x v="8"/>
    <n v="-37"/>
    <n v="-35.520000000000003"/>
    <n v="0"/>
    <n v="0"/>
    <n v="0"/>
    <n v="0"/>
    <n v="-1"/>
    <s v="CATIVO"/>
    <n v="0"/>
    <n v="7"/>
    <n v="0"/>
    <n v="0"/>
    <n v="21.85"/>
    <n v="0"/>
    <n v="0"/>
    <n v="27.946333250822786"/>
    <m/>
    <m/>
    <n v="-32.337999999999937"/>
    <n v="0"/>
    <n v="-41.360573211217634"/>
    <n v="0"/>
    <x v="2"/>
  </r>
  <r>
    <s v="Sistema de Compensação"/>
    <x v="1"/>
    <x v="2"/>
    <x v="1"/>
    <x v="1"/>
    <x v="2"/>
    <x v="0"/>
    <x v="1"/>
    <x v="8"/>
    <n v="2399"/>
    <n v="2303.04"/>
    <n v="0"/>
    <n v="0"/>
    <n v="0"/>
    <n v="0"/>
    <n v="16"/>
    <s v="CATIVO"/>
    <n v="0"/>
    <n v="7"/>
    <n v="0"/>
    <n v="0"/>
    <n v="21.85"/>
    <n v="0"/>
    <n v="0"/>
    <n v="27.946333250822786"/>
    <m/>
    <m/>
    <n v="2096.726000000001"/>
    <n v="0"/>
    <n v="2681.7301387489556"/>
    <n v="0"/>
    <x v="2"/>
  </r>
  <r>
    <s v="Regular"/>
    <x v="1"/>
    <x v="2"/>
    <x v="1"/>
    <x v="1"/>
    <x v="2"/>
    <x v="0"/>
    <x v="1"/>
    <x v="9"/>
    <n v="25852"/>
    <n v="24817.919999999998"/>
    <n v="0"/>
    <n v="0"/>
    <n v="0"/>
    <n v="0"/>
    <n v="221"/>
    <s v="CATIVO"/>
    <n v="0"/>
    <n v="7"/>
    <n v="0"/>
    <n v="0"/>
    <n v="21.85"/>
    <n v="0"/>
    <n v="0"/>
    <n v="27.946333250822786"/>
    <m/>
    <m/>
    <n v="22594.648000000041"/>
    <n v="0"/>
    <n v="28898.744288010876"/>
    <n v="0"/>
    <x v="2"/>
  </r>
  <r>
    <s v="Sistema de Compensação"/>
    <x v="1"/>
    <x v="2"/>
    <x v="1"/>
    <x v="1"/>
    <x v="2"/>
    <x v="0"/>
    <x v="1"/>
    <x v="9"/>
    <n v="2388"/>
    <n v="2292.48"/>
    <n v="0"/>
    <n v="0"/>
    <n v="0"/>
    <n v="0"/>
    <n v="16"/>
    <s v="CATIVO"/>
    <n v="0"/>
    <n v="7"/>
    <n v="0"/>
    <n v="0"/>
    <n v="21.85"/>
    <n v="0"/>
    <n v="0"/>
    <n v="27.946333250822786"/>
    <m/>
    <m/>
    <n v="2087.1119999999996"/>
    <n v="0"/>
    <n v="2669.4337521185921"/>
    <n v="0"/>
    <x v="2"/>
  </r>
  <r>
    <s v="Regular"/>
    <x v="1"/>
    <x v="2"/>
    <x v="1"/>
    <x v="1"/>
    <x v="2"/>
    <x v="0"/>
    <x v="1"/>
    <x v="10"/>
    <n v="26284"/>
    <n v="25232.639999999999"/>
    <n v="0"/>
    <n v="0"/>
    <n v="0"/>
    <n v="0"/>
    <n v="216"/>
    <s v="CATIVO"/>
    <n v="0"/>
    <n v="7"/>
    <n v="0"/>
    <n v="0"/>
    <n v="21.85"/>
    <n v="0"/>
    <n v="0"/>
    <n v="27.946333250822786"/>
    <m/>
    <m/>
    <n v="22972.216000000015"/>
    <n v="0"/>
    <n v="29381.656926585059"/>
    <n v="0"/>
    <x v="2"/>
  </r>
  <r>
    <s v="Sistema de Compensação"/>
    <x v="1"/>
    <x v="2"/>
    <x v="1"/>
    <x v="1"/>
    <x v="2"/>
    <x v="0"/>
    <x v="1"/>
    <x v="10"/>
    <n v="2222"/>
    <n v="2133.12"/>
    <n v="0"/>
    <n v="0"/>
    <n v="0"/>
    <n v="0"/>
    <n v="16"/>
    <s v="CATIVO"/>
    <n v="0"/>
    <n v="7"/>
    <n v="0"/>
    <n v="0"/>
    <n v="21.85"/>
    <n v="0"/>
    <n v="0"/>
    <n v="27.946333250822786"/>
    <m/>
    <m/>
    <n v="1942.0280000000025"/>
    <n v="0"/>
    <n v="2483.8700993331322"/>
    <n v="0"/>
    <x v="2"/>
  </r>
  <r>
    <s v="PROJETADO"/>
    <x v="1"/>
    <x v="2"/>
    <x v="1"/>
    <x v="1"/>
    <x v="2"/>
    <x v="0"/>
    <x v="1"/>
    <x v="11"/>
    <n v="26284"/>
    <n v="25232.639999999999"/>
    <n v="0"/>
    <n v="0"/>
    <n v="0"/>
    <n v="0"/>
    <n v="216"/>
    <s v="CATIVO"/>
    <n v="0"/>
    <n v="7"/>
    <n v="0"/>
    <n v="0"/>
    <n v="21.85"/>
    <n v="0"/>
    <n v="0"/>
    <n v="27.946333250822786"/>
    <m/>
    <m/>
    <n v="22972.216000000015"/>
    <n v="0"/>
    <n v="29381.656926585059"/>
    <n v="0"/>
    <x v="2"/>
  </r>
  <r>
    <s v="PROJETADO"/>
    <x v="1"/>
    <x v="2"/>
    <x v="1"/>
    <x v="1"/>
    <x v="2"/>
    <x v="0"/>
    <x v="1"/>
    <x v="11"/>
    <n v="2222"/>
    <n v="2133.12"/>
    <n v="0"/>
    <n v="0"/>
    <n v="0"/>
    <n v="0"/>
    <n v="16"/>
    <s v="CATIVO"/>
    <n v="0"/>
    <n v="7"/>
    <n v="0"/>
    <n v="0"/>
    <n v="21.85"/>
    <n v="0"/>
    <n v="0"/>
    <n v="27.946333250822786"/>
    <m/>
    <m/>
    <n v="1942.0280000000025"/>
    <n v="0"/>
    <n v="2483.8700993331322"/>
    <n v="0"/>
    <x v="2"/>
  </r>
  <r>
    <s v="Regular"/>
    <x v="1"/>
    <x v="2"/>
    <x v="1"/>
    <x v="1"/>
    <x v="2"/>
    <x v="0"/>
    <x v="2"/>
    <x v="0"/>
    <n v="0"/>
    <n v="0"/>
    <n v="9.4350000000000005"/>
    <n v="9.0576000000000008"/>
    <n v="9.4350000000000005"/>
    <n v="9.0576000000000008"/>
    <n v="0"/>
    <s v="CATIVO"/>
    <n v="0"/>
    <n v="0"/>
    <n v="8"/>
    <n v="72"/>
    <n v="0"/>
    <n v="1557.74"/>
    <n v="346.61"/>
    <m/>
    <n v="28756374339.829216"/>
    <n v="441.69177550112352"/>
    <n v="0"/>
    <n v="718.70168999999942"/>
    <n v="0"/>
    <n v="10852655842.546013"/>
    <x v="2"/>
  </r>
  <r>
    <s v="Regular"/>
    <x v="1"/>
    <x v="2"/>
    <x v="1"/>
    <x v="1"/>
    <x v="2"/>
    <x v="0"/>
    <x v="2"/>
    <x v="1"/>
    <n v="0"/>
    <n v="0"/>
    <n v="6.7779999999999996"/>
    <n v="6.5068799999999998"/>
    <n v="6.7779999999999996"/>
    <n v="6.5068799999999998"/>
    <n v="0"/>
    <s v="CATIVO"/>
    <n v="0"/>
    <n v="0"/>
    <n v="8"/>
    <n v="72"/>
    <n v="0"/>
    <n v="1557.74"/>
    <n v="346.61"/>
    <m/>
    <n v="28756374339.829216"/>
    <n v="441.69177550112352"/>
    <n v="0"/>
    <n v="516.30737199999965"/>
    <n v="0"/>
    <n v="7796428330.7659655"/>
    <x v="2"/>
  </r>
  <r>
    <s v="Refaturamento - Regular"/>
    <x v="1"/>
    <x v="2"/>
    <x v="1"/>
    <x v="1"/>
    <x v="2"/>
    <x v="0"/>
    <x v="2"/>
    <x v="1"/>
    <n v="0"/>
    <n v="0"/>
    <n v="-2.3E-2"/>
    <n v="-2.2079999999999999E-2"/>
    <n v="-2.3E-2"/>
    <n v="-2.2079999999999999E-2"/>
    <n v="0"/>
    <s v="CATIVO"/>
    <n v="0"/>
    <n v="0"/>
    <n v="8"/>
    <n v="72"/>
    <n v="0"/>
    <n v="1557.74"/>
    <n v="346.61"/>
    <m/>
    <n v="28756374339.829216"/>
    <n v="441.69177550112352"/>
    <n v="0"/>
    <n v="-1.7520020000000014"/>
    <n v="0"/>
    <n v="-26455864.798999332"/>
    <x v="2"/>
  </r>
  <r>
    <s v="Regular"/>
    <x v="1"/>
    <x v="2"/>
    <x v="1"/>
    <x v="1"/>
    <x v="2"/>
    <x v="0"/>
    <x v="2"/>
    <x v="2"/>
    <n v="0"/>
    <n v="0"/>
    <n v="8.4969999999999999"/>
    <n v="8.1571200000000008"/>
    <n v="8.4969999999999999"/>
    <n v="8.1571200000000008"/>
    <n v="0"/>
    <s v="CATIVO"/>
    <n v="0"/>
    <n v="0"/>
    <n v="8"/>
    <n v="72"/>
    <n v="0"/>
    <n v="1557.74"/>
    <n v="346.61"/>
    <m/>
    <n v="28756374339.829216"/>
    <n v="441.69177550112352"/>
    <n v="0"/>
    <n v="647.25047799999822"/>
    <n v="0"/>
    <n v="9773716660.7433281"/>
    <x v="2"/>
  </r>
  <r>
    <s v="Refaturamento - Regular"/>
    <x v="1"/>
    <x v="2"/>
    <x v="1"/>
    <x v="1"/>
    <x v="2"/>
    <x v="0"/>
    <x v="2"/>
    <x v="2"/>
    <n v="0"/>
    <n v="0"/>
    <n v="-5.5E-2"/>
    <n v="-5.28E-2"/>
    <n v="-5.5E-2"/>
    <n v="-5.28E-2"/>
    <n v="0"/>
    <s v="CATIVO"/>
    <n v="0"/>
    <n v="0"/>
    <n v="8"/>
    <n v="72"/>
    <n v="0"/>
    <n v="1557.74"/>
    <n v="346.61"/>
    <m/>
    <n v="28756374339.829216"/>
    <n v="441.69177550112352"/>
    <n v="0"/>
    <n v="-4.1895700000000016"/>
    <n v="0"/>
    <n v="-63264024.519346192"/>
    <x v="2"/>
  </r>
  <r>
    <s v="Regular"/>
    <x v="1"/>
    <x v="2"/>
    <x v="1"/>
    <x v="1"/>
    <x v="2"/>
    <x v="0"/>
    <x v="2"/>
    <x v="3"/>
    <n v="0"/>
    <n v="0"/>
    <n v="15.045999999999999"/>
    <n v="14.44416"/>
    <n v="15.045999999999999"/>
    <n v="14.44416"/>
    <n v="0"/>
    <s v="CATIVO"/>
    <n v="0"/>
    <n v="0"/>
    <n v="8"/>
    <n v="72"/>
    <n v="0"/>
    <n v="1557.74"/>
    <n v="346.61"/>
    <m/>
    <n v="28756374339.829216"/>
    <n v="441.69177550112352"/>
    <n v="0"/>
    <n v="1146.1140039999987"/>
    <n v="0"/>
    <n v="17306736598.510571"/>
    <x v="2"/>
  </r>
  <r>
    <s v="Refaturamento - Regular"/>
    <x v="1"/>
    <x v="2"/>
    <x v="1"/>
    <x v="1"/>
    <x v="2"/>
    <x v="0"/>
    <x v="2"/>
    <x v="3"/>
    <n v="0"/>
    <n v="0"/>
    <n v="-0.93300000000000005"/>
    <n v="-0.89568000000000003"/>
    <n v="-0.93300000000000005"/>
    <n v="-0.89568000000000003"/>
    <n v="0"/>
    <s v="CATIVO"/>
    <n v="0"/>
    <n v="0"/>
    <n v="8"/>
    <n v="72"/>
    <n v="0"/>
    <n v="1557.74"/>
    <n v="346.61"/>
    <m/>
    <n v="28756374339.829216"/>
    <n v="441.69177550112352"/>
    <n v="0"/>
    <n v="-71.070342000000039"/>
    <n v="0"/>
    <n v="-1073187906.8463639"/>
    <x v="2"/>
  </r>
  <r>
    <s v="Regular"/>
    <x v="1"/>
    <x v="2"/>
    <x v="1"/>
    <x v="1"/>
    <x v="2"/>
    <x v="0"/>
    <x v="2"/>
    <x v="4"/>
    <n v="0"/>
    <n v="0"/>
    <n v="19.14"/>
    <n v="18.374400000000001"/>
    <n v="19.14"/>
    <n v="18.374400000000001"/>
    <n v="0"/>
    <s v="CATIVO"/>
    <n v="0"/>
    <n v="0"/>
    <n v="8"/>
    <n v="72"/>
    <n v="0"/>
    <n v="1557.74"/>
    <n v="346.61"/>
    <m/>
    <n v="28756374339.829216"/>
    <n v="441.69177550112352"/>
    <n v="0"/>
    <n v="1457.9703599999984"/>
    <n v="0"/>
    <n v="22015880532.732445"/>
    <x v="2"/>
  </r>
  <r>
    <s v="Regular"/>
    <x v="1"/>
    <x v="2"/>
    <x v="1"/>
    <x v="1"/>
    <x v="2"/>
    <x v="0"/>
    <x v="2"/>
    <x v="5"/>
    <n v="0"/>
    <n v="0"/>
    <n v="29.234999999999999"/>
    <n v="28.0656"/>
    <n v="29.234999999999999"/>
    <n v="28.0656"/>
    <n v="0"/>
    <s v="CATIVO"/>
    <n v="0"/>
    <n v="0"/>
    <n v="8"/>
    <n v="72"/>
    <n v="0"/>
    <n v="1557.74"/>
    <n v="346.61"/>
    <m/>
    <n v="28756374339.829216"/>
    <n v="441.69177550112352"/>
    <n v="0"/>
    <n v="2226.9468899999993"/>
    <n v="0"/>
    <n v="33627704669.510635"/>
    <x v="2"/>
  </r>
  <r>
    <s v="Regular"/>
    <x v="1"/>
    <x v="2"/>
    <x v="1"/>
    <x v="1"/>
    <x v="2"/>
    <x v="0"/>
    <x v="2"/>
    <x v="6"/>
    <n v="0"/>
    <n v="0"/>
    <n v="43.805999999999997"/>
    <n v="42.053759999999997"/>
    <n v="43.805999999999997"/>
    <n v="42.053759999999997"/>
    <n v="0"/>
    <s v="CATIVO"/>
    <n v="0"/>
    <n v="0"/>
    <n v="8"/>
    <n v="72"/>
    <n v="0"/>
    <n v="1557.74"/>
    <n v="346.61"/>
    <m/>
    <n v="28756374339.829216"/>
    <n v="441.69177550112352"/>
    <n v="0"/>
    <n v="3336.8782440000004"/>
    <n v="0"/>
    <n v="50388070147.172356"/>
    <x v="2"/>
  </r>
  <r>
    <s v="Regular"/>
    <x v="1"/>
    <x v="2"/>
    <x v="1"/>
    <x v="1"/>
    <x v="2"/>
    <x v="0"/>
    <x v="2"/>
    <x v="7"/>
    <n v="0"/>
    <n v="0"/>
    <n v="34.412999999999997"/>
    <n v="33.036479999999997"/>
    <n v="34.412999999999997"/>
    <n v="33.036479999999997"/>
    <n v="0"/>
    <s v="CATIVO"/>
    <n v="0"/>
    <n v="0"/>
    <n v="8"/>
    <n v="72"/>
    <n v="0"/>
    <n v="1557.74"/>
    <n v="346.61"/>
    <m/>
    <n v="28756374339.829216"/>
    <n v="441.69177550112352"/>
    <n v="0"/>
    <n v="2621.3758619999985"/>
    <n v="0"/>
    <n v="39583725014.259262"/>
    <x v="2"/>
  </r>
  <r>
    <s v="Regular"/>
    <x v="1"/>
    <x v="2"/>
    <x v="1"/>
    <x v="1"/>
    <x v="2"/>
    <x v="0"/>
    <x v="2"/>
    <x v="8"/>
    <n v="0"/>
    <n v="0"/>
    <n v="46.701999999999998"/>
    <n v="44.833919999999999"/>
    <n v="46.701999999999998"/>
    <n v="44.833919999999999"/>
    <n v="0"/>
    <s v="CATIVO"/>
    <n v="0"/>
    <n v="0"/>
    <n v="8"/>
    <n v="72"/>
    <n v="0"/>
    <n v="1557.74"/>
    <n v="346.61"/>
    <m/>
    <n v="28756374339.829216"/>
    <n v="441.69177550112352"/>
    <n v="0"/>
    <n v="3557.4781479999983"/>
    <n v="0"/>
    <n v="53719208601.863708"/>
    <x v="2"/>
  </r>
  <r>
    <s v="Regular"/>
    <x v="1"/>
    <x v="2"/>
    <x v="1"/>
    <x v="1"/>
    <x v="2"/>
    <x v="0"/>
    <x v="2"/>
    <x v="9"/>
    <n v="0"/>
    <n v="0"/>
    <n v="38.884999999999998"/>
    <n v="37.329599999999999"/>
    <n v="38.884999999999998"/>
    <n v="37.329599999999999"/>
    <n v="0"/>
    <s v="CATIVO"/>
    <n v="0"/>
    <n v="0"/>
    <n v="8"/>
    <n v="72"/>
    <n v="0"/>
    <n v="1557.74"/>
    <n v="346.61"/>
    <m/>
    <n v="28756374339.829216"/>
    <n v="441.69177550112352"/>
    <n v="0"/>
    <n v="2962.0259899999974"/>
    <n v="0"/>
    <n v="44727665335.177711"/>
    <x v="2"/>
  </r>
  <r>
    <s v="Regular"/>
    <x v="1"/>
    <x v="2"/>
    <x v="1"/>
    <x v="1"/>
    <x v="2"/>
    <x v="0"/>
    <x v="2"/>
    <x v="10"/>
    <n v="0"/>
    <n v="0"/>
    <n v="23.085000000000001"/>
    <n v="22.1616"/>
    <n v="23.085000000000001"/>
    <n v="22.1616"/>
    <n v="0"/>
    <s v="CATIVO"/>
    <n v="0"/>
    <n v="0"/>
    <n v="8"/>
    <n v="72"/>
    <n v="0"/>
    <n v="1557.74"/>
    <n v="346.61"/>
    <m/>
    <n v="28756374339.829216"/>
    <n v="441.69177550112352"/>
    <n v="0"/>
    <n v="1758.4767900000018"/>
    <n v="0"/>
    <n v="26553636473.256508"/>
    <x v="2"/>
  </r>
  <r>
    <s v="Refaturamento - Regular"/>
    <x v="1"/>
    <x v="2"/>
    <x v="1"/>
    <x v="1"/>
    <x v="2"/>
    <x v="0"/>
    <x v="2"/>
    <x v="10"/>
    <n v="0"/>
    <n v="0"/>
    <n v="-11.449"/>
    <n v="-10.99104"/>
    <n v="-11.449"/>
    <n v="-10.99104"/>
    <n v="0"/>
    <s v="CATIVO"/>
    <n v="0"/>
    <n v="0"/>
    <n v="8"/>
    <n v="72"/>
    <n v="0"/>
    <n v="1557.74"/>
    <n v="346.61"/>
    <m/>
    <n v="28756374339.829216"/>
    <n v="441.69177550112352"/>
    <n v="0"/>
    <n v="-872.11612599999989"/>
    <n v="0"/>
    <n v="-13169269394.945353"/>
    <x v="2"/>
  </r>
  <r>
    <s v="PROJETADO"/>
    <x v="1"/>
    <x v="2"/>
    <x v="1"/>
    <x v="1"/>
    <x v="2"/>
    <x v="0"/>
    <x v="2"/>
    <x v="11"/>
    <n v="0"/>
    <n v="0"/>
    <n v="23.085000000000001"/>
    <n v="22.1616"/>
    <n v="23.085000000000001"/>
    <n v="22.1616"/>
    <n v="0"/>
    <s v="CATIVO"/>
    <n v="0"/>
    <n v="0"/>
    <n v="8"/>
    <n v="72"/>
    <n v="0"/>
    <n v="1557.74"/>
    <n v="346.61"/>
    <m/>
    <n v="28756374339.829216"/>
    <n v="441.69177550112352"/>
    <n v="0"/>
    <n v="1758.4767900000018"/>
    <n v="0"/>
    <n v="26553636473.256508"/>
    <x v="2"/>
  </r>
  <r>
    <s v="PROJETADO"/>
    <x v="1"/>
    <x v="2"/>
    <x v="1"/>
    <x v="1"/>
    <x v="2"/>
    <x v="0"/>
    <x v="2"/>
    <x v="11"/>
    <n v="0"/>
    <n v="0"/>
    <n v="-11.449"/>
    <n v="-10.99104"/>
    <n v="-11.449"/>
    <n v="-10.99104"/>
    <n v="0"/>
    <s v="CATIVO"/>
    <n v="0"/>
    <n v="0"/>
    <n v="8"/>
    <n v="72"/>
    <n v="0"/>
    <n v="1557.74"/>
    <n v="346.61"/>
    <m/>
    <n v="28756374339.829216"/>
    <n v="441.69177550112352"/>
    <n v="0"/>
    <n v="-872.11612599999989"/>
    <n v="0"/>
    <n v="-13169269394.945353"/>
    <x v="2"/>
  </r>
  <r>
    <s v="Regular"/>
    <x v="1"/>
    <x v="2"/>
    <x v="1"/>
    <x v="0"/>
    <x v="2"/>
    <x v="0"/>
    <x v="0"/>
    <x v="0"/>
    <n v="0"/>
    <n v="0"/>
    <n v="1020.134"/>
    <n v="979.32863999999995"/>
    <n v="1020.134"/>
    <n v="979.32863999999995"/>
    <n v="0"/>
    <s v="CATIVO"/>
    <n v="0"/>
    <n v="0"/>
    <n v="29"/>
    <n v="73"/>
    <n v="0"/>
    <n v="97.61"/>
    <n v="219.97"/>
    <m/>
    <n v="28756372512.812618"/>
    <n v="283.40928724383144"/>
    <n v="0"/>
    <n v="12958.966228800022"/>
    <n v="0"/>
    <n v="1173414144244.0432"/>
    <x v="2"/>
  </r>
  <r>
    <s v="Sistema de Compensação"/>
    <x v="1"/>
    <x v="2"/>
    <x v="1"/>
    <x v="0"/>
    <x v="2"/>
    <x v="0"/>
    <x v="0"/>
    <x v="0"/>
    <n v="0"/>
    <n v="0"/>
    <n v="4.2039999999999997"/>
    <n v="4.0358400000000003"/>
    <n v="4.2039999999999997"/>
    <n v="4.0358400000000003"/>
    <n v="0"/>
    <s v="CATIVO"/>
    <n v="0"/>
    <n v="0"/>
    <n v="29"/>
    <n v="73"/>
    <n v="0"/>
    <n v="97.61"/>
    <n v="219.97"/>
    <m/>
    <n v="28756372512.812618"/>
    <n v="283.40928724383144"/>
    <n v="0"/>
    <n v="53.404252799999824"/>
    <n v="0"/>
    <n v="4835671649.4126587"/>
    <x v="2"/>
  </r>
  <r>
    <s v="Regular"/>
    <x v="1"/>
    <x v="2"/>
    <x v="1"/>
    <x v="0"/>
    <x v="2"/>
    <x v="0"/>
    <x v="0"/>
    <x v="1"/>
    <n v="0"/>
    <n v="0"/>
    <n v="996.875"/>
    <n v="957"/>
    <n v="996.875"/>
    <n v="957"/>
    <n v="0"/>
    <s v="CATIVO"/>
    <n v="0"/>
    <n v="0"/>
    <n v="29"/>
    <n v="73"/>
    <n v="0"/>
    <n v="97.61"/>
    <n v="219.97"/>
    <m/>
    <n v="28756372512.812618"/>
    <n v="283.40928724383144"/>
    <n v="0"/>
    <n v="12663.502499999999"/>
    <n v="0"/>
    <n v="1146660365249.3484"/>
    <x v="2"/>
  </r>
  <r>
    <s v="Sistema de Compensação"/>
    <x v="1"/>
    <x v="2"/>
    <x v="1"/>
    <x v="0"/>
    <x v="2"/>
    <x v="0"/>
    <x v="0"/>
    <x v="1"/>
    <n v="0"/>
    <n v="0"/>
    <n v="-5.6360000000000001"/>
    <n v="-5.4105600000000003"/>
    <n v="-5.6360000000000001"/>
    <n v="-5.4105600000000003"/>
    <n v="0"/>
    <s v="CATIVO"/>
    <n v="0"/>
    <n v="0"/>
    <n v="29"/>
    <n v="73"/>
    <n v="0"/>
    <n v="97.61"/>
    <n v="219.97"/>
    <m/>
    <n v="28756372512.812618"/>
    <n v="283.40928724383144"/>
    <n v="0"/>
    <n v="-71.595235199999962"/>
    <n v="0"/>
    <n v="-6482836683.1802626"/>
    <x v="2"/>
  </r>
  <r>
    <s v="Regular"/>
    <x v="1"/>
    <x v="2"/>
    <x v="1"/>
    <x v="0"/>
    <x v="2"/>
    <x v="0"/>
    <x v="0"/>
    <x v="2"/>
    <n v="0"/>
    <n v="0"/>
    <n v="1004.29"/>
    <n v="964.11839999999995"/>
    <n v="1004.29"/>
    <n v="964.11839999999995"/>
    <n v="0"/>
    <s v="CATIVO"/>
    <n v="0"/>
    <n v="0"/>
    <n v="29"/>
    <n v="73"/>
    <n v="0"/>
    <n v="97.61"/>
    <n v="219.97"/>
    <m/>
    <n v="28756372512.812618"/>
    <n v="283.40928724383144"/>
    <n v="0"/>
    <n v="12757.696728000004"/>
    <n v="0"/>
    <n v="1155189505420.7083"/>
    <x v="2"/>
  </r>
  <r>
    <s v="Sistema de Compensação"/>
    <x v="1"/>
    <x v="2"/>
    <x v="1"/>
    <x v="0"/>
    <x v="2"/>
    <x v="0"/>
    <x v="0"/>
    <x v="2"/>
    <n v="0"/>
    <n v="0"/>
    <n v="0.54"/>
    <n v="0.51839999999999997"/>
    <n v="0.54"/>
    <n v="0.51839999999999997"/>
    <n v="0"/>
    <s v="CATIVO"/>
    <n v="0"/>
    <n v="0"/>
    <n v="29"/>
    <n v="73"/>
    <n v="0"/>
    <n v="97.61"/>
    <n v="219.97"/>
    <m/>
    <n v="28756372512.812618"/>
    <n v="283.40928724383144"/>
    <n v="0"/>
    <n v="6.85972800000002"/>
    <n v="0"/>
    <n v="621137652.39839494"/>
    <x v="2"/>
  </r>
  <r>
    <s v="Regular"/>
    <x v="1"/>
    <x v="2"/>
    <x v="1"/>
    <x v="0"/>
    <x v="2"/>
    <x v="0"/>
    <x v="0"/>
    <x v="3"/>
    <n v="0"/>
    <n v="0"/>
    <n v="735.94899999999996"/>
    <n v="706.51103999999998"/>
    <n v="735.94899999999996"/>
    <n v="706.51103999999998"/>
    <n v="0"/>
    <s v="CATIVO"/>
    <n v="0"/>
    <n v="0"/>
    <n v="29"/>
    <n v="73"/>
    <n v="0"/>
    <n v="97.61"/>
    <n v="219.97"/>
    <m/>
    <n v="28756372512.812618"/>
    <n v="283.40928724383144"/>
    <n v="0"/>
    <n v="9348.9073367999918"/>
    <n v="0"/>
    <n v="846528952120.26782"/>
    <x v="2"/>
  </r>
  <r>
    <s v="Sistema de Compensação"/>
    <x v="1"/>
    <x v="2"/>
    <x v="1"/>
    <x v="0"/>
    <x v="2"/>
    <x v="0"/>
    <x v="0"/>
    <x v="3"/>
    <n v="0"/>
    <n v="0"/>
    <n v="17.625"/>
    <n v="16.920000000000002"/>
    <n v="17.625"/>
    <n v="16.920000000000002"/>
    <n v="0"/>
    <s v="CATIVO"/>
    <n v="0"/>
    <n v="0"/>
    <n v="29"/>
    <n v="73"/>
    <n v="0"/>
    <n v="97.61"/>
    <n v="219.97"/>
    <m/>
    <n v="28756372512.812618"/>
    <n v="283.40928724383144"/>
    <n v="0"/>
    <n v="223.89389999999946"/>
    <n v="0"/>
    <n v="20273242821.336395"/>
    <x v="2"/>
  </r>
  <r>
    <s v="Regular"/>
    <x v="1"/>
    <x v="2"/>
    <x v="1"/>
    <x v="0"/>
    <x v="2"/>
    <x v="0"/>
    <x v="0"/>
    <x v="4"/>
    <n v="0"/>
    <n v="0"/>
    <n v="690.42499999999995"/>
    <n v="662.80799999999999"/>
    <n v="690.42499999999995"/>
    <n v="662.80799999999999"/>
    <n v="0"/>
    <s v="CATIVO"/>
    <n v="0"/>
    <n v="0"/>
    <n v="29"/>
    <n v="73"/>
    <n v="0"/>
    <n v="97.61"/>
    <n v="219.97"/>
    <m/>
    <n v="28756372512.812618"/>
    <n v="283.40928724383144"/>
    <n v="0"/>
    <n v="8770.6068599999871"/>
    <n v="0"/>
    <n v="794164747513.25928"/>
    <x v="2"/>
  </r>
  <r>
    <s v="Sistema de Compensação"/>
    <x v="1"/>
    <x v="2"/>
    <x v="1"/>
    <x v="0"/>
    <x v="2"/>
    <x v="0"/>
    <x v="0"/>
    <x v="4"/>
    <n v="0"/>
    <n v="0"/>
    <n v="105.735"/>
    <n v="101.5056"/>
    <n v="105.735"/>
    <n v="101.5056"/>
    <n v="0"/>
    <s v="CATIVO"/>
    <n v="0"/>
    <n v="0"/>
    <n v="29"/>
    <n v="73"/>
    <n v="0"/>
    <n v="97.61"/>
    <n v="219.97"/>
    <m/>
    <n v="28756372512.812618"/>
    <n v="283.40928724383144"/>
    <n v="0"/>
    <n v="1343.1728519999995"/>
    <n v="0"/>
    <n v="121622203104.34088"/>
    <x v="2"/>
  </r>
  <r>
    <s v="Regular"/>
    <x v="1"/>
    <x v="2"/>
    <x v="1"/>
    <x v="0"/>
    <x v="2"/>
    <x v="0"/>
    <x v="0"/>
    <x v="5"/>
    <n v="0"/>
    <n v="0"/>
    <n v="758.21699999999998"/>
    <n v="727.88832000000002"/>
    <n v="758.21699999999998"/>
    <n v="727.88832000000002"/>
    <n v="0"/>
    <s v="CATIVO"/>
    <n v="0"/>
    <n v="0"/>
    <n v="29"/>
    <n v="73"/>
    <n v="0"/>
    <n v="97.61"/>
    <n v="219.97"/>
    <m/>
    <n v="28756372512.812618"/>
    <n v="283.40928724383144"/>
    <n v="0"/>
    <n v="9631.7821943999879"/>
    <n v="0"/>
    <n v="872142828497.31836"/>
    <x v="2"/>
  </r>
  <r>
    <s v="Sistema de Compensação"/>
    <x v="1"/>
    <x v="2"/>
    <x v="1"/>
    <x v="0"/>
    <x v="2"/>
    <x v="0"/>
    <x v="0"/>
    <x v="5"/>
    <n v="0"/>
    <n v="0"/>
    <n v="237.92599999999999"/>
    <n v="228.40896000000001"/>
    <n v="237.92599999999999"/>
    <n v="228.40896000000001"/>
    <n v="0"/>
    <s v="CATIVO"/>
    <n v="0"/>
    <n v="0"/>
    <n v="29"/>
    <n v="73"/>
    <n v="0"/>
    <n v="97.61"/>
    <n v="219.97"/>
    <m/>
    <n v="28756372512.812618"/>
    <n v="283.40928724383144"/>
    <n v="0"/>
    <n v="3022.4215631999937"/>
    <n v="0"/>
    <n v="273675550156.55515"/>
    <x v="2"/>
  </r>
  <r>
    <s v="Regular"/>
    <x v="1"/>
    <x v="2"/>
    <x v="1"/>
    <x v="0"/>
    <x v="2"/>
    <x v="0"/>
    <x v="0"/>
    <x v="6"/>
    <n v="0"/>
    <n v="0"/>
    <n v="752.76700000000005"/>
    <n v="722.65632000000005"/>
    <n v="752.76700000000005"/>
    <n v="722.65632000000005"/>
    <n v="0"/>
    <s v="CATIVO"/>
    <n v="0"/>
    <n v="0"/>
    <n v="29"/>
    <n v="73"/>
    <n v="0"/>
    <n v="97.61"/>
    <n v="219.97"/>
    <m/>
    <n v="28756372512.812618"/>
    <n v="283.40928724383144"/>
    <n v="0"/>
    <n v="9562.5497544000009"/>
    <n v="0"/>
    <n v="865873939227.74304"/>
    <x v="2"/>
  </r>
  <r>
    <s v="Sistema de Compensação"/>
    <x v="1"/>
    <x v="2"/>
    <x v="1"/>
    <x v="0"/>
    <x v="2"/>
    <x v="0"/>
    <x v="0"/>
    <x v="6"/>
    <n v="0"/>
    <n v="0"/>
    <n v="516.38599999999997"/>
    <n v="495.73056000000003"/>
    <n v="516.38599999999997"/>
    <n v="495.73056000000003"/>
    <n v="0"/>
    <s v="CATIVO"/>
    <n v="0"/>
    <n v="0"/>
    <n v="29"/>
    <n v="73"/>
    <n v="0"/>
    <n v="97.61"/>
    <n v="219.97"/>
    <m/>
    <n v="28756372512.812618"/>
    <n v="283.40928724383144"/>
    <n v="0"/>
    <n v="6559.7546351999808"/>
    <n v="0"/>
    <n v="593975532909.99207"/>
    <x v="2"/>
  </r>
  <r>
    <s v="Regular"/>
    <x v="1"/>
    <x v="2"/>
    <x v="1"/>
    <x v="0"/>
    <x v="2"/>
    <x v="0"/>
    <x v="0"/>
    <x v="7"/>
    <n v="0"/>
    <n v="0"/>
    <n v="775.32399999999996"/>
    <n v="744.31104000000005"/>
    <n v="775.32399999999996"/>
    <n v="744.31104000000005"/>
    <n v="0"/>
    <s v="CATIVO"/>
    <n v="0"/>
    <n v="0"/>
    <n v="29"/>
    <n v="73"/>
    <n v="0"/>
    <n v="97.61"/>
    <n v="219.97"/>
    <m/>
    <n v="28756372512.812618"/>
    <n v="283.40928724383144"/>
    <n v="0"/>
    <n v="9849.0958367999701"/>
    <n v="0"/>
    <n v="891820239274.31543"/>
    <x v="2"/>
  </r>
  <r>
    <s v="Sistema de Compensação"/>
    <x v="1"/>
    <x v="2"/>
    <x v="1"/>
    <x v="0"/>
    <x v="2"/>
    <x v="0"/>
    <x v="0"/>
    <x v="7"/>
    <n v="0"/>
    <n v="0"/>
    <n v="539.37"/>
    <n v="517.79520000000002"/>
    <n v="539.37"/>
    <n v="517.79520000000002"/>
    <n v="0"/>
    <s v="CATIVO"/>
    <n v="0"/>
    <n v="0"/>
    <n v="29"/>
    <n v="73"/>
    <n v="0"/>
    <n v="97.61"/>
    <n v="219.97"/>
    <m/>
    <n v="28756372512.812618"/>
    <n v="283.40928724383144"/>
    <n v="0"/>
    <n v="6851.724983999994"/>
    <n v="0"/>
    <n v="620412991803.92786"/>
    <x v="2"/>
  </r>
  <r>
    <s v="Regular"/>
    <x v="1"/>
    <x v="2"/>
    <x v="1"/>
    <x v="0"/>
    <x v="2"/>
    <x v="0"/>
    <x v="0"/>
    <x v="8"/>
    <n v="0"/>
    <n v="0"/>
    <n v="698.18299999999999"/>
    <n v="670.25567999999998"/>
    <n v="698.18299999999999"/>
    <n v="670.25567999999998"/>
    <n v="0"/>
    <s v="CATIVO"/>
    <n v="0"/>
    <n v="0"/>
    <n v="29"/>
    <n v="73"/>
    <n v="0"/>
    <n v="97.61"/>
    <n v="219.97"/>
    <m/>
    <n v="28756372512.812618"/>
    <n v="283.40928724383144"/>
    <n v="0"/>
    <n v="8869.1582856000023"/>
    <n v="0"/>
    <n v="803088425119.38416"/>
    <x v="2"/>
  </r>
  <r>
    <s v="Sistema de Compensação"/>
    <x v="1"/>
    <x v="2"/>
    <x v="1"/>
    <x v="0"/>
    <x v="2"/>
    <x v="0"/>
    <x v="0"/>
    <x v="8"/>
    <n v="0"/>
    <n v="0"/>
    <n v="273.089"/>
    <n v="262.16543999999999"/>
    <n v="273.089"/>
    <n v="262.16543999999999"/>
    <n v="0"/>
    <s v="CATIVO"/>
    <n v="0"/>
    <n v="0"/>
    <n v="29"/>
    <n v="73"/>
    <n v="0"/>
    <n v="97.61"/>
    <n v="219.97"/>
    <m/>
    <n v="28756372512.812618"/>
    <n v="283.40928724383144"/>
    <n v="0"/>
    <n v="3469.1041848000032"/>
    <n v="0"/>
    <n v="314121963621.89807"/>
    <x v="2"/>
  </r>
  <r>
    <s v="Regular"/>
    <x v="1"/>
    <x v="2"/>
    <x v="1"/>
    <x v="0"/>
    <x v="2"/>
    <x v="0"/>
    <x v="0"/>
    <x v="9"/>
    <n v="0"/>
    <n v="0"/>
    <n v="667.37599999999998"/>
    <n v="640.68096000000003"/>
    <n v="667.37599999999998"/>
    <n v="640.68096000000003"/>
    <n v="0"/>
    <s v="CATIVO"/>
    <n v="0"/>
    <n v="0"/>
    <n v="29"/>
    <n v="73"/>
    <n v="0"/>
    <n v="97.61"/>
    <n v="219.97"/>
    <m/>
    <n v="28756372512.812618"/>
    <n v="283.40928724383144"/>
    <n v="0"/>
    <n v="8477.8108031999836"/>
    <n v="0"/>
    <n v="767652522050.0542"/>
    <x v="2"/>
  </r>
  <r>
    <s v="Sistema de Compensação"/>
    <x v="1"/>
    <x v="2"/>
    <x v="1"/>
    <x v="0"/>
    <x v="2"/>
    <x v="0"/>
    <x v="0"/>
    <x v="9"/>
    <n v="0"/>
    <n v="0"/>
    <n v="477.92899999999997"/>
    <n v="458.81184000000002"/>
    <n v="477.92899999999997"/>
    <n v="458.81184000000002"/>
    <n v="0"/>
    <s v="CATIVO"/>
    <n v="0"/>
    <n v="0"/>
    <n v="29"/>
    <n v="73"/>
    <n v="0"/>
    <n v="97.61"/>
    <n v="219.97"/>
    <m/>
    <n v="28756372512.812618"/>
    <n v="283.40928724383144"/>
    <n v="0"/>
    <n v="6071.2276727999861"/>
    <n v="0"/>
    <n v="549740179765.02032"/>
    <x v="2"/>
  </r>
  <r>
    <s v="Regular"/>
    <x v="1"/>
    <x v="2"/>
    <x v="1"/>
    <x v="0"/>
    <x v="2"/>
    <x v="0"/>
    <x v="0"/>
    <x v="10"/>
    <n v="0"/>
    <n v="0"/>
    <n v="688.91700000000003"/>
    <n v="661.36032"/>
    <n v="688.91700000000003"/>
    <n v="661.36032"/>
    <n v="0"/>
    <s v="CATIVO"/>
    <n v="0"/>
    <n v="0"/>
    <n v="29"/>
    <n v="73"/>
    <n v="0"/>
    <n v="97.61"/>
    <n v="219.97"/>
    <m/>
    <n v="28756372512.812618"/>
    <n v="283.40928724383144"/>
    <n v="0"/>
    <n v="8751.4504344000088"/>
    <n v="0"/>
    <n v="792430163106.19312"/>
    <x v="2"/>
  </r>
  <r>
    <s v="Sistema de Compensação"/>
    <x v="1"/>
    <x v="2"/>
    <x v="1"/>
    <x v="0"/>
    <x v="2"/>
    <x v="0"/>
    <x v="0"/>
    <x v="10"/>
    <n v="0"/>
    <n v="0"/>
    <n v="156.30500000000001"/>
    <n v="150.05279999999999"/>
    <n v="156.30500000000001"/>
    <n v="150.05279999999999"/>
    <n v="0"/>
    <s v="CATIVO"/>
    <n v="0"/>
    <n v="0"/>
    <n v="29"/>
    <n v="73"/>
    <n v="0"/>
    <n v="97.61"/>
    <n v="219.97"/>
    <m/>
    <n v="28756372512.812618"/>
    <n v="283.40928724383144"/>
    <n v="0"/>
    <n v="1985.573676000005"/>
    <n v="0"/>
    <n v="179790593996.53906"/>
    <x v="2"/>
  </r>
  <r>
    <s v="PROJETADO"/>
    <x v="1"/>
    <x v="2"/>
    <x v="1"/>
    <x v="0"/>
    <x v="2"/>
    <x v="0"/>
    <x v="0"/>
    <x v="11"/>
    <n v="0"/>
    <n v="0"/>
    <n v="688.91700000000003"/>
    <n v="661.36032"/>
    <n v="688.91700000000003"/>
    <n v="661.36032"/>
    <n v="0"/>
    <s v="CATIVO"/>
    <n v="0"/>
    <n v="0"/>
    <n v="29"/>
    <n v="73"/>
    <n v="0"/>
    <n v="97.61"/>
    <n v="219.97"/>
    <m/>
    <n v="28756372512.812618"/>
    <n v="283.40928724383144"/>
    <n v="0"/>
    <n v="8751.4504344000088"/>
    <n v="0"/>
    <n v="792430163106.19312"/>
    <x v="2"/>
  </r>
  <r>
    <s v="PROJETADO"/>
    <x v="1"/>
    <x v="2"/>
    <x v="1"/>
    <x v="0"/>
    <x v="2"/>
    <x v="0"/>
    <x v="0"/>
    <x v="11"/>
    <n v="0"/>
    <n v="0"/>
    <n v="156.30500000000001"/>
    <n v="150.05279999999999"/>
    <n v="156.30500000000001"/>
    <n v="150.05279999999999"/>
    <n v="0"/>
    <s v="CATIVO"/>
    <n v="0"/>
    <n v="0"/>
    <n v="29"/>
    <n v="73"/>
    <n v="0"/>
    <n v="97.61"/>
    <n v="219.97"/>
    <m/>
    <n v="28756372512.812618"/>
    <n v="283.40928724383144"/>
    <n v="0"/>
    <n v="1985.573676000005"/>
    <n v="0"/>
    <n v="179790593996.53906"/>
    <x v="2"/>
  </r>
  <r>
    <s v="Regular"/>
    <x v="1"/>
    <x v="2"/>
    <x v="1"/>
    <x v="0"/>
    <x v="2"/>
    <x v="0"/>
    <x v="1"/>
    <x v="0"/>
    <n v="5550"/>
    <n v="5328"/>
    <n v="0"/>
    <n v="0"/>
    <n v="0"/>
    <n v="0"/>
    <n v="41"/>
    <s v="CATIVO"/>
    <n v="0"/>
    <n v="7"/>
    <n v="0"/>
    <n v="0"/>
    <n v="21.85"/>
    <n v="0"/>
    <n v="0"/>
    <n v="27.946333250822786"/>
    <m/>
    <m/>
    <n v="4850.7000000000007"/>
    <n v="0"/>
    <n v="6204.0859816826587"/>
    <n v="0"/>
    <x v="2"/>
  </r>
  <r>
    <s v="Sistema de Compensação"/>
    <x v="1"/>
    <x v="2"/>
    <x v="1"/>
    <x v="0"/>
    <x v="2"/>
    <x v="0"/>
    <x v="1"/>
    <x v="0"/>
    <n v="32"/>
    <n v="30.72"/>
    <n v="0"/>
    <n v="0"/>
    <n v="0"/>
    <n v="0"/>
    <n v="3"/>
    <s v="CATIVO"/>
    <n v="0"/>
    <n v="7"/>
    <n v="0"/>
    <n v="0"/>
    <n v="21.85"/>
    <n v="0"/>
    <n v="0"/>
    <n v="27.946333250822786"/>
    <m/>
    <m/>
    <n v="27.968000000000028"/>
    <n v="0"/>
    <n v="35.771306561053194"/>
    <n v="0"/>
    <x v="2"/>
  </r>
  <r>
    <s v="Regular"/>
    <x v="1"/>
    <x v="2"/>
    <x v="1"/>
    <x v="0"/>
    <x v="2"/>
    <x v="0"/>
    <x v="1"/>
    <x v="1"/>
    <n v="4018"/>
    <n v="3857.28"/>
    <n v="0"/>
    <n v="0"/>
    <n v="0"/>
    <n v="0"/>
    <n v="41"/>
    <s v="CATIVO"/>
    <n v="0"/>
    <n v="7"/>
    <n v="0"/>
    <n v="0"/>
    <n v="21.85"/>
    <n v="0"/>
    <n v="0"/>
    <n v="27.946333250822786"/>
    <m/>
    <m/>
    <n v="3511.7319999999959"/>
    <n v="0"/>
    <n v="4491.5346800722327"/>
    <n v="0"/>
    <x v="2"/>
  </r>
  <r>
    <s v="Sistema de Compensação"/>
    <x v="1"/>
    <x v="2"/>
    <x v="1"/>
    <x v="0"/>
    <x v="2"/>
    <x v="0"/>
    <x v="1"/>
    <x v="1"/>
    <n v="539"/>
    <n v="517.44000000000005"/>
    <n v="0"/>
    <n v="0"/>
    <n v="0"/>
    <n v="0"/>
    <n v="3"/>
    <s v="CATIVO"/>
    <n v="0"/>
    <n v="7"/>
    <n v="0"/>
    <n v="0"/>
    <n v="21.85"/>
    <n v="0"/>
    <n v="0"/>
    <n v="27.946333250822786"/>
    <m/>
    <m/>
    <n v="471.08599999999882"/>
    <n v="0"/>
    <n v="602.52294488773771"/>
    <n v="0"/>
    <x v="2"/>
  </r>
  <r>
    <s v="Regular"/>
    <x v="1"/>
    <x v="2"/>
    <x v="1"/>
    <x v="0"/>
    <x v="2"/>
    <x v="0"/>
    <x v="1"/>
    <x v="2"/>
    <n v="4255"/>
    <n v="4084.8"/>
    <n v="0"/>
    <n v="0"/>
    <n v="0"/>
    <n v="0"/>
    <n v="41"/>
    <s v="CATIVO"/>
    <n v="0"/>
    <n v="7"/>
    <n v="0"/>
    <n v="0"/>
    <n v="21.85"/>
    <n v="0"/>
    <n v="0"/>
    <n v="27.946333250822786"/>
    <m/>
    <m/>
    <n v="3718.8699999999963"/>
    <n v="0"/>
    <n v="4756.4659192900326"/>
    <n v="0"/>
    <x v="2"/>
  </r>
  <r>
    <s v="Sistema de Compensação"/>
    <x v="1"/>
    <x v="2"/>
    <x v="1"/>
    <x v="0"/>
    <x v="2"/>
    <x v="0"/>
    <x v="1"/>
    <x v="2"/>
    <n v="1"/>
    <n v="0.96"/>
    <n v="0"/>
    <n v="0"/>
    <n v="0"/>
    <n v="0"/>
    <n v="2"/>
    <s v="CATIVO"/>
    <n v="0"/>
    <n v="7"/>
    <n v="0"/>
    <n v="0"/>
    <n v="21.85"/>
    <n v="0"/>
    <n v="0"/>
    <n v="27.946333250822786"/>
    <m/>
    <m/>
    <n v="0.87400000000000089"/>
    <n v="0"/>
    <n v="1.1178533300329123"/>
    <n v="0"/>
    <x v="2"/>
  </r>
  <r>
    <s v="Regular"/>
    <x v="1"/>
    <x v="2"/>
    <x v="1"/>
    <x v="0"/>
    <x v="2"/>
    <x v="0"/>
    <x v="1"/>
    <x v="3"/>
    <n v="4170"/>
    <n v="4003.2"/>
    <n v="0"/>
    <n v="0"/>
    <n v="0"/>
    <n v="0"/>
    <n v="41"/>
    <s v="CATIVO"/>
    <n v="0"/>
    <n v="7"/>
    <n v="0"/>
    <n v="0"/>
    <n v="21.85"/>
    <n v="0"/>
    <n v="0"/>
    <n v="27.946333250822786"/>
    <m/>
    <m/>
    <n v="3644.580000000004"/>
    <n v="0"/>
    <n v="4661.4483862372454"/>
    <n v="0"/>
    <x v="2"/>
  </r>
  <r>
    <s v="Sistema de Compensação"/>
    <x v="1"/>
    <x v="2"/>
    <x v="1"/>
    <x v="0"/>
    <x v="2"/>
    <x v="0"/>
    <x v="1"/>
    <x v="3"/>
    <n v="225"/>
    <n v="216"/>
    <n v="0"/>
    <n v="0"/>
    <n v="0"/>
    <n v="0"/>
    <n v="3"/>
    <s v="CATIVO"/>
    <n v="0"/>
    <n v="7"/>
    <n v="0"/>
    <n v="0"/>
    <n v="21.85"/>
    <n v="0"/>
    <n v="0"/>
    <n v="27.946333250822786"/>
    <m/>
    <m/>
    <n v="196.65"/>
    <n v="0"/>
    <n v="251.51699925740508"/>
    <n v="0"/>
    <x v="2"/>
  </r>
  <r>
    <s v="Regular"/>
    <x v="1"/>
    <x v="2"/>
    <x v="1"/>
    <x v="0"/>
    <x v="2"/>
    <x v="0"/>
    <x v="1"/>
    <x v="4"/>
    <n v="3013"/>
    <n v="2892.48"/>
    <n v="0"/>
    <n v="0"/>
    <n v="0"/>
    <n v="0"/>
    <n v="42"/>
    <s v="CATIVO"/>
    <n v="0"/>
    <n v="7"/>
    <n v="0"/>
    <n v="0"/>
    <n v="21.85"/>
    <n v="0"/>
    <n v="0"/>
    <n v="27.946333250822786"/>
    <m/>
    <m/>
    <n v="2633.3619999999996"/>
    <n v="0"/>
    <n v="3368.0920833891614"/>
    <n v="0"/>
    <x v="2"/>
  </r>
  <r>
    <s v="Sistema de Compensação"/>
    <x v="1"/>
    <x v="2"/>
    <x v="1"/>
    <x v="0"/>
    <x v="2"/>
    <x v="0"/>
    <x v="1"/>
    <x v="4"/>
    <n v="312"/>
    <n v="299.52"/>
    <n v="0"/>
    <n v="0"/>
    <n v="0"/>
    <n v="0"/>
    <n v="3"/>
    <s v="CATIVO"/>
    <n v="0"/>
    <n v="7"/>
    <n v="0"/>
    <n v="0"/>
    <n v="21.85"/>
    <n v="0"/>
    <n v="0"/>
    <n v="27.946333250822786"/>
    <m/>
    <m/>
    <n v="272.68800000000044"/>
    <n v="0"/>
    <n v="348.77023897026885"/>
    <n v="0"/>
    <x v="2"/>
  </r>
  <r>
    <s v="Regular"/>
    <x v="1"/>
    <x v="2"/>
    <x v="1"/>
    <x v="0"/>
    <x v="2"/>
    <x v="0"/>
    <x v="1"/>
    <x v="5"/>
    <n v="2672"/>
    <n v="2565.12"/>
    <n v="0"/>
    <n v="0"/>
    <n v="0"/>
    <n v="0"/>
    <n v="38"/>
    <s v="CATIVO"/>
    <n v="0"/>
    <n v="7"/>
    <n v="0"/>
    <n v="0"/>
    <n v="21.85"/>
    <n v="0"/>
    <n v="0"/>
    <n v="27.946333250822786"/>
    <m/>
    <m/>
    <n v="2335.3280000000027"/>
    <n v="0"/>
    <n v="2986.9040978479425"/>
    <n v="0"/>
    <x v="2"/>
  </r>
  <r>
    <s v="Sistema de Compensação"/>
    <x v="1"/>
    <x v="2"/>
    <x v="1"/>
    <x v="0"/>
    <x v="2"/>
    <x v="0"/>
    <x v="1"/>
    <x v="5"/>
    <n v="235"/>
    <n v="225.6"/>
    <n v="0"/>
    <n v="0"/>
    <n v="0"/>
    <n v="0"/>
    <n v="3"/>
    <s v="CATIVO"/>
    <n v="0"/>
    <n v="7"/>
    <n v="0"/>
    <n v="0"/>
    <n v="21.85"/>
    <n v="0"/>
    <n v="0"/>
    <n v="27.946333250822786"/>
    <m/>
    <m/>
    <n v="205.39000000000013"/>
    <n v="0"/>
    <n v="262.69553255773434"/>
    <n v="0"/>
    <x v="2"/>
  </r>
  <r>
    <s v="Regular"/>
    <x v="1"/>
    <x v="2"/>
    <x v="1"/>
    <x v="0"/>
    <x v="2"/>
    <x v="0"/>
    <x v="1"/>
    <x v="6"/>
    <n v="3283"/>
    <n v="3151.68"/>
    <n v="0"/>
    <n v="0"/>
    <n v="0"/>
    <n v="0"/>
    <n v="43"/>
    <s v="CATIVO"/>
    <n v="0"/>
    <n v="7"/>
    <n v="0"/>
    <n v="0"/>
    <n v="21.85"/>
    <n v="0"/>
    <n v="0"/>
    <n v="27.946333250822786"/>
    <m/>
    <m/>
    <n v="2869.3420000000037"/>
    <n v="0"/>
    <n v="3669.9124824980527"/>
    <n v="0"/>
    <x v="2"/>
  </r>
  <r>
    <s v="Sistema de Compensação"/>
    <x v="1"/>
    <x v="2"/>
    <x v="1"/>
    <x v="0"/>
    <x v="2"/>
    <x v="0"/>
    <x v="1"/>
    <x v="6"/>
    <n v="359"/>
    <n v="344.64"/>
    <n v="0"/>
    <n v="0"/>
    <n v="0"/>
    <n v="0"/>
    <n v="3"/>
    <s v="CATIVO"/>
    <n v="0"/>
    <n v="7"/>
    <n v="0"/>
    <n v="0"/>
    <n v="21.85"/>
    <n v="0"/>
    <n v="0"/>
    <n v="27.946333250822786"/>
    <m/>
    <m/>
    <n v="313.7660000000003"/>
    <n v="0"/>
    <n v="401.30934548181557"/>
    <n v="0"/>
    <x v="2"/>
  </r>
  <r>
    <s v="Regular"/>
    <x v="1"/>
    <x v="2"/>
    <x v="1"/>
    <x v="0"/>
    <x v="2"/>
    <x v="0"/>
    <x v="1"/>
    <x v="7"/>
    <n v="3104"/>
    <n v="2979.84"/>
    <n v="0"/>
    <n v="0"/>
    <n v="0"/>
    <n v="0"/>
    <n v="40"/>
    <s v="CATIVO"/>
    <n v="0"/>
    <n v="7"/>
    <n v="0"/>
    <n v="0"/>
    <n v="21.85"/>
    <n v="0"/>
    <n v="0"/>
    <n v="27.946333250822786"/>
    <m/>
    <m/>
    <n v="2712.895999999997"/>
    <n v="0"/>
    <n v="3469.8167364221531"/>
    <n v="0"/>
    <x v="2"/>
  </r>
  <r>
    <s v="Sistema de Compensação"/>
    <x v="1"/>
    <x v="2"/>
    <x v="1"/>
    <x v="0"/>
    <x v="2"/>
    <x v="0"/>
    <x v="1"/>
    <x v="7"/>
    <n v="355"/>
    <n v="340.8"/>
    <n v="0"/>
    <n v="0"/>
    <n v="0"/>
    <n v="0"/>
    <n v="3"/>
    <s v="CATIVO"/>
    <n v="0"/>
    <n v="7"/>
    <n v="0"/>
    <n v="0"/>
    <n v="21.85"/>
    <n v="0"/>
    <n v="0"/>
    <n v="27.946333250822786"/>
    <m/>
    <m/>
    <n v="310.26999999999975"/>
    <n v="0"/>
    <n v="396.83793216168323"/>
    <n v="0"/>
    <x v="2"/>
  </r>
  <r>
    <s v="Regular"/>
    <x v="1"/>
    <x v="2"/>
    <x v="1"/>
    <x v="0"/>
    <x v="2"/>
    <x v="0"/>
    <x v="1"/>
    <x v="8"/>
    <n v="3706"/>
    <n v="3557.76"/>
    <n v="0"/>
    <n v="0"/>
    <n v="0"/>
    <n v="0"/>
    <n v="42"/>
    <s v="CATIVO"/>
    <n v="0"/>
    <n v="7"/>
    <n v="0"/>
    <n v="0"/>
    <n v="21.85"/>
    <n v="0"/>
    <n v="0"/>
    <n v="27.946333250822786"/>
    <m/>
    <m/>
    <n v="3239.0439999999953"/>
    <n v="0"/>
    <n v="4142.7644411019637"/>
    <n v="0"/>
    <x v="2"/>
  </r>
  <r>
    <s v="Sistema de Compensação"/>
    <x v="1"/>
    <x v="2"/>
    <x v="1"/>
    <x v="0"/>
    <x v="2"/>
    <x v="0"/>
    <x v="1"/>
    <x v="8"/>
    <n v="367"/>
    <n v="352.32"/>
    <n v="0"/>
    <n v="0"/>
    <n v="0"/>
    <n v="0"/>
    <n v="3"/>
    <s v="CATIVO"/>
    <n v="0"/>
    <n v="7"/>
    <n v="0"/>
    <n v="0"/>
    <n v="21.85"/>
    <n v="0"/>
    <n v="0"/>
    <n v="27.946333250822786"/>
    <m/>
    <m/>
    <n v="320.75800000000015"/>
    <n v="0"/>
    <n v="410.25217212207866"/>
    <n v="0"/>
    <x v="2"/>
  </r>
  <r>
    <s v="Regular"/>
    <x v="1"/>
    <x v="2"/>
    <x v="1"/>
    <x v="0"/>
    <x v="2"/>
    <x v="0"/>
    <x v="1"/>
    <x v="9"/>
    <n v="2629"/>
    <n v="2523.84"/>
    <n v="0"/>
    <n v="0"/>
    <n v="0"/>
    <n v="0"/>
    <n v="38"/>
    <s v="CATIVO"/>
    <n v="0"/>
    <n v="7"/>
    <n v="0"/>
    <n v="0"/>
    <n v="21.85"/>
    <n v="0"/>
    <n v="0"/>
    <n v="27.946333250822786"/>
    <m/>
    <m/>
    <n v="2297.7459999999969"/>
    <n v="0"/>
    <n v="2938.8364046565202"/>
    <n v="0"/>
    <x v="2"/>
  </r>
  <r>
    <s v="Sistema de Compensação"/>
    <x v="1"/>
    <x v="2"/>
    <x v="1"/>
    <x v="0"/>
    <x v="2"/>
    <x v="0"/>
    <x v="1"/>
    <x v="9"/>
    <n v="371"/>
    <n v="356.16"/>
    <n v="0"/>
    <n v="0"/>
    <n v="0"/>
    <n v="0"/>
    <n v="3"/>
    <s v="CATIVO"/>
    <n v="0"/>
    <n v="7"/>
    <n v="0"/>
    <n v="0"/>
    <n v="21.85"/>
    <n v="0"/>
    <n v="0"/>
    <n v="27.946333250822786"/>
    <m/>
    <m/>
    <n v="324.25399999999945"/>
    <n v="0"/>
    <n v="414.72358544220947"/>
    <n v="0"/>
    <x v="2"/>
  </r>
  <r>
    <s v="Regular"/>
    <x v="1"/>
    <x v="2"/>
    <x v="1"/>
    <x v="0"/>
    <x v="2"/>
    <x v="0"/>
    <x v="1"/>
    <x v="10"/>
    <n v="3744"/>
    <n v="3594.24"/>
    <n v="0"/>
    <n v="0"/>
    <n v="0"/>
    <n v="0"/>
    <n v="41"/>
    <s v="CATIVO"/>
    <n v="0"/>
    <n v="7"/>
    <n v="0"/>
    <n v="0"/>
    <n v="21.85"/>
    <n v="0"/>
    <n v="0"/>
    <n v="27.946333250822786"/>
    <m/>
    <m/>
    <n v="3272.2560000000049"/>
    <n v="0"/>
    <n v="4185.2428676432264"/>
    <n v="0"/>
    <x v="2"/>
  </r>
  <r>
    <s v="Sistema de Compensação"/>
    <x v="1"/>
    <x v="2"/>
    <x v="1"/>
    <x v="0"/>
    <x v="2"/>
    <x v="0"/>
    <x v="1"/>
    <x v="10"/>
    <n v="878"/>
    <n v="842.88"/>
    <n v="0"/>
    <n v="0"/>
    <n v="0"/>
    <n v="0"/>
    <n v="4"/>
    <s v="CATIVO"/>
    <n v="0"/>
    <n v="7"/>
    <n v="0"/>
    <n v="0"/>
    <n v="21.85"/>
    <n v="0"/>
    <n v="0"/>
    <n v="27.946333250822786"/>
    <m/>
    <m/>
    <n v="767.37200000000018"/>
    <n v="0"/>
    <n v="981.4752237688964"/>
    <n v="0"/>
    <x v="2"/>
  </r>
  <r>
    <s v="PROJETADO"/>
    <x v="1"/>
    <x v="2"/>
    <x v="1"/>
    <x v="0"/>
    <x v="2"/>
    <x v="0"/>
    <x v="1"/>
    <x v="11"/>
    <n v="3744"/>
    <n v="3594.24"/>
    <n v="0"/>
    <n v="0"/>
    <n v="0"/>
    <n v="0"/>
    <n v="41"/>
    <s v="CATIVO"/>
    <n v="0"/>
    <n v="7"/>
    <n v="0"/>
    <n v="0"/>
    <n v="21.85"/>
    <n v="0"/>
    <n v="0"/>
    <n v="27.946333250822786"/>
    <m/>
    <m/>
    <n v="3272.2560000000049"/>
    <n v="0"/>
    <n v="4185.2428676432264"/>
    <n v="0"/>
    <x v="2"/>
  </r>
  <r>
    <s v="PROJETADO"/>
    <x v="1"/>
    <x v="2"/>
    <x v="1"/>
    <x v="0"/>
    <x v="2"/>
    <x v="0"/>
    <x v="1"/>
    <x v="11"/>
    <n v="878"/>
    <n v="842.88"/>
    <n v="0"/>
    <n v="0"/>
    <n v="0"/>
    <n v="0"/>
    <n v="4"/>
    <s v="CATIVO"/>
    <n v="0"/>
    <n v="7"/>
    <n v="0"/>
    <n v="0"/>
    <n v="21.85"/>
    <n v="0"/>
    <n v="0"/>
    <n v="27.946333250822786"/>
    <m/>
    <m/>
    <n v="767.37200000000018"/>
    <n v="0"/>
    <n v="981.4752237688964"/>
    <n v="0"/>
    <x v="2"/>
  </r>
  <r>
    <s v="Regular"/>
    <x v="1"/>
    <x v="2"/>
    <x v="1"/>
    <x v="0"/>
    <x v="2"/>
    <x v="0"/>
    <x v="2"/>
    <x v="0"/>
    <n v="0"/>
    <n v="0"/>
    <n v="60.104999999999997"/>
    <n v="57.700800000000001"/>
    <n v="60.104999999999997"/>
    <n v="57.700800000000001"/>
    <n v="0"/>
    <s v="CATIVO"/>
    <n v="0"/>
    <n v="0"/>
    <n v="8"/>
    <n v="72"/>
    <n v="0"/>
    <n v="1557.74"/>
    <n v="346.61"/>
    <m/>
    <n v="28756374339.829216"/>
    <n v="441.69177550112352"/>
    <n v="0"/>
    <n v="4578.4382699999924"/>
    <n v="0"/>
    <n v="69136076249.732635"/>
    <x v="2"/>
  </r>
  <r>
    <s v="Sistema de Compensação"/>
    <x v="1"/>
    <x v="2"/>
    <x v="1"/>
    <x v="0"/>
    <x v="2"/>
    <x v="0"/>
    <x v="2"/>
    <x v="0"/>
    <n v="0"/>
    <n v="0"/>
    <n v="6.0999999999999999E-2"/>
    <n v="5.8560000000000001E-2"/>
    <n v="6.0999999999999999E-2"/>
    <n v="5.8560000000000001E-2"/>
    <n v="0"/>
    <s v="CATIVO"/>
    <n v="0"/>
    <n v="0"/>
    <n v="8"/>
    <n v="72"/>
    <n v="0"/>
    <n v="1557.74"/>
    <n v="346.61"/>
    <m/>
    <n v="28756374339.829216"/>
    <n v="441.69177550112352"/>
    <n v="0"/>
    <n v="4.646613999999996"/>
    <n v="0"/>
    <n v="70165554.466911152"/>
    <x v="2"/>
  </r>
  <r>
    <s v="Regular"/>
    <x v="1"/>
    <x v="2"/>
    <x v="1"/>
    <x v="0"/>
    <x v="2"/>
    <x v="0"/>
    <x v="2"/>
    <x v="1"/>
    <n v="0"/>
    <n v="0"/>
    <n v="56.448999999999998"/>
    <n v="54.191040000000001"/>
    <n v="56.448999999999998"/>
    <n v="54.191040000000001"/>
    <n v="0"/>
    <s v="CATIVO"/>
    <n v="0"/>
    <n v="0"/>
    <n v="8"/>
    <n v="72"/>
    <n v="0"/>
    <n v="1557.74"/>
    <n v="346.61"/>
    <m/>
    <n v="28756374339.829216"/>
    <n v="441.69177550112352"/>
    <n v="0"/>
    <n v="4299.9461259999944"/>
    <n v="0"/>
    <n v="64930744001.68306"/>
    <x v="2"/>
  </r>
  <r>
    <s v="Sistema de Compensação"/>
    <x v="1"/>
    <x v="2"/>
    <x v="1"/>
    <x v="0"/>
    <x v="2"/>
    <x v="0"/>
    <x v="2"/>
    <x v="1"/>
    <n v="0"/>
    <n v="0"/>
    <n v="-1.0489999999999999"/>
    <n v="-1.0070399999999999"/>
    <n v="-1.0489999999999999"/>
    <n v="-1.0070399999999999"/>
    <n v="0"/>
    <s v="CATIVO"/>
    <n v="0"/>
    <n v="0"/>
    <n v="8"/>
    <n v="72"/>
    <n v="0"/>
    <n v="1557.74"/>
    <n v="346.61"/>
    <m/>
    <n v="28756374339.829216"/>
    <n v="441.69177550112352"/>
    <n v="0"/>
    <n v="-79.906525999999999"/>
    <n v="0"/>
    <n v="-1206617485.8326209"/>
    <x v="2"/>
  </r>
  <r>
    <s v="Regular"/>
    <x v="1"/>
    <x v="2"/>
    <x v="1"/>
    <x v="0"/>
    <x v="2"/>
    <x v="0"/>
    <x v="2"/>
    <x v="2"/>
    <n v="0"/>
    <n v="0"/>
    <n v="60.249000000000002"/>
    <n v="57.839039999999997"/>
    <n v="60.249000000000002"/>
    <n v="57.839039999999997"/>
    <n v="0"/>
    <s v="CATIVO"/>
    <n v="0"/>
    <n v="0"/>
    <n v="8"/>
    <n v="72"/>
    <n v="0"/>
    <n v="1557.74"/>
    <n v="346.61"/>
    <m/>
    <n v="28756374339.829216"/>
    <n v="441.69177550112352"/>
    <n v="0"/>
    <n v="4589.4073260000096"/>
    <n v="0"/>
    <n v="69301712968.474487"/>
    <x v="2"/>
  </r>
  <r>
    <s v="Sistema de Compensação"/>
    <x v="1"/>
    <x v="2"/>
    <x v="1"/>
    <x v="0"/>
    <x v="2"/>
    <x v="0"/>
    <x v="2"/>
    <x v="2"/>
    <n v="0"/>
    <n v="0"/>
    <n v="0.105"/>
    <n v="0.1008"/>
    <n v="0.105"/>
    <n v="0.1008"/>
    <n v="0"/>
    <s v="CATIVO"/>
    <n v="0"/>
    <n v="0"/>
    <n v="8"/>
    <n v="72"/>
    <n v="0"/>
    <n v="1557.74"/>
    <n v="346.61"/>
    <m/>
    <n v="28756374339.829216"/>
    <n v="441.69177550112352"/>
    <n v="0"/>
    <n v="7.9982699999999909"/>
    <n v="0"/>
    <n v="120776774.08238803"/>
    <x v="2"/>
  </r>
  <r>
    <s v="Regular"/>
    <x v="1"/>
    <x v="2"/>
    <x v="1"/>
    <x v="0"/>
    <x v="2"/>
    <x v="0"/>
    <x v="2"/>
    <x v="3"/>
    <n v="0"/>
    <n v="0"/>
    <n v="51.003999999999998"/>
    <n v="48.963839999999998"/>
    <n v="51.003999999999998"/>
    <n v="48.963839999999998"/>
    <n v="0"/>
    <s v="CATIVO"/>
    <n v="0"/>
    <n v="0"/>
    <n v="8"/>
    <n v="72"/>
    <n v="0"/>
    <n v="1557.74"/>
    <n v="346.61"/>
    <m/>
    <n v="28756374339.829216"/>
    <n v="441.69177550112352"/>
    <n v="0"/>
    <n v="3885.1786960000004"/>
    <n v="0"/>
    <n v="58667605574.267876"/>
    <x v="2"/>
  </r>
  <r>
    <s v="Sistema de Compensação"/>
    <x v="1"/>
    <x v="2"/>
    <x v="1"/>
    <x v="0"/>
    <x v="2"/>
    <x v="0"/>
    <x v="2"/>
    <x v="3"/>
    <n v="0"/>
    <n v="0"/>
    <n v="1.103"/>
    <n v="1.05888"/>
    <n v="1.103"/>
    <n v="1.05888"/>
    <n v="0"/>
    <s v="CATIVO"/>
    <n v="0"/>
    <n v="0"/>
    <n v="8"/>
    <n v="72"/>
    <n v="0"/>
    <n v="1557.74"/>
    <n v="346.61"/>
    <m/>
    <n v="28756374339.829216"/>
    <n v="441.69177550112352"/>
    <n v="0"/>
    <n v="84.01992199999988"/>
    <n v="0"/>
    <n v="1268731255.3607042"/>
    <x v="2"/>
  </r>
  <r>
    <s v="Regular"/>
    <x v="1"/>
    <x v="2"/>
    <x v="1"/>
    <x v="0"/>
    <x v="2"/>
    <x v="0"/>
    <x v="2"/>
    <x v="4"/>
    <n v="0"/>
    <n v="0"/>
    <n v="47.575000000000003"/>
    <n v="45.671999999999997"/>
    <n v="47.575000000000003"/>
    <n v="45.671999999999997"/>
    <n v="0"/>
    <s v="CATIVO"/>
    <n v="0"/>
    <n v="0"/>
    <n v="8"/>
    <n v="72"/>
    <n v="0"/>
    <n v="1557.74"/>
    <n v="346.61"/>
    <m/>
    <n v="28756374339.829216"/>
    <n v="441.69177550112352"/>
    <n v="0"/>
    <n v="3623.9780500000111"/>
    <n v="0"/>
    <n v="54723381209.234619"/>
    <x v="2"/>
  </r>
  <r>
    <s v="Sistema de Compensação"/>
    <x v="1"/>
    <x v="2"/>
    <x v="1"/>
    <x v="0"/>
    <x v="2"/>
    <x v="0"/>
    <x v="2"/>
    <x v="4"/>
    <n v="0"/>
    <n v="0"/>
    <n v="5.2469999999999999"/>
    <n v="5.0371199999999998"/>
    <n v="5.2469999999999999"/>
    <n v="5.0371199999999998"/>
    <n v="0"/>
    <s v="CATIVO"/>
    <n v="0"/>
    <n v="0"/>
    <n v="8"/>
    <n v="72"/>
    <n v="0"/>
    <n v="1557.74"/>
    <n v="346.61"/>
    <m/>
    <n v="28756374339.829216"/>
    <n v="441.69177550112352"/>
    <n v="0"/>
    <n v="399.68497800000011"/>
    <n v="0"/>
    <n v="6035387939.145627"/>
    <x v="2"/>
  </r>
  <r>
    <s v="Regular"/>
    <x v="1"/>
    <x v="2"/>
    <x v="1"/>
    <x v="0"/>
    <x v="2"/>
    <x v="0"/>
    <x v="2"/>
    <x v="5"/>
    <n v="0"/>
    <n v="0"/>
    <n v="50.600999999999999"/>
    <n v="48.57696"/>
    <n v="50.600999999999999"/>
    <n v="48.57696"/>
    <n v="0"/>
    <s v="CATIVO"/>
    <n v="0"/>
    <n v="0"/>
    <n v="8"/>
    <n v="72"/>
    <n v="0"/>
    <n v="1557.74"/>
    <n v="346.61"/>
    <m/>
    <n v="28756374339.829216"/>
    <n v="441.69177550112352"/>
    <n v="0"/>
    <n v="3854.4805739999993"/>
    <n v="0"/>
    <n v="58204052812.789734"/>
    <x v="2"/>
  </r>
  <r>
    <s v="Sistema de Compensação"/>
    <x v="1"/>
    <x v="2"/>
    <x v="1"/>
    <x v="0"/>
    <x v="2"/>
    <x v="0"/>
    <x v="2"/>
    <x v="5"/>
    <n v="0"/>
    <n v="0"/>
    <n v="12.153"/>
    <n v="11.666880000000001"/>
    <n v="12.153"/>
    <n v="11.666880000000001"/>
    <n v="0"/>
    <s v="CATIVO"/>
    <n v="0"/>
    <n v="0"/>
    <n v="8"/>
    <n v="72"/>
    <n v="0"/>
    <n v="1557.74"/>
    <n v="346.61"/>
    <m/>
    <n v="28756374339.829216"/>
    <n v="441.69177550112352"/>
    <n v="0"/>
    <n v="925.7426219999993"/>
    <n v="0"/>
    <n v="13979048908.792974"/>
    <x v="2"/>
  </r>
  <r>
    <s v="Regular"/>
    <x v="1"/>
    <x v="2"/>
    <x v="1"/>
    <x v="0"/>
    <x v="2"/>
    <x v="0"/>
    <x v="2"/>
    <x v="6"/>
    <n v="0"/>
    <n v="0"/>
    <n v="53.113999999999997"/>
    <n v="50.989440000000002"/>
    <n v="53.113999999999997"/>
    <n v="50.989440000000002"/>
    <n v="0"/>
    <s v="CATIVO"/>
    <n v="0"/>
    <n v="0"/>
    <n v="8"/>
    <n v="72"/>
    <n v="0"/>
    <n v="1557.74"/>
    <n v="346.61"/>
    <m/>
    <n v="28756374339.829216"/>
    <n v="441.69177550112352"/>
    <n v="0"/>
    <n v="4045.9058359999913"/>
    <n v="0"/>
    <n v="61094643605.828102"/>
    <x v="2"/>
  </r>
  <r>
    <s v="Sistema de Compensação"/>
    <x v="1"/>
    <x v="2"/>
    <x v="1"/>
    <x v="0"/>
    <x v="2"/>
    <x v="0"/>
    <x v="2"/>
    <x v="6"/>
    <n v="0"/>
    <n v="0"/>
    <n v="28.7"/>
    <n v="27.552"/>
    <n v="28.7"/>
    <n v="27.552"/>
    <n v="0"/>
    <s v="CATIVO"/>
    <n v="0"/>
    <n v="0"/>
    <n v="8"/>
    <n v="72"/>
    <n v="0"/>
    <n v="1557.74"/>
    <n v="346.61"/>
    <m/>
    <n v="28756374339.829216"/>
    <n v="441.69177550112352"/>
    <n v="0"/>
    <n v="2186.1937999999996"/>
    <n v="0"/>
    <n v="33012318249.186089"/>
    <x v="2"/>
  </r>
  <r>
    <s v="Regular"/>
    <x v="1"/>
    <x v="2"/>
    <x v="1"/>
    <x v="0"/>
    <x v="2"/>
    <x v="0"/>
    <x v="2"/>
    <x v="7"/>
    <n v="0"/>
    <n v="0"/>
    <n v="57.963000000000001"/>
    <n v="55.644480000000001"/>
    <n v="57.963000000000001"/>
    <n v="55.644480000000001"/>
    <n v="0"/>
    <s v="CATIVO"/>
    <n v="0"/>
    <n v="0"/>
    <n v="8"/>
    <n v="72"/>
    <n v="0"/>
    <n v="1557.74"/>
    <n v="346.61"/>
    <m/>
    <n v="28756374339.829216"/>
    <n v="441.69177550112352"/>
    <n v="0"/>
    <n v="4415.2735619999985"/>
    <n v="0"/>
    <n v="66672230058.452034"/>
    <x v="2"/>
  </r>
  <r>
    <s v="Sistema de Compensação"/>
    <x v="1"/>
    <x v="2"/>
    <x v="1"/>
    <x v="0"/>
    <x v="2"/>
    <x v="0"/>
    <x v="2"/>
    <x v="7"/>
    <n v="0"/>
    <n v="0"/>
    <n v="32.121000000000002"/>
    <n v="30.83616"/>
    <n v="32.121000000000002"/>
    <n v="30.83616"/>
    <n v="0"/>
    <s v="CATIVO"/>
    <n v="0"/>
    <n v="0"/>
    <n v="8"/>
    <n v="72"/>
    <n v="0"/>
    <n v="1557.74"/>
    <n v="346.61"/>
    <m/>
    <n v="28756374339.829216"/>
    <n v="441.69177550112352"/>
    <n v="0"/>
    <n v="2446.7850540000049"/>
    <n v="0"/>
    <n v="36947340574.289505"/>
    <x v="2"/>
  </r>
  <r>
    <s v="Regular"/>
    <x v="1"/>
    <x v="2"/>
    <x v="1"/>
    <x v="0"/>
    <x v="2"/>
    <x v="0"/>
    <x v="2"/>
    <x v="8"/>
    <n v="0"/>
    <n v="0"/>
    <n v="50.191000000000003"/>
    <n v="48.18336"/>
    <n v="50.191000000000003"/>
    <n v="48.18336"/>
    <n v="0"/>
    <s v="CATIVO"/>
    <n v="0"/>
    <n v="0"/>
    <n v="8"/>
    <n v="72"/>
    <n v="0"/>
    <n v="1557.74"/>
    <n v="346.61"/>
    <m/>
    <n v="28756374339.829216"/>
    <n v="441.69177550112352"/>
    <n v="0"/>
    <n v="3823.249234000004"/>
    <n v="0"/>
    <n v="57732448266.372864"/>
    <x v="2"/>
  </r>
  <r>
    <s v="Sistema de Compensação"/>
    <x v="1"/>
    <x v="2"/>
    <x v="1"/>
    <x v="0"/>
    <x v="2"/>
    <x v="0"/>
    <x v="2"/>
    <x v="8"/>
    <n v="0"/>
    <n v="0"/>
    <n v="17.806999999999999"/>
    <n v="17.094719999999999"/>
    <n v="17.806999999999999"/>
    <n v="17.094719999999999"/>
    <n v="0"/>
    <s v="CATIVO"/>
    <n v="0"/>
    <n v="0"/>
    <n v="8"/>
    <n v="72"/>
    <n v="0"/>
    <n v="1557.74"/>
    <n v="346.61"/>
    <m/>
    <n v="28756374339.829216"/>
    <n v="441.69177550112352"/>
    <n v="0"/>
    <n v="1356.4304179999997"/>
    <n v="0"/>
    <n v="20482590629.381767"/>
    <x v="2"/>
  </r>
  <r>
    <s v="Regular"/>
    <x v="1"/>
    <x v="2"/>
    <x v="1"/>
    <x v="0"/>
    <x v="2"/>
    <x v="0"/>
    <x v="2"/>
    <x v="9"/>
    <n v="0"/>
    <n v="0"/>
    <n v="47.332000000000001"/>
    <n v="45.438720000000004"/>
    <n v="47.332000000000001"/>
    <n v="45.438720000000004"/>
    <n v="0"/>
    <s v="CATIVO"/>
    <n v="0"/>
    <n v="0"/>
    <n v="8"/>
    <n v="72"/>
    <n v="0"/>
    <n v="1557.74"/>
    <n v="346.61"/>
    <m/>
    <n v="28756374339.829216"/>
    <n v="441.69177550112352"/>
    <n v="0"/>
    <n v="3605.4677679999945"/>
    <n v="0"/>
    <n v="54443869246.357986"/>
    <x v="2"/>
  </r>
  <r>
    <s v="Sistema de Compensação"/>
    <x v="1"/>
    <x v="2"/>
    <x v="1"/>
    <x v="0"/>
    <x v="2"/>
    <x v="0"/>
    <x v="2"/>
    <x v="9"/>
    <n v="0"/>
    <n v="0"/>
    <n v="27.065000000000001"/>
    <n v="25.982399999999998"/>
    <n v="27.065000000000001"/>
    <n v="25.982399999999998"/>
    <n v="0"/>
    <s v="CATIVO"/>
    <n v="0"/>
    <n v="0"/>
    <n v="8"/>
    <n v="72"/>
    <n v="0"/>
    <n v="1557.74"/>
    <n v="346.61"/>
    <m/>
    <n v="28756374339.829216"/>
    <n v="441.69177550112352"/>
    <n v="0"/>
    <n v="2061.6493100000057"/>
    <n v="0"/>
    <n v="31131651338.474712"/>
    <x v="2"/>
  </r>
  <r>
    <s v="Regular"/>
    <x v="1"/>
    <x v="2"/>
    <x v="1"/>
    <x v="0"/>
    <x v="2"/>
    <x v="0"/>
    <x v="2"/>
    <x v="10"/>
    <n v="0"/>
    <n v="0"/>
    <n v="44.673999999999999"/>
    <n v="42.887039999999999"/>
    <n v="44.673999999999999"/>
    <n v="42.887039999999999"/>
    <n v="0"/>
    <s v="CATIVO"/>
    <n v="0"/>
    <n v="0"/>
    <n v="8"/>
    <n v="72"/>
    <n v="0"/>
    <n v="1557.74"/>
    <n v="346.61"/>
    <m/>
    <n v="28756374339.829216"/>
    <n v="441.69177550112352"/>
    <n v="0"/>
    <n v="3402.997276000001"/>
    <n v="0"/>
    <n v="51386491479.586769"/>
    <x v="2"/>
  </r>
  <r>
    <s v="Sistema de Compensação"/>
    <x v="1"/>
    <x v="2"/>
    <x v="1"/>
    <x v="0"/>
    <x v="2"/>
    <x v="0"/>
    <x v="2"/>
    <x v="10"/>
    <n v="0"/>
    <n v="0"/>
    <n v="8.4009999999999998"/>
    <n v="8.0649599999999992"/>
    <n v="8.4009999999999998"/>
    <n v="8.0649599999999992"/>
    <n v="0"/>
    <s v="CATIVO"/>
    <n v="0"/>
    <n v="0"/>
    <n v="8"/>
    <n v="72"/>
    <n v="0"/>
    <n v="1557.74"/>
    <n v="346.61"/>
    <m/>
    <n v="28756374339.829216"/>
    <n v="441.69177550112352"/>
    <n v="0"/>
    <n v="639.93777400000113"/>
    <n v="0"/>
    <n v="9663292181.5823288"/>
    <x v="2"/>
  </r>
  <r>
    <s v="PROJETADO"/>
    <x v="1"/>
    <x v="2"/>
    <x v="1"/>
    <x v="0"/>
    <x v="2"/>
    <x v="0"/>
    <x v="2"/>
    <x v="11"/>
    <n v="0"/>
    <n v="0"/>
    <n v="44.673999999999999"/>
    <n v="42.887039999999999"/>
    <n v="44.673999999999999"/>
    <n v="42.887039999999999"/>
    <n v="0"/>
    <s v="CATIVO"/>
    <n v="0"/>
    <n v="0"/>
    <n v="8"/>
    <n v="72"/>
    <n v="0"/>
    <n v="1557.74"/>
    <n v="346.61"/>
    <m/>
    <n v="28756374339.829216"/>
    <n v="441.69177550112352"/>
    <n v="0"/>
    <n v="3402.997276000001"/>
    <n v="0"/>
    <n v="51386491479.586769"/>
    <x v="2"/>
  </r>
  <r>
    <s v="PROJETADO"/>
    <x v="1"/>
    <x v="2"/>
    <x v="1"/>
    <x v="0"/>
    <x v="2"/>
    <x v="0"/>
    <x v="2"/>
    <x v="11"/>
    <n v="0"/>
    <n v="0"/>
    <n v="8.4009999999999998"/>
    <n v="8.0649599999999992"/>
    <n v="8.4009999999999998"/>
    <n v="8.0649599999999992"/>
    <n v="0"/>
    <s v="CATIVO"/>
    <n v="0"/>
    <n v="0"/>
    <n v="8"/>
    <n v="72"/>
    <n v="0"/>
    <n v="1557.74"/>
    <n v="346.61"/>
    <m/>
    <n v="28756374339.829216"/>
    <n v="441.69177550112352"/>
    <n v="0"/>
    <n v="639.93777400000113"/>
    <n v="0"/>
    <n v="9663292181.5823288"/>
    <x v="2"/>
  </r>
  <r>
    <s v="Regular"/>
    <x v="1"/>
    <x v="2"/>
    <x v="2"/>
    <x v="2"/>
    <x v="2"/>
    <x v="0"/>
    <x v="0"/>
    <x v="0"/>
    <n v="0"/>
    <n v="0"/>
    <n v="4641.6940000000004"/>
    <n v="4363.19236"/>
    <n v="4641.6940000000004"/>
    <n v="4363.19236"/>
    <n v="0"/>
    <s v="CATIVO"/>
    <n v="0"/>
    <n v="0"/>
    <n v="29"/>
    <n v="73"/>
    <n v="0"/>
    <n v="97.61"/>
    <n v="219.97"/>
    <m/>
    <n v="28756372512.812618"/>
    <n v="283.40928724383144"/>
    <n v="0"/>
    <n v="88446.550831200133"/>
    <n v="0"/>
    <n v="8008696984199.1982"/>
    <x v="3"/>
  </r>
  <r>
    <s v="Regular"/>
    <x v="1"/>
    <x v="2"/>
    <x v="2"/>
    <x v="2"/>
    <x v="2"/>
    <x v="0"/>
    <x v="0"/>
    <x v="1"/>
    <n v="0"/>
    <n v="0"/>
    <n v="4329.7560000000003"/>
    <n v="4069.97064"/>
    <n v="4329.7560000000003"/>
    <n v="4069.97064"/>
    <n v="0"/>
    <s v="CATIVO"/>
    <n v="0"/>
    <n v="0"/>
    <n v="29"/>
    <n v="73"/>
    <n v="0"/>
    <n v="97.61"/>
    <n v="219.97"/>
    <m/>
    <n v="28756372512.812618"/>
    <n v="283.40928724383144"/>
    <n v="0"/>
    <n v="82502.634628800093"/>
    <n v="0"/>
    <n v="7470484659160.7236"/>
    <x v="3"/>
  </r>
  <r>
    <s v="Sistema de Compensação"/>
    <x v="1"/>
    <x v="2"/>
    <x v="2"/>
    <x v="2"/>
    <x v="2"/>
    <x v="0"/>
    <x v="0"/>
    <x v="1"/>
    <n v="0"/>
    <n v="0"/>
    <n v="16.446999999999999"/>
    <n v="15.460179999999999"/>
    <n v="16.446999999999999"/>
    <n v="15.460179999999999"/>
    <n v="0"/>
    <s v="CATIVO"/>
    <n v="0"/>
    <n v="0"/>
    <n v="29"/>
    <n v="73"/>
    <n v="0"/>
    <n v="97.61"/>
    <n v="219.97"/>
    <m/>
    <n v="28756372512.812618"/>
    <n v="283.40928724383144"/>
    <n v="0"/>
    <n v="313.39429559999996"/>
    <n v="0"/>
    <n v="28377363802.767696"/>
    <x v="3"/>
  </r>
  <r>
    <s v="Regular"/>
    <x v="1"/>
    <x v="2"/>
    <x v="2"/>
    <x v="2"/>
    <x v="2"/>
    <x v="0"/>
    <x v="0"/>
    <x v="2"/>
    <n v="0"/>
    <n v="0"/>
    <n v="4514.2030000000004"/>
    <n v="4243.3508199999997"/>
    <n v="4514.2030000000004"/>
    <n v="4243.3508199999997"/>
    <n v="0"/>
    <s v="CATIVO"/>
    <n v="0"/>
    <n v="0"/>
    <n v="29"/>
    <n v="73"/>
    <n v="0"/>
    <n v="97.61"/>
    <n v="219.97"/>
    <m/>
    <n v="28756372512.812618"/>
    <n v="283.40928724383144"/>
    <n v="0"/>
    <n v="86017.235324400244"/>
    <n v="0"/>
    <n v="7788726260749.4209"/>
    <x v="3"/>
  </r>
  <r>
    <s v="Sistema de Compensação"/>
    <x v="1"/>
    <x v="2"/>
    <x v="2"/>
    <x v="2"/>
    <x v="2"/>
    <x v="0"/>
    <x v="0"/>
    <x v="2"/>
    <n v="0"/>
    <n v="0"/>
    <n v="16.873000000000001"/>
    <n v="15.860620000000001"/>
    <n v="16.873000000000001"/>
    <n v="15.860620000000001"/>
    <n v="0"/>
    <s v="CATIVO"/>
    <n v="0"/>
    <n v="0"/>
    <n v="29"/>
    <n v="73"/>
    <n v="0"/>
    <n v="97.61"/>
    <n v="219.97"/>
    <m/>
    <n v="28756372512.812618"/>
    <n v="283.40928724383144"/>
    <n v="0"/>
    <n v="321.51164040000009"/>
    <n v="0"/>
    <n v="29112376691.43914"/>
    <x v="3"/>
  </r>
  <r>
    <s v="Regular"/>
    <x v="1"/>
    <x v="2"/>
    <x v="2"/>
    <x v="2"/>
    <x v="2"/>
    <x v="0"/>
    <x v="0"/>
    <x v="3"/>
    <n v="0"/>
    <n v="0"/>
    <n v="4537.826"/>
    <n v="4265.5564400000003"/>
    <n v="4537.826"/>
    <n v="4265.5564400000003"/>
    <n v="0"/>
    <s v="CATIVO"/>
    <n v="0"/>
    <n v="0"/>
    <n v="29"/>
    <n v="73"/>
    <n v="0"/>
    <n v="97.61"/>
    <n v="219.97"/>
    <m/>
    <n v="28756372512.812618"/>
    <n v="283.40928724383144"/>
    <n v="0"/>
    <n v="86467.366864799915"/>
    <n v="0"/>
    <n v="7829484968423.2998"/>
    <x v="3"/>
  </r>
  <r>
    <s v="Sistema de Compensação"/>
    <x v="1"/>
    <x v="2"/>
    <x v="2"/>
    <x v="2"/>
    <x v="2"/>
    <x v="0"/>
    <x v="0"/>
    <x v="3"/>
    <n v="0"/>
    <n v="0"/>
    <n v="18.643999999999998"/>
    <n v="17.525359999999999"/>
    <n v="18.643999999999998"/>
    <n v="17.525359999999999"/>
    <n v="0"/>
    <s v="CATIVO"/>
    <n v="0"/>
    <n v="0"/>
    <n v="29"/>
    <n v="73"/>
    <n v="0"/>
    <n v="97.61"/>
    <n v="219.97"/>
    <m/>
    <n v="28756372512.812618"/>
    <n v="283.40928724383144"/>
    <n v="0"/>
    <n v="355.25769119999973"/>
    <n v="0"/>
    <n v="32168028864.765652"/>
    <x v="3"/>
  </r>
  <r>
    <s v="Regular"/>
    <x v="1"/>
    <x v="2"/>
    <x v="2"/>
    <x v="2"/>
    <x v="2"/>
    <x v="0"/>
    <x v="0"/>
    <x v="4"/>
    <n v="0"/>
    <n v="0"/>
    <n v="4334.0870000000004"/>
    <n v="4074.04178"/>
    <n v="4334.0870000000004"/>
    <n v="4074.04178"/>
    <n v="0"/>
    <s v="CATIVO"/>
    <n v="0"/>
    <n v="0"/>
    <n v="29"/>
    <n v="73"/>
    <n v="0"/>
    <n v="97.61"/>
    <n v="219.97"/>
    <m/>
    <n v="28756372512.812618"/>
    <n v="283.40928724383144"/>
    <n v="0"/>
    <n v="82585.160967600139"/>
    <n v="0"/>
    <n v="7477957290195.5527"/>
    <x v="3"/>
  </r>
  <r>
    <s v="Sistema de Compensação"/>
    <x v="1"/>
    <x v="2"/>
    <x v="2"/>
    <x v="2"/>
    <x v="2"/>
    <x v="0"/>
    <x v="0"/>
    <x v="4"/>
    <n v="0"/>
    <n v="0"/>
    <n v="17.384"/>
    <n v="16.340959999999999"/>
    <n v="17.384"/>
    <n v="16.340959999999999"/>
    <n v="0"/>
    <s v="CATIVO"/>
    <n v="0"/>
    <n v="0"/>
    <n v="29"/>
    <n v="73"/>
    <n v="0"/>
    <n v="97.61"/>
    <n v="219.97"/>
    <m/>
    <n v="28756372512.812618"/>
    <n v="283.40928724383144"/>
    <n v="0"/>
    <n v="331.2486432000004"/>
    <n v="0"/>
    <n v="29994047081.371334"/>
    <x v="3"/>
  </r>
  <r>
    <s v="Regular"/>
    <x v="1"/>
    <x v="2"/>
    <x v="2"/>
    <x v="2"/>
    <x v="2"/>
    <x v="0"/>
    <x v="0"/>
    <x v="5"/>
    <n v="0"/>
    <n v="0"/>
    <n v="4657.0370000000003"/>
    <n v="4377.6147799999999"/>
    <n v="4657.0370000000003"/>
    <n v="4377.6147799999999"/>
    <n v="0"/>
    <s v="CATIVO"/>
    <n v="0"/>
    <n v="0"/>
    <n v="29"/>
    <n v="73"/>
    <n v="0"/>
    <n v="97.61"/>
    <n v="219.97"/>
    <m/>
    <n v="28756372512.812618"/>
    <n v="283.40928724383144"/>
    <n v="0"/>
    <n v="88738.908627600118"/>
    <n v="0"/>
    <n v="8035169525867.9434"/>
    <x v="3"/>
  </r>
  <r>
    <s v="Sistema de Compensação"/>
    <x v="1"/>
    <x v="2"/>
    <x v="2"/>
    <x v="2"/>
    <x v="2"/>
    <x v="0"/>
    <x v="0"/>
    <x v="5"/>
    <n v="0"/>
    <n v="0"/>
    <n v="22.382999999999999"/>
    <n v="21.040019999999998"/>
    <n v="22.382999999999999"/>
    <n v="21.040019999999998"/>
    <n v="0"/>
    <s v="CATIVO"/>
    <n v="0"/>
    <n v="0"/>
    <n v="29"/>
    <n v="73"/>
    <n v="0"/>
    <n v="97.61"/>
    <n v="219.97"/>
    <m/>
    <n v="28756372512.812618"/>
    <n v="283.40928724383144"/>
    <n v="0"/>
    <n v="426.50358840000024"/>
    <n v="0"/>
    <n v="38619233537.870117"/>
    <x v="3"/>
  </r>
  <r>
    <s v="Regular"/>
    <x v="1"/>
    <x v="2"/>
    <x v="2"/>
    <x v="2"/>
    <x v="2"/>
    <x v="0"/>
    <x v="0"/>
    <x v="6"/>
    <n v="0"/>
    <n v="0"/>
    <n v="4427.6210000000001"/>
    <n v="4161.9637400000001"/>
    <n v="4427.6210000000001"/>
    <n v="4161.9637400000001"/>
    <n v="0"/>
    <s v="CATIVO"/>
    <n v="0"/>
    <n v="0"/>
    <n v="29"/>
    <n v="73"/>
    <n v="0"/>
    <n v="97.61"/>
    <n v="219.97"/>
    <m/>
    <n v="28756372512.812618"/>
    <n v="283.40928724383144"/>
    <n v="0"/>
    <n v="84367.432630799987"/>
    <n v="0"/>
    <n v="7639339204582.8477"/>
    <x v="3"/>
  </r>
  <r>
    <s v="Refaturamento - Regular"/>
    <x v="1"/>
    <x v="2"/>
    <x v="2"/>
    <x v="2"/>
    <x v="2"/>
    <x v="0"/>
    <x v="0"/>
    <x v="6"/>
    <n v="0"/>
    <n v="0"/>
    <n v="2.161"/>
    <n v="2.0313400000000001"/>
    <n v="2.161"/>
    <n v="2.0313400000000001"/>
    <n v="0"/>
    <s v="CATIVO"/>
    <n v="0"/>
    <n v="0"/>
    <n v="29"/>
    <n v="73"/>
    <n v="0"/>
    <n v="97.61"/>
    <n v="219.97"/>
    <m/>
    <n v="28756372512.812618"/>
    <n v="283.40928724383144"/>
    <n v="0"/>
    <n v="41.17742279999996"/>
    <n v="0"/>
    <n v="3728551296.7581291"/>
    <x v="3"/>
  </r>
  <r>
    <s v="Sistema de Compensação"/>
    <x v="1"/>
    <x v="2"/>
    <x v="2"/>
    <x v="2"/>
    <x v="2"/>
    <x v="0"/>
    <x v="0"/>
    <x v="6"/>
    <n v="0"/>
    <n v="0"/>
    <n v="13.494999999999999"/>
    <n v="12.6853"/>
    <n v="13.494999999999999"/>
    <n v="12.6853"/>
    <n v="0"/>
    <s v="CATIVO"/>
    <n v="0"/>
    <n v="0"/>
    <n v="29"/>
    <n v="73"/>
    <n v="0"/>
    <n v="97.61"/>
    <n v="219.97"/>
    <m/>
    <n v="28756372512.812618"/>
    <n v="283.40928724383144"/>
    <n v="0"/>
    <n v="257.14452599999981"/>
    <n v="0"/>
    <n v="23284035053.100861"/>
    <x v="3"/>
  </r>
  <r>
    <s v="Regular"/>
    <x v="1"/>
    <x v="2"/>
    <x v="2"/>
    <x v="2"/>
    <x v="2"/>
    <x v="0"/>
    <x v="0"/>
    <x v="7"/>
    <n v="0"/>
    <n v="0"/>
    <n v="4464.2560000000003"/>
    <n v="4196.4006399999998"/>
    <n v="4464.2560000000003"/>
    <n v="4196.4006399999998"/>
    <n v="0"/>
    <s v="CATIVO"/>
    <n v="0"/>
    <n v="0"/>
    <n v="29"/>
    <n v="73"/>
    <n v="0"/>
    <n v="97.61"/>
    <n v="219.97"/>
    <m/>
    <n v="28756372512.812618"/>
    <n v="283.40928724383144"/>
    <n v="0"/>
    <n v="85065.505228800146"/>
    <n v="0"/>
    <n v="7702548587626.2383"/>
    <x v="3"/>
  </r>
  <r>
    <s v="Refaturamento - Regular"/>
    <x v="1"/>
    <x v="2"/>
    <x v="2"/>
    <x v="2"/>
    <x v="2"/>
    <x v="0"/>
    <x v="0"/>
    <x v="7"/>
    <n v="0"/>
    <n v="0"/>
    <n v="1.657"/>
    <n v="1.55758"/>
    <n v="1.657"/>
    <n v="1.55758"/>
    <n v="0"/>
    <s v="CATIVO"/>
    <n v="0"/>
    <n v="0"/>
    <n v="29"/>
    <n v="73"/>
    <n v="0"/>
    <n v="97.61"/>
    <n v="219.97"/>
    <m/>
    <n v="28756372512.812618"/>
    <n v="283.40928724383144"/>
    <n v="0"/>
    <n v="31.573803600000019"/>
    <n v="0"/>
    <n v="2858958583.4003835"/>
    <x v="3"/>
  </r>
  <r>
    <s v="Sistema de Compensação"/>
    <x v="1"/>
    <x v="2"/>
    <x v="2"/>
    <x v="2"/>
    <x v="2"/>
    <x v="0"/>
    <x v="0"/>
    <x v="7"/>
    <n v="0"/>
    <n v="0"/>
    <n v="22.876999999999999"/>
    <n v="21.504380000000001"/>
    <n v="22.876999999999999"/>
    <n v="21.504380000000001"/>
    <n v="0"/>
    <s v="CATIVO"/>
    <n v="0"/>
    <n v="0"/>
    <n v="29"/>
    <n v="73"/>
    <n v="0"/>
    <n v="97.61"/>
    <n v="219.97"/>
    <m/>
    <n v="28756372512.812618"/>
    <n v="283.40928724383144"/>
    <n v="0"/>
    <n v="435.91665959999926"/>
    <n v="0"/>
    <n v="39471572427.550041"/>
    <x v="3"/>
  </r>
  <r>
    <s v="Regular"/>
    <x v="1"/>
    <x v="2"/>
    <x v="2"/>
    <x v="2"/>
    <x v="2"/>
    <x v="0"/>
    <x v="0"/>
    <x v="8"/>
    <n v="0"/>
    <n v="0"/>
    <n v="4503.6189999999997"/>
    <n v="4233.4018599999999"/>
    <n v="4503.6189999999997"/>
    <n v="4233.4018599999999"/>
    <n v="0"/>
    <s v="CATIVO"/>
    <n v="0"/>
    <n v="0"/>
    <n v="29"/>
    <n v="73"/>
    <n v="0"/>
    <n v="97.61"/>
    <n v="219.97"/>
    <m/>
    <n v="28756372512.812618"/>
    <n v="283.40928724383144"/>
    <n v="0"/>
    <n v="85815.559321199922"/>
    <n v="0"/>
    <n v="7770464813768.8789"/>
    <x v="3"/>
  </r>
  <r>
    <s v="Sistema de Compensação"/>
    <x v="1"/>
    <x v="2"/>
    <x v="2"/>
    <x v="2"/>
    <x v="2"/>
    <x v="0"/>
    <x v="0"/>
    <x v="8"/>
    <n v="0"/>
    <n v="0"/>
    <n v="22.722000000000001"/>
    <n v="21.35868"/>
    <n v="22.722000000000001"/>
    <n v="21.35868"/>
    <n v="0"/>
    <s v="CATIVO"/>
    <n v="0"/>
    <n v="0"/>
    <n v="29"/>
    <n v="73"/>
    <n v="0"/>
    <n v="97.61"/>
    <n v="219.97"/>
    <m/>
    <n v="28756372512.812618"/>
    <n v="283.40928724383144"/>
    <n v="0"/>
    <n v="432.96316560000054"/>
    <n v="0"/>
    <n v="39204138160.545296"/>
    <x v="3"/>
  </r>
  <r>
    <s v="Regular"/>
    <x v="1"/>
    <x v="2"/>
    <x v="2"/>
    <x v="2"/>
    <x v="2"/>
    <x v="0"/>
    <x v="0"/>
    <x v="9"/>
    <n v="0"/>
    <n v="0"/>
    <n v="3935.6869999999999"/>
    <n v="3699.5457799999999"/>
    <n v="3935.6869999999999"/>
    <n v="3699.5457799999999"/>
    <n v="0"/>
    <s v="CATIVO"/>
    <n v="0"/>
    <n v="0"/>
    <n v="29"/>
    <n v="73"/>
    <n v="0"/>
    <n v="97.61"/>
    <n v="219.97"/>
    <m/>
    <n v="28756372512.812618"/>
    <n v="283.40928724383144"/>
    <n v="0"/>
    <n v="74993.728647599986"/>
    <n v="0"/>
    <n v="6790564954874.6514"/>
    <x v="3"/>
  </r>
  <r>
    <s v="Sistema de Compensação"/>
    <x v="1"/>
    <x v="2"/>
    <x v="2"/>
    <x v="2"/>
    <x v="2"/>
    <x v="0"/>
    <x v="0"/>
    <x v="9"/>
    <n v="0"/>
    <n v="0"/>
    <n v="12.218"/>
    <n v="11.484920000000001"/>
    <n v="12.218"/>
    <n v="11.484920000000001"/>
    <n v="0"/>
    <s v="CATIVO"/>
    <n v="0"/>
    <n v="0"/>
    <n v="29"/>
    <n v="73"/>
    <n v="0"/>
    <n v="97.61"/>
    <n v="219.97"/>
    <m/>
    <n v="28756372512.812618"/>
    <n v="283.40928724383144"/>
    <n v="0"/>
    <n v="232.81154639999977"/>
    <n v="0"/>
    <n v="21080721769.454334"/>
    <x v="3"/>
  </r>
  <r>
    <s v="Regular"/>
    <x v="1"/>
    <x v="2"/>
    <x v="2"/>
    <x v="2"/>
    <x v="2"/>
    <x v="0"/>
    <x v="0"/>
    <x v="10"/>
    <n v="0"/>
    <n v="0"/>
    <n v="4499.54"/>
    <n v="4229.5676000000003"/>
    <n v="4499.54"/>
    <n v="4229.5676000000003"/>
    <n v="0"/>
    <s v="CATIVO"/>
    <n v="0"/>
    <n v="0"/>
    <n v="29"/>
    <n v="73"/>
    <n v="0"/>
    <n v="97.61"/>
    <n v="219.97"/>
    <m/>
    <n v="28756372512.812618"/>
    <n v="283.40928724383144"/>
    <n v="0"/>
    <n v="85737.834791999892"/>
    <n v="0"/>
    <n v="7763426979090.7285"/>
    <x v="3"/>
  </r>
  <r>
    <s v="Sistema de Compensação"/>
    <x v="1"/>
    <x v="2"/>
    <x v="2"/>
    <x v="2"/>
    <x v="2"/>
    <x v="0"/>
    <x v="0"/>
    <x v="10"/>
    <n v="0"/>
    <n v="0"/>
    <n v="23.904"/>
    <n v="22.469760000000001"/>
    <n v="23.904"/>
    <n v="22.469760000000001"/>
    <n v="0"/>
    <s v="CATIVO"/>
    <n v="0"/>
    <n v="0"/>
    <n v="29"/>
    <n v="73"/>
    <n v="0"/>
    <n v="97.61"/>
    <n v="219.97"/>
    <m/>
    <n v="28756372512.812618"/>
    <n v="283.40928724383144"/>
    <n v="0"/>
    <n v="455.48593919999973"/>
    <n v="0"/>
    <n v="41243540119.253281"/>
    <x v="3"/>
  </r>
  <r>
    <s v="PROJETADO"/>
    <x v="1"/>
    <x v="2"/>
    <x v="2"/>
    <x v="2"/>
    <x v="2"/>
    <x v="0"/>
    <x v="0"/>
    <x v="11"/>
    <n v="0"/>
    <n v="0"/>
    <n v="4499.54"/>
    <n v="4229.5676000000003"/>
    <n v="4499.54"/>
    <n v="4229.5676000000003"/>
    <n v="0"/>
    <s v="CATIVO"/>
    <n v="0"/>
    <n v="0"/>
    <n v="29"/>
    <n v="73"/>
    <n v="0"/>
    <n v="97.61"/>
    <n v="219.97"/>
    <m/>
    <n v="28756372512.812618"/>
    <n v="283.40928724383144"/>
    <n v="0"/>
    <n v="85737.834791999892"/>
    <n v="0"/>
    <n v="7763426979090.7285"/>
    <x v="3"/>
  </r>
  <r>
    <s v="PROJETADO"/>
    <x v="1"/>
    <x v="2"/>
    <x v="2"/>
    <x v="2"/>
    <x v="2"/>
    <x v="0"/>
    <x v="0"/>
    <x v="11"/>
    <n v="0"/>
    <n v="0"/>
    <n v="23.904"/>
    <n v="22.469760000000001"/>
    <n v="23.904"/>
    <n v="22.469760000000001"/>
    <n v="0"/>
    <s v="CATIVO"/>
    <n v="0"/>
    <n v="0"/>
    <n v="29"/>
    <n v="73"/>
    <n v="0"/>
    <n v="97.61"/>
    <n v="219.97"/>
    <m/>
    <n v="28756372512.812618"/>
    <n v="283.40928724383144"/>
    <n v="0"/>
    <n v="455.48593919999973"/>
    <n v="0"/>
    <n v="41243540119.253281"/>
    <x v="3"/>
  </r>
  <r>
    <s v="Regular"/>
    <x v="1"/>
    <x v="2"/>
    <x v="2"/>
    <x v="2"/>
    <x v="2"/>
    <x v="0"/>
    <x v="1"/>
    <x v="0"/>
    <n v="13518"/>
    <n v="11490.3"/>
    <n v="0"/>
    <n v="0"/>
    <n v="0"/>
    <n v="0"/>
    <n v="220"/>
    <s v="CATIVO"/>
    <n v="0"/>
    <n v="7"/>
    <n v="0"/>
    <n v="0"/>
    <n v="21.85"/>
    <n v="0"/>
    <n v="0"/>
    <n v="27.946333250822786"/>
    <m/>
    <m/>
    <n v="44305.245000000017"/>
    <n v="0"/>
    <n v="56666.779932693382"/>
    <n v="0"/>
    <x v="3"/>
  </r>
  <r>
    <s v="Regular"/>
    <x v="1"/>
    <x v="2"/>
    <x v="2"/>
    <x v="2"/>
    <x v="2"/>
    <x v="0"/>
    <x v="1"/>
    <x v="1"/>
    <n v="13284"/>
    <n v="11291.4"/>
    <n v="0"/>
    <n v="0"/>
    <n v="0"/>
    <n v="0"/>
    <n v="216"/>
    <s v="CATIVO"/>
    <n v="0"/>
    <n v="7"/>
    <n v="0"/>
    <n v="0"/>
    <n v="21.85"/>
    <n v="0"/>
    <n v="0"/>
    <n v="27.946333250822786"/>
    <m/>
    <m/>
    <n v="43538.310000000012"/>
    <n v="0"/>
    <n v="55685.863635589492"/>
    <n v="0"/>
    <x v="3"/>
  </r>
  <r>
    <s v="Sistema de Compensação"/>
    <x v="1"/>
    <x v="2"/>
    <x v="2"/>
    <x v="2"/>
    <x v="2"/>
    <x v="0"/>
    <x v="1"/>
    <x v="1"/>
    <n v="50"/>
    <n v="42.5"/>
    <n v="0"/>
    <n v="0"/>
    <n v="0"/>
    <n v="0"/>
    <n v="1"/>
    <s v="CATIVO"/>
    <n v="0"/>
    <n v="7"/>
    <n v="0"/>
    <n v="0"/>
    <n v="21.85"/>
    <n v="0"/>
    <n v="0"/>
    <n v="27.946333250822786"/>
    <m/>
    <m/>
    <n v="163.875"/>
    <n v="0"/>
    <n v="209.59749938117091"/>
    <n v="0"/>
    <x v="3"/>
  </r>
  <r>
    <s v="Regular"/>
    <x v="1"/>
    <x v="2"/>
    <x v="2"/>
    <x v="2"/>
    <x v="2"/>
    <x v="0"/>
    <x v="1"/>
    <x v="2"/>
    <n v="13127"/>
    <n v="11157.949999999999"/>
    <n v="0"/>
    <n v="0"/>
    <n v="0"/>
    <n v="0"/>
    <n v="215"/>
    <s v="CATIVO"/>
    <n v="0"/>
    <n v="7"/>
    <n v="0"/>
    <n v="0"/>
    <n v="21.85"/>
    <n v="0"/>
    <n v="0"/>
    <n v="27.946333250822786"/>
    <m/>
    <m/>
    <n v="43023.742500000029"/>
    <n v="0"/>
    <n v="55027.72748753264"/>
    <n v="0"/>
    <x v="3"/>
  </r>
  <r>
    <s v="Sistema de Compensação"/>
    <x v="1"/>
    <x v="2"/>
    <x v="2"/>
    <x v="2"/>
    <x v="2"/>
    <x v="0"/>
    <x v="1"/>
    <x v="2"/>
    <n v="59"/>
    <n v="50.15"/>
    <n v="0"/>
    <n v="0"/>
    <n v="0"/>
    <n v="0"/>
    <n v="1"/>
    <s v="CATIVO"/>
    <n v="0"/>
    <n v="7"/>
    <n v="0"/>
    <n v="0"/>
    <n v="21.85"/>
    <n v="0"/>
    <n v="0"/>
    <n v="27.946333250822786"/>
    <m/>
    <m/>
    <n v="193.37250000000003"/>
    <n v="0"/>
    <n v="247.32504926978169"/>
    <n v="0"/>
    <x v="3"/>
  </r>
  <r>
    <s v="Regular"/>
    <x v="1"/>
    <x v="2"/>
    <x v="2"/>
    <x v="2"/>
    <x v="2"/>
    <x v="0"/>
    <x v="1"/>
    <x v="3"/>
    <n v="13536"/>
    <n v="11505.6"/>
    <n v="0"/>
    <n v="0"/>
    <n v="0"/>
    <n v="0"/>
    <n v="215"/>
    <s v="CATIVO"/>
    <n v="0"/>
    <n v="7"/>
    <n v="0"/>
    <n v="0"/>
    <n v="21.85"/>
    <n v="0"/>
    <n v="0"/>
    <n v="27.946333250822786"/>
    <m/>
    <m/>
    <n v="44364.24"/>
    <n v="0"/>
    <n v="56742.235032470577"/>
    <n v="0"/>
    <x v="3"/>
  </r>
  <r>
    <s v="Sistema de Compensação"/>
    <x v="1"/>
    <x v="2"/>
    <x v="2"/>
    <x v="2"/>
    <x v="2"/>
    <x v="0"/>
    <x v="1"/>
    <x v="3"/>
    <n v="57"/>
    <n v="48.449999999999996"/>
    <n v="0"/>
    <n v="0"/>
    <n v="0"/>
    <n v="0"/>
    <n v="1"/>
    <s v="CATIVO"/>
    <n v="0"/>
    <n v="7"/>
    <n v="0"/>
    <n v="0"/>
    <n v="21.85"/>
    <n v="0"/>
    <n v="0"/>
    <n v="27.946333250822786"/>
    <m/>
    <m/>
    <n v="186.81750000000011"/>
    <n v="0"/>
    <n v="238.94114929453494"/>
    <n v="0"/>
    <x v="3"/>
  </r>
  <r>
    <s v="Regular"/>
    <x v="1"/>
    <x v="2"/>
    <x v="2"/>
    <x v="2"/>
    <x v="2"/>
    <x v="0"/>
    <x v="1"/>
    <x v="4"/>
    <n v="13015"/>
    <n v="11062.75"/>
    <n v="0"/>
    <n v="0"/>
    <n v="0"/>
    <n v="0"/>
    <n v="217"/>
    <s v="CATIVO"/>
    <n v="0"/>
    <n v="7"/>
    <n v="0"/>
    <n v="0"/>
    <n v="21.85"/>
    <n v="0"/>
    <n v="0"/>
    <n v="27.946333250822786"/>
    <m/>
    <m/>
    <n v="42656.662500000006"/>
    <n v="0"/>
    <n v="54558.229088918786"/>
    <n v="0"/>
    <x v="3"/>
  </r>
  <r>
    <s v="Sistema de Compensação"/>
    <x v="1"/>
    <x v="2"/>
    <x v="2"/>
    <x v="2"/>
    <x v="2"/>
    <x v="0"/>
    <x v="1"/>
    <x v="4"/>
    <n v="65"/>
    <n v="55.25"/>
    <n v="0"/>
    <n v="0"/>
    <n v="0"/>
    <n v="0"/>
    <n v="1"/>
    <s v="CATIVO"/>
    <n v="0"/>
    <n v="7"/>
    <n v="0"/>
    <n v="0"/>
    <n v="21.85"/>
    <n v="0"/>
    <n v="0"/>
    <n v="27.946333250822786"/>
    <m/>
    <m/>
    <n v="213.03750000000002"/>
    <n v="0"/>
    <n v="272.47674919552219"/>
    <n v="0"/>
    <x v="3"/>
  </r>
  <r>
    <s v="Regular"/>
    <x v="1"/>
    <x v="2"/>
    <x v="2"/>
    <x v="2"/>
    <x v="2"/>
    <x v="0"/>
    <x v="1"/>
    <x v="5"/>
    <n v="14089"/>
    <n v="11975.65"/>
    <n v="0"/>
    <n v="0"/>
    <n v="0"/>
    <n v="0"/>
    <n v="206"/>
    <s v="CATIVO"/>
    <n v="0"/>
    <n v="7"/>
    <n v="0"/>
    <n v="0"/>
    <n v="21.85"/>
    <n v="0"/>
    <n v="0"/>
    <n v="27.946333250822786"/>
    <m/>
    <m/>
    <n v="46176.697500000009"/>
    <n v="0"/>
    <n v="59060.383375626341"/>
    <n v="0"/>
    <x v="3"/>
  </r>
  <r>
    <s v="Sistema de Compensação"/>
    <x v="1"/>
    <x v="2"/>
    <x v="2"/>
    <x v="2"/>
    <x v="2"/>
    <x v="0"/>
    <x v="1"/>
    <x v="5"/>
    <n v="61"/>
    <n v="51.85"/>
    <n v="0"/>
    <n v="0"/>
    <n v="0"/>
    <n v="0"/>
    <n v="1"/>
    <s v="CATIVO"/>
    <n v="0"/>
    <n v="7"/>
    <n v="0"/>
    <n v="0"/>
    <n v="21.85"/>
    <n v="0"/>
    <n v="0"/>
    <n v="27.946333250822786"/>
    <m/>
    <m/>
    <n v="199.92749999999998"/>
    <n v="0"/>
    <n v="255.70894924502846"/>
    <n v="0"/>
    <x v="3"/>
  </r>
  <r>
    <s v="Regular"/>
    <x v="1"/>
    <x v="2"/>
    <x v="2"/>
    <x v="2"/>
    <x v="2"/>
    <x v="0"/>
    <x v="1"/>
    <x v="6"/>
    <n v="14911"/>
    <n v="12674.35"/>
    <n v="0"/>
    <n v="0"/>
    <n v="0"/>
    <n v="0"/>
    <n v="207"/>
    <s v="CATIVO"/>
    <n v="0"/>
    <n v="7"/>
    <n v="0"/>
    <n v="0"/>
    <n v="21.85"/>
    <n v="0"/>
    <n v="0"/>
    <n v="27.946333250822786"/>
    <m/>
    <m/>
    <n v="48870.802499999998"/>
    <n v="0"/>
    <n v="62506.166265452775"/>
    <n v="0"/>
    <x v="3"/>
  </r>
  <r>
    <s v="Refaturamento - Regular"/>
    <x v="1"/>
    <x v="2"/>
    <x v="2"/>
    <x v="2"/>
    <x v="2"/>
    <x v="0"/>
    <x v="1"/>
    <x v="6"/>
    <n v="91"/>
    <n v="77.349999999999994"/>
    <n v="0"/>
    <n v="0"/>
    <n v="0"/>
    <n v="0"/>
    <n v="1"/>
    <s v="CATIVO"/>
    <n v="0"/>
    <n v="7"/>
    <n v="0"/>
    <n v="0"/>
    <n v="21.85"/>
    <n v="0"/>
    <n v="0"/>
    <n v="27.946333250822786"/>
    <m/>
    <m/>
    <n v="298.25250000000017"/>
    <n v="0"/>
    <n v="381.4674488737312"/>
    <n v="0"/>
    <x v="3"/>
  </r>
  <r>
    <s v="Sistema de Compensação"/>
    <x v="1"/>
    <x v="2"/>
    <x v="2"/>
    <x v="2"/>
    <x v="2"/>
    <x v="0"/>
    <x v="1"/>
    <x v="6"/>
    <n v="60"/>
    <n v="51"/>
    <n v="0"/>
    <n v="0"/>
    <n v="0"/>
    <n v="0"/>
    <n v="1"/>
    <s v="CATIVO"/>
    <n v="0"/>
    <n v="7"/>
    <n v="0"/>
    <n v="0"/>
    <n v="21.85"/>
    <n v="0"/>
    <n v="0"/>
    <n v="27.946333250822786"/>
    <m/>
    <m/>
    <n v="196.65"/>
    <n v="0"/>
    <n v="251.51699925740508"/>
    <n v="0"/>
    <x v="3"/>
  </r>
  <r>
    <s v="Regular"/>
    <x v="1"/>
    <x v="2"/>
    <x v="2"/>
    <x v="2"/>
    <x v="2"/>
    <x v="0"/>
    <x v="1"/>
    <x v="7"/>
    <n v="15382"/>
    <n v="13074.699999999999"/>
    <n v="0"/>
    <n v="0"/>
    <n v="0"/>
    <n v="0"/>
    <n v="207"/>
    <s v="CATIVO"/>
    <n v="0"/>
    <n v="7"/>
    <n v="0"/>
    <n v="0"/>
    <n v="21.85"/>
    <n v="0"/>
    <n v="0"/>
    <n v="27.946333250822786"/>
    <m/>
    <m/>
    <n v="50414.505000000026"/>
    <n v="0"/>
    <n v="64480.574709623441"/>
    <n v="0"/>
    <x v="3"/>
  </r>
  <r>
    <s v="Refaturamento - Regular"/>
    <x v="1"/>
    <x v="2"/>
    <x v="2"/>
    <x v="2"/>
    <x v="2"/>
    <x v="0"/>
    <x v="1"/>
    <x v="7"/>
    <n v="70"/>
    <n v="59.5"/>
    <n v="0"/>
    <n v="0"/>
    <n v="0"/>
    <n v="0"/>
    <n v="0"/>
    <s v="CATIVO"/>
    <n v="0"/>
    <n v="7"/>
    <n v="0"/>
    <n v="0"/>
    <n v="21.85"/>
    <n v="0"/>
    <n v="0"/>
    <n v="27.946333250822786"/>
    <m/>
    <m/>
    <n v="229.42500000000001"/>
    <n v="0"/>
    <n v="293.43649913363924"/>
    <n v="0"/>
    <x v="3"/>
  </r>
  <r>
    <s v="Sistema de Compensação"/>
    <x v="1"/>
    <x v="2"/>
    <x v="2"/>
    <x v="2"/>
    <x v="2"/>
    <x v="0"/>
    <x v="1"/>
    <x v="7"/>
    <n v="60"/>
    <n v="51"/>
    <n v="0"/>
    <n v="0"/>
    <n v="0"/>
    <n v="0"/>
    <n v="1"/>
    <s v="CATIVO"/>
    <n v="0"/>
    <n v="7"/>
    <n v="0"/>
    <n v="0"/>
    <n v="21.85"/>
    <n v="0"/>
    <n v="0"/>
    <n v="27.946333250822786"/>
    <m/>
    <m/>
    <n v="196.65"/>
    <n v="0"/>
    <n v="251.51699925740508"/>
    <n v="0"/>
    <x v="3"/>
  </r>
  <r>
    <s v="Regular"/>
    <x v="1"/>
    <x v="2"/>
    <x v="2"/>
    <x v="2"/>
    <x v="2"/>
    <x v="0"/>
    <x v="1"/>
    <x v="8"/>
    <n v="15474"/>
    <n v="13152.9"/>
    <n v="0"/>
    <n v="0"/>
    <n v="0"/>
    <n v="0"/>
    <n v="207"/>
    <s v="CATIVO"/>
    <n v="0"/>
    <n v="7"/>
    <n v="0"/>
    <n v="0"/>
    <n v="21.85"/>
    <n v="0"/>
    <n v="0"/>
    <n v="27.946333250822786"/>
    <m/>
    <m/>
    <n v="50716.035000000011"/>
    <n v="0"/>
    <n v="64866.234108484779"/>
    <n v="0"/>
    <x v="3"/>
  </r>
  <r>
    <s v="Sistema de Compensação"/>
    <x v="1"/>
    <x v="2"/>
    <x v="2"/>
    <x v="2"/>
    <x v="2"/>
    <x v="0"/>
    <x v="1"/>
    <x v="8"/>
    <n v="57"/>
    <n v="48.449999999999996"/>
    <n v="0"/>
    <n v="0"/>
    <n v="0"/>
    <n v="0"/>
    <n v="1"/>
    <s v="CATIVO"/>
    <n v="0"/>
    <n v="7"/>
    <n v="0"/>
    <n v="0"/>
    <n v="21.85"/>
    <n v="0"/>
    <n v="0"/>
    <n v="27.946333250822786"/>
    <m/>
    <m/>
    <n v="186.81750000000011"/>
    <n v="0"/>
    <n v="238.94114929453494"/>
    <n v="0"/>
    <x v="3"/>
  </r>
  <r>
    <s v="Regular"/>
    <x v="1"/>
    <x v="2"/>
    <x v="2"/>
    <x v="2"/>
    <x v="2"/>
    <x v="0"/>
    <x v="1"/>
    <x v="9"/>
    <n v="15164"/>
    <n v="12889.4"/>
    <n v="0"/>
    <n v="0"/>
    <n v="0"/>
    <n v="0"/>
    <n v="207"/>
    <s v="CATIVO"/>
    <n v="0"/>
    <n v="7"/>
    <n v="0"/>
    <n v="0"/>
    <n v="21.85"/>
    <n v="0"/>
    <n v="0"/>
    <n v="27.946333250822786"/>
    <m/>
    <m/>
    <n v="49700.010000000009"/>
    <n v="0"/>
    <n v="63566.72961232152"/>
    <n v="0"/>
    <x v="3"/>
  </r>
  <r>
    <s v="Sistema de Compensação"/>
    <x v="1"/>
    <x v="2"/>
    <x v="2"/>
    <x v="2"/>
    <x v="2"/>
    <x v="0"/>
    <x v="1"/>
    <x v="9"/>
    <n v="59"/>
    <n v="50.15"/>
    <n v="0"/>
    <n v="0"/>
    <n v="0"/>
    <n v="0"/>
    <n v="1"/>
    <s v="CATIVO"/>
    <n v="0"/>
    <n v="7"/>
    <n v="0"/>
    <n v="0"/>
    <n v="21.85"/>
    <n v="0"/>
    <n v="0"/>
    <n v="27.946333250822786"/>
    <m/>
    <m/>
    <n v="193.37250000000003"/>
    <n v="0"/>
    <n v="247.32504926978169"/>
    <n v="0"/>
    <x v="3"/>
  </r>
  <r>
    <s v="Regular"/>
    <x v="1"/>
    <x v="2"/>
    <x v="2"/>
    <x v="2"/>
    <x v="2"/>
    <x v="0"/>
    <x v="1"/>
    <x v="10"/>
    <n v="15309"/>
    <n v="13012.65"/>
    <n v="0"/>
    <n v="0"/>
    <n v="0"/>
    <n v="0"/>
    <n v="207"/>
    <s v="CATIVO"/>
    <n v="0"/>
    <n v="7"/>
    <n v="0"/>
    <n v="0"/>
    <n v="21.85"/>
    <n v="0"/>
    <n v="0"/>
    <n v="27.946333250822786"/>
    <m/>
    <m/>
    <n v="50175.247500000012"/>
    <n v="0"/>
    <n v="64174.562360526914"/>
    <n v="0"/>
    <x v="3"/>
  </r>
  <r>
    <s v="Sistema de Compensação"/>
    <x v="1"/>
    <x v="2"/>
    <x v="2"/>
    <x v="2"/>
    <x v="2"/>
    <x v="0"/>
    <x v="1"/>
    <x v="10"/>
    <n v="59"/>
    <n v="50.15"/>
    <n v="0"/>
    <n v="0"/>
    <n v="0"/>
    <n v="0"/>
    <n v="1"/>
    <s v="CATIVO"/>
    <n v="0"/>
    <n v="7"/>
    <n v="0"/>
    <n v="0"/>
    <n v="21.85"/>
    <n v="0"/>
    <n v="0"/>
    <n v="27.946333250822786"/>
    <m/>
    <m/>
    <n v="193.37250000000003"/>
    <n v="0"/>
    <n v="247.32504926978169"/>
    <n v="0"/>
    <x v="3"/>
  </r>
  <r>
    <s v="PROJETADO"/>
    <x v="1"/>
    <x v="2"/>
    <x v="2"/>
    <x v="2"/>
    <x v="2"/>
    <x v="0"/>
    <x v="1"/>
    <x v="11"/>
    <n v="15309"/>
    <n v="13012.65"/>
    <n v="0"/>
    <n v="0"/>
    <n v="0"/>
    <n v="0"/>
    <n v="207"/>
    <s v="CATIVO"/>
    <n v="0"/>
    <n v="7"/>
    <n v="0"/>
    <n v="0"/>
    <n v="21.85"/>
    <n v="0"/>
    <n v="0"/>
    <n v="27.946333250822786"/>
    <m/>
    <m/>
    <n v="50175.247500000012"/>
    <n v="0"/>
    <n v="64174.562360526914"/>
    <n v="0"/>
    <x v="3"/>
  </r>
  <r>
    <s v="PROJETADO"/>
    <x v="1"/>
    <x v="2"/>
    <x v="2"/>
    <x v="2"/>
    <x v="2"/>
    <x v="0"/>
    <x v="1"/>
    <x v="11"/>
    <n v="59"/>
    <n v="50.15"/>
    <n v="0"/>
    <n v="0"/>
    <n v="0"/>
    <n v="0"/>
    <n v="1"/>
    <s v="CATIVO"/>
    <n v="0"/>
    <n v="7"/>
    <n v="0"/>
    <n v="0"/>
    <n v="21.85"/>
    <n v="0"/>
    <n v="0"/>
    <n v="27.946333250822786"/>
    <m/>
    <m/>
    <n v="193.37250000000003"/>
    <n v="0"/>
    <n v="247.32504926978169"/>
    <n v="0"/>
    <x v="3"/>
  </r>
  <r>
    <s v="Regular"/>
    <x v="1"/>
    <x v="2"/>
    <x v="2"/>
    <x v="2"/>
    <x v="2"/>
    <x v="0"/>
    <x v="2"/>
    <x v="0"/>
    <n v="0"/>
    <n v="0"/>
    <n v="429.45600000000002"/>
    <n v="403.68864000000002"/>
    <n v="429.45600000000002"/>
    <n v="403.68864000000002"/>
    <n v="0"/>
    <s v="CATIVO"/>
    <n v="0"/>
    <n v="0"/>
    <n v="8"/>
    <n v="72"/>
    <n v="0"/>
    <n v="1557.74"/>
    <n v="346.61"/>
    <m/>
    <n v="28756374339.829216"/>
    <n v="441.69177550112352"/>
    <n v="0"/>
    <n v="49070.072015999998"/>
    <n v="0"/>
    <n v="740975861290.37256"/>
    <x v="3"/>
  </r>
  <r>
    <s v="Regular"/>
    <x v="1"/>
    <x v="2"/>
    <x v="2"/>
    <x v="2"/>
    <x v="2"/>
    <x v="0"/>
    <x v="2"/>
    <x v="1"/>
    <n v="0"/>
    <n v="0"/>
    <n v="406.90600000000001"/>
    <n v="382.49164000000002"/>
    <n v="406.90600000000001"/>
    <n v="382.49164000000002"/>
    <n v="0"/>
    <s v="CATIVO"/>
    <n v="0"/>
    <n v="0"/>
    <n v="8"/>
    <n v="72"/>
    <n v="0"/>
    <n v="1557.74"/>
    <n v="346.61"/>
    <m/>
    <n v="28756374339.829216"/>
    <n v="441.69177550112352"/>
    <n v="0"/>
    <n v="46493.486465999973"/>
    <n v="0"/>
    <n v="702068486210.97449"/>
    <x v="3"/>
  </r>
  <r>
    <s v="Sistema de Compensação"/>
    <x v="1"/>
    <x v="2"/>
    <x v="2"/>
    <x v="2"/>
    <x v="2"/>
    <x v="0"/>
    <x v="2"/>
    <x v="1"/>
    <n v="0"/>
    <n v="0"/>
    <n v="2.1840000000000002"/>
    <n v="2.0529600000000001"/>
    <n v="2.1840000000000002"/>
    <n v="2.0529600000000001"/>
    <n v="0"/>
    <s v="CATIVO"/>
    <n v="0"/>
    <n v="0"/>
    <n v="8"/>
    <n v="72"/>
    <n v="0"/>
    <n v="1557.74"/>
    <n v="346.61"/>
    <m/>
    <n v="28756374339.829216"/>
    <n v="441.69177550112352"/>
    <n v="0"/>
    <n v="249.5460240000001"/>
    <n v="0"/>
    <n v="3768235351.370512"/>
    <x v="3"/>
  </r>
  <r>
    <s v="Regular"/>
    <x v="1"/>
    <x v="2"/>
    <x v="2"/>
    <x v="2"/>
    <x v="2"/>
    <x v="0"/>
    <x v="2"/>
    <x v="2"/>
    <n v="0"/>
    <n v="0"/>
    <n v="426.63900000000001"/>
    <n v="401.04066"/>
    <n v="426.63900000000001"/>
    <n v="401.04066"/>
    <n v="0"/>
    <s v="CATIVO"/>
    <n v="0"/>
    <n v="0"/>
    <n v="8"/>
    <n v="72"/>
    <n v="0"/>
    <n v="1557.74"/>
    <n v="346.61"/>
    <m/>
    <n v="28756374339.829216"/>
    <n v="441.69177550112352"/>
    <n v="0"/>
    <n v="48748.198779000013"/>
    <n v="0"/>
    <n v="736115458824.80029"/>
    <x v="3"/>
  </r>
  <r>
    <s v="Sistema de Compensação"/>
    <x v="1"/>
    <x v="2"/>
    <x v="2"/>
    <x v="2"/>
    <x v="2"/>
    <x v="0"/>
    <x v="2"/>
    <x v="2"/>
    <n v="0"/>
    <n v="0"/>
    <n v="2.6219999999999999"/>
    <n v="2.46468"/>
    <n v="2.6219999999999999"/>
    <n v="2.46468"/>
    <n v="0"/>
    <s v="CATIVO"/>
    <n v="0"/>
    <n v="0"/>
    <n v="8"/>
    <n v="72"/>
    <n v="0"/>
    <n v="1557.74"/>
    <n v="346.61"/>
    <m/>
    <n v="28756374339.829216"/>
    <n v="441.69177550112352"/>
    <n v="0"/>
    <n v="299.5923419999998"/>
    <n v="0"/>
    <n v="4523952880.6288795"/>
    <x v="3"/>
  </r>
  <r>
    <s v="Regular"/>
    <x v="1"/>
    <x v="2"/>
    <x v="2"/>
    <x v="2"/>
    <x v="2"/>
    <x v="0"/>
    <x v="2"/>
    <x v="3"/>
    <n v="0"/>
    <n v="0"/>
    <n v="435.65199999999999"/>
    <n v="409.51288"/>
    <n v="435.65199999999999"/>
    <n v="409.51288"/>
    <n v="0"/>
    <s v="CATIVO"/>
    <n v="0"/>
    <n v="0"/>
    <n v="8"/>
    <n v="72"/>
    <n v="0"/>
    <n v="1557.74"/>
    <n v="346.61"/>
    <m/>
    <n v="28756374339.829216"/>
    <n v="441.69177550112352"/>
    <n v="0"/>
    <n v="49778.033171999981"/>
    <n v="0"/>
    <n v="751666331179.15076"/>
    <x v="3"/>
  </r>
  <r>
    <s v="Sistema de Compensação"/>
    <x v="1"/>
    <x v="2"/>
    <x v="2"/>
    <x v="2"/>
    <x v="2"/>
    <x v="0"/>
    <x v="2"/>
    <x v="3"/>
    <n v="0"/>
    <n v="0"/>
    <n v="2.7410000000000001"/>
    <n v="2.5765400000000001"/>
    <n v="2.7410000000000001"/>
    <n v="2.5765400000000001"/>
    <n v="0"/>
    <s v="CATIVO"/>
    <n v="0"/>
    <n v="0"/>
    <n v="8"/>
    <n v="72"/>
    <n v="0"/>
    <n v="1557.74"/>
    <n v="346.61"/>
    <m/>
    <n v="28756374339.829216"/>
    <n v="441.69177550112352"/>
    <n v="0"/>
    <n v="313.18940100000009"/>
    <n v="0"/>
    <n v="4729273396.568944"/>
    <x v="3"/>
  </r>
  <r>
    <s v="Regular"/>
    <x v="1"/>
    <x v="2"/>
    <x v="2"/>
    <x v="2"/>
    <x v="2"/>
    <x v="0"/>
    <x v="2"/>
    <x v="4"/>
    <n v="0"/>
    <n v="0"/>
    <n v="408.01"/>
    <n v="383.52940000000001"/>
    <n v="408.01"/>
    <n v="383.52940000000001"/>
    <n v="0"/>
    <s v="CATIVO"/>
    <n v="0"/>
    <n v="0"/>
    <n v="8"/>
    <n v="72"/>
    <n v="0"/>
    <n v="1557.74"/>
    <n v="346.61"/>
    <m/>
    <n v="28756374339.829216"/>
    <n v="441.69177550112352"/>
    <n v="0"/>
    <n v="46619.630609999964"/>
    <n v="0"/>
    <n v="703973308476.5022"/>
    <x v="3"/>
  </r>
  <r>
    <s v="Sistema de Compensação"/>
    <x v="1"/>
    <x v="2"/>
    <x v="2"/>
    <x v="2"/>
    <x v="2"/>
    <x v="0"/>
    <x v="2"/>
    <x v="4"/>
    <n v="0"/>
    <n v="0"/>
    <n v="2.5739999999999998"/>
    <n v="2.4195600000000002"/>
    <n v="2.5739999999999998"/>
    <n v="2.4195600000000002"/>
    <n v="0"/>
    <s v="CATIVO"/>
    <n v="0"/>
    <n v="0"/>
    <n v="8"/>
    <n v="72"/>
    <n v="0"/>
    <n v="1557.74"/>
    <n v="346.61"/>
    <m/>
    <n v="28756374339.829216"/>
    <n v="441.69177550112352"/>
    <n v="0"/>
    <n v="294.10781399999939"/>
    <n v="0"/>
    <n v="4441134521.2580929"/>
    <x v="3"/>
  </r>
  <r>
    <s v="Regular"/>
    <x v="1"/>
    <x v="2"/>
    <x v="2"/>
    <x v="2"/>
    <x v="2"/>
    <x v="0"/>
    <x v="2"/>
    <x v="5"/>
    <n v="0"/>
    <n v="0"/>
    <n v="397.70100000000002"/>
    <n v="373.83893999999998"/>
    <n v="397.70100000000002"/>
    <n v="373.83893999999998"/>
    <n v="0"/>
    <s v="CATIVO"/>
    <n v="0"/>
    <n v="0"/>
    <n v="8"/>
    <n v="72"/>
    <n v="0"/>
    <n v="1557.74"/>
    <n v="346.61"/>
    <m/>
    <n v="28756374339.829216"/>
    <n v="441.69177550112352"/>
    <n v="0"/>
    <n v="45441.713961000074"/>
    <n v="0"/>
    <n v="686186340419.14197"/>
    <x v="3"/>
  </r>
  <r>
    <s v="Sistema de Compensação"/>
    <x v="1"/>
    <x v="2"/>
    <x v="2"/>
    <x v="2"/>
    <x v="2"/>
    <x v="0"/>
    <x v="2"/>
    <x v="5"/>
    <n v="0"/>
    <n v="0"/>
    <n v="2.9830000000000001"/>
    <n v="2.80402"/>
    <n v="2.9830000000000001"/>
    <n v="2.80402"/>
    <n v="0"/>
    <s v="CATIVO"/>
    <n v="0"/>
    <n v="0"/>
    <n v="8"/>
    <n v="72"/>
    <n v="0"/>
    <n v="1557.74"/>
    <n v="346.61"/>
    <m/>
    <n v="28756374339.829216"/>
    <n v="441.69177550112352"/>
    <n v="0"/>
    <n v="340.84056300000026"/>
    <n v="0"/>
    <n v="5146815958.3966312"/>
    <x v="3"/>
  </r>
  <r>
    <s v="Regular"/>
    <x v="1"/>
    <x v="2"/>
    <x v="2"/>
    <x v="2"/>
    <x v="2"/>
    <x v="0"/>
    <x v="2"/>
    <x v="6"/>
    <n v="0"/>
    <n v="0"/>
    <n v="385.101"/>
    <n v="361.99493999999999"/>
    <n v="385.101"/>
    <n v="361.99493999999999"/>
    <n v="0"/>
    <s v="CATIVO"/>
    <n v="0"/>
    <n v="0"/>
    <n v="8"/>
    <n v="72"/>
    <n v="0"/>
    <n v="1557.74"/>
    <n v="346.61"/>
    <m/>
    <n v="28756374339.829216"/>
    <n v="441.69177550112352"/>
    <n v="0"/>
    <n v="44002.025361000022"/>
    <n v="0"/>
    <n v="664446521084.3114"/>
    <x v="3"/>
  </r>
  <r>
    <s v="Refaturamento - Regular"/>
    <x v="1"/>
    <x v="2"/>
    <x v="2"/>
    <x v="2"/>
    <x v="2"/>
    <x v="0"/>
    <x v="2"/>
    <x v="6"/>
    <n v="0"/>
    <n v="0"/>
    <n v="0.19"/>
    <n v="0.17860000000000001"/>
    <n v="0.19"/>
    <n v="0.17860000000000001"/>
    <n v="0"/>
    <s v="CATIVO"/>
    <n v="0"/>
    <n v="0"/>
    <n v="8"/>
    <n v="72"/>
    <n v="0"/>
    <n v="1557.74"/>
    <n v="346.61"/>
    <m/>
    <n v="28756374339.829216"/>
    <n v="441.69177550112352"/>
    <n v="0"/>
    <n v="21.709589999999988"/>
    <n v="0"/>
    <n v="327822672.50933909"/>
    <x v="3"/>
  </r>
  <r>
    <s v="Sistema de Compensação"/>
    <x v="1"/>
    <x v="2"/>
    <x v="2"/>
    <x v="2"/>
    <x v="2"/>
    <x v="0"/>
    <x v="2"/>
    <x v="6"/>
    <n v="0"/>
    <n v="0"/>
    <n v="2.0249999999999999"/>
    <n v="1.9035"/>
    <n v="2.0249999999999999"/>
    <n v="1.9035"/>
    <n v="0"/>
    <s v="CATIVO"/>
    <n v="0"/>
    <n v="0"/>
    <n v="8"/>
    <n v="72"/>
    <n v="0"/>
    <n v="1557.74"/>
    <n v="346.61"/>
    <m/>
    <n v="28756374339.829216"/>
    <n v="441.69177550112352"/>
    <n v="0"/>
    <n v="231.37852499999991"/>
    <n v="0"/>
    <n v="3493899535.9547987"/>
    <x v="3"/>
  </r>
  <r>
    <s v="Regular"/>
    <x v="1"/>
    <x v="2"/>
    <x v="2"/>
    <x v="2"/>
    <x v="2"/>
    <x v="0"/>
    <x v="2"/>
    <x v="7"/>
    <n v="0"/>
    <n v="0"/>
    <n v="442.82"/>
    <n v="416.25080000000003"/>
    <n v="442.82"/>
    <n v="416.25080000000003"/>
    <n v="0"/>
    <s v="CATIVO"/>
    <n v="0"/>
    <n v="0"/>
    <n v="8"/>
    <n v="72"/>
    <n v="0"/>
    <n v="1557.74"/>
    <n v="346.61"/>
    <m/>
    <n v="28756374339.829216"/>
    <n v="441.69177550112352"/>
    <n v="0"/>
    <n v="50597.056019999938"/>
    <n v="0"/>
    <n v="764033872845.18652"/>
    <x v="3"/>
  </r>
  <r>
    <s v="Refaturamento - Regular"/>
    <x v="1"/>
    <x v="2"/>
    <x v="2"/>
    <x v="2"/>
    <x v="2"/>
    <x v="0"/>
    <x v="2"/>
    <x v="7"/>
    <n v="0"/>
    <n v="0"/>
    <n v="8.7999999999999995E-2"/>
    <n v="8.2720000000000002E-2"/>
    <n v="8.7999999999999995E-2"/>
    <n v="8.2720000000000002E-2"/>
    <n v="0"/>
    <s v="CATIVO"/>
    <n v="0"/>
    <n v="0"/>
    <n v="8"/>
    <n v="72"/>
    <n v="0"/>
    <n v="1557.74"/>
    <n v="346.61"/>
    <m/>
    <n v="28756374339.829216"/>
    <n v="441.69177550112352"/>
    <n v="0"/>
    <n v="10.054967999999988"/>
    <n v="0"/>
    <n v="151833658.84643063"/>
    <x v="3"/>
  </r>
  <r>
    <s v="Sistema de Compensação"/>
    <x v="1"/>
    <x v="2"/>
    <x v="2"/>
    <x v="2"/>
    <x v="2"/>
    <x v="0"/>
    <x v="2"/>
    <x v="7"/>
    <n v="0"/>
    <n v="0"/>
    <n v="3.5739999999999998"/>
    <n v="3.3595600000000001"/>
    <n v="3.5739999999999998"/>
    <n v="3.3595600000000001"/>
    <n v="0"/>
    <s v="CATIVO"/>
    <n v="0"/>
    <n v="0"/>
    <n v="8"/>
    <n v="72"/>
    <n v="0"/>
    <n v="1557.74"/>
    <n v="346.61"/>
    <m/>
    <n v="28756374339.829216"/>
    <n v="441.69177550112352"/>
    <n v="0"/>
    <n v="408.36881399999953"/>
    <n v="0"/>
    <n v="6166517008.149354"/>
    <x v="3"/>
  </r>
  <r>
    <s v="Regular"/>
    <x v="1"/>
    <x v="2"/>
    <x v="2"/>
    <x v="2"/>
    <x v="2"/>
    <x v="0"/>
    <x v="2"/>
    <x v="8"/>
    <n v="0"/>
    <n v="0"/>
    <n v="402.59899999999999"/>
    <n v="378.44306"/>
    <n v="402.59899999999999"/>
    <n v="378.44306"/>
    <n v="0"/>
    <s v="CATIVO"/>
    <n v="0"/>
    <n v="0"/>
    <n v="8"/>
    <n v="72"/>
    <n v="0"/>
    <n v="1557.74"/>
    <n v="346.61"/>
    <m/>
    <n v="28756374339.829216"/>
    <n v="441.69177550112352"/>
    <n v="0"/>
    <n v="46001.364338999978"/>
    <n v="0"/>
    <n v="694637263839.93372"/>
    <x v="3"/>
  </r>
  <r>
    <s v="Sistema de Compensação"/>
    <x v="1"/>
    <x v="2"/>
    <x v="2"/>
    <x v="2"/>
    <x v="2"/>
    <x v="0"/>
    <x v="2"/>
    <x v="8"/>
    <n v="0"/>
    <n v="0"/>
    <n v="3.2610000000000001"/>
    <n v="3.06534"/>
    <n v="3.2610000000000001"/>
    <n v="3.06534"/>
    <n v="0"/>
    <s v="CATIVO"/>
    <n v="0"/>
    <n v="0"/>
    <n v="8"/>
    <n v="72"/>
    <n v="0"/>
    <n v="1557.74"/>
    <n v="346.61"/>
    <m/>
    <n v="28756374339.829216"/>
    <n v="441.69177550112352"/>
    <n v="0"/>
    <n v="372.60512100000034"/>
    <n v="0"/>
    <n v="5626472289.7524014"/>
    <x v="3"/>
  </r>
  <r>
    <s v="Regular"/>
    <x v="1"/>
    <x v="2"/>
    <x v="2"/>
    <x v="2"/>
    <x v="2"/>
    <x v="0"/>
    <x v="2"/>
    <x v="9"/>
    <n v="0"/>
    <n v="0"/>
    <n v="375.17599999999999"/>
    <n v="352.66543999999999"/>
    <n v="375.17599999999999"/>
    <n v="352.66543999999999"/>
    <n v="0"/>
    <s v="CATIVO"/>
    <n v="0"/>
    <n v="0"/>
    <n v="8"/>
    <n v="72"/>
    <n v="0"/>
    <n v="1557.74"/>
    <n v="346.61"/>
    <m/>
    <n v="28756374339.829216"/>
    <n v="441.69177550112352"/>
    <n v="0"/>
    <n v="42867.984936000001"/>
    <n v="0"/>
    <n v="647322099901.91516"/>
    <x v="3"/>
  </r>
  <r>
    <s v="Sistema de Compensação"/>
    <x v="1"/>
    <x v="2"/>
    <x v="2"/>
    <x v="2"/>
    <x v="2"/>
    <x v="0"/>
    <x v="2"/>
    <x v="9"/>
    <n v="0"/>
    <n v="0"/>
    <n v="1.9770000000000001"/>
    <n v="1.8583799999999999"/>
    <n v="1.9770000000000001"/>
    <n v="1.8583799999999999"/>
    <n v="0"/>
    <s v="CATIVO"/>
    <n v="0"/>
    <n v="0"/>
    <n v="8"/>
    <n v="72"/>
    <n v="0"/>
    <n v="1557.74"/>
    <n v="346.61"/>
    <m/>
    <n v="28756374339.829216"/>
    <n v="441.69177550112352"/>
    <n v="0"/>
    <n v="225.89399700000035"/>
    <n v="0"/>
    <n v="3411081176.5840249"/>
    <x v="3"/>
  </r>
  <r>
    <s v="Regular"/>
    <x v="1"/>
    <x v="2"/>
    <x v="2"/>
    <x v="2"/>
    <x v="2"/>
    <x v="0"/>
    <x v="2"/>
    <x v="10"/>
    <n v="0"/>
    <n v="0"/>
    <n v="440.09699999999998"/>
    <n v="413.69117999999997"/>
    <n v="440.09699999999998"/>
    <n v="413.69117999999997"/>
    <n v="0"/>
    <s v="CATIVO"/>
    <n v="0"/>
    <n v="0"/>
    <n v="8"/>
    <n v="72"/>
    <n v="0"/>
    <n v="1557.74"/>
    <n v="346.61"/>
    <m/>
    <n v="28756374339.829216"/>
    <n v="441.69177550112352"/>
    <n v="0"/>
    <n v="50285.923317000008"/>
    <n v="0"/>
    <n v="759335656333.38281"/>
    <x v="3"/>
  </r>
  <r>
    <s v="Sistema de Compensação"/>
    <x v="1"/>
    <x v="2"/>
    <x v="2"/>
    <x v="2"/>
    <x v="2"/>
    <x v="0"/>
    <x v="2"/>
    <x v="10"/>
    <n v="0"/>
    <n v="0"/>
    <n v="3.238"/>
    <n v="3.04372"/>
    <n v="3.238"/>
    <n v="3.04372"/>
    <n v="0"/>
    <s v="CATIVO"/>
    <n v="0"/>
    <n v="0"/>
    <n v="8"/>
    <n v="72"/>
    <n v="0"/>
    <n v="1557.74"/>
    <n v="346.61"/>
    <m/>
    <n v="28756374339.829216"/>
    <n v="441.69177550112352"/>
    <n v="0"/>
    <n v="369.97711800000002"/>
    <n v="0"/>
    <n v="5586788492.5538988"/>
    <x v="3"/>
  </r>
  <r>
    <s v="PROJETADO"/>
    <x v="1"/>
    <x v="2"/>
    <x v="2"/>
    <x v="2"/>
    <x v="2"/>
    <x v="0"/>
    <x v="2"/>
    <x v="11"/>
    <n v="0"/>
    <n v="0"/>
    <n v="440.09699999999998"/>
    <n v="413.69117999999997"/>
    <n v="440.09699999999998"/>
    <n v="413.69117999999997"/>
    <n v="0"/>
    <s v="CATIVO"/>
    <n v="0"/>
    <n v="0"/>
    <n v="8"/>
    <n v="72"/>
    <n v="0"/>
    <n v="1557.74"/>
    <n v="346.61"/>
    <m/>
    <n v="28756374339.829216"/>
    <n v="441.69177550112352"/>
    <n v="0"/>
    <n v="50285.923317000008"/>
    <n v="0"/>
    <n v="759335656333.38281"/>
    <x v="3"/>
  </r>
  <r>
    <s v="PROJETADO"/>
    <x v="1"/>
    <x v="2"/>
    <x v="2"/>
    <x v="2"/>
    <x v="2"/>
    <x v="0"/>
    <x v="2"/>
    <x v="11"/>
    <n v="0"/>
    <n v="0"/>
    <n v="3.238"/>
    <n v="3.04372"/>
    <n v="3.238"/>
    <n v="3.04372"/>
    <n v="0"/>
    <s v="CATIVO"/>
    <n v="0"/>
    <n v="0"/>
    <n v="8"/>
    <n v="72"/>
    <n v="0"/>
    <n v="1557.74"/>
    <n v="346.61"/>
    <m/>
    <n v="28756374339.829216"/>
    <n v="441.69177550112352"/>
    <n v="0"/>
    <n v="369.97711800000002"/>
    <n v="0"/>
    <n v="5586788492.5538988"/>
    <x v="3"/>
  </r>
  <r>
    <s v="Regular"/>
    <x v="2"/>
    <x v="3"/>
    <x v="4"/>
    <x v="3"/>
    <x v="2"/>
    <x v="0"/>
    <x v="1"/>
    <x v="0"/>
    <n v="0"/>
    <n v="0"/>
    <n v="99925.642999999996"/>
    <n v="99925.642999999996"/>
    <n v="99925.642999999996"/>
    <n v="99925.642999999996"/>
    <n v="720359"/>
    <s v="CATIVO"/>
    <n v="0"/>
    <n v="0"/>
    <n v="13"/>
    <n v="53"/>
    <n v="0"/>
    <n v="395.58"/>
    <n v="230.53"/>
    <m/>
    <n v="28756372886.682549"/>
    <n v="296.59949459860582"/>
    <n v="0"/>
    <n v="0"/>
    <n v="0"/>
    <n v="0"/>
    <x v="5"/>
  </r>
  <r>
    <s v="Regular"/>
    <x v="2"/>
    <x v="3"/>
    <x v="4"/>
    <x v="4"/>
    <x v="2"/>
    <x v="0"/>
    <x v="1"/>
    <x v="0"/>
    <n v="0"/>
    <n v="0"/>
    <n v="10455.143"/>
    <n v="10455.143"/>
    <n v="10455.143"/>
    <n v="10455.143"/>
    <n v="44935"/>
    <s v="CATIVO"/>
    <n v="0"/>
    <n v="0"/>
    <n v="14"/>
    <n v="74"/>
    <n v="0"/>
    <n v="118.67"/>
    <n v="80.680000000000007"/>
    <m/>
    <n v="10064730486.617802"/>
    <n v="103.80982310951202"/>
    <n v="0"/>
    <n v="3870912.14432"/>
    <n v="0"/>
    <n v="195423795504591.19"/>
    <x v="6"/>
  </r>
  <r>
    <s v="Regular"/>
    <x v="2"/>
    <x v="3"/>
    <x v="4"/>
    <x v="4"/>
    <x v="2"/>
    <x v="0"/>
    <x v="1"/>
    <x v="1"/>
    <n v="0"/>
    <n v="0"/>
    <n v="10561.165999999999"/>
    <n v="10561.165999999999"/>
    <n v="10561.165999999999"/>
    <n v="10561.165999999999"/>
    <n v="47300"/>
    <s v="CATIVO"/>
    <n v="0"/>
    <n v="0"/>
    <n v="14"/>
    <n v="74"/>
    <n v="0"/>
    <n v="118.67"/>
    <n v="80.680000000000007"/>
    <m/>
    <n v="10064730486.617802"/>
    <n v="103.80982310951202"/>
    <n v="0"/>
    <n v="3910166.0998399998"/>
    <n v="0"/>
    <n v="197405539520027.72"/>
    <x v="6"/>
  </r>
  <r>
    <s v="Regular"/>
    <x v="2"/>
    <x v="3"/>
    <x v="4"/>
    <x v="4"/>
    <x v="2"/>
    <x v="0"/>
    <x v="1"/>
    <x v="2"/>
    <n v="0"/>
    <n v="0"/>
    <n v="10647.829"/>
    <n v="10647.829"/>
    <n v="10647.829"/>
    <n v="10647.829"/>
    <n v="49835"/>
    <s v="CATIVO"/>
    <n v="0"/>
    <n v="0"/>
    <n v="14"/>
    <n v="74"/>
    <n v="0"/>
    <n v="118.67"/>
    <n v="80.680000000000007"/>
    <m/>
    <n v="10064730486.617802"/>
    <n v="103.80982310951202"/>
    <n v="0"/>
    <n v="3942252.20896"/>
    <n v="0"/>
    <n v="199025413336178.72"/>
    <x v="6"/>
  </r>
  <r>
    <s v="Regular"/>
    <x v="2"/>
    <x v="3"/>
    <x v="4"/>
    <x v="4"/>
    <x v="2"/>
    <x v="0"/>
    <x v="1"/>
    <x v="3"/>
    <n v="0"/>
    <n v="0"/>
    <n v="10783.445"/>
    <n v="10783.445"/>
    <n v="10783.445"/>
    <n v="10783.445"/>
    <n v="51526"/>
    <s v="CATIVO"/>
    <n v="0"/>
    <n v="0"/>
    <n v="14"/>
    <n v="74"/>
    <n v="0"/>
    <n v="118.67"/>
    <n v="80.680000000000007"/>
    <m/>
    <n v="10064730486.617802"/>
    <n v="103.80982310951202"/>
    <n v="0"/>
    <n v="3992462.6768"/>
    <n v="0"/>
    <n v="201560299128859.97"/>
    <x v="6"/>
  </r>
  <r>
    <s v="Regular"/>
    <x v="2"/>
    <x v="3"/>
    <x v="4"/>
    <x v="4"/>
    <x v="2"/>
    <x v="0"/>
    <x v="1"/>
    <x v="4"/>
    <n v="0"/>
    <n v="0"/>
    <n v="10870.652"/>
    <n v="10870.652"/>
    <n v="10870.652"/>
    <n v="10870.652"/>
    <n v="50080"/>
    <s v="CATIVO"/>
    <n v="0"/>
    <n v="0"/>
    <n v="14"/>
    <n v="74"/>
    <n v="0"/>
    <n v="118.67"/>
    <n v="80.680000000000007"/>
    <m/>
    <n v="10064730486.617802"/>
    <n v="103.80982310951202"/>
    <n v="0"/>
    <n v="4024750.1964799999"/>
    <n v="0"/>
    <n v="203190341198544.59"/>
    <x v="6"/>
  </r>
  <r>
    <s v="Regular"/>
    <x v="2"/>
    <x v="3"/>
    <x v="4"/>
    <x v="4"/>
    <x v="2"/>
    <x v="0"/>
    <x v="1"/>
    <x v="5"/>
    <n v="0"/>
    <n v="0"/>
    <n v="10861.496999999999"/>
    <n v="10861.496999999999"/>
    <n v="10861.496999999999"/>
    <n v="10861.496999999999"/>
    <n v="47881"/>
    <s v="CATIVO"/>
    <n v="0"/>
    <n v="0"/>
    <n v="14"/>
    <n v="74"/>
    <n v="0"/>
    <n v="118.67"/>
    <n v="80.680000000000007"/>
    <m/>
    <n v="10064730486.617802"/>
    <n v="103.80982310951202"/>
    <n v="0"/>
    <n v="4021360.64928"/>
    <n v="0"/>
    <n v="203019219211227.5"/>
    <x v="6"/>
  </r>
  <r>
    <s v="Regular"/>
    <x v="2"/>
    <x v="3"/>
    <x v="4"/>
    <x v="4"/>
    <x v="2"/>
    <x v="0"/>
    <x v="1"/>
    <x v="6"/>
    <n v="0"/>
    <n v="0"/>
    <n v="10916.983"/>
    <n v="10916.983"/>
    <n v="10916.983"/>
    <n v="10916.983"/>
    <n v="46469"/>
    <s v="CATIVO"/>
    <n v="0"/>
    <n v="0"/>
    <n v="14"/>
    <n v="74"/>
    <n v="0"/>
    <n v="118.67"/>
    <n v="80.680000000000007"/>
    <m/>
    <n v="10064730486.617802"/>
    <n v="103.80982310951202"/>
    <n v="0"/>
    <n v="4041903.7859200002"/>
    <n v="0"/>
    <n v="204056343688374.09"/>
    <x v="6"/>
  </r>
  <r>
    <s v="Regular"/>
    <x v="2"/>
    <x v="3"/>
    <x v="4"/>
    <x v="4"/>
    <x v="2"/>
    <x v="0"/>
    <x v="1"/>
    <x v="7"/>
    <n v="0"/>
    <n v="0"/>
    <n v="11470.518"/>
    <n v="11470.518"/>
    <n v="11470.518"/>
    <n v="11470.518"/>
    <n v="47685"/>
    <s v="CATIVO"/>
    <n v="0"/>
    <n v="0"/>
    <n v="14"/>
    <n v="74"/>
    <n v="0"/>
    <n v="118.67"/>
    <n v="80.680000000000007"/>
    <m/>
    <n v="10064730486.617802"/>
    <n v="103.80982310951202"/>
    <n v="0"/>
    <n v="4246844.5843200004"/>
    <n v="0"/>
    <n v="214402822033494.16"/>
    <x v="6"/>
  </r>
  <r>
    <s v="Regular"/>
    <x v="2"/>
    <x v="3"/>
    <x v="4"/>
    <x v="4"/>
    <x v="2"/>
    <x v="0"/>
    <x v="1"/>
    <x v="8"/>
    <n v="0"/>
    <n v="0"/>
    <n v="12009.77"/>
    <n v="12009.77"/>
    <n v="12009.77"/>
    <n v="12009.77"/>
    <n v="51375"/>
    <s v="CATIVO"/>
    <n v="0"/>
    <n v="0"/>
    <n v="14"/>
    <n v="74"/>
    <n v="0"/>
    <n v="118.67"/>
    <n v="80.680000000000007"/>
    <m/>
    <n v="10064730486.617802"/>
    <n v="103.80982310951202"/>
    <n v="0"/>
    <n v="4446497.2448000005"/>
    <n v="0"/>
    <n v="224482327648428.56"/>
    <x v="6"/>
  </r>
  <r>
    <s v="Regular"/>
    <x v="2"/>
    <x v="3"/>
    <x v="4"/>
    <x v="4"/>
    <x v="2"/>
    <x v="0"/>
    <x v="1"/>
    <x v="9"/>
    <n v="0"/>
    <n v="0"/>
    <n v="11899.406999999999"/>
    <n v="11899.406999999999"/>
    <n v="11899.406999999999"/>
    <n v="11899.406999999999"/>
    <n v="51716"/>
    <s v="CATIVO"/>
    <n v="0"/>
    <n v="0"/>
    <n v="14"/>
    <n v="74"/>
    <n v="0"/>
    <n v="118.67"/>
    <n v="80.680000000000007"/>
    <m/>
    <n v="10064730486.617802"/>
    <n v="103.80982310951202"/>
    <n v="0"/>
    <n v="4405636.4476800002"/>
    <n v="0"/>
    <n v="222419461904433.13"/>
    <x v="6"/>
  </r>
  <r>
    <s v="Regular"/>
    <x v="2"/>
    <x v="3"/>
    <x v="4"/>
    <x v="4"/>
    <x v="2"/>
    <x v="0"/>
    <x v="1"/>
    <x v="10"/>
    <n v="0"/>
    <n v="0"/>
    <n v="11920.166999999999"/>
    <n v="11920.166999999999"/>
    <n v="11920.166999999999"/>
    <n v="11920.166999999999"/>
    <n v="48796"/>
    <s v="CATIVO"/>
    <n v="0"/>
    <n v="0"/>
    <n v="14"/>
    <n v="74"/>
    <n v="0"/>
    <n v="118.67"/>
    <n v="80.680000000000007"/>
    <m/>
    <n v="10064730486.617802"/>
    <n v="103.80982310951202"/>
    <n v="0"/>
    <n v="4413322.6300799996"/>
    <n v="0"/>
    <n v="222807500403253.81"/>
    <x v="6"/>
  </r>
  <r>
    <s v="PROJETADO"/>
    <x v="2"/>
    <x v="3"/>
    <x v="4"/>
    <x v="4"/>
    <x v="2"/>
    <x v="0"/>
    <x v="1"/>
    <x v="11"/>
    <n v="0"/>
    <n v="0"/>
    <n v="11920.166999999999"/>
    <n v="11920.166999999999"/>
    <n v="11920.166999999999"/>
    <n v="11920.166999999999"/>
    <n v="48796"/>
    <s v="CATIVO"/>
    <n v="0"/>
    <n v="0"/>
    <n v="14"/>
    <n v="74"/>
    <n v="0"/>
    <n v="118.67"/>
    <n v="80.680000000000007"/>
    <m/>
    <n v="10064730486.617802"/>
    <n v="103.80982310951202"/>
    <n v="0"/>
    <n v="4413322.6300799996"/>
    <n v="0"/>
    <n v="222807500403253.81"/>
    <x v="6"/>
  </r>
  <r>
    <s v="Regular"/>
    <x v="2"/>
    <x v="3"/>
    <x v="4"/>
    <x v="5"/>
    <x v="2"/>
    <x v="0"/>
    <x v="1"/>
    <x v="0"/>
    <n v="0"/>
    <n v="0"/>
    <n v="16077.365"/>
    <n v="16077.365"/>
    <n v="16077.365"/>
    <n v="16077.365"/>
    <n v="170033"/>
    <s v="CATIVO"/>
    <n v="0"/>
    <n v="0"/>
    <n v="15"/>
    <n v="75"/>
    <n v="0"/>
    <n v="203.44"/>
    <n v="138.32"/>
    <m/>
    <n v="17253823691.344803"/>
    <n v="177.95969675916348"/>
    <n v="0"/>
    <n v="3662906.0679500005"/>
    <n v="0"/>
    <n v="184930682661680.5"/>
    <x v="6"/>
  </r>
  <r>
    <s v="Regular"/>
    <x v="2"/>
    <x v="3"/>
    <x v="4"/>
    <x v="5"/>
    <x v="2"/>
    <x v="0"/>
    <x v="1"/>
    <x v="1"/>
    <n v="0"/>
    <n v="0"/>
    <n v="15612.285"/>
    <n v="15612.285"/>
    <n v="15612.285"/>
    <n v="15612.285"/>
    <n v="181675"/>
    <s v="CATIVO"/>
    <n v="0"/>
    <n v="0"/>
    <n v="15"/>
    <n v="75"/>
    <n v="0"/>
    <n v="203.44"/>
    <n v="138.32"/>
    <m/>
    <n v="17253823691.344803"/>
    <n v="177.95969675916348"/>
    <n v="0"/>
    <n v="3556946.8915500008"/>
    <n v="0"/>
    <n v="179581077058256.41"/>
    <x v="6"/>
  </r>
  <r>
    <s v="Regular"/>
    <x v="2"/>
    <x v="3"/>
    <x v="4"/>
    <x v="5"/>
    <x v="2"/>
    <x v="0"/>
    <x v="1"/>
    <x v="2"/>
    <n v="0"/>
    <n v="0"/>
    <n v="14934.215"/>
    <n v="14934.215"/>
    <n v="14934.215"/>
    <n v="14934.215"/>
    <n v="197966"/>
    <s v="CATIVO"/>
    <n v="0"/>
    <n v="0"/>
    <n v="15"/>
    <n v="75"/>
    <n v="0"/>
    <n v="203.44"/>
    <n v="138.32"/>
    <m/>
    <n v="17253823691.344803"/>
    <n v="177.95969675916348"/>
    <n v="0"/>
    <n v="3402462.2034500008"/>
    <n v="0"/>
    <n v="171781543490883.56"/>
    <x v="6"/>
  </r>
  <r>
    <s v="Regular"/>
    <x v="2"/>
    <x v="3"/>
    <x v="4"/>
    <x v="5"/>
    <x v="2"/>
    <x v="0"/>
    <x v="1"/>
    <x v="3"/>
    <n v="0"/>
    <n v="0"/>
    <n v="14767.232"/>
    <n v="14767.232"/>
    <n v="14767.232"/>
    <n v="14767.232"/>
    <n v="205798"/>
    <s v="CATIVO"/>
    <n v="0"/>
    <n v="0"/>
    <n v="15"/>
    <n v="75"/>
    <n v="0"/>
    <n v="203.44"/>
    <n v="138.32"/>
    <m/>
    <n v="17253823691.344803"/>
    <n v="177.95969675916348"/>
    <n v="0"/>
    <n v="3364418.4665600006"/>
    <n v="0"/>
    <n v="169860813310104.84"/>
    <x v="6"/>
  </r>
  <r>
    <s v="Regular"/>
    <x v="2"/>
    <x v="3"/>
    <x v="4"/>
    <x v="5"/>
    <x v="2"/>
    <x v="0"/>
    <x v="1"/>
    <x v="4"/>
    <n v="0"/>
    <n v="0"/>
    <n v="15543.1"/>
    <n v="15543.1"/>
    <n v="15543.1"/>
    <n v="15543.1"/>
    <n v="197336"/>
    <s v="CATIVO"/>
    <n v="0"/>
    <n v="0"/>
    <n v="15"/>
    <n v="75"/>
    <n v="0"/>
    <n v="203.44"/>
    <n v="138.32"/>
    <m/>
    <n v="17253823691.344803"/>
    <n v="177.95969675916348"/>
    <n v="0"/>
    <n v="3541184.4730000007"/>
    <n v="0"/>
    <n v="178785273188657.88"/>
    <x v="6"/>
  </r>
  <r>
    <s v="Regular"/>
    <x v="2"/>
    <x v="3"/>
    <x v="4"/>
    <x v="5"/>
    <x v="2"/>
    <x v="0"/>
    <x v="1"/>
    <x v="5"/>
    <n v="0"/>
    <n v="0"/>
    <n v="16294.031000000001"/>
    <n v="16294.031000000001"/>
    <n v="16294.031000000001"/>
    <n v="16294.031000000001"/>
    <n v="184733"/>
    <s v="CATIVO"/>
    <n v="0"/>
    <n v="0"/>
    <n v="15"/>
    <n v="75"/>
    <n v="0"/>
    <n v="203.44"/>
    <n v="138.32"/>
    <m/>
    <n v="17253823691.344803"/>
    <n v="177.95969675916348"/>
    <n v="0"/>
    <n v="3712269.0827300008"/>
    <n v="0"/>
    <n v="187422893996658.34"/>
    <x v="6"/>
  </r>
  <r>
    <s v="Regular"/>
    <x v="2"/>
    <x v="3"/>
    <x v="4"/>
    <x v="5"/>
    <x v="2"/>
    <x v="0"/>
    <x v="1"/>
    <x v="6"/>
    <n v="0"/>
    <n v="0"/>
    <n v="17100.547999999999"/>
    <n v="17100.547999999999"/>
    <n v="17100.547999999999"/>
    <n v="17100.547999999999"/>
    <n v="172211"/>
    <s v="CATIVO"/>
    <n v="0"/>
    <n v="0"/>
    <n v="15"/>
    <n v="75"/>
    <n v="0"/>
    <n v="203.44"/>
    <n v="138.32"/>
    <m/>
    <n v="17253823691.344803"/>
    <n v="177.95969675916348"/>
    <n v="0"/>
    <n v="3896017.8508400004"/>
    <n v="0"/>
    <n v="196699895507058.22"/>
    <x v="6"/>
  </r>
  <r>
    <s v="Regular"/>
    <x v="2"/>
    <x v="3"/>
    <x v="4"/>
    <x v="5"/>
    <x v="2"/>
    <x v="0"/>
    <x v="1"/>
    <x v="7"/>
    <n v="0"/>
    <n v="0"/>
    <n v="18353.892"/>
    <n v="18353.892"/>
    <n v="18353.892"/>
    <n v="18353.892"/>
    <n v="173327"/>
    <s v="CATIVO"/>
    <n v="0"/>
    <n v="0"/>
    <n v="15"/>
    <n v="75"/>
    <n v="0"/>
    <n v="203.44"/>
    <n v="138.32"/>
    <m/>
    <n v="17253823691.344803"/>
    <n v="177.95969675916348"/>
    <n v="0"/>
    <n v="4181567.2143600006"/>
    <n v="0"/>
    <n v="211116546589491.28"/>
    <x v="6"/>
  </r>
  <r>
    <s v="Regular"/>
    <x v="2"/>
    <x v="3"/>
    <x v="4"/>
    <x v="5"/>
    <x v="2"/>
    <x v="0"/>
    <x v="1"/>
    <x v="8"/>
    <n v="0"/>
    <n v="0"/>
    <n v="18870.63"/>
    <n v="18870.63"/>
    <n v="18870.63"/>
    <n v="18870.63"/>
    <n v="186656"/>
    <s v="CATIVO"/>
    <n v="0"/>
    <n v="0"/>
    <n v="15"/>
    <n v="75"/>
    <n v="0"/>
    <n v="203.44"/>
    <n v="138.32"/>
    <m/>
    <n v="17253823691.344803"/>
    <n v="177.95969675916348"/>
    <n v="0"/>
    <n v="4299295.6329000005"/>
    <n v="0"/>
    <n v="217060350881875.75"/>
    <x v="6"/>
  </r>
  <r>
    <s v="Regular"/>
    <x v="2"/>
    <x v="3"/>
    <x v="4"/>
    <x v="5"/>
    <x v="2"/>
    <x v="0"/>
    <x v="1"/>
    <x v="9"/>
    <n v="0"/>
    <n v="0"/>
    <n v="19059.675999999999"/>
    <n v="19059.675999999999"/>
    <n v="19059.675999999999"/>
    <n v="19059.675999999999"/>
    <n v="193424"/>
    <s v="CATIVO"/>
    <n v="0"/>
    <n v="0"/>
    <n v="15"/>
    <n v="75"/>
    <n v="0"/>
    <n v="203.44"/>
    <n v="138.32"/>
    <m/>
    <n v="17253823691.344803"/>
    <n v="177.95969675916348"/>
    <n v="0"/>
    <n v="4342365.9830800006"/>
    <n v="0"/>
    <n v="219234861806673.44"/>
    <x v="6"/>
  </r>
  <r>
    <s v="Regular"/>
    <x v="2"/>
    <x v="3"/>
    <x v="4"/>
    <x v="5"/>
    <x v="2"/>
    <x v="0"/>
    <x v="1"/>
    <x v="10"/>
    <n v="0"/>
    <n v="0"/>
    <n v="20407.688999999998"/>
    <n v="20407.688999999998"/>
    <n v="20407.688999999998"/>
    <n v="20407.688999999998"/>
    <n v="177677"/>
    <s v="CATIVO"/>
    <n v="0"/>
    <n v="0"/>
    <n v="15"/>
    <n v="75"/>
    <n v="0"/>
    <n v="203.44"/>
    <n v="138.32"/>
    <m/>
    <n v="17253823691.344803"/>
    <n v="177.95969675916348"/>
    <n v="0"/>
    <n v="4649483.7848700006"/>
    <n v="0"/>
    <n v="234740447723695.25"/>
    <x v="6"/>
  </r>
  <r>
    <s v="PROJETADO"/>
    <x v="2"/>
    <x v="3"/>
    <x v="4"/>
    <x v="5"/>
    <x v="2"/>
    <x v="0"/>
    <x v="1"/>
    <x v="11"/>
    <n v="0"/>
    <n v="0"/>
    <n v="20407.688999999998"/>
    <n v="20407.688999999998"/>
    <n v="20407.688999999998"/>
    <n v="20407.688999999998"/>
    <n v="177677"/>
    <s v="CATIVO"/>
    <n v="0"/>
    <n v="0"/>
    <n v="15"/>
    <n v="75"/>
    <n v="0"/>
    <n v="203.44"/>
    <n v="138.32"/>
    <m/>
    <n v="17253823691.344803"/>
    <n v="177.95969675916348"/>
    <n v="0"/>
    <n v="4649483.7848700006"/>
    <n v="0"/>
    <n v="234740447723695.25"/>
    <x v="6"/>
  </r>
  <r>
    <s v="Regular"/>
    <x v="2"/>
    <x v="3"/>
    <x v="4"/>
    <x v="6"/>
    <x v="2"/>
    <x v="0"/>
    <x v="1"/>
    <x v="0"/>
    <n v="0"/>
    <n v="0"/>
    <n v="6241.5249999999996"/>
    <n v="6241.5249999999996"/>
    <n v="6241.5249999999996"/>
    <n v="6241.5249999999996"/>
    <n v="120572"/>
    <s v="CATIVO"/>
    <n v="0"/>
    <n v="0"/>
    <n v="33"/>
    <n v="54"/>
    <n v="0"/>
    <n v="305.14999999999998"/>
    <n v="207.47"/>
    <m/>
    <n v="25880735537.017204"/>
    <n v="266.93954513874525"/>
    <n v="0"/>
    <n v="355579.67925000034"/>
    <n v="0"/>
    <n v="17948362170976.797"/>
    <x v="6"/>
  </r>
  <r>
    <s v="Regular"/>
    <x v="2"/>
    <x v="3"/>
    <x v="4"/>
    <x v="6"/>
    <x v="2"/>
    <x v="0"/>
    <x v="1"/>
    <x v="1"/>
    <n v="0"/>
    <n v="0"/>
    <n v="5574.6679999999997"/>
    <n v="5574.6679999999997"/>
    <n v="5574.6679999999997"/>
    <n v="5574.6679999999997"/>
    <n v="112012"/>
    <s v="CATIVO"/>
    <n v="0"/>
    <n v="0"/>
    <n v="33"/>
    <n v="54"/>
    <n v="0"/>
    <n v="305.14999999999998"/>
    <n v="207.47"/>
    <m/>
    <n v="25880735537.017204"/>
    <n v="266.93954513874525"/>
    <n v="0"/>
    <n v="317588.83596000029"/>
    <n v="0"/>
    <n v="16030723300307.996"/>
    <x v="6"/>
  </r>
  <r>
    <s v="Regular"/>
    <x v="2"/>
    <x v="3"/>
    <x v="4"/>
    <x v="6"/>
    <x v="2"/>
    <x v="0"/>
    <x v="1"/>
    <x v="2"/>
    <n v="0"/>
    <n v="0"/>
    <n v="4570.7780000000002"/>
    <n v="4570.7780000000002"/>
    <n v="4570.7780000000002"/>
    <n v="4570.7780000000002"/>
    <n v="98967"/>
    <s v="CATIVO"/>
    <n v="0"/>
    <n v="0"/>
    <n v="33"/>
    <n v="54"/>
    <n v="0"/>
    <n v="305.14999999999998"/>
    <n v="207.47"/>
    <m/>
    <n v="25880735537.017204"/>
    <n v="266.93954513874525"/>
    <n v="0"/>
    <n v="260397.22266000026"/>
    <n v="0"/>
    <n v="13143899759615.316"/>
    <x v="6"/>
  </r>
  <r>
    <s v="Regular"/>
    <x v="2"/>
    <x v="3"/>
    <x v="4"/>
    <x v="6"/>
    <x v="2"/>
    <x v="0"/>
    <x v="1"/>
    <x v="3"/>
    <n v="0"/>
    <n v="0"/>
    <n v="4280.3370000000004"/>
    <n v="4280.3370000000004"/>
    <n v="4280.3370000000004"/>
    <n v="4280.3370000000004"/>
    <n v="94626"/>
    <s v="CATIVO"/>
    <n v="0"/>
    <n v="0"/>
    <n v="33"/>
    <n v="54"/>
    <n v="0"/>
    <n v="305.14999999999998"/>
    <n v="207.47"/>
    <m/>
    <n v="25880735537.017204"/>
    <n v="266.93954513874525"/>
    <n v="0"/>
    <n v="243850.79889000027"/>
    <n v="0"/>
    <n v="12308696783211.205"/>
    <x v="6"/>
  </r>
  <r>
    <s v="Regular"/>
    <x v="2"/>
    <x v="3"/>
    <x v="4"/>
    <x v="6"/>
    <x v="2"/>
    <x v="0"/>
    <x v="1"/>
    <x v="4"/>
    <n v="0"/>
    <n v="0"/>
    <n v="4982.7870000000003"/>
    <n v="4982.7870000000003"/>
    <n v="4982.7870000000003"/>
    <n v="4982.7870000000003"/>
    <n v="105531"/>
    <s v="CATIVO"/>
    <n v="0"/>
    <n v="0"/>
    <n v="33"/>
    <n v="54"/>
    <n v="0"/>
    <n v="305.14999999999998"/>
    <n v="207.47"/>
    <m/>
    <n v="25880735537.017204"/>
    <n v="266.93954513874525"/>
    <n v="0"/>
    <n v="283869.37539000029"/>
    <n v="0"/>
    <n v="14328688212710.029"/>
    <x v="6"/>
  </r>
  <r>
    <s v="Regular"/>
    <x v="2"/>
    <x v="3"/>
    <x v="4"/>
    <x v="6"/>
    <x v="2"/>
    <x v="0"/>
    <x v="1"/>
    <x v="5"/>
    <n v="0"/>
    <n v="0"/>
    <n v="5808.45"/>
    <n v="5808.45"/>
    <n v="5808.45"/>
    <n v="5808.45"/>
    <n v="117808"/>
    <s v="CATIVO"/>
    <n v="0"/>
    <n v="0"/>
    <n v="33"/>
    <n v="54"/>
    <n v="0"/>
    <n v="305.14999999999998"/>
    <n v="207.47"/>
    <m/>
    <n v="25880735537.017204"/>
    <n v="266.93954513874525"/>
    <n v="0"/>
    <n v="330907.39650000032"/>
    <n v="0"/>
    <n v="16702995542276.955"/>
    <x v="6"/>
  </r>
  <r>
    <s v="Regular"/>
    <x v="2"/>
    <x v="3"/>
    <x v="4"/>
    <x v="6"/>
    <x v="2"/>
    <x v="0"/>
    <x v="1"/>
    <x v="6"/>
    <n v="0"/>
    <n v="0"/>
    <n v="6793.5389999999998"/>
    <n v="6793.5389999999998"/>
    <n v="6793.5389999999998"/>
    <n v="6793.5389999999998"/>
    <n v="130909"/>
    <s v="CATIVO"/>
    <n v="0"/>
    <n v="0"/>
    <n v="33"/>
    <n v="54"/>
    <n v="0"/>
    <n v="305.14999999999998"/>
    <n v="207.47"/>
    <m/>
    <n v="25880735537.017204"/>
    <n v="266.93954513874525"/>
    <n v="0"/>
    <n v="387027.91683000035"/>
    <n v="0"/>
    <n v="19535754225875.172"/>
    <x v="6"/>
  </r>
  <r>
    <s v="Regular"/>
    <x v="2"/>
    <x v="3"/>
    <x v="4"/>
    <x v="6"/>
    <x v="2"/>
    <x v="0"/>
    <x v="1"/>
    <x v="7"/>
    <n v="0"/>
    <n v="0"/>
    <n v="7819.826"/>
    <n v="7819.826"/>
    <n v="7819.826"/>
    <n v="7819.826"/>
    <n v="143851"/>
    <s v="CATIVO"/>
    <n v="0"/>
    <n v="0"/>
    <n v="33"/>
    <n v="54"/>
    <n v="0"/>
    <n v="305.14999999999998"/>
    <n v="207.47"/>
    <m/>
    <n v="25880735537.017204"/>
    <n v="266.93954513874525"/>
    <n v="0"/>
    <n v="445495.48722000042"/>
    <n v="0"/>
    <n v="22486983415434.656"/>
    <x v="6"/>
  </r>
  <r>
    <s v="Regular"/>
    <x v="2"/>
    <x v="3"/>
    <x v="4"/>
    <x v="6"/>
    <x v="2"/>
    <x v="0"/>
    <x v="1"/>
    <x v="8"/>
    <n v="0"/>
    <n v="0"/>
    <n v="7863.6009999999997"/>
    <n v="7863.6009999999997"/>
    <n v="7863.6009999999997"/>
    <n v="7863.6009999999997"/>
    <n v="144783"/>
    <s v="CATIVO"/>
    <n v="0"/>
    <n v="0"/>
    <n v="33"/>
    <n v="54"/>
    <n v="0"/>
    <n v="305.14999999999998"/>
    <n v="207.47"/>
    <m/>
    <n v="25880735537.017204"/>
    <n v="266.93954513874525"/>
    <n v="0"/>
    <n v="447989.3489700004"/>
    <n v="0"/>
    <n v="22612864438747.789"/>
    <x v="6"/>
  </r>
  <r>
    <s v="Regular"/>
    <x v="2"/>
    <x v="3"/>
    <x v="4"/>
    <x v="6"/>
    <x v="2"/>
    <x v="0"/>
    <x v="1"/>
    <x v="9"/>
    <n v="0"/>
    <n v="0"/>
    <n v="7866.2489999999998"/>
    <n v="7866.2489999999998"/>
    <n v="7866.2489999999998"/>
    <n v="7866.2489999999998"/>
    <n v="143765"/>
    <s v="CATIVO"/>
    <n v="0"/>
    <n v="0"/>
    <n v="33"/>
    <n v="54"/>
    <n v="0"/>
    <n v="305.14999999999998"/>
    <n v="207.47"/>
    <m/>
    <n v="25880735537.017204"/>
    <n v="266.93954513874525"/>
    <n v="0"/>
    <n v="448140.20553000044"/>
    <n v="0"/>
    <n v="22620479126348.777"/>
    <x v="6"/>
  </r>
  <r>
    <s v="Regular"/>
    <x v="2"/>
    <x v="3"/>
    <x v="4"/>
    <x v="6"/>
    <x v="2"/>
    <x v="0"/>
    <x v="1"/>
    <x v="10"/>
    <n v="0"/>
    <n v="0"/>
    <n v="9757.3469999999998"/>
    <n v="9757.3469999999998"/>
    <n v="9757.3469999999998"/>
    <n v="9757.3469999999998"/>
    <n v="163822"/>
    <s v="CATIVO"/>
    <n v="0"/>
    <n v="0"/>
    <n v="33"/>
    <n v="54"/>
    <n v="0"/>
    <n v="305.14999999999998"/>
    <n v="207.47"/>
    <m/>
    <n v="25880735537.017204"/>
    <n v="266.93954513874525"/>
    <n v="0"/>
    <n v="555876.0585900005"/>
    <n v="0"/>
    <n v="28058591094947.777"/>
    <x v="6"/>
  </r>
  <r>
    <s v="PROJETADO"/>
    <x v="2"/>
    <x v="3"/>
    <x v="4"/>
    <x v="6"/>
    <x v="2"/>
    <x v="0"/>
    <x v="1"/>
    <x v="11"/>
    <n v="0"/>
    <n v="0"/>
    <n v="9757.3469999999998"/>
    <n v="9757.3469999999998"/>
    <n v="9757.3469999999998"/>
    <n v="9757.3469999999998"/>
    <n v="163822"/>
    <s v="CATIVO"/>
    <n v="0"/>
    <n v="0"/>
    <n v="33"/>
    <n v="54"/>
    <n v="0"/>
    <n v="305.14999999999998"/>
    <n v="207.47"/>
    <m/>
    <n v="25880735537.017204"/>
    <n v="266.93954513874525"/>
    <n v="0"/>
    <n v="555876.0585900005"/>
    <n v="0"/>
    <n v="28058591094947.777"/>
    <x v="6"/>
  </r>
  <r>
    <s v="Regular"/>
    <x v="2"/>
    <x v="3"/>
    <x v="4"/>
    <x v="7"/>
    <x v="2"/>
    <x v="0"/>
    <x v="1"/>
    <x v="0"/>
    <n v="0"/>
    <n v="0"/>
    <n v="1251.383"/>
    <n v="1251.383"/>
    <n v="1251.383"/>
    <n v="1251.383"/>
    <n v="13300"/>
    <s v="CATIVO"/>
    <n v="0"/>
    <n v="0"/>
    <n v="34"/>
    <n v="55"/>
    <n v="0"/>
    <n v="339.06"/>
    <n v="230.53"/>
    <m/>
    <n v="28756372818.908005"/>
    <n v="296.59949459860582"/>
    <n v="0"/>
    <n v="3.5566444012147259E-11"/>
    <n v="0"/>
    <n v="4.198092332262604E-4"/>
    <x v="6"/>
  </r>
  <r>
    <s v="Regular"/>
    <x v="2"/>
    <x v="3"/>
    <x v="4"/>
    <x v="7"/>
    <x v="2"/>
    <x v="0"/>
    <x v="1"/>
    <x v="1"/>
    <n v="0"/>
    <n v="0"/>
    <n v="1007.394"/>
    <n v="1007.394"/>
    <n v="1007.394"/>
    <n v="1007.394"/>
    <n v="11410"/>
    <s v="CATIVO"/>
    <n v="0"/>
    <n v="0"/>
    <n v="34"/>
    <n v="55"/>
    <n v="0"/>
    <n v="339.06"/>
    <n v="230.53"/>
    <m/>
    <n v="28756372818.908005"/>
    <n v="296.59949459860582"/>
    <n v="0"/>
    <n v="2.8631859549932415E-11"/>
    <n v="0"/>
    <n v="3.3795672683481823E-4"/>
    <x v="6"/>
  </r>
  <r>
    <s v="Regular"/>
    <x v="2"/>
    <x v="3"/>
    <x v="4"/>
    <x v="7"/>
    <x v="2"/>
    <x v="0"/>
    <x v="1"/>
    <x v="2"/>
    <n v="0"/>
    <n v="0"/>
    <n v="777.51199999999994"/>
    <n v="777.51199999999994"/>
    <n v="777.51199999999994"/>
    <n v="777.51199999999994"/>
    <n v="8641"/>
    <s v="CATIVO"/>
    <n v="0"/>
    <n v="0"/>
    <n v="34"/>
    <n v="55"/>
    <n v="0"/>
    <n v="339.06"/>
    <n v="230.53"/>
    <m/>
    <n v="28756372818.908005"/>
    <n v="296.59949459860582"/>
    <n v="0"/>
    <n v="2.2098220142652279E-11"/>
    <n v="0"/>
    <n v="2.6083678341819904E-4"/>
    <x v="6"/>
  </r>
  <r>
    <s v="Refaturamento - Regular"/>
    <x v="2"/>
    <x v="3"/>
    <x v="4"/>
    <x v="7"/>
    <x v="2"/>
    <x v="0"/>
    <x v="1"/>
    <x v="2"/>
    <n v="0"/>
    <n v="0"/>
    <n v="-1012.818"/>
    <n v="-1012.818"/>
    <n v="-1012.818"/>
    <n v="-1012.818"/>
    <n v="-41"/>
    <s v="CATIVO"/>
    <n v="0"/>
    <n v="0"/>
    <n v="34"/>
    <n v="55"/>
    <n v="0"/>
    <n v="339.06"/>
    <n v="230.53"/>
    <m/>
    <n v="28756372818.908005"/>
    <n v="296.59949459860582"/>
    <n v="0"/>
    <n v="-2.8786018901882926E-11"/>
    <n v="0"/>
    <n v="-3.3977634982875317E-4"/>
    <x v="6"/>
  </r>
  <r>
    <s v="Regular"/>
    <x v="2"/>
    <x v="3"/>
    <x v="4"/>
    <x v="7"/>
    <x v="2"/>
    <x v="0"/>
    <x v="1"/>
    <x v="3"/>
    <n v="0"/>
    <n v="0"/>
    <n v="721.98299999999995"/>
    <n v="721.98299999999995"/>
    <n v="721.98299999999995"/>
    <n v="721.98299999999995"/>
    <n v="7999"/>
    <s v="CATIVO"/>
    <n v="0"/>
    <n v="0"/>
    <n v="34"/>
    <n v="55"/>
    <n v="0"/>
    <n v="339.06"/>
    <n v="230.53"/>
    <m/>
    <n v="28756372818.908005"/>
    <n v="296.59949459860582"/>
    <n v="0"/>
    <n v="2.0519991039691375E-11"/>
    <n v="0"/>
    <n v="2.4220812463681795E-4"/>
    <x v="6"/>
  </r>
  <r>
    <s v="Regular"/>
    <x v="2"/>
    <x v="3"/>
    <x v="4"/>
    <x v="7"/>
    <x v="2"/>
    <x v="0"/>
    <x v="1"/>
    <x v="4"/>
    <n v="0"/>
    <n v="0"/>
    <n v="886.71199999999999"/>
    <n v="886.71199999999999"/>
    <n v="886.71199999999999"/>
    <n v="886.71199999999999"/>
    <n v="9854"/>
    <s v="CATIVO"/>
    <n v="0"/>
    <n v="0"/>
    <n v="34"/>
    <n v="55"/>
    <n v="0"/>
    <n v="339.06"/>
    <n v="230.53"/>
    <m/>
    <n v="28756372818.908005"/>
    <n v="296.59949459860582"/>
    <n v="0"/>
    <n v="2.5201870812452398E-11"/>
    <n v="0"/>
    <n v="2.9747078617219813E-4"/>
    <x v="6"/>
  </r>
  <r>
    <s v="Regular"/>
    <x v="2"/>
    <x v="3"/>
    <x v="4"/>
    <x v="7"/>
    <x v="2"/>
    <x v="0"/>
    <x v="1"/>
    <x v="5"/>
    <n v="0"/>
    <n v="0"/>
    <n v="1087.183"/>
    <n v="1087.183"/>
    <n v="1087.183"/>
    <n v="1087.183"/>
    <n v="12032"/>
    <s v="CATIVO"/>
    <n v="0"/>
    <n v="0"/>
    <n v="34"/>
    <n v="55"/>
    <n v="0"/>
    <n v="339.06"/>
    <n v="230.53"/>
    <m/>
    <n v="28756372818.908005"/>
    <n v="296.59949459860582"/>
    <n v="0"/>
    <n v="3.089959932367492E-11"/>
    <n v="0"/>
    <n v="3.6472403860898339E-4"/>
    <x v="6"/>
  </r>
  <r>
    <s v="Regular"/>
    <x v="2"/>
    <x v="3"/>
    <x v="4"/>
    <x v="7"/>
    <x v="2"/>
    <x v="0"/>
    <x v="1"/>
    <x v="6"/>
    <n v="0"/>
    <n v="0"/>
    <n v="1353.7639999999999"/>
    <n v="1353.7639999999999"/>
    <n v="1353.7639999999999"/>
    <n v="1353.7639999999999"/>
    <n v="14736"/>
    <s v="CATIVO"/>
    <n v="0"/>
    <n v="0"/>
    <n v="34"/>
    <n v="55"/>
    <n v="0"/>
    <n v="339.06"/>
    <n v="230.53"/>
    <m/>
    <n v="28756372818.908005"/>
    <n v="296.59949459860582"/>
    <n v="0"/>
    <n v="3.8476287045341448E-11"/>
    <n v="0"/>
    <n v="4.5415562366542869E-4"/>
    <x v="6"/>
  </r>
  <r>
    <s v="Regular"/>
    <x v="2"/>
    <x v="3"/>
    <x v="4"/>
    <x v="7"/>
    <x v="2"/>
    <x v="0"/>
    <x v="1"/>
    <x v="7"/>
    <n v="0"/>
    <n v="0"/>
    <n v="1757.1959999999999"/>
    <n v="1757.1959999999999"/>
    <n v="1757.1959999999999"/>
    <n v="1757.1959999999999"/>
    <n v="17963"/>
    <s v="CATIVO"/>
    <n v="0"/>
    <n v="0"/>
    <n v="34"/>
    <n v="55"/>
    <n v="0"/>
    <n v="339.06"/>
    <n v="230.53"/>
    <m/>
    <n v="28756372818.908005"/>
    <n v="296.59949459860582"/>
    <n v="0"/>
    <n v="4.9942514124268198E-11"/>
    <n v="0"/>
    <n v="5.8949746431608213E-4"/>
    <x v="6"/>
  </r>
  <r>
    <s v="Regular"/>
    <x v="2"/>
    <x v="3"/>
    <x v="4"/>
    <x v="7"/>
    <x v="2"/>
    <x v="0"/>
    <x v="1"/>
    <x v="8"/>
    <n v="0"/>
    <n v="0"/>
    <n v="1811.5360000000001"/>
    <n v="1811.5360000000001"/>
    <n v="1811.5360000000001"/>
    <n v="1811.5360000000001"/>
    <n v="18068"/>
    <s v="CATIVO"/>
    <n v="0"/>
    <n v="0"/>
    <n v="34"/>
    <n v="55"/>
    <n v="0"/>
    <n v="339.06"/>
    <n v="230.53"/>
    <m/>
    <n v="28756372818.908005"/>
    <n v="296.59949459860582"/>
    <n v="0"/>
    <n v="5.1486949814716356E-11"/>
    <n v="0"/>
    <n v="6.0772724187700081E-4"/>
    <x v="6"/>
  </r>
  <r>
    <s v="Regular"/>
    <x v="2"/>
    <x v="3"/>
    <x v="4"/>
    <x v="7"/>
    <x v="2"/>
    <x v="0"/>
    <x v="1"/>
    <x v="9"/>
    <n v="0"/>
    <n v="0"/>
    <n v="1773.5150000000001"/>
    <n v="1773.5150000000001"/>
    <n v="1773.5150000000001"/>
    <n v="1773.5150000000001"/>
    <n v="17479"/>
    <s v="CATIVO"/>
    <n v="0"/>
    <n v="0"/>
    <n v="34"/>
    <n v="55"/>
    <n v="0"/>
    <n v="339.06"/>
    <n v="230.53"/>
    <m/>
    <n v="28756372818.908005"/>
    <n v="296.59949459860582"/>
    <n v="0"/>
    <n v="5.0406328000462966E-11"/>
    <n v="0"/>
    <n v="5.9497210068002468E-4"/>
    <x v="6"/>
  </r>
  <r>
    <s v="Regular"/>
    <x v="2"/>
    <x v="3"/>
    <x v="4"/>
    <x v="7"/>
    <x v="2"/>
    <x v="0"/>
    <x v="1"/>
    <x v="10"/>
    <n v="0"/>
    <n v="0"/>
    <n v="2266.096"/>
    <n v="2266.096"/>
    <n v="2266.096"/>
    <n v="2266.096"/>
    <n v="23101"/>
    <s v="CATIVO"/>
    <n v="0"/>
    <n v="0"/>
    <n v="34"/>
    <n v="55"/>
    <n v="0"/>
    <n v="339.06"/>
    <n v="230.53"/>
    <m/>
    <n v="28756372818.908005"/>
    <n v="296.59949459860582"/>
    <n v="0"/>
    <n v="6.44063220534008E-11"/>
    <n v="0"/>
    <n v="7.6022131048375735E-4"/>
    <x v="6"/>
  </r>
  <r>
    <s v="PROJETADO"/>
    <x v="2"/>
    <x v="3"/>
    <x v="4"/>
    <x v="7"/>
    <x v="2"/>
    <x v="0"/>
    <x v="1"/>
    <x v="11"/>
    <n v="0"/>
    <n v="0"/>
    <n v="2266.096"/>
    <n v="2266.096"/>
    <n v="2266.096"/>
    <n v="2266.096"/>
    <n v="23101"/>
    <s v="CATIVO"/>
    <n v="0"/>
    <n v="0"/>
    <n v="34"/>
    <n v="55"/>
    <n v="0"/>
    <n v="339.06"/>
    <n v="230.53"/>
    <m/>
    <n v="28756372818.908005"/>
    <n v="296.59949459860582"/>
    <n v="0"/>
    <n v="6.44063220534008E-11"/>
    <n v="0"/>
    <n v="7.6022131048375735E-4"/>
    <x v="6"/>
  </r>
  <r>
    <s v="Regular"/>
    <x v="3"/>
    <x v="4"/>
    <x v="1"/>
    <x v="0"/>
    <x v="2"/>
    <x v="0"/>
    <x v="0"/>
    <x v="0"/>
    <n v="0"/>
    <n v="0"/>
    <n v="1.2929999999999999"/>
    <n v="1.2929999999999999"/>
    <n v="1.2929999999999999"/>
    <n v="1.2929999999999999"/>
    <n v="0"/>
    <s v="CATIVO"/>
    <n v="0"/>
    <n v="0"/>
    <n v="21"/>
    <n v="61"/>
    <n v="0"/>
    <n v="268.14"/>
    <n v="193.58"/>
    <m/>
    <n v="27030990407.045307"/>
    <n v="266.40473000920156"/>
    <n v="0"/>
    <n v="38.106635744680858"/>
    <n v="0"/>
    <n v="2230919421.7513337"/>
    <x v="2"/>
  </r>
  <r>
    <s v="Regular"/>
    <x v="3"/>
    <x v="4"/>
    <x v="1"/>
    <x v="0"/>
    <x v="2"/>
    <x v="0"/>
    <x v="0"/>
    <x v="1"/>
    <n v="0"/>
    <n v="0"/>
    <n v="0.1"/>
    <n v="0.1"/>
    <n v="0.1"/>
    <n v="0.1"/>
    <n v="0"/>
    <s v="CATIVO"/>
    <n v="0"/>
    <n v="0"/>
    <n v="21"/>
    <n v="61"/>
    <n v="0"/>
    <n v="268.14"/>
    <n v="193.58"/>
    <m/>
    <n v="27030990407.045307"/>
    <n v="266.40473000920156"/>
    <n v="0"/>
    <n v="2.9471489361702132"/>
    <n v="0"/>
    <n v="172538238.34117046"/>
    <x v="2"/>
  </r>
  <r>
    <s v="Regular"/>
    <x v="3"/>
    <x v="4"/>
    <x v="1"/>
    <x v="0"/>
    <x v="2"/>
    <x v="0"/>
    <x v="0"/>
    <x v="2"/>
    <n v="0"/>
    <n v="0"/>
    <n v="0.1"/>
    <n v="0.1"/>
    <n v="0.1"/>
    <n v="0.1"/>
    <n v="0"/>
    <s v="CATIVO"/>
    <n v="0"/>
    <n v="0"/>
    <n v="21"/>
    <n v="61"/>
    <n v="0"/>
    <n v="268.14"/>
    <n v="193.58"/>
    <m/>
    <n v="27030990407.045307"/>
    <n v="266.40473000920156"/>
    <n v="0"/>
    <n v="2.9471489361702132"/>
    <n v="0"/>
    <n v="172538238.34117046"/>
    <x v="2"/>
  </r>
  <r>
    <s v="Regular"/>
    <x v="3"/>
    <x v="4"/>
    <x v="1"/>
    <x v="0"/>
    <x v="2"/>
    <x v="0"/>
    <x v="0"/>
    <x v="3"/>
    <n v="0"/>
    <n v="0"/>
    <n v="0.1"/>
    <n v="0.1"/>
    <n v="0.1"/>
    <n v="0.1"/>
    <n v="0"/>
    <s v="CATIVO"/>
    <n v="0"/>
    <n v="0"/>
    <n v="21"/>
    <n v="61"/>
    <n v="0"/>
    <n v="268.14"/>
    <n v="193.58"/>
    <m/>
    <n v="27030990407.045307"/>
    <n v="266.40473000920156"/>
    <n v="0"/>
    <n v="2.9471489361702132"/>
    <n v="0"/>
    <n v="172538238.34117046"/>
    <x v="2"/>
  </r>
  <r>
    <s v="Regular"/>
    <x v="3"/>
    <x v="4"/>
    <x v="1"/>
    <x v="0"/>
    <x v="2"/>
    <x v="0"/>
    <x v="0"/>
    <x v="5"/>
    <n v="0"/>
    <n v="0"/>
    <n v="1.0640000000000001"/>
    <n v="1.0640000000000001"/>
    <n v="1.0640000000000001"/>
    <n v="1.0640000000000001"/>
    <n v="0"/>
    <s v="CATIVO"/>
    <n v="0"/>
    <n v="0"/>
    <n v="21"/>
    <n v="61"/>
    <n v="0"/>
    <n v="268.14"/>
    <n v="193.58"/>
    <m/>
    <n v="27030990407.045307"/>
    <n v="266.40473000920156"/>
    <n v="0"/>
    <n v="31.35766468085107"/>
    <n v="0"/>
    <n v="1835806855.9500535"/>
    <x v="2"/>
  </r>
  <r>
    <s v="Regular"/>
    <x v="3"/>
    <x v="4"/>
    <x v="1"/>
    <x v="0"/>
    <x v="2"/>
    <x v="0"/>
    <x v="0"/>
    <x v="6"/>
    <n v="0"/>
    <n v="0"/>
    <n v="1.5489999999999999"/>
    <n v="1.5489999999999999"/>
    <n v="1.5489999999999999"/>
    <n v="1.5489999999999999"/>
    <n v="0"/>
    <s v="CATIVO"/>
    <n v="0"/>
    <n v="0"/>
    <n v="21"/>
    <n v="61"/>
    <n v="0"/>
    <n v="268.14"/>
    <n v="193.58"/>
    <m/>
    <n v="27030990407.045307"/>
    <n v="266.40473000920156"/>
    <n v="0"/>
    <n v="45.651337021276589"/>
    <n v="0"/>
    <n v="2672617311.9047298"/>
    <x v="2"/>
  </r>
  <r>
    <s v="Regular"/>
    <x v="3"/>
    <x v="4"/>
    <x v="1"/>
    <x v="0"/>
    <x v="2"/>
    <x v="0"/>
    <x v="0"/>
    <x v="7"/>
    <n v="0"/>
    <n v="0"/>
    <n v="1.798"/>
    <n v="1.798"/>
    <n v="1.798"/>
    <n v="1.798"/>
    <n v="0"/>
    <s v="CATIVO"/>
    <n v="0"/>
    <n v="0"/>
    <n v="21"/>
    <n v="61"/>
    <n v="0"/>
    <n v="268.14"/>
    <n v="193.58"/>
    <m/>
    <n v="27030990407.045307"/>
    <n v="266.40473000920156"/>
    <n v="0"/>
    <n v="52.989737872340427"/>
    <n v="0"/>
    <n v="3102237525.3742447"/>
    <x v="2"/>
  </r>
  <r>
    <s v="Regular"/>
    <x v="3"/>
    <x v="4"/>
    <x v="1"/>
    <x v="0"/>
    <x v="2"/>
    <x v="0"/>
    <x v="0"/>
    <x v="8"/>
    <n v="0"/>
    <n v="0"/>
    <n v="0.55000000000000004"/>
    <n v="0.55000000000000004"/>
    <n v="0.55000000000000004"/>
    <n v="0.55000000000000004"/>
    <n v="0"/>
    <s v="CATIVO"/>
    <n v="0"/>
    <n v="0"/>
    <n v="21"/>
    <n v="61"/>
    <n v="0"/>
    <n v="268.14"/>
    <n v="193.58"/>
    <m/>
    <n v="27030990407.045307"/>
    <n v="266.40473000920156"/>
    <n v="0"/>
    <n v="16.209319148936171"/>
    <n v="0"/>
    <n v="948960310.87643754"/>
    <x v="2"/>
  </r>
  <r>
    <s v="Regular"/>
    <x v="3"/>
    <x v="4"/>
    <x v="1"/>
    <x v="0"/>
    <x v="2"/>
    <x v="0"/>
    <x v="0"/>
    <x v="9"/>
    <n v="0"/>
    <n v="0"/>
    <n v="0.38300000000000001"/>
    <n v="0.38300000000000001"/>
    <n v="0.38300000000000001"/>
    <n v="0.38300000000000001"/>
    <n v="0"/>
    <s v="CATIVO"/>
    <n v="0"/>
    <n v="0"/>
    <n v="21"/>
    <n v="61"/>
    <n v="0"/>
    <n v="268.14"/>
    <n v="193.58"/>
    <m/>
    <n v="27030990407.045307"/>
    <n v="266.40473000920156"/>
    <n v="0"/>
    <n v="11.287580425531916"/>
    <n v="0"/>
    <n v="660821452.84668291"/>
    <x v="2"/>
  </r>
  <r>
    <s v="Regular"/>
    <x v="3"/>
    <x v="4"/>
    <x v="1"/>
    <x v="0"/>
    <x v="2"/>
    <x v="0"/>
    <x v="0"/>
    <x v="10"/>
    <n v="0"/>
    <n v="0"/>
    <n v="1.01"/>
    <n v="1.01"/>
    <n v="1.01"/>
    <n v="1.01"/>
    <n v="0"/>
    <s v="CATIVO"/>
    <n v="0"/>
    <n v="0"/>
    <n v="21"/>
    <n v="61"/>
    <n v="0"/>
    <n v="268.14"/>
    <n v="193.58"/>
    <m/>
    <n v="27030990407.045307"/>
    <n v="266.40473000920156"/>
    <n v="0"/>
    <n v="29.766204255319149"/>
    <n v="0"/>
    <n v="1742636207.2458217"/>
    <x v="2"/>
  </r>
  <r>
    <s v="PROJETADO"/>
    <x v="3"/>
    <x v="4"/>
    <x v="1"/>
    <x v="0"/>
    <x v="2"/>
    <x v="0"/>
    <x v="0"/>
    <x v="11"/>
    <n v="0"/>
    <n v="0"/>
    <n v="1.01"/>
    <n v="1.01"/>
    <n v="1.01"/>
    <n v="1.01"/>
    <n v="0"/>
    <s v="CATIVO"/>
    <n v="0"/>
    <n v="0"/>
    <n v="21"/>
    <n v="61"/>
    <n v="0"/>
    <n v="268.14"/>
    <n v="193.58"/>
    <m/>
    <n v="27030990407.045307"/>
    <n v="266.40473000920156"/>
    <n v="0"/>
    <n v="29.766204255319149"/>
    <n v="0"/>
    <n v="1742636207.2458217"/>
    <x v="2"/>
  </r>
  <r>
    <s v="Regular"/>
    <x v="3"/>
    <x v="4"/>
    <x v="1"/>
    <x v="0"/>
    <x v="2"/>
    <x v="0"/>
    <x v="3"/>
    <x v="0"/>
    <n v="0"/>
    <n v="0"/>
    <n v="6.0000000000000001E-3"/>
    <n v="6.0000000000000001E-3"/>
    <n v="6.0000000000000001E-3"/>
    <n v="6.0000000000000001E-3"/>
    <n v="0"/>
    <s v="CATIVO"/>
    <n v="0"/>
    <n v="0"/>
    <n v="20"/>
    <n v="60"/>
    <n v="0"/>
    <n v="578.61"/>
    <n v="193.58"/>
    <m/>
    <n v="27030990820.269302"/>
    <n v="266.40473000920156"/>
    <n v="0"/>
    <n v="0.29573234042553193"/>
    <n v="0"/>
    <n v="10352294.458726224"/>
    <x v="2"/>
  </r>
  <r>
    <s v="Regular"/>
    <x v="3"/>
    <x v="4"/>
    <x v="1"/>
    <x v="0"/>
    <x v="2"/>
    <x v="0"/>
    <x v="3"/>
    <x v="5"/>
    <n v="0"/>
    <n v="0"/>
    <n v="4.0000000000000001E-3"/>
    <n v="4.0000000000000001E-3"/>
    <n v="4.0000000000000001E-3"/>
    <n v="4.0000000000000001E-3"/>
    <n v="0"/>
    <s v="CATIVO"/>
    <n v="0"/>
    <n v="0"/>
    <n v="20"/>
    <n v="60"/>
    <n v="0"/>
    <n v="578.61"/>
    <n v="193.58"/>
    <m/>
    <n v="27030990820.269302"/>
    <n v="266.40473000920156"/>
    <n v="0"/>
    <n v="0.19715489361702132"/>
    <n v="0"/>
    <n v="6901529.6391508169"/>
    <x v="2"/>
  </r>
  <r>
    <s v="Regular"/>
    <x v="3"/>
    <x v="4"/>
    <x v="1"/>
    <x v="0"/>
    <x v="2"/>
    <x v="0"/>
    <x v="3"/>
    <x v="6"/>
    <n v="0"/>
    <n v="0"/>
    <n v="1.2999999999999999E-2"/>
    <n v="1.2999999999999999E-2"/>
    <n v="1.2999999999999999E-2"/>
    <n v="1.2999999999999999E-2"/>
    <n v="0"/>
    <s v="CATIVO"/>
    <n v="0"/>
    <n v="0"/>
    <n v="20"/>
    <n v="60"/>
    <n v="0"/>
    <n v="578.61"/>
    <n v="193.58"/>
    <m/>
    <n v="27030990820.269302"/>
    <n v="266.40473000920156"/>
    <n v="0"/>
    <n v="0.64075340425531913"/>
    <n v="0"/>
    <n v="22429971.327240154"/>
    <x v="2"/>
  </r>
  <r>
    <s v="Regular"/>
    <x v="3"/>
    <x v="4"/>
    <x v="1"/>
    <x v="0"/>
    <x v="2"/>
    <x v="0"/>
    <x v="3"/>
    <x v="7"/>
    <n v="0"/>
    <n v="0"/>
    <n v="6.0000000000000001E-3"/>
    <n v="6.0000000000000001E-3"/>
    <n v="6.0000000000000001E-3"/>
    <n v="6.0000000000000001E-3"/>
    <n v="0"/>
    <s v="CATIVO"/>
    <n v="0"/>
    <n v="0"/>
    <n v="20"/>
    <n v="60"/>
    <n v="0"/>
    <n v="578.61"/>
    <n v="193.58"/>
    <m/>
    <n v="27030990820.269302"/>
    <n v="266.40473000920156"/>
    <n v="0"/>
    <n v="0.29573234042553193"/>
    <n v="0"/>
    <n v="10352294.458726224"/>
    <x v="2"/>
  </r>
  <r>
    <s v="Regular"/>
    <x v="3"/>
    <x v="4"/>
    <x v="1"/>
    <x v="0"/>
    <x v="2"/>
    <x v="0"/>
    <x v="3"/>
    <x v="10"/>
    <n v="0"/>
    <n v="0"/>
    <n v="1E-3"/>
    <n v="1E-3"/>
    <n v="1E-3"/>
    <n v="1E-3"/>
    <n v="0"/>
    <s v="CATIVO"/>
    <n v="0"/>
    <n v="0"/>
    <n v="20"/>
    <n v="60"/>
    <n v="0"/>
    <n v="578.61"/>
    <n v="193.58"/>
    <m/>
    <n v="27030990820.269302"/>
    <n v="266.40473000920156"/>
    <n v="0"/>
    <n v="4.928872340425533E-2"/>
    <n v="0"/>
    <n v="1725382.4097877042"/>
    <x v="2"/>
  </r>
  <r>
    <s v="PROJETADO"/>
    <x v="3"/>
    <x v="4"/>
    <x v="1"/>
    <x v="0"/>
    <x v="2"/>
    <x v="0"/>
    <x v="3"/>
    <x v="11"/>
    <n v="0"/>
    <n v="0"/>
    <n v="1E-3"/>
    <n v="1E-3"/>
    <n v="1E-3"/>
    <n v="1E-3"/>
    <n v="0"/>
    <s v="CATIVO"/>
    <n v="0"/>
    <n v="0"/>
    <n v="20"/>
    <n v="60"/>
    <n v="0"/>
    <n v="578.61"/>
    <n v="193.58"/>
    <m/>
    <n v="27030990820.269302"/>
    <n v="266.40473000920156"/>
    <n v="0"/>
    <n v="4.928872340425533E-2"/>
    <n v="0"/>
    <n v="1725382.4097877042"/>
    <x v="2"/>
  </r>
  <r>
    <s v="Regular"/>
    <x v="3"/>
    <x v="4"/>
    <x v="1"/>
    <x v="0"/>
    <x v="2"/>
    <x v="0"/>
    <x v="2"/>
    <x v="5"/>
    <n v="0"/>
    <n v="0"/>
    <n v="1E-3"/>
    <n v="1E-3"/>
    <n v="1E-3"/>
    <n v="1E-3"/>
    <n v="0"/>
    <s v="CATIVO"/>
    <n v="0"/>
    <n v="0"/>
    <n v="19"/>
    <n v="59"/>
    <n v="0"/>
    <n v="889.08"/>
    <n v="305.02"/>
    <m/>
    <n v="27030991233.493011"/>
    <n v="415.19026897105607"/>
    <n v="0"/>
    <n v="7.6219148936170225E-2"/>
    <n v="0"/>
    <n v="1725382.4456606349"/>
    <x v="2"/>
  </r>
  <r>
    <s v="Regular"/>
    <x v="3"/>
    <x v="4"/>
    <x v="1"/>
    <x v="0"/>
    <x v="2"/>
    <x v="0"/>
    <x v="2"/>
    <x v="6"/>
    <n v="0"/>
    <n v="0"/>
    <n v="1E-3"/>
    <n v="1E-3"/>
    <n v="1E-3"/>
    <n v="1E-3"/>
    <n v="0"/>
    <s v="CATIVO"/>
    <n v="0"/>
    <n v="0"/>
    <n v="19"/>
    <n v="59"/>
    <n v="0"/>
    <n v="889.08"/>
    <n v="305.02"/>
    <m/>
    <n v="27030991233.493011"/>
    <n v="415.19026897105607"/>
    <n v="0"/>
    <n v="7.6219148936170225E-2"/>
    <n v="0"/>
    <n v="1725382.4456606349"/>
    <x v="2"/>
  </r>
  <r>
    <s v="Regular"/>
    <x v="3"/>
    <x v="4"/>
    <x v="1"/>
    <x v="0"/>
    <x v="2"/>
    <x v="0"/>
    <x v="2"/>
    <x v="7"/>
    <n v="0"/>
    <n v="0"/>
    <n v="1E-3"/>
    <n v="1E-3"/>
    <n v="1E-3"/>
    <n v="1E-3"/>
    <n v="0"/>
    <s v="CATIVO"/>
    <n v="0"/>
    <n v="0"/>
    <n v="19"/>
    <n v="59"/>
    <n v="0"/>
    <n v="889.08"/>
    <n v="305.02"/>
    <m/>
    <n v="27030991233.493011"/>
    <n v="415.19026897105607"/>
    <n v="0"/>
    <n v="7.6219148936170225E-2"/>
    <n v="0"/>
    <n v="1725382.4456606349"/>
    <x v="2"/>
  </r>
  <r>
    <s v="Regular"/>
    <x v="3"/>
    <x v="3"/>
    <x v="1"/>
    <x v="1"/>
    <x v="4"/>
    <x v="0"/>
    <x v="1"/>
    <x v="0"/>
    <n v="0"/>
    <n v="0"/>
    <n v="15.4"/>
    <n v="15.4"/>
    <n v="15.4"/>
    <n v="15.4"/>
    <n v="0"/>
    <s v="CATIVO"/>
    <n v="0"/>
    <n v="0"/>
    <n v="37"/>
    <n v="78"/>
    <n v="0"/>
    <n v="348.11"/>
    <n v="202.86"/>
    <m/>
    <n v="27030990513.481594"/>
    <n v="278.80352492268946"/>
    <n v="0"/>
    <n v="1157.1559999999997"/>
    <n v="0"/>
    <n v="26570888821.352638"/>
    <x v="2"/>
  </r>
  <r>
    <s v="Regular"/>
    <x v="3"/>
    <x v="3"/>
    <x v="1"/>
    <x v="1"/>
    <x v="4"/>
    <x v="0"/>
    <x v="1"/>
    <x v="1"/>
    <n v="0"/>
    <n v="0"/>
    <n v="17.745000000000001"/>
    <n v="17.745000000000001"/>
    <n v="17.745000000000001"/>
    <n v="17.745000000000001"/>
    <n v="0"/>
    <s v="CATIVO"/>
    <n v="0"/>
    <n v="0"/>
    <n v="37"/>
    <n v="78"/>
    <n v="0"/>
    <n v="348.11"/>
    <n v="202.86"/>
    <m/>
    <n v="27030990513.481594"/>
    <n v="278.80352492268946"/>
    <n v="0"/>
    <n v="1333.3592999999998"/>
    <n v="0"/>
    <n v="30616910528.240425"/>
    <x v="2"/>
  </r>
  <r>
    <s v="Refaturamento - Regular"/>
    <x v="3"/>
    <x v="3"/>
    <x v="1"/>
    <x v="1"/>
    <x v="4"/>
    <x v="0"/>
    <x v="1"/>
    <x v="1"/>
    <n v="0"/>
    <n v="0"/>
    <n v="-19.623999999999999"/>
    <n v="-19.623999999999999"/>
    <n v="-19.623999999999999"/>
    <n v="-19.623999999999999"/>
    <n v="0"/>
    <s v="CATIVO"/>
    <n v="0"/>
    <n v="0"/>
    <n v="37"/>
    <n v="78"/>
    <n v="0"/>
    <n v="348.11"/>
    <n v="202.86"/>
    <m/>
    <n v="27030990513.481594"/>
    <n v="278.80352492268946"/>
    <n v="0"/>
    <n v="-1474.5473599999996"/>
    <n v="0"/>
    <n v="-33858904040.923641"/>
    <x v="2"/>
  </r>
  <r>
    <s v="Regular"/>
    <x v="3"/>
    <x v="3"/>
    <x v="1"/>
    <x v="1"/>
    <x v="4"/>
    <x v="0"/>
    <x v="1"/>
    <x v="2"/>
    <n v="0"/>
    <n v="0"/>
    <n v="22.635999999999999"/>
    <n v="22.635999999999999"/>
    <n v="22.635999999999999"/>
    <n v="22.635999999999999"/>
    <n v="0"/>
    <s v="CATIVO"/>
    <n v="0"/>
    <n v="0"/>
    <n v="37"/>
    <n v="78"/>
    <n v="0"/>
    <n v="348.11"/>
    <n v="202.86"/>
    <m/>
    <n v="27030990513.481594"/>
    <n v="278.80352492268946"/>
    <n v="0"/>
    <n v="1700.8690399999996"/>
    <n v="0"/>
    <n v="39055755802.606377"/>
    <x v="2"/>
  </r>
  <r>
    <s v="Refaturamento - Regular"/>
    <x v="3"/>
    <x v="3"/>
    <x v="1"/>
    <x v="1"/>
    <x v="4"/>
    <x v="0"/>
    <x v="1"/>
    <x v="2"/>
    <n v="0"/>
    <n v="0"/>
    <n v="-0.39600000000000002"/>
    <n v="-0.39600000000000002"/>
    <n v="-0.39600000000000002"/>
    <n v="-0.39600000000000002"/>
    <n v="0"/>
    <s v="CATIVO"/>
    <n v="0"/>
    <n v="0"/>
    <n v="37"/>
    <n v="78"/>
    <n v="0"/>
    <n v="348.11"/>
    <n v="202.86"/>
    <m/>
    <n v="27030990513.481594"/>
    <n v="278.80352492268946"/>
    <n v="0"/>
    <n v="-29.755439999999997"/>
    <n v="0"/>
    <n v="-683251426.83478212"/>
    <x v="2"/>
  </r>
  <r>
    <s v="Regular"/>
    <x v="3"/>
    <x v="3"/>
    <x v="1"/>
    <x v="1"/>
    <x v="4"/>
    <x v="0"/>
    <x v="1"/>
    <x v="3"/>
    <n v="0"/>
    <n v="0"/>
    <n v="19.344999999999999"/>
    <n v="19.344999999999999"/>
    <n v="19.344999999999999"/>
    <n v="19.344999999999999"/>
    <n v="0"/>
    <s v="CATIVO"/>
    <n v="0"/>
    <n v="0"/>
    <n v="37"/>
    <n v="78"/>
    <n v="0"/>
    <n v="348.11"/>
    <n v="202.86"/>
    <m/>
    <n v="27030990513.481594"/>
    <n v="278.80352492268946"/>
    <n v="0"/>
    <n v="1453.5832999999996"/>
    <n v="0"/>
    <n v="33377522353.835499"/>
    <x v="2"/>
  </r>
  <r>
    <s v="Refaturamento - Regular"/>
    <x v="3"/>
    <x v="3"/>
    <x v="1"/>
    <x v="1"/>
    <x v="4"/>
    <x v="0"/>
    <x v="1"/>
    <x v="3"/>
    <n v="0"/>
    <n v="0"/>
    <n v="-0.14099999999999999"/>
    <n v="-0.14099999999999999"/>
    <n v="-0.14099999999999999"/>
    <n v="-0.14099999999999999"/>
    <n v="0"/>
    <s v="CATIVO"/>
    <n v="0"/>
    <n v="0"/>
    <n v="37"/>
    <n v="78"/>
    <n v="0"/>
    <n v="348.11"/>
    <n v="202.86"/>
    <m/>
    <n v="27030990513.481594"/>
    <n v="278.80352492268946"/>
    <n v="0"/>
    <n v="-10.594739999999996"/>
    <n v="0"/>
    <n v="-243278917.13056633"/>
    <x v="2"/>
  </r>
  <r>
    <s v="Regular"/>
    <x v="3"/>
    <x v="3"/>
    <x v="1"/>
    <x v="1"/>
    <x v="4"/>
    <x v="0"/>
    <x v="1"/>
    <x v="4"/>
    <n v="0"/>
    <n v="0"/>
    <n v="32.347000000000001"/>
    <n v="32.347000000000001"/>
    <n v="32.347000000000001"/>
    <n v="32.347000000000001"/>
    <n v="0"/>
    <s v="CATIVO"/>
    <n v="0"/>
    <n v="0"/>
    <n v="37"/>
    <n v="78"/>
    <n v="0"/>
    <n v="348.11"/>
    <n v="202.86"/>
    <m/>
    <n v="27030990513.481594"/>
    <n v="278.80352492268946"/>
    <n v="0"/>
    <n v="2430.5535799999998"/>
    <n v="0"/>
    <n v="55810944201.577515"/>
    <x v="2"/>
  </r>
  <r>
    <s v="Refaturamento - Regular"/>
    <x v="3"/>
    <x v="3"/>
    <x v="1"/>
    <x v="1"/>
    <x v="4"/>
    <x v="0"/>
    <x v="1"/>
    <x v="4"/>
    <n v="0"/>
    <n v="0"/>
    <n v="-3.976"/>
    <n v="-3.976"/>
    <n v="-3.976"/>
    <n v="-3.976"/>
    <n v="0"/>
    <s v="CATIVO"/>
    <n v="0"/>
    <n v="0"/>
    <n v="37"/>
    <n v="78"/>
    <n v="0"/>
    <n v="348.11"/>
    <n v="202.86"/>
    <m/>
    <n v="27030990513.481594"/>
    <n v="278.80352492268946"/>
    <n v="0"/>
    <n v="-298.75663999999995"/>
    <n v="0"/>
    <n v="-6860120386.6037712"/>
    <x v="2"/>
  </r>
  <r>
    <s v="Regular"/>
    <x v="3"/>
    <x v="3"/>
    <x v="1"/>
    <x v="1"/>
    <x v="4"/>
    <x v="0"/>
    <x v="1"/>
    <x v="5"/>
    <n v="0"/>
    <n v="0"/>
    <n v="48.305999999999997"/>
    <n v="48.305999999999997"/>
    <n v="48.305999999999997"/>
    <n v="48.305999999999997"/>
    <n v="0"/>
    <s v="CATIVO"/>
    <n v="0"/>
    <n v="0"/>
    <n v="37"/>
    <n v="78"/>
    <n v="0"/>
    <n v="348.11"/>
    <n v="202.86"/>
    <m/>
    <n v="27030990513.481594"/>
    <n v="278.80352492268946"/>
    <n v="0"/>
    <n v="3629.7128399999992"/>
    <n v="0"/>
    <n v="83346321779.497421"/>
    <x v="2"/>
  </r>
  <r>
    <s v="Refaturamento - Regular"/>
    <x v="3"/>
    <x v="3"/>
    <x v="1"/>
    <x v="1"/>
    <x v="4"/>
    <x v="0"/>
    <x v="1"/>
    <x v="5"/>
    <n v="0"/>
    <n v="0"/>
    <n v="-1.3149999999999999"/>
    <n v="-1.3149999999999999"/>
    <n v="-1.3149999999999999"/>
    <n v="-1.3149999999999999"/>
    <n v="0"/>
    <s v="CATIVO"/>
    <n v="0"/>
    <n v="0"/>
    <n v="37"/>
    <n v="78"/>
    <n v="0"/>
    <n v="348.11"/>
    <n v="202.86"/>
    <m/>
    <n v="27030990513.481594"/>
    <n v="278.80352492268946"/>
    <n v="0"/>
    <n v="-98.809099999999972"/>
    <n v="0"/>
    <n v="-2268877844.1609554"/>
    <x v="2"/>
  </r>
  <r>
    <s v="Regular"/>
    <x v="3"/>
    <x v="3"/>
    <x v="1"/>
    <x v="1"/>
    <x v="4"/>
    <x v="0"/>
    <x v="1"/>
    <x v="6"/>
    <n v="0"/>
    <n v="0"/>
    <n v="61.534999999999997"/>
    <n v="61.534999999999997"/>
    <n v="61.534999999999997"/>
    <n v="61.534999999999997"/>
    <n v="0"/>
    <s v="CATIVO"/>
    <n v="0"/>
    <n v="0"/>
    <n v="37"/>
    <n v="78"/>
    <n v="0"/>
    <n v="348.11"/>
    <n v="202.86"/>
    <m/>
    <n v="27030990513.481594"/>
    <n v="278.80352492268946"/>
    <n v="0"/>
    <n v="4623.7398999999987"/>
    <n v="0"/>
    <n v="106171405429.99574"/>
    <x v="2"/>
  </r>
  <r>
    <s v="Regular"/>
    <x v="3"/>
    <x v="3"/>
    <x v="1"/>
    <x v="1"/>
    <x v="4"/>
    <x v="0"/>
    <x v="1"/>
    <x v="7"/>
    <n v="0"/>
    <n v="0"/>
    <n v="61.465000000000003"/>
    <n v="61.465000000000003"/>
    <n v="61.465000000000003"/>
    <n v="61.465000000000003"/>
    <n v="0"/>
    <s v="CATIVO"/>
    <n v="0"/>
    <n v="0"/>
    <n v="37"/>
    <n v="78"/>
    <n v="0"/>
    <n v="348.11"/>
    <n v="202.86"/>
    <m/>
    <n v="27030990513.481594"/>
    <n v="278.80352492268946"/>
    <n v="0"/>
    <n v="4618.4800999999998"/>
    <n v="0"/>
    <n v="106050628662.62596"/>
    <x v="2"/>
  </r>
  <r>
    <s v="Regular"/>
    <x v="3"/>
    <x v="3"/>
    <x v="1"/>
    <x v="1"/>
    <x v="4"/>
    <x v="0"/>
    <x v="1"/>
    <x v="8"/>
    <n v="0"/>
    <n v="0"/>
    <n v="54.213000000000001"/>
    <n v="54.213000000000001"/>
    <n v="54.213000000000001"/>
    <n v="54.213000000000001"/>
    <n v="0"/>
    <s v="CATIVO"/>
    <n v="0"/>
    <n v="0"/>
    <n v="37"/>
    <n v="78"/>
    <n v="0"/>
    <n v="348.11"/>
    <n v="202.86"/>
    <m/>
    <n v="27030990513.481594"/>
    <n v="278.80352492268946"/>
    <n v="0"/>
    <n v="4073.5648199999991"/>
    <n v="0"/>
    <n v="93538155563.116257"/>
    <x v="2"/>
  </r>
  <r>
    <s v="Regular"/>
    <x v="3"/>
    <x v="3"/>
    <x v="1"/>
    <x v="1"/>
    <x v="4"/>
    <x v="0"/>
    <x v="1"/>
    <x v="9"/>
    <n v="0"/>
    <n v="0"/>
    <n v="52.506999999999998"/>
    <n v="52.506999999999998"/>
    <n v="52.506999999999998"/>
    <n v="52.506999999999998"/>
    <n v="0"/>
    <s v="CATIVO"/>
    <n v="0"/>
    <n v="0"/>
    <n v="37"/>
    <n v="78"/>
    <n v="0"/>
    <n v="348.11"/>
    <n v="202.86"/>
    <m/>
    <n v="27030990513.481594"/>
    <n v="278.80352492268946"/>
    <n v="0"/>
    <n v="3945.3759799999993"/>
    <n v="0"/>
    <n v="90594653204.0755"/>
    <x v="2"/>
  </r>
  <r>
    <s v="Refaturamento - Regular"/>
    <x v="3"/>
    <x v="3"/>
    <x v="1"/>
    <x v="1"/>
    <x v="4"/>
    <x v="0"/>
    <x v="1"/>
    <x v="9"/>
    <n v="0"/>
    <n v="0"/>
    <n v="0.23499999999999999"/>
    <n v="0.23499999999999999"/>
    <n v="0.23499999999999999"/>
    <n v="0.23499999999999999"/>
    <n v="0"/>
    <s v="CATIVO"/>
    <n v="0"/>
    <n v="0"/>
    <n v="37"/>
    <n v="78"/>
    <n v="0"/>
    <n v="348.11"/>
    <n v="202.86"/>
    <m/>
    <n v="27030990513.481594"/>
    <n v="278.80352492268946"/>
    <n v="0"/>
    <n v="17.657899999999994"/>
    <n v="0"/>
    <n v="405464861.88427722"/>
    <x v="2"/>
  </r>
  <r>
    <s v="Regular"/>
    <x v="3"/>
    <x v="3"/>
    <x v="1"/>
    <x v="1"/>
    <x v="4"/>
    <x v="0"/>
    <x v="1"/>
    <x v="10"/>
    <n v="0"/>
    <n v="0"/>
    <n v="37.521000000000001"/>
    <n v="37.521000000000001"/>
    <n v="37.521000000000001"/>
    <n v="37.521000000000001"/>
    <n v="0"/>
    <s v="CATIVO"/>
    <n v="0"/>
    <n v="0"/>
    <n v="37"/>
    <n v="78"/>
    <n v="0"/>
    <n v="348.11"/>
    <n v="202.86"/>
    <m/>
    <n v="27030990513.481594"/>
    <n v="278.80352492268946"/>
    <n v="0"/>
    <n v="2819.3279399999997"/>
    <n v="0"/>
    <n v="64738072692.595604"/>
    <x v="2"/>
  </r>
  <r>
    <s v="PROJETADO"/>
    <x v="3"/>
    <x v="3"/>
    <x v="1"/>
    <x v="1"/>
    <x v="4"/>
    <x v="0"/>
    <x v="1"/>
    <x v="11"/>
    <n v="0"/>
    <n v="0"/>
    <n v="37.521000000000001"/>
    <n v="37.521000000000001"/>
    <n v="37.521000000000001"/>
    <n v="37.521000000000001"/>
    <n v="0"/>
    <s v="CATIVO"/>
    <n v="0"/>
    <n v="0"/>
    <n v="37"/>
    <n v="78"/>
    <n v="0"/>
    <n v="348.11"/>
    <n v="202.86"/>
    <m/>
    <n v="27030990513.481594"/>
    <n v="278.80352492268946"/>
    <n v="0"/>
    <n v="2819.3279399999997"/>
    <n v="0"/>
    <n v="64738072692.595604"/>
    <x v="2"/>
  </r>
  <r>
    <s v="Regular"/>
    <x v="3"/>
    <x v="3"/>
    <x v="1"/>
    <x v="1"/>
    <x v="1"/>
    <x v="0"/>
    <x v="1"/>
    <x v="0"/>
    <n v="0"/>
    <n v="0"/>
    <n v="23.552"/>
    <n v="6.3590400000000002"/>
    <n v="23.552"/>
    <n v="6.3590400000000002"/>
    <n v="0"/>
    <s v="CATIVO"/>
    <n v="0"/>
    <n v="0"/>
    <n v="24"/>
    <n v="78"/>
    <n v="0"/>
    <n v="348.11"/>
    <n v="202.86"/>
    <m/>
    <n v="27030990513.481594"/>
    <n v="278.80352492268946"/>
    <n v="0"/>
    <n v="11242.5024512"/>
    <n v="0"/>
    <n v="505378949524.88593"/>
    <x v="1"/>
  </r>
  <r>
    <s v="Regular"/>
    <x v="3"/>
    <x v="3"/>
    <x v="1"/>
    <x v="1"/>
    <x v="1"/>
    <x v="0"/>
    <x v="1"/>
    <x v="1"/>
    <n v="0"/>
    <n v="0"/>
    <n v="30.077999999999999"/>
    <n v="8.1210599999999999"/>
    <n v="30.077999999999999"/>
    <n v="8.1210599999999999"/>
    <n v="0"/>
    <s v="CATIVO"/>
    <n v="0"/>
    <n v="0"/>
    <n v="24"/>
    <n v="78"/>
    <n v="0"/>
    <n v="348.11"/>
    <n v="202.86"/>
    <m/>
    <n v="27030990513.481594"/>
    <n v="278.80352492268946"/>
    <n v="0"/>
    <n v="14357.6761518"/>
    <n v="0"/>
    <n v="645413894523.16235"/>
    <x v="1"/>
  </r>
  <r>
    <s v="Refaturamento - Regular"/>
    <x v="3"/>
    <x v="3"/>
    <x v="1"/>
    <x v="1"/>
    <x v="1"/>
    <x v="0"/>
    <x v="1"/>
    <x v="1"/>
    <n v="0"/>
    <n v="0"/>
    <n v="20.071000000000002"/>
    <n v="5.4191700000000003"/>
    <n v="20.071000000000002"/>
    <n v="5.4191700000000003"/>
    <n v="0"/>
    <s v="CATIVO"/>
    <n v="0"/>
    <n v="0"/>
    <n v="24"/>
    <n v="78"/>
    <n v="0"/>
    <n v="348.11"/>
    <n v="202.86"/>
    <m/>
    <n v="27030990513.481594"/>
    <n v="278.80352492268946"/>
    <n v="0"/>
    <n v="9580.8537151000019"/>
    <n v="0"/>
    <n v="430683631789.82617"/>
    <x v="1"/>
  </r>
  <r>
    <s v="Regular"/>
    <x v="3"/>
    <x v="3"/>
    <x v="1"/>
    <x v="1"/>
    <x v="1"/>
    <x v="0"/>
    <x v="1"/>
    <x v="2"/>
    <n v="0"/>
    <n v="0"/>
    <n v="30.792999999999999"/>
    <n v="8.3141099999999994"/>
    <n v="30.792999999999999"/>
    <n v="8.3141099999999994"/>
    <n v="0"/>
    <s v="CATIVO"/>
    <n v="0"/>
    <n v="0"/>
    <n v="24"/>
    <n v="78"/>
    <n v="0"/>
    <n v="348.11"/>
    <n v="202.86"/>
    <m/>
    <n v="27030990513.481594"/>
    <n v="278.80352492268946"/>
    <n v="0"/>
    <n v="14698.9800433"/>
    <n v="0"/>
    <n v="660756368576.7583"/>
    <x v="1"/>
  </r>
  <r>
    <s v="Refaturamento - Regular"/>
    <x v="3"/>
    <x v="3"/>
    <x v="1"/>
    <x v="1"/>
    <x v="1"/>
    <x v="0"/>
    <x v="1"/>
    <x v="2"/>
    <n v="0"/>
    <n v="0"/>
    <n v="-0.95299999999999996"/>
    <n v="-0.25730999999999998"/>
    <n v="-0.95299999999999996"/>
    <n v="-0.25730999999999998"/>
    <n v="0"/>
    <s v="CATIVO"/>
    <n v="0"/>
    <n v="0"/>
    <n v="24"/>
    <n v="78"/>
    <n v="0"/>
    <n v="348.11"/>
    <n v="202.86"/>
    <m/>
    <n v="27030990513.481594"/>
    <n v="278.80352492268946"/>
    <n v="0"/>
    <n v="-454.91273929999994"/>
    <n v="0"/>
    <n v="-20449479402.9049"/>
    <x v="1"/>
  </r>
  <r>
    <s v="Regular"/>
    <x v="3"/>
    <x v="3"/>
    <x v="1"/>
    <x v="1"/>
    <x v="1"/>
    <x v="0"/>
    <x v="1"/>
    <x v="3"/>
    <n v="0"/>
    <n v="0"/>
    <n v="31.149000000000001"/>
    <n v="8.4102300000000003"/>
    <n v="31.149000000000001"/>
    <n v="8.4102300000000003"/>
    <n v="0"/>
    <s v="CATIVO"/>
    <n v="0"/>
    <n v="0"/>
    <n v="24"/>
    <n v="78"/>
    <n v="0"/>
    <n v="348.11"/>
    <n v="202.86"/>
    <m/>
    <n v="27030990513.481594"/>
    <n v="278.80352492268946"/>
    <n v="0"/>
    <n v="14868.915966900002"/>
    <n v="0"/>
    <n v="668395418595.05237"/>
    <x v="1"/>
  </r>
  <r>
    <s v="Refaturamento - Regular"/>
    <x v="3"/>
    <x v="3"/>
    <x v="1"/>
    <x v="1"/>
    <x v="1"/>
    <x v="0"/>
    <x v="1"/>
    <x v="3"/>
    <n v="0"/>
    <n v="0"/>
    <n v="-2.5870000000000002"/>
    <n v="-0.69849000000000006"/>
    <n v="-2.5870000000000002"/>
    <n v="-0.69849000000000006"/>
    <n v="0"/>
    <s v="CATIVO"/>
    <n v="0"/>
    <n v="0"/>
    <n v="24"/>
    <n v="78"/>
    <n v="0"/>
    <n v="348.11"/>
    <n v="202.86"/>
    <m/>
    <n v="27030990513.481594"/>
    <n v="278.80352492268946"/>
    <n v="0"/>
    <n v="-1234.8995347"/>
    <n v="0"/>
    <n v="-55511860666.647415"/>
    <x v="1"/>
  </r>
  <r>
    <s v="Regular"/>
    <x v="3"/>
    <x v="3"/>
    <x v="1"/>
    <x v="1"/>
    <x v="1"/>
    <x v="0"/>
    <x v="1"/>
    <x v="4"/>
    <n v="0"/>
    <n v="0"/>
    <n v="65.122"/>
    <n v="17.582940000000001"/>
    <n v="65.122"/>
    <n v="17.582940000000001"/>
    <n v="0"/>
    <s v="CATIVO"/>
    <n v="0"/>
    <n v="0"/>
    <n v="24"/>
    <n v="78"/>
    <n v="0"/>
    <n v="348.11"/>
    <n v="202.86"/>
    <m/>
    <n v="27030990513.481594"/>
    <n v="278.80352492268946"/>
    <n v="0"/>
    <n v="31085.862968199999"/>
    <n v="0"/>
    <n v="1397388245200.3914"/>
    <x v="1"/>
  </r>
  <r>
    <s v="Refaturamento - Regular"/>
    <x v="3"/>
    <x v="3"/>
    <x v="1"/>
    <x v="1"/>
    <x v="1"/>
    <x v="0"/>
    <x v="1"/>
    <x v="4"/>
    <n v="0"/>
    <n v="0"/>
    <n v="-7.5190000000000001"/>
    <n v="-2.0301300000000002"/>
    <n v="-7.5190000000000001"/>
    <n v="-2.0301300000000002"/>
    <n v="0"/>
    <s v="CATIVO"/>
    <n v="0"/>
    <n v="0"/>
    <n v="24"/>
    <n v="78"/>
    <n v="0"/>
    <n v="348.11"/>
    <n v="202.86"/>
    <m/>
    <n v="27030990513.481594"/>
    <n v="278.80352492268946"/>
    <n v="0"/>
    <n v="-3589.1803639000004"/>
    <n v="0"/>
    <n v="-161342744627.9559"/>
    <x v="1"/>
  </r>
  <r>
    <s v="Regular"/>
    <x v="3"/>
    <x v="3"/>
    <x v="1"/>
    <x v="1"/>
    <x v="1"/>
    <x v="0"/>
    <x v="1"/>
    <x v="5"/>
    <n v="0"/>
    <n v="0"/>
    <n v="79.238"/>
    <n v="21.394259999999999"/>
    <n v="79.238"/>
    <n v="21.394259999999999"/>
    <n v="0"/>
    <s v="CATIVO"/>
    <n v="0"/>
    <n v="0"/>
    <n v="24"/>
    <n v="78"/>
    <n v="0"/>
    <n v="348.11"/>
    <n v="202.86"/>
    <m/>
    <n v="27030990513.481594"/>
    <n v="278.80352492268946"/>
    <n v="0"/>
    <n v="37824.108747799997"/>
    <n v="0"/>
    <n v="1700289453229.1484"/>
    <x v="1"/>
  </r>
  <r>
    <s v="Refaturamento - Regular"/>
    <x v="3"/>
    <x v="3"/>
    <x v="1"/>
    <x v="1"/>
    <x v="1"/>
    <x v="0"/>
    <x v="1"/>
    <x v="5"/>
    <n v="0"/>
    <n v="0"/>
    <n v="-0.97299999999999998"/>
    <n v="-0.26271"/>
    <n v="-0.97299999999999998"/>
    <n v="-0.26271"/>
    <n v="0"/>
    <s v="CATIVO"/>
    <n v="0"/>
    <n v="0"/>
    <n v="24"/>
    <n v="78"/>
    <n v="0"/>
    <n v="348.11"/>
    <n v="202.86"/>
    <m/>
    <n v="27030990513.481594"/>
    <n v="278.80352492268946"/>
    <n v="0"/>
    <n v="-464.45970130000001"/>
    <n v="0"/>
    <n v="-20878639516.292202"/>
    <x v="1"/>
  </r>
  <r>
    <s v="Regular"/>
    <x v="3"/>
    <x v="3"/>
    <x v="1"/>
    <x v="1"/>
    <x v="1"/>
    <x v="0"/>
    <x v="1"/>
    <x v="6"/>
    <n v="0"/>
    <n v="0"/>
    <n v="123.11499999999999"/>
    <n v="33.241050000000001"/>
    <n v="123.11499999999999"/>
    <n v="33.241050000000001"/>
    <n v="0"/>
    <s v="CATIVO"/>
    <n v="0"/>
    <n v="0"/>
    <n v="24"/>
    <n v="78"/>
    <n v="0"/>
    <n v="348.11"/>
    <n v="202.86"/>
    <m/>
    <n v="27030990513.481594"/>
    <n v="278.80352492268946"/>
    <n v="0"/>
    <n v="58768.711331500002"/>
    <n v="0"/>
    <n v="2641802367983.8794"/>
    <x v="1"/>
  </r>
  <r>
    <s v="Refaturamento - Regular"/>
    <x v="3"/>
    <x v="3"/>
    <x v="1"/>
    <x v="1"/>
    <x v="1"/>
    <x v="0"/>
    <x v="1"/>
    <x v="6"/>
    <n v="0"/>
    <n v="0"/>
    <n v="-0.2"/>
    <n v="-5.3999999999999999E-2"/>
    <n v="-0.2"/>
    <n v="-5.3999999999999999E-2"/>
    <n v="0"/>
    <s v="CATIVO"/>
    <n v="0"/>
    <n v="0"/>
    <n v="24"/>
    <n v="78"/>
    <n v="0"/>
    <n v="348.11"/>
    <n v="202.86"/>
    <m/>
    <n v="27030990513.481594"/>
    <n v="278.80352492268946"/>
    <n v="0"/>
    <n v="-95.46962000000002"/>
    <n v="0"/>
    <n v="-4291601133.8730125"/>
    <x v="1"/>
  </r>
  <r>
    <s v="Regular"/>
    <x v="3"/>
    <x v="3"/>
    <x v="1"/>
    <x v="1"/>
    <x v="1"/>
    <x v="0"/>
    <x v="1"/>
    <x v="7"/>
    <n v="0"/>
    <n v="0"/>
    <n v="125.746"/>
    <n v="33.951419999999999"/>
    <n v="125.746"/>
    <n v="33.951419999999999"/>
    <n v="0"/>
    <s v="CATIVO"/>
    <n v="0"/>
    <n v="0"/>
    <n v="24"/>
    <n v="78"/>
    <n v="0"/>
    <n v="348.11"/>
    <n v="202.86"/>
    <m/>
    <n v="27030990513.481594"/>
    <n v="278.80352492268946"/>
    <n v="0"/>
    <n v="60024.614182600002"/>
    <n v="0"/>
    <n v="2698258380899.979"/>
    <x v="1"/>
  </r>
  <r>
    <s v="Regular"/>
    <x v="3"/>
    <x v="3"/>
    <x v="1"/>
    <x v="1"/>
    <x v="1"/>
    <x v="0"/>
    <x v="1"/>
    <x v="8"/>
    <n v="0"/>
    <n v="0"/>
    <n v="89.790999999999997"/>
    <n v="24.243569999999998"/>
    <n v="89.790999999999997"/>
    <n v="24.243569999999998"/>
    <n v="0"/>
    <s v="CATIVO"/>
    <n v="0"/>
    <n v="0"/>
    <n v="24"/>
    <n v="78"/>
    <n v="0"/>
    <n v="348.11"/>
    <n v="202.86"/>
    <m/>
    <n v="27030990513.481594"/>
    <n v="278.80352492268946"/>
    <n v="0"/>
    <n v="42861.563247099999"/>
    <n v="0"/>
    <n v="1926735787057.958"/>
    <x v="1"/>
  </r>
  <r>
    <s v="Regular"/>
    <x v="3"/>
    <x v="3"/>
    <x v="1"/>
    <x v="1"/>
    <x v="1"/>
    <x v="0"/>
    <x v="1"/>
    <x v="9"/>
    <n v="0"/>
    <n v="0"/>
    <n v="103.61199999999999"/>
    <n v="27.975239999999999"/>
    <n v="103.61199999999999"/>
    <n v="27.975239999999999"/>
    <n v="0"/>
    <s v="CATIVO"/>
    <n v="0"/>
    <n v="0"/>
    <n v="24"/>
    <n v="78"/>
    <n v="0"/>
    <n v="348.11"/>
    <n v="202.86"/>
    <m/>
    <n v="27030990513.481594"/>
    <n v="278.80352492268946"/>
    <n v="0"/>
    <n v="49458.991337199994"/>
    <n v="0"/>
    <n v="2223306883414.2524"/>
    <x v="1"/>
  </r>
  <r>
    <s v="Refaturamento - Regular"/>
    <x v="3"/>
    <x v="3"/>
    <x v="1"/>
    <x v="1"/>
    <x v="1"/>
    <x v="0"/>
    <x v="1"/>
    <x v="9"/>
    <n v="0"/>
    <n v="0"/>
    <n v="0.1"/>
    <n v="2.7E-2"/>
    <n v="0.1"/>
    <n v="2.7E-2"/>
    <n v="0"/>
    <s v="CATIVO"/>
    <n v="0"/>
    <n v="0"/>
    <n v="24"/>
    <n v="78"/>
    <n v="0"/>
    <n v="348.11"/>
    <n v="202.86"/>
    <m/>
    <n v="27030990513.481594"/>
    <n v="278.80352492268946"/>
    <n v="0"/>
    <n v="47.73481000000001"/>
    <n v="0"/>
    <n v="2145800566.9365063"/>
    <x v="1"/>
  </r>
  <r>
    <s v="Regular"/>
    <x v="3"/>
    <x v="3"/>
    <x v="1"/>
    <x v="1"/>
    <x v="1"/>
    <x v="0"/>
    <x v="1"/>
    <x v="10"/>
    <n v="0"/>
    <n v="0"/>
    <n v="85.393000000000001"/>
    <n v="23.05611"/>
    <n v="85.393000000000001"/>
    <n v="23.05611"/>
    <n v="0"/>
    <s v="CATIVO"/>
    <n v="0"/>
    <n v="0"/>
    <n v="24"/>
    <n v="78"/>
    <n v="0"/>
    <n v="348.11"/>
    <n v="202.86"/>
    <m/>
    <n v="27030990513.481594"/>
    <n v="278.80352492268946"/>
    <n v="0"/>
    <n v="40762.186303299997"/>
    <n v="0"/>
    <n v="1832363478124.0906"/>
    <x v="1"/>
  </r>
  <r>
    <s v="PROJETADO"/>
    <x v="3"/>
    <x v="3"/>
    <x v="1"/>
    <x v="1"/>
    <x v="1"/>
    <x v="0"/>
    <x v="1"/>
    <x v="11"/>
    <n v="0"/>
    <n v="0"/>
    <n v="85.393000000000001"/>
    <n v="23.05611"/>
    <n v="85.393000000000001"/>
    <n v="23.05611"/>
    <n v="0"/>
    <s v="CATIVO"/>
    <n v="0"/>
    <n v="0"/>
    <n v="24"/>
    <n v="78"/>
    <n v="0"/>
    <n v="348.11"/>
    <n v="202.86"/>
    <m/>
    <n v="27030990513.481594"/>
    <n v="278.80352492268946"/>
    <n v="0"/>
    <n v="40762.186303299997"/>
    <n v="0"/>
    <n v="1832363478124.0906"/>
    <x v="1"/>
  </r>
  <r>
    <s v="Regular"/>
    <x v="3"/>
    <x v="3"/>
    <x v="1"/>
    <x v="0"/>
    <x v="2"/>
    <x v="0"/>
    <x v="1"/>
    <x v="0"/>
    <n v="0"/>
    <n v="0"/>
    <n v="5510.0290000000005"/>
    <n v="5510.0290000000005"/>
    <n v="5510.0290000000005"/>
    <n v="5510.0290000000005"/>
    <n v="33405"/>
    <s v="CATIVO"/>
    <n v="0"/>
    <n v="0"/>
    <n v="37"/>
    <n v="78"/>
    <n v="0"/>
    <n v="348.11"/>
    <n v="202.86"/>
    <m/>
    <n v="27030990513.481594"/>
    <n v="278.80352492268946"/>
    <n v="0"/>
    <n v="414023.57905999996"/>
    <n v="0"/>
    <n v="9506907010482.3926"/>
    <x v="2"/>
  </r>
  <r>
    <s v="Refaturamento - Regular"/>
    <x v="3"/>
    <x v="3"/>
    <x v="1"/>
    <x v="0"/>
    <x v="2"/>
    <x v="0"/>
    <x v="1"/>
    <x v="0"/>
    <n v="0"/>
    <n v="0"/>
    <n v="147.43600000000001"/>
    <n v="147.43600000000001"/>
    <n v="147.43600000000001"/>
    <n v="147.43600000000001"/>
    <n v="-141"/>
    <s v="CATIVO"/>
    <n v="0"/>
    <n v="0"/>
    <n v="37"/>
    <n v="78"/>
    <n v="0"/>
    <n v="348.11"/>
    <n v="202.86"/>
    <m/>
    <n v="27030990513.481594"/>
    <n v="278.80352492268946"/>
    <n v="0"/>
    <n v="11078.341039999999"/>
    <n v="0"/>
    <n v="254383478199.02255"/>
    <x v="2"/>
  </r>
  <r>
    <s v="Sistema de Compensação"/>
    <x v="3"/>
    <x v="3"/>
    <x v="1"/>
    <x v="0"/>
    <x v="2"/>
    <x v="0"/>
    <x v="1"/>
    <x v="0"/>
    <n v="0"/>
    <n v="0"/>
    <n v="65.212999999999994"/>
    <n v="65.212999999999994"/>
    <n v="65.212999999999994"/>
    <n v="65.212999999999994"/>
    <n v="145"/>
    <s v="CATIVO"/>
    <n v="0"/>
    <n v="0"/>
    <n v="37"/>
    <n v="78"/>
    <n v="0"/>
    <n v="348.11"/>
    <n v="202.86"/>
    <m/>
    <n v="27030990513.481594"/>
    <n v="278.80352492268946"/>
    <n v="0"/>
    <n v="4900.1048199999987"/>
    <n v="0"/>
    <n v="112517361864.08241"/>
    <x v="2"/>
  </r>
  <r>
    <s v="Regular"/>
    <x v="3"/>
    <x v="3"/>
    <x v="1"/>
    <x v="0"/>
    <x v="2"/>
    <x v="0"/>
    <x v="1"/>
    <x v="1"/>
    <n v="0"/>
    <n v="0"/>
    <n v="4772.8140000000003"/>
    <n v="4772.8140000000003"/>
    <n v="4772.8140000000003"/>
    <n v="4772.8140000000003"/>
    <n v="34326"/>
    <s v="CATIVO"/>
    <n v="0"/>
    <n v="0"/>
    <n v="37"/>
    <n v="78"/>
    <n v="0"/>
    <n v="348.11"/>
    <n v="202.86"/>
    <m/>
    <n v="27030990513.481594"/>
    <n v="278.80352492268946"/>
    <n v="0"/>
    <n v="358629.24395999993"/>
    <n v="0"/>
    <n v="8234929231103.5957"/>
    <x v="2"/>
  </r>
  <r>
    <s v="Refaturamento - Regular"/>
    <x v="3"/>
    <x v="3"/>
    <x v="1"/>
    <x v="0"/>
    <x v="2"/>
    <x v="0"/>
    <x v="1"/>
    <x v="1"/>
    <n v="0"/>
    <n v="0"/>
    <n v="-671.23400000000004"/>
    <n v="-671.23400000000004"/>
    <n v="-671.23400000000004"/>
    <n v="-671.23400000000004"/>
    <n v="-265"/>
    <s v="CATIVO"/>
    <n v="0"/>
    <n v="0"/>
    <n v="37"/>
    <n v="78"/>
    <n v="0"/>
    <n v="348.11"/>
    <n v="202.86"/>
    <m/>
    <n v="27030990513.481594"/>
    <n v="278.80352492268946"/>
    <n v="0"/>
    <n v="-50436.522759999993"/>
    <n v="0"/>
    <n v="-1158135323838.4297"/>
    <x v="2"/>
  </r>
  <r>
    <s v="Sistema de Compensação"/>
    <x v="3"/>
    <x v="3"/>
    <x v="1"/>
    <x v="0"/>
    <x v="2"/>
    <x v="0"/>
    <x v="1"/>
    <x v="1"/>
    <n v="0"/>
    <n v="0"/>
    <n v="66.16"/>
    <n v="66.16"/>
    <n v="66.16"/>
    <n v="66.16"/>
    <n v="153"/>
    <s v="CATIVO"/>
    <n v="0"/>
    <n v="0"/>
    <n v="37"/>
    <n v="78"/>
    <n v="0"/>
    <n v="348.11"/>
    <n v="202.86"/>
    <m/>
    <n v="27030990513.481594"/>
    <n v="278.80352492268946"/>
    <n v="0"/>
    <n v="4971.2623999999987"/>
    <n v="0"/>
    <n v="114151298988.35651"/>
    <x v="2"/>
  </r>
  <r>
    <s v="Regular"/>
    <x v="3"/>
    <x v="3"/>
    <x v="1"/>
    <x v="0"/>
    <x v="2"/>
    <x v="0"/>
    <x v="1"/>
    <x v="2"/>
    <n v="0"/>
    <n v="0"/>
    <n v="4605.8450000000003"/>
    <n v="4605.8450000000003"/>
    <n v="4605.8450000000003"/>
    <n v="4605.8450000000003"/>
    <n v="34905"/>
    <s v="CATIVO"/>
    <n v="0"/>
    <n v="0"/>
    <n v="37"/>
    <n v="78"/>
    <n v="0"/>
    <n v="348.11"/>
    <n v="202.86"/>
    <m/>
    <n v="27030990513.481594"/>
    <n v="278.80352492268946"/>
    <n v="0"/>
    <n v="346083.19329999998"/>
    <n v="0"/>
    <n v="7946843858661.2295"/>
    <x v="2"/>
  </r>
  <r>
    <s v="Refaturamento - Regular"/>
    <x v="3"/>
    <x v="3"/>
    <x v="1"/>
    <x v="0"/>
    <x v="2"/>
    <x v="0"/>
    <x v="1"/>
    <x v="2"/>
    <n v="0"/>
    <n v="0"/>
    <n v="-78.144000000000005"/>
    <n v="-78.144000000000005"/>
    <n v="-78.144000000000005"/>
    <n v="-78.144000000000005"/>
    <n v="-106"/>
    <s v="CATIVO"/>
    <n v="0"/>
    <n v="0"/>
    <n v="37"/>
    <n v="78"/>
    <n v="0"/>
    <n v="348.11"/>
    <n v="202.86"/>
    <m/>
    <n v="27030990513.481594"/>
    <n v="278.80352492268946"/>
    <n v="0"/>
    <n v="-5871.7401599999994"/>
    <n v="0"/>
    <n v="-134828281562.06367"/>
    <x v="2"/>
  </r>
  <r>
    <s v="Sistema de Compensação"/>
    <x v="3"/>
    <x v="3"/>
    <x v="1"/>
    <x v="0"/>
    <x v="2"/>
    <x v="0"/>
    <x v="1"/>
    <x v="2"/>
    <n v="0"/>
    <n v="0"/>
    <n v="59.048999999999999"/>
    <n v="59.048999999999999"/>
    <n v="59.048999999999999"/>
    <n v="59.048999999999999"/>
    <n v="163"/>
    <s v="CATIVO"/>
    <n v="0"/>
    <n v="0"/>
    <n v="37"/>
    <n v="78"/>
    <n v="0"/>
    <n v="348.11"/>
    <n v="202.86"/>
    <m/>
    <n v="27030990513.481594"/>
    <n v="278.80352492268946"/>
    <n v="0"/>
    <n v="4436.941859999999"/>
    <n v="0"/>
    <n v="101882104805.97739"/>
    <x v="2"/>
  </r>
  <r>
    <s v="Sistema de Compensação"/>
    <x v="3"/>
    <x v="3"/>
    <x v="1"/>
    <x v="0"/>
    <x v="2"/>
    <x v="0"/>
    <x v="1"/>
    <x v="2"/>
    <n v="0"/>
    <n v="0"/>
    <n v="1.486"/>
    <n v="1.486"/>
    <n v="1.486"/>
    <n v="1.486"/>
    <n v="4"/>
    <s v="CATIVO"/>
    <n v="0"/>
    <n v="0"/>
    <n v="37"/>
    <n v="78"/>
    <n v="0"/>
    <n v="348.11"/>
    <n v="202.86"/>
    <m/>
    <n v="27030990513.481594"/>
    <n v="278.80352492268946"/>
    <n v="0"/>
    <n v="111.65803999999999"/>
    <n v="0"/>
    <n v="2563918233.0214295"/>
    <x v="2"/>
  </r>
  <r>
    <s v="Regular"/>
    <x v="3"/>
    <x v="3"/>
    <x v="1"/>
    <x v="0"/>
    <x v="2"/>
    <x v="0"/>
    <x v="1"/>
    <x v="3"/>
    <n v="0"/>
    <n v="0"/>
    <n v="4522.3689999999997"/>
    <n v="4522.3689999999997"/>
    <n v="4522.3689999999997"/>
    <n v="4522.3689999999997"/>
    <n v="35161"/>
    <s v="CATIVO"/>
    <n v="0"/>
    <n v="0"/>
    <n v="37"/>
    <n v="78"/>
    <n v="0"/>
    <n v="348.11"/>
    <n v="202.86"/>
    <m/>
    <n v="27030990513.481594"/>
    <n v="278.80352492268946"/>
    <n v="0"/>
    <n v="339810.80665999994"/>
    <n v="0"/>
    <n v="7802815838190.3691"/>
    <x v="2"/>
  </r>
  <r>
    <s v="Refaturamento - Regular"/>
    <x v="3"/>
    <x v="3"/>
    <x v="1"/>
    <x v="0"/>
    <x v="2"/>
    <x v="0"/>
    <x v="1"/>
    <x v="3"/>
    <n v="0"/>
    <n v="0"/>
    <n v="-36.036000000000001"/>
    <n v="-36.036000000000001"/>
    <n v="-36.036000000000001"/>
    <n v="-36.036000000000001"/>
    <n v="-171"/>
    <s v="CATIVO"/>
    <n v="0"/>
    <n v="0"/>
    <n v="37"/>
    <n v="78"/>
    <n v="0"/>
    <n v="348.11"/>
    <n v="202.86"/>
    <m/>
    <n v="27030990513.481594"/>
    <n v="278.80352492268946"/>
    <n v="0"/>
    <n v="-2707.7450399999998"/>
    <n v="0"/>
    <n v="-62175879841.965172"/>
    <x v="2"/>
  </r>
  <r>
    <s v="Sistema de Compensação"/>
    <x v="3"/>
    <x v="3"/>
    <x v="1"/>
    <x v="0"/>
    <x v="2"/>
    <x v="0"/>
    <x v="1"/>
    <x v="3"/>
    <n v="0"/>
    <n v="0"/>
    <n v="56.956000000000003"/>
    <n v="56.956000000000003"/>
    <n v="56.956000000000003"/>
    <n v="56.956000000000003"/>
    <n v="176"/>
    <s v="CATIVO"/>
    <n v="0"/>
    <n v="0"/>
    <n v="37"/>
    <n v="78"/>
    <n v="0"/>
    <n v="348.11"/>
    <n v="202.86"/>
    <m/>
    <n v="27030990513.481594"/>
    <n v="278.80352492268946"/>
    <n v="0"/>
    <n v="4279.6738399999995"/>
    <n v="0"/>
    <n v="98270879461.620834"/>
    <x v="2"/>
  </r>
  <r>
    <s v="Regular"/>
    <x v="3"/>
    <x v="3"/>
    <x v="1"/>
    <x v="0"/>
    <x v="2"/>
    <x v="0"/>
    <x v="1"/>
    <x v="4"/>
    <n v="0"/>
    <n v="0"/>
    <n v="4763.1229999999996"/>
    <n v="4763.1229999999996"/>
    <n v="4763.1229999999996"/>
    <n v="4763.1229999999996"/>
    <n v="34970"/>
    <s v="CATIVO"/>
    <n v="0"/>
    <n v="0"/>
    <n v="37"/>
    <n v="78"/>
    <n v="0"/>
    <n v="348.11"/>
    <n v="202.86"/>
    <m/>
    <n v="27030990513.481594"/>
    <n v="278.80352492268946"/>
    <n v="0"/>
    <n v="357901.06221999991"/>
    <n v="0"/>
    <n v="8218208550352.4424"/>
    <x v="2"/>
  </r>
  <r>
    <s v="Refaturamento - Regular"/>
    <x v="3"/>
    <x v="3"/>
    <x v="1"/>
    <x v="0"/>
    <x v="2"/>
    <x v="0"/>
    <x v="1"/>
    <x v="4"/>
    <n v="0"/>
    <n v="0"/>
    <n v="-9.7279999999999998"/>
    <n v="-9.7279999999999998"/>
    <n v="-9.7279999999999998"/>
    <n v="-9.7279999999999998"/>
    <n v="-113"/>
    <s v="CATIVO"/>
    <n v="0"/>
    <n v="0"/>
    <n v="37"/>
    <n v="78"/>
    <n v="0"/>
    <n v="348.11"/>
    <n v="202.86"/>
    <m/>
    <n v="27030990513.481594"/>
    <n v="278.80352492268946"/>
    <n v="0"/>
    <n v="-730.96191999999985"/>
    <n v="0"/>
    <n v="-16784519899.61808"/>
    <x v="2"/>
  </r>
  <r>
    <s v="Sistema de Compensação"/>
    <x v="3"/>
    <x v="3"/>
    <x v="1"/>
    <x v="0"/>
    <x v="2"/>
    <x v="0"/>
    <x v="1"/>
    <x v="4"/>
    <n v="0"/>
    <n v="0"/>
    <n v="98.608000000000004"/>
    <n v="98.608000000000004"/>
    <n v="98.608000000000004"/>
    <n v="98.608000000000004"/>
    <n v="189"/>
    <s v="CATIVO"/>
    <n v="0"/>
    <n v="0"/>
    <n v="37"/>
    <n v="78"/>
    <n v="0"/>
    <n v="348.11"/>
    <n v="202.86"/>
    <m/>
    <n v="27030990513.481594"/>
    <n v="278.80352492268946"/>
    <n v="0"/>
    <n v="7409.4051199999985"/>
    <n v="0"/>
    <n v="170136506811.42471"/>
    <x v="2"/>
  </r>
  <r>
    <s v="Sistema de Compensação"/>
    <x v="3"/>
    <x v="3"/>
    <x v="1"/>
    <x v="0"/>
    <x v="2"/>
    <x v="0"/>
    <x v="1"/>
    <x v="4"/>
    <n v="0"/>
    <n v="0"/>
    <n v="1.9890000000000001"/>
    <n v="1.9890000000000001"/>
    <n v="1.9890000000000001"/>
    <n v="1.9890000000000001"/>
    <n v="0"/>
    <s v="CATIVO"/>
    <n v="0"/>
    <n v="0"/>
    <n v="37"/>
    <n v="78"/>
    <n v="0"/>
    <n v="348.11"/>
    <n v="202.86"/>
    <m/>
    <n v="27030990513.481594"/>
    <n v="278.80352492268946"/>
    <n v="0"/>
    <n v="149.45345999999998"/>
    <n v="0"/>
    <n v="3431785575.692883"/>
    <x v="2"/>
  </r>
  <r>
    <s v="Regular"/>
    <x v="3"/>
    <x v="3"/>
    <x v="1"/>
    <x v="0"/>
    <x v="2"/>
    <x v="0"/>
    <x v="1"/>
    <x v="5"/>
    <n v="0"/>
    <n v="0"/>
    <n v="5162.3419999999996"/>
    <n v="5162.3419999999996"/>
    <n v="5162.3419999999996"/>
    <n v="5162.3419999999996"/>
    <n v="35908"/>
    <s v="CATIVO"/>
    <n v="0"/>
    <n v="0"/>
    <n v="37"/>
    <n v="78"/>
    <n v="0"/>
    <n v="348.11"/>
    <n v="202.86"/>
    <m/>
    <n v="27030990513.481594"/>
    <n v="278.80352492268946"/>
    <n v="0"/>
    <n v="387898.37787999993"/>
    <n v="0"/>
    <n v="8907013983103.8438"/>
    <x v="2"/>
  </r>
  <r>
    <s v="Refaturamento - Regular"/>
    <x v="3"/>
    <x v="3"/>
    <x v="1"/>
    <x v="0"/>
    <x v="2"/>
    <x v="0"/>
    <x v="1"/>
    <x v="5"/>
    <n v="0"/>
    <n v="0"/>
    <n v="-13.669"/>
    <n v="-13.669"/>
    <n v="-13.669"/>
    <n v="-13.669"/>
    <n v="-133"/>
    <s v="CATIVO"/>
    <n v="0"/>
    <n v="0"/>
    <n v="37"/>
    <n v="78"/>
    <n v="0"/>
    <n v="348.11"/>
    <n v="202.86"/>
    <m/>
    <n v="27030990513.481594"/>
    <n v="278.80352492268946"/>
    <n v="0"/>
    <n v="-1027.0886599999999"/>
    <n v="0"/>
    <n v="-23584251902.536961"/>
    <x v="2"/>
  </r>
  <r>
    <s v="Sistema de Compensação"/>
    <x v="3"/>
    <x v="3"/>
    <x v="1"/>
    <x v="0"/>
    <x v="2"/>
    <x v="0"/>
    <x v="1"/>
    <x v="5"/>
    <n v="0"/>
    <n v="0"/>
    <n v="118"/>
    <n v="118"/>
    <n v="118"/>
    <n v="118"/>
    <n v="206"/>
    <s v="CATIVO"/>
    <n v="0"/>
    <n v="0"/>
    <n v="37"/>
    <n v="78"/>
    <n v="0"/>
    <n v="348.11"/>
    <n v="202.86"/>
    <m/>
    <n v="27030990513.481594"/>
    <n v="278.80352492268946"/>
    <n v="0"/>
    <n v="8866.5199999999986"/>
    <n v="0"/>
    <n v="203595122137.63708"/>
    <x v="2"/>
  </r>
  <r>
    <s v="Sistema de Compensação"/>
    <x v="3"/>
    <x v="3"/>
    <x v="1"/>
    <x v="0"/>
    <x v="2"/>
    <x v="0"/>
    <x v="1"/>
    <x v="5"/>
    <n v="0"/>
    <n v="0"/>
    <n v="-1.65"/>
    <n v="-1.65"/>
    <n v="-1.65"/>
    <n v="-1.65"/>
    <n v="-9"/>
    <s v="CATIVO"/>
    <n v="0"/>
    <n v="0"/>
    <n v="37"/>
    <n v="78"/>
    <n v="0"/>
    <n v="348.11"/>
    <n v="202.86"/>
    <m/>
    <n v="27030990513.481594"/>
    <n v="278.80352492268946"/>
    <n v="0"/>
    <n v="-123.98099999999997"/>
    <n v="0"/>
    <n v="-2846880945.1449251"/>
    <x v="2"/>
  </r>
  <r>
    <s v="Regular"/>
    <x v="3"/>
    <x v="3"/>
    <x v="1"/>
    <x v="0"/>
    <x v="2"/>
    <x v="0"/>
    <x v="1"/>
    <x v="6"/>
    <n v="0"/>
    <n v="0"/>
    <n v="5692.7060000000001"/>
    <n v="5692.7060000000001"/>
    <n v="5692.7060000000001"/>
    <n v="5692.7060000000001"/>
    <n v="36116"/>
    <s v="CATIVO"/>
    <n v="0"/>
    <n v="0"/>
    <n v="37"/>
    <n v="78"/>
    <n v="0"/>
    <n v="348.11"/>
    <n v="202.86"/>
    <m/>
    <n v="27030990513.481594"/>
    <n v="278.80352492268946"/>
    <n v="0"/>
    <n v="427749.92883999995"/>
    <n v="0"/>
    <n v="9822094689522.5371"/>
    <x v="2"/>
  </r>
  <r>
    <s v="Refaturamento - Regular"/>
    <x v="3"/>
    <x v="3"/>
    <x v="1"/>
    <x v="0"/>
    <x v="2"/>
    <x v="0"/>
    <x v="1"/>
    <x v="6"/>
    <n v="0"/>
    <n v="0"/>
    <n v="-17.8"/>
    <n v="-17.8"/>
    <n v="-17.8"/>
    <n v="-17.8"/>
    <n v="-176"/>
    <s v="CATIVO"/>
    <n v="0"/>
    <n v="0"/>
    <n v="37"/>
    <n v="78"/>
    <n v="0"/>
    <n v="348.11"/>
    <n v="202.86"/>
    <m/>
    <n v="27030990513.481594"/>
    <n v="278.80352492268946"/>
    <n v="0"/>
    <n v="-1337.4919999999997"/>
    <n v="0"/>
    <n v="-30711806559.745255"/>
    <x v="2"/>
  </r>
  <r>
    <s v="Sistema de Compensação"/>
    <x v="3"/>
    <x v="3"/>
    <x v="1"/>
    <x v="0"/>
    <x v="2"/>
    <x v="0"/>
    <x v="1"/>
    <x v="6"/>
    <n v="0"/>
    <n v="0"/>
    <n v="110.271"/>
    <n v="110.271"/>
    <n v="110.271"/>
    <n v="110.271"/>
    <n v="212"/>
    <s v="CATIVO"/>
    <n v="0"/>
    <n v="0"/>
    <n v="37"/>
    <n v="78"/>
    <n v="0"/>
    <n v="348.11"/>
    <n v="202.86"/>
    <m/>
    <n v="27030990513.481594"/>
    <n v="278.80352492268946"/>
    <n v="0"/>
    <n v="8285.7629399999987"/>
    <n v="0"/>
    <n v="190259641637.62186"/>
    <x v="2"/>
  </r>
  <r>
    <s v="Sistema de Compensação"/>
    <x v="3"/>
    <x v="3"/>
    <x v="1"/>
    <x v="0"/>
    <x v="2"/>
    <x v="0"/>
    <x v="1"/>
    <x v="6"/>
    <n v="0"/>
    <n v="0"/>
    <n v="0.49"/>
    <n v="0.49"/>
    <n v="0.49"/>
    <n v="0.49"/>
    <n v="0"/>
    <s v="CATIVO"/>
    <n v="0"/>
    <n v="0"/>
    <n v="37"/>
    <n v="78"/>
    <n v="0"/>
    <n v="348.11"/>
    <n v="202.86"/>
    <m/>
    <n v="27030990513.481594"/>
    <n v="278.80352492268946"/>
    <n v="0"/>
    <n v="36.818599999999989"/>
    <n v="0"/>
    <n v="845437371.58849299"/>
    <x v="2"/>
  </r>
  <r>
    <s v="Regular"/>
    <x v="3"/>
    <x v="3"/>
    <x v="1"/>
    <x v="0"/>
    <x v="2"/>
    <x v="0"/>
    <x v="1"/>
    <x v="7"/>
    <n v="0"/>
    <n v="0"/>
    <n v="5372.299"/>
    <n v="5372.299"/>
    <n v="5372.299"/>
    <n v="5372.299"/>
    <n v="33159"/>
    <s v="CATIVO"/>
    <n v="0"/>
    <n v="0"/>
    <n v="37"/>
    <n v="78"/>
    <n v="0"/>
    <n v="348.11"/>
    <n v="202.86"/>
    <m/>
    <n v="27030990513.481594"/>
    <n v="278.80352492268946"/>
    <n v="0"/>
    <n v="403674.54685999994"/>
    <n v="0"/>
    <n v="9269270093770.3867"/>
    <x v="2"/>
  </r>
  <r>
    <s v="Refaturamento - Regular"/>
    <x v="3"/>
    <x v="3"/>
    <x v="1"/>
    <x v="0"/>
    <x v="2"/>
    <x v="0"/>
    <x v="1"/>
    <x v="7"/>
    <n v="0"/>
    <n v="0"/>
    <n v="-19.481000000000002"/>
    <n v="-19.481000000000002"/>
    <n v="-19.481000000000002"/>
    <n v="-19.481000000000002"/>
    <n v="-106"/>
    <s v="CATIVO"/>
    <n v="0"/>
    <n v="0"/>
    <n v="37"/>
    <n v="78"/>
    <n v="0"/>
    <n v="348.11"/>
    <n v="202.86"/>
    <m/>
    <n v="27030990513.481594"/>
    <n v="278.80352492268946"/>
    <n v="0"/>
    <n v="-1463.80234"/>
    <n v="0"/>
    <n v="-33612174359.011086"/>
    <x v="2"/>
  </r>
  <r>
    <s v="Sistema de Compensação"/>
    <x v="3"/>
    <x v="3"/>
    <x v="1"/>
    <x v="0"/>
    <x v="2"/>
    <x v="0"/>
    <x v="1"/>
    <x v="7"/>
    <n v="0"/>
    <n v="0"/>
    <n v="118.617"/>
    <n v="118.617"/>
    <n v="118.617"/>
    <n v="118.617"/>
    <n v="226"/>
    <s v="CATIVO"/>
    <n v="0"/>
    <n v="0"/>
    <n v="37"/>
    <n v="78"/>
    <n v="0"/>
    <n v="348.11"/>
    <n v="202.86"/>
    <m/>
    <n v="27030990513.481594"/>
    <n v="278.80352492268946"/>
    <n v="0"/>
    <n v="8912.8813799999989"/>
    <n v="0"/>
    <n v="204659683072.8822"/>
    <x v="2"/>
  </r>
  <r>
    <s v="Regular"/>
    <x v="3"/>
    <x v="3"/>
    <x v="1"/>
    <x v="0"/>
    <x v="2"/>
    <x v="0"/>
    <x v="1"/>
    <x v="8"/>
    <n v="0"/>
    <n v="0"/>
    <n v="4777.3860000000004"/>
    <n v="4777.3860000000004"/>
    <n v="4777.3860000000004"/>
    <n v="4777.3860000000004"/>
    <n v="30763"/>
    <s v="CATIVO"/>
    <n v="0"/>
    <n v="0"/>
    <n v="37"/>
    <n v="78"/>
    <n v="0"/>
    <n v="348.11"/>
    <n v="202.86"/>
    <m/>
    <n v="27030990513.481594"/>
    <n v="278.80352492268946"/>
    <n v="0"/>
    <n v="358972.78403999994"/>
    <n v="0"/>
    <n v="8242817679395.2334"/>
    <x v="2"/>
  </r>
  <r>
    <s v="Refaturamento - Regular"/>
    <x v="3"/>
    <x v="3"/>
    <x v="1"/>
    <x v="0"/>
    <x v="2"/>
    <x v="0"/>
    <x v="1"/>
    <x v="8"/>
    <n v="0"/>
    <n v="0"/>
    <n v="-21.193999999999999"/>
    <n v="-21.193999999999999"/>
    <n v="-21.193999999999999"/>
    <n v="-21.193999999999999"/>
    <n v="-179"/>
    <s v="CATIVO"/>
    <n v="0"/>
    <n v="0"/>
    <n v="37"/>
    <n v="78"/>
    <n v="0"/>
    <n v="348.11"/>
    <n v="202.86"/>
    <m/>
    <n v="27030990513.481594"/>
    <n v="278.80352492268946"/>
    <n v="0"/>
    <n v="-1592.5171599999996"/>
    <n v="0"/>
    <n v="-36567754394.788811"/>
    <x v="2"/>
  </r>
  <r>
    <s v="Sistema de Compensação"/>
    <x v="3"/>
    <x v="3"/>
    <x v="1"/>
    <x v="0"/>
    <x v="2"/>
    <x v="0"/>
    <x v="1"/>
    <x v="8"/>
    <n v="0"/>
    <n v="0"/>
    <n v="107.86"/>
    <n v="107.86"/>
    <n v="107.86"/>
    <n v="107.86"/>
    <n v="241"/>
    <s v="CATIVO"/>
    <n v="0"/>
    <n v="0"/>
    <n v="37"/>
    <n v="78"/>
    <n v="0"/>
    <n v="348.11"/>
    <n v="202.86"/>
    <m/>
    <n v="27030990513.481594"/>
    <n v="278.80352492268946"/>
    <n v="0"/>
    <n v="8104.6003999999984"/>
    <n v="0"/>
    <n v="186099744692.92825"/>
    <x v="2"/>
  </r>
  <r>
    <s v="Regular"/>
    <x v="3"/>
    <x v="3"/>
    <x v="1"/>
    <x v="0"/>
    <x v="2"/>
    <x v="0"/>
    <x v="1"/>
    <x v="9"/>
    <n v="0"/>
    <n v="0"/>
    <n v="4650.3680000000004"/>
    <n v="4650.3680000000004"/>
    <n v="4650.3680000000004"/>
    <n v="4650.3680000000004"/>
    <n v="30365"/>
    <s v="CATIVO"/>
    <n v="0"/>
    <n v="0"/>
    <n v="37"/>
    <n v="78"/>
    <n v="0"/>
    <n v="348.11"/>
    <n v="202.86"/>
    <m/>
    <n v="27030990513.481594"/>
    <n v="278.80352492268946"/>
    <n v="0"/>
    <n v="349428.65151999996"/>
    <n v="0"/>
    <n v="8023663058855.5859"/>
    <x v="2"/>
  </r>
  <r>
    <s v="Refaturamento - Regular"/>
    <x v="3"/>
    <x v="3"/>
    <x v="1"/>
    <x v="0"/>
    <x v="2"/>
    <x v="0"/>
    <x v="1"/>
    <x v="9"/>
    <n v="0"/>
    <n v="0"/>
    <n v="-13.035"/>
    <n v="-13.035"/>
    <n v="-13.035"/>
    <n v="-13.035"/>
    <n v="-129"/>
    <s v="CATIVO"/>
    <n v="0"/>
    <n v="0"/>
    <n v="37"/>
    <n v="78"/>
    <n v="0"/>
    <n v="348.11"/>
    <n v="202.86"/>
    <m/>
    <n v="27030990513.481594"/>
    <n v="278.80352492268946"/>
    <n v="0"/>
    <n v="-979.44989999999984"/>
    <n v="0"/>
    <n v="-22490359466.644909"/>
    <x v="2"/>
  </r>
  <r>
    <s v="Sistema de Compensação"/>
    <x v="3"/>
    <x v="3"/>
    <x v="1"/>
    <x v="0"/>
    <x v="2"/>
    <x v="0"/>
    <x v="1"/>
    <x v="9"/>
    <n v="0"/>
    <n v="0"/>
    <n v="105.203"/>
    <n v="105.203"/>
    <n v="105.203"/>
    <n v="105.203"/>
    <n v="256"/>
    <s v="CATIVO"/>
    <n v="0"/>
    <n v="0"/>
    <n v="37"/>
    <n v="78"/>
    <n v="0"/>
    <n v="348.11"/>
    <n v="202.86"/>
    <m/>
    <n v="27030990513.481594"/>
    <n v="278.80352492268946"/>
    <n v="0"/>
    <n v="7904.9534199999989"/>
    <n v="0"/>
    <n v="181515403680.04944"/>
    <x v="2"/>
  </r>
  <r>
    <s v="Regular"/>
    <x v="3"/>
    <x v="3"/>
    <x v="1"/>
    <x v="0"/>
    <x v="2"/>
    <x v="0"/>
    <x v="1"/>
    <x v="10"/>
    <n v="0"/>
    <n v="0"/>
    <n v="4715.38"/>
    <n v="4715.38"/>
    <n v="4715.38"/>
    <n v="4715.38"/>
    <n v="29947"/>
    <s v="CATIVO"/>
    <n v="0"/>
    <n v="0"/>
    <n v="37"/>
    <n v="78"/>
    <n v="0"/>
    <n v="348.11"/>
    <n v="202.86"/>
    <m/>
    <n v="27030990513.481594"/>
    <n v="278.80352492268946"/>
    <n v="0"/>
    <n v="354313.65319999994"/>
    <n v="0"/>
    <n v="8135833618859.0771"/>
    <x v="2"/>
  </r>
  <r>
    <s v="Refaturamento - Regular"/>
    <x v="3"/>
    <x v="3"/>
    <x v="1"/>
    <x v="0"/>
    <x v="2"/>
    <x v="0"/>
    <x v="1"/>
    <x v="10"/>
    <n v="0"/>
    <n v="0"/>
    <n v="-43.738"/>
    <n v="-43.738"/>
    <n v="-43.738"/>
    <n v="-43.738"/>
    <n v="-8"/>
    <s v="CATIVO"/>
    <n v="0"/>
    <n v="0"/>
    <n v="37"/>
    <n v="78"/>
    <n v="0"/>
    <n v="348.11"/>
    <n v="202.86"/>
    <m/>
    <n v="27030990513.481594"/>
    <n v="278.80352492268946"/>
    <n v="0"/>
    <n v="-3286.4733199999991"/>
    <n v="0"/>
    <n v="-75464775017.423477"/>
    <x v="2"/>
  </r>
  <r>
    <s v="Sistema de Compensação"/>
    <x v="3"/>
    <x v="3"/>
    <x v="1"/>
    <x v="0"/>
    <x v="2"/>
    <x v="0"/>
    <x v="1"/>
    <x v="10"/>
    <n v="0"/>
    <n v="0"/>
    <n v="113.006"/>
    <n v="113.006"/>
    <n v="113.006"/>
    <n v="113.006"/>
    <n v="282"/>
    <s v="CATIVO"/>
    <n v="0"/>
    <n v="0"/>
    <n v="37"/>
    <n v="78"/>
    <n v="0"/>
    <n v="348.11"/>
    <n v="202.86"/>
    <m/>
    <n v="27030990513.481594"/>
    <n v="278.80352492268946"/>
    <n v="0"/>
    <n v="8491.2708399999992"/>
    <n v="0"/>
    <n v="194978562476.99844"/>
    <x v="2"/>
  </r>
  <r>
    <s v="Sistema de Compensação"/>
    <x v="3"/>
    <x v="3"/>
    <x v="1"/>
    <x v="0"/>
    <x v="2"/>
    <x v="0"/>
    <x v="1"/>
    <x v="10"/>
    <n v="0"/>
    <n v="0"/>
    <n v="7.0640000000000001"/>
    <n v="7.0640000000000001"/>
    <n v="7.0640000000000001"/>
    <n v="7.0640000000000001"/>
    <n v="2"/>
    <s v="CATIVO"/>
    <n v="0"/>
    <n v="0"/>
    <n v="37"/>
    <n v="78"/>
    <n v="0"/>
    <n v="348.11"/>
    <n v="202.86"/>
    <m/>
    <n v="27030990513.481594"/>
    <n v="278.80352492268946"/>
    <n v="0"/>
    <n v="530.78895999999986"/>
    <n v="0"/>
    <n v="12188101210.002274"/>
    <x v="2"/>
  </r>
  <r>
    <s v="PROJETADO"/>
    <x v="3"/>
    <x v="3"/>
    <x v="1"/>
    <x v="0"/>
    <x v="2"/>
    <x v="0"/>
    <x v="1"/>
    <x v="11"/>
    <n v="0"/>
    <n v="0"/>
    <n v="4715.38"/>
    <n v="4715.38"/>
    <n v="4715.38"/>
    <n v="4715.38"/>
    <n v="29947"/>
    <s v="CATIVO"/>
    <n v="0"/>
    <n v="0"/>
    <n v="37"/>
    <n v="78"/>
    <n v="0"/>
    <n v="348.11"/>
    <n v="202.86"/>
    <m/>
    <n v="27030990513.481594"/>
    <n v="278.80352492268946"/>
    <n v="0"/>
    <n v="354313.65319999994"/>
    <n v="0"/>
    <n v="8135833618859.0771"/>
    <x v="2"/>
  </r>
  <r>
    <s v="PROJETADO"/>
    <x v="3"/>
    <x v="3"/>
    <x v="1"/>
    <x v="0"/>
    <x v="2"/>
    <x v="0"/>
    <x v="1"/>
    <x v="11"/>
    <n v="0"/>
    <n v="0"/>
    <n v="-43.738"/>
    <n v="-43.738"/>
    <n v="-43.738"/>
    <n v="-43.738"/>
    <n v="-8"/>
    <s v="CATIVO"/>
    <n v="0"/>
    <n v="0"/>
    <n v="37"/>
    <n v="78"/>
    <n v="0"/>
    <n v="348.11"/>
    <n v="202.86"/>
    <m/>
    <n v="27030990513.481594"/>
    <n v="278.80352492268946"/>
    <n v="0"/>
    <n v="-3286.4733199999991"/>
    <n v="0"/>
    <n v="-75464775017.423477"/>
    <x v="2"/>
  </r>
  <r>
    <s v="PROJETADO"/>
    <x v="3"/>
    <x v="3"/>
    <x v="1"/>
    <x v="0"/>
    <x v="2"/>
    <x v="0"/>
    <x v="1"/>
    <x v="11"/>
    <n v="0"/>
    <n v="0"/>
    <n v="113.006"/>
    <n v="113.006"/>
    <n v="113.006"/>
    <n v="113.006"/>
    <n v="282"/>
    <s v="CATIVO"/>
    <n v="0"/>
    <n v="0"/>
    <n v="37"/>
    <n v="78"/>
    <n v="0"/>
    <n v="348.11"/>
    <n v="202.86"/>
    <m/>
    <n v="27030990513.481594"/>
    <n v="278.80352492268946"/>
    <n v="0"/>
    <n v="8491.2708399999992"/>
    <n v="0"/>
    <n v="194978562476.99844"/>
    <x v="2"/>
  </r>
  <r>
    <s v="PROJETADO"/>
    <x v="3"/>
    <x v="3"/>
    <x v="1"/>
    <x v="0"/>
    <x v="2"/>
    <x v="0"/>
    <x v="1"/>
    <x v="11"/>
    <n v="0"/>
    <n v="0"/>
    <n v="7.0640000000000001"/>
    <n v="7.0640000000000001"/>
    <n v="7.0640000000000001"/>
    <n v="7.0640000000000001"/>
    <n v="2"/>
    <s v="CATIVO"/>
    <n v="0"/>
    <n v="0"/>
    <n v="37"/>
    <n v="78"/>
    <n v="0"/>
    <n v="348.11"/>
    <n v="202.86"/>
    <m/>
    <n v="27030990513.481594"/>
    <n v="278.80352492268946"/>
    <n v="0"/>
    <n v="530.78895999999986"/>
    <n v="0"/>
    <n v="12188101210.002274"/>
    <x v="2"/>
  </r>
  <r>
    <s v="Regular"/>
    <x v="4"/>
    <x v="3"/>
    <x v="2"/>
    <x v="2"/>
    <x v="2"/>
    <x v="0"/>
    <x v="1"/>
    <x v="0"/>
    <n v="0"/>
    <n v="0"/>
    <n v="3092.855"/>
    <n v="2907.2837"/>
    <n v="3092.855"/>
    <n v="2907.2837"/>
    <n v="1547"/>
    <s v="CATIVO"/>
    <n v="0"/>
    <n v="0"/>
    <n v="45"/>
    <n v="85"/>
    <n v="0"/>
    <n v="395.58"/>
    <n v="230.53"/>
    <m/>
    <n v="28756372886.682549"/>
    <n v="296.59949459860582"/>
    <n v="0"/>
    <n v="116188.04664300004"/>
    <n v="0"/>
    <n v="5336357554906.7891"/>
    <x v="3"/>
  </r>
  <r>
    <s v="Refaturamento - Regular"/>
    <x v="4"/>
    <x v="3"/>
    <x v="2"/>
    <x v="2"/>
    <x v="2"/>
    <x v="0"/>
    <x v="1"/>
    <x v="0"/>
    <n v="0"/>
    <n v="0"/>
    <n v="6.59"/>
    <n v="6.1946000000000003"/>
    <n v="6.59"/>
    <n v="6.1946000000000003"/>
    <n v="1"/>
    <s v="CATIVO"/>
    <n v="0"/>
    <n v="0"/>
    <n v="45"/>
    <n v="85"/>
    <n v="0"/>
    <n v="395.58"/>
    <n v="230.53"/>
    <m/>
    <n v="28756372886.682549"/>
    <n v="296.59949459860582"/>
    <n v="0"/>
    <n v="247.56389399999972"/>
    <n v="0"/>
    <n v="11370269956.669706"/>
    <x v="3"/>
  </r>
  <r>
    <s v="Regular"/>
    <x v="4"/>
    <x v="3"/>
    <x v="2"/>
    <x v="2"/>
    <x v="2"/>
    <x v="0"/>
    <x v="1"/>
    <x v="1"/>
    <n v="0"/>
    <n v="0"/>
    <n v="3094.5010000000002"/>
    <n v="2908.8309399999998"/>
    <n v="3094.5010000000002"/>
    <n v="2908.8309399999998"/>
    <n v="1570"/>
    <s v="CATIVO"/>
    <n v="0"/>
    <n v="0"/>
    <n v="45"/>
    <n v="85"/>
    <n v="0"/>
    <n v="395.58"/>
    <n v="230.53"/>
    <m/>
    <n v="28756372886.682549"/>
    <n v="296.59949459860582"/>
    <n v="0"/>
    <n v="116249.88126660022"/>
    <n v="0"/>
    <n v="5339197534322.3779"/>
    <x v="3"/>
  </r>
  <r>
    <s v="Refaturamento - Regular"/>
    <x v="4"/>
    <x v="3"/>
    <x v="2"/>
    <x v="2"/>
    <x v="2"/>
    <x v="0"/>
    <x v="1"/>
    <x v="1"/>
    <n v="0"/>
    <n v="0"/>
    <n v="-2.7E-2"/>
    <n v="-2.538E-2"/>
    <n v="-2.7E-2"/>
    <n v="-2.538E-2"/>
    <n v="0"/>
    <s v="CATIVO"/>
    <n v="0"/>
    <n v="0"/>
    <n v="45"/>
    <n v="85"/>
    <n v="0"/>
    <n v="395.58"/>
    <n v="230.53"/>
    <m/>
    <n v="28756372886.682549"/>
    <n v="296.59949459860582"/>
    <n v="0"/>
    <n v="-1.0142981999999998"/>
    <n v="0"/>
    <n v="-46585324.556916907"/>
    <x v="3"/>
  </r>
  <r>
    <s v="Regular"/>
    <x v="4"/>
    <x v="3"/>
    <x v="2"/>
    <x v="2"/>
    <x v="2"/>
    <x v="0"/>
    <x v="1"/>
    <x v="2"/>
    <n v="0"/>
    <n v="0"/>
    <n v="2929.2640000000001"/>
    <n v="2753.5081599999999"/>
    <n v="2929.2640000000001"/>
    <n v="2753.5081599999999"/>
    <n v="1550"/>
    <s v="CATIVO"/>
    <n v="0"/>
    <n v="0"/>
    <n v="45"/>
    <n v="85"/>
    <n v="0"/>
    <n v="395.58"/>
    <n v="230.53"/>
    <m/>
    <n v="28756372886.682549"/>
    <n v="296.59949459860582"/>
    <n v="0"/>
    <n v="110042.48898240016"/>
    <n v="0"/>
    <n v="5054100524181.2178"/>
    <x v="3"/>
  </r>
  <r>
    <s v="Refaturamento - Regular"/>
    <x v="4"/>
    <x v="3"/>
    <x v="2"/>
    <x v="2"/>
    <x v="2"/>
    <x v="0"/>
    <x v="1"/>
    <x v="2"/>
    <n v="0"/>
    <n v="0"/>
    <n v="-6.7169999999999996"/>
    <n v="-6.3139799999999999"/>
    <n v="-6.7169999999999996"/>
    <n v="-6.3139799999999999"/>
    <n v="2"/>
    <s v="CATIVO"/>
    <n v="0"/>
    <n v="0"/>
    <n v="45"/>
    <n v="85"/>
    <n v="0"/>
    <n v="395.58"/>
    <n v="230.53"/>
    <m/>
    <n v="28756372886.682549"/>
    <n v="296.59949459860582"/>
    <n v="0"/>
    <n v="-252.3348521999998"/>
    <n v="0"/>
    <n v="-11589393520.326321"/>
    <x v="3"/>
  </r>
  <r>
    <s v="Regular"/>
    <x v="4"/>
    <x v="3"/>
    <x v="2"/>
    <x v="2"/>
    <x v="2"/>
    <x v="0"/>
    <x v="1"/>
    <x v="3"/>
    <n v="0"/>
    <n v="0"/>
    <n v="2958.587"/>
    <n v="2781.0717800000002"/>
    <n v="2958.587"/>
    <n v="2781.0717800000002"/>
    <n v="1556"/>
    <s v="CATIVO"/>
    <n v="0"/>
    <n v="0"/>
    <n v="45"/>
    <n v="85"/>
    <n v="0"/>
    <n v="395.58"/>
    <n v="230.53"/>
    <m/>
    <n v="28756372886.682549"/>
    <n v="296.59949459860582"/>
    <n v="0"/>
    <n v="111144.05439419986"/>
    <n v="0"/>
    <n v="5104693912032.4063"/>
    <x v="3"/>
  </r>
  <r>
    <s v="Refaturamento - Regular"/>
    <x v="4"/>
    <x v="3"/>
    <x v="2"/>
    <x v="2"/>
    <x v="2"/>
    <x v="0"/>
    <x v="1"/>
    <x v="3"/>
    <n v="0"/>
    <n v="0"/>
    <n v="2.613"/>
    <n v="2.4562200000000001"/>
    <n v="2.613"/>
    <n v="2.4562200000000001"/>
    <n v="0"/>
    <s v="CATIVO"/>
    <n v="0"/>
    <n v="0"/>
    <n v="45"/>
    <n v="85"/>
    <n v="0"/>
    <n v="395.58"/>
    <n v="230.53"/>
    <m/>
    <n v="28756372886.682549"/>
    <n v="296.59949459860582"/>
    <n v="0"/>
    <n v="98.16152579999995"/>
    <n v="0"/>
    <n v="4508424187.6749563"/>
    <x v="3"/>
  </r>
  <r>
    <s v="Sistema de Compensação"/>
    <x v="4"/>
    <x v="3"/>
    <x v="2"/>
    <x v="2"/>
    <x v="2"/>
    <x v="0"/>
    <x v="1"/>
    <x v="3"/>
    <n v="0"/>
    <n v="0"/>
    <n v="13.978"/>
    <n v="13.13932"/>
    <n v="13.978"/>
    <n v="13.13932"/>
    <n v="5"/>
    <s v="CATIVO"/>
    <n v="0"/>
    <n v="0"/>
    <n v="45"/>
    <n v="85"/>
    <n v="0"/>
    <n v="395.58"/>
    <n v="230.53"/>
    <m/>
    <n v="28756372886.682549"/>
    <n v="296.59949459860582"/>
    <n v="0"/>
    <n v="525.10593480000011"/>
    <n v="0"/>
    <n v="24117395061.354988"/>
    <x v="3"/>
  </r>
  <r>
    <s v="Regular"/>
    <x v="4"/>
    <x v="3"/>
    <x v="2"/>
    <x v="2"/>
    <x v="2"/>
    <x v="0"/>
    <x v="1"/>
    <x v="4"/>
    <n v="0"/>
    <n v="0"/>
    <n v="2312.0279999999998"/>
    <n v="2173.3063200000001"/>
    <n v="2312.0279999999998"/>
    <n v="2173.3063200000001"/>
    <n v="1408"/>
    <s v="CATIVO"/>
    <n v="0"/>
    <n v="0"/>
    <n v="45"/>
    <n v="85"/>
    <n v="0"/>
    <n v="395.58"/>
    <n v="230.53"/>
    <m/>
    <n v="28756372886.682549"/>
    <n v="296.59949459860582"/>
    <n v="0"/>
    <n v="86855.031064799783"/>
    <n v="0"/>
    <n v="3989132398691.8228"/>
    <x v="3"/>
  </r>
  <r>
    <s v="Sistema de Compensação"/>
    <x v="4"/>
    <x v="3"/>
    <x v="2"/>
    <x v="2"/>
    <x v="2"/>
    <x v="0"/>
    <x v="1"/>
    <x v="4"/>
    <n v="0"/>
    <n v="0"/>
    <n v="373.048"/>
    <n v="350.66512"/>
    <n v="373.048"/>
    <n v="350.66512"/>
    <n v="134"/>
    <s v="CATIVO"/>
    <n v="0"/>
    <n v="0"/>
    <n v="45"/>
    <n v="85"/>
    <n v="0"/>
    <n v="395.58"/>
    <n v="230.53"/>
    <m/>
    <n v="28756372886.682549"/>
    <n v="296.59949459860582"/>
    <n v="0"/>
    <n v="14014.1449968"/>
    <n v="0"/>
    <n v="643650450196.62"/>
    <x v="3"/>
  </r>
  <r>
    <s v="Regular"/>
    <x v="4"/>
    <x v="3"/>
    <x v="2"/>
    <x v="2"/>
    <x v="2"/>
    <x v="0"/>
    <x v="1"/>
    <x v="5"/>
    <n v="0"/>
    <n v="0"/>
    <n v="2505.9850000000001"/>
    <n v="2355.6259"/>
    <n v="2505.9850000000001"/>
    <n v="2355.6259"/>
    <n v="1402"/>
    <s v="CATIVO"/>
    <n v="0"/>
    <n v="0"/>
    <n v="45"/>
    <n v="85"/>
    <n v="0"/>
    <n v="395.58"/>
    <n v="230.53"/>
    <m/>
    <n v="28756372886.682549"/>
    <n v="296.59949459860582"/>
    <n v="0"/>
    <n v="94141.336101000081"/>
    <n v="0"/>
    <n v="4323782391102.4268"/>
    <x v="3"/>
  </r>
  <r>
    <s v="Sistema de Compensação"/>
    <x v="4"/>
    <x v="3"/>
    <x v="2"/>
    <x v="2"/>
    <x v="2"/>
    <x v="0"/>
    <x v="1"/>
    <x v="5"/>
    <n v="0"/>
    <n v="0"/>
    <n v="196.49299999999999"/>
    <n v="184.70341999999999"/>
    <n v="196.49299999999999"/>
    <n v="184.70341999999999"/>
    <n v="173"/>
    <s v="CATIVO"/>
    <n v="0"/>
    <n v="0"/>
    <n v="45"/>
    <n v="85"/>
    <n v="0"/>
    <n v="395.58"/>
    <n v="230.53"/>
    <m/>
    <n v="28756372886.682549"/>
    <n v="296.59949459860582"/>
    <n v="0"/>
    <n v="7381.5739338000003"/>
    <n v="0"/>
    <n v="339025562154.15833"/>
    <x v="3"/>
  </r>
  <r>
    <s v="Sistema de Compensação"/>
    <x v="4"/>
    <x v="3"/>
    <x v="2"/>
    <x v="2"/>
    <x v="2"/>
    <x v="0"/>
    <x v="1"/>
    <x v="5"/>
    <n v="0"/>
    <n v="0"/>
    <n v="2.5070000000000001"/>
    <n v="2.3565800000000001"/>
    <n v="2.5070000000000001"/>
    <n v="2.3565800000000001"/>
    <n v="0"/>
    <s v="CATIVO"/>
    <n v="0"/>
    <n v="0"/>
    <n v="45"/>
    <n v="85"/>
    <n v="0"/>
    <n v="395.58"/>
    <n v="230.53"/>
    <m/>
    <n v="28756372886.682549"/>
    <n v="296.59949459860582"/>
    <n v="0"/>
    <n v="94.179466199999993"/>
    <n v="0"/>
    <n v="4325533654.2292852"/>
    <x v="3"/>
  </r>
  <r>
    <s v="Regular"/>
    <x v="4"/>
    <x v="3"/>
    <x v="2"/>
    <x v="2"/>
    <x v="2"/>
    <x v="0"/>
    <x v="1"/>
    <x v="6"/>
    <n v="0"/>
    <n v="0"/>
    <n v="2475.7399999999998"/>
    <n v="2327.1956"/>
    <n v="2475.7399999999998"/>
    <n v="2327.1956"/>
    <n v="1419"/>
    <s v="CATIVO"/>
    <n v="0"/>
    <n v="0"/>
    <n v="45"/>
    <n v="85"/>
    <n v="0"/>
    <n v="395.58"/>
    <n v="230.53"/>
    <m/>
    <n v="28756372886.682549"/>
    <n v="296.59949459860582"/>
    <n v="0"/>
    <n v="93005.134283999854"/>
    <n v="0"/>
    <n v="4271598200686.7144"/>
    <x v="3"/>
  </r>
  <r>
    <s v="Sistema de Compensação"/>
    <x v="4"/>
    <x v="3"/>
    <x v="2"/>
    <x v="2"/>
    <x v="2"/>
    <x v="0"/>
    <x v="1"/>
    <x v="6"/>
    <n v="0"/>
    <n v="0"/>
    <n v="85.683000000000007"/>
    <n v="80.542019999999994"/>
    <n v="85.683000000000007"/>
    <n v="80.542019999999994"/>
    <n v="178"/>
    <s v="CATIVO"/>
    <n v="0"/>
    <n v="0"/>
    <n v="45"/>
    <n v="85"/>
    <n v="0"/>
    <n v="395.58"/>
    <n v="230.53"/>
    <m/>
    <n v="28756372886.682549"/>
    <n v="296.59949459860582"/>
    <n v="0"/>
    <n v="3218.818987800008"/>
    <n v="0"/>
    <n v="147835939407.7897"/>
    <x v="3"/>
  </r>
  <r>
    <s v="Regular"/>
    <x v="4"/>
    <x v="3"/>
    <x v="2"/>
    <x v="2"/>
    <x v="2"/>
    <x v="0"/>
    <x v="1"/>
    <x v="7"/>
    <n v="0"/>
    <n v="0"/>
    <n v="2496.7779999999998"/>
    <n v="2346.9713200000001"/>
    <n v="2496.7779999999998"/>
    <n v="2346.9713200000001"/>
    <n v="1414"/>
    <s v="CATIVO"/>
    <n v="0"/>
    <n v="0"/>
    <n v="45"/>
    <n v="85"/>
    <n v="0"/>
    <n v="395.58"/>
    <n v="230.53"/>
    <m/>
    <n v="28756372886.682549"/>
    <n v="296.59949459860582"/>
    <n v="0"/>
    <n v="93795.460414799803"/>
    <n v="0"/>
    <n v="4307896795428.5054"/>
    <x v="3"/>
  </r>
  <r>
    <s v="Refaturamento - Regular"/>
    <x v="4"/>
    <x v="3"/>
    <x v="2"/>
    <x v="2"/>
    <x v="2"/>
    <x v="0"/>
    <x v="1"/>
    <x v="7"/>
    <n v="0"/>
    <n v="0"/>
    <n v="-5.0000000000000001E-3"/>
    <n v="-4.7000000000000002E-3"/>
    <n v="-5.0000000000000001E-3"/>
    <n v="-4.7000000000000002E-3"/>
    <n v="0"/>
    <s v="CATIVO"/>
    <n v="0"/>
    <n v="0"/>
    <n v="45"/>
    <n v="85"/>
    <n v="0"/>
    <n v="395.58"/>
    <n v="230.53"/>
    <m/>
    <n v="28756372886.682549"/>
    <n v="296.59949459860582"/>
    <n v="0"/>
    <n v="-0.18783299999999994"/>
    <n v="0"/>
    <n v="-8626911.9549846109"/>
    <x v="3"/>
  </r>
  <r>
    <s v="Sistema de Compensação"/>
    <x v="4"/>
    <x v="3"/>
    <x v="2"/>
    <x v="2"/>
    <x v="2"/>
    <x v="0"/>
    <x v="1"/>
    <x v="7"/>
    <n v="0"/>
    <n v="0"/>
    <n v="149.88900000000001"/>
    <n v="140.89565999999999"/>
    <n v="149.88900000000001"/>
    <n v="140.89565999999999"/>
    <n v="196"/>
    <s v="CATIVO"/>
    <n v="0"/>
    <n v="0"/>
    <n v="45"/>
    <n v="85"/>
    <n v="0"/>
    <n v="395.58"/>
    <n v="230.53"/>
    <m/>
    <n v="28756372886.682549"/>
    <n v="296.59949459860582"/>
    <n v="0"/>
    <n v="5630.8201074000108"/>
    <n v="0"/>
    <n v="258615841204.13824"/>
    <x v="3"/>
  </r>
  <r>
    <s v="Sistema de Compensação"/>
    <x v="4"/>
    <x v="3"/>
    <x v="2"/>
    <x v="2"/>
    <x v="2"/>
    <x v="0"/>
    <x v="1"/>
    <x v="7"/>
    <n v="0"/>
    <n v="0"/>
    <n v="0.86899999999999999"/>
    <n v="0.81686000000000003"/>
    <n v="0.86899999999999999"/>
    <n v="0.81686000000000003"/>
    <n v="1"/>
    <s v="CATIVO"/>
    <n v="0"/>
    <n v="0"/>
    <n v="45"/>
    <n v="85"/>
    <n v="0"/>
    <n v="395.58"/>
    <n v="230.53"/>
    <m/>
    <n v="28756372886.682549"/>
    <n v="296.59949459860582"/>
    <n v="0"/>
    <n v="32.645375399999978"/>
    <n v="0"/>
    <n v="1499357297.7763247"/>
    <x v="3"/>
  </r>
  <r>
    <s v="Regular"/>
    <x v="4"/>
    <x v="3"/>
    <x v="2"/>
    <x v="2"/>
    <x v="2"/>
    <x v="0"/>
    <x v="1"/>
    <x v="8"/>
    <n v="0"/>
    <n v="0"/>
    <n v="2330.549"/>
    <n v="2190.7160600000002"/>
    <n v="2330.549"/>
    <n v="2190.7160600000002"/>
    <n v="1382"/>
    <s v="CATIVO"/>
    <n v="0"/>
    <n v="0"/>
    <n v="45"/>
    <n v="85"/>
    <n v="0"/>
    <n v="395.58"/>
    <n v="230.53"/>
    <m/>
    <n v="28756372886.682549"/>
    <n v="296.59949459860582"/>
    <n v="0"/>
    <n v="87550.802063399868"/>
    <n v="0"/>
    <n v="4021088205955.4805"/>
    <x v="3"/>
  </r>
  <r>
    <s v="Refaturamento - Regular"/>
    <x v="4"/>
    <x v="3"/>
    <x v="2"/>
    <x v="2"/>
    <x v="2"/>
    <x v="0"/>
    <x v="1"/>
    <x v="8"/>
    <n v="0"/>
    <n v="0"/>
    <n v="12.458"/>
    <n v="11.710520000000001"/>
    <n v="12.458"/>
    <n v="11.710520000000001"/>
    <n v="0"/>
    <s v="CATIVO"/>
    <n v="0"/>
    <n v="0"/>
    <n v="45"/>
    <n v="85"/>
    <n v="0"/>
    <n v="395.58"/>
    <n v="230.53"/>
    <m/>
    <n v="28756372886.682549"/>
    <n v="296.59949459860582"/>
    <n v="0"/>
    <n v="468.00470279999968"/>
    <n v="0"/>
    <n v="21494813827.039646"/>
    <x v="3"/>
  </r>
  <r>
    <s v="Sistema de Compensação"/>
    <x v="4"/>
    <x v="3"/>
    <x v="2"/>
    <x v="2"/>
    <x v="2"/>
    <x v="0"/>
    <x v="1"/>
    <x v="8"/>
    <n v="0"/>
    <n v="0"/>
    <n v="55.753999999999998"/>
    <n v="52.408760000000001"/>
    <n v="55.753999999999998"/>
    <n v="52.408760000000001"/>
    <n v="210"/>
    <s v="CATIVO"/>
    <n v="0"/>
    <n v="0"/>
    <n v="45"/>
    <n v="85"/>
    <n v="0"/>
    <n v="395.58"/>
    <n v="230.53"/>
    <m/>
    <n v="28756372886.682549"/>
    <n v="296.59949459860582"/>
    <n v="0"/>
    <n v="2094.4882163999982"/>
    <n v="0"/>
    <n v="96196969827.642334"/>
    <x v="3"/>
  </r>
  <r>
    <s v="Sistema de Compensação"/>
    <x v="4"/>
    <x v="3"/>
    <x v="2"/>
    <x v="2"/>
    <x v="2"/>
    <x v="0"/>
    <x v="1"/>
    <x v="8"/>
    <n v="0"/>
    <n v="0"/>
    <n v="7.665"/>
    <n v="7.2050999999999998"/>
    <n v="7.665"/>
    <n v="7.2050999999999998"/>
    <n v="0"/>
    <s v="CATIVO"/>
    <n v="0"/>
    <n v="0"/>
    <n v="45"/>
    <n v="85"/>
    <n v="0"/>
    <n v="395.58"/>
    <n v="230.53"/>
    <m/>
    <n v="28756372886.682549"/>
    <n v="296.59949459860582"/>
    <n v="0"/>
    <n v="287.94798900000012"/>
    <n v="0"/>
    <n v="13225056026.991417"/>
    <x v="3"/>
  </r>
  <r>
    <s v="Regular"/>
    <x v="4"/>
    <x v="3"/>
    <x v="2"/>
    <x v="2"/>
    <x v="2"/>
    <x v="0"/>
    <x v="1"/>
    <x v="9"/>
    <n v="0"/>
    <n v="0"/>
    <n v="2281.1390000000001"/>
    <n v="2144.2706600000001"/>
    <n v="2281.1390000000001"/>
    <n v="2144.2706600000001"/>
    <n v="1417"/>
    <s v="CATIVO"/>
    <n v="0"/>
    <n v="0"/>
    <n v="45"/>
    <n v="85"/>
    <n v="0"/>
    <n v="395.58"/>
    <n v="230.53"/>
    <m/>
    <n v="28756372886.682549"/>
    <n v="296.59949459860582"/>
    <n v="0"/>
    <n v="85694.636357399984"/>
    <n v="0"/>
    <n v="3935837062016.3286"/>
    <x v="3"/>
  </r>
  <r>
    <s v="Refaturamento - Regular"/>
    <x v="4"/>
    <x v="3"/>
    <x v="2"/>
    <x v="2"/>
    <x v="2"/>
    <x v="0"/>
    <x v="1"/>
    <x v="9"/>
    <n v="0"/>
    <n v="0"/>
    <n v="4.6710000000000003"/>
    <n v="4.3907400000000001"/>
    <n v="4.6710000000000003"/>
    <n v="4.3907400000000001"/>
    <n v="4"/>
    <s v="CATIVO"/>
    <n v="0"/>
    <n v="0"/>
    <n v="45"/>
    <n v="85"/>
    <n v="0"/>
    <n v="395.58"/>
    <n v="230.53"/>
    <m/>
    <n v="28756372886.682549"/>
    <n v="296.59949459860582"/>
    <n v="0"/>
    <n v="175.47358860000011"/>
    <n v="0"/>
    <n v="8059261148.3466301"/>
    <x v="3"/>
  </r>
  <r>
    <s v="Sistema de Compensação"/>
    <x v="4"/>
    <x v="3"/>
    <x v="2"/>
    <x v="2"/>
    <x v="2"/>
    <x v="0"/>
    <x v="1"/>
    <x v="9"/>
    <n v="0"/>
    <n v="0"/>
    <n v="66.58"/>
    <n v="62.5852"/>
    <n v="66.58"/>
    <n v="62.5852"/>
    <n v="214"/>
    <s v="CATIVO"/>
    <n v="0"/>
    <n v="0"/>
    <n v="45"/>
    <n v="85"/>
    <n v="0"/>
    <n v="395.58"/>
    <n v="230.53"/>
    <m/>
    <n v="28756372886.682549"/>
    <n v="296.59949459860582"/>
    <n v="0"/>
    <n v="2501.1842279999987"/>
    <n v="0"/>
    <n v="114875959592.57506"/>
    <x v="3"/>
  </r>
  <r>
    <s v="Sistema de Compensação"/>
    <x v="4"/>
    <x v="3"/>
    <x v="2"/>
    <x v="2"/>
    <x v="2"/>
    <x v="0"/>
    <x v="1"/>
    <x v="9"/>
    <n v="0"/>
    <n v="0"/>
    <n v="-6.843"/>
    <n v="-6.4324199999999996"/>
    <n v="-6.843"/>
    <n v="-6.4324199999999996"/>
    <n v="0"/>
    <s v="CATIVO"/>
    <n v="0"/>
    <n v="0"/>
    <n v="45"/>
    <n v="85"/>
    <n v="0"/>
    <n v="395.58"/>
    <n v="230.53"/>
    <m/>
    <n v="28756372886.682549"/>
    <n v="296.59949459860582"/>
    <n v="0"/>
    <n v="-257.06824380000023"/>
    <n v="0"/>
    <n v="-11806791701.591953"/>
    <x v="3"/>
  </r>
  <r>
    <s v="Regular"/>
    <x v="4"/>
    <x v="3"/>
    <x v="2"/>
    <x v="2"/>
    <x v="2"/>
    <x v="0"/>
    <x v="1"/>
    <x v="10"/>
    <n v="0"/>
    <n v="0"/>
    <n v="2349.0390000000002"/>
    <n v="2208.0966600000002"/>
    <n v="2349.0390000000002"/>
    <n v="2208.0966600000002"/>
    <n v="1410"/>
    <s v="CATIVO"/>
    <n v="0"/>
    <n v="0"/>
    <n v="45"/>
    <n v="85"/>
    <n v="0"/>
    <n v="395.58"/>
    <n v="230.53"/>
    <m/>
    <n v="28756372886.682549"/>
    <n v="296.59949459860582"/>
    <n v="0"/>
    <n v="88245.408497400029"/>
    <n v="0"/>
    <n v="4052990526365.0215"/>
    <x v="3"/>
  </r>
  <r>
    <s v="Refaturamento - Regular"/>
    <x v="4"/>
    <x v="3"/>
    <x v="2"/>
    <x v="2"/>
    <x v="2"/>
    <x v="0"/>
    <x v="1"/>
    <x v="10"/>
    <n v="0"/>
    <n v="0"/>
    <n v="-2.8"/>
    <n v="-2.6320000000000001"/>
    <n v="-2.8"/>
    <n v="-2.6320000000000001"/>
    <n v="1"/>
    <s v="CATIVO"/>
    <n v="0"/>
    <n v="0"/>
    <n v="45"/>
    <n v="85"/>
    <n v="0"/>
    <n v="395.58"/>
    <n v="230.53"/>
    <m/>
    <n v="28756372886.682549"/>
    <n v="296.59949459860582"/>
    <n v="0"/>
    <n v="-105.18647999999982"/>
    <n v="0"/>
    <n v="-4831070694.7913752"/>
    <x v="3"/>
  </r>
  <r>
    <s v="Sistema de Compensação"/>
    <x v="4"/>
    <x v="3"/>
    <x v="2"/>
    <x v="2"/>
    <x v="2"/>
    <x v="0"/>
    <x v="1"/>
    <x v="10"/>
    <n v="0"/>
    <n v="0"/>
    <n v="57.878999999999998"/>
    <n v="54.406260000000003"/>
    <n v="57.878999999999998"/>
    <n v="54.406260000000003"/>
    <n v="223"/>
    <s v="CATIVO"/>
    <n v="0"/>
    <n v="0"/>
    <n v="45"/>
    <n v="85"/>
    <n v="0"/>
    <n v="395.58"/>
    <n v="230.53"/>
    <m/>
    <n v="28756372886.682549"/>
    <n v="296.59949459860582"/>
    <n v="0"/>
    <n v="2174.3172413999964"/>
    <n v="0"/>
    <n v="99863407408.510727"/>
    <x v="3"/>
  </r>
  <r>
    <s v="Sistema de Compensação"/>
    <x v="4"/>
    <x v="3"/>
    <x v="2"/>
    <x v="2"/>
    <x v="2"/>
    <x v="0"/>
    <x v="1"/>
    <x v="10"/>
    <n v="0"/>
    <n v="0"/>
    <n v="7.2370000000000001"/>
    <n v="6.8027800000000003"/>
    <n v="7.2370000000000001"/>
    <n v="6.8027800000000003"/>
    <n v="0"/>
    <s v="CATIVO"/>
    <n v="0"/>
    <n v="0"/>
    <n v="45"/>
    <n v="85"/>
    <n v="0"/>
    <n v="395.58"/>
    <n v="230.53"/>
    <m/>
    <n v="28756372886.682549"/>
    <n v="296.59949459860582"/>
    <n v="0"/>
    <n v="271.86948419999987"/>
    <n v="0"/>
    <n v="12486592363.644724"/>
    <x v="3"/>
  </r>
  <r>
    <s v="PROJETADO"/>
    <x v="4"/>
    <x v="3"/>
    <x v="2"/>
    <x v="2"/>
    <x v="2"/>
    <x v="0"/>
    <x v="1"/>
    <x v="11"/>
    <n v="0"/>
    <n v="0"/>
    <n v="2349.0390000000002"/>
    <n v="2208.0966600000002"/>
    <n v="2349.0390000000002"/>
    <n v="2208.0966600000002"/>
    <n v="1410"/>
    <s v="CATIVO"/>
    <n v="0"/>
    <n v="0"/>
    <n v="45"/>
    <n v="85"/>
    <n v="0"/>
    <n v="395.58"/>
    <n v="230.53"/>
    <m/>
    <n v="28756372886.682549"/>
    <n v="296.59949459860582"/>
    <n v="0"/>
    <n v="88245.408497400029"/>
    <n v="0"/>
    <n v="4052990526365.0215"/>
    <x v="3"/>
  </r>
  <r>
    <s v="PROJETADO"/>
    <x v="4"/>
    <x v="3"/>
    <x v="2"/>
    <x v="2"/>
    <x v="2"/>
    <x v="0"/>
    <x v="1"/>
    <x v="11"/>
    <n v="0"/>
    <n v="0"/>
    <n v="-2.8"/>
    <n v="-2.6320000000000001"/>
    <n v="-2.8"/>
    <n v="-2.6320000000000001"/>
    <n v="1"/>
    <s v="CATIVO"/>
    <n v="0"/>
    <n v="0"/>
    <n v="45"/>
    <n v="85"/>
    <n v="0"/>
    <n v="395.58"/>
    <n v="230.53"/>
    <m/>
    <n v="28756372886.682549"/>
    <n v="296.59949459860582"/>
    <n v="0"/>
    <n v="-105.18647999999982"/>
    <n v="0"/>
    <n v="-4831070694.7913752"/>
    <x v="3"/>
  </r>
  <r>
    <s v="PROJETADO"/>
    <x v="4"/>
    <x v="3"/>
    <x v="2"/>
    <x v="2"/>
    <x v="2"/>
    <x v="0"/>
    <x v="1"/>
    <x v="11"/>
    <n v="0"/>
    <n v="0"/>
    <n v="57.878999999999998"/>
    <n v="54.406260000000003"/>
    <n v="57.878999999999998"/>
    <n v="54.406260000000003"/>
    <n v="223"/>
    <s v="CATIVO"/>
    <n v="0"/>
    <n v="0"/>
    <n v="45"/>
    <n v="85"/>
    <n v="0"/>
    <n v="395.58"/>
    <n v="230.53"/>
    <m/>
    <n v="28756372886.682549"/>
    <n v="296.59949459860582"/>
    <n v="0"/>
    <n v="2174.3172413999964"/>
    <n v="0"/>
    <n v="99863407408.510727"/>
    <x v="3"/>
  </r>
  <r>
    <s v="PROJETADO"/>
    <x v="4"/>
    <x v="3"/>
    <x v="2"/>
    <x v="2"/>
    <x v="2"/>
    <x v="0"/>
    <x v="1"/>
    <x v="11"/>
    <n v="0"/>
    <n v="0"/>
    <n v="7.2370000000000001"/>
    <n v="6.8027800000000003"/>
    <n v="7.2370000000000001"/>
    <n v="6.8027800000000003"/>
    <n v="0"/>
    <s v="CATIVO"/>
    <n v="0"/>
    <n v="0"/>
    <n v="45"/>
    <n v="85"/>
    <n v="0"/>
    <n v="395.58"/>
    <n v="230.53"/>
    <m/>
    <n v="28756372886.682549"/>
    <n v="296.59949459860582"/>
    <n v="0"/>
    <n v="271.86948419999987"/>
    <n v="0"/>
    <n v="12486592363.644724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1">
  <r>
    <s v="Regular"/>
    <x v="0"/>
    <x v="0"/>
    <x v="0"/>
    <x v="0"/>
    <x v="0"/>
    <x v="0"/>
    <x v="0"/>
    <x v="0"/>
    <n v="200"/>
    <n v="200"/>
    <n v="27.738"/>
    <n v="27.738"/>
    <n v="27.738"/>
    <n v="27.738"/>
    <n v="0"/>
    <x v="0"/>
    <n v="0"/>
    <n v="93"/>
    <n v="94"/>
    <n v="48"/>
    <n v="15.23"/>
    <n v="65.13"/>
    <n v="219.97"/>
    <n v="23.460577446120819"/>
    <n v="77.277449078424894"/>
    <n v="283.40928728637363"/>
    <n v="3046"/>
    <n v="1806.5759399999999"/>
    <n v="6101.5278600000001"/>
    <n v="4692.1154892241639"/>
    <n v="2143.5218825373495"/>
    <n v="7861.2068107494315"/>
  </r>
  <r>
    <s v="Sistema de Compensação"/>
    <x v="0"/>
    <x v="0"/>
    <x v="0"/>
    <x v="0"/>
    <x v="0"/>
    <x v="0"/>
    <x v="0"/>
    <x v="0"/>
    <n v="200"/>
    <n v="200"/>
    <n v="52.478000000000002"/>
    <n v="52.478000000000002"/>
    <n v="52.478000000000002"/>
    <n v="52.478000000000002"/>
    <n v="0"/>
    <x v="0"/>
    <n v="0"/>
    <n v="93"/>
    <n v="94"/>
    <n v="48"/>
    <n v="15.23"/>
    <n v="65.13"/>
    <n v="219.97"/>
    <n v="23.460577446120819"/>
    <n v="77.277449078424894"/>
    <n v="283.40928728637363"/>
    <n v="3046"/>
    <n v="3417.8921399999999"/>
    <n v="11543.585660000001"/>
    <n v="4692.1154892241639"/>
    <n v="4055.3659727375816"/>
    <n v="14872.752578214315"/>
  </r>
  <r>
    <s v="Regular"/>
    <x v="0"/>
    <x v="0"/>
    <x v="0"/>
    <x v="0"/>
    <x v="0"/>
    <x v="0"/>
    <x v="0"/>
    <x v="0"/>
    <n v="3500"/>
    <n v="35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305"/>
    <n v="0"/>
    <n v="0"/>
    <n v="82112.021061422871"/>
    <n v="0"/>
    <n v="0"/>
  </r>
  <r>
    <s v="Regular"/>
    <x v="0"/>
    <x v="0"/>
    <x v="0"/>
    <x v="0"/>
    <x v="0"/>
    <x v="0"/>
    <x v="0"/>
    <x v="1"/>
    <n v="200"/>
    <n v="200"/>
    <n v="28.448"/>
    <n v="28.448"/>
    <n v="28.448"/>
    <n v="28.448"/>
    <n v="0"/>
    <x v="0"/>
    <n v="0"/>
    <n v="93"/>
    <n v="94"/>
    <n v="48"/>
    <n v="15.23"/>
    <n v="65.13"/>
    <n v="219.97"/>
    <n v="23.460577446120819"/>
    <n v="77.277449078424894"/>
    <n v="283.40928728637363"/>
    <n v="3046"/>
    <n v="1852.8182399999998"/>
    <n v="6257.7065599999996"/>
    <n v="4692.1154892241639"/>
    <n v="2198.3888713830315"/>
    <n v="8062.4274047227573"/>
  </r>
  <r>
    <s v="Sistema de Compensação"/>
    <x v="0"/>
    <x v="0"/>
    <x v="0"/>
    <x v="0"/>
    <x v="0"/>
    <x v="0"/>
    <x v="0"/>
    <x v="1"/>
    <n v="200"/>
    <n v="200"/>
    <n v="47.994"/>
    <n v="47.994"/>
    <n v="47.994"/>
    <n v="47.994"/>
    <n v="0"/>
    <x v="0"/>
    <n v="0"/>
    <n v="93"/>
    <n v="94"/>
    <n v="48"/>
    <n v="15.23"/>
    <n v="65.13"/>
    <n v="219.97"/>
    <n v="23.460577446120819"/>
    <n v="77.277449078424894"/>
    <n v="283.40928728637363"/>
    <n v="3046"/>
    <n v="3125.8492199999996"/>
    <n v="10557.240180000001"/>
    <n v="4692.1154892241639"/>
    <n v="3708.8538910699244"/>
    <n v="13601.945334022215"/>
  </r>
  <r>
    <s v="Regular"/>
    <x v="0"/>
    <x v="0"/>
    <x v="0"/>
    <x v="0"/>
    <x v="0"/>
    <x v="0"/>
    <x v="0"/>
    <x v="1"/>
    <n v="3298"/>
    <n v="3298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0228.54"/>
    <n v="0"/>
    <n v="0"/>
    <n v="77372.984417306463"/>
    <n v="0"/>
    <n v="0"/>
  </r>
  <r>
    <s v="Regular"/>
    <x v="0"/>
    <x v="0"/>
    <x v="0"/>
    <x v="0"/>
    <x v="0"/>
    <x v="0"/>
    <x v="0"/>
    <x v="2"/>
    <n v="200"/>
    <n v="200"/>
    <n v="33.168999999999997"/>
    <n v="33.168999999999997"/>
    <n v="33.168999999999997"/>
    <n v="33.168999999999997"/>
    <n v="0"/>
    <x v="0"/>
    <n v="0"/>
    <n v="93"/>
    <n v="94"/>
    <n v="48"/>
    <n v="15.23"/>
    <n v="65.13"/>
    <n v="219.97"/>
    <n v="23.460577446120819"/>
    <n v="77.277449078424894"/>
    <n v="283.40928728637363"/>
    <n v="3046"/>
    <n v="2160.2969699999999"/>
    <n v="7296.1849299999994"/>
    <n v="4692.1154892241639"/>
    <n v="2563.2157084822752"/>
    <n v="9400.4026500017262"/>
  </r>
  <r>
    <s v="Sistema de Compensação"/>
    <x v="0"/>
    <x v="0"/>
    <x v="0"/>
    <x v="0"/>
    <x v="0"/>
    <x v="0"/>
    <x v="0"/>
    <x v="2"/>
    <n v="200"/>
    <n v="200"/>
    <n v="47.045999999999999"/>
    <n v="47.045999999999999"/>
    <n v="47.045999999999999"/>
    <n v="47.045999999999999"/>
    <n v="0"/>
    <x v="0"/>
    <n v="0"/>
    <n v="93"/>
    <n v="94"/>
    <n v="48"/>
    <n v="15.23"/>
    <n v="65.13"/>
    <n v="219.97"/>
    <n v="23.460577446120819"/>
    <n v="77.277449078424894"/>
    <n v="283.40928728637363"/>
    <n v="3046"/>
    <n v="3064.1059799999998"/>
    <n v="10348.708619999999"/>
    <n v="4692.1154892241639"/>
    <n v="3635.5948693435776"/>
    <n v="13333.273329674734"/>
  </r>
  <r>
    <s v="Regular"/>
    <x v="0"/>
    <x v="0"/>
    <x v="0"/>
    <x v="0"/>
    <x v="0"/>
    <x v="0"/>
    <x v="0"/>
    <x v="2"/>
    <n v="3225"/>
    <n v="3225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49116.75"/>
    <n v="0"/>
    <n v="0"/>
    <n v="75660.362263739647"/>
    <n v="0"/>
    <n v="0"/>
  </r>
  <r>
    <s v="Regular"/>
    <x v="0"/>
    <x v="0"/>
    <x v="0"/>
    <x v="0"/>
    <x v="0"/>
    <x v="0"/>
    <x v="0"/>
    <x v="3"/>
    <n v="200"/>
    <n v="200"/>
    <n v="36.734000000000002"/>
    <n v="36.734000000000002"/>
    <n v="36.734000000000002"/>
    <n v="36.734000000000002"/>
    <n v="0"/>
    <x v="0"/>
    <n v="0"/>
    <n v="93"/>
    <n v="94"/>
    <n v="48"/>
    <n v="15.23"/>
    <n v="65.13"/>
    <n v="219.97"/>
    <n v="23.460577446120819"/>
    <n v="77.277449078424894"/>
    <n v="283.40928728637363"/>
    <n v="3046"/>
    <n v="2392.48542"/>
    <n v="8080.3779800000002"/>
    <n v="4692.1154892241639"/>
    <n v="2838.70981444686"/>
    <n v="10410.75675917765"/>
  </r>
  <r>
    <s v="Regular"/>
    <x v="0"/>
    <x v="0"/>
    <x v="0"/>
    <x v="0"/>
    <x v="0"/>
    <x v="0"/>
    <x v="0"/>
    <x v="3"/>
    <n v="2889"/>
    <n v="2889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43999.47"/>
    <n v="0"/>
    <n v="0"/>
    <n v="67777.608241843045"/>
    <n v="0"/>
    <n v="0"/>
  </r>
  <r>
    <s v="Regular"/>
    <x v="0"/>
    <x v="0"/>
    <x v="0"/>
    <x v="0"/>
    <x v="0"/>
    <x v="0"/>
    <x v="0"/>
    <x v="4"/>
    <n v="200"/>
    <n v="200"/>
    <n v="39.317"/>
    <n v="39.317"/>
    <n v="39.317"/>
    <n v="39.317"/>
    <n v="0"/>
    <x v="0"/>
    <n v="0"/>
    <n v="93"/>
    <n v="94"/>
    <n v="48"/>
    <n v="15.23"/>
    <n v="65.13"/>
    <n v="219.97"/>
    <n v="23.460577446120819"/>
    <n v="77.277449078424894"/>
    <n v="283.40928728637363"/>
    <n v="3046"/>
    <n v="2560.71621"/>
    <n v="8648.5604899999998"/>
    <n v="4692.1154892241639"/>
    <n v="3038.3174654164318"/>
    <n v="11142.802948238352"/>
  </r>
  <r>
    <s v="Regular"/>
    <x v="0"/>
    <x v="0"/>
    <x v="0"/>
    <x v="0"/>
    <x v="0"/>
    <x v="0"/>
    <x v="0"/>
    <x v="4"/>
    <n v="3500"/>
    <n v="35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305"/>
    <n v="0"/>
    <n v="0"/>
    <n v="82112.021061422871"/>
    <n v="0"/>
    <n v="0"/>
  </r>
  <r>
    <s v="Regular"/>
    <x v="0"/>
    <x v="0"/>
    <x v="0"/>
    <x v="0"/>
    <x v="0"/>
    <x v="0"/>
    <x v="0"/>
    <x v="5"/>
    <n v="200"/>
    <n v="200"/>
    <n v="44.417000000000002"/>
    <n v="44.417000000000002"/>
    <n v="44.417000000000002"/>
    <n v="44.417000000000002"/>
    <n v="0"/>
    <x v="0"/>
    <n v="0"/>
    <n v="93"/>
    <n v="94"/>
    <n v="48"/>
    <n v="15.23"/>
    <n v="65.13"/>
    <n v="219.97"/>
    <n v="23.460577446120819"/>
    <n v="77.277449078424894"/>
    <n v="283.40928728637363"/>
    <n v="3046"/>
    <n v="2892.8792100000001"/>
    <n v="9770.4074899999996"/>
    <n v="4692.1154892241639"/>
    <n v="3432.4324557163986"/>
    <n v="12588.190313398858"/>
  </r>
  <r>
    <s v="Regular"/>
    <x v="0"/>
    <x v="0"/>
    <x v="0"/>
    <x v="0"/>
    <x v="0"/>
    <x v="0"/>
    <x v="0"/>
    <x v="5"/>
    <n v="3500"/>
    <n v="35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305"/>
    <n v="0"/>
    <n v="0"/>
    <n v="82112.021061422871"/>
    <n v="0"/>
    <n v="0"/>
  </r>
  <r>
    <s v="Regular"/>
    <x v="0"/>
    <x v="0"/>
    <x v="0"/>
    <x v="0"/>
    <x v="0"/>
    <x v="0"/>
    <x v="0"/>
    <x v="6"/>
    <n v="200"/>
    <n v="200"/>
    <n v="42.972000000000001"/>
    <n v="42.972000000000001"/>
    <n v="42.972000000000001"/>
    <n v="42.972000000000001"/>
    <n v="0"/>
    <x v="0"/>
    <n v="0"/>
    <n v="93"/>
    <n v="94"/>
    <n v="48"/>
    <n v="15.23"/>
    <n v="65.13"/>
    <n v="219.97"/>
    <n v="23.460577446120819"/>
    <n v="77.277449078424894"/>
    <n v="283.40928728637363"/>
    <n v="3046"/>
    <n v="2798.7663600000001"/>
    <n v="9452.5508399999999"/>
    <n v="4692.1154892241639"/>
    <n v="3320.7665417980747"/>
    <n v="12178.663893270048"/>
  </r>
  <r>
    <s v="Regular"/>
    <x v="0"/>
    <x v="0"/>
    <x v="0"/>
    <x v="0"/>
    <x v="0"/>
    <x v="0"/>
    <x v="0"/>
    <x v="6"/>
    <n v="3500"/>
    <n v="35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305"/>
    <n v="0"/>
    <n v="0"/>
    <n v="82112.021061422871"/>
    <n v="0"/>
    <n v="0"/>
  </r>
  <r>
    <s v="Regular"/>
    <x v="0"/>
    <x v="0"/>
    <x v="0"/>
    <x v="0"/>
    <x v="0"/>
    <x v="0"/>
    <x v="0"/>
    <x v="7"/>
    <n v="200"/>
    <n v="200"/>
    <n v="45.470999999999997"/>
    <n v="45.470999999999997"/>
    <n v="45.470999999999997"/>
    <n v="45.470999999999997"/>
    <n v="0"/>
    <x v="0"/>
    <n v="0"/>
    <n v="93"/>
    <n v="94"/>
    <n v="48"/>
    <n v="15.23"/>
    <n v="65.13"/>
    <n v="219.97"/>
    <n v="23.460577446120819"/>
    <n v="77.277449078424894"/>
    <n v="283.40928728637363"/>
    <n v="3046"/>
    <n v="2961.5262299999995"/>
    <n v="10002.255869999999"/>
    <n v="4692.1154892241639"/>
    <n v="3513.8828870450579"/>
    <n v="12886.903702198693"/>
  </r>
  <r>
    <s v="Regular"/>
    <x v="0"/>
    <x v="0"/>
    <x v="0"/>
    <x v="0"/>
    <x v="0"/>
    <x v="0"/>
    <x v="0"/>
    <x v="7"/>
    <n v="3500"/>
    <n v="35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305"/>
    <n v="0"/>
    <n v="0"/>
    <n v="82112.021061422871"/>
    <n v="0"/>
    <n v="0"/>
  </r>
  <r>
    <s v="Regular"/>
    <x v="0"/>
    <x v="0"/>
    <x v="0"/>
    <x v="0"/>
    <x v="0"/>
    <x v="0"/>
    <x v="0"/>
    <x v="8"/>
    <n v="200"/>
    <n v="200"/>
    <n v="46.872999999999998"/>
    <n v="46.872999999999998"/>
    <n v="46.872999999999998"/>
    <n v="46.872999999999998"/>
    <n v="0"/>
    <x v="0"/>
    <n v="0"/>
    <n v="93"/>
    <n v="94"/>
    <n v="48"/>
    <n v="15.23"/>
    <n v="65.13"/>
    <n v="219.97"/>
    <n v="23.460577446120819"/>
    <n v="77.277449078424894"/>
    <n v="283.40928728637363"/>
    <n v="3046"/>
    <n v="3052.8384899999996"/>
    <n v="10310.65381"/>
    <n v="4692.1154892241639"/>
    <n v="3622.2258706530097"/>
    <n v="13284.24352297419"/>
  </r>
  <r>
    <s v="Regular"/>
    <x v="0"/>
    <x v="0"/>
    <x v="0"/>
    <x v="0"/>
    <x v="0"/>
    <x v="0"/>
    <x v="0"/>
    <x v="8"/>
    <n v="3500"/>
    <n v="35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305"/>
    <n v="0"/>
    <n v="0"/>
    <n v="82112.021061422871"/>
    <n v="0"/>
    <n v="0"/>
  </r>
  <r>
    <s v="Regular"/>
    <x v="0"/>
    <x v="0"/>
    <x v="0"/>
    <x v="0"/>
    <x v="0"/>
    <x v="0"/>
    <x v="0"/>
    <x v="9"/>
    <n v="200"/>
    <n v="200"/>
    <n v="44.387999999999998"/>
    <n v="44.387999999999998"/>
    <n v="44.387999999999998"/>
    <n v="44.387999999999998"/>
    <n v="0"/>
    <x v="0"/>
    <n v="0"/>
    <n v="93"/>
    <n v="94"/>
    <n v="48"/>
    <n v="15.23"/>
    <n v="65.13"/>
    <n v="219.97"/>
    <n v="23.460577446120819"/>
    <n v="77.277449078424894"/>
    <n v="283.40928728637363"/>
    <n v="3046"/>
    <n v="2890.9904399999996"/>
    <n v="9764.0283600000002"/>
    <n v="4692.1154892241639"/>
    <n v="3430.1914096931241"/>
    <n v="12579.971444067553"/>
  </r>
  <r>
    <s v="Regular"/>
    <x v="0"/>
    <x v="0"/>
    <x v="0"/>
    <x v="0"/>
    <x v="0"/>
    <x v="0"/>
    <x v="0"/>
    <x v="9"/>
    <n v="3500"/>
    <n v="35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305"/>
    <n v="0"/>
    <n v="0"/>
    <n v="82112.021061422871"/>
    <n v="0"/>
    <n v="0"/>
  </r>
  <r>
    <s v="Regular"/>
    <x v="0"/>
    <x v="0"/>
    <x v="0"/>
    <x v="0"/>
    <x v="0"/>
    <x v="0"/>
    <x v="0"/>
    <x v="10"/>
    <n v="200"/>
    <n v="200"/>
    <n v="42.975000000000001"/>
    <n v="42.975000000000001"/>
    <n v="42.975000000000001"/>
    <n v="42.975000000000001"/>
    <n v="0"/>
    <x v="0"/>
    <n v="0"/>
    <n v="93"/>
    <n v="94"/>
    <n v="48"/>
    <n v="15.23"/>
    <n v="65.13"/>
    <n v="219.97"/>
    <n v="23.460577446120819"/>
    <n v="77.277449078424894"/>
    <n v="283.40928728637363"/>
    <n v="3046"/>
    <n v="2798.9617499999999"/>
    <n v="9453.2107500000002"/>
    <n v="4692.1154892241639"/>
    <n v="3320.9983741453098"/>
    <n v="12179.514121131908"/>
  </r>
  <r>
    <s v="Regular"/>
    <x v="0"/>
    <x v="0"/>
    <x v="0"/>
    <x v="0"/>
    <x v="0"/>
    <x v="0"/>
    <x v="0"/>
    <x v="10"/>
    <n v="3500"/>
    <n v="35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305"/>
    <n v="0"/>
    <n v="0"/>
    <n v="82112.021061422871"/>
    <n v="0"/>
    <n v="0"/>
  </r>
  <r>
    <s v="PROJETADO"/>
    <x v="0"/>
    <x v="0"/>
    <x v="0"/>
    <x v="0"/>
    <x v="0"/>
    <x v="0"/>
    <x v="0"/>
    <x v="11"/>
    <n v="200"/>
    <n v="200"/>
    <n v="42.975000000000001"/>
    <n v="42.975000000000001"/>
    <n v="42.975000000000001"/>
    <n v="42.975000000000001"/>
    <n v="0"/>
    <x v="0"/>
    <n v="0"/>
    <n v="93"/>
    <n v="94"/>
    <n v="48"/>
    <n v="15.23"/>
    <n v="65.13"/>
    <n v="219.97"/>
    <n v="23.460577446120819"/>
    <n v="77.277449078424894"/>
    <n v="283.40928728637363"/>
    <n v="3046"/>
    <n v="2798.9617499999999"/>
    <n v="9453.2107500000002"/>
    <n v="4692.1154892241639"/>
    <n v="3320.9983741453098"/>
    <n v="12179.514121131908"/>
  </r>
  <r>
    <s v="PROJETADO"/>
    <x v="0"/>
    <x v="0"/>
    <x v="0"/>
    <x v="0"/>
    <x v="0"/>
    <x v="0"/>
    <x v="0"/>
    <x v="11"/>
    <n v="3500"/>
    <n v="35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305"/>
    <n v="0"/>
    <n v="0"/>
    <n v="82112.021061422871"/>
    <n v="0"/>
    <n v="0"/>
  </r>
  <r>
    <s v="Regular"/>
    <x v="0"/>
    <x v="0"/>
    <x v="0"/>
    <x v="0"/>
    <x v="0"/>
    <x v="0"/>
    <x v="1"/>
    <x v="0"/>
    <n v="0"/>
    <n v="0"/>
    <n v="1215.8720000000001"/>
    <n v="1215.8720000000001"/>
    <n v="0"/>
    <n v="0"/>
    <n v="1"/>
    <x v="1"/>
    <n v="0"/>
    <n v="0"/>
    <n v="94"/>
    <n v="0"/>
    <n v="0"/>
    <n v="65.13"/>
    <n v="0"/>
    <m/>
    <n v="77.277449078424894"/>
    <m/>
    <n v="0"/>
    <n v="79189.743359999993"/>
    <n v="0"/>
    <n v="0"/>
    <n v="93959.486565882631"/>
    <n v="0"/>
  </r>
  <r>
    <s v="Regular"/>
    <x v="0"/>
    <x v="0"/>
    <x v="0"/>
    <x v="0"/>
    <x v="0"/>
    <x v="0"/>
    <x v="1"/>
    <x v="1"/>
    <n v="0"/>
    <n v="0"/>
    <n v="1041.5170000000001"/>
    <n v="1041.5170000000001"/>
    <n v="0"/>
    <n v="0"/>
    <n v="1"/>
    <x v="1"/>
    <n v="0"/>
    <n v="0"/>
    <n v="94"/>
    <n v="0"/>
    <n v="0"/>
    <n v="65.13"/>
    <n v="0"/>
    <m/>
    <n v="77.277449078424894"/>
    <m/>
    <n v="0"/>
    <n v="67834.002209999991"/>
    <n v="0"/>
    <n v="0"/>
    <n v="80485.77693181386"/>
    <n v="0"/>
  </r>
  <r>
    <s v="Regular"/>
    <x v="0"/>
    <x v="0"/>
    <x v="0"/>
    <x v="0"/>
    <x v="0"/>
    <x v="0"/>
    <x v="1"/>
    <x v="2"/>
    <n v="0"/>
    <n v="0"/>
    <n v="1293.883"/>
    <n v="1293.883"/>
    <n v="0"/>
    <n v="0"/>
    <n v="1"/>
    <x v="1"/>
    <n v="0"/>
    <n v="0"/>
    <n v="94"/>
    <n v="0"/>
    <n v="0"/>
    <n v="65.13"/>
    <n v="0"/>
    <m/>
    <n v="77.277449078424894"/>
    <m/>
    <n v="0"/>
    <n v="84270.599789999993"/>
    <n v="0"/>
    <n v="0"/>
    <n v="99987.977645939638"/>
    <n v="0"/>
  </r>
  <r>
    <s v="Regular"/>
    <x v="0"/>
    <x v="0"/>
    <x v="0"/>
    <x v="0"/>
    <x v="0"/>
    <x v="0"/>
    <x v="1"/>
    <x v="3"/>
    <n v="0"/>
    <n v="0"/>
    <n v="1324.5219999999999"/>
    <n v="1324.5219999999999"/>
    <n v="0"/>
    <n v="0"/>
    <n v="1"/>
    <x v="1"/>
    <n v="0"/>
    <n v="0"/>
    <n v="94"/>
    <n v="0"/>
    <n v="0"/>
    <n v="65.13"/>
    <n v="0"/>
    <m/>
    <n v="77.277449078424894"/>
    <m/>
    <n v="0"/>
    <n v="86266.117859999984"/>
    <n v="0"/>
    <n v="0"/>
    <n v="102355.6814082535"/>
    <n v="0"/>
  </r>
  <r>
    <s v="Regular"/>
    <x v="0"/>
    <x v="0"/>
    <x v="0"/>
    <x v="0"/>
    <x v="0"/>
    <x v="0"/>
    <x v="1"/>
    <x v="4"/>
    <n v="0"/>
    <n v="0"/>
    <n v="1374.8130000000001"/>
    <n v="1374.8130000000001"/>
    <n v="0"/>
    <n v="0"/>
    <n v="1"/>
    <x v="1"/>
    <n v="0"/>
    <n v="0"/>
    <n v="94"/>
    <n v="0"/>
    <n v="0"/>
    <n v="65.13"/>
    <n v="0"/>
    <m/>
    <n v="77.277449078424894"/>
    <m/>
    <n v="0"/>
    <n v="89541.570689999993"/>
    <n v="0"/>
    <n v="0"/>
    <n v="106242.04159985657"/>
    <n v="0"/>
  </r>
  <r>
    <s v="Regular"/>
    <x v="0"/>
    <x v="0"/>
    <x v="0"/>
    <x v="0"/>
    <x v="0"/>
    <x v="0"/>
    <x v="1"/>
    <x v="5"/>
    <n v="0"/>
    <n v="0"/>
    <n v="1494.662"/>
    <n v="1494.662"/>
    <n v="0"/>
    <n v="0"/>
    <n v="1"/>
    <x v="1"/>
    <n v="0"/>
    <n v="0"/>
    <n v="94"/>
    <n v="0"/>
    <n v="0"/>
    <n v="65.13"/>
    <n v="0"/>
    <m/>
    <n v="77.277449078424894"/>
    <m/>
    <n v="0"/>
    <n v="97347.336060000001"/>
    <n v="0"/>
    <n v="0"/>
    <n v="115503.66659445671"/>
    <n v="0"/>
  </r>
  <r>
    <s v="Regular"/>
    <x v="0"/>
    <x v="0"/>
    <x v="0"/>
    <x v="0"/>
    <x v="0"/>
    <x v="0"/>
    <x v="1"/>
    <x v="6"/>
    <n v="0"/>
    <n v="0"/>
    <n v="1515.797"/>
    <n v="1515.797"/>
    <n v="0"/>
    <n v="0"/>
    <n v="1"/>
    <x v="1"/>
    <n v="0"/>
    <n v="0"/>
    <n v="94"/>
    <n v="0"/>
    <n v="0"/>
    <n v="65.13"/>
    <n v="0"/>
    <m/>
    <n v="77.277449078424894"/>
    <m/>
    <n v="0"/>
    <n v="98723.858609999996"/>
    <n v="0"/>
    <n v="0"/>
    <n v="117136.92548072922"/>
    <n v="0"/>
  </r>
  <r>
    <s v="Regular"/>
    <x v="0"/>
    <x v="0"/>
    <x v="0"/>
    <x v="0"/>
    <x v="0"/>
    <x v="0"/>
    <x v="1"/>
    <x v="7"/>
    <n v="0"/>
    <n v="0"/>
    <n v="1577.326"/>
    <n v="1577.326"/>
    <n v="0"/>
    <n v="0"/>
    <n v="1"/>
    <x v="1"/>
    <n v="0"/>
    <n v="0"/>
    <n v="94"/>
    <n v="0"/>
    <n v="0"/>
    <n v="65.13"/>
    <n v="0"/>
    <m/>
    <n v="77.277449078424894"/>
    <m/>
    <n v="0"/>
    <n v="102731.24238"/>
    <n v="0"/>
    <n v="0"/>
    <n v="121891.72964507563"/>
    <n v="0"/>
  </r>
  <r>
    <s v="Regular"/>
    <x v="0"/>
    <x v="0"/>
    <x v="0"/>
    <x v="0"/>
    <x v="0"/>
    <x v="0"/>
    <x v="1"/>
    <x v="8"/>
    <n v="0"/>
    <n v="0"/>
    <n v="1475.672"/>
    <n v="1475.672"/>
    <n v="0"/>
    <n v="0"/>
    <n v="1"/>
    <x v="1"/>
    <n v="0"/>
    <n v="0"/>
    <n v="94"/>
    <n v="0"/>
    <n v="0"/>
    <n v="65.13"/>
    <n v="0"/>
    <m/>
    <n v="77.277449078424894"/>
    <m/>
    <n v="0"/>
    <n v="96110.517359999998"/>
    <n v="0"/>
    <n v="0"/>
    <n v="114036.16783645742"/>
    <n v="0"/>
  </r>
  <r>
    <s v="Regular"/>
    <x v="0"/>
    <x v="0"/>
    <x v="0"/>
    <x v="0"/>
    <x v="0"/>
    <x v="0"/>
    <x v="1"/>
    <x v="9"/>
    <n v="0"/>
    <n v="0"/>
    <n v="1329.7860000000001"/>
    <n v="1329.7860000000001"/>
    <n v="0"/>
    <n v="0"/>
    <n v="1"/>
    <x v="1"/>
    <n v="0"/>
    <n v="0"/>
    <n v="94"/>
    <n v="0"/>
    <n v="0"/>
    <n v="65.13"/>
    <n v="0"/>
    <m/>
    <n v="77.277449078424894"/>
    <m/>
    <n v="0"/>
    <n v="86608.962180000002"/>
    <n v="0"/>
    <n v="0"/>
    <n v="102762.46990020233"/>
    <n v="0"/>
  </r>
  <r>
    <s v="Regular"/>
    <x v="0"/>
    <x v="0"/>
    <x v="0"/>
    <x v="0"/>
    <x v="0"/>
    <x v="0"/>
    <x v="1"/>
    <x v="10"/>
    <n v="0"/>
    <n v="0"/>
    <n v="1430.7180000000001"/>
    <n v="1430.7180000000001"/>
    <n v="0"/>
    <n v="0"/>
    <n v="1"/>
    <x v="1"/>
    <n v="0"/>
    <n v="0"/>
    <n v="94"/>
    <n v="0"/>
    <n v="0"/>
    <n v="65.13"/>
    <n v="0"/>
    <m/>
    <n v="77.277449078424894"/>
    <m/>
    <n v="0"/>
    <n v="93182.663339999999"/>
    <n v="0"/>
    <n v="0"/>
    <n v="110562.23739058591"/>
    <n v="0"/>
  </r>
  <r>
    <s v="PROJETADO"/>
    <x v="0"/>
    <x v="0"/>
    <x v="0"/>
    <x v="0"/>
    <x v="0"/>
    <x v="0"/>
    <x v="1"/>
    <x v="11"/>
    <n v="0"/>
    <n v="0"/>
    <n v="1430.7180000000001"/>
    <n v="1430.7180000000001"/>
    <n v="0"/>
    <n v="0"/>
    <n v="1"/>
    <x v="1"/>
    <n v="0"/>
    <n v="0"/>
    <n v="94"/>
    <n v="0"/>
    <n v="0"/>
    <n v="65.13"/>
    <n v="0"/>
    <m/>
    <n v="77.277449078424894"/>
    <m/>
    <n v="0"/>
    <n v="93182.663339999999"/>
    <n v="0"/>
    <n v="0"/>
    <n v="110562.23739058591"/>
    <n v="0"/>
  </r>
  <r>
    <s v="Regular"/>
    <x v="0"/>
    <x v="0"/>
    <x v="0"/>
    <x v="0"/>
    <x v="0"/>
    <x v="0"/>
    <x v="2"/>
    <x v="0"/>
    <n v="200"/>
    <n v="200"/>
    <n v="2.8010000000000002"/>
    <n v="2.8010000000000002"/>
    <n v="2.8010000000000002"/>
    <n v="2.8010000000000002"/>
    <n v="0"/>
    <x v="0"/>
    <n v="0"/>
    <n v="92"/>
    <n v="94"/>
    <n v="47"/>
    <n v="26.46"/>
    <n v="65.13"/>
    <n v="346.61"/>
    <n v="38.387484521738621"/>
    <n v="77.277449078424894"/>
    <n v="441.69177554366559"/>
    <n v="5292"/>
    <n v="182.42912999999999"/>
    <n v="970.85461000000009"/>
    <n v="7677.496904347724"/>
    <n v="216.45413486866815"/>
    <n v="1237.1786632978074"/>
  </r>
  <r>
    <s v="Sistema de Compensação"/>
    <x v="0"/>
    <x v="0"/>
    <x v="0"/>
    <x v="0"/>
    <x v="0"/>
    <x v="0"/>
    <x v="2"/>
    <x v="0"/>
    <n v="200"/>
    <n v="200"/>
    <n v="6.8620000000000001"/>
    <n v="6.8620000000000001"/>
    <n v="6.8620000000000001"/>
    <n v="6.8620000000000001"/>
    <n v="0"/>
    <x v="0"/>
    <n v="0"/>
    <n v="92"/>
    <n v="94"/>
    <n v="47"/>
    <n v="26.46"/>
    <n v="65.13"/>
    <n v="346.61"/>
    <n v="38.387484521738621"/>
    <n v="77.277449078424894"/>
    <n v="441.69177554366559"/>
    <n v="5292"/>
    <n v="446.92205999999999"/>
    <n v="2378.4378200000001"/>
    <n v="7677.496904347724"/>
    <n v="530.27785557615164"/>
    <n v="3030.8889637806333"/>
  </r>
  <r>
    <s v="Regular"/>
    <x v="0"/>
    <x v="0"/>
    <x v="0"/>
    <x v="0"/>
    <x v="0"/>
    <x v="0"/>
    <x v="2"/>
    <x v="0"/>
    <n v="3130"/>
    <n v="313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2819.8"/>
    <n v="0"/>
    <n v="0"/>
    <n v="120152.82655304189"/>
    <n v="0"/>
    <n v="0"/>
  </r>
  <r>
    <s v="Regular"/>
    <x v="0"/>
    <x v="0"/>
    <x v="0"/>
    <x v="0"/>
    <x v="0"/>
    <x v="0"/>
    <x v="2"/>
    <x v="1"/>
    <n v="200"/>
    <n v="200"/>
    <n v="2.7890000000000001"/>
    <n v="2.7890000000000001"/>
    <n v="2.7890000000000001"/>
    <n v="2.7890000000000001"/>
    <n v="0"/>
    <x v="0"/>
    <n v="0"/>
    <n v="92"/>
    <n v="94"/>
    <n v="47"/>
    <n v="26.46"/>
    <n v="65.13"/>
    <n v="346.61"/>
    <n v="38.387484521738621"/>
    <n v="77.277449078424894"/>
    <n v="441.69177554366559"/>
    <n v="5292"/>
    <n v="181.64757"/>
    <n v="966.69529000000011"/>
    <n v="7677.496904347724"/>
    <n v="215.52680547972705"/>
    <n v="1231.8783619912833"/>
  </r>
  <r>
    <s v="Sistema de Compensação"/>
    <x v="0"/>
    <x v="0"/>
    <x v="0"/>
    <x v="0"/>
    <x v="0"/>
    <x v="0"/>
    <x v="2"/>
    <x v="1"/>
    <n v="200"/>
    <n v="200"/>
    <n v="6.46"/>
    <n v="6.46"/>
    <n v="6.46"/>
    <n v="6.46"/>
    <n v="0"/>
    <x v="0"/>
    <n v="0"/>
    <n v="92"/>
    <n v="94"/>
    <n v="47"/>
    <n v="26.46"/>
    <n v="65.13"/>
    <n v="346.61"/>
    <n v="38.387484521738621"/>
    <n v="77.277449078424894"/>
    <n v="441.69177554366559"/>
    <n v="5292"/>
    <n v="420.73979999999995"/>
    <n v="2239.1006000000002"/>
    <n v="7677.496904347724"/>
    <n v="499.21232104662482"/>
    <n v="2853.3288700120797"/>
  </r>
  <r>
    <s v="Regular"/>
    <x v="0"/>
    <x v="0"/>
    <x v="0"/>
    <x v="0"/>
    <x v="0"/>
    <x v="0"/>
    <x v="2"/>
    <x v="1"/>
    <n v="3035"/>
    <n v="3035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0306.100000000006"/>
    <n v="0"/>
    <n v="0"/>
    <n v="116506.01552347672"/>
    <n v="0"/>
    <n v="0"/>
  </r>
  <r>
    <s v="Regular"/>
    <x v="0"/>
    <x v="0"/>
    <x v="0"/>
    <x v="0"/>
    <x v="0"/>
    <x v="0"/>
    <x v="2"/>
    <x v="2"/>
    <n v="200"/>
    <n v="200"/>
    <n v="3.2930000000000001"/>
    <n v="3.2930000000000001"/>
    <n v="3.2930000000000001"/>
    <n v="3.2930000000000001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14.47308999999998"/>
    <n v="1141.3867300000002"/>
    <n v="7677.496904347724"/>
    <n v="254.4746398152532"/>
    <n v="1454.4910168652909"/>
  </r>
  <r>
    <s v="Sistema de Compensação"/>
    <x v="0"/>
    <x v="0"/>
    <x v="0"/>
    <x v="0"/>
    <x v="0"/>
    <x v="0"/>
    <x v="2"/>
    <x v="2"/>
    <n v="200"/>
    <n v="200"/>
    <n v="6.5650000000000004"/>
    <n v="6.5650000000000004"/>
    <n v="6.5650000000000004"/>
    <n v="6.5650000000000004"/>
    <n v="0"/>
    <x v="0"/>
    <n v="0"/>
    <n v="92"/>
    <n v="94"/>
    <n v="47"/>
    <n v="26.46"/>
    <n v="65.13"/>
    <n v="346.61"/>
    <n v="38.387484521738621"/>
    <n v="77.277449078424894"/>
    <n v="441.69177554366559"/>
    <n v="5292"/>
    <n v="427.57844999999998"/>
    <n v="2275.4946500000001"/>
    <n v="7677.496904347724"/>
    <n v="507.32645319985949"/>
    <n v="2899.7065064441649"/>
  </r>
  <r>
    <s v="Regular"/>
    <x v="0"/>
    <x v="0"/>
    <x v="0"/>
    <x v="0"/>
    <x v="0"/>
    <x v="0"/>
    <x v="2"/>
    <x v="2"/>
    <n v="3136"/>
    <n v="3136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2978.559999999998"/>
    <n v="0"/>
    <n v="0"/>
    <n v="120383.15146017232"/>
    <n v="0"/>
    <n v="0"/>
  </r>
  <r>
    <s v="Regular"/>
    <x v="0"/>
    <x v="0"/>
    <x v="0"/>
    <x v="0"/>
    <x v="0"/>
    <x v="0"/>
    <x v="2"/>
    <x v="3"/>
    <n v="200"/>
    <n v="200"/>
    <n v="3.4990000000000001"/>
    <n v="3.4990000000000001"/>
    <n v="3.4990000000000001"/>
    <n v="3.4990000000000001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27.88987"/>
    <n v="1212.7883900000002"/>
    <n v="7677.496904347724"/>
    <n v="270.39379432540869"/>
    <n v="1545.4795226272859"/>
  </r>
  <r>
    <s v="Regular"/>
    <x v="0"/>
    <x v="0"/>
    <x v="0"/>
    <x v="0"/>
    <x v="0"/>
    <x v="0"/>
    <x v="2"/>
    <x v="3"/>
    <n v="2839"/>
    <n v="2839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75119.94"/>
    <n v="0"/>
    <n v="0"/>
    <n v="108982.06855721594"/>
    <n v="0"/>
    <n v="0"/>
  </r>
  <r>
    <s v="Regular"/>
    <x v="0"/>
    <x v="0"/>
    <x v="0"/>
    <x v="0"/>
    <x v="0"/>
    <x v="0"/>
    <x v="2"/>
    <x v="4"/>
    <n v="200"/>
    <n v="200"/>
    <n v="3.7480000000000002"/>
    <n v="3.7480000000000002"/>
    <n v="3.7480000000000002"/>
    <n v="3.7480000000000002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44.10723999999999"/>
    <n v="1299.09428"/>
    <n v="7677.496904347724"/>
    <n v="289.63587914593654"/>
    <n v="1655.4607747376588"/>
  </r>
  <r>
    <s v="Regular"/>
    <x v="0"/>
    <x v="0"/>
    <x v="0"/>
    <x v="0"/>
    <x v="0"/>
    <x v="0"/>
    <x v="2"/>
    <x v="4"/>
    <n v="3250"/>
    <n v="325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5995"/>
    <n v="0"/>
    <n v="0"/>
    <n v="124759.32469565052"/>
    <n v="0"/>
    <n v="0"/>
  </r>
  <r>
    <s v="Regular"/>
    <x v="0"/>
    <x v="0"/>
    <x v="0"/>
    <x v="0"/>
    <x v="0"/>
    <x v="0"/>
    <x v="2"/>
    <x v="5"/>
    <n v="200"/>
    <n v="200"/>
    <n v="4.1020000000000003"/>
    <n v="4.1020000000000003"/>
    <n v="4.1020000000000003"/>
    <n v="4.1020000000000003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67.16325999999998"/>
    <n v="1421.7942200000002"/>
    <n v="7677.496904347724"/>
    <n v="316.99209611969894"/>
    <n v="1811.8196632801164"/>
  </r>
  <r>
    <s v="Regular"/>
    <x v="0"/>
    <x v="0"/>
    <x v="0"/>
    <x v="0"/>
    <x v="0"/>
    <x v="0"/>
    <x v="2"/>
    <x v="5"/>
    <n v="3250"/>
    <n v="325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5995"/>
    <n v="0"/>
    <n v="0"/>
    <n v="124759.32469565052"/>
    <n v="0"/>
    <n v="0"/>
  </r>
  <r>
    <s v="Regular"/>
    <x v="0"/>
    <x v="0"/>
    <x v="0"/>
    <x v="0"/>
    <x v="0"/>
    <x v="0"/>
    <x v="2"/>
    <x v="6"/>
    <n v="200"/>
    <n v="200"/>
    <n v="3.9929999999999999"/>
    <n v="3.9929999999999999"/>
    <n v="3.9929999999999999"/>
    <n v="3.9929999999999999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60.06408999999996"/>
    <n v="1384.0137300000001"/>
    <n v="7677.496904347724"/>
    <n v="308.56885417015059"/>
    <n v="1763.6752597458567"/>
  </r>
  <r>
    <s v="Regular"/>
    <x v="0"/>
    <x v="0"/>
    <x v="0"/>
    <x v="0"/>
    <x v="0"/>
    <x v="0"/>
    <x v="2"/>
    <x v="6"/>
    <n v="3250"/>
    <n v="325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5995"/>
    <n v="0"/>
    <n v="0"/>
    <n v="124759.32469565052"/>
    <n v="0"/>
    <n v="0"/>
  </r>
  <r>
    <s v="Regular"/>
    <x v="0"/>
    <x v="0"/>
    <x v="0"/>
    <x v="0"/>
    <x v="0"/>
    <x v="0"/>
    <x v="2"/>
    <x v="7"/>
    <n v="200"/>
    <n v="200"/>
    <n v="4.2759999999999998"/>
    <n v="4.2759999999999998"/>
    <n v="4.2759999999999998"/>
    <n v="4.2759999999999998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78.49587999999994"/>
    <n v="1482.10436"/>
    <n v="7677.496904347724"/>
    <n v="330.43837225934482"/>
    <n v="1888.674032224714"/>
  </r>
  <r>
    <s v="Regular"/>
    <x v="0"/>
    <x v="0"/>
    <x v="0"/>
    <x v="0"/>
    <x v="0"/>
    <x v="0"/>
    <x v="2"/>
    <x v="7"/>
    <n v="3298"/>
    <n v="3298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7265.08"/>
    <n v="0"/>
    <n v="0"/>
    <n v="126601.92395269398"/>
    <n v="0"/>
    <n v="0"/>
  </r>
  <r>
    <s v="Regular"/>
    <x v="0"/>
    <x v="0"/>
    <x v="0"/>
    <x v="0"/>
    <x v="0"/>
    <x v="0"/>
    <x v="2"/>
    <x v="8"/>
    <n v="200"/>
    <n v="200"/>
    <n v="3.9359999999999999"/>
    <n v="3.9359999999999999"/>
    <n v="3.9359999999999999"/>
    <n v="3.9359999999999999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56.35167999999999"/>
    <n v="1364.2569599999999"/>
    <n v="7677.496904347724"/>
    <n v="304.16403957268039"/>
    <n v="1738.4988285398676"/>
  </r>
  <r>
    <s v="Regular"/>
    <x v="0"/>
    <x v="0"/>
    <x v="0"/>
    <x v="0"/>
    <x v="0"/>
    <x v="0"/>
    <x v="2"/>
    <x v="8"/>
    <n v="3250"/>
    <n v="325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5995"/>
    <n v="0"/>
    <n v="0"/>
    <n v="124759.32469565052"/>
    <n v="0"/>
    <n v="0"/>
  </r>
  <r>
    <s v="Regular"/>
    <x v="0"/>
    <x v="0"/>
    <x v="0"/>
    <x v="0"/>
    <x v="0"/>
    <x v="0"/>
    <x v="2"/>
    <x v="9"/>
    <n v="200"/>
    <n v="200"/>
    <n v="3.7879999999999998"/>
    <n v="3.7879999999999998"/>
    <n v="3.7879999999999998"/>
    <n v="3.7879999999999998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46.71243999999996"/>
    <n v="1312.95868"/>
    <n v="7677.496904347724"/>
    <n v="292.72697710907346"/>
    <n v="1673.1284457594052"/>
  </r>
  <r>
    <s v="Regular"/>
    <x v="0"/>
    <x v="0"/>
    <x v="0"/>
    <x v="0"/>
    <x v="0"/>
    <x v="0"/>
    <x v="2"/>
    <x v="9"/>
    <n v="3250"/>
    <n v="325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5995"/>
    <n v="0"/>
    <n v="0"/>
    <n v="124759.32469565052"/>
    <n v="0"/>
    <n v="0"/>
  </r>
  <r>
    <s v="Regular"/>
    <x v="0"/>
    <x v="0"/>
    <x v="0"/>
    <x v="0"/>
    <x v="0"/>
    <x v="0"/>
    <x v="2"/>
    <x v="10"/>
    <n v="200"/>
    <n v="200"/>
    <n v="3.7559999999999998"/>
    <n v="3.7559999999999998"/>
    <n v="3.7559999999999998"/>
    <n v="3.7559999999999998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44.62827999999996"/>
    <n v="1301.86716"/>
    <n v="7677.496904347724"/>
    <n v="290.25409873856387"/>
    <n v="1658.9943089420078"/>
  </r>
  <r>
    <s v="Regular"/>
    <x v="0"/>
    <x v="0"/>
    <x v="0"/>
    <x v="0"/>
    <x v="0"/>
    <x v="0"/>
    <x v="2"/>
    <x v="10"/>
    <n v="3250"/>
    <n v="325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5995"/>
    <n v="0"/>
    <n v="0"/>
    <n v="124759.32469565052"/>
    <n v="0"/>
    <n v="0"/>
  </r>
  <r>
    <s v="PROJETADO"/>
    <x v="0"/>
    <x v="0"/>
    <x v="0"/>
    <x v="0"/>
    <x v="0"/>
    <x v="0"/>
    <x v="2"/>
    <x v="11"/>
    <n v="200"/>
    <n v="200"/>
    <n v="3.7559999999999998"/>
    <n v="3.7559999999999998"/>
    <n v="3.7559999999999998"/>
    <n v="3.7559999999999998"/>
    <n v="0"/>
    <x v="0"/>
    <n v="0"/>
    <n v="92"/>
    <n v="94"/>
    <n v="47"/>
    <n v="26.46"/>
    <n v="65.13"/>
    <n v="346.61"/>
    <n v="38.387484521738621"/>
    <n v="77.277449078424894"/>
    <n v="441.69177554366559"/>
    <n v="5292"/>
    <n v="244.62827999999996"/>
    <n v="1301.86716"/>
    <n v="7677.496904347724"/>
    <n v="290.25409873856387"/>
    <n v="1658.9943089420078"/>
  </r>
  <r>
    <s v="PROJETADO"/>
    <x v="0"/>
    <x v="0"/>
    <x v="0"/>
    <x v="0"/>
    <x v="0"/>
    <x v="0"/>
    <x v="2"/>
    <x v="11"/>
    <n v="3250"/>
    <n v="325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5995"/>
    <n v="0"/>
    <n v="0"/>
    <n v="124759.32469565052"/>
    <n v="0"/>
    <n v="0"/>
  </r>
  <r>
    <s v="Regular"/>
    <x v="0"/>
    <x v="0"/>
    <x v="1"/>
    <x v="0"/>
    <x v="1"/>
    <x v="0"/>
    <x v="0"/>
    <x v="0"/>
    <n v="13000"/>
    <n v="13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197990"/>
    <n v="0"/>
    <n v="0"/>
    <n v="304987.50679957063"/>
    <n v="0"/>
    <n v="0"/>
  </r>
  <r>
    <s v="Regular"/>
    <x v="0"/>
    <x v="0"/>
    <x v="1"/>
    <x v="0"/>
    <x v="1"/>
    <x v="0"/>
    <x v="0"/>
    <x v="1"/>
    <n v="13000"/>
    <n v="13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197990"/>
    <n v="0"/>
    <n v="0"/>
    <n v="304987.50679957063"/>
    <n v="0"/>
    <n v="0"/>
  </r>
  <r>
    <s v="Regular"/>
    <x v="0"/>
    <x v="0"/>
    <x v="1"/>
    <x v="0"/>
    <x v="1"/>
    <x v="0"/>
    <x v="0"/>
    <x v="2"/>
    <n v="13000"/>
    <n v="13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197990"/>
    <n v="0"/>
    <n v="0"/>
    <n v="304987.50679957063"/>
    <n v="0"/>
    <n v="0"/>
  </r>
  <r>
    <s v="Regular"/>
    <x v="0"/>
    <x v="0"/>
    <x v="1"/>
    <x v="0"/>
    <x v="1"/>
    <x v="0"/>
    <x v="0"/>
    <x v="3"/>
    <n v="13000"/>
    <n v="13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197990"/>
    <n v="0"/>
    <n v="0"/>
    <n v="304987.50679957063"/>
    <n v="0"/>
    <n v="0"/>
  </r>
  <r>
    <s v="Regular"/>
    <x v="0"/>
    <x v="0"/>
    <x v="1"/>
    <x v="0"/>
    <x v="1"/>
    <x v="0"/>
    <x v="0"/>
    <x v="4"/>
    <n v="13000"/>
    <n v="13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197990"/>
    <n v="0"/>
    <n v="0"/>
    <n v="304987.50679957063"/>
    <n v="0"/>
    <n v="0"/>
  </r>
  <r>
    <s v="Regular"/>
    <x v="0"/>
    <x v="0"/>
    <x v="1"/>
    <x v="0"/>
    <x v="1"/>
    <x v="0"/>
    <x v="0"/>
    <x v="5"/>
    <n v="13000"/>
    <n v="13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197990"/>
    <n v="0"/>
    <n v="0"/>
    <n v="304987.50679957063"/>
    <n v="0"/>
    <n v="0"/>
  </r>
  <r>
    <s v="Regular"/>
    <x v="0"/>
    <x v="0"/>
    <x v="1"/>
    <x v="0"/>
    <x v="1"/>
    <x v="0"/>
    <x v="0"/>
    <x v="6"/>
    <n v="13000"/>
    <n v="13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197990"/>
    <n v="0"/>
    <n v="0"/>
    <n v="304987.50679957063"/>
    <n v="0"/>
    <n v="0"/>
  </r>
  <r>
    <s v="Regular"/>
    <x v="0"/>
    <x v="0"/>
    <x v="1"/>
    <x v="0"/>
    <x v="1"/>
    <x v="0"/>
    <x v="0"/>
    <x v="7"/>
    <n v="20000"/>
    <n v="20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304600"/>
    <n v="0"/>
    <n v="0"/>
    <n v="469211.5489224164"/>
    <n v="0"/>
    <n v="0"/>
  </r>
  <r>
    <s v="Regular"/>
    <x v="0"/>
    <x v="0"/>
    <x v="1"/>
    <x v="0"/>
    <x v="1"/>
    <x v="0"/>
    <x v="0"/>
    <x v="8"/>
    <n v="20000"/>
    <n v="20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304600"/>
    <n v="0"/>
    <n v="0"/>
    <n v="469211.5489224164"/>
    <n v="0"/>
    <n v="0"/>
  </r>
  <r>
    <s v="Regular"/>
    <x v="0"/>
    <x v="0"/>
    <x v="1"/>
    <x v="0"/>
    <x v="1"/>
    <x v="0"/>
    <x v="0"/>
    <x v="9"/>
    <n v="50000"/>
    <n v="50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761500"/>
    <n v="0"/>
    <n v="0"/>
    <n v="1173028.872306041"/>
    <n v="0"/>
    <n v="0"/>
  </r>
  <r>
    <s v="Regular"/>
    <x v="0"/>
    <x v="0"/>
    <x v="1"/>
    <x v="0"/>
    <x v="1"/>
    <x v="0"/>
    <x v="0"/>
    <x v="10"/>
    <n v="30000"/>
    <n v="30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456900"/>
    <n v="0"/>
    <n v="0"/>
    <n v="703817.32338362455"/>
    <n v="0"/>
    <n v="0"/>
  </r>
  <r>
    <s v="PROJETADO"/>
    <x v="0"/>
    <x v="0"/>
    <x v="1"/>
    <x v="0"/>
    <x v="1"/>
    <x v="0"/>
    <x v="0"/>
    <x v="11"/>
    <n v="30000"/>
    <n v="30000"/>
    <n v="0"/>
    <n v="0"/>
    <n v="0"/>
    <n v="0"/>
    <n v="0"/>
    <x v="2"/>
    <n v="0"/>
    <n v="93"/>
    <n v="0"/>
    <n v="0"/>
    <n v="15.23"/>
    <n v="0"/>
    <n v="0"/>
    <n v="23.460577446120819"/>
    <n v="77.277449078424894"/>
    <m/>
    <n v="456900"/>
    <n v="0"/>
    <n v="0"/>
    <n v="703817.32338362455"/>
    <n v="0"/>
    <n v="0"/>
  </r>
  <r>
    <s v="Regular"/>
    <x v="0"/>
    <x v="0"/>
    <x v="1"/>
    <x v="0"/>
    <x v="1"/>
    <x v="0"/>
    <x v="1"/>
    <x v="0"/>
    <n v="0"/>
    <n v="0"/>
    <n v="5789.893"/>
    <n v="5789.893"/>
    <n v="0"/>
    <n v="0"/>
    <n v="2"/>
    <x v="2"/>
    <n v="0"/>
    <n v="0"/>
    <n v="95"/>
    <n v="0"/>
    <n v="0"/>
    <n v="22.2"/>
    <n v="0"/>
    <m/>
    <n v="28.903118299454107"/>
    <m/>
    <n v="0"/>
    <n v="128535.6246"/>
    <n v="0"/>
    <n v="0"/>
    <n v="167345.96232018125"/>
    <n v="0"/>
  </r>
  <r>
    <s v="Regular"/>
    <x v="0"/>
    <x v="0"/>
    <x v="1"/>
    <x v="0"/>
    <x v="1"/>
    <x v="0"/>
    <x v="1"/>
    <x v="1"/>
    <n v="0"/>
    <n v="0"/>
    <n v="4727.4160000000002"/>
    <n v="4727.4160000000002"/>
    <n v="0"/>
    <n v="0"/>
    <n v="2"/>
    <x v="2"/>
    <n v="0"/>
    <n v="0"/>
    <n v="95"/>
    <n v="0"/>
    <n v="0"/>
    <n v="22.2"/>
    <n v="0"/>
    <m/>
    <n v="28.903118299454107"/>
    <m/>
    <n v="0"/>
    <n v="104948.6352"/>
    <n v="0"/>
    <n v="0"/>
    <n v="136637.06389873213"/>
    <n v="0"/>
  </r>
  <r>
    <s v="Regular"/>
    <x v="0"/>
    <x v="0"/>
    <x v="1"/>
    <x v="0"/>
    <x v="1"/>
    <x v="0"/>
    <x v="1"/>
    <x v="2"/>
    <n v="0"/>
    <n v="0"/>
    <n v="5140.2759999999998"/>
    <n v="5140.2759999999998"/>
    <n v="0"/>
    <n v="0"/>
    <n v="2"/>
    <x v="2"/>
    <n v="0"/>
    <n v="0"/>
    <n v="95"/>
    <n v="0"/>
    <n v="0"/>
    <n v="22.2"/>
    <n v="0"/>
    <m/>
    <n v="28.903118299454107"/>
    <m/>
    <n v="0"/>
    <n v="114114.12719999999"/>
    <n v="0"/>
    <n v="0"/>
    <n v="148570.00531984476"/>
    <n v="0"/>
  </r>
  <r>
    <s v="Regular"/>
    <x v="0"/>
    <x v="0"/>
    <x v="1"/>
    <x v="0"/>
    <x v="1"/>
    <x v="0"/>
    <x v="1"/>
    <x v="3"/>
    <n v="0"/>
    <n v="0"/>
    <n v="4829.6610000000001"/>
    <n v="4829.6610000000001"/>
    <n v="0"/>
    <n v="0"/>
    <n v="2"/>
    <x v="2"/>
    <n v="0"/>
    <n v="0"/>
    <n v="95"/>
    <n v="0"/>
    <n v="0"/>
    <n v="22.2"/>
    <n v="0"/>
    <m/>
    <n v="28.903118299454107"/>
    <m/>
    <n v="0"/>
    <n v="107218.4742"/>
    <n v="0"/>
    <n v="0"/>
    <n v="139592.26322925981"/>
    <n v="0"/>
  </r>
  <r>
    <s v="Regular"/>
    <x v="0"/>
    <x v="0"/>
    <x v="1"/>
    <x v="0"/>
    <x v="1"/>
    <x v="0"/>
    <x v="1"/>
    <x v="4"/>
    <n v="0"/>
    <n v="0"/>
    <n v="5062.6009999999997"/>
    <n v="5062.6009999999997"/>
    <n v="0"/>
    <n v="0"/>
    <n v="2"/>
    <x v="2"/>
    <n v="0"/>
    <n v="0"/>
    <n v="95"/>
    <n v="0"/>
    <n v="0"/>
    <n v="22.2"/>
    <n v="0"/>
    <m/>
    <n v="28.903118299454107"/>
    <m/>
    <n v="0"/>
    <n v="112389.74219999999"/>
    <n v="0"/>
    <n v="0"/>
    <n v="146324.95560593467"/>
    <n v="0"/>
  </r>
  <r>
    <s v="Regular"/>
    <x v="0"/>
    <x v="0"/>
    <x v="1"/>
    <x v="0"/>
    <x v="1"/>
    <x v="0"/>
    <x v="1"/>
    <x v="5"/>
    <n v="0"/>
    <n v="0"/>
    <n v="5313.598"/>
    <n v="5313.598"/>
    <n v="0"/>
    <n v="0"/>
    <n v="2"/>
    <x v="2"/>
    <n v="0"/>
    <n v="0"/>
    <n v="95"/>
    <n v="0"/>
    <n v="0"/>
    <n v="22.2"/>
    <n v="0"/>
    <m/>
    <n v="28.903118299454107"/>
    <m/>
    <n v="0"/>
    <n v="117961.8756"/>
    <n v="0"/>
    <n v="0"/>
    <n v="153579.55158974274"/>
    <n v="0"/>
  </r>
  <r>
    <s v="Regular"/>
    <x v="0"/>
    <x v="0"/>
    <x v="1"/>
    <x v="0"/>
    <x v="1"/>
    <x v="0"/>
    <x v="1"/>
    <x v="6"/>
    <n v="0"/>
    <n v="0"/>
    <n v="3710.576"/>
    <n v="3710.576"/>
    <n v="0"/>
    <n v="0"/>
    <n v="2"/>
    <x v="2"/>
    <n v="0"/>
    <n v="0"/>
    <n v="95"/>
    <n v="0"/>
    <n v="0"/>
    <n v="22.2"/>
    <n v="0"/>
    <m/>
    <n v="28.903118299454107"/>
    <m/>
    <n v="0"/>
    <n v="82374.787199999992"/>
    <n v="0"/>
    <n v="0"/>
    <n v="107247.21708711522"/>
    <n v="0"/>
  </r>
  <r>
    <s v="Regular"/>
    <x v="0"/>
    <x v="0"/>
    <x v="1"/>
    <x v="0"/>
    <x v="1"/>
    <x v="0"/>
    <x v="1"/>
    <x v="7"/>
    <n v="0"/>
    <n v="0"/>
    <n v="4887.2669999999998"/>
    <n v="4887.2669999999998"/>
    <n v="0"/>
    <n v="0"/>
    <n v="3"/>
    <x v="2"/>
    <n v="0"/>
    <n v="0"/>
    <n v="95"/>
    <n v="0"/>
    <n v="0"/>
    <n v="22.2"/>
    <n v="0"/>
    <m/>
    <n v="28.903118299454107"/>
    <m/>
    <n v="0"/>
    <n v="108497.32739999999"/>
    <n v="0"/>
    <n v="0"/>
    <n v="141257.25626201817"/>
    <n v="0"/>
  </r>
  <r>
    <s v="Regular"/>
    <x v="0"/>
    <x v="0"/>
    <x v="1"/>
    <x v="0"/>
    <x v="1"/>
    <x v="0"/>
    <x v="1"/>
    <x v="8"/>
    <n v="0"/>
    <n v="0"/>
    <n v="5070.223"/>
    <n v="5070.223"/>
    <n v="0"/>
    <n v="0"/>
    <n v="3"/>
    <x v="2"/>
    <n v="0"/>
    <n v="0"/>
    <n v="95"/>
    <n v="0"/>
    <n v="0"/>
    <n v="22.2"/>
    <n v="0"/>
    <m/>
    <n v="28.903118299454107"/>
    <m/>
    <n v="0"/>
    <n v="112558.9506"/>
    <n v="0"/>
    <n v="0"/>
    <n v="146545.25517361311"/>
    <n v="0"/>
  </r>
  <r>
    <s v="Regular"/>
    <x v="0"/>
    <x v="0"/>
    <x v="1"/>
    <x v="0"/>
    <x v="1"/>
    <x v="0"/>
    <x v="1"/>
    <x v="9"/>
    <n v="0"/>
    <n v="0"/>
    <n v="13825.752"/>
    <n v="13825.752"/>
    <n v="0"/>
    <n v="0"/>
    <n v="3"/>
    <x v="2"/>
    <n v="0"/>
    <n v="0"/>
    <n v="95"/>
    <n v="0"/>
    <n v="0"/>
    <n v="22.2"/>
    <n v="0"/>
    <m/>
    <n v="28.903118299454107"/>
    <m/>
    <n v="0"/>
    <n v="306931.69439999998"/>
    <n v="0"/>
    <n v="0"/>
    <n v="399607.34563491424"/>
    <n v="0"/>
  </r>
  <r>
    <s v="Regular"/>
    <x v="0"/>
    <x v="0"/>
    <x v="1"/>
    <x v="0"/>
    <x v="1"/>
    <x v="0"/>
    <x v="1"/>
    <x v="10"/>
    <n v="0"/>
    <n v="0"/>
    <n v="10905.182000000001"/>
    <n v="10905.182000000001"/>
    <n v="0"/>
    <n v="0"/>
    <n v="4"/>
    <x v="2"/>
    <n v="0"/>
    <n v="0"/>
    <n v="95"/>
    <n v="0"/>
    <n v="0"/>
    <n v="22.2"/>
    <n v="0"/>
    <m/>
    <n v="28.903118299454107"/>
    <m/>
    <n v="0"/>
    <n v="242095.0404"/>
    <n v="0"/>
    <n v="0"/>
    <n v="315193.76542307757"/>
    <n v="0"/>
  </r>
  <r>
    <s v="PROJETADO"/>
    <x v="0"/>
    <x v="0"/>
    <x v="1"/>
    <x v="0"/>
    <x v="1"/>
    <x v="0"/>
    <x v="1"/>
    <x v="11"/>
    <n v="0"/>
    <n v="0"/>
    <n v="10905.182000000001"/>
    <n v="10905.182000000001"/>
    <n v="0"/>
    <n v="0"/>
    <n v="4"/>
    <x v="2"/>
    <n v="0"/>
    <n v="0"/>
    <n v="95"/>
    <n v="0"/>
    <n v="0"/>
    <n v="22.2"/>
    <n v="0"/>
    <m/>
    <n v="28.903118299454107"/>
    <m/>
    <n v="0"/>
    <n v="242095.0404"/>
    <n v="0"/>
    <n v="0"/>
    <n v="315193.76542307757"/>
    <n v="0"/>
  </r>
  <r>
    <s v="Regular"/>
    <x v="0"/>
    <x v="0"/>
    <x v="1"/>
    <x v="0"/>
    <x v="1"/>
    <x v="0"/>
    <x v="2"/>
    <x v="0"/>
    <n v="12800"/>
    <n v="128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338688"/>
    <n v="0"/>
    <n v="0"/>
    <n v="491359.80187825434"/>
    <n v="0"/>
    <n v="0"/>
  </r>
  <r>
    <s v="Regular"/>
    <x v="0"/>
    <x v="0"/>
    <x v="1"/>
    <x v="0"/>
    <x v="1"/>
    <x v="0"/>
    <x v="2"/>
    <x v="1"/>
    <n v="12800"/>
    <n v="128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338688"/>
    <n v="0"/>
    <n v="0"/>
    <n v="491359.80187825434"/>
    <n v="0"/>
    <n v="0"/>
  </r>
  <r>
    <s v="Regular"/>
    <x v="0"/>
    <x v="0"/>
    <x v="1"/>
    <x v="0"/>
    <x v="1"/>
    <x v="0"/>
    <x v="2"/>
    <x v="2"/>
    <n v="12800"/>
    <n v="128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338688"/>
    <n v="0"/>
    <n v="0"/>
    <n v="491359.80187825434"/>
    <n v="0"/>
    <n v="0"/>
  </r>
  <r>
    <s v="Regular"/>
    <x v="0"/>
    <x v="0"/>
    <x v="1"/>
    <x v="0"/>
    <x v="1"/>
    <x v="0"/>
    <x v="2"/>
    <x v="3"/>
    <n v="12800"/>
    <n v="128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338688"/>
    <n v="0"/>
    <n v="0"/>
    <n v="491359.80187825434"/>
    <n v="0"/>
    <n v="0"/>
  </r>
  <r>
    <s v="Regular"/>
    <x v="0"/>
    <x v="0"/>
    <x v="1"/>
    <x v="0"/>
    <x v="1"/>
    <x v="0"/>
    <x v="2"/>
    <x v="4"/>
    <n v="12800"/>
    <n v="128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338688"/>
    <n v="0"/>
    <n v="0"/>
    <n v="491359.80187825434"/>
    <n v="0"/>
    <n v="0"/>
  </r>
  <r>
    <s v="Regular"/>
    <x v="0"/>
    <x v="0"/>
    <x v="1"/>
    <x v="0"/>
    <x v="1"/>
    <x v="0"/>
    <x v="2"/>
    <x v="5"/>
    <n v="12800"/>
    <n v="128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338688"/>
    <n v="0"/>
    <n v="0"/>
    <n v="491359.80187825434"/>
    <n v="0"/>
    <n v="0"/>
  </r>
  <r>
    <s v="Regular"/>
    <x v="0"/>
    <x v="0"/>
    <x v="1"/>
    <x v="0"/>
    <x v="1"/>
    <x v="0"/>
    <x v="2"/>
    <x v="6"/>
    <n v="12800"/>
    <n v="128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338688"/>
    <n v="0"/>
    <n v="0"/>
    <n v="491359.80187825434"/>
    <n v="0"/>
    <n v="0"/>
  </r>
  <r>
    <s v="Regular"/>
    <x v="0"/>
    <x v="0"/>
    <x v="1"/>
    <x v="0"/>
    <x v="1"/>
    <x v="0"/>
    <x v="2"/>
    <x v="7"/>
    <n v="17800"/>
    <n v="178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470988"/>
    <n v="0"/>
    <n v="0"/>
    <n v="683297.22448694741"/>
    <n v="0"/>
    <n v="0"/>
  </r>
  <r>
    <s v="Regular"/>
    <x v="0"/>
    <x v="0"/>
    <x v="1"/>
    <x v="0"/>
    <x v="1"/>
    <x v="0"/>
    <x v="2"/>
    <x v="8"/>
    <n v="17800"/>
    <n v="178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470988"/>
    <n v="0"/>
    <n v="0"/>
    <n v="683297.22448694741"/>
    <n v="0"/>
    <n v="0"/>
  </r>
  <r>
    <s v="Regular"/>
    <x v="0"/>
    <x v="0"/>
    <x v="1"/>
    <x v="0"/>
    <x v="1"/>
    <x v="0"/>
    <x v="2"/>
    <x v="9"/>
    <n v="37520"/>
    <n v="3752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992779.20000000007"/>
    <n v="0"/>
    <n v="0"/>
    <n v="1440298.4192556331"/>
    <n v="0"/>
    <n v="0"/>
  </r>
  <r>
    <s v="Regular"/>
    <x v="0"/>
    <x v="0"/>
    <x v="1"/>
    <x v="0"/>
    <x v="1"/>
    <x v="0"/>
    <x v="2"/>
    <x v="10"/>
    <n v="24300"/>
    <n v="243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642978"/>
    <n v="0"/>
    <n v="0"/>
    <n v="932815.8738782485"/>
    <n v="0"/>
    <n v="0"/>
  </r>
  <r>
    <s v="PROJETADO"/>
    <x v="0"/>
    <x v="0"/>
    <x v="1"/>
    <x v="0"/>
    <x v="1"/>
    <x v="0"/>
    <x v="2"/>
    <x v="11"/>
    <n v="24300"/>
    <n v="24300"/>
    <n v="0"/>
    <n v="0"/>
    <n v="0"/>
    <n v="0"/>
    <n v="0"/>
    <x v="2"/>
    <n v="0"/>
    <n v="92"/>
    <n v="0"/>
    <n v="0"/>
    <n v="26.46"/>
    <n v="0"/>
    <n v="0"/>
    <n v="38.387484521738621"/>
    <n v="77.277449078424894"/>
    <m/>
    <n v="642978"/>
    <n v="0"/>
    <n v="0"/>
    <n v="932815.8738782485"/>
    <n v="0"/>
    <n v="0"/>
  </r>
  <r>
    <s v="Regular"/>
    <x v="0"/>
    <x v="0"/>
    <x v="1"/>
    <x v="0"/>
    <x v="2"/>
    <x v="0"/>
    <x v="0"/>
    <x v="0"/>
    <n v="7000"/>
    <n v="10.4559000000003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159.24335700000458"/>
    <n v="0"/>
    <n v="0"/>
    <n v="245.30145171890172"/>
    <n v="0"/>
    <n v="0"/>
  </r>
  <r>
    <s v="Regular"/>
    <x v="0"/>
    <x v="0"/>
    <x v="1"/>
    <x v="0"/>
    <x v="2"/>
    <x v="0"/>
    <x v="0"/>
    <x v="1"/>
    <n v="7000"/>
    <n v="5.6000000000001604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85.288000000002441"/>
    <n v="0"/>
    <n v="0"/>
    <n v="131.37923369828036"/>
    <n v="0"/>
    <n v="0"/>
  </r>
  <r>
    <s v="Regular"/>
    <x v="0"/>
    <x v="0"/>
    <x v="1"/>
    <x v="0"/>
    <x v="2"/>
    <x v="0"/>
    <x v="0"/>
    <x v="2"/>
    <n v="7000"/>
    <n v="5.6000000000001604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85.288000000002441"/>
    <n v="0"/>
    <n v="0"/>
    <n v="131.37923369828036"/>
    <n v="0"/>
    <n v="0"/>
  </r>
  <r>
    <s v="Regular"/>
    <x v="0"/>
    <x v="0"/>
    <x v="1"/>
    <x v="0"/>
    <x v="2"/>
    <x v="0"/>
    <x v="0"/>
    <x v="3"/>
    <n v="7000"/>
    <n v="0.70000000000069995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10.661000000010661"/>
    <n v="0"/>
    <n v="0"/>
    <n v="16.422404212300993"/>
    <n v="0"/>
    <n v="0"/>
  </r>
  <r>
    <s v="Regular"/>
    <x v="0"/>
    <x v="0"/>
    <x v="1"/>
    <x v="0"/>
    <x v="2"/>
    <x v="0"/>
    <x v="0"/>
    <x v="4"/>
    <n v="7000"/>
    <n v="5.6000000000001604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85.288000000002441"/>
    <n v="0"/>
    <n v="0"/>
    <n v="131.37923369828036"/>
    <n v="0"/>
    <n v="0"/>
  </r>
  <r>
    <s v="Regular"/>
    <x v="0"/>
    <x v="0"/>
    <x v="1"/>
    <x v="0"/>
    <x v="2"/>
    <x v="0"/>
    <x v="0"/>
    <x v="5"/>
    <n v="7000"/>
    <n v="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0"/>
    <n v="0"/>
    <n v="0"/>
    <n v="0"/>
    <n v="0"/>
    <n v="0"/>
  </r>
  <r>
    <s v="Regular"/>
    <x v="0"/>
    <x v="0"/>
    <x v="1"/>
    <x v="0"/>
    <x v="2"/>
    <x v="0"/>
    <x v="0"/>
    <x v="6"/>
    <n v="7000"/>
    <n v="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0"/>
    <n v="0"/>
    <n v="0"/>
    <n v="0"/>
    <n v="0"/>
    <n v="0"/>
  </r>
  <r>
    <s v="Regular"/>
    <x v="0"/>
    <x v="0"/>
    <x v="1"/>
    <x v="0"/>
    <x v="2"/>
    <x v="0"/>
    <x v="0"/>
    <x v="7"/>
    <n v="13742"/>
    <n v="6871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104645.33"/>
    <n v="0"/>
    <n v="0"/>
    <n v="161197.62763229615"/>
    <n v="0"/>
    <n v="0"/>
  </r>
  <r>
    <s v="Regular"/>
    <x v="0"/>
    <x v="0"/>
    <x v="1"/>
    <x v="0"/>
    <x v="2"/>
    <x v="0"/>
    <x v="0"/>
    <x v="8"/>
    <n v="7022"/>
    <n v="3511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53472.53"/>
    <n v="0"/>
    <n v="0"/>
    <n v="82370.087413330199"/>
    <n v="0"/>
    <n v="0"/>
  </r>
  <r>
    <s v="Regular"/>
    <x v="0"/>
    <x v="0"/>
    <x v="1"/>
    <x v="0"/>
    <x v="2"/>
    <x v="0"/>
    <x v="0"/>
    <x v="9"/>
    <n v="10565"/>
    <n v="5282.5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80452.475000000006"/>
    <n v="0"/>
    <n v="0"/>
    <n v="123930.50035913322"/>
    <n v="0"/>
    <n v="0"/>
  </r>
  <r>
    <s v="Regular"/>
    <x v="0"/>
    <x v="0"/>
    <x v="1"/>
    <x v="0"/>
    <x v="2"/>
    <x v="0"/>
    <x v="0"/>
    <x v="10"/>
    <n v="10565"/>
    <n v="5282.5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80452.475000000006"/>
    <n v="0"/>
    <n v="0"/>
    <n v="123930.50035913322"/>
    <n v="0"/>
    <n v="0"/>
  </r>
  <r>
    <s v="PROJETADO"/>
    <x v="0"/>
    <x v="0"/>
    <x v="1"/>
    <x v="0"/>
    <x v="2"/>
    <x v="0"/>
    <x v="0"/>
    <x v="11"/>
    <n v="10565"/>
    <n v="5282.5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80452.475000000006"/>
    <n v="0"/>
    <n v="0"/>
    <n v="123930.50035913322"/>
    <n v="0"/>
    <n v="0"/>
  </r>
  <r>
    <s v="Regular"/>
    <x v="0"/>
    <x v="0"/>
    <x v="1"/>
    <x v="0"/>
    <x v="2"/>
    <x v="0"/>
    <x v="1"/>
    <x v="0"/>
    <n v="0"/>
    <n v="0"/>
    <n v="574.60900000000004"/>
    <n v="574.60900000000004"/>
    <n v="0"/>
    <n v="0"/>
    <n v="1"/>
    <x v="1"/>
    <n v="0"/>
    <n v="0"/>
    <n v="94"/>
    <n v="0"/>
    <n v="0"/>
    <n v="65.13"/>
    <n v="0"/>
    <m/>
    <n v="77.277449078424894"/>
    <m/>
    <n v="0"/>
    <n v="37424.284169999999"/>
    <n v="0"/>
    <n v="0"/>
    <n v="44404.317737504651"/>
    <n v="0"/>
  </r>
  <r>
    <s v="Regular"/>
    <x v="0"/>
    <x v="0"/>
    <x v="1"/>
    <x v="0"/>
    <x v="2"/>
    <x v="0"/>
    <x v="1"/>
    <x v="1"/>
    <n v="0"/>
    <n v="0"/>
    <n v="540.64800000000002"/>
    <n v="540.64800000000002"/>
    <n v="0"/>
    <n v="0"/>
    <n v="1"/>
    <x v="1"/>
    <n v="0"/>
    <n v="0"/>
    <n v="94"/>
    <n v="0"/>
    <n v="0"/>
    <n v="65.13"/>
    <n v="0"/>
    <m/>
    <n v="77.277449078424894"/>
    <m/>
    <n v="0"/>
    <n v="35212.404239999996"/>
    <n v="0"/>
    <n v="0"/>
    <n v="41779.898289352263"/>
    <n v="0"/>
  </r>
  <r>
    <s v="Regular"/>
    <x v="0"/>
    <x v="0"/>
    <x v="1"/>
    <x v="0"/>
    <x v="2"/>
    <x v="0"/>
    <x v="1"/>
    <x v="2"/>
    <n v="0"/>
    <n v="0"/>
    <n v="572.745"/>
    <n v="572.745"/>
    <n v="0"/>
    <n v="0"/>
    <n v="1"/>
    <x v="1"/>
    <n v="0"/>
    <n v="0"/>
    <n v="94"/>
    <n v="0"/>
    <n v="0"/>
    <n v="65.13"/>
    <n v="0"/>
    <m/>
    <n v="77.277449078424894"/>
    <m/>
    <n v="0"/>
    <n v="37302.881849999998"/>
    <n v="0"/>
    <n v="0"/>
    <n v="44260.272572422466"/>
    <n v="0"/>
  </r>
  <r>
    <s v="Regular"/>
    <x v="0"/>
    <x v="0"/>
    <x v="1"/>
    <x v="0"/>
    <x v="2"/>
    <x v="0"/>
    <x v="1"/>
    <x v="3"/>
    <n v="0"/>
    <n v="0"/>
    <n v="682.30899999999997"/>
    <n v="682.30899999999997"/>
    <n v="0"/>
    <n v="0"/>
    <n v="1"/>
    <x v="1"/>
    <n v="0"/>
    <n v="0"/>
    <n v="94"/>
    <n v="0"/>
    <n v="0"/>
    <n v="65.13"/>
    <n v="0"/>
    <m/>
    <n v="77.277449078424894"/>
    <m/>
    <n v="0"/>
    <n v="44438.785169999996"/>
    <n v="0"/>
    <n v="0"/>
    <n v="52727.099003251009"/>
    <n v="0"/>
  </r>
  <r>
    <s v="Regular"/>
    <x v="0"/>
    <x v="0"/>
    <x v="1"/>
    <x v="0"/>
    <x v="2"/>
    <x v="0"/>
    <x v="1"/>
    <x v="4"/>
    <n v="0"/>
    <n v="0"/>
    <n v="463.755"/>
    <n v="463.755"/>
    <n v="0"/>
    <n v="0"/>
    <n v="1"/>
    <x v="1"/>
    <n v="0"/>
    <n v="0"/>
    <n v="94"/>
    <n v="0"/>
    <n v="0"/>
    <n v="65.13"/>
    <n v="0"/>
    <m/>
    <n v="77.277449078424894"/>
    <m/>
    <n v="0"/>
    <n v="30204.363149999997"/>
    <n v="0"/>
    <n v="0"/>
    <n v="35837.803397364936"/>
    <n v="0"/>
  </r>
  <r>
    <s v="Regular"/>
    <x v="0"/>
    <x v="0"/>
    <x v="1"/>
    <x v="0"/>
    <x v="2"/>
    <x v="0"/>
    <x v="1"/>
    <x v="5"/>
    <n v="0"/>
    <n v="0"/>
    <n v="42.067"/>
    <n v="42.067"/>
    <n v="0"/>
    <n v="0"/>
    <n v="1"/>
    <x v="1"/>
    <n v="0"/>
    <n v="0"/>
    <n v="94"/>
    <n v="0"/>
    <n v="0"/>
    <n v="65.13"/>
    <n v="0"/>
    <m/>
    <n v="77.277449078424894"/>
    <m/>
    <n v="0"/>
    <n v="2739.8237099999997"/>
    <n v="0"/>
    <n v="0"/>
    <n v="3250.8304503821"/>
    <n v="0"/>
  </r>
  <r>
    <s v="Regular"/>
    <x v="0"/>
    <x v="0"/>
    <x v="1"/>
    <x v="0"/>
    <x v="2"/>
    <x v="0"/>
    <x v="1"/>
    <x v="6"/>
    <n v="0"/>
    <n v="0"/>
    <n v="34.969000000000001"/>
    <n v="34.969000000000001"/>
    <n v="0"/>
    <n v="0"/>
    <n v="1"/>
    <x v="1"/>
    <n v="0"/>
    <n v="0"/>
    <n v="94"/>
    <n v="0"/>
    <n v="0"/>
    <n v="65.13"/>
    <n v="0"/>
    <m/>
    <n v="77.277449078424894"/>
    <m/>
    <n v="0"/>
    <n v="2277.5309699999998"/>
    <n v="0"/>
    <n v="0"/>
    <n v="2702.3151168234403"/>
    <n v="0"/>
  </r>
  <r>
    <s v="Regular"/>
    <x v="0"/>
    <x v="0"/>
    <x v="1"/>
    <x v="0"/>
    <x v="2"/>
    <x v="0"/>
    <x v="1"/>
    <x v="7"/>
    <n v="0"/>
    <n v="0"/>
    <n v="8297.3130000000001"/>
    <n v="8297.3130000000001"/>
    <n v="0"/>
    <n v="0"/>
    <n v="1"/>
    <x v="1"/>
    <n v="0"/>
    <n v="0"/>
    <n v="94"/>
    <n v="0"/>
    <n v="0"/>
    <n v="65.13"/>
    <n v="0"/>
    <m/>
    <n v="77.277449078424894"/>
    <m/>
    <n v="0"/>
    <n v="540403.99569000001"/>
    <n v="0"/>
    <n v="0"/>
    <n v="641195.18284525292"/>
    <n v="0"/>
  </r>
  <r>
    <s v="Regular"/>
    <x v="0"/>
    <x v="0"/>
    <x v="1"/>
    <x v="0"/>
    <x v="2"/>
    <x v="0"/>
    <x v="1"/>
    <x v="8"/>
    <n v="0"/>
    <n v="0"/>
    <n v="3571.835"/>
    <n v="3571.835"/>
    <n v="0"/>
    <n v="0"/>
    <n v="1"/>
    <x v="1"/>
    <n v="0"/>
    <n v="0"/>
    <n v="94"/>
    <n v="0"/>
    <n v="0"/>
    <n v="65.13"/>
    <n v="0"/>
    <m/>
    <n v="77.277449078424894"/>
    <m/>
    <n v="0"/>
    <n v="232633.61354999998"/>
    <n v="0"/>
    <n v="0"/>
    <n v="276022.29732903576"/>
    <n v="0"/>
  </r>
  <r>
    <s v="Regular"/>
    <x v="0"/>
    <x v="0"/>
    <x v="1"/>
    <x v="0"/>
    <x v="2"/>
    <x v="0"/>
    <x v="1"/>
    <x v="9"/>
    <n v="0"/>
    <n v="0"/>
    <n v="2942.058"/>
    <n v="2942.058"/>
    <n v="0"/>
    <n v="0"/>
    <n v="2"/>
    <x v="1"/>
    <n v="0"/>
    <n v="0"/>
    <n v="94"/>
    <n v="0"/>
    <n v="0"/>
    <n v="65.13"/>
    <n v="0"/>
    <m/>
    <n v="77.277449078424894"/>
    <m/>
    <n v="0"/>
    <n v="191616.23753999997"/>
    <n v="0"/>
    <n v="0"/>
    <n v="227354.73728077259"/>
    <n v="0"/>
  </r>
  <r>
    <s v="Regular"/>
    <x v="0"/>
    <x v="0"/>
    <x v="1"/>
    <x v="0"/>
    <x v="2"/>
    <x v="0"/>
    <x v="1"/>
    <x v="10"/>
    <n v="0"/>
    <n v="0"/>
    <n v="3532.6480000000001"/>
    <n v="3532.6480000000001"/>
    <n v="0"/>
    <n v="0"/>
    <n v="1"/>
    <x v="1"/>
    <n v="0"/>
    <n v="0"/>
    <n v="94"/>
    <n v="0"/>
    <n v="0"/>
    <n v="65.13"/>
    <n v="0"/>
    <m/>
    <n v="77.277449078424894"/>
    <m/>
    <n v="0"/>
    <n v="230081.36424"/>
    <n v="0"/>
    <n v="0"/>
    <n v="272994.02593199955"/>
    <n v="0"/>
  </r>
  <r>
    <s v="PROJETADO"/>
    <x v="0"/>
    <x v="0"/>
    <x v="1"/>
    <x v="0"/>
    <x v="2"/>
    <x v="0"/>
    <x v="1"/>
    <x v="11"/>
    <n v="0"/>
    <n v="0"/>
    <n v="3532.6480000000001"/>
    <n v="3532.6480000000001"/>
    <n v="0"/>
    <n v="0"/>
    <n v="1"/>
    <x v="1"/>
    <n v="0"/>
    <n v="0"/>
    <n v="94"/>
    <n v="0"/>
    <n v="0"/>
    <n v="65.13"/>
    <n v="0"/>
    <m/>
    <n v="77.277449078424894"/>
    <m/>
    <n v="0"/>
    <n v="230081.36424"/>
    <n v="0"/>
    <n v="0"/>
    <n v="272994.02593199955"/>
    <n v="0"/>
  </r>
  <r>
    <s v="Regular"/>
    <x v="0"/>
    <x v="0"/>
    <x v="1"/>
    <x v="0"/>
    <x v="2"/>
    <x v="0"/>
    <x v="2"/>
    <x v="0"/>
    <n v="5000"/>
    <n v="7.4685499999999099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97.61783299999763"/>
    <n v="0"/>
    <n v="0"/>
    <n v="286.6988475248275"/>
    <n v="0"/>
    <n v="0"/>
  </r>
  <r>
    <s v="Regular"/>
    <x v="0"/>
    <x v="0"/>
    <x v="1"/>
    <x v="0"/>
    <x v="2"/>
    <x v="0"/>
    <x v="2"/>
    <x v="1"/>
    <n v="5000"/>
    <n v="4.0000000000001101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05.84000000000292"/>
    <n v="0"/>
    <n v="0"/>
    <n v="153.54993808695872"/>
    <n v="0"/>
    <n v="0"/>
  </r>
  <r>
    <s v="Regular"/>
    <x v="0"/>
    <x v="0"/>
    <x v="1"/>
    <x v="0"/>
    <x v="2"/>
    <x v="0"/>
    <x v="2"/>
    <x v="2"/>
    <n v="5000"/>
    <n v="4.0000000000001101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05.84000000000292"/>
    <n v="0"/>
    <n v="0"/>
    <n v="153.54993808695872"/>
    <n v="0"/>
    <n v="0"/>
  </r>
  <r>
    <s v="Regular"/>
    <x v="0"/>
    <x v="0"/>
    <x v="1"/>
    <x v="0"/>
    <x v="2"/>
    <x v="0"/>
    <x v="2"/>
    <x v="3"/>
    <n v="5000"/>
    <n v="0.50000000000050004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3.230000000013231"/>
    <n v="0"/>
    <n v="0"/>
    <n v="19.193742260888506"/>
    <n v="0"/>
    <n v="0"/>
  </r>
  <r>
    <s v="Regular"/>
    <x v="0"/>
    <x v="0"/>
    <x v="1"/>
    <x v="0"/>
    <x v="2"/>
    <x v="0"/>
    <x v="2"/>
    <x v="4"/>
    <n v="5000"/>
    <n v="4.0000000000001101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05.84000000000292"/>
    <n v="0"/>
    <n v="0"/>
    <n v="153.54993808695872"/>
    <n v="0"/>
    <n v="0"/>
  </r>
  <r>
    <s v="Regular"/>
    <x v="0"/>
    <x v="0"/>
    <x v="1"/>
    <x v="0"/>
    <x v="2"/>
    <x v="0"/>
    <x v="2"/>
    <x v="5"/>
    <n v="5000"/>
    <n v="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0"/>
    <n v="0"/>
    <n v="0"/>
    <n v="0"/>
    <n v="0"/>
    <n v="0"/>
  </r>
  <r>
    <s v="Regular"/>
    <x v="0"/>
    <x v="0"/>
    <x v="1"/>
    <x v="0"/>
    <x v="2"/>
    <x v="0"/>
    <x v="2"/>
    <x v="6"/>
    <n v="5000"/>
    <n v="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0"/>
    <n v="0"/>
    <n v="0"/>
    <n v="0"/>
    <n v="0"/>
    <n v="0"/>
  </r>
  <r>
    <s v="Regular"/>
    <x v="0"/>
    <x v="0"/>
    <x v="1"/>
    <x v="0"/>
    <x v="2"/>
    <x v="0"/>
    <x v="2"/>
    <x v="7"/>
    <n v="13389"/>
    <n v="6694.5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77136.47"/>
    <n v="0"/>
    <n v="0"/>
    <n v="256985.01513077921"/>
    <n v="0"/>
    <n v="0"/>
  </r>
  <r>
    <s v="Regular"/>
    <x v="0"/>
    <x v="0"/>
    <x v="1"/>
    <x v="0"/>
    <x v="2"/>
    <x v="0"/>
    <x v="2"/>
    <x v="8"/>
    <n v="6770"/>
    <n v="3385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89567.1"/>
    <n v="0"/>
    <n v="0"/>
    <n v="129941.63510608523"/>
    <n v="0"/>
    <n v="0"/>
  </r>
  <r>
    <s v="Regular"/>
    <x v="0"/>
    <x v="0"/>
    <x v="1"/>
    <x v="0"/>
    <x v="2"/>
    <x v="0"/>
    <x v="2"/>
    <x v="9"/>
    <n v="10565"/>
    <n v="5282.5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39774.95000000001"/>
    <n v="0"/>
    <n v="0"/>
    <n v="202781.88698608425"/>
    <n v="0"/>
    <n v="0"/>
  </r>
  <r>
    <s v="Regular"/>
    <x v="0"/>
    <x v="0"/>
    <x v="1"/>
    <x v="0"/>
    <x v="2"/>
    <x v="0"/>
    <x v="2"/>
    <x v="10"/>
    <n v="10565"/>
    <n v="5282.5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39774.95000000001"/>
    <n v="0"/>
    <n v="0"/>
    <n v="202781.88698608425"/>
    <n v="0"/>
    <n v="0"/>
  </r>
  <r>
    <s v="PROJETADO"/>
    <x v="0"/>
    <x v="0"/>
    <x v="1"/>
    <x v="0"/>
    <x v="2"/>
    <x v="0"/>
    <x v="2"/>
    <x v="11"/>
    <n v="10565"/>
    <n v="5282.5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39774.95000000001"/>
    <n v="0"/>
    <n v="0"/>
    <n v="202781.88698608425"/>
    <n v="0"/>
    <n v="0"/>
  </r>
  <r>
    <s v="Regular"/>
    <x v="0"/>
    <x v="0"/>
    <x v="1"/>
    <x v="0"/>
    <x v="0"/>
    <x v="0"/>
    <x v="0"/>
    <x v="0"/>
    <n v="4840"/>
    <n v="4840"/>
    <n v="621.27200000000005"/>
    <n v="621.27200000000005"/>
    <n v="621.27200000000005"/>
    <n v="621.27200000000005"/>
    <n v="0"/>
    <x v="0"/>
    <n v="0"/>
    <n v="93"/>
    <n v="94"/>
    <n v="48"/>
    <n v="15.23"/>
    <n v="65.13"/>
    <n v="219.97"/>
    <n v="23.460577446120819"/>
    <n v="77.277449078424894"/>
    <n v="283.40928728637363"/>
    <n v="73713.2"/>
    <n v="40463.445359999998"/>
    <n v="136661.20184000002"/>
    <n v="113549.19483922476"/>
    <n v="48010.315343851194"/>
    <n v="176074.25473097994"/>
  </r>
  <r>
    <s v="Sistema de Compensação"/>
    <x v="0"/>
    <x v="0"/>
    <x v="1"/>
    <x v="0"/>
    <x v="0"/>
    <x v="0"/>
    <x v="0"/>
    <x v="0"/>
    <n v="100"/>
    <n v="100"/>
    <n v="5.9320000000000004"/>
    <n v="5.9320000000000004"/>
    <n v="5.9320000000000004"/>
    <n v="5.9320000000000004"/>
    <n v="0"/>
    <x v="0"/>
    <n v="0"/>
    <n v="93"/>
    <n v="94"/>
    <n v="48"/>
    <n v="15.23"/>
    <n v="65.13"/>
    <n v="219.97"/>
    <n v="23.460577446120819"/>
    <n v="77.277449078424894"/>
    <n v="283.40928728637363"/>
    <n v="1523"/>
    <n v="386.35115999999999"/>
    <n v="1304.86204"/>
    <n v="2346.0577446120819"/>
    <n v="458.40982793321649"/>
    <n v="1681.1838921827684"/>
  </r>
  <r>
    <s v="Regular"/>
    <x v="0"/>
    <x v="0"/>
    <x v="1"/>
    <x v="0"/>
    <x v="0"/>
    <x v="0"/>
    <x v="0"/>
    <x v="0"/>
    <n v="49463"/>
    <n v="49463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753321.49"/>
    <n v="0"/>
    <n v="0"/>
    <n v="1160430.542217474"/>
    <n v="0"/>
    <n v="0"/>
  </r>
  <r>
    <s v="Regular"/>
    <x v="0"/>
    <x v="0"/>
    <x v="1"/>
    <x v="0"/>
    <x v="0"/>
    <x v="0"/>
    <x v="0"/>
    <x v="1"/>
    <n v="4921"/>
    <n v="4921"/>
    <n v="705.63099999999997"/>
    <n v="705.63099999999997"/>
    <n v="705.63099999999997"/>
    <n v="705.63099999999997"/>
    <n v="0"/>
    <x v="0"/>
    <n v="0"/>
    <n v="93"/>
    <n v="94"/>
    <n v="48"/>
    <n v="15.23"/>
    <n v="65.13"/>
    <n v="219.97"/>
    <n v="23.460577446120819"/>
    <n v="77.277449078424894"/>
    <n v="283.40928728637363"/>
    <n v="74946.83"/>
    <n v="45957.747029999991"/>
    <n v="155217.65106999999"/>
    <n v="115449.50161236055"/>
    <n v="54529.363670658036"/>
    <n v="199982.37879717111"/>
  </r>
  <r>
    <s v="Sistema de Compensação"/>
    <x v="0"/>
    <x v="0"/>
    <x v="1"/>
    <x v="0"/>
    <x v="0"/>
    <x v="0"/>
    <x v="0"/>
    <x v="1"/>
    <n v="100"/>
    <n v="100"/>
    <n v="6.3680000000000003"/>
    <n v="6.3680000000000003"/>
    <n v="6.3680000000000003"/>
    <n v="6.3680000000000003"/>
    <n v="0"/>
    <x v="0"/>
    <n v="0"/>
    <n v="93"/>
    <n v="94"/>
    <n v="48"/>
    <n v="15.23"/>
    <n v="65.13"/>
    <n v="219.97"/>
    <n v="23.460577446120819"/>
    <n v="77.277449078424894"/>
    <n v="283.40928728637363"/>
    <n v="1523"/>
    <n v="414.74784"/>
    <n v="1400.7689600000001"/>
    <n v="2346.0577446120819"/>
    <n v="492.10279573140974"/>
    <n v="1804.7503414396274"/>
  </r>
  <r>
    <s v="Regular"/>
    <x v="0"/>
    <x v="0"/>
    <x v="1"/>
    <x v="0"/>
    <x v="0"/>
    <x v="0"/>
    <x v="0"/>
    <x v="1"/>
    <n v="49155"/>
    <n v="49155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748630.65"/>
    <n v="0"/>
    <n v="0"/>
    <n v="1153204.6843640688"/>
    <n v="0"/>
    <n v="0"/>
  </r>
  <r>
    <s v="Regular"/>
    <x v="0"/>
    <x v="0"/>
    <x v="1"/>
    <x v="0"/>
    <x v="0"/>
    <x v="0"/>
    <x v="0"/>
    <x v="2"/>
    <n v="3574"/>
    <n v="3574"/>
    <n v="715.23800000000006"/>
    <n v="715.23800000000006"/>
    <n v="715.23800000000006"/>
    <n v="715.23800000000006"/>
    <n v="0"/>
    <x v="0"/>
    <n v="0"/>
    <n v="93"/>
    <n v="94"/>
    <n v="48"/>
    <n v="15.23"/>
    <n v="65.13"/>
    <n v="219.97"/>
    <n v="23.460577446120819"/>
    <n v="77.277449078424894"/>
    <n v="283.40928728637363"/>
    <n v="54432.020000000004"/>
    <n v="46583.450940000002"/>
    <n v="157330.90286"/>
    <n v="83848.10379243581"/>
    <n v="55271.768123954469"/>
    <n v="202705.09182013132"/>
  </r>
  <r>
    <s v="Sistema de Compensação"/>
    <x v="0"/>
    <x v="0"/>
    <x v="1"/>
    <x v="0"/>
    <x v="0"/>
    <x v="0"/>
    <x v="0"/>
    <x v="2"/>
    <n v="100"/>
    <n v="100"/>
    <n v="1.131"/>
    <n v="1.131"/>
    <n v="1.131"/>
    <n v="1.131"/>
    <n v="0"/>
    <x v="0"/>
    <n v="0"/>
    <n v="93"/>
    <n v="94"/>
    <n v="48"/>
    <n v="15.23"/>
    <n v="65.13"/>
    <n v="219.97"/>
    <n v="23.460577446120819"/>
    <n v="77.277449078424894"/>
    <n v="283.40928728637363"/>
    <n v="1523"/>
    <n v="73.662030000000001"/>
    <n v="248.78607"/>
    <n v="2346.0577446120819"/>
    <n v="87.400794907698554"/>
    <n v="320.53590392088859"/>
  </r>
  <r>
    <s v="Regular"/>
    <x v="0"/>
    <x v="0"/>
    <x v="1"/>
    <x v="0"/>
    <x v="0"/>
    <x v="0"/>
    <x v="0"/>
    <x v="2"/>
    <n v="49318"/>
    <n v="49318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751113.14"/>
    <n v="0"/>
    <n v="0"/>
    <n v="1157028.7584877866"/>
    <n v="0"/>
    <n v="0"/>
  </r>
  <r>
    <s v="Regular"/>
    <x v="0"/>
    <x v="0"/>
    <x v="1"/>
    <x v="0"/>
    <x v="0"/>
    <x v="0"/>
    <x v="0"/>
    <x v="3"/>
    <n v="5783"/>
    <n v="5783"/>
    <n v="1005.037"/>
    <n v="1005.037"/>
    <n v="1005.037"/>
    <n v="1005.037"/>
    <n v="0"/>
    <x v="0"/>
    <n v="0"/>
    <n v="93"/>
    <n v="94"/>
    <n v="48"/>
    <n v="15.23"/>
    <n v="65.13"/>
    <n v="219.97"/>
    <n v="23.460577446120819"/>
    <n v="77.277449078424894"/>
    <n v="283.40928728637363"/>
    <n v="88075.09"/>
    <n v="65458.059809999999"/>
    <n v="221077.98889000001"/>
    <n v="135672.51937091671"/>
    <n v="77666.695589432929"/>
    <n v="284836.81986643508"/>
  </r>
  <r>
    <s v="Sistema de Compensação"/>
    <x v="0"/>
    <x v="0"/>
    <x v="1"/>
    <x v="0"/>
    <x v="0"/>
    <x v="0"/>
    <x v="0"/>
    <x v="3"/>
    <n v="100"/>
    <n v="100"/>
    <n v="2.024"/>
    <n v="2.024"/>
    <n v="2.024"/>
    <n v="2.024"/>
    <n v="0"/>
    <x v="0"/>
    <n v="0"/>
    <n v="93"/>
    <n v="94"/>
    <n v="48"/>
    <n v="15.23"/>
    <n v="65.13"/>
    <n v="219.97"/>
    <n v="23.460577446120819"/>
    <n v="77.277449078424894"/>
    <n v="283.40928728637363"/>
    <n v="1523"/>
    <n v="131.82311999999999"/>
    <n v="445.21928000000003"/>
    <n v="2346.0577446120819"/>
    <n v="156.409556934732"/>
    <n v="573.62039746762025"/>
  </r>
  <r>
    <s v="Regular"/>
    <x v="0"/>
    <x v="0"/>
    <x v="1"/>
    <x v="0"/>
    <x v="0"/>
    <x v="0"/>
    <x v="0"/>
    <x v="3"/>
    <n v="49452"/>
    <n v="49452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753153.96000000008"/>
    <n v="0"/>
    <n v="0"/>
    <n v="1160172.4758655666"/>
    <n v="0"/>
    <n v="0"/>
  </r>
  <r>
    <s v="Regular"/>
    <x v="0"/>
    <x v="0"/>
    <x v="1"/>
    <x v="0"/>
    <x v="0"/>
    <x v="0"/>
    <x v="0"/>
    <x v="4"/>
    <n v="9668"/>
    <n v="9668"/>
    <n v="736.87599999999998"/>
    <n v="736.87599999999998"/>
    <n v="736.87599999999998"/>
    <n v="736.87599999999998"/>
    <n v="0"/>
    <x v="0"/>
    <n v="0"/>
    <n v="93"/>
    <n v="94"/>
    <n v="48"/>
    <n v="15.23"/>
    <n v="65.13"/>
    <n v="219.97"/>
    <n v="23.460577446120819"/>
    <n v="77.277449078424894"/>
    <n v="283.40928728637363"/>
    <n v="147243.64000000001"/>
    <n v="47992.733879999992"/>
    <n v="162090.61371999999"/>
    <n v="226816.86274909609"/>
    <n v="56943.897567113418"/>
    <n v="208837.50197843384"/>
  </r>
  <r>
    <s v="Sistema de Compensação"/>
    <x v="0"/>
    <x v="0"/>
    <x v="1"/>
    <x v="0"/>
    <x v="0"/>
    <x v="0"/>
    <x v="0"/>
    <x v="4"/>
    <n v="100"/>
    <n v="100"/>
    <n v="0.3"/>
    <n v="0.3"/>
    <n v="0.3"/>
    <n v="0.3"/>
    <n v="0"/>
    <x v="0"/>
    <n v="0"/>
    <n v="93"/>
    <n v="94"/>
    <n v="48"/>
    <n v="15.23"/>
    <n v="65.13"/>
    <n v="219.97"/>
    <n v="23.460577446120819"/>
    <n v="77.277449078424894"/>
    <n v="283.40928728637363"/>
    <n v="1523"/>
    <n v="19.538999999999998"/>
    <n v="65.991"/>
    <n v="2346.0577446120819"/>
    <n v="23.183234723527466"/>
    <n v="85.022786185912082"/>
  </r>
  <r>
    <s v="Regular"/>
    <x v="0"/>
    <x v="0"/>
    <x v="1"/>
    <x v="0"/>
    <x v="0"/>
    <x v="0"/>
    <x v="0"/>
    <x v="4"/>
    <n v="49642"/>
    <n v="49642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756047.66"/>
    <n v="0"/>
    <n v="0"/>
    <n v="1164629.9855803298"/>
    <n v="0"/>
    <n v="0"/>
  </r>
  <r>
    <s v="Regular"/>
    <x v="0"/>
    <x v="0"/>
    <x v="1"/>
    <x v="0"/>
    <x v="0"/>
    <x v="0"/>
    <x v="0"/>
    <x v="5"/>
    <n v="9924"/>
    <n v="9924"/>
    <n v="174.50399999999999"/>
    <n v="174.50399999999999"/>
    <n v="174.50399999999999"/>
    <n v="174.50399999999999"/>
    <n v="0"/>
    <x v="0"/>
    <n v="0"/>
    <n v="93"/>
    <n v="94"/>
    <n v="48"/>
    <n v="15.23"/>
    <n v="65.13"/>
    <n v="219.97"/>
    <n v="23.460577446120819"/>
    <n v="77.277449078424894"/>
    <n v="283.40928728637363"/>
    <n v="151142.52000000002"/>
    <n v="11365.445519999999"/>
    <n v="38385.64488"/>
    <n v="232822.770575303"/>
    <n v="13485.223973981458"/>
    <n v="49456.054268621338"/>
  </r>
  <r>
    <s v="Sistema de Compensação"/>
    <x v="0"/>
    <x v="0"/>
    <x v="1"/>
    <x v="0"/>
    <x v="0"/>
    <x v="0"/>
    <x v="0"/>
    <x v="5"/>
    <n v="100"/>
    <n v="100"/>
    <n v="4.6859999999999999"/>
    <n v="4.6859999999999999"/>
    <n v="4.6859999999999999"/>
    <n v="4.6859999999999999"/>
    <n v="0"/>
    <x v="0"/>
    <n v="0"/>
    <n v="93"/>
    <n v="94"/>
    <n v="48"/>
    <n v="15.23"/>
    <n v="65.13"/>
    <n v="219.97"/>
    <n v="23.460577446120819"/>
    <n v="77.277449078424894"/>
    <n v="283.40928728637363"/>
    <n v="1523"/>
    <n v="305.19917999999996"/>
    <n v="1030.7794200000001"/>
    <n v="2346.0577446120819"/>
    <n v="362.12212638149907"/>
    <n v="1328.0559202239467"/>
  </r>
  <r>
    <s v="Regular"/>
    <x v="0"/>
    <x v="0"/>
    <x v="1"/>
    <x v="0"/>
    <x v="0"/>
    <x v="0"/>
    <x v="0"/>
    <x v="5"/>
    <n v="49553"/>
    <n v="49553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754692.19000000006"/>
    <n v="0"/>
    <n v="0"/>
    <n v="1162541.9941876249"/>
    <n v="0"/>
    <n v="0"/>
  </r>
  <r>
    <s v="Regular"/>
    <x v="0"/>
    <x v="0"/>
    <x v="1"/>
    <x v="0"/>
    <x v="0"/>
    <x v="0"/>
    <x v="0"/>
    <x v="6"/>
    <n v="7887"/>
    <n v="7887"/>
    <n v="156.44800000000001"/>
    <n v="156.44800000000001"/>
    <n v="156.44800000000001"/>
    <n v="156.44800000000001"/>
    <n v="0"/>
    <x v="0"/>
    <n v="0"/>
    <n v="93"/>
    <n v="94"/>
    <n v="48"/>
    <n v="15.23"/>
    <n v="65.13"/>
    <n v="219.97"/>
    <n v="23.460577446120819"/>
    <n v="77.277449078424894"/>
    <n v="283.40928728637363"/>
    <n v="120119.01000000001"/>
    <n v="10189.45824"/>
    <n v="34413.866560000002"/>
    <n v="185033.57431755491"/>
    <n v="12089.902353421418"/>
    <n v="44338.816177378583"/>
  </r>
  <r>
    <s v="Refaturamento - Regular"/>
    <x v="0"/>
    <x v="0"/>
    <x v="1"/>
    <x v="0"/>
    <x v="0"/>
    <x v="0"/>
    <x v="0"/>
    <x v="6"/>
    <n v="0"/>
    <n v="0"/>
    <n v="0.42599999999999999"/>
    <n v="0.42599999999999999"/>
    <n v="0.42599999999999999"/>
    <n v="0.42599999999999999"/>
    <n v="0"/>
    <x v="0"/>
    <n v="0"/>
    <n v="0"/>
    <n v="94"/>
    <n v="48"/>
    <n v="0"/>
    <n v="65.13"/>
    <n v="219.97"/>
    <n v="23.460577446120819"/>
    <n v="77.277449078424894"/>
    <n v="283.40928728637363"/>
    <n v="0"/>
    <n v="27.745379999999997"/>
    <n v="93.707219999999992"/>
    <n v="0"/>
    <n v="32.920193307409001"/>
    <n v="120.73235638399517"/>
  </r>
  <r>
    <s v="Sistema de Compensação"/>
    <x v="0"/>
    <x v="0"/>
    <x v="1"/>
    <x v="0"/>
    <x v="0"/>
    <x v="0"/>
    <x v="0"/>
    <x v="6"/>
    <n v="100"/>
    <n v="100"/>
    <n v="5.05"/>
    <n v="5.05"/>
    <n v="5.05"/>
    <n v="5.05"/>
    <n v="0"/>
    <x v="0"/>
    <n v="0"/>
    <n v="93"/>
    <n v="94"/>
    <n v="48"/>
    <n v="15.23"/>
    <n v="65.13"/>
    <n v="219.97"/>
    <n v="23.460577446120819"/>
    <n v="77.277449078424894"/>
    <n v="283.40928728637363"/>
    <n v="1523"/>
    <n v="328.90649999999994"/>
    <n v="1110.8485000000001"/>
    <n v="2346.0577446120819"/>
    <n v="390.2511178460457"/>
    <n v="1431.2169007961868"/>
  </r>
  <r>
    <s v="Regular"/>
    <x v="0"/>
    <x v="0"/>
    <x v="1"/>
    <x v="0"/>
    <x v="0"/>
    <x v="0"/>
    <x v="0"/>
    <x v="6"/>
    <n v="49542"/>
    <n v="49542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754524.66"/>
    <n v="0"/>
    <n v="0"/>
    <n v="1162283.9278357176"/>
    <n v="0"/>
    <n v="0"/>
  </r>
  <r>
    <s v="Regular"/>
    <x v="0"/>
    <x v="0"/>
    <x v="1"/>
    <x v="0"/>
    <x v="0"/>
    <x v="0"/>
    <x v="0"/>
    <x v="7"/>
    <n v="7482"/>
    <n v="7482"/>
    <n v="321.03899999999999"/>
    <n v="321.03899999999999"/>
    <n v="321.03899999999999"/>
    <n v="321.03899999999999"/>
    <n v="0"/>
    <x v="0"/>
    <n v="0"/>
    <n v="93"/>
    <n v="94"/>
    <n v="48"/>
    <n v="15.23"/>
    <n v="65.13"/>
    <n v="219.97"/>
    <n v="23.460577446120819"/>
    <n v="77.277449078424894"/>
    <n v="283.40928728637363"/>
    <n v="113950.86"/>
    <n v="20909.270069999999"/>
    <n v="70618.948829999994"/>
    <n v="175532.04045187598"/>
    <n v="24809.07497468845"/>
    <n v="90985.434181130098"/>
  </r>
  <r>
    <s v="Sistema de Compensação"/>
    <x v="0"/>
    <x v="0"/>
    <x v="1"/>
    <x v="0"/>
    <x v="0"/>
    <x v="0"/>
    <x v="0"/>
    <x v="7"/>
    <n v="100"/>
    <n v="100"/>
    <n v="0.17"/>
    <n v="0.17"/>
    <n v="0.17"/>
    <n v="0.17"/>
    <n v="0"/>
    <x v="0"/>
    <n v="0"/>
    <n v="93"/>
    <n v="94"/>
    <n v="48"/>
    <n v="15.23"/>
    <n v="65.13"/>
    <n v="219.97"/>
    <n v="23.460577446120819"/>
    <n v="77.277449078424894"/>
    <n v="283.40928728637363"/>
    <n v="1523"/>
    <n v="11.072100000000001"/>
    <n v="37.3949"/>
    <n v="2346.0577446120819"/>
    <n v="13.137166343332233"/>
    <n v="48.179578838683518"/>
  </r>
  <r>
    <s v="Regular"/>
    <x v="0"/>
    <x v="0"/>
    <x v="1"/>
    <x v="0"/>
    <x v="0"/>
    <x v="0"/>
    <x v="0"/>
    <x v="7"/>
    <n v="49402"/>
    <n v="49402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752392.46000000008"/>
    <n v="0"/>
    <n v="0"/>
    <n v="1158999.4469932606"/>
    <n v="0"/>
    <n v="0"/>
  </r>
  <r>
    <s v="Regular"/>
    <x v="0"/>
    <x v="0"/>
    <x v="1"/>
    <x v="0"/>
    <x v="0"/>
    <x v="0"/>
    <x v="0"/>
    <x v="8"/>
    <n v="13711"/>
    <n v="13711"/>
    <n v="136.46799999999999"/>
    <n v="136.46799999999999"/>
    <n v="136.46799999999999"/>
    <n v="136.46799999999999"/>
    <n v="0"/>
    <x v="0"/>
    <n v="0"/>
    <n v="93"/>
    <n v="94"/>
    <n v="48"/>
    <n v="15.23"/>
    <n v="65.13"/>
    <n v="219.97"/>
    <n v="23.460577446120819"/>
    <n v="77.277449078424894"/>
    <n v="283.40928728637363"/>
    <n v="208818.53"/>
    <n v="8888.1608399999986"/>
    <n v="30018.865959999999"/>
    <n v="321667.97736376256"/>
    <n v="10545.898920834488"/>
    <n v="38676.298617396831"/>
  </r>
  <r>
    <s v="Sistema de Compensação"/>
    <x v="0"/>
    <x v="0"/>
    <x v="1"/>
    <x v="0"/>
    <x v="0"/>
    <x v="0"/>
    <x v="0"/>
    <x v="8"/>
    <n v="100"/>
    <n v="100"/>
    <n v="3.7349999999999999"/>
    <n v="3.7349999999999999"/>
    <n v="3.7349999999999999"/>
    <n v="3.7349999999999999"/>
    <n v="0"/>
    <x v="0"/>
    <n v="0"/>
    <n v="93"/>
    <n v="94"/>
    <n v="48"/>
    <n v="15.23"/>
    <n v="65.13"/>
    <n v="219.97"/>
    <n v="23.460577446120819"/>
    <n v="77.277449078424894"/>
    <n v="283.40928728637363"/>
    <n v="1523"/>
    <n v="243.26054999999997"/>
    <n v="821.58794999999998"/>
    <n v="2346.0577446120819"/>
    <n v="288.63127230791696"/>
    <n v="1058.5336880146056"/>
  </r>
  <r>
    <s v="Regular"/>
    <x v="0"/>
    <x v="0"/>
    <x v="1"/>
    <x v="0"/>
    <x v="0"/>
    <x v="0"/>
    <x v="0"/>
    <x v="8"/>
    <n v="49400"/>
    <n v="494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752362"/>
    <n v="0"/>
    <n v="0"/>
    <n v="1158952.5258383686"/>
    <n v="0"/>
    <n v="0"/>
  </r>
  <r>
    <s v="Regular"/>
    <x v="0"/>
    <x v="0"/>
    <x v="1"/>
    <x v="0"/>
    <x v="0"/>
    <x v="0"/>
    <x v="0"/>
    <x v="9"/>
    <n v="12452"/>
    <n v="12452"/>
    <n v="135.31800000000001"/>
    <n v="135.31800000000001"/>
    <n v="135.31800000000001"/>
    <n v="135.31800000000001"/>
    <n v="0"/>
    <x v="0"/>
    <n v="0"/>
    <n v="93"/>
    <n v="94"/>
    <n v="48"/>
    <n v="15.23"/>
    <n v="65.13"/>
    <n v="219.97"/>
    <n v="23.460577446120819"/>
    <n v="77.277449078424894"/>
    <n v="283.40928728637363"/>
    <n v="189643.96"/>
    <n v="8813.2613400000009"/>
    <n v="29765.900460000001"/>
    <n v="292131.11035909643"/>
    <n v="10457.029854394301"/>
    <n v="38350.377937017511"/>
  </r>
  <r>
    <s v="Refaturamento - Regular"/>
    <x v="0"/>
    <x v="0"/>
    <x v="1"/>
    <x v="0"/>
    <x v="0"/>
    <x v="0"/>
    <x v="0"/>
    <x v="9"/>
    <n v="-7192"/>
    <n v="-7192"/>
    <n v="0"/>
    <n v="0"/>
    <n v="0"/>
    <n v="0"/>
    <n v="0"/>
    <x v="0"/>
    <n v="0"/>
    <n v="93"/>
    <n v="0"/>
    <n v="0"/>
    <n v="15.23"/>
    <n v="0"/>
    <n v="0"/>
    <n v="23.460577446120819"/>
    <n v="77.277449078424894"/>
    <n v="283.40928728637363"/>
    <n v="-109534.16"/>
    <n v="0"/>
    <n v="0"/>
    <n v="-168728.47299250093"/>
    <n v="0"/>
    <n v="0"/>
  </r>
  <r>
    <s v="Sistema de Compensação"/>
    <x v="0"/>
    <x v="0"/>
    <x v="1"/>
    <x v="0"/>
    <x v="0"/>
    <x v="0"/>
    <x v="0"/>
    <x v="9"/>
    <n v="100"/>
    <n v="100"/>
    <n v="4.3410000000000002"/>
    <n v="4.3410000000000002"/>
    <n v="4.3410000000000002"/>
    <n v="4.3410000000000002"/>
    <n v="0"/>
    <x v="0"/>
    <n v="0"/>
    <n v="93"/>
    <n v="94"/>
    <n v="48"/>
    <n v="15.23"/>
    <n v="65.13"/>
    <n v="219.97"/>
    <n v="23.460577446120819"/>
    <n v="77.277449078424894"/>
    <n v="283.40928728637363"/>
    <n v="1523"/>
    <n v="282.72933"/>
    <n v="954.88977"/>
    <n v="2346.0577446120819"/>
    <n v="335.46140644944251"/>
    <n v="1230.279716110148"/>
  </r>
  <r>
    <s v="Regular"/>
    <x v="0"/>
    <x v="0"/>
    <x v="1"/>
    <x v="0"/>
    <x v="0"/>
    <x v="0"/>
    <x v="0"/>
    <x v="9"/>
    <n v="19400"/>
    <n v="194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295462"/>
    <n v="0"/>
    <n v="0"/>
    <n v="455135.20245474391"/>
    <n v="0"/>
    <n v="0"/>
  </r>
  <r>
    <s v="Regular"/>
    <x v="0"/>
    <x v="0"/>
    <x v="1"/>
    <x v="0"/>
    <x v="0"/>
    <x v="0"/>
    <x v="0"/>
    <x v="10"/>
    <n v="8594"/>
    <n v="8594"/>
    <n v="360.09899999999999"/>
    <n v="360.09899999999999"/>
    <n v="360.09899999999999"/>
    <n v="360.09899999999999"/>
    <n v="0"/>
    <x v="0"/>
    <n v="0"/>
    <n v="93"/>
    <n v="94"/>
    <n v="48"/>
    <n v="15.23"/>
    <n v="65.13"/>
    <n v="219.97"/>
    <n v="23.460577446120819"/>
    <n v="77.277449078424894"/>
    <n v="283.40928728637363"/>
    <n v="130886.62000000001"/>
    <n v="23453.247869999999"/>
    <n v="79210.977029999995"/>
    <n v="201620.20257196232"/>
    <n v="27827.532135691727"/>
    <n v="102055.40094253585"/>
  </r>
  <r>
    <s v="Sistema de Compensação"/>
    <x v="0"/>
    <x v="0"/>
    <x v="1"/>
    <x v="0"/>
    <x v="0"/>
    <x v="0"/>
    <x v="0"/>
    <x v="10"/>
    <n v="100"/>
    <n v="100"/>
    <n v="0.30399999999999999"/>
    <n v="0.30399999999999999"/>
    <n v="0.30399999999999999"/>
    <n v="0.30399999999999999"/>
    <n v="0"/>
    <x v="0"/>
    <n v="0"/>
    <n v="93"/>
    <n v="94"/>
    <n v="48"/>
    <n v="15.23"/>
    <n v="65.13"/>
    <n v="219.97"/>
    <n v="23.460577446120819"/>
    <n v="77.277449078424894"/>
    <n v="283.40928728637363"/>
    <n v="1523"/>
    <n v="19.799519999999998"/>
    <n v="66.87088"/>
    <n v="2346.0577446120819"/>
    <n v="23.492344519841168"/>
    <n v="86.156423335057582"/>
  </r>
  <r>
    <s v="Regular"/>
    <x v="0"/>
    <x v="0"/>
    <x v="1"/>
    <x v="0"/>
    <x v="0"/>
    <x v="0"/>
    <x v="0"/>
    <x v="10"/>
    <n v="39400"/>
    <n v="394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600062"/>
    <n v="0"/>
    <n v="0"/>
    <n v="924346.75137716031"/>
    <n v="0"/>
    <n v="0"/>
  </r>
  <r>
    <s v="PROJETADO"/>
    <x v="0"/>
    <x v="0"/>
    <x v="1"/>
    <x v="0"/>
    <x v="0"/>
    <x v="0"/>
    <x v="0"/>
    <x v="11"/>
    <n v="8594"/>
    <n v="8594"/>
    <n v="360.09899999999999"/>
    <n v="360.09899999999999"/>
    <n v="360.09899999999999"/>
    <n v="360.09899999999999"/>
    <n v="0"/>
    <x v="0"/>
    <n v="0"/>
    <n v="93"/>
    <n v="94"/>
    <n v="48"/>
    <n v="15.23"/>
    <n v="65.13"/>
    <n v="219.97"/>
    <n v="23.460577446120819"/>
    <n v="77.277449078424894"/>
    <n v="283.40928728637363"/>
    <n v="130886.62000000001"/>
    <n v="23453.247869999999"/>
    <n v="79210.977029999995"/>
    <n v="201620.20257196232"/>
    <n v="27827.532135691727"/>
    <n v="102055.40094253585"/>
  </r>
  <r>
    <s v="PROJETADO"/>
    <x v="0"/>
    <x v="0"/>
    <x v="1"/>
    <x v="0"/>
    <x v="0"/>
    <x v="0"/>
    <x v="0"/>
    <x v="11"/>
    <n v="100"/>
    <n v="100"/>
    <n v="0.30399999999999999"/>
    <n v="0.30399999999999999"/>
    <n v="0.30399999999999999"/>
    <n v="0.30399999999999999"/>
    <n v="0"/>
    <x v="0"/>
    <n v="0"/>
    <n v="93"/>
    <n v="94"/>
    <n v="48"/>
    <n v="15.23"/>
    <n v="65.13"/>
    <n v="219.97"/>
    <n v="23.460577446120819"/>
    <n v="77.277449078424894"/>
    <n v="283.40928728637363"/>
    <n v="1523"/>
    <n v="19.799519999999998"/>
    <n v="66.87088"/>
    <n v="2346.0577446120819"/>
    <n v="23.492344519841168"/>
    <n v="86.156423335057582"/>
  </r>
  <r>
    <s v="PROJETADO"/>
    <x v="0"/>
    <x v="0"/>
    <x v="1"/>
    <x v="0"/>
    <x v="0"/>
    <x v="0"/>
    <x v="0"/>
    <x v="11"/>
    <n v="39400"/>
    <n v="39400"/>
    <n v="0"/>
    <n v="0"/>
    <n v="0"/>
    <n v="0"/>
    <n v="0"/>
    <x v="1"/>
    <n v="0"/>
    <n v="93"/>
    <n v="0"/>
    <n v="0"/>
    <n v="15.23"/>
    <n v="0"/>
    <n v="0"/>
    <n v="23.460577446120819"/>
    <n v="77.277449078424894"/>
    <m/>
    <n v="600062"/>
    <n v="0"/>
    <n v="0"/>
    <n v="924346.75137716031"/>
    <n v="0"/>
    <n v="0"/>
  </r>
  <r>
    <s v="Regular"/>
    <x v="0"/>
    <x v="0"/>
    <x v="1"/>
    <x v="0"/>
    <x v="0"/>
    <x v="0"/>
    <x v="1"/>
    <x v="0"/>
    <n v="0"/>
    <n v="0"/>
    <n v="29376.78"/>
    <n v="29376.78"/>
    <n v="0"/>
    <n v="0"/>
    <n v="4"/>
    <x v="1"/>
    <n v="0"/>
    <n v="0"/>
    <n v="94"/>
    <n v="0"/>
    <n v="0"/>
    <n v="65.13"/>
    <n v="0"/>
    <m/>
    <n v="77.277449078424894"/>
    <m/>
    <n v="0"/>
    <n v="1913309.6813999999"/>
    <n v="0"/>
    <n v="0"/>
    <n v="2270162.6205380908"/>
    <n v="0"/>
  </r>
  <r>
    <s v="Regular"/>
    <x v="0"/>
    <x v="0"/>
    <x v="1"/>
    <x v="0"/>
    <x v="0"/>
    <x v="0"/>
    <x v="1"/>
    <x v="1"/>
    <n v="0"/>
    <n v="0"/>
    <n v="23583.421999999999"/>
    <n v="23583.421999999999"/>
    <n v="0"/>
    <n v="0"/>
    <n v="4"/>
    <x v="1"/>
    <n v="0"/>
    <n v="0"/>
    <n v="94"/>
    <n v="0"/>
    <n v="0"/>
    <n v="65.13"/>
    <n v="0"/>
    <m/>
    <n v="77.277449078424894"/>
    <m/>
    <n v="0"/>
    <n v="1535988.2748599998"/>
    <n v="0"/>
    <n v="0"/>
    <n v="1822466.6927000054"/>
    <n v="0"/>
  </r>
  <r>
    <s v="Regular"/>
    <x v="0"/>
    <x v="0"/>
    <x v="1"/>
    <x v="0"/>
    <x v="0"/>
    <x v="0"/>
    <x v="1"/>
    <x v="2"/>
    <n v="0"/>
    <n v="0"/>
    <n v="21330.383999999998"/>
    <n v="21330.383999999998"/>
    <n v="0"/>
    <n v="0"/>
    <n v="4"/>
    <x v="1"/>
    <n v="0"/>
    <n v="0"/>
    <n v="94"/>
    <n v="0"/>
    <n v="0"/>
    <n v="65.13"/>
    <n v="0"/>
    <m/>
    <n v="77.277449078424894"/>
    <m/>
    <n v="0"/>
    <n v="1389247.9099199998"/>
    <n v="0"/>
    <n v="0"/>
    <n v="1648357.663383249"/>
    <n v="0"/>
  </r>
  <r>
    <s v="Regular"/>
    <x v="0"/>
    <x v="0"/>
    <x v="1"/>
    <x v="0"/>
    <x v="0"/>
    <x v="0"/>
    <x v="1"/>
    <x v="3"/>
    <n v="0"/>
    <n v="0"/>
    <n v="25771.386999999999"/>
    <n v="25771.386999999999"/>
    <n v="0"/>
    <n v="0"/>
    <n v="4"/>
    <x v="1"/>
    <n v="0"/>
    <n v="0"/>
    <n v="94"/>
    <n v="0"/>
    <n v="0"/>
    <n v="65.13"/>
    <n v="0"/>
    <m/>
    <n v="77.277449078424894"/>
    <m/>
    <n v="0"/>
    <n v="1678490.4353099999"/>
    <n v="0"/>
    <n v="0"/>
    <n v="1991547.0465728813"/>
    <n v="0"/>
  </r>
  <r>
    <s v="Regular"/>
    <x v="0"/>
    <x v="0"/>
    <x v="1"/>
    <x v="0"/>
    <x v="0"/>
    <x v="0"/>
    <x v="1"/>
    <x v="4"/>
    <n v="0"/>
    <n v="0"/>
    <n v="28474.440999999999"/>
    <n v="28474.440999999999"/>
    <n v="0"/>
    <n v="0"/>
    <n v="4"/>
    <x v="1"/>
    <n v="0"/>
    <n v="0"/>
    <n v="94"/>
    <n v="0"/>
    <n v="0"/>
    <n v="65.13"/>
    <n v="0"/>
    <m/>
    <n v="77.277449078424894"/>
    <m/>
    <n v="0"/>
    <n v="1854540.3423299999"/>
    <n v="0"/>
    <n v="0"/>
    <n v="2200432.1644141139"/>
    <n v="0"/>
  </r>
  <r>
    <s v="Regular"/>
    <x v="0"/>
    <x v="0"/>
    <x v="1"/>
    <x v="0"/>
    <x v="0"/>
    <x v="0"/>
    <x v="1"/>
    <x v="5"/>
    <n v="0"/>
    <n v="0"/>
    <n v="27093.434000000001"/>
    <n v="27093.434000000001"/>
    <n v="0"/>
    <n v="0"/>
    <n v="4"/>
    <x v="1"/>
    <n v="0"/>
    <n v="0"/>
    <n v="94"/>
    <n v="0"/>
    <n v="0"/>
    <n v="65.13"/>
    <n v="0"/>
    <m/>
    <n v="77.277449078424894"/>
    <m/>
    <n v="0"/>
    <n v="1764595.3564199999"/>
    <n v="0"/>
    <n v="0"/>
    <n v="2093711.4662946658"/>
    <n v="0"/>
  </r>
  <r>
    <s v="Regular"/>
    <x v="0"/>
    <x v="0"/>
    <x v="1"/>
    <x v="0"/>
    <x v="0"/>
    <x v="0"/>
    <x v="1"/>
    <x v="6"/>
    <n v="0"/>
    <n v="0"/>
    <n v="26645.107"/>
    <n v="26645.107"/>
    <n v="0"/>
    <n v="0"/>
    <n v="4"/>
    <x v="1"/>
    <n v="0"/>
    <n v="0"/>
    <n v="94"/>
    <n v="0"/>
    <n v="0"/>
    <n v="65.13"/>
    <n v="0"/>
    <m/>
    <n v="77.277449078424894"/>
    <m/>
    <n v="0"/>
    <n v="1735395.8189099999"/>
    <n v="0"/>
    <n v="0"/>
    <n v="2059065.8993816827"/>
    <n v="0"/>
  </r>
  <r>
    <s v="Regular"/>
    <x v="0"/>
    <x v="0"/>
    <x v="1"/>
    <x v="0"/>
    <x v="0"/>
    <x v="0"/>
    <x v="1"/>
    <x v="7"/>
    <n v="0"/>
    <n v="0"/>
    <n v="26238.37"/>
    <n v="26238.37"/>
    <n v="0"/>
    <n v="0"/>
    <n v="4"/>
    <x v="1"/>
    <n v="0"/>
    <n v="0"/>
    <n v="94"/>
    <n v="0"/>
    <n v="0"/>
    <n v="65.13"/>
    <n v="0"/>
    <m/>
    <n v="77.277449078424894"/>
    <m/>
    <n v="0"/>
    <n v="1708905.0380999998"/>
    <n v="0"/>
    <n v="0"/>
    <n v="2027634.3015758714"/>
    <n v="0"/>
  </r>
  <r>
    <s v="Regular"/>
    <x v="0"/>
    <x v="0"/>
    <x v="1"/>
    <x v="0"/>
    <x v="0"/>
    <x v="0"/>
    <x v="1"/>
    <x v="8"/>
    <n v="0"/>
    <n v="0"/>
    <n v="29372.008000000002"/>
    <n v="29372.008000000002"/>
    <n v="0"/>
    <n v="0"/>
    <n v="4"/>
    <x v="1"/>
    <n v="0"/>
    <n v="0"/>
    <n v="94"/>
    <n v="0"/>
    <n v="0"/>
    <n v="65.13"/>
    <n v="0"/>
    <m/>
    <n v="77.277449078424894"/>
    <m/>
    <n v="0"/>
    <n v="1912998.8810399999"/>
    <n v="0"/>
    <n v="0"/>
    <n v="2269793.8525510887"/>
    <n v="0"/>
  </r>
  <r>
    <s v="Regular"/>
    <x v="0"/>
    <x v="0"/>
    <x v="1"/>
    <x v="0"/>
    <x v="0"/>
    <x v="0"/>
    <x v="1"/>
    <x v="9"/>
    <n v="0"/>
    <n v="0"/>
    <n v="16198.055"/>
    <n v="16198.055"/>
    <n v="0"/>
    <n v="0"/>
    <n v="3"/>
    <x v="1"/>
    <n v="0"/>
    <n v="0"/>
    <n v="94"/>
    <n v="0"/>
    <n v="0"/>
    <n v="65.13"/>
    <n v="0"/>
    <m/>
    <n v="77.277449078424894"/>
    <m/>
    <n v="0"/>
    <n v="1054979.3221499999"/>
    <n v="0"/>
    <n v="0"/>
    <n v="1251744.3704320258"/>
    <n v="0"/>
  </r>
  <r>
    <s v="Regular"/>
    <x v="0"/>
    <x v="0"/>
    <x v="1"/>
    <x v="0"/>
    <x v="0"/>
    <x v="0"/>
    <x v="1"/>
    <x v="10"/>
    <n v="0"/>
    <n v="0"/>
    <n v="24665.269"/>
    <n v="24665.269"/>
    <n v="0"/>
    <n v="0"/>
    <n v="3"/>
    <x v="1"/>
    <n v="0"/>
    <n v="0"/>
    <n v="94"/>
    <n v="0"/>
    <n v="0"/>
    <n v="65.13"/>
    <n v="0"/>
    <m/>
    <n v="77.277449078424894"/>
    <m/>
    <n v="0"/>
    <n v="1606448.96997"/>
    <n v="0"/>
    <n v="0"/>
    <n v="1906069.0691531522"/>
    <n v="0"/>
  </r>
  <r>
    <s v="PROJETADO"/>
    <x v="0"/>
    <x v="0"/>
    <x v="1"/>
    <x v="0"/>
    <x v="0"/>
    <x v="0"/>
    <x v="1"/>
    <x v="11"/>
    <n v="0"/>
    <n v="0"/>
    <n v="24665.269"/>
    <n v="24665.269"/>
    <n v="0"/>
    <n v="0"/>
    <n v="3"/>
    <x v="1"/>
    <n v="0"/>
    <n v="0"/>
    <n v="94"/>
    <n v="0"/>
    <n v="0"/>
    <n v="65.13"/>
    <n v="0"/>
    <m/>
    <n v="77.277449078424894"/>
    <m/>
    <n v="0"/>
    <n v="1606448.96997"/>
    <n v="0"/>
    <n v="0"/>
    <n v="1906069.0691531522"/>
    <n v="0"/>
  </r>
  <r>
    <s v="Regular"/>
    <x v="0"/>
    <x v="0"/>
    <x v="1"/>
    <x v="0"/>
    <x v="0"/>
    <x v="0"/>
    <x v="2"/>
    <x v="0"/>
    <n v="3330"/>
    <n v="3330"/>
    <n v="50.755000000000003"/>
    <n v="50.755000000000003"/>
    <n v="50.755000000000003"/>
    <n v="50.755000000000003"/>
    <n v="0"/>
    <x v="0"/>
    <n v="0"/>
    <n v="92"/>
    <n v="94"/>
    <n v="47"/>
    <n v="26.46"/>
    <n v="65.13"/>
    <n v="346.61"/>
    <n v="38.387484521738621"/>
    <n v="77.277449078424894"/>
    <n v="441.69177554366559"/>
    <n v="88111.8"/>
    <n v="3305.6731500000001"/>
    <n v="17592.190550000003"/>
    <n v="127830.3234573896"/>
    <n v="3922.2169279754557"/>
    <n v="22418.066067718748"/>
  </r>
  <r>
    <s v="Sistema de Compensação"/>
    <x v="0"/>
    <x v="0"/>
    <x v="1"/>
    <x v="0"/>
    <x v="0"/>
    <x v="0"/>
    <x v="2"/>
    <x v="0"/>
    <n v="100"/>
    <n v="100"/>
    <n v="1.871"/>
    <n v="1.871"/>
    <n v="1.871"/>
    <n v="1.871"/>
    <n v="0"/>
    <x v="0"/>
    <n v="0"/>
    <n v="92"/>
    <n v="94"/>
    <n v="47"/>
    <n v="26.46"/>
    <n v="65.13"/>
    <n v="346.61"/>
    <n v="38.387484521738621"/>
    <n v="77.277449078424894"/>
    <n v="441.69177554366559"/>
    <n v="2646"/>
    <n v="121.85822999999999"/>
    <n v="648.50731000000007"/>
    <n v="3838.748452173862"/>
    <n v="144.58610722573297"/>
    <n v="826.40531204219826"/>
  </r>
  <r>
    <s v="Regular"/>
    <x v="0"/>
    <x v="0"/>
    <x v="1"/>
    <x v="0"/>
    <x v="0"/>
    <x v="0"/>
    <x v="2"/>
    <x v="0"/>
    <n v="44822"/>
    <n v="44822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185990.1200000001"/>
    <n v="0"/>
    <n v="0"/>
    <n v="1720603.8312333685"/>
    <n v="0"/>
    <n v="0"/>
  </r>
  <r>
    <s v="Regular"/>
    <x v="0"/>
    <x v="0"/>
    <x v="1"/>
    <x v="0"/>
    <x v="0"/>
    <x v="0"/>
    <x v="2"/>
    <x v="1"/>
    <n v="2920"/>
    <n v="2920"/>
    <n v="53.985999999999997"/>
    <n v="53.985999999999997"/>
    <n v="53.985999999999997"/>
    <n v="53.985999999999997"/>
    <n v="0"/>
    <x v="0"/>
    <n v="0"/>
    <n v="92"/>
    <n v="94"/>
    <n v="47"/>
    <n v="26.46"/>
    <n v="65.13"/>
    <n v="346.61"/>
    <n v="38.387484521738621"/>
    <n v="77.277449078424894"/>
    <n v="441.69177554366559"/>
    <n v="77263.199999999997"/>
    <n v="3516.1081799999997"/>
    <n v="18712.087459999999"/>
    <n v="112091.45480347678"/>
    <n v="4171.9003659478458"/>
    <n v="23845.17219450033"/>
  </r>
  <r>
    <s v="Sistema de Compensação"/>
    <x v="0"/>
    <x v="0"/>
    <x v="1"/>
    <x v="0"/>
    <x v="0"/>
    <x v="0"/>
    <x v="2"/>
    <x v="1"/>
    <n v="100"/>
    <n v="100"/>
    <n v="2.1219999999999999"/>
    <n v="2.1219999999999999"/>
    <n v="2.1219999999999999"/>
    <n v="2.1219999999999999"/>
    <n v="0"/>
    <x v="0"/>
    <n v="0"/>
    <n v="92"/>
    <n v="94"/>
    <n v="47"/>
    <n v="26.46"/>
    <n v="65.13"/>
    <n v="346.61"/>
    <n v="38.387484521738621"/>
    <n v="77.277449078424894"/>
    <n v="441.69177554366559"/>
    <n v="2646"/>
    <n v="138.20585999999997"/>
    <n v="735.50641999999993"/>
    <n v="3838.748452173862"/>
    <n v="163.98274694441761"/>
    <n v="937.26994770365832"/>
  </r>
  <r>
    <s v="Regular"/>
    <x v="0"/>
    <x v="0"/>
    <x v="1"/>
    <x v="0"/>
    <x v="0"/>
    <x v="0"/>
    <x v="2"/>
    <x v="1"/>
    <n v="44379"/>
    <n v="44379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174268.3400000001"/>
    <n v="0"/>
    <n v="0"/>
    <n v="1703598.1755902383"/>
    <n v="0"/>
    <n v="0"/>
  </r>
  <r>
    <s v="Regular"/>
    <x v="0"/>
    <x v="0"/>
    <x v="1"/>
    <x v="0"/>
    <x v="0"/>
    <x v="0"/>
    <x v="2"/>
    <x v="2"/>
    <n v="2906"/>
    <n v="2906"/>
    <n v="60.731999999999999"/>
    <n v="60.731999999999999"/>
    <n v="60.731999999999999"/>
    <n v="60.731999999999999"/>
    <n v="0"/>
    <x v="0"/>
    <n v="0"/>
    <n v="92"/>
    <n v="94"/>
    <n v="47"/>
    <n v="26.46"/>
    <n v="65.13"/>
    <n v="346.61"/>
    <n v="38.387484521738621"/>
    <n v="77.277449078424894"/>
    <n v="441.69177554366559"/>
    <n v="76892.760000000009"/>
    <n v="3955.4751599999995"/>
    <n v="21050.318520000001"/>
    <n v="111554.03002017243"/>
    <n v="4693.214037430901"/>
    <n v="26824.824912317898"/>
  </r>
  <r>
    <s v="Sistema de Compensação"/>
    <x v="0"/>
    <x v="0"/>
    <x v="1"/>
    <x v="0"/>
    <x v="0"/>
    <x v="0"/>
    <x v="2"/>
    <x v="2"/>
    <n v="100"/>
    <n v="100"/>
    <n v="0.32800000000000001"/>
    <n v="0.32800000000000001"/>
    <n v="0.32800000000000001"/>
    <n v="0.32800000000000001"/>
    <n v="0"/>
    <x v="0"/>
    <n v="0"/>
    <n v="92"/>
    <n v="94"/>
    <n v="47"/>
    <n v="26.46"/>
    <n v="65.13"/>
    <n v="346.61"/>
    <n v="38.387484521738621"/>
    <n v="77.277449078424894"/>
    <n v="441.69177554366559"/>
    <n v="2646"/>
    <n v="21.362639999999999"/>
    <n v="113.68808000000001"/>
    <n v="3838.748452173862"/>
    <n v="25.347003297723365"/>
    <n v="144.87490237832233"/>
  </r>
  <r>
    <s v="Regular"/>
    <x v="0"/>
    <x v="0"/>
    <x v="1"/>
    <x v="0"/>
    <x v="0"/>
    <x v="0"/>
    <x v="2"/>
    <x v="2"/>
    <n v="44682"/>
    <n v="44682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182285.72"/>
    <n v="0"/>
    <n v="0"/>
    <n v="1715229.5834003252"/>
    <n v="0"/>
    <n v="0"/>
  </r>
  <r>
    <s v="Regular"/>
    <x v="0"/>
    <x v="0"/>
    <x v="1"/>
    <x v="0"/>
    <x v="0"/>
    <x v="0"/>
    <x v="2"/>
    <x v="3"/>
    <n v="3836"/>
    <n v="3836"/>
    <n v="96.441999999999993"/>
    <n v="96.441999999999993"/>
    <n v="96.441999999999993"/>
    <n v="96.441999999999993"/>
    <n v="0"/>
    <x v="0"/>
    <n v="0"/>
    <n v="92"/>
    <n v="94"/>
    <n v="47"/>
    <n v="26.46"/>
    <n v="65.13"/>
    <n v="346.61"/>
    <n v="38.387484521738621"/>
    <n v="77.277449078424894"/>
    <n v="441.69177554366559"/>
    <n v="101500.56"/>
    <n v="6281.2674599999991"/>
    <n v="33427.761619999997"/>
    <n v="147254.39062538935"/>
    <n v="7452.7917440214533"/>
    <n v="42597.638216982195"/>
  </r>
  <r>
    <s v="Sistema de Compensação"/>
    <x v="0"/>
    <x v="0"/>
    <x v="1"/>
    <x v="0"/>
    <x v="0"/>
    <x v="0"/>
    <x v="2"/>
    <x v="3"/>
    <n v="100"/>
    <n v="100"/>
    <n v="0.61599999999999999"/>
    <n v="0.61599999999999999"/>
    <n v="0.61599999999999999"/>
    <n v="0.61599999999999999"/>
    <n v="0"/>
    <x v="0"/>
    <n v="0"/>
    <n v="92"/>
    <n v="94"/>
    <n v="47"/>
    <n v="26.46"/>
    <n v="65.13"/>
    <n v="346.61"/>
    <n v="38.387484521738621"/>
    <n v="77.277449078424894"/>
    <n v="441.69177554366559"/>
    <n v="2646"/>
    <n v="40.120079999999994"/>
    <n v="213.51176000000001"/>
    <n v="3838.748452173862"/>
    <n v="47.602908632309735"/>
    <n v="272.08213373489798"/>
  </r>
  <r>
    <s v="Regular"/>
    <x v="0"/>
    <x v="0"/>
    <x v="1"/>
    <x v="0"/>
    <x v="0"/>
    <x v="0"/>
    <x v="2"/>
    <x v="3"/>
    <n v="44523"/>
    <n v="44523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178078.58"/>
    <n v="0"/>
    <n v="0"/>
    <n v="1709125.9733613685"/>
    <n v="0"/>
    <n v="0"/>
  </r>
  <r>
    <s v="Regular"/>
    <x v="0"/>
    <x v="0"/>
    <x v="1"/>
    <x v="0"/>
    <x v="0"/>
    <x v="0"/>
    <x v="2"/>
    <x v="4"/>
    <n v="5916"/>
    <n v="5916"/>
    <n v="47.600999999999999"/>
    <n v="47.600999999999999"/>
    <n v="47.600999999999999"/>
    <n v="47.600999999999999"/>
    <n v="0"/>
    <x v="0"/>
    <n v="0"/>
    <n v="92"/>
    <n v="94"/>
    <n v="47"/>
    <n v="26.46"/>
    <n v="65.13"/>
    <n v="346.61"/>
    <n v="38.387484521738621"/>
    <n v="77.277449078424894"/>
    <n v="441.69177554366559"/>
    <n v="156537.36000000002"/>
    <n v="3100.2531299999996"/>
    <n v="16498.982609999999"/>
    <n v="227100.35843060567"/>
    <n v="3678.4838535821032"/>
    <n v="21024.970207654023"/>
  </r>
  <r>
    <s v="Sistema de Compensação"/>
    <x v="0"/>
    <x v="0"/>
    <x v="1"/>
    <x v="0"/>
    <x v="0"/>
    <x v="0"/>
    <x v="2"/>
    <x v="4"/>
    <n v="100"/>
    <n v="100"/>
    <n v="0.10199999999999999"/>
    <n v="0.10199999999999999"/>
    <n v="0.10199999999999999"/>
    <n v="0.10199999999999999"/>
    <n v="0"/>
    <x v="0"/>
    <n v="0"/>
    <n v="92"/>
    <n v="94"/>
    <n v="47"/>
    <n v="26.46"/>
    <n v="65.13"/>
    <n v="346.61"/>
    <n v="38.387484521738621"/>
    <n v="77.277449078424894"/>
    <n v="441.69177554366559"/>
    <n v="2646"/>
    <n v="6.6432599999999988"/>
    <n v="35.354219999999998"/>
    <n v="3838.748452173862"/>
    <n v="7.882299805999339"/>
    <n v="45.05256110545389"/>
  </r>
  <r>
    <s v="Regular"/>
    <x v="0"/>
    <x v="0"/>
    <x v="1"/>
    <x v="0"/>
    <x v="0"/>
    <x v="0"/>
    <x v="2"/>
    <x v="4"/>
    <n v="45034"/>
    <n v="45034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191599.6400000001"/>
    <n v="0"/>
    <n v="0"/>
    <n v="1728741.9779519772"/>
    <n v="0"/>
    <n v="0"/>
  </r>
  <r>
    <s v="Regular"/>
    <x v="0"/>
    <x v="0"/>
    <x v="1"/>
    <x v="0"/>
    <x v="0"/>
    <x v="0"/>
    <x v="2"/>
    <x v="5"/>
    <n v="2867"/>
    <n v="2867"/>
    <n v="4.835"/>
    <n v="4.835"/>
    <n v="4.835"/>
    <n v="4.835"/>
    <n v="0"/>
    <x v="0"/>
    <n v="0"/>
    <n v="92"/>
    <n v="94"/>
    <n v="47"/>
    <n v="26.46"/>
    <n v="65.13"/>
    <n v="346.61"/>
    <n v="38.387484521738621"/>
    <n v="77.277449078424894"/>
    <n v="441.69177554366559"/>
    <n v="75860.820000000007"/>
    <n v="314.90355"/>
    <n v="1675.8593499999999"/>
    <n v="110056.91812382462"/>
    <n v="373.63646629418434"/>
    <n v="2135.5797347536231"/>
  </r>
  <r>
    <s v="Sistema de Compensação"/>
    <x v="0"/>
    <x v="0"/>
    <x v="1"/>
    <x v="0"/>
    <x v="0"/>
    <x v="0"/>
    <x v="2"/>
    <x v="5"/>
    <n v="100"/>
    <n v="100"/>
    <n v="1.302"/>
    <n v="1.302"/>
    <n v="1.302"/>
    <n v="1.302"/>
    <n v="0"/>
    <x v="0"/>
    <n v="0"/>
    <n v="92"/>
    <n v="94"/>
    <n v="47"/>
    <n v="26.46"/>
    <n v="65.13"/>
    <n v="346.61"/>
    <n v="38.387484521738621"/>
    <n v="77.277449078424894"/>
    <n v="441.69177554366559"/>
    <n v="2646"/>
    <n v="84.799260000000004"/>
    <n v="451.28622000000001"/>
    <n v="3838.748452173862"/>
    <n v="100.61523870010922"/>
    <n v="575.08269175785256"/>
  </r>
  <r>
    <s v="Regular"/>
    <x v="0"/>
    <x v="0"/>
    <x v="1"/>
    <x v="0"/>
    <x v="0"/>
    <x v="0"/>
    <x v="2"/>
    <x v="5"/>
    <n v="44686"/>
    <n v="44686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182391.56"/>
    <n v="0"/>
    <n v="0"/>
    <n v="1715383.133338412"/>
    <n v="0"/>
    <n v="0"/>
  </r>
  <r>
    <s v="Regular"/>
    <x v="0"/>
    <x v="0"/>
    <x v="1"/>
    <x v="0"/>
    <x v="0"/>
    <x v="0"/>
    <x v="2"/>
    <x v="6"/>
    <n v="5369"/>
    <n v="5369"/>
    <n v="24.448"/>
    <n v="24.448"/>
    <n v="24.448"/>
    <n v="24.448"/>
    <n v="0"/>
    <x v="0"/>
    <n v="0"/>
    <n v="92"/>
    <n v="94"/>
    <n v="47"/>
    <n v="26.46"/>
    <n v="65.13"/>
    <n v="346.61"/>
    <n v="38.387484521738621"/>
    <n v="77.277449078424894"/>
    <n v="441.69177554366559"/>
    <n v="142063.74"/>
    <n v="1592.2982399999999"/>
    <n v="8473.9212800000005"/>
    <n v="206102.40439721465"/>
    <n v="1889.2790750693318"/>
    <n v="10798.480528491536"/>
  </r>
  <r>
    <s v="Refaturamento - Regular"/>
    <x v="0"/>
    <x v="0"/>
    <x v="1"/>
    <x v="0"/>
    <x v="0"/>
    <x v="0"/>
    <x v="2"/>
    <x v="6"/>
    <n v="0"/>
    <n v="0"/>
    <n v="-0.48799999999999999"/>
    <n v="-0.48799999999999999"/>
    <n v="-0.48799999999999999"/>
    <n v="-0.48799999999999999"/>
    <n v="0"/>
    <x v="0"/>
    <n v="0"/>
    <n v="0"/>
    <n v="94"/>
    <n v="47"/>
    <n v="0"/>
    <n v="65.13"/>
    <n v="346.61"/>
    <n v="38.387484521738621"/>
    <n v="77.277449078424894"/>
    <n v="441.69177554366559"/>
    <n v="0"/>
    <n v="-31.783439999999999"/>
    <n v="-169.14568"/>
    <n v="0"/>
    <n v="-37.71139515027135"/>
    <n v="-215.54558646530879"/>
  </r>
  <r>
    <s v="Sistema de Compensação"/>
    <x v="0"/>
    <x v="0"/>
    <x v="1"/>
    <x v="0"/>
    <x v="0"/>
    <x v="0"/>
    <x v="2"/>
    <x v="6"/>
    <n v="100"/>
    <n v="100"/>
    <n v="2.1"/>
    <n v="2.1"/>
    <n v="2.1"/>
    <n v="2.1"/>
    <n v="0"/>
    <x v="0"/>
    <n v="0"/>
    <n v="92"/>
    <n v="94"/>
    <n v="47"/>
    <n v="26.46"/>
    <n v="65.13"/>
    <n v="346.61"/>
    <n v="38.387484521738621"/>
    <n v="77.277449078424894"/>
    <n v="441.69177554366559"/>
    <n v="2646"/>
    <n v="136.773"/>
    <n v="727.88100000000009"/>
    <n v="3838.748452173862"/>
    <n v="162.28264306469228"/>
    <n v="927.55272864169774"/>
  </r>
  <r>
    <s v="Regular"/>
    <x v="0"/>
    <x v="0"/>
    <x v="1"/>
    <x v="0"/>
    <x v="0"/>
    <x v="0"/>
    <x v="2"/>
    <x v="6"/>
    <n v="44748"/>
    <n v="44748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184032.08"/>
    <n v="0"/>
    <n v="0"/>
    <n v="1717763.1573787597"/>
    <n v="0"/>
    <n v="0"/>
  </r>
  <r>
    <s v="Regular"/>
    <x v="0"/>
    <x v="0"/>
    <x v="1"/>
    <x v="0"/>
    <x v="0"/>
    <x v="0"/>
    <x v="2"/>
    <x v="7"/>
    <n v="5582"/>
    <n v="5582"/>
    <n v="31.149000000000001"/>
    <n v="31.149000000000001"/>
    <n v="31.149000000000001"/>
    <n v="31.149000000000001"/>
    <n v="0"/>
    <x v="0"/>
    <n v="0"/>
    <n v="92"/>
    <n v="94"/>
    <n v="47"/>
    <n v="26.46"/>
    <n v="65.13"/>
    <n v="346.61"/>
    <n v="38.387484521738621"/>
    <n v="77.277449078424894"/>
    <n v="441.69177554366559"/>
    <n v="147699.72"/>
    <n v="2028.7343699999999"/>
    <n v="10796.554890000001"/>
    <n v="214278.93860034499"/>
    <n v="2407.1152613438571"/>
    <n v="13758.257116409639"/>
  </r>
  <r>
    <s v="Sistema de Compensação"/>
    <x v="0"/>
    <x v="0"/>
    <x v="1"/>
    <x v="0"/>
    <x v="0"/>
    <x v="0"/>
    <x v="2"/>
    <x v="7"/>
    <n v="100"/>
    <n v="100"/>
    <n v="6.2E-2"/>
    <n v="6.2E-2"/>
    <n v="6.2E-2"/>
    <n v="6.2E-2"/>
    <n v="0"/>
    <x v="0"/>
    <n v="0"/>
    <n v="92"/>
    <n v="94"/>
    <n v="47"/>
    <n v="26.46"/>
    <n v="65.13"/>
    <n v="346.61"/>
    <n v="38.387484521738621"/>
    <n v="77.277449078424894"/>
    <n v="441.69177554366559"/>
    <n v="2646"/>
    <n v="4.0380599999999998"/>
    <n v="21.489820000000002"/>
    <n v="3838.748452173862"/>
    <n v="4.7912018428623435"/>
    <n v="27.384890083707266"/>
  </r>
  <r>
    <s v="Regular"/>
    <x v="0"/>
    <x v="0"/>
    <x v="1"/>
    <x v="0"/>
    <x v="0"/>
    <x v="0"/>
    <x v="2"/>
    <x v="7"/>
    <n v="44804"/>
    <n v="44804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185513.8400000001"/>
    <n v="0"/>
    <n v="0"/>
    <n v="1719912.8565119773"/>
    <n v="0"/>
    <n v="0"/>
  </r>
  <r>
    <s v="Regular"/>
    <x v="0"/>
    <x v="0"/>
    <x v="1"/>
    <x v="0"/>
    <x v="0"/>
    <x v="0"/>
    <x v="2"/>
    <x v="8"/>
    <n v="14292"/>
    <n v="14292"/>
    <n v="18.780999999999999"/>
    <n v="18.780999999999999"/>
    <n v="18.780999999999999"/>
    <n v="18.780999999999999"/>
    <n v="0"/>
    <x v="0"/>
    <n v="0"/>
    <n v="92"/>
    <n v="94"/>
    <n v="47"/>
    <n v="26.46"/>
    <n v="65.13"/>
    <n v="346.61"/>
    <n v="38.387484521738621"/>
    <n v="77.277449078424894"/>
    <n v="441.69177554366559"/>
    <n v="378166.32"/>
    <n v="1223.2065299999999"/>
    <n v="6509.6824099999994"/>
    <n v="548633.92878468835"/>
    <n v="1451.3477711418977"/>
    <n v="8295.4132364855832"/>
  </r>
  <r>
    <s v="Sistema de Compensação"/>
    <x v="0"/>
    <x v="0"/>
    <x v="1"/>
    <x v="0"/>
    <x v="0"/>
    <x v="0"/>
    <x v="2"/>
    <x v="8"/>
    <n v="100"/>
    <n v="100"/>
    <n v="1.464"/>
    <n v="1.464"/>
    <n v="1.464"/>
    <n v="1.464"/>
    <n v="0"/>
    <x v="0"/>
    <n v="0"/>
    <n v="92"/>
    <n v="94"/>
    <n v="47"/>
    <n v="26.46"/>
    <n v="65.13"/>
    <n v="346.61"/>
    <n v="38.387484521738621"/>
    <n v="77.277449078424894"/>
    <n v="441.69177554366559"/>
    <n v="2646"/>
    <n v="95.350319999999996"/>
    <n v="507.43704000000002"/>
    <n v="3838.748452173862"/>
    <n v="113.13418545081404"/>
    <n v="646.63675939592645"/>
  </r>
  <r>
    <s v="Regular"/>
    <x v="0"/>
    <x v="0"/>
    <x v="1"/>
    <x v="0"/>
    <x v="0"/>
    <x v="0"/>
    <x v="2"/>
    <x v="8"/>
    <n v="44770"/>
    <n v="4477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184614.2"/>
    <n v="0"/>
    <n v="0"/>
    <n v="1718607.682038238"/>
    <n v="0"/>
    <n v="0"/>
  </r>
  <r>
    <s v="Regular"/>
    <x v="0"/>
    <x v="0"/>
    <x v="1"/>
    <x v="0"/>
    <x v="0"/>
    <x v="0"/>
    <x v="2"/>
    <x v="9"/>
    <n v="16969"/>
    <n v="16969"/>
    <n v="8.3040000000000003"/>
    <n v="8.3040000000000003"/>
    <n v="8.3040000000000003"/>
    <n v="8.3040000000000003"/>
    <n v="0"/>
    <x v="0"/>
    <n v="0"/>
    <n v="92"/>
    <n v="94"/>
    <n v="47"/>
    <n v="26.46"/>
    <n v="65.13"/>
    <n v="346.61"/>
    <n v="38.387484521738621"/>
    <n v="77.277449078424894"/>
    <n v="441.69177554366559"/>
    <n v="448999.74"/>
    <n v="540.83951999999999"/>
    <n v="2878.24944"/>
    <n v="651397.22484938265"/>
    <n v="641.71193714724029"/>
    <n v="3667.8085041145991"/>
  </r>
  <r>
    <s v="Refaturamento - Regular"/>
    <x v="0"/>
    <x v="0"/>
    <x v="1"/>
    <x v="0"/>
    <x v="0"/>
    <x v="0"/>
    <x v="2"/>
    <x v="9"/>
    <n v="-5736"/>
    <n v="-5736"/>
    <n v="0"/>
    <n v="0"/>
    <n v="0"/>
    <n v="0"/>
    <n v="0"/>
    <x v="0"/>
    <n v="0"/>
    <n v="92"/>
    <n v="0"/>
    <n v="0"/>
    <n v="26.46"/>
    <n v="0"/>
    <n v="0"/>
    <n v="38.387484521738621"/>
    <n v="77.277449078424894"/>
    <n v="441.69177554366559"/>
    <n v="-151774.56"/>
    <n v="0"/>
    <n v="0"/>
    <n v="-220190.61121669272"/>
    <n v="0"/>
    <n v="0"/>
  </r>
  <r>
    <s v="Sistema de Compensação"/>
    <x v="0"/>
    <x v="0"/>
    <x v="1"/>
    <x v="0"/>
    <x v="0"/>
    <x v="0"/>
    <x v="2"/>
    <x v="9"/>
    <n v="100"/>
    <n v="100"/>
    <n v="1.5129999999999999"/>
    <n v="1.5129999999999999"/>
    <n v="1.5129999999999999"/>
    <n v="1.5129999999999999"/>
    <n v="0"/>
    <x v="0"/>
    <n v="0"/>
    <n v="92"/>
    <n v="94"/>
    <n v="47"/>
    <n v="26.46"/>
    <n v="65.13"/>
    <n v="346.61"/>
    <n v="38.387484521738621"/>
    <n v="77.277449078424894"/>
    <n v="441.69177554366559"/>
    <n v="2646"/>
    <n v="98.541689999999988"/>
    <n v="524.42093"/>
    <n v="3838.748452173862"/>
    <n v="116.92078045565685"/>
    <n v="668.27965639756599"/>
  </r>
  <r>
    <s v="Regular"/>
    <x v="0"/>
    <x v="0"/>
    <x v="1"/>
    <x v="0"/>
    <x v="0"/>
    <x v="0"/>
    <x v="2"/>
    <x v="9"/>
    <n v="24830"/>
    <n v="2483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657001.80000000005"/>
    <n v="0"/>
    <n v="0"/>
    <n v="953161.24067476997"/>
    <n v="0"/>
    <n v="0"/>
  </r>
  <r>
    <s v="Regular"/>
    <x v="0"/>
    <x v="0"/>
    <x v="1"/>
    <x v="0"/>
    <x v="0"/>
    <x v="0"/>
    <x v="2"/>
    <x v="10"/>
    <n v="4425"/>
    <n v="4425"/>
    <n v="28.998999999999999"/>
    <n v="28.998999999999999"/>
    <n v="28.998999999999999"/>
    <n v="28.998999999999999"/>
    <n v="0"/>
    <x v="0"/>
    <n v="0"/>
    <n v="92"/>
    <n v="94"/>
    <n v="47"/>
    <n v="26.46"/>
    <n v="65.13"/>
    <n v="346.61"/>
    <n v="38.387484521738621"/>
    <n v="77.277449078424894"/>
    <n v="441.69177554366559"/>
    <n v="117085.5"/>
    <n v="1888.7048699999998"/>
    <n v="10051.34339"/>
    <n v="169864.61900869341"/>
    <n v="2240.9687458252433"/>
    <n v="12808.619798990758"/>
  </r>
  <r>
    <s v="Refaturamento - Regular"/>
    <x v="0"/>
    <x v="0"/>
    <x v="1"/>
    <x v="0"/>
    <x v="0"/>
    <x v="0"/>
    <x v="2"/>
    <x v="10"/>
    <n v="-1"/>
    <n v="-1"/>
    <n v="0"/>
    <n v="0"/>
    <n v="0"/>
    <n v="0"/>
    <n v="0"/>
    <x v="0"/>
    <n v="0"/>
    <n v="92"/>
    <n v="0"/>
    <n v="0"/>
    <n v="26.46"/>
    <n v="0"/>
    <n v="0"/>
    <n v="38.387484521738621"/>
    <n v="77.277449078424894"/>
    <n v="441.69177554366559"/>
    <n v="-26.46"/>
    <n v="0"/>
    <n v="0"/>
    <n v="-38.387484521738621"/>
    <n v="0"/>
    <n v="0"/>
  </r>
  <r>
    <s v="Sistema de Compensação"/>
    <x v="0"/>
    <x v="0"/>
    <x v="1"/>
    <x v="0"/>
    <x v="0"/>
    <x v="0"/>
    <x v="2"/>
    <x v="10"/>
    <n v="100"/>
    <n v="100"/>
    <n v="9.2999999999999999E-2"/>
    <n v="9.2999999999999999E-2"/>
    <n v="9.2999999999999999E-2"/>
    <n v="9.2999999999999999E-2"/>
    <n v="0"/>
    <x v="0"/>
    <n v="0"/>
    <n v="92"/>
    <n v="94"/>
    <n v="47"/>
    <n v="26.46"/>
    <n v="65.13"/>
    <n v="346.61"/>
    <n v="38.387484521738621"/>
    <n v="77.277449078424894"/>
    <n v="441.69177554366559"/>
    <n v="2646"/>
    <n v="6.0570899999999996"/>
    <n v="32.234729999999999"/>
    <n v="3838.748452173862"/>
    <n v="7.1868027642935148"/>
    <n v="41.0773351255609"/>
  </r>
  <r>
    <s v="Regular"/>
    <x v="0"/>
    <x v="0"/>
    <x v="1"/>
    <x v="0"/>
    <x v="0"/>
    <x v="0"/>
    <x v="2"/>
    <x v="10"/>
    <n v="38050"/>
    <n v="3805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006803"/>
    <n v="0"/>
    <n v="0"/>
    <n v="1460643.7860521546"/>
    <n v="0"/>
    <n v="0"/>
  </r>
  <r>
    <s v="PROJETADO"/>
    <x v="0"/>
    <x v="0"/>
    <x v="1"/>
    <x v="0"/>
    <x v="0"/>
    <x v="0"/>
    <x v="2"/>
    <x v="11"/>
    <n v="4425"/>
    <n v="4425"/>
    <n v="28.998999999999999"/>
    <n v="28.998999999999999"/>
    <n v="28.998999999999999"/>
    <n v="28.998999999999999"/>
    <n v="0"/>
    <x v="0"/>
    <n v="0"/>
    <n v="92"/>
    <n v="94"/>
    <n v="47"/>
    <n v="26.46"/>
    <n v="65.13"/>
    <n v="346.61"/>
    <n v="38.387484521738621"/>
    <n v="77.277449078424894"/>
    <n v="441.69177554366559"/>
    <n v="117085.5"/>
    <n v="1888.7048699999998"/>
    <n v="10051.34339"/>
    <n v="169864.61900869341"/>
    <n v="2240.9687458252433"/>
    <n v="12808.619798990758"/>
  </r>
  <r>
    <s v="PROJETADO"/>
    <x v="0"/>
    <x v="0"/>
    <x v="1"/>
    <x v="0"/>
    <x v="0"/>
    <x v="0"/>
    <x v="2"/>
    <x v="11"/>
    <n v="-1"/>
    <n v="-1"/>
    <n v="0"/>
    <n v="0"/>
    <n v="0"/>
    <n v="0"/>
    <n v="0"/>
    <x v="0"/>
    <n v="0"/>
    <n v="92"/>
    <n v="0"/>
    <n v="0"/>
    <n v="26.46"/>
    <n v="0"/>
    <n v="0"/>
    <n v="38.387484521738621"/>
    <n v="77.277449078424894"/>
    <n v="441.69177554366559"/>
    <n v="-26.46"/>
    <n v="0"/>
    <n v="0"/>
    <n v="-38.387484521738621"/>
    <n v="0"/>
    <n v="0"/>
  </r>
  <r>
    <s v="PROJETADO"/>
    <x v="0"/>
    <x v="0"/>
    <x v="1"/>
    <x v="0"/>
    <x v="0"/>
    <x v="0"/>
    <x v="2"/>
    <x v="11"/>
    <n v="100"/>
    <n v="100"/>
    <n v="9.2999999999999999E-2"/>
    <n v="9.2999999999999999E-2"/>
    <n v="9.2999999999999999E-2"/>
    <n v="9.2999999999999999E-2"/>
    <n v="0"/>
    <x v="0"/>
    <n v="0"/>
    <n v="92"/>
    <n v="94"/>
    <n v="47"/>
    <n v="26.46"/>
    <n v="65.13"/>
    <n v="346.61"/>
    <n v="38.387484521738621"/>
    <n v="77.277449078424894"/>
    <n v="441.69177554366559"/>
    <n v="2646"/>
    <n v="6.0570899999999996"/>
    <n v="32.234729999999999"/>
    <n v="3838.748452173862"/>
    <n v="7.1868027642935148"/>
    <n v="41.0773351255609"/>
  </r>
  <r>
    <s v="PROJETADO"/>
    <x v="0"/>
    <x v="0"/>
    <x v="1"/>
    <x v="0"/>
    <x v="0"/>
    <x v="0"/>
    <x v="2"/>
    <x v="11"/>
    <n v="38050"/>
    <n v="38050"/>
    <n v="0"/>
    <n v="0"/>
    <n v="0"/>
    <n v="0"/>
    <n v="0"/>
    <x v="1"/>
    <n v="0"/>
    <n v="92"/>
    <n v="0"/>
    <n v="0"/>
    <n v="26.46"/>
    <n v="0"/>
    <n v="0"/>
    <n v="38.387484521738621"/>
    <n v="77.277449078424894"/>
    <m/>
    <n v="1006803"/>
    <n v="0"/>
    <n v="0"/>
    <n v="1460643.7860521546"/>
    <n v="0"/>
    <n v="0"/>
  </r>
  <r>
    <s v="Regular"/>
    <x v="0"/>
    <x v="0"/>
    <x v="2"/>
    <x v="1"/>
    <x v="3"/>
    <x v="0"/>
    <x v="0"/>
    <x v="0"/>
    <n v="0"/>
    <n v="0"/>
    <n v="398.63400000000001"/>
    <n v="39.863399999999999"/>
    <n v="398.63400000000001"/>
    <n v="39.863399999999999"/>
    <n v="0"/>
    <x v="0"/>
    <n v="0"/>
    <n v="0"/>
    <n v="94"/>
    <n v="48"/>
    <n v="0"/>
    <n v="65.13"/>
    <n v="219.97"/>
    <n v="23.460577446120819"/>
    <n v="77.277449078424894"/>
    <n v="283.40928728637363"/>
    <n v="0"/>
    <n v="2596.303242"/>
    <n v="8768.752097999999"/>
    <n v="0"/>
    <n v="3080.5418635928827"/>
    <n v="11297.657782811626"/>
  </r>
  <r>
    <s v="Regular"/>
    <x v="0"/>
    <x v="0"/>
    <x v="2"/>
    <x v="1"/>
    <x v="3"/>
    <x v="0"/>
    <x v="0"/>
    <x v="1"/>
    <n v="0"/>
    <n v="0"/>
    <n v="396.06299999999999"/>
    <n v="39.606299999999997"/>
    <n v="396.06299999999999"/>
    <n v="39.606299999999997"/>
    <n v="0"/>
    <x v="0"/>
    <n v="0"/>
    <n v="0"/>
    <n v="94"/>
    <n v="48"/>
    <n v="0"/>
    <n v="65.13"/>
    <n v="219.97"/>
    <n v="23.460577446120819"/>
    <n v="77.277449078424894"/>
    <n v="283.40928728637363"/>
    <n v="0"/>
    <n v="2579.5583189999998"/>
    <n v="8712.197811"/>
    <n v="0"/>
    <n v="3060.6738314348195"/>
    <n v="11224.793255050299"/>
  </r>
  <r>
    <s v="Regular"/>
    <x v="0"/>
    <x v="0"/>
    <x v="2"/>
    <x v="1"/>
    <x v="3"/>
    <x v="0"/>
    <x v="0"/>
    <x v="2"/>
    <n v="0"/>
    <n v="0"/>
    <n v="778.96299999999997"/>
    <n v="77.896299999999997"/>
    <n v="778.96299999999997"/>
    <n v="77.896299999999997"/>
    <n v="0"/>
    <x v="0"/>
    <n v="0"/>
    <n v="0"/>
    <n v="94"/>
    <n v="48"/>
    <n v="0"/>
    <n v="65.13"/>
    <n v="219.97"/>
    <n v="23.460577446120819"/>
    <n v="77.277449078424894"/>
    <n v="283.40928728637363"/>
    <n v="0"/>
    <n v="5073.3860189999996"/>
    <n v="17134.849111"/>
    <n v="0"/>
    <n v="6019.6273566477084"/>
    <n v="22076.534865245543"/>
  </r>
  <r>
    <s v="Regular"/>
    <x v="0"/>
    <x v="0"/>
    <x v="2"/>
    <x v="1"/>
    <x v="3"/>
    <x v="0"/>
    <x v="0"/>
    <x v="3"/>
    <n v="0"/>
    <n v="0"/>
    <n v="152.744"/>
    <n v="15.2744"/>
    <n v="152.744"/>
    <n v="15.2744"/>
    <n v="0"/>
    <x v="0"/>
    <n v="0"/>
    <n v="0"/>
    <n v="94"/>
    <n v="48"/>
    <n v="0"/>
    <n v="65.13"/>
    <n v="219.97"/>
    <n v="23.460577446120819"/>
    <n v="77.277449078424894"/>
    <n v="283.40928728637363"/>
    <n v="0"/>
    <n v="994.82167199999992"/>
    <n v="3359.909768"/>
    <n v="0"/>
    <n v="1180.3666682034932"/>
    <n v="4328.9068177269855"/>
  </r>
  <r>
    <s v="Refaturamento - Regular"/>
    <x v="0"/>
    <x v="0"/>
    <x v="2"/>
    <x v="1"/>
    <x v="3"/>
    <x v="0"/>
    <x v="0"/>
    <x v="3"/>
    <n v="0"/>
    <n v="0"/>
    <n v="-383.71600000000001"/>
    <n v="-38.371600000000001"/>
    <n v="-383.71600000000001"/>
    <n v="-38.371600000000001"/>
    <n v="0"/>
    <x v="0"/>
    <n v="0"/>
    <n v="0"/>
    <n v="94"/>
    <n v="48"/>
    <n v="0"/>
    <n v="65.13"/>
    <n v="219.97"/>
    <n v="23.460577446120819"/>
    <n v="77.277449078424894"/>
    <n v="283.40928728637363"/>
    <n v="0"/>
    <n v="-2499.142308"/>
    <n v="-8440.6008519999996"/>
    <n v="0"/>
    <n v="-2965.2593650576887"/>
    <n v="-10874.867808037814"/>
  </r>
  <r>
    <s v="Regular"/>
    <x v="0"/>
    <x v="0"/>
    <x v="2"/>
    <x v="1"/>
    <x v="3"/>
    <x v="0"/>
    <x v="0"/>
    <x v="4"/>
    <n v="0"/>
    <n v="0"/>
    <n v="2586.7269999999999"/>
    <n v="258.67270000000002"/>
    <n v="2586.7269999999999"/>
    <n v="258.67270000000002"/>
    <n v="0"/>
    <x v="0"/>
    <n v="0"/>
    <n v="0"/>
    <n v="94"/>
    <n v="48"/>
    <n v="0"/>
    <n v="65.13"/>
    <n v="219.97"/>
    <n v="23.460577446120819"/>
    <n v="77.277449078424894"/>
    <n v="283.40928728637363"/>
    <n v="0"/>
    <n v="16847.352951000001"/>
    <n v="56900.233819000001"/>
    <n v="0"/>
    <n v="19989.56640222868"/>
    <n v="73310.24554744194"/>
  </r>
  <r>
    <s v="Regular"/>
    <x v="0"/>
    <x v="0"/>
    <x v="2"/>
    <x v="1"/>
    <x v="3"/>
    <x v="0"/>
    <x v="0"/>
    <x v="5"/>
    <n v="0"/>
    <n v="0"/>
    <n v="6206.6970000000001"/>
    <n v="620.66970000000003"/>
    <n v="6206.6970000000001"/>
    <n v="620.66970000000003"/>
    <n v="0"/>
    <x v="0"/>
    <n v="0"/>
    <n v="0"/>
    <n v="94"/>
    <n v="48"/>
    <n v="0"/>
    <n v="65.13"/>
    <n v="219.97"/>
    <n v="23.460577446120819"/>
    <n v="77.277449078424894"/>
    <n v="283.40928728637363"/>
    <n v="0"/>
    <n v="40424.217560999998"/>
    <n v="136528.71390900001"/>
    <n v="0"/>
    <n v="47963.771136271258"/>
    <n v="175903.55731724735"/>
  </r>
  <r>
    <s v="Regular"/>
    <x v="0"/>
    <x v="0"/>
    <x v="2"/>
    <x v="1"/>
    <x v="3"/>
    <x v="0"/>
    <x v="0"/>
    <x v="6"/>
    <n v="0"/>
    <n v="0"/>
    <n v="6926.8459999999995"/>
    <n v="692.68460000000005"/>
    <n v="6926.8459999999995"/>
    <n v="692.68460000000005"/>
    <n v="0"/>
    <x v="0"/>
    <n v="0"/>
    <n v="0"/>
    <n v="94"/>
    <n v="48"/>
    <n v="0"/>
    <n v="65.13"/>
    <n v="219.97"/>
    <n v="23.460577446120819"/>
    <n v="77.277449078424894"/>
    <n v="283.40928728637363"/>
    <n v="0"/>
    <n v="45114.547998000002"/>
    <n v="152369.831462"/>
    <n v="0"/>
    <n v="53528.898903909118"/>
    <n v="196313.2488002468"/>
  </r>
  <r>
    <s v="Regular"/>
    <x v="0"/>
    <x v="0"/>
    <x v="2"/>
    <x v="1"/>
    <x v="3"/>
    <x v="0"/>
    <x v="0"/>
    <x v="7"/>
    <n v="0"/>
    <n v="0"/>
    <n v="6748.4269999999997"/>
    <n v="674.84270000000004"/>
    <n v="6748.4269999999997"/>
    <n v="674.84270000000004"/>
    <n v="0"/>
    <x v="0"/>
    <n v="0"/>
    <n v="0"/>
    <n v="94"/>
    <n v="48"/>
    <n v="0"/>
    <n v="65.13"/>
    <n v="219.97"/>
    <n v="23.460577446120819"/>
    <n v="77.277449078424894"/>
    <n v="283.40928728637363"/>
    <n v="0"/>
    <n v="43952.505051"/>
    <n v="148445.14871900002"/>
    <n v="0"/>
    <n v="52150.122385196773"/>
    <n v="191256.68863741207"/>
  </r>
  <r>
    <s v="Regular"/>
    <x v="0"/>
    <x v="0"/>
    <x v="2"/>
    <x v="1"/>
    <x v="3"/>
    <x v="0"/>
    <x v="0"/>
    <x v="8"/>
    <n v="0"/>
    <n v="0"/>
    <n v="5667.16"/>
    <n v="566.71600000000001"/>
    <n v="5667.16"/>
    <n v="566.71600000000001"/>
    <n v="0"/>
    <x v="0"/>
    <n v="0"/>
    <n v="0"/>
    <n v="94"/>
    <n v="48"/>
    <n v="0"/>
    <n v="65.13"/>
    <n v="219.97"/>
    <n v="23.460577446120819"/>
    <n v="77.277449078424894"/>
    <n v="283.40928728637363"/>
    <n v="0"/>
    <n v="36910.213080000001"/>
    <n v="124660.51852"/>
    <n v="0"/>
    <n v="43794.366831928644"/>
    <n v="160612.57765378451"/>
  </r>
  <r>
    <s v="Regular"/>
    <x v="0"/>
    <x v="0"/>
    <x v="2"/>
    <x v="1"/>
    <x v="3"/>
    <x v="0"/>
    <x v="0"/>
    <x v="9"/>
    <n v="0"/>
    <n v="0"/>
    <n v="5531.8760000000002"/>
    <n v="553.18759999999997"/>
    <n v="5531.8760000000002"/>
    <n v="553.18759999999997"/>
    <n v="0"/>
    <x v="0"/>
    <n v="0"/>
    <n v="0"/>
    <n v="94"/>
    <n v="48"/>
    <n v="0"/>
    <n v="65.13"/>
    <n v="219.97"/>
    <n v="23.460577446120819"/>
    <n v="77.277449078424894"/>
    <n v="283.40928728637363"/>
    <n v="0"/>
    <n v="36029.108387999993"/>
    <n v="121684.67637199999"/>
    <n v="0"/>
    <n v="42748.926589816074"/>
    <n v="156778.50345165952"/>
  </r>
  <r>
    <s v="Regular"/>
    <x v="0"/>
    <x v="0"/>
    <x v="2"/>
    <x v="1"/>
    <x v="3"/>
    <x v="0"/>
    <x v="0"/>
    <x v="10"/>
    <n v="0"/>
    <n v="0"/>
    <n v="2837.616"/>
    <n v="283.76159999999999"/>
    <n v="2837.616"/>
    <n v="283.76159999999999"/>
    <n v="0"/>
    <x v="0"/>
    <n v="0"/>
    <n v="0"/>
    <n v="94"/>
    <n v="48"/>
    <n v="0"/>
    <n v="65.13"/>
    <n v="219.97"/>
    <n v="23.460577446120819"/>
    <n v="77.277449078424894"/>
    <n v="283.40928728637363"/>
    <n v="0"/>
    <n v="18481.393007999999"/>
    <n v="62419.039151999998"/>
    <n v="0"/>
    <n v="21928.372594412373"/>
    <n v="80420.672815241036"/>
  </r>
  <r>
    <s v="PROJETADO"/>
    <x v="0"/>
    <x v="0"/>
    <x v="2"/>
    <x v="1"/>
    <x v="3"/>
    <x v="0"/>
    <x v="0"/>
    <x v="11"/>
    <n v="0"/>
    <n v="0"/>
    <n v="2837.616"/>
    <n v="283.76159999999999"/>
    <n v="2837.616"/>
    <n v="283.76159999999999"/>
    <n v="0"/>
    <x v="0"/>
    <n v="0"/>
    <n v="0"/>
    <n v="94"/>
    <n v="48"/>
    <n v="0"/>
    <n v="65.13"/>
    <n v="219.97"/>
    <n v="23.460577446120819"/>
    <n v="77.277449078424894"/>
    <n v="283.40928728637363"/>
    <n v="0"/>
    <n v="18481.393007999999"/>
    <n v="62419.039151999998"/>
    <n v="0"/>
    <n v="21928.372594412373"/>
    <n v="80420.672815241036"/>
  </r>
  <r>
    <s v="Regular"/>
    <x v="0"/>
    <x v="0"/>
    <x v="2"/>
    <x v="1"/>
    <x v="0"/>
    <x v="0"/>
    <x v="0"/>
    <x v="0"/>
    <n v="6202"/>
    <n v="6202"/>
    <n v="736.85199999999998"/>
    <n v="736.85199999999998"/>
    <n v="736.85199999999998"/>
    <n v="736.85199999999998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90678.2016"/>
    <n v="46071.523929599993"/>
    <n v="155601.92106239998"/>
    <n v="142592.45129442451"/>
    <n v="55803.202050168824"/>
    <n v="204654.08615242818"/>
  </r>
  <r>
    <s v="Regular"/>
    <x v="0"/>
    <x v="0"/>
    <x v="2"/>
    <x v="1"/>
    <x v="0"/>
    <x v="0"/>
    <x v="0"/>
    <x v="1"/>
    <n v="5712"/>
    <n v="5712"/>
    <n v="681.64200000000005"/>
    <n v="681.64200000000005"/>
    <n v="681.64200000000005"/>
    <n v="681.64200000000005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83514.00959999999"/>
    <n v="42619.529721599996"/>
    <n v="143943.15911040001"/>
    <n v="131326.68200479727"/>
    <n v="51622.04384582139"/>
    <n v="189319.99993636913"/>
  </r>
  <r>
    <s v="Regular"/>
    <x v="0"/>
    <x v="0"/>
    <x v="2"/>
    <x v="1"/>
    <x v="0"/>
    <x v="0"/>
    <x v="0"/>
    <x v="2"/>
    <n v="6117"/>
    <n v="6117"/>
    <n v="1326.828"/>
    <n v="1326.828"/>
    <n v="1326.828"/>
    <n v="1326.828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89435.433599999989"/>
    <n v="82959.655334399984"/>
    <n v="280187.86095359997"/>
    <n v="140638.18519316262"/>
    <n v="100483.20554171177"/>
    <n v="368514.67027497239"/>
  </r>
  <r>
    <s v="Regular"/>
    <x v="0"/>
    <x v="0"/>
    <x v="2"/>
    <x v="1"/>
    <x v="0"/>
    <x v="0"/>
    <x v="0"/>
    <x v="3"/>
    <n v="5025"/>
    <n v="5025"/>
    <n v="345.79399999999998"/>
    <n v="345.79399999999998"/>
    <n v="345.79399999999998"/>
    <n v="345.79399999999998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73469.51999999999"/>
    <n v="21620.700691199996"/>
    <n v="73021.733932799994"/>
    <n v="115531.61363342198"/>
    <n v="26187.636662092358"/>
    <n v="96041.206466146177"/>
  </r>
  <r>
    <s v="Refaturamento - Regular"/>
    <x v="0"/>
    <x v="0"/>
    <x v="2"/>
    <x v="1"/>
    <x v="0"/>
    <x v="0"/>
    <x v="0"/>
    <x v="3"/>
    <n v="156"/>
    <n v="156"/>
    <n v="-585.06799999999998"/>
    <n v="-585.06799999999998"/>
    <n v="-585.06799999999998"/>
    <n v="-585.06799999999998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2280.8447999999999"/>
    <n v="-36581.259686399993"/>
    <n v="-123549.51164159999"/>
    <n v="3586.6530799629509"/>
    <n v="-44308.311325867573"/>
    <n v="-162497.43079618274"/>
  </r>
  <r>
    <s v="Regular"/>
    <x v="0"/>
    <x v="0"/>
    <x v="2"/>
    <x v="1"/>
    <x v="0"/>
    <x v="0"/>
    <x v="0"/>
    <x v="4"/>
    <n v="27321"/>
    <n v="27321"/>
    <n v="3880.0590000000002"/>
    <n v="3880.0590000000002"/>
    <n v="3880.0590000000002"/>
    <n v="3880.0590000000002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399454.87679999997"/>
    <n v="242599.91296319998"/>
    <n v="819356.71510080004"/>
    <n v="628147.1076773575"/>
    <n v="293844.24055790855"/>
    <n v="1077651.8607026979"/>
  </r>
  <r>
    <s v="Regular"/>
    <x v="0"/>
    <x v="0"/>
    <x v="2"/>
    <x v="1"/>
    <x v="0"/>
    <x v="0"/>
    <x v="0"/>
    <x v="5"/>
    <n v="39858"/>
    <n v="39858"/>
    <n v="9502.1970000000001"/>
    <n v="9502.1970000000001"/>
    <n v="9502.1970000000001"/>
    <n v="9502.1970000000001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582755.84639999992"/>
    <n v="594122.96698559995"/>
    <n v="2006590.3431263999"/>
    <n v="916389.86193053389"/>
    <n v="719619.43390464853"/>
    <n v="2639150.6618362232"/>
  </r>
  <r>
    <s v="Regular"/>
    <x v="0"/>
    <x v="0"/>
    <x v="2"/>
    <x v="1"/>
    <x v="0"/>
    <x v="0"/>
    <x v="0"/>
    <x v="6"/>
    <n v="40223"/>
    <n v="40223"/>
    <n v="9331.5110000000004"/>
    <n v="9331.5110000000004"/>
    <n v="9331.5110000000004"/>
    <n v="9331.5110000000004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588092.43839999998"/>
    <n v="583450.85897279996"/>
    <n v="1970546.3756832001"/>
    <n v="924781.71048301132"/>
    <n v="706693.05880471657"/>
    <n v="2591744.1441786564"/>
  </r>
  <r>
    <s v="Regular"/>
    <x v="0"/>
    <x v="0"/>
    <x v="2"/>
    <x v="1"/>
    <x v="0"/>
    <x v="0"/>
    <x v="0"/>
    <x v="7"/>
    <n v="40310"/>
    <n v="40310"/>
    <n v="9253.44"/>
    <n v="9253.44"/>
    <n v="9253.44"/>
    <n v="9253.44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589364.44799999997"/>
    <n v="578569.48531199992"/>
    <n v="1954060.028928"/>
    <n v="926781.95931606763"/>
    <n v="700780.59363225487"/>
    <n v="2570060.6186402766"/>
  </r>
  <r>
    <s v="Regular"/>
    <x v="0"/>
    <x v="0"/>
    <x v="2"/>
    <x v="1"/>
    <x v="0"/>
    <x v="0"/>
    <x v="0"/>
    <x v="8"/>
    <n v="34788"/>
    <n v="34788"/>
    <n v="7363.6859999999997"/>
    <n v="7363.6859999999997"/>
    <n v="7363.6859999999997"/>
    <n v="7363.6859999999997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508628.39039999997"/>
    <n v="460412.99441279995"/>
    <n v="1554998.4090431998"/>
    <n v="799823.63683173805"/>
    <n v="557665.93249661999"/>
    <n v="2045198.2610394342"/>
  </r>
  <r>
    <s v="Regular"/>
    <x v="0"/>
    <x v="0"/>
    <x v="2"/>
    <x v="1"/>
    <x v="0"/>
    <x v="0"/>
    <x v="0"/>
    <x v="9"/>
    <n v="36266"/>
    <n v="36266"/>
    <n v="6688.0519999999997"/>
    <n v="6688.0519999999997"/>
    <n v="6688.0519999999997"/>
    <n v="6688.0519999999997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530237.93279999995"/>
    <n v="418169.11368959991"/>
    <n v="1412323.9665023999"/>
    <n v="833804.87562779733"/>
    <n v="506498.88590658054"/>
    <n v="1857546.9296411213"/>
  </r>
  <r>
    <s v="Regular"/>
    <x v="0"/>
    <x v="0"/>
    <x v="2"/>
    <x v="1"/>
    <x v="0"/>
    <x v="0"/>
    <x v="0"/>
    <x v="10"/>
    <n v="29099"/>
    <n v="29099"/>
    <n v="4225.5450000000001"/>
    <n v="4225.5450000000001"/>
    <n v="4225.5450000000001"/>
    <n v="4225.5450000000001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425450.65919999999"/>
    <n v="264201.35601599998"/>
    <n v="892313.40830400004"/>
    <n v="669025.75624257629"/>
    <n v="320008.55179477105"/>
    <n v="1173607.5229095696"/>
  </r>
  <r>
    <s v="PROJETADO"/>
    <x v="0"/>
    <x v="0"/>
    <x v="2"/>
    <x v="1"/>
    <x v="0"/>
    <x v="0"/>
    <x v="0"/>
    <x v="11"/>
    <n v="29099"/>
    <n v="29099"/>
    <n v="4225.5450000000001"/>
    <n v="4225.5450000000001"/>
    <n v="4225.5450000000001"/>
    <n v="4225.5450000000001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425450.65919999999"/>
    <n v="264201.35601599998"/>
    <n v="892313.40830400004"/>
    <n v="669025.75624257629"/>
    <n v="320008.55179477105"/>
    <n v="1173607.5229095696"/>
  </r>
  <r>
    <s v="Regular"/>
    <x v="0"/>
    <x v="0"/>
    <x v="2"/>
    <x v="1"/>
    <x v="0"/>
    <x v="0"/>
    <x v="2"/>
    <x v="0"/>
    <n v="2656"/>
    <n v="2656"/>
    <n v="57.115000000000002"/>
    <n v="57.115000000000002"/>
    <n v="57.115000000000002"/>
    <n v="57.115000000000002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67466.64959999999"/>
    <n v="3571.1039519999995"/>
    <n v="19004.764944000002"/>
    <n v="99918.015711943008"/>
    <n v="4325.4274740319534"/>
    <n v="24722.681244972933"/>
  </r>
  <r>
    <s v="Regular"/>
    <x v="0"/>
    <x v="0"/>
    <x v="2"/>
    <x v="1"/>
    <x v="0"/>
    <x v="0"/>
    <x v="2"/>
    <x v="1"/>
    <n v="2898"/>
    <n v="2898"/>
    <n v="55.436999999999998"/>
    <n v="55.436999999999998"/>
    <n v="55.436999999999998"/>
    <n v="55.436999999999998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73613.83679999999"/>
    <n v="3466.1873375999994"/>
    <n v="18446.417827199999"/>
    <n v="109021.99154111854"/>
    <n v="4198.3493456694277"/>
    <n v="23996.345621597906"/>
  </r>
  <r>
    <s v="Regular"/>
    <x v="0"/>
    <x v="0"/>
    <x v="2"/>
    <x v="1"/>
    <x v="0"/>
    <x v="0"/>
    <x v="2"/>
    <x v="2"/>
    <n v="2450"/>
    <n v="2450"/>
    <n v="66.162000000000006"/>
    <n v="66.162000000000006"/>
    <n v="66.162000000000006"/>
    <n v="66.162000000000006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62233.919999999998"/>
    <n v="4136.7658175999995"/>
    <n v="22015.114387200003"/>
    <n v="92168.350336694421"/>
    <n v="5010.5739742082133"/>
    <n v="28638.747028449605"/>
  </r>
  <r>
    <s v="Regular"/>
    <x v="0"/>
    <x v="0"/>
    <x v="2"/>
    <x v="1"/>
    <x v="0"/>
    <x v="0"/>
    <x v="2"/>
    <x v="3"/>
    <n v="6866"/>
    <n v="6866"/>
    <n v="41.415999999999997"/>
    <n v="41.415999999999997"/>
    <n v="41.415999999999997"/>
    <n v="41.415999999999997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174407.38559999998"/>
    <n v="2589.5271167999995"/>
    <n v="13780.991769599999"/>
    <n v="258297.09935173221"/>
    <n v="3136.5123744114039"/>
    <n v="17927.244444398122"/>
  </r>
  <r>
    <s v="Refaturamento - Regular"/>
    <x v="0"/>
    <x v="0"/>
    <x v="2"/>
    <x v="1"/>
    <x v="0"/>
    <x v="0"/>
    <x v="2"/>
    <x v="3"/>
    <n v="-1"/>
    <n v="-1"/>
    <n v="-9.8640000000000008"/>
    <n v="-9.8640000000000008"/>
    <n v="-9.8640000000000008"/>
    <n v="-9.8640000000000008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-25.401599999999998"/>
    <n v="-616.74462719999997"/>
    <n v="-3282.2025984000006"/>
    <n v="-37.619734831303845"/>
    <n v="-747.01946255539156"/>
    <n v="-4269.7107204834629"/>
  </r>
  <r>
    <s v="Regular"/>
    <x v="0"/>
    <x v="0"/>
    <x v="2"/>
    <x v="1"/>
    <x v="0"/>
    <x v="0"/>
    <x v="2"/>
    <x v="4"/>
    <n v="10438"/>
    <n v="10438"/>
    <n v="285.35899999999998"/>
    <n v="285.35899999999998"/>
    <n v="285.35899999999998"/>
    <n v="285.35899999999998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265141.9008"/>
    <n v="17842.014403199995"/>
    <n v="94951.951670399998"/>
    <n v="392674.79216914956"/>
    <n v="21610.779279738843"/>
    <n v="123519.90890981756"/>
  </r>
  <r>
    <s v="Refaturamento - Regular"/>
    <x v="0"/>
    <x v="0"/>
    <x v="2"/>
    <x v="1"/>
    <x v="0"/>
    <x v="0"/>
    <x v="2"/>
    <x v="4"/>
    <n v="-5000"/>
    <n v="-5000"/>
    <n v="0"/>
    <n v="0"/>
    <n v="0"/>
    <n v="0"/>
    <n v="0"/>
    <x v="0"/>
    <n v="0"/>
    <n v="92"/>
    <n v="0"/>
    <n v="0"/>
    <n v="25.401599999999998"/>
    <n v="0"/>
    <n v="0"/>
    <n v="37.619734831303845"/>
    <n v="75.731900096856393"/>
    <n v="432.85794003279227"/>
    <n v="-127007.99999999999"/>
    <n v="0"/>
    <n v="0"/>
    <n v="-188098.67415651924"/>
    <n v="0"/>
    <n v="0"/>
  </r>
  <r>
    <s v="Regular"/>
    <x v="0"/>
    <x v="0"/>
    <x v="2"/>
    <x v="1"/>
    <x v="0"/>
    <x v="0"/>
    <x v="2"/>
    <x v="5"/>
    <n v="19181"/>
    <n v="19181"/>
    <n v="440.44600000000003"/>
    <n v="440.44600000000003"/>
    <n v="440.44600000000003"/>
    <n v="440.44600000000003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487228.08959999995"/>
    <n v="27538.7980608"/>
    <n v="146556.46853760001"/>
    <n v="721584.13379923906"/>
    <n v="33355.812470060009"/>
    <n v="190650.54825568324"/>
  </r>
  <r>
    <s v="Regular"/>
    <x v="0"/>
    <x v="0"/>
    <x v="2"/>
    <x v="1"/>
    <x v="0"/>
    <x v="0"/>
    <x v="2"/>
    <x v="6"/>
    <n v="17184"/>
    <n v="17184"/>
    <n v="393.58499999999998"/>
    <n v="393.58499999999998"/>
    <n v="393.58499999999998"/>
    <n v="393.58499999999998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436501.09439999994"/>
    <n v="24608.823407999997"/>
    <n v="130963.676976"/>
    <n v="646457.52334112523"/>
    <n v="29806.939899621222"/>
    <n v="170366.39232780653"/>
  </r>
  <r>
    <s v="Regular"/>
    <x v="0"/>
    <x v="0"/>
    <x v="2"/>
    <x v="1"/>
    <x v="0"/>
    <x v="0"/>
    <x v="2"/>
    <x v="7"/>
    <n v="13433"/>
    <n v="13433"/>
    <n v="339.88400000000001"/>
    <n v="339.88400000000001"/>
    <n v="339.88400000000001"/>
    <n v="339.88400000000001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341219.69279999996"/>
    <n v="21251.1791232"/>
    <n v="113094.90551040001"/>
    <n v="505345.89798890456"/>
    <n v="25740.061132519939"/>
    <n v="147121.48809010559"/>
  </r>
  <r>
    <s v="Regular"/>
    <x v="0"/>
    <x v="0"/>
    <x v="2"/>
    <x v="1"/>
    <x v="0"/>
    <x v="0"/>
    <x v="2"/>
    <x v="8"/>
    <n v="14199"/>
    <n v="14199"/>
    <n v="94.647000000000006"/>
    <n v="94.647000000000006"/>
    <n v="94.647000000000006"/>
    <n v="94.647000000000006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360677.31839999999"/>
    <n v="5917.7847456"/>
    <n v="31493.372803200004"/>
    <n v="534162.61486968328"/>
    <n v="7167.7971484671671"/>
    <n v="40968.705450283691"/>
  </r>
  <r>
    <s v="Regular"/>
    <x v="0"/>
    <x v="0"/>
    <x v="2"/>
    <x v="1"/>
    <x v="0"/>
    <x v="0"/>
    <x v="2"/>
    <x v="9"/>
    <n v="14550"/>
    <n v="14550"/>
    <n v="257.23599999999999"/>
    <n v="257.23599999999999"/>
    <n v="257.23599999999999"/>
    <n v="257.23599999999999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369593.27999999997"/>
    <n v="16083.629452799998"/>
    <n v="85594.147161600005"/>
    <n v="547367.14179547096"/>
    <n v="19480.971053314952"/>
    <n v="111346.64506227535"/>
  </r>
  <r>
    <s v="Regular"/>
    <x v="0"/>
    <x v="0"/>
    <x v="2"/>
    <x v="1"/>
    <x v="0"/>
    <x v="0"/>
    <x v="2"/>
    <x v="10"/>
    <n v="13990"/>
    <n v="13990"/>
    <n v="296.89499999999998"/>
    <n v="296.89499999999998"/>
    <n v="296.89499999999998"/>
    <n v="296.89499999999998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355368.38399999996"/>
    <n v="18563.300495999996"/>
    <n v="98790.504912000004"/>
    <n v="526300.09028994082"/>
    <n v="22484.422479256176"/>
    <n v="128513.35810603586"/>
  </r>
  <r>
    <s v="PROJETADO"/>
    <x v="0"/>
    <x v="0"/>
    <x v="2"/>
    <x v="1"/>
    <x v="0"/>
    <x v="0"/>
    <x v="2"/>
    <x v="11"/>
    <n v="13990"/>
    <n v="13990"/>
    <n v="296.89499999999998"/>
    <n v="296.89499999999998"/>
    <n v="296.89499999999998"/>
    <n v="296.89499999999998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355368.38399999996"/>
    <n v="18563.300495999996"/>
    <n v="98790.504912000004"/>
    <n v="526300.09028994082"/>
    <n v="22484.422479256176"/>
    <n v="128513.35810603586"/>
  </r>
  <r>
    <s v="Regular"/>
    <x v="0"/>
    <x v="0"/>
    <x v="2"/>
    <x v="0"/>
    <x v="0"/>
    <x v="0"/>
    <x v="0"/>
    <x v="0"/>
    <n v="144"/>
    <n v="144"/>
    <n v="8.6219999999999999"/>
    <n v="8.6219999999999999"/>
    <n v="8.6219999999999999"/>
    <n v="8.6219999999999999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2105.3951999999999"/>
    <n v="539.08882559999995"/>
    <n v="1820.7180863999999"/>
    <n v="3310.7566891965698"/>
    <n v="652.96044263509577"/>
    <n v="2394.6837774834507"/>
  </r>
  <r>
    <s v="Regular"/>
    <x v="0"/>
    <x v="0"/>
    <x v="2"/>
    <x v="0"/>
    <x v="0"/>
    <x v="0"/>
    <x v="0"/>
    <x v="1"/>
    <n v="45"/>
    <n v="45"/>
    <n v="8.0399999999999991"/>
    <n v="8.0399999999999991"/>
    <n v="8.0399999999999991"/>
    <n v="8.0399999999999991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657.93599999999992"/>
    <n v="502.69939199999988"/>
    <n v="1697.8164479999998"/>
    <n v="1034.611465373928"/>
    <n v="608.88447677872534"/>
    <n v="2233.0384563867947"/>
  </r>
  <r>
    <s v="Regular"/>
    <x v="0"/>
    <x v="0"/>
    <x v="2"/>
    <x v="0"/>
    <x v="0"/>
    <x v="0"/>
    <x v="0"/>
    <x v="2"/>
    <n v="45"/>
    <n v="45"/>
    <n v="8.1539999999999999"/>
    <n v="8.1539999999999999"/>
    <n v="8.1539999999999999"/>
    <n v="8.1539999999999999"/>
    <n v="0"/>
    <x v="0"/>
    <n v="0"/>
    <n v="93"/>
    <n v="94"/>
    <n v="48"/>
    <n v="14.620799999999999"/>
    <n v="62.524799999999992"/>
    <n v="211.1712"/>
    <n v="22.991365897198403"/>
    <n v="75.731900096856393"/>
    <n v="277.74110154064613"/>
    <n v="657.93599999999992"/>
    <n v="509.82721919999994"/>
    <n v="1721.8899647999999"/>
    <n v="1034.611465373928"/>
    <n v="617.51791338976705"/>
    <n v="2264.7009419624287"/>
  </r>
  <r>
    <s v="Regular"/>
    <x v="0"/>
    <x v="0"/>
    <x v="2"/>
    <x v="0"/>
    <x v="0"/>
    <x v="0"/>
    <x v="2"/>
    <x v="0"/>
    <n v="1022"/>
    <n v="1022"/>
    <n v="0.96599999999999997"/>
    <n v="0.96599999999999997"/>
    <n v="0.96599999999999997"/>
    <n v="0.96599999999999997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25960.4352"/>
    <n v="60.398956799999993"/>
    <n v="321.43224960000003"/>
    <n v="38447.36899759253"/>
    <n v="73.157015493563279"/>
    <n v="418.14077007167731"/>
  </r>
  <r>
    <s v="Regular"/>
    <x v="0"/>
    <x v="0"/>
    <x v="2"/>
    <x v="0"/>
    <x v="0"/>
    <x v="0"/>
    <x v="2"/>
    <x v="1"/>
    <n v="24"/>
    <n v="24"/>
    <n v="0.93600000000000005"/>
    <n v="0.93600000000000005"/>
    <n v="0.93600000000000005"/>
    <n v="0.93600000000000005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609.63839999999993"/>
    <n v="58.523212799999996"/>
    <n v="311.44988160000003"/>
    <n v="902.87363595129227"/>
    <n v="70.885058490657585"/>
    <n v="405.15503187069356"/>
  </r>
  <r>
    <s v="Regular"/>
    <x v="0"/>
    <x v="0"/>
    <x v="2"/>
    <x v="0"/>
    <x v="0"/>
    <x v="0"/>
    <x v="2"/>
    <x v="2"/>
    <n v="24"/>
    <n v="24"/>
    <n v="0.99"/>
    <n v="0.99"/>
    <n v="0.99"/>
    <n v="0.99"/>
    <n v="0"/>
    <x v="0"/>
    <n v="0"/>
    <n v="92"/>
    <n v="94"/>
    <n v="47"/>
    <n v="25.401599999999998"/>
    <n v="62.524799999999992"/>
    <n v="332.74560000000002"/>
    <n v="37.619734831303845"/>
    <n v="75.731900096856393"/>
    <n v="432.85794003279227"/>
    <n v="609.63839999999993"/>
    <n v="61.899551999999993"/>
    <n v="329.41814400000004"/>
    <n v="902.87363595129227"/>
    <n v="74.974581095887828"/>
    <n v="428.52936063246432"/>
  </r>
  <r>
    <s v="Regular"/>
    <x v="0"/>
    <x v="0"/>
    <x v="3"/>
    <x v="2"/>
    <x v="0"/>
    <x v="0"/>
    <x v="0"/>
    <x v="0"/>
    <n v="4600"/>
    <n v="4600"/>
    <n v="225.024"/>
    <n v="225.024"/>
    <n v="225.024"/>
    <n v="225.024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13776.464332799998"/>
    <n v="46528.617523199995"/>
    <n v="104681.09656459109"/>
    <n v="16867.602280380779"/>
    <n v="61860.674718459071"/>
  </r>
  <r>
    <s v="Regular"/>
    <x v="0"/>
    <x v="0"/>
    <x v="3"/>
    <x v="2"/>
    <x v="0"/>
    <x v="0"/>
    <x v="0"/>
    <x v="1"/>
    <n v="4600"/>
    <n v="4600"/>
    <n v="282.38400000000001"/>
    <n v="282.38400000000001"/>
    <n v="282.38400000000001"/>
    <n v="282.38400000000001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17288.169724799998"/>
    <n v="58389.047971200001"/>
    <n v="104681.09656459109"/>
    <n v="21167.257725145078"/>
    <n v="77629.340735643069"/>
  </r>
  <r>
    <s v="Regular"/>
    <x v="0"/>
    <x v="0"/>
    <x v="3"/>
    <x v="2"/>
    <x v="0"/>
    <x v="0"/>
    <x v="0"/>
    <x v="2"/>
    <n v="4600"/>
    <n v="4600"/>
    <n v="240.096"/>
    <n v="240.096"/>
    <n v="240.096"/>
    <n v="240.096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14699.205331199999"/>
    <n v="49645.082092799996"/>
    <n v="104681.09656459109"/>
    <n v="17997.386221515499"/>
    <n v="66004.073153099889"/>
  </r>
  <r>
    <s v="Regular"/>
    <x v="0"/>
    <x v="0"/>
    <x v="3"/>
    <x v="2"/>
    <x v="0"/>
    <x v="0"/>
    <x v="0"/>
    <x v="3"/>
    <n v="4600"/>
    <n v="4600"/>
    <n v="341.88"/>
    <n v="341.88"/>
    <n v="341.88"/>
    <n v="341.88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20930.645735999999"/>
    <n v="70691.142983999991"/>
    <n v="104681.09656459109"/>
    <n v="25627.025862203947"/>
    <n v="93985.20812334145"/>
  </r>
  <r>
    <s v="Regular"/>
    <x v="0"/>
    <x v="0"/>
    <x v="3"/>
    <x v="2"/>
    <x v="0"/>
    <x v="0"/>
    <x v="0"/>
    <x v="4"/>
    <n v="4600"/>
    <n v="4600"/>
    <n v="384.49200000000002"/>
    <n v="384.49200000000002"/>
    <n v="384.49200000000002"/>
    <n v="384.49200000000002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23539.446122399997"/>
    <n v="79502.102925600004"/>
    <n v="104681.09656459109"/>
    <n v="28821.184122529896"/>
    <n v="105699.545576693"/>
  </r>
  <r>
    <s v="Regular"/>
    <x v="0"/>
    <x v="0"/>
    <x v="3"/>
    <x v="2"/>
    <x v="0"/>
    <x v="0"/>
    <x v="0"/>
    <x v="5"/>
    <n v="4600"/>
    <n v="4600"/>
    <n v="380.964"/>
    <n v="380.964"/>
    <n v="380.964"/>
    <n v="380.964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23323.454200799999"/>
    <n v="78772.612015199993"/>
    <n v="104681.09656459109"/>
    <n v="28556.728327391669"/>
    <n v="104729.67365011305"/>
  </r>
  <r>
    <s v="Regular"/>
    <x v="0"/>
    <x v="0"/>
    <x v="3"/>
    <x v="2"/>
    <x v="0"/>
    <x v="0"/>
    <x v="0"/>
    <x v="6"/>
    <n v="4600"/>
    <n v="4600"/>
    <n v="427.84800000000001"/>
    <n v="427.84800000000001"/>
    <n v="427.84800000000001"/>
    <n v="427.84800000000001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26193.795825599998"/>
    <n v="88466.901086400001"/>
    <n v="104681.09656459109"/>
    <n v="32071.111972306757"/>
    <n v="117618.41384449338"/>
  </r>
  <r>
    <s v="Regular"/>
    <x v="0"/>
    <x v="0"/>
    <x v="3"/>
    <x v="2"/>
    <x v="0"/>
    <x v="0"/>
    <x v="0"/>
    <x v="7"/>
    <n v="4600"/>
    <n v="4600"/>
    <n v="392.08800000000002"/>
    <n v="392.08800000000002"/>
    <n v="392.08800000000002"/>
    <n v="392.08800000000002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24004.489953599998"/>
    <n v="81072.741518399998"/>
    <n v="104681.09656459109"/>
    <n v="29390.573640633618"/>
    <n v="107787.73921453347"/>
  </r>
  <r>
    <s v="Regular"/>
    <x v="0"/>
    <x v="0"/>
    <x v="3"/>
    <x v="2"/>
    <x v="0"/>
    <x v="0"/>
    <x v="0"/>
    <x v="8"/>
    <n v="4600"/>
    <n v="4600"/>
    <n v="325.572"/>
    <n v="325.572"/>
    <n v="325.572"/>
    <n v="325.572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19932.234098399997"/>
    <n v="67319.108469599989"/>
    <n v="104681.09656459109"/>
    <n v="24404.592441820121"/>
    <n v="89502.024625987251"/>
  </r>
  <r>
    <s v="Regular"/>
    <x v="0"/>
    <x v="0"/>
    <x v="3"/>
    <x v="2"/>
    <x v="0"/>
    <x v="0"/>
    <x v="0"/>
    <x v="9"/>
    <n v="4600"/>
    <n v="4600"/>
    <n v="324.096"/>
    <n v="324.096"/>
    <n v="324.096"/>
    <n v="324.096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19841.870131199998"/>
    <n v="67013.913292799989"/>
    <n v="104681.09656459109"/>
    <n v="24293.95277242556"/>
    <n v="89096.261881193612"/>
  </r>
  <r>
    <s v="Regular"/>
    <x v="0"/>
    <x v="0"/>
    <x v="3"/>
    <x v="2"/>
    <x v="0"/>
    <x v="0"/>
    <x v="0"/>
    <x v="10"/>
    <n v="4600"/>
    <n v="4600"/>
    <n v="407.02800000000002"/>
    <n v="407.02800000000002"/>
    <n v="407.02800000000002"/>
    <n v="407.02800000000002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24919.149621599998"/>
    <n v="84161.912210399998"/>
    <n v="104681.09656459109"/>
    <n v="30510.462977188337"/>
    <n v="111894.84992403015"/>
  </r>
  <r>
    <s v="PROJETADO"/>
    <x v="0"/>
    <x v="0"/>
    <x v="3"/>
    <x v="2"/>
    <x v="0"/>
    <x v="0"/>
    <x v="0"/>
    <x v="11"/>
    <n v="4600"/>
    <n v="4600"/>
    <n v="407.02800000000002"/>
    <n v="407.02800000000002"/>
    <n v="407.02800000000002"/>
    <n v="407.02800000000002"/>
    <n v="0"/>
    <x v="0"/>
    <n v="0"/>
    <n v="93"/>
    <n v="94"/>
    <n v="48"/>
    <n v="14.3162"/>
    <n v="61.222199999999994"/>
    <n v="206.77179999999998"/>
    <n v="22.756760122737195"/>
    <n v="74.959125606072149"/>
    <n v="274.90700866778241"/>
    <n v="65854.52"/>
    <n v="24919.149621599998"/>
    <n v="84161.912210399998"/>
    <n v="104681.09656459109"/>
    <n v="30510.462977188337"/>
    <n v="111894.84992403015"/>
  </r>
  <r>
    <s v="Regular"/>
    <x v="0"/>
    <x v="0"/>
    <x v="3"/>
    <x v="2"/>
    <x v="0"/>
    <x v="0"/>
    <x v="2"/>
    <x v="0"/>
    <n v="50"/>
    <n v="50"/>
    <n v="1.764"/>
    <n v="1.764"/>
    <n v="1.764"/>
    <n v="1.764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107.99596079999999"/>
    <n v="574.73483759999999"/>
    <n v="1861.7929993043231"/>
    <n v="132.22789756911126"/>
    <n v="755.76996329725534"/>
  </r>
  <r>
    <s v="Regular"/>
    <x v="0"/>
    <x v="0"/>
    <x v="3"/>
    <x v="2"/>
    <x v="0"/>
    <x v="0"/>
    <x v="2"/>
    <x v="1"/>
    <n v="50"/>
    <n v="50"/>
    <n v="1.776"/>
    <n v="1.776"/>
    <n v="1.776"/>
    <n v="1.776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108.73062719999999"/>
    <n v="578.64459840000006"/>
    <n v="1861.7929993043231"/>
    <n v="133.12740707638415"/>
    <n v="760.9112555645836"/>
  </r>
  <r>
    <s v="Regular"/>
    <x v="0"/>
    <x v="0"/>
    <x v="3"/>
    <x v="2"/>
    <x v="0"/>
    <x v="0"/>
    <x v="2"/>
    <x v="2"/>
    <n v="50"/>
    <n v="50"/>
    <n v="1.764"/>
    <n v="1.764"/>
    <n v="1.764"/>
    <n v="1.764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107.99596079999999"/>
    <n v="574.73483759999999"/>
    <n v="1861.7929993043231"/>
    <n v="132.22789756911126"/>
    <n v="755.76996329725534"/>
  </r>
  <r>
    <s v="Regular"/>
    <x v="0"/>
    <x v="0"/>
    <x v="3"/>
    <x v="2"/>
    <x v="0"/>
    <x v="0"/>
    <x v="2"/>
    <x v="3"/>
    <n v="50"/>
    <n v="50"/>
    <n v="1.776"/>
    <n v="1.776"/>
    <n v="1.776"/>
    <n v="1.776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108.73062719999999"/>
    <n v="578.64459840000006"/>
    <n v="1861.7929993043231"/>
    <n v="133.12740707638415"/>
    <n v="760.9112555645836"/>
  </r>
  <r>
    <s v="Regular"/>
    <x v="0"/>
    <x v="0"/>
    <x v="3"/>
    <x v="2"/>
    <x v="0"/>
    <x v="0"/>
    <x v="2"/>
    <x v="4"/>
    <n v="50"/>
    <n v="50"/>
    <n v="1.74"/>
    <n v="1.74"/>
    <n v="1.74"/>
    <n v="1.74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106.52662799999999"/>
    <n v="566.91531599999996"/>
    <n v="1861.7929993043231"/>
    <n v="130.42887855456553"/>
    <n v="745.48737876259872"/>
  </r>
  <r>
    <s v="Regular"/>
    <x v="0"/>
    <x v="0"/>
    <x v="3"/>
    <x v="2"/>
    <x v="0"/>
    <x v="0"/>
    <x v="2"/>
    <x v="5"/>
    <n v="50"/>
    <n v="50"/>
    <n v="1.272"/>
    <n v="1.272"/>
    <n v="1.272"/>
    <n v="1.272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77.874638399999995"/>
    <n v="414.4346448"/>
    <n v="1861.7929993043231"/>
    <n v="95.348007770923772"/>
    <n v="544.97698033679637"/>
  </r>
  <r>
    <s v="Regular"/>
    <x v="0"/>
    <x v="0"/>
    <x v="3"/>
    <x v="2"/>
    <x v="0"/>
    <x v="0"/>
    <x v="2"/>
    <x v="6"/>
    <n v="50"/>
    <n v="50"/>
    <n v="1.716"/>
    <n v="1.716"/>
    <n v="1.716"/>
    <n v="1.716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105.05729519999998"/>
    <n v="559.09579440000005"/>
    <n v="1861.7929993043231"/>
    <n v="128.62985954001979"/>
    <n v="735.20479422794222"/>
  </r>
  <r>
    <s v="Regular"/>
    <x v="0"/>
    <x v="0"/>
    <x v="3"/>
    <x v="2"/>
    <x v="0"/>
    <x v="0"/>
    <x v="2"/>
    <x v="7"/>
    <n v="50"/>
    <n v="50"/>
    <n v="1.8240000000000001"/>
    <n v="1.8240000000000001"/>
    <n v="1.8240000000000001"/>
    <n v="1.8240000000000001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111.66929279999999"/>
    <n v="594.28364160000001"/>
    <n v="1861.7929993043231"/>
    <n v="136.72544510547561"/>
    <n v="781.47642463389661"/>
  </r>
  <r>
    <s v="Regular"/>
    <x v="0"/>
    <x v="0"/>
    <x v="3"/>
    <x v="2"/>
    <x v="0"/>
    <x v="0"/>
    <x v="2"/>
    <x v="8"/>
    <n v="50"/>
    <n v="50"/>
    <n v="1.5960000000000001"/>
    <n v="1.5960000000000001"/>
    <n v="1.5960000000000001"/>
    <n v="1.5960000000000001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97.710631199999995"/>
    <n v="519.99818640000001"/>
    <n v="1861.7929993043231"/>
    <n v="119.63476446729116"/>
    <n v="683.79187155465956"/>
  </r>
  <r>
    <s v="Regular"/>
    <x v="0"/>
    <x v="0"/>
    <x v="3"/>
    <x v="2"/>
    <x v="0"/>
    <x v="0"/>
    <x v="2"/>
    <x v="9"/>
    <n v="50"/>
    <n v="50"/>
    <n v="1.6080000000000001"/>
    <n v="1.6080000000000001"/>
    <n v="1.6080000000000001"/>
    <n v="1.6080000000000001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98.445297599999989"/>
    <n v="523.90794720000008"/>
    <n v="1861.7929993043231"/>
    <n v="120.53427397456402"/>
    <n v="688.93316382198782"/>
  </r>
  <r>
    <s v="Regular"/>
    <x v="0"/>
    <x v="0"/>
    <x v="3"/>
    <x v="2"/>
    <x v="0"/>
    <x v="0"/>
    <x v="2"/>
    <x v="10"/>
    <n v="50"/>
    <n v="50"/>
    <n v="1.728"/>
    <n v="1.728"/>
    <n v="1.728"/>
    <n v="1.728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105.79196159999999"/>
    <n v="563.0055552"/>
    <n v="1861.7929993043231"/>
    <n v="129.52936904729268"/>
    <n v="740.34608649527047"/>
  </r>
  <r>
    <s v="PROJETADO"/>
    <x v="0"/>
    <x v="0"/>
    <x v="3"/>
    <x v="2"/>
    <x v="0"/>
    <x v="0"/>
    <x v="2"/>
    <x v="11"/>
    <n v="50"/>
    <n v="50"/>
    <n v="1.728"/>
    <n v="1.728"/>
    <n v="1.728"/>
    <n v="1.728"/>
    <n v="0"/>
    <x v="0"/>
    <n v="0"/>
    <n v="92"/>
    <n v="94"/>
    <n v="47"/>
    <n v="24.872399999999999"/>
    <n v="61.222199999999994"/>
    <n v="325.8134"/>
    <n v="37.23585998608646"/>
    <n v="74.959125606072149"/>
    <n v="428.44102227735561"/>
    <n v="1243.6199999999999"/>
    <n v="105.79196159999999"/>
    <n v="563.0055552"/>
    <n v="1861.7929993043231"/>
    <n v="129.52936904729268"/>
    <n v="740.34608649527047"/>
  </r>
  <r>
    <s v="Regular"/>
    <x v="0"/>
    <x v="1"/>
    <x v="4"/>
    <x v="0"/>
    <x v="0"/>
    <x v="1"/>
    <x v="0"/>
    <x v="0"/>
    <n v="3000"/>
    <n v="300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460"/>
    <n v="0"/>
    <n v="0"/>
    <n v="70305.355409286654"/>
    <n v="0"/>
    <n v="0"/>
  </r>
  <r>
    <s v="Regular"/>
    <x v="0"/>
    <x v="1"/>
    <x v="4"/>
    <x v="0"/>
    <x v="0"/>
    <x v="1"/>
    <x v="0"/>
    <x v="1"/>
    <n v="3000"/>
    <n v="300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460"/>
    <n v="0"/>
    <n v="0"/>
    <n v="70305.355409286654"/>
    <n v="0"/>
    <n v="0"/>
  </r>
  <r>
    <s v="Regular"/>
    <x v="0"/>
    <x v="1"/>
    <x v="4"/>
    <x v="0"/>
    <x v="0"/>
    <x v="1"/>
    <x v="0"/>
    <x v="2"/>
    <n v="3000"/>
    <n v="300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460"/>
    <n v="0"/>
    <n v="0"/>
    <n v="70305.355409286654"/>
    <n v="0"/>
    <n v="0"/>
  </r>
  <r>
    <s v="Regular"/>
    <x v="0"/>
    <x v="1"/>
    <x v="4"/>
    <x v="0"/>
    <x v="0"/>
    <x v="1"/>
    <x v="0"/>
    <x v="3"/>
    <n v="3010"/>
    <n v="301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628.200000000004"/>
    <n v="0"/>
    <n v="0"/>
    <n v="70539.706593984287"/>
    <n v="0"/>
    <n v="0"/>
  </r>
  <r>
    <s v="Regular"/>
    <x v="0"/>
    <x v="1"/>
    <x v="4"/>
    <x v="0"/>
    <x v="0"/>
    <x v="1"/>
    <x v="0"/>
    <x v="4"/>
    <n v="3010"/>
    <n v="301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628.200000000004"/>
    <n v="0"/>
    <n v="0"/>
    <n v="70539.706593984287"/>
    <n v="0"/>
    <n v="0"/>
  </r>
  <r>
    <s v="Regular"/>
    <x v="0"/>
    <x v="1"/>
    <x v="4"/>
    <x v="0"/>
    <x v="0"/>
    <x v="1"/>
    <x v="0"/>
    <x v="5"/>
    <n v="3010"/>
    <n v="301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628.200000000004"/>
    <n v="0"/>
    <n v="0"/>
    <n v="70539.706593984287"/>
    <n v="0"/>
    <n v="0"/>
  </r>
  <r>
    <s v="Regular"/>
    <x v="0"/>
    <x v="1"/>
    <x v="4"/>
    <x v="0"/>
    <x v="0"/>
    <x v="1"/>
    <x v="0"/>
    <x v="6"/>
    <n v="3010"/>
    <n v="301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628.200000000004"/>
    <n v="0"/>
    <n v="0"/>
    <n v="70539.706593984287"/>
    <n v="0"/>
    <n v="0"/>
  </r>
  <r>
    <s v="Regular"/>
    <x v="0"/>
    <x v="1"/>
    <x v="4"/>
    <x v="0"/>
    <x v="0"/>
    <x v="1"/>
    <x v="0"/>
    <x v="7"/>
    <n v="3010"/>
    <n v="301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628.200000000004"/>
    <n v="0"/>
    <n v="0"/>
    <n v="70539.706593984287"/>
    <n v="0"/>
    <n v="0"/>
  </r>
  <r>
    <s v="Regular"/>
    <x v="0"/>
    <x v="1"/>
    <x v="4"/>
    <x v="0"/>
    <x v="0"/>
    <x v="1"/>
    <x v="0"/>
    <x v="8"/>
    <n v="3010"/>
    <n v="301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628.200000000004"/>
    <n v="0"/>
    <n v="0"/>
    <n v="70539.706593984287"/>
    <n v="0"/>
    <n v="0"/>
  </r>
  <r>
    <s v="Regular"/>
    <x v="0"/>
    <x v="1"/>
    <x v="4"/>
    <x v="0"/>
    <x v="0"/>
    <x v="1"/>
    <x v="0"/>
    <x v="9"/>
    <n v="3010"/>
    <n v="301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628.200000000004"/>
    <n v="0"/>
    <n v="0"/>
    <n v="70539.706593984287"/>
    <n v="0"/>
    <n v="0"/>
  </r>
  <r>
    <s v="Regular"/>
    <x v="0"/>
    <x v="1"/>
    <x v="4"/>
    <x v="0"/>
    <x v="0"/>
    <x v="1"/>
    <x v="0"/>
    <x v="10"/>
    <n v="3010"/>
    <n v="301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628.200000000004"/>
    <n v="0"/>
    <n v="0"/>
    <n v="70539.706593984287"/>
    <n v="0"/>
    <n v="0"/>
  </r>
  <r>
    <s v="PROJETADO"/>
    <x v="0"/>
    <x v="1"/>
    <x v="4"/>
    <x v="0"/>
    <x v="0"/>
    <x v="1"/>
    <x v="0"/>
    <x v="11"/>
    <n v="3010"/>
    <n v="3010"/>
    <n v="0"/>
    <n v="0"/>
    <n v="0"/>
    <n v="0"/>
    <n v="0"/>
    <x v="3"/>
    <n v="43"/>
    <n v="97"/>
    <n v="0"/>
    <n v="0"/>
    <n v="16.82"/>
    <n v="0"/>
    <n v="0"/>
    <n v="23.435118469762219"/>
    <n v="8.0812089192940917"/>
    <m/>
    <n v="50628.200000000004"/>
    <n v="0"/>
    <n v="0"/>
    <n v="70539.706593984287"/>
    <n v="0"/>
    <n v="0"/>
  </r>
  <r>
    <s v="Regular"/>
    <x v="0"/>
    <x v="1"/>
    <x v="4"/>
    <x v="0"/>
    <x v="0"/>
    <x v="1"/>
    <x v="1"/>
    <x v="0"/>
    <n v="0"/>
    <n v="0"/>
    <n v="1196.905"/>
    <n v="1196.905"/>
    <n v="0"/>
    <n v="0"/>
    <n v="0"/>
    <x v="3"/>
    <n v="43"/>
    <n v="0"/>
    <n v="98"/>
    <n v="0"/>
    <n v="0"/>
    <n v="6.88"/>
    <n v="0"/>
    <n v="51.042763361367349"/>
    <n v="8.0812089192940917"/>
    <m/>
    <n v="0"/>
    <n v="8234.7063999999991"/>
    <n v="0"/>
    <n v="0"/>
    <n v="9672.4393615476947"/>
    <n v="0"/>
  </r>
  <r>
    <s v="Regular"/>
    <x v="0"/>
    <x v="1"/>
    <x v="4"/>
    <x v="0"/>
    <x v="0"/>
    <x v="1"/>
    <x v="1"/>
    <x v="1"/>
    <n v="0"/>
    <n v="0"/>
    <n v="1112.213"/>
    <n v="1112.213"/>
    <n v="0"/>
    <n v="0"/>
    <n v="0"/>
    <x v="3"/>
    <n v="43"/>
    <n v="0"/>
    <n v="98"/>
    <n v="0"/>
    <n v="0"/>
    <n v="6.88"/>
    <n v="0"/>
    <n v="51.042763361367349"/>
    <n v="8.0812089192940917"/>
    <m/>
    <n v="0"/>
    <n v="7652.0254399999994"/>
    <n v="0"/>
    <n v="0"/>
    <n v="8988.0256157548392"/>
    <n v="0"/>
  </r>
  <r>
    <s v="Regular"/>
    <x v="0"/>
    <x v="1"/>
    <x v="4"/>
    <x v="0"/>
    <x v="0"/>
    <x v="1"/>
    <x v="1"/>
    <x v="2"/>
    <n v="0"/>
    <n v="0"/>
    <n v="1154.4970000000001"/>
    <n v="1154.4970000000001"/>
    <n v="0"/>
    <n v="0"/>
    <n v="0"/>
    <x v="3"/>
    <n v="43"/>
    <n v="0"/>
    <n v="98"/>
    <n v="0"/>
    <n v="0"/>
    <n v="6.88"/>
    <n v="0"/>
    <n v="51.042763361367349"/>
    <n v="8.0812089192940917"/>
    <m/>
    <n v="0"/>
    <n v="7942.9393600000003"/>
    <n v="0"/>
    <n v="0"/>
    <n v="9329.7314536982722"/>
    <n v="0"/>
  </r>
  <r>
    <s v="Regular"/>
    <x v="0"/>
    <x v="1"/>
    <x v="4"/>
    <x v="0"/>
    <x v="0"/>
    <x v="1"/>
    <x v="1"/>
    <x v="3"/>
    <n v="0"/>
    <n v="0"/>
    <n v="1122.9670000000001"/>
    <n v="1122.9670000000001"/>
    <n v="0"/>
    <n v="0"/>
    <n v="0"/>
    <x v="3"/>
    <n v="43"/>
    <n v="0"/>
    <n v="98"/>
    <n v="0"/>
    <n v="0"/>
    <n v="6.88"/>
    <n v="0"/>
    <n v="51.042763361367349"/>
    <n v="8.0812089192940917"/>
    <m/>
    <n v="0"/>
    <n v="7726.0129600000009"/>
    <n v="0"/>
    <n v="0"/>
    <n v="9074.9309364729288"/>
    <n v="0"/>
  </r>
  <r>
    <s v="Regular"/>
    <x v="0"/>
    <x v="1"/>
    <x v="4"/>
    <x v="0"/>
    <x v="0"/>
    <x v="1"/>
    <x v="1"/>
    <x v="4"/>
    <n v="0"/>
    <n v="0"/>
    <n v="1176.069"/>
    <n v="1176.069"/>
    <n v="0"/>
    <n v="0"/>
    <n v="0"/>
    <x v="3"/>
    <n v="43"/>
    <n v="0"/>
    <n v="98"/>
    <n v="0"/>
    <n v="0"/>
    <n v="6.88"/>
    <n v="0"/>
    <n v="51.042763361367349"/>
    <n v="8.0812089192940917"/>
    <m/>
    <n v="0"/>
    <n v="8091.3547199999994"/>
    <n v="0"/>
    <n v="0"/>
    <n v="9504.0592925052824"/>
    <n v="0"/>
  </r>
  <r>
    <s v="Regular"/>
    <x v="0"/>
    <x v="1"/>
    <x v="4"/>
    <x v="0"/>
    <x v="0"/>
    <x v="1"/>
    <x v="1"/>
    <x v="5"/>
    <n v="0"/>
    <n v="0"/>
    <n v="1325.509"/>
    <n v="1325.509"/>
    <n v="0"/>
    <n v="0"/>
    <n v="0"/>
    <x v="3"/>
    <n v="43"/>
    <n v="0"/>
    <n v="98"/>
    <n v="0"/>
    <n v="0"/>
    <n v="6.88"/>
    <n v="0"/>
    <n v="51.042763361367349"/>
    <n v="8.0812089192940917"/>
    <m/>
    <n v="0"/>
    <n v="9119.5019200000006"/>
    <n v="0"/>
    <n v="0"/>
    <n v="10711.715153404592"/>
    <n v="0"/>
  </r>
  <r>
    <s v="Regular"/>
    <x v="0"/>
    <x v="1"/>
    <x v="4"/>
    <x v="0"/>
    <x v="0"/>
    <x v="1"/>
    <x v="1"/>
    <x v="6"/>
    <n v="0"/>
    <n v="0"/>
    <n v="1340.6969999999999"/>
    <n v="1340.6969999999999"/>
    <n v="0"/>
    <n v="0"/>
    <n v="0"/>
    <x v="3"/>
    <n v="43"/>
    <n v="0"/>
    <n v="98"/>
    <n v="0"/>
    <n v="0"/>
    <n v="6.88"/>
    <n v="0"/>
    <n v="51.042763361367349"/>
    <n v="8.0812089192940917"/>
    <m/>
    <n v="0"/>
    <n v="9223.995359999999"/>
    <n v="0"/>
    <n v="0"/>
    <n v="10834.45255447083"/>
    <n v="0"/>
  </r>
  <r>
    <s v="Regular"/>
    <x v="0"/>
    <x v="1"/>
    <x v="4"/>
    <x v="0"/>
    <x v="0"/>
    <x v="1"/>
    <x v="1"/>
    <x v="7"/>
    <n v="0"/>
    <n v="0"/>
    <n v="1372.6849999999999"/>
    <n v="1372.6849999999999"/>
    <n v="0"/>
    <n v="0"/>
    <n v="0"/>
    <x v="3"/>
    <n v="43"/>
    <n v="0"/>
    <n v="98"/>
    <n v="0"/>
    <n v="0"/>
    <n v="6.88"/>
    <n v="0"/>
    <n v="51.042763361367349"/>
    <n v="8.0812089192940917"/>
    <m/>
    <n v="0"/>
    <n v="9444.0727999999999"/>
    <n v="0"/>
    <n v="0"/>
    <n v="11092.95426538121"/>
    <n v="0"/>
  </r>
  <r>
    <s v="Regular"/>
    <x v="0"/>
    <x v="1"/>
    <x v="4"/>
    <x v="0"/>
    <x v="0"/>
    <x v="1"/>
    <x v="1"/>
    <x v="8"/>
    <n v="0"/>
    <n v="0"/>
    <n v="1312.577"/>
    <n v="1312.577"/>
    <n v="0"/>
    <n v="0"/>
    <n v="0"/>
    <x v="3"/>
    <n v="43"/>
    <n v="0"/>
    <n v="98"/>
    <n v="0"/>
    <n v="0"/>
    <n v="6.88"/>
    <n v="0"/>
    <n v="51.042763361367349"/>
    <n v="8.0812089192940917"/>
    <m/>
    <n v="0"/>
    <n v="9030.5297599999994"/>
    <n v="0"/>
    <n v="0"/>
    <n v="10607.208959660282"/>
    <n v="0"/>
  </r>
  <r>
    <s v="Regular"/>
    <x v="0"/>
    <x v="1"/>
    <x v="4"/>
    <x v="0"/>
    <x v="0"/>
    <x v="1"/>
    <x v="1"/>
    <x v="9"/>
    <n v="0"/>
    <n v="0"/>
    <n v="1157.5319999999999"/>
    <n v="1157.5319999999999"/>
    <n v="0"/>
    <n v="0"/>
    <n v="0"/>
    <x v="3"/>
    <n v="43"/>
    <n v="0"/>
    <n v="98"/>
    <n v="0"/>
    <n v="0"/>
    <n v="6.88"/>
    <n v="0"/>
    <n v="51.042763361367349"/>
    <n v="8.0812089192940917"/>
    <m/>
    <n v="0"/>
    <n v="7963.8201599999993"/>
    <n v="0"/>
    <n v="0"/>
    <n v="9354.2579227683273"/>
    <n v="0"/>
  </r>
  <r>
    <s v="Regular"/>
    <x v="0"/>
    <x v="1"/>
    <x v="4"/>
    <x v="0"/>
    <x v="0"/>
    <x v="1"/>
    <x v="1"/>
    <x v="10"/>
    <n v="0"/>
    <n v="0"/>
    <n v="1298.71"/>
    <n v="1298.71"/>
    <n v="0"/>
    <n v="0"/>
    <n v="0"/>
    <x v="3"/>
    <n v="43"/>
    <n v="0"/>
    <n v="98"/>
    <n v="0"/>
    <n v="0"/>
    <n v="6.88"/>
    <n v="0"/>
    <n v="51.042763361367349"/>
    <n v="8.0812089192940917"/>
    <m/>
    <n v="0"/>
    <n v="8935.1247999999996"/>
    <n v="0"/>
    <n v="0"/>
    <n v="10495.14683557643"/>
    <n v="0"/>
  </r>
  <r>
    <s v="PROJETADO"/>
    <x v="0"/>
    <x v="1"/>
    <x v="4"/>
    <x v="0"/>
    <x v="0"/>
    <x v="1"/>
    <x v="1"/>
    <x v="11"/>
    <n v="0"/>
    <n v="0"/>
    <n v="1298.71"/>
    <n v="1298.71"/>
    <n v="0"/>
    <n v="0"/>
    <n v="0"/>
    <x v="3"/>
    <n v="43"/>
    <n v="0"/>
    <n v="98"/>
    <n v="0"/>
    <n v="0"/>
    <n v="6.88"/>
    <n v="0"/>
    <n v="51.042763361367349"/>
    <n v="8.0812089192940917"/>
    <m/>
    <n v="0"/>
    <n v="8935.1247999999996"/>
    <n v="0"/>
    <n v="0"/>
    <n v="10495.14683557643"/>
    <n v="0"/>
  </r>
  <r>
    <s v="Regular"/>
    <x v="0"/>
    <x v="1"/>
    <x v="4"/>
    <x v="0"/>
    <x v="0"/>
    <x v="1"/>
    <x v="2"/>
    <x v="0"/>
    <n v="3000"/>
    <n v="300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6790"/>
    <n v="0"/>
    <n v="0"/>
    <n v="115031.85371502138"/>
    <n v="0"/>
    <n v="0"/>
  </r>
  <r>
    <s v="Regular"/>
    <x v="0"/>
    <x v="1"/>
    <x v="4"/>
    <x v="0"/>
    <x v="0"/>
    <x v="1"/>
    <x v="2"/>
    <x v="1"/>
    <n v="3000"/>
    <n v="300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6790"/>
    <n v="0"/>
    <n v="0"/>
    <n v="115031.85371502138"/>
    <n v="0"/>
    <n v="0"/>
  </r>
  <r>
    <s v="Regular"/>
    <x v="0"/>
    <x v="1"/>
    <x v="4"/>
    <x v="0"/>
    <x v="0"/>
    <x v="1"/>
    <x v="2"/>
    <x v="2"/>
    <n v="3000"/>
    <n v="300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6790"/>
    <n v="0"/>
    <n v="0"/>
    <n v="115031.85371502138"/>
    <n v="0"/>
    <n v="0"/>
  </r>
  <r>
    <s v="Regular"/>
    <x v="0"/>
    <x v="1"/>
    <x v="4"/>
    <x v="0"/>
    <x v="0"/>
    <x v="1"/>
    <x v="2"/>
    <x v="3"/>
    <n v="3010"/>
    <n v="301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7079.3"/>
    <n v="0"/>
    <n v="0"/>
    <n v="115415.29322740478"/>
    <n v="0"/>
    <n v="0"/>
  </r>
  <r>
    <s v="Regular"/>
    <x v="0"/>
    <x v="1"/>
    <x v="4"/>
    <x v="0"/>
    <x v="0"/>
    <x v="1"/>
    <x v="2"/>
    <x v="4"/>
    <n v="3010"/>
    <n v="301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7079.3"/>
    <n v="0"/>
    <n v="0"/>
    <n v="115415.29322740478"/>
    <n v="0"/>
    <n v="0"/>
  </r>
  <r>
    <s v="Regular"/>
    <x v="0"/>
    <x v="1"/>
    <x v="4"/>
    <x v="0"/>
    <x v="0"/>
    <x v="1"/>
    <x v="2"/>
    <x v="5"/>
    <n v="3010"/>
    <n v="301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7079.3"/>
    <n v="0"/>
    <n v="0"/>
    <n v="115415.29322740478"/>
    <n v="0"/>
    <n v="0"/>
  </r>
  <r>
    <s v="Regular"/>
    <x v="0"/>
    <x v="1"/>
    <x v="4"/>
    <x v="0"/>
    <x v="0"/>
    <x v="1"/>
    <x v="2"/>
    <x v="6"/>
    <n v="3010"/>
    <n v="301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7079.3"/>
    <n v="0"/>
    <n v="0"/>
    <n v="115415.29322740478"/>
    <n v="0"/>
    <n v="0"/>
  </r>
  <r>
    <s v="Regular"/>
    <x v="0"/>
    <x v="1"/>
    <x v="4"/>
    <x v="0"/>
    <x v="0"/>
    <x v="1"/>
    <x v="2"/>
    <x v="7"/>
    <n v="3010"/>
    <n v="301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7079.3"/>
    <n v="0"/>
    <n v="0"/>
    <n v="115415.29322740478"/>
    <n v="0"/>
    <n v="0"/>
  </r>
  <r>
    <s v="Regular"/>
    <x v="0"/>
    <x v="1"/>
    <x v="4"/>
    <x v="0"/>
    <x v="0"/>
    <x v="1"/>
    <x v="2"/>
    <x v="8"/>
    <n v="3010"/>
    <n v="301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7079.3"/>
    <n v="0"/>
    <n v="0"/>
    <n v="115415.29322740478"/>
    <n v="0"/>
    <n v="0"/>
  </r>
  <r>
    <s v="Regular"/>
    <x v="0"/>
    <x v="1"/>
    <x v="4"/>
    <x v="0"/>
    <x v="0"/>
    <x v="1"/>
    <x v="2"/>
    <x v="9"/>
    <n v="3010"/>
    <n v="301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7079.3"/>
    <n v="0"/>
    <n v="0"/>
    <n v="115415.29322740478"/>
    <n v="0"/>
    <n v="0"/>
  </r>
  <r>
    <s v="Regular"/>
    <x v="0"/>
    <x v="1"/>
    <x v="4"/>
    <x v="0"/>
    <x v="0"/>
    <x v="1"/>
    <x v="2"/>
    <x v="10"/>
    <n v="3010"/>
    <n v="301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7079.3"/>
    <n v="0"/>
    <n v="0"/>
    <n v="115415.29322740478"/>
    <n v="0"/>
    <n v="0"/>
  </r>
  <r>
    <s v="PROJETADO"/>
    <x v="0"/>
    <x v="1"/>
    <x v="4"/>
    <x v="0"/>
    <x v="0"/>
    <x v="1"/>
    <x v="2"/>
    <x v="11"/>
    <n v="3010"/>
    <n v="3010"/>
    <n v="0"/>
    <n v="0"/>
    <n v="0"/>
    <n v="0"/>
    <n v="0"/>
    <x v="3"/>
    <n v="43"/>
    <n v="96"/>
    <n v="0"/>
    <n v="0"/>
    <n v="28.93"/>
    <n v="0"/>
    <n v="0"/>
    <n v="38.343951238340459"/>
    <n v="8.0812089192940917"/>
    <m/>
    <n v="87079.3"/>
    <n v="0"/>
    <n v="0"/>
    <n v="115415.29322740478"/>
    <n v="0"/>
    <n v="0"/>
  </r>
  <r>
    <s v="Regular"/>
    <x v="0"/>
    <x v="2"/>
    <x v="4"/>
    <x v="0"/>
    <x v="4"/>
    <x v="2"/>
    <x v="1"/>
    <x v="0"/>
    <n v="2305"/>
    <n v="1152.5"/>
    <n v="0"/>
    <n v="0"/>
    <n v="0"/>
    <n v="0"/>
    <n v="0"/>
    <x v="4"/>
    <n v="28542"/>
    <n v="90"/>
    <n v="0"/>
    <n v="0"/>
    <n v="13.97"/>
    <n v="0"/>
    <n v="0"/>
    <n v="17.300394083618318"/>
    <m/>
    <m/>
    <n v="16100.425000000001"/>
    <n v="0"/>
    <n v="0"/>
    <n v="19938.704181370111"/>
    <n v="0"/>
    <n v="0"/>
  </r>
  <r>
    <s v="Regular"/>
    <x v="0"/>
    <x v="2"/>
    <x v="4"/>
    <x v="0"/>
    <x v="4"/>
    <x v="3"/>
    <x v="1"/>
    <x v="0"/>
    <n v="14270"/>
    <n v="7580.9375"/>
    <n v="0"/>
    <n v="0"/>
    <n v="0"/>
    <n v="0"/>
    <n v="0"/>
    <x v="4"/>
    <n v="29161"/>
    <n v="90"/>
    <n v="0"/>
    <n v="0"/>
    <n v="13.97"/>
    <n v="0"/>
    <n v="0"/>
    <n v="17.300394083618318"/>
    <m/>
    <m/>
    <n v="105905.69687500001"/>
    <n v="0"/>
    <n v="0"/>
    <n v="131153.20627328026"/>
    <n v="0"/>
    <n v="0"/>
  </r>
  <r>
    <s v="Regular"/>
    <x v="0"/>
    <x v="2"/>
    <x v="4"/>
    <x v="0"/>
    <x v="4"/>
    <x v="4"/>
    <x v="1"/>
    <x v="0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0"/>
    <n v="16500"/>
    <n v="8250"/>
    <n v="0"/>
    <n v="0"/>
    <n v="0"/>
    <n v="0"/>
    <n v="0"/>
    <x v="4"/>
    <n v="31371"/>
    <n v="90"/>
    <n v="0"/>
    <n v="0"/>
    <n v="13.97"/>
    <n v="0"/>
    <n v="0"/>
    <n v="17.300394083618318"/>
    <m/>
    <m/>
    <n v="115252.5"/>
    <n v="0"/>
    <n v="0"/>
    <n v="142728.25118985111"/>
    <n v="0"/>
    <n v="0"/>
  </r>
  <r>
    <s v="Regular"/>
    <x v="0"/>
    <x v="2"/>
    <x v="4"/>
    <x v="0"/>
    <x v="4"/>
    <x v="2"/>
    <x v="1"/>
    <x v="1"/>
    <n v="2317"/>
    <n v="1158.5"/>
    <n v="0"/>
    <n v="0"/>
    <n v="0"/>
    <n v="0"/>
    <n v="0"/>
    <x v="4"/>
    <n v="28542"/>
    <n v="90"/>
    <n v="0"/>
    <n v="0"/>
    <n v="13.97"/>
    <n v="0"/>
    <n v="0"/>
    <n v="17.300394083618318"/>
    <m/>
    <m/>
    <n v="16184.245000000001"/>
    <n v="0"/>
    <n v="0"/>
    <n v="20042.50654587182"/>
    <n v="0"/>
    <n v="0"/>
  </r>
  <r>
    <s v="Regular"/>
    <x v="0"/>
    <x v="2"/>
    <x v="4"/>
    <x v="0"/>
    <x v="4"/>
    <x v="3"/>
    <x v="1"/>
    <x v="1"/>
    <n v="14250"/>
    <n v="7570.3125"/>
    <n v="0"/>
    <n v="0"/>
    <n v="0"/>
    <n v="0"/>
    <n v="0"/>
    <x v="4"/>
    <n v="29161"/>
    <n v="90"/>
    <n v="0"/>
    <n v="0"/>
    <n v="13.97"/>
    <n v="0"/>
    <n v="0"/>
    <n v="17.300394083618318"/>
    <m/>
    <m/>
    <n v="105757.265625"/>
    <n v="0"/>
    <n v="0"/>
    <n v="130969.3895861418"/>
    <n v="0"/>
    <n v="0"/>
  </r>
  <r>
    <s v="Regular"/>
    <x v="0"/>
    <x v="2"/>
    <x v="4"/>
    <x v="0"/>
    <x v="4"/>
    <x v="4"/>
    <x v="1"/>
    <x v="1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1"/>
    <n v="16500"/>
    <n v="8250"/>
    <n v="0"/>
    <n v="0"/>
    <n v="0"/>
    <n v="0"/>
    <n v="0"/>
    <x v="4"/>
    <n v="31371"/>
    <n v="90"/>
    <n v="0"/>
    <n v="0"/>
    <n v="13.97"/>
    <n v="0"/>
    <n v="0"/>
    <n v="17.300394083618318"/>
    <m/>
    <m/>
    <n v="115252.5"/>
    <n v="0"/>
    <n v="0"/>
    <n v="142728.25118985111"/>
    <n v="0"/>
    <n v="0"/>
  </r>
  <r>
    <s v="Regular"/>
    <x v="0"/>
    <x v="2"/>
    <x v="4"/>
    <x v="0"/>
    <x v="4"/>
    <x v="2"/>
    <x v="1"/>
    <x v="2"/>
    <n v="2342"/>
    <n v="1171"/>
    <n v="0"/>
    <n v="0"/>
    <n v="0"/>
    <n v="0"/>
    <n v="0"/>
    <x v="4"/>
    <n v="28542"/>
    <n v="90"/>
    <n v="0"/>
    <n v="0"/>
    <n v="13.97"/>
    <n v="0"/>
    <n v="0"/>
    <n v="17.300394083618318"/>
    <m/>
    <m/>
    <n v="16358.87"/>
    <n v="0"/>
    <n v="0"/>
    <n v="20258.761471917052"/>
    <n v="0"/>
    <n v="0"/>
  </r>
  <r>
    <s v="Regular"/>
    <x v="0"/>
    <x v="2"/>
    <x v="4"/>
    <x v="0"/>
    <x v="4"/>
    <x v="3"/>
    <x v="1"/>
    <x v="2"/>
    <n v="15428"/>
    <n v="8196.125"/>
    <n v="0"/>
    <n v="0"/>
    <n v="0"/>
    <n v="0"/>
    <n v="0"/>
    <x v="4"/>
    <n v="29161"/>
    <n v="90"/>
    <n v="0"/>
    <n v="0"/>
    <n v="13.97"/>
    <n v="0"/>
    <n v="0"/>
    <n v="17.300394083618318"/>
    <m/>
    <m/>
    <n v="114499.86625000001"/>
    <n v="0"/>
    <n v="0"/>
    <n v="141796.1924585962"/>
    <n v="0"/>
    <n v="0"/>
  </r>
  <r>
    <s v="Regular"/>
    <x v="0"/>
    <x v="2"/>
    <x v="4"/>
    <x v="0"/>
    <x v="4"/>
    <x v="4"/>
    <x v="1"/>
    <x v="2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2"/>
    <n v="16500"/>
    <n v="8250"/>
    <n v="0"/>
    <n v="0"/>
    <n v="0"/>
    <n v="0"/>
    <n v="0"/>
    <x v="4"/>
    <n v="31371"/>
    <n v="90"/>
    <n v="0"/>
    <n v="0"/>
    <n v="13.97"/>
    <n v="0"/>
    <n v="0"/>
    <n v="17.300394083618318"/>
    <m/>
    <m/>
    <n v="115252.5"/>
    <n v="0"/>
    <n v="0"/>
    <n v="142728.25118985111"/>
    <n v="0"/>
    <n v="0"/>
  </r>
  <r>
    <s v="Regular"/>
    <x v="0"/>
    <x v="2"/>
    <x v="4"/>
    <x v="0"/>
    <x v="4"/>
    <x v="2"/>
    <x v="1"/>
    <x v="3"/>
    <n v="1533"/>
    <n v="766.5"/>
    <n v="0"/>
    <n v="0"/>
    <n v="0"/>
    <n v="0"/>
    <n v="0"/>
    <x v="4"/>
    <n v="28542"/>
    <n v="90"/>
    <n v="0"/>
    <n v="0"/>
    <n v="13.97"/>
    <n v="0"/>
    <n v="0"/>
    <n v="17.300394083618318"/>
    <m/>
    <m/>
    <n v="10708.005000000001"/>
    <n v="0"/>
    <n v="0"/>
    <n v="13260.75206509344"/>
    <n v="0"/>
    <n v="0"/>
  </r>
  <r>
    <s v="Regular"/>
    <x v="0"/>
    <x v="2"/>
    <x v="4"/>
    <x v="0"/>
    <x v="4"/>
    <x v="3"/>
    <x v="1"/>
    <x v="3"/>
    <n v="14393"/>
    <n v="7646.28125"/>
    <n v="0"/>
    <n v="0"/>
    <n v="0"/>
    <n v="0"/>
    <n v="0"/>
    <x v="4"/>
    <n v="29161"/>
    <n v="90"/>
    <n v="0"/>
    <n v="0"/>
    <n v="13.97"/>
    <n v="0"/>
    <n v="0"/>
    <n v="17.300394083618318"/>
    <m/>
    <m/>
    <n v="106818.54906250001"/>
    <n v="0"/>
    <n v="0"/>
    <n v="132283.67889918169"/>
    <n v="0"/>
    <n v="0"/>
  </r>
  <r>
    <s v="Regular"/>
    <x v="0"/>
    <x v="2"/>
    <x v="4"/>
    <x v="0"/>
    <x v="4"/>
    <x v="4"/>
    <x v="1"/>
    <x v="3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3"/>
    <n v="16500"/>
    <n v="8250"/>
    <n v="0"/>
    <n v="0"/>
    <n v="0"/>
    <n v="0"/>
    <n v="0"/>
    <x v="4"/>
    <n v="31371"/>
    <n v="90"/>
    <n v="0"/>
    <n v="0"/>
    <n v="13.97"/>
    <n v="0"/>
    <n v="0"/>
    <n v="17.300394083618318"/>
    <m/>
    <m/>
    <n v="115252.5"/>
    <n v="0"/>
    <n v="0"/>
    <n v="142728.25118985111"/>
    <n v="0"/>
    <n v="0"/>
  </r>
  <r>
    <s v="Regular"/>
    <x v="0"/>
    <x v="2"/>
    <x v="4"/>
    <x v="0"/>
    <x v="4"/>
    <x v="2"/>
    <x v="1"/>
    <x v="4"/>
    <n v="1066"/>
    <n v="533"/>
    <n v="0"/>
    <n v="0"/>
    <n v="0"/>
    <n v="0"/>
    <n v="0"/>
    <x v="4"/>
    <n v="28542"/>
    <n v="90"/>
    <n v="0"/>
    <n v="0"/>
    <n v="13.97"/>
    <n v="0"/>
    <n v="0"/>
    <n v="17.300394083618318"/>
    <m/>
    <m/>
    <n v="7446.01"/>
    <n v="0"/>
    <n v="0"/>
    <n v="9221.1100465685631"/>
    <n v="0"/>
    <n v="0"/>
  </r>
  <r>
    <s v="Regular"/>
    <x v="0"/>
    <x v="2"/>
    <x v="4"/>
    <x v="0"/>
    <x v="4"/>
    <x v="3"/>
    <x v="1"/>
    <x v="4"/>
    <n v="12295"/>
    <n v="6531.71875"/>
    <n v="0"/>
    <n v="0"/>
    <n v="0"/>
    <n v="0"/>
    <n v="0"/>
    <x v="4"/>
    <n v="29161"/>
    <n v="90"/>
    <n v="0"/>
    <n v="0"/>
    <n v="13.97"/>
    <n v="0"/>
    <n v="0"/>
    <n v="17.300394083618318"/>
    <m/>
    <m/>
    <n v="91248.110937500009"/>
    <n v="0"/>
    <n v="0"/>
    <n v="113001.30841835884"/>
    <n v="0"/>
    <n v="0"/>
  </r>
  <r>
    <s v="Regular"/>
    <x v="0"/>
    <x v="2"/>
    <x v="4"/>
    <x v="0"/>
    <x v="4"/>
    <x v="4"/>
    <x v="1"/>
    <x v="4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4"/>
    <n v="16500"/>
    <n v="8250"/>
    <n v="0"/>
    <n v="0"/>
    <n v="0"/>
    <n v="0"/>
    <n v="0"/>
    <x v="4"/>
    <n v="31371"/>
    <n v="90"/>
    <n v="0"/>
    <n v="0"/>
    <n v="13.97"/>
    <n v="0"/>
    <n v="0"/>
    <n v="17.300394083618318"/>
    <m/>
    <m/>
    <n v="115252.5"/>
    <n v="0"/>
    <n v="0"/>
    <n v="142728.25118985111"/>
    <n v="0"/>
    <n v="0"/>
  </r>
  <r>
    <s v="Regular"/>
    <x v="0"/>
    <x v="2"/>
    <x v="4"/>
    <x v="0"/>
    <x v="4"/>
    <x v="2"/>
    <x v="1"/>
    <x v="5"/>
    <n v="1994"/>
    <n v="997"/>
    <n v="0"/>
    <n v="0"/>
    <n v="0"/>
    <n v="0"/>
    <n v="0"/>
    <x v="4"/>
    <n v="28542"/>
    <n v="90"/>
    <n v="0"/>
    <n v="0"/>
    <n v="13.97"/>
    <n v="0"/>
    <n v="0"/>
    <n v="17.300394083618318"/>
    <m/>
    <m/>
    <n v="13928.09"/>
    <n v="0"/>
    <n v="0"/>
    <n v="17248.492901367463"/>
    <n v="0"/>
    <n v="0"/>
  </r>
  <r>
    <s v="Regular"/>
    <x v="0"/>
    <x v="2"/>
    <x v="4"/>
    <x v="0"/>
    <x v="4"/>
    <x v="3"/>
    <x v="1"/>
    <x v="5"/>
    <n v="11378"/>
    <n v="6044.5625"/>
    <n v="0"/>
    <n v="0"/>
    <n v="0"/>
    <n v="0"/>
    <n v="0"/>
    <x v="4"/>
    <n v="29161"/>
    <n v="90"/>
    <n v="0"/>
    <n v="0"/>
    <n v="13.97"/>
    <n v="0"/>
    <n v="0"/>
    <n v="17.300394083618318"/>
    <m/>
    <m/>
    <n v="84442.538125000006"/>
    <n v="0"/>
    <n v="0"/>
    <n v="104573.31331306115"/>
    <n v="0"/>
    <n v="0"/>
  </r>
  <r>
    <s v="Regular"/>
    <x v="0"/>
    <x v="2"/>
    <x v="4"/>
    <x v="0"/>
    <x v="4"/>
    <x v="4"/>
    <x v="1"/>
    <x v="5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5"/>
    <n v="20888"/>
    <n v="10444"/>
    <n v="0"/>
    <n v="0"/>
    <n v="0"/>
    <n v="0"/>
    <n v="0"/>
    <x v="4"/>
    <n v="31371"/>
    <n v="90"/>
    <n v="0"/>
    <n v="0"/>
    <n v="13.97"/>
    <n v="0"/>
    <n v="0"/>
    <n v="17.300394083618318"/>
    <m/>
    <m/>
    <n v="145902.68"/>
    <n v="0"/>
    <n v="0"/>
    <n v="180685.31580930972"/>
    <n v="0"/>
    <n v="0"/>
  </r>
  <r>
    <s v="Regular"/>
    <x v="0"/>
    <x v="2"/>
    <x v="4"/>
    <x v="0"/>
    <x v="4"/>
    <x v="2"/>
    <x v="1"/>
    <x v="6"/>
    <n v="2636"/>
    <n v="1318"/>
    <n v="0"/>
    <n v="0"/>
    <n v="0"/>
    <n v="0"/>
    <n v="0"/>
    <x v="4"/>
    <n v="28542"/>
    <n v="90"/>
    <n v="0"/>
    <n v="0"/>
    <n v="13.97"/>
    <n v="0"/>
    <n v="0"/>
    <n v="17.300394083618318"/>
    <m/>
    <m/>
    <n v="18412.46"/>
    <n v="0"/>
    <n v="0"/>
    <n v="22801.919402208943"/>
    <n v="0"/>
    <n v="0"/>
  </r>
  <r>
    <s v="Regular"/>
    <x v="0"/>
    <x v="2"/>
    <x v="4"/>
    <x v="0"/>
    <x v="4"/>
    <x v="3"/>
    <x v="1"/>
    <x v="6"/>
    <n v="12479"/>
    <n v="6629.46875"/>
    <n v="0"/>
    <n v="0"/>
    <n v="0"/>
    <n v="0"/>
    <n v="0"/>
    <x v="4"/>
    <n v="29161"/>
    <n v="90"/>
    <n v="0"/>
    <n v="0"/>
    <n v="13.97"/>
    <n v="0"/>
    <n v="0"/>
    <n v="17.300394083618318"/>
    <m/>
    <m/>
    <n v="92613.678437499999"/>
    <n v="0"/>
    <n v="0"/>
    <n v="114692.42194003252"/>
    <n v="0"/>
    <n v="0"/>
  </r>
  <r>
    <s v="Regular"/>
    <x v="0"/>
    <x v="2"/>
    <x v="4"/>
    <x v="0"/>
    <x v="4"/>
    <x v="4"/>
    <x v="1"/>
    <x v="6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6"/>
    <n v="20751"/>
    <n v="10375.5"/>
    <n v="0"/>
    <n v="0"/>
    <n v="0"/>
    <n v="0"/>
    <n v="0"/>
    <x v="4"/>
    <n v="31371"/>
    <n v="90"/>
    <n v="0"/>
    <n v="0"/>
    <n v="13.97"/>
    <n v="0"/>
    <n v="0"/>
    <n v="17.300394083618318"/>
    <m/>
    <m/>
    <n v="144945.73500000002"/>
    <n v="0"/>
    <n v="0"/>
    <n v="179500.23881458185"/>
    <n v="0"/>
    <n v="0"/>
  </r>
  <r>
    <s v="Regular"/>
    <x v="0"/>
    <x v="2"/>
    <x v="4"/>
    <x v="0"/>
    <x v="4"/>
    <x v="2"/>
    <x v="1"/>
    <x v="7"/>
    <n v="1869"/>
    <n v="934.5"/>
    <n v="0"/>
    <n v="0"/>
    <n v="0"/>
    <n v="0"/>
    <n v="0"/>
    <x v="4"/>
    <n v="28542"/>
    <n v="90"/>
    <n v="0"/>
    <n v="0"/>
    <n v="13.97"/>
    <n v="0"/>
    <n v="0"/>
    <n v="17.300394083618318"/>
    <m/>
    <m/>
    <n v="13054.965"/>
    <n v="0"/>
    <n v="0"/>
    <n v="16167.218271141319"/>
    <n v="0"/>
    <n v="0"/>
  </r>
  <r>
    <s v="Regular"/>
    <x v="0"/>
    <x v="2"/>
    <x v="4"/>
    <x v="0"/>
    <x v="4"/>
    <x v="3"/>
    <x v="1"/>
    <x v="7"/>
    <n v="13259"/>
    <n v="7043.84375"/>
    <n v="0"/>
    <n v="0"/>
    <n v="0"/>
    <n v="0"/>
    <n v="0"/>
    <x v="4"/>
    <n v="29161"/>
    <n v="90"/>
    <n v="0"/>
    <n v="0"/>
    <n v="13.97"/>
    <n v="0"/>
    <n v="0"/>
    <n v="17.300394083618318"/>
    <m/>
    <m/>
    <n v="98402.497187500005"/>
    <n v="0"/>
    <n v="0"/>
    <n v="121861.27273843187"/>
    <n v="0"/>
    <n v="0"/>
  </r>
  <r>
    <s v="Regular"/>
    <x v="0"/>
    <x v="2"/>
    <x v="4"/>
    <x v="0"/>
    <x v="4"/>
    <x v="4"/>
    <x v="1"/>
    <x v="7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7"/>
    <n v="21732"/>
    <n v="10866"/>
    <n v="0"/>
    <n v="0"/>
    <n v="0"/>
    <n v="0"/>
    <n v="0"/>
    <x v="4"/>
    <n v="31371"/>
    <n v="90"/>
    <n v="0"/>
    <n v="0"/>
    <n v="13.97"/>
    <n v="0"/>
    <n v="0"/>
    <n v="17.300394083618318"/>
    <m/>
    <m/>
    <n v="151798.02000000002"/>
    <n v="0"/>
    <n v="0"/>
    <n v="187986.08211259666"/>
    <n v="0"/>
    <n v="0"/>
  </r>
  <r>
    <s v="Regular"/>
    <x v="0"/>
    <x v="2"/>
    <x v="4"/>
    <x v="0"/>
    <x v="4"/>
    <x v="2"/>
    <x v="1"/>
    <x v="8"/>
    <n v="2327"/>
    <n v="1163.5"/>
    <n v="0"/>
    <n v="0"/>
    <n v="0"/>
    <n v="0"/>
    <n v="0"/>
    <x v="4"/>
    <n v="28542"/>
    <n v="90"/>
    <n v="0"/>
    <n v="0"/>
    <n v="13.97"/>
    <n v="0"/>
    <n v="0"/>
    <n v="17.300394083618318"/>
    <m/>
    <m/>
    <n v="16254.095000000001"/>
    <n v="0"/>
    <n v="0"/>
    <n v="20129.008516289912"/>
    <n v="0"/>
    <n v="0"/>
  </r>
  <r>
    <s v="Regular"/>
    <x v="0"/>
    <x v="2"/>
    <x v="4"/>
    <x v="0"/>
    <x v="4"/>
    <x v="3"/>
    <x v="1"/>
    <x v="8"/>
    <n v="12784"/>
    <n v="6791.5"/>
    <n v="0"/>
    <n v="0"/>
    <n v="0"/>
    <n v="0"/>
    <n v="0"/>
    <x v="4"/>
    <n v="29161"/>
    <n v="90"/>
    <n v="0"/>
    <n v="0"/>
    <n v="13.97"/>
    <n v="0"/>
    <n v="0"/>
    <n v="17.300394083618318"/>
    <m/>
    <m/>
    <n v="94877.255000000005"/>
    <n v="0"/>
    <n v="0"/>
    <n v="117495.62641889381"/>
    <n v="0"/>
    <n v="0"/>
  </r>
  <r>
    <s v="Regular"/>
    <x v="0"/>
    <x v="2"/>
    <x v="4"/>
    <x v="0"/>
    <x v="4"/>
    <x v="4"/>
    <x v="1"/>
    <x v="8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8"/>
    <n v="16500"/>
    <n v="8250"/>
    <n v="0"/>
    <n v="0"/>
    <n v="0"/>
    <n v="0"/>
    <n v="0"/>
    <x v="4"/>
    <n v="31371"/>
    <n v="90"/>
    <n v="0"/>
    <n v="0"/>
    <n v="13.97"/>
    <n v="0"/>
    <n v="0"/>
    <n v="17.300394083618318"/>
    <m/>
    <m/>
    <n v="115252.5"/>
    <n v="0"/>
    <n v="0"/>
    <n v="142728.25118985111"/>
    <n v="0"/>
    <n v="0"/>
  </r>
  <r>
    <s v="Regular"/>
    <x v="0"/>
    <x v="2"/>
    <x v="4"/>
    <x v="0"/>
    <x v="4"/>
    <x v="2"/>
    <x v="1"/>
    <x v="9"/>
    <n v="1362"/>
    <n v="681"/>
    <n v="0"/>
    <n v="0"/>
    <n v="0"/>
    <n v="0"/>
    <n v="0"/>
    <x v="4"/>
    <n v="28542"/>
    <n v="90"/>
    <n v="0"/>
    <n v="0"/>
    <n v="13.97"/>
    <n v="0"/>
    <n v="0"/>
    <n v="17.300394083618318"/>
    <m/>
    <m/>
    <n v="9513.57"/>
    <n v="0"/>
    <n v="0"/>
    <n v="11781.568370944075"/>
    <n v="0"/>
    <n v="0"/>
  </r>
  <r>
    <s v="Regular"/>
    <x v="0"/>
    <x v="2"/>
    <x v="4"/>
    <x v="0"/>
    <x v="4"/>
    <x v="3"/>
    <x v="1"/>
    <x v="9"/>
    <n v="11990"/>
    <n v="6369.6875"/>
    <n v="0"/>
    <n v="0"/>
    <n v="0"/>
    <n v="0"/>
    <n v="0"/>
    <x v="4"/>
    <n v="29161"/>
    <n v="90"/>
    <n v="0"/>
    <n v="0"/>
    <n v="13.97"/>
    <n v="0"/>
    <n v="0"/>
    <n v="17.300394083618318"/>
    <m/>
    <m/>
    <n v="88984.534375000003"/>
    <n v="0"/>
    <n v="0"/>
    <n v="110198.10393949755"/>
    <n v="0"/>
    <n v="0"/>
  </r>
  <r>
    <s v="Regular"/>
    <x v="0"/>
    <x v="2"/>
    <x v="4"/>
    <x v="0"/>
    <x v="4"/>
    <x v="4"/>
    <x v="1"/>
    <x v="9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9"/>
    <n v="16500"/>
    <n v="8250"/>
    <n v="0"/>
    <n v="0"/>
    <n v="0"/>
    <n v="0"/>
    <n v="0"/>
    <x v="4"/>
    <n v="31371"/>
    <n v="90"/>
    <n v="0"/>
    <n v="0"/>
    <n v="13.97"/>
    <n v="0"/>
    <n v="0"/>
    <n v="17.300394083618318"/>
    <m/>
    <m/>
    <n v="115252.5"/>
    <n v="0"/>
    <n v="0"/>
    <n v="142728.25118985111"/>
    <n v="0"/>
    <n v="0"/>
  </r>
  <r>
    <s v="Regular"/>
    <x v="0"/>
    <x v="2"/>
    <x v="4"/>
    <x v="0"/>
    <x v="4"/>
    <x v="2"/>
    <x v="1"/>
    <x v="10"/>
    <n v="1131"/>
    <n v="565.5"/>
    <n v="0"/>
    <n v="0"/>
    <n v="0"/>
    <n v="0"/>
    <n v="0"/>
    <x v="4"/>
    <n v="28542"/>
    <n v="90"/>
    <n v="0"/>
    <n v="0"/>
    <n v="13.97"/>
    <n v="0"/>
    <n v="0"/>
    <n v="17.300394083618318"/>
    <m/>
    <m/>
    <n v="7900.0350000000008"/>
    <n v="0"/>
    <n v="0"/>
    <n v="9783.3728542861591"/>
    <n v="0"/>
    <n v="0"/>
  </r>
  <r>
    <s v="Regular"/>
    <x v="0"/>
    <x v="2"/>
    <x v="4"/>
    <x v="0"/>
    <x v="4"/>
    <x v="3"/>
    <x v="1"/>
    <x v="10"/>
    <n v="11908"/>
    <n v="6326.125"/>
    <n v="0"/>
    <n v="0"/>
    <n v="0"/>
    <n v="0"/>
    <n v="0"/>
    <x v="4"/>
    <n v="29161"/>
    <n v="90"/>
    <n v="0"/>
    <n v="0"/>
    <n v="13.97"/>
    <n v="0"/>
    <n v="0"/>
    <n v="17.300394083618318"/>
    <m/>
    <m/>
    <n v="88375.966249999998"/>
    <n v="0"/>
    <n v="0"/>
    <n v="109444.45552222994"/>
    <n v="0"/>
    <n v="0"/>
  </r>
  <r>
    <s v="Regular"/>
    <x v="0"/>
    <x v="2"/>
    <x v="4"/>
    <x v="0"/>
    <x v="4"/>
    <x v="4"/>
    <x v="1"/>
    <x v="10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Regular"/>
    <x v="0"/>
    <x v="2"/>
    <x v="4"/>
    <x v="0"/>
    <x v="4"/>
    <x v="5"/>
    <x v="1"/>
    <x v="10"/>
    <n v="16500"/>
    <n v="8250"/>
    <n v="0"/>
    <n v="0"/>
    <n v="0"/>
    <n v="0"/>
    <n v="0"/>
    <x v="4"/>
    <n v="31371"/>
    <n v="90"/>
    <n v="0"/>
    <n v="0"/>
    <n v="13.97"/>
    <n v="0"/>
    <n v="0"/>
    <n v="17.300394083618318"/>
    <m/>
    <m/>
    <n v="115252.5"/>
    <n v="0"/>
    <n v="0"/>
    <n v="142728.25118985111"/>
    <n v="0"/>
    <n v="0"/>
  </r>
  <r>
    <s v="PROJETADO"/>
    <x v="0"/>
    <x v="2"/>
    <x v="4"/>
    <x v="0"/>
    <x v="4"/>
    <x v="2"/>
    <x v="1"/>
    <x v="11"/>
    <n v="1131"/>
    <n v="565.5"/>
    <n v="0"/>
    <n v="0"/>
    <n v="0"/>
    <n v="0"/>
    <n v="0"/>
    <x v="4"/>
    <n v="28542"/>
    <n v="90"/>
    <n v="0"/>
    <n v="0"/>
    <n v="13.97"/>
    <n v="0"/>
    <n v="0"/>
    <n v="17.300394083618318"/>
    <m/>
    <m/>
    <n v="7900.0350000000008"/>
    <n v="0"/>
    <n v="0"/>
    <n v="9783.3728542861591"/>
    <n v="0"/>
    <n v="0"/>
  </r>
  <r>
    <s v="PROJETADO"/>
    <x v="0"/>
    <x v="2"/>
    <x v="4"/>
    <x v="0"/>
    <x v="4"/>
    <x v="3"/>
    <x v="1"/>
    <x v="11"/>
    <n v="11908"/>
    <n v="6326.125"/>
    <n v="0"/>
    <n v="0"/>
    <n v="0"/>
    <n v="0"/>
    <n v="0"/>
    <x v="4"/>
    <n v="29161"/>
    <n v="90"/>
    <n v="0"/>
    <n v="0"/>
    <n v="13.97"/>
    <n v="0"/>
    <n v="0"/>
    <n v="17.300394083618318"/>
    <m/>
    <m/>
    <n v="88375.966249999998"/>
    <n v="0"/>
    <n v="0"/>
    <n v="109444.45552222994"/>
    <n v="0"/>
    <n v="0"/>
  </r>
  <r>
    <s v="PROJETADO"/>
    <x v="0"/>
    <x v="2"/>
    <x v="4"/>
    <x v="0"/>
    <x v="4"/>
    <x v="4"/>
    <x v="1"/>
    <x v="11"/>
    <n v="30000"/>
    <n v="15000"/>
    <n v="0"/>
    <n v="0"/>
    <n v="0"/>
    <n v="0"/>
    <n v="0"/>
    <x v="4"/>
    <n v="30048"/>
    <n v="90"/>
    <n v="0"/>
    <n v="0"/>
    <n v="13.97"/>
    <n v="0"/>
    <n v="0"/>
    <n v="17.300394083618318"/>
    <m/>
    <m/>
    <n v="209550"/>
    <n v="0"/>
    <n v="0"/>
    <n v="259505.91125427478"/>
    <n v="0"/>
    <n v="0"/>
  </r>
  <r>
    <s v="PROJETADO"/>
    <x v="0"/>
    <x v="2"/>
    <x v="4"/>
    <x v="0"/>
    <x v="4"/>
    <x v="5"/>
    <x v="1"/>
    <x v="11"/>
    <n v="16500"/>
    <n v="8250"/>
    <n v="0"/>
    <n v="0"/>
    <n v="0"/>
    <n v="0"/>
    <n v="0"/>
    <x v="4"/>
    <n v="31371"/>
    <n v="90"/>
    <n v="0"/>
    <n v="0"/>
    <n v="13.97"/>
    <n v="0"/>
    <n v="0"/>
    <n v="17.300394083618318"/>
    <m/>
    <m/>
    <n v="115252.5"/>
    <n v="0"/>
    <n v="0"/>
    <n v="142728.25118985111"/>
    <n v="0"/>
    <n v="0"/>
  </r>
  <r>
    <s v="Regular"/>
    <x v="0"/>
    <x v="2"/>
    <x v="4"/>
    <x v="0"/>
    <x v="0"/>
    <x v="6"/>
    <x v="1"/>
    <x v="0"/>
    <n v="13000"/>
    <n v="6500"/>
    <n v="0"/>
    <n v="0"/>
    <n v="0"/>
    <n v="0"/>
    <n v="0"/>
    <x v="4"/>
    <n v="28708"/>
    <n v="90"/>
    <n v="0"/>
    <n v="0"/>
    <n v="13.97"/>
    <n v="0"/>
    <n v="0"/>
    <n v="17.300394083618318"/>
    <m/>
    <m/>
    <n v="90805"/>
    <n v="0"/>
    <n v="0"/>
    <n v="112452.56154351907"/>
    <n v="0"/>
    <n v="0"/>
  </r>
  <r>
    <s v="Regular"/>
    <x v="0"/>
    <x v="2"/>
    <x v="4"/>
    <x v="0"/>
    <x v="0"/>
    <x v="6"/>
    <x v="1"/>
    <x v="1"/>
    <n v="13000"/>
    <n v="6500"/>
    <n v="0"/>
    <n v="0"/>
    <n v="0"/>
    <n v="0"/>
    <n v="0"/>
    <x v="4"/>
    <n v="28708"/>
    <n v="90"/>
    <n v="0"/>
    <n v="0"/>
    <n v="13.97"/>
    <n v="0"/>
    <n v="0"/>
    <n v="17.300394083618318"/>
    <m/>
    <m/>
    <n v="90805"/>
    <n v="0"/>
    <n v="0"/>
    <n v="112452.56154351907"/>
    <n v="0"/>
    <n v="0"/>
  </r>
  <r>
    <s v="Regular"/>
    <x v="0"/>
    <x v="2"/>
    <x v="4"/>
    <x v="0"/>
    <x v="0"/>
    <x v="6"/>
    <x v="1"/>
    <x v="2"/>
    <n v="13000"/>
    <n v="6500"/>
    <n v="0"/>
    <n v="0"/>
    <n v="0"/>
    <n v="0"/>
    <n v="0"/>
    <x v="4"/>
    <n v="28708"/>
    <n v="90"/>
    <n v="0"/>
    <n v="0"/>
    <n v="13.97"/>
    <n v="0"/>
    <n v="0"/>
    <n v="17.300394083618318"/>
    <m/>
    <m/>
    <n v="90805"/>
    <n v="0"/>
    <n v="0"/>
    <n v="112452.56154351907"/>
    <n v="0"/>
    <n v="0"/>
  </r>
  <r>
    <s v="Regular"/>
    <x v="0"/>
    <x v="2"/>
    <x v="4"/>
    <x v="0"/>
    <x v="0"/>
    <x v="6"/>
    <x v="1"/>
    <x v="3"/>
    <n v="11000"/>
    <n v="5500"/>
    <n v="0"/>
    <n v="0"/>
    <n v="0"/>
    <n v="0"/>
    <n v="0"/>
    <x v="4"/>
    <n v="28708"/>
    <n v="90"/>
    <n v="0"/>
    <n v="0"/>
    <n v="13.97"/>
    <n v="0"/>
    <n v="0"/>
    <n v="17.300394083618318"/>
    <m/>
    <m/>
    <n v="76835"/>
    <n v="0"/>
    <n v="0"/>
    <n v="95152.167459900753"/>
    <n v="0"/>
    <n v="0"/>
  </r>
  <r>
    <s v="Regular"/>
    <x v="0"/>
    <x v="2"/>
    <x v="4"/>
    <x v="0"/>
    <x v="0"/>
    <x v="6"/>
    <x v="1"/>
    <x v="4"/>
    <n v="11000"/>
    <n v="5500"/>
    <n v="0"/>
    <n v="0"/>
    <n v="0"/>
    <n v="0"/>
    <n v="0"/>
    <x v="4"/>
    <n v="28708"/>
    <n v="90"/>
    <n v="0"/>
    <n v="0"/>
    <n v="13.97"/>
    <n v="0"/>
    <n v="0"/>
    <n v="17.300394083618318"/>
    <m/>
    <m/>
    <n v="76835"/>
    <n v="0"/>
    <n v="0"/>
    <n v="95152.167459900753"/>
    <n v="0"/>
    <n v="0"/>
  </r>
  <r>
    <s v="Regular"/>
    <x v="0"/>
    <x v="2"/>
    <x v="4"/>
    <x v="0"/>
    <x v="0"/>
    <x v="6"/>
    <x v="1"/>
    <x v="5"/>
    <n v="11000"/>
    <n v="5500"/>
    <n v="0"/>
    <n v="0"/>
    <n v="0"/>
    <n v="0"/>
    <n v="0"/>
    <x v="4"/>
    <n v="28708"/>
    <n v="90"/>
    <n v="0"/>
    <n v="0"/>
    <n v="13.97"/>
    <n v="0"/>
    <n v="0"/>
    <n v="17.300394083618318"/>
    <m/>
    <m/>
    <n v="76835"/>
    <n v="0"/>
    <n v="0"/>
    <n v="95152.167459900753"/>
    <n v="0"/>
    <n v="0"/>
  </r>
  <r>
    <s v="Regular"/>
    <x v="0"/>
    <x v="2"/>
    <x v="4"/>
    <x v="0"/>
    <x v="0"/>
    <x v="6"/>
    <x v="1"/>
    <x v="6"/>
    <n v="11000"/>
    <n v="5500"/>
    <n v="0"/>
    <n v="0"/>
    <n v="0"/>
    <n v="0"/>
    <n v="0"/>
    <x v="4"/>
    <n v="28708"/>
    <n v="90"/>
    <n v="0"/>
    <n v="0"/>
    <n v="13.97"/>
    <n v="0"/>
    <n v="0"/>
    <n v="17.300394083618318"/>
    <m/>
    <m/>
    <n v="76835"/>
    <n v="0"/>
    <n v="0"/>
    <n v="95152.167459900753"/>
    <n v="0"/>
    <n v="0"/>
  </r>
  <r>
    <s v="Regular"/>
    <x v="0"/>
    <x v="2"/>
    <x v="4"/>
    <x v="0"/>
    <x v="0"/>
    <x v="6"/>
    <x v="1"/>
    <x v="7"/>
    <n v="11000"/>
    <n v="5500"/>
    <n v="0"/>
    <n v="0"/>
    <n v="0"/>
    <n v="0"/>
    <n v="0"/>
    <x v="4"/>
    <n v="28708"/>
    <n v="90"/>
    <n v="0"/>
    <n v="0"/>
    <n v="13.97"/>
    <n v="0"/>
    <n v="0"/>
    <n v="17.300394083618318"/>
    <m/>
    <m/>
    <n v="76835"/>
    <n v="0"/>
    <n v="0"/>
    <n v="95152.167459900753"/>
    <n v="0"/>
    <n v="0"/>
  </r>
  <r>
    <s v="Regular"/>
    <x v="0"/>
    <x v="2"/>
    <x v="4"/>
    <x v="0"/>
    <x v="0"/>
    <x v="6"/>
    <x v="1"/>
    <x v="8"/>
    <n v="11000"/>
    <n v="5500"/>
    <n v="0"/>
    <n v="0"/>
    <n v="0"/>
    <n v="0"/>
    <n v="0"/>
    <x v="4"/>
    <n v="28708"/>
    <n v="90"/>
    <n v="0"/>
    <n v="0"/>
    <n v="13.97"/>
    <n v="0"/>
    <n v="0"/>
    <n v="17.300394083618318"/>
    <m/>
    <m/>
    <n v="76835"/>
    <n v="0"/>
    <n v="0"/>
    <n v="95152.167459900753"/>
    <n v="0"/>
    <n v="0"/>
  </r>
  <r>
    <s v="Regular"/>
    <x v="0"/>
    <x v="2"/>
    <x v="4"/>
    <x v="0"/>
    <x v="0"/>
    <x v="6"/>
    <x v="1"/>
    <x v="9"/>
    <n v="11000"/>
    <n v="5500"/>
    <n v="0"/>
    <n v="0"/>
    <n v="0"/>
    <n v="0"/>
    <n v="0"/>
    <x v="4"/>
    <n v="28708"/>
    <n v="90"/>
    <n v="0"/>
    <n v="0"/>
    <n v="13.97"/>
    <n v="0"/>
    <n v="0"/>
    <n v="17.300394083618318"/>
    <m/>
    <m/>
    <n v="76835"/>
    <n v="0"/>
    <n v="0"/>
    <n v="95152.167459900753"/>
    <n v="0"/>
    <n v="0"/>
  </r>
  <r>
    <s v="Regular"/>
    <x v="0"/>
    <x v="2"/>
    <x v="4"/>
    <x v="0"/>
    <x v="0"/>
    <x v="6"/>
    <x v="1"/>
    <x v="10"/>
    <n v="11000"/>
    <n v="5500"/>
    <n v="0"/>
    <n v="0"/>
    <n v="0"/>
    <n v="0"/>
    <n v="0"/>
    <x v="4"/>
    <n v="28708"/>
    <n v="90"/>
    <n v="0"/>
    <n v="0"/>
    <n v="13.97"/>
    <n v="0"/>
    <n v="0"/>
    <n v="17.300394083618318"/>
    <m/>
    <m/>
    <n v="76835"/>
    <n v="0"/>
    <n v="0"/>
    <n v="95152.167459900753"/>
    <n v="0"/>
    <n v="0"/>
  </r>
  <r>
    <s v="PROJETADO"/>
    <x v="0"/>
    <x v="2"/>
    <x v="4"/>
    <x v="0"/>
    <x v="0"/>
    <x v="6"/>
    <x v="1"/>
    <x v="11"/>
    <n v="11000"/>
    <n v="5500"/>
    <n v="0"/>
    <n v="0"/>
    <n v="0"/>
    <n v="0"/>
    <n v="0"/>
    <x v="4"/>
    <n v="28708"/>
    <n v="90"/>
    <n v="0"/>
    <n v="0"/>
    <n v="13.97"/>
    <n v="0"/>
    <n v="0"/>
    <n v="17.300394083618318"/>
    <m/>
    <m/>
    <n v="76835"/>
    <n v="0"/>
    <n v="0"/>
    <n v="95152.167459900753"/>
    <n v="0"/>
    <n v="0"/>
  </r>
  <r>
    <s v="Regular"/>
    <x v="1"/>
    <x v="0"/>
    <x v="0"/>
    <x v="0"/>
    <x v="0"/>
    <x v="0"/>
    <x v="0"/>
    <x v="0"/>
    <n v="9000"/>
    <n v="9000"/>
    <n v="2327.5320000000002"/>
    <n v="2327.5320000000002"/>
    <n v="2327.5320000000002"/>
    <n v="2327.5320000000002"/>
    <n v="0"/>
    <x v="0"/>
    <n v="0"/>
    <n v="87"/>
    <n v="88"/>
    <n v="73"/>
    <n v="21.85"/>
    <n v="97.61"/>
    <n v="219.97"/>
    <n v="27.777091190692239"/>
    <n v="119.75016494517713"/>
    <n v="283.40928728637363"/>
    <n v="196650"/>
    <n v="227190.39852000002"/>
    <n v="511987.21404000005"/>
    <n v="249993.82071623014"/>
    <n v="278722.34091517807"/>
    <n v="659644.18525622785"/>
  </r>
  <r>
    <s v="Refaturamento - Regular"/>
    <x v="1"/>
    <x v="0"/>
    <x v="0"/>
    <x v="0"/>
    <x v="0"/>
    <x v="0"/>
    <x v="0"/>
    <x v="0"/>
    <n v="-53"/>
    <n v="-53"/>
    <n v="-9.5820000000000007"/>
    <n v="-9.5820000000000007"/>
    <n v="-9.5820000000000007"/>
    <n v="-9.5820000000000007"/>
    <n v="0"/>
    <x v="0"/>
    <n v="0"/>
    <n v="87"/>
    <n v="88"/>
    <n v="73"/>
    <n v="21.85"/>
    <n v="97.61"/>
    <n v="219.97"/>
    <n v="27.777091190692239"/>
    <n v="119.75016494517713"/>
    <n v="283.40928728637363"/>
    <n v="-1158.0500000000002"/>
    <n v="-935.29902000000004"/>
    <n v="-2107.75254"/>
    <n v="-1472.1858331066887"/>
    <n v="-1147.4460805046874"/>
    <n v="-2715.6277907780322"/>
  </r>
  <r>
    <s v="Sistema de Compensação"/>
    <x v="1"/>
    <x v="0"/>
    <x v="0"/>
    <x v="0"/>
    <x v="0"/>
    <x v="0"/>
    <x v="0"/>
    <x v="0"/>
    <n v="90"/>
    <n v="90"/>
    <n v="18.356999999999999"/>
    <n v="18.356999999999999"/>
    <n v="18.356999999999999"/>
    <n v="18.356999999999999"/>
    <n v="0"/>
    <x v="0"/>
    <n v="0"/>
    <n v="87"/>
    <n v="88"/>
    <n v="73"/>
    <n v="21.85"/>
    <n v="97.61"/>
    <n v="219.97"/>
    <n v="27.777091190692239"/>
    <n v="119.75016494517713"/>
    <n v="283.40928728637363"/>
    <n v="1966.5000000000002"/>
    <n v="1791.8267699999999"/>
    <n v="4037.98929"/>
    <n v="2499.9382071623018"/>
    <n v="2198.2537778986166"/>
    <n v="5202.5442867159609"/>
  </r>
  <r>
    <s v="Sistema de Compensação"/>
    <x v="1"/>
    <x v="0"/>
    <x v="0"/>
    <x v="0"/>
    <x v="0"/>
    <x v="0"/>
    <x v="0"/>
    <x v="0"/>
    <n v="-36"/>
    <n v="-36"/>
    <n v="-9.9580000000000002"/>
    <n v="-9.9580000000000002"/>
    <n v="-9.9580000000000002"/>
    <n v="-9.9580000000000002"/>
    <n v="0"/>
    <x v="0"/>
    <n v="0"/>
    <n v="87"/>
    <n v="88"/>
    <n v="73"/>
    <n v="21.85"/>
    <n v="97.61"/>
    <n v="219.97"/>
    <n v="27.777091190692239"/>
    <n v="119.75016494517713"/>
    <n v="283.40928728637363"/>
    <n v="-786.6"/>
    <n v="-972.00038000000006"/>
    <n v="-2190.46126"/>
    <n v="-999.97528286492059"/>
    <n v="-1192.4721425240739"/>
    <n v="-2822.1896827977084"/>
  </r>
  <r>
    <s v="Regular"/>
    <x v="1"/>
    <x v="0"/>
    <x v="0"/>
    <x v="0"/>
    <x v="0"/>
    <x v="0"/>
    <x v="0"/>
    <x v="1"/>
    <n v="8821"/>
    <n v="8821"/>
    <n v="2243.261"/>
    <n v="2243.261"/>
    <n v="2243.261"/>
    <n v="2243.261"/>
    <n v="0"/>
    <x v="0"/>
    <n v="0"/>
    <n v="87"/>
    <n v="88"/>
    <n v="73"/>
    <n v="21.85"/>
    <n v="97.61"/>
    <n v="219.97"/>
    <n v="27.777091190692239"/>
    <n v="119.75016494517713"/>
    <n v="283.40928728637363"/>
    <n v="192738.85"/>
    <n v="218964.70621"/>
    <n v="493450.12216999999"/>
    <n v="245021.72139309623"/>
    <n v="268630.87476508302"/>
    <n v="635761.00120731781"/>
  </r>
  <r>
    <s v="Sistema de Compensação"/>
    <x v="1"/>
    <x v="0"/>
    <x v="0"/>
    <x v="0"/>
    <x v="0"/>
    <x v="0"/>
    <x v="0"/>
    <x v="1"/>
    <n v="90"/>
    <n v="90"/>
    <n v="16.402000000000001"/>
    <n v="16.402000000000001"/>
    <n v="16.402000000000001"/>
    <n v="16.402000000000001"/>
    <n v="0"/>
    <x v="0"/>
    <n v="0"/>
    <n v="87"/>
    <n v="88"/>
    <n v="73"/>
    <n v="21.85"/>
    <n v="97.61"/>
    <n v="219.97"/>
    <n v="27.777091190692239"/>
    <n v="119.75016494517713"/>
    <n v="283.40928728637363"/>
    <n v="1966.5000000000002"/>
    <n v="1600.9992200000002"/>
    <n v="3607.94794"/>
    <n v="2499.9382071623018"/>
    <n v="1964.1422054307955"/>
    <n v="4648.4791300711004"/>
  </r>
  <r>
    <s v="Regular"/>
    <x v="1"/>
    <x v="0"/>
    <x v="0"/>
    <x v="0"/>
    <x v="0"/>
    <x v="0"/>
    <x v="0"/>
    <x v="2"/>
    <n v="8926"/>
    <n v="8926"/>
    <n v="2717.0369999999998"/>
    <n v="2717.0369999999998"/>
    <n v="2717.0369999999998"/>
    <n v="2717.0369999999998"/>
    <n v="0"/>
    <x v="0"/>
    <n v="0"/>
    <n v="87"/>
    <n v="88"/>
    <n v="73"/>
    <n v="21.85"/>
    <n v="97.61"/>
    <n v="219.97"/>
    <n v="27.777091190692239"/>
    <n v="119.75016494517713"/>
    <n v="283.40928728637363"/>
    <n v="195033.1"/>
    <n v="265209.98157"/>
    <n v="597666.62888999993"/>
    <n v="247938.31596811893"/>
    <n v="325365.62891214923"/>
    <n v="770033.5197007067"/>
  </r>
  <r>
    <s v="Sistema de Compensação"/>
    <x v="1"/>
    <x v="0"/>
    <x v="0"/>
    <x v="0"/>
    <x v="0"/>
    <x v="0"/>
    <x v="0"/>
    <x v="2"/>
    <n v="90"/>
    <n v="90"/>
    <n v="16.648"/>
    <n v="16.648"/>
    <n v="16.648"/>
    <n v="16.648"/>
    <n v="0"/>
    <x v="0"/>
    <n v="0"/>
    <n v="87"/>
    <n v="88"/>
    <n v="73"/>
    <n v="21.85"/>
    <n v="97.61"/>
    <n v="219.97"/>
    <n v="27.777091190692239"/>
    <n v="119.75016494517713"/>
    <n v="283.40928728637363"/>
    <n v="1966.5000000000002"/>
    <n v="1625.0112799999999"/>
    <n v="3662.0605599999999"/>
    <n v="2499.9382071623018"/>
    <n v="1993.6007460073088"/>
    <n v="4718.1978147435484"/>
  </r>
  <r>
    <s v="Regular"/>
    <x v="1"/>
    <x v="0"/>
    <x v="0"/>
    <x v="0"/>
    <x v="0"/>
    <x v="0"/>
    <x v="0"/>
    <x v="3"/>
    <n v="8286"/>
    <n v="8286"/>
    <n v="2280.4450000000002"/>
    <n v="2280.4450000000002"/>
    <n v="2280.4450000000002"/>
    <n v="2280.4450000000002"/>
    <n v="0"/>
    <x v="0"/>
    <n v="0"/>
    <n v="87"/>
    <n v="88"/>
    <n v="73"/>
    <n v="21.85"/>
    <n v="97.61"/>
    <n v="219.97"/>
    <n v="27.777091190692239"/>
    <n v="119.75016494517713"/>
    <n v="283.40928728637363"/>
    <n v="181049.1"/>
    <n v="222594.23645000003"/>
    <n v="501629.48665000004"/>
    <n v="230160.9776060759"/>
    <n v="273083.6648984045"/>
    <n v="646299.29214577435"/>
  </r>
  <r>
    <s v="Sistema de Compensação"/>
    <x v="1"/>
    <x v="0"/>
    <x v="0"/>
    <x v="0"/>
    <x v="0"/>
    <x v="0"/>
    <x v="0"/>
    <x v="3"/>
    <n v="77"/>
    <n v="77"/>
    <n v="17.574000000000002"/>
    <n v="17.574000000000002"/>
    <n v="17.574000000000002"/>
    <n v="17.574000000000002"/>
    <n v="0"/>
    <x v="0"/>
    <n v="0"/>
    <n v="87"/>
    <n v="88"/>
    <n v="73"/>
    <n v="21.85"/>
    <n v="97.61"/>
    <n v="219.97"/>
    <n v="27.777091190692239"/>
    <n v="119.75016494517713"/>
    <n v="283.40928728637363"/>
    <n v="1682.45"/>
    <n v="1715.3981400000002"/>
    <n v="3865.7527800000003"/>
    <n v="2138.8360216833025"/>
    <n v="2104.489398746543"/>
    <n v="4980.6348147707304"/>
  </r>
  <r>
    <s v="Regular"/>
    <x v="1"/>
    <x v="0"/>
    <x v="0"/>
    <x v="0"/>
    <x v="0"/>
    <x v="0"/>
    <x v="0"/>
    <x v="4"/>
    <n v="8868"/>
    <n v="8868"/>
    <n v="2539.4430000000002"/>
    <n v="2539.4430000000002"/>
    <n v="2539.4430000000002"/>
    <n v="2539.4430000000002"/>
    <n v="0"/>
    <x v="0"/>
    <n v="0"/>
    <n v="87"/>
    <n v="88"/>
    <n v="73"/>
    <n v="21.85"/>
    <n v="97.61"/>
    <n v="219.97"/>
    <n v="27.777091190692239"/>
    <n v="119.75016494517713"/>
    <n v="283.40928728637363"/>
    <n v="193765.80000000002"/>
    <n v="247875.03123000002"/>
    <n v="558601.27671000001"/>
    <n v="246327.24467905879"/>
    <n v="304098.71811887546"/>
    <n v="719701.73073437053"/>
  </r>
  <r>
    <s v="Refaturamento - Regular"/>
    <x v="1"/>
    <x v="0"/>
    <x v="0"/>
    <x v="0"/>
    <x v="0"/>
    <x v="0"/>
    <x v="0"/>
    <x v="4"/>
    <n v="210"/>
    <n v="210"/>
    <n v="27.459"/>
    <n v="27.459"/>
    <n v="27.459"/>
    <n v="27.459"/>
    <n v="0"/>
    <x v="0"/>
    <n v="0"/>
    <n v="87"/>
    <n v="88"/>
    <n v="73"/>
    <n v="21.85"/>
    <n v="97.61"/>
    <n v="219.97"/>
    <n v="27.777091190692239"/>
    <n v="119.75016494517713"/>
    <n v="283.40928728637363"/>
    <n v="4588.5"/>
    <n v="2680.2729899999999"/>
    <n v="6040.1562299999996"/>
    <n v="5833.1891500453703"/>
    <n v="3288.2197792296188"/>
    <n v="7782.1356195965336"/>
  </r>
  <r>
    <s v="Sistema de Compensação"/>
    <x v="1"/>
    <x v="0"/>
    <x v="0"/>
    <x v="0"/>
    <x v="0"/>
    <x v="0"/>
    <x v="0"/>
    <x v="4"/>
    <n v="77"/>
    <n v="77"/>
    <n v="16.547999999999998"/>
    <n v="16.547999999999998"/>
    <n v="16.547999999999998"/>
    <n v="16.547999999999998"/>
    <n v="0"/>
    <x v="0"/>
    <n v="0"/>
    <n v="87"/>
    <n v="88"/>
    <n v="73"/>
    <n v="21.85"/>
    <n v="97.61"/>
    <n v="219.97"/>
    <n v="27.777091190692239"/>
    <n v="119.75016494517713"/>
    <n v="283.40928728637363"/>
    <n v="1682.45"/>
    <n v="1615.2502799999997"/>
    <n v="3640.0635599999996"/>
    <n v="2138.8360216833025"/>
    <n v="1981.6257295127909"/>
    <n v="4689.8568860149098"/>
  </r>
  <r>
    <s v="Regular"/>
    <x v="1"/>
    <x v="0"/>
    <x v="0"/>
    <x v="0"/>
    <x v="0"/>
    <x v="0"/>
    <x v="0"/>
    <x v="5"/>
    <n v="8561"/>
    <n v="8561"/>
    <n v="2759.384"/>
    <n v="2759.384"/>
    <n v="2759.384"/>
    <n v="2759.384"/>
    <n v="0"/>
    <x v="0"/>
    <n v="0"/>
    <n v="87"/>
    <n v="88"/>
    <n v="73"/>
    <n v="21.85"/>
    <n v="97.61"/>
    <n v="219.97"/>
    <n v="27.777091190692239"/>
    <n v="119.75016494517713"/>
    <n v="283.40928728637363"/>
    <n v="187057.85"/>
    <n v="269343.47223999997"/>
    <n v="606981.69848000002"/>
    <n v="237799.67768351626"/>
    <n v="330436.68914708268"/>
    <n v="782035.0527894228"/>
  </r>
  <r>
    <s v="Sistema de Compensação"/>
    <x v="1"/>
    <x v="0"/>
    <x v="0"/>
    <x v="0"/>
    <x v="0"/>
    <x v="0"/>
    <x v="0"/>
    <x v="5"/>
    <n v="82"/>
    <n v="82"/>
    <n v="18.934000000000001"/>
    <n v="18.934000000000001"/>
    <n v="18.934000000000001"/>
    <n v="18.934000000000001"/>
    <n v="0"/>
    <x v="0"/>
    <n v="0"/>
    <n v="87"/>
    <n v="88"/>
    <n v="73"/>
    <n v="21.85"/>
    <n v="97.61"/>
    <n v="219.97"/>
    <n v="27.777091190692239"/>
    <n v="119.75016494517713"/>
    <n v="283.40928728637363"/>
    <n v="1791.7"/>
    <n v="1848.1477400000001"/>
    <n v="4164.9119799999999"/>
    <n v="2277.7214776367637"/>
    <n v="2267.3496230719838"/>
    <n v="5366.0714454801982"/>
  </r>
  <r>
    <s v="Regular"/>
    <x v="1"/>
    <x v="0"/>
    <x v="0"/>
    <x v="0"/>
    <x v="0"/>
    <x v="0"/>
    <x v="0"/>
    <x v="6"/>
    <n v="8002"/>
    <n v="8002"/>
    <n v="2650.36"/>
    <n v="2650.36"/>
    <n v="2650.36"/>
    <n v="2650.36"/>
    <n v="0"/>
    <x v="0"/>
    <n v="0"/>
    <n v="87"/>
    <n v="88"/>
    <n v="73"/>
    <n v="21.85"/>
    <n v="97.61"/>
    <n v="219.97"/>
    <n v="27.777091190692239"/>
    <n v="119.75016494517713"/>
    <n v="283.40928728637363"/>
    <n v="174843.7"/>
    <n v="258701.63960000002"/>
    <n v="582999.68920000002"/>
    <n v="222272.2837079193"/>
    <n v="317381.0471640997"/>
    <n v="751136.63865231327"/>
  </r>
  <r>
    <s v="Refaturamento - Regular"/>
    <x v="1"/>
    <x v="0"/>
    <x v="0"/>
    <x v="0"/>
    <x v="0"/>
    <x v="0"/>
    <x v="0"/>
    <x v="6"/>
    <n v="0"/>
    <n v="0"/>
    <n v="0.86399999999999999"/>
    <n v="0.86399999999999999"/>
    <n v="0.86399999999999999"/>
    <n v="0.86399999999999999"/>
    <n v="0"/>
    <x v="0"/>
    <n v="0"/>
    <n v="0"/>
    <n v="88"/>
    <n v="73"/>
    <n v="0"/>
    <n v="97.61"/>
    <n v="219.97"/>
    <n v="27.777091190692239"/>
    <n v="119.75016494517713"/>
    <n v="283.40928728637363"/>
    <n v="0"/>
    <n v="84.335039999999992"/>
    <n v="190.05408"/>
    <n v="0"/>
    <n v="103.46414251263305"/>
    <n v="244.86562421542681"/>
  </r>
  <r>
    <s v="Sistema de Compensação"/>
    <x v="1"/>
    <x v="0"/>
    <x v="0"/>
    <x v="0"/>
    <x v="0"/>
    <x v="0"/>
    <x v="0"/>
    <x v="6"/>
    <n v="77"/>
    <n v="77"/>
    <n v="16.690999999999999"/>
    <n v="16.690999999999999"/>
    <n v="16.690999999999999"/>
    <n v="16.690999999999999"/>
    <n v="0"/>
    <x v="0"/>
    <n v="0"/>
    <n v="87"/>
    <n v="88"/>
    <n v="73"/>
    <n v="21.85"/>
    <n v="97.61"/>
    <n v="219.97"/>
    <n v="27.777091190692239"/>
    <n v="119.75016494517713"/>
    <n v="283.40928728637363"/>
    <n v="1682.45"/>
    <n v="1629.2085099999999"/>
    <n v="3671.5192699999998"/>
    <n v="2138.8360216833025"/>
    <n v="1998.7500030999513"/>
    <n v="4730.3844140968622"/>
  </r>
  <r>
    <s v="Regular"/>
    <x v="1"/>
    <x v="0"/>
    <x v="0"/>
    <x v="0"/>
    <x v="0"/>
    <x v="0"/>
    <x v="0"/>
    <x v="7"/>
    <n v="7650"/>
    <n v="7650"/>
    <n v="2537.6129999999998"/>
    <n v="2537.6129999999998"/>
    <n v="2537.6129999999998"/>
    <n v="2537.6129999999998"/>
    <n v="0"/>
    <x v="0"/>
    <n v="0"/>
    <n v="87"/>
    <n v="88"/>
    <n v="73"/>
    <n v="21.85"/>
    <n v="97.61"/>
    <n v="219.97"/>
    <n v="27.777091190692239"/>
    <n v="119.75016494517713"/>
    <n v="283.40928728637363"/>
    <n v="167152.5"/>
    <n v="247696.40492999999"/>
    <n v="558198.73161000002"/>
    <n v="212494.74760879562"/>
    <n v="303879.57531702577"/>
    <n v="719183.09173863637"/>
  </r>
  <r>
    <s v="Sistema de Compensação"/>
    <x v="1"/>
    <x v="0"/>
    <x v="0"/>
    <x v="0"/>
    <x v="0"/>
    <x v="0"/>
    <x v="0"/>
    <x v="7"/>
    <n v="77"/>
    <n v="77"/>
    <n v="19.433"/>
    <n v="19.433"/>
    <n v="19.433"/>
    <n v="19.433"/>
    <n v="0"/>
    <x v="0"/>
    <n v="0"/>
    <n v="87"/>
    <n v="88"/>
    <n v="73"/>
    <n v="21.85"/>
    <n v="97.61"/>
    <n v="219.97"/>
    <n v="27.777091190692239"/>
    <n v="119.75016494517713"/>
    <n v="283.40928728637363"/>
    <n v="1682.45"/>
    <n v="1896.8551299999999"/>
    <n v="4274.6770100000003"/>
    <n v="2138.8360216833025"/>
    <n v="2327.1049553796274"/>
    <n v="5507.4926798360984"/>
  </r>
  <r>
    <s v="Regular"/>
    <x v="1"/>
    <x v="0"/>
    <x v="0"/>
    <x v="0"/>
    <x v="0"/>
    <x v="0"/>
    <x v="0"/>
    <x v="8"/>
    <n v="7571"/>
    <n v="7571"/>
    <n v="2580.549"/>
    <n v="2580.549"/>
    <n v="2580.549"/>
    <n v="2580.549"/>
    <n v="0"/>
    <x v="0"/>
    <n v="0"/>
    <n v="87"/>
    <n v="88"/>
    <n v="73"/>
    <n v="21.85"/>
    <n v="97.61"/>
    <n v="219.97"/>
    <n v="27.777091190692239"/>
    <n v="119.75016494517713"/>
    <n v="283.40928728637363"/>
    <n v="165426.35"/>
    <n v="251887.38788999998"/>
    <n v="567643.36352999997"/>
    <n v="210300.35740473095"/>
    <n v="309021.16839911189"/>
    <n v="731351.55289756414"/>
  </r>
  <r>
    <s v="Refaturamento - Regular"/>
    <x v="1"/>
    <x v="0"/>
    <x v="0"/>
    <x v="0"/>
    <x v="0"/>
    <x v="0"/>
    <x v="0"/>
    <x v="8"/>
    <n v="-334"/>
    <n v="-334"/>
    <n v="-118.333"/>
    <n v="-118.333"/>
    <n v="-118.333"/>
    <n v="-118.333"/>
    <n v="0"/>
    <x v="0"/>
    <n v="0"/>
    <n v="87"/>
    <n v="88"/>
    <n v="73"/>
    <n v="21.85"/>
    <n v="97.61"/>
    <n v="219.97"/>
    <n v="27.777091190692239"/>
    <n v="119.75016494517713"/>
    <n v="283.40928728637363"/>
    <n v="-7297.9000000000005"/>
    <n v="-11550.484129999999"/>
    <n v="-26029.710009999999"/>
    <n v="-9277.5484576912077"/>
    <n v="-14170.396268457645"/>
    <n v="-33536.671192458452"/>
  </r>
  <r>
    <s v="Sistema de Compensação"/>
    <x v="1"/>
    <x v="0"/>
    <x v="0"/>
    <x v="0"/>
    <x v="0"/>
    <x v="0"/>
    <x v="0"/>
    <x v="8"/>
    <n v="77"/>
    <n v="77"/>
    <n v="14.002000000000001"/>
    <n v="14.002000000000001"/>
    <n v="14.002000000000001"/>
    <n v="14.002000000000001"/>
    <n v="0"/>
    <x v="0"/>
    <n v="0"/>
    <n v="87"/>
    <n v="88"/>
    <n v="73"/>
    <n v="21.85"/>
    <n v="97.61"/>
    <n v="219.97"/>
    <n v="27.777091190692239"/>
    <n v="119.75016494517713"/>
    <n v="283.40928728637363"/>
    <n v="1682.45"/>
    <n v="1366.73522"/>
    <n v="3080.0199400000001"/>
    <n v="2138.8360216833025"/>
    <n v="1676.7418095623702"/>
    <n v="3968.2968405838037"/>
  </r>
  <r>
    <s v="Regular"/>
    <x v="1"/>
    <x v="0"/>
    <x v="0"/>
    <x v="0"/>
    <x v="0"/>
    <x v="0"/>
    <x v="0"/>
    <x v="9"/>
    <n v="7014"/>
    <n v="7014"/>
    <n v="2161.12"/>
    <n v="2161.12"/>
    <n v="2161.12"/>
    <n v="2161.12"/>
    <n v="0"/>
    <x v="0"/>
    <n v="0"/>
    <n v="87"/>
    <n v="88"/>
    <n v="73"/>
    <n v="21.85"/>
    <n v="97.61"/>
    <n v="219.97"/>
    <n v="27.777091190692239"/>
    <n v="119.75016494517713"/>
    <n v="283.40928728637363"/>
    <n v="153255.90000000002"/>
    <n v="210946.92319999999"/>
    <n v="475381.56639999995"/>
    <n v="194828.51761151536"/>
    <n v="258794.47646632118"/>
    <n v="612481.47894032777"/>
  </r>
  <r>
    <s v="Sistema de Compensação"/>
    <x v="1"/>
    <x v="0"/>
    <x v="0"/>
    <x v="0"/>
    <x v="0"/>
    <x v="0"/>
    <x v="0"/>
    <x v="9"/>
    <n v="77"/>
    <n v="77"/>
    <n v="11.167"/>
    <n v="11.167"/>
    <n v="11.167"/>
    <n v="11.167"/>
    <n v="0"/>
    <x v="0"/>
    <n v="0"/>
    <n v="87"/>
    <n v="88"/>
    <n v="73"/>
    <n v="21.85"/>
    <n v="97.61"/>
    <n v="219.97"/>
    <n v="27.777091190692239"/>
    <n v="119.75016494517713"/>
    <n v="283.40928728637363"/>
    <n v="1682.45"/>
    <n v="1090.0108700000001"/>
    <n v="2456.40499"/>
    <n v="2138.8360216833025"/>
    <n v="1337.250091942793"/>
    <n v="3164.8315111269344"/>
  </r>
  <r>
    <s v="Regular"/>
    <x v="1"/>
    <x v="0"/>
    <x v="0"/>
    <x v="0"/>
    <x v="0"/>
    <x v="0"/>
    <x v="0"/>
    <x v="10"/>
    <n v="6060"/>
    <n v="6060"/>
    <n v="1839.3389999999999"/>
    <n v="1839.3389999999999"/>
    <n v="1839.3389999999999"/>
    <n v="1839.3389999999999"/>
    <n v="0"/>
    <x v="0"/>
    <n v="0"/>
    <n v="87"/>
    <n v="88"/>
    <n v="73"/>
    <n v="21.85"/>
    <n v="97.61"/>
    <n v="219.97"/>
    <n v="27.777091190692239"/>
    <n v="119.75016494517713"/>
    <n v="283.40928728637363"/>
    <n v="132411"/>
    <n v="179537.87979000001"/>
    <n v="404599.39983000001"/>
    <n v="168329.17261559496"/>
    <n v="220261.14864009715"/>
    <n v="521285.75506803114"/>
  </r>
  <r>
    <s v="Sistema de Compensação"/>
    <x v="1"/>
    <x v="0"/>
    <x v="0"/>
    <x v="0"/>
    <x v="0"/>
    <x v="0"/>
    <x v="0"/>
    <x v="10"/>
    <n v="77"/>
    <n v="77"/>
    <n v="17.690000000000001"/>
    <n v="17.690000000000001"/>
    <n v="17.690000000000001"/>
    <n v="17.690000000000001"/>
    <n v="0"/>
    <x v="0"/>
    <n v="0"/>
    <n v="87"/>
    <n v="88"/>
    <n v="73"/>
    <n v="21.85"/>
    <n v="97.61"/>
    <n v="219.97"/>
    <n v="27.777091190692239"/>
    <n v="119.75016494517713"/>
    <n v="283.40928728637363"/>
    <n v="1682.45"/>
    <n v="1726.7209"/>
    <n v="3891.2693000000004"/>
    <n v="2138.8360216833025"/>
    <n v="2118.3804178801838"/>
    <n v="5013.5102920959498"/>
  </r>
  <r>
    <s v="PROJETADO"/>
    <x v="1"/>
    <x v="0"/>
    <x v="0"/>
    <x v="0"/>
    <x v="0"/>
    <x v="0"/>
    <x v="0"/>
    <x v="11"/>
    <n v="6060"/>
    <n v="6060"/>
    <n v="1839.3389999999999"/>
    <n v="1839.3389999999999"/>
    <n v="1839.3389999999999"/>
    <n v="1839.3389999999999"/>
    <n v="0"/>
    <x v="0"/>
    <n v="0"/>
    <n v="87"/>
    <n v="88"/>
    <n v="73"/>
    <n v="21.85"/>
    <n v="97.61"/>
    <n v="219.97"/>
    <n v="27.777091190692239"/>
    <n v="119.75016494517713"/>
    <n v="283.40928728637363"/>
    <n v="132411"/>
    <n v="179537.87979000001"/>
    <n v="404599.39983000001"/>
    <n v="168329.17261559496"/>
    <n v="220261.14864009715"/>
    <n v="521285.75506803114"/>
  </r>
  <r>
    <s v="PROJETADO"/>
    <x v="1"/>
    <x v="0"/>
    <x v="0"/>
    <x v="0"/>
    <x v="0"/>
    <x v="0"/>
    <x v="0"/>
    <x v="11"/>
    <n v="77"/>
    <n v="77"/>
    <n v="17.690000000000001"/>
    <n v="17.690000000000001"/>
    <n v="17.690000000000001"/>
    <n v="17.690000000000001"/>
    <n v="0"/>
    <x v="0"/>
    <n v="0"/>
    <n v="87"/>
    <n v="88"/>
    <n v="73"/>
    <n v="21.85"/>
    <n v="97.61"/>
    <n v="219.97"/>
    <n v="27.777091190692239"/>
    <n v="119.75016494517713"/>
    <n v="283.40928728637363"/>
    <n v="1682.45"/>
    <n v="1726.7209"/>
    <n v="3891.2693000000004"/>
    <n v="2138.8360216833025"/>
    <n v="2118.3804178801838"/>
    <n v="5013.5102920959498"/>
  </r>
  <r>
    <s v="Regular"/>
    <x v="1"/>
    <x v="0"/>
    <x v="0"/>
    <x v="0"/>
    <x v="0"/>
    <x v="0"/>
    <x v="2"/>
    <x v="0"/>
    <n v="8101"/>
    <n v="8101"/>
    <n v="269.06"/>
    <n v="269.06"/>
    <n v="269.06"/>
    <n v="269.06"/>
    <n v="0"/>
    <x v="0"/>
    <n v="0"/>
    <n v="91"/>
    <n v="88"/>
    <n v="72"/>
    <n v="60.2"/>
    <n v="97.61"/>
    <n v="346.61"/>
    <n v="74.915369220436304"/>
    <n v="119.75016494517713"/>
    <n v="441.69177554366559"/>
    <n v="487680.2"/>
    <n v="26262.946599999999"/>
    <n v="93258.886599999998"/>
    <n v="606889.40605475451"/>
    <n v="32219.979380149358"/>
    <n v="118841.58912777866"/>
  </r>
  <r>
    <s v="Refaturamento - Regular"/>
    <x v="1"/>
    <x v="0"/>
    <x v="0"/>
    <x v="0"/>
    <x v="0"/>
    <x v="0"/>
    <x v="2"/>
    <x v="0"/>
    <n v="-43"/>
    <n v="-43"/>
    <n v="-1.3640000000000001"/>
    <n v="-1.3640000000000001"/>
    <n v="-1.3640000000000001"/>
    <n v="-1.3640000000000001"/>
    <n v="0"/>
    <x v="0"/>
    <n v="0"/>
    <n v="91"/>
    <n v="88"/>
    <n v="72"/>
    <n v="60.2"/>
    <n v="97.61"/>
    <n v="346.61"/>
    <n v="74.915369220436304"/>
    <n v="119.75016494517713"/>
    <n v="441.69177554366559"/>
    <n v="-2588.6"/>
    <n v="-133.14004"/>
    <n v="-472.77604000000008"/>
    <n v="-3221.3608764787609"/>
    <n v="-163.33922498522162"/>
    <n v="-602.46758184155988"/>
  </r>
  <r>
    <s v="Sistema de Compensação"/>
    <x v="1"/>
    <x v="0"/>
    <x v="0"/>
    <x v="0"/>
    <x v="0"/>
    <x v="0"/>
    <x v="2"/>
    <x v="0"/>
    <n v="90"/>
    <n v="90"/>
    <n v="3.44"/>
    <n v="3.44"/>
    <n v="3.44"/>
    <n v="3.44"/>
    <n v="0"/>
    <x v="0"/>
    <n v="0"/>
    <n v="91"/>
    <n v="88"/>
    <n v="72"/>
    <n v="60.2"/>
    <n v="97.61"/>
    <n v="346.61"/>
    <n v="74.915369220436304"/>
    <n v="119.75016494517713"/>
    <n v="441.69177554366559"/>
    <n v="5418"/>
    <n v="335.77839999999998"/>
    <n v="1192.3384000000001"/>
    <n v="6742.3832298392672"/>
    <n v="411.94056741140935"/>
    <n v="1519.4197078702095"/>
  </r>
  <r>
    <s v="Sistema de Compensação"/>
    <x v="1"/>
    <x v="0"/>
    <x v="0"/>
    <x v="0"/>
    <x v="0"/>
    <x v="0"/>
    <x v="2"/>
    <x v="0"/>
    <n v="-38"/>
    <n v="-38"/>
    <n v="-1.859"/>
    <n v="-1.859"/>
    <n v="-1.859"/>
    <n v="-1.859"/>
    <n v="0"/>
    <x v="0"/>
    <n v="0"/>
    <n v="91"/>
    <n v="88"/>
    <n v="72"/>
    <n v="60.2"/>
    <n v="97.61"/>
    <n v="346.61"/>
    <n v="74.915369220436304"/>
    <n v="119.75016494517713"/>
    <n v="441.69177554366559"/>
    <n v="-2287.6"/>
    <n v="-181.45698999999999"/>
    <n v="-644.34798999999998"/>
    <n v="-2846.7840303765797"/>
    <n v="-222.61555663308428"/>
    <n v="-821.10501073567434"/>
  </r>
  <r>
    <s v="Regular"/>
    <x v="1"/>
    <x v="0"/>
    <x v="0"/>
    <x v="0"/>
    <x v="0"/>
    <x v="0"/>
    <x v="2"/>
    <x v="1"/>
    <n v="7913"/>
    <n v="7913"/>
    <n v="255.839"/>
    <n v="255.839"/>
    <n v="255.839"/>
    <n v="255.839"/>
    <n v="0"/>
    <x v="0"/>
    <n v="0"/>
    <n v="91"/>
    <n v="88"/>
    <n v="72"/>
    <n v="60.2"/>
    <n v="97.61"/>
    <n v="346.61"/>
    <n v="74.915369220436304"/>
    <n v="119.75016494517713"/>
    <n v="441.69177554366559"/>
    <n v="476362.60000000003"/>
    <n v="24972.444790000001"/>
    <n v="88676.355790000001"/>
    <n v="592805.31664131244"/>
    <n v="30636.762449409172"/>
    <n v="113001.98216331586"/>
  </r>
  <r>
    <s v="Sistema de Compensação"/>
    <x v="1"/>
    <x v="0"/>
    <x v="0"/>
    <x v="0"/>
    <x v="0"/>
    <x v="0"/>
    <x v="2"/>
    <x v="1"/>
    <n v="90"/>
    <n v="90"/>
    <n v="3.048"/>
    <n v="3.048"/>
    <n v="3.048"/>
    <n v="3.048"/>
    <n v="0"/>
    <x v="0"/>
    <n v="0"/>
    <n v="91"/>
    <n v="88"/>
    <n v="72"/>
    <n v="60.2"/>
    <n v="97.61"/>
    <n v="346.61"/>
    <n v="74.915369220436304"/>
    <n v="119.75016494517713"/>
    <n v="441.69177554366559"/>
    <n v="5418"/>
    <n v="297.51528000000002"/>
    <n v="1056.4672800000001"/>
    <n v="6742.3832298392672"/>
    <n v="364.99850275289992"/>
    <n v="1346.2765318570928"/>
  </r>
  <r>
    <s v="Regular"/>
    <x v="1"/>
    <x v="0"/>
    <x v="0"/>
    <x v="0"/>
    <x v="0"/>
    <x v="0"/>
    <x v="2"/>
    <x v="2"/>
    <n v="8028"/>
    <n v="8028"/>
    <n v="314.69400000000002"/>
    <n v="314.69400000000002"/>
    <n v="314.69400000000002"/>
    <n v="314.69400000000002"/>
    <n v="0"/>
    <x v="0"/>
    <n v="0"/>
    <n v="91"/>
    <n v="88"/>
    <n v="72"/>
    <n v="60.2"/>
    <n v="97.61"/>
    <n v="346.61"/>
    <n v="74.915369220436304"/>
    <n v="119.75016494517713"/>
    <n v="441.69177554366559"/>
    <n v="483285.60000000003"/>
    <n v="30717.281340000001"/>
    <n v="109076.08734000001"/>
    <n v="601420.58410166262"/>
    <n v="37684.658407257572"/>
    <n v="138997.7516129383"/>
  </r>
  <r>
    <s v="Sistema de Compensação"/>
    <x v="1"/>
    <x v="0"/>
    <x v="0"/>
    <x v="0"/>
    <x v="0"/>
    <x v="0"/>
    <x v="2"/>
    <x v="2"/>
    <n v="90"/>
    <n v="90"/>
    <n v="3.0590000000000002"/>
    <n v="3.0590000000000002"/>
    <n v="3.0590000000000002"/>
    <n v="3.0590000000000002"/>
    <n v="0"/>
    <x v="0"/>
    <n v="0"/>
    <n v="91"/>
    <n v="88"/>
    <n v="72"/>
    <n v="60.2"/>
    <n v="97.61"/>
    <n v="346.61"/>
    <n v="74.915369220436304"/>
    <n v="119.75016494517713"/>
    <n v="441.69177554366559"/>
    <n v="5418"/>
    <n v="298.58899000000002"/>
    <n v="1060.27999"/>
    <n v="6742.3832298392672"/>
    <n v="366.31575456729689"/>
    <n v="1351.1351413880732"/>
  </r>
  <r>
    <s v="Regular"/>
    <x v="1"/>
    <x v="0"/>
    <x v="0"/>
    <x v="0"/>
    <x v="0"/>
    <x v="0"/>
    <x v="2"/>
    <x v="3"/>
    <n v="7513"/>
    <n v="7513"/>
    <n v="265.96899999999999"/>
    <n v="265.96899999999999"/>
    <n v="265.96899999999999"/>
    <n v="265.96899999999999"/>
    <n v="0"/>
    <x v="0"/>
    <n v="0"/>
    <n v="91"/>
    <n v="88"/>
    <n v="72"/>
    <n v="60.2"/>
    <n v="97.61"/>
    <n v="346.61"/>
    <n v="74.915369220436304"/>
    <n v="119.75016494517713"/>
    <n v="441.69177554366559"/>
    <n v="452282.60000000003"/>
    <n v="25961.234089999998"/>
    <n v="92187.515090000001"/>
    <n v="562839.16895313794"/>
    <n v="31849.831620303816"/>
    <n v="117476.31984957319"/>
  </r>
  <r>
    <s v="Sistema de Compensação"/>
    <x v="1"/>
    <x v="0"/>
    <x v="0"/>
    <x v="0"/>
    <x v="0"/>
    <x v="0"/>
    <x v="2"/>
    <x v="3"/>
    <n v="82"/>
    <n v="82"/>
    <n v="3.226"/>
    <n v="3.226"/>
    <n v="3.226"/>
    <n v="3.226"/>
    <n v="0"/>
    <x v="0"/>
    <n v="0"/>
    <n v="91"/>
    <n v="88"/>
    <n v="72"/>
    <n v="60.2"/>
    <n v="97.61"/>
    <n v="346.61"/>
    <n v="74.915369220436304"/>
    <n v="119.75016494517713"/>
    <n v="441.69177554366559"/>
    <n v="4936.4000000000005"/>
    <n v="314.88986"/>
    <n v="1118.1638600000001"/>
    <n v="6143.0602760757765"/>
    <n v="386.31403211314142"/>
    <n v="1424.8976679038651"/>
  </r>
  <r>
    <s v="Regular"/>
    <x v="1"/>
    <x v="0"/>
    <x v="0"/>
    <x v="0"/>
    <x v="0"/>
    <x v="0"/>
    <x v="2"/>
    <x v="4"/>
    <n v="8153"/>
    <n v="8153"/>
    <n v="294.86799999999999"/>
    <n v="294.86799999999999"/>
    <n v="294.86799999999999"/>
    <n v="294.86799999999999"/>
    <n v="0"/>
    <x v="0"/>
    <n v="0"/>
    <n v="91"/>
    <n v="88"/>
    <n v="72"/>
    <n v="60.2"/>
    <n v="97.61"/>
    <n v="346.61"/>
    <n v="74.915369220436304"/>
    <n v="119.75016494517713"/>
    <n v="441.69177554366559"/>
    <n v="490810.60000000003"/>
    <n v="28782.065480000001"/>
    <n v="102204.19748"/>
    <n v="610785.00525421719"/>
    <n v="35310.491637054489"/>
    <n v="130240.77047100959"/>
  </r>
  <r>
    <s v="Refaturamento - Regular"/>
    <x v="1"/>
    <x v="0"/>
    <x v="0"/>
    <x v="0"/>
    <x v="0"/>
    <x v="0"/>
    <x v="2"/>
    <x v="4"/>
    <n v="210"/>
    <n v="210"/>
    <n v="7.47"/>
    <n v="7.47"/>
    <n v="7.47"/>
    <n v="7.47"/>
    <n v="0"/>
    <x v="0"/>
    <n v="0"/>
    <n v="91"/>
    <n v="88"/>
    <n v="72"/>
    <n v="60.2"/>
    <n v="97.61"/>
    <n v="346.61"/>
    <n v="74.915369220436304"/>
    <n v="119.75016494517713"/>
    <n v="441.69177554366559"/>
    <n v="12642"/>
    <n v="729.14670000000001"/>
    <n v="2589.1767"/>
    <n v="15732.227536291624"/>
    <n v="894.53373214047315"/>
    <n v="3299.4375633111817"/>
  </r>
  <r>
    <s v="Sistema de Compensação"/>
    <x v="1"/>
    <x v="0"/>
    <x v="0"/>
    <x v="0"/>
    <x v="0"/>
    <x v="0"/>
    <x v="2"/>
    <x v="4"/>
    <n v="82"/>
    <n v="82"/>
    <n v="3.109"/>
    <n v="3.109"/>
    <n v="3.109"/>
    <n v="3.109"/>
    <n v="0"/>
    <x v="0"/>
    <n v="0"/>
    <n v="91"/>
    <n v="88"/>
    <n v="72"/>
    <n v="60.2"/>
    <n v="97.61"/>
    <n v="346.61"/>
    <n v="74.915369220436304"/>
    <n v="119.75016494517713"/>
    <n v="441.69177554366559"/>
    <n v="4936.4000000000005"/>
    <n v="303.46949000000001"/>
    <n v="1077.61049"/>
    <n v="6143.0602760757765"/>
    <n v="372.30326281455569"/>
    <n v="1373.2197301652564"/>
  </r>
  <r>
    <s v="Regular"/>
    <x v="1"/>
    <x v="0"/>
    <x v="0"/>
    <x v="0"/>
    <x v="0"/>
    <x v="0"/>
    <x v="2"/>
    <x v="5"/>
    <n v="7788"/>
    <n v="7788"/>
    <n v="287.26900000000001"/>
    <n v="287.26900000000001"/>
    <n v="287.26900000000001"/>
    <n v="287.26900000000001"/>
    <n v="0"/>
    <x v="0"/>
    <n v="0"/>
    <n v="91"/>
    <n v="88"/>
    <n v="72"/>
    <n v="60.2"/>
    <n v="97.61"/>
    <n v="346.61"/>
    <n v="74.915369220436304"/>
    <n v="119.75016494517713"/>
    <n v="441.69177554366559"/>
    <n v="468837.60000000003"/>
    <n v="28040.327089999999"/>
    <n v="99570.308090000006"/>
    <n v="583440.89548875799"/>
    <n v="34400.510133636089"/>
    <n v="126884.35466865326"/>
  </r>
  <r>
    <s v="Sistema de Compensação"/>
    <x v="1"/>
    <x v="0"/>
    <x v="0"/>
    <x v="0"/>
    <x v="0"/>
    <x v="0"/>
    <x v="2"/>
    <x v="5"/>
    <n v="93"/>
    <n v="93"/>
    <n v="3.444"/>
    <n v="3.444"/>
    <n v="3.444"/>
    <n v="3.444"/>
    <n v="0"/>
    <x v="0"/>
    <n v="0"/>
    <n v="91"/>
    <n v="88"/>
    <n v="72"/>
    <n v="60.2"/>
    <n v="97.61"/>
    <n v="346.61"/>
    <n v="74.915369220436304"/>
    <n v="119.75016494517713"/>
    <n v="441.69177554366559"/>
    <n v="5598.6"/>
    <n v="336.16883999999999"/>
    <n v="1193.7248400000001"/>
    <n v="6967.1293375005762"/>
    <n v="412.41956807119004"/>
    <n v="1521.1864749723843"/>
  </r>
  <r>
    <s v="Regular"/>
    <x v="1"/>
    <x v="0"/>
    <x v="0"/>
    <x v="0"/>
    <x v="0"/>
    <x v="0"/>
    <x v="2"/>
    <x v="6"/>
    <n v="7184"/>
    <n v="7184"/>
    <n v="278.85700000000003"/>
    <n v="278.85700000000003"/>
    <n v="278.85700000000003"/>
    <n v="278.85700000000003"/>
    <n v="0"/>
    <x v="0"/>
    <n v="0"/>
    <n v="91"/>
    <n v="88"/>
    <n v="72"/>
    <n v="60.2"/>
    <n v="97.61"/>
    <n v="346.61"/>
    <n v="74.915369220436304"/>
    <n v="119.75016494517713"/>
    <n v="441.69177554366559"/>
    <n v="432476.80000000005"/>
    <n v="27219.231770000002"/>
    <n v="96654.624770000009"/>
    <n v="538192.01247961435"/>
    <n v="33393.171746117267"/>
    <n v="123168.84345277997"/>
  </r>
  <r>
    <s v="Refaturamento - Regular"/>
    <x v="1"/>
    <x v="0"/>
    <x v="0"/>
    <x v="0"/>
    <x v="0"/>
    <x v="0"/>
    <x v="2"/>
    <x v="6"/>
    <n v="10"/>
    <n v="10"/>
    <n v="-1.0999999999999999E-2"/>
    <n v="-1.0999999999999999E-2"/>
    <n v="-1.0999999999999999E-2"/>
    <n v="-1.0999999999999999E-2"/>
    <n v="0"/>
    <x v="0"/>
    <n v="0"/>
    <n v="91"/>
    <n v="88"/>
    <n v="72"/>
    <n v="60.2"/>
    <n v="97.61"/>
    <n v="346.61"/>
    <n v="74.915369220436304"/>
    <n v="119.75016494517713"/>
    <n v="441.69177554366559"/>
    <n v="602"/>
    <n v="-1.0737099999999999"/>
    <n v="-3.81271"/>
    <n v="749.1536922043631"/>
    <n v="-1.3172518143969485"/>
    <n v="-4.8586095309803214"/>
  </r>
  <r>
    <s v="Sistema de Compensação"/>
    <x v="1"/>
    <x v="0"/>
    <x v="0"/>
    <x v="0"/>
    <x v="0"/>
    <x v="0"/>
    <x v="2"/>
    <x v="6"/>
    <n v="82"/>
    <n v="82"/>
    <n v="2.9860000000000002"/>
    <n v="2.9860000000000002"/>
    <n v="2.9860000000000002"/>
    <n v="2.9860000000000002"/>
    <n v="0"/>
    <x v="0"/>
    <n v="0"/>
    <n v="91"/>
    <n v="88"/>
    <n v="72"/>
    <n v="60.2"/>
    <n v="97.61"/>
    <n v="346.61"/>
    <n v="74.915369220436304"/>
    <n v="119.75016494517713"/>
    <n v="441.69177554366559"/>
    <n v="4936.4000000000005"/>
    <n v="291.46346"/>
    <n v="1034.9774600000001"/>
    <n v="6143.0602760757765"/>
    <n v="357.57399252629892"/>
    <n v="1318.8916417733856"/>
  </r>
  <r>
    <s v="Regular"/>
    <x v="1"/>
    <x v="0"/>
    <x v="0"/>
    <x v="0"/>
    <x v="0"/>
    <x v="0"/>
    <x v="2"/>
    <x v="7"/>
    <n v="6864"/>
    <n v="6864"/>
    <n v="293.11200000000002"/>
    <n v="293.11200000000002"/>
    <n v="293.11200000000002"/>
    <n v="293.11200000000002"/>
    <n v="0"/>
    <x v="0"/>
    <n v="0"/>
    <n v="91"/>
    <n v="88"/>
    <n v="72"/>
    <n v="60.2"/>
    <n v="97.61"/>
    <n v="346.61"/>
    <n v="74.915369220436304"/>
    <n v="119.75016494517713"/>
    <n v="441.69177554366559"/>
    <n v="413212.80000000005"/>
    <n v="28610.662320000003"/>
    <n v="101595.55032000001"/>
    <n v="514219.09432907478"/>
    <n v="35100.210347410764"/>
    <n v="129465.15971315492"/>
  </r>
  <r>
    <s v="Sistema de Compensação"/>
    <x v="1"/>
    <x v="0"/>
    <x v="0"/>
    <x v="0"/>
    <x v="0"/>
    <x v="0"/>
    <x v="2"/>
    <x v="7"/>
    <n v="82"/>
    <n v="82"/>
    <n v="3.891"/>
    <n v="3.891"/>
    <n v="3.891"/>
    <n v="3.891"/>
    <n v="0"/>
    <x v="0"/>
    <n v="0"/>
    <n v="91"/>
    <n v="88"/>
    <n v="72"/>
    <n v="60.2"/>
    <n v="97.61"/>
    <n v="346.61"/>
    <n v="74.915369220436304"/>
    <n v="119.75016494517713"/>
    <n v="441.69177554366559"/>
    <n v="4936.4000000000005"/>
    <n v="379.80050999999997"/>
    <n v="1348.65951"/>
    <n v="6143.0602760757765"/>
    <n v="465.94789180168425"/>
    <n v="1718.6226986404029"/>
  </r>
  <r>
    <s v="Regular"/>
    <x v="1"/>
    <x v="0"/>
    <x v="0"/>
    <x v="0"/>
    <x v="0"/>
    <x v="0"/>
    <x v="2"/>
    <x v="8"/>
    <n v="6816"/>
    <n v="6816"/>
    <n v="269.83499999999998"/>
    <n v="269.83499999999998"/>
    <n v="269.83499999999998"/>
    <n v="269.83499999999998"/>
    <n v="0"/>
    <x v="0"/>
    <n v="0"/>
    <n v="91"/>
    <n v="88"/>
    <n v="72"/>
    <n v="60.2"/>
    <n v="97.61"/>
    <n v="346.61"/>
    <n v="74.915369220436304"/>
    <n v="119.75016494517713"/>
    <n v="441.69177554366559"/>
    <n v="410323.20000000001"/>
    <n v="26338.594349999999"/>
    <n v="93527.509349999993"/>
    <n v="510623.15660649387"/>
    <n v="32312.78575798187"/>
    <n v="119183.90025382499"/>
  </r>
  <r>
    <s v="Refaturamento - Regular"/>
    <x v="1"/>
    <x v="0"/>
    <x v="0"/>
    <x v="0"/>
    <x v="0"/>
    <x v="0"/>
    <x v="2"/>
    <x v="8"/>
    <n v="-327"/>
    <n v="-327"/>
    <n v="-13.249000000000001"/>
    <n v="-13.249000000000001"/>
    <n v="-13.249000000000001"/>
    <n v="-13.249000000000001"/>
    <n v="0"/>
    <x v="0"/>
    <n v="0"/>
    <n v="91"/>
    <n v="88"/>
    <n v="72"/>
    <n v="60.2"/>
    <n v="97.61"/>
    <n v="346.61"/>
    <n v="74.915369220436304"/>
    <n v="119.75016494517713"/>
    <n v="441.69177554366559"/>
    <n v="-19685.400000000001"/>
    <n v="-1293.23489"/>
    <n v="-4592.2358899999999"/>
    <n v="-24497.325735082672"/>
    <n v="-1586.5699353586519"/>
    <n v="-5851.9743341780259"/>
  </r>
  <r>
    <s v="Sistema de Compensação"/>
    <x v="1"/>
    <x v="0"/>
    <x v="0"/>
    <x v="0"/>
    <x v="0"/>
    <x v="0"/>
    <x v="2"/>
    <x v="8"/>
    <n v="82"/>
    <n v="82"/>
    <n v="2.657"/>
    <n v="2.657"/>
    <n v="2.657"/>
    <n v="2.657"/>
    <n v="0"/>
    <x v="0"/>
    <n v="0"/>
    <n v="91"/>
    <n v="88"/>
    <n v="72"/>
    <n v="60.2"/>
    <n v="97.61"/>
    <n v="346.61"/>
    <n v="74.915369220436304"/>
    <n v="119.75016494517713"/>
    <n v="441.69177554366559"/>
    <n v="4936.4000000000005"/>
    <n v="259.34976999999998"/>
    <n v="920.94277"/>
    <n v="6143.0602760757765"/>
    <n v="318.17618825933562"/>
    <n v="1173.5750476195194"/>
  </r>
  <r>
    <s v="Regular"/>
    <x v="1"/>
    <x v="0"/>
    <x v="0"/>
    <x v="0"/>
    <x v="0"/>
    <x v="0"/>
    <x v="2"/>
    <x v="9"/>
    <n v="6401"/>
    <n v="6401"/>
    <n v="245.26300000000001"/>
    <n v="245.26300000000001"/>
    <n v="245.26300000000001"/>
    <n v="245.26300000000001"/>
    <n v="0"/>
    <x v="0"/>
    <n v="0"/>
    <n v="91"/>
    <n v="88"/>
    <n v="72"/>
    <n v="60.2"/>
    <n v="97.61"/>
    <n v="346.61"/>
    <n v="74.915369220436304"/>
    <n v="119.75016494517713"/>
    <n v="441.69177554366559"/>
    <n v="385340.2"/>
    <n v="23940.121429999999"/>
    <n v="85010.608430000008"/>
    <n v="479533.27838001278"/>
    <n v="29370.284704948979"/>
    <n v="108330.64994516605"/>
  </r>
  <r>
    <s v="Sistema de Compensação"/>
    <x v="1"/>
    <x v="0"/>
    <x v="0"/>
    <x v="0"/>
    <x v="0"/>
    <x v="0"/>
    <x v="2"/>
    <x v="9"/>
    <n v="82"/>
    <n v="82"/>
    <n v="2.21"/>
    <n v="2.21"/>
    <n v="2.21"/>
    <n v="2.21"/>
    <n v="0"/>
    <x v="0"/>
    <n v="0"/>
    <n v="91"/>
    <n v="88"/>
    <n v="72"/>
    <n v="60.2"/>
    <n v="97.61"/>
    <n v="346.61"/>
    <n v="74.915369220436304"/>
    <n v="119.75016494517713"/>
    <n v="441.69177554366559"/>
    <n v="4936.4000000000005"/>
    <n v="215.71809999999999"/>
    <n v="766.00810000000001"/>
    <n v="6143.0602760757765"/>
    <n v="264.64786452884147"/>
    <n v="976.13882395150097"/>
  </r>
  <r>
    <s v="Regular"/>
    <x v="1"/>
    <x v="0"/>
    <x v="0"/>
    <x v="0"/>
    <x v="0"/>
    <x v="0"/>
    <x v="2"/>
    <x v="10"/>
    <n v="5449"/>
    <n v="5449"/>
    <n v="210.15199999999999"/>
    <n v="210.15199999999999"/>
    <n v="210.15199999999999"/>
    <n v="210.15199999999999"/>
    <n v="0"/>
    <x v="0"/>
    <n v="0"/>
    <n v="91"/>
    <n v="88"/>
    <n v="72"/>
    <n v="60.2"/>
    <n v="97.61"/>
    <n v="346.61"/>
    <n v="74.915369220436304"/>
    <n v="119.75016494517713"/>
    <n v="441.69177554366559"/>
    <n v="328029.8"/>
    <n v="20512.936719999998"/>
    <n v="72840.784719999996"/>
    <n v="408213.84688215744"/>
    <n v="25165.736663558862"/>
    <n v="92822.41001405241"/>
  </r>
  <r>
    <s v="Sistema de Compensação"/>
    <x v="1"/>
    <x v="0"/>
    <x v="0"/>
    <x v="0"/>
    <x v="0"/>
    <x v="0"/>
    <x v="2"/>
    <x v="10"/>
    <n v="82"/>
    <n v="82"/>
    <n v="2.923"/>
    <n v="2.923"/>
    <n v="2.923"/>
    <n v="2.923"/>
    <n v="0"/>
    <x v="0"/>
    <n v="0"/>
    <n v="91"/>
    <n v="88"/>
    <n v="72"/>
    <n v="60.2"/>
    <n v="97.61"/>
    <n v="346.61"/>
    <n v="74.915369220436304"/>
    <n v="119.75016494517713"/>
    <n v="441.69177554366559"/>
    <n v="4936.4000000000005"/>
    <n v="285.31403"/>
    <n v="1013.14103"/>
    <n v="6143.0602760757765"/>
    <n v="350.02973213475275"/>
    <n v="1291.0650599141345"/>
  </r>
  <r>
    <s v="PROJETADO"/>
    <x v="1"/>
    <x v="0"/>
    <x v="0"/>
    <x v="0"/>
    <x v="0"/>
    <x v="0"/>
    <x v="2"/>
    <x v="11"/>
    <n v="5449"/>
    <n v="5449"/>
    <n v="210.15199999999999"/>
    <n v="210.15199999999999"/>
    <n v="210.15199999999999"/>
    <n v="210.15199999999999"/>
    <n v="0"/>
    <x v="0"/>
    <n v="0"/>
    <n v="91"/>
    <n v="88"/>
    <n v="72"/>
    <n v="60.2"/>
    <n v="97.61"/>
    <n v="346.61"/>
    <n v="74.915369220436304"/>
    <n v="119.75016494517713"/>
    <n v="441.69177554366559"/>
    <n v="328029.8"/>
    <n v="20512.936719999998"/>
    <n v="72840.784719999996"/>
    <n v="408213.84688215744"/>
    <n v="25165.736663558862"/>
    <n v="92822.41001405241"/>
  </r>
  <r>
    <s v="PROJETADO"/>
    <x v="1"/>
    <x v="0"/>
    <x v="0"/>
    <x v="0"/>
    <x v="0"/>
    <x v="0"/>
    <x v="2"/>
    <x v="11"/>
    <n v="82"/>
    <n v="82"/>
    <n v="2.923"/>
    <n v="2.923"/>
    <n v="2.923"/>
    <n v="2.923"/>
    <n v="0"/>
    <x v="0"/>
    <n v="0"/>
    <n v="91"/>
    <n v="88"/>
    <n v="72"/>
    <n v="60.2"/>
    <n v="97.61"/>
    <n v="346.61"/>
    <n v="74.915369220436304"/>
    <n v="119.75016494517713"/>
    <n v="441.69177554366559"/>
    <n v="4936.4000000000005"/>
    <n v="285.31403"/>
    <n v="1013.14103"/>
    <n v="6143.0602760757765"/>
    <n v="350.02973213475275"/>
    <n v="1291.0650599141345"/>
  </r>
  <r>
    <s v="Regular"/>
    <x v="1"/>
    <x v="0"/>
    <x v="1"/>
    <x v="0"/>
    <x v="2"/>
    <x v="0"/>
    <x v="0"/>
    <x v="0"/>
    <n v="11934"/>
    <n v="4575.6024092999996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99976.912643204996"/>
    <n v="0"/>
    <n v="0"/>
    <n v="127096.92537547721"/>
    <n v="0"/>
    <n v="0"/>
  </r>
  <r>
    <s v="Regular"/>
    <x v="1"/>
    <x v="0"/>
    <x v="1"/>
    <x v="0"/>
    <x v="2"/>
    <x v="0"/>
    <x v="0"/>
    <x v="1"/>
    <n v="12806"/>
    <n v="5134.5000052200003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12188.82511405701"/>
    <n v="0"/>
    <n v="0"/>
    <n v="142621.47486360572"/>
    <n v="0"/>
    <n v="0"/>
  </r>
  <r>
    <s v="Regular"/>
    <x v="1"/>
    <x v="0"/>
    <x v="1"/>
    <x v="0"/>
    <x v="2"/>
    <x v="0"/>
    <x v="0"/>
    <x v="2"/>
    <n v="14440"/>
    <n v="5777.5833460000003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26240.19611010002"/>
    <n v="0"/>
    <n v="0"/>
    <n v="160484.4594636668"/>
    <n v="0"/>
    <n v="0"/>
  </r>
  <r>
    <s v="Regular"/>
    <x v="1"/>
    <x v="0"/>
    <x v="1"/>
    <x v="0"/>
    <x v="2"/>
    <x v="0"/>
    <x v="0"/>
    <x v="3"/>
    <n v="16638"/>
    <n v="7136.5000708799998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55932.526548728"/>
    <n v="0"/>
    <n v="0"/>
    <n v="198231.21325121538"/>
    <n v="0"/>
    <n v="0"/>
  </r>
  <r>
    <s v="Regular"/>
    <x v="1"/>
    <x v="0"/>
    <x v="1"/>
    <x v="0"/>
    <x v="2"/>
    <x v="0"/>
    <x v="0"/>
    <x v="4"/>
    <n v="16596"/>
    <n v="6355.4322254400004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38866.19412586401"/>
    <n v="0"/>
    <n v="0"/>
    <n v="176535.42048231102"/>
    <n v="0"/>
    <n v="0"/>
  </r>
  <r>
    <s v="Regular"/>
    <x v="1"/>
    <x v="0"/>
    <x v="1"/>
    <x v="0"/>
    <x v="2"/>
    <x v="0"/>
    <x v="0"/>
    <x v="5"/>
    <n v="17990"/>
    <n v="7682.4999719999996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67862.6243882"/>
    <n v="0"/>
    <n v="0"/>
    <n v="213397.50229473456"/>
    <n v="0"/>
    <n v="0"/>
  </r>
  <r>
    <s v="Regular"/>
    <x v="1"/>
    <x v="0"/>
    <x v="1"/>
    <x v="0"/>
    <x v="2"/>
    <x v="0"/>
    <x v="0"/>
    <x v="6"/>
    <n v="17616"/>
    <n v="5862.0558854399997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28085.921096864"/>
    <n v="0"/>
    <n v="0"/>
    <n v="162830.86089480101"/>
    <n v="0"/>
    <n v="0"/>
  </r>
  <r>
    <s v="Regular"/>
    <x v="1"/>
    <x v="0"/>
    <x v="1"/>
    <x v="0"/>
    <x v="2"/>
    <x v="0"/>
    <x v="0"/>
    <x v="7"/>
    <n v="18413"/>
    <n v="7289.0000090599997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59264.65019796099"/>
    <n v="0"/>
    <n v="0"/>
    <n v="202467.21794061616"/>
    <n v="0"/>
    <n v="0"/>
  </r>
  <r>
    <s v="Regular"/>
    <x v="1"/>
    <x v="0"/>
    <x v="1"/>
    <x v="0"/>
    <x v="2"/>
    <x v="0"/>
    <x v="0"/>
    <x v="8"/>
    <n v="18542"/>
    <n v="7958.5000799199997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73893.22674625201"/>
    <n v="0"/>
    <n v="0"/>
    <n v="221063.9824610693"/>
    <n v="0"/>
    <n v="0"/>
  </r>
  <r>
    <s v="Regular"/>
    <x v="1"/>
    <x v="0"/>
    <x v="1"/>
    <x v="0"/>
    <x v="2"/>
    <x v="0"/>
    <x v="0"/>
    <x v="9"/>
    <n v="19122"/>
    <n v="8248.4999571600001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80229.72406394602"/>
    <n v="0"/>
    <n v="0"/>
    <n v="229119.33549645435"/>
    <n v="0"/>
    <n v="0"/>
  </r>
  <r>
    <s v="Regular"/>
    <x v="1"/>
    <x v="0"/>
    <x v="1"/>
    <x v="0"/>
    <x v="2"/>
    <x v="0"/>
    <x v="0"/>
    <x v="10"/>
    <n v="19895"/>
    <n v="8634.9999917500008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88674.74981973754"/>
    <n v="0"/>
    <n v="0"/>
    <n v="239855.1822024665"/>
    <n v="0"/>
    <n v="0"/>
  </r>
  <r>
    <s v="PROJETADO"/>
    <x v="1"/>
    <x v="0"/>
    <x v="1"/>
    <x v="0"/>
    <x v="2"/>
    <x v="0"/>
    <x v="0"/>
    <x v="11"/>
    <n v="19895"/>
    <n v="8634.9999917500008"/>
    <n v="0"/>
    <n v="0"/>
    <n v="0"/>
    <n v="0"/>
    <n v="0"/>
    <x v="1"/>
    <n v="0"/>
    <n v="87"/>
    <n v="0"/>
    <n v="0"/>
    <n v="21.85"/>
    <n v="0"/>
    <n v="0"/>
    <n v="27.777091190692239"/>
    <n v="119.75016494517713"/>
    <m/>
    <n v="188674.74981973754"/>
    <n v="0"/>
    <n v="0"/>
    <n v="239855.1822024665"/>
    <n v="0"/>
    <n v="0"/>
  </r>
  <r>
    <s v="Regular"/>
    <x v="1"/>
    <x v="0"/>
    <x v="1"/>
    <x v="0"/>
    <x v="2"/>
    <x v="0"/>
    <x v="1"/>
    <x v="0"/>
    <n v="0"/>
    <n v="0"/>
    <n v="4198.491"/>
    <n v="4198.491"/>
    <n v="0"/>
    <n v="0"/>
    <n v="22"/>
    <x v="1"/>
    <n v="0"/>
    <n v="0"/>
    <n v="88"/>
    <n v="0"/>
    <n v="0"/>
    <n v="97.61"/>
    <n v="0"/>
    <m/>
    <n v="119.75016494517713"/>
    <m/>
    <n v="0"/>
    <n v="409814.70650999999"/>
    <n v="0"/>
    <n v="0"/>
    <n v="502769.98977084167"/>
    <n v="0"/>
  </r>
  <r>
    <s v="Regular"/>
    <x v="1"/>
    <x v="0"/>
    <x v="1"/>
    <x v="0"/>
    <x v="2"/>
    <x v="0"/>
    <x v="1"/>
    <x v="1"/>
    <n v="0"/>
    <n v="0"/>
    <n v="4216.2759999999998"/>
    <n v="4216.2759999999998"/>
    <n v="0"/>
    <n v="0"/>
    <n v="24"/>
    <x v="1"/>
    <n v="0"/>
    <n v="0"/>
    <n v="88"/>
    <n v="0"/>
    <n v="0"/>
    <n v="97.61"/>
    <n v="0"/>
    <m/>
    <n v="119.75016494517713"/>
    <m/>
    <n v="0"/>
    <n v="411550.70035999996"/>
    <n v="0"/>
    <n v="0"/>
    <n v="504899.74645439163"/>
    <n v="0"/>
  </r>
  <r>
    <s v="Regular"/>
    <x v="1"/>
    <x v="0"/>
    <x v="1"/>
    <x v="0"/>
    <x v="2"/>
    <x v="0"/>
    <x v="1"/>
    <x v="2"/>
    <n v="0"/>
    <n v="0"/>
    <n v="5093.99"/>
    <n v="5093.99"/>
    <n v="0"/>
    <n v="0"/>
    <n v="24"/>
    <x v="1"/>
    <n v="0"/>
    <n v="0"/>
    <n v="88"/>
    <n v="0"/>
    <n v="0"/>
    <n v="97.61"/>
    <n v="0"/>
    <m/>
    <n v="119.75016494517713"/>
    <m/>
    <n v="0"/>
    <n v="497224.3639"/>
    <n v="0"/>
    <n v="0"/>
    <n v="610006.14272908284"/>
    <n v="0"/>
  </r>
  <r>
    <s v="Regular"/>
    <x v="1"/>
    <x v="0"/>
    <x v="1"/>
    <x v="0"/>
    <x v="2"/>
    <x v="0"/>
    <x v="1"/>
    <x v="3"/>
    <n v="0"/>
    <n v="0"/>
    <n v="5794.2820000000002"/>
    <n v="5794.2820000000002"/>
    <n v="0"/>
    <n v="0"/>
    <n v="27"/>
    <x v="1"/>
    <n v="0"/>
    <n v="0"/>
    <n v="88"/>
    <n v="0"/>
    <n v="0"/>
    <n v="97.61"/>
    <n v="0"/>
    <m/>
    <n v="119.75016494517713"/>
    <m/>
    <n v="0"/>
    <n v="565579.86601999996"/>
    <n v="0"/>
    <n v="0"/>
    <n v="693866.22523887083"/>
    <n v="0"/>
  </r>
  <r>
    <s v="Regular"/>
    <x v="1"/>
    <x v="0"/>
    <x v="1"/>
    <x v="0"/>
    <x v="2"/>
    <x v="0"/>
    <x v="1"/>
    <x v="4"/>
    <n v="0"/>
    <n v="0"/>
    <n v="6393.9769999999999"/>
    <n v="6393.9769999999999"/>
    <n v="0"/>
    <n v="0"/>
    <n v="29"/>
    <x v="1"/>
    <n v="0"/>
    <n v="0"/>
    <n v="88"/>
    <n v="0"/>
    <n v="0"/>
    <n v="97.61"/>
    <n v="0"/>
    <m/>
    <n v="119.75016494517713"/>
    <m/>
    <n v="0"/>
    <n v="624116.09496999998"/>
    <n v="0"/>
    <n v="0"/>
    <n v="765679.80040566879"/>
    <n v="0"/>
  </r>
  <r>
    <s v="Regular"/>
    <x v="1"/>
    <x v="0"/>
    <x v="1"/>
    <x v="0"/>
    <x v="2"/>
    <x v="0"/>
    <x v="1"/>
    <x v="5"/>
    <n v="0"/>
    <n v="0"/>
    <n v="7168.2340000000004"/>
    <n v="7168.2340000000004"/>
    <n v="0"/>
    <n v="0"/>
    <n v="31"/>
    <x v="1"/>
    <n v="0"/>
    <n v="0"/>
    <n v="88"/>
    <n v="0"/>
    <n v="0"/>
    <n v="97.61"/>
    <n v="0"/>
    <m/>
    <n v="119.75016494517713"/>
    <m/>
    <n v="0"/>
    <n v="699691.32074"/>
    <n v="0"/>
    <n v="0"/>
    <n v="858397.20386562694"/>
    <n v="0"/>
  </r>
  <r>
    <s v="Regular"/>
    <x v="1"/>
    <x v="0"/>
    <x v="1"/>
    <x v="0"/>
    <x v="2"/>
    <x v="0"/>
    <x v="1"/>
    <x v="6"/>
    <n v="0"/>
    <n v="0"/>
    <n v="6906.5820000000003"/>
    <n v="6906.5820000000003"/>
    <n v="0"/>
    <n v="0"/>
    <n v="32"/>
    <x v="1"/>
    <n v="0"/>
    <n v="0"/>
    <n v="88"/>
    <n v="0"/>
    <n v="0"/>
    <n v="97.61"/>
    <n v="0"/>
    <m/>
    <n v="119.75016494517713"/>
    <m/>
    <n v="0"/>
    <n v="674151.46902000008"/>
    <n v="0"/>
    <n v="0"/>
    <n v="827064.3337073914"/>
    <n v="0"/>
  </r>
  <r>
    <s v="Regular"/>
    <x v="1"/>
    <x v="0"/>
    <x v="1"/>
    <x v="0"/>
    <x v="2"/>
    <x v="0"/>
    <x v="1"/>
    <x v="7"/>
    <n v="0"/>
    <n v="0"/>
    <n v="6939.7569999999996"/>
    <n v="6939.7569999999996"/>
    <n v="0"/>
    <n v="0"/>
    <n v="33"/>
    <x v="1"/>
    <n v="0"/>
    <n v="0"/>
    <n v="88"/>
    <n v="0"/>
    <n v="0"/>
    <n v="97.61"/>
    <n v="0"/>
    <m/>
    <n v="119.75016494517713"/>
    <m/>
    <n v="0"/>
    <n v="677389.68076999998"/>
    <n v="0"/>
    <n v="0"/>
    <n v="831037.04542944755"/>
    <n v="0"/>
  </r>
  <r>
    <s v="Regular"/>
    <x v="1"/>
    <x v="0"/>
    <x v="1"/>
    <x v="0"/>
    <x v="2"/>
    <x v="0"/>
    <x v="1"/>
    <x v="8"/>
    <n v="0"/>
    <n v="0"/>
    <n v="6524.7719999999999"/>
    <n v="6524.7719999999999"/>
    <n v="0"/>
    <n v="0"/>
    <n v="34"/>
    <x v="1"/>
    <n v="0"/>
    <n v="0"/>
    <n v="88"/>
    <n v="0"/>
    <n v="0"/>
    <n v="97.61"/>
    <n v="0"/>
    <m/>
    <n v="119.75016494517713"/>
    <m/>
    <n v="0"/>
    <n v="636882.99491999997"/>
    <n v="0"/>
    <n v="0"/>
    <n v="781342.52322967327"/>
    <n v="0"/>
  </r>
  <r>
    <s v="Regular"/>
    <x v="1"/>
    <x v="0"/>
    <x v="1"/>
    <x v="0"/>
    <x v="2"/>
    <x v="0"/>
    <x v="1"/>
    <x v="9"/>
    <n v="0"/>
    <n v="0"/>
    <n v="6430.9620000000004"/>
    <n v="6430.9620000000004"/>
    <n v="0"/>
    <n v="0"/>
    <n v="35"/>
    <x v="1"/>
    <n v="0"/>
    <n v="0"/>
    <n v="88"/>
    <n v="0"/>
    <n v="0"/>
    <n v="97.61"/>
    <n v="0"/>
    <m/>
    <n v="119.75016494517713"/>
    <m/>
    <n v="0"/>
    <n v="627726.20082000003"/>
    <n v="0"/>
    <n v="0"/>
    <n v="770108.76025616622"/>
    <n v="0"/>
  </r>
  <r>
    <s v="Regular"/>
    <x v="1"/>
    <x v="0"/>
    <x v="1"/>
    <x v="0"/>
    <x v="2"/>
    <x v="0"/>
    <x v="1"/>
    <x v="10"/>
    <n v="0"/>
    <n v="0"/>
    <n v="7094.2309999999998"/>
    <n v="7094.2309999999998"/>
    <n v="0"/>
    <n v="0"/>
    <n v="36"/>
    <x v="1"/>
    <n v="0"/>
    <n v="0"/>
    <n v="88"/>
    <n v="0"/>
    <n v="0"/>
    <n v="97.61"/>
    <n v="0"/>
    <m/>
    <n v="119.75016494517713"/>
    <m/>
    <n v="0"/>
    <n v="692467.88790999993"/>
    <n v="0"/>
    <n v="0"/>
    <n v="849535.33240918885"/>
    <n v="0"/>
  </r>
  <r>
    <s v="PROJETADO"/>
    <x v="1"/>
    <x v="0"/>
    <x v="1"/>
    <x v="0"/>
    <x v="2"/>
    <x v="0"/>
    <x v="1"/>
    <x v="11"/>
    <n v="0"/>
    <n v="0"/>
    <n v="7094.2309999999998"/>
    <n v="7094.2309999999998"/>
    <n v="0"/>
    <n v="0"/>
    <n v="36"/>
    <x v="1"/>
    <n v="0"/>
    <n v="0"/>
    <n v="88"/>
    <n v="0"/>
    <n v="0"/>
    <n v="97.61"/>
    <n v="0"/>
    <m/>
    <n v="119.75016494517713"/>
    <m/>
    <n v="0"/>
    <n v="692467.88790999993"/>
    <n v="0"/>
    <n v="0"/>
    <n v="849535.33240918885"/>
    <n v="0"/>
  </r>
  <r>
    <s v="Regular"/>
    <x v="1"/>
    <x v="0"/>
    <x v="1"/>
    <x v="0"/>
    <x v="2"/>
    <x v="0"/>
    <x v="2"/>
    <x v="0"/>
    <n v="11035"/>
    <n v="4134.4795877500001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248895.67118255002"/>
    <n v="0"/>
    <n v="0"/>
    <n v="309736.06485064852"/>
    <n v="0"/>
    <n v="0"/>
  </r>
  <r>
    <s v="Regular"/>
    <x v="1"/>
    <x v="0"/>
    <x v="1"/>
    <x v="0"/>
    <x v="2"/>
    <x v="0"/>
    <x v="2"/>
    <x v="1"/>
    <n v="11843"/>
    <n v="4690.9999832800004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282398.19899345603"/>
    <n v="0"/>
    <n v="0"/>
    <n v="351427.99576048175"/>
    <n v="0"/>
    <n v="0"/>
  </r>
  <r>
    <s v="Regular"/>
    <x v="1"/>
    <x v="0"/>
    <x v="1"/>
    <x v="0"/>
    <x v="2"/>
    <x v="0"/>
    <x v="2"/>
    <x v="2"/>
    <n v="13530"/>
    <n v="5327.5820003999997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320720.43642407999"/>
    <n v="0"/>
    <n v="0"/>
    <n v="399117.77261211659"/>
    <n v="0"/>
    <n v="0"/>
  </r>
  <r>
    <s v="Regular"/>
    <x v="1"/>
    <x v="0"/>
    <x v="1"/>
    <x v="0"/>
    <x v="2"/>
    <x v="0"/>
    <x v="2"/>
    <x v="3"/>
    <n v="15338"/>
    <n v="6491.5000528199998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390788.30317976401"/>
    <n v="0"/>
    <n v="0"/>
    <n v="486313.12325149204"/>
    <n v="0"/>
    <n v="0"/>
  </r>
  <r>
    <s v="Regular"/>
    <x v="1"/>
    <x v="0"/>
    <x v="1"/>
    <x v="0"/>
    <x v="2"/>
    <x v="0"/>
    <x v="2"/>
    <x v="4"/>
    <n v="15730"/>
    <n v="5927.4009366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356829.53638332"/>
    <n v="0"/>
    <n v="0"/>
    <n v="444053.42968294898"/>
    <n v="0"/>
    <n v="0"/>
  </r>
  <r>
    <s v="Regular"/>
    <x v="1"/>
    <x v="0"/>
    <x v="1"/>
    <x v="0"/>
    <x v="2"/>
    <x v="0"/>
    <x v="2"/>
    <x v="5"/>
    <n v="16882"/>
    <n v="7133.5000732999997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429436.70441265998"/>
    <n v="0"/>
    <n v="0"/>
    <n v="534408.79182527889"/>
    <n v="0"/>
    <n v="0"/>
  </r>
  <r>
    <s v="Regular"/>
    <x v="1"/>
    <x v="0"/>
    <x v="1"/>
    <x v="0"/>
    <x v="2"/>
    <x v="0"/>
    <x v="2"/>
    <x v="6"/>
    <n v="16746"/>
    <n v="5488.6229085000004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330415.09909170005"/>
    <n v="0"/>
    <n v="0"/>
    <n v="411182.21170202253"/>
    <n v="0"/>
    <n v="0"/>
  </r>
  <r>
    <s v="Regular"/>
    <x v="1"/>
    <x v="0"/>
    <x v="1"/>
    <x v="0"/>
    <x v="2"/>
    <x v="0"/>
    <x v="2"/>
    <x v="7"/>
    <n v="17504"/>
    <n v="6839.5000070400001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411737.90042380802"/>
    <n v="0"/>
    <n v="0"/>
    <n v="512383.66831057833"/>
    <n v="0"/>
    <n v="0"/>
  </r>
  <r>
    <s v="Regular"/>
    <x v="1"/>
    <x v="0"/>
    <x v="1"/>
    <x v="0"/>
    <x v="2"/>
    <x v="0"/>
    <x v="2"/>
    <x v="8"/>
    <n v="17596"/>
    <n v="7490.5000106400003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450928.10064052802"/>
    <n v="0"/>
    <n v="0"/>
    <n v="561153.5739427777"/>
    <n v="0"/>
    <n v="0"/>
  </r>
  <r>
    <s v="Regular"/>
    <x v="1"/>
    <x v="0"/>
    <x v="1"/>
    <x v="0"/>
    <x v="2"/>
    <x v="0"/>
    <x v="2"/>
    <x v="9"/>
    <n v="18083"/>
    <n v="7734.00000516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465586.80031063204"/>
    <n v="0"/>
    <n v="0"/>
    <n v="579395.4659374177"/>
    <n v="0"/>
    <n v="0"/>
  </r>
  <r>
    <s v="Regular"/>
    <x v="1"/>
    <x v="0"/>
    <x v="1"/>
    <x v="0"/>
    <x v="2"/>
    <x v="0"/>
    <x v="2"/>
    <x v="10"/>
    <n v="18973"/>
    <n v="8178.9999904400001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492375.79942448804"/>
    <n v="0"/>
    <n v="0"/>
    <n v="612732.80413775763"/>
    <n v="0"/>
    <n v="0"/>
  </r>
  <r>
    <s v="PROJETADO"/>
    <x v="1"/>
    <x v="0"/>
    <x v="1"/>
    <x v="0"/>
    <x v="2"/>
    <x v="0"/>
    <x v="2"/>
    <x v="11"/>
    <n v="18973"/>
    <n v="8178.9999904400001"/>
    <n v="0"/>
    <n v="0"/>
    <n v="0"/>
    <n v="0"/>
    <n v="0"/>
    <x v="1"/>
    <n v="0"/>
    <n v="91"/>
    <n v="0"/>
    <n v="0"/>
    <n v="60.2"/>
    <n v="0"/>
    <n v="0"/>
    <n v="74.915369220436304"/>
    <n v="119.75016494517713"/>
    <m/>
    <n v="492375.79942448804"/>
    <n v="0"/>
    <n v="0"/>
    <n v="612732.80413775763"/>
    <n v="0"/>
    <n v="0"/>
  </r>
  <r>
    <s v="Regular"/>
    <x v="1"/>
    <x v="0"/>
    <x v="1"/>
    <x v="0"/>
    <x v="0"/>
    <x v="0"/>
    <x v="0"/>
    <x v="0"/>
    <n v="4068"/>
    <n v="4068"/>
    <n v="1539.5229999999999"/>
    <n v="1539.5229999999999"/>
    <n v="1539.5229999999999"/>
    <n v="1539.5229999999999"/>
    <n v="0"/>
    <x v="0"/>
    <n v="0"/>
    <n v="87"/>
    <n v="88"/>
    <n v="73"/>
    <n v="21.85"/>
    <n v="97.61"/>
    <n v="219.97"/>
    <n v="27.777091190692239"/>
    <n v="119.75016494517713"/>
    <n v="283.40928728637363"/>
    <n v="88885.8"/>
    <n v="150272.84002999999"/>
    <n v="338648.87430999998"/>
    <n v="112997.20696373603"/>
    <n v="184358.13318689392"/>
    <n v="436315.11619097978"/>
  </r>
  <r>
    <s v="Regular"/>
    <x v="1"/>
    <x v="0"/>
    <x v="1"/>
    <x v="0"/>
    <x v="0"/>
    <x v="0"/>
    <x v="0"/>
    <x v="1"/>
    <n v="3974"/>
    <n v="3974"/>
    <n v="1430.9970000000001"/>
    <n v="1430.9970000000001"/>
    <n v="1430.9970000000001"/>
    <n v="1430.9970000000001"/>
    <n v="0"/>
    <x v="0"/>
    <n v="0"/>
    <n v="87"/>
    <n v="88"/>
    <n v="73"/>
    <n v="21.85"/>
    <n v="97.61"/>
    <n v="219.97"/>
    <n v="27.777091190692239"/>
    <n v="119.75016494517713"/>
    <n v="283.40928728637363"/>
    <n v="86831.900000000009"/>
    <n v="139679.61717000001"/>
    <n v="314776.41009000002"/>
    <n v="110386.16039181096"/>
    <n v="171362.12678605365"/>
    <n v="405557.8398789388"/>
  </r>
  <r>
    <s v="Regular"/>
    <x v="1"/>
    <x v="0"/>
    <x v="1"/>
    <x v="0"/>
    <x v="0"/>
    <x v="0"/>
    <x v="0"/>
    <x v="2"/>
    <n v="4241"/>
    <n v="4241"/>
    <n v="1515.44"/>
    <n v="1515.44"/>
    <n v="1515.44"/>
    <n v="1515.44"/>
    <n v="0"/>
    <x v="0"/>
    <n v="0"/>
    <n v="87"/>
    <n v="88"/>
    <n v="73"/>
    <n v="21.85"/>
    <n v="97.61"/>
    <n v="219.97"/>
    <n v="27.777091190692239"/>
    <n v="119.75016494517713"/>
    <n v="283.40928728637363"/>
    <n v="92665.85"/>
    <n v="147922.09840000002"/>
    <n v="333351.33679999999"/>
    <n v="117802.64373972578"/>
    <n v="181474.18996451923"/>
    <n v="429489.77032526204"/>
  </r>
  <r>
    <s v="Regular"/>
    <x v="1"/>
    <x v="0"/>
    <x v="1"/>
    <x v="0"/>
    <x v="0"/>
    <x v="0"/>
    <x v="0"/>
    <x v="3"/>
    <n v="4283"/>
    <n v="4283"/>
    <n v="1633.893"/>
    <n v="1633.893"/>
    <n v="1633.893"/>
    <n v="1633.893"/>
    <n v="0"/>
    <x v="0"/>
    <n v="0"/>
    <n v="87"/>
    <n v="88"/>
    <n v="73"/>
    <n v="21.85"/>
    <n v="97.61"/>
    <n v="219.97"/>
    <n v="27.777091190692239"/>
    <n v="119.75016494517713"/>
    <n v="283.40928728637363"/>
    <n v="93583.55"/>
    <n v="159484.29573000001"/>
    <n v="359407.44321"/>
    <n v="118969.28156973486"/>
    <n v="195658.95625277029"/>
    <n v="463060.45063219487"/>
  </r>
  <r>
    <s v="Regular"/>
    <x v="1"/>
    <x v="0"/>
    <x v="1"/>
    <x v="0"/>
    <x v="0"/>
    <x v="0"/>
    <x v="0"/>
    <x v="4"/>
    <n v="4261"/>
    <n v="4261"/>
    <n v="1544.037"/>
    <n v="1544.037"/>
    <n v="1544.037"/>
    <n v="1544.037"/>
    <n v="0"/>
    <x v="0"/>
    <n v="0"/>
    <n v="87"/>
    <n v="88"/>
    <n v="73"/>
    <n v="21.85"/>
    <n v="97.61"/>
    <n v="219.97"/>
    <n v="27.777091190692239"/>
    <n v="119.75016494517713"/>
    <n v="283.40928728637363"/>
    <n v="93102.85"/>
    <n v="150713.45157"/>
    <n v="339641.81889"/>
    <n v="118358.18556353964"/>
    <n v="184898.68543145646"/>
    <n v="437594.42571379046"/>
  </r>
  <r>
    <s v="Regular"/>
    <x v="1"/>
    <x v="0"/>
    <x v="1"/>
    <x v="0"/>
    <x v="0"/>
    <x v="0"/>
    <x v="0"/>
    <x v="5"/>
    <n v="4264"/>
    <n v="4264"/>
    <n v="1557.8910000000001"/>
    <n v="1557.8910000000001"/>
    <n v="1557.8910000000001"/>
    <n v="1557.8910000000001"/>
    <n v="0"/>
    <x v="0"/>
    <n v="0"/>
    <n v="87"/>
    <n v="88"/>
    <n v="73"/>
    <n v="21.85"/>
    <n v="97.61"/>
    <n v="219.97"/>
    <n v="27.777091190692239"/>
    <n v="119.75016494517713"/>
    <n v="283.40928728637363"/>
    <n v="93168.400000000009"/>
    <n v="152065.74051"/>
    <n v="342689.28327000001"/>
    <n v="118441.5168371117"/>
    <n v="186557.70421660694"/>
    <n v="441520.77797985589"/>
  </r>
  <r>
    <s v="Regular"/>
    <x v="1"/>
    <x v="0"/>
    <x v="1"/>
    <x v="0"/>
    <x v="0"/>
    <x v="0"/>
    <x v="0"/>
    <x v="6"/>
    <n v="4228"/>
    <n v="4228"/>
    <n v="1300.816"/>
    <n v="1300.816"/>
    <n v="1300.816"/>
    <n v="1300.816"/>
    <n v="0"/>
    <x v="0"/>
    <n v="0"/>
    <n v="87"/>
    <n v="88"/>
    <n v="73"/>
    <n v="21.85"/>
    <n v="97.61"/>
    <n v="219.97"/>
    <n v="27.777091190692239"/>
    <n v="119.75016494517713"/>
    <n v="283.40928728637363"/>
    <n v="92381.8"/>
    <n v="126972.64976"/>
    <n v="286140.49552"/>
    <n v="117441.54155424678"/>
    <n v="155772.93056332553"/>
    <n v="368663.33545071143"/>
  </r>
  <r>
    <s v="Regular"/>
    <x v="1"/>
    <x v="0"/>
    <x v="1"/>
    <x v="0"/>
    <x v="0"/>
    <x v="0"/>
    <x v="0"/>
    <x v="7"/>
    <n v="4294"/>
    <n v="4294"/>
    <n v="1602.269"/>
    <n v="1602.269"/>
    <n v="1602.269"/>
    <n v="1602.269"/>
    <n v="0"/>
    <x v="0"/>
    <n v="0"/>
    <n v="87"/>
    <n v="88"/>
    <n v="73"/>
    <n v="21.85"/>
    <n v="97.61"/>
    <n v="219.97"/>
    <n v="27.777091190692239"/>
    <n v="119.75016494517713"/>
    <n v="283.40928728637363"/>
    <n v="93823.900000000009"/>
    <n v="156397.47709"/>
    <n v="352451.11193000001"/>
    <n v="119274.82957283247"/>
    <n v="191871.97703654403"/>
    <n v="454097.91533105058"/>
  </r>
  <r>
    <s v="Regular"/>
    <x v="1"/>
    <x v="0"/>
    <x v="1"/>
    <x v="0"/>
    <x v="0"/>
    <x v="0"/>
    <x v="0"/>
    <x v="8"/>
    <n v="4255"/>
    <n v="4255"/>
    <n v="1529.8979999999999"/>
    <n v="1529.8979999999999"/>
    <n v="1529.8979999999999"/>
    <n v="1529.8979999999999"/>
    <n v="0"/>
    <x v="0"/>
    <n v="0"/>
    <n v="87"/>
    <n v="88"/>
    <n v="73"/>
    <n v="21.85"/>
    <n v="97.61"/>
    <n v="219.97"/>
    <n v="27.777091190692239"/>
    <n v="119.75016494517713"/>
    <n v="283.40928728637363"/>
    <n v="92971.75"/>
    <n v="149333.34378"/>
    <n v="336531.66305999999"/>
    <n v="118191.52301639548"/>
    <n v="183205.53784929658"/>
    <n v="433587.30180084839"/>
  </r>
  <r>
    <s v="Regular"/>
    <x v="1"/>
    <x v="0"/>
    <x v="1"/>
    <x v="0"/>
    <x v="0"/>
    <x v="0"/>
    <x v="0"/>
    <x v="9"/>
    <n v="4207"/>
    <n v="4207"/>
    <n v="1412.491"/>
    <n v="1412.491"/>
    <n v="1412.491"/>
    <n v="1412.491"/>
    <n v="0"/>
    <x v="0"/>
    <n v="0"/>
    <n v="87"/>
    <n v="88"/>
    <n v="73"/>
    <n v="21.85"/>
    <n v="97.61"/>
    <n v="219.97"/>
    <n v="27.777091190692239"/>
    <n v="119.75016494517713"/>
    <n v="283.40928728637363"/>
    <n v="91922.950000000012"/>
    <n v="137873.24651"/>
    <n v="310705.64526999998"/>
    <n v="116858.22263924225"/>
    <n v="169146.0302335782"/>
    <n v="400313.06760841719"/>
  </r>
  <r>
    <s v="Regular"/>
    <x v="1"/>
    <x v="0"/>
    <x v="1"/>
    <x v="0"/>
    <x v="0"/>
    <x v="0"/>
    <x v="0"/>
    <x v="10"/>
    <n v="4211"/>
    <n v="4211"/>
    <n v="1638.9929999999999"/>
    <n v="1638.9929999999999"/>
    <n v="1638.9929999999999"/>
    <n v="1638.9929999999999"/>
    <n v="0"/>
    <x v="0"/>
    <n v="0"/>
    <n v="87"/>
    <n v="88"/>
    <n v="73"/>
    <n v="21.85"/>
    <n v="97.61"/>
    <n v="219.97"/>
    <n v="27.777091190692239"/>
    <n v="119.75016494517713"/>
    <n v="283.40928728637363"/>
    <n v="92010.35"/>
    <n v="159982.10673"/>
    <n v="360529.29021000001"/>
    <n v="116969.33100400501"/>
    <n v="196269.6820939907"/>
    <n v="464505.83799735532"/>
  </r>
  <r>
    <s v="PROJETADO"/>
    <x v="1"/>
    <x v="0"/>
    <x v="1"/>
    <x v="0"/>
    <x v="0"/>
    <x v="0"/>
    <x v="0"/>
    <x v="11"/>
    <n v="4211"/>
    <n v="4211"/>
    <n v="1638.9929999999999"/>
    <n v="1638.9929999999999"/>
    <n v="1638.9929999999999"/>
    <n v="1638.9929999999999"/>
    <n v="0"/>
    <x v="0"/>
    <n v="0"/>
    <n v="87"/>
    <n v="88"/>
    <n v="73"/>
    <n v="21.85"/>
    <n v="97.61"/>
    <n v="219.97"/>
    <n v="27.777091190692239"/>
    <n v="119.75016494517713"/>
    <n v="283.40928728637363"/>
    <n v="92010.35"/>
    <n v="159982.10673"/>
    <n v="360529.29021000001"/>
    <n v="116969.33100400501"/>
    <n v="196269.6820939907"/>
    <n v="464505.83799735532"/>
  </r>
  <r>
    <s v="Regular"/>
    <x v="1"/>
    <x v="0"/>
    <x v="1"/>
    <x v="0"/>
    <x v="0"/>
    <x v="0"/>
    <x v="2"/>
    <x v="0"/>
    <n v="3175"/>
    <n v="3175"/>
    <n v="132.727"/>
    <n v="132.727"/>
    <n v="132.727"/>
    <n v="132.727"/>
    <n v="0"/>
    <x v="0"/>
    <n v="0"/>
    <n v="91"/>
    <n v="88"/>
    <n v="72"/>
    <n v="60.2"/>
    <n v="97.61"/>
    <n v="346.61"/>
    <n v="74.915369220436304"/>
    <n v="119.75016494517713"/>
    <n v="441.69177554366559"/>
    <n v="191135"/>
    <n v="12955.482470000001"/>
    <n v="46004.505470000004"/>
    <n v="237856.29727488526"/>
    <n v="15894.080142678526"/>
    <n v="58624.424292584103"/>
  </r>
  <r>
    <s v="Regular"/>
    <x v="1"/>
    <x v="0"/>
    <x v="1"/>
    <x v="0"/>
    <x v="0"/>
    <x v="0"/>
    <x v="2"/>
    <x v="1"/>
    <n v="3087"/>
    <n v="3087"/>
    <n v="121.614"/>
    <n v="121.614"/>
    <n v="121.614"/>
    <n v="121.614"/>
    <n v="0"/>
    <x v="0"/>
    <n v="0"/>
    <n v="91"/>
    <n v="88"/>
    <n v="72"/>
    <n v="60.2"/>
    <n v="97.61"/>
    <n v="346.61"/>
    <n v="74.915369220436304"/>
    <n v="119.75016494517713"/>
    <n v="441.69177554366559"/>
    <n v="185837.40000000002"/>
    <n v="11870.742540000001"/>
    <n v="42152.628540000005"/>
    <n v="231263.74478348688"/>
    <n v="14563.296559642773"/>
    <n v="53715.903590967348"/>
  </r>
  <r>
    <s v="Regular"/>
    <x v="1"/>
    <x v="0"/>
    <x v="1"/>
    <x v="0"/>
    <x v="0"/>
    <x v="0"/>
    <x v="2"/>
    <x v="2"/>
    <n v="3380"/>
    <n v="3380"/>
    <n v="132.97300000000001"/>
    <n v="132.97300000000001"/>
    <n v="132.97300000000001"/>
    <n v="132.97300000000001"/>
    <n v="0"/>
    <x v="0"/>
    <n v="0"/>
    <n v="91"/>
    <n v="88"/>
    <n v="72"/>
    <n v="60.2"/>
    <n v="97.61"/>
    <n v="346.61"/>
    <n v="74.915369220436304"/>
    <n v="119.75016494517713"/>
    <n v="441.69177554366559"/>
    <n v="203476"/>
    <n v="12979.494530000002"/>
    <n v="46089.771530000005"/>
    <n v="253213.94796507471"/>
    <n v="15923.538683255041"/>
    <n v="58733.080469367851"/>
  </r>
  <r>
    <s v="Regular"/>
    <x v="1"/>
    <x v="0"/>
    <x v="1"/>
    <x v="0"/>
    <x v="0"/>
    <x v="0"/>
    <x v="2"/>
    <x v="3"/>
    <n v="3368"/>
    <n v="3368"/>
    <n v="141.18899999999999"/>
    <n v="141.18899999999999"/>
    <n v="141.18899999999999"/>
    <n v="141.18899999999999"/>
    <n v="0"/>
    <x v="0"/>
    <n v="0"/>
    <n v="91"/>
    <n v="88"/>
    <n v="72"/>
    <n v="60.2"/>
    <n v="97.61"/>
    <n v="346.61"/>
    <n v="74.915369220436304"/>
    <n v="119.75016494517713"/>
    <n v="441.69177554366559"/>
    <n v="202753.6"/>
    <n v="13781.458289999999"/>
    <n v="48937.519289999997"/>
    <n v="252314.96353442947"/>
    <n v="16907.406038444613"/>
    <n v="62362.020097234599"/>
  </r>
  <r>
    <s v="Regular"/>
    <x v="1"/>
    <x v="0"/>
    <x v="1"/>
    <x v="0"/>
    <x v="0"/>
    <x v="0"/>
    <x v="2"/>
    <x v="4"/>
    <n v="3365"/>
    <n v="3365"/>
    <n v="135.57"/>
    <n v="135.57"/>
    <n v="135.57"/>
    <n v="135.57"/>
    <n v="0"/>
    <x v="0"/>
    <n v="0"/>
    <n v="91"/>
    <n v="88"/>
    <n v="72"/>
    <n v="60.2"/>
    <n v="97.61"/>
    <n v="346.61"/>
    <n v="74.915369220436304"/>
    <n v="119.75016494517713"/>
    <n v="441.69177554366559"/>
    <n v="202573"/>
    <n v="13232.9877"/>
    <n v="46989.917699999998"/>
    <n v="252090.21742676815"/>
    <n v="16234.529861617662"/>
    <n v="59880.154010454738"/>
  </r>
  <r>
    <s v="Regular"/>
    <x v="1"/>
    <x v="0"/>
    <x v="1"/>
    <x v="0"/>
    <x v="0"/>
    <x v="0"/>
    <x v="2"/>
    <x v="5"/>
    <n v="3373"/>
    <n v="3373"/>
    <n v="122.151"/>
    <n v="122.151"/>
    <n v="122.151"/>
    <n v="122.151"/>
    <n v="0"/>
    <x v="0"/>
    <n v="0"/>
    <n v="91"/>
    <n v="88"/>
    <n v="72"/>
    <n v="60.2"/>
    <n v="97.61"/>
    <n v="346.61"/>
    <n v="74.915369220436304"/>
    <n v="119.75016494517713"/>
    <n v="441.69177554366559"/>
    <n v="203054.6"/>
    <n v="11923.159109999999"/>
    <n v="42338.758110000002"/>
    <n v="252689.54038053166"/>
    <n v="14627.602398218332"/>
    <n v="53953.092074434295"/>
  </r>
  <r>
    <s v="Regular"/>
    <x v="1"/>
    <x v="0"/>
    <x v="1"/>
    <x v="0"/>
    <x v="0"/>
    <x v="0"/>
    <x v="2"/>
    <x v="6"/>
    <n v="3367"/>
    <n v="3367"/>
    <n v="101.785"/>
    <n v="101.785"/>
    <n v="101.785"/>
    <n v="101.785"/>
    <n v="0"/>
    <x v="0"/>
    <n v="0"/>
    <n v="91"/>
    <n v="88"/>
    <n v="72"/>
    <n v="60.2"/>
    <n v="97.61"/>
    <n v="346.61"/>
    <n v="74.915369220436304"/>
    <n v="119.75016494517713"/>
    <n v="441.69177554366559"/>
    <n v="202693.40000000002"/>
    <n v="9935.2338499999987"/>
    <n v="35279.698850000001"/>
    <n v="252240.04816520904"/>
    <n v="12188.770538944855"/>
    <n v="44957.597373712"/>
  </r>
  <r>
    <s v="Regular"/>
    <x v="1"/>
    <x v="0"/>
    <x v="1"/>
    <x v="0"/>
    <x v="0"/>
    <x v="0"/>
    <x v="2"/>
    <x v="7"/>
    <n v="3405"/>
    <n v="3405"/>
    <n v="142.667"/>
    <n v="142.667"/>
    <n v="142.667"/>
    <n v="142.667"/>
    <n v="0"/>
    <x v="0"/>
    <n v="0"/>
    <n v="91"/>
    <n v="88"/>
    <n v="72"/>
    <n v="60.2"/>
    <n v="97.61"/>
    <n v="346.61"/>
    <n v="74.915369220436304"/>
    <n v="119.75016494517713"/>
    <n v="441.69177554366559"/>
    <n v="204981"/>
    <n v="13925.72587"/>
    <n v="49449.808870000001"/>
    <n v="255086.83219558562"/>
    <n v="17084.396782233587"/>
    <n v="63014.840541488142"/>
  </r>
  <r>
    <s v="Regular"/>
    <x v="1"/>
    <x v="0"/>
    <x v="1"/>
    <x v="0"/>
    <x v="0"/>
    <x v="0"/>
    <x v="2"/>
    <x v="8"/>
    <n v="3365"/>
    <n v="3365"/>
    <n v="125.032"/>
    <n v="125.032"/>
    <n v="125.032"/>
    <n v="125.032"/>
    <n v="0"/>
    <x v="0"/>
    <n v="0"/>
    <n v="91"/>
    <n v="88"/>
    <n v="72"/>
    <n v="60.2"/>
    <n v="97.61"/>
    <n v="346.61"/>
    <n v="74.915369220436304"/>
    <n v="119.75016494517713"/>
    <n v="441.69177554366559"/>
    <n v="202573"/>
    <n v="12204.373519999999"/>
    <n v="43337.341520000002"/>
    <n v="252090.21742676815"/>
    <n v="14972.602623425388"/>
    <n v="55225.606079775593"/>
  </r>
  <r>
    <s v="Regular"/>
    <x v="1"/>
    <x v="0"/>
    <x v="1"/>
    <x v="0"/>
    <x v="0"/>
    <x v="0"/>
    <x v="2"/>
    <x v="9"/>
    <n v="3330"/>
    <n v="3330"/>
    <n v="121.858"/>
    <n v="121.858"/>
    <n v="121.858"/>
    <n v="121.858"/>
    <n v="0"/>
    <x v="0"/>
    <n v="0"/>
    <n v="91"/>
    <n v="88"/>
    <n v="72"/>
    <n v="60.2"/>
    <n v="97.61"/>
    <n v="346.61"/>
    <n v="74.915369220436304"/>
    <n v="119.75016494517713"/>
    <n v="441.69177554366559"/>
    <n v="200466"/>
    <n v="11894.559380000001"/>
    <n v="42237.201380000006"/>
    <n v="249468.17950405288"/>
    <n v="14592.515599889395"/>
    <n v="53823.6763842"/>
  </r>
  <r>
    <s v="Regular"/>
    <x v="1"/>
    <x v="0"/>
    <x v="1"/>
    <x v="0"/>
    <x v="0"/>
    <x v="0"/>
    <x v="2"/>
    <x v="10"/>
    <n v="3325"/>
    <n v="3325"/>
    <n v="132.77099999999999"/>
    <n v="132.77099999999999"/>
    <n v="132.77099999999999"/>
    <n v="132.77099999999999"/>
    <n v="0"/>
    <x v="0"/>
    <n v="0"/>
    <n v="91"/>
    <n v="88"/>
    <n v="72"/>
    <n v="60.2"/>
    <n v="97.61"/>
    <n v="346.61"/>
    <n v="74.915369220436304"/>
    <n v="119.75016494517713"/>
    <n v="441.69177554366559"/>
    <n v="200165"/>
    <n v="12959.777309999999"/>
    <n v="46019.756309999997"/>
    <n v="249093.60265795072"/>
    <n v="15899.349149936112"/>
    <n v="58643.858730708016"/>
  </r>
  <r>
    <s v="PROJETADO"/>
    <x v="1"/>
    <x v="0"/>
    <x v="1"/>
    <x v="0"/>
    <x v="0"/>
    <x v="0"/>
    <x v="2"/>
    <x v="11"/>
    <n v="3325"/>
    <n v="3325"/>
    <n v="132.77099999999999"/>
    <n v="132.77099999999999"/>
    <n v="132.77099999999999"/>
    <n v="132.77099999999999"/>
    <n v="0"/>
    <x v="0"/>
    <n v="0"/>
    <n v="91"/>
    <n v="88"/>
    <n v="72"/>
    <n v="60.2"/>
    <n v="97.61"/>
    <n v="346.61"/>
    <n v="74.915369220436304"/>
    <n v="119.75016494517713"/>
    <n v="441.69177554366559"/>
    <n v="200165"/>
    <n v="12959.777309999999"/>
    <n v="46019.756309999997"/>
    <n v="249093.60265795072"/>
    <n v="15899.349149936112"/>
    <n v="58643.858730708016"/>
  </r>
  <r>
    <s v="Regular"/>
    <x v="1"/>
    <x v="0"/>
    <x v="5"/>
    <x v="0"/>
    <x v="0"/>
    <x v="0"/>
    <x v="0"/>
    <x v="0"/>
    <n v="1088"/>
    <n v="1088"/>
    <n v="194.16499999999999"/>
    <n v="194.16499999999999"/>
    <n v="194.16499999999999"/>
    <n v="194.16499999999999"/>
    <n v="0"/>
    <x v="0"/>
    <n v="0"/>
    <n v="87"/>
    <n v="88"/>
    <n v="73"/>
    <n v="21.85"/>
    <n v="97.61"/>
    <n v="219.97"/>
    <n v="27.777091190692239"/>
    <n v="119.75016494517713"/>
    <n v="283.40928728637363"/>
    <n v="23772.800000000003"/>
    <n v="18952.445649999998"/>
    <n v="42710.475050000001"/>
    <n v="30221.475215473158"/>
    <n v="23251.290776580317"/>
    <n v="55028.164265958731"/>
  </r>
  <r>
    <s v="Regular"/>
    <x v="1"/>
    <x v="0"/>
    <x v="5"/>
    <x v="0"/>
    <x v="0"/>
    <x v="0"/>
    <x v="0"/>
    <x v="1"/>
    <n v="1088"/>
    <n v="1088"/>
    <n v="180.59"/>
    <n v="180.59"/>
    <n v="180.59"/>
    <n v="180.59"/>
    <n v="0"/>
    <x v="0"/>
    <n v="0"/>
    <n v="87"/>
    <n v="88"/>
    <n v="73"/>
    <n v="21.85"/>
    <n v="97.61"/>
    <n v="219.97"/>
    <n v="27.777091190692239"/>
    <n v="119.75016494517713"/>
    <n v="283.40928728637363"/>
    <n v="23772.800000000003"/>
    <n v="17627.389900000002"/>
    <n v="39724.382299999997"/>
    <n v="30221.475215473158"/>
    <n v="21625.682287449537"/>
    <n v="51180.883191046218"/>
  </r>
  <r>
    <s v="Regular"/>
    <x v="1"/>
    <x v="0"/>
    <x v="5"/>
    <x v="0"/>
    <x v="0"/>
    <x v="0"/>
    <x v="0"/>
    <x v="2"/>
    <n v="1088"/>
    <n v="1088"/>
    <n v="182.44"/>
    <n v="182.44"/>
    <n v="182.44"/>
    <n v="182.44"/>
    <n v="0"/>
    <x v="0"/>
    <n v="0"/>
    <n v="87"/>
    <n v="88"/>
    <n v="73"/>
    <n v="21.85"/>
    <n v="97.61"/>
    <n v="219.97"/>
    <n v="27.777091190692239"/>
    <n v="119.75016494517713"/>
    <n v="283.40928728637363"/>
    <n v="23772.800000000003"/>
    <n v="17807.968399999998"/>
    <n v="40131.326800000003"/>
    <n v="30221.475215473158"/>
    <n v="21847.220092598116"/>
    <n v="51705.190372526005"/>
  </r>
  <r>
    <s v="Regular"/>
    <x v="1"/>
    <x v="0"/>
    <x v="5"/>
    <x v="0"/>
    <x v="0"/>
    <x v="0"/>
    <x v="0"/>
    <x v="3"/>
    <n v="1088"/>
    <n v="1088"/>
    <n v="192.91"/>
    <n v="192.91"/>
    <n v="192.91"/>
    <n v="192.91"/>
    <n v="0"/>
    <x v="0"/>
    <n v="0"/>
    <n v="87"/>
    <n v="88"/>
    <n v="73"/>
    <n v="21.85"/>
    <n v="97.61"/>
    <n v="219.97"/>
    <n v="27.777091190692239"/>
    <n v="119.75016494517713"/>
    <n v="283.40928728637363"/>
    <n v="23772.800000000003"/>
    <n v="18829.945100000001"/>
    <n v="42434.412700000001"/>
    <n v="30221.475215473158"/>
    <n v="23101.00431957412"/>
    <n v="54672.485610414333"/>
  </r>
  <r>
    <s v="Sistema de Compensação"/>
    <x v="1"/>
    <x v="0"/>
    <x v="5"/>
    <x v="0"/>
    <x v="0"/>
    <x v="0"/>
    <x v="0"/>
    <x v="3"/>
    <n v="312"/>
    <n v="312"/>
    <n v="44.753"/>
    <n v="44.753"/>
    <n v="44.753"/>
    <n v="44.753"/>
    <n v="0"/>
    <x v="0"/>
    <n v="0"/>
    <n v="87"/>
    <n v="88"/>
    <n v="73"/>
    <n v="21.85"/>
    <n v="97.61"/>
    <n v="219.97"/>
    <n v="27.777091190692239"/>
    <n v="119.75016494517713"/>
    <n v="283.40928728637363"/>
    <n v="6817.2000000000007"/>
    <n v="4368.34033"/>
    <n v="9844.3174099999997"/>
    <n v="8666.4524514959794"/>
    <n v="5359.1791317915122"/>
    <n v="12683.41583392708"/>
  </r>
  <r>
    <s v="Regular"/>
    <x v="1"/>
    <x v="0"/>
    <x v="5"/>
    <x v="0"/>
    <x v="0"/>
    <x v="0"/>
    <x v="0"/>
    <x v="4"/>
    <n v="1088"/>
    <n v="1088"/>
    <n v="206.185"/>
    <n v="206.185"/>
    <n v="206.185"/>
    <n v="206.185"/>
    <n v="0"/>
    <x v="0"/>
    <n v="0"/>
    <n v="87"/>
    <n v="88"/>
    <n v="73"/>
    <n v="21.85"/>
    <n v="97.61"/>
    <n v="219.97"/>
    <n v="27.777091190692239"/>
    <n v="119.75016494517713"/>
    <n v="283.40928728637363"/>
    <n v="23772.800000000003"/>
    <n v="20125.717850000001"/>
    <n v="45354.514450000002"/>
    <n v="30221.475215473158"/>
    <n v="24690.687759221346"/>
    <n v="58434.743899140944"/>
  </r>
  <r>
    <s v="Sistema de Compensação"/>
    <x v="1"/>
    <x v="0"/>
    <x v="5"/>
    <x v="0"/>
    <x v="0"/>
    <x v="0"/>
    <x v="0"/>
    <x v="4"/>
    <n v="312"/>
    <n v="312"/>
    <n v="48.06"/>
    <n v="48.06"/>
    <n v="48.06"/>
    <n v="48.06"/>
    <n v="0"/>
    <x v="0"/>
    <n v="0"/>
    <n v="87"/>
    <n v="88"/>
    <n v="73"/>
    <n v="21.85"/>
    <n v="97.61"/>
    <n v="219.97"/>
    <n v="27.777091190692239"/>
    <n v="119.75016494517713"/>
    <n v="283.40928728637363"/>
    <n v="6817.2000000000007"/>
    <n v="4691.1365999999998"/>
    <n v="10571.7582"/>
    <n v="8666.4524514959794"/>
    <n v="5755.1929272652133"/>
    <n v="13620.650346983117"/>
  </r>
  <r>
    <s v="Regular"/>
    <x v="1"/>
    <x v="0"/>
    <x v="5"/>
    <x v="0"/>
    <x v="0"/>
    <x v="0"/>
    <x v="0"/>
    <x v="5"/>
    <n v="1095"/>
    <n v="1095"/>
    <n v="222.536"/>
    <n v="222.536"/>
    <n v="222.536"/>
    <n v="222.536"/>
    <n v="0"/>
    <x v="0"/>
    <n v="0"/>
    <n v="87"/>
    <n v="88"/>
    <n v="73"/>
    <n v="21.85"/>
    <n v="97.61"/>
    <n v="219.97"/>
    <n v="27.777091190692239"/>
    <n v="119.75016494517713"/>
    <n v="283.40928728637363"/>
    <n v="23925.75"/>
    <n v="21721.738959999999"/>
    <n v="48951.243920000001"/>
    <n v="30415.914853808001"/>
    <n v="26648.72270623994"/>
    <n v="63068.76915556044"/>
  </r>
  <r>
    <s v="Sistema de Compensação"/>
    <x v="1"/>
    <x v="0"/>
    <x v="5"/>
    <x v="0"/>
    <x v="0"/>
    <x v="0"/>
    <x v="0"/>
    <x v="5"/>
    <n v="312"/>
    <n v="312"/>
    <n v="52.655000000000001"/>
    <n v="52.655000000000001"/>
    <n v="52.655000000000001"/>
    <n v="52.655000000000001"/>
    <n v="0"/>
    <x v="0"/>
    <n v="0"/>
    <n v="87"/>
    <n v="88"/>
    <n v="73"/>
    <n v="21.85"/>
    <n v="97.61"/>
    <n v="219.97"/>
    <n v="27.777091190692239"/>
    <n v="119.75016494517713"/>
    <n v="283.40928728637363"/>
    <n v="6817.2000000000007"/>
    <n v="5139.6545500000002"/>
    <n v="11582.520350000001"/>
    <n v="8666.4524514959794"/>
    <n v="6305.4449351883022"/>
    <n v="14922.916022064004"/>
  </r>
  <r>
    <s v="Regular"/>
    <x v="1"/>
    <x v="0"/>
    <x v="5"/>
    <x v="0"/>
    <x v="0"/>
    <x v="0"/>
    <x v="0"/>
    <x v="6"/>
    <n v="1094"/>
    <n v="1094"/>
    <n v="228.05699999999999"/>
    <n v="228.05699999999999"/>
    <n v="228.05699999999999"/>
    <n v="228.05699999999999"/>
    <n v="0"/>
    <x v="0"/>
    <n v="0"/>
    <n v="87"/>
    <n v="88"/>
    <n v="73"/>
    <n v="21.85"/>
    <n v="97.61"/>
    <n v="219.97"/>
    <n v="27.777091190692239"/>
    <n v="119.75016494517713"/>
    <n v="283.40928728637363"/>
    <n v="23903.9"/>
    <n v="22260.643769999999"/>
    <n v="50165.69829"/>
    <n v="30388.137762617309"/>
    <n v="27309.86336690226"/>
    <n v="64633.47183066851"/>
  </r>
  <r>
    <s v="Sistema de Compensação"/>
    <x v="1"/>
    <x v="0"/>
    <x v="5"/>
    <x v="0"/>
    <x v="0"/>
    <x v="0"/>
    <x v="0"/>
    <x v="6"/>
    <n v="312"/>
    <n v="312"/>
    <n v="52.478000000000002"/>
    <n v="52.478000000000002"/>
    <n v="52.478000000000002"/>
    <n v="52.478000000000002"/>
    <n v="0"/>
    <x v="0"/>
    <n v="0"/>
    <n v="87"/>
    <n v="88"/>
    <n v="73"/>
    <n v="21.85"/>
    <n v="97.61"/>
    <n v="219.97"/>
    <n v="27.777091190692239"/>
    <n v="119.75016494517713"/>
    <n v="283.40928728637363"/>
    <n v="6817.2000000000007"/>
    <n v="5122.3775800000003"/>
    <n v="11543.585660000001"/>
    <n v="8666.4524514959794"/>
    <n v="6284.2491559930058"/>
    <n v="14872.752578214315"/>
  </r>
  <r>
    <s v="Regular"/>
    <x v="1"/>
    <x v="0"/>
    <x v="5"/>
    <x v="0"/>
    <x v="0"/>
    <x v="0"/>
    <x v="0"/>
    <x v="7"/>
    <n v="1097"/>
    <n v="1097"/>
    <n v="226.24"/>
    <n v="226.24"/>
    <n v="226.24"/>
    <n v="226.24"/>
    <n v="0"/>
    <x v="0"/>
    <n v="0"/>
    <n v="87"/>
    <n v="88"/>
    <n v="73"/>
    <n v="21.85"/>
    <n v="97.61"/>
    <n v="219.97"/>
    <n v="27.777091190692239"/>
    <n v="119.75016494517713"/>
    <n v="283.40928728637363"/>
    <n v="23969.45"/>
    <n v="22083.286400000001"/>
    <n v="49766.012800000004"/>
    <n v="30471.469036189388"/>
    <n v="27092.277317196877"/>
    <n v="64118.517155669171"/>
  </r>
  <r>
    <s v="Sistema de Compensação"/>
    <x v="1"/>
    <x v="0"/>
    <x v="5"/>
    <x v="0"/>
    <x v="0"/>
    <x v="0"/>
    <x v="0"/>
    <x v="7"/>
    <n v="312"/>
    <n v="312"/>
    <n v="46.518000000000001"/>
    <n v="46.518000000000001"/>
    <n v="46.518000000000001"/>
    <n v="46.518000000000001"/>
    <n v="0"/>
    <x v="0"/>
    <n v="0"/>
    <n v="87"/>
    <n v="88"/>
    <n v="73"/>
    <n v="21.85"/>
    <n v="97.61"/>
    <n v="219.97"/>
    <n v="27.777091190692239"/>
    <n v="119.75016494517713"/>
    <n v="283.40928728637363"/>
    <n v="6817.2000000000007"/>
    <n v="4540.6219799999999"/>
    <n v="10232.56446"/>
    <n v="8666.4524514959794"/>
    <n v="5570.5381729197497"/>
    <n v="13183.633225987529"/>
  </r>
  <r>
    <s v="Regular"/>
    <x v="1"/>
    <x v="0"/>
    <x v="5"/>
    <x v="0"/>
    <x v="0"/>
    <x v="0"/>
    <x v="0"/>
    <x v="8"/>
    <n v="1091"/>
    <n v="1091"/>
    <n v="220.06399999999999"/>
    <n v="220.06399999999999"/>
    <n v="220.06399999999999"/>
    <n v="220.06399999999999"/>
    <n v="0"/>
    <x v="0"/>
    <n v="0"/>
    <n v="87"/>
    <n v="88"/>
    <n v="73"/>
    <n v="21.85"/>
    <n v="97.61"/>
    <n v="219.97"/>
    <n v="27.777091190692239"/>
    <n v="119.75016494517713"/>
    <n v="283.40928728637363"/>
    <n v="23838.350000000002"/>
    <n v="21480.447039999999"/>
    <n v="48407.478080000001"/>
    <n v="30304.806489045233"/>
    <n v="26352.70029849546"/>
    <n v="62368.181397388522"/>
  </r>
  <r>
    <s v="Sistema de Compensação"/>
    <x v="1"/>
    <x v="0"/>
    <x v="5"/>
    <x v="0"/>
    <x v="0"/>
    <x v="0"/>
    <x v="0"/>
    <x v="8"/>
    <n v="312"/>
    <n v="312"/>
    <n v="53.384"/>
    <n v="53.384"/>
    <n v="53.384"/>
    <n v="53.384"/>
    <n v="0"/>
    <x v="0"/>
    <n v="0"/>
    <n v="87"/>
    <n v="88"/>
    <n v="73"/>
    <n v="21.85"/>
    <n v="97.61"/>
    <n v="219.97"/>
    <n v="27.777091190692239"/>
    <n v="119.75016494517713"/>
    <n v="283.40928728637363"/>
    <n v="6817.2000000000007"/>
    <n v="5210.8122400000002"/>
    <n v="11742.878479999999"/>
    <n v="8666.4524514959794"/>
    <n v="6392.7428054333359"/>
    <n v="15129.52139249577"/>
  </r>
  <r>
    <s v="Regular"/>
    <x v="1"/>
    <x v="0"/>
    <x v="5"/>
    <x v="0"/>
    <x v="0"/>
    <x v="0"/>
    <x v="0"/>
    <x v="9"/>
    <n v="1095"/>
    <n v="1095"/>
    <n v="226.57499999999999"/>
    <n v="226.57499999999999"/>
    <n v="226.57499999999999"/>
    <n v="226.57499999999999"/>
    <n v="0"/>
    <x v="0"/>
    <n v="0"/>
    <n v="87"/>
    <n v="88"/>
    <n v="73"/>
    <n v="21.85"/>
    <n v="97.61"/>
    <n v="219.97"/>
    <n v="27.777091190692239"/>
    <n v="119.75016494517713"/>
    <n v="283.40928728637363"/>
    <n v="23925.75"/>
    <n v="22115.98575"/>
    <n v="49839.702749999997"/>
    <n v="30415.914853808001"/>
    <n v="27132.393622453506"/>
    <n v="64213.459266910104"/>
  </r>
  <r>
    <s v="Sistema de Compensação"/>
    <x v="1"/>
    <x v="0"/>
    <x v="5"/>
    <x v="0"/>
    <x v="0"/>
    <x v="0"/>
    <x v="0"/>
    <x v="9"/>
    <n v="312"/>
    <n v="312"/>
    <n v="49.319000000000003"/>
    <n v="49.319000000000003"/>
    <n v="49.319000000000003"/>
    <n v="49.319000000000003"/>
    <n v="0"/>
    <x v="0"/>
    <n v="0"/>
    <n v="87"/>
    <n v="88"/>
    <n v="73"/>
    <n v="21.85"/>
    <n v="97.61"/>
    <n v="219.97"/>
    <n v="27.777091190692239"/>
    <n v="119.75016494517713"/>
    <n v="283.40928728637363"/>
    <n v="6817.2000000000007"/>
    <n v="4814.0275900000006"/>
    <n v="10848.700430000001"/>
    <n v="8666.4524514959794"/>
    <n v="5905.9583849311912"/>
    <n v="13977.462639676662"/>
  </r>
  <r>
    <s v="Regular"/>
    <x v="1"/>
    <x v="0"/>
    <x v="5"/>
    <x v="0"/>
    <x v="0"/>
    <x v="0"/>
    <x v="0"/>
    <x v="10"/>
    <n v="1104"/>
    <n v="1104"/>
    <n v="256.05900000000003"/>
    <n v="256.05900000000003"/>
    <n v="256.05900000000003"/>
    <n v="256.05900000000003"/>
    <n v="0"/>
    <x v="0"/>
    <n v="0"/>
    <n v="87"/>
    <n v="88"/>
    <n v="73"/>
    <n v="21.85"/>
    <n v="97.61"/>
    <n v="219.97"/>
    <n v="27.777091190692239"/>
    <n v="119.75016494517713"/>
    <n v="283.40928728637363"/>
    <n v="24122.400000000001"/>
    <n v="24993.918990000002"/>
    <n v="56325.298230000008"/>
    <n v="30665.908674524231"/>
    <n v="30663.107485697114"/>
    <n v="72569.498693261557"/>
  </r>
  <r>
    <s v="Sistema de Compensação"/>
    <x v="1"/>
    <x v="0"/>
    <x v="5"/>
    <x v="0"/>
    <x v="0"/>
    <x v="0"/>
    <x v="0"/>
    <x v="10"/>
    <n v="312"/>
    <n v="312"/>
    <n v="50.709000000000003"/>
    <n v="50.709000000000003"/>
    <n v="50.709000000000003"/>
    <n v="50.709000000000003"/>
    <n v="0"/>
    <x v="0"/>
    <n v="0"/>
    <n v="87"/>
    <n v="88"/>
    <n v="73"/>
    <n v="21.85"/>
    <n v="97.61"/>
    <n v="219.97"/>
    <n v="27.777091190692239"/>
    <n v="119.75016494517713"/>
    <n v="283.40928728637363"/>
    <n v="6817.2000000000007"/>
    <n v="4949.7054900000003"/>
    <n v="11154.45873"/>
    <n v="8666.4524514959794"/>
    <n v="6072.4111142049878"/>
    <n v="14371.40154900472"/>
  </r>
  <r>
    <s v="PROJETADO"/>
    <x v="1"/>
    <x v="0"/>
    <x v="5"/>
    <x v="0"/>
    <x v="0"/>
    <x v="0"/>
    <x v="0"/>
    <x v="11"/>
    <n v="1104"/>
    <n v="1104"/>
    <n v="256.05900000000003"/>
    <n v="256.05900000000003"/>
    <n v="256.05900000000003"/>
    <n v="256.05900000000003"/>
    <n v="0"/>
    <x v="0"/>
    <n v="0"/>
    <n v="87"/>
    <n v="88"/>
    <n v="73"/>
    <n v="21.85"/>
    <n v="97.61"/>
    <n v="219.97"/>
    <n v="27.777091190692239"/>
    <n v="119.75016494517713"/>
    <n v="283.40928728637363"/>
    <n v="24122.400000000001"/>
    <n v="24993.918990000002"/>
    <n v="56325.298230000008"/>
    <n v="30665.908674524231"/>
    <n v="30663.107485697114"/>
    <n v="72569.498693261557"/>
  </r>
  <r>
    <s v="PROJETADO"/>
    <x v="1"/>
    <x v="0"/>
    <x v="5"/>
    <x v="0"/>
    <x v="0"/>
    <x v="0"/>
    <x v="0"/>
    <x v="11"/>
    <n v="312"/>
    <n v="312"/>
    <n v="50.709000000000003"/>
    <n v="50.709000000000003"/>
    <n v="50.709000000000003"/>
    <n v="50.709000000000003"/>
    <n v="0"/>
    <x v="0"/>
    <n v="0"/>
    <n v="87"/>
    <n v="88"/>
    <n v="73"/>
    <n v="21.85"/>
    <n v="97.61"/>
    <n v="219.97"/>
    <n v="27.777091190692239"/>
    <n v="119.75016494517713"/>
    <n v="283.40928728637363"/>
    <n v="6817.2000000000007"/>
    <n v="4949.7054900000003"/>
    <n v="11154.45873"/>
    <n v="8666.4524514959794"/>
    <n v="6072.4111142049878"/>
    <n v="14371.40154900472"/>
  </r>
  <r>
    <s v="Regular"/>
    <x v="1"/>
    <x v="0"/>
    <x v="5"/>
    <x v="0"/>
    <x v="0"/>
    <x v="0"/>
    <x v="2"/>
    <x v="0"/>
    <n v="866"/>
    <n v="866"/>
    <n v="17.103999999999999"/>
    <n v="17.103999999999999"/>
    <n v="17.103999999999999"/>
    <n v="17.103999999999999"/>
    <n v="0"/>
    <x v="0"/>
    <n v="0"/>
    <n v="91"/>
    <n v="88"/>
    <n v="72"/>
    <n v="60.2"/>
    <n v="97.61"/>
    <n v="346.61"/>
    <n v="74.915369220436304"/>
    <n v="119.75016494517713"/>
    <n v="441.69177554366559"/>
    <n v="52133.200000000004"/>
    <n v="1669.52144"/>
    <n v="5928.4174400000002"/>
    <n v="64876.709744897838"/>
    <n v="2048.2068212223094"/>
    <n v="7554.6961288988559"/>
  </r>
  <r>
    <s v="Regular"/>
    <x v="1"/>
    <x v="0"/>
    <x v="5"/>
    <x v="0"/>
    <x v="0"/>
    <x v="0"/>
    <x v="2"/>
    <x v="1"/>
    <n v="863"/>
    <n v="863"/>
    <n v="16.802"/>
    <n v="16.802"/>
    <n v="16.802"/>
    <n v="16.802"/>
    <n v="0"/>
    <x v="0"/>
    <n v="0"/>
    <n v="91"/>
    <n v="88"/>
    <n v="72"/>
    <n v="60.2"/>
    <n v="97.61"/>
    <n v="346.61"/>
    <n v="74.915369220436304"/>
    <n v="119.75016494517713"/>
    <n v="441.69177554366559"/>
    <n v="51952.600000000006"/>
    <n v="1640.04322"/>
    <n v="5823.7412199999999"/>
    <n v="64651.963637236528"/>
    <n v="2012.0422714088661"/>
    <n v="7421.3052126846687"/>
  </r>
  <r>
    <s v="Regular"/>
    <x v="1"/>
    <x v="0"/>
    <x v="5"/>
    <x v="0"/>
    <x v="0"/>
    <x v="0"/>
    <x v="2"/>
    <x v="2"/>
    <n v="856"/>
    <n v="856"/>
    <n v="17.195"/>
    <n v="17.195"/>
    <n v="17.195"/>
    <n v="17.195"/>
    <n v="0"/>
    <x v="0"/>
    <n v="0"/>
    <n v="91"/>
    <n v="88"/>
    <n v="72"/>
    <n v="60.2"/>
    <n v="97.61"/>
    <n v="346.61"/>
    <n v="74.915369220436304"/>
    <n v="119.75016494517713"/>
    <n v="441.69177554366559"/>
    <n v="51531.200000000004"/>
    <n v="1678.4039500000001"/>
    <n v="5959.9589500000002"/>
    <n v="64127.556052693479"/>
    <n v="2059.1040862323207"/>
    <n v="7594.8900804733303"/>
  </r>
  <r>
    <s v="Regular"/>
    <x v="1"/>
    <x v="0"/>
    <x v="5"/>
    <x v="0"/>
    <x v="0"/>
    <x v="0"/>
    <x v="2"/>
    <x v="3"/>
    <n v="806"/>
    <n v="806"/>
    <n v="18.239999999999998"/>
    <n v="18.239999999999998"/>
    <n v="18.239999999999998"/>
    <n v="18.239999999999998"/>
    <n v="0"/>
    <x v="0"/>
    <n v="0"/>
    <n v="91"/>
    <n v="88"/>
    <n v="72"/>
    <n v="60.2"/>
    <n v="97.61"/>
    <n v="346.61"/>
    <n v="74.915369220436304"/>
    <n v="119.75016494517713"/>
    <n v="441.69177554366559"/>
    <n v="48521.200000000004"/>
    <n v="1780.4063999999998"/>
    <n v="6322.1664000000001"/>
    <n v="60381.787591671658"/>
    <n v="2184.2430086000309"/>
    <n v="8056.4579859164596"/>
  </r>
  <r>
    <s v="Sistema de Compensação"/>
    <x v="1"/>
    <x v="0"/>
    <x v="5"/>
    <x v="0"/>
    <x v="0"/>
    <x v="0"/>
    <x v="2"/>
    <x v="3"/>
    <n v="312"/>
    <n v="312"/>
    <n v="6.1740000000000004"/>
    <n v="6.1740000000000004"/>
    <n v="6.1740000000000004"/>
    <n v="6.1740000000000004"/>
    <n v="0"/>
    <x v="0"/>
    <n v="0"/>
    <n v="91"/>
    <n v="88"/>
    <n v="72"/>
    <n v="60.2"/>
    <n v="97.61"/>
    <n v="346.61"/>
    <n v="74.915369220436304"/>
    <n v="119.75016494517713"/>
    <n v="441.69177554366559"/>
    <n v="18782.400000000001"/>
    <n v="602.64413999999999"/>
    <n v="2139.9701400000004"/>
    <n v="23373.595196776128"/>
    <n v="739.33751837152363"/>
    <n v="2727.0050222065915"/>
  </r>
  <r>
    <s v="Regular"/>
    <x v="1"/>
    <x v="0"/>
    <x v="5"/>
    <x v="0"/>
    <x v="0"/>
    <x v="0"/>
    <x v="2"/>
    <x v="4"/>
    <n v="807"/>
    <n v="807"/>
    <n v="19.024999999999999"/>
    <n v="19.024999999999999"/>
    <n v="19.024999999999999"/>
    <n v="19.024999999999999"/>
    <n v="0"/>
    <x v="0"/>
    <n v="0"/>
    <n v="91"/>
    <n v="88"/>
    <n v="72"/>
    <n v="60.2"/>
    <n v="97.61"/>
    <n v="346.61"/>
    <n v="74.915369220436304"/>
    <n v="119.75016494517713"/>
    <n v="441.69177554366559"/>
    <n v="48581.4"/>
    <n v="1857.0302499999998"/>
    <n v="6594.2552500000002"/>
    <n v="60456.7029608921"/>
    <n v="2278.2468880819947"/>
    <n v="8403.1860297182375"/>
  </r>
  <r>
    <s v="Sistema de Compensação"/>
    <x v="1"/>
    <x v="0"/>
    <x v="5"/>
    <x v="0"/>
    <x v="0"/>
    <x v="0"/>
    <x v="2"/>
    <x v="4"/>
    <n v="312"/>
    <n v="312"/>
    <n v="6.3449999999999998"/>
    <n v="6.3449999999999998"/>
    <n v="6.3449999999999998"/>
    <n v="6.3449999999999998"/>
    <n v="0"/>
    <x v="0"/>
    <n v="0"/>
    <n v="91"/>
    <n v="88"/>
    <n v="72"/>
    <n v="60.2"/>
    <n v="97.61"/>
    <n v="346.61"/>
    <n v="74.915369220436304"/>
    <n v="119.75016494517713"/>
    <n v="441.69177554366559"/>
    <n v="18782.400000000001"/>
    <n v="619.33544999999992"/>
    <n v="2199.2404499999998"/>
    <n v="23373.595196776128"/>
    <n v="759.81479657714885"/>
    <n v="2802.5343158245582"/>
  </r>
  <r>
    <s v="Regular"/>
    <x v="1"/>
    <x v="0"/>
    <x v="5"/>
    <x v="0"/>
    <x v="0"/>
    <x v="0"/>
    <x v="2"/>
    <x v="5"/>
    <n v="806"/>
    <n v="806"/>
    <n v="19.119"/>
    <n v="19.119"/>
    <n v="19.119"/>
    <n v="19.119"/>
    <n v="0"/>
    <x v="0"/>
    <n v="0"/>
    <n v="91"/>
    <n v="88"/>
    <n v="72"/>
    <n v="60.2"/>
    <n v="97.61"/>
    <n v="346.61"/>
    <n v="74.915369220436304"/>
    <n v="119.75016494517713"/>
    <n v="441.69177554366559"/>
    <n v="48521.200000000004"/>
    <n v="1866.20559"/>
    <n v="6626.8365899999999"/>
    <n v="60381.787591671658"/>
    <n v="2289.5034035868416"/>
    <n v="8444.7050566193429"/>
  </r>
  <r>
    <s v="Sistema de Compensação"/>
    <x v="1"/>
    <x v="0"/>
    <x v="5"/>
    <x v="0"/>
    <x v="0"/>
    <x v="0"/>
    <x v="2"/>
    <x v="5"/>
    <n v="312"/>
    <n v="312"/>
    <n v="6.4"/>
    <n v="6.4"/>
    <n v="6.4"/>
    <n v="6.4"/>
    <n v="0"/>
    <x v="0"/>
    <n v="0"/>
    <n v="91"/>
    <n v="88"/>
    <n v="72"/>
    <n v="60.2"/>
    <n v="97.61"/>
    <n v="346.61"/>
    <n v="74.915369220436304"/>
    <n v="119.75016494517713"/>
    <n v="441.69177554366559"/>
    <n v="18782.400000000001"/>
    <n v="624.70400000000006"/>
    <n v="2218.3040000000001"/>
    <n v="23373.595196776128"/>
    <n v="766.4010556491337"/>
    <n v="2826.82736347946"/>
  </r>
  <r>
    <s v="Regular"/>
    <x v="1"/>
    <x v="0"/>
    <x v="5"/>
    <x v="0"/>
    <x v="0"/>
    <x v="0"/>
    <x v="2"/>
    <x v="6"/>
    <n v="814"/>
    <n v="814"/>
    <n v="19.366"/>
    <n v="19.366"/>
    <n v="19.366"/>
    <n v="19.366"/>
    <n v="0"/>
    <x v="0"/>
    <n v="0"/>
    <n v="91"/>
    <n v="88"/>
    <n v="72"/>
    <n v="60.2"/>
    <n v="97.61"/>
    <n v="346.61"/>
    <n v="74.915369220436304"/>
    <n v="119.75016494517713"/>
    <n v="441.69177554366559"/>
    <n v="49002.8"/>
    <n v="1890.3152599999999"/>
    <n v="6712.4492600000003"/>
    <n v="60981.110545435149"/>
    <n v="2319.0816943283003"/>
    <n v="8553.8029251786284"/>
  </r>
  <r>
    <s v="Sistema de Compensação"/>
    <x v="1"/>
    <x v="0"/>
    <x v="5"/>
    <x v="0"/>
    <x v="0"/>
    <x v="0"/>
    <x v="2"/>
    <x v="6"/>
    <n v="312"/>
    <n v="312"/>
    <n v="6.65"/>
    <n v="6.65"/>
    <n v="6.65"/>
    <n v="6.65"/>
    <n v="0"/>
    <x v="0"/>
    <n v="0"/>
    <n v="91"/>
    <n v="88"/>
    <n v="72"/>
    <n v="60.2"/>
    <n v="97.61"/>
    <n v="346.61"/>
    <n v="74.915369220436304"/>
    <n v="119.75016494517713"/>
    <n v="441.69177554366559"/>
    <n v="18782.400000000001"/>
    <n v="649.10649999999998"/>
    <n v="2304.9565000000002"/>
    <n v="23373.595196776128"/>
    <n v="796.33859688542793"/>
    <n v="2937.2503073653761"/>
  </r>
  <r>
    <s v="Regular"/>
    <x v="1"/>
    <x v="0"/>
    <x v="5"/>
    <x v="0"/>
    <x v="0"/>
    <x v="0"/>
    <x v="2"/>
    <x v="7"/>
    <n v="816"/>
    <n v="816"/>
    <n v="22.01"/>
    <n v="22.01"/>
    <n v="22.01"/>
    <n v="22.01"/>
    <n v="0"/>
    <x v="0"/>
    <n v="0"/>
    <n v="91"/>
    <n v="88"/>
    <n v="72"/>
    <n v="60.2"/>
    <n v="97.61"/>
    <n v="346.61"/>
    <n v="74.915369220436304"/>
    <n v="119.75016494517713"/>
    <n v="441.69177554366559"/>
    <n v="49123.200000000004"/>
    <n v="2148.3960999999999"/>
    <n v="7628.8861000000006"/>
    <n v="61130.941283876025"/>
    <n v="2635.701130443349"/>
    <n v="9721.6359797160803"/>
  </r>
  <r>
    <s v="Sistema de Compensação"/>
    <x v="1"/>
    <x v="0"/>
    <x v="5"/>
    <x v="0"/>
    <x v="0"/>
    <x v="0"/>
    <x v="2"/>
    <x v="7"/>
    <n v="312"/>
    <n v="312"/>
    <n v="6.367"/>
    <n v="6.367"/>
    <n v="6.367"/>
    <n v="6.367"/>
    <n v="0"/>
    <x v="0"/>
    <n v="0"/>
    <n v="91"/>
    <n v="88"/>
    <n v="72"/>
    <n v="60.2"/>
    <n v="97.61"/>
    <n v="346.61"/>
    <n v="74.915369220436304"/>
    <n v="119.75016494517713"/>
    <n v="441.69177554366559"/>
    <n v="18782.400000000001"/>
    <n v="621.48287000000005"/>
    <n v="2206.8658700000001"/>
    <n v="23373.595196776128"/>
    <n v="762.44930020594279"/>
    <n v="2812.2515348865186"/>
  </r>
  <r>
    <s v="Regular"/>
    <x v="1"/>
    <x v="0"/>
    <x v="5"/>
    <x v="0"/>
    <x v="0"/>
    <x v="0"/>
    <x v="2"/>
    <x v="8"/>
    <n v="826"/>
    <n v="826"/>
    <n v="19.744"/>
    <n v="19.744"/>
    <n v="19.744"/>
    <n v="19.744"/>
    <n v="0"/>
    <x v="0"/>
    <n v="0"/>
    <n v="91"/>
    <n v="88"/>
    <n v="72"/>
    <n v="60.2"/>
    <n v="97.61"/>
    <n v="346.61"/>
    <n v="74.915369220436304"/>
    <n v="119.75016494517713"/>
    <n v="441.69177554366559"/>
    <n v="49725.200000000004"/>
    <n v="1927.2118399999999"/>
    <n v="6843.4678400000003"/>
    <n v="61880.094976080385"/>
    <n v="2364.3472566775772"/>
    <n v="8720.7624163341334"/>
  </r>
  <r>
    <s v="Sistema de Compensação"/>
    <x v="1"/>
    <x v="0"/>
    <x v="5"/>
    <x v="0"/>
    <x v="0"/>
    <x v="0"/>
    <x v="2"/>
    <x v="8"/>
    <n v="312"/>
    <n v="312"/>
    <n v="6.5380000000000003"/>
    <n v="6.5380000000000003"/>
    <n v="6.5380000000000003"/>
    <n v="6.5380000000000003"/>
    <n v="0"/>
    <x v="0"/>
    <n v="0"/>
    <n v="91"/>
    <n v="88"/>
    <n v="72"/>
    <n v="60.2"/>
    <n v="97.61"/>
    <n v="346.61"/>
    <n v="74.915369220436304"/>
    <n v="119.75016494517713"/>
    <n v="441.69177554366559"/>
    <n v="18782.400000000001"/>
    <n v="638.17417999999998"/>
    <n v="2266.13618"/>
    <n v="23373.595196776128"/>
    <n v="782.92657841156813"/>
    <n v="2887.7808285044857"/>
  </r>
  <r>
    <s v="Regular"/>
    <x v="1"/>
    <x v="0"/>
    <x v="5"/>
    <x v="0"/>
    <x v="0"/>
    <x v="0"/>
    <x v="2"/>
    <x v="9"/>
    <n v="814"/>
    <n v="814"/>
    <n v="20.157"/>
    <n v="20.157"/>
    <n v="20.157"/>
    <n v="20.157"/>
    <n v="0"/>
    <x v="0"/>
    <n v="0"/>
    <n v="91"/>
    <n v="88"/>
    <n v="72"/>
    <n v="60.2"/>
    <n v="97.61"/>
    <n v="346.61"/>
    <n v="74.915369220436304"/>
    <n v="119.75016494517713"/>
    <n v="441.69177554366559"/>
    <n v="49002.8"/>
    <n v="1967.52477"/>
    <n v="6986.6177699999998"/>
    <n v="60981.110545435149"/>
    <n v="2413.8040747999353"/>
    <n v="8903.1811196336675"/>
  </r>
  <r>
    <s v="Sistema de Compensação"/>
    <x v="1"/>
    <x v="0"/>
    <x v="5"/>
    <x v="0"/>
    <x v="0"/>
    <x v="0"/>
    <x v="2"/>
    <x v="9"/>
    <n v="312"/>
    <n v="312"/>
    <n v="6.5170000000000003"/>
    <n v="6.5170000000000003"/>
    <n v="6.5170000000000003"/>
    <n v="6.5170000000000003"/>
    <n v="0"/>
    <x v="0"/>
    <n v="0"/>
    <n v="91"/>
    <n v="88"/>
    <n v="72"/>
    <n v="60.2"/>
    <n v="97.61"/>
    <n v="346.61"/>
    <n v="74.915369220436304"/>
    <n v="119.75016494517713"/>
    <n v="441.69177554366559"/>
    <n v="18782.400000000001"/>
    <n v="636.12437"/>
    <n v="2258.8573700000002"/>
    <n v="23373.595196776128"/>
    <n v="780.41182494771942"/>
    <n v="2878.5053012180688"/>
  </r>
  <r>
    <s v="Regular"/>
    <x v="1"/>
    <x v="0"/>
    <x v="5"/>
    <x v="0"/>
    <x v="0"/>
    <x v="0"/>
    <x v="2"/>
    <x v="10"/>
    <n v="812"/>
    <n v="812"/>
    <n v="23.706"/>
    <n v="23.706"/>
    <n v="23.706"/>
    <n v="23.706"/>
    <n v="0"/>
    <x v="0"/>
    <n v="0"/>
    <n v="91"/>
    <n v="88"/>
    <n v="72"/>
    <n v="60.2"/>
    <n v="97.61"/>
    <n v="346.61"/>
    <n v="74.915369220436304"/>
    <n v="119.75016494517713"/>
    <n v="441.69177554366559"/>
    <n v="48882.400000000001"/>
    <n v="2313.9426600000002"/>
    <n v="8216.7366600000005"/>
    <n v="60831.27980699428"/>
    <n v="2838.7974101903692"/>
    <n v="10470.745231038136"/>
  </r>
  <r>
    <s v="Sistema de Compensação"/>
    <x v="1"/>
    <x v="0"/>
    <x v="5"/>
    <x v="0"/>
    <x v="0"/>
    <x v="0"/>
    <x v="2"/>
    <x v="10"/>
    <n v="312"/>
    <n v="312"/>
    <n v="6.5090000000000003"/>
    <n v="6.5090000000000003"/>
    <n v="6.5090000000000003"/>
    <n v="6.5090000000000003"/>
    <n v="0"/>
    <x v="0"/>
    <n v="0"/>
    <n v="91"/>
    <n v="88"/>
    <n v="72"/>
    <n v="60.2"/>
    <n v="97.61"/>
    <n v="346.61"/>
    <n v="74.915369220436304"/>
    <n v="119.75016494517713"/>
    <n v="441.69177554366559"/>
    <n v="18782.400000000001"/>
    <n v="635.34348999999997"/>
    <n v="2256.0844900000002"/>
    <n v="23373.595196776128"/>
    <n v="779.45382362815803"/>
    <n v="2874.9717670137193"/>
  </r>
  <r>
    <s v="PROJETADO"/>
    <x v="1"/>
    <x v="0"/>
    <x v="5"/>
    <x v="0"/>
    <x v="0"/>
    <x v="0"/>
    <x v="2"/>
    <x v="11"/>
    <n v="812"/>
    <n v="812"/>
    <n v="23.706"/>
    <n v="23.706"/>
    <n v="23.706"/>
    <n v="23.706"/>
    <n v="0"/>
    <x v="0"/>
    <n v="0"/>
    <n v="91"/>
    <n v="88"/>
    <n v="72"/>
    <n v="60.2"/>
    <n v="97.61"/>
    <n v="346.61"/>
    <n v="74.915369220436304"/>
    <n v="119.75016494517713"/>
    <n v="441.69177554366559"/>
    <n v="48882.400000000001"/>
    <n v="2313.9426600000002"/>
    <n v="8216.7366600000005"/>
    <n v="60831.27980699428"/>
    <n v="2838.7974101903692"/>
    <n v="10470.745231038136"/>
  </r>
  <r>
    <s v="PROJETADO"/>
    <x v="1"/>
    <x v="0"/>
    <x v="5"/>
    <x v="0"/>
    <x v="0"/>
    <x v="0"/>
    <x v="2"/>
    <x v="11"/>
    <n v="312"/>
    <n v="312"/>
    <n v="6.5090000000000003"/>
    <n v="6.5090000000000003"/>
    <n v="6.5090000000000003"/>
    <n v="6.5090000000000003"/>
    <n v="0"/>
    <x v="0"/>
    <n v="0"/>
    <n v="91"/>
    <n v="88"/>
    <n v="72"/>
    <n v="60.2"/>
    <n v="97.61"/>
    <n v="346.61"/>
    <n v="74.915369220436304"/>
    <n v="119.75016494517713"/>
    <n v="441.69177554366559"/>
    <n v="18782.400000000001"/>
    <n v="635.34348999999997"/>
    <n v="2256.0844900000002"/>
    <n v="23373.595196776128"/>
    <n v="779.45382362815803"/>
    <n v="2874.9717670137193"/>
  </r>
  <r>
    <s v="Regular"/>
    <x v="1"/>
    <x v="0"/>
    <x v="3"/>
    <x v="2"/>
    <x v="0"/>
    <x v="0"/>
    <x v="0"/>
    <x v="0"/>
    <n v="20470"/>
    <n v="20470"/>
    <n v="10577.843000000001"/>
    <n v="10577.843000000001"/>
    <n v="10577.843000000001"/>
    <n v="10577.843000000001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420433.33"/>
    <n v="970553.05991620012"/>
    <n v="2187199.6372274002"/>
    <n v="551539.14497326605"/>
    <n v="1228697.4906937617"/>
    <n v="2907923.1772874417"/>
  </r>
  <r>
    <s v="Regular"/>
    <x v="1"/>
    <x v="0"/>
    <x v="3"/>
    <x v="2"/>
    <x v="0"/>
    <x v="0"/>
    <x v="0"/>
    <x v="1"/>
    <n v="20341"/>
    <n v="20341"/>
    <n v="10061.18"/>
    <n v="10061.18"/>
    <n v="10061.18"/>
    <n v="10061.18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417783.79900000006"/>
    <n v="923147.47301199997"/>
    <n v="2080368.2987239999"/>
    <n v="548063.39755257475"/>
    <n v="1168683.1256068237"/>
    <n v="2765888.8974681189"/>
  </r>
  <r>
    <s v="Regular"/>
    <x v="1"/>
    <x v="0"/>
    <x v="3"/>
    <x v="2"/>
    <x v="0"/>
    <x v="0"/>
    <x v="0"/>
    <x v="2"/>
    <n v="19650"/>
    <n v="19650"/>
    <n v="10526.98"/>
    <n v="10526.98"/>
    <n v="10526.98"/>
    <n v="10526.98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403591.35000000003"/>
    <n v="965886.20673199999"/>
    <n v="2176682.603164"/>
    <n v="529445.24664018943"/>
    <n v="1222789.3636333433"/>
    <n v="2893940.5821055719"/>
  </r>
  <r>
    <s v="Regular"/>
    <x v="1"/>
    <x v="0"/>
    <x v="3"/>
    <x v="2"/>
    <x v="0"/>
    <x v="0"/>
    <x v="0"/>
    <x v="3"/>
    <n v="20326"/>
    <n v="20326"/>
    <n v="10516.733"/>
    <n v="10516.733"/>
    <n v="10516.733"/>
    <n v="10516.733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417475.71400000004"/>
    <n v="964946.00964219996"/>
    <n v="2174563.8125294"/>
    <n v="547659.2408757502"/>
    <n v="1221599.0960913559"/>
    <n v="2891123.6099877534"/>
  </r>
  <r>
    <s v="Regular"/>
    <x v="1"/>
    <x v="0"/>
    <x v="3"/>
    <x v="2"/>
    <x v="0"/>
    <x v="0"/>
    <x v="0"/>
    <x v="4"/>
    <n v="20296"/>
    <n v="20296"/>
    <n v="10032.277"/>
    <n v="10032.277"/>
    <n v="10032.277"/>
    <n v="10032.277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416859.54400000005"/>
    <n v="920495.5244918"/>
    <n v="2074391.9733885999"/>
    <n v="546850.92752210097"/>
    <n v="1165325.8207599355"/>
    <n v="2757943.2601965941"/>
  </r>
  <r>
    <s v="Regular"/>
    <x v="1"/>
    <x v="0"/>
    <x v="3"/>
    <x v="2"/>
    <x v="0"/>
    <x v="0"/>
    <x v="0"/>
    <x v="5"/>
    <n v="19387"/>
    <n v="19387"/>
    <n v="11187.18"/>
    <n v="11187.18"/>
    <n v="11187.18"/>
    <n v="11187.18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398189.59300000005"/>
    <n v="1026461.801412"/>
    <n v="2313193.345524"/>
    <n v="522359.03290653194"/>
    <n v="1299476.6507632451"/>
    <n v="3075434.189228042"/>
  </r>
  <r>
    <s v="Regular"/>
    <x v="1"/>
    <x v="0"/>
    <x v="3"/>
    <x v="2"/>
    <x v="0"/>
    <x v="0"/>
    <x v="0"/>
    <x v="6"/>
    <n v="19732"/>
    <n v="19732"/>
    <n v="10315.536"/>
    <n v="10315.536"/>
    <n v="10315.536"/>
    <n v="10315.536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405275.54800000001"/>
    <n v="946485.50082239998"/>
    <n v="2132961.9466847996"/>
    <n v="531654.63647349714"/>
    <n v="1198228.5233729754"/>
    <n v="2835813.1445648214"/>
  </r>
  <r>
    <s v="Regular"/>
    <x v="1"/>
    <x v="0"/>
    <x v="3"/>
    <x v="2"/>
    <x v="0"/>
    <x v="0"/>
    <x v="0"/>
    <x v="7"/>
    <n v="19343"/>
    <n v="19343"/>
    <n v="10367.769"/>
    <n v="10367.769"/>
    <n v="10367.769"/>
    <n v="10367.769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397285.87700000004"/>
    <n v="951278.05616459996"/>
    <n v="2143762.2581142001"/>
    <n v="521173.50665451318"/>
    <n v="1204295.7864275894"/>
    <n v="2850172.3623485658"/>
  </r>
  <r>
    <s v="Regular"/>
    <x v="1"/>
    <x v="0"/>
    <x v="3"/>
    <x v="2"/>
    <x v="0"/>
    <x v="0"/>
    <x v="0"/>
    <x v="8"/>
    <n v="19310"/>
    <n v="19310"/>
    <n v="10213.36"/>
    <n v="10213.36"/>
    <n v="10213.36"/>
    <n v="10213.36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396608.09"/>
    <n v="937110.50542400009"/>
    <n v="2111834.8312479998"/>
    <n v="520284.36196549912"/>
    <n v="1186359.9983051401"/>
    <n v="2807724.2460471825"/>
  </r>
  <r>
    <s v="Regular"/>
    <x v="1"/>
    <x v="0"/>
    <x v="3"/>
    <x v="2"/>
    <x v="0"/>
    <x v="0"/>
    <x v="0"/>
    <x v="9"/>
    <n v="19161"/>
    <n v="19161"/>
    <n v="8892.4869999999992"/>
    <n v="8892.4869999999992"/>
    <n v="8892.4869999999992"/>
    <n v="8892.4869999999992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393547.77900000004"/>
    <n v="815915.91670579987"/>
    <n v="1838715.5434665997"/>
    <n v="516269.73897570837"/>
    <n v="1032930.481472158"/>
    <n v="2444607.0007871422"/>
  </r>
  <r>
    <s v="Regular"/>
    <x v="1"/>
    <x v="0"/>
    <x v="3"/>
    <x v="2"/>
    <x v="0"/>
    <x v="0"/>
    <x v="0"/>
    <x v="10"/>
    <n v="19195"/>
    <n v="19195"/>
    <n v="10114.501"/>
    <n v="10114.501"/>
    <n v="10114.501"/>
    <n v="10114.501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394246.10500000004"/>
    <n v="928039.85605339997"/>
    <n v="2091393.5778717999"/>
    <n v="517185.8274431774"/>
    <n v="1174876.7681955143"/>
    <n v="2780547.2140772939"/>
  </r>
  <r>
    <s v="PROJETADO"/>
    <x v="1"/>
    <x v="0"/>
    <x v="3"/>
    <x v="2"/>
    <x v="0"/>
    <x v="0"/>
    <x v="0"/>
    <x v="11"/>
    <n v="19195"/>
    <n v="19195"/>
    <n v="10114.501"/>
    <n v="10114.501"/>
    <n v="10114.501"/>
    <n v="10114.501"/>
    <n v="0"/>
    <x v="0"/>
    <n v="0"/>
    <n v="87"/>
    <n v="88"/>
    <n v="73"/>
    <n v="20.539000000000001"/>
    <n v="91.753399999999999"/>
    <n v="206.77179999999998"/>
    <n v="26.943778454971472"/>
    <n v="116.15765999682182"/>
    <n v="274.90700866778241"/>
    <n v="394246.10500000004"/>
    <n v="928039.85605339997"/>
    <n v="2091393.5778717999"/>
    <n v="517185.8274431774"/>
    <n v="1174876.7681955143"/>
    <n v="2780547.2140772939"/>
  </r>
  <r>
    <s v="Regular"/>
    <x v="1"/>
    <x v="0"/>
    <x v="3"/>
    <x v="2"/>
    <x v="0"/>
    <x v="0"/>
    <x v="2"/>
    <x v="0"/>
    <n v="19802"/>
    <n v="19802"/>
    <n v="938.35599999999999"/>
    <n v="938.35599999999999"/>
    <n v="938.35599999999999"/>
    <n v="938.35599999999999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120555.5760000001"/>
    <n v="86097.353410399999"/>
    <n v="305728.95877039997"/>
    <n v="1438969.9170639873"/>
    <n v="108997.23720397774"/>
    <n v="402030.2039000903"/>
  </r>
  <r>
    <s v="Regular"/>
    <x v="1"/>
    <x v="0"/>
    <x v="3"/>
    <x v="2"/>
    <x v="0"/>
    <x v="0"/>
    <x v="2"/>
    <x v="1"/>
    <n v="19837"/>
    <n v="19837"/>
    <n v="924.98900000000003"/>
    <n v="924.98900000000003"/>
    <n v="924.98900000000003"/>
    <n v="924.98900000000003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122536.156"/>
    <n v="84870.885712600008"/>
    <n v="301373.81105260004"/>
    <n v="1441513.293849021"/>
    <n v="107444.55776280022"/>
    <n v="396303.23275530891"/>
  </r>
  <r>
    <s v="Regular"/>
    <x v="1"/>
    <x v="0"/>
    <x v="3"/>
    <x v="2"/>
    <x v="0"/>
    <x v="0"/>
    <x v="2"/>
    <x v="2"/>
    <n v="19603"/>
    <n v="19603"/>
    <n v="995.70600000000002"/>
    <n v="995.70600000000002"/>
    <n v="995.70600000000002"/>
    <n v="995.70600000000002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109294.564"/>
    <n v="91359.410900400006"/>
    <n v="324414.35726040002"/>
    <n v="1424509.0033433663"/>
    <n v="115658.87900479547"/>
    <n v="426601.29652769666"/>
  </r>
  <r>
    <s v="Regular"/>
    <x v="1"/>
    <x v="0"/>
    <x v="3"/>
    <x v="2"/>
    <x v="0"/>
    <x v="0"/>
    <x v="2"/>
    <x v="3"/>
    <n v="20222"/>
    <n v="20222"/>
    <n v="996.13300000000004"/>
    <n v="996.13300000000004"/>
    <n v="996.13300000000004"/>
    <n v="996.13300000000004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144322.5360000001"/>
    <n v="91398.589602200009"/>
    <n v="324553.4795822"/>
    <n v="1469490.4384843931"/>
    <n v="115708.47832561411"/>
    <n v="426784.2408442091"/>
  </r>
  <r>
    <s v="Regular"/>
    <x v="1"/>
    <x v="0"/>
    <x v="3"/>
    <x v="2"/>
    <x v="0"/>
    <x v="0"/>
    <x v="2"/>
    <x v="4"/>
    <n v="20187"/>
    <n v="20187"/>
    <n v="962.42899999999997"/>
    <n v="962.42899999999997"/>
    <n v="962.42899999999997"/>
    <n v="962.42899999999997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142341.956"/>
    <n v="88306.133008599994"/>
    <n v="313572.26474860002"/>
    <n v="1466947.0616993592"/>
    <n v="111793.50055308122"/>
    <n v="412344.06462937308"/>
  </r>
  <r>
    <s v="Regular"/>
    <x v="1"/>
    <x v="0"/>
    <x v="3"/>
    <x v="2"/>
    <x v="0"/>
    <x v="0"/>
    <x v="2"/>
    <x v="5"/>
    <n v="19306"/>
    <n v="19306"/>
    <n v="996.08100000000002"/>
    <n v="996.08100000000002"/>
    <n v="996.08100000000002"/>
    <n v="996.08100000000002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092487.9280000001"/>
    <n v="91393.818425400008"/>
    <n v="324536.53728540003"/>
    <n v="1402926.6346246509"/>
    <n v="115702.43812729428"/>
    <n v="426761.96191105066"/>
  </r>
  <r>
    <s v="Regular"/>
    <x v="1"/>
    <x v="0"/>
    <x v="3"/>
    <x v="2"/>
    <x v="0"/>
    <x v="0"/>
    <x v="2"/>
    <x v="6"/>
    <n v="19318"/>
    <n v="19318"/>
    <n v="908.31200000000001"/>
    <n v="908.31200000000001"/>
    <n v="908.31200000000001"/>
    <n v="908.31200000000001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093166.9839999999"/>
    <n v="83340.714260799999"/>
    <n v="295940.22098079999"/>
    <n v="1403798.6495223767"/>
    <n v="105507.39646703322"/>
    <n v="389158.12182678946"/>
  </r>
  <r>
    <s v="Regular"/>
    <x v="1"/>
    <x v="0"/>
    <x v="3"/>
    <x v="2"/>
    <x v="0"/>
    <x v="0"/>
    <x v="2"/>
    <x v="7"/>
    <n v="19424"/>
    <n v="19424"/>
    <n v="1059.7370000000001"/>
    <n v="1059.7370000000001"/>
    <n v="1059.7370000000001"/>
    <n v="1059.7370000000001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099165.3119999999"/>
    <n v="97234.472855800006"/>
    <n v="345276.51507580001"/>
    <n v="1411501.447785622"/>
    <n v="123096.57013205197"/>
    <n v="454034.80362513807"/>
  </r>
  <r>
    <s v="Regular"/>
    <x v="1"/>
    <x v="0"/>
    <x v="3"/>
    <x v="2"/>
    <x v="0"/>
    <x v="0"/>
    <x v="2"/>
    <x v="8"/>
    <n v="19206"/>
    <n v="19206"/>
    <n v="944.80399999999997"/>
    <n v="944.80399999999997"/>
    <n v="944.80399999999997"/>
    <n v="944.80399999999997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086829.128"/>
    <n v="86688.9793336"/>
    <n v="307829.80357360002"/>
    <n v="1395659.8438102687"/>
    <n v="109746.22179563723"/>
    <n v="404792.79161173466"/>
  </r>
  <r>
    <s v="Regular"/>
    <x v="1"/>
    <x v="0"/>
    <x v="3"/>
    <x v="2"/>
    <x v="0"/>
    <x v="0"/>
    <x v="2"/>
    <x v="9"/>
    <n v="19036"/>
    <n v="19036"/>
    <n v="854.39700000000005"/>
    <n v="854.39700000000005"/>
    <n v="854.39700000000005"/>
    <n v="854.39700000000005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077209.1680000001"/>
    <n v="78393.829699800001"/>
    <n v="278373.99151980004"/>
    <n v="1383306.2994258187"/>
    <n v="99244.756228304585"/>
    <n v="366058.72411070584"/>
  </r>
  <r>
    <s v="Regular"/>
    <x v="1"/>
    <x v="0"/>
    <x v="3"/>
    <x v="2"/>
    <x v="0"/>
    <x v="0"/>
    <x v="2"/>
    <x v="10"/>
    <n v="19159"/>
    <n v="19159"/>
    <n v="969.45799999999997"/>
    <n v="969.45799999999997"/>
    <n v="969.45799999999997"/>
    <n v="969.45799999999997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084169.4920000001"/>
    <n v="88951.067657199994"/>
    <n v="315862.4071372"/>
    <n v="1392244.4521275088"/>
    <n v="112609.97274519889"/>
    <n v="415355.57657496061"/>
  </r>
  <r>
    <s v="PROJETADO"/>
    <x v="1"/>
    <x v="0"/>
    <x v="3"/>
    <x v="2"/>
    <x v="0"/>
    <x v="0"/>
    <x v="2"/>
    <x v="11"/>
    <n v="19159"/>
    <n v="19159"/>
    <n v="969.45799999999997"/>
    <n v="969.45799999999997"/>
    <n v="969.45799999999997"/>
    <n v="969.45799999999997"/>
    <n v="0"/>
    <x v="0"/>
    <n v="0"/>
    <n v="91"/>
    <n v="88"/>
    <n v="72"/>
    <n v="56.588000000000001"/>
    <n v="91.753399999999999"/>
    <n v="325.8134"/>
    <n v="72.667908143823212"/>
    <n v="116.15765999682182"/>
    <n v="428.44102227735561"/>
    <n v="1084169.4920000001"/>
    <n v="88951.067657199994"/>
    <n v="315862.4071372"/>
    <n v="1392244.4521275088"/>
    <n v="112609.97274519889"/>
    <n v="415355.57657496061"/>
  </r>
  <r>
    <s v="Regular"/>
    <x v="1"/>
    <x v="1"/>
    <x v="4"/>
    <x v="0"/>
    <x v="0"/>
    <x v="1"/>
    <x v="0"/>
    <x v="0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0"/>
    <x v="1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0"/>
    <x v="2"/>
    <n v="1196"/>
    <n v="1196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15153.32"/>
    <n v="0"/>
    <n v="0"/>
    <n v="18530.583548965416"/>
    <n v="0"/>
    <n v="0"/>
  </r>
  <r>
    <s v="Regular"/>
    <x v="1"/>
    <x v="1"/>
    <x v="4"/>
    <x v="0"/>
    <x v="0"/>
    <x v="1"/>
    <x v="0"/>
    <x v="3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0"/>
    <x v="4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0"/>
    <x v="5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0"/>
    <x v="6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0"/>
    <x v="7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0"/>
    <x v="8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0"/>
    <x v="9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0"/>
    <x v="10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PROJETADO"/>
    <x v="1"/>
    <x v="1"/>
    <x v="4"/>
    <x v="0"/>
    <x v="0"/>
    <x v="1"/>
    <x v="0"/>
    <x v="11"/>
    <n v="600"/>
    <n v="600"/>
    <n v="0"/>
    <n v="0"/>
    <n v="0"/>
    <n v="0"/>
    <n v="0"/>
    <x v="3"/>
    <n v="43"/>
    <n v="4"/>
    <n v="0"/>
    <n v="0"/>
    <n v="12.67"/>
    <n v="0"/>
    <n v="0"/>
    <n v="15.493798953984463"/>
    <n v="20.813133759044351"/>
    <m/>
    <n v="7602"/>
    <n v="0"/>
    <n v="0"/>
    <n v="9296.279372390678"/>
    <n v="0"/>
    <n v="0"/>
  </r>
  <r>
    <s v="Regular"/>
    <x v="1"/>
    <x v="1"/>
    <x v="4"/>
    <x v="0"/>
    <x v="0"/>
    <x v="1"/>
    <x v="1"/>
    <x v="0"/>
    <n v="0"/>
    <n v="0"/>
    <n v="237.31200000000001"/>
    <n v="237.31200000000001"/>
    <n v="0"/>
    <n v="0"/>
    <n v="0"/>
    <x v="3"/>
    <n v="43"/>
    <n v="0"/>
    <n v="5"/>
    <n v="0"/>
    <n v="0"/>
    <n v="17.72"/>
    <n v="0"/>
    <n v="41.530250927744817"/>
    <n v="20.813133759044351"/>
    <m/>
    <n v="0"/>
    <n v="4205.1686399999999"/>
    <n v="0"/>
    <n v="0"/>
    <n v="4939.2063986263338"/>
    <n v="0"/>
  </r>
  <r>
    <s v="Regular"/>
    <x v="1"/>
    <x v="1"/>
    <x v="4"/>
    <x v="0"/>
    <x v="0"/>
    <x v="1"/>
    <x v="1"/>
    <x v="1"/>
    <n v="0"/>
    <n v="0"/>
    <n v="216.12200000000001"/>
    <n v="216.12200000000001"/>
    <n v="0"/>
    <n v="0"/>
    <n v="0"/>
    <x v="3"/>
    <n v="43"/>
    <n v="0"/>
    <n v="5"/>
    <n v="0"/>
    <n v="0"/>
    <n v="17.72"/>
    <n v="0"/>
    <n v="41.530250927744817"/>
    <n v="20.813133759044351"/>
    <m/>
    <n v="0"/>
    <n v="3829.6818400000002"/>
    <n v="0"/>
    <n v="0"/>
    <n v="4498.1760942721839"/>
    <n v="0"/>
  </r>
  <r>
    <s v="Regular"/>
    <x v="1"/>
    <x v="1"/>
    <x v="4"/>
    <x v="0"/>
    <x v="0"/>
    <x v="1"/>
    <x v="1"/>
    <x v="2"/>
    <n v="0"/>
    <n v="0"/>
    <n v="221.47499999999999"/>
    <n v="221.47499999999999"/>
    <n v="0"/>
    <n v="0"/>
    <n v="0"/>
    <x v="3"/>
    <n v="43"/>
    <n v="0"/>
    <n v="5"/>
    <n v="0"/>
    <n v="0"/>
    <n v="17.72"/>
    <n v="0"/>
    <n v="41.530250927744817"/>
    <n v="20.813133759044351"/>
    <m/>
    <n v="0"/>
    <n v="3924.5369999999998"/>
    <n v="0"/>
    <n v="0"/>
    <n v="4609.5887992843473"/>
    <n v="0"/>
  </r>
  <r>
    <s v="Regular"/>
    <x v="1"/>
    <x v="1"/>
    <x v="4"/>
    <x v="0"/>
    <x v="0"/>
    <x v="1"/>
    <x v="1"/>
    <x v="3"/>
    <n v="0"/>
    <n v="0"/>
    <n v="217.27799999999999"/>
    <n v="217.27799999999999"/>
    <n v="0"/>
    <n v="0"/>
    <n v="0"/>
    <x v="3"/>
    <n v="43"/>
    <n v="0"/>
    <n v="5"/>
    <n v="0"/>
    <n v="0"/>
    <n v="17.72"/>
    <n v="0"/>
    <n v="41.530250927744817"/>
    <n v="20.813133759044351"/>
    <m/>
    <n v="0"/>
    <n v="3850.1661599999998"/>
    <n v="0"/>
    <n v="0"/>
    <n v="4522.2360768976387"/>
    <n v="0"/>
  </r>
  <r>
    <s v="Regular"/>
    <x v="1"/>
    <x v="1"/>
    <x v="4"/>
    <x v="0"/>
    <x v="0"/>
    <x v="1"/>
    <x v="1"/>
    <x v="4"/>
    <n v="0"/>
    <n v="0"/>
    <n v="219.21600000000001"/>
    <n v="219.21600000000001"/>
    <n v="0"/>
    <n v="0"/>
    <n v="0"/>
    <x v="3"/>
    <n v="43"/>
    <n v="0"/>
    <n v="5"/>
    <n v="0"/>
    <n v="0"/>
    <n v="17.72"/>
    <n v="0"/>
    <n v="41.530250927744817"/>
    <n v="20.813133759044351"/>
    <m/>
    <n v="0"/>
    <n v="3884.5075200000001"/>
    <n v="0"/>
    <n v="0"/>
    <n v="4562.5719301226663"/>
    <n v="0"/>
  </r>
  <r>
    <s v="Regular"/>
    <x v="1"/>
    <x v="1"/>
    <x v="4"/>
    <x v="0"/>
    <x v="0"/>
    <x v="1"/>
    <x v="1"/>
    <x v="5"/>
    <n v="0"/>
    <n v="0"/>
    <n v="241.21199999999999"/>
    <n v="241.21199999999999"/>
    <n v="0"/>
    <n v="0"/>
    <n v="0"/>
    <x v="3"/>
    <n v="43"/>
    <n v="0"/>
    <n v="5"/>
    <n v="0"/>
    <n v="0"/>
    <n v="17.72"/>
    <n v="0"/>
    <n v="41.530250927744817"/>
    <n v="20.813133759044351"/>
    <m/>
    <n v="0"/>
    <n v="4274.2766399999991"/>
    <n v="0"/>
    <n v="0"/>
    <n v="5020.3776202866056"/>
    <n v="0"/>
  </r>
  <r>
    <s v="Regular"/>
    <x v="1"/>
    <x v="1"/>
    <x v="4"/>
    <x v="0"/>
    <x v="0"/>
    <x v="1"/>
    <x v="1"/>
    <x v="6"/>
    <n v="0"/>
    <n v="0"/>
    <n v="250.42400000000001"/>
    <n v="250.42400000000001"/>
    <n v="0"/>
    <n v="0"/>
    <n v="0"/>
    <x v="3"/>
    <n v="43"/>
    <n v="0"/>
    <n v="5"/>
    <n v="0"/>
    <n v="0"/>
    <n v="17.72"/>
    <n v="0"/>
    <n v="41.530250927744817"/>
    <n v="20.813133759044351"/>
    <m/>
    <n v="0"/>
    <n v="4437.5132800000001"/>
    <n v="0"/>
    <n v="0"/>
    <n v="5212.1082084749232"/>
    <n v="0"/>
  </r>
  <r>
    <s v="Regular"/>
    <x v="1"/>
    <x v="1"/>
    <x v="4"/>
    <x v="0"/>
    <x v="0"/>
    <x v="1"/>
    <x v="1"/>
    <x v="7"/>
    <n v="0"/>
    <n v="0"/>
    <n v="261.13099999999997"/>
    <n v="261.13099999999997"/>
    <n v="0"/>
    <n v="0"/>
    <n v="0"/>
    <x v="3"/>
    <n v="43"/>
    <n v="0"/>
    <n v="5"/>
    <n v="0"/>
    <n v="0"/>
    <n v="17.72"/>
    <n v="0"/>
    <n v="41.530250927744817"/>
    <n v="20.813133759044351"/>
    <m/>
    <n v="0"/>
    <n v="4627.2413199999992"/>
    <n v="0"/>
    <n v="0"/>
    <n v="5434.9544316330102"/>
    <n v="0"/>
  </r>
  <r>
    <s v="Regular"/>
    <x v="1"/>
    <x v="1"/>
    <x v="4"/>
    <x v="0"/>
    <x v="0"/>
    <x v="1"/>
    <x v="1"/>
    <x v="8"/>
    <n v="0"/>
    <n v="0"/>
    <n v="253.48"/>
    <n v="253.48"/>
    <n v="0"/>
    <n v="0"/>
    <n v="0"/>
    <x v="3"/>
    <n v="43"/>
    <n v="0"/>
    <n v="5"/>
    <n v="0"/>
    <n v="0"/>
    <n v="17.72"/>
    <n v="0"/>
    <n v="41.530250927744817"/>
    <n v="20.813133759044351"/>
    <m/>
    <n v="0"/>
    <n v="4491.6655999999994"/>
    <n v="0"/>
    <n v="0"/>
    <n v="5275.7131452425619"/>
    <n v="0"/>
  </r>
  <r>
    <s v="Regular"/>
    <x v="1"/>
    <x v="1"/>
    <x v="4"/>
    <x v="0"/>
    <x v="0"/>
    <x v="1"/>
    <x v="1"/>
    <x v="9"/>
    <n v="0"/>
    <n v="0"/>
    <n v="243.672"/>
    <n v="243.672"/>
    <n v="0"/>
    <n v="0"/>
    <n v="0"/>
    <x v="3"/>
    <n v="43"/>
    <n v="0"/>
    <n v="5"/>
    <n v="0"/>
    <n v="0"/>
    <n v="17.72"/>
    <n v="0"/>
    <n v="41.530250927744817"/>
    <n v="20.813133759044351"/>
    <m/>
    <n v="0"/>
    <n v="4317.8678399999999"/>
    <n v="0"/>
    <n v="0"/>
    <n v="5071.5779293338555"/>
    <n v="0"/>
  </r>
  <r>
    <s v="Regular"/>
    <x v="1"/>
    <x v="1"/>
    <x v="4"/>
    <x v="0"/>
    <x v="0"/>
    <x v="1"/>
    <x v="1"/>
    <x v="10"/>
    <n v="0"/>
    <n v="0"/>
    <n v="259.66199999999998"/>
    <n v="259.66199999999998"/>
    <n v="0"/>
    <n v="0"/>
    <n v="0"/>
    <x v="3"/>
    <n v="43"/>
    <n v="0"/>
    <n v="5"/>
    <n v="0"/>
    <n v="0"/>
    <n v="17.72"/>
    <n v="0"/>
    <n v="41.530250927744817"/>
    <n v="20.813133759044351"/>
    <m/>
    <n v="0"/>
    <n v="4601.2106399999993"/>
    <n v="0"/>
    <n v="0"/>
    <n v="5404.3799381409735"/>
    <n v="0"/>
  </r>
  <r>
    <s v="PROJETADO"/>
    <x v="1"/>
    <x v="1"/>
    <x v="4"/>
    <x v="0"/>
    <x v="0"/>
    <x v="1"/>
    <x v="1"/>
    <x v="11"/>
    <n v="0"/>
    <n v="0"/>
    <n v="259.66199999999998"/>
    <n v="259.66199999999998"/>
    <n v="0"/>
    <n v="0"/>
    <n v="0"/>
    <x v="3"/>
    <n v="43"/>
    <n v="0"/>
    <n v="5"/>
    <n v="0"/>
    <n v="0"/>
    <n v="17.72"/>
    <n v="0"/>
    <n v="41.530250927744817"/>
    <n v="20.813133759044351"/>
    <m/>
    <n v="0"/>
    <n v="4601.2106399999993"/>
    <n v="0"/>
    <n v="0"/>
    <n v="5404.3799381409735"/>
    <n v="0"/>
  </r>
  <r>
    <s v="Regular"/>
    <x v="1"/>
    <x v="1"/>
    <x v="4"/>
    <x v="0"/>
    <x v="0"/>
    <x v="1"/>
    <x v="2"/>
    <x v="0"/>
    <n v="470"/>
    <n v="470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236.3"/>
    <n v="0"/>
    <n v="0"/>
    <n v="16996.017260649118"/>
    <n v="0"/>
    <n v="0"/>
  </r>
  <r>
    <s v="Regular"/>
    <x v="1"/>
    <x v="1"/>
    <x v="4"/>
    <x v="0"/>
    <x v="0"/>
    <x v="1"/>
    <x v="2"/>
    <x v="1"/>
    <n v="470"/>
    <n v="470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236.3"/>
    <n v="0"/>
    <n v="0"/>
    <n v="16996.017260649118"/>
    <n v="0"/>
    <n v="0"/>
  </r>
  <r>
    <s v="Regular"/>
    <x v="1"/>
    <x v="1"/>
    <x v="4"/>
    <x v="0"/>
    <x v="0"/>
    <x v="1"/>
    <x v="2"/>
    <x v="2"/>
    <n v="470"/>
    <n v="470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236.3"/>
    <n v="0"/>
    <n v="0"/>
    <n v="16996.017260649118"/>
    <n v="0"/>
    <n v="0"/>
  </r>
  <r>
    <s v="Regular"/>
    <x v="1"/>
    <x v="1"/>
    <x v="4"/>
    <x v="0"/>
    <x v="0"/>
    <x v="1"/>
    <x v="2"/>
    <x v="3"/>
    <n v="470"/>
    <n v="470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236.3"/>
    <n v="0"/>
    <n v="0"/>
    <n v="16996.017260649118"/>
    <n v="0"/>
    <n v="0"/>
  </r>
  <r>
    <s v="Regular"/>
    <x v="1"/>
    <x v="1"/>
    <x v="4"/>
    <x v="0"/>
    <x v="0"/>
    <x v="1"/>
    <x v="2"/>
    <x v="4"/>
    <n v="470"/>
    <n v="470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236.3"/>
    <n v="0"/>
    <n v="0"/>
    <n v="16996.017260649118"/>
    <n v="0"/>
    <n v="0"/>
  </r>
  <r>
    <s v="Regular"/>
    <x v="1"/>
    <x v="1"/>
    <x v="4"/>
    <x v="0"/>
    <x v="0"/>
    <x v="1"/>
    <x v="2"/>
    <x v="5"/>
    <n v="470"/>
    <n v="470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236.3"/>
    <n v="0"/>
    <n v="0"/>
    <n v="16996.017260649118"/>
    <n v="0"/>
    <n v="0"/>
  </r>
  <r>
    <s v="Regular"/>
    <x v="1"/>
    <x v="1"/>
    <x v="4"/>
    <x v="0"/>
    <x v="0"/>
    <x v="1"/>
    <x v="2"/>
    <x v="6"/>
    <n v="470"/>
    <n v="470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236.3"/>
    <n v="0"/>
    <n v="0"/>
    <n v="16996.017260649118"/>
    <n v="0"/>
    <n v="0"/>
  </r>
  <r>
    <s v="Regular"/>
    <x v="1"/>
    <x v="1"/>
    <x v="4"/>
    <x v="0"/>
    <x v="0"/>
    <x v="1"/>
    <x v="2"/>
    <x v="7"/>
    <n v="502"/>
    <n v="502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5205.58"/>
    <n v="0"/>
    <n v="0"/>
    <n v="18153.192903927356"/>
    <n v="0"/>
    <n v="0"/>
  </r>
  <r>
    <s v="Regular"/>
    <x v="1"/>
    <x v="1"/>
    <x v="4"/>
    <x v="0"/>
    <x v="0"/>
    <x v="1"/>
    <x v="2"/>
    <x v="8"/>
    <n v="470"/>
    <n v="470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236.3"/>
    <n v="0"/>
    <n v="0"/>
    <n v="16996.017260649118"/>
    <n v="0"/>
    <n v="0"/>
  </r>
  <r>
    <s v="Regular"/>
    <x v="1"/>
    <x v="1"/>
    <x v="4"/>
    <x v="0"/>
    <x v="0"/>
    <x v="1"/>
    <x v="2"/>
    <x v="9"/>
    <n v="479"/>
    <n v="479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508.91"/>
    <n v="0"/>
    <n v="0"/>
    <n v="17321.472910321125"/>
    <n v="0"/>
    <n v="0"/>
  </r>
  <r>
    <s v="Regular"/>
    <x v="1"/>
    <x v="1"/>
    <x v="4"/>
    <x v="0"/>
    <x v="0"/>
    <x v="1"/>
    <x v="2"/>
    <x v="10"/>
    <n v="475"/>
    <n v="475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387.75"/>
    <n v="0"/>
    <n v="0"/>
    <n v="17176.825954911343"/>
    <n v="0"/>
    <n v="0"/>
  </r>
  <r>
    <s v="PROJETADO"/>
    <x v="1"/>
    <x v="1"/>
    <x v="4"/>
    <x v="0"/>
    <x v="0"/>
    <x v="1"/>
    <x v="2"/>
    <x v="11"/>
    <n v="475"/>
    <n v="475"/>
    <n v="0"/>
    <n v="0"/>
    <n v="0"/>
    <n v="0"/>
    <n v="0"/>
    <x v="3"/>
    <n v="43"/>
    <n v="3"/>
    <n v="0"/>
    <n v="0"/>
    <n v="30.29"/>
    <n v="0"/>
    <n v="0"/>
    <n v="36.161738852444934"/>
    <n v="20.813133759044351"/>
    <m/>
    <n v="14387.75"/>
    <n v="0"/>
    <n v="0"/>
    <n v="17176.825954911343"/>
    <n v="0"/>
    <n v="0"/>
  </r>
  <r>
    <s v="Regular"/>
    <x v="1"/>
    <x v="2"/>
    <x v="4"/>
    <x v="0"/>
    <x v="4"/>
    <x v="7"/>
    <x v="1"/>
    <x v="0"/>
    <n v="2228"/>
    <n v="1114"/>
    <n v="0"/>
    <n v="0"/>
    <n v="0"/>
    <n v="0"/>
    <n v="0"/>
    <x v="4"/>
    <n v="28543"/>
    <n v="6"/>
    <n v="0"/>
    <n v="0"/>
    <n v="11.99"/>
    <n v="0"/>
    <n v="0"/>
    <n v="15.110218248914832"/>
    <m/>
    <m/>
    <n v="13356.86"/>
    <n v="0"/>
    <n v="0"/>
    <n v="16832.783129291121"/>
    <n v="0"/>
    <n v="0"/>
  </r>
  <r>
    <s v="Regular"/>
    <x v="1"/>
    <x v="2"/>
    <x v="4"/>
    <x v="0"/>
    <x v="4"/>
    <x v="7"/>
    <x v="1"/>
    <x v="1"/>
    <n v="2297"/>
    <n v="1148.5"/>
    <n v="0"/>
    <n v="0"/>
    <n v="0"/>
    <n v="0"/>
    <n v="0"/>
    <x v="4"/>
    <n v="28543"/>
    <n v="6"/>
    <n v="0"/>
    <n v="0"/>
    <n v="11.99"/>
    <n v="0"/>
    <n v="0"/>
    <n v="15.110218248914832"/>
    <m/>
    <m/>
    <n v="13770.514999999999"/>
    <n v="0"/>
    <n v="0"/>
    <n v="17354.085658878685"/>
    <n v="0"/>
    <n v="0"/>
  </r>
  <r>
    <s v="Regular"/>
    <x v="1"/>
    <x v="2"/>
    <x v="4"/>
    <x v="0"/>
    <x v="4"/>
    <x v="7"/>
    <x v="1"/>
    <x v="2"/>
    <n v="2266"/>
    <n v="1133"/>
    <n v="0"/>
    <n v="0"/>
    <n v="0"/>
    <n v="0"/>
    <n v="0"/>
    <x v="4"/>
    <n v="28543"/>
    <n v="6"/>
    <n v="0"/>
    <n v="0"/>
    <n v="11.99"/>
    <n v="0"/>
    <n v="0"/>
    <n v="15.110218248914832"/>
    <m/>
    <m/>
    <n v="13584.67"/>
    <n v="0"/>
    <n v="0"/>
    <n v="17119.877276020503"/>
    <n v="0"/>
    <n v="0"/>
  </r>
  <r>
    <s v="Regular"/>
    <x v="1"/>
    <x v="2"/>
    <x v="4"/>
    <x v="0"/>
    <x v="4"/>
    <x v="7"/>
    <x v="1"/>
    <x v="3"/>
    <n v="2173"/>
    <n v="1086.5"/>
    <n v="0"/>
    <n v="0"/>
    <n v="0"/>
    <n v="0"/>
    <n v="0"/>
    <x v="4"/>
    <n v="28543"/>
    <n v="6"/>
    <n v="0"/>
    <n v="0"/>
    <n v="11.99"/>
    <n v="0"/>
    <n v="0"/>
    <n v="15.110218248914832"/>
    <m/>
    <m/>
    <n v="13027.135"/>
    <n v="0"/>
    <n v="0"/>
    <n v="16417.252127445965"/>
    <n v="0"/>
    <n v="0"/>
  </r>
  <r>
    <s v="Regular"/>
    <x v="1"/>
    <x v="2"/>
    <x v="4"/>
    <x v="0"/>
    <x v="4"/>
    <x v="7"/>
    <x v="1"/>
    <x v="4"/>
    <n v="3136"/>
    <n v="1568"/>
    <n v="0"/>
    <n v="0"/>
    <n v="0"/>
    <n v="0"/>
    <n v="0"/>
    <x v="4"/>
    <n v="28543"/>
    <n v="6"/>
    <n v="0"/>
    <n v="0"/>
    <n v="11.99"/>
    <n v="0"/>
    <n v="0"/>
    <n v="15.110218248914832"/>
    <m/>
    <m/>
    <n v="18800.32"/>
    <n v="0"/>
    <n v="0"/>
    <n v="23692.822214298456"/>
    <n v="0"/>
    <n v="0"/>
  </r>
  <r>
    <s v="Regular"/>
    <x v="1"/>
    <x v="2"/>
    <x v="4"/>
    <x v="0"/>
    <x v="4"/>
    <x v="7"/>
    <x v="1"/>
    <x v="5"/>
    <n v="2407"/>
    <n v="1203.5"/>
    <n v="0"/>
    <n v="0"/>
    <n v="0"/>
    <n v="0"/>
    <n v="0"/>
    <x v="4"/>
    <n v="28543"/>
    <n v="6"/>
    <n v="0"/>
    <n v="0"/>
    <n v="11.99"/>
    <n v="0"/>
    <n v="0"/>
    <n v="15.110218248914832"/>
    <m/>
    <m/>
    <n v="14429.965"/>
    <n v="0"/>
    <n v="0"/>
    <n v="18185.147662569001"/>
    <n v="0"/>
    <n v="0"/>
  </r>
  <r>
    <s v="Regular"/>
    <x v="1"/>
    <x v="2"/>
    <x v="4"/>
    <x v="0"/>
    <x v="4"/>
    <x v="7"/>
    <x v="1"/>
    <x v="6"/>
    <n v="2002"/>
    <n v="1001"/>
    <n v="0"/>
    <n v="0"/>
    <n v="0"/>
    <n v="0"/>
    <n v="0"/>
    <x v="4"/>
    <n v="28543"/>
    <n v="6"/>
    <n v="0"/>
    <n v="0"/>
    <n v="11.99"/>
    <n v="0"/>
    <n v="0"/>
    <n v="15.110218248914832"/>
    <m/>
    <m/>
    <n v="12001.99"/>
    <n v="0"/>
    <n v="0"/>
    <n v="15125.328467163747"/>
    <n v="0"/>
    <n v="0"/>
  </r>
  <r>
    <s v="Regular"/>
    <x v="1"/>
    <x v="2"/>
    <x v="4"/>
    <x v="0"/>
    <x v="4"/>
    <x v="7"/>
    <x v="1"/>
    <x v="7"/>
    <n v="2119"/>
    <n v="1059.5"/>
    <n v="0"/>
    <n v="0"/>
    <n v="0"/>
    <n v="0"/>
    <n v="0"/>
    <x v="4"/>
    <n v="28543"/>
    <n v="6"/>
    <n v="0"/>
    <n v="0"/>
    <n v="11.99"/>
    <n v="0"/>
    <n v="0"/>
    <n v="15.110218248914832"/>
    <m/>
    <m/>
    <n v="12703.405000000001"/>
    <n v="0"/>
    <n v="0"/>
    <n v="16009.276234725265"/>
    <n v="0"/>
    <n v="0"/>
  </r>
  <r>
    <s v="Regular"/>
    <x v="1"/>
    <x v="2"/>
    <x v="4"/>
    <x v="0"/>
    <x v="4"/>
    <x v="7"/>
    <x v="1"/>
    <x v="8"/>
    <n v="2083"/>
    <n v="1041.5"/>
    <n v="0"/>
    <n v="0"/>
    <n v="0"/>
    <n v="0"/>
    <n v="0"/>
    <x v="4"/>
    <n v="28543"/>
    <n v="6"/>
    <n v="0"/>
    <n v="0"/>
    <n v="11.99"/>
    <n v="0"/>
    <n v="0"/>
    <n v="15.110218248914832"/>
    <m/>
    <m/>
    <n v="12487.585000000001"/>
    <n v="0"/>
    <n v="0"/>
    <n v="15737.292306244797"/>
    <n v="0"/>
    <n v="0"/>
  </r>
  <r>
    <s v="Regular"/>
    <x v="1"/>
    <x v="2"/>
    <x v="4"/>
    <x v="0"/>
    <x v="4"/>
    <x v="7"/>
    <x v="1"/>
    <x v="9"/>
    <n v="1997"/>
    <n v="998.5"/>
    <n v="0"/>
    <n v="0"/>
    <n v="0"/>
    <n v="0"/>
    <n v="0"/>
    <x v="4"/>
    <n v="28543"/>
    <n v="6"/>
    <n v="0"/>
    <n v="0"/>
    <n v="11.99"/>
    <n v="0"/>
    <n v="0"/>
    <n v="15.110218248914832"/>
    <m/>
    <m/>
    <n v="11972.014999999999"/>
    <n v="0"/>
    <n v="0"/>
    <n v="15087.552921541459"/>
    <n v="0"/>
    <n v="0"/>
  </r>
  <r>
    <s v="Regular"/>
    <x v="1"/>
    <x v="2"/>
    <x v="4"/>
    <x v="0"/>
    <x v="4"/>
    <x v="7"/>
    <x v="1"/>
    <x v="10"/>
    <n v="1963"/>
    <n v="981.5"/>
    <n v="0"/>
    <n v="0"/>
    <n v="0"/>
    <n v="0"/>
    <n v="0"/>
    <x v="4"/>
    <n v="28543"/>
    <n v="6"/>
    <n v="0"/>
    <n v="0"/>
    <n v="11.99"/>
    <n v="0"/>
    <n v="0"/>
    <n v="15.110218248914832"/>
    <m/>
    <m/>
    <n v="11768.184999999999"/>
    <n v="0"/>
    <n v="0"/>
    <n v="14830.679211309907"/>
    <n v="0"/>
    <n v="0"/>
  </r>
  <r>
    <s v="PROJETADO"/>
    <x v="1"/>
    <x v="2"/>
    <x v="4"/>
    <x v="0"/>
    <x v="4"/>
    <x v="7"/>
    <x v="1"/>
    <x v="11"/>
    <n v="1963"/>
    <n v="981.5"/>
    <n v="0"/>
    <n v="0"/>
    <n v="0"/>
    <n v="0"/>
    <n v="0"/>
    <x v="4"/>
    <n v="28543"/>
    <n v="6"/>
    <n v="0"/>
    <n v="0"/>
    <n v="11.99"/>
    <n v="0"/>
    <n v="0"/>
    <n v="15.110218248914832"/>
    <m/>
    <m/>
    <n v="11768.184999999999"/>
    <n v="0"/>
    <n v="0"/>
    <n v="14830.679211309907"/>
    <n v="0"/>
    <n v="0"/>
  </r>
  <r>
    <s v="Regular"/>
    <x v="1"/>
    <x v="2"/>
    <x v="4"/>
    <x v="0"/>
    <x v="0"/>
    <x v="8"/>
    <x v="1"/>
    <x v="0"/>
    <n v="950"/>
    <n v="475"/>
    <n v="0"/>
    <n v="0"/>
    <n v="0"/>
    <n v="0"/>
    <n v="0"/>
    <x v="4"/>
    <n v="30112"/>
    <n v="6"/>
    <n v="0"/>
    <n v="0"/>
    <n v="11.99"/>
    <n v="0"/>
    <n v="0"/>
    <n v="15.110218248914832"/>
    <m/>
    <m/>
    <n v="5695.25"/>
    <n v="0"/>
    <n v="0"/>
    <n v="7177.3536682345448"/>
    <n v="0"/>
    <n v="0"/>
  </r>
  <r>
    <s v="Regular"/>
    <x v="1"/>
    <x v="2"/>
    <x v="4"/>
    <x v="0"/>
    <x v="0"/>
    <x v="8"/>
    <x v="1"/>
    <x v="1"/>
    <n v="950"/>
    <n v="475"/>
    <n v="0"/>
    <n v="0"/>
    <n v="0"/>
    <n v="0"/>
    <n v="0"/>
    <x v="4"/>
    <n v="30112"/>
    <n v="6"/>
    <n v="0"/>
    <n v="0"/>
    <n v="11.99"/>
    <n v="0"/>
    <n v="0"/>
    <n v="15.110218248914832"/>
    <m/>
    <m/>
    <n v="5695.25"/>
    <n v="0"/>
    <n v="0"/>
    <n v="7177.3536682345448"/>
    <n v="0"/>
    <n v="0"/>
  </r>
  <r>
    <s v="Regular"/>
    <x v="1"/>
    <x v="2"/>
    <x v="4"/>
    <x v="0"/>
    <x v="0"/>
    <x v="8"/>
    <x v="1"/>
    <x v="2"/>
    <n v="955"/>
    <n v="477.5"/>
    <n v="0"/>
    <n v="0"/>
    <n v="0"/>
    <n v="0"/>
    <n v="0"/>
    <x v="4"/>
    <n v="30112"/>
    <n v="6"/>
    <n v="0"/>
    <n v="0"/>
    <n v="11.99"/>
    <n v="0"/>
    <n v="0"/>
    <n v="15.110218248914832"/>
    <m/>
    <m/>
    <n v="5725.2250000000004"/>
    <n v="0"/>
    <n v="0"/>
    <n v="7215.1292138568324"/>
    <n v="0"/>
    <n v="0"/>
  </r>
  <r>
    <s v="Regular"/>
    <x v="1"/>
    <x v="2"/>
    <x v="4"/>
    <x v="0"/>
    <x v="0"/>
    <x v="8"/>
    <x v="1"/>
    <x v="3"/>
    <n v="985"/>
    <n v="492.5"/>
    <n v="0"/>
    <n v="0"/>
    <n v="0"/>
    <n v="0"/>
    <n v="0"/>
    <x v="4"/>
    <n v="30112"/>
    <n v="6"/>
    <n v="0"/>
    <n v="0"/>
    <n v="11.99"/>
    <n v="0"/>
    <n v="0"/>
    <n v="15.110218248914832"/>
    <m/>
    <m/>
    <n v="5905.0749999999998"/>
    <n v="0"/>
    <n v="0"/>
    <n v="7441.7824875905544"/>
    <n v="0"/>
    <n v="0"/>
  </r>
  <r>
    <s v="Regular"/>
    <x v="1"/>
    <x v="2"/>
    <x v="4"/>
    <x v="0"/>
    <x v="0"/>
    <x v="8"/>
    <x v="1"/>
    <x v="4"/>
    <n v="1010"/>
    <n v="505"/>
    <n v="0"/>
    <n v="0"/>
    <n v="0"/>
    <n v="0"/>
    <n v="0"/>
    <x v="4"/>
    <n v="30112"/>
    <n v="6"/>
    <n v="0"/>
    <n v="0"/>
    <n v="11.99"/>
    <n v="0"/>
    <n v="0"/>
    <n v="15.110218248914832"/>
    <m/>
    <m/>
    <n v="6054.95"/>
    <n v="0"/>
    <n v="0"/>
    <n v="7630.6602157019897"/>
    <n v="0"/>
    <n v="0"/>
  </r>
  <r>
    <s v="Regular"/>
    <x v="1"/>
    <x v="2"/>
    <x v="4"/>
    <x v="0"/>
    <x v="0"/>
    <x v="8"/>
    <x v="1"/>
    <x v="5"/>
    <n v="1010"/>
    <n v="505"/>
    <n v="0"/>
    <n v="0"/>
    <n v="0"/>
    <n v="0"/>
    <n v="0"/>
    <x v="4"/>
    <n v="30112"/>
    <n v="6"/>
    <n v="0"/>
    <n v="0"/>
    <n v="11.99"/>
    <n v="0"/>
    <n v="0"/>
    <n v="15.110218248914832"/>
    <m/>
    <m/>
    <n v="6054.95"/>
    <n v="0"/>
    <n v="0"/>
    <n v="7630.6602157019897"/>
    <n v="0"/>
    <n v="0"/>
  </r>
  <r>
    <s v="Regular"/>
    <x v="1"/>
    <x v="2"/>
    <x v="4"/>
    <x v="0"/>
    <x v="0"/>
    <x v="8"/>
    <x v="1"/>
    <x v="6"/>
    <n v="1010"/>
    <n v="505"/>
    <n v="0"/>
    <n v="0"/>
    <n v="0"/>
    <n v="0"/>
    <n v="0"/>
    <x v="4"/>
    <n v="30112"/>
    <n v="6"/>
    <n v="0"/>
    <n v="0"/>
    <n v="11.99"/>
    <n v="0"/>
    <n v="0"/>
    <n v="15.110218248914832"/>
    <m/>
    <m/>
    <n v="6054.95"/>
    <n v="0"/>
    <n v="0"/>
    <n v="7630.6602157019897"/>
    <n v="0"/>
    <n v="0"/>
  </r>
  <r>
    <s v="Regular"/>
    <x v="1"/>
    <x v="2"/>
    <x v="4"/>
    <x v="0"/>
    <x v="0"/>
    <x v="8"/>
    <x v="1"/>
    <x v="7"/>
    <n v="1010"/>
    <n v="505"/>
    <n v="0"/>
    <n v="0"/>
    <n v="0"/>
    <n v="0"/>
    <n v="0"/>
    <x v="4"/>
    <n v="30112"/>
    <n v="6"/>
    <n v="0"/>
    <n v="0"/>
    <n v="11.99"/>
    <n v="0"/>
    <n v="0"/>
    <n v="15.110218248914832"/>
    <m/>
    <m/>
    <n v="6054.95"/>
    <n v="0"/>
    <n v="0"/>
    <n v="7630.6602157019897"/>
    <n v="0"/>
    <n v="0"/>
  </r>
  <r>
    <s v="Regular"/>
    <x v="1"/>
    <x v="2"/>
    <x v="4"/>
    <x v="0"/>
    <x v="0"/>
    <x v="8"/>
    <x v="1"/>
    <x v="8"/>
    <n v="948"/>
    <n v="474"/>
    <n v="0"/>
    <n v="0"/>
    <n v="0"/>
    <n v="0"/>
    <n v="0"/>
    <x v="4"/>
    <n v="30112"/>
    <n v="6"/>
    <n v="0"/>
    <n v="0"/>
    <n v="11.99"/>
    <n v="0"/>
    <n v="0"/>
    <n v="15.110218248914832"/>
    <m/>
    <m/>
    <n v="5683.26"/>
    <n v="0"/>
    <n v="0"/>
    <n v="7162.2434499856299"/>
    <n v="0"/>
    <n v="0"/>
  </r>
  <r>
    <s v="Regular"/>
    <x v="1"/>
    <x v="2"/>
    <x v="4"/>
    <x v="0"/>
    <x v="0"/>
    <x v="8"/>
    <x v="1"/>
    <x v="9"/>
    <n v="860"/>
    <n v="430"/>
    <n v="0"/>
    <n v="0"/>
    <n v="0"/>
    <n v="0"/>
    <n v="0"/>
    <x v="4"/>
    <n v="30112"/>
    <n v="6"/>
    <n v="0"/>
    <n v="0"/>
    <n v="11.99"/>
    <n v="0"/>
    <n v="0"/>
    <n v="15.110218248914832"/>
    <m/>
    <m/>
    <n v="5155.7"/>
    <n v="0"/>
    <n v="0"/>
    <n v="6497.3938470333778"/>
    <n v="0"/>
    <n v="0"/>
  </r>
  <r>
    <s v="Regular"/>
    <x v="1"/>
    <x v="2"/>
    <x v="4"/>
    <x v="0"/>
    <x v="0"/>
    <x v="8"/>
    <x v="1"/>
    <x v="10"/>
    <n v="908"/>
    <n v="454"/>
    <n v="0"/>
    <n v="0"/>
    <n v="0"/>
    <n v="0"/>
    <n v="0"/>
    <x v="4"/>
    <n v="30112"/>
    <n v="6"/>
    <n v="0"/>
    <n v="0"/>
    <n v="11.99"/>
    <n v="0"/>
    <n v="0"/>
    <n v="15.110218248914832"/>
    <m/>
    <m/>
    <n v="5443.46"/>
    <n v="0"/>
    <n v="0"/>
    <n v="6860.0390850073336"/>
    <n v="0"/>
    <n v="0"/>
  </r>
  <r>
    <s v="PROJETADO"/>
    <x v="1"/>
    <x v="2"/>
    <x v="4"/>
    <x v="0"/>
    <x v="0"/>
    <x v="8"/>
    <x v="1"/>
    <x v="11"/>
    <n v="908"/>
    <n v="454"/>
    <n v="0"/>
    <n v="0"/>
    <n v="0"/>
    <n v="0"/>
    <n v="0"/>
    <x v="4"/>
    <n v="30112"/>
    <n v="6"/>
    <n v="0"/>
    <n v="0"/>
    <n v="11.99"/>
    <n v="0"/>
    <n v="0"/>
    <n v="15.110218248914832"/>
    <m/>
    <m/>
    <n v="5443.46"/>
    <n v="0"/>
    <n v="0"/>
    <n v="6860.0390850073336"/>
    <n v="0"/>
    <n v="0"/>
  </r>
  <r>
    <s v="Regular"/>
    <x v="1"/>
    <x v="3"/>
    <x v="0"/>
    <x v="0"/>
    <x v="0"/>
    <x v="0"/>
    <x v="0"/>
    <x v="0"/>
    <n v="0"/>
    <n v="0"/>
    <n v="17912.308000000001"/>
    <n v="17912.308000000001"/>
    <n v="17912.308000000001"/>
    <n v="17912.308000000001"/>
    <n v="0"/>
    <x v="0"/>
    <n v="0"/>
    <n v="0"/>
    <n v="29"/>
    <n v="73"/>
    <n v="0"/>
    <n v="97.61"/>
    <n v="219.97"/>
    <m/>
    <n v="119.75016494517713"/>
    <n v="283.40928728637363"/>
    <n v="0"/>
    <n v="1748420.3838800001"/>
    <n v="3940170.3907600003"/>
    <n v="0"/>
    <n v="2145001.8375488161"/>
    <n v="5076514.4439340085"/>
  </r>
  <r>
    <s v="Sistema de Compensação"/>
    <x v="1"/>
    <x v="3"/>
    <x v="0"/>
    <x v="0"/>
    <x v="0"/>
    <x v="0"/>
    <x v="0"/>
    <x v="0"/>
    <n v="0"/>
    <n v="0"/>
    <n v="234.97"/>
    <n v="234.97"/>
    <n v="234.97"/>
    <n v="234.97"/>
    <n v="0"/>
    <x v="0"/>
    <n v="0"/>
    <n v="0"/>
    <n v="29"/>
    <n v="73"/>
    <n v="0"/>
    <n v="97.61"/>
    <n v="219.97"/>
    <m/>
    <n v="119.75016494517713"/>
    <n v="283.40928728637363"/>
    <n v="0"/>
    <n v="22935.421699999999"/>
    <n v="51686.350899999998"/>
    <n v="0"/>
    <n v="28137.696257168271"/>
    <n v="66592.680233679217"/>
  </r>
  <r>
    <s v="Sistema de Compensação"/>
    <x v="1"/>
    <x v="3"/>
    <x v="0"/>
    <x v="0"/>
    <x v="0"/>
    <x v="0"/>
    <x v="0"/>
    <x v="0"/>
    <n v="0"/>
    <n v="0"/>
    <n v="-13.118"/>
    <n v="-13.118"/>
    <n v="-13.118"/>
    <n v="-13.118"/>
    <n v="0"/>
    <x v="0"/>
    <n v="0"/>
    <n v="0"/>
    <n v="29"/>
    <n v="73"/>
    <n v="0"/>
    <n v="97.61"/>
    <n v="219.97"/>
    <m/>
    <n v="119.75016494517713"/>
    <n v="283.40928728637363"/>
    <n v="0"/>
    <n v="-1280.4479799999999"/>
    <n v="-2885.56646"/>
    <n v="0"/>
    <n v="-1570.8826637508337"/>
    <n v="-3717.7630306226492"/>
  </r>
  <r>
    <s v="Regular"/>
    <x v="1"/>
    <x v="3"/>
    <x v="0"/>
    <x v="0"/>
    <x v="0"/>
    <x v="0"/>
    <x v="0"/>
    <x v="1"/>
    <n v="0"/>
    <n v="0"/>
    <n v="16130.38"/>
    <n v="16130.38"/>
    <n v="16130.38"/>
    <n v="16130.38"/>
    <n v="0"/>
    <x v="0"/>
    <n v="0"/>
    <n v="0"/>
    <n v="29"/>
    <n v="73"/>
    <n v="0"/>
    <n v="97.61"/>
    <n v="219.97"/>
    <m/>
    <n v="119.75016494517713"/>
    <n v="283.40928728637363"/>
    <n v="0"/>
    <n v="1574486.3917999999"/>
    <n v="3548199.6886"/>
    <n v="0"/>
    <n v="1931615.6656283862"/>
    <n v="4571499.4994583754"/>
  </r>
  <r>
    <s v="Refaturamento - Regular"/>
    <x v="1"/>
    <x v="3"/>
    <x v="0"/>
    <x v="0"/>
    <x v="0"/>
    <x v="0"/>
    <x v="0"/>
    <x v="1"/>
    <n v="0"/>
    <n v="0"/>
    <n v="-117.631"/>
    <n v="-117.631"/>
    <n v="-117.631"/>
    <n v="-117.631"/>
    <n v="0"/>
    <x v="0"/>
    <n v="0"/>
    <n v="0"/>
    <n v="29"/>
    <n v="73"/>
    <n v="0"/>
    <n v="97.61"/>
    <n v="219.97"/>
    <m/>
    <n v="119.75016494517713"/>
    <n v="283.40928728637363"/>
    <n v="0"/>
    <n v="-11481.96191"/>
    <n v="-25875.291069999999"/>
    <n v="0"/>
    <n v="-14086.331652666131"/>
    <n v="-33337.717872783418"/>
  </r>
  <r>
    <s v="Sistema de Compensação"/>
    <x v="1"/>
    <x v="3"/>
    <x v="0"/>
    <x v="0"/>
    <x v="0"/>
    <x v="0"/>
    <x v="0"/>
    <x v="1"/>
    <n v="0"/>
    <n v="0"/>
    <n v="214.50399999999999"/>
    <n v="214.50399999999999"/>
    <n v="214.50399999999999"/>
    <n v="214.50399999999999"/>
    <n v="0"/>
    <x v="0"/>
    <n v="0"/>
    <n v="0"/>
    <n v="29"/>
    <n v="73"/>
    <n v="0"/>
    <n v="97.61"/>
    <n v="219.97"/>
    <m/>
    <n v="119.75016494517713"/>
    <n v="283.40928728637363"/>
    <n v="0"/>
    <n v="20937.73544"/>
    <n v="47184.444879999995"/>
    <n v="0"/>
    <n v="25686.889381400273"/>
    <n v="60792.425760076287"/>
  </r>
  <r>
    <s v="Regular"/>
    <x v="1"/>
    <x v="3"/>
    <x v="0"/>
    <x v="0"/>
    <x v="0"/>
    <x v="0"/>
    <x v="0"/>
    <x v="2"/>
    <n v="0"/>
    <n v="0"/>
    <n v="17105.807000000001"/>
    <n v="17105.807000000001"/>
    <n v="17105.807000000001"/>
    <n v="17105.807000000001"/>
    <n v="0"/>
    <x v="0"/>
    <n v="0"/>
    <n v="0"/>
    <n v="29"/>
    <n v="73"/>
    <n v="0"/>
    <n v="97.61"/>
    <n v="219.97"/>
    <m/>
    <n v="119.75016494517713"/>
    <n v="283.40928728637363"/>
    <n v="0"/>
    <n v="1669697.82127"/>
    <n v="3762764.3657900002"/>
    <n v="0"/>
    <n v="2048423.2097703656"/>
    <n v="4847944.5703282608"/>
  </r>
  <r>
    <s v="Refaturamento - Regular"/>
    <x v="1"/>
    <x v="3"/>
    <x v="0"/>
    <x v="0"/>
    <x v="0"/>
    <x v="0"/>
    <x v="0"/>
    <x v="2"/>
    <n v="0"/>
    <n v="0"/>
    <n v="3.9929999999999999"/>
    <n v="3.9929999999999999"/>
    <n v="3.9929999999999999"/>
    <n v="3.9929999999999999"/>
    <n v="0"/>
    <x v="0"/>
    <n v="0"/>
    <n v="0"/>
    <n v="29"/>
    <n v="73"/>
    <n v="0"/>
    <n v="97.61"/>
    <n v="219.97"/>
    <m/>
    <n v="119.75016494517713"/>
    <n v="283.40928728637363"/>
    <n v="0"/>
    <n v="389.75673"/>
    <n v="878.34020999999996"/>
    <n v="0"/>
    <n v="478.16240862609226"/>
    <n v="1131.6532841344899"/>
  </r>
  <r>
    <s v="Sistema de Compensação"/>
    <x v="1"/>
    <x v="3"/>
    <x v="0"/>
    <x v="0"/>
    <x v="0"/>
    <x v="0"/>
    <x v="0"/>
    <x v="2"/>
    <n v="0"/>
    <n v="0"/>
    <n v="283.07100000000003"/>
    <n v="283.07100000000003"/>
    <n v="283.07100000000003"/>
    <n v="283.07100000000003"/>
    <n v="0"/>
    <x v="0"/>
    <n v="0"/>
    <n v="0"/>
    <n v="29"/>
    <n v="73"/>
    <n v="0"/>
    <n v="97.61"/>
    <n v="219.97"/>
    <m/>
    <n v="119.75016494517713"/>
    <n v="283.40928728637363"/>
    <n v="0"/>
    <n v="27630.560310000001"/>
    <n v="62267.127870000004"/>
    <n v="0"/>
    <n v="33897.798941196241"/>
    <n v="80224.950361441079"/>
  </r>
  <r>
    <s v="Sistema de Compensação"/>
    <x v="1"/>
    <x v="3"/>
    <x v="0"/>
    <x v="0"/>
    <x v="0"/>
    <x v="0"/>
    <x v="0"/>
    <x v="2"/>
    <n v="0"/>
    <n v="0"/>
    <n v="8.9990000000000006"/>
    <n v="8.9990000000000006"/>
    <n v="8.9990000000000006"/>
    <n v="8.9990000000000006"/>
    <n v="0"/>
    <x v="0"/>
    <n v="0"/>
    <n v="0"/>
    <n v="29"/>
    <n v="73"/>
    <n v="0"/>
    <n v="97.61"/>
    <n v="219.97"/>
    <m/>
    <n v="119.75016494517713"/>
    <n v="283.40928728637363"/>
    <n v="0"/>
    <n v="878.39239000000009"/>
    <n v="1979.5100300000001"/>
    <n v="0"/>
    <n v="1077.631734341649"/>
    <n v="2550.4001762900766"/>
  </r>
  <r>
    <s v="Regular"/>
    <x v="1"/>
    <x v="3"/>
    <x v="0"/>
    <x v="0"/>
    <x v="0"/>
    <x v="0"/>
    <x v="0"/>
    <x v="3"/>
    <n v="0"/>
    <n v="0"/>
    <n v="16842.151000000002"/>
    <n v="16842.151000000002"/>
    <n v="16842.151000000002"/>
    <n v="16842.151000000002"/>
    <n v="0"/>
    <x v="0"/>
    <n v="0"/>
    <n v="0"/>
    <n v="29"/>
    <n v="73"/>
    <n v="0"/>
    <n v="97.61"/>
    <n v="219.97"/>
    <m/>
    <n v="119.75016494517713"/>
    <n v="283.40928728637363"/>
    <n v="0"/>
    <n v="1643962.3591100001"/>
    <n v="3704767.9554700004"/>
    <n v="0"/>
    <n v="2016850.3602815801"/>
    <n v="4773222.0112794852"/>
  </r>
  <r>
    <s v="Refaturamento - Regular"/>
    <x v="1"/>
    <x v="3"/>
    <x v="0"/>
    <x v="0"/>
    <x v="0"/>
    <x v="0"/>
    <x v="0"/>
    <x v="3"/>
    <n v="0"/>
    <n v="0"/>
    <n v="-62.997999999999998"/>
    <n v="-62.997999999999998"/>
    <n v="-62.997999999999998"/>
    <n v="-62.997999999999998"/>
    <n v="0"/>
    <x v="0"/>
    <n v="0"/>
    <n v="0"/>
    <n v="29"/>
    <n v="73"/>
    <n v="0"/>
    <n v="97.61"/>
    <n v="219.97"/>
    <m/>
    <n v="119.75016494517713"/>
    <n v="283.40928728637363"/>
    <n v="0"/>
    <n v="-6149.2347799999998"/>
    <n v="-13857.670059999999"/>
    <n v="0"/>
    <n v="-7544.0208912162689"/>
    <n v="-17854.218280466965"/>
  </r>
  <r>
    <s v="Sistema de Compensação"/>
    <x v="1"/>
    <x v="3"/>
    <x v="0"/>
    <x v="0"/>
    <x v="0"/>
    <x v="0"/>
    <x v="0"/>
    <x v="3"/>
    <n v="0"/>
    <n v="0"/>
    <n v="340.54"/>
    <n v="340.54"/>
    <n v="340.54"/>
    <n v="340.54"/>
    <n v="0"/>
    <x v="0"/>
    <n v="0"/>
    <n v="0"/>
    <n v="29"/>
    <n v="73"/>
    <n v="0"/>
    <n v="97.61"/>
    <n v="219.97"/>
    <m/>
    <n v="119.75016494517713"/>
    <n v="283.40928728637363"/>
    <n v="0"/>
    <n v="33240.109400000001"/>
    <n v="74908.583800000008"/>
    <n v="0"/>
    <n v="40779.721170430625"/>
    <n v="96512.198692501683"/>
  </r>
  <r>
    <s v="Sistema de Compensação"/>
    <x v="1"/>
    <x v="3"/>
    <x v="0"/>
    <x v="0"/>
    <x v="0"/>
    <x v="0"/>
    <x v="0"/>
    <x v="3"/>
    <n v="0"/>
    <n v="0"/>
    <n v="-12.396000000000001"/>
    <n v="-12.396000000000001"/>
    <n v="-12.396000000000001"/>
    <n v="-12.396000000000001"/>
    <n v="0"/>
    <x v="0"/>
    <n v="0"/>
    <n v="0"/>
    <n v="29"/>
    <n v="73"/>
    <n v="0"/>
    <n v="97.61"/>
    <n v="219.97"/>
    <m/>
    <n v="119.75016494517713"/>
    <n v="283.40928728637363"/>
    <n v="0"/>
    <n v="-1209.9735600000001"/>
    <n v="-2726.7481200000002"/>
    <n v="0"/>
    <n v="-1484.4230446604158"/>
    <n v="-3513.1415252018878"/>
  </r>
  <r>
    <s v="Regular"/>
    <x v="1"/>
    <x v="3"/>
    <x v="0"/>
    <x v="0"/>
    <x v="0"/>
    <x v="0"/>
    <x v="0"/>
    <x v="4"/>
    <n v="0"/>
    <n v="0"/>
    <n v="17968.821"/>
    <n v="17968.821"/>
    <n v="17968.821"/>
    <n v="17968.821"/>
    <n v="0"/>
    <x v="0"/>
    <n v="0"/>
    <n v="0"/>
    <n v="29"/>
    <n v="73"/>
    <n v="0"/>
    <n v="97.61"/>
    <n v="219.97"/>
    <m/>
    <n v="119.75016494517713"/>
    <n v="283.40928728637363"/>
    <n v="0"/>
    <n v="1753936.61781"/>
    <n v="3952601.5553700002"/>
    <n v="0"/>
    <n v="2151769.2786203627"/>
    <n v="5092530.7529864237"/>
  </r>
  <r>
    <s v="Refaturamento - Regular"/>
    <x v="1"/>
    <x v="3"/>
    <x v="0"/>
    <x v="0"/>
    <x v="0"/>
    <x v="0"/>
    <x v="0"/>
    <x v="4"/>
    <n v="0"/>
    <n v="0"/>
    <n v="-27.638000000000002"/>
    <n v="-27.638000000000002"/>
    <n v="-27.638000000000002"/>
    <n v="-27.638000000000002"/>
    <n v="0"/>
    <x v="0"/>
    <n v="0"/>
    <n v="0"/>
    <n v="29"/>
    <n v="73"/>
    <n v="0"/>
    <n v="97.61"/>
    <n v="219.97"/>
    <m/>
    <n v="119.75016494517713"/>
    <n v="283.40928728637363"/>
    <n v="0"/>
    <n v="-2697.7451800000003"/>
    <n v="-6079.5308600000008"/>
    <n v="0"/>
    <n v="-3309.6550587548059"/>
    <n v="-7832.8658820207947"/>
  </r>
  <r>
    <s v="Sistema de Compensação"/>
    <x v="1"/>
    <x v="3"/>
    <x v="0"/>
    <x v="0"/>
    <x v="0"/>
    <x v="0"/>
    <x v="0"/>
    <x v="4"/>
    <n v="0"/>
    <n v="0"/>
    <n v="337.34100000000001"/>
    <n v="337.34100000000001"/>
    <n v="337.34100000000001"/>
    <n v="337.34100000000001"/>
    <n v="0"/>
    <x v="0"/>
    <n v="0"/>
    <n v="0"/>
    <n v="29"/>
    <n v="73"/>
    <n v="0"/>
    <n v="97.61"/>
    <n v="219.97"/>
    <m/>
    <n v="119.75016494517713"/>
    <n v="283.40928728637363"/>
    <n v="0"/>
    <n v="32927.855009999999"/>
    <n v="74204.899770000004"/>
    <n v="0"/>
    <n v="40396.640392770998"/>
    <n v="95605.572382472572"/>
  </r>
  <r>
    <s v="Sistema de Compensação"/>
    <x v="1"/>
    <x v="3"/>
    <x v="0"/>
    <x v="0"/>
    <x v="0"/>
    <x v="0"/>
    <x v="0"/>
    <x v="4"/>
    <n v="0"/>
    <n v="0"/>
    <n v="0.57199999999999995"/>
    <n v="0.57199999999999995"/>
    <n v="0.57199999999999995"/>
    <n v="0.57199999999999995"/>
    <n v="0"/>
    <x v="0"/>
    <n v="0"/>
    <n v="0"/>
    <n v="29"/>
    <n v="73"/>
    <n v="0"/>
    <n v="97.61"/>
    <n v="219.97"/>
    <m/>
    <n v="119.75016494517713"/>
    <n v="283.40928728637363"/>
    <n v="0"/>
    <n v="55.832919999999994"/>
    <n v="125.82283999999999"/>
    <n v="0"/>
    <n v="68.497094348641312"/>
    <n v="162.11011232780569"/>
  </r>
  <r>
    <s v="Regular"/>
    <x v="1"/>
    <x v="3"/>
    <x v="0"/>
    <x v="0"/>
    <x v="0"/>
    <x v="0"/>
    <x v="0"/>
    <x v="5"/>
    <n v="0"/>
    <n v="0"/>
    <n v="19749.526999999998"/>
    <n v="19749.526999999998"/>
    <n v="19749.526999999998"/>
    <n v="19749.526999999998"/>
    <n v="0"/>
    <x v="0"/>
    <n v="0"/>
    <n v="0"/>
    <n v="29"/>
    <n v="73"/>
    <n v="0"/>
    <n v="97.61"/>
    <n v="219.97"/>
    <m/>
    <n v="119.75016494517713"/>
    <n v="283.40928728637363"/>
    <n v="0"/>
    <n v="1927751.3304699999"/>
    <n v="4344303.45419"/>
    <n v="0"/>
    <n v="2365009.115839229"/>
    <n v="5597199.3713129917"/>
  </r>
  <r>
    <s v="Refaturamento - Regular"/>
    <x v="1"/>
    <x v="3"/>
    <x v="0"/>
    <x v="0"/>
    <x v="0"/>
    <x v="0"/>
    <x v="0"/>
    <x v="5"/>
    <n v="0"/>
    <n v="0"/>
    <n v="-847.28599999999994"/>
    <n v="-847.28599999999994"/>
    <n v="-847.28599999999994"/>
    <n v="-847.28599999999994"/>
    <n v="0"/>
    <x v="0"/>
    <n v="0"/>
    <n v="0"/>
    <n v="29"/>
    <n v="73"/>
    <n v="0"/>
    <n v="97.61"/>
    <n v="219.97"/>
    <m/>
    <n v="119.75016494517713"/>
    <n v="283.40928728637363"/>
    <n v="0"/>
    <n v="-82703.586459999991"/>
    <n v="-186377.50141999999"/>
    <n v="0"/>
    <n v="-101462.63825573935"/>
    <n v="-240128.72138772235"/>
  </r>
  <r>
    <s v="Sistema de Compensação"/>
    <x v="1"/>
    <x v="3"/>
    <x v="0"/>
    <x v="0"/>
    <x v="0"/>
    <x v="0"/>
    <x v="0"/>
    <x v="5"/>
    <n v="0"/>
    <n v="0"/>
    <n v="468.77100000000002"/>
    <n v="468.77100000000002"/>
    <n v="468.77100000000002"/>
    <n v="468.77100000000002"/>
    <n v="0"/>
    <x v="0"/>
    <n v="0"/>
    <n v="0"/>
    <n v="29"/>
    <n v="73"/>
    <n v="0"/>
    <n v="97.61"/>
    <n v="219.97"/>
    <m/>
    <n v="119.75016494517713"/>
    <n v="283.40928728637363"/>
    <n v="0"/>
    <n v="45756.737310000004"/>
    <n v="103115.55687"/>
    <n v="0"/>
    <n v="56135.404571515632"/>
    <n v="132854.05501052065"/>
  </r>
  <r>
    <s v="Sistema de Compensação"/>
    <x v="1"/>
    <x v="3"/>
    <x v="0"/>
    <x v="0"/>
    <x v="0"/>
    <x v="0"/>
    <x v="0"/>
    <x v="5"/>
    <n v="0"/>
    <n v="0"/>
    <n v="36.360999999999997"/>
    <n v="36.360999999999997"/>
    <n v="36.360999999999997"/>
    <n v="36.360999999999997"/>
    <n v="0"/>
    <x v="0"/>
    <n v="0"/>
    <n v="0"/>
    <n v="29"/>
    <n v="73"/>
    <n v="0"/>
    <n v="97.61"/>
    <n v="219.97"/>
    <m/>
    <n v="119.75016494517713"/>
    <n v="283.40928728637363"/>
    <n v="0"/>
    <n v="3549.1972099999998"/>
    <n v="7998.3291699999991"/>
    <n v="0"/>
    <n v="4354.2357475715853"/>
    <n v="10305.04509501983"/>
  </r>
  <r>
    <s v="Regular"/>
    <x v="1"/>
    <x v="3"/>
    <x v="0"/>
    <x v="0"/>
    <x v="0"/>
    <x v="0"/>
    <x v="0"/>
    <x v="6"/>
    <n v="0"/>
    <n v="0"/>
    <n v="20164.677"/>
    <n v="20164.677"/>
    <n v="20164.677"/>
    <n v="20164.677"/>
    <n v="0"/>
    <x v="0"/>
    <n v="0"/>
    <n v="0"/>
    <n v="29"/>
    <n v="73"/>
    <n v="0"/>
    <n v="97.61"/>
    <n v="219.97"/>
    <m/>
    <n v="119.75016494517713"/>
    <n v="283.40928728637363"/>
    <n v="0"/>
    <n v="1968274.12197"/>
    <n v="4435623.99969"/>
    <n v="0"/>
    <n v="2414723.3968162197"/>
    <n v="5714856.7369299307"/>
  </r>
  <r>
    <s v="Refaturamento - Regular"/>
    <x v="1"/>
    <x v="3"/>
    <x v="0"/>
    <x v="0"/>
    <x v="0"/>
    <x v="0"/>
    <x v="0"/>
    <x v="6"/>
    <n v="0"/>
    <n v="0"/>
    <n v="20.45"/>
    <n v="20.45"/>
    <n v="20.45"/>
    <n v="20.45"/>
    <n v="0"/>
    <x v="0"/>
    <n v="0"/>
    <n v="0"/>
    <n v="29"/>
    <n v="73"/>
    <n v="0"/>
    <n v="97.61"/>
    <n v="219.97"/>
    <m/>
    <n v="119.75016494517713"/>
    <n v="283.40928728637363"/>
    <n v="0"/>
    <n v="1996.1244999999999"/>
    <n v="4498.3864999999996"/>
    <n v="0"/>
    <n v="2448.8908731288725"/>
    <n v="5795.7199250063404"/>
  </r>
  <r>
    <s v="Sistema de Compensação"/>
    <x v="1"/>
    <x v="3"/>
    <x v="0"/>
    <x v="0"/>
    <x v="0"/>
    <x v="0"/>
    <x v="0"/>
    <x v="6"/>
    <n v="0"/>
    <n v="0"/>
    <n v="517.45699999999999"/>
    <n v="517.45699999999999"/>
    <n v="517.45699999999999"/>
    <n v="517.45699999999999"/>
    <n v="0"/>
    <x v="0"/>
    <n v="0"/>
    <n v="0"/>
    <n v="29"/>
    <n v="73"/>
    <n v="0"/>
    <n v="97.61"/>
    <n v="219.97"/>
    <m/>
    <n v="119.75016494517713"/>
    <n v="283.40928728637363"/>
    <n v="0"/>
    <n v="50508.977769999998"/>
    <n v="113825.01629"/>
    <n v="0"/>
    <n v="61965.561102036525"/>
    <n v="146652.11957134504"/>
  </r>
  <r>
    <s v="Sistema de Compensação"/>
    <x v="1"/>
    <x v="3"/>
    <x v="0"/>
    <x v="0"/>
    <x v="0"/>
    <x v="0"/>
    <x v="0"/>
    <x v="6"/>
    <n v="0"/>
    <n v="0"/>
    <n v="12.778"/>
    <n v="12.778"/>
    <n v="12.778"/>
    <n v="12.778"/>
    <n v="0"/>
    <x v="0"/>
    <n v="0"/>
    <n v="0"/>
    <n v="29"/>
    <n v="73"/>
    <n v="0"/>
    <n v="97.61"/>
    <n v="219.97"/>
    <m/>
    <n v="119.75016494517713"/>
    <n v="283.40928728637363"/>
    <n v="0"/>
    <n v="1247.2605800000001"/>
    <n v="2810.77666"/>
    <n v="0"/>
    <n v="1530.1676076694735"/>
    <n v="3621.4038729452823"/>
  </r>
  <r>
    <s v="Regular"/>
    <x v="1"/>
    <x v="3"/>
    <x v="0"/>
    <x v="0"/>
    <x v="0"/>
    <x v="0"/>
    <x v="0"/>
    <x v="7"/>
    <n v="0"/>
    <n v="0"/>
    <n v="19778.853999999999"/>
    <n v="19778.853999999999"/>
    <n v="19778.853999999999"/>
    <n v="19778.853999999999"/>
    <n v="0"/>
    <x v="0"/>
    <n v="0"/>
    <n v="0"/>
    <n v="29"/>
    <n v="73"/>
    <n v="0"/>
    <n v="97.61"/>
    <n v="219.97"/>
    <m/>
    <n v="119.75016494517713"/>
    <n v="283.40928728637363"/>
    <n v="0"/>
    <n v="1930613.93894"/>
    <n v="4350754.5143799996"/>
    <n v="0"/>
    <n v="2368521.0289265765"/>
    <n v="5605510.9154812396"/>
  </r>
  <r>
    <s v="Refaturamento - Regular"/>
    <x v="1"/>
    <x v="3"/>
    <x v="0"/>
    <x v="0"/>
    <x v="0"/>
    <x v="0"/>
    <x v="0"/>
    <x v="7"/>
    <n v="0"/>
    <n v="0"/>
    <n v="41.680999999999997"/>
    <n v="41.680999999999997"/>
    <n v="41.680999999999997"/>
    <n v="41.680999999999997"/>
    <n v="0"/>
    <x v="0"/>
    <n v="0"/>
    <n v="0"/>
    <n v="29"/>
    <n v="73"/>
    <n v="0"/>
    <n v="97.61"/>
    <n v="219.97"/>
    <m/>
    <n v="119.75016494517713"/>
    <n v="283.40928728637363"/>
    <n v="0"/>
    <n v="4068.4824099999996"/>
    <n v="9168.5695699999997"/>
    <n v="0"/>
    <n v="4991.3066250799275"/>
    <n v="11812.782503383338"/>
  </r>
  <r>
    <s v="Sistema de Compensação"/>
    <x v="1"/>
    <x v="3"/>
    <x v="0"/>
    <x v="0"/>
    <x v="0"/>
    <x v="0"/>
    <x v="0"/>
    <x v="7"/>
    <n v="0"/>
    <n v="0"/>
    <n v="886.15499999999997"/>
    <n v="886.15499999999997"/>
    <n v="886.15499999999997"/>
    <n v="886.15499999999997"/>
    <n v="0"/>
    <x v="0"/>
    <n v="0"/>
    <n v="0"/>
    <n v="29"/>
    <n v="73"/>
    <n v="0"/>
    <n v="97.61"/>
    <n v="219.97"/>
    <m/>
    <n v="119.75016494517713"/>
    <n v="283.40928728637363"/>
    <n v="0"/>
    <n v="86497.58954999999"/>
    <n v="194927.51535"/>
    <n v="0"/>
    <n v="106117.20741699343"/>
    <n v="251144.55697525642"/>
  </r>
  <r>
    <s v="Sistema de Compensação"/>
    <x v="1"/>
    <x v="3"/>
    <x v="0"/>
    <x v="0"/>
    <x v="0"/>
    <x v="0"/>
    <x v="0"/>
    <x v="7"/>
    <n v="0"/>
    <n v="0"/>
    <n v="9.2219999999999995"/>
    <n v="9.2219999999999995"/>
    <n v="9.2219999999999995"/>
    <n v="9.2219999999999995"/>
    <n v="0"/>
    <x v="0"/>
    <n v="0"/>
    <n v="0"/>
    <n v="29"/>
    <n v="73"/>
    <n v="0"/>
    <n v="97.61"/>
    <n v="219.97"/>
    <m/>
    <n v="119.75016494517713"/>
    <n v="283.40928728637363"/>
    <n v="0"/>
    <n v="900.15941999999995"/>
    <n v="2028.5633399999999"/>
    <n v="0"/>
    <n v="1104.3360211244235"/>
    <n v="2613.6004473549374"/>
  </r>
  <r>
    <s v="Regular"/>
    <x v="1"/>
    <x v="3"/>
    <x v="0"/>
    <x v="0"/>
    <x v="0"/>
    <x v="0"/>
    <x v="0"/>
    <x v="8"/>
    <n v="0"/>
    <n v="0"/>
    <n v="19695.589"/>
    <n v="19695.589"/>
    <n v="19695.589"/>
    <n v="19695.589"/>
    <n v="0"/>
    <x v="0"/>
    <n v="0"/>
    <n v="0"/>
    <n v="29"/>
    <n v="73"/>
    <n v="0"/>
    <n v="97.61"/>
    <n v="219.97"/>
    <m/>
    <n v="119.75016494517713"/>
    <n v="283.40928728637363"/>
    <n v="0"/>
    <n v="1922486.4422899999"/>
    <n v="4332438.7123299995"/>
    <n v="0"/>
    <n v="2358550.0314424164"/>
    <n v="5581912.8411753401"/>
  </r>
  <r>
    <s v="Refaturamento - Regular"/>
    <x v="1"/>
    <x v="3"/>
    <x v="0"/>
    <x v="0"/>
    <x v="0"/>
    <x v="0"/>
    <x v="0"/>
    <x v="8"/>
    <n v="0"/>
    <n v="0"/>
    <n v="133.47"/>
    <n v="133.47"/>
    <n v="133.47"/>
    <n v="133.47"/>
    <n v="0"/>
    <x v="0"/>
    <n v="0"/>
    <n v="0"/>
    <n v="29"/>
    <n v="73"/>
    <n v="0"/>
    <n v="97.61"/>
    <n v="219.97"/>
    <m/>
    <n v="119.75016494517713"/>
    <n v="283.40928728637363"/>
    <n v="0"/>
    <n v="13028.0067"/>
    <n v="29359.3959"/>
    <n v="0"/>
    <n v="15983.054515232792"/>
    <n v="37826.63757411229"/>
  </r>
  <r>
    <s v="Sistema de Compensação"/>
    <x v="1"/>
    <x v="3"/>
    <x v="0"/>
    <x v="0"/>
    <x v="0"/>
    <x v="0"/>
    <x v="0"/>
    <x v="8"/>
    <n v="0"/>
    <n v="0"/>
    <n v="661.45299999999997"/>
    <n v="661.45299999999997"/>
    <n v="661.45299999999997"/>
    <n v="661.45299999999997"/>
    <n v="0"/>
    <x v="0"/>
    <n v="0"/>
    <n v="0"/>
    <n v="29"/>
    <n v="73"/>
    <n v="0"/>
    <n v="97.61"/>
    <n v="219.97"/>
    <m/>
    <n v="119.75016494517713"/>
    <n v="283.40928728637363"/>
    <n v="0"/>
    <n v="64564.427329999999"/>
    <n v="145499.81641"/>
    <n v="0"/>
    <n v="79209.105853482251"/>
    <n v="187461.92330343369"/>
  </r>
  <r>
    <s v="Sistema de Compensação"/>
    <x v="1"/>
    <x v="3"/>
    <x v="0"/>
    <x v="0"/>
    <x v="0"/>
    <x v="0"/>
    <x v="0"/>
    <x v="8"/>
    <n v="0"/>
    <n v="0"/>
    <n v="-6.1020000000000003"/>
    <n v="-6.1020000000000003"/>
    <n v="-6.1020000000000003"/>
    <n v="-6.1020000000000003"/>
    <n v="0"/>
    <x v="0"/>
    <n v="0"/>
    <n v="0"/>
    <n v="29"/>
    <n v="73"/>
    <n v="0"/>
    <n v="97.61"/>
    <n v="219.97"/>
    <m/>
    <n v="119.75016494517713"/>
    <n v="283.40928728637363"/>
    <n v="0"/>
    <n v="-595.61622"/>
    <n v="-1342.25694"/>
    <n v="0"/>
    <n v="-730.71550649547089"/>
    <n v="-1729.3634710214519"/>
  </r>
  <r>
    <s v="Regular"/>
    <x v="1"/>
    <x v="3"/>
    <x v="0"/>
    <x v="0"/>
    <x v="0"/>
    <x v="0"/>
    <x v="0"/>
    <x v="9"/>
    <n v="0"/>
    <n v="0"/>
    <n v="18745.844000000001"/>
    <n v="18745.844000000001"/>
    <n v="18745.844000000001"/>
    <n v="18745.844000000001"/>
    <n v="0"/>
    <x v="0"/>
    <n v="0"/>
    <n v="0"/>
    <n v="29"/>
    <n v="73"/>
    <n v="0"/>
    <n v="97.61"/>
    <n v="219.97"/>
    <m/>
    <n v="119.75016494517713"/>
    <n v="283.40928728637363"/>
    <n v="0"/>
    <n v="1829781.83284"/>
    <n v="4123523.3046800001"/>
    <n v="0"/>
    <n v="2244817.9110365594"/>
    <n v="5312746.2876215437"/>
  </r>
  <r>
    <s v="Refaturamento - Regular"/>
    <x v="1"/>
    <x v="3"/>
    <x v="0"/>
    <x v="0"/>
    <x v="0"/>
    <x v="0"/>
    <x v="0"/>
    <x v="9"/>
    <n v="0"/>
    <n v="0"/>
    <n v="-2.4340000000000002"/>
    <n v="-2.4340000000000002"/>
    <n v="-2.4340000000000002"/>
    <n v="-2.4340000000000002"/>
    <n v="0"/>
    <x v="0"/>
    <n v="0"/>
    <n v="0"/>
    <n v="29"/>
    <n v="73"/>
    <n v="0"/>
    <n v="97.61"/>
    <n v="219.97"/>
    <m/>
    <n v="119.75016494517713"/>
    <n v="283.40928728637363"/>
    <n v="0"/>
    <n v="-237.58274"/>
    <n v="-535.40698000000009"/>
    <n v="0"/>
    <n v="-291.47190147656119"/>
    <n v="-689.81820525503349"/>
  </r>
  <r>
    <s v="Sistema de Compensação"/>
    <x v="1"/>
    <x v="3"/>
    <x v="0"/>
    <x v="0"/>
    <x v="0"/>
    <x v="0"/>
    <x v="0"/>
    <x v="9"/>
    <n v="0"/>
    <n v="0"/>
    <n v="589.59299999999996"/>
    <n v="589.59299999999996"/>
    <n v="589.59299999999996"/>
    <n v="589.59299999999996"/>
    <n v="0"/>
    <x v="0"/>
    <n v="0"/>
    <n v="0"/>
    <n v="29"/>
    <n v="73"/>
    <n v="0"/>
    <n v="97.61"/>
    <n v="219.97"/>
    <m/>
    <n v="119.75016494517713"/>
    <n v="283.40928728637363"/>
    <n v="0"/>
    <n v="57550.172729999998"/>
    <n v="129692.77221"/>
    <n v="0"/>
    <n v="70603.859000521814"/>
    <n v="167096.13191903487"/>
  </r>
  <r>
    <s v="Sistema de Compensação"/>
    <x v="1"/>
    <x v="3"/>
    <x v="0"/>
    <x v="0"/>
    <x v="0"/>
    <x v="0"/>
    <x v="0"/>
    <x v="9"/>
    <n v="0"/>
    <n v="0"/>
    <n v="-5.3789999999999996"/>
    <n v="-5.3789999999999996"/>
    <n v="-5.3789999999999996"/>
    <n v="-5.3789999999999996"/>
    <n v="0"/>
    <x v="0"/>
    <n v="0"/>
    <n v="0"/>
    <n v="29"/>
    <n v="73"/>
    <n v="0"/>
    <n v="97.61"/>
    <n v="219.97"/>
    <m/>
    <n v="119.75016494517713"/>
    <n v="283.40928728637363"/>
    <n v="0"/>
    <n v="-525.04418999999996"/>
    <n v="-1183.2186299999998"/>
    <n v="0"/>
    <n v="-644.1361372401077"/>
    <n v="-1524.4585563134035"/>
  </r>
  <r>
    <s v="Regular"/>
    <x v="1"/>
    <x v="3"/>
    <x v="0"/>
    <x v="0"/>
    <x v="0"/>
    <x v="0"/>
    <x v="0"/>
    <x v="10"/>
    <n v="0"/>
    <n v="0"/>
    <n v="20167.039000000001"/>
    <n v="20167.039000000001"/>
    <n v="20167.039000000001"/>
    <n v="20167.039000000001"/>
    <n v="0"/>
    <x v="0"/>
    <n v="0"/>
    <n v="0"/>
    <n v="29"/>
    <n v="73"/>
    <n v="0"/>
    <n v="97.61"/>
    <n v="219.97"/>
    <m/>
    <n v="119.75016494517713"/>
    <n v="283.40928728637363"/>
    <n v="0"/>
    <n v="1968504.6767899999"/>
    <n v="4436143.5688300002"/>
    <n v="0"/>
    <n v="2415006.2467058203"/>
    <n v="5715526.1496665012"/>
  </r>
  <r>
    <s v="Refaturamento - Regular"/>
    <x v="1"/>
    <x v="3"/>
    <x v="0"/>
    <x v="0"/>
    <x v="0"/>
    <x v="0"/>
    <x v="0"/>
    <x v="10"/>
    <n v="0"/>
    <n v="0"/>
    <n v="0.72899999999999998"/>
    <n v="0.72899999999999998"/>
    <n v="0.72899999999999998"/>
    <n v="0.72899999999999998"/>
    <n v="0"/>
    <x v="0"/>
    <n v="0"/>
    <n v="0"/>
    <n v="29"/>
    <n v="73"/>
    <n v="0"/>
    <n v="97.61"/>
    <n v="219.97"/>
    <m/>
    <n v="119.75016494517713"/>
    <n v="283.40928728637363"/>
    <n v="0"/>
    <n v="71.157690000000002"/>
    <n v="160.35812999999999"/>
    <n v="0"/>
    <n v="87.297870245034133"/>
    <n v="206.60537043176637"/>
  </r>
  <r>
    <s v="Sistema de Compensação"/>
    <x v="1"/>
    <x v="3"/>
    <x v="0"/>
    <x v="0"/>
    <x v="0"/>
    <x v="0"/>
    <x v="0"/>
    <x v="10"/>
    <n v="0"/>
    <n v="0"/>
    <n v="799.83299999999997"/>
    <n v="799.83299999999997"/>
    <n v="799.83299999999997"/>
    <n v="799.83299999999997"/>
    <n v="0"/>
    <x v="0"/>
    <n v="0"/>
    <n v="0"/>
    <n v="29"/>
    <n v="73"/>
    <n v="0"/>
    <n v="97.61"/>
    <n v="219.97"/>
    <m/>
    <n v="119.75016494517713"/>
    <n v="283.40928728637363"/>
    <n v="0"/>
    <n v="78071.699129999994"/>
    <n v="175939.26501"/>
    <n v="0"/>
    <n v="95780.133678595856"/>
    <n v="226680.10047812207"/>
  </r>
  <r>
    <s v="PROJETADO"/>
    <x v="1"/>
    <x v="3"/>
    <x v="0"/>
    <x v="0"/>
    <x v="0"/>
    <x v="0"/>
    <x v="0"/>
    <x v="11"/>
    <n v="0"/>
    <n v="0"/>
    <n v="20167.039000000001"/>
    <n v="20167.039000000001"/>
    <n v="20167.039000000001"/>
    <n v="20167.039000000001"/>
    <n v="0"/>
    <x v="0"/>
    <n v="0"/>
    <n v="0"/>
    <n v="29"/>
    <n v="73"/>
    <n v="0"/>
    <n v="97.61"/>
    <n v="219.97"/>
    <m/>
    <n v="119.75016494517713"/>
    <n v="283.40928728637363"/>
    <n v="0"/>
    <n v="1968504.6767899999"/>
    <n v="4436143.5688300002"/>
    <n v="0"/>
    <n v="2415006.2467058203"/>
    <n v="5715526.1496665012"/>
  </r>
  <r>
    <s v="PROJETADO"/>
    <x v="1"/>
    <x v="3"/>
    <x v="0"/>
    <x v="0"/>
    <x v="0"/>
    <x v="0"/>
    <x v="0"/>
    <x v="11"/>
    <n v="0"/>
    <n v="0"/>
    <n v="0.72899999999999998"/>
    <n v="0.72899999999999998"/>
    <n v="0.72899999999999998"/>
    <n v="0.72899999999999998"/>
    <n v="0"/>
    <x v="0"/>
    <n v="0"/>
    <n v="0"/>
    <n v="29"/>
    <n v="73"/>
    <n v="0"/>
    <n v="97.61"/>
    <n v="219.97"/>
    <m/>
    <n v="119.75016494517713"/>
    <n v="283.40928728637363"/>
    <n v="0"/>
    <n v="71.157690000000002"/>
    <n v="160.35812999999999"/>
    <n v="0"/>
    <n v="87.297870245034133"/>
    <n v="206.60537043176637"/>
  </r>
  <r>
    <s v="PROJETADO"/>
    <x v="1"/>
    <x v="3"/>
    <x v="0"/>
    <x v="0"/>
    <x v="0"/>
    <x v="0"/>
    <x v="0"/>
    <x v="11"/>
    <n v="0"/>
    <n v="0"/>
    <n v="799.83299999999997"/>
    <n v="799.83299999999997"/>
    <n v="799.83299999999997"/>
    <n v="799.83299999999997"/>
    <n v="0"/>
    <x v="0"/>
    <n v="0"/>
    <n v="0"/>
    <n v="29"/>
    <n v="73"/>
    <n v="0"/>
    <n v="97.61"/>
    <n v="219.97"/>
    <m/>
    <n v="119.75016494517713"/>
    <n v="283.40928728637363"/>
    <n v="0"/>
    <n v="78071.699129999994"/>
    <n v="175939.26501"/>
    <n v="0"/>
    <n v="95780.133678595856"/>
    <n v="226680.10047812207"/>
  </r>
  <r>
    <s v="Regular"/>
    <x v="1"/>
    <x v="3"/>
    <x v="0"/>
    <x v="0"/>
    <x v="0"/>
    <x v="0"/>
    <x v="1"/>
    <x v="0"/>
    <n v="89832"/>
    <n v="89832"/>
    <n v="0"/>
    <n v="0"/>
    <n v="0"/>
    <n v="0"/>
    <n v="861"/>
    <x v="0"/>
    <n v="0"/>
    <n v="7"/>
    <n v="0"/>
    <n v="0"/>
    <n v="21.85"/>
    <n v="0"/>
    <n v="0"/>
    <n v="27.777091190692239"/>
    <m/>
    <m/>
    <n v="1962829.2000000002"/>
    <n v="0"/>
    <n v="0"/>
    <n v="2495271.6558422651"/>
    <n v="0"/>
    <n v="0"/>
  </r>
  <r>
    <s v="Sistema de Compensação"/>
    <x v="1"/>
    <x v="3"/>
    <x v="0"/>
    <x v="0"/>
    <x v="0"/>
    <x v="0"/>
    <x v="1"/>
    <x v="0"/>
    <n v="4509"/>
    <n v="4509"/>
    <n v="0"/>
    <n v="0"/>
    <n v="0"/>
    <n v="0"/>
    <n v="24"/>
    <x v="0"/>
    <n v="0"/>
    <n v="7"/>
    <n v="0"/>
    <n v="0"/>
    <n v="21.85"/>
    <n v="0"/>
    <n v="0"/>
    <n v="27.777091190692239"/>
    <m/>
    <m/>
    <n v="98521.650000000009"/>
    <n v="0"/>
    <n v="0"/>
    <n v="125246.9041788313"/>
    <n v="0"/>
    <n v="0"/>
  </r>
  <r>
    <s v="Sistema de Compensação"/>
    <x v="1"/>
    <x v="3"/>
    <x v="0"/>
    <x v="0"/>
    <x v="0"/>
    <x v="0"/>
    <x v="1"/>
    <x v="0"/>
    <n v="-60"/>
    <n v="-60"/>
    <n v="0"/>
    <n v="0"/>
    <n v="0"/>
    <n v="0"/>
    <n v="-2"/>
    <x v="0"/>
    <n v="0"/>
    <n v="7"/>
    <n v="0"/>
    <n v="0"/>
    <n v="21.85"/>
    <n v="0"/>
    <n v="0"/>
    <n v="27.777091190692239"/>
    <m/>
    <m/>
    <n v="-1311"/>
    <n v="0"/>
    <n v="0"/>
    <n v="-1666.6254714415343"/>
    <n v="0"/>
    <n v="0"/>
  </r>
  <r>
    <s v="Regular"/>
    <x v="1"/>
    <x v="3"/>
    <x v="0"/>
    <x v="0"/>
    <x v="0"/>
    <x v="0"/>
    <x v="1"/>
    <x v="1"/>
    <n v="89730"/>
    <n v="89730"/>
    <n v="0"/>
    <n v="0"/>
    <n v="0"/>
    <n v="0"/>
    <n v="863"/>
    <x v="0"/>
    <n v="0"/>
    <n v="7"/>
    <n v="0"/>
    <n v="0"/>
    <n v="21.85"/>
    <n v="0"/>
    <n v="0"/>
    <n v="27.777091190692239"/>
    <m/>
    <m/>
    <n v="1960600.5000000002"/>
    <n v="0"/>
    <n v="0"/>
    <n v="2492438.3925408148"/>
    <n v="0"/>
    <n v="0"/>
  </r>
  <r>
    <s v="Refaturamento - Regular"/>
    <x v="1"/>
    <x v="3"/>
    <x v="0"/>
    <x v="0"/>
    <x v="0"/>
    <x v="0"/>
    <x v="1"/>
    <x v="1"/>
    <n v="-14"/>
    <n v="-14"/>
    <n v="0"/>
    <n v="0"/>
    <n v="0"/>
    <n v="0"/>
    <n v="0"/>
    <x v="0"/>
    <n v="0"/>
    <n v="7"/>
    <n v="0"/>
    <n v="0"/>
    <n v="21.85"/>
    <n v="0"/>
    <n v="0"/>
    <n v="27.777091190692239"/>
    <m/>
    <m/>
    <n v="-305.90000000000003"/>
    <n v="0"/>
    <n v="0"/>
    <n v="-388.87927666969136"/>
    <n v="0"/>
    <n v="0"/>
  </r>
  <r>
    <s v="Sistema de Compensação"/>
    <x v="1"/>
    <x v="3"/>
    <x v="0"/>
    <x v="0"/>
    <x v="0"/>
    <x v="0"/>
    <x v="1"/>
    <x v="1"/>
    <n v="4527"/>
    <n v="4527"/>
    <n v="0"/>
    <n v="0"/>
    <n v="0"/>
    <n v="0"/>
    <n v="25"/>
    <x v="0"/>
    <n v="0"/>
    <n v="7"/>
    <n v="0"/>
    <n v="0"/>
    <n v="21.85"/>
    <n v="0"/>
    <n v="0"/>
    <n v="27.777091190692239"/>
    <m/>
    <m/>
    <n v="98914.950000000012"/>
    <n v="0"/>
    <n v="0"/>
    <n v="125746.89182026377"/>
    <n v="0"/>
    <n v="0"/>
  </r>
  <r>
    <s v="Regular"/>
    <x v="1"/>
    <x v="3"/>
    <x v="0"/>
    <x v="0"/>
    <x v="0"/>
    <x v="0"/>
    <x v="1"/>
    <x v="2"/>
    <n v="88746"/>
    <n v="88746"/>
    <n v="0"/>
    <n v="0"/>
    <n v="0"/>
    <n v="0"/>
    <n v="861"/>
    <x v="0"/>
    <n v="0"/>
    <n v="7"/>
    <n v="0"/>
    <n v="0"/>
    <n v="21.85"/>
    <n v="0"/>
    <n v="0"/>
    <n v="27.777091190692239"/>
    <m/>
    <m/>
    <n v="1939100.1"/>
    <n v="0"/>
    <n v="0"/>
    <n v="2465105.7348091733"/>
    <n v="0"/>
    <n v="0"/>
  </r>
  <r>
    <s v="Refaturamento - Regular"/>
    <x v="1"/>
    <x v="3"/>
    <x v="0"/>
    <x v="0"/>
    <x v="0"/>
    <x v="0"/>
    <x v="1"/>
    <x v="2"/>
    <n v="-920"/>
    <n v="-920"/>
    <n v="0"/>
    <n v="0"/>
    <n v="0"/>
    <n v="0"/>
    <n v="-4"/>
    <x v="0"/>
    <n v="0"/>
    <n v="7"/>
    <n v="0"/>
    <n v="0"/>
    <n v="21.85"/>
    <n v="0"/>
    <n v="0"/>
    <n v="27.777091190692239"/>
    <m/>
    <m/>
    <n v="-20102"/>
    <n v="0"/>
    <n v="0"/>
    <n v="-25554.923895436859"/>
    <n v="0"/>
    <n v="0"/>
  </r>
  <r>
    <s v="Sistema de Compensação"/>
    <x v="1"/>
    <x v="3"/>
    <x v="0"/>
    <x v="0"/>
    <x v="0"/>
    <x v="0"/>
    <x v="1"/>
    <x v="2"/>
    <n v="4950"/>
    <n v="4950"/>
    <n v="0"/>
    <n v="0"/>
    <n v="0"/>
    <n v="0"/>
    <n v="29"/>
    <x v="0"/>
    <n v="0"/>
    <n v="7"/>
    <n v="0"/>
    <n v="0"/>
    <n v="21.85"/>
    <n v="0"/>
    <n v="0"/>
    <n v="27.777091190692239"/>
    <m/>
    <m/>
    <n v="108157.5"/>
    <n v="0"/>
    <n v="0"/>
    <n v="137496.6013939266"/>
    <n v="0"/>
    <n v="0"/>
  </r>
  <r>
    <s v="Sistema de Compensação"/>
    <x v="1"/>
    <x v="3"/>
    <x v="0"/>
    <x v="0"/>
    <x v="0"/>
    <x v="0"/>
    <x v="1"/>
    <x v="2"/>
    <n v="120"/>
    <n v="120"/>
    <n v="0"/>
    <n v="0"/>
    <n v="0"/>
    <n v="0"/>
    <n v="1"/>
    <x v="0"/>
    <n v="0"/>
    <n v="7"/>
    <n v="0"/>
    <n v="0"/>
    <n v="21.85"/>
    <n v="0"/>
    <n v="0"/>
    <n v="27.777091190692239"/>
    <m/>
    <m/>
    <n v="2622"/>
    <n v="0"/>
    <n v="0"/>
    <n v="3333.2509428830685"/>
    <n v="0"/>
    <n v="0"/>
  </r>
  <r>
    <s v="Regular"/>
    <x v="1"/>
    <x v="3"/>
    <x v="0"/>
    <x v="0"/>
    <x v="0"/>
    <x v="0"/>
    <x v="1"/>
    <x v="3"/>
    <n v="89390"/>
    <n v="89390"/>
    <n v="0"/>
    <n v="0"/>
    <n v="0"/>
    <n v="0"/>
    <n v="856"/>
    <x v="0"/>
    <n v="0"/>
    <n v="7"/>
    <n v="0"/>
    <n v="0"/>
    <n v="21.85"/>
    <n v="0"/>
    <n v="0"/>
    <n v="27.777091190692239"/>
    <m/>
    <m/>
    <n v="1953171.5000000002"/>
    <n v="0"/>
    <n v="0"/>
    <n v="2482994.1815359793"/>
    <n v="0"/>
    <n v="0"/>
  </r>
  <r>
    <s v="Refaturamento - Regular"/>
    <x v="1"/>
    <x v="3"/>
    <x v="0"/>
    <x v="0"/>
    <x v="0"/>
    <x v="0"/>
    <x v="1"/>
    <x v="3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Sistema de Compensação"/>
    <x v="1"/>
    <x v="3"/>
    <x v="0"/>
    <x v="0"/>
    <x v="0"/>
    <x v="0"/>
    <x v="1"/>
    <x v="3"/>
    <n v="10971"/>
    <n v="10971"/>
    <n v="0"/>
    <n v="0"/>
    <n v="0"/>
    <n v="0"/>
    <n v="31"/>
    <x v="0"/>
    <n v="0"/>
    <n v="7"/>
    <n v="0"/>
    <n v="0"/>
    <n v="21.85"/>
    <n v="0"/>
    <n v="0"/>
    <n v="27.777091190692239"/>
    <m/>
    <m/>
    <n v="239716.35"/>
    <n v="0"/>
    <n v="0"/>
    <n v="304742.46745308454"/>
    <n v="0"/>
    <n v="0"/>
  </r>
  <r>
    <s v="Sistema de Compensação"/>
    <x v="1"/>
    <x v="3"/>
    <x v="0"/>
    <x v="0"/>
    <x v="0"/>
    <x v="0"/>
    <x v="1"/>
    <x v="3"/>
    <n v="-49"/>
    <n v="-49"/>
    <n v="0"/>
    <n v="0"/>
    <n v="0"/>
    <n v="0"/>
    <n v="-1"/>
    <x v="0"/>
    <n v="0"/>
    <n v="7"/>
    <n v="0"/>
    <n v="0"/>
    <n v="21.85"/>
    <n v="0"/>
    <n v="0"/>
    <n v="27.777091190692239"/>
    <m/>
    <m/>
    <n v="-1070.6500000000001"/>
    <n v="0"/>
    <n v="0"/>
    <n v="-1361.0774683439197"/>
    <n v="0"/>
    <n v="0"/>
  </r>
  <r>
    <s v="Regular"/>
    <x v="1"/>
    <x v="3"/>
    <x v="0"/>
    <x v="0"/>
    <x v="0"/>
    <x v="0"/>
    <x v="1"/>
    <x v="4"/>
    <n v="89720"/>
    <n v="89720"/>
    <n v="0"/>
    <n v="0"/>
    <n v="0"/>
    <n v="0"/>
    <n v="847"/>
    <x v="0"/>
    <n v="0"/>
    <n v="7"/>
    <n v="0"/>
    <n v="0"/>
    <n v="21.85"/>
    <n v="0"/>
    <n v="0"/>
    <n v="27.777091190692239"/>
    <m/>
    <m/>
    <n v="1960382.0000000002"/>
    <n v="0"/>
    <n v="0"/>
    <n v="2492160.6216289075"/>
    <n v="0"/>
    <n v="0"/>
  </r>
  <r>
    <s v="Refaturamento - Regular"/>
    <x v="1"/>
    <x v="3"/>
    <x v="0"/>
    <x v="0"/>
    <x v="0"/>
    <x v="0"/>
    <x v="1"/>
    <x v="4"/>
    <n v="486"/>
    <n v="486"/>
    <n v="0"/>
    <n v="0"/>
    <n v="0"/>
    <n v="0"/>
    <n v="-1"/>
    <x v="0"/>
    <n v="0"/>
    <n v="7"/>
    <n v="0"/>
    <n v="0"/>
    <n v="21.85"/>
    <n v="0"/>
    <n v="0"/>
    <n v="27.777091190692239"/>
    <m/>
    <m/>
    <n v="10619.1"/>
    <n v="0"/>
    <n v="0"/>
    <n v="13499.666318676429"/>
    <n v="0"/>
    <n v="0"/>
  </r>
  <r>
    <s v="Sistema de Compensação"/>
    <x v="1"/>
    <x v="3"/>
    <x v="0"/>
    <x v="0"/>
    <x v="0"/>
    <x v="0"/>
    <x v="1"/>
    <x v="4"/>
    <n v="13292"/>
    <n v="13292"/>
    <n v="0"/>
    <n v="0"/>
    <n v="0"/>
    <n v="0"/>
    <n v="34"/>
    <x v="0"/>
    <n v="0"/>
    <n v="7"/>
    <n v="0"/>
    <n v="0"/>
    <n v="21.85"/>
    <n v="0"/>
    <n v="0"/>
    <n v="27.777091190692239"/>
    <m/>
    <m/>
    <n v="290430.2"/>
    <n v="0"/>
    <n v="0"/>
    <n v="369213.09610668122"/>
    <n v="0"/>
    <n v="0"/>
  </r>
  <r>
    <s v="Sistema de Compensação"/>
    <x v="1"/>
    <x v="3"/>
    <x v="0"/>
    <x v="0"/>
    <x v="0"/>
    <x v="0"/>
    <x v="1"/>
    <x v="4"/>
    <n v="-658"/>
    <n v="-658"/>
    <n v="0"/>
    <n v="0"/>
    <n v="0"/>
    <n v="0"/>
    <n v="0"/>
    <x v="0"/>
    <n v="0"/>
    <n v="7"/>
    <n v="0"/>
    <n v="0"/>
    <n v="21.85"/>
    <n v="0"/>
    <n v="0"/>
    <n v="27.777091190692239"/>
    <m/>
    <m/>
    <n v="-14377.300000000001"/>
    <n v="0"/>
    <n v="0"/>
    <n v="-18277.326003475493"/>
    <n v="0"/>
    <n v="0"/>
  </r>
  <r>
    <s v="Regular"/>
    <x v="1"/>
    <x v="3"/>
    <x v="0"/>
    <x v="0"/>
    <x v="0"/>
    <x v="0"/>
    <x v="1"/>
    <x v="5"/>
    <n v="91016"/>
    <n v="91016"/>
    <n v="0"/>
    <n v="0"/>
    <n v="0"/>
    <n v="0"/>
    <n v="833"/>
    <x v="0"/>
    <n v="0"/>
    <n v="7"/>
    <n v="0"/>
    <n v="0"/>
    <n v="21.85"/>
    <n v="0"/>
    <n v="0"/>
    <n v="27.777091190692239"/>
    <m/>
    <m/>
    <n v="1988699.6"/>
    <n v="0"/>
    <n v="0"/>
    <n v="2528159.731812045"/>
    <n v="0"/>
    <n v="0"/>
  </r>
  <r>
    <s v="Refaturamento - Regular"/>
    <x v="1"/>
    <x v="3"/>
    <x v="0"/>
    <x v="0"/>
    <x v="0"/>
    <x v="0"/>
    <x v="1"/>
    <x v="5"/>
    <n v="-2350"/>
    <n v="-2350"/>
    <n v="0"/>
    <n v="0"/>
    <n v="0"/>
    <n v="0"/>
    <n v="-8"/>
    <x v="0"/>
    <n v="0"/>
    <n v="7"/>
    <n v="0"/>
    <n v="0"/>
    <n v="21.85"/>
    <n v="0"/>
    <n v="0"/>
    <n v="27.777091190692239"/>
    <m/>
    <m/>
    <n v="-51347.5"/>
    <n v="0"/>
    <n v="0"/>
    <n v="-65276.164298126765"/>
    <n v="0"/>
    <n v="0"/>
  </r>
  <r>
    <s v="Sistema de Compensação"/>
    <x v="1"/>
    <x v="3"/>
    <x v="0"/>
    <x v="0"/>
    <x v="0"/>
    <x v="0"/>
    <x v="1"/>
    <x v="5"/>
    <n v="14407"/>
    <n v="14407"/>
    <n v="0"/>
    <n v="0"/>
    <n v="0"/>
    <n v="0"/>
    <n v="40"/>
    <x v="0"/>
    <n v="0"/>
    <n v="7"/>
    <n v="0"/>
    <n v="0"/>
    <n v="21.85"/>
    <n v="0"/>
    <n v="0"/>
    <n v="27.777091190692239"/>
    <m/>
    <m/>
    <n v="314792.95"/>
    <n v="0"/>
    <n v="0"/>
    <n v="400184.55278430309"/>
    <n v="0"/>
    <n v="0"/>
  </r>
  <r>
    <s v="Sistema de Compensação"/>
    <x v="1"/>
    <x v="3"/>
    <x v="0"/>
    <x v="0"/>
    <x v="0"/>
    <x v="0"/>
    <x v="1"/>
    <x v="5"/>
    <n v="200"/>
    <n v="200"/>
    <n v="0"/>
    <n v="0"/>
    <n v="0"/>
    <n v="0"/>
    <n v="2"/>
    <x v="0"/>
    <n v="0"/>
    <n v="7"/>
    <n v="0"/>
    <n v="0"/>
    <n v="21.85"/>
    <n v="0"/>
    <n v="0"/>
    <n v="27.777091190692239"/>
    <m/>
    <m/>
    <n v="4370"/>
    <n v="0"/>
    <n v="0"/>
    <n v="5555.418238138448"/>
    <n v="0"/>
    <n v="0"/>
  </r>
  <r>
    <s v="Regular"/>
    <x v="1"/>
    <x v="3"/>
    <x v="0"/>
    <x v="0"/>
    <x v="0"/>
    <x v="0"/>
    <x v="1"/>
    <x v="6"/>
    <n v="90385"/>
    <n v="90385"/>
    <n v="0"/>
    <n v="0"/>
    <n v="0"/>
    <n v="0"/>
    <n v="825"/>
    <x v="0"/>
    <n v="0"/>
    <n v="7"/>
    <n v="0"/>
    <n v="0"/>
    <n v="21.85"/>
    <n v="0"/>
    <n v="0"/>
    <n v="27.777091190692239"/>
    <m/>
    <m/>
    <n v="1974912.2500000002"/>
    <n v="0"/>
    <n v="0"/>
    <n v="2510632.3872707179"/>
    <n v="0"/>
    <n v="0"/>
  </r>
  <r>
    <s v="Refaturamento - Regular"/>
    <x v="1"/>
    <x v="3"/>
    <x v="0"/>
    <x v="0"/>
    <x v="0"/>
    <x v="0"/>
    <x v="1"/>
    <x v="6"/>
    <n v="-751"/>
    <n v="-751"/>
    <n v="0"/>
    <n v="0"/>
    <n v="0"/>
    <n v="0"/>
    <n v="-2"/>
    <x v="0"/>
    <n v="0"/>
    <n v="7"/>
    <n v="0"/>
    <n v="0"/>
    <n v="21.85"/>
    <n v="0"/>
    <n v="0"/>
    <n v="27.777091190692239"/>
    <m/>
    <m/>
    <n v="-16409.350000000002"/>
    <n v="0"/>
    <n v="0"/>
    <n v="-20860.595484209873"/>
    <n v="0"/>
    <n v="0"/>
  </r>
  <r>
    <s v="Sistema de Compensação"/>
    <x v="1"/>
    <x v="3"/>
    <x v="0"/>
    <x v="0"/>
    <x v="0"/>
    <x v="0"/>
    <x v="1"/>
    <x v="6"/>
    <n v="16209"/>
    <n v="16209"/>
    <n v="0"/>
    <n v="0"/>
    <n v="0"/>
    <n v="0"/>
    <n v="49"/>
    <x v="0"/>
    <n v="0"/>
    <n v="7"/>
    <n v="0"/>
    <n v="0"/>
    <n v="21.85"/>
    <n v="0"/>
    <n v="0"/>
    <n v="27.777091190692239"/>
    <m/>
    <m/>
    <n v="354166.65"/>
    <n v="0"/>
    <n v="0"/>
    <n v="450238.87110993051"/>
    <n v="0"/>
    <n v="0"/>
  </r>
  <r>
    <s v="Sistema de Compensação"/>
    <x v="1"/>
    <x v="3"/>
    <x v="0"/>
    <x v="0"/>
    <x v="0"/>
    <x v="0"/>
    <x v="1"/>
    <x v="6"/>
    <n v="67"/>
    <n v="67"/>
    <n v="0"/>
    <n v="0"/>
    <n v="0"/>
    <n v="0"/>
    <n v="1"/>
    <x v="0"/>
    <n v="0"/>
    <n v="7"/>
    <n v="0"/>
    <n v="0"/>
    <n v="21.85"/>
    <n v="0"/>
    <n v="0"/>
    <n v="27.777091190692239"/>
    <m/>
    <m/>
    <n v="1463.95"/>
    <n v="0"/>
    <n v="0"/>
    <n v="1861.06510977638"/>
    <n v="0"/>
    <n v="0"/>
  </r>
  <r>
    <s v="Regular"/>
    <x v="1"/>
    <x v="3"/>
    <x v="0"/>
    <x v="0"/>
    <x v="0"/>
    <x v="0"/>
    <x v="1"/>
    <x v="7"/>
    <n v="88673"/>
    <n v="88673"/>
    <n v="0"/>
    <n v="0"/>
    <n v="0"/>
    <n v="0"/>
    <n v="816"/>
    <x v="0"/>
    <n v="0"/>
    <n v="7"/>
    <n v="0"/>
    <n v="0"/>
    <n v="21.85"/>
    <n v="0"/>
    <n v="0"/>
    <n v="27.777091190692239"/>
    <m/>
    <m/>
    <n v="1937505.05"/>
    <n v="0"/>
    <n v="0"/>
    <n v="2463078.0071522528"/>
    <n v="0"/>
    <n v="0"/>
  </r>
  <r>
    <s v="Refaturamento - Regular"/>
    <x v="1"/>
    <x v="3"/>
    <x v="0"/>
    <x v="0"/>
    <x v="0"/>
    <x v="0"/>
    <x v="1"/>
    <x v="7"/>
    <n v="-28"/>
    <n v="-28"/>
    <n v="0"/>
    <n v="0"/>
    <n v="0"/>
    <n v="0"/>
    <n v="1"/>
    <x v="0"/>
    <n v="0"/>
    <n v="7"/>
    <n v="0"/>
    <n v="0"/>
    <n v="21.85"/>
    <n v="0"/>
    <n v="0"/>
    <n v="27.777091190692239"/>
    <m/>
    <m/>
    <n v="-611.80000000000007"/>
    <n v="0"/>
    <n v="0"/>
    <n v="-777.75855333938273"/>
    <n v="0"/>
    <n v="0"/>
  </r>
  <r>
    <s v="Sistema de Compensação"/>
    <x v="1"/>
    <x v="3"/>
    <x v="0"/>
    <x v="0"/>
    <x v="0"/>
    <x v="0"/>
    <x v="1"/>
    <x v="7"/>
    <n v="18141"/>
    <n v="18141"/>
    <n v="0"/>
    <n v="0"/>
    <n v="0"/>
    <n v="0"/>
    <n v="62"/>
    <x v="0"/>
    <n v="0"/>
    <n v="7"/>
    <n v="0"/>
    <n v="0"/>
    <n v="21.85"/>
    <n v="0"/>
    <n v="0"/>
    <n v="27.777091190692239"/>
    <m/>
    <m/>
    <n v="396380.85000000003"/>
    <n v="0"/>
    <n v="0"/>
    <n v="503904.21129034791"/>
    <n v="0"/>
    <n v="0"/>
  </r>
  <r>
    <s v="Sistema de Compensação"/>
    <x v="1"/>
    <x v="3"/>
    <x v="0"/>
    <x v="0"/>
    <x v="0"/>
    <x v="0"/>
    <x v="1"/>
    <x v="7"/>
    <n v="66"/>
    <n v="66"/>
    <n v="0"/>
    <n v="0"/>
    <n v="0"/>
    <n v="0"/>
    <n v="0"/>
    <x v="0"/>
    <n v="0"/>
    <n v="7"/>
    <n v="0"/>
    <n v="0"/>
    <n v="21.85"/>
    <n v="0"/>
    <n v="0"/>
    <n v="27.777091190692239"/>
    <m/>
    <m/>
    <n v="1442.1000000000001"/>
    <n v="0"/>
    <n v="0"/>
    <n v="1833.2880185856877"/>
    <n v="0"/>
    <n v="0"/>
  </r>
  <r>
    <s v="Regular"/>
    <x v="1"/>
    <x v="3"/>
    <x v="0"/>
    <x v="0"/>
    <x v="0"/>
    <x v="0"/>
    <x v="1"/>
    <x v="8"/>
    <n v="88453"/>
    <n v="88453"/>
    <n v="0"/>
    <n v="0"/>
    <n v="0"/>
    <n v="0"/>
    <n v="817"/>
    <x v="0"/>
    <n v="0"/>
    <n v="7"/>
    <n v="0"/>
    <n v="0"/>
    <n v="21.85"/>
    <n v="0"/>
    <n v="0"/>
    <n v="27.777091190692239"/>
    <m/>
    <m/>
    <n v="1932698.05"/>
    <n v="0"/>
    <n v="0"/>
    <n v="2456967.0470903008"/>
    <n v="0"/>
    <n v="0"/>
  </r>
  <r>
    <s v="Refaturamento - Regular"/>
    <x v="1"/>
    <x v="3"/>
    <x v="0"/>
    <x v="0"/>
    <x v="0"/>
    <x v="0"/>
    <x v="1"/>
    <x v="8"/>
    <n v="235"/>
    <n v="235"/>
    <n v="0"/>
    <n v="0"/>
    <n v="0"/>
    <n v="0"/>
    <n v="6"/>
    <x v="0"/>
    <n v="0"/>
    <n v="7"/>
    <n v="0"/>
    <n v="0"/>
    <n v="21.85"/>
    <n v="0"/>
    <n v="0"/>
    <n v="27.777091190692239"/>
    <m/>
    <m/>
    <n v="5134.75"/>
    <n v="0"/>
    <n v="0"/>
    <n v="6527.616429812676"/>
    <n v="0"/>
    <n v="0"/>
  </r>
  <r>
    <s v="Sistema de Compensação"/>
    <x v="1"/>
    <x v="3"/>
    <x v="0"/>
    <x v="0"/>
    <x v="0"/>
    <x v="0"/>
    <x v="1"/>
    <x v="8"/>
    <n v="19207"/>
    <n v="19207"/>
    <n v="0"/>
    <n v="0"/>
    <n v="0"/>
    <n v="0"/>
    <n v="65"/>
    <x v="0"/>
    <n v="0"/>
    <n v="7"/>
    <n v="0"/>
    <n v="0"/>
    <n v="21.85"/>
    <n v="0"/>
    <n v="0"/>
    <n v="27.777091190692239"/>
    <m/>
    <m/>
    <n v="419672.95"/>
    <n v="0"/>
    <n v="0"/>
    <n v="533514.59049962589"/>
    <n v="0"/>
    <n v="0"/>
  </r>
  <r>
    <s v="Regular"/>
    <x v="1"/>
    <x v="3"/>
    <x v="0"/>
    <x v="0"/>
    <x v="0"/>
    <x v="0"/>
    <x v="1"/>
    <x v="9"/>
    <n v="89150"/>
    <n v="89150"/>
    <n v="0"/>
    <n v="0"/>
    <n v="0"/>
    <n v="0"/>
    <n v="819"/>
    <x v="0"/>
    <n v="0"/>
    <n v="7"/>
    <n v="0"/>
    <n v="0"/>
    <n v="21.85"/>
    <n v="0"/>
    <n v="0"/>
    <n v="27.777091190692239"/>
    <m/>
    <m/>
    <n v="1947927.5000000002"/>
    <n v="0"/>
    <n v="0"/>
    <n v="2476327.6796502131"/>
    <n v="0"/>
    <n v="0"/>
  </r>
  <r>
    <s v="Sistema de Compensação"/>
    <x v="1"/>
    <x v="3"/>
    <x v="0"/>
    <x v="0"/>
    <x v="0"/>
    <x v="0"/>
    <x v="1"/>
    <x v="9"/>
    <n v="19487"/>
    <n v="19487"/>
    <n v="0"/>
    <n v="0"/>
    <n v="0"/>
    <n v="0"/>
    <n v="66"/>
    <x v="0"/>
    <n v="0"/>
    <n v="7"/>
    <n v="0"/>
    <n v="0"/>
    <n v="21.85"/>
    <n v="0"/>
    <n v="0"/>
    <n v="27.777091190692239"/>
    <m/>
    <m/>
    <n v="425790.95"/>
    <n v="0"/>
    <n v="0"/>
    <n v="541292.17603301967"/>
    <n v="0"/>
    <n v="0"/>
  </r>
  <r>
    <s v="Regular"/>
    <x v="1"/>
    <x v="3"/>
    <x v="0"/>
    <x v="0"/>
    <x v="0"/>
    <x v="0"/>
    <x v="1"/>
    <x v="10"/>
    <n v="89183"/>
    <n v="89183"/>
    <n v="0"/>
    <n v="0"/>
    <n v="0"/>
    <n v="0"/>
    <n v="824"/>
    <x v="0"/>
    <n v="0"/>
    <n v="7"/>
    <n v="0"/>
    <n v="0"/>
    <n v="21.85"/>
    <n v="0"/>
    <n v="0"/>
    <n v="27.777091190692239"/>
    <m/>
    <m/>
    <n v="1948648.55"/>
    <n v="0"/>
    <n v="0"/>
    <n v="2477244.3236595062"/>
    <n v="0"/>
    <n v="0"/>
  </r>
  <r>
    <s v="Refaturamento - Regular"/>
    <x v="1"/>
    <x v="3"/>
    <x v="0"/>
    <x v="0"/>
    <x v="0"/>
    <x v="0"/>
    <x v="1"/>
    <x v="10"/>
    <n v="-290"/>
    <n v="-290"/>
    <n v="0"/>
    <n v="0"/>
    <n v="0"/>
    <n v="0"/>
    <n v="0"/>
    <x v="0"/>
    <n v="0"/>
    <n v="7"/>
    <n v="0"/>
    <n v="0"/>
    <n v="21.85"/>
    <n v="0"/>
    <n v="0"/>
    <n v="27.777091190692239"/>
    <m/>
    <m/>
    <n v="-6336.5"/>
    <n v="0"/>
    <n v="0"/>
    <n v="-8055.3564453007493"/>
    <n v="0"/>
    <n v="0"/>
  </r>
  <r>
    <s v="Sistema de Compensação"/>
    <x v="1"/>
    <x v="3"/>
    <x v="0"/>
    <x v="0"/>
    <x v="0"/>
    <x v="0"/>
    <x v="1"/>
    <x v="10"/>
    <n v="19743"/>
    <n v="19743"/>
    <n v="0"/>
    <n v="0"/>
    <n v="0"/>
    <n v="0"/>
    <n v="67"/>
    <x v="0"/>
    <n v="0"/>
    <n v="7"/>
    <n v="0"/>
    <n v="0"/>
    <n v="21.85"/>
    <n v="0"/>
    <n v="0"/>
    <n v="27.777091190692239"/>
    <m/>
    <m/>
    <n v="431384.55000000005"/>
    <n v="0"/>
    <n v="0"/>
    <n v="548403.1113778369"/>
    <n v="0"/>
    <n v="0"/>
  </r>
  <r>
    <s v="PROJETADO"/>
    <x v="1"/>
    <x v="3"/>
    <x v="0"/>
    <x v="0"/>
    <x v="0"/>
    <x v="0"/>
    <x v="1"/>
    <x v="11"/>
    <n v="89183"/>
    <n v="89183"/>
    <n v="0"/>
    <n v="0"/>
    <n v="0"/>
    <n v="0"/>
    <n v="824"/>
    <x v="0"/>
    <n v="0"/>
    <n v="7"/>
    <n v="0"/>
    <n v="0"/>
    <n v="21.85"/>
    <n v="0"/>
    <n v="0"/>
    <n v="27.777091190692239"/>
    <m/>
    <m/>
    <n v="1948648.55"/>
    <n v="0"/>
    <n v="0"/>
    <n v="2477244.3236595062"/>
    <n v="0"/>
    <n v="0"/>
  </r>
  <r>
    <s v="PROJETADO"/>
    <x v="1"/>
    <x v="3"/>
    <x v="0"/>
    <x v="0"/>
    <x v="0"/>
    <x v="0"/>
    <x v="1"/>
    <x v="11"/>
    <n v="-290"/>
    <n v="-290"/>
    <n v="0"/>
    <n v="0"/>
    <n v="0"/>
    <n v="0"/>
    <n v="0"/>
    <x v="0"/>
    <n v="0"/>
    <n v="7"/>
    <n v="0"/>
    <n v="0"/>
    <n v="21.85"/>
    <n v="0"/>
    <n v="0"/>
    <n v="27.777091190692239"/>
    <m/>
    <m/>
    <n v="-6336.5"/>
    <n v="0"/>
    <n v="0"/>
    <n v="-8055.3564453007493"/>
    <n v="0"/>
    <n v="0"/>
  </r>
  <r>
    <s v="PROJETADO"/>
    <x v="1"/>
    <x v="3"/>
    <x v="0"/>
    <x v="0"/>
    <x v="0"/>
    <x v="0"/>
    <x v="1"/>
    <x v="11"/>
    <n v="19743"/>
    <n v="19743"/>
    <n v="0"/>
    <n v="0"/>
    <n v="0"/>
    <n v="0"/>
    <n v="67"/>
    <x v="0"/>
    <n v="0"/>
    <n v="7"/>
    <n v="0"/>
    <n v="0"/>
    <n v="21.85"/>
    <n v="0"/>
    <n v="0"/>
    <n v="27.777091190692239"/>
    <m/>
    <m/>
    <n v="431384.55000000005"/>
    <n v="0"/>
    <n v="0"/>
    <n v="548403.1113778369"/>
    <n v="0"/>
    <n v="0"/>
  </r>
  <r>
    <s v="Regular"/>
    <x v="1"/>
    <x v="3"/>
    <x v="0"/>
    <x v="0"/>
    <x v="0"/>
    <x v="0"/>
    <x v="2"/>
    <x v="0"/>
    <n v="0"/>
    <n v="0"/>
    <n v="1015.54"/>
    <n v="1015.54"/>
    <n v="1015.54"/>
    <n v="1015.54"/>
    <n v="0"/>
    <x v="0"/>
    <n v="0"/>
    <n v="0"/>
    <n v="8"/>
    <n v="72"/>
    <n v="0"/>
    <n v="1557.74"/>
    <n v="346.61"/>
    <m/>
    <n v="1938.4308905871562"/>
    <n v="441.69177554366559"/>
    <n v="0"/>
    <n v="1581947.2796"/>
    <n v="351996.31939999998"/>
    <n v="0"/>
    <n v="1968554.1066268806"/>
    <n v="448555.66573561414"/>
  </r>
  <r>
    <s v="Sistema de Compensação"/>
    <x v="1"/>
    <x v="3"/>
    <x v="0"/>
    <x v="0"/>
    <x v="0"/>
    <x v="0"/>
    <x v="2"/>
    <x v="0"/>
    <n v="0"/>
    <n v="0"/>
    <n v="24.323"/>
    <n v="24.323"/>
    <n v="24.323"/>
    <n v="24.323"/>
    <n v="0"/>
    <x v="0"/>
    <n v="0"/>
    <n v="0"/>
    <n v="8"/>
    <n v="72"/>
    <n v="0"/>
    <n v="1557.74"/>
    <n v="346.61"/>
    <m/>
    <n v="1938.4308905871562"/>
    <n v="441.69177554366559"/>
    <n v="0"/>
    <n v="37888.910020000003"/>
    <n v="8430.5950300000004"/>
    <n v="0"/>
    <n v="47148.454551751405"/>
    <n v="10743.269056548579"/>
  </r>
  <r>
    <s v="Sistema de Compensação"/>
    <x v="1"/>
    <x v="3"/>
    <x v="0"/>
    <x v="0"/>
    <x v="0"/>
    <x v="0"/>
    <x v="2"/>
    <x v="0"/>
    <n v="0"/>
    <n v="0"/>
    <n v="-1.4179999999999999"/>
    <n v="-1.4179999999999999"/>
    <n v="-1.4179999999999999"/>
    <n v="-1.4179999999999999"/>
    <n v="0"/>
    <x v="0"/>
    <n v="0"/>
    <n v="0"/>
    <n v="8"/>
    <n v="72"/>
    <n v="0"/>
    <n v="1557.74"/>
    <n v="346.61"/>
    <m/>
    <n v="1938.4308905871562"/>
    <n v="441.69177554366559"/>
    <n v="0"/>
    <n v="-2208.8753200000001"/>
    <n v="-491.49297999999999"/>
    <n v="0"/>
    <n v="-2748.6950028525875"/>
    <n v="-626.3189377209178"/>
  </r>
  <r>
    <s v="Regular"/>
    <x v="1"/>
    <x v="3"/>
    <x v="0"/>
    <x v="0"/>
    <x v="0"/>
    <x v="0"/>
    <x v="2"/>
    <x v="1"/>
    <n v="0"/>
    <n v="0"/>
    <n v="920.05600000000004"/>
    <n v="920.05600000000004"/>
    <n v="920.05600000000004"/>
    <n v="920.05600000000004"/>
    <n v="0"/>
    <x v="0"/>
    <n v="0"/>
    <n v="0"/>
    <n v="8"/>
    <n v="72"/>
    <n v="0"/>
    <n v="1557.74"/>
    <n v="346.61"/>
    <m/>
    <n v="1938.4308905871562"/>
    <n v="441.69177554366559"/>
    <n v="0"/>
    <n v="1433208.0334400001"/>
    <n v="318900.61016000004"/>
    <n v="0"/>
    <n v="1783464.9714700568"/>
    <n v="406381.16823960282"/>
  </r>
  <r>
    <s v="Refaturamento - Regular"/>
    <x v="1"/>
    <x v="3"/>
    <x v="0"/>
    <x v="0"/>
    <x v="0"/>
    <x v="0"/>
    <x v="2"/>
    <x v="1"/>
    <n v="0"/>
    <n v="0"/>
    <n v="-18.613"/>
    <n v="-18.613"/>
    <n v="-18.613"/>
    <n v="-18.613"/>
    <n v="0"/>
    <x v="0"/>
    <n v="0"/>
    <n v="0"/>
    <n v="8"/>
    <n v="72"/>
    <n v="0"/>
    <n v="1557.74"/>
    <n v="346.61"/>
    <m/>
    <n v="1938.4308905871562"/>
    <n v="441.69177554366559"/>
    <n v="0"/>
    <n v="-28994.214619999999"/>
    <n v="-6451.4519300000002"/>
    <n v="0"/>
    <n v="-36080.014166498739"/>
    <n v="-8221.2090181942476"/>
  </r>
  <r>
    <s v="Sistema de Compensação"/>
    <x v="1"/>
    <x v="3"/>
    <x v="0"/>
    <x v="0"/>
    <x v="0"/>
    <x v="0"/>
    <x v="2"/>
    <x v="1"/>
    <n v="0"/>
    <n v="0"/>
    <n v="23.039000000000001"/>
    <n v="23.039000000000001"/>
    <n v="23.039000000000001"/>
    <n v="23.039000000000001"/>
    <n v="0"/>
    <x v="0"/>
    <n v="0"/>
    <n v="0"/>
    <n v="8"/>
    <n v="72"/>
    <n v="0"/>
    <n v="1557.74"/>
    <n v="346.61"/>
    <m/>
    <n v="1938.4308905871562"/>
    <n v="441.69177554366559"/>
    <n v="0"/>
    <n v="35888.771860000001"/>
    <n v="7985.5477900000005"/>
    <n v="0"/>
    <n v="44659.509288237496"/>
    <n v="10176.136816750512"/>
  </r>
  <r>
    <s v="Regular"/>
    <x v="1"/>
    <x v="3"/>
    <x v="0"/>
    <x v="0"/>
    <x v="0"/>
    <x v="0"/>
    <x v="2"/>
    <x v="2"/>
    <n v="0"/>
    <n v="0"/>
    <n v="1014.527"/>
    <n v="1014.527"/>
    <n v="1014.527"/>
    <n v="1014.527"/>
    <n v="0"/>
    <x v="0"/>
    <n v="0"/>
    <n v="0"/>
    <n v="8"/>
    <n v="72"/>
    <n v="0"/>
    <n v="1557.74"/>
    <n v="346.61"/>
    <m/>
    <n v="1938.4308905871562"/>
    <n v="441.69177554366559"/>
    <n v="0"/>
    <n v="1580369.2889800002"/>
    <n v="351645.20347000001"/>
    <n v="0"/>
    <n v="1966590.4761347158"/>
    <n v="448108.23196698842"/>
  </r>
  <r>
    <s v="Refaturamento - Regular"/>
    <x v="1"/>
    <x v="3"/>
    <x v="0"/>
    <x v="0"/>
    <x v="0"/>
    <x v="0"/>
    <x v="2"/>
    <x v="2"/>
    <n v="0"/>
    <n v="0"/>
    <n v="-11.574999999999999"/>
    <n v="-11.574999999999999"/>
    <n v="-11.574999999999999"/>
    <n v="-11.574999999999999"/>
    <n v="0"/>
    <x v="0"/>
    <n v="0"/>
    <n v="0"/>
    <n v="8"/>
    <n v="72"/>
    <n v="0"/>
    <n v="1557.74"/>
    <n v="346.61"/>
    <m/>
    <n v="1938.4308905871562"/>
    <n v="441.69177554366559"/>
    <n v="0"/>
    <n v="-18030.840499999998"/>
    <n v="-4012.0107499999999"/>
    <n v="0"/>
    <n v="-22437.337558546333"/>
    <n v="-5112.5823019179288"/>
  </r>
  <r>
    <s v="Sistema de Compensação"/>
    <x v="1"/>
    <x v="3"/>
    <x v="0"/>
    <x v="0"/>
    <x v="0"/>
    <x v="0"/>
    <x v="2"/>
    <x v="2"/>
    <n v="0"/>
    <n v="0"/>
    <n v="28.103000000000002"/>
    <n v="28.103000000000002"/>
    <n v="28.103000000000002"/>
    <n v="28.103000000000002"/>
    <n v="0"/>
    <x v="0"/>
    <n v="0"/>
    <n v="0"/>
    <n v="8"/>
    <n v="72"/>
    <n v="0"/>
    <n v="1557.74"/>
    <n v="346.61"/>
    <m/>
    <n v="1938.4308905871562"/>
    <n v="441.69177554366559"/>
    <n v="0"/>
    <n v="43777.167220000003"/>
    <n v="9740.7808300000015"/>
    <n v="0"/>
    <n v="54475.723318170858"/>
    <n v="12412.863968103635"/>
  </r>
  <r>
    <s v="Sistema de Compensação"/>
    <x v="1"/>
    <x v="3"/>
    <x v="0"/>
    <x v="0"/>
    <x v="0"/>
    <x v="0"/>
    <x v="2"/>
    <x v="2"/>
    <n v="0"/>
    <n v="0"/>
    <n v="1.3280000000000001"/>
    <n v="1.3280000000000001"/>
    <n v="1.3280000000000001"/>
    <n v="1.3280000000000001"/>
    <n v="0"/>
    <x v="0"/>
    <n v="0"/>
    <n v="0"/>
    <n v="8"/>
    <n v="72"/>
    <n v="0"/>
    <n v="1557.74"/>
    <n v="346.61"/>
    <m/>
    <n v="1938.4308905871562"/>
    <n v="441.69177554366559"/>
    <n v="0"/>
    <n v="2068.6787200000003"/>
    <n v="460.29808000000003"/>
    <n v="0"/>
    <n v="2574.2362226997434"/>
    <n v="586.56667792198789"/>
  </r>
  <r>
    <s v="Regular"/>
    <x v="1"/>
    <x v="3"/>
    <x v="0"/>
    <x v="0"/>
    <x v="0"/>
    <x v="0"/>
    <x v="2"/>
    <x v="3"/>
    <n v="0"/>
    <n v="0"/>
    <n v="1012.58"/>
    <n v="1012.58"/>
    <n v="1012.58"/>
    <n v="1012.58"/>
    <n v="0"/>
    <x v="0"/>
    <n v="0"/>
    <n v="0"/>
    <n v="8"/>
    <n v="72"/>
    <n v="0"/>
    <n v="1557.74"/>
    <n v="346.61"/>
    <m/>
    <n v="1938.4308905871562"/>
    <n v="441.69177554366559"/>
    <n v="0"/>
    <n v="1577336.3692000001"/>
    <n v="350970.35380000004"/>
    <n v="0"/>
    <n v="1962816.3511907428"/>
    <n v="447248.25808000489"/>
  </r>
  <r>
    <s v="Refaturamento - Regular"/>
    <x v="1"/>
    <x v="3"/>
    <x v="0"/>
    <x v="0"/>
    <x v="0"/>
    <x v="0"/>
    <x v="2"/>
    <x v="3"/>
    <n v="0"/>
    <n v="0"/>
    <n v="-5.9820000000000002"/>
    <n v="-5.9820000000000002"/>
    <n v="-5.9820000000000002"/>
    <n v="-5.9820000000000002"/>
    <n v="0"/>
    <x v="0"/>
    <n v="0"/>
    <n v="0"/>
    <n v="8"/>
    <n v="72"/>
    <n v="0"/>
    <n v="1557.74"/>
    <n v="346.61"/>
    <m/>
    <n v="1938.4308905871562"/>
    <n v="441.69177554366559"/>
    <n v="0"/>
    <n v="-9318.4006800000006"/>
    <n v="-2073.4210200000002"/>
    <n v="0"/>
    <n v="-11595.693587492369"/>
    <n v="-2642.2002013022075"/>
  </r>
  <r>
    <s v="Sistema de Compensação"/>
    <x v="1"/>
    <x v="3"/>
    <x v="0"/>
    <x v="0"/>
    <x v="0"/>
    <x v="0"/>
    <x v="2"/>
    <x v="3"/>
    <n v="0"/>
    <n v="0"/>
    <n v="31.321999999999999"/>
    <n v="31.321999999999999"/>
    <n v="31.321999999999999"/>
    <n v="31.321999999999999"/>
    <n v="0"/>
    <x v="0"/>
    <n v="0"/>
    <n v="0"/>
    <n v="8"/>
    <n v="72"/>
    <n v="0"/>
    <n v="1557.74"/>
    <n v="346.61"/>
    <m/>
    <n v="1938.4308905871562"/>
    <n v="441.69177554366559"/>
    <n v="0"/>
    <n v="48791.532279999999"/>
    <n v="10856.51842"/>
    <n v="0"/>
    <n v="60715.532354970906"/>
    <n v="13834.669793578692"/>
  </r>
  <r>
    <s v="Sistema de Compensação"/>
    <x v="1"/>
    <x v="3"/>
    <x v="0"/>
    <x v="0"/>
    <x v="0"/>
    <x v="0"/>
    <x v="2"/>
    <x v="3"/>
    <n v="0"/>
    <n v="0"/>
    <n v="-1.105"/>
    <n v="-1.105"/>
    <n v="-1.105"/>
    <n v="-1.105"/>
    <n v="0"/>
    <x v="0"/>
    <n v="0"/>
    <n v="0"/>
    <n v="8"/>
    <n v="72"/>
    <n v="0"/>
    <n v="1557.74"/>
    <n v="346.61"/>
    <m/>
    <n v="1938.4308905871562"/>
    <n v="441.69177554366559"/>
    <n v="0"/>
    <n v="-1721.3027"/>
    <n v="-383.00405000000001"/>
    <n v="0"/>
    <n v="-2141.9661340988077"/>
    <n v="-488.06941197575048"/>
  </r>
  <r>
    <s v="Regular"/>
    <x v="1"/>
    <x v="3"/>
    <x v="0"/>
    <x v="0"/>
    <x v="0"/>
    <x v="0"/>
    <x v="2"/>
    <x v="4"/>
    <n v="0"/>
    <n v="0"/>
    <n v="1032.1990000000001"/>
    <n v="1032.1990000000001"/>
    <n v="1032.1990000000001"/>
    <n v="1032.1990000000001"/>
    <n v="0"/>
    <x v="0"/>
    <n v="0"/>
    <n v="0"/>
    <n v="8"/>
    <n v="72"/>
    <n v="0"/>
    <n v="1557.74"/>
    <n v="346.61"/>
    <m/>
    <n v="1938.4308905871562"/>
    <n v="441.69177554366559"/>
    <n v="0"/>
    <n v="1607897.67026"/>
    <n v="357770.49539000005"/>
    <n v="0"/>
    <n v="2000846.4268331721"/>
    <n v="455913.80902439612"/>
  </r>
  <r>
    <s v="Refaturamento - Regular"/>
    <x v="1"/>
    <x v="3"/>
    <x v="0"/>
    <x v="0"/>
    <x v="0"/>
    <x v="0"/>
    <x v="2"/>
    <x v="4"/>
    <n v="0"/>
    <n v="0"/>
    <n v="-4.2060000000000004"/>
    <n v="-4.2060000000000004"/>
    <n v="-4.2060000000000004"/>
    <n v="-4.2060000000000004"/>
    <n v="0"/>
    <x v="0"/>
    <n v="0"/>
    <n v="0"/>
    <n v="8"/>
    <n v="72"/>
    <n v="0"/>
    <n v="1557.74"/>
    <n v="346.61"/>
    <m/>
    <n v="1938.4308905871562"/>
    <n v="441.69177554366559"/>
    <n v="0"/>
    <n v="-6551.854440000001"/>
    <n v="-1457.8416600000003"/>
    <n v="0"/>
    <n v="-8153.0403258095803"/>
    <n v="-1857.7556079366577"/>
  </r>
  <r>
    <s v="Sistema de Compensação"/>
    <x v="1"/>
    <x v="3"/>
    <x v="0"/>
    <x v="0"/>
    <x v="0"/>
    <x v="0"/>
    <x v="2"/>
    <x v="4"/>
    <n v="0"/>
    <n v="0"/>
    <n v="31.878"/>
    <n v="31.878"/>
    <n v="31.878"/>
    <n v="31.878"/>
    <n v="0"/>
    <x v="0"/>
    <n v="0"/>
    <n v="0"/>
    <n v="8"/>
    <n v="72"/>
    <n v="0"/>
    <n v="1557.74"/>
    <n v="346.61"/>
    <m/>
    <n v="1938.4308905871562"/>
    <n v="441.69177554366559"/>
    <n v="0"/>
    <n v="49657.635719999998"/>
    <n v="11049.23358"/>
    <n v="0"/>
    <n v="61793.299930137364"/>
    <n v="14080.250420780971"/>
  </r>
  <r>
    <s v="Sistema de Compensação"/>
    <x v="1"/>
    <x v="3"/>
    <x v="0"/>
    <x v="0"/>
    <x v="0"/>
    <x v="0"/>
    <x v="2"/>
    <x v="4"/>
    <n v="0"/>
    <n v="0"/>
    <n v="5.3999999999999999E-2"/>
    <n v="5.3999999999999999E-2"/>
    <n v="5.3999999999999999E-2"/>
    <n v="5.3999999999999999E-2"/>
    <n v="0"/>
    <x v="0"/>
    <n v="0"/>
    <n v="0"/>
    <n v="8"/>
    <n v="72"/>
    <n v="0"/>
    <n v="1557.74"/>
    <n v="346.61"/>
    <m/>
    <n v="1938.4308905871562"/>
    <n v="441.69177554366559"/>
    <n v="0"/>
    <n v="84.117959999999997"/>
    <n v="18.716940000000001"/>
    <n v="0"/>
    <n v="104.67526809170643"/>
    <n v="23.851355879357943"/>
  </r>
  <r>
    <s v="Regular"/>
    <x v="1"/>
    <x v="3"/>
    <x v="0"/>
    <x v="0"/>
    <x v="0"/>
    <x v="0"/>
    <x v="2"/>
    <x v="5"/>
    <n v="0"/>
    <n v="0"/>
    <n v="1061.5319999999999"/>
    <n v="1061.5319999999999"/>
    <n v="1061.5319999999999"/>
    <n v="1061.5319999999999"/>
    <n v="0"/>
    <x v="0"/>
    <n v="0"/>
    <n v="0"/>
    <n v="8"/>
    <n v="72"/>
    <n v="0"/>
    <n v="1557.74"/>
    <n v="346.61"/>
    <m/>
    <n v="1938.4308905871562"/>
    <n v="441.69177554366559"/>
    <n v="0"/>
    <n v="1653590.8576799999"/>
    <n v="367937.60651999997"/>
    <n v="0"/>
    <n v="2057706.420146765"/>
    <n v="468869.95387641841"/>
  </r>
  <r>
    <s v="Refaturamento - Regular"/>
    <x v="1"/>
    <x v="3"/>
    <x v="0"/>
    <x v="0"/>
    <x v="0"/>
    <x v="0"/>
    <x v="2"/>
    <x v="5"/>
    <n v="0"/>
    <n v="0"/>
    <n v="-36.127000000000002"/>
    <n v="-36.127000000000002"/>
    <n v="-36.127000000000002"/>
    <n v="-36.127000000000002"/>
    <n v="0"/>
    <x v="0"/>
    <n v="0"/>
    <n v="0"/>
    <n v="8"/>
    <n v="72"/>
    <n v="0"/>
    <n v="1557.74"/>
    <n v="346.61"/>
    <m/>
    <n v="1938.4308905871562"/>
    <n v="441.69177554366559"/>
    <n v="0"/>
    <n v="-56276.472980000006"/>
    <n v="-12521.979470000002"/>
    <n v="0"/>
    <n v="-70029.692784242201"/>
    <n v="-15956.998775066008"/>
  </r>
  <r>
    <s v="Sistema de Compensação"/>
    <x v="1"/>
    <x v="3"/>
    <x v="0"/>
    <x v="0"/>
    <x v="0"/>
    <x v="0"/>
    <x v="2"/>
    <x v="5"/>
    <n v="0"/>
    <n v="0"/>
    <n v="39.451999999999998"/>
    <n v="39.451999999999998"/>
    <n v="39.451999999999998"/>
    <n v="39.451999999999998"/>
    <n v="0"/>
    <x v="0"/>
    <n v="0"/>
    <n v="0"/>
    <n v="8"/>
    <n v="72"/>
    <n v="0"/>
    <n v="1557.74"/>
    <n v="346.61"/>
    <m/>
    <n v="1938.4308905871562"/>
    <n v="441.69177554366559"/>
    <n v="0"/>
    <n v="61455.958480000001"/>
    <n v="13674.45772"/>
    <n v="0"/>
    <n v="76474.97549544448"/>
    <n v="17425.623928748693"/>
  </r>
  <r>
    <s v="Sistema de Compensação"/>
    <x v="1"/>
    <x v="3"/>
    <x v="0"/>
    <x v="0"/>
    <x v="0"/>
    <x v="0"/>
    <x v="2"/>
    <x v="5"/>
    <n v="0"/>
    <n v="0"/>
    <n v="5.3310000000000004"/>
    <n v="5.3310000000000004"/>
    <n v="5.3310000000000004"/>
    <n v="5.3310000000000004"/>
    <n v="0"/>
    <x v="0"/>
    <n v="0"/>
    <n v="0"/>
    <n v="8"/>
    <n v="72"/>
    <n v="0"/>
    <n v="1557.74"/>
    <n v="346.61"/>
    <m/>
    <n v="1938.4308905871562"/>
    <n v="441.69177554366559"/>
    <n v="0"/>
    <n v="8304.3119400000014"/>
    <n v="1847.7779100000002"/>
    <n v="0"/>
    <n v="10333.775077720131"/>
    <n v="2354.6588554232812"/>
  </r>
  <r>
    <s v="Regular"/>
    <x v="1"/>
    <x v="3"/>
    <x v="0"/>
    <x v="0"/>
    <x v="0"/>
    <x v="0"/>
    <x v="2"/>
    <x v="6"/>
    <n v="0"/>
    <n v="0"/>
    <n v="1144.973"/>
    <n v="1144.973"/>
    <n v="1144.973"/>
    <n v="1144.973"/>
    <n v="0"/>
    <x v="0"/>
    <n v="0"/>
    <n v="0"/>
    <n v="8"/>
    <n v="72"/>
    <n v="0"/>
    <n v="1557.74"/>
    <n v="346.61"/>
    <m/>
    <n v="1938.4308905871562"/>
    <n v="441.69177554366559"/>
    <n v="0"/>
    <n v="1783570.2410199998"/>
    <n v="396859.09152999998"/>
    <n v="0"/>
    <n v="2219451.0320882481"/>
    <n v="505725.15731955739"/>
  </r>
  <r>
    <s v="Refaturamento - Regular"/>
    <x v="1"/>
    <x v="3"/>
    <x v="0"/>
    <x v="0"/>
    <x v="0"/>
    <x v="0"/>
    <x v="2"/>
    <x v="6"/>
    <n v="0"/>
    <n v="0"/>
    <n v="-5.79"/>
    <n v="-5.79"/>
    <n v="-5.79"/>
    <n v="-5.79"/>
    <n v="0"/>
    <x v="0"/>
    <n v="0"/>
    <n v="0"/>
    <n v="8"/>
    <n v="72"/>
    <n v="0"/>
    <n v="1557.74"/>
    <n v="346.61"/>
    <m/>
    <n v="1938.4308905871562"/>
    <n v="441.69177554366559"/>
    <n v="0"/>
    <n v="-9019.3145999999997"/>
    <n v="-2006.8719000000001"/>
    <n v="0"/>
    <n v="-11223.514856499634"/>
    <n v="-2557.3953803978238"/>
  </r>
  <r>
    <s v="Sistema de Compensação"/>
    <x v="1"/>
    <x v="3"/>
    <x v="0"/>
    <x v="0"/>
    <x v="0"/>
    <x v="0"/>
    <x v="2"/>
    <x v="6"/>
    <n v="0"/>
    <n v="0"/>
    <n v="47.838999999999999"/>
    <n v="47.838999999999999"/>
    <n v="47.838999999999999"/>
    <n v="47.838999999999999"/>
    <n v="0"/>
    <x v="0"/>
    <n v="0"/>
    <n v="0"/>
    <n v="8"/>
    <n v="72"/>
    <n v="0"/>
    <n v="1557.74"/>
    <n v="346.61"/>
    <m/>
    <n v="1938.4308905871562"/>
    <n v="441.69177554366559"/>
    <n v="0"/>
    <n v="74520.723859999998"/>
    <n v="16581.47579"/>
    <n v="0"/>
    <n v="92732.59537479897"/>
    <n v="21130.092850233417"/>
  </r>
  <r>
    <s v="Sistema de Compensação"/>
    <x v="1"/>
    <x v="3"/>
    <x v="0"/>
    <x v="0"/>
    <x v="0"/>
    <x v="0"/>
    <x v="2"/>
    <x v="6"/>
    <n v="0"/>
    <n v="0"/>
    <n v="2.891"/>
    <n v="2.891"/>
    <n v="2.891"/>
    <n v="2.891"/>
    <n v="0"/>
    <x v="0"/>
    <n v="0"/>
    <n v="0"/>
    <n v="8"/>
    <n v="72"/>
    <n v="0"/>
    <n v="1557.74"/>
    <n v="346.61"/>
    <m/>
    <n v="1938.4308905871562"/>
    <n v="441.69177554366559"/>
    <n v="0"/>
    <n v="4503.42634"/>
    <n v="1002.0495100000001"/>
    <n v="0"/>
    <n v="5604.0037046874686"/>
    <n v="1276.9309230967372"/>
  </r>
  <r>
    <s v="Regular"/>
    <x v="1"/>
    <x v="3"/>
    <x v="0"/>
    <x v="0"/>
    <x v="0"/>
    <x v="0"/>
    <x v="2"/>
    <x v="7"/>
    <n v="0"/>
    <n v="0"/>
    <n v="1218.4459999999999"/>
    <n v="1218.4459999999999"/>
    <n v="1218.4459999999999"/>
    <n v="1218.4459999999999"/>
    <n v="0"/>
    <x v="0"/>
    <n v="0"/>
    <n v="0"/>
    <n v="8"/>
    <n v="72"/>
    <n v="0"/>
    <n v="1557.74"/>
    <n v="346.61"/>
    <m/>
    <n v="1938.4308905871562"/>
    <n v="441.69177554366559"/>
    <n v="0"/>
    <n v="1898022.0720399998"/>
    <n v="422325.56805999996"/>
    <n v="0"/>
    <n v="2361873.3649123581"/>
    <n v="538177.57714407716"/>
  </r>
  <r>
    <s v="Refaturamento - Regular"/>
    <x v="1"/>
    <x v="3"/>
    <x v="0"/>
    <x v="0"/>
    <x v="0"/>
    <x v="0"/>
    <x v="2"/>
    <x v="7"/>
    <n v="0"/>
    <n v="0"/>
    <n v="0.27400000000000002"/>
    <n v="0.27400000000000002"/>
    <n v="0.27400000000000002"/>
    <n v="0.27400000000000002"/>
    <n v="0"/>
    <x v="0"/>
    <n v="0"/>
    <n v="0"/>
    <n v="8"/>
    <n v="72"/>
    <n v="0"/>
    <n v="1557.74"/>
    <n v="346.61"/>
    <m/>
    <n v="1938.4308905871562"/>
    <n v="441.69177554366559"/>
    <n v="0"/>
    <n v="426.82076000000006"/>
    <n v="94.971140000000005"/>
    <n v="0"/>
    <n v="531.13006402088081"/>
    <n v="121.02354649896438"/>
  </r>
  <r>
    <s v="Sistema de Compensação"/>
    <x v="1"/>
    <x v="3"/>
    <x v="0"/>
    <x v="0"/>
    <x v="0"/>
    <x v="0"/>
    <x v="2"/>
    <x v="7"/>
    <n v="0"/>
    <n v="0"/>
    <n v="90.766999999999996"/>
    <n v="90.766999999999996"/>
    <n v="90.766999999999996"/>
    <n v="90.766999999999996"/>
    <n v="0"/>
    <x v="0"/>
    <n v="0"/>
    <n v="0"/>
    <n v="8"/>
    <n v="72"/>
    <n v="0"/>
    <n v="1557.74"/>
    <n v="346.61"/>
    <m/>
    <n v="1938.4308905871562"/>
    <n v="441.69177554366559"/>
    <n v="0"/>
    <n v="141391.38657999999"/>
    <n v="31460.74987"/>
    <n v="0"/>
    <n v="175945.5566459244"/>
    <n v="40091.037390771889"/>
  </r>
  <r>
    <s v="Sistema de Compensação"/>
    <x v="1"/>
    <x v="3"/>
    <x v="0"/>
    <x v="0"/>
    <x v="0"/>
    <x v="0"/>
    <x v="2"/>
    <x v="7"/>
    <n v="0"/>
    <n v="0"/>
    <n v="-0.19400000000000001"/>
    <n v="-0.19400000000000001"/>
    <n v="-0.19400000000000001"/>
    <n v="-0.19400000000000001"/>
    <n v="0"/>
    <x v="0"/>
    <n v="0"/>
    <n v="0"/>
    <n v="8"/>
    <n v="72"/>
    <n v="0"/>
    <n v="1557.74"/>
    <n v="346.61"/>
    <m/>
    <n v="1938.4308905871562"/>
    <n v="441.69177554366559"/>
    <n v="0"/>
    <n v="-302.20156000000003"/>
    <n v="-67.242339999999999"/>
    <n v="0"/>
    <n v="-376.0555927739083"/>
    <n v="-85.688204455471123"/>
  </r>
  <r>
    <s v="Regular"/>
    <x v="1"/>
    <x v="3"/>
    <x v="0"/>
    <x v="0"/>
    <x v="0"/>
    <x v="0"/>
    <x v="2"/>
    <x v="8"/>
    <n v="0"/>
    <n v="0"/>
    <n v="1106.7950000000001"/>
    <n v="1106.7950000000001"/>
    <n v="1106.7950000000001"/>
    <n v="1106.7950000000001"/>
    <n v="0"/>
    <x v="0"/>
    <n v="0"/>
    <n v="0"/>
    <n v="8"/>
    <n v="72"/>
    <n v="0"/>
    <n v="1557.74"/>
    <n v="346.61"/>
    <m/>
    <n v="1938.4308905871562"/>
    <n v="441.69177554366559"/>
    <n v="0"/>
    <n v="1724098.8433000001"/>
    <n v="383626.21495000005"/>
    <n v="0"/>
    <n v="2145445.6175474119"/>
    <n v="488862.24871285137"/>
  </r>
  <r>
    <s v="Refaturamento - Regular"/>
    <x v="1"/>
    <x v="3"/>
    <x v="0"/>
    <x v="0"/>
    <x v="0"/>
    <x v="0"/>
    <x v="2"/>
    <x v="8"/>
    <n v="0"/>
    <n v="0"/>
    <n v="13.108000000000001"/>
    <n v="13.108000000000001"/>
    <n v="13.108000000000001"/>
    <n v="13.108000000000001"/>
    <n v="0"/>
    <x v="0"/>
    <n v="0"/>
    <n v="0"/>
    <n v="8"/>
    <n v="72"/>
    <n v="0"/>
    <n v="1557.74"/>
    <n v="346.61"/>
    <m/>
    <n v="1938.4308905871562"/>
    <n v="441.69177554366559"/>
    <n v="0"/>
    <n v="20418.855920000002"/>
    <n v="4543.3638800000008"/>
    <n v="0"/>
    <n v="25408.952113816445"/>
    <n v="5789.6957938263686"/>
  </r>
  <r>
    <s v="Sistema de Compensação"/>
    <x v="1"/>
    <x v="3"/>
    <x v="0"/>
    <x v="0"/>
    <x v="0"/>
    <x v="0"/>
    <x v="2"/>
    <x v="8"/>
    <n v="0"/>
    <n v="0"/>
    <n v="61.405000000000001"/>
    <n v="61.405000000000001"/>
    <n v="61.405000000000001"/>
    <n v="61.405000000000001"/>
    <n v="0"/>
    <x v="0"/>
    <n v="0"/>
    <n v="0"/>
    <n v="8"/>
    <n v="72"/>
    <n v="0"/>
    <n v="1557.74"/>
    <n v="346.61"/>
    <m/>
    <n v="1938.4308905871562"/>
    <n v="441.69177554366559"/>
    <n v="0"/>
    <n v="95653.024700000009"/>
    <n v="21283.587050000002"/>
    <n v="0"/>
    <n v="119029.34883650433"/>
    <n v="27122.083477258784"/>
  </r>
  <r>
    <s v="Sistema de Compensação"/>
    <x v="1"/>
    <x v="3"/>
    <x v="0"/>
    <x v="0"/>
    <x v="0"/>
    <x v="0"/>
    <x v="2"/>
    <x v="8"/>
    <n v="0"/>
    <n v="0"/>
    <n v="-0.68600000000000005"/>
    <n v="-0.68600000000000005"/>
    <n v="-0.68600000000000005"/>
    <n v="-0.68600000000000005"/>
    <n v="0"/>
    <x v="0"/>
    <n v="0"/>
    <n v="0"/>
    <n v="8"/>
    <n v="72"/>
    <n v="0"/>
    <n v="1557.74"/>
    <n v="346.61"/>
    <m/>
    <n v="1938.4308905871562"/>
    <n v="441.69177554366559"/>
    <n v="0"/>
    <n v="-1068.6096400000001"/>
    <n v="-237.77446000000003"/>
    <n v="0"/>
    <n v="-1329.7635909427893"/>
    <n v="-303.00055802295464"/>
  </r>
  <r>
    <s v="Regular"/>
    <x v="1"/>
    <x v="3"/>
    <x v="0"/>
    <x v="0"/>
    <x v="0"/>
    <x v="0"/>
    <x v="2"/>
    <x v="9"/>
    <n v="0"/>
    <n v="0"/>
    <n v="1148.896"/>
    <n v="1148.896"/>
    <n v="1148.896"/>
    <n v="1148.896"/>
    <n v="0"/>
    <x v="0"/>
    <n v="0"/>
    <n v="0"/>
    <n v="8"/>
    <n v="72"/>
    <n v="0"/>
    <n v="1557.74"/>
    <n v="346.61"/>
    <m/>
    <n v="1938.4308905871562"/>
    <n v="441.69177554366559"/>
    <n v="0"/>
    <n v="1789681.25504"/>
    <n v="398218.84256000002"/>
    <n v="0"/>
    <n v="2227055.4964720216"/>
    <n v="507457.9141550152"/>
  </r>
  <r>
    <s v="Refaturamento - Regular"/>
    <x v="1"/>
    <x v="3"/>
    <x v="0"/>
    <x v="0"/>
    <x v="0"/>
    <x v="0"/>
    <x v="2"/>
    <x v="9"/>
    <n v="0"/>
    <n v="0"/>
    <n v="-0.214"/>
    <n v="-0.214"/>
    <n v="-0.214"/>
    <n v="-0.214"/>
    <n v="0"/>
    <x v="0"/>
    <n v="0"/>
    <n v="0"/>
    <n v="8"/>
    <n v="72"/>
    <n v="0"/>
    <n v="1557.74"/>
    <n v="346.61"/>
    <m/>
    <n v="1938.4308905871562"/>
    <n v="441.69177554366559"/>
    <n v="0"/>
    <n v="-333.35636"/>
    <n v="-74.174540000000007"/>
    <n v="0"/>
    <n v="-414.82421058565143"/>
    <n v="-94.522039966344437"/>
  </r>
  <r>
    <s v="Sistema de Compensação"/>
    <x v="1"/>
    <x v="3"/>
    <x v="0"/>
    <x v="0"/>
    <x v="0"/>
    <x v="0"/>
    <x v="2"/>
    <x v="9"/>
    <n v="0"/>
    <n v="0"/>
    <n v="59.631"/>
    <n v="59.631"/>
    <n v="59.631"/>
    <n v="59.631"/>
    <n v="0"/>
    <x v="0"/>
    <n v="0"/>
    <n v="0"/>
    <n v="8"/>
    <n v="72"/>
    <n v="0"/>
    <n v="1557.74"/>
    <n v="346.61"/>
    <m/>
    <n v="1938.4308905871562"/>
    <n v="441.69177554366559"/>
    <n v="0"/>
    <n v="92889.593940000006"/>
    <n v="20668.70091"/>
    <n v="0"/>
    <n v="115590.57243660271"/>
    <n v="26338.522267444321"/>
  </r>
  <r>
    <s v="Sistema de Compensação"/>
    <x v="1"/>
    <x v="3"/>
    <x v="0"/>
    <x v="0"/>
    <x v="0"/>
    <x v="0"/>
    <x v="2"/>
    <x v="9"/>
    <n v="0"/>
    <n v="0"/>
    <n v="-0.84799999999999998"/>
    <n v="-0.84799999999999998"/>
    <n v="-0.84799999999999998"/>
    <n v="-0.84799999999999998"/>
    <n v="0"/>
    <x v="0"/>
    <n v="0"/>
    <n v="0"/>
    <n v="8"/>
    <n v="72"/>
    <n v="0"/>
    <n v="1557.74"/>
    <n v="346.61"/>
    <m/>
    <n v="1938.4308905871562"/>
    <n v="441.69177554366559"/>
    <n v="0"/>
    <n v="-1320.96352"/>
    <n v="-293.92527999999999"/>
    <n v="0"/>
    <n v="-1643.7893952179083"/>
    <n v="-374.55462566102841"/>
  </r>
  <r>
    <s v="Regular"/>
    <x v="1"/>
    <x v="3"/>
    <x v="0"/>
    <x v="0"/>
    <x v="0"/>
    <x v="0"/>
    <x v="2"/>
    <x v="10"/>
    <n v="0"/>
    <n v="0"/>
    <n v="1203.4059999999999"/>
    <n v="1203.4059999999999"/>
    <n v="1203.4059999999999"/>
    <n v="1203.4059999999999"/>
    <n v="0"/>
    <x v="0"/>
    <n v="0"/>
    <n v="0"/>
    <n v="8"/>
    <n v="72"/>
    <n v="0"/>
    <n v="1557.74"/>
    <n v="346.61"/>
    <m/>
    <n v="1938.4308905871562"/>
    <n v="441.69177554366559"/>
    <n v="0"/>
    <n v="1874593.6624399999"/>
    <n v="417112.55365999998"/>
    <n v="0"/>
    <n v="2332719.364317927"/>
    <n v="531534.53283990035"/>
  </r>
  <r>
    <s v="Refaturamento - Regular"/>
    <x v="1"/>
    <x v="3"/>
    <x v="0"/>
    <x v="0"/>
    <x v="0"/>
    <x v="0"/>
    <x v="2"/>
    <x v="10"/>
    <n v="0"/>
    <n v="0"/>
    <n v="0.11799999999999999"/>
    <n v="0.11799999999999999"/>
    <n v="0.11799999999999999"/>
    <n v="0.11799999999999999"/>
    <n v="0"/>
    <x v="0"/>
    <n v="0"/>
    <n v="0"/>
    <n v="8"/>
    <n v="72"/>
    <n v="0"/>
    <n v="1557.74"/>
    <n v="346.61"/>
    <m/>
    <n v="1938.4308905871562"/>
    <n v="441.69177554366559"/>
    <n v="0"/>
    <n v="183.81332"/>
    <n v="40.899979999999999"/>
    <n v="0"/>
    <n v="228.73484508928442"/>
    <n v="52.119629514152535"/>
  </r>
  <r>
    <s v="Sistema de Compensação"/>
    <x v="1"/>
    <x v="3"/>
    <x v="0"/>
    <x v="0"/>
    <x v="0"/>
    <x v="0"/>
    <x v="2"/>
    <x v="10"/>
    <n v="0"/>
    <n v="0"/>
    <n v="81.072999999999993"/>
    <n v="81.072999999999993"/>
    <n v="81.072999999999993"/>
    <n v="81.072999999999993"/>
    <n v="0"/>
    <x v="0"/>
    <n v="0"/>
    <n v="0"/>
    <n v="8"/>
    <n v="72"/>
    <n v="0"/>
    <n v="1557.74"/>
    <n v="346.61"/>
    <m/>
    <n v="1938.4308905871562"/>
    <n v="441.69177554366559"/>
    <n v="0"/>
    <n v="126290.65501999999"/>
    <n v="28100.712529999997"/>
    <n v="0"/>
    <n v="157154.4075925725"/>
    <n v="35809.277318651599"/>
  </r>
  <r>
    <s v="PROJETADO"/>
    <x v="1"/>
    <x v="3"/>
    <x v="0"/>
    <x v="0"/>
    <x v="0"/>
    <x v="0"/>
    <x v="2"/>
    <x v="11"/>
    <n v="0"/>
    <n v="0"/>
    <n v="1203.4059999999999"/>
    <n v="1203.4059999999999"/>
    <n v="1203.4059999999999"/>
    <n v="1203.4059999999999"/>
    <n v="0"/>
    <x v="0"/>
    <n v="0"/>
    <n v="0"/>
    <n v="8"/>
    <n v="72"/>
    <n v="0"/>
    <n v="1557.74"/>
    <n v="346.61"/>
    <m/>
    <n v="1938.4308905871562"/>
    <n v="441.69177554366559"/>
    <n v="0"/>
    <n v="1874593.6624399999"/>
    <n v="417112.55365999998"/>
    <n v="0"/>
    <n v="2332719.364317927"/>
    <n v="531534.53283990035"/>
  </r>
  <r>
    <s v="PROJETADO"/>
    <x v="1"/>
    <x v="3"/>
    <x v="0"/>
    <x v="0"/>
    <x v="0"/>
    <x v="0"/>
    <x v="2"/>
    <x v="11"/>
    <n v="0"/>
    <n v="0"/>
    <n v="0.11799999999999999"/>
    <n v="0.11799999999999999"/>
    <n v="0.11799999999999999"/>
    <n v="0.11799999999999999"/>
    <n v="0"/>
    <x v="0"/>
    <n v="0"/>
    <n v="0"/>
    <n v="8"/>
    <n v="72"/>
    <n v="0"/>
    <n v="1557.74"/>
    <n v="346.61"/>
    <m/>
    <n v="1938.4308905871562"/>
    <n v="441.69177554366559"/>
    <n v="0"/>
    <n v="183.81332"/>
    <n v="40.899979999999999"/>
    <n v="0"/>
    <n v="228.73484508928442"/>
    <n v="52.119629514152535"/>
  </r>
  <r>
    <s v="PROJETADO"/>
    <x v="1"/>
    <x v="3"/>
    <x v="0"/>
    <x v="0"/>
    <x v="0"/>
    <x v="0"/>
    <x v="2"/>
    <x v="11"/>
    <n v="0"/>
    <n v="0"/>
    <n v="81.072999999999993"/>
    <n v="81.072999999999993"/>
    <n v="81.072999999999993"/>
    <n v="81.072999999999993"/>
    <n v="0"/>
    <x v="0"/>
    <n v="0"/>
    <n v="0"/>
    <n v="8"/>
    <n v="72"/>
    <n v="0"/>
    <n v="1557.74"/>
    <n v="346.61"/>
    <m/>
    <n v="1938.4308905871562"/>
    <n v="441.69177554366559"/>
    <n v="0"/>
    <n v="126290.65501999999"/>
    <n v="28100.712529999997"/>
    <n v="0"/>
    <n v="157154.4075925725"/>
    <n v="35809.277318651599"/>
  </r>
  <r>
    <s v="Regular"/>
    <x v="1"/>
    <x v="3"/>
    <x v="6"/>
    <x v="0"/>
    <x v="0"/>
    <x v="0"/>
    <x v="0"/>
    <x v="0"/>
    <n v="0"/>
    <n v="0"/>
    <n v="92.692999999999998"/>
    <n v="92.692999999999998"/>
    <n v="92.692999999999998"/>
    <n v="92.692999999999998"/>
    <n v="0"/>
    <x v="0"/>
    <n v="0"/>
    <n v="0"/>
    <n v="29"/>
    <n v="73"/>
    <n v="0"/>
    <n v="97.61"/>
    <n v="219.97"/>
    <m/>
    <n v="119.75016494517713"/>
    <n v="283.40928728637363"/>
    <n v="0"/>
    <n v="9047.7637300000006"/>
    <n v="20389.679209999998"/>
    <n v="0"/>
    <n v="11100.002039263303"/>
    <n v="26270.057066435831"/>
  </r>
  <r>
    <s v="Regular"/>
    <x v="1"/>
    <x v="3"/>
    <x v="6"/>
    <x v="0"/>
    <x v="0"/>
    <x v="0"/>
    <x v="0"/>
    <x v="1"/>
    <n v="0"/>
    <n v="0"/>
    <n v="81.92"/>
    <n v="81.92"/>
    <n v="81.92"/>
    <n v="81.92"/>
    <n v="0"/>
    <x v="0"/>
    <n v="0"/>
    <n v="0"/>
    <n v="29"/>
    <n v="73"/>
    <n v="0"/>
    <n v="97.61"/>
    <n v="219.97"/>
    <m/>
    <n v="119.75016494517713"/>
    <n v="283.40928728637363"/>
    <n v="0"/>
    <n v="7996.2111999999997"/>
    <n v="18019.9424"/>
    <n v="0"/>
    <n v="9809.9335123089113"/>
    <n v="23216.888814499729"/>
  </r>
  <r>
    <s v="Regular"/>
    <x v="1"/>
    <x v="3"/>
    <x v="6"/>
    <x v="0"/>
    <x v="0"/>
    <x v="0"/>
    <x v="0"/>
    <x v="2"/>
    <n v="0"/>
    <n v="0"/>
    <n v="84.775999999999996"/>
    <n v="84.775999999999996"/>
    <n v="84.775999999999996"/>
    <n v="84.775999999999996"/>
    <n v="0"/>
    <x v="0"/>
    <n v="0"/>
    <n v="0"/>
    <n v="29"/>
    <n v="73"/>
    <n v="0"/>
    <n v="97.61"/>
    <n v="219.97"/>
    <m/>
    <n v="119.75016494517713"/>
    <n v="283.40928728637363"/>
    <n v="0"/>
    <n v="8274.9853599999988"/>
    <n v="18648.176719999999"/>
    <n v="0"/>
    <n v="10151.939983392336"/>
    <n v="24026.305738989609"/>
  </r>
  <r>
    <s v="Regular"/>
    <x v="1"/>
    <x v="3"/>
    <x v="6"/>
    <x v="0"/>
    <x v="0"/>
    <x v="0"/>
    <x v="0"/>
    <x v="3"/>
    <n v="0"/>
    <n v="0"/>
    <n v="79.311000000000007"/>
    <n v="79.311000000000007"/>
    <n v="79.311000000000007"/>
    <n v="79.311000000000007"/>
    <n v="0"/>
    <x v="0"/>
    <n v="0"/>
    <n v="0"/>
    <n v="29"/>
    <n v="73"/>
    <n v="0"/>
    <n v="97.61"/>
    <n v="219.97"/>
    <m/>
    <n v="119.75016494517713"/>
    <n v="283.40928728637363"/>
    <n v="0"/>
    <n v="7741.5467100000005"/>
    <n v="17446.040670000002"/>
    <n v="0"/>
    <n v="9497.5053319669441"/>
    <n v="22477.473983969579"/>
  </r>
  <r>
    <s v="Regular"/>
    <x v="1"/>
    <x v="3"/>
    <x v="6"/>
    <x v="0"/>
    <x v="0"/>
    <x v="0"/>
    <x v="0"/>
    <x v="4"/>
    <n v="0"/>
    <n v="0"/>
    <n v="87.94"/>
    <n v="87.94"/>
    <n v="87.94"/>
    <n v="87.94"/>
    <n v="0"/>
    <x v="0"/>
    <n v="0"/>
    <n v="0"/>
    <n v="29"/>
    <n v="73"/>
    <n v="0"/>
    <n v="97.61"/>
    <n v="219.97"/>
    <m/>
    <n v="119.75016494517713"/>
    <n v="283.40928728637363"/>
    <n v="0"/>
    <n v="8583.8233999999993"/>
    <n v="19344.161799999998"/>
    <n v="0"/>
    <n v="10530.829505278876"/>
    <n v="24923.012723963697"/>
  </r>
  <r>
    <s v="Regular"/>
    <x v="1"/>
    <x v="3"/>
    <x v="6"/>
    <x v="0"/>
    <x v="0"/>
    <x v="0"/>
    <x v="0"/>
    <x v="5"/>
    <n v="0"/>
    <n v="0"/>
    <n v="105.855"/>
    <n v="105.855"/>
    <n v="105.855"/>
    <n v="105.855"/>
    <n v="0"/>
    <x v="0"/>
    <n v="0"/>
    <n v="0"/>
    <n v="29"/>
    <n v="73"/>
    <n v="0"/>
    <n v="97.61"/>
    <n v="219.97"/>
    <m/>
    <n v="119.75016494517713"/>
    <n v="283.40928728637363"/>
    <n v="0"/>
    <n v="10332.50655"/>
    <n v="23284.924350000001"/>
    <n v="0"/>
    <n v="12676.153710271727"/>
    <n v="30000.290105699081"/>
  </r>
  <r>
    <s v="Regular"/>
    <x v="1"/>
    <x v="3"/>
    <x v="6"/>
    <x v="0"/>
    <x v="0"/>
    <x v="0"/>
    <x v="0"/>
    <x v="6"/>
    <n v="0"/>
    <n v="0"/>
    <n v="112.215"/>
    <n v="112.215"/>
    <n v="112.215"/>
    <n v="112.215"/>
    <n v="0"/>
    <x v="0"/>
    <n v="0"/>
    <n v="0"/>
    <n v="29"/>
    <n v="73"/>
    <n v="0"/>
    <n v="97.61"/>
    <n v="219.97"/>
    <m/>
    <n v="119.75016494517713"/>
    <n v="283.40928728637363"/>
    <n v="0"/>
    <n v="10953.30615"/>
    <n v="24683.933550000002"/>
    <n v="0"/>
    <n v="13437.764759323052"/>
    <n v="31802.773172840418"/>
  </r>
  <r>
    <s v="Regular"/>
    <x v="1"/>
    <x v="3"/>
    <x v="6"/>
    <x v="0"/>
    <x v="0"/>
    <x v="0"/>
    <x v="0"/>
    <x v="7"/>
    <n v="0"/>
    <n v="0"/>
    <n v="117.105"/>
    <n v="117.105"/>
    <n v="117.105"/>
    <n v="117.105"/>
    <n v="0"/>
    <x v="0"/>
    <n v="0"/>
    <n v="0"/>
    <n v="29"/>
    <n v="73"/>
    <n v="0"/>
    <n v="97.61"/>
    <n v="219.97"/>
    <m/>
    <n v="119.75016494517713"/>
    <n v="283.40928728637363"/>
    <n v="0"/>
    <n v="11430.619050000001"/>
    <n v="25759.58685"/>
    <n v="0"/>
    <n v="14023.343065904968"/>
    <n v="33188.644587670788"/>
  </r>
  <r>
    <s v="Regular"/>
    <x v="1"/>
    <x v="3"/>
    <x v="6"/>
    <x v="0"/>
    <x v="0"/>
    <x v="0"/>
    <x v="0"/>
    <x v="8"/>
    <n v="0"/>
    <n v="0"/>
    <n v="116.616"/>
    <n v="116.616"/>
    <n v="116.616"/>
    <n v="116.616"/>
    <n v="0"/>
    <x v="0"/>
    <n v="0"/>
    <n v="0"/>
    <n v="29"/>
    <n v="73"/>
    <n v="0"/>
    <n v="97.61"/>
    <n v="219.97"/>
    <m/>
    <n v="119.75016494517713"/>
    <n v="283.40928728637363"/>
    <n v="0"/>
    <n v="11382.88776"/>
    <n v="25652.021519999998"/>
    <n v="0"/>
    <n v="13964.785235246776"/>
    <n v="33050.057446187748"/>
  </r>
  <r>
    <s v="Regular"/>
    <x v="1"/>
    <x v="3"/>
    <x v="6"/>
    <x v="0"/>
    <x v="0"/>
    <x v="0"/>
    <x v="0"/>
    <x v="9"/>
    <n v="0"/>
    <n v="0"/>
    <n v="108.259"/>
    <n v="108.259"/>
    <n v="108.259"/>
    <n v="108.259"/>
    <n v="0"/>
    <x v="0"/>
    <n v="0"/>
    <n v="0"/>
    <n v="29"/>
    <n v="73"/>
    <n v="0"/>
    <n v="97.61"/>
    <n v="219.97"/>
    <m/>
    <n v="119.75016494517713"/>
    <n v="283.40928728637363"/>
    <n v="0"/>
    <n v="10567.16099"/>
    <n v="23813.732230000001"/>
    <n v="0"/>
    <n v="12964.03310679993"/>
    <n v="30681.606032335523"/>
  </r>
  <r>
    <s v="Regular"/>
    <x v="1"/>
    <x v="3"/>
    <x v="6"/>
    <x v="0"/>
    <x v="0"/>
    <x v="0"/>
    <x v="0"/>
    <x v="10"/>
    <n v="0"/>
    <n v="0"/>
    <n v="117.348"/>
    <n v="117.348"/>
    <n v="117.348"/>
    <n v="117.348"/>
    <n v="0"/>
    <x v="0"/>
    <n v="0"/>
    <n v="0"/>
    <n v="29"/>
    <n v="73"/>
    <n v="0"/>
    <n v="97.61"/>
    <n v="219.97"/>
    <m/>
    <n v="119.75016494517713"/>
    <n v="283.40928728637363"/>
    <n v="0"/>
    <n v="11454.33828"/>
    <n v="25813.039560000001"/>
    <n v="0"/>
    <n v="14052.442355986646"/>
    <n v="33257.513044481369"/>
  </r>
  <r>
    <s v="PROJETADO"/>
    <x v="1"/>
    <x v="3"/>
    <x v="6"/>
    <x v="0"/>
    <x v="0"/>
    <x v="0"/>
    <x v="0"/>
    <x v="11"/>
    <n v="0"/>
    <n v="0"/>
    <n v="117.348"/>
    <n v="117.348"/>
    <n v="117.348"/>
    <n v="117.348"/>
    <n v="0"/>
    <x v="0"/>
    <n v="0"/>
    <n v="0"/>
    <n v="29"/>
    <n v="73"/>
    <n v="0"/>
    <n v="97.61"/>
    <n v="219.97"/>
    <m/>
    <n v="119.75016494517713"/>
    <n v="283.40928728637363"/>
    <n v="0"/>
    <n v="11454.33828"/>
    <n v="25813.039560000001"/>
    <n v="0"/>
    <n v="14052.442355986646"/>
    <n v="33257.513044481369"/>
  </r>
  <r>
    <s v="Regular"/>
    <x v="1"/>
    <x v="3"/>
    <x v="6"/>
    <x v="0"/>
    <x v="0"/>
    <x v="0"/>
    <x v="1"/>
    <x v="0"/>
    <n v="538"/>
    <n v="538"/>
    <n v="0"/>
    <n v="0"/>
    <n v="0"/>
    <n v="0"/>
    <n v="5"/>
    <x v="0"/>
    <n v="0"/>
    <n v="7"/>
    <n v="0"/>
    <n v="0"/>
    <n v="21.85"/>
    <n v="0"/>
    <n v="0"/>
    <n v="27.777091190692239"/>
    <m/>
    <m/>
    <n v="11755.300000000001"/>
    <n v="0"/>
    <n v="0"/>
    <n v="14944.075060592424"/>
    <n v="0"/>
    <n v="0"/>
  </r>
  <r>
    <s v="Regular"/>
    <x v="1"/>
    <x v="3"/>
    <x v="6"/>
    <x v="0"/>
    <x v="0"/>
    <x v="0"/>
    <x v="1"/>
    <x v="1"/>
    <n v="509"/>
    <n v="509"/>
    <n v="0"/>
    <n v="0"/>
    <n v="0"/>
    <n v="0"/>
    <n v="5"/>
    <x v="0"/>
    <n v="0"/>
    <n v="7"/>
    <n v="0"/>
    <n v="0"/>
    <n v="21.85"/>
    <n v="0"/>
    <n v="0"/>
    <n v="27.777091190692239"/>
    <m/>
    <m/>
    <n v="11121.650000000001"/>
    <n v="0"/>
    <n v="0"/>
    <n v="14138.539416062349"/>
    <n v="0"/>
    <n v="0"/>
  </r>
  <r>
    <s v="Regular"/>
    <x v="1"/>
    <x v="3"/>
    <x v="6"/>
    <x v="0"/>
    <x v="0"/>
    <x v="0"/>
    <x v="1"/>
    <x v="2"/>
    <n v="525"/>
    <n v="525"/>
    <n v="0"/>
    <n v="0"/>
    <n v="0"/>
    <n v="0"/>
    <n v="5"/>
    <x v="0"/>
    <n v="0"/>
    <n v="7"/>
    <n v="0"/>
    <n v="0"/>
    <n v="21.85"/>
    <n v="0"/>
    <n v="0"/>
    <n v="27.777091190692239"/>
    <m/>
    <m/>
    <n v="11471.25"/>
    <n v="0"/>
    <n v="0"/>
    <n v="14582.972875113426"/>
    <n v="0"/>
    <n v="0"/>
  </r>
  <r>
    <s v="Regular"/>
    <x v="1"/>
    <x v="3"/>
    <x v="6"/>
    <x v="0"/>
    <x v="0"/>
    <x v="0"/>
    <x v="1"/>
    <x v="3"/>
    <n v="540"/>
    <n v="540"/>
    <n v="0"/>
    <n v="0"/>
    <n v="0"/>
    <n v="0"/>
    <n v="5"/>
    <x v="0"/>
    <n v="0"/>
    <n v="7"/>
    <n v="0"/>
    <n v="0"/>
    <n v="21.85"/>
    <n v="0"/>
    <n v="0"/>
    <n v="27.777091190692239"/>
    <m/>
    <m/>
    <n v="11799"/>
    <n v="0"/>
    <n v="0"/>
    <n v="14999.62924297381"/>
    <n v="0"/>
    <n v="0"/>
  </r>
  <r>
    <s v="Regular"/>
    <x v="1"/>
    <x v="3"/>
    <x v="6"/>
    <x v="0"/>
    <x v="0"/>
    <x v="0"/>
    <x v="1"/>
    <x v="4"/>
    <n v="790"/>
    <n v="790"/>
    <n v="0"/>
    <n v="0"/>
    <n v="0"/>
    <n v="0"/>
    <n v="5"/>
    <x v="0"/>
    <n v="0"/>
    <n v="7"/>
    <n v="0"/>
    <n v="0"/>
    <n v="21.85"/>
    <n v="0"/>
    <n v="0"/>
    <n v="27.777091190692239"/>
    <m/>
    <m/>
    <n v="17261.5"/>
    <n v="0"/>
    <n v="0"/>
    <n v="21943.90204064687"/>
    <n v="0"/>
    <n v="0"/>
  </r>
  <r>
    <s v="Regular"/>
    <x v="1"/>
    <x v="3"/>
    <x v="6"/>
    <x v="0"/>
    <x v="0"/>
    <x v="0"/>
    <x v="1"/>
    <x v="5"/>
    <n v="790"/>
    <n v="790"/>
    <n v="0"/>
    <n v="0"/>
    <n v="0"/>
    <n v="0"/>
    <n v="5"/>
    <x v="0"/>
    <n v="0"/>
    <n v="7"/>
    <n v="0"/>
    <n v="0"/>
    <n v="21.85"/>
    <n v="0"/>
    <n v="0"/>
    <n v="27.777091190692239"/>
    <m/>
    <m/>
    <n v="17261.5"/>
    <n v="0"/>
    <n v="0"/>
    <n v="21943.90204064687"/>
    <n v="0"/>
    <n v="0"/>
  </r>
  <r>
    <s v="Regular"/>
    <x v="1"/>
    <x v="3"/>
    <x v="6"/>
    <x v="0"/>
    <x v="0"/>
    <x v="0"/>
    <x v="1"/>
    <x v="6"/>
    <n v="790"/>
    <n v="790"/>
    <n v="0"/>
    <n v="0"/>
    <n v="0"/>
    <n v="0"/>
    <n v="5"/>
    <x v="0"/>
    <n v="0"/>
    <n v="7"/>
    <n v="0"/>
    <n v="0"/>
    <n v="21.85"/>
    <n v="0"/>
    <n v="0"/>
    <n v="27.777091190692239"/>
    <m/>
    <m/>
    <n v="17261.5"/>
    <n v="0"/>
    <n v="0"/>
    <n v="21943.90204064687"/>
    <n v="0"/>
    <n v="0"/>
  </r>
  <r>
    <s v="Regular"/>
    <x v="1"/>
    <x v="3"/>
    <x v="6"/>
    <x v="0"/>
    <x v="0"/>
    <x v="0"/>
    <x v="1"/>
    <x v="7"/>
    <n v="696"/>
    <n v="696"/>
    <n v="0"/>
    <n v="0"/>
    <n v="0"/>
    <n v="0"/>
    <n v="5"/>
    <x v="0"/>
    <n v="0"/>
    <n v="7"/>
    <n v="0"/>
    <n v="0"/>
    <n v="21.85"/>
    <n v="0"/>
    <n v="0"/>
    <n v="27.777091190692239"/>
    <m/>
    <m/>
    <n v="15207.6"/>
    <n v="0"/>
    <n v="0"/>
    <n v="19332.855468721798"/>
    <n v="0"/>
    <n v="0"/>
  </r>
  <r>
    <s v="Regular"/>
    <x v="1"/>
    <x v="3"/>
    <x v="6"/>
    <x v="0"/>
    <x v="0"/>
    <x v="0"/>
    <x v="1"/>
    <x v="8"/>
    <n v="556"/>
    <n v="556"/>
    <n v="0"/>
    <n v="0"/>
    <n v="0"/>
    <n v="0"/>
    <n v="5"/>
    <x v="0"/>
    <n v="0"/>
    <n v="7"/>
    <n v="0"/>
    <n v="0"/>
    <n v="21.85"/>
    <n v="0"/>
    <n v="0"/>
    <n v="27.777091190692239"/>
    <m/>
    <m/>
    <n v="12148.6"/>
    <n v="0"/>
    <n v="0"/>
    <n v="15444.062702024885"/>
    <n v="0"/>
    <n v="0"/>
  </r>
  <r>
    <s v="Regular"/>
    <x v="1"/>
    <x v="3"/>
    <x v="6"/>
    <x v="0"/>
    <x v="0"/>
    <x v="0"/>
    <x v="1"/>
    <x v="9"/>
    <n v="589"/>
    <n v="589"/>
    <n v="0"/>
    <n v="0"/>
    <n v="0"/>
    <n v="0"/>
    <n v="5"/>
    <x v="0"/>
    <n v="0"/>
    <n v="7"/>
    <n v="0"/>
    <n v="0"/>
    <n v="21.85"/>
    <n v="0"/>
    <n v="0"/>
    <n v="27.777091190692239"/>
    <m/>
    <m/>
    <n v="12869.650000000001"/>
    <n v="0"/>
    <n v="0"/>
    <n v="16360.706711317729"/>
    <n v="0"/>
    <n v="0"/>
  </r>
  <r>
    <s v="Regular"/>
    <x v="1"/>
    <x v="3"/>
    <x v="6"/>
    <x v="0"/>
    <x v="0"/>
    <x v="0"/>
    <x v="1"/>
    <x v="10"/>
    <n v="601"/>
    <n v="601"/>
    <n v="0"/>
    <n v="0"/>
    <n v="0"/>
    <n v="0"/>
    <n v="5"/>
    <x v="0"/>
    <n v="0"/>
    <n v="7"/>
    <n v="0"/>
    <n v="0"/>
    <n v="21.85"/>
    <n v="0"/>
    <n v="0"/>
    <n v="27.777091190692239"/>
    <m/>
    <m/>
    <n v="13131.85"/>
    <n v="0"/>
    <n v="0"/>
    <n v="16694.031805606035"/>
    <n v="0"/>
    <n v="0"/>
  </r>
  <r>
    <s v="PROJETADO"/>
    <x v="1"/>
    <x v="3"/>
    <x v="6"/>
    <x v="0"/>
    <x v="0"/>
    <x v="0"/>
    <x v="1"/>
    <x v="11"/>
    <n v="601"/>
    <n v="601"/>
    <n v="0"/>
    <n v="0"/>
    <n v="0"/>
    <n v="0"/>
    <n v="5"/>
    <x v="0"/>
    <n v="0"/>
    <n v="7"/>
    <n v="0"/>
    <n v="0"/>
    <n v="21.85"/>
    <n v="0"/>
    <n v="0"/>
    <n v="27.777091190692239"/>
    <m/>
    <m/>
    <n v="13131.85"/>
    <n v="0"/>
    <n v="0"/>
    <n v="16694.031805606035"/>
    <n v="0"/>
    <n v="0"/>
  </r>
  <r>
    <s v="Regular"/>
    <x v="1"/>
    <x v="3"/>
    <x v="6"/>
    <x v="0"/>
    <x v="0"/>
    <x v="0"/>
    <x v="2"/>
    <x v="0"/>
    <n v="0"/>
    <n v="0"/>
    <n v="7.52"/>
    <n v="7.52"/>
    <n v="7.52"/>
    <n v="7.52"/>
    <n v="0"/>
    <x v="0"/>
    <n v="0"/>
    <n v="0"/>
    <n v="8"/>
    <n v="72"/>
    <n v="0"/>
    <n v="1557.74"/>
    <n v="346.61"/>
    <m/>
    <n v="1938.4308905871562"/>
    <n v="441.69177554366559"/>
    <n v="0"/>
    <n v="11714.2048"/>
    <n v="2606.5072"/>
    <n v="0"/>
    <n v="14577.000297215414"/>
    <n v="3321.5221520883651"/>
  </r>
  <r>
    <s v="Regular"/>
    <x v="1"/>
    <x v="3"/>
    <x v="6"/>
    <x v="0"/>
    <x v="0"/>
    <x v="0"/>
    <x v="2"/>
    <x v="1"/>
    <n v="0"/>
    <n v="0"/>
    <n v="7.4089999999999998"/>
    <n v="7.4089999999999998"/>
    <n v="7.4089999999999998"/>
    <n v="7.4089999999999998"/>
    <n v="0"/>
    <x v="0"/>
    <n v="0"/>
    <n v="0"/>
    <n v="8"/>
    <n v="72"/>
    <n v="0"/>
    <n v="1557.74"/>
    <n v="346.61"/>
    <m/>
    <n v="1938.4308905871562"/>
    <n v="441.69177554366559"/>
    <n v="0"/>
    <n v="11541.29566"/>
    <n v="2568.0334900000003"/>
    <n v="0"/>
    <n v="14361.834468360241"/>
    <n v="3272.4943650030182"/>
  </r>
  <r>
    <s v="Regular"/>
    <x v="1"/>
    <x v="3"/>
    <x v="6"/>
    <x v="0"/>
    <x v="0"/>
    <x v="0"/>
    <x v="2"/>
    <x v="2"/>
    <n v="0"/>
    <n v="0"/>
    <n v="7.6509999999999998"/>
    <n v="7.6509999999999998"/>
    <n v="7.6509999999999998"/>
    <n v="7.6509999999999998"/>
    <n v="0"/>
    <x v="0"/>
    <n v="0"/>
    <n v="0"/>
    <n v="8"/>
    <n v="72"/>
    <n v="0"/>
    <n v="1557.74"/>
    <n v="346.61"/>
    <m/>
    <n v="1938.4308905871562"/>
    <n v="441.69177554366559"/>
    <n v="0"/>
    <n v="11918.26874"/>
    <n v="2651.91311"/>
    <n v="0"/>
    <n v="14830.934743882332"/>
    <n v="3379.3837746845852"/>
  </r>
  <r>
    <s v="Regular"/>
    <x v="1"/>
    <x v="3"/>
    <x v="6"/>
    <x v="0"/>
    <x v="0"/>
    <x v="0"/>
    <x v="2"/>
    <x v="3"/>
    <n v="0"/>
    <n v="0"/>
    <n v="6.8490000000000002"/>
    <n v="6.8490000000000002"/>
    <n v="6.8490000000000002"/>
    <n v="6.8490000000000002"/>
    <n v="0"/>
    <x v="0"/>
    <n v="0"/>
    <n v="0"/>
    <n v="8"/>
    <n v="72"/>
    <n v="0"/>
    <n v="1557.74"/>
    <n v="346.61"/>
    <m/>
    <n v="1938.4308905871562"/>
    <n v="441.69177554366559"/>
    <n v="0"/>
    <n v="10668.96126"/>
    <n v="2373.9318900000003"/>
    <n v="0"/>
    <n v="13276.313169631434"/>
    <n v="3025.1469706985658"/>
  </r>
  <r>
    <s v="Regular"/>
    <x v="1"/>
    <x v="3"/>
    <x v="6"/>
    <x v="0"/>
    <x v="0"/>
    <x v="0"/>
    <x v="2"/>
    <x v="4"/>
    <n v="0"/>
    <n v="0"/>
    <n v="7.3310000000000004"/>
    <n v="7.3310000000000004"/>
    <n v="7.3310000000000004"/>
    <n v="7.3310000000000004"/>
    <n v="0"/>
    <x v="0"/>
    <n v="0"/>
    <n v="0"/>
    <n v="8"/>
    <n v="72"/>
    <n v="0"/>
    <n v="1557.74"/>
    <n v="346.61"/>
    <m/>
    <n v="1938.4308905871562"/>
    <n v="441.69177554366559"/>
    <n v="0"/>
    <n v="11419.791940000001"/>
    <n v="2540.99791"/>
    <n v="0"/>
    <n v="14210.636858894442"/>
    <n v="3238.0424065106126"/>
  </r>
  <r>
    <s v="Regular"/>
    <x v="1"/>
    <x v="3"/>
    <x v="6"/>
    <x v="0"/>
    <x v="0"/>
    <x v="0"/>
    <x v="2"/>
    <x v="5"/>
    <n v="0"/>
    <n v="0"/>
    <n v="8.4480000000000004"/>
    <n v="8.4480000000000004"/>
    <n v="8.4480000000000004"/>
    <n v="8.4480000000000004"/>
    <n v="0"/>
    <x v="0"/>
    <n v="0"/>
    <n v="0"/>
    <n v="8"/>
    <n v="72"/>
    <n v="0"/>
    <n v="1557.74"/>
    <n v="346.61"/>
    <m/>
    <n v="1938.4308905871562"/>
    <n v="441.69177554366559"/>
    <n v="0"/>
    <n v="13159.78752"/>
    <n v="2928.1612800000003"/>
    <n v="0"/>
    <n v="16375.864163680297"/>
    <n v="3731.4121197928871"/>
  </r>
  <r>
    <s v="Regular"/>
    <x v="1"/>
    <x v="3"/>
    <x v="6"/>
    <x v="0"/>
    <x v="0"/>
    <x v="0"/>
    <x v="2"/>
    <x v="6"/>
    <n v="0"/>
    <n v="0"/>
    <n v="8.9339999999999993"/>
    <n v="8.9339999999999993"/>
    <n v="8.9339999999999993"/>
    <n v="8.9339999999999993"/>
    <n v="0"/>
    <x v="0"/>
    <n v="0"/>
    <n v="0"/>
    <n v="8"/>
    <n v="72"/>
    <n v="0"/>
    <n v="1557.74"/>
    <n v="346.61"/>
    <m/>
    <n v="1938.4308905871562"/>
    <n v="441.69177554366559"/>
    <n v="0"/>
    <n v="13916.84916"/>
    <n v="3096.6137399999998"/>
    <n v="0"/>
    <n v="17317.941576505651"/>
    <n v="3946.074322707108"/>
  </r>
  <r>
    <s v="Regular"/>
    <x v="1"/>
    <x v="3"/>
    <x v="6"/>
    <x v="0"/>
    <x v="0"/>
    <x v="0"/>
    <x v="2"/>
    <x v="7"/>
    <n v="0"/>
    <n v="0"/>
    <n v="9.9390000000000001"/>
    <n v="9.9390000000000001"/>
    <n v="9.9390000000000001"/>
    <n v="9.9390000000000001"/>
    <n v="0"/>
    <x v="0"/>
    <n v="0"/>
    <n v="0"/>
    <n v="8"/>
    <n v="72"/>
    <n v="0"/>
    <n v="1557.74"/>
    <n v="346.61"/>
    <m/>
    <n v="1938.4308905871562"/>
    <n v="441.69177554366559"/>
    <n v="0"/>
    <n v="15482.377860000001"/>
    <n v="3444.9567900000002"/>
    <n v="0"/>
    <n v="19266.064621545745"/>
    <n v="4389.9745571284921"/>
  </r>
  <r>
    <s v="Regular"/>
    <x v="1"/>
    <x v="3"/>
    <x v="6"/>
    <x v="0"/>
    <x v="0"/>
    <x v="0"/>
    <x v="2"/>
    <x v="8"/>
    <n v="0"/>
    <n v="0"/>
    <n v="9.1519999999999992"/>
    <n v="9.1519999999999992"/>
    <n v="9.1519999999999992"/>
    <n v="9.1519999999999992"/>
    <n v="0"/>
    <x v="0"/>
    <n v="0"/>
    <n v="0"/>
    <n v="8"/>
    <n v="72"/>
    <n v="0"/>
    <n v="1557.74"/>
    <n v="346.61"/>
    <m/>
    <n v="1938.4308905871562"/>
    <n v="441.69177554366559"/>
    <n v="0"/>
    <n v="14256.436479999998"/>
    <n v="3172.17472"/>
    <n v="0"/>
    <n v="17740.519510653652"/>
    <n v="4042.3631297756269"/>
  </r>
  <r>
    <s v="Regular"/>
    <x v="1"/>
    <x v="3"/>
    <x v="6"/>
    <x v="0"/>
    <x v="0"/>
    <x v="0"/>
    <x v="2"/>
    <x v="9"/>
    <n v="0"/>
    <n v="0"/>
    <n v="8.7870000000000008"/>
    <n v="8.7870000000000008"/>
    <n v="8.7870000000000008"/>
    <n v="8.7870000000000008"/>
    <n v="0"/>
    <x v="0"/>
    <n v="0"/>
    <n v="0"/>
    <n v="8"/>
    <n v="72"/>
    <n v="0"/>
    <n v="1557.74"/>
    <n v="346.61"/>
    <m/>
    <n v="1938.4308905871562"/>
    <n v="441.69177554366559"/>
    <n v="0"/>
    <n v="13687.861380000002"/>
    <n v="3045.6620700000003"/>
    <n v="0"/>
    <n v="17032.992235589343"/>
    <n v="3881.1456317021898"/>
  </r>
  <r>
    <s v="Regular"/>
    <x v="1"/>
    <x v="3"/>
    <x v="6"/>
    <x v="0"/>
    <x v="0"/>
    <x v="0"/>
    <x v="2"/>
    <x v="10"/>
    <n v="0"/>
    <n v="0"/>
    <n v="9.6479999999999997"/>
    <n v="9.6479999999999997"/>
    <n v="9.6479999999999997"/>
    <n v="9.6479999999999997"/>
    <n v="0"/>
    <x v="0"/>
    <n v="0"/>
    <n v="0"/>
    <n v="8"/>
    <n v="72"/>
    <n v="0"/>
    <n v="1557.74"/>
    <n v="346.61"/>
    <m/>
    <n v="1938.4308905871562"/>
    <n v="441.69177554366559"/>
    <n v="0"/>
    <n v="15029.07552"/>
    <n v="3344.09328"/>
    <n v="0"/>
    <n v="18701.981232384882"/>
    <n v="4261.442250445285"/>
  </r>
  <r>
    <s v="PROJETADO"/>
    <x v="1"/>
    <x v="3"/>
    <x v="6"/>
    <x v="0"/>
    <x v="0"/>
    <x v="0"/>
    <x v="2"/>
    <x v="11"/>
    <n v="0"/>
    <n v="0"/>
    <n v="9.6479999999999997"/>
    <n v="9.6479999999999997"/>
    <n v="9.6479999999999997"/>
    <n v="9.6479999999999997"/>
    <n v="0"/>
    <x v="0"/>
    <n v="0"/>
    <n v="0"/>
    <n v="8"/>
    <n v="72"/>
    <n v="0"/>
    <n v="1557.74"/>
    <n v="346.61"/>
    <m/>
    <n v="1938.4308905871562"/>
    <n v="441.69177554366559"/>
    <n v="0"/>
    <n v="15029.07552"/>
    <n v="3344.09328"/>
    <n v="0"/>
    <n v="18701.981232384882"/>
    <n v="4261.442250445285"/>
  </r>
  <r>
    <s v="Regular"/>
    <x v="1"/>
    <x v="3"/>
    <x v="1"/>
    <x v="0"/>
    <x v="2"/>
    <x v="0"/>
    <x v="0"/>
    <x v="0"/>
    <n v="0"/>
    <n v="0"/>
    <n v="15586.54"/>
    <n v="15586.54"/>
    <n v="0"/>
    <n v="0"/>
    <n v="0"/>
    <x v="1"/>
    <n v="0"/>
    <n v="0"/>
    <n v="29"/>
    <n v="0"/>
    <n v="0"/>
    <n v="97.61"/>
    <n v="0"/>
    <m/>
    <n v="119.75016494517713"/>
    <m/>
    <n v="0"/>
    <n v="1521402.1694"/>
    <n v="0"/>
    <n v="0"/>
    <n v="1866490.7359246013"/>
    <n v="0"/>
  </r>
  <r>
    <s v="Regular"/>
    <x v="1"/>
    <x v="3"/>
    <x v="1"/>
    <x v="0"/>
    <x v="2"/>
    <x v="0"/>
    <x v="0"/>
    <x v="1"/>
    <n v="0"/>
    <n v="0"/>
    <n v="15347.862999999999"/>
    <n v="15347.862999999999"/>
    <n v="0"/>
    <n v="0"/>
    <n v="0"/>
    <x v="1"/>
    <n v="0"/>
    <n v="0"/>
    <n v="29"/>
    <n v="0"/>
    <n v="0"/>
    <n v="97.61"/>
    <n v="0"/>
    <m/>
    <n v="119.75016494517713"/>
    <m/>
    <n v="0"/>
    <n v="1498104.9074299999"/>
    <n v="0"/>
    <n v="0"/>
    <n v="1837909.125805981"/>
    <n v="0"/>
  </r>
  <r>
    <s v="Regular"/>
    <x v="1"/>
    <x v="3"/>
    <x v="1"/>
    <x v="0"/>
    <x v="2"/>
    <x v="0"/>
    <x v="0"/>
    <x v="2"/>
    <n v="0"/>
    <n v="0"/>
    <n v="15846.188"/>
    <n v="15846.188"/>
    <n v="0"/>
    <n v="0"/>
    <n v="0"/>
    <x v="1"/>
    <n v="0"/>
    <n v="0"/>
    <n v="29"/>
    <n v="0"/>
    <n v="0"/>
    <n v="97.61"/>
    <n v="0"/>
    <m/>
    <n v="119.75016494517713"/>
    <m/>
    <n v="0"/>
    <n v="1546746.41068"/>
    <n v="0"/>
    <n v="0"/>
    <n v="1897583.6267522865"/>
    <n v="0"/>
  </r>
  <r>
    <s v="Regular"/>
    <x v="1"/>
    <x v="3"/>
    <x v="1"/>
    <x v="0"/>
    <x v="2"/>
    <x v="0"/>
    <x v="0"/>
    <x v="3"/>
    <n v="0"/>
    <n v="0"/>
    <n v="16030.883"/>
    <n v="16030.883"/>
    <n v="0"/>
    <n v="0"/>
    <n v="0"/>
    <x v="1"/>
    <n v="0"/>
    <n v="0"/>
    <n v="29"/>
    <n v="0"/>
    <n v="0"/>
    <n v="97.61"/>
    <n v="0"/>
    <m/>
    <n v="119.75016494517713"/>
    <m/>
    <n v="0"/>
    <n v="1564774.48963"/>
    <n v="0"/>
    <n v="0"/>
    <n v="1919700.8834668361"/>
    <n v="0"/>
  </r>
  <r>
    <s v="Regular"/>
    <x v="1"/>
    <x v="3"/>
    <x v="1"/>
    <x v="0"/>
    <x v="2"/>
    <x v="0"/>
    <x v="0"/>
    <x v="4"/>
    <n v="0"/>
    <n v="0"/>
    <n v="15535.214"/>
    <n v="15535.214"/>
    <n v="0"/>
    <n v="0"/>
    <n v="0"/>
    <x v="1"/>
    <n v="0"/>
    <n v="0"/>
    <n v="29"/>
    <n v="0"/>
    <n v="0"/>
    <n v="97.61"/>
    <n v="0"/>
    <m/>
    <n v="119.75016494517713"/>
    <m/>
    <n v="0"/>
    <n v="1516392.23854"/>
    <n v="0"/>
    <n v="0"/>
    <n v="1860344.4389586251"/>
    <n v="0"/>
  </r>
  <r>
    <s v="Regular"/>
    <x v="1"/>
    <x v="3"/>
    <x v="1"/>
    <x v="0"/>
    <x v="2"/>
    <x v="0"/>
    <x v="0"/>
    <x v="5"/>
    <n v="0"/>
    <n v="0"/>
    <n v="17306.638999999999"/>
    <n v="17306.638999999999"/>
    <n v="0"/>
    <n v="0"/>
    <n v="0"/>
    <x v="1"/>
    <n v="0"/>
    <n v="0"/>
    <n v="29"/>
    <n v="0"/>
    <n v="0"/>
    <n v="97.61"/>
    <n v="0"/>
    <m/>
    <n v="119.75016494517713"/>
    <m/>
    <n v="0"/>
    <n v="1689301.0327899999"/>
    <n v="0"/>
    <n v="0"/>
    <n v="2072472.8748966353"/>
    <n v="0"/>
  </r>
  <r>
    <s v="Regular"/>
    <x v="1"/>
    <x v="3"/>
    <x v="1"/>
    <x v="0"/>
    <x v="2"/>
    <x v="0"/>
    <x v="0"/>
    <x v="6"/>
    <n v="0"/>
    <n v="0"/>
    <n v="18463.737000000001"/>
    <n v="18463.737000000001"/>
    <n v="0"/>
    <n v="0"/>
    <n v="0"/>
    <x v="1"/>
    <n v="0"/>
    <n v="0"/>
    <n v="29"/>
    <n v="0"/>
    <n v="0"/>
    <n v="97.61"/>
    <n v="0"/>
    <m/>
    <n v="119.75016494517713"/>
    <m/>
    <n v="0"/>
    <n v="1802245.3685700002"/>
    <n v="0"/>
    <n v="0"/>
    <n v="2211035.5512543702"/>
    <n v="0"/>
  </r>
  <r>
    <s v="Regular"/>
    <x v="1"/>
    <x v="3"/>
    <x v="1"/>
    <x v="0"/>
    <x v="2"/>
    <x v="0"/>
    <x v="0"/>
    <x v="7"/>
    <n v="0"/>
    <n v="0"/>
    <n v="9772.5529999999999"/>
    <n v="9772.5529999999999"/>
    <n v="0"/>
    <n v="0"/>
    <n v="0"/>
    <x v="1"/>
    <n v="0"/>
    <n v="0"/>
    <n v="29"/>
    <n v="0"/>
    <n v="0"/>
    <n v="97.61"/>
    <n v="0"/>
    <m/>
    <n v="119.75016494517713"/>
    <m/>
    <n v="0"/>
    <n v="953898.89833"/>
    <n v="0"/>
    <n v="0"/>
    <n v="1170264.8336854856"/>
    <n v="0"/>
  </r>
  <r>
    <s v="Regular"/>
    <x v="1"/>
    <x v="3"/>
    <x v="1"/>
    <x v="0"/>
    <x v="2"/>
    <x v="0"/>
    <x v="0"/>
    <x v="8"/>
    <n v="0"/>
    <n v="0"/>
    <n v="14363.013999999999"/>
    <n v="14363.013999999999"/>
    <n v="0"/>
    <n v="0"/>
    <n v="0"/>
    <x v="1"/>
    <n v="0"/>
    <n v="0"/>
    <n v="29"/>
    <n v="0"/>
    <n v="0"/>
    <n v="97.61"/>
    <n v="0"/>
    <m/>
    <n v="119.75016494517713"/>
    <m/>
    <n v="0"/>
    <n v="1401973.79654"/>
    <n v="0"/>
    <n v="0"/>
    <n v="1719973.2956098884"/>
    <n v="0"/>
  </r>
  <r>
    <s v="Regular"/>
    <x v="1"/>
    <x v="3"/>
    <x v="1"/>
    <x v="0"/>
    <x v="2"/>
    <x v="0"/>
    <x v="0"/>
    <x v="9"/>
    <n v="0"/>
    <n v="0"/>
    <n v="13550.341"/>
    <n v="13550.341"/>
    <n v="0"/>
    <n v="0"/>
    <n v="0"/>
    <x v="1"/>
    <n v="0"/>
    <n v="0"/>
    <n v="29"/>
    <n v="0"/>
    <n v="0"/>
    <n v="97.61"/>
    <n v="0"/>
    <m/>
    <n v="119.75016494517713"/>
    <m/>
    <n v="0"/>
    <n v="1322648.78501"/>
    <n v="0"/>
    <n v="0"/>
    <n v="1622655.5698133965"/>
    <n v="0"/>
  </r>
  <r>
    <s v="Regular"/>
    <x v="1"/>
    <x v="3"/>
    <x v="1"/>
    <x v="0"/>
    <x v="2"/>
    <x v="0"/>
    <x v="0"/>
    <x v="10"/>
    <n v="0"/>
    <n v="0"/>
    <n v="14927.39"/>
    <n v="14927.39"/>
    <n v="0"/>
    <n v="0"/>
    <n v="0"/>
    <x v="1"/>
    <n v="0"/>
    <n v="0"/>
    <n v="29"/>
    <n v="0"/>
    <n v="0"/>
    <n v="97.61"/>
    <n v="0"/>
    <m/>
    <n v="119.75016494517713"/>
    <m/>
    <n v="0"/>
    <n v="1457062.5378999999"/>
    <n v="0"/>
    <n v="0"/>
    <n v="1787557.4147009875"/>
    <n v="0"/>
  </r>
  <r>
    <s v="PROJETADO"/>
    <x v="1"/>
    <x v="3"/>
    <x v="1"/>
    <x v="0"/>
    <x v="2"/>
    <x v="0"/>
    <x v="0"/>
    <x v="11"/>
    <n v="0"/>
    <n v="0"/>
    <n v="14927.39"/>
    <n v="14927.39"/>
    <n v="0"/>
    <n v="0"/>
    <n v="0"/>
    <x v="1"/>
    <n v="0"/>
    <n v="0"/>
    <n v="29"/>
    <n v="0"/>
    <n v="0"/>
    <n v="97.61"/>
    <n v="0"/>
    <m/>
    <n v="119.75016494517713"/>
    <m/>
    <n v="0"/>
    <n v="1457062.5378999999"/>
    <n v="0"/>
    <n v="0"/>
    <n v="1787557.4147009875"/>
    <n v="0"/>
  </r>
  <r>
    <s v="Regular"/>
    <x v="1"/>
    <x v="3"/>
    <x v="1"/>
    <x v="0"/>
    <x v="2"/>
    <x v="0"/>
    <x v="1"/>
    <x v="0"/>
    <n v="49067"/>
    <n v="20699.682339219999"/>
    <n v="0"/>
    <n v="0"/>
    <n v="0"/>
    <n v="0"/>
    <n v="67"/>
    <x v="1"/>
    <n v="0"/>
    <n v="7"/>
    <n v="0"/>
    <n v="0"/>
    <n v="21.85"/>
    <n v="0"/>
    <n v="0"/>
    <n v="27.777091190692239"/>
    <m/>
    <m/>
    <n v="452288.05911195697"/>
    <n v="0"/>
    <n v="0"/>
    <n v="574976.96395487559"/>
    <n v="0"/>
    <n v="0"/>
  </r>
  <r>
    <s v="Regular"/>
    <x v="1"/>
    <x v="3"/>
    <x v="1"/>
    <x v="0"/>
    <x v="2"/>
    <x v="0"/>
    <x v="1"/>
    <x v="1"/>
    <n v="50965"/>
    <n v="22850.187309699999"/>
    <n v="0"/>
    <n v="0"/>
    <n v="0"/>
    <n v="0"/>
    <n v="67"/>
    <x v="1"/>
    <n v="0"/>
    <n v="7"/>
    <n v="0"/>
    <n v="0"/>
    <n v="21.85"/>
    <n v="0"/>
    <n v="0"/>
    <n v="27.777091190692239"/>
    <m/>
    <m/>
    <n v="499276.59271694499"/>
    <n v="0"/>
    <n v="0"/>
    <n v="634711.73662593542"/>
    <n v="0"/>
    <n v="0"/>
  </r>
  <r>
    <s v="Regular"/>
    <x v="1"/>
    <x v="3"/>
    <x v="1"/>
    <x v="0"/>
    <x v="2"/>
    <x v="0"/>
    <x v="1"/>
    <x v="2"/>
    <n v="49044"/>
    <n v="21385.2585612"/>
    <n v="0"/>
    <n v="0"/>
    <n v="0"/>
    <n v="0"/>
    <n v="67"/>
    <x v="1"/>
    <n v="0"/>
    <n v="7"/>
    <n v="0"/>
    <n v="0"/>
    <n v="21.85"/>
    <n v="0"/>
    <n v="0"/>
    <n v="27.777091190692239"/>
    <m/>
    <m/>
    <n v="467267.89956222003"/>
    <n v="0"/>
    <n v="0"/>
    <n v="594020.27719098434"/>
    <n v="0"/>
    <n v="0"/>
  </r>
  <r>
    <s v="Regular"/>
    <x v="1"/>
    <x v="3"/>
    <x v="1"/>
    <x v="0"/>
    <x v="2"/>
    <x v="0"/>
    <x v="1"/>
    <x v="3"/>
    <n v="48218"/>
    <n v="22244.500107659998"/>
    <n v="0"/>
    <n v="0"/>
    <n v="0"/>
    <n v="0"/>
    <n v="69"/>
    <x v="1"/>
    <n v="0"/>
    <n v="7"/>
    <n v="0"/>
    <n v="0"/>
    <n v="21.85"/>
    <n v="0"/>
    <n v="0"/>
    <n v="27.777091190692239"/>
    <m/>
    <m/>
    <n v="486042.32735237101"/>
    <n v="0"/>
    <n v="0"/>
    <n v="617887.50798183517"/>
    <n v="0"/>
    <n v="0"/>
  </r>
  <r>
    <s v="Regular"/>
    <x v="1"/>
    <x v="3"/>
    <x v="1"/>
    <x v="0"/>
    <x v="2"/>
    <x v="0"/>
    <x v="1"/>
    <x v="4"/>
    <n v="47981"/>
    <n v="22125.615755660001"/>
    <n v="0"/>
    <n v="0"/>
    <n v="0"/>
    <n v="0"/>
    <n v="71"/>
    <x v="1"/>
    <n v="0"/>
    <n v="7"/>
    <n v="0"/>
    <n v="0"/>
    <n v="21.85"/>
    <n v="0"/>
    <n v="0"/>
    <n v="27.777091190692239"/>
    <m/>
    <m/>
    <n v="483444.70426117105"/>
    <n v="0"/>
    <n v="0"/>
    <n v="614585.24649518484"/>
    <n v="0"/>
    <n v="0"/>
  </r>
  <r>
    <s v="Regular"/>
    <x v="1"/>
    <x v="3"/>
    <x v="1"/>
    <x v="0"/>
    <x v="2"/>
    <x v="0"/>
    <x v="1"/>
    <x v="5"/>
    <n v="51474"/>
    <n v="23885.087473380001"/>
    <n v="0"/>
    <n v="0"/>
    <n v="0"/>
    <n v="0"/>
    <n v="72"/>
    <x v="1"/>
    <n v="0"/>
    <n v="7"/>
    <n v="0"/>
    <n v="0"/>
    <n v="21.85"/>
    <n v="0"/>
    <n v="0"/>
    <n v="27.777091190692239"/>
    <m/>
    <m/>
    <n v="521889.16129335307"/>
    <n v="0"/>
    <n v="0"/>
    <n v="663458.25284573715"/>
    <n v="0"/>
    <n v="0"/>
  </r>
  <r>
    <s v="Regular"/>
    <x v="1"/>
    <x v="3"/>
    <x v="1"/>
    <x v="0"/>
    <x v="2"/>
    <x v="0"/>
    <x v="1"/>
    <x v="6"/>
    <n v="52635"/>
    <n v="24452.999867999999"/>
    <n v="0"/>
    <n v="0"/>
    <n v="0"/>
    <n v="0"/>
    <n v="77"/>
    <x v="1"/>
    <n v="0"/>
    <n v="7"/>
    <n v="0"/>
    <n v="0"/>
    <n v="21.85"/>
    <n v="0"/>
    <n v="0"/>
    <n v="27.777091190692239"/>
    <m/>
    <m/>
    <n v="534298.04711579997"/>
    <n v="0"/>
    <n v="0"/>
    <n v="679233.20721942128"/>
    <n v="0"/>
    <n v="0"/>
  </r>
  <r>
    <s v="Regular"/>
    <x v="1"/>
    <x v="3"/>
    <x v="1"/>
    <x v="0"/>
    <x v="2"/>
    <x v="0"/>
    <x v="1"/>
    <x v="7"/>
    <n v="40712"/>
    <n v="18287.499818560002"/>
    <n v="0"/>
    <n v="0"/>
    <n v="0"/>
    <n v="0"/>
    <n v="82"/>
    <x v="1"/>
    <n v="0"/>
    <n v="7"/>
    <n v="0"/>
    <n v="0"/>
    <n v="21.85"/>
    <n v="0"/>
    <n v="0"/>
    <n v="27.777091190692239"/>
    <m/>
    <m/>
    <n v="399581.87103553605"/>
    <n v="0"/>
    <n v="0"/>
    <n v="507973.55010990892"/>
    <n v="0"/>
    <n v="0"/>
  </r>
  <r>
    <s v="Regular"/>
    <x v="1"/>
    <x v="3"/>
    <x v="1"/>
    <x v="0"/>
    <x v="2"/>
    <x v="0"/>
    <x v="1"/>
    <x v="8"/>
    <n v="47400"/>
    <n v="21628.500078000001"/>
    <n v="0"/>
    <n v="0"/>
    <n v="0"/>
    <n v="0"/>
    <n v="80"/>
    <x v="1"/>
    <n v="0"/>
    <n v="7"/>
    <n v="0"/>
    <n v="0"/>
    <n v="21.85"/>
    <n v="0"/>
    <n v="0"/>
    <n v="27.777091190692239"/>
    <m/>
    <m/>
    <n v="472582.72670430003"/>
    <n v="0"/>
    <n v="0"/>
    <n v="600776.81898450025"/>
    <n v="0"/>
    <n v="0"/>
  </r>
  <r>
    <s v="Regular"/>
    <x v="1"/>
    <x v="3"/>
    <x v="1"/>
    <x v="0"/>
    <x v="2"/>
    <x v="0"/>
    <x v="1"/>
    <x v="9"/>
    <n v="47541"/>
    <n v="21905.743734029998"/>
    <n v="0"/>
    <n v="0"/>
    <n v="0"/>
    <n v="0"/>
    <n v="79"/>
    <x v="1"/>
    <n v="0"/>
    <n v="7"/>
    <n v="0"/>
    <n v="0"/>
    <n v="21.85"/>
    <n v="0"/>
    <n v="0"/>
    <n v="27.777091190692239"/>
    <m/>
    <m/>
    <n v="478640.50058855547"/>
    <n v="0"/>
    <n v="0"/>
    <n v="608477.84130008635"/>
    <n v="0"/>
    <n v="0"/>
  </r>
  <r>
    <s v="Regular"/>
    <x v="1"/>
    <x v="3"/>
    <x v="1"/>
    <x v="0"/>
    <x v="2"/>
    <x v="0"/>
    <x v="1"/>
    <x v="10"/>
    <n v="48504"/>
    <n v="22445.500047599999"/>
    <n v="0"/>
    <n v="0"/>
    <n v="0"/>
    <n v="0"/>
    <n v="82"/>
    <x v="1"/>
    <n v="0"/>
    <n v="7"/>
    <n v="0"/>
    <n v="0"/>
    <n v="21.85"/>
    <n v="0"/>
    <n v="0"/>
    <n v="27.777091190692239"/>
    <m/>
    <m/>
    <n v="490434.17604006"/>
    <n v="0"/>
    <n v="0"/>
    <n v="623470.70164287218"/>
    <n v="0"/>
    <n v="0"/>
  </r>
  <r>
    <s v="PROJETADO"/>
    <x v="1"/>
    <x v="3"/>
    <x v="1"/>
    <x v="0"/>
    <x v="2"/>
    <x v="0"/>
    <x v="1"/>
    <x v="11"/>
    <n v="48504"/>
    <n v="22445.500047599999"/>
    <n v="0"/>
    <n v="0"/>
    <n v="0"/>
    <n v="0"/>
    <n v="82"/>
    <x v="1"/>
    <n v="0"/>
    <n v="7"/>
    <n v="0"/>
    <n v="0"/>
    <n v="21.85"/>
    <n v="0"/>
    <n v="0"/>
    <n v="27.777091190692239"/>
    <m/>
    <m/>
    <n v="490434.17604006"/>
    <n v="0"/>
    <n v="0"/>
    <n v="623470.70164287218"/>
    <n v="0"/>
    <n v="0"/>
  </r>
  <r>
    <s v="Regular"/>
    <x v="1"/>
    <x v="3"/>
    <x v="1"/>
    <x v="0"/>
    <x v="2"/>
    <x v="0"/>
    <x v="2"/>
    <x v="0"/>
    <n v="0"/>
    <n v="0"/>
    <n v="1570.7380000000001"/>
    <n v="749.07661158122005"/>
    <n v="0"/>
    <n v="0"/>
    <n v="0"/>
    <x v="1"/>
    <n v="0"/>
    <n v="0"/>
    <n v="8"/>
    <n v="0"/>
    <n v="0"/>
    <n v="1557.74"/>
    <n v="0"/>
    <m/>
    <n v="1938.4308905871562"/>
    <m/>
    <n v="0"/>
    <n v="1166866.6009245298"/>
    <n v="0"/>
    <n v="0"/>
    <n v="1452033.2433053937"/>
    <n v="0"/>
  </r>
  <r>
    <s v="Regular"/>
    <x v="1"/>
    <x v="3"/>
    <x v="1"/>
    <x v="0"/>
    <x v="2"/>
    <x v="0"/>
    <x v="2"/>
    <x v="1"/>
    <n v="0"/>
    <n v="0"/>
    <n v="1541.66"/>
    <n v="765.59737471100004"/>
    <n v="0"/>
    <n v="0"/>
    <n v="0"/>
    <x v="1"/>
    <n v="0"/>
    <n v="0"/>
    <n v="8"/>
    <n v="0"/>
    <n v="0"/>
    <n v="1557.74"/>
    <n v="0"/>
    <m/>
    <n v="1938.4308905871562"/>
    <m/>
    <n v="0"/>
    <n v="1192601.6544823132"/>
    <n v="0"/>
    <n v="0"/>
    <n v="1484057.6008922325"/>
    <n v="0"/>
  </r>
  <r>
    <s v="Regular"/>
    <x v="1"/>
    <x v="3"/>
    <x v="1"/>
    <x v="0"/>
    <x v="2"/>
    <x v="0"/>
    <x v="2"/>
    <x v="2"/>
    <n v="0"/>
    <n v="0"/>
    <n v="1634.53"/>
    <n v="806.4250585648"/>
    <n v="0"/>
    <n v="0"/>
    <n v="0"/>
    <x v="1"/>
    <n v="0"/>
    <n v="0"/>
    <n v="8"/>
    <n v="0"/>
    <n v="0"/>
    <n v="1557.74"/>
    <n v="0"/>
    <m/>
    <n v="1938.4308905871562"/>
    <m/>
    <n v="0"/>
    <n v="1256200.5707287316"/>
    <n v="0"/>
    <n v="0"/>
    <n v="1563199.2444655648"/>
    <n v="0"/>
  </r>
  <r>
    <s v="Regular"/>
    <x v="1"/>
    <x v="3"/>
    <x v="1"/>
    <x v="0"/>
    <x v="2"/>
    <x v="0"/>
    <x v="2"/>
    <x v="3"/>
    <n v="0"/>
    <n v="0"/>
    <n v="1651.5540000000001"/>
    <n v="837.55897153397996"/>
    <n v="0"/>
    <n v="0"/>
    <n v="0"/>
    <x v="1"/>
    <n v="0"/>
    <n v="0"/>
    <n v="8"/>
    <n v="0"/>
    <n v="0"/>
    <n v="1557.74"/>
    <n v="0"/>
    <m/>
    <n v="1938.4308905871562"/>
    <m/>
    <n v="0"/>
    <n v="1304699.1123173418"/>
    <n v="0"/>
    <n v="0"/>
    <n v="1623550.1831098753"/>
    <n v="0"/>
  </r>
  <r>
    <s v="Regular"/>
    <x v="1"/>
    <x v="3"/>
    <x v="1"/>
    <x v="0"/>
    <x v="2"/>
    <x v="0"/>
    <x v="2"/>
    <x v="4"/>
    <n v="0"/>
    <n v="0"/>
    <n v="1595.287"/>
    <n v="821.04486072021996"/>
    <n v="0"/>
    <n v="0"/>
    <n v="0"/>
    <x v="1"/>
    <n v="0"/>
    <n v="0"/>
    <n v="8"/>
    <n v="0"/>
    <n v="0"/>
    <n v="1557.74"/>
    <n v="0"/>
    <m/>
    <n v="1938.4308905871562"/>
    <m/>
    <n v="0"/>
    <n v="1278974.4213383154"/>
    <n v="0"/>
    <n v="0"/>
    <n v="1591538.7205779036"/>
    <n v="0"/>
  </r>
  <r>
    <s v="Regular"/>
    <x v="1"/>
    <x v="3"/>
    <x v="1"/>
    <x v="0"/>
    <x v="2"/>
    <x v="0"/>
    <x v="2"/>
    <x v="5"/>
    <n v="0"/>
    <n v="0"/>
    <n v="1586.192"/>
    <n v="799.17606427904002"/>
    <n v="0"/>
    <n v="0"/>
    <n v="0"/>
    <x v="1"/>
    <n v="0"/>
    <n v="0"/>
    <n v="8"/>
    <n v="0"/>
    <n v="0"/>
    <n v="1557.74"/>
    <n v="0"/>
    <m/>
    <n v="1938.4308905871562"/>
    <m/>
    <n v="0"/>
    <n v="1244908.5223700318"/>
    <n v="0"/>
    <n v="0"/>
    <n v="1549147.570016358"/>
    <n v="0"/>
  </r>
  <r>
    <s v="Regular"/>
    <x v="1"/>
    <x v="3"/>
    <x v="1"/>
    <x v="0"/>
    <x v="2"/>
    <x v="0"/>
    <x v="2"/>
    <x v="6"/>
    <n v="0"/>
    <n v="0"/>
    <n v="1812.165"/>
    <n v="924.22674769754997"/>
    <n v="0"/>
    <n v="0"/>
    <n v="0"/>
    <x v="1"/>
    <n v="0"/>
    <n v="0"/>
    <n v="8"/>
    <n v="0"/>
    <n v="0"/>
    <n v="1557.74"/>
    <n v="0"/>
    <m/>
    <n v="1938.4308905871562"/>
    <m/>
    <n v="0"/>
    <n v="1439704.9739583815"/>
    <n v="0"/>
    <n v="0"/>
    <n v="1791549.6776438328"/>
    <n v="0"/>
  </r>
  <r>
    <s v="Regular"/>
    <x v="1"/>
    <x v="3"/>
    <x v="1"/>
    <x v="0"/>
    <x v="2"/>
    <x v="0"/>
    <x v="2"/>
    <x v="7"/>
    <n v="0"/>
    <n v="0"/>
    <n v="1045.5999999999999"/>
    <n v="508.25532758399999"/>
    <n v="0"/>
    <n v="0"/>
    <n v="0"/>
    <x v="1"/>
    <n v="0"/>
    <n v="0"/>
    <n v="8"/>
    <n v="0"/>
    <n v="0"/>
    <n v="1557.74"/>
    <n v="0"/>
    <m/>
    <n v="1938.4308905871562"/>
    <m/>
    <n v="0"/>
    <n v="791729.65399070014"/>
    <n v="0"/>
    <n v="0"/>
    <n v="985217.82729431987"/>
    <n v="0"/>
  </r>
  <r>
    <s v="Regular"/>
    <x v="1"/>
    <x v="3"/>
    <x v="1"/>
    <x v="0"/>
    <x v="2"/>
    <x v="0"/>
    <x v="2"/>
    <x v="8"/>
    <n v="0"/>
    <n v="0"/>
    <n v="1398.251"/>
    <n v="707.36800787236996"/>
    <n v="0"/>
    <n v="0"/>
    <n v="0"/>
    <x v="1"/>
    <n v="0"/>
    <n v="0"/>
    <n v="8"/>
    <n v="0"/>
    <n v="0"/>
    <n v="1557.74"/>
    <n v="0"/>
    <m/>
    <n v="1938.4308905871562"/>
    <m/>
    <n v="0"/>
    <n v="1101895.4405831057"/>
    <n v="0"/>
    <n v="0"/>
    <n v="1371183.9974729007"/>
    <n v="0"/>
  </r>
  <r>
    <s v="Regular"/>
    <x v="1"/>
    <x v="3"/>
    <x v="1"/>
    <x v="0"/>
    <x v="2"/>
    <x v="0"/>
    <x v="2"/>
    <x v="9"/>
    <n v="0"/>
    <n v="0"/>
    <n v="1336.328"/>
    <n v="671.57099496256001"/>
    <n v="0"/>
    <n v="0"/>
    <n v="0"/>
    <x v="1"/>
    <n v="0"/>
    <n v="0"/>
    <n v="8"/>
    <n v="0"/>
    <n v="0"/>
    <n v="1557.74"/>
    <n v="0"/>
    <m/>
    <n v="1938.4308905871562"/>
    <m/>
    <n v="0"/>
    <n v="1046133.0016929782"/>
    <n v="0"/>
    <n v="0"/>
    <n v="1301793.9618577778"/>
    <n v="0"/>
  </r>
  <r>
    <s v="Regular"/>
    <x v="1"/>
    <x v="3"/>
    <x v="1"/>
    <x v="0"/>
    <x v="2"/>
    <x v="0"/>
    <x v="2"/>
    <x v="10"/>
    <n v="0"/>
    <n v="0"/>
    <n v="1489.481"/>
    <n v="746.58496900673003"/>
    <n v="0"/>
    <n v="0"/>
    <n v="0"/>
    <x v="1"/>
    <n v="0"/>
    <n v="0"/>
    <n v="8"/>
    <n v="0"/>
    <n v="0"/>
    <n v="1557.74"/>
    <n v="0"/>
    <m/>
    <n v="1938.4308905871562"/>
    <m/>
    <n v="0"/>
    <n v="1162985.2696205436"/>
    <n v="0"/>
    <n v="0"/>
    <n v="1447203.3663707001"/>
    <n v="0"/>
  </r>
  <r>
    <s v="PROJETADO"/>
    <x v="1"/>
    <x v="3"/>
    <x v="1"/>
    <x v="0"/>
    <x v="2"/>
    <x v="0"/>
    <x v="2"/>
    <x v="11"/>
    <n v="0"/>
    <n v="0"/>
    <n v="1489.481"/>
    <n v="746.58496900673003"/>
    <n v="0"/>
    <n v="0"/>
    <n v="0"/>
    <x v="1"/>
    <n v="0"/>
    <n v="0"/>
    <n v="8"/>
    <n v="0"/>
    <n v="0"/>
    <n v="1557.74"/>
    <n v="0"/>
    <m/>
    <n v="1938.4308905871562"/>
    <m/>
    <n v="0"/>
    <n v="1162985.2696205436"/>
    <n v="0"/>
    <n v="0"/>
    <n v="1447203.3663707001"/>
    <n v="0"/>
  </r>
  <r>
    <s v="Regular"/>
    <x v="1"/>
    <x v="3"/>
    <x v="1"/>
    <x v="0"/>
    <x v="0"/>
    <x v="0"/>
    <x v="0"/>
    <x v="0"/>
    <n v="0"/>
    <n v="0"/>
    <n v="6668.942"/>
    <n v="6668.942"/>
    <n v="6668.942"/>
    <n v="6668.942"/>
    <n v="0"/>
    <x v="0"/>
    <n v="0"/>
    <n v="0"/>
    <n v="29"/>
    <n v="73"/>
    <n v="0"/>
    <n v="97.61"/>
    <n v="219.97"/>
    <m/>
    <n v="119.75016494517713"/>
    <n v="283.40928728637363"/>
    <n v="0"/>
    <n v="650955.42862000002"/>
    <n v="1466967.1717399999"/>
    <n v="0"/>
    <n v="798606.90450981946"/>
    <n v="1890040.0991741631"/>
  </r>
  <r>
    <s v="Sistema de Compensação"/>
    <x v="1"/>
    <x v="3"/>
    <x v="1"/>
    <x v="0"/>
    <x v="0"/>
    <x v="0"/>
    <x v="0"/>
    <x v="0"/>
    <n v="0"/>
    <n v="0"/>
    <n v="273.01799999999997"/>
    <n v="273.01799999999997"/>
    <n v="273.01799999999997"/>
    <n v="273.01799999999997"/>
    <n v="0"/>
    <x v="0"/>
    <n v="0"/>
    <n v="0"/>
    <n v="29"/>
    <n v="73"/>
    <n v="0"/>
    <n v="97.61"/>
    <n v="219.97"/>
    <m/>
    <n v="119.75016494517713"/>
    <n v="283.40928728637363"/>
    <n v="0"/>
    <n v="26649.286979999997"/>
    <n v="60055.769459999996"/>
    <n v="0"/>
    <n v="32693.950533002368"/>
    <n v="77375.836796351141"/>
  </r>
  <r>
    <s v="Regular"/>
    <x v="1"/>
    <x v="3"/>
    <x v="1"/>
    <x v="0"/>
    <x v="0"/>
    <x v="0"/>
    <x v="0"/>
    <x v="0"/>
    <n v="0"/>
    <n v="0"/>
    <n v="836.86099999999999"/>
    <n v="836.86099999999999"/>
    <n v="0"/>
    <n v="0"/>
    <n v="0"/>
    <x v="1"/>
    <n v="0"/>
    <n v="0"/>
    <n v="29"/>
    <n v="0"/>
    <n v="0"/>
    <n v="97.61"/>
    <n v="0"/>
    <m/>
    <n v="119.75016494517713"/>
    <m/>
    <n v="0"/>
    <n v="81686.002209999991"/>
    <n v="0"/>
    <n v="0"/>
    <n v="100214.24278618587"/>
    <n v="0"/>
  </r>
  <r>
    <s v="Regular"/>
    <x v="1"/>
    <x v="3"/>
    <x v="1"/>
    <x v="0"/>
    <x v="0"/>
    <x v="0"/>
    <x v="0"/>
    <x v="1"/>
    <n v="0"/>
    <n v="0"/>
    <n v="6259.94"/>
    <n v="6259.94"/>
    <n v="6259.94"/>
    <n v="6259.94"/>
    <n v="0"/>
    <x v="0"/>
    <n v="0"/>
    <n v="0"/>
    <n v="29"/>
    <n v="73"/>
    <n v="0"/>
    <n v="97.61"/>
    <n v="219.97"/>
    <m/>
    <n v="119.75016494517713"/>
    <n v="283.40928728637363"/>
    <n v="0"/>
    <n v="611032.74339999992"/>
    <n v="1376999.0018"/>
    <n v="0"/>
    <n v="749628.84754691215"/>
    <n v="1774125.1338554616"/>
  </r>
  <r>
    <s v="Refaturamento - Regular"/>
    <x v="1"/>
    <x v="3"/>
    <x v="1"/>
    <x v="0"/>
    <x v="0"/>
    <x v="0"/>
    <x v="0"/>
    <x v="1"/>
    <n v="0"/>
    <n v="0"/>
    <n v="-191.215"/>
    <n v="-191.215"/>
    <n v="-191.215"/>
    <n v="-191.215"/>
    <n v="0"/>
    <x v="0"/>
    <n v="0"/>
    <n v="0"/>
    <n v="29"/>
    <n v="73"/>
    <n v="0"/>
    <n v="97.61"/>
    <n v="219.97"/>
    <m/>
    <n v="119.75016494517713"/>
    <n v="283.40928728637363"/>
    <n v="0"/>
    <n v="-18664.496149999999"/>
    <n v="-42061.563549999999"/>
    <n v="0"/>
    <n v="-22898.027789992047"/>
    <n v="-54192.106868463932"/>
  </r>
  <r>
    <s v="Sistema de Compensação"/>
    <x v="1"/>
    <x v="3"/>
    <x v="1"/>
    <x v="0"/>
    <x v="0"/>
    <x v="0"/>
    <x v="0"/>
    <x v="1"/>
    <n v="0"/>
    <n v="0"/>
    <n v="218.67699999999999"/>
    <n v="218.67699999999999"/>
    <n v="218.67699999999999"/>
    <n v="218.67699999999999"/>
    <n v="0"/>
    <x v="0"/>
    <n v="0"/>
    <n v="0"/>
    <n v="29"/>
    <n v="73"/>
    <n v="0"/>
    <n v="97.61"/>
    <n v="219.97"/>
    <m/>
    <n v="119.75016494517713"/>
    <n v="283.40928728637363"/>
    <n v="0"/>
    <n v="21345.061969999999"/>
    <n v="48102.379690000002"/>
    <n v="0"/>
    <n v="26186.6068197165"/>
    <n v="61975.092715922321"/>
  </r>
  <r>
    <s v="Regular"/>
    <x v="1"/>
    <x v="3"/>
    <x v="1"/>
    <x v="0"/>
    <x v="0"/>
    <x v="0"/>
    <x v="0"/>
    <x v="1"/>
    <n v="0"/>
    <n v="0"/>
    <n v="901.00699999999995"/>
    <n v="901.00699999999995"/>
    <n v="0"/>
    <n v="0"/>
    <n v="0"/>
    <x v="1"/>
    <n v="0"/>
    <n v="0"/>
    <n v="29"/>
    <n v="0"/>
    <n v="0"/>
    <n v="97.61"/>
    <n v="0"/>
    <m/>
    <n v="119.75016494517713"/>
    <m/>
    <n v="0"/>
    <n v="87947.293269999995"/>
    <n v="0"/>
    <n v="0"/>
    <n v="107895.73686675921"/>
    <n v="0"/>
  </r>
  <r>
    <s v="Regular"/>
    <x v="1"/>
    <x v="3"/>
    <x v="1"/>
    <x v="0"/>
    <x v="0"/>
    <x v="0"/>
    <x v="0"/>
    <x v="2"/>
    <n v="0"/>
    <n v="0"/>
    <n v="6881.8490000000002"/>
    <n v="6881.8490000000002"/>
    <n v="6881.8490000000002"/>
    <n v="6881.8490000000002"/>
    <n v="0"/>
    <x v="0"/>
    <n v="0"/>
    <n v="0"/>
    <n v="29"/>
    <n v="73"/>
    <n v="0"/>
    <n v="97.61"/>
    <n v="219.97"/>
    <m/>
    <n v="119.75016494517713"/>
    <n v="283.40928728637363"/>
    <n v="0"/>
    <n v="671737.28089000005"/>
    <n v="1513800.3245300001"/>
    <n v="0"/>
    <n v="824102.55287780229"/>
    <n v="1950379.9203024432"/>
  </r>
  <r>
    <s v="Refaturamento - Regular"/>
    <x v="1"/>
    <x v="3"/>
    <x v="1"/>
    <x v="0"/>
    <x v="0"/>
    <x v="0"/>
    <x v="0"/>
    <x v="2"/>
    <n v="0"/>
    <n v="0"/>
    <n v="-63.643999999999998"/>
    <n v="-63.643999999999998"/>
    <n v="-63.643999999999998"/>
    <n v="-63.643999999999998"/>
    <n v="0"/>
    <x v="0"/>
    <n v="0"/>
    <n v="0"/>
    <n v="29"/>
    <n v="73"/>
    <n v="0"/>
    <n v="97.61"/>
    <n v="219.97"/>
    <m/>
    <n v="119.75016494517713"/>
    <n v="283.40928728637363"/>
    <n v="0"/>
    <n v="-6212.2908399999997"/>
    <n v="-13999.77068"/>
    <n v="0"/>
    <n v="-7621.379497770853"/>
    <n v="-18037.300680053962"/>
  </r>
  <r>
    <s v="Sistema de Compensação"/>
    <x v="1"/>
    <x v="3"/>
    <x v="1"/>
    <x v="0"/>
    <x v="0"/>
    <x v="0"/>
    <x v="0"/>
    <x v="2"/>
    <n v="0"/>
    <n v="0"/>
    <n v="265.16800000000001"/>
    <n v="265.16800000000001"/>
    <n v="265.16800000000001"/>
    <n v="265.16800000000001"/>
    <n v="0"/>
    <x v="0"/>
    <n v="0"/>
    <n v="0"/>
    <n v="29"/>
    <n v="73"/>
    <n v="0"/>
    <n v="97.61"/>
    <n v="219.97"/>
    <m/>
    <n v="119.75016494517713"/>
    <n v="283.40928728637363"/>
    <n v="0"/>
    <n v="25883.048480000001"/>
    <n v="58329.004959999998"/>
    <n v="0"/>
    <n v="31753.911738182731"/>
    <n v="75151.073891153123"/>
  </r>
  <r>
    <s v="Regular"/>
    <x v="1"/>
    <x v="3"/>
    <x v="1"/>
    <x v="0"/>
    <x v="0"/>
    <x v="0"/>
    <x v="0"/>
    <x v="2"/>
    <n v="0"/>
    <n v="0"/>
    <n v="853.875"/>
    <n v="853.875"/>
    <n v="0"/>
    <n v="0"/>
    <n v="0"/>
    <x v="1"/>
    <n v="0"/>
    <n v="0"/>
    <n v="29"/>
    <n v="0"/>
    <n v="0"/>
    <n v="97.61"/>
    <n v="0"/>
    <m/>
    <n v="119.75016494517713"/>
    <m/>
    <n v="0"/>
    <n v="83346.738750000004"/>
    <n v="0"/>
    <n v="0"/>
    <n v="102251.67209256312"/>
    <n v="0"/>
  </r>
  <r>
    <s v="Regular"/>
    <x v="1"/>
    <x v="3"/>
    <x v="1"/>
    <x v="0"/>
    <x v="0"/>
    <x v="0"/>
    <x v="0"/>
    <x v="3"/>
    <n v="0"/>
    <n v="0"/>
    <n v="6675.6639999999998"/>
    <n v="6675.6639999999998"/>
    <n v="6675.6639999999998"/>
    <n v="6675.6639999999998"/>
    <n v="0"/>
    <x v="0"/>
    <n v="0"/>
    <n v="0"/>
    <n v="29"/>
    <n v="73"/>
    <n v="0"/>
    <n v="97.61"/>
    <n v="219.97"/>
    <m/>
    <n v="119.75016494517713"/>
    <n v="283.40928728637363"/>
    <n v="0"/>
    <n v="651611.56303999992"/>
    <n v="1468445.81008"/>
    <n v="0"/>
    <n v="799411.86511858099"/>
    <n v="1891945.176403302"/>
  </r>
  <r>
    <s v="Refaturamento - Regular"/>
    <x v="1"/>
    <x v="3"/>
    <x v="1"/>
    <x v="0"/>
    <x v="0"/>
    <x v="0"/>
    <x v="0"/>
    <x v="3"/>
    <n v="0"/>
    <n v="0"/>
    <n v="-6.976"/>
    <n v="-6.976"/>
    <n v="-6.976"/>
    <n v="-6.976"/>
    <n v="0"/>
    <x v="0"/>
    <n v="0"/>
    <n v="0"/>
    <n v="29"/>
    <n v="73"/>
    <n v="0"/>
    <n v="97.61"/>
    <n v="219.97"/>
    <m/>
    <n v="119.75016494517713"/>
    <n v="283.40928728637363"/>
    <n v="0"/>
    <n v="-680.92736000000002"/>
    <n v="-1534.51072"/>
    <n v="0"/>
    <n v="-835.37715065755572"/>
    <n v="-1977.0631881097424"/>
  </r>
  <r>
    <s v="Sistema de Compensação"/>
    <x v="1"/>
    <x v="3"/>
    <x v="1"/>
    <x v="0"/>
    <x v="0"/>
    <x v="0"/>
    <x v="0"/>
    <x v="3"/>
    <n v="0"/>
    <n v="0"/>
    <n v="261.60899999999998"/>
    <n v="261.60899999999998"/>
    <n v="261.60899999999998"/>
    <n v="261.60899999999998"/>
    <n v="0"/>
    <x v="0"/>
    <n v="0"/>
    <n v="0"/>
    <n v="29"/>
    <n v="73"/>
    <n v="0"/>
    <n v="97.61"/>
    <n v="219.97"/>
    <m/>
    <n v="119.75016494517713"/>
    <n v="283.40928728637363"/>
    <n v="0"/>
    <n v="25535.654489999997"/>
    <n v="57546.131729999994"/>
    <n v="0"/>
    <n v="31327.720901142842"/>
    <n v="74142.420237700906"/>
  </r>
  <r>
    <s v="Regular"/>
    <x v="1"/>
    <x v="3"/>
    <x v="1"/>
    <x v="0"/>
    <x v="0"/>
    <x v="0"/>
    <x v="0"/>
    <x v="3"/>
    <n v="0"/>
    <n v="0"/>
    <n v="653.58500000000004"/>
    <n v="653.58500000000004"/>
    <n v="0"/>
    <n v="0"/>
    <n v="0"/>
    <x v="1"/>
    <n v="0"/>
    <n v="0"/>
    <n v="29"/>
    <n v="0"/>
    <n v="0"/>
    <n v="97.61"/>
    <n v="0"/>
    <m/>
    <n v="119.75016494517713"/>
    <m/>
    <n v="0"/>
    <n v="63796.431850000001"/>
    <n v="0"/>
    <n v="0"/>
    <n v="78266.911555693601"/>
    <n v="0"/>
  </r>
  <r>
    <s v="Regular"/>
    <x v="1"/>
    <x v="3"/>
    <x v="1"/>
    <x v="0"/>
    <x v="0"/>
    <x v="0"/>
    <x v="0"/>
    <x v="4"/>
    <n v="0"/>
    <n v="0"/>
    <n v="6558.9889999999996"/>
    <n v="6558.9889999999996"/>
    <n v="6558.9889999999996"/>
    <n v="6558.9889999999996"/>
    <n v="0"/>
    <x v="0"/>
    <n v="0"/>
    <n v="0"/>
    <n v="29"/>
    <n v="73"/>
    <n v="0"/>
    <n v="97.61"/>
    <n v="219.97"/>
    <m/>
    <n v="119.75016494517713"/>
    <n v="283.40928728637363"/>
    <n v="0"/>
    <n v="640222.91628999996"/>
    <n v="1442780.81033"/>
    <n v="0"/>
    <n v="785440.01462360239"/>
    <n v="1858878.3978091644"/>
  </r>
  <r>
    <s v="Refaturamento - Regular"/>
    <x v="1"/>
    <x v="3"/>
    <x v="1"/>
    <x v="0"/>
    <x v="0"/>
    <x v="0"/>
    <x v="0"/>
    <x v="4"/>
    <n v="0"/>
    <n v="0"/>
    <n v="0.442"/>
    <n v="0.442"/>
    <n v="0.442"/>
    <n v="0.442"/>
    <n v="0"/>
    <x v="0"/>
    <n v="0"/>
    <n v="0"/>
    <n v="29"/>
    <n v="73"/>
    <n v="0"/>
    <n v="97.61"/>
    <n v="219.97"/>
    <m/>
    <n v="119.75016494517713"/>
    <n v="283.40928728637363"/>
    <n v="0"/>
    <n v="43.143619999999999"/>
    <n v="97.226740000000007"/>
    <n v="0"/>
    <n v="52.929572905768296"/>
    <n v="125.26690498057714"/>
  </r>
  <r>
    <s v="Sistema de Compensação"/>
    <x v="1"/>
    <x v="3"/>
    <x v="1"/>
    <x v="0"/>
    <x v="0"/>
    <x v="0"/>
    <x v="0"/>
    <x v="4"/>
    <n v="0"/>
    <n v="0"/>
    <n v="235.155"/>
    <n v="235.155"/>
    <n v="235.155"/>
    <n v="235.155"/>
    <n v="0"/>
    <x v="0"/>
    <n v="0"/>
    <n v="0"/>
    <n v="29"/>
    <n v="73"/>
    <n v="0"/>
    <n v="97.61"/>
    <n v="219.97"/>
    <m/>
    <n v="119.75016494517713"/>
    <n v="283.40928728637363"/>
    <n v="0"/>
    <n v="22953.47955"/>
    <n v="51727.04535"/>
    <n v="0"/>
    <n v="28159.850037683129"/>
    <n v="66645.110951827184"/>
  </r>
  <r>
    <s v="Regular"/>
    <x v="1"/>
    <x v="3"/>
    <x v="1"/>
    <x v="0"/>
    <x v="0"/>
    <x v="0"/>
    <x v="0"/>
    <x v="4"/>
    <n v="0"/>
    <n v="0"/>
    <n v="772.10500000000002"/>
    <n v="772.10500000000002"/>
    <n v="0"/>
    <n v="0"/>
    <n v="0"/>
    <x v="1"/>
    <n v="0"/>
    <n v="0"/>
    <n v="29"/>
    <n v="0"/>
    <n v="0"/>
    <n v="97.61"/>
    <n v="0"/>
    <m/>
    <n v="119.75016494517713"/>
    <m/>
    <n v="0"/>
    <n v="75365.169049999997"/>
    <n v="0"/>
    <n v="0"/>
    <n v="92459.701104995998"/>
    <n v="0"/>
  </r>
  <r>
    <s v="Regular"/>
    <x v="1"/>
    <x v="3"/>
    <x v="1"/>
    <x v="0"/>
    <x v="0"/>
    <x v="0"/>
    <x v="0"/>
    <x v="5"/>
    <n v="0"/>
    <n v="0"/>
    <n v="6469.0789999999997"/>
    <n v="6469.0789999999997"/>
    <n v="6469.0789999999997"/>
    <n v="6469.0789999999997"/>
    <n v="0"/>
    <x v="0"/>
    <n v="0"/>
    <n v="0"/>
    <n v="29"/>
    <n v="73"/>
    <n v="0"/>
    <n v="97.61"/>
    <n v="219.97"/>
    <m/>
    <n v="119.75016494517713"/>
    <n v="283.40928728637363"/>
    <n v="0"/>
    <n v="631446.80119000003"/>
    <n v="1423003.3076299999"/>
    <n v="0"/>
    <n v="774673.27729338151"/>
    <n v="1833397.0687892465"/>
  </r>
  <r>
    <s v="Refaturamento - Regular"/>
    <x v="1"/>
    <x v="3"/>
    <x v="1"/>
    <x v="0"/>
    <x v="0"/>
    <x v="0"/>
    <x v="0"/>
    <x v="5"/>
    <n v="0"/>
    <n v="0"/>
    <n v="-102.871"/>
    <n v="-102.871"/>
    <n v="-102.871"/>
    <n v="-102.871"/>
    <n v="0"/>
    <x v="0"/>
    <n v="0"/>
    <n v="0"/>
    <n v="29"/>
    <n v="73"/>
    <n v="0"/>
    <n v="97.61"/>
    <n v="219.97"/>
    <m/>
    <n v="119.75016494517713"/>
    <n v="283.40928728637363"/>
    <n v="0"/>
    <n v="-10041.238309999999"/>
    <n v="-22628.533869999999"/>
    <n v="0"/>
    <n v="-12318.819218075316"/>
    <n v="-29154.59679243654"/>
  </r>
  <r>
    <s v="Sistema de Compensação"/>
    <x v="1"/>
    <x v="3"/>
    <x v="1"/>
    <x v="0"/>
    <x v="0"/>
    <x v="0"/>
    <x v="0"/>
    <x v="5"/>
    <n v="0"/>
    <n v="0"/>
    <n v="275.79399999999998"/>
    <n v="275.79399999999998"/>
    <n v="275.79399999999998"/>
    <n v="275.79399999999998"/>
    <n v="0"/>
    <x v="0"/>
    <n v="0"/>
    <n v="0"/>
    <n v="29"/>
    <n v="73"/>
    <n v="0"/>
    <n v="97.61"/>
    <n v="219.97"/>
    <m/>
    <n v="119.75016494517713"/>
    <n v="283.40928728637363"/>
    <n v="0"/>
    <n v="26920.252339999999"/>
    <n v="60666.406179999998"/>
    <n v="0"/>
    <n v="33026.376990890181"/>
    <n v="78162.580977858117"/>
  </r>
  <r>
    <s v="Regular"/>
    <x v="1"/>
    <x v="3"/>
    <x v="1"/>
    <x v="0"/>
    <x v="0"/>
    <x v="0"/>
    <x v="0"/>
    <x v="5"/>
    <n v="0"/>
    <n v="0"/>
    <n v="770.64200000000005"/>
    <n v="770.64200000000005"/>
    <n v="0"/>
    <n v="0"/>
    <n v="0"/>
    <x v="1"/>
    <n v="0"/>
    <n v="0"/>
    <n v="29"/>
    <n v="0"/>
    <n v="0"/>
    <n v="97.61"/>
    <n v="0"/>
    <m/>
    <n v="119.75016494517713"/>
    <m/>
    <n v="0"/>
    <n v="75222.365620000011"/>
    <n v="0"/>
    <n v="0"/>
    <n v="92284.506613681209"/>
    <n v="0"/>
  </r>
  <r>
    <s v="Regular"/>
    <x v="1"/>
    <x v="3"/>
    <x v="1"/>
    <x v="0"/>
    <x v="0"/>
    <x v="0"/>
    <x v="0"/>
    <x v="6"/>
    <n v="0"/>
    <n v="0"/>
    <n v="6212.74"/>
    <n v="6212.74"/>
    <n v="6212.74"/>
    <n v="6212.74"/>
    <n v="0"/>
    <x v="0"/>
    <n v="0"/>
    <n v="0"/>
    <n v="29"/>
    <n v="73"/>
    <n v="0"/>
    <n v="97.61"/>
    <n v="219.97"/>
    <m/>
    <n v="119.75016494517713"/>
    <n v="283.40928728637363"/>
    <n v="0"/>
    <n v="606425.5514"/>
    <n v="1366616.4177999999"/>
    <n v="0"/>
    <n v="743976.63976149971"/>
    <n v="1760748.2154955447"/>
  </r>
  <r>
    <s v="Refaturamento - Regular"/>
    <x v="1"/>
    <x v="3"/>
    <x v="1"/>
    <x v="0"/>
    <x v="0"/>
    <x v="0"/>
    <x v="0"/>
    <x v="6"/>
    <n v="0"/>
    <n v="0"/>
    <n v="168.077"/>
    <n v="168.077"/>
    <n v="168.077"/>
    <n v="168.077"/>
    <n v="0"/>
    <x v="0"/>
    <n v="0"/>
    <n v="0"/>
    <n v="29"/>
    <n v="73"/>
    <n v="0"/>
    <n v="97.61"/>
    <n v="219.97"/>
    <m/>
    <n v="119.75016494517713"/>
    <n v="283.40928728637363"/>
    <n v="0"/>
    <n v="16405.99597"/>
    <n v="36971.897689999998"/>
    <n v="0"/>
    <n v="20127.248473490537"/>
    <n v="47634.582779231816"/>
  </r>
  <r>
    <s v="Sistema de Compensação"/>
    <x v="1"/>
    <x v="3"/>
    <x v="1"/>
    <x v="0"/>
    <x v="0"/>
    <x v="0"/>
    <x v="0"/>
    <x v="6"/>
    <n v="0"/>
    <n v="0"/>
    <n v="271.42200000000003"/>
    <n v="271.42200000000003"/>
    <n v="271.42200000000003"/>
    <n v="271.42200000000003"/>
    <n v="0"/>
    <x v="0"/>
    <n v="0"/>
    <n v="0"/>
    <n v="29"/>
    <n v="73"/>
    <n v="0"/>
    <n v="97.61"/>
    <n v="219.97"/>
    <m/>
    <n v="119.75016494517713"/>
    <n v="283.40928728637363"/>
    <n v="0"/>
    <n v="26493.501420000004"/>
    <n v="59704.697340000006"/>
    <n v="0"/>
    <n v="32502.829269749869"/>
    <n v="76923.515573842116"/>
  </r>
  <r>
    <s v="Regular"/>
    <x v="1"/>
    <x v="3"/>
    <x v="1"/>
    <x v="0"/>
    <x v="0"/>
    <x v="0"/>
    <x v="0"/>
    <x v="6"/>
    <n v="0"/>
    <n v="0"/>
    <n v="691.57399999999996"/>
    <n v="691.57399999999996"/>
    <n v="0"/>
    <n v="0"/>
    <n v="0"/>
    <x v="1"/>
    <n v="0"/>
    <n v="0"/>
    <n v="29"/>
    <n v="0"/>
    <n v="0"/>
    <n v="97.61"/>
    <n v="0"/>
    <m/>
    <n v="119.75016494517713"/>
    <m/>
    <n v="0"/>
    <n v="67504.53813999999"/>
    <n v="0"/>
    <n v="0"/>
    <n v="82816.10057179592"/>
    <n v="0"/>
  </r>
  <r>
    <s v="Regular"/>
    <x v="1"/>
    <x v="3"/>
    <x v="1"/>
    <x v="0"/>
    <x v="0"/>
    <x v="0"/>
    <x v="0"/>
    <x v="7"/>
    <n v="0"/>
    <n v="0"/>
    <n v="6346.5460000000003"/>
    <n v="6346.5460000000003"/>
    <n v="6346.5460000000003"/>
    <n v="6346.5460000000003"/>
    <n v="0"/>
    <x v="0"/>
    <n v="0"/>
    <n v="0"/>
    <n v="29"/>
    <n v="73"/>
    <n v="0"/>
    <n v="97.61"/>
    <n v="219.97"/>
    <m/>
    <n v="119.75016494517713"/>
    <n v="283.40928728637363"/>
    <n v="0"/>
    <n v="619486.35505999997"/>
    <n v="1396049.7236200001"/>
    <n v="0"/>
    <n v="759999.93033215415"/>
    <n v="1798670.0785901854"/>
  </r>
  <r>
    <s v="Refaturamento - Regular"/>
    <x v="1"/>
    <x v="3"/>
    <x v="1"/>
    <x v="0"/>
    <x v="0"/>
    <x v="0"/>
    <x v="0"/>
    <x v="7"/>
    <n v="0"/>
    <n v="0"/>
    <n v="114.176"/>
    <n v="114.176"/>
    <n v="114.176"/>
    <n v="114.176"/>
    <n v="0"/>
    <x v="0"/>
    <n v="0"/>
    <n v="0"/>
    <n v="29"/>
    <n v="73"/>
    <n v="0"/>
    <n v="97.61"/>
    <n v="219.97"/>
    <m/>
    <n v="119.75016494517713"/>
    <n v="283.40928728637363"/>
    <n v="0"/>
    <n v="11144.719360000001"/>
    <n v="25115.294720000002"/>
    <n v="0"/>
    <n v="13672.594832780545"/>
    <n v="32358.538785208995"/>
  </r>
  <r>
    <s v="Sistema de Compensação"/>
    <x v="1"/>
    <x v="3"/>
    <x v="1"/>
    <x v="0"/>
    <x v="0"/>
    <x v="0"/>
    <x v="0"/>
    <x v="7"/>
    <n v="0"/>
    <n v="0"/>
    <n v="306.48899999999998"/>
    <n v="306.48899999999998"/>
    <n v="306.48899999999998"/>
    <n v="306.48899999999998"/>
    <n v="0"/>
    <x v="0"/>
    <n v="0"/>
    <n v="0"/>
    <n v="29"/>
    <n v="73"/>
    <n v="0"/>
    <n v="97.61"/>
    <n v="219.97"/>
    <m/>
    <n v="119.75016494517713"/>
    <n v="283.40928728637363"/>
    <n v="0"/>
    <n v="29916.391289999996"/>
    <n v="67418.38532999999"/>
    <n v="0"/>
    <n v="36702.108303882393"/>
    <n v="86861.829051113353"/>
  </r>
  <r>
    <s v="Regular"/>
    <x v="1"/>
    <x v="3"/>
    <x v="1"/>
    <x v="0"/>
    <x v="0"/>
    <x v="0"/>
    <x v="0"/>
    <x v="7"/>
    <n v="0"/>
    <n v="0"/>
    <n v="678.30600000000004"/>
    <n v="678.30600000000004"/>
    <n v="0"/>
    <n v="0"/>
    <n v="0"/>
    <x v="1"/>
    <n v="0"/>
    <n v="0"/>
    <n v="29"/>
    <n v="0"/>
    <n v="0"/>
    <n v="97.61"/>
    <n v="0"/>
    <m/>
    <n v="119.75016494517713"/>
    <m/>
    <n v="0"/>
    <n v="66209.448660000009"/>
    <n v="0"/>
    <n v="0"/>
    <n v="81227.255383303331"/>
    <n v="0"/>
  </r>
  <r>
    <s v="Regular"/>
    <x v="1"/>
    <x v="3"/>
    <x v="1"/>
    <x v="0"/>
    <x v="0"/>
    <x v="0"/>
    <x v="0"/>
    <x v="8"/>
    <n v="0"/>
    <n v="0"/>
    <n v="6043.4610000000002"/>
    <n v="6043.4610000000002"/>
    <n v="6043.4610000000002"/>
    <n v="6043.4610000000002"/>
    <n v="0"/>
    <x v="0"/>
    <n v="0"/>
    <n v="0"/>
    <n v="29"/>
    <n v="73"/>
    <n v="0"/>
    <n v="97.61"/>
    <n v="219.97"/>
    <m/>
    <n v="119.75016494517713"/>
    <n v="283.40928728637363"/>
    <n v="0"/>
    <n v="589902.22820999997"/>
    <n v="1329380.1161700001"/>
    <n v="0"/>
    <n v="723705.45158974512"/>
    <n v="1712772.974752995"/>
  </r>
  <r>
    <s v="Refaturamento - Regular"/>
    <x v="1"/>
    <x v="3"/>
    <x v="1"/>
    <x v="0"/>
    <x v="0"/>
    <x v="0"/>
    <x v="0"/>
    <x v="8"/>
    <n v="0"/>
    <n v="0"/>
    <n v="50.11"/>
    <n v="50.11"/>
    <n v="50.11"/>
    <n v="50.11"/>
    <n v="0"/>
    <x v="0"/>
    <n v="0"/>
    <n v="0"/>
    <n v="29"/>
    <n v="73"/>
    <n v="0"/>
    <n v="97.61"/>
    <n v="219.97"/>
    <m/>
    <n v="119.75016494517713"/>
    <n v="283.40928728637363"/>
    <n v="0"/>
    <n v="4891.2371000000003"/>
    <n v="11022.6967"/>
    <n v="0"/>
    <n v="6000.6807654028262"/>
    <n v="14201.639385920182"/>
  </r>
  <r>
    <s v="Sistema de Compensação"/>
    <x v="1"/>
    <x v="3"/>
    <x v="1"/>
    <x v="0"/>
    <x v="0"/>
    <x v="0"/>
    <x v="0"/>
    <x v="8"/>
    <n v="0"/>
    <n v="0"/>
    <n v="270.80099999999999"/>
    <n v="270.80099999999999"/>
    <n v="270.80099999999999"/>
    <n v="270.80099999999999"/>
    <n v="0"/>
    <x v="0"/>
    <n v="0"/>
    <n v="0"/>
    <n v="29"/>
    <n v="73"/>
    <n v="0"/>
    <n v="97.61"/>
    <n v="219.97"/>
    <m/>
    <n v="119.75016494517713"/>
    <n v="283.40928728637363"/>
    <n v="0"/>
    <n v="26432.885609999998"/>
    <n v="59568.095969999995"/>
    <n v="0"/>
    <n v="32428.464417318912"/>
    <n v="76747.518406437259"/>
  </r>
  <r>
    <s v="Regular"/>
    <x v="1"/>
    <x v="3"/>
    <x v="1"/>
    <x v="0"/>
    <x v="0"/>
    <x v="0"/>
    <x v="0"/>
    <x v="8"/>
    <n v="0"/>
    <n v="0"/>
    <n v="767.82899999999995"/>
    <n v="767.82899999999995"/>
    <n v="0"/>
    <n v="0"/>
    <n v="0"/>
    <x v="1"/>
    <n v="0"/>
    <n v="0"/>
    <n v="29"/>
    <n v="0"/>
    <n v="0"/>
    <n v="97.61"/>
    <n v="0"/>
    <m/>
    <n v="119.75016494517713"/>
    <m/>
    <n v="0"/>
    <n v="74947.788690000001"/>
    <n v="0"/>
    <n v="0"/>
    <n v="91947.649399690403"/>
    <n v="0"/>
  </r>
  <r>
    <s v="Regular"/>
    <x v="1"/>
    <x v="3"/>
    <x v="1"/>
    <x v="0"/>
    <x v="0"/>
    <x v="0"/>
    <x v="0"/>
    <x v="9"/>
    <n v="0"/>
    <n v="0"/>
    <n v="6074.5330000000004"/>
    <n v="6074.5330000000004"/>
    <n v="6074.5330000000004"/>
    <n v="6074.5330000000004"/>
    <n v="0"/>
    <x v="0"/>
    <n v="0"/>
    <n v="0"/>
    <n v="29"/>
    <n v="73"/>
    <n v="0"/>
    <n v="97.61"/>
    <n v="219.97"/>
    <m/>
    <n v="119.75016494517713"/>
    <n v="283.40928728637363"/>
    <n v="0"/>
    <n v="592935.16613000003"/>
    <n v="1336215.0240100001"/>
    <n v="0"/>
    <n v="727426.32871492172"/>
    <n v="1721579.0681275572"/>
  </r>
  <r>
    <s v="Refaturamento - Regular"/>
    <x v="1"/>
    <x v="3"/>
    <x v="1"/>
    <x v="0"/>
    <x v="0"/>
    <x v="0"/>
    <x v="0"/>
    <x v="9"/>
    <n v="0"/>
    <n v="0"/>
    <n v="-36.698999999999998"/>
    <n v="-36.698999999999998"/>
    <n v="-36.698999999999998"/>
    <n v="-36.698999999999998"/>
    <n v="0"/>
    <x v="0"/>
    <n v="0"/>
    <n v="0"/>
    <n v="29"/>
    <n v="73"/>
    <n v="0"/>
    <n v="97.61"/>
    <n v="219.97"/>
    <m/>
    <n v="119.75016494517713"/>
    <n v="283.40928728637363"/>
    <n v="0"/>
    <n v="-3582.18939"/>
    <n v="-8072.6790299999993"/>
    <n v="0"/>
    <n v="-4394.7113033230553"/>
    <n v="-10400.837434122624"/>
  </r>
  <r>
    <s v="Sistema de Compensação"/>
    <x v="1"/>
    <x v="3"/>
    <x v="1"/>
    <x v="0"/>
    <x v="0"/>
    <x v="0"/>
    <x v="0"/>
    <x v="9"/>
    <n v="0"/>
    <n v="0"/>
    <n v="255.11099999999999"/>
    <n v="255.11099999999999"/>
    <n v="255.11099999999999"/>
    <n v="255.11099999999999"/>
    <n v="0"/>
    <x v="0"/>
    <n v="0"/>
    <n v="0"/>
    <n v="29"/>
    <n v="73"/>
    <n v="0"/>
    <n v="97.61"/>
    <n v="219.97"/>
    <m/>
    <n v="119.75016494517713"/>
    <n v="283.40928728637363"/>
    <n v="0"/>
    <n v="24901.384709999998"/>
    <n v="56116.766669999997"/>
    <n v="0"/>
    <n v="30549.584329329082"/>
    <n v="72300.826688914065"/>
  </r>
  <r>
    <s v="Regular"/>
    <x v="1"/>
    <x v="3"/>
    <x v="1"/>
    <x v="0"/>
    <x v="0"/>
    <x v="0"/>
    <x v="0"/>
    <x v="9"/>
    <n v="0"/>
    <n v="0"/>
    <n v="785.85"/>
    <n v="785.85"/>
    <n v="0"/>
    <n v="0"/>
    <n v="0"/>
    <x v="1"/>
    <n v="0"/>
    <n v="0"/>
    <n v="29"/>
    <n v="0"/>
    <n v="0"/>
    <n v="97.61"/>
    <n v="0"/>
    <m/>
    <n v="119.75016494517713"/>
    <m/>
    <n v="0"/>
    <n v="76706.818500000008"/>
    <n v="0"/>
    <n v="0"/>
    <n v="94105.667122167448"/>
    <n v="0"/>
  </r>
  <r>
    <s v="Regular"/>
    <x v="1"/>
    <x v="3"/>
    <x v="1"/>
    <x v="0"/>
    <x v="0"/>
    <x v="0"/>
    <x v="0"/>
    <x v="10"/>
    <n v="0"/>
    <n v="0"/>
    <n v="6845.9409999999998"/>
    <n v="6845.9409999999998"/>
    <n v="6845.9409999999998"/>
    <n v="6845.9409999999998"/>
    <n v="0"/>
    <x v="0"/>
    <n v="0"/>
    <n v="0"/>
    <n v="29"/>
    <n v="73"/>
    <n v="0"/>
    <n v="97.61"/>
    <n v="219.97"/>
    <m/>
    <n v="119.75016494517713"/>
    <n v="283.40928728637363"/>
    <n v="0"/>
    <n v="668232.30100999994"/>
    <n v="1505901.6417699999"/>
    <n v="0"/>
    <n v="819802.56395495089"/>
    <n v="1940203.2596145638"/>
  </r>
  <r>
    <s v="Sistema de Compensação"/>
    <x v="1"/>
    <x v="3"/>
    <x v="1"/>
    <x v="0"/>
    <x v="0"/>
    <x v="0"/>
    <x v="0"/>
    <x v="10"/>
    <n v="0"/>
    <n v="0"/>
    <n v="388.113"/>
    <n v="388.113"/>
    <n v="388.113"/>
    <n v="388.113"/>
    <n v="0"/>
    <x v="0"/>
    <n v="0"/>
    <n v="0"/>
    <n v="29"/>
    <n v="73"/>
    <n v="0"/>
    <n v="97.61"/>
    <n v="219.97"/>
    <m/>
    <n v="119.75016494517713"/>
    <n v="283.40928728637363"/>
    <n v="0"/>
    <n v="37883.709929999997"/>
    <n v="85373.216610000003"/>
    <n v="0"/>
    <n v="46476.595767367529"/>
    <n v="109994.82871657633"/>
  </r>
  <r>
    <s v="Regular"/>
    <x v="1"/>
    <x v="3"/>
    <x v="1"/>
    <x v="0"/>
    <x v="0"/>
    <x v="0"/>
    <x v="0"/>
    <x v="10"/>
    <n v="0"/>
    <n v="0"/>
    <n v="846.55100000000004"/>
    <n v="846.55100000000004"/>
    <n v="0"/>
    <n v="0"/>
    <n v="0"/>
    <x v="1"/>
    <n v="0"/>
    <n v="0"/>
    <n v="29"/>
    <n v="0"/>
    <n v="0"/>
    <n v="97.61"/>
    <n v="0"/>
    <m/>
    <n v="119.75016494517713"/>
    <m/>
    <n v="0"/>
    <n v="82631.843110000002"/>
    <n v="0"/>
    <n v="0"/>
    <n v="101374.62188450465"/>
    <n v="0"/>
  </r>
  <r>
    <s v="PROJETADO"/>
    <x v="1"/>
    <x v="3"/>
    <x v="1"/>
    <x v="0"/>
    <x v="0"/>
    <x v="0"/>
    <x v="0"/>
    <x v="11"/>
    <n v="0"/>
    <n v="0"/>
    <n v="6845.9409999999998"/>
    <n v="6845.9409999999998"/>
    <n v="6845.9409999999998"/>
    <n v="6845.9409999999998"/>
    <n v="0"/>
    <x v="0"/>
    <n v="0"/>
    <n v="0"/>
    <n v="29"/>
    <n v="73"/>
    <n v="0"/>
    <n v="97.61"/>
    <n v="219.97"/>
    <m/>
    <n v="119.75016494517713"/>
    <n v="283.40928728637363"/>
    <n v="0"/>
    <n v="668232.30100999994"/>
    <n v="1505901.6417699999"/>
    <n v="0"/>
    <n v="819802.56395495089"/>
    <n v="1940203.2596145638"/>
  </r>
  <r>
    <s v="PROJETADO"/>
    <x v="1"/>
    <x v="3"/>
    <x v="1"/>
    <x v="0"/>
    <x v="0"/>
    <x v="0"/>
    <x v="0"/>
    <x v="11"/>
    <n v="0"/>
    <n v="0"/>
    <n v="388.113"/>
    <n v="388.113"/>
    <n v="388.113"/>
    <n v="388.113"/>
    <n v="0"/>
    <x v="0"/>
    <n v="0"/>
    <n v="0"/>
    <n v="29"/>
    <n v="73"/>
    <n v="0"/>
    <n v="97.61"/>
    <n v="219.97"/>
    <m/>
    <n v="119.75016494517713"/>
    <n v="283.40928728637363"/>
    <n v="0"/>
    <n v="37883.709929999997"/>
    <n v="85373.216610000003"/>
    <n v="0"/>
    <n v="46476.595767367529"/>
    <n v="109994.82871657633"/>
  </r>
  <r>
    <s v="PROJETADO"/>
    <x v="1"/>
    <x v="3"/>
    <x v="1"/>
    <x v="0"/>
    <x v="0"/>
    <x v="0"/>
    <x v="0"/>
    <x v="11"/>
    <n v="0"/>
    <n v="0"/>
    <n v="846.55100000000004"/>
    <n v="846.55100000000004"/>
    <n v="0"/>
    <n v="0"/>
    <n v="0"/>
    <x v="1"/>
    <n v="0"/>
    <n v="0"/>
    <n v="29"/>
    <n v="0"/>
    <n v="0"/>
    <n v="97.61"/>
    <n v="0"/>
    <m/>
    <n v="119.75016494517713"/>
    <m/>
    <n v="0"/>
    <n v="82631.843110000002"/>
    <n v="0"/>
    <n v="0"/>
    <n v="101374.62188450465"/>
    <n v="0"/>
  </r>
  <r>
    <s v="Regular"/>
    <x v="1"/>
    <x v="3"/>
    <x v="1"/>
    <x v="0"/>
    <x v="0"/>
    <x v="0"/>
    <x v="1"/>
    <x v="0"/>
    <n v="41542"/>
    <n v="41542"/>
    <n v="0"/>
    <n v="0"/>
    <n v="0"/>
    <n v="0"/>
    <n v="239"/>
    <x v="0"/>
    <n v="0"/>
    <n v="7"/>
    <n v="0"/>
    <n v="0"/>
    <n v="21.85"/>
    <n v="0"/>
    <n v="0"/>
    <n v="27.777091190692239"/>
    <m/>
    <m/>
    <n v="907692.70000000007"/>
    <n v="0"/>
    <n v="0"/>
    <n v="1153915.9222437369"/>
    <n v="0"/>
    <n v="0"/>
  </r>
  <r>
    <s v="Refaturamento - Regular"/>
    <x v="1"/>
    <x v="3"/>
    <x v="1"/>
    <x v="0"/>
    <x v="0"/>
    <x v="0"/>
    <x v="1"/>
    <x v="0"/>
    <n v="-34"/>
    <n v="-34"/>
    <n v="0"/>
    <n v="0"/>
    <n v="0"/>
    <n v="0"/>
    <n v="0"/>
    <x v="0"/>
    <n v="0"/>
    <n v="7"/>
    <n v="0"/>
    <n v="0"/>
    <n v="21.85"/>
    <n v="0"/>
    <n v="0"/>
    <n v="27.777091190692239"/>
    <m/>
    <m/>
    <n v="-742.90000000000009"/>
    <n v="0"/>
    <n v="0"/>
    <n v="-944.42110048353618"/>
    <n v="0"/>
    <n v="0"/>
  </r>
  <r>
    <s v="Sistema de Compensação"/>
    <x v="1"/>
    <x v="3"/>
    <x v="1"/>
    <x v="0"/>
    <x v="0"/>
    <x v="0"/>
    <x v="1"/>
    <x v="0"/>
    <n v="1745"/>
    <n v="1745"/>
    <n v="0"/>
    <n v="0"/>
    <n v="0"/>
    <n v="0"/>
    <n v="10"/>
    <x v="0"/>
    <n v="0"/>
    <n v="7"/>
    <n v="0"/>
    <n v="0"/>
    <n v="21.85"/>
    <n v="0"/>
    <n v="0"/>
    <n v="27.777091190692239"/>
    <m/>
    <m/>
    <n v="38128.25"/>
    <n v="0"/>
    <n v="0"/>
    <n v="48471.024127757955"/>
    <n v="0"/>
    <n v="0"/>
  </r>
  <r>
    <s v="Regular"/>
    <x v="1"/>
    <x v="3"/>
    <x v="1"/>
    <x v="0"/>
    <x v="0"/>
    <x v="0"/>
    <x v="1"/>
    <x v="0"/>
    <n v="2500"/>
    <n v="2500"/>
    <n v="0"/>
    <n v="0"/>
    <n v="0"/>
    <n v="0"/>
    <n v="1"/>
    <x v="1"/>
    <n v="0"/>
    <n v="7"/>
    <n v="0"/>
    <n v="0"/>
    <n v="21.85"/>
    <n v="0"/>
    <n v="0"/>
    <n v="27.777091190692239"/>
    <m/>
    <m/>
    <n v="54625"/>
    <n v="0"/>
    <n v="0"/>
    <n v="69442.727976730603"/>
    <n v="0"/>
    <n v="0"/>
  </r>
  <r>
    <s v="Regular"/>
    <x v="1"/>
    <x v="3"/>
    <x v="1"/>
    <x v="0"/>
    <x v="0"/>
    <x v="0"/>
    <x v="1"/>
    <x v="1"/>
    <n v="41302"/>
    <n v="41302"/>
    <n v="0"/>
    <n v="0"/>
    <n v="0"/>
    <n v="0"/>
    <n v="238"/>
    <x v="0"/>
    <n v="0"/>
    <n v="7"/>
    <n v="0"/>
    <n v="0"/>
    <n v="21.85"/>
    <n v="0"/>
    <n v="0"/>
    <n v="27.777091190692239"/>
    <m/>
    <m/>
    <n v="902448.70000000007"/>
    <n v="0"/>
    <n v="0"/>
    <n v="1147249.4203579708"/>
    <n v="0"/>
    <n v="0"/>
  </r>
  <r>
    <s v="Refaturamento - Regular"/>
    <x v="1"/>
    <x v="3"/>
    <x v="1"/>
    <x v="0"/>
    <x v="0"/>
    <x v="0"/>
    <x v="1"/>
    <x v="1"/>
    <n v="-1008"/>
    <n v="-1008"/>
    <n v="0"/>
    <n v="0"/>
    <n v="0"/>
    <n v="0"/>
    <n v="-3"/>
    <x v="0"/>
    <n v="0"/>
    <n v="7"/>
    <n v="0"/>
    <n v="0"/>
    <n v="21.85"/>
    <n v="0"/>
    <n v="0"/>
    <n v="27.777091190692239"/>
    <m/>
    <m/>
    <n v="-22024.800000000003"/>
    <n v="0"/>
    <n v="0"/>
    <n v="-27999.307920217776"/>
    <n v="0"/>
    <n v="0"/>
  </r>
  <r>
    <s v="Sistema de Compensação"/>
    <x v="1"/>
    <x v="3"/>
    <x v="1"/>
    <x v="0"/>
    <x v="0"/>
    <x v="0"/>
    <x v="1"/>
    <x v="1"/>
    <n v="1736"/>
    <n v="1736"/>
    <n v="0"/>
    <n v="0"/>
    <n v="0"/>
    <n v="0"/>
    <n v="10"/>
    <x v="0"/>
    <n v="0"/>
    <n v="7"/>
    <n v="0"/>
    <n v="0"/>
    <n v="21.85"/>
    <n v="0"/>
    <n v="0"/>
    <n v="27.777091190692239"/>
    <m/>
    <m/>
    <n v="37931.600000000006"/>
    <n v="0"/>
    <n v="0"/>
    <n v="48221.030307041729"/>
    <n v="0"/>
    <n v="0"/>
  </r>
  <r>
    <s v="Regular"/>
    <x v="1"/>
    <x v="3"/>
    <x v="1"/>
    <x v="0"/>
    <x v="0"/>
    <x v="0"/>
    <x v="1"/>
    <x v="1"/>
    <n v="2614"/>
    <n v="2614"/>
    <n v="0"/>
    <n v="0"/>
    <n v="0"/>
    <n v="0"/>
    <n v="1"/>
    <x v="1"/>
    <n v="0"/>
    <n v="7"/>
    <n v="0"/>
    <n v="0"/>
    <n v="21.85"/>
    <n v="0"/>
    <n v="0"/>
    <n v="27.777091190692239"/>
    <m/>
    <m/>
    <n v="57115.9"/>
    <n v="0"/>
    <n v="0"/>
    <n v="72609.316372469519"/>
    <n v="0"/>
    <n v="0"/>
  </r>
  <r>
    <s v="Regular"/>
    <x v="1"/>
    <x v="3"/>
    <x v="1"/>
    <x v="0"/>
    <x v="0"/>
    <x v="0"/>
    <x v="1"/>
    <x v="2"/>
    <n v="41821"/>
    <n v="41821"/>
    <n v="0"/>
    <n v="0"/>
    <n v="0"/>
    <n v="0"/>
    <n v="235"/>
    <x v="0"/>
    <n v="0"/>
    <n v="7"/>
    <n v="0"/>
    <n v="0"/>
    <n v="21.85"/>
    <n v="0"/>
    <n v="0"/>
    <n v="27.777091190692239"/>
    <m/>
    <m/>
    <n v="913788.85000000009"/>
    <n v="0"/>
    <n v="0"/>
    <n v="1161665.7306859402"/>
    <n v="0"/>
    <n v="0"/>
  </r>
  <r>
    <s v="Sistema de Compensação"/>
    <x v="1"/>
    <x v="3"/>
    <x v="1"/>
    <x v="0"/>
    <x v="0"/>
    <x v="0"/>
    <x v="1"/>
    <x v="2"/>
    <n v="2385"/>
    <n v="2385"/>
    <n v="0"/>
    <n v="0"/>
    <n v="0"/>
    <n v="0"/>
    <n v="12"/>
    <x v="0"/>
    <n v="0"/>
    <n v="7"/>
    <n v="0"/>
    <n v="0"/>
    <n v="21.85"/>
    <n v="0"/>
    <n v="0"/>
    <n v="27.777091190692239"/>
    <m/>
    <m/>
    <n v="52112.25"/>
    <n v="0"/>
    <n v="0"/>
    <n v="66248.362489800988"/>
    <n v="0"/>
    <n v="0"/>
  </r>
  <r>
    <s v="Regular"/>
    <x v="1"/>
    <x v="3"/>
    <x v="1"/>
    <x v="0"/>
    <x v="0"/>
    <x v="0"/>
    <x v="1"/>
    <x v="2"/>
    <n v="2667"/>
    <n v="2667"/>
    <n v="0"/>
    <n v="0"/>
    <n v="0"/>
    <n v="0"/>
    <n v="1"/>
    <x v="1"/>
    <n v="0"/>
    <n v="7"/>
    <n v="0"/>
    <n v="0"/>
    <n v="21.85"/>
    <n v="0"/>
    <n v="0"/>
    <n v="27.777091190692239"/>
    <m/>
    <m/>
    <n v="58273.950000000004"/>
    <n v="0"/>
    <n v="0"/>
    <n v="74081.502205576209"/>
    <n v="0"/>
    <n v="0"/>
  </r>
  <r>
    <s v="Regular"/>
    <x v="1"/>
    <x v="3"/>
    <x v="1"/>
    <x v="0"/>
    <x v="0"/>
    <x v="0"/>
    <x v="1"/>
    <x v="3"/>
    <n v="42621"/>
    <n v="42621"/>
    <n v="0"/>
    <n v="0"/>
    <n v="0"/>
    <n v="0"/>
    <n v="227"/>
    <x v="0"/>
    <n v="0"/>
    <n v="7"/>
    <n v="0"/>
    <n v="0"/>
    <n v="21.85"/>
    <n v="0"/>
    <n v="0"/>
    <n v="27.777091190692239"/>
    <m/>
    <m/>
    <n v="931268.85000000009"/>
    <n v="0"/>
    <n v="0"/>
    <n v="1183887.403638494"/>
    <n v="0"/>
    <n v="0"/>
  </r>
  <r>
    <s v="Refaturamento - Regular"/>
    <x v="1"/>
    <x v="3"/>
    <x v="1"/>
    <x v="0"/>
    <x v="0"/>
    <x v="0"/>
    <x v="1"/>
    <x v="3"/>
    <n v="37"/>
    <n v="37"/>
    <n v="0"/>
    <n v="0"/>
    <n v="0"/>
    <n v="0"/>
    <n v="-1"/>
    <x v="0"/>
    <n v="0"/>
    <n v="7"/>
    <n v="0"/>
    <n v="0"/>
    <n v="21.85"/>
    <n v="0"/>
    <n v="0"/>
    <n v="27.777091190692239"/>
    <m/>
    <m/>
    <n v="808.45"/>
    <n v="0"/>
    <n v="0"/>
    <n v="1027.7523740556128"/>
    <n v="0"/>
    <n v="0"/>
  </r>
  <r>
    <s v="Sistema de Compensação"/>
    <x v="1"/>
    <x v="3"/>
    <x v="1"/>
    <x v="0"/>
    <x v="0"/>
    <x v="0"/>
    <x v="1"/>
    <x v="3"/>
    <n v="2565"/>
    <n v="2565"/>
    <n v="0"/>
    <n v="0"/>
    <n v="0"/>
    <n v="0"/>
    <n v="14"/>
    <x v="0"/>
    <n v="0"/>
    <n v="7"/>
    <n v="0"/>
    <n v="0"/>
    <n v="21.85"/>
    <n v="0"/>
    <n v="0"/>
    <n v="27.777091190692239"/>
    <m/>
    <m/>
    <n v="56045.250000000007"/>
    <n v="0"/>
    <n v="0"/>
    <n v="71248.238904125596"/>
    <n v="0"/>
    <n v="0"/>
  </r>
  <r>
    <s v="Regular"/>
    <x v="1"/>
    <x v="3"/>
    <x v="1"/>
    <x v="0"/>
    <x v="0"/>
    <x v="0"/>
    <x v="1"/>
    <x v="3"/>
    <n v="2667"/>
    <n v="2667"/>
    <n v="0"/>
    <n v="0"/>
    <n v="0"/>
    <n v="0"/>
    <n v="1"/>
    <x v="1"/>
    <n v="0"/>
    <n v="7"/>
    <n v="0"/>
    <n v="0"/>
    <n v="21.85"/>
    <n v="0"/>
    <n v="0"/>
    <n v="27.777091190692239"/>
    <m/>
    <m/>
    <n v="58273.950000000004"/>
    <n v="0"/>
    <n v="0"/>
    <n v="74081.502205576209"/>
    <n v="0"/>
    <n v="0"/>
  </r>
  <r>
    <s v="Regular"/>
    <x v="1"/>
    <x v="3"/>
    <x v="1"/>
    <x v="0"/>
    <x v="0"/>
    <x v="0"/>
    <x v="1"/>
    <x v="4"/>
    <n v="43420"/>
    <n v="43420"/>
    <n v="0"/>
    <n v="0"/>
    <n v="0"/>
    <n v="0"/>
    <n v="229"/>
    <x v="0"/>
    <n v="0"/>
    <n v="7"/>
    <n v="0"/>
    <n v="0"/>
    <n v="21.85"/>
    <n v="0"/>
    <n v="0"/>
    <n v="27.777091190692239"/>
    <m/>
    <m/>
    <n v="948727.00000000012"/>
    <n v="0"/>
    <n v="0"/>
    <n v="1206081.299499857"/>
    <n v="0"/>
    <n v="0"/>
  </r>
  <r>
    <s v="Refaturamento - Regular"/>
    <x v="1"/>
    <x v="3"/>
    <x v="1"/>
    <x v="0"/>
    <x v="0"/>
    <x v="0"/>
    <x v="1"/>
    <x v="4"/>
    <n v="-167"/>
    <n v="-167"/>
    <n v="0"/>
    <n v="0"/>
    <n v="0"/>
    <n v="0"/>
    <n v="0"/>
    <x v="0"/>
    <n v="0"/>
    <n v="7"/>
    <n v="0"/>
    <n v="0"/>
    <n v="21.85"/>
    <n v="0"/>
    <n v="0"/>
    <n v="27.777091190692239"/>
    <m/>
    <m/>
    <n v="-3648.9500000000003"/>
    <n v="0"/>
    <n v="0"/>
    <n v="-4638.7742288456038"/>
    <n v="0"/>
    <n v="0"/>
  </r>
  <r>
    <s v="Sistema de Compensação"/>
    <x v="1"/>
    <x v="3"/>
    <x v="1"/>
    <x v="0"/>
    <x v="0"/>
    <x v="0"/>
    <x v="1"/>
    <x v="4"/>
    <n v="2505"/>
    <n v="2505"/>
    <n v="0"/>
    <n v="0"/>
    <n v="0"/>
    <n v="0"/>
    <n v="14"/>
    <x v="0"/>
    <n v="0"/>
    <n v="7"/>
    <n v="0"/>
    <n v="0"/>
    <n v="21.85"/>
    <n v="0"/>
    <n v="0"/>
    <n v="27.777091190692239"/>
    <m/>
    <m/>
    <n v="54734.25"/>
    <n v="0"/>
    <n v="0"/>
    <n v="69581.613432684055"/>
    <n v="0"/>
    <n v="0"/>
  </r>
  <r>
    <s v="Regular"/>
    <x v="1"/>
    <x v="3"/>
    <x v="1"/>
    <x v="0"/>
    <x v="0"/>
    <x v="0"/>
    <x v="1"/>
    <x v="4"/>
    <n v="2667"/>
    <n v="2667"/>
    <n v="0"/>
    <n v="0"/>
    <n v="0"/>
    <n v="0"/>
    <n v="1"/>
    <x v="1"/>
    <n v="0"/>
    <n v="7"/>
    <n v="0"/>
    <n v="0"/>
    <n v="21.85"/>
    <n v="0"/>
    <n v="0"/>
    <n v="27.777091190692239"/>
    <m/>
    <m/>
    <n v="58273.950000000004"/>
    <n v="0"/>
    <n v="0"/>
    <n v="74081.502205576209"/>
    <n v="0"/>
    <n v="0"/>
  </r>
  <r>
    <s v="Regular"/>
    <x v="1"/>
    <x v="3"/>
    <x v="1"/>
    <x v="0"/>
    <x v="0"/>
    <x v="0"/>
    <x v="1"/>
    <x v="5"/>
    <n v="44244"/>
    <n v="44244"/>
    <n v="0"/>
    <n v="0"/>
    <n v="0"/>
    <n v="0"/>
    <n v="227"/>
    <x v="0"/>
    <n v="0"/>
    <n v="7"/>
    <n v="0"/>
    <n v="0"/>
    <n v="21.85"/>
    <n v="0"/>
    <n v="0"/>
    <n v="27.777091190692239"/>
    <m/>
    <m/>
    <n v="966731.4"/>
    <n v="0"/>
    <n v="0"/>
    <n v="1228969.6226409874"/>
    <n v="0"/>
    <n v="0"/>
  </r>
  <r>
    <s v="Refaturamento - Regular"/>
    <x v="1"/>
    <x v="3"/>
    <x v="1"/>
    <x v="0"/>
    <x v="0"/>
    <x v="0"/>
    <x v="1"/>
    <x v="5"/>
    <n v="-242"/>
    <n v="-242"/>
    <n v="0"/>
    <n v="0"/>
    <n v="0"/>
    <n v="0"/>
    <n v="0"/>
    <x v="0"/>
    <n v="0"/>
    <n v="7"/>
    <n v="0"/>
    <n v="0"/>
    <n v="21.85"/>
    <n v="0"/>
    <n v="0"/>
    <n v="27.777091190692239"/>
    <m/>
    <m/>
    <n v="-5287.7000000000007"/>
    <n v="0"/>
    <n v="0"/>
    <n v="-6722.0560681475217"/>
    <n v="0"/>
    <n v="0"/>
  </r>
  <r>
    <s v="Sistema de Compensação"/>
    <x v="1"/>
    <x v="3"/>
    <x v="1"/>
    <x v="0"/>
    <x v="0"/>
    <x v="0"/>
    <x v="1"/>
    <x v="5"/>
    <n v="2535"/>
    <n v="2535"/>
    <n v="0"/>
    <n v="0"/>
    <n v="0"/>
    <n v="0"/>
    <n v="14"/>
    <x v="0"/>
    <n v="0"/>
    <n v="7"/>
    <n v="0"/>
    <n v="0"/>
    <n v="21.85"/>
    <n v="0"/>
    <n v="0"/>
    <n v="27.777091190692239"/>
    <m/>
    <m/>
    <n v="55389.75"/>
    <n v="0"/>
    <n v="0"/>
    <n v="70414.926168404825"/>
    <n v="0"/>
    <n v="0"/>
  </r>
  <r>
    <s v="Regular"/>
    <x v="1"/>
    <x v="3"/>
    <x v="1"/>
    <x v="0"/>
    <x v="0"/>
    <x v="0"/>
    <x v="1"/>
    <x v="5"/>
    <n v="2644"/>
    <n v="2644"/>
    <n v="0"/>
    <n v="0"/>
    <n v="0"/>
    <n v="0"/>
    <n v="1"/>
    <x v="1"/>
    <n v="0"/>
    <n v="7"/>
    <n v="0"/>
    <n v="0"/>
    <n v="21.85"/>
    <n v="0"/>
    <n v="0"/>
    <n v="27.777091190692239"/>
    <m/>
    <m/>
    <n v="57771.4"/>
    <n v="0"/>
    <n v="0"/>
    <n v="73442.629108190275"/>
    <n v="0"/>
    <n v="0"/>
  </r>
  <r>
    <s v="Regular"/>
    <x v="1"/>
    <x v="3"/>
    <x v="1"/>
    <x v="0"/>
    <x v="0"/>
    <x v="0"/>
    <x v="1"/>
    <x v="6"/>
    <n v="42706"/>
    <n v="42706"/>
    <n v="0"/>
    <n v="0"/>
    <n v="0"/>
    <n v="0"/>
    <n v="225"/>
    <x v="0"/>
    <n v="0"/>
    <n v="7"/>
    <n v="0"/>
    <n v="0"/>
    <n v="21.85"/>
    <n v="0"/>
    <n v="0"/>
    <n v="27.777091190692239"/>
    <m/>
    <m/>
    <n v="933126.10000000009"/>
    <n v="0"/>
    <n v="0"/>
    <n v="1186248.4563897029"/>
    <n v="0"/>
    <n v="0"/>
  </r>
  <r>
    <s v="Refaturamento - Regular"/>
    <x v="1"/>
    <x v="3"/>
    <x v="1"/>
    <x v="0"/>
    <x v="0"/>
    <x v="0"/>
    <x v="1"/>
    <x v="6"/>
    <n v="624"/>
    <n v="624"/>
    <n v="0"/>
    <n v="0"/>
    <n v="0"/>
    <n v="0"/>
    <n v="2"/>
    <x v="0"/>
    <n v="0"/>
    <n v="7"/>
    <n v="0"/>
    <n v="0"/>
    <n v="21.85"/>
    <n v="0"/>
    <n v="0"/>
    <n v="27.777091190692239"/>
    <m/>
    <m/>
    <n v="13634.400000000001"/>
    <n v="0"/>
    <n v="0"/>
    <n v="17332.904902991959"/>
    <n v="0"/>
    <n v="0"/>
  </r>
  <r>
    <s v="Sistema de Compensação"/>
    <x v="1"/>
    <x v="3"/>
    <x v="1"/>
    <x v="0"/>
    <x v="0"/>
    <x v="0"/>
    <x v="1"/>
    <x v="6"/>
    <n v="2528"/>
    <n v="2528"/>
    <n v="0"/>
    <n v="0"/>
    <n v="0"/>
    <n v="0"/>
    <n v="14"/>
    <x v="0"/>
    <n v="0"/>
    <n v="7"/>
    <n v="0"/>
    <n v="0"/>
    <n v="21.85"/>
    <n v="0"/>
    <n v="0"/>
    <n v="27.777091190692239"/>
    <m/>
    <m/>
    <n v="55236.800000000003"/>
    <n v="0"/>
    <n v="0"/>
    <n v="70220.486530069975"/>
    <n v="0"/>
    <n v="0"/>
  </r>
  <r>
    <s v="Regular"/>
    <x v="1"/>
    <x v="3"/>
    <x v="1"/>
    <x v="0"/>
    <x v="0"/>
    <x v="0"/>
    <x v="1"/>
    <x v="6"/>
    <n v="2632"/>
    <n v="2632"/>
    <n v="0"/>
    <n v="0"/>
    <n v="0"/>
    <n v="0"/>
    <n v="1"/>
    <x v="1"/>
    <n v="0"/>
    <n v="7"/>
    <n v="0"/>
    <n v="0"/>
    <n v="21.85"/>
    <n v="0"/>
    <n v="0"/>
    <n v="27.777091190692239"/>
    <m/>
    <m/>
    <n v="57509.200000000004"/>
    <n v="0"/>
    <n v="0"/>
    <n v="73109.304013901972"/>
    <n v="0"/>
    <n v="0"/>
  </r>
  <r>
    <s v="Regular"/>
    <x v="1"/>
    <x v="3"/>
    <x v="1"/>
    <x v="0"/>
    <x v="0"/>
    <x v="0"/>
    <x v="1"/>
    <x v="7"/>
    <n v="45467"/>
    <n v="45467"/>
    <n v="0"/>
    <n v="0"/>
    <n v="0"/>
    <n v="0"/>
    <n v="226"/>
    <x v="0"/>
    <n v="0"/>
    <n v="7"/>
    <n v="0"/>
    <n v="0"/>
    <n v="21.85"/>
    <n v="0"/>
    <n v="0"/>
    <n v="27.777091190692239"/>
    <m/>
    <m/>
    <n v="993453.95000000007"/>
    <n v="0"/>
    <n v="0"/>
    <n v="1262941.005167204"/>
    <n v="0"/>
    <n v="0"/>
  </r>
  <r>
    <s v="Refaturamento - Regular"/>
    <x v="1"/>
    <x v="3"/>
    <x v="1"/>
    <x v="0"/>
    <x v="0"/>
    <x v="0"/>
    <x v="1"/>
    <x v="7"/>
    <n v="274"/>
    <n v="274"/>
    <n v="0"/>
    <n v="0"/>
    <n v="0"/>
    <n v="0"/>
    <n v="1"/>
    <x v="0"/>
    <n v="0"/>
    <n v="7"/>
    <n v="0"/>
    <n v="0"/>
    <n v="21.85"/>
    <n v="0"/>
    <n v="0"/>
    <n v="27.777091190692239"/>
    <m/>
    <m/>
    <n v="5986.9000000000005"/>
    <n v="0"/>
    <n v="0"/>
    <n v="7610.9229862496732"/>
    <n v="0"/>
    <n v="0"/>
  </r>
  <r>
    <s v="Sistema de Compensação"/>
    <x v="1"/>
    <x v="3"/>
    <x v="1"/>
    <x v="0"/>
    <x v="0"/>
    <x v="0"/>
    <x v="1"/>
    <x v="7"/>
    <n v="2803"/>
    <n v="2803"/>
    <n v="0"/>
    <n v="0"/>
    <n v="0"/>
    <n v="0"/>
    <n v="15"/>
    <x v="0"/>
    <n v="0"/>
    <n v="7"/>
    <n v="0"/>
    <n v="0"/>
    <n v="21.85"/>
    <n v="0"/>
    <n v="0"/>
    <n v="27.777091190692239"/>
    <m/>
    <m/>
    <n v="61245.55"/>
    <n v="0"/>
    <n v="0"/>
    <n v="77859.186607510346"/>
    <n v="0"/>
    <n v="0"/>
  </r>
  <r>
    <s v="Regular"/>
    <x v="1"/>
    <x v="3"/>
    <x v="1"/>
    <x v="0"/>
    <x v="0"/>
    <x v="0"/>
    <x v="1"/>
    <x v="7"/>
    <n v="2704"/>
    <n v="2704"/>
    <n v="0"/>
    <n v="0"/>
    <n v="0"/>
    <n v="0"/>
    <n v="1"/>
    <x v="1"/>
    <n v="0"/>
    <n v="7"/>
    <n v="0"/>
    <n v="0"/>
    <n v="21.85"/>
    <n v="0"/>
    <n v="0"/>
    <n v="27.777091190692239"/>
    <m/>
    <m/>
    <n v="59082.400000000001"/>
    <n v="0"/>
    <n v="0"/>
    <n v="75109.254579631815"/>
    <n v="0"/>
    <n v="0"/>
  </r>
  <r>
    <s v="Regular"/>
    <x v="1"/>
    <x v="3"/>
    <x v="1"/>
    <x v="0"/>
    <x v="0"/>
    <x v="0"/>
    <x v="1"/>
    <x v="8"/>
    <n v="42528"/>
    <n v="42528"/>
    <n v="0"/>
    <n v="0"/>
    <n v="0"/>
    <n v="0"/>
    <n v="224"/>
    <x v="0"/>
    <n v="0"/>
    <n v="7"/>
    <n v="0"/>
    <n v="0"/>
    <n v="21.85"/>
    <n v="0"/>
    <n v="0"/>
    <n v="27.777091190692239"/>
    <m/>
    <m/>
    <n v="929236.8"/>
    <n v="0"/>
    <n v="0"/>
    <n v="1181304.1341577596"/>
    <n v="0"/>
    <n v="0"/>
  </r>
  <r>
    <s v="Refaturamento - Regular"/>
    <x v="1"/>
    <x v="3"/>
    <x v="1"/>
    <x v="0"/>
    <x v="0"/>
    <x v="0"/>
    <x v="1"/>
    <x v="8"/>
    <n v="-1556"/>
    <n v="-1556"/>
    <n v="0"/>
    <n v="0"/>
    <n v="0"/>
    <n v="0"/>
    <n v="0"/>
    <x v="0"/>
    <n v="0"/>
    <n v="7"/>
    <n v="0"/>
    <n v="0"/>
    <n v="21.85"/>
    <n v="0"/>
    <n v="0"/>
    <n v="27.777091190692239"/>
    <m/>
    <m/>
    <n v="-33998.600000000006"/>
    <n v="0"/>
    <n v="0"/>
    <n v="-43221.153892717128"/>
    <n v="0"/>
    <n v="0"/>
  </r>
  <r>
    <s v="Sistema de Compensação"/>
    <x v="1"/>
    <x v="3"/>
    <x v="1"/>
    <x v="0"/>
    <x v="0"/>
    <x v="0"/>
    <x v="1"/>
    <x v="8"/>
    <n v="3009"/>
    <n v="3009"/>
    <n v="0"/>
    <n v="0"/>
    <n v="0"/>
    <n v="0"/>
    <n v="16"/>
    <x v="0"/>
    <n v="0"/>
    <n v="7"/>
    <n v="0"/>
    <n v="0"/>
    <n v="21.85"/>
    <n v="0"/>
    <n v="0"/>
    <n v="27.777091190692239"/>
    <m/>
    <m/>
    <n v="65746.650000000009"/>
    <n v="0"/>
    <n v="0"/>
    <n v="83581.267392792943"/>
    <n v="0"/>
    <n v="0"/>
  </r>
  <r>
    <s v="Regular"/>
    <x v="1"/>
    <x v="3"/>
    <x v="1"/>
    <x v="0"/>
    <x v="0"/>
    <x v="0"/>
    <x v="1"/>
    <x v="8"/>
    <n v="2748"/>
    <n v="2748"/>
    <n v="0"/>
    <n v="0"/>
    <n v="0"/>
    <n v="0"/>
    <n v="1"/>
    <x v="1"/>
    <n v="0"/>
    <n v="7"/>
    <n v="0"/>
    <n v="0"/>
    <n v="21.85"/>
    <n v="0"/>
    <n v="0"/>
    <n v="27.777091190692239"/>
    <m/>
    <m/>
    <n v="60043.8"/>
    <n v="0"/>
    <n v="0"/>
    <n v="76331.446592022272"/>
    <n v="0"/>
    <n v="0"/>
  </r>
  <r>
    <s v="Regular"/>
    <x v="1"/>
    <x v="3"/>
    <x v="1"/>
    <x v="0"/>
    <x v="0"/>
    <x v="0"/>
    <x v="1"/>
    <x v="9"/>
    <n v="41882"/>
    <n v="41882"/>
    <n v="0"/>
    <n v="0"/>
    <n v="0"/>
    <n v="0"/>
    <n v="226"/>
    <x v="0"/>
    <n v="0"/>
    <n v="7"/>
    <n v="0"/>
    <n v="0"/>
    <n v="21.85"/>
    <n v="0"/>
    <n v="0"/>
    <n v="27.777091190692239"/>
    <m/>
    <m/>
    <n v="915121.70000000007"/>
    <n v="0"/>
    <n v="0"/>
    <n v="1163360.1332485725"/>
    <n v="0"/>
    <n v="0"/>
  </r>
  <r>
    <s v="Refaturamento - Regular"/>
    <x v="1"/>
    <x v="3"/>
    <x v="1"/>
    <x v="0"/>
    <x v="0"/>
    <x v="0"/>
    <x v="1"/>
    <x v="9"/>
    <n v="-1826"/>
    <n v="-1826"/>
    <n v="0"/>
    <n v="0"/>
    <n v="0"/>
    <n v="0"/>
    <n v="-1"/>
    <x v="0"/>
    <n v="0"/>
    <n v="7"/>
    <n v="0"/>
    <n v="0"/>
    <n v="21.85"/>
    <n v="0"/>
    <n v="0"/>
    <n v="27.777091190692239"/>
    <m/>
    <m/>
    <n v="-39898.100000000006"/>
    <n v="0"/>
    <n v="0"/>
    <n v="-50720.968514204033"/>
    <n v="0"/>
    <n v="0"/>
  </r>
  <r>
    <s v="Sistema de Compensação"/>
    <x v="1"/>
    <x v="3"/>
    <x v="1"/>
    <x v="0"/>
    <x v="0"/>
    <x v="0"/>
    <x v="1"/>
    <x v="9"/>
    <n v="3035"/>
    <n v="3035"/>
    <n v="0"/>
    <n v="0"/>
    <n v="0"/>
    <n v="0"/>
    <n v="16"/>
    <x v="0"/>
    <n v="0"/>
    <n v="7"/>
    <n v="0"/>
    <n v="0"/>
    <n v="21.85"/>
    <n v="0"/>
    <n v="0"/>
    <n v="27.777091190692239"/>
    <m/>
    <m/>
    <n v="66314.75"/>
    <n v="0"/>
    <n v="0"/>
    <n v="84303.471763750946"/>
    <n v="0"/>
    <n v="0"/>
  </r>
  <r>
    <s v="Regular"/>
    <x v="1"/>
    <x v="3"/>
    <x v="1"/>
    <x v="0"/>
    <x v="0"/>
    <x v="0"/>
    <x v="1"/>
    <x v="9"/>
    <n v="2639"/>
    <n v="2639"/>
    <n v="0"/>
    <n v="0"/>
    <n v="0"/>
    <n v="0"/>
    <n v="1"/>
    <x v="1"/>
    <n v="0"/>
    <n v="7"/>
    <n v="0"/>
    <n v="0"/>
    <n v="21.85"/>
    <n v="0"/>
    <n v="0"/>
    <n v="27.777091190692239"/>
    <m/>
    <m/>
    <n v="57662.15"/>
    <n v="0"/>
    <n v="0"/>
    <n v="73303.743652236823"/>
    <n v="0"/>
    <n v="0"/>
  </r>
  <r>
    <s v="Regular"/>
    <x v="1"/>
    <x v="3"/>
    <x v="1"/>
    <x v="0"/>
    <x v="0"/>
    <x v="0"/>
    <x v="1"/>
    <x v="10"/>
    <n v="40385"/>
    <n v="40385"/>
    <n v="0"/>
    <n v="0"/>
    <n v="0"/>
    <n v="0"/>
    <n v="223"/>
    <x v="0"/>
    <n v="0"/>
    <n v="7"/>
    <n v="0"/>
    <n v="0"/>
    <n v="21.85"/>
    <n v="0"/>
    <n v="0"/>
    <n v="27.777091190692239"/>
    <m/>
    <m/>
    <n v="882412.25"/>
    <n v="0"/>
    <n v="0"/>
    <n v="1121777.827736106"/>
    <n v="0"/>
    <n v="0"/>
  </r>
  <r>
    <s v="Sistema de Compensação"/>
    <x v="1"/>
    <x v="3"/>
    <x v="1"/>
    <x v="0"/>
    <x v="0"/>
    <x v="0"/>
    <x v="1"/>
    <x v="10"/>
    <n v="3505"/>
    <n v="3505"/>
    <n v="0"/>
    <n v="0"/>
    <n v="0"/>
    <n v="0"/>
    <n v="19"/>
    <x v="0"/>
    <n v="0"/>
    <n v="7"/>
    <n v="0"/>
    <n v="0"/>
    <n v="21.85"/>
    <n v="0"/>
    <n v="0"/>
    <n v="27.777091190692239"/>
    <m/>
    <m/>
    <n v="76584.25"/>
    <n v="0"/>
    <n v="0"/>
    <n v="97358.704623376296"/>
    <n v="0"/>
    <n v="0"/>
  </r>
  <r>
    <s v="Regular"/>
    <x v="1"/>
    <x v="3"/>
    <x v="1"/>
    <x v="0"/>
    <x v="0"/>
    <x v="0"/>
    <x v="1"/>
    <x v="10"/>
    <n v="2500"/>
    <n v="2500"/>
    <n v="0"/>
    <n v="0"/>
    <n v="0"/>
    <n v="0"/>
    <n v="1"/>
    <x v="1"/>
    <n v="0"/>
    <n v="7"/>
    <n v="0"/>
    <n v="0"/>
    <n v="21.85"/>
    <n v="0"/>
    <n v="0"/>
    <n v="27.777091190692239"/>
    <m/>
    <m/>
    <n v="54625"/>
    <n v="0"/>
    <n v="0"/>
    <n v="69442.727976730603"/>
    <n v="0"/>
    <n v="0"/>
  </r>
  <r>
    <s v="PROJETADO"/>
    <x v="1"/>
    <x v="3"/>
    <x v="1"/>
    <x v="0"/>
    <x v="0"/>
    <x v="0"/>
    <x v="1"/>
    <x v="11"/>
    <n v="40385"/>
    <n v="40385"/>
    <n v="0"/>
    <n v="0"/>
    <n v="0"/>
    <n v="0"/>
    <n v="223"/>
    <x v="0"/>
    <n v="0"/>
    <n v="7"/>
    <n v="0"/>
    <n v="0"/>
    <n v="21.85"/>
    <n v="0"/>
    <n v="0"/>
    <n v="27.777091190692239"/>
    <m/>
    <m/>
    <n v="882412.25"/>
    <n v="0"/>
    <n v="0"/>
    <n v="1121777.827736106"/>
    <n v="0"/>
    <n v="0"/>
  </r>
  <r>
    <s v="PROJETADO"/>
    <x v="1"/>
    <x v="3"/>
    <x v="1"/>
    <x v="0"/>
    <x v="0"/>
    <x v="0"/>
    <x v="1"/>
    <x v="11"/>
    <n v="3505"/>
    <n v="3505"/>
    <n v="0"/>
    <n v="0"/>
    <n v="0"/>
    <n v="0"/>
    <n v="19"/>
    <x v="0"/>
    <n v="0"/>
    <n v="7"/>
    <n v="0"/>
    <n v="0"/>
    <n v="21.85"/>
    <n v="0"/>
    <n v="0"/>
    <n v="27.777091190692239"/>
    <m/>
    <m/>
    <n v="76584.25"/>
    <n v="0"/>
    <n v="0"/>
    <n v="97358.704623376296"/>
    <n v="0"/>
    <n v="0"/>
  </r>
  <r>
    <s v="PROJETADO"/>
    <x v="1"/>
    <x v="3"/>
    <x v="1"/>
    <x v="0"/>
    <x v="0"/>
    <x v="0"/>
    <x v="1"/>
    <x v="11"/>
    <n v="2500"/>
    <n v="2500"/>
    <n v="0"/>
    <n v="0"/>
    <n v="0"/>
    <n v="0"/>
    <n v="1"/>
    <x v="1"/>
    <n v="0"/>
    <n v="7"/>
    <n v="0"/>
    <n v="0"/>
    <n v="21.85"/>
    <n v="0"/>
    <n v="0"/>
    <n v="27.777091190692239"/>
    <m/>
    <m/>
    <n v="54625"/>
    <n v="0"/>
    <n v="0"/>
    <n v="69442.727976730603"/>
    <n v="0"/>
    <n v="0"/>
  </r>
  <r>
    <s v="Regular"/>
    <x v="1"/>
    <x v="3"/>
    <x v="1"/>
    <x v="0"/>
    <x v="0"/>
    <x v="0"/>
    <x v="2"/>
    <x v="0"/>
    <n v="0"/>
    <n v="0"/>
    <n v="315.51900000000001"/>
    <n v="315.51900000000001"/>
    <n v="315.51900000000001"/>
    <n v="315.51900000000001"/>
    <n v="0"/>
    <x v="0"/>
    <n v="0"/>
    <n v="0"/>
    <n v="8"/>
    <n v="72"/>
    <n v="0"/>
    <n v="1557.74"/>
    <n v="346.61"/>
    <m/>
    <n v="1938.4308905871562"/>
    <n v="441.69177554366559"/>
    <n v="0"/>
    <n v="491496.56706000003"/>
    <n v="109362.04059"/>
    <n v="0"/>
    <n v="611611.77616716898"/>
    <n v="139362.14732776184"/>
  </r>
  <r>
    <s v="Sistema de Compensação"/>
    <x v="1"/>
    <x v="3"/>
    <x v="1"/>
    <x v="0"/>
    <x v="0"/>
    <x v="0"/>
    <x v="2"/>
    <x v="0"/>
    <n v="0"/>
    <n v="0"/>
    <n v="10.651"/>
    <n v="10.651"/>
    <n v="10.651"/>
    <n v="10.651"/>
    <n v="0"/>
    <x v="0"/>
    <n v="0"/>
    <n v="0"/>
    <n v="8"/>
    <n v="72"/>
    <n v="0"/>
    <n v="1557.74"/>
    <n v="346.61"/>
    <m/>
    <n v="1938.4308905871562"/>
    <n v="441.69177554366559"/>
    <n v="0"/>
    <n v="16591.488740000001"/>
    <n v="3691.7431099999999"/>
    <n v="0"/>
    <n v="20646.2274156438"/>
    <n v="4704.4591013155823"/>
  </r>
  <r>
    <s v="Regular"/>
    <x v="1"/>
    <x v="3"/>
    <x v="1"/>
    <x v="0"/>
    <x v="0"/>
    <x v="0"/>
    <x v="2"/>
    <x v="0"/>
    <n v="0"/>
    <n v="0"/>
    <n v="12.628"/>
    <n v="12.628"/>
    <n v="0"/>
    <n v="0"/>
    <n v="0"/>
    <x v="1"/>
    <n v="0"/>
    <n v="0"/>
    <n v="8"/>
    <n v="0"/>
    <n v="0"/>
    <n v="1557.74"/>
    <n v="0"/>
    <m/>
    <n v="1938.4308905871562"/>
    <m/>
    <n v="0"/>
    <n v="19671.140719999999"/>
    <n v="0"/>
    <n v="0"/>
    <n v="24478.50528633461"/>
    <n v="0"/>
  </r>
  <r>
    <s v="Regular"/>
    <x v="1"/>
    <x v="3"/>
    <x v="1"/>
    <x v="0"/>
    <x v="0"/>
    <x v="0"/>
    <x v="2"/>
    <x v="1"/>
    <n v="0"/>
    <n v="0"/>
    <n v="311.45600000000002"/>
    <n v="311.45600000000002"/>
    <n v="311.45600000000002"/>
    <n v="311.45600000000002"/>
    <n v="0"/>
    <x v="0"/>
    <n v="0"/>
    <n v="0"/>
    <n v="8"/>
    <n v="72"/>
    <n v="0"/>
    <n v="1557.74"/>
    <n v="346.61"/>
    <m/>
    <n v="1938.4308905871562"/>
    <n v="441.69177554366559"/>
    <n v="0"/>
    <n v="485167.46944000002"/>
    <n v="107953.76416000001"/>
    <n v="0"/>
    <n v="603735.93145871337"/>
    <n v="137567.55364372791"/>
  </r>
  <r>
    <s v="Refaturamento - Regular"/>
    <x v="1"/>
    <x v="3"/>
    <x v="1"/>
    <x v="0"/>
    <x v="0"/>
    <x v="0"/>
    <x v="2"/>
    <x v="1"/>
    <n v="0"/>
    <n v="0"/>
    <n v="-3.46"/>
    <n v="-3.46"/>
    <n v="-3.46"/>
    <n v="-3.46"/>
    <n v="0"/>
    <x v="0"/>
    <n v="0"/>
    <n v="0"/>
    <n v="8"/>
    <n v="72"/>
    <n v="0"/>
    <n v="1557.74"/>
    <n v="346.61"/>
    <m/>
    <n v="1938.4308905871562"/>
    <n v="441.69177554366559"/>
    <n v="0"/>
    <n v="-5389.7803999999996"/>
    <n v="-1199.2706000000001"/>
    <n v="0"/>
    <n v="-6706.9708814315609"/>
    <n v="-1528.2535433810829"/>
  </r>
  <r>
    <s v="Sistema de Compensação"/>
    <x v="1"/>
    <x v="3"/>
    <x v="1"/>
    <x v="0"/>
    <x v="0"/>
    <x v="0"/>
    <x v="2"/>
    <x v="1"/>
    <n v="0"/>
    <n v="0"/>
    <n v="8.41"/>
    <n v="8.41"/>
    <n v="8.41"/>
    <n v="8.41"/>
    <n v="0"/>
    <x v="0"/>
    <n v="0"/>
    <n v="0"/>
    <n v="8"/>
    <n v="72"/>
    <n v="0"/>
    <n v="1557.74"/>
    <n v="346.61"/>
    <m/>
    <n v="1938.4308905871562"/>
    <n v="441.69177554366559"/>
    <n v="0"/>
    <n v="13100.5934"/>
    <n v="2914.9901"/>
    <n v="0"/>
    <n v="16302.203789837984"/>
    <n v="3714.6278323222277"/>
  </r>
  <r>
    <s v="Regular"/>
    <x v="1"/>
    <x v="3"/>
    <x v="1"/>
    <x v="0"/>
    <x v="0"/>
    <x v="0"/>
    <x v="2"/>
    <x v="1"/>
    <n v="0"/>
    <n v="0"/>
    <n v="13.694000000000001"/>
    <n v="13.694000000000001"/>
    <n v="0"/>
    <n v="0"/>
    <n v="0"/>
    <x v="1"/>
    <n v="0"/>
    <n v="0"/>
    <n v="8"/>
    <n v="0"/>
    <n v="0"/>
    <n v="1557.74"/>
    <n v="0"/>
    <m/>
    <n v="1938.4308905871562"/>
    <m/>
    <n v="0"/>
    <n v="21331.691560000003"/>
    <n v="0"/>
    <n v="0"/>
    <n v="26544.872615700519"/>
    <n v="0"/>
  </r>
  <r>
    <s v="Regular"/>
    <x v="1"/>
    <x v="3"/>
    <x v="1"/>
    <x v="0"/>
    <x v="0"/>
    <x v="0"/>
    <x v="2"/>
    <x v="2"/>
    <n v="0"/>
    <n v="0"/>
    <n v="340.82400000000001"/>
    <n v="340.82400000000001"/>
    <n v="340.82400000000001"/>
    <n v="340.82400000000001"/>
    <n v="0"/>
    <x v="0"/>
    <n v="0"/>
    <n v="0"/>
    <n v="8"/>
    <n v="72"/>
    <n v="0"/>
    <n v="1557.74"/>
    <n v="346.61"/>
    <m/>
    <n v="1938.4308905871562"/>
    <n v="441.69177554366559"/>
    <n v="0"/>
    <n v="530915.17775999999"/>
    <n v="118133.00664000001"/>
    <n v="0"/>
    <n v="660663.7698534769"/>
    <n v="150539.15770789428"/>
  </r>
  <r>
    <s v="Refaturamento - Regular"/>
    <x v="1"/>
    <x v="3"/>
    <x v="1"/>
    <x v="0"/>
    <x v="0"/>
    <x v="0"/>
    <x v="2"/>
    <x v="2"/>
    <n v="0"/>
    <n v="0"/>
    <n v="-4.3929999999999998"/>
    <n v="-4.3929999999999998"/>
    <n v="-4.3929999999999998"/>
    <n v="-4.3929999999999998"/>
    <n v="0"/>
    <x v="0"/>
    <n v="0"/>
    <n v="0"/>
    <n v="8"/>
    <n v="72"/>
    <n v="0"/>
    <n v="1557.74"/>
    <n v="346.61"/>
    <m/>
    <n v="1938.4308905871562"/>
    <n v="441.69177554366559"/>
    <n v="0"/>
    <n v="-6843.15182"/>
    <n v="-1522.6577299999999"/>
    <n v="0"/>
    <n v="-8515.5269023493765"/>
    <n v="-1940.3519699633227"/>
  </r>
  <r>
    <s v="Sistema de Compensação"/>
    <x v="1"/>
    <x v="3"/>
    <x v="1"/>
    <x v="0"/>
    <x v="0"/>
    <x v="0"/>
    <x v="2"/>
    <x v="2"/>
    <n v="0"/>
    <n v="0"/>
    <n v="18.43"/>
    <n v="18.43"/>
    <n v="18.43"/>
    <n v="18.43"/>
    <n v="0"/>
    <x v="0"/>
    <n v="0"/>
    <n v="0"/>
    <n v="8"/>
    <n v="72"/>
    <n v="0"/>
    <n v="1557.74"/>
    <n v="346.61"/>
    <m/>
    <n v="1938.4308905871562"/>
    <n v="441.69177554366559"/>
    <n v="0"/>
    <n v="28709.1482"/>
    <n v="6388.0223000000005"/>
    <n v="0"/>
    <n v="35725.281313521285"/>
    <n v="8140.3794232697564"/>
  </r>
  <r>
    <s v="Regular"/>
    <x v="1"/>
    <x v="3"/>
    <x v="1"/>
    <x v="0"/>
    <x v="0"/>
    <x v="0"/>
    <x v="2"/>
    <x v="2"/>
    <n v="0"/>
    <n v="0"/>
    <n v="11.613"/>
    <n v="11.613"/>
    <n v="0"/>
    <n v="0"/>
    <n v="0"/>
    <x v="1"/>
    <n v="0"/>
    <n v="0"/>
    <n v="8"/>
    <n v="0"/>
    <n v="0"/>
    <n v="1557.74"/>
    <n v="0"/>
    <m/>
    <n v="1938.4308905871562"/>
    <m/>
    <n v="0"/>
    <n v="18090.034619999999"/>
    <n v="0"/>
    <n v="0"/>
    <n v="22510.997932388644"/>
    <n v="0"/>
  </r>
  <r>
    <s v="Regular"/>
    <x v="1"/>
    <x v="3"/>
    <x v="1"/>
    <x v="0"/>
    <x v="0"/>
    <x v="0"/>
    <x v="2"/>
    <x v="3"/>
    <n v="0"/>
    <n v="0"/>
    <n v="348.09100000000001"/>
    <n v="348.09100000000001"/>
    <n v="348.09100000000001"/>
    <n v="348.09100000000001"/>
    <n v="0"/>
    <x v="0"/>
    <n v="0"/>
    <n v="0"/>
    <n v="8"/>
    <n v="72"/>
    <n v="0"/>
    <n v="1557.74"/>
    <n v="346.61"/>
    <m/>
    <n v="1938.4308905871562"/>
    <n v="441.69177554366559"/>
    <n v="0"/>
    <n v="542235.27434"/>
    <n v="120651.82151000001"/>
    <n v="0"/>
    <n v="674750.34713537386"/>
    <n v="153748.93184077009"/>
  </r>
  <r>
    <s v="Refaturamento - Regular"/>
    <x v="1"/>
    <x v="3"/>
    <x v="1"/>
    <x v="0"/>
    <x v="0"/>
    <x v="0"/>
    <x v="2"/>
    <x v="3"/>
    <n v="0"/>
    <n v="0"/>
    <n v="-2.008"/>
    <n v="-2.008"/>
    <n v="-2.008"/>
    <n v="-2.008"/>
    <n v="0"/>
    <x v="0"/>
    <n v="0"/>
    <n v="0"/>
    <n v="8"/>
    <n v="72"/>
    <n v="0"/>
    <n v="1557.74"/>
    <n v="346.61"/>
    <m/>
    <n v="1938.4308905871562"/>
    <n v="441.69177554366559"/>
    <n v="0"/>
    <n v="-3127.9419200000002"/>
    <n v="-695.99288000000001"/>
    <n v="0"/>
    <n v="-3892.3692282990096"/>
    <n v="-886.91708529168045"/>
  </r>
  <r>
    <s v="Sistema de Compensação"/>
    <x v="1"/>
    <x v="3"/>
    <x v="1"/>
    <x v="0"/>
    <x v="0"/>
    <x v="0"/>
    <x v="2"/>
    <x v="3"/>
    <n v="0"/>
    <n v="0"/>
    <n v="15.958"/>
    <n v="15.958"/>
    <n v="15.958"/>
    <n v="15.958"/>
    <n v="0"/>
    <x v="0"/>
    <n v="0"/>
    <n v="0"/>
    <n v="8"/>
    <n v="72"/>
    <n v="0"/>
    <n v="1557.74"/>
    <n v="346.61"/>
    <m/>
    <n v="1938.4308905871562"/>
    <n v="441.69177554366559"/>
    <n v="0"/>
    <n v="24858.414919999999"/>
    <n v="5531.2023800000006"/>
    <n v="0"/>
    <n v="30933.480151989839"/>
    <n v="7048.5173541258155"/>
  </r>
  <r>
    <s v="Regular"/>
    <x v="1"/>
    <x v="3"/>
    <x v="1"/>
    <x v="0"/>
    <x v="0"/>
    <x v="0"/>
    <x v="2"/>
    <x v="3"/>
    <n v="0"/>
    <n v="0"/>
    <n v="11.983000000000001"/>
    <n v="11.983000000000001"/>
    <n v="0"/>
    <n v="0"/>
    <n v="0"/>
    <x v="1"/>
    <n v="0"/>
    <n v="0"/>
    <n v="8"/>
    <n v="0"/>
    <n v="0"/>
    <n v="1557.74"/>
    <n v="0"/>
    <m/>
    <n v="1938.4308905871562"/>
    <m/>
    <n v="0"/>
    <n v="18666.398420000001"/>
    <n v="0"/>
    <n v="0"/>
    <n v="23228.217361905896"/>
    <n v="0"/>
  </r>
  <r>
    <s v="Regular"/>
    <x v="1"/>
    <x v="3"/>
    <x v="1"/>
    <x v="0"/>
    <x v="0"/>
    <x v="0"/>
    <x v="2"/>
    <x v="4"/>
    <n v="0"/>
    <n v="0"/>
    <n v="300.65499999999997"/>
    <n v="300.65499999999997"/>
    <n v="300.65499999999997"/>
    <n v="300.65499999999997"/>
    <n v="0"/>
    <x v="0"/>
    <n v="0"/>
    <n v="0"/>
    <n v="8"/>
    <n v="72"/>
    <n v="0"/>
    <n v="1557.74"/>
    <n v="346.61"/>
    <m/>
    <n v="1938.4308905871562"/>
    <n v="441.69177554366559"/>
    <n v="0"/>
    <n v="468342.31969999993"/>
    <n v="104210.02954999999"/>
    <n v="0"/>
    <n v="582798.93940948136"/>
    <n v="132796.84077608076"/>
  </r>
  <r>
    <s v="Refaturamento - Regular"/>
    <x v="1"/>
    <x v="3"/>
    <x v="1"/>
    <x v="0"/>
    <x v="0"/>
    <x v="0"/>
    <x v="2"/>
    <x v="4"/>
    <n v="0"/>
    <n v="0"/>
    <n v="-0.442"/>
    <n v="-0.442"/>
    <n v="-0.442"/>
    <n v="-0.442"/>
    <n v="0"/>
    <x v="0"/>
    <n v="0"/>
    <n v="0"/>
    <n v="8"/>
    <n v="72"/>
    <n v="0"/>
    <n v="1557.74"/>
    <n v="346.61"/>
    <m/>
    <n v="1938.4308905871562"/>
    <n v="441.69177554366559"/>
    <n v="0"/>
    <n v="-688.52107999999998"/>
    <n v="-153.20162000000002"/>
    <n v="0"/>
    <n v="-856.78645363952307"/>
    <n v="-195.2277647903002"/>
  </r>
  <r>
    <s v="Sistema de Compensação"/>
    <x v="1"/>
    <x v="3"/>
    <x v="1"/>
    <x v="0"/>
    <x v="0"/>
    <x v="0"/>
    <x v="2"/>
    <x v="4"/>
    <n v="0"/>
    <n v="0"/>
    <n v="13.962"/>
    <n v="13.962"/>
    <n v="13.962"/>
    <n v="13.962"/>
    <n v="0"/>
    <x v="0"/>
    <n v="0"/>
    <n v="0"/>
    <n v="8"/>
    <n v="72"/>
    <n v="0"/>
    <n v="1557.74"/>
    <n v="346.61"/>
    <m/>
    <n v="1938.4308905871562"/>
    <n v="441.69177554366559"/>
    <n v="0"/>
    <n v="21749.16588"/>
    <n v="4839.3688199999997"/>
    <n v="0"/>
    <n v="27064.372094377875"/>
    <n v="6166.9005701406586"/>
  </r>
  <r>
    <s v="Regular"/>
    <x v="1"/>
    <x v="3"/>
    <x v="1"/>
    <x v="0"/>
    <x v="0"/>
    <x v="0"/>
    <x v="2"/>
    <x v="4"/>
    <n v="0"/>
    <n v="0"/>
    <n v="11.271000000000001"/>
    <n v="11.271000000000001"/>
    <n v="0"/>
    <n v="0"/>
    <n v="0"/>
    <x v="1"/>
    <n v="0"/>
    <n v="0"/>
    <n v="8"/>
    <n v="0"/>
    <n v="0"/>
    <n v="1557.74"/>
    <n v="0"/>
    <m/>
    <n v="1938.4308905871562"/>
    <m/>
    <n v="0"/>
    <n v="17557.287540000001"/>
    <n v="0"/>
    <n v="0"/>
    <n v="21848.054567807838"/>
    <n v="0"/>
  </r>
  <r>
    <s v="Regular"/>
    <x v="1"/>
    <x v="3"/>
    <x v="1"/>
    <x v="0"/>
    <x v="0"/>
    <x v="0"/>
    <x v="2"/>
    <x v="5"/>
    <n v="0"/>
    <n v="0"/>
    <n v="251.80099999999999"/>
    <n v="251.80099999999999"/>
    <n v="251.80099999999999"/>
    <n v="251.80099999999999"/>
    <n v="0"/>
    <x v="0"/>
    <n v="0"/>
    <n v="0"/>
    <n v="8"/>
    <n v="72"/>
    <n v="0"/>
    <n v="1557.74"/>
    <n v="346.61"/>
    <m/>
    <n v="1938.4308905871562"/>
    <n v="441.69177554366559"/>
    <n v="0"/>
    <n v="392240.48973999999"/>
    <n v="87276.744609999994"/>
    <n v="0"/>
    <n v="488098.83668073651"/>
    <n v="111218.43077367054"/>
  </r>
  <r>
    <s v="Refaturamento - Regular"/>
    <x v="1"/>
    <x v="3"/>
    <x v="1"/>
    <x v="0"/>
    <x v="0"/>
    <x v="0"/>
    <x v="2"/>
    <x v="5"/>
    <n v="0"/>
    <n v="0"/>
    <n v="0.72699999999999998"/>
    <n v="0.72699999999999998"/>
    <n v="0.72699999999999998"/>
    <n v="0.72699999999999998"/>
    <n v="0"/>
    <x v="0"/>
    <n v="0"/>
    <n v="0"/>
    <n v="8"/>
    <n v="72"/>
    <n v="0"/>
    <n v="1557.74"/>
    <n v="346.61"/>
    <m/>
    <n v="1938.4308905871562"/>
    <n v="441.69177554366559"/>
    <n v="0"/>
    <n v="1132.4769799999999"/>
    <n v="251.98546999999999"/>
    <n v="0"/>
    <n v="1409.2392574568626"/>
    <n v="321.10992082024489"/>
  </r>
  <r>
    <s v="Sistema de Compensação"/>
    <x v="1"/>
    <x v="3"/>
    <x v="1"/>
    <x v="0"/>
    <x v="0"/>
    <x v="0"/>
    <x v="2"/>
    <x v="5"/>
    <n v="0"/>
    <n v="0"/>
    <n v="19.248000000000001"/>
    <n v="19.248000000000001"/>
    <n v="19.248000000000001"/>
    <n v="19.248000000000001"/>
    <n v="0"/>
    <x v="0"/>
    <n v="0"/>
    <n v="0"/>
    <n v="8"/>
    <n v="72"/>
    <n v="0"/>
    <n v="1557.74"/>
    <n v="346.61"/>
    <m/>
    <n v="1938.4308905871562"/>
    <n v="441.69177554366559"/>
    <n v="0"/>
    <n v="29983.379520000002"/>
    <n v="6671.5492800000011"/>
    <n v="0"/>
    <n v="37310.917782021585"/>
    <n v="8501.6832956644757"/>
  </r>
  <r>
    <s v="Regular"/>
    <x v="1"/>
    <x v="3"/>
    <x v="1"/>
    <x v="0"/>
    <x v="0"/>
    <x v="0"/>
    <x v="2"/>
    <x v="5"/>
    <n v="0"/>
    <n v="0"/>
    <n v="11.794"/>
    <n v="11.794"/>
    <n v="0"/>
    <n v="0"/>
    <n v="0"/>
    <x v="1"/>
    <n v="0"/>
    <n v="0"/>
    <n v="8"/>
    <n v="0"/>
    <n v="0"/>
    <n v="1557.74"/>
    <n v="0"/>
    <m/>
    <n v="1938.4308905871562"/>
    <m/>
    <n v="0"/>
    <n v="18371.985560000001"/>
    <n v="0"/>
    <n v="0"/>
    <n v="22861.85392358492"/>
    <n v="0"/>
  </r>
  <r>
    <s v="Regular"/>
    <x v="1"/>
    <x v="3"/>
    <x v="1"/>
    <x v="0"/>
    <x v="0"/>
    <x v="0"/>
    <x v="2"/>
    <x v="6"/>
    <n v="0"/>
    <n v="0"/>
    <n v="283.90499999999997"/>
    <n v="283.90499999999997"/>
    <n v="283.90499999999997"/>
    <n v="283.90499999999997"/>
    <n v="0"/>
    <x v="0"/>
    <n v="0"/>
    <n v="0"/>
    <n v="8"/>
    <n v="72"/>
    <n v="0"/>
    <n v="1557.74"/>
    <n v="346.61"/>
    <m/>
    <n v="1938.4308905871562"/>
    <n v="441.69177554366559"/>
    <n v="0"/>
    <n v="442250.17469999997"/>
    <n v="98404.312049999993"/>
    <n v="0"/>
    <n v="550330.22199214657"/>
    <n v="125398.50353572436"/>
  </r>
  <r>
    <s v="Refaturamento - Regular"/>
    <x v="1"/>
    <x v="3"/>
    <x v="1"/>
    <x v="0"/>
    <x v="0"/>
    <x v="0"/>
    <x v="2"/>
    <x v="6"/>
    <n v="0"/>
    <n v="0"/>
    <n v="11.946"/>
    <n v="11.946"/>
    <n v="11.946"/>
    <n v="11.946"/>
    <n v="0"/>
    <x v="0"/>
    <n v="0"/>
    <n v="0"/>
    <n v="8"/>
    <n v="72"/>
    <n v="0"/>
    <n v="1557.74"/>
    <n v="346.61"/>
    <m/>
    <n v="1938.4308905871562"/>
    <n v="441.69177554366559"/>
    <n v="0"/>
    <n v="18608.762040000001"/>
    <n v="4140.6030600000004"/>
    <n v="0"/>
    <n v="23156.495418954168"/>
    <n v="5276.4499506446291"/>
  </r>
  <r>
    <s v="Sistema de Compensação"/>
    <x v="1"/>
    <x v="3"/>
    <x v="1"/>
    <x v="0"/>
    <x v="0"/>
    <x v="0"/>
    <x v="2"/>
    <x v="6"/>
    <n v="0"/>
    <n v="0"/>
    <n v="16.329000000000001"/>
    <n v="16.329000000000001"/>
    <n v="16.329000000000001"/>
    <n v="16.329000000000001"/>
    <n v="0"/>
    <x v="0"/>
    <n v="0"/>
    <n v="0"/>
    <n v="8"/>
    <n v="72"/>
    <n v="0"/>
    <n v="1557.74"/>
    <n v="346.61"/>
    <m/>
    <n v="1938.4308905871562"/>
    <n v="441.69177554366559"/>
    <n v="0"/>
    <n v="25436.336460000002"/>
    <n v="5659.7946900000006"/>
    <n v="0"/>
    <n v="31652.638012397674"/>
    <n v="7212.3850028525158"/>
  </r>
  <r>
    <s v="Regular"/>
    <x v="1"/>
    <x v="3"/>
    <x v="1"/>
    <x v="0"/>
    <x v="0"/>
    <x v="0"/>
    <x v="2"/>
    <x v="6"/>
    <n v="0"/>
    <n v="0"/>
    <n v="12.33"/>
    <n v="12.33"/>
    <n v="0"/>
    <n v="0"/>
    <n v="0"/>
    <x v="1"/>
    <n v="0"/>
    <n v="0"/>
    <n v="8"/>
    <n v="0"/>
    <n v="0"/>
    <n v="1557.74"/>
    <n v="0"/>
    <m/>
    <n v="1938.4308905871562"/>
    <m/>
    <n v="0"/>
    <n v="19206.9342"/>
    <n v="0"/>
    <n v="0"/>
    <n v="23900.852880939638"/>
    <n v="0"/>
  </r>
  <r>
    <s v="Regular"/>
    <x v="1"/>
    <x v="3"/>
    <x v="1"/>
    <x v="0"/>
    <x v="0"/>
    <x v="0"/>
    <x v="2"/>
    <x v="7"/>
    <n v="0"/>
    <n v="0"/>
    <n v="323.45699999999999"/>
    <n v="323.45699999999999"/>
    <n v="323.45699999999999"/>
    <n v="323.45699999999999"/>
    <n v="0"/>
    <x v="0"/>
    <n v="0"/>
    <n v="0"/>
    <n v="8"/>
    <n v="72"/>
    <n v="0"/>
    <n v="1557.74"/>
    <n v="346.61"/>
    <m/>
    <n v="1938.4308905871562"/>
    <n v="441.69177554366559"/>
    <n v="0"/>
    <n v="503861.90717999998"/>
    <n v="112113.43077000001"/>
    <n v="0"/>
    <n v="626999.04057664983"/>
    <n v="142868.29664202745"/>
  </r>
  <r>
    <s v="Refaturamento - Regular"/>
    <x v="1"/>
    <x v="3"/>
    <x v="1"/>
    <x v="0"/>
    <x v="0"/>
    <x v="0"/>
    <x v="2"/>
    <x v="7"/>
    <n v="0"/>
    <n v="0"/>
    <n v="1.9159999999999999"/>
    <n v="1.9159999999999999"/>
    <n v="1.9159999999999999"/>
    <n v="1.9159999999999999"/>
    <n v="0"/>
    <x v="0"/>
    <n v="0"/>
    <n v="0"/>
    <n v="8"/>
    <n v="72"/>
    <n v="0"/>
    <n v="1557.74"/>
    <n v="346.61"/>
    <m/>
    <n v="1938.4308905871562"/>
    <n v="441.69177554366559"/>
    <n v="0"/>
    <n v="2984.6298400000001"/>
    <n v="664.10476000000006"/>
    <n v="0"/>
    <n v="3714.0335863649912"/>
    <n v="846.28144194166327"/>
  </r>
  <r>
    <s v="Sistema de Compensação"/>
    <x v="1"/>
    <x v="3"/>
    <x v="1"/>
    <x v="0"/>
    <x v="0"/>
    <x v="0"/>
    <x v="2"/>
    <x v="7"/>
    <n v="0"/>
    <n v="0"/>
    <n v="16.399999999999999"/>
    <n v="16.399999999999999"/>
    <n v="16.399999999999999"/>
    <n v="16.399999999999999"/>
    <n v="0"/>
    <x v="0"/>
    <n v="0"/>
    <n v="0"/>
    <n v="8"/>
    <n v="72"/>
    <n v="0"/>
    <n v="1557.74"/>
    <n v="346.61"/>
    <m/>
    <n v="1938.4308905871562"/>
    <n v="441.69177554366559"/>
    <n v="0"/>
    <n v="25546.935999999998"/>
    <n v="5684.4039999999995"/>
    <n v="0"/>
    <n v="31790.26660562936"/>
    <n v="7243.7451189161147"/>
  </r>
  <r>
    <s v="Regular"/>
    <x v="1"/>
    <x v="3"/>
    <x v="1"/>
    <x v="0"/>
    <x v="0"/>
    <x v="0"/>
    <x v="2"/>
    <x v="7"/>
    <n v="0"/>
    <n v="0"/>
    <n v="14.974"/>
    <n v="14.974"/>
    <n v="0"/>
    <n v="0"/>
    <n v="0"/>
    <x v="1"/>
    <n v="0"/>
    <n v="0"/>
    <n v="8"/>
    <n v="0"/>
    <n v="0"/>
    <n v="1557.74"/>
    <n v="0"/>
    <m/>
    <n v="1938.4308905871562"/>
    <m/>
    <n v="0"/>
    <n v="23325.598760000001"/>
    <n v="0"/>
    <n v="0"/>
    <n v="29026.064155652079"/>
    <n v="0"/>
  </r>
  <r>
    <s v="Regular"/>
    <x v="1"/>
    <x v="3"/>
    <x v="1"/>
    <x v="0"/>
    <x v="0"/>
    <x v="0"/>
    <x v="2"/>
    <x v="8"/>
    <n v="0"/>
    <n v="0"/>
    <n v="285.62599999999998"/>
    <n v="285.62599999999998"/>
    <n v="285.62599999999998"/>
    <n v="285.62599999999998"/>
    <n v="0"/>
    <x v="0"/>
    <n v="0"/>
    <n v="0"/>
    <n v="8"/>
    <n v="72"/>
    <n v="0"/>
    <n v="1557.74"/>
    <n v="346.61"/>
    <m/>
    <n v="1938.4308905871562"/>
    <n v="441.69177554366559"/>
    <n v="0"/>
    <n v="444931.04523999995"/>
    <n v="99000.82785999999"/>
    <n v="0"/>
    <n v="553666.26155484701"/>
    <n v="126158.65508143502"/>
  </r>
  <r>
    <s v="Refaturamento - Regular"/>
    <x v="1"/>
    <x v="3"/>
    <x v="1"/>
    <x v="0"/>
    <x v="0"/>
    <x v="0"/>
    <x v="2"/>
    <x v="8"/>
    <n v="0"/>
    <n v="0"/>
    <n v="0.51200000000000001"/>
    <n v="0.51200000000000001"/>
    <n v="0.51200000000000001"/>
    <n v="0.51200000000000001"/>
    <n v="0"/>
    <x v="0"/>
    <n v="0"/>
    <n v="0"/>
    <n v="8"/>
    <n v="72"/>
    <n v="0"/>
    <n v="1557.74"/>
    <n v="346.61"/>
    <m/>
    <n v="1938.4308905871562"/>
    <n v="441.69177554366559"/>
    <n v="0"/>
    <n v="797.56288000000006"/>
    <n v="177.46432000000001"/>
    <n v="0"/>
    <n v="992.47661598062405"/>
    <n v="226.1461890783568"/>
  </r>
  <r>
    <s v="Sistema de Compensação"/>
    <x v="1"/>
    <x v="3"/>
    <x v="1"/>
    <x v="0"/>
    <x v="0"/>
    <x v="0"/>
    <x v="2"/>
    <x v="8"/>
    <n v="0"/>
    <n v="0"/>
    <n v="16.004999999999999"/>
    <n v="16.004999999999999"/>
    <n v="16.004999999999999"/>
    <n v="16.004999999999999"/>
    <n v="0"/>
    <x v="0"/>
    <n v="0"/>
    <n v="0"/>
    <n v="8"/>
    <n v="72"/>
    <n v="0"/>
    <n v="1557.74"/>
    <n v="346.61"/>
    <m/>
    <n v="1938.4308905871562"/>
    <n v="441.69177554366559"/>
    <n v="0"/>
    <n v="24931.628699999997"/>
    <n v="5547.49305"/>
    <n v="0"/>
    <n v="31024.586403847432"/>
    <n v="7069.2768675763673"/>
  </r>
  <r>
    <s v="Regular"/>
    <x v="1"/>
    <x v="3"/>
    <x v="1"/>
    <x v="0"/>
    <x v="0"/>
    <x v="0"/>
    <x v="2"/>
    <x v="8"/>
    <n v="0"/>
    <n v="0"/>
    <n v="13.278"/>
    <n v="13.278"/>
    <n v="0"/>
    <n v="0"/>
    <n v="0"/>
    <x v="1"/>
    <n v="0"/>
    <n v="0"/>
    <n v="8"/>
    <n v="0"/>
    <n v="0"/>
    <n v="1557.74"/>
    <n v="0"/>
    <m/>
    <n v="1938.4308905871562"/>
    <m/>
    <n v="0"/>
    <n v="20683.671720000002"/>
    <n v="0"/>
    <n v="0"/>
    <n v="25738.48536521626"/>
    <n v="0"/>
  </r>
  <r>
    <s v="Regular"/>
    <x v="1"/>
    <x v="3"/>
    <x v="1"/>
    <x v="0"/>
    <x v="0"/>
    <x v="0"/>
    <x v="2"/>
    <x v="9"/>
    <n v="0"/>
    <n v="0"/>
    <n v="277.65800000000002"/>
    <n v="277.65800000000002"/>
    <n v="277.65800000000002"/>
    <n v="277.65800000000002"/>
    <n v="0"/>
    <x v="0"/>
    <n v="0"/>
    <n v="0"/>
    <n v="8"/>
    <n v="72"/>
    <n v="0"/>
    <n v="1557.74"/>
    <n v="346.61"/>
    <m/>
    <n v="1938.4308905871562"/>
    <n v="441.69177554366559"/>
    <n v="0"/>
    <n v="432518.97292000003"/>
    <n v="96239.039380000002"/>
    <n v="0"/>
    <n v="538220.84421864862"/>
    <n v="122639.25501390311"/>
  </r>
  <r>
    <s v="Refaturamento - Regular"/>
    <x v="1"/>
    <x v="3"/>
    <x v="1"/>
    <x v="0"/>
    <x v="0"/>
    <x v="0"/>
    <x v="2"/>
    <x v="9"/>
    <n v="0"/>
    <n v="0"/>
    <n v="-11.135"/>
    <n v="-11.135"/>
    <n v="-11.135"/>
    <n v="-11.135"/>
    <n v="0"/>
    <x v="0"/>
    <n v="0"/>
    <n v="0"/>
    <n v="8"/>
    <n v="72"/>
    <n v="0"/>
    <n v="1557.74"/>
    <n v="346.61"/>
    <m/>
    <n v="1938.4308905871562"/>
    <n v="441.69177554366559"/>
    <n v="0"/>
    <n v="-17345.4349"/>
    <n v="-3859.5023500000002"/>
    <n v="0"/>
    <n v="-21584.427966687985"/>
    <n v="-4918.2379206787164"/>
  </r>
  <r>
    <s v="Sistema de Compensação"/>
    <x v="1"/>
    <x v="3"/>
    <x v="1"/>
    <x v="0"/>
    <x v="0"/>
    <x v="0"/>
    <x v="2"/>
    <x v="9"/>
    <n v="0"/>
    <n v="0"/>
    <n v="14.653"/>
    <n v="14.653"/>
    <n v="14.653"/>
    <n v="14.653"/>
    <n v="0"/>
    <x v="0"/>
    <n v="0"/>
    <n v="0"/>
    <n v="8"/>
    <n v="72"/>
    <n v="0"/>
    <n v="1557.74"/>
    <n v="346.61"/>
    <m/>
    <n v="1938.4308905871562"/>
    <n v="441.69177554366559"/>
    <n v="0"/>
    <n v="22825.56422"/>
    <n v="5078.8763300000001"/>
    <n v="0"/>
    <n v="28403.827839773599"/>
    <n v="6472.1095870413319"/>
  </r>
  <r>
    <s v="Regular"/>
    <x v="1"/>
    <x v="3"/>
    <x v="1"/>
    <x v="0"/>
    <x v="0"/>
    <x v="0"/>
    <x v="2"/>
    <x v="9"/>
    <n v="0"/>
    <n v="0"/>
    <n v="12.007"/>
    <n v="12.007"/>
    <n v="0"/>
    <n v="0"/>
    <n v="0"/>
    <x v="1"/>
    <n v="0"/>
    <n v="0"/>
    <n v="8"/>
    <n v="0"/>
    <n v="0"/>
    <n v="1557.74"/>
    <n v="0"/>
    <m/>
    <n v="1938.4308905871562"/>
    <m/>
    <n v="0"/>
    <n v="18703.784179999999"/>
    <n v="0"/>
    <n v="0"/>
    <n v="23274.739703279985"/>
    <n v="0"/>
  </r>
  <r>
    <s v="Regular"/>
    <x v="1"/>
    <x v="3"/>
    <x v="1"/>
    <x v="0"/>
    <x v="0"/>
    <x v="0"/>
    <x v="2"/>
    <x v="10"/>
    <n v="0"/>
    <n v="0"/>
    <n v="355.42599999999999"/>
    <n v="355.42599999999999"/>
    <n v="355.42599999999999"/>
    <n v="355.42599999999999"/>
    <n v="0"/>
    <x v="0"/>
    <n v="0"/>
    <n v="0"/>
    <n v="8"/>
    <n v="72"/>
    <n v="0"/>
    <n v="1557.74"/>
    <n v="346.61"/>
    <m/>
    <n v="1938.4308905871562"/>
    <n v="441.69177554366559"/>
    <n v="0"/>
    <n v="553661.29723999999"/>
    <n v="123194.20586"/>
    <n v="0"/>
    <n v="688968.73771783058"/>
    <n v="156988.74101438289"/>
  </r>
  <r>
    <s v="Sistema de Compensação"/>
    <x v="1"/>
    <x v="3"/>
    <x v="1"/>
    <x v="0"/>
    <x v="0"/>
    <x v="0"/>
    <x v="2"/>
    <x v="10"/>
    <n v="0"/>
    <n v="0"/>
    <n v="21.291"/>
    <n v="21.291"/>
    <n v="21.291"/>
    <n v="21.291"/>
    <n v="0"/>
    <x v="0"/>
    <n v="0"/>
    <n v="0"/>
    <n v="8"/>
    <n v="72"/>
    <n v="0"/>
    <n v="1557.74"/>
    <n v="346.61"/>
    <m/>
    <n v="1938.4308905871562"/>
    <n v="441.69177554366559"/>
    <n v="0"/>
    <n v="33165.842340000003"/>
    <n v="7379.6735100000005"/>
    <n v="0"/>
    <n v="41271.132091491141"/>
    <n v="9404.0595931001844"/>
  </r>
  <r>
    <s v="Regular"/>
    <x v="1"/>
    <x v="3"/>
    <x v="1"/>
    <x v="0"/>
    <x v="0"/>
    <x v="0"/>
    <x v="2"/>
    <x v="10"/>
    <n v="0"/>
    <n v="0"/>
    <n v="13.933"/>
    <n v="13.933"/>
    <n v="0"/>
    <n v="0"/>
    <n v="0"/>
    <x v="1"/>
    <n v="0"/>
    <n v="0"/>
    <n v="8"/>
    <n v="0"/>
    <n v="0"/>
    <n v="1557.74"/>
    <n v="0"/>
    <m/>
    <n v="1938.4308905871562"/>
    <m/>
    <n v="0"/>
    <n v="21703.991419999998"/>
    <n v="0"/>
    <n v="0"/>
    <n v="27008.157598550846"/>
    <n v="0"/>
  </r>
  <r>
    <s v="PROJETADO"/>
    <x v="1"/>
    <x v="3"/>
    <x v="1"/>
    <x v="0"/>
    <x v="0"/>
    <x v="0"/>
    <x v="2"/>
    <x v="11"/>
    <n v="0"/>
    <n v="0"/>
    <n v="355.42599999999999"/>
    <n v="355.42599999999999"/>
    <n v="355.42599999999999"/>
    <n v="355.42599999999999"/>
    <n v="0"/>
    <x v="0"/>
    <n v="0"/>
    <n v="0"/>
    <n v="8"/>
    <n v="72"/>
    <n v="0"/>
    <n v="1557.74"/>
    <n v="346.61"/>
    <m/>
    <n v="1938.4308905871562"/>
    <n v="441.69177554366559"/>
    <n v="0"/>
    <n v="553661.29723999999"/>
    <n v="123194.20586"/>
    <n v="0"/>
    <n v="688968.73771783058"/>
    <n v="156988.74101438289"/>
  </r>
  <r>
    <s v="PROJETADO"/>
    <x v="1"/>
    <x v="3"/>
    <x v="1"/>
    <x v="0"/>
    <x v="0"/>
    <x v="0"/>
    <x v="2"/>
    <x v="11"/>
    <n v="0"/>
    <n v="0"/>
    <n v="21.291"/>
    <n v="21.291"/>
    <n v="21.291"/>
    <n v="21.291"/>
    <n v="0"/>
    <x v="0"/>
    <n v="0"/>
    <n v="0"/>
    <n v="8"/>
    <n v="72"/>
    <n v="0"/>
    <n v="1557.74"/>
    <n v="346.61"/>
    <m/>
    <n v="1938.4308905871562"/>
    <n v="441.69177554366559"/>
    <n v="0"/>
    <n v="33165.842340000003"/>
    <n v="7379.6735100000005"/>
    <n v="0"/>
    <n v="41271.132091491141"/>
    <n v="9404.0595931001844"/>
  </r>
  <r>
    <s v="PROJETADO"/>
    <x v="1"/>
    <x v="3"/>
    <x v="1"/>
    <x v="0"/>
    <x v="0"/>
    <x v="0"/>
    <x v="2"/>
    <x v="11"/>
    <n v="0"/>
    <n v="0"/>
    <n v="13.933"/>
    <n v="13.933"/>
    <n v="0"/>
    <n v="0"/>
    <n v="0"/>
    <x v="1"/>
    <n v="0"/>
    <n v="0"/>
    <n v="8"/>
    <n v="0"/>
    <n v="0"/>
    <n v="1557.74"/>
    <n v="0"/>
    <m/>
    <n v="1938.4308905871562"/>
    <m/>
    <n v="0"/>
    <n v="21703.991419999998"/>
    <n v="0"/>
    <n v="0"/>
    <n v="27008.157598550846"/>
    <n v="0"/>
  </r>
  <r>
    <s v="Regular"/>
    <x v="1"/>
    <x v="3"/>
    <x v="5"/>
    <x v="0"/>
    <x v="0"/>
    <x v="0"/>
    <x v="0"/>
    <x v="0"/>
    <n v="0"/>
    <n v="0"/>
    <n v="5885.1880000000001"/>
    <n v="5885.1880000000001"/>
    <n v="5885.1880000000001"/>
    <n v="5885.1880000000001"/>
    <n v="0"/>
    <x v="0"/>
    <n v="0"/>
    <n v="0"/>
    <n v="29"/>
    <n v="73"/>
    <n v="0"/>
    <n v="97.61"/>
    <n v="219.97"/>
    <m/>
    <n v="119.75016494517713"/>
    <n v="283.40928728637363"/>
    <n v="0"/>
    <n v="574453.20068000001"/>
    <n v="1294564.80436"/>
    <n v="0"/>
    <n v="704752.23373337719"/>
    <n v="1667916.9366263186"/>
  </r>
  <r>
    <s v="Refaturamento - Regular"/>
    <x v="1"/>
    <x v="3"/>
    <x v="5"/>
    <x v="0"/>
    <x v="0"/>
    <x v="0"/>
    <x v="0"/>
    <x v="0"/>
    <n v="0"/>
    <n v="0"/>
    <n v="9.9"/>
    <n v="9.9"/>
    <n v="9.9"/>
    <n v="9.9"/>
    <n v="0"/>
    <x v="0"/>
    <n v="0"/>
    <n v="0"/>
    <n v="29"/>
    <n v="73"/>
    <n v="0"/>
    <n v="97.61"/>
    <n v="219.97"/>
    <m/>
    <n v="119.75016494517713"/>
    <n v="283.40928728637363"/>
    <n v="0"/>
    <n v="966.33900000000006"/>
    <n v="2177.703"/>
    <n v="0"/>
    <n v="1185.5266329572537"/>
    <n v="2805.7519441350992"/>
  </r>
  <r>
    <s v="Sistema de Compensação"/>
    <x v="1"/>
    <x v="3"/>
    <x v="5"/>
    <x v="0"/>
    <x v="0"/>
    <x v="0"/>
    <x v="0"/>
    <x v="0"/>
    <n v="0"/>
    <n v="0"/>
    <n v="126.834"/>
    <n v="126.834"/>
    <n v="126.834"/>
    <n v="126.834"/>
    <n v="0"/>
    <x v="0"/>
    <n v="0"/>
    <n v="0"/>
    <n v="29"/>
    <n v="73"/>
    <n v="0"/>
    <n v="97.61"/>
    <n v="219.97"/>
    <m/>
    <n v="119.75016494517713"/>
    <n v="283.40928728637363"/>
    <n v="0"/>
    <n v="12380.266740000001"/>
    <n v="27899.67498"/>
    <n v="0"/>
    <n v="15188.392420656597"/>
    <n v="35945.933543679916"/>
  </r>
  <r>
    <s v="Regular"/>
    <x v="1"/>
    <x v="3"/>
    <x v="5"/>
    <x v="0"/>
    <x v="0"/>
    <x v="0"/>
    <x v="0"/>
    <x v="1"/>
    <n v="0"/>
    <n v="0"/>
    <n v="5176.7579999999998"/>
    <n v="5176.7579999999998"/>
    <n v="5176.7579999999998"/>
    <n v="5176.7579999999998"/>
    <n v="0"/>
    <x v="0"/>
    <n v="0"/>
    <n v="0"/>
    <n v="29"/>
    <n v="73"/>
    <n v="0"/>
    <n v="97.61"/>
    <n v="219.97"/>
    <m/>
    <n v="119.75016494517713"/>
    <n v="283.40928728637363"/>
    <n v="0"/>
    <n v="505303.34837999998"/>
    <n v="1138731.4572600001"/>
    <n v="0"/>
    <n v="619917.62438126525"/>
    <n v="1467141.2952340329"/>
  </r>
  <r>
    <s v="Refaturamento - Regular"/>
    <x v="1"/>
    <x v="3"/>
    <x v="5"/>
    <x v="0"/>
    <x v="0"/>
    <x v="0"/>
    <x v="0"/>
    <x v="1"/>
    <n v="0"/>
    <n v="0"/>
    <n v="2.8149999999999999"/>
    <n v="2.8149999999999999"/>
    <n v="2.8149999999999999"/>
    <n v="2.8149999999999999"/>
    <n v="0"/>
    <x v="0"/>
    <n v="0"/>
    <n v="0"/>
    <n v="29"/>
    <n v="73"/>
    <n v="0"/>
    <n v="97.61"/>
    <n v="219.97"/>
    <m/>
    <n v="119.75016494517713"/>
    <n v="283.40928728637363"/>
    <n v="0"/>
    <n v="274.77215000000001"/>
    <n v="619.21555000000001"/>
    <n v="0"/>
    <n v="337.09671432067364"/>
    <n v="797.79714371114176"/>
  </r>
  <r>
    <s v="Sistema de Compensação"/>
    <x v="1"/>
    <x v="3"/>
    <x v="5"/>
    <x v="0"/>
    <x v="0"/>
    <x v="0"/>
    <x v="0"/>
    <x v="1"/>
    <n v="0"/>
    <n v="0"/>
    <n v="119.673"/>
    <n v="119.673"/>
    <n v="119.673"/>
    <n v="119.673"/>
    <n v="0"/>
    <x v="0"/>
    <n v="0"/>
    <n v="0"/>
    <n v="29"/>
    <n v="73"/>
    <n v="0"/>
    <n v="97.61"/>
    <n v="219.97"/>
    <m/>
    <n v="119.75016494517713"/>
    <n v="283.40928728637363"/>
    <n v="0"/>
    <n v="11681.28153"/>
    <n v="26324.469809999999"/>
    <n v="0"/>
    <n v="14330.861489484183"/>
    <n v="33916.439637422191"/>
  </r>
  <r>
    <s v="Regular"/>
    <x v="1"/>
    <x v="3"/>
    <x v="5"/>
    <x v="0"/>
    <x v="0"/>
    <x v="0"/>
    <x v="0"/>
    <x v="2"/>
    <n v="0"/>
    <n v="0"/>
    <n v="5342.1360000000004"/>
    <n v="5342.1360000000004"/>
    <n v="5342.1360000000004"/>
    <n v="5342.1360000000004"/>
    <n v="0"/>
    <x v="0"/>
    <n v="0"/>
    <n v="0"/>
    <n v="29"/>
    <n v="73"/>
    <n v="0"/>
    <n v="97.61"/>
    <n v="219.97"/>
    <m/>
    <n v="119.75016494517713"/>
    <n v="283.40928728637363"/>
    <n v="0"/>
    <n v="521445.89496000006"/>
    <n v="1175109.65592"/>
    <n v="0"/>
    <n v="639721.66715956887"/>
    <n v="1514010.956346879"/>
  </r>
  <r>
    <s v="Sistema de Compensação"/>
    <x v="1"/>
    <x v="3"/>
    <x v="5"/>
    <x v="0"/>
    <x v="0"/>
    <x v="0"/>
    <x v="0"/>
    <x v="2"/>
    <n v="0"/>
    <n v="0"/>
    <n v="125.057"/>
    <n v="125.057"/>
    <n v="125.057"/>
    <n v="125.057"/>
    <n v="0"/>
    <x v="0"/>
    <n v="0"/>
    <n v="0"/>
    <n v="29"/>
    <n v="73"/>
    <n v="0"/>
    <n v="97.61"/>
    <n v="219.97"/>
    <m/>
    <n v="119.75016494517713"/>
    <n v="283.40928728637363"/>
    <n v="0"/>
    <n v="12206.813770000001"/>
    <n v="27508.78829"/>
    <n v="0"/>
    <n v="14975.596377549016"/>
    <n v="35442.315240172029"/>
  </r>
  <r>
    <s v="Regular"/>
    <x v="1"/>
    <x v="3"/>
    <x v="5"/>
    <x v="0"/>
    <x v="0"/>
    <x v="0"/>
    <x v="0"/>
    <x v="3"/>
    <n v="0"/>
    <n v="0"/>
    <n v="5258.4970000000003"/>
    <n v="5258.4970000000003"/>
    <n v="5258.4970000000003"/>
    <n v="5258.4970000000003"/>
    <n v="0"/>
    <x v="0"/>
    <n v="0"/>
    <n v="0"/>
    <n v="29"/>
    <n v="73"/>
    <n v="0"/>
    <n v="97.61"/>
    <n v="219.97"/>
    <m/>
    <n v="119.75016494517713"/>
    <n v="283.40928728637363"/>
    <n v="0"/>
    <n v="513281.89217000001"/>
    <n v="1156711.5850899999"/>
    <n v="0"/>
    <n v="629705.88311371917"/>
    <n v="1490306.886967534"/>
  </r>
  <r>
    <s v="Refaturamento - Regular"/>
    <x v="1"/>
    <x v="3"/>
    <x v="5"/>
    <x v="0"/>
    <x v="0"/>
    <x v="0"/>
    <x v="0"/>
    <x v="3"/>
    <n v="0"/>
    <n v="0"/>
    <n v="-6.4829999999999997"/>
    <n v="-6.4829999999999997"/>
    <n v="-6.4829999999999997"/>
    <n v="-6.4829999999999997"/>
    <n v="0"/>
    <x v="0"/>
    <n v="0"/>
    <n v="0"/>
    <n v="29"/>
    <n v="73"/>
    <n v="0"/>
    <n v="97.61"/>
    <n v="219.97"/>
    <m/>
    <n v="119.75016494517713"/>
    <n v="283.40928728637363"/>
    <n v="0"/>
    <n v="-632.80562999999995"/>
    <n v="-1426.0655099999999"/>
    <n v="0"/>
    <n v="-776.34031933958329"/>
    <n v="-1837.3424094775601"/>
  </r>
  <r>
    <s v="Sistema de Compensação"/>
    <x v="1"/>
    <x v="3"/>
    <x v="5"/>
    <x v="0"/>
    <x v="0"/>
    <x v="0"/>
    <x v="0"/>
    <x v="3"/>
    <n v="0"/>
    <n v="0"/>
    <n v="148.446"/>
    <n v="148.446"/>
    <n v="148.446"/>
    <n v="148.446"/>
    <n v="0"/>
    <x v="0"/>
    <n v="0"/>
    <n v="0"/>
    <n v="29"/>
    <n v="73"/>
    <n v="0"/>
    <n v="97.61"/>
    <n v="219.97"/>
    <m/>
    <n v="119.75016494517713"/>
    <n v="283.40928728637363"/>
    <n v="0"/>
    <n v="14489.814060000001"/>
    <n v="32653.66662"/>
    <n v="0"/>
    <n v="17776.432985451764"/>
    <n v="42070.975060513018"/>
  </r>
  <r>
    <s v="Regular"/>
    <x v="1"/>
    <x v="3"/>
    <x v="5"/>
    <x v="0"/>
    <x v="0"/>
    <x v="0"/>
    <x v="0"/>
    <x v="4"/>
    <n v="0"/>
    <n v="0"/>
    <n v="5843.835"/>
    <n v="5843.835"/>
    <n v="5843.835"/>
    <n v="5843.835"/>
    <n v="0"/>
    <x v="0"/>
    <n v="0"/>
    <n v="0"/>
    <n v="29"/>
    <n v="73"/>
    <n v="0"/>
    <n v="97.61"/>
    <n v="219.97"/>
    <m/>
    <n v="119.75016494517713"/>
    <n v="283.40928728637363"/>
    <n v="0"/>
    <n v="570416.73435000004"/>
    <n v="1285468.3849500001"/>
    <n v="0"/>
    <n v="699800.20516239922"/>
    <n v="1656197.1123691653"/>
  </r>
  <r>
    <s v="Sistema de Compensação"/>
    <x v="1"/>
    <x v="3"/>
    <x v="5"/>
    <x v="0"/>
    <x v="0"/>
    <x v="0"/>
    <x v="0"/>
    <x v="4"/>
    <n v="0"/>
    <n v="0"/>
    <n v="159.05699999999999"/>
    <n v="159.05699999999999"/>
    <n v="159.05699999999999"/>
    <n v="159.05699999999999"/>
    <n v="0"/>
    <x v="0"/>
    <n v="0"/>
    <n v="0"/>
    <n v="29"/>
    <n v="73"/>
    <n v="0"/>
    <n v="97.61"/>
    <n v="219.97"/>
    <m/>
    <n v="119.75016494517713"/>
    <n v="283.40928728637363"/>
    <n v="0"/>
    <n v="15525.553769999999"/>
    <n v="34987.76829"/>
    <n v="0"/>
    <n v="19047.101985685036"/>
    <n v="45078.231007908726"/>
  </r>
  <r>
    <s v="Regular"/>
    <x v="1"/>
    <x v="3"/>
    <x v="5"/>
    <x v="0"/>
    <x v="0"/>
    <x v="0"/>
    <x v="0"/>
    <x v="5"/>
    <n v="0"/>
    <n v="0"/>
    <n v="6449.4030000000002"/>
    <n v="6449.4030000000002"/>
    <n v="6449.4030000000002"/>
    <n v="6449.4030000000002"/>
    <n v="0"/>
    <x v="0"/>
    <n v="0"/>
    <n v="0"/>
    <n v="29"/>
    <n v="73"/>
    <n v="0"/>
    <n v="97.61"/>
    <n v="219.97"/>
    <m/>
    <n v="119.75016494517713"/>
    <n v="283.40928728637363"/>
    <n v="0"/>
    <n v="629526.22683000006"/>
    <n v="1418675.1779100001"/>
    <n v="0"/>
    <n v="772317.07304792025"/>
    <n v="1827820.7076526"/>
  </r>
  <r>
    <s v="Refaturamento - Regular"/>
    <x v="1"/>
    <x v="3"/>
    <x v="5"/>
    <x v="0"/>
    <x v="0"/>
    <x v="0"/>
    <x v="0"/>
    <x v="5"/>
    <n v="0"/>
    <n v="0"/>
    <n v="6.6920000000000002"/>
    <n v="6.6920000000000002"/>
    <n v="6.6920000000000002"/>
    <n v="6.6920000000000002"/>
    <n v="0"/>
    <x v="0"/>
    <n v="0"/>
    <n v="0"/>
    <n v="29"/>
    <n v="73"/>
    <n v="0"/>
    <n v="97.61"/>
    <n v="219.97"/>
    <m/>
    <n v="119.75016494517713"/>
    <n v="283.40928728637363"/>
    <n v="0"/>
    <n v="653.20612000000006"/>
    <n v="1472.0392400000001"/>
    <n v="0"/>
    <n v="801.36810381312534"/>
    <n v="1896.5749505204124"/>
  </r>
  <r>
    <s v="Sistema de Compensação"/>
    <x v="1"/>
    <x v="3"/>
    <x v="5"/>
    <x v="0"/>
    <x v="0"/>
    <x v="0"/>
    <x v="0"/>
    <x v="5"/>
    <n v="0"/>
    <n v="0"/>
    <n v="171.828"/>
    <n v="171.828"/>
    <n v="171.828"/>
    <n v="171.828"/>
    <n v="0"/>
    <x v="0"/>
    <n v="0"/>
    <n v="0"/>
    <n v="29"/>
    <n v="73"/>
    <n v="0"/>
    <n v="97.61"/>
    <n v="219.97"/>
    <m/>
    <n v="119.75016494517713"/>
    <n v="283.40928728637363"/>
    <n v="0"/>
    <n v="16772.131079999999"/>
    <n v="37797.005160000001"/>
    <n v="0"/>
    <n v="20576.431342199896"/>
    <n v="48697.65101584301"/>
  </r>
  <r>
    <s v="Regular"/>
    <x v="1"/>
    <x v="3"/>
    <x v="5"/>
    <x v="0"/>
    <x v="0"/>
    <x v="0"/>
    <x v="0"/>
    <x v="6"/>
    <n v="0"/>
    <n v="0"/>
    <n v="7020.8819999999996"/>
    <n v="7020.8819999999996"/>
    <n v="7020.8819999999996"/>
    <n v="7020.8819999999996"/>
    <n v="0"/>
    <x v="0"/>
    <n v="0"/>
    <n v="0"/>
    <n v="29"/>
    <n v="73"/>
    <n v="0"/>
    <n v="97.61"/>
    <n v="219.97"/>
    <m/>
    <n v="119.75016494517713"/>
    <n v="283.40928728637363"/>
    <n v="0"/>
    <n v="685308.29201999994"/>
    <n v="1544383.4135399999"/>
    <n v="0"/>
    <n v="840751.77756062511"/>
    <n v="1989783.1637417292"/>
  </r>
  <r>
    <s v="Sistema de Compensação"/>
    <x v="1"/>
    <x v="3"/>
    <x v="5"/>
    <x v="0"/>
    <x v="0"/>
    <x v="0"/>
    <x v="0"/>
    <x v="6"/>
    <n v="0"/>
    <n v="0"/>
    <n v="198.953"/>
    <n v="198.953"/>
    <n v="198.953"/>
    <n v="198.953"/>
    <n v="0"/>
    <x v="0"/>
    <n v="0"/>
    <n v="0"/>
    <n v="29"/>
    <n v="73"/>
    <n v="0"/>
    <n v="97.61"/>
    <n v="219.97"/>
    <m/>
    <n v="119.75016494517713"/>
    <n v="283.40928728637363"/>
    <n v="0"/>
    <n v="19419.802329999999"/>
    <n v="43763.691409999999"/>
    <n v="0"/>
    <n v="23824.654566337827"/>
    <n v="56385.127933485892"/>
  </r>
  <r>
    <s v="Regular"/>
    <x v="1"/>
    <x v="3"/>
    <x v="5"/>
    <x v="0"/>
    <x v="0"/>
    <x v="0"/>
    <x v="0"/>
    <x v="7"/>
    <n v="0"/>
    <n v="0"/>
    <n v="6897.59"/>
    <n v="6897.59"/>
    <n v="6897.59"/>
    <n v="6897.59"/>
    <n v="0"/>
    <x v="0"/>
    <n v="0"/>
    <n v="0"/>
    <n v="29"/>
    <n v="73"/>
    <n v="0"/>
    <n v="97.61"/>
    <n v="219.97"/>
    <m/>
    <n v="119.75016494517713"/>
    <n v="283.40928728637363"/>
    <n v="0"/>
    <n v="673273.75990000006"/>
    <n v="1517262.8722999999"/>
    <n v="0"/>
    <n v="825987.54022420431"/>
    <n v="1954841.0658936179"/>
  </r>
  <r>
    <s v="Sistema de Compensação"/>
    <x v="1"/>
    <x v="3"/>
    <x v="5"/>
    <x v="0"/>
    <x v="0"/>
    <x v="0"/>
    <x v="0"/>
    <x v="7"/>
    <n v="0"/>
    <n v="0"/>
    <n v="159.155"/>
    <n v="159.155"/>
    <n v="159.155"/>
    <n v="159.155"/>
    <n v="0"/>
    <x v="0"/>
    <n v="0"/>
    <n v="0"/>
    <n v="29"/>
    <n v="73"/>
    <n v="0"/>
    <n v="97.61"/>
    <n v="219.97"/>
    <m/>
    <n v="119.75016494517713"/>
    <n v="283.40928728637363"/>
    <n v="0"/>
    <n v="15535.119549999999"/>
    <n v="35009.325349999999"/>
    <n v="0"/>
    <n v="19058.837501849666"/>
    <n v="45106.005118062792"/>
  </r>
  <r>
    <s v="Regular"/>
    <x v="1"/>
    <x v="3"/>
    <x v="5"/>
    <x v="0"/>
    <x v="0"/>
    <x v="0"/>
    <x v="0"/>
    <x v="8"/>
    <n v="0"/>
    <n v="0"/>
    <n v="6845.6949999999997"/>
    <n v="6845.6949999999997"/>
    <n v="6845.6949999999997"/>
    <n v="6845.6949999999997"/>
    <n v="0"/>
    <x v="0"/>
    <n v="0"/>
    <n v="0"/>
    <n v="29"/>
    <n v="73"/>
    <n v="0"/>
    <n v="97.61"/>
    <n v="219.97"/>
    <m/>
    <n v="119.75016494517713"/>
    <n v="283.40928728637363"/>
    <n v="0"/>
    <n v="668208.28894999996"/>
    <n v="1505847.5291499998"/>
    <n v="0"/>
    <n v="819773.10541437438"/>
    <n v="1940133.5409298914"/>
  </r>
  <r>
    <s v="Sistema de Compensação"/>
    <x v="1"/>
    <x v="3"/>
    <x v="5"/>
    <x v="0"/>
    <x v="0"/>
    <x v="0"/>
    <x v="0"/>
    <x v="8"/>
    <n v="0"/>
    <n v="0"/>
    <n v="170.70099999999999"/>
    <n v="170.70099999999999"/>
    <n v="170.70099999999999"/>
    <n v="170.70099999999999"/>
    <n v="0"/>
    <x v="0"/>
    <n v="0"/>
    <n v="0"/>
    <n v="29"/>
    <n v="73"/>
    <n v="0"/>
    <n v="97.61"/>
    <n v="219.97"/>
    <m/>
    <n v="119.75016494517713"/>
    <n v="283.40928728637363"/>
    <n v="0"/>
    <n v="16662.124609999999"/>
    <n v="37549.098969999999"/>
    <n v="0"/>
    <n v="20441.472906306681"/>
    <n v="48378.248749071259"/>
  </r>
  <r>
    <s v="Regular"/>
    <x v="1"/>
    <x v="3"/>
    <x v="5"/>
    <x v="0"/>
    <x v="0"/>
    <x v="0"/>
    <x v="0"/>
    <x v="9"/>
    <n v="0"/>
    <n v="0"/>
    <n v="6822.933"/>
    <n v="6822.933"/>
    <n v="6822.933"/>
    <n v="6822.933"/>
    <n v="0"/>
    <x v="0"/>
    <n v="0"/>
    <n v="0"/>
    <n v="29"/>
    <n v="73"/>
    <n v="0"/>
    <n v="97.61"/>
    <n v="219.97"/>
    <m/>
    <n v="119.75016494517713"/>
    <n v="283.40928728637363"/>
    <n v="0"/>
    <n v="665986.49013000005"/>
    <n v="1500840.57201"/>
    <n v="0"/>
    <n v="817047.35215989221"/>
    <n v="1933682.5787326791"/>
  </r>
  <r>
    <s v="Sistema de Compensação"/>
    <x v="1"/>
    <x v="3"/>
    <x v="5"/>
    <x v="0"/>
    <x v="0"/>
    <x v="0"/>
    <x v="0"/>
    <x v="9"/>
    <n v="0"/>
    <n v="0"/>
    <n v="182.28"/>
    <n v="182.28"/>
    <n v="182.28"/>
    <n v="182.28"/>
    <n v="0"/>
    <x v="0"/>
    <n v="0"/>
    <n v="0"/>
    <n v="29"/>
    <n v="73"/>
    <n v="0"/>
    <n v="97.61"/>
    <n v="219.97"/>
    <m/>
    <n v="119.75016494517713"/>
    <n v="283.40928728637363"/>
    <n v="0"/>
    <n v="17792.3508"/>
    <n v="40096.131600000001"/>
    <n v="0"/>
    <n v="21828.060066206886"/>
    <n v="51659.844886560182"/>
  </r>
  <r>
    <s v="Regular"/>
    <x v="1"/>
    <x v="3"/>
    <x v="5"/>
    <x v="0"/>
    <x v="0"/>
    <x v="0"/>
    <x v="0"/>
    <x v="10"/>
    <n v="0"/>
    <n v="0"/>
    <n v="7494.7740000000003"/>
    <n v="7494.7740000000003"/>
    <n v="7494.7740000000003"/>
    <n v="7494.7740000000003"/>
    <n v="0"/>
    <x v="0"/>
    <n v="0"/>
    <n v="0"/>
    <n v="29"/>
    <n v="73"/>
    <n v="0"/>
    <n v="97.61"/>
    <n v="219.97"/>
    <m/>
    <n v="119.75016494517713"/>
    <n v="283.40928728637363"/>
    <n v="0"/>
    <n v="731564.89014000003"/>
    <n v="1648625.4367800001"/>
    <n v="0"/>
    <n v="897500.422726825"/>
    <n v="2124088.5577124436"/>
  </r>
  <r>
    <s v="Sistema de Compensação"/>
    <x v="1"/>
    <x v="3"/>
    <x v="5"/>
    <x v="0"/>
    <x v="0"/>
    <x v="0"/>
    <x v="0"/>
    <x v="10"/>
    <n v="0"/>
    <n v="0"/>
    <n v="231.09200000000001"/>
    <n v="231.09200000000001"/>
    <n v="231.09200000000001"/>
    <n v="231.09200000000001"/>
    <n v="0"/>
    <x v="0"/>
    <n v="0"/>
    <n v="0"/>
    <n v="29"/>
    <n v="73"/>
    <n v="0"/>
    <n v="97.61"/>
    <n v="219.97"/>
    <m/>
    <n v="119.75016494517713"/>
    <n v="283.40928728637363"/>
    <n v="0"/>
    <n v="22556.89012"/>
    <n v="50833.307240000002"/>
    <n v="0"/>
    <n v="27673.305117510874"/>
    <n v="65493.619017582656"/>
  </r>
  <r>
    <s v="PROJETADO"/>
    <x v="1"/>
    <x v="3"/>
    <x v="5"/>
    <x v="0"/>
    <x v="0"/>
    <x v="0"/>
    <x v="0"/>
    <x v="11"/>
    <n v="0"/>
    <n v="0"/>
    <n v="7494.7740000000003"/>
    <n v="7494.7740000000003"/>
    <n v="7494.7740000000003"/>
    <n v="7494.7740000000003"/>
    <n v="0"/>
    <x v="0"/>
    <n v="0"/>
    <n v="0"/>
    <n v="29"/>
    <n v="73"/>
    <n v="0"/>
    <n v="97.61"/>
    <n v="219.97"/>
    <m/>
    <n v="119.75016494517713"/>
    <n v="283.40928728637363"/>
    <n v="0"/>
    <n v="731564.89014000003"/>
    <n v="1648625.4367800001"/>
    <n v="0"/>
    <n v="897500.422726825"/>
    <n v="2124088.5577124436"/>
  </r>
  <r>
    <s v="PROJETADO"/>
    <x v="1"/>
    <x v="3"/>
    <x v="5"/>
    <x v="0"/>
    <x v="0"/>
    <x v="0"/>
    <x v="0"/>
    <x v="11"/>
    <n v="0"/>
    <n v="0"/>
    <n v="231.09200000000001"/>
    <n v="231.09200000000001"/>
    <n v="231.09200000000001"/>
    <n v="231.09200000000001"/>
    <n v="0"/>
    <x v="0"/>
    <n v="0"/>
    <n v="0"/>
    <n v="29"/>
    <n v="73"/>
    <n v="0"/>
    <n v="97.61"/>
    <n v="219.97"/>
    <m/>
    <n v="119.75016494517713"/>
    <n v="283.40928728637363"/>
    <n v="0"/>
    <n v="22556.89012"/>
    <n v="50833.307240000002"/>
    <n v="0"/>
    <n v="27673.305117510874"/>
    <n v="65493.619017582656"/>
  </r>
  <r>
    <s v="Regular"/>
    <x v="1"/>
    <x v="3"/>
    <x v="5"/>
    <x v="0"/>
    <x v="0"/>
    <x v="0"/>
    <x v="1"/>
    <x v="0"/>
    <n v="41587"/>
    <n v="41587"/>
    <n v="0"/>
    <n v="0"/>
    <n v="0"/>
    <n v="0"/>
    <n v="338"/>
    <x v="0"/>
    <n v="0"/>
    <n v="7"/>
    <n v="0"/>
    <n v="0"/>
    <n v="21.85"/>
    <n v="0"/>
    <n v="0"/>
    <n v="27.777091190692239"/>
    <m/>
    <m/>
    <n v="908675.95000000007"/>
    <n v="0"/>
    <n v="0"/>
    <n v="1155165.8913473182"/>
    <n v="0"/>
    <n v="0"/>
  </r>
  <r>
    <s v="Refaturamento - Regular"/>
    <x v="1"/>
    <x v="3"/>
    <x v="5"/>
    <x v="0"/>
    <x v="0"/>
    <x v="0"/>
    <x v="1"/>
    <x v="0"/>
    <n v="60"/>
    <n v="60"/>
    <n v="0"/>
    <n v="0"/>
    <n v="0"/>
    <n v="0"/>
    <n v="1"/>
    <x v="0"/>
    <n v="0"/>
    <n v="7"/>
    <n v="0"/>
    <n v="0"/>
    <n v="21.85"/>
    <n v="0"/>
    <n v="0"/>
    <n v="27.777091190692239"/>
    <m/>
    <m/>
    <n v="1311"/>
    <n v="0"/>
    <n v="0"/>
    <n v="1666.6254714415343"/>
    <n v="0"/>
    <n v="0"/>
  </r>
  <r>
    <s v="Sistema de Compensação"/>
    <x v="1"/>
    <x v="3"/>
    <x v="5"/>
    <x v="0"/>
    <x v="0"/>
    <x v="0"/>
    <x v="1"/>
    <x v="0"/>
    <n v="2186"/>
    <n v="2186"/>
    <n v="0"/>
    <n v="0"/>
    <n v="0"/>
    <n v="0"/>
    <n v="11"/>
    <x v="0"/>
    <n v="0"/>
    <n v="7"/>
    <n v="0"/>
    <n v="0"/>
    <n v="21.85"/>
    <n v="0"/>
    <n v="0"/>
    <n v="27.777091190692239"/>
    <m/>
    <m/>
    <n v="47764.100000000006"/>
    <n v="0"/>
    <n v="0"/>
    <n v="60720.721342853234"/>
    <n v="0"/>
    <n v="0"/>
  </r>
  <r>
    <s v="Regular"/>
    <x v="1"/>
    <x v="3"/>
    <x v="5"/>
    <x v="0"/>
    <x v="0"/>
    <x v="0"/>
    <x v="1"/>
    <x v="1"/>
    <n v="41497"/>
    <n v="41497"/>
    <n v="0"/>
    <n v="0"/>
    <n v="0"/>
    <n v="0"/>
    <n v="337"/>
    <x v="0"/>
    <n v="0"/>
    <n v="7"/>
    <n v="0"/>
    <n v="0"/>
    <n v="21.85"/>
    <n v="0"/>
    <n v="0"/>
    <n v="27.777091190692239"/>
    <m/>
    <m/>
    <n v="906709.45000000007"/>
    <n v="0"/>
    <n v="0"/>
    <n v="1152665.9531401559"/>
    <n v="0"/>
    <n v="0"/>
  </r>
  <r>
    <s v="Sistema de Compensação"/>
    <x v="1"/>
    <x v="3"/>
    <x v="5"/>
    <x v="0"/>
    <x v="0"/>
    <x v="0"/>
    <x v="1"/>
    <x v="1"/>
    <n v="2186"/>
    <n v="2186"/>
    <n v="0"/>
    <n v="0"/>
    <n v="0"/>
    <n v="0"/>
    <n v="11"/>
    <x v="0"/>
    <n v="0"/>
    <n v="7"/>
    <n v="0"/>
    <n v="0"/>
    <n v="21.85"/>
    <n v="0"/>
    <n v="0"/>
    <n v="27.777091190692239"/>
    <m/>
    <m/>
    <n v="47764.100000000006"/>
    <n v="0"/>
    <n v="0"/>
    <n v="60720.721342853234"/>
    <n v="0"/>
    <n v="0"/>
  </r>
  <r>
    <s v="Regular"/>
    <x v="1"/>
    <x v="3"/>
    <x v="5"/>
    <x v="0"/>
    <x v="0"/>
    <x v="0"/>
    <x v="1"/>
    <x v="2"/>
    <n v="42097"/>
    <n v="42097"/>
    <n v="0"/>
    <n v="0"/>
    <n v="0"/>
    <n v="0"/>
    <n v="338"/>
    <x v="0"/>
    <n v="0"/>
    <n v="7"/>
    <n v="0"/>
    <n v="0"/>
    <n v="21.85"/>
    <n v="0"/>
    <n v="0"/>
    <n v="27.777091190692239"/>
    <m/>
    <m/>
    <n v="919819.45000000007"/>
    <n v="0"/>
    <n v="0"/>
    <n v="1169332.2078545713"/>
    <n v="0"/>
    <n v="0"/>
  </r>
  <r>
    <s v="Refaturamento - Regular"/>
    <x v="1"/>
    <x v="3"/>
    <x v="5"/>
    <x v="0"/>
    <x v="0"/>
    <x v="0"/>
    <x v="1"/>
    <x v="2"/>
    <n v="225"/>
    <n v="225"/>
    <n v="0"/>
    <n v="0"/>
    <n v="0"/>
    <n v="0"/>
    <n v="2"/>
    <x v="0"/>
    <n v="0"/>
    <n v="7"/>
    <n v="0"/>
    <n v="0"/>
    <n v="21.85"/>
    <n v="0"/>
    <n v="0"/>
    <n v="27.777091190692239"/>
    <m/>
    <m/>
    <n v="4916.25"/>
    <n v="0"/>
    <n v="0"/>
    <n v="6249.8455179057537"/>
    <n v="0"/>
    <n v="0"/>
  </r>
  <r>
    <s v="Sistema de Compensação"/>
    <x v="1"/>
    <x v="3"/>
    <x v="5"/>
    <x v="0"/>
    <x v="0"/>
    <x v="0"/>
    <x v="1"/>
    <x v="2"/>
    <n v="2186"/>
    <n v="2186"/>
    <n v="0"/>
    <n v="0"/>
    <n v="0"/>
    <n v="0"/>
    <n v="11"/>
    <x v="0"/>
    <n v="0"/>
    <n v="7"/>
    <n v="0"/>
    <n v="0"/>
    <n v="21.85"/>
    <n v="0"/>
    <n v="0"/>
    <n v="27.777091190692239"/>
    <m/>
    <m/>
    <n v="47764.100000000006"/>
    <n v="0"/>
    <n v="0"/>
    <n v="60720.721342853234"/>
    <n v="0"/>
    <n v="0"/>
  </r>
  <r>
    <s v="Regular"/>
    <x v="1"/>
    <x v="3"/>
    <x v="5"/>
    <x v="0"/>
    <x v="0"/>
    <x v="0"/>
    <x v="1"/>
    <x v="3"/>
    <n v="41884"/>
    <n v="41884"/>
    <n v="0"/>
    <n v="0"/>
    <n v="0"/>
    <n v="0"/>
    <n v="337"/>
    <x v="0"/>
    <n v="0"/>
    <n v="7"/>
    <n v="0"/>
    <n v="0"/>
    <n v="21.85"/>
    <n v="0"/>
    <n v="0"/>
    <n v="27.777091190692239"/>
    <m/>
    <m/>
    <n v="915165.4"/>
    <n v="0"/>
    <n v="0"/>
    <n v="1163415.6874309538"/>
    <n v="0"/>
    <n v="0"/>
  </r>
  <r>
    <s v="Sistema de Compensação"/>
    <x v="1"/>
    <x v="3"/>
    <x v="5"/>
    <x v="0"/>
    <x v="0"/>
    <x v="0"/>
    <x v="1"/>
    <x v="3"/>
    <n v="2476"/>
    <n v="2476"/>
    <n v="0"/>
    <n v="0"/>
    <n v="0"/>
    <n v="0"/>
    <n v="13"/>
    <x v="0"/>
    <n v="0"/>
    <n v="7"/>
    <n v="0"/>
    <n v="0"/>
    <n v="21.85"/>
    <n v="0"/>
    <n v="0"/>
    <n v="27.777091190692239"/>
    <m/>
    <m/>
    <n v="54100.600000000006"/>
    <n v="0"/>
    <n v="0"/>
    <n v="68776.077788153983"/>
    <n v="0"/>
    <n v="0"/>
  </r>
  <r>
    <s v="Regular"/>
    <x v="1"/>
    <x v="3"/>
    <x v="5"/>
    <x v="0"/>
    <x v="0"/>
    <x v="0"/>
    <x v="1"/>
    <x v="4"/>
    <n v="42255"/>
    <n v="42255"/>
    <n v="0"/>
    <n v="0"/>
    <n v="0"/>
    <n v="0"/>
    <n v="338"/>
    <x v="0"/>
    <n v="0"/>
    <n v="7"/>
    <n v="0"/>
    <n v="0"/>
    <n v="21.85"/>
    <n v="0"/>
    <n v="0"/>
    <n v="27.777091190692239"/>
    <m/>
    <m/>
    <n v="923271.75000000012"/>
    <n v="0"/>
    <n v="0"/>
    <n v="1173720.9882627006"/>
    <n v="0"/>
    <n v="0"/>
  </r>
  <r>
    <s v="Sistema de Compensação"/>
    <x v="1"/>
    <x v="3"/>
    <x v="5"/>
    <x v="0"/>
    <x v="0"/>
    <x v="0"/>
    <x v="1"/>
    <x v="4"/>
    <n v="2476"/>
    <n v="2476"/>
    <n v="0"/>
    <n v="0"/>
    <n v="0"/>
    <n v="0"/>
    <n v="13"/>
    <x v="0"/>
    <n v="0"/>
    <n v="7"/>
    <n v="0"/>
    <n v="0"/>
    <n v="21.85"/>
    <n v="0"/>
    <n v="0"/>
    <n v="27.777091190692239"/>
    <m/>
    <m/>
    <n v="54100.600000000006"/>
    <n v="0"/>
    <n v="0"/>
    <n v="68776.077788153983"/>
    <n v="0"/>
    <n v="0"/>
  </r>
  <r>
    <s v="Regular"/>
    <x v="1"/>
    <x v="3"/>
    <x v="5"/>
    <x v="0"/>
    <x v="0"/>
    <x v="0"/>
    <x v="1"/>
    <x v="5"/>
    <n v="42309"/>
    <n v="42309"/>
    <n v="0"/>
    <n v="0"/>
    <n v="0"/>
    <n v="0"/>
    <n v="340"/>
    <x v="0"/>
    <n v="0"/>
    <n v="7"/>
    <n v="0"/>
    <n v="0"/>
    <n v="21.85"/>
    <n v="0"/>
    <n v="0"/>
    <n v="27.777091190692239"/>
    <m/>
    <m/>
    <n v="924451.65"/>
    <n v="0"/>
    <n v="0"/>
    <n v="1175220.951186998"/>
    <n v="0"/>
    <n v="0"/>
  </r>
  <r>
    <s v="Refaturamento - Regular"/>
    <x v="1"/>
    <x v="3"/>
    <x v="5"/>
    <x v="0"/>
    <x v="0"/>
    <x v="0"/>
    <x v="1"/>
    <x v="5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Sistema de Compensação"/>
    <x v="1"/>
    <x v="3"/>
    <x v="5"/>
    <x v="0"/>
    <x v="0"/>
    <x v="0"/>
    <x v="1"/>
    <x v="5"/>
    <n v="2483"/>
    <n v="2483"/>
    <n v="0"/>
    <n v="0"/>
    <n v="0"/>
    <n v="0"/>
    <n v="13"/>
    <x v="0"/>
    <n v="0"/>
    <n v="7"/>
    <n v="0"/>
    <n v="0"/>
    <n v="21.85"/>
    <n v="0"/>
    <n v="0"/>
    <n v="27.777091190692239"/>
    <m/>
    <m/>
    <n v="54253.55"/>
    <n v="0"/>
    <n v="0"/>
    <n v="68970.517426488834"/>
    <n v="0"/>
    <n v="0"/>
  </r>
  <r>
    <s v="Regular"/>
    <x v="1"/>
    <x v="3"/>
    <x v="5"/>
    <x v="0"/>
    <x v="0"/>
    <x v="0"/>
    <x v="1"/>
    <x v="6"/>
    <n v="42923"/>
    <n v="42923"/>
    <n v="0"/>
    <n v="0"/>
    <n v="0"/>
    <n v="0"/>
    <n v="340"/>
    <x v="0"/>
    <n v="0"/>
    <n v="7"/>
    <n v="0"/>
    <n v="0"/>
    <n v="21.85"/>
    <n v="0"/>
    <n v="0"/>
    <n v="27.777091190692239"/>
    <m/>
    <m/>
    <n v="937867.55"/>
    <n v="0"/>
    <n v="0"/>
    <n v="1192276.085178083"/>
    <n v="0"/>
    <n v="0"/>
  </r>
  <r>
    <s v="Refaturamento - Regular"/>
    <x v="1"/>
    <x v="3"/>
    <x v="5"/>
    <x v="0"/>
    <x v="0"/>
    <x v="0"/>
    <x v="1"/>
    <x v="6"/>
    <n v="150"/>
    <n v="150"/>
    <n v="0"/>
    <n v="0"/>
    <n v="0"/>
    <n v="0"/>
    <n v="2"/>
    <x v="0"/>
    <n v="0"/>
    <n v="7"/>
    <n v="0"/>
    <n v="0"/>
    <n v="21.85"/>
    <n v="0"/>
    <n v="0"/>
    <n v="27.777091190692239"/>
    <m/>
    <m/>
    <n v="3277.5"/>
    <n v="0"/>
    <n v="0"/>
    <n v="4166.5636786038358"/>
    <n v="0"/>
    <n v="0"/>
  </r>
  <r>
    <s v="Sistema de Compensação"/>
    <x v="1"/>
    <x v="3"/>
    <x v="5"/>
    <x v="0"/>
    <x v="0"/>
    <x v="0"/>
    <x v="1"/>
    <x v="6"/>
    <n v="2496"/>
    <n v="2496"/>
    <n v="0"/>
    <n v="0"/>
    <n v="0"/>
    <n v="0"/>
    <n v="13"/>
    <x v="0"/>
    <n v="0"/>
    <n v="7"/>
    <n v="0"/>
    <n v="0"/>
    <n v="21.85"/>
    <n v="0"/>
    <n v="0"/>
    <n v="27.777091190692239"/>
    <m/>
    <m/>
    <n v="54537.600000000006"/>
    <n v="0"/>
    <n v="0"/>
    <n v="69331.619611967835"/>
    <n v="0"/>
    <n v="0"/>
  </r>
  <r>
    <s v="Regular"/>
    <x v="1"/>
    <x v="3"/>
    <x v="5"/>
    <x v="0"/>
    <x v="0"/>
    <x v="0"/>
    <x v="1"/>
    <x v="7"/>
    <n v="42175"/>
    <n v="42175"/>
    <n v="0"/>
    <n v="0"/>
    <n v="0"/>
    <n v="0"/>
    <n v="343"/>
    <x v="0"/>
    <n v="0"/>
    <n v="7"/>
    <n v="0"/>
    <n v="0"/>
    <n v="21.85"/>
    <n v="0"/>
    <n v="0"/>
    <n v="27.777091190692239"/>
    <m/>
    <m/>
    <n v="921523.75000000012"/>
    <n v="0"/>
    <n v="0"/>
    <n v="1171498.8209674452"/>
    <n v="0"/>
    <n v="0"/>
  </r>
  <r>
    <s v="Sistema de Compensação"/>
    <x v="1"/>
    <x v="3"/>
    <x v="5"/>
    <x v="0"/>
    <x v="0"/>
    <x v="0"/>
    <x v="1"/>
    <x v="7"/>
    <n v="2429"/>
    <n v="2429"/>
    <n v="0"/>
    <n v="0"/>
    <n v="0"/>
    <n v="0"/>
    <n v="14"/>
    <x v="0"/>
    <n v="0"/>
    <n v="7"/>
    <n v="0"/>
    <n v="0"/>
    <n v="21.85"/>
    <n v="0"/>
    <n v="0"/>
    <n v="27.777091190692239"/>
    <m/>
    <m/>
    <n v="53073.65"/>
    <n v="0"/>
    <n v="0"/>
    <n v="67470.554502191444"/>
    <n v="0"/>
    <n v="0"/>
  </r>
  <r>
    <s v="Regular"/>
    <x v="1"/>
    <x v="3"/>
    <x v="5"/>
    <x v="0"/>
    <x v="0"/>
    <x v="0"/>
    <x v="1"/>
    <x v="8"/>
    <n v="42569"/>
    <n v="42569"/>
    <n v="0"/>
    <n v="0"/>
    <n v="0"/>
    <n v="0"/>
    <n v="344"/>
    <x v="0"/>
    <n v="0"/>
    <n v="7"/>
    <n v="0"/>
    <n v="0"/>
    <n v="21.85"/>
    <n v="0"/>
    <n v="0"/>
    <n v="27.777091190692239"/>
    <m/>
    <m/>
    <n v="930132.65"/>
    <n v="0"/>
    <n v="0"/>
    <n v="1182442.9948965779"/>
    <n v="0"/>
    <n v="0"/>
  </r>
  <r>
    <s v="Sistema de Compensação"/>
    <x v="1"/>
    <x v="3"/>
    <x v="5"/>
    <x v="0"/>
    <x v="0"/>
    <x v="0"/>
    <x v="1"/>
    <x v="8"/>
    <n v="2433"/>
    <n v="2433"/>
    <n v="0"/>
    <n v="0"/>
    <n v="0"/>
    <n v="0"/>
    <n v="14"/>
    <x v="0"/>
    <n v="0"/>
    <n v="7"/>
    <n v="0"/>
    <n v="0"/>
    <n v="21.85"/>
    <n v="0"/>
    <n v="0"/>
    <n v="27.777091190692239"/>
    <m/>
    <m/>
    <n v="53161.05"/>
    <n v="0"/>
    <n v="0"/>
    <n v="67581.662866954211"/>
    <n v="0"/>
    <n v="0"/>
  </r>
  <r>
    <s v="Regular"/>
    <x v="1"/>
    <x v="3"/>
    <x v="5"/>
    <x v="0"/>
    <x v="0"/>
    <x v="0"/>
    <x v="1"/>
    <x v="9"/>
    <n v="43672"/>
    <n v="43672"/>
    <n v="0"/>
    <n v="0"/>
    <n v="0"/>
    <n v="0"/>
    <n v="347"/>
    <x v="0"/>
    <n v="0"/>
    <n v="7"/>
    <n v="0"/>
    <n v="0"/>
    <n v="21.85"/>
    <n v="0"/>
    <n v="0"/>
    <n v="27.777091190692239"/>
    <m/>
    <m/>
    <n v="954233.20000000007"/>
    <n v="0"/>
    <n v="0"/>
    <n v="1213081.1264799114"/>
    <n v="0"/>
    <n v="0"/>
  </r>
  <r>
    <s v="Sistema de Compensação"/>
    <x v="1"/>
    <x v="3"/>
    <x v="5"/>
    <x v="0"/>
    <x v="0"/>
    <x v="0"/>
    <x v="1"/>
    <x v="9"/>
    <n v="2426"/>
    <n v="2426"/>
    <n v="0"/>
    <n v="0"/>
    <n v="0"/>
    <n v="0"/>
    <n v="14"/>
    <x v="0"/>
    <n v="0"/>
    <n v="7"/>
    <n v="0"/>
    <n v="0"/>
    <n v="21.85"/>
    <n v="0"/>
    <n v="0"/>
    <n v="27.777091190692239"/>
    <m/>
    <m/>
    <n v="53008.100000000006"/>
    <n v="0"/>
    <n v="0"/>
    <n v="67387.223228619376"/>
    <n v="0"/>
    <n v="0"/>
  </r>
  <r>
    <s v="Regular"/>
    <x v="1"/>
    <x v="3"/>
    <x v="5"/>
    <x v="0"/>
    <x v="0"/>
    <x v="0"/>
    <x v="1"/>
    <x v="10"/>
    <n v="44016"/>
    <n v="44016"/>
    <n v="0"/>
    <n v="0"/>
    <n v="0"/>
    <n v="0"/>
    <n v="348"/>
    <x v="0"/>
    <n v="0"/>
    <n v="7"/>
    <n v="0"/>
    <n v="0"/>
    <n v="21.85"/>
    <n v="0"/>
    <n v="0"/>
    <n v="27.777091190692239"/>
    <m/>
    <m/>
    <n v="961749.60000000009"/>
    <n v="0"/>
    <n v="0"/>
    <n v="1222636.4458495097"/>
    <n v="0"/>
    <n v="0"/>
  </r>
  <r>
    <s v="Sistema de Compensação"/>
    <x v="1"/>
    <x v="3"/>
    <x v="5"/>
    <x v="0"/>
    <x v="0"/>
    <x v="0"/>
    <x v="1"/>
    <x v="10"/>
    <n v="2426"/>
    <n v="2426"/>
    <n v="0"/>
    <n v="0"/>
    <n v="0"/>
    <n v="0"/>
    <n v="14"/>
    <x v="0"/>
    <n v="0"/>
    <n v="7"/>
    <n v="0"/>
    <n v="0"/>
    <n v="21.85"/>
    <n v="0"/>
    <n v="0"/>
    <n v="27.777091190692239"/>
    <m/>
    <m/>
    <n v="53008.100000000006"/>
    <n v="0"/>
    <n v="0"/>
    <n v="67387.223228619376"/>
    <n v="0"/>
    <n v="0"/>
  </r>
  <r>
    <s v="PROJETADO"/>
    <x v="1"/>
    <x v="3"/>
    <x v="5"/>
    <x v="0"/>
    <x v="0"/>
    <x v="0"/>
    <x v="1"/>
    <x v="11"/>
    <n v="44016"/>
    <n v="44016"/>
    <n v="0"/>
    <n v="0"/>
    <n v="0"/>
    <n v="0"/>
    <n v="348"/>
    <x v="0"/>
    <n v="0"/>
    <n v="7"/>
    <n v="0"/>
    <n v="0"/>
    <n v="21.85"/>
    <n v="0"/>
    <n v="0"/>
    <n v="27.777091190692239"/>
    <m/>
    <m/>
    <n v="961749.60000000009"/>
    <n v="0"/>
    <n v="0"/>
    <n v="1222636.4458495097"/>
    <n v="0"/>
    <n v="0"/>
  </r>
  <r>
    <s v="PROJETADO"/>
    <x v="1"/>
    <x v="3"/>
    <x v="5"/>
    <x v="0"/>
    <x v="0"/>
    <x v="0"/>
    <x v="1"/>
    <x v="11"/>
    <n v="2426"/>
    <n v="2426"/>
    <n v="0"/>
    <n v="0"/>
    <n v="0"/>
    <n v="0"/>
    <n v="14"/>
    <x v="0"/>
    <n v="0"/>
    <n v="7"/>
    <n v="0"/>
    <n v="0"/>
    <n v="21.85"/>
    <n v="0"/>
    <n v="0"/>
    <n v="27.777091190692239"/>
    <m/>
    <m/>
    <n v="53008.100000000006"/>
    <n v="0"/>
    <n v="0"/>
    <n v="67387.223228619376"/>
    <n v="0"/>
    <n v="0"/>
  </r>
  <r>
    <s v="Regular"/>
    <x v="1"/>
    <x v="3"/>
    <x v="5"/>
    <x v="0"/>
    <x v="0"/>
    <x v="0"/>
    <x v="2"/>
    <x v="0"/>
    <n v="0"/>
    <n v="0"/>
    <n v="507.31200000000001"/>
    <n v="507.31200000000001"/>
    <n v="507.31200000000001"/>
    <n v="507.31200000000001"/>
    <n v="0"/>
    <x v="0"/>
    <n v="0"/>
    <n v="0"/>
    <n v="8"/>
    <n v="72"/>
    <n v="0"/>
    <n v="1557.74"/>
    <n v="346.61"/>
    <m/>
    <n v="1938.4308905871562"/>
    <n v="441.69177554366559"/>
    <n v="0"/>
    <n v="790260.19487999997"/>
    <n v="175839.41232"/>
    <n v="0"/>
    <n v="983389.2519655514"/>
    <n v="224075.53803460809"/>
  </r>
  <r>
    <s v="Refaturamento - Regular"/>
    <x v="1"/>
    <x v="3"/>
    <x v="5"/>
    <x v="0"/>
    <x v="0"/>
    <x v="0"/>
    <x v="2"/>
    <x v="0"/>
    <n v="0"/>
    <n v="0"/>
    <n v="0.66900000000000004"/>
    <n v="0.66900000000000004"/>
    <n v="0.66900000000000004"/>
    <n v="0.66900000000000004"/>
    <n v="0"/>
    <x v="0"/>
    <n v="0"/>
    <n v="0"/>
    <n v="8"/>
    <n v="72"/>
    <n v="0"/>
    <n v="1557.74"/>
    <n v="346.61"/>
    <m/>
    <n v="1938.4308905871562"/>
    <n v="441.69177554366559"/>
    <n v="0"/>
    <n v="1042.12806"/>
    <n v="231.88209000000003"/>
    <n v="0"/>
    <n v="1296.8102658028076"/>
    <n v="295.49179783871227"/>
  </r>
  <r>
    <s v="Sistema de Compensação"/>
    <x v="1"/>
    <x v="3"/>
    <x v="5"/>
    <x v="0"/>
    <x v="0"/>
    <x v="0"/>
    <x v="2"/>
    <x v="0"/>
    <n v="0"/>
    <n v="0"/>
    <n v="13.177"/>
    <n v="13.177"/>
    <n v="13.177"/>
    <n v="13.177"/>
    <n v="0"/>
    <x v="0"/>
    <n v="0"/>
    <n v="0"/>
    <n v="8"/>
    <n v="72"/>
    <n v="0"/>
    <n v="1557.74"/>
    <n v="346.61"/>
    <m/>
    <n v="1938.4308905871562"/>
    <n v="441.69177554366559"/>
    <n v="0"/>
    <n v="20526.339980000001"/>
    <n v="4567.2799699999996"/>
    <n v="0"/>
    <n v="25542.703845266959"/>
    <n v="5820.1725263388817"/>
  </r>
  <r>
    <s v="Regular"/>
    <x v="1"/>
    <x v="3"/>
    <x v="5"/>
    <x v="0"/>
    <x v="0"/>
    <x v="0"/>
    <x v="2"/>
    <x v="1"/>
    <n v="0"/>
    <n v="0"/>
    <n v="469.42500000000001"/>
    <n v="469.42500000000001"/>
    <n v="469.42500000000001"/>
    <n v="469.42500000000001"/>
    <n v="0"/>
    <x v="0"/>
    <n v="0"/>
    <n v="0"/>
    <n v="8"/>
    <n v="72"/>
    <n v="0"/>
    <n v="1557.74"/>
    <n v="346.61"/>
    <m/>
    <n v="1938.4308905871562"/>
    <n v="441.69177554366559"/>
    <n v="0"/>
    <n v="731242.09950000001"/>
    <n v="162707.39925000002"/>
    <n v="0"/>
    <n v="909947.92081387585"/>
    <n v="207341.16173458521"/>
  </r>
  <r>
    <s v="Refaturamento - Regular"/>
    <x v="1"/>
    <x v="3"/>
    <x v="5"/>
    <x v="0"/>
    <x v="0"/>
    <x v="0"/>
    <x v="2"/>
    <x v="1"/>
    <n v="0"/>
    <n v="0"/>
    <n v="0.49"/>
    <n v="0.49"/>
    <n v="0.49"/>
    <n v="0.49"/>
    <n v="0"/>
    <x v="0"/>
    <n v="0"/>
    <n v="0"/>
    <n v="8"/>
    <n v="72"/>
    <n v="0"/>
    <n v="1557.74"/>
    <n v="346.61"/>
    <m/>
    <n v="1938.4308905871562"/>
    <n v="441.69177554366559"/>
    <n v="0"/>
    <n v="763.29259999999999"/>
    <n v="169.8389"/>
    <n v="0"/>
    <n v="949.83113638770658"/>
    <n v="216.42897001639614"/>
  </r>
  <r>
    <s v="Sistema de Compensação"/>
    <x v="1"/>
    <x v="3"/>
    <x v="5"/>
    <x v="0"/>
    <x v="0"/>
    <x v="0"/>
    <x v="2"/>
    <x v="1"/>
    <n v="0"/>
    <n v="0"/>
    <n v="13.564"/>
    <n v="13.564"/>
    <n v="13.564"/>
    <n v="13.564"/>
    <n v="0"/>
    <x v="0"/>
    <n v="0"/>
    <n v="0"/>
    <n v="8"/>
    <n v="72"/>
    <n v="0"/>
    <n v="1557.74"/>
    <n v="346.61"/>
    <m/>
    <n v="1938.4308905871562"/>
    <n v="441.69177554366559"/>
    <n v="0"/>
    <n v="21129.185359999999"/>
    <n v="4701.4180400000005"/>
    <n v="0"/>
    <n v="26292.876599924188"/>
    <n v="5991.10724347428"/>
  </r>
  <r>
    <s v="Regular"/>
    <x v="1"/>
    <x v="3"/>
    <x v="5"/>
    <x v="0"/>
    <x v="0"/>
    <x v="0"/>
    <x v="2"/>
    <x v="2"/>
    <n v="0"/>
    <n v="0"/>
    <n v="487.87200000000001"/>
    <n v="487.87200000000001"/>
    <n v="487.87200000000001"/>
    <n v="487.87200000000001"/>
    <n v="0"/>
    <x v="0"/>
    <n v="0"/>
    <n v="0"/>
    <n v="8"/>
    <n v="72"/>
    <n v="0"/>
    <n v="1557.74"/>
    <n v="346.61"/>
    <m/>
    <n v="1938.4308905871562"/>
    <n v="441.69177554366559"/>
    <n v="0"/>
    <n v="759977.72927999997"/>
    <n v="169101.31392000002"/>
    <n v="0"/>
    <n v="945706.15545253712"/>
    <n v="215489.04991803924"/>
  </r>
  <r>
    <s v="Sistema de Compensação"/>
    <x v="1"/>
    <x v="3"/>
    <x v="5"/>
    <x v="0"/>
    <x v="0"/>
    <x v="0"/>
    <x v="2"/>
    <x v="2"/>
    <n v="0"/>
    <n v="0"/>
    <n v="14.372999999999999"/>
    <n v="14.372999999999999"/>
    <n v="14.372999999999999"/>
    <n v="14.372999999999999"/>
    <n v="0"/>
    <x v="0"/>
    <n v="0"/>
    <n v="0"/>
    <n v="8"/>
    <n v="72"/>
    <n v="0"/>
    <n v="1557.74"/>
    <n v="346.61"/>
    <m/>
    <n v="1938.4308905871562"/>
    <n v="441.69177554366559"/>
    <n v="0"/>
    <n v="22389.39702"/>
    <n v="4981.8255300000001"/>
    <n v="0"/>
    <n v="27861.067190409194"/>
    <n v="6348.4358898891051"/>
  </r>
  <r>
    <s v="Regular"/>
    <x v="1"/>
    <x v="3"/>
    <x v="5"/>
    <x v="0"/>
    <x v="0"/>
    <x v="0"/>
    <x v="2"/>
    <x v="3"/>
    <n v="0"/>
    <n v="0"/>
    <n v="479.78899999999999"/>
    <n v="479.78899999999999"/>
    <n v="479.78899999999999"/>
    <n v="479.78899999999999"/>
    <n v="0"/>
    <x v="0"/>
    <n v="0"/>
    <n v="0"/>
    <n v="8"/>
    <n v="72"/>
    <n v="0"/>
    <n v="1557.74"/>
    <n v="346.61"/>
    <m/>
    <n v="1938.4308905871562"/>
    <n v="441.69177554366559"/>
    <n v="0"/>
    <n v="747386.51685999997"/>
    <n v="166299.66529"/>
    <n v="0"/>
    <n v="930037.81856392103"/>
    <n v="211918.85529631976"/>
  </r>
  <r>
    <s v="Refaturamento - Regular"/>
    <x v="1"/>
    <x v="3"/>
    <x v="5"/>
    <x v="0"/>
    <x v="0"/>
    <x v="0"/>
    <x v="2"/>
    <x v="3"/>
    <n v="0"/>
    <n v="0"/>
    <n v="-0.11600000000000001"/>
    <n v="-0.11600000000000001"/>
    <n v="-0.11600000000000001"/>
    <n v="-0.11600000000000001"/>
    <n v="0"/>
    <x v="0"/>
    <n v="0"/>
    <n v="0"/>
    <n v="8"/>
    <n v="72"/>
    <n v="0"/>
    <n v="1557.74"/>
    <n v="346.61"/>
    <m/>
    <n v="1938.4308905871562"/>
    <n v="441.69177554366559"/>
    <n v="0"/>
    <n v="-180.69784000000001"/>
    <n v="-40.206760000000003"/>
    <n v="0"/>
    <n v="-224.85798330811014"/>
    <n v="-51.236245963065208"/>
  </r>
  <r>
    <s v="Sistema de Compensação"/>
    <x v="1"/>
    <x v="3"/>
    <x v="5"/>
    <x v="0"/>
    <x v="0"/>
    <x v="0"/>
    <x v="2"/>
    <x v="3"/>
    <n v="0"/>
    <n v="0"/>
    <n v="17.904"/>
    <n v="17.904"/>
    <n v="17.904"/>
    <n v="17.904"/>
    <n v="0"/>
    <x v="0"/>
    <n v="0"/>
    <n v="0"/>
    <n v="8"/>
    <n v="72"/>
    <n v="0"/>
    <n v="1557.74"/>
    <n v="346.61"/>
    <m/>
    <n v="1938.4308905871562"/>
    <n v="441.69177554366559"/>
    <n v="0"/>
    <n v="27889.776959999999"/>
    <n v="6205.7054400000006"/>
    <n v="0"/>
    <n v="34705.666665072444"/>
    <n v="7908.0495493337885"/>
  </r>
  <r>
    <s v="Regular"/>
    <x v="1"/>
    <x v="3"/>
    <x v="5"/>
    <x v="0"/>
    <x v="0"/>
    <x v="0"/>
    <x v="2"/>
    <x v="4"/>
    <n v="0"/>
    <n v="0"/>
    <n v="511.59399999999999"/>
    <n v="511.59399999999999"/>
    <n v="511.59399999999999"/>
    <n v="511.59399999999999"/>
    <n v="0"/>
    <x v="0"/>
    <n v="0"/>
    <n v="0"/>
    <n v="8"/>
    <n v="72"/>
    <n v="0"/>
    <n v="1557.74"/>
    <n v="346.61"/>
    <m/>
    <n v="1938.4308905871562"/>
    <n v="441.69177554366559"/>
    <n v="0"/>
    <n v="796930.43755999999"/>
    <n v="177323.59634000002"/>
    <n v="0"/>
    <n v="991689.61303904559"/>
    <n v="225966.86221748605"/>
  </r>
  <r>
    <s v="Sistema de Compensação"/>
    <x v="1"/>
    <x v="3"/>
    <x v="5"/>
    <x v="0"/>
    <x v="0"/>
    <x v="0"/>
    <x v="2"/>
    <x v="4"/>
    <n v="0"/>
    <n v="0"/>
    <n v="18.577999999999999"/>
    <n v="18.577999999999999"/>
    <n v="18.577999999999999"/>
    <n v="18.577999999999999"/>
    <n v="0"/>
    <x v="0"/>
    <n v="0"/>
    <n v="0"/>
    <n v="8"/>
    <n v="72"/>
    <n v="0"/>
    <n v="1557.74"/>
    <n v="346.61"/>
    <m/>
    <n v="1938.4308905871562"/>
    <n v="441.69177554366559"/>
    <n v="0"/>
    <n v="28939.693719999999"/>
    <n v="6439.3205799999996"/>
    <n v="0"/>
    <n v="36012.169085328191"/>
    <n v="8205.7498060502185"/>
  </r>
  <r>
    <s v="Regular"/>
    <x v="1"/>
    <x v="3"/>
    <x v="5"/>
    <x v="0"/>
    <x v="0"/>
    <x v="0"/>
    <x v="2"/>
    <x v="5"/>
    <n v="0"/>
    <n v="0"/>
    <n v="526.15800000000002"/>
    <n v="526.15800000000002"/>
    <n v="526.15800000000002"/>
    <n v="526.15800000000002"/>
    <n v="0"/>
    <x v="0"/>
    <n v="0"/>
    <n v="0"/>
    <n v="8"/>
    <n v="72"/>
    <n v="0"/>
    <n v="1557.74"/>
    <n v="346.61"/>
    <m/>
    <n v="1938.4308905871562"/>
    <n v="441.69177554366559"/>
    <n v="0"/>
    <n v="819617.36291999999"/>
    <n v="182371.62438000002"/>
    <n v="0"/>
    <n v="1019920.9205295569"/>
    <n v="232399.66123650401"/>
  </r>
  <r>
    <s v="Refaturamento - Regular"/>
    <x v="1"/>
    <x v="3"/>
    <x v="5"/>
    <x v="0"/>
    <x v="0"/>
    <x v="0"/>
    <x v="2"/>
    <x v="5"/>
    <n v="0"/>
    <n v="0"/>
    <n v="0.71199999999999997"/>
    <n v="0.71199999999999997"/>
    <n v="0.71199999999999997"/>
    <n v="0.71199999999999997"/>
    <n v="0"/>
    <x v="0"/>
    <n v="0"/>
    <n v="0"/>
    <n v="8"/>
    <n v="72"/>
    <n v="0"/>
    <n v="1557.74"/>
    <n v="346.61"/>
    <m/>
    <n v="1938.4308905871562"/>
    <n v="441.69177554366559"/>
    <n v="0"/>
    <n v="1109.11088"/>
    <n v="246.78631999999999"/>
    <n v="0"/>
    <n v="1380.1627940980552"/>
    <n v="314.48454418708991"/>
  </r>
  <r>
    <s v="Sistema de Compensação"/>
    <x v="1"/>
    <x v="3"/>
    <x v="5"/>
    <x v="0"/>
    <x v="0"/>
    <x v="0"/>
    <x v="2"/>
    <x v="5"/>
    <n v="0"/>
    <n v="0"/>
    <n v="19.928999999999998"/>
    <n v="19.928999999999998"/>
    <n v="19.928999999999998"/>
    <n v="19.928999999999998"/>
    <n v="0"/>
    <x v="0"/>
    <n v="0"/>
    <n v="0"/>
    <n v="8"/>
    <n v="72"/>
    <n v="0"/>
    <n v="1557.74"/>
    <n v="346.61"/>
    <m/>
    <n v="1938.4308905871562"/>
    <n v="441.69177554366559"/>
    <n v="0"/>
    <n v="31044.200459999996"/>
    <n v="6907.59069"/>
    <n v="0"/>
    <n v="38630.989218511437"/>
    <n v="8802.4753948097114"/>
  </r>
  <r>
    <s v="Regular"/>
    <x v="1"/>
    <x v="3"/>
    <x v="5"/>
    <x v="0"/>
    <x v="0"/>
    <x v="0"/>
    <x v="2"/>
    <x v="6"/>
    <n v="0"/>
    <n v="0"/>
    <n v="590.96100000000001"/>
    <n v="590.96100000000001"/>
    <n v="590.96100000000001"/>
    <n v="590.96100000000001"/>
    <n v="0"/>
    <x v="0"/>
    <n v="0"/>
    <n v="0"/>
    <n v="8"/>
    <n v="72"/>
    <n v="0"/>
    <n v="1557.74"/>
    <n v="346.61"/>
    <m/>
    <n v="1938.4308905871562"/>
    <n v="441.69177554366559"/>
    <n v="0"/>
    <n v="920563.58814000001"/>
    <n v="204832.99221000003"/>
    <n v="0"/>
    <n v="1145537.0575322765"/>
    <n v="261022.61336706017"/>
  </r>
  <r>
    <s v="Sistema de Compensação"/>
    <x v="1"/>
    <x v="3"/>
    <x v="5"/>
    <x v="0"/>
    <x v="0"/>
    <x v="0"/>
    <x v="2"/>
    <x v="6"/>
    <n v="0"/>
    <n v="0"/>
    <n v="22.504999999999999"/>
    <n v="22.504999999999999"/>
    <n v="22.504999999999999"/>
    <n v="22.504999999999999"/>
    <n v="0"/>
    <x v="0"/>
    <n v="0"/>
    <n v="0"/>
    <n v="8"/>
    <n v="72"/>
    <n v="0"/>
    <n v="1557.74"/>
    <n v="346.61"/>
    <m/>
    <n v="1938.4308905871562"/>
    <n v="441.69177554366559"/>
    <n v="0"/>
    <n v="35056.938699999999"/>
    <n v="7800.4580500000002"/>
    <n v="0"/>
    <n v="43624.387192663948"/>
    <n v="9940.2734086101937"/>
  </r>
  <r>
    <s v="Regular"/>
    <x v="1"/>
    <x v="3"/>
    <x v="5"/>
    <x v="0"/>
    <x v="0"/>
    <x v="0"/>
    <x v="2"/>
    <x v="7"/>
    <n v="0"/>
    <n v="0"/>
    <n v="637.32899999999995"/>
    <n v="637.32899999999995"/>
    <n v="637.32899999999995"/>
    <n v="637.32899999999995"/>
    <n v="0"/>
    <x v="0"/>
    <n v="0"/>
    <n v="0"/>
    <n v="8"/>
    <n v="72"/>
    <n v="0"/>
    <n v="1557.74"/>
    <n v="346.61"/>
    <m/>
    <n v="1938.4308905871562"/>
    <n v="441.69177554366559"/>
    <n v="0"/>
    <n v="992792.87645999994"/>
    <n v="220904.60468999998"/>
    <n v="0"/>
    <n v="1235418.2210670216"/>
    <n v="281502.97761546884"/>
  </r>
  <r>
    <s v="Sistema de Compensação"/>
    <x v="1"/>
    <x v="3"/>
    <x v="5"/>
    <x v="0"/>
    <x v="0"/>
    <x v="0"/>
    <x v="2"/>
    <x v="7"/>
    <n v="0"/>
    <n v="0"/>
    <n v="19.375"/>
    <n v="19.375"/>
    <n v="19.375"/>
    <n v="19.375"/>
    <n v="0"/>
    <x v="0"/>
    <n v="0"/>
    <n v="0"/>
    <n v="8"/>
    <n v="72"/>
    <n v="0"/>
    <n v="1557.74"/>
    <n v="346.61"/>
    <m/>
    <n v="1938.4308905871562"/>
    <n v="441.69177554366559"/>
    <n v="0"/>
    <n v="30181.212500000001"/>
    <n v="6715.5687500000004"/>
    <n v="0"/>
    <n v="37557.098505126152"/>
    <n v="8557.7781511585199"/>
  </r>
  <r>
    <s v="Regular"/>
    <x v="1"/>
    <x v="3"/>
    <x v="5"/>
    <x v="0"/>
    <x v="0"/>
    <x v="0"/>
    <x v="2"/>
    <x v="8"/>
    <n v="0"/>
    <n v="0"/>
    <n v="577.37599999999998"/>
    <n v="577.37599999999998"/>
    <n v="577.37599999999998"/>
    <n v="577.37599999999998"/>
    <n v="0"/>
    <x v="0"/>
    <n v="0"/>
    <n v="0"/>
    <n v="8"/>
    <n v="72"/>
    <n v="0"/>
    <n v="1557.74"/>
    <n v="346.61"/>
    <m/>
    <n v="1938.4308905871562"/>
    <n v="441.69177554366559"/>
    <n v="0"/>
    <n v="899401.69024000003"/>
    <n v="200124.29535999999"/>
    <n v="0"/>
    <n v="1119203.4738836498"/>
    <n v="255022.23059629946"/>
  </r>
  <r>
    <s v="Sistema de Compensação"/>
    <x v="1"/>
    <x v="3"/>
    <x v="5"/>
    <x v="0"/>
    <x v="0"/>
    <x v="0"/>
    <x v="2"/>
    <x v="8"/>
    <n v="0"/>
    <n v="0"/>
    <n v="20.206"/>
    <n v="20.206"/>
    <n v="20.206"/>
    <n v="20.206"/>
    <n v="0"/>
    <x v="0"/>
    <n v="0"/>
    <n v="0"/>
    <n v="8"/>
    <n v="72"/>
    <n v="0"/>
    <n v="1557.74"/>
    <n v="346.61"/>
    <m/>
    <n v="1938.4308905871562"/>
    <n v="441.69177554366559"/>
    <n v="0"/>
    <n v="31475.694439999999"/>
    <n v="7003.6016600000003"/>
    <n v="0"/>
    <n v="39167.934575204075"/>
    <n v="8924.8240166353062"/>
  </r>
  <r>
    <s v="Regular"/>
    <x v="1"/>
    <x v="3"/>
    <x v="5"/>
    <x v="0"/>
    <x v="0"/>
    <x v="0"/>
    <x v="2"/>
    <x v="9"/>
    <n v="0"/>
    <n v="0"/>
    <n v="606.06299999999999"/>
    <n v="606.06299999999999"/>
    <n v="606.06299999999999"/>
    <n v="606.06299999999999"/>
    <n v="0"/>
    <x v="0"/>
    <n v="0"/>
    <n v="0"/>
    <n v="8"/>
    <n v="72"/>
    <n v="0"/>
    <n v="1557.74"/>
    <n v="346.61"/>
    <m/>
    <n v="1938.4308905871562"/>
    <n v="441.69177554366559"/>
    <n v="0"/>
    <n v="944088.57762"/>
    <n v="210067.49643"/>
    <n v="0"/>
    <n v="1174811.2408419237"/>
    <n v="267693.04256132059"/>
  </r>
  <r>
    <s v="Sistema de Compensação"/>
    <x v="1"/>
    <x v="3"/>
    <x v="5"/>
    <x v="0"/>
    <x v="0"/>
    <x v="0"/>
    <x v="2"/>
    <x v="9"/>
    <n v="0"/>
    <n v="0"/>
    <n v="22.216000000000001"/>
    <n v="22.216000000000001"/>
    <n v="22.216000000000001"/>
    <n v="22.216000000000001"/>
    <n v="0"/>
    <x v="0"/>
    <n v="0"/>
    <n v="0"/>
    <n v="8"/>
    <n v="72"/>
    <n v="0"/>
    <n v="1557.74"/>
    <n v="346.61"/>
    <m/>
    <n v="1938.4308905871562"/>
    <n v="441.69177554366559"/>
    <n v="0"/>
    <n v="34606.751840000004"/>
    <n v="7700.2877600000011"/>
    <n v="0"/>
    <n v="43064.180665284264"/>
    <n v="9812.6244854780743"/>
  </r>
  <r>
    <s v="Regular"/>
    <x v="1"/>
    <x v="3"/>
    <x v="5"/>
    <x v="0"/>
    <x v="0"/>
    <x v="0"/>
    <x v="2"/>
    <x v="10"/>
    <n v="0"/>
    <n v="0"/>
    <n v="678.78800000000001"/>
    <n v="678.78800000000001"/>
    <n v="678.78800000000001"/>
    <n v="678.78800000000001"/>
    <n v="0"/>
    <x v="0"/>
    <n v="0"/>
    <n v="0"/>
    <n v="8"/>
    <n v="72"/>
    <n v="0"/>
    <n v="1557.74"/>
    <n v="346.61"/>
    <m/>
    <n v="1938.4308905871562"/>
    <n v="441.69177554366559"/>
    <n v="0"/>
    <n v="1057375.21912"/>
    <n v="235274.70868000001"/>
    <n v="0"/>
    <n v="1315783.6273598745"/>
    <n v="299815.07693773368"/>
  </r>
  <r>
    <s v="Sistema de Compensação"/>
    <x v="1"/>
    <x v="3"/>
    <x v="5"/>
    <x v="0"/>
    <x v="0"/>
    <x v="0"/>
    <x v="2"/>
    <x v="10"/>
    <n v="0"/>
    <n v="0"/>
    <n v="25.712"/>
    <n v="25.712"/>
    <n v="25.712"/>
    <n v="25.712"/>
    <n v="0"/>
    <x v="0"/>
    <n v="0"/>
    <n v="0"/>
    <n v="8"/>
    <n v="72"/>
    <n v="0"/>
    <n v="1557.74"/>
    <n v="346.61"/>
    <m/>
    <n v="1938.4308905871562"/>
    <n v="441.69177554366559"/>
    <n v="0"/>
    <n v="40052.61088"/>
    <n v="8912.0363200000011"/>
    <n v="0"/>
    <n v="49840.935058776959"/>
    <n v="11356.778932778729"/>
  </r>
  <r>
    <s v="PROJETADO"/>
    <x v="1"/>
    <x v="3"/>
    <x v="5"/>
    <x v="0"/>
    <x v="0"/>
    <x v="0"/>
    <x v="2"/>
    <x v="11"/>
    <n v="0"/>
    <n v="0"/>
    <n v="678.78800000000001"/>
    <n v="678.78800000000001"/>
    <n v="678.78800000000001"/>
    <n v="678.78800000000001"/>
    <n v="0"/>
    <x v="0"/>
    <n v="0"/>
    <n v="0"/>
    <n v="8"/>
    <n v="72"/>
    <n v="0"/>
    <n v="1557.74"/>
    <n v="346.61"/>
    <m/>
    <n v="1938.4308905871562"/>
    <n v="441.69177554366559"/>
    <n v="0"/>
    <n v="1057375.21912"/>
    <n v="235274.70868000001"/>
    <n v="0"/>
    <n v="1315783.6273598745"/>
    <n v="299815.07693773368"/>
  </r>
  <r>
    <s v="PROJETADO"/>
    <x v="1"/>
    <x v="3"/>
    <x v="5"/>
    <x v="0"/>
    <x v="0"/>
    <x v="0"/>
    <x v="2"/>
    <x v="11"/>
    <n v="0"/>
    <n v="0"/>
    <n v="25.712"/>
    <n v="25.712"/>
    <n v="25.712"/>
    <n v="25.712"/>
    <n v="0"/>
    <x v="0"/>
    <n v="0"/>
    <n v="0"/>
    <n v="8"/>
    <n v="72"/>
    <n v="0"/>
    <n v="1557.74"/>
    <n v="346.61"/>
    <m/>
    <n v="1938.4308905871562"/>
    <n v="441.69177554366559"/>
    <n v="0"/>
    <n v="40052.61088"/>
    <n v="8912.0363200000011"/>
    <n v="0"/>
    <n v="49840.935058776959"/>
    <n v="11356.778932778729"/>
  </r>
  <r>
    <s v="Regular"/>
    <x v="1"/>
    <x v="3"/>
    <x v="7"/>
    <x v="3"/>
    <x v="0"/>
    <x v="0"/>
    <x v="0"/>
    <x v="0"/>
    <n v="0"/>
    <n v="0"/>
    <n v="1.877"/>
    <n v="1.877"/>
    <n v="1.877"/>
    <n v="1.877"/>
    <n v="0"/>
    <x v="0"/>
    <n v="0"/>
    <n v="0"/>
    <n v="29"/>
    <n v="73"/>
    <n v="0"/>
    <n v="97.61"/>
    <n v="219.97"/>
    <m/>
    <n v="119.75016494517713"/>
    <n v="283.40928728637363"/>
    <n v="0"/>
    <n v="183.21396999999999"/>
    <n v="412.88369"/>
    <n v="0"/>
    <n v="224.77105960209747"/>
    <n v="531.95923223652335"/>
  </r>
  <r>
    <s v="Regular"/>
    <x v="1"/>
    <x v="3"/>
    <x v="7"/>
    <x v="3"/>
    <x v="0"/>
    <x v="0"/>
    <x v="0"/>
    <x v="1"/>
    <n v="0"/>
    <n v="0"/>
    <n v="1.6839999999999999"/>
    <n v="1.6839999999999999"/>
    <n v="1.6839999999999999"/>
    <n v="1.6839999999999999"/>
    <n v="0"/>
    <x v="0"/>
    <n v="0"/>
    <n v="0"/>
    <n v="29"/>
    <n v="73"/>
    <n v="0"/>
    <n v="97.61"/>
    <n v="219.97"/>
    <m/>
    <n v="119.75016494517713"/>
    <n v="283.40928728637363"/>
    <n v="0"/>
    <n v="164.37523999999999"/>
    <n v="370.42948000000001"/>
    <n v="0"/>
    <n v="201.65927776767828"/>
    <n v="477.26123979025317"/>
  </r>
  <r>
    <s v="Regular"/>
    <x v="1"/>
    <x v="3"/>
    <x v="7"/>
    <x v="3"/>
    <x v="0"/>
    <x v="0"/>
    <x v="0"/>
    <x v="2"/>
    <n v="0"/>
    <n v="0"/>
    <n v="1.8420000000000001"/>
    <n v="1.8420000000000001"/>
    <n v="1.8420000000000001"/>
    <n v="1.8420000000000001"/>
    <n v="0"/>
    <x v="0"/>
    <n v="0"/>
    <n v="0"/>
    <n v="29"/>
    <n v="73"/>
    <n v="0"/>
    <n v="97.61"/>
    <n v="219.97"/>
    <m/>
    <n v="119.75016494517713"/>
    <n v="283.40928728637363"/>
    <n v="0"/>
    <n v="179.79761999999999"/>
    <n v="405.18474000000003"/>
    <n v="0"/>
    <n v="220.5798038290163"/>
    <n v="522.03990718150021"/>
  </r>
  <r>
    <s v="Regular"/>
    <x v="1"/>
    <x v="3"/>
    <x v="7"/>
    <x v="3"/>
    <x v="0"/>
    <x v="0"/>
    <x v="0"/>
    <x v="3"/>
    <n v="0"/>
    <n v="0"/>
    <n v="1.7969999999999999"/>
    <n v="1.7969999999999999"/>
    <n v="1.7969999999999999"/>
    <n v="1.7969999999999999"/>
    <n v="0"/>
    <x v="0"/>
    <n v="0"/>
    <n v="0"/>
    <n v="29"/>
    <n v="73"/>
    <n v="0"/>
    <n v="97.61"/>
    <n v="219.97"/>
    <m/>
    <n v="119.75016494517713"/>
    <n v="283.40928728637363"/>
    <n v="0"/>
    <n v="175.40517"/>
    <n v="395.28609"/>
    <n v="0"/>
    <n v="215.19104640648331"/>
    <n v="509.28648925361341"/>
  </r>
  <r>
    <s v="Regular"/>
    <x v="1"/>
    <x v="3"/>
    <x v="7"/>
    <x v="3"/>
    <x v="0"/>
    <x v="0"/>
    <x v="0"/>
    <x v="4"/>
    <n v="0"/>
    <n v="0"/>
    <n v="1.6839999999999999"/>
    <n v="1.6839999999999999"/>
    <n v="1.6839999999999999"/>
    <n v="1.6839999999999999"/>
    <n v="0"/>
    <x v="0"/>
    <n v="0"/>
    <n v="0"/>
    <n v="29"/>
    <n v="73"/>
    <n v="0"/>
    <n v="97.61"/>
    <n v="219.97"/>
    <m/>
    <n v="119.75016494517713"/>
    <n v="283.40928728637363"/>
    <n v="0"/>
    <n v="164.37523999999999"/>
    <n v="370.42948000000001"/>
    <n v="0"/>
    <n v="201.65927776767828"/>
    <n v="477.26123979025317"/>
  </r>
  <r>
    <s v="Regular"/>
    <x v="1"/>
    <x v="3"/>
    <x v="7"/>
    <x v="3"/>
    <x v="0"/>
    <x v="0"/>
    <x v="0"/>
    <x v="5"/>
    <n v="0"/>
    <n v="0"/>
    <n v="1.7889999999999999"/>
    <n v="1.7889999999999999"/>
    <n v="1.7889999999999999"/>
    <n v="1.7889999999999999"/>
    <n v="0"/>
    <x v="0"/>
    <n v="0"/>
    <n v="0"/>
    <n v="29"/>
    <n v="73"/>
    <n v="0"/>
    <n v="97.61"/>
    <n v="219.97"/>
    <m/>
    <n v="119.75016494517713"/>
    <n v="283.40928728637363"/>
    <n v="0"/>
    <n v="174.62429"/>
    <n v="393.52632999999997"/>
    <n v="0"/>
    <n v="214.23304508692189"/>
    <n v="507.01921495532241"/>
  </r>
  <r>
    <s v="Regular"/>
    <x v="1"/>
    <x v="3"/>
    <x v="7"/>
    <x v="3"/>
    <x v="0"/>
    <x v="0"/>
    <x v="0"/>
    <x v="6"/>
    <n v="0"/>
    <n v="0"/>
    <n v="1.806"/>
    <n v="1.806"/>
    <n v="1.806"/>
    <n v="1.806"/>
    <n v="0"/>
    <x v="0"/>
    <n v="0"/>
    <n v="0"/>
    <n v="29"/>
    <n v="73"/>
    <n v="0"/>
    <n v="97.61"/>
    <n v="219.97"/>
    <m/>
    <n v="119.75016494517713"/>
    <n v="283.40928728637363"/>
    <n v="0"/>
    <n v="176.28366"/>
    <n v="397.26582000000002"/>
    <n v="0"/>
    <n v="216.2687978909899"/>
    <n v="511.83717283919077"/>
  </r>
  <r>
    <s v="Regular"/>
    <x v="1"/>
    <x v="3"/>
    <x v="7"/>
    <x v="3"/>
    <x v="0"/>
    <x v="0"/>
    <x v="0"/>
    <x v="7"/>
    <n v="0"/>
    <n v="0"/>
    <n v="1.7749999999999999"/>
    <n v="1.7749999999999999"/>
    <n v="1.7749999999999999"/>
    <n v="1.7749999999999999"/>
    <n v="0"/>
    <x v="0"/>
    <n v="0"/>
    <n v="0"/>
    <n v="29"/>
    <n v="73"/>
    <n v="0"/>
    <n v="97.61"/>
    <n v="219.97"/>
    <m/>
    <n v="119.75016494517713"/>
    <n v="283.40928728637363"/>
    <n v="0"/>
    <n v="173.25774999999999"/>
    <n v="390.44674999999995"/>
    <n v="0"/>
    <n v="212.5565427776894"/>
    <n v="503.05148493331313"/>
  </r>
  <r>
    <s v="Regular"/>
    <x v="1"/>
    <x v="3"/>
    <x v="7"/>
    <x v="3"/>
    <x v="0"/>
    <x v="0"/>
    <x v="0"/>
    <x v="8"/>
    <n v="0"/>
    <n v="0"/>
    <n v="1.633"/>
    <n v="1.633"/>
    <n v="1.633"/>
    <n v="1.633"/>
    <n v="0"/>
    <x v="0"/>
    <n v="0"/>
    <n v="0"/>
    <n v="29"/>
    <n v="73"/>
    <n v="0"/>
    <n v="97.61"/>
    <n v="219.97"/>
    <m/>
    <n v="119.75016494517713"/>
    <n v="283.40928728637363"/>
    <n v="0"/>
    <n v="159.39713"/>
    <n v="359.21100999999999"/>
    <n v="0"/>
    <n v="195.55201935547427"/>
    <n v="462.80736613864815"/>
  </r>
  <r>
    <s v="Sistema de Compensação"/>
    <x v="1"/>
    <x v="3"/>
    <x v="7"/>
    <x v="3"/>
    <x v="0"/>
    <x v="0"/>
    <x v="0"/>
    <x v="8"/>
    <n v="0"/>
    <n v="0"/>
    <n v="0.49399999999999999"/>
    <n v="0.49399999999999999"/>
    <n v="0.49399999999999999"/>
    <n v="0.49399999999999999"/>
    <n v="0"/>
    <x v="0"/>
    <n v="0"/>
    <n v="0"/>
    <n v="29"/>
    <n v="73"/>
    <n v="0"/>
    <n v="97.61"/>
    <n v="219.97"/>
    <m/>
    <n v="119.75016494517713"/>
    <n v="283.40928728637363"/>
    <n v="0"/>
    <n v="48.219340000000003"/>
    <n v="108.66517999999999"/>
    <n v="0"/>
    <n v="59.156581482917503"/>
    <n v="140.00418791946856"/>
  </r>
  <r>
    <s v="Regular"/>
    <x v="1"/>
    <x v="3"/>
    <x v="7"/>
    <x v="3"/>
    <x v="0"/>
    <x v="0"/>
    <x v="0"/>
    <x v="9"/>
    <n v="0"/>
    <n v="0"/>
    <n v="2.82"/>
    <n v="2.82"/>
    <n v="2.82"/>
    <n v="2.82"/>
    <n v="0"/>
    <x v="0"/>
    <n v="0"/>
    <n v="0"/>
    <n v="29"/>
    <n v="73"/>
    <n v="0"/>
    <n v="97.61"/>
    <n v="219.97"/>
    <m/>
    <n v="119.75016494517713"/>
    <n v="283.40928728637363"/>
    <n v="0"/>
    <n v="275.2602"/>
    <n v="620.31539999999995"/>
    <n v="0"/>
    <n v="337.69546514539951"/>
    <n v="799.21419014757362"/>
  </r>
  <r>
    <s v="Sistema de Compensação"/>
    <x v="1"/>
    <x v="3"/>
    <x v="7"/>
    <x v="3"/>
    <x v="0"/>
    <x v="0"/>
    <x v="0"/>
    <x v="9"/>
    <n v="0"/>
    <n v="0"/>
    <n v="0.14199999999999999"/>
    <n v="0.14199999999999999"/>
    <n v="0.14199999999999999"/>
    <n v="0.14199999999999999"/>
    <n v="0"/>
    <x v="0"/>
    <n v="0"/>
    <n v="0"/>
    <n v="29"/>
    <n v="73"/>
    <n v="0"/>
    <n v="97.61"/>
    <n v="219.97"/>
    <m/>
    <n v="119.75016494517713"/>
    <n v="283.40928728637363"/>
    <n v="0"/>
    <n v="13.860619999999999"/>
    <n v="31.235739999999996"/>
    <n v="0"/>
    <n v="17.004523422215151"/>
    <n v="40.244118794665049"/>
  </r>
  <r>
    <s v="Regular"/>
    <x v="1"/>
    <x v="3"/>
    <x v="7"/>
    <x v="3"/>
    <x v="0"/>
    <x v="0"/>
    <x v="0"/>
    <x v="10"/>
    <n v="0"/>
    <n v="0"/>
    <n v="4.2889999999999997"/>
    <n v="4.2889999999999997"/>
    <n v="4.2889999999999997"/>
    <n v="4.2889999999999997"/>
    <n v="0"/>
    <x v="0"/>
    <n v="0"/>
    <n v="0"/>
    <n v="29"/>
    <n v="73"/>
    <n v="0"/>
    <n v="97.61"/>
    <n v="219.97"/>
    <m/>
    <n v="119.75016494517713"/>
    <n v="283.40928728637363"/>
    <n v="0"/>
    <n v="418.64928999999995"/>
    <n v="943.45132999999998"/>
    <n v="0"/>
    <n v="513.60845744986466"/>
    <n v="1215.5424331712563"/>
  </r>
  <r>
    <s v="Sistema de Compensação"/>
    <x v="1"/>
    <x v="3"/>
    <x v="7"/>
    <x v="3"/>
    <x v="0"/>
    <x v="0"/>
    <x v="0"/>
    <x v="10"/>
    <n v="0"/>
    <n v="0"/>
    <n v="0.155"/>
    <n v="0.155"/>
    <n v="0.155"/>
    <n v="0.155"/>
    <n v="0"/>
    <x v="0"/>
    <n v="0"/>
    <n v="0"/>
    <n v="29"/>
    <n v="73"/>
    <n v="0"/>
    <n v="97.61"/>
    <n v="219.97"/>
    <m/>
    <n v="119.75016494517713"/>
    <n v="283.40928728637363"/>
    <n v="0"/>
    <n v="15.12955"/>
    <n v="34.095349999999996"/>
    <n v="0"/>
    <n v="18.561275566502456"/>
    <n v="43.928439529387909"/>
  </r>
  <r>
    <s v="PROJETADO"/>
    <x v="1"/>
    <x v="3"/>
    <x v="7"/>
    <x v="3"/>
    <x v="0"/>
    <x v="0"/>
    <x v="0"/>
    <x v="11"/>
    <n v="0"/>
    <n v="0"/>
    <n v="4.2889999999999997"/>
    <n v="4.2889999999999997"/>
    <n v="4.2889999999999997"/>
    <n v="4.2889999999999997"/>
    <n v="0"/>
    <x v="0"/>
    <n v="0"/>
    <n v="0"/>
    <n v="29"/>
    <n v="73"/>
    <n v="0"/>
    <n v="97.61"/>
    <n v="219.97"/>
    <m/>
    <n v="119.75016494517713"/>
    <n v="283.40928728637363"/>
    <n v="0"/>
    <n v="418.64928999999995"/>
    <n v="943.45132999999998"/>
    <n v="0"/>
    <n v="513.60845744986466"/>
    <n v="1215.5424331712563"/>
  </r>
  <r>
    <s v="PROJETADO"/>
    <x v="1"/>
    <x v="3"/>
    <x v="7"/>
    <x v="3"/>
    <x v="0"/>
    <x v="0"/>
    <x v="0"/>
    <x v="11"/>
    <n v="0"/>
    <n v="0"/>
    <n v="0.155"/>
    <n v="0.155"/>
    <n v="0.155"/>
    <n v="0.155"/>
    <n v="0"/>
    <x v="0"/>
    <n v="0"/>
    <n v="0"/>
    <n v="29"/>
    <n v="73"/>
    <n v="0"/>
    <n v="97.61"/>
    <n v="219.97"/>
    <m/>
    <n v="119.75016494517713"/>
    <n v="283.40928728637363"/>
    <n v="0"/>
    <n v="15.12955"/>
    <n v="34.095349999999996"/>
    <n v="0"/>
    <n v="18.561275566502456"/>
    <n v="43.928439529387909"/>
  </r>
  <r>
    <s v="Regular"/>
    <x v="1"/>
    <x v="3"/>
    <x v="7"/>
    <x v="3"/>
    <x v="0"/>
    <x v="0"/>
    <x v="1"/>
    <x v="0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Regular"/>
    <x v="1"/>
    <x v="3"/>
    <x v="7"/>
    <x v="3"/>
    <x v="0"/>
    <x v="0"/>
    <x v="1"/>
    <x v="1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Regular"/>
    <x v="1"/>
    <x v="3"/>
    <x v="7"/>
    <x v="3"/>
    <x v="0"/>
    <x v="0"/>
    <x v="1"/>
    <x v="2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Regular"/>
    <x v="1"/>
    <x v="3"/>
    <x v="7"/>
    <x v="3"/>
    <x v="0"/>
    <x v="0"/>
    <x v="1"/>
    <x v="3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Regular"/>
    <x v="1"/>
    <x v="3"/>
    <x v="7"/>
    <x v="3"/>
    <x v="0"/>
    <x v="0"/>
    <x v="1"/>
    <x v="4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Regular"/>
    <x v="1"/>
    <x v="3"/>
    <x v="7"/>
    <x v="3"/>
    <x v="0"/>
    <x v="0"/>
    <x v="1"/>
    <x v="5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Regular"/>
    <x v="1"/>
    <x v="3"/>
    <x v="7"/>
    <x v="3"/>
    <x v="0"/>
    <x v="0"/>
    <x v="1"/>
    <x v="6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Regular"/>
    <x v="1"/>
    <x v="3"/>
    <x v="7"/>
    <x v="3"/>
    <x v="0"/>
    <x v="0"/>
    <x v="1"/>
    <x v="7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Regular"/>
    <x v="1"/>
    <x v="3"/>
    <x v="7"/>
    <x v="3"/>
    <x v="0"/>
    <x v="0"/>
    <x v="1"/>
    <x v="8"/>
    <n v="30"/>
    <n v="30"/>
    <n v="0"/>
    <n v="0"/>
    <n v="0"/>
    <n v="0"/>
    <n v="1"/>
    <x v="0"/>
    <n v="0"/>
    <n v="7"/>
    <n v="0"/>
    <n v="0"/>
    <n v="21.85"/>
    <n v="0"/>
    <n v="0"/>
    <n v="27.777091190692239"/>
    <m/>
    <m/>
    <n v="655.5"/>
    <n v="0"/>
    <n v="0"/>
    <n v="833.31273572076714"/>
    <n v="0"/>
    <n v="0"/>
  </r>
  <r>
    <s v="Sistema de Compensação"/>
    <x v="1"/>
    <x v="3"/>
    <x v="7"/>
    <x v="3"/>
    <x v="0"/>
    <x v="0"/>
    <x v="1"/>
    <x v="8"/>
    <n v="2"/>
    <n v="2"/>
    <n v="0"/>
    <n v="0"/>
    <n v="0"/>
    <n v="0"/>
    <n v="1"/>
    <x v="0"/>
    <n v="0"/>
    <n v="7"/>
    <n v="0"/>
    <n v="0"/>
    <n v="21.85"/>
    <n v="0"/>
    <n v="0"/>
    <n v="27.777091190692239"/>
    <m/>
    <m/>
    <n v="43.7"/>
    <n v="0"/>
    <n v="0"/>
    <n v="55.554182381384479"/>
    <n v="0"/>
    <n v="0"/>
  </r>
  <r>
    <s v="Regular"/>
    <x v="1"/>
    <x v="3"/>
    <x v="7"/>
    <x v="3"/>
    <x v="0"/>
    <x v="0"/>
    <x v="1"/>
    <x v="9"/>
    <n v="36"/>
    <n v="36"/>
    <n v="0"/>
    <n v="0"/>
    <n v="0"/>
    <n v="0"/>
    <n v="2"/>
    <x v="0"/>
    <n v="0"/>
    <n v="7"/>
    <n v="0"/>
    <n v="0"/>
    <n v="21.85"/>
    <n v="0"/>
    <n v="0"/>
    <n v="27.777091190692239"/>
    <m/>
    <m/>
    <n v="786.6"/>
    <n v="0"/>
    <n v="0"/>
    <n v="999.97528286492059"/>
    <n v="0"/>
    <n v="0"/>
  </r>
  <r>
    <s v="Sistema de Compensação"/>
    <x v="1"/>
    <x v="3"/>
    <x v="7"/>
    <x v="3"/>
    <x v="0"/>
    <x v="0"/>
    <x v="1"/>
    <x v="9"/>
    <n v="243"/>
    <n v="243"/>
    <n v="0"/>
    <n v="0"/>
    <n v="0"/>
    <n v="0"/>
    <n v="1"/>
    <x v="0"/>
    <n v="0"/>
    <n v="7"/>
    <n v="0"/>
    <n v="0"/>
    <n v="21.85"/>
    <n v="0"/>
    <n v="0"/>
    <n v="27.777091190692239"/>
    <m/>
    <m/>
    <n v="5309.55"/>
    <n v="0"/>
    <n v="0"/>
    <n v="6749.8331593382145"/>
    <n v="0"/>
    <n v="0"/>
  </r>
  <r>
    <s v="Regular"/>
    <x v="1"/>
    <x v="3"/>
    <x v="7"/>
    <x v="3"/>
    <x v="0"/>
    <x v="0"/>
    <x v="1"/>
    <x v="10"/>
    <n v="325"/>
    <n v="325"/>
    <n v="0"/>
    <n v="0"/>
    <n v="0"/>
    <n v="0"/>
    <n v="2"/>
    <x v="0"/>
    <n v="0"/>
    <n v="7"/>
    <n v="0"/>
    <n v="0"/>
    <n v="21.85"/>
    <n v="0"/>
    <n v="0"/>
    <n v="27.777091190692239"/>
    <m/>
    <m/>
    <n v="7101.2500000000009"/>
    <n v="0"/>
    <n v="0"/>
    <n v="9027.5546369749773"/>
    <n v="0"/>
    <n v="0"/>
  </r>
  <r>
    <s v="Sistema de Compensação"/>
    <x v="1"/>
    <x v="3"/>
    <x v="7"/>
    <x v="3"/>
    <x v="0"/>
    <x v="0"/>
    <x v="1"/>
    <x v="10"/>
    <n v="255"/>
    <n v="255"/>
    <n v="0"/>
    <n v="0"/>
    <n v="0"/>
    <n v="0"/>
    <n v="1"/>
    <x v="0"/>
    <n v="0"/>
    <n v="7"/>
    <n v="0"/>
    <n v="0"/>
    <n v="21.85"/>
    <n v="0"/>
    <n v="0"/>
    <n v="27.777091190692239"/>
    <m/>
    <m/>
    <n v="5571.75"/>
    <n v="0"/>
    <n v="0"/>
    <n v="7083.1582536265214"/>
    <n v="0"/>
    <n v="0"/>
  </r>
  <r>
    <s v="PROJETADO"/>
    <x v="1"/>
    <x v="3"/>
    <x v="7"/>
    <x v="3"/>
    <x v="0"/>
    <x v="0"/>
    <x v="1"/>
    <x v="11"/>
    <n v="325"/>
    <n v="325"/>
    <n v="0"/>
    <n v="0"/>
    <n v="0"/>
    <n v="0"/>
    <n v="2"/>
    <x v="0"/>
    <n v="0"/>
    <n v="7"/>
    <n v="0"/>
    <n v="0"/>
    <n v="21.85"/>
    <n v="0"/>
    <n v="0"/>
    <n v="27.777091190692239"/>
    <m/>
    <m/>
    <n v="7101.2500000000009"/>
    <n v="0"/>
    <n v="0"/>
    <n v="9027.5546369749773"/>
    <n v="0"/>
    <n v="0"/>
  </r>
  <r>
    <s v="PROJETADO"/>
    <x v="1"/>
    <x v="3"/>
    <x v="7"/>
    <x v="3"/>
    <x v="0"/>
    <x v="0"/>
    <x v="1"/>
    <x v="11"/>
    <n v="255"/>
    <n v="255"/>
    <n v="0"/>
    <n v="0"/>
    <n v="0"/>
    <n v="0"/>
    <n v="1"/>
    <x v="0"/>
    <n v="0"/>
    <n v="7"/>
    <n v="0"/>
    <n v="0"/>
    <n v="21.85"/>
    <n v="0"/>
    <n v="0"/>
    <n v="27.777091190692239"/>
    <m/>
    <m/>
    <n v="5571.75"/>
    <n v="0"/>
    <n v="0"/>
    <n v="7083.1582536265214"/>
    <n v="0"/>
    <n v="0"/>
  </r>
  <r>
    <s v="Regular"/>
    <x v="1"/>
    <x v="3"/>
    <x v="7"/>
    <x v="3"/>
    <x v="0"/>
    <x v="0"/>
    <x v="2"/>
    <x v="0"/>
    <n v="0"/>
    <n v="0"/>
    <n v="0.182"/>
    <n v="0.182"/>
    <n v="0.182"/>
    <n v="0.182"/>
    <n v="0"/>
    <x v="0"/>
    <n v="0"/>
    <n v="0"/>
    <n v="8"/>
    <n v="72"/>
    <n v="0"/>
    <n v="1557.74"/>
    <n v="346.61"/>
    <m/>
    <n v="1938.4308905871562"/>
    <n v="441.69177554366559"/>
    <n v="0"/>
    <n v="283.50867999999997"/>
    <n v="63.083019999999998"/>
    <n v="0"/>
    <n v="352.79442208686243"/>
    <n v="80.387903148947132"/>
  </r>
  <r>
    <s v="Regular"/>
    <x v="1"/>
    <x v="3"/>
    <x v="7"/>
    <x v="3"/>
    <x v="0"/>
    <x v="0"/>
    <x v="2"/>
    <x v="1"/>
    <n v="0"/>
    <n v="0"/>
    <n v="0.16400000000000001"/>
    <n v="0.16400000000000001"/>
    <n v="0.16400000000000001"/>
    <n v="0.16400000000000001"/>
    <n v="0"/>
    <x v="0"/>
    <n v="0"/>
    <n v="0"/>
    <n v="8"/>
    <n v="72"/>
    <n v="0"/>
    <n v="1557.74"/>
    <n v="346.61"/>
    <m/>
    <n v="1938.4308905871562"/>
    <n v="441.69177554366559"/>
    <n v="0"/>
    <n v="255.46936000000002"/>
    <n v="56.844040000000007"/>
    <n v="0"/>
    <n v="317.90266605629364"/>
    <n v="72.437451189161166"/>
  </r>
  <r>
    <s v="Regular"/>
    <x v="1"/>
    <x v="3"/>
    <x v="7"/>
    <x v="3"/>
    <x v="0"/>
    <x v="0"/>
    <x v="2"/>
    <x v="2"/>
    <n v="0"/>
    <n v="0"/>
    <n v="0.192"/>
    <n v="0.192"/>
    <n v="0.192"/>
    <n v="0.192"/>
    <n v="0"/>
    <x v="0"/>
    <n v="0"/>
    <n v="0"/>
    <n v="8"/>
    <n v="72"/>
    <n v="0"/>
    <n v="1557.74"/>
    <n v="346.61"/>
    <m/>
    <n v="1938.4308905871562"/>
    <n v="441.69177554366559"/>
    <n v="0"/>
    <n v="299.08607999999998"/>
    <n v="66.549120000000002"/>
    <n v="0"/>
    <n v="372.17873099273402"/>
    <n v="84.804820904383789"/>
  </r>
  <r>
    <s v="Regular"/>
    <x v="1"/>
    <x v="3"/>
    <x v="7"/>
    <x v="3"/>
    <x v="0"/>
    <x v="0"/>
    <x v="2"/>
    <x v="3"/>
    <n v="0"/>
    <n v="0"/>
    <n v="0.16700000000000001"/>
    <n v="0.16700000000000001"/>
    <n v="0.16700000000000001"/>
    <n v="0.16700000000000001"/>
    <n v="0"/>
    <x v="0"/>
    <n v="0"/>
    <n v="0"/>
    <n v="8"/>
    <n v="72"/>
    <n v="0"/>
    <n v="1557.74"/>
    <n v="346.61"/>
    <m/>
    <n v="1938.4308905871562"/>
    <n v="441.69177554366559"/>
    <n v="0"/>
    <n v="260.14258000000001"/>
    <n v="57.883870000000009"/>
    <n v="0"/>
    <n v="323.71795872805512"/>
    <n v="73.76252651579216"/>
  </r>
  <r>
    <s v="Regular"/>
    <x v="1"/>
    <x v="3"/>
    <x v="7"/>
    <x v="3"/>
    <x v="0"/>
    <x v="0"/>
    <x v="2"/>
    <x v="4"/>
    <n v="0"/>
    <n v="0"/>
    <n v="0.189"/>
    <n v="0.189"/>
    <n v="0.189"/>
    <n v="0.189"/>
    <n v="0"/>
    <x v="0"/>
    <n v="0"/>
    <n v="0"/>
    <n v="8"/>
    <n v="72"/>
    <n v="0"/>
    <n v="1557.74"/>
    <n v="346.61"/>
    <m/>
    <n v="1938.4308905871562"/>
    <n v="441.69177554366559"/>
    <n v="0"/>
    <n v="294.41286000000002"/>
    <n v="65.509290000000007"/>
    <n v="0"/>
    <n v="366.36343832097253"/>
    <n v="83.479745577752794"/>
  </r>
  <r>
    <s v="Regular"/>
    <x v="1"/>
    <x v="3"/>
    <x v="7"/>
    <x v="3"/>
    <x v="0"/>
    <x v="0"/>
    <x v="2"/>
    <x v="5"/>
    <n v="0"/>
    <n v="0"/>
    <n v="0.17799999999999999"/>
    <n v="0.17799999999999999"/>
    <n v="0.17799999999999999"/>
    <n v="0.17799999999999999"/>
    <n v="0"/>
    <x v="0"/>
    <n v="0"/>
    <n v="0"/>
    <n v="8"/>
    <n v="72"/>
    <n v="0"/>
    <n v="1557.74"/>
    <n v="346.61"/>
    <m/>
    <n v="1938.4308905871562"/>
    <n v="441.69177554366559"/>
    <n v="0"/>
    <n v="277.27771999999999"/>
    <n v="61.696579999999997"/>
    <n v="0"/>
    <n v="345.0406985245138"/>
    <n v="78.621136046772477"/>
  </r>
  <r>
    <s v="Regular"/>
    <x v="1"/>
    <x v="3"/>
    <x v="7"/>
    <x v="3"/>
    <x v="0"/>
    <x v="0"/>
    <x v="2"/>
    <x v="6"/>
    <n v="0"/>
    <n v="0"/>
    <n v="0.19800000000000001"/>
    <n v="0.19800000000000001"/>
    <n v="0.19800000000000001"/>
    <n v="0.19800000000000001"/>
    <n v="0"/>
    <x v="0"/>
    <n v="0"/>
    <n v="0"/>
    <n v="8"/>
    <n v="72"/>
    <n v="0"/>
    <n v="1557.74"/>
    <n v="346.61"/>
    <m/>
    <n v="1938.4308905871562"/>
    <n v="441.69177554366559"/>
    <n v="0"/>
    <n v="308.43252000000001"/>
    <n v="68.628780000000006"/>
    <n v="0"/>
    <n v="383.80931633625693"/>
    <n v="87.454971557645791"/>
  </r>
  <r>
    <s v="Regular"/>
    <x v="1"/>
    <x v="3"/>
    <x v="7"/>
    <x v="3"/>
    <x v="0"/>
    <x v="0"/>
    <x v="2"/>
    <x v="7"/>
    <n v="0"/>
    <n v="0"/>
    <n v="0.21"/>
    <n v="0.21"/>
    <n v="0.21"/>
    <n v="0.21"/>
    <n v="0"/>
    <x v="0"/>
    <n v="0"/>
    <n v="0"/>
    <n v="8"/>
    <n v="72"/>
    <n v="0"/>
    <n v="1557.74"/>
    <n v="346.61"/>
    <m/>
    <n v="1938.4308905871562"/>
    <n v="441.69177554366559"/>
    <n v="0"/>
    <n v="327.12540000000001"/>
    <n v="72.7881"/>
    <n v="0"/>
    <n v="407.0704870233028"/>
    <n v="92.755272864169768"/>
  </r>
  <r>
    <s v="Regular"/>
    <x v="1"/>
    <x v="3"/>
    <x v="7"/>
    <x v="3"/>
    <x v="0"/>
    <x v="0"/>
    <x v="2"/>
    <x v="8"/>
    <n v="0"/>
    <n v="0"/>
    <n v="0.185"/>
    <n v="0.185"/>
    <n v="0.185"/>
    <n v="0.185"/>
    <n v="0"/>
    <x v="0"/>
    <n v="0"/>
    <n v="0"/>
    <n v="8"/>
    <n v="72"/>
    <n v="0"/>
    <n v="1557.74"/>
    <n v="346.61"/>
    <m/>
    <n v="1938.4308905871562"/>
    <n v="441.69177554366559"/>
    <n v="0"/>
    <n v="288.18189999999998"/>
    <n v="64.12285"/>
    <n v="0"/>
    <n v="358.60971475862391"/>
    <n v="81.712978475578126"/>
  </r>
  <r>
    <s v="Sistema de Compensação"/>
    <x v="1"/>
    <x v="3"/>
    <x v="7"/>
    <x v="3"/>
    <x v="0"/>
    <x v="0"/>
    <x v="2"/>
    <x v="8"/>
    <n v="0"/>
    <n v="0"/>
    <n v="2.3E-2"/>
    <n v="2.3E-2"/>
    <n v="2.3E-2"/>
    <n v="2.3E-2"/>
    <n v="0"/>
    <x v="0"/>
    <n v="0"/>
    <n v="0"/>
    <n v="8"/>
    <n v="72"/>
    <n v="0"/>
    <n v="1557.74"/>
    <n v="346.61"/>
    <m/>
    <n v="1938.4308905871562"/>
    <n v="441.69177554366559"/>
    <n v="0"/>
    <n v="35.828020000000002"/>
    <n v="7.9720300000000002"/>
    <n v="0"/>
    <n v="44.583910483504596"/>
    <n v="10.158910837504308"/>
  </r>
  <r>
    <s v="Regular"/>
    <x v="1"/>
    <x v="3"/>
    <x v="7"/>
    <x v="3"/>
    <x v="0"/>
    <x v="0"/>
    <x v="2"/>
    <x v="9"/>
    <n v="0"/>
    <n v="0"/>
    <n v="0.371"/>
    <n v="0.371"/>
    <n v="0.371"/>
    <n v="0.371"/>
    <n v="0"/>
    <x v="0"/>
    <n v="0"/>
    <n v="0"/>
    <n v="8"/>
    <n v="72"/>
    <n v="0"/>
    <n v="1557.74"/>
    <n v="346.61"/>
    <m/>
    <n v="1938.4308905871562"/>
    <n v="441.69177554366559"/>
    <n v="0"/>
    <n v="577.92154000000005"/>
    <n v="128.59231"/>
    <n v="0"/>
    <n v="719.15786040783496"/>
    <n v="163.86764872669994"/>
  </r>
  <r>
    <s v="Sistema de Compensação"/>
    <x v="1"/>
    <x v="3"/>
    <x v="7"/>
    <x v="3"/>
    <x v="0"/>
    <x v="0"/>
    <x v="2"/>
    <x v="9"/>
    <n v="0"/>
    <n v="0"/>
    <n v="2.3E-2"/>
    <n v="2.3E-2"/>
    <n v="2.3E-2"/>
    <n v="2.3E-2"/>
    <n v="0"/>
    <x v="0"/>
    <n v="0"/>
    <n v="0"/>
    <n v="8"/>
    <n v="72"/>
    <n v="0"/>
    <n v="1557.74"/>
    <n v="346.61"/>
    <m/>
    <n v="1938.4308905871562"/>
    <n v="441.69177554366559"/>
    <n v="0"/>
    <n v="35.828020000000002"/>
    <n v="7.9720300000000002"/>
    <n v="0"/>
    <n v="44.583910483504596"/>
    <n v="10.158910837504308"/>
  </r>
  <r>
    <s v="Regular"/>
    <x v="1"/>
    <x v="3"/>
    <x v="7"/>
    <x v="3"/>
    <x v="0"/>
    <x v="0"/>
    <x v="2"/>
    <x v="10"/>
    <n v="0"/>
    <n v="0"/>
    <n v="0.625"/>
    <n v="0.625"/>
    <n v="0.625"/>
    <n v="0.625"/>
    <n v="0"/>
    <x v="0"/>
    <n v="0"/>
    <n v="0"/>
    <n v="8"/>
    <n v="72"/>
    <n v="0"/>
    <n v="1557.74"/>
    <n v="346.61"/>
    <m/>
    <n v="1938.4308905871562"/>
    <n v="441.69177554366559"/>
    <n v="0"/>
    <n v="973.58749999999998"/>
    <n v="216.63125000000002"/>
    <n v="0"/>
    <n v="1211.5193066169727"/>
    <n v="276.057359714791"/>
  </r>
  <r>
    <s v="Sistema de Compensação"/>
    <x v="1"/>
    <x v="3"/>
    <x v="7"/>
    <x v="3"/>
    <x v="0"/>
    <x v="0"/>
    <x v="2"/>
    <x v="10"/>
    <n v="0"/>
    <n v="0"/>
    <n v="2.8000000000000001E-2"/>
    <n v="2.8000000000000001E-2"/>
    <n v="2.8000000000000001E-2"/>
    <n v="2.8000000000000001E-2"/>
    <n v="0"/>
    <x v="0"/>
    <n v="0"/>
    <n v="0"/>
    <n v="8"/>
    <n v="72"/>
    <n v="0"/>
    <n v="1557.74"/>
    <n v="346.61"/>
    <m/>
    <n v="1938.4308905871562"/>
    <n v="441.69177554366559"/>
    <n v="0"/>
    <n v="43.616720000000001"/>
    <n v="9.7050800000000006"/>
    <n v="0"/>
    <n v="54.276064936440378"/>
    <n v="12.367369715222637"/>
  </r>
  <r>
    <s v="PROJETADO"/>
    <x v="1"/>
    <x v="3"/>
    <x v="7"/>
    <x v="3"/>
    <x v="0"/>
    <x v="0"/>
    <x v="2"/>
    <x v="11"/>
    <n v="0"/>
    <n v="0"/>
    <n v="0.625"/>
    <n v="0.625"/>
    <n v="0.625"/>
    <n v="0.625"/>
    <n v="0"/>
    <x v="0"/>
    <n v="0"/>
    <n v="0"/>
    <n v="8"/>
    <n v="72"/>
    <n v="0"/>
    <n v="1557.74"/>
    <n v="346.61"/>
    <m/>
    <n v="1938.4308905871562"/>
    <n v="441.69177554366559"/>
    <n v="0"/>
    <n v="973.58749999999998"/>
    <n v="216.63125000000002"/>
    <n v="0"/>
    <n v="1211.5193066169727"/>
    <n v="276.057359714791"/>
  </r>
  <r>
    <s v="PROJETADO"/>
    <x v="1"/>
    <x v="3"/>
    <x v="7"/>
    <x v="3"/>
    <x v="0"/>
    <x v="0"/>
    <x v="2"/>
    <x v="11"/>
    <n v="0"/>
    <n v="0"/>
    <n v="2.8000000000000001E-2"/>
    <n v="2.8000000000000001E-2"/>
    <n v="2.8000000000000001E-2"/>
    <n v="2.8000000000000001E-2"/>
    <n v="0"/>
    <x v="0"/>
    <n v="0"/>
    <n v="0"/>
    <n v="8"/>
    <n v="72"/>
    <n v="0"/>
    <n v="1557.74"/>
    <n v="346.61"/>
    <m/>
    <n v="1938.4308905871562"/>
    <n v="441.69177554366559"/>
    <n v="0"/>
    <n v="43.616720000000001"/>
    <n v="9.7050800000000006"/>
    <n v="0"/>
    <n v="54.276064936440378"/>
    <n v="12.367369715222637"/>
  </r>
  <r>
    <s v="Regular"/>
    <x v="1"/>
    <x v="3"/>
    <x v="2"/>
    <x v="1"/>
    <x v="3"/>
    <x v="0"/>
    <x v="0"/>
    <x v="0"/>
    <n v="0"/>
    <n v="0"/>
    <n v="122.298"/>
    <n v="12.229799999999999"/>
    <n v="122.298"/>
    <n v="12.229799999999999"/>
    <n v="0"/>
    <x v="0"/>
    <n v="0"/>
    <n v="0"/>
    <n v="29"/>
    <n v="73"/>
    <n v="0"/>
    <n v="97.61"/>
    <n v="219.97"/>
    <m/>
    <n v="119.75016494517713"/>
    <n v="283.40928728637363"/>
    <n v="0"/>
    <n v="1193.7507779999999"/>
    <n v="2690.1891059999998"/>
    <n v="0"/>
    <n v="1464.5205672465272"/>
    <n v="3466.038901654892"/>
  </r>
  <r>
    <s v="Regular"/>
    <x v="1"/>
    <x v="3"/>
    <x v="2"/>
    <x v="1"/>
    <x v="3"/>
    <x v="0"/>
    <x v="0"/>
    <x v="1"/>
    <n v="0"/>
    <n v="0"/>
    <n v="117.717"/>
    <n v="11.771699999999999"/>
    <n v="117.717"/>
    <n v="11.771699999999999"/>
    <n v="0"/>
    <x v="0"/>
    <n v="0"/>
    <n v="0"/>
    <n v="29"/>
    <n v="73"/>
    <n v="0"/>
    <n v="97.61"/>
    <n v="219.97"/>
    <m/>
    <n v="119.75016494517713"/>
    <n v="283.40928728637363"/>
    <n v="0"/>
    <n v="1149.035637"/>
    <n v="2589.4208489999996"/>
    <n v="0"/>
    <n v="1409.6630166851417"/>
    <n v="3336.209107149004"/>
  </r>
  <r>
    <s v="Refaturamento - Regular"/>
    <x v="1"/>
    <x v="3"/>
    <x v="2"/>
    <x v="1"/>
    <x v="3"/>
    <x v="0"/>
    <x v="0"/>
    <x v="1"/>
    <n v="0"/>
    <n v="0"/>
    <n v="-61.277000000000001"/>
    <n v="-6.1276999999999999"/>
    <n v="-61.277000000000001"/>
    <n v="-6.1276999999999999"/>
    <n v="0"/>
    <x v="0"/>
    <n v="0"/>
    <n v="0"/>
    <n v="29"/>
    <n v="73"/>
    <n v="0"/>
    <n v="97.61"/>
    <n v="219.97"/>
    <m/>
    <n v="119.75016494517713"/>
    <n v="283.40928728637363"/>
    <n v="0"/>
    <n v="-598.12479699999994"/>
    <n v="-1347.910169"/>
    <n v="0"/>
    <n v="-733.79308573456194"/>
    <n v="-1736.6470897047116"/>
  </r>
  <r>
    <s v="Regular"/>
    <x v="1"/>
    <x v="3"/>
    <x v="2"/>
    <x v="1"/>
    <x v="3"/>
    <x v="0"/>
    <x v="0"/>
    <x v="2"/>
    <n v="0"/>
    <n v="0"/>
    <n v="172.75399999999999"/>
    <n v="17.275400000000001"/>
    <n v="172.75399999999999"/>
    <n v="17.275400000000001"/>
    <n v="0"/>
    <x v="0"/>
    <n v="0"/>
    <n v="0"/>
    <n v="29"/>
    <n v="73"/>
    <n v="0"/>
    <n v="97.61"/>
    <n v="219.97"/>
    <m/>
    <n v="119.75016494517713"/>
    <n v="283.40928728637363"/>
    <n v="0"/>
    <n v="1686.251794"/>
    <n v="3800.0697380000001"/>
    <n v="0"/>
    <n v="2068.731999493913"/>
    <n v="4896.0088015870197"/>
  </r>
  <r>
    <s v="Refaturamento - Regular"/>
    <x v="1"/>
    <x v="3"/>
    <x v="2"/>
    <x v="1"/>
    <x v="3"/>
    <x v="0"/>
    <x v="0"/>
    <x v="2"/>
    <n v="0"/>
    <n v="0"/>
    <n v="-54.831000000000003"/>
    <n v="-5.4831000000000003"/>
    <n v="-54.831000000000003"/>
    <n v="-5.4831000000000003"/>
    <n v="0"/>
    <x v="0"/>
    <n v="0"/>
    <n v="0"/>
    <n v="29"/>
    <n v="73"/>
    <n v="0"/>
    <n v="97.61"/>
    <n v="219.97"/>
    <m/>
    <n v="119.75016494517713"/>
    <n v="283.40928728637363"/>
    <n v="0"/>
    <n v="-535.20539100000008"/>
    <n v="-1206.1175070000002"/>
    <n v="0"/>
    <n v="-656.60212941090083"/>
    <n v="-1553.9614631199154"/>
  </r>
  <r>
    <s v="Regular"/>
    <x v="1"/>
    <x v="3"/>
    <x v="2"/>
    <x v="1"/>
    <x v="3"/>
    <x v="0"/>
    <x v="0"/>
    <x v="3"/>
    <n v="0"/>
    <n v="0"/>
    <n v="289.83300000000003"/>
    <n v="28.9833"/>
    <n v="289.83300000000003"/>
    <n v="28.9833"/>
    <n v="0"/>
    <x v="0"/>
    <n v="0"/>
    <n v="0"/>
    <n v="29"/>
    <n v="73"/>
    <n v="0"/>
    <n v="97.61"/>
    <n v="219.97"/>
    <m/>
    <n v="119.75016494517713"/>
    <n v="283.40928728637363"/>
    <n v="0"/>
    <n v="2829.0599130000001"/>
    <n v="6375.4565009999997"/>
    <n v="0"/>
    <n v="3470.7549556555523"/>
    <n v="8214.1363962071518"/>
  </r>
  <r>
    <s v="Refaturamento - Regular"/>
    <x v="1"/>
    <x v="3"/>
    <x v="2"/>
    <x v="1"/>
    <x v="3"/>
    <x v="0"/>
    <x v="0"/>
    <x v="3"/>
    <n v="0"/>
    <n v="0"/>
    <n v="43.429000000000002"/>
    <n v="4.3429000000000002"/>
    <n v="43.429000000000002"/>
    <n v="4.3429000000000002"/>
    <n v="0"/>
    <x v="0"/>
    <n v="0"/>
    <n v="0"/>
    <n v="29"/>
    <n v="73"/>
    <n v="0"/>
    <n v="97.61"/>
    <n v="219.97"/>
    <m/>
    <n v="119.75016494517713"/>
    <n v="283.40928728637363"/>
    <n v="0"/>
    <n v="423.91046900000003"/>
    <n v="955.30771300000004"/>
    <n v="0"/>
    <n v="520.06299134040978"/>
    <n v="1230.8181937559921"/>
  </r>
  <r>
    <s v="Regular"/>
    <x v="1"/>
    <x v="3"/>
    <x v="2"/>
    <x v="1"/>
    <x v="3"/>
    <x v="0"/>
    <x v="0"/>
    <x v="4"/>
    <n v="0"/>
    <n v="0"/>
    <n v="616.38"/>
    <n v="61.637999999999998"/>
    <n v="616.38"/>
    <n v="61.637999999999998"/>
    <n v="0"/>
    <x v="0"/>
    <n v="0"/>
    <n v="0"/>
    <n v="29"/>
    <n v="73"/>
    <n v="0"/>
    <n v="97.61"/>
    <n v="219.97"/>
    <m/>
    <n v="119.75016494517713"/>
    <n v="283.40928728637363"/>
    <n v="0"/>
    <n v="6016.4851799999997"/>
    <n v="13558.51086"/>
    <n v="0"/>
    <n v="7381.160666890828"/>
    <n v="17468.781649757497"/>
  </r>
  <r>
    <s v="Refaturamento - Regular"/>
    <x v="1"/>
    <x v="3"/>
    <x v="2"/>
    <x v="1"/>
    <x v="3"/>
    <x v="0"/>
    <x v="0"/>
    <x v="4"/>
    <n v="0"/>
    <n v="0"/>
    <n v="-85.463999999999999"/>
    <n v="-8.5464000000000002"/>
    <n v="-85.463999999999999"/>
    <n v="-8.5464000000000002"/>
    <n v="0"/>
    <x v="0"/>
    <n v="0"/>
    <n v="0"/>
    <n v="29"/>
    <n v="73"/>
    <n v="0"/>
    <n v="97.61"/>
    <n v="219.97"/>
    <m/>
    <n v="119.75016494517713"/>
    <n v="283.40928728637363"/>
    <n v="0"/>
    <n v="-834.21410400000002"/>
    <n v="-1879.9516080000001"/>
    <n v="0"/>
    <n v="-1023.4328096874618"/>
    <n v="-2422.1291328642637"/>
  </r>
  <r>
    <s v="Regular"/>
    <x v="1"/>
    <x v="3"/>
    <x v="2"/>
    <x v="1"/>
    <x v="3"/>
    <x v="0"/>
    <x v="0"/>
    <x v="5"/>
    <n v="0"/>
    <n v="0"/>
    <n v="1721.6189999999999"/>
    <n v="172.1619"/>
    <n v="1721.6189999999999"/>
    <n v="172.1619"/>
    <n v="0"/>
    <x v="0"/>
    <n v="0"/>
    <n v="0"/>
    <n v="29"/>
    <n v="73"/>
    <n v="0"/>
    <n v="97.61"/>
    <n v="219.97"/>
    <m/>
    <n v="119.75016494517713"/>
    <n v="283.40928728637363"/>
    <n v="0"/>
    <n v="16804.723059"/>
    <n v="37870.453142999999"/>
    <n v="0"/>
    <n v="20616.415922275093"/>
    <n v="48792.281376867926"/>
  </r>
  <r>
    <s v="Regular"/>
    <x v="1"/>
    <x v="3"/>
    <x v="2"/>
    <x v="1"/>
    <x v="3"/>
    <x v="0"/>
    <x v="0"/>
    <x v="6"/>
    <n v="0"/>
    <n v="0"/>
    <n v="2664.7179999999998"/>
    <n v="266.47179999999997"/>
    <n v="2664.7179999999998"/>
    <n v="266.47179999999997"/>
    <n v="0"/>
    <x v="0"/>
    <n v="0"/>
    <n v="0"/>
    <n v="29"/>
    <n v="73"/>
    <n v="0"/>
    <n v="97.61"/>
    <n v="219.97"/>
    <m/>
    <n v="119.75016494517713"/>
    <n v="283.40928728637363"/>
    <n v="0"/>
    <n v="26010.312397999998"/>
    <n v="58615.801845999995"/>
    <n v="0"/>
    <n v="31910.04200323825"/>
    <n v="75520.582919917084"/>
  </r>
  <r>
    <s v="Regular"/>
    <x v="1"/>
    <x v="3"/>
    <x v="2"/>
    <x v="1"/>
    <x v="3"/>
    <x v="0"/>
    <x v="0"/>
    <x v="7"/>
    <n v="0"/>
    <n v="0"/>
    <n v="2411.5529999999999"/>
    <n v="241.15530000000001"/>
    <n v="2411.5529999999999"/>
    <n v="241.15530000000001"/>
    <n v="0"/>
    <x v="0"/>
    <n v="0"/>
    <n v="0"/>
    <n v="29"/>
    <n v="73"/>
    <n v="0"/>
    <n v="97.61"/>
    <n v="219.97"/>
    <m/>
    <n v="119.75016494517713"/>
    <n v="283.40928728637363"/>
    <n v="0"/>
    <n v="23539.168833"/>
    <n v="53046.931341000003"/>
    <n v="0"/>
    <n v="28878.386952403678"/>
    <n v="68345.651698331625"/>
  </r>
  <r>
    <s v="Regular"/>
    <x v="1"/>
    <x v="3"/>
    <x v="2"/>
    <x v="1"/>
    <x v="3"/>
    <x v="0"/>
    <x v="0"/>
    <x v="8"/>
    <n v="0"/>
    <n v="0"/>
    <n v="2089.877"/>
    <n v="208.98769999999999"/>
    <n v="2089.877"/>
    <n v="208.98769999999999"/>
    <n v="0"/>
    <x v="0"/>
    <n v="0"/>
    <n v="0"/>
    <n v="29"/>
    <n v="73"/>
    <n v="0"/>
    <n v="97.61"/>
    <n v="219.97"/>
    <m/>
    <n v="119.75016494517713"/>
    <n v="283.40928728637363"/>
    <n v="0"/>
    <n v="20399.289397"/>
    <n v="45971.024368999999"/>
    <n v="0"/>
    <n v="25026.311546513192"/>
    <n v="59229.055108618464"/>
  </r>
  <r>
    <s v="Refaturamento - Regular"/>
    <x v="1"/>
    <x v="3"/>
    <x v="2"/>
    <x v="1"/>
    <x v="3"/>
    <x v="0"/>
    <x v="0"/>
    <x v="8"/>
    <n v="0"/>
    <n v="0"/>
    <n v="-73.459999999999994"/>
    <n v="-7.3460000000000001"/>
    <n v="-73.459999999999994"/>
    <n v="-7.3460000000000001"/>
    <n v="0"/>
    <x v="0"/>
    <n v="0"/>
    <n v="0"/>
    <n v="29"/>
    <n v="73"/>
    <n v="0"/>
    <n v="97.61"/>
    <n v="219.97"/>
    <m/>
    <n v="119.75016494517713"/>
    <n v="283.40928728637363"/>
    <n v="0"/>
    <n v="-717.04305999999997"/>
    <n v="-1615.8996199999999"/>
    <n v="0"/>
    <n v="-879.68471168727126"/>
    <n v="-2081.9246244057008"/>
  </r>
  <r>
    <s v="Regular"/>
    <x v="1"/>
    <x v="3"/>
    <x v="2"/>
    <x v="1"/>
    <x v="3"/>
    <x v="0"/>
    <x v="0"/>
    <x v="9"/>
    <n v="0"/>
    <n v="0"/>
    <n v="2718.4349999999999"/>
    <n v="271.84350000000001"/>
    <n v="2718.4349999999999"/>
    <n v="271.84350000000001"/>
    <n v="0"/>
    <x v="0"/>
    <n v="0"/>
    <n v="0"/>
    <n v="29"/>
    <n v="73"/>
    <n v="0"/>
    <n v="97.61"/>
    <n v="219.97"/>
    <m/>
    <n v="119.75016494517713"/>
    <n v="283.40928728637363"/>
    <n v="0"/>
    <n v="26534.644035000001"/>
    <n v="59797.414694999999"/>
    <n v="0"/>
    <n v="32553.303964274262"/>
    <n v="77042.972588433317"/>
  </r>
  <r>
    <s v="Regular"/>
    <x v="1"/>
    <x v="3"/>
    <x v="2"/>
    <x v="1"/>
    <x v="3"/>
    <x v="0"/>
    <x v="0"/>
    <x v="10"/>
    <n v="0"/>
    <n v="0"/>
    <n v="986.07399999999996"/>
    <n v="98.607399999999998"/>
    <n v="986.07399999999996"/>
    <n v="98.607399999999998"/>
    <n v="0"/>
    <x v="0"/>
    <n v="0"/>
    <n v="0"/>
    <n v="29"/>
    <n v="73"/>
    <n v="0"/>
    <n v="97.61"/>
    <n v="219.97"/>
    <m/>
    <n v="119.75016494517713"/>
    <n v="283.40928728637363"/>
    <n v="0"/>
    <n v="9625.0683140000001"/>
    <n v="21690.669777999999"/>
    <n v="0"/>
    <n v="11808.252414815059"/>
    <n v="27946.252955162359"/>
  </r>
  <r>
    <s v="Refaturamento - Regular"/>
    <x v="1"/>
    <x v="3"/>
    <x v="2"/>
    <x v="1"/>
    <x v="3"/>
    <x v="0"/>
    <x v="0"/>
    <x v="10"/>
    <n v="0"/>
    <n v="0"/>
    <n v="6.6920000000000002"/>
    <n v="0.66920000000000002"/>
    <n v="6.6920000000000002"/>
    <n v="0.66920000000000002"/>
    <n v="0"/>
    <x v="0"/>
    <n v="0"/>
    <n v="0"/>
    <n v="29"/>
    <n v="73"/>
    <n v="0"/>
    <n v="97.61"/>
    <n v="219.97"/>
    <m/>
    <n v="119.75016494517713"/>
    <n v="283.40928728637363"/>
    <n v="0"/>
    <n v="65.320611999999997"/>
    <n v="147.203924"/>
    <n v="0"/>
    <n v="80.136810381312543"/>
    <n v="189.65749505204124"/>
  </r>
  <r>
    <s v="PROJETADO"/>
    <x v="1"/>
    <x v="3"/>
    <x v="2"/>
    <x v="1"/>
    <x v="3"/>
    <x v="0"/>
    <x v="0"/>
    <x v="11"/>
    <n v="0"/>
    <n v="0"/>
    <n v="986.07399999999996"/>
    <n v="98.607399999999998"/>
    <n v="986.07399999999996"/>
    <n v="98.607399999999998"/>
    <n v="0"/>
    <x v="0"/>
    <n v="0"/>
    <n v="0"/>
    <n v="29"/>
    <n v="73"/>
    <n v="0"/>
    <n v="97.61"/>
    <n v="219.97"/>
    <m/>
    <n v="119.75016494517713"/>
    <n v="283.40928728637363"/>
    <n v="0"/>
    <n v="9625.0683140000001"/>
    <n v="21690.669777999999"/>
    <n v="0"/>
    <n v="11808.252414815059"/>
    <n v="27946.252955162359"/>
  </r>
  <r>
    <s v="PROJETADO"/>
    <x v="1"/>
    <x v="3"/>
    <x v="2"/>
    <x v="1"/>
    <x v="3"/>
    <x v="0"/>
    <x v="0"/>
    <x v="11"/>
    <n v="0"/>
    <n v="0"/>
    <n v="6.6920000000000002"/>
    <n v="0.66920000000000002"/>
    <n v="6.6920000000000002"/>
    <n v="0.66920000000000002"/>
    <n v="0"/>
    <x v="0"/>
    <n v="0"/>
    <n v="0"/>
    <n v="29"/>
    <n v="73"/>
    <n v="0"/>
    <n v="97.61"/>
    <n v="219.97"/>
    <m/>
    <n v="119.75016494517713"/>
    <n v="283.40928728637363"/>
    <n v="0"/>
    <n v="65.320611999999997"/>
    <n v="147.203924"/>
    <n v="0"/>
    <n v="80.136810381312543"/>
    <n v="189.65749505204124"/>
  </r>
  <r>
    <s v="Regular"/>
    <x v="1"/>
    <x v="3"/>
    <x v="2"/>
    <x v="1"/>
    <x v="0"/>
    <x v="0"/>
    <x v="0"/>
    <x v="0"/>
    <n v="0"/>
    <n v="0"/>
    <n v="191.85300000000001"/>
    <n v="191.85300000000001"/>
    <n v="191.85300000000001"/>
    <n v="191.85300000000001"/>
    <n v="0"/>
    <x v="0"/>
    <n v="0"/>
    <n v="0"/>
    <n v="29"/>
    <n v="73"/>
    <n v="0"/>
    <n v="93.70559999999999"/>
    <n v="211.1712"/>
    <m/>
    <n v="117.35516164627359"/>
    <n v="277.74110154064613"/>
    <n v="0"/>
    <n v="17977.700476800001"/>
    <n v="40513.828233600005"/>
    <n v="0"/>
    <n v="22514.939827322527"/>
    <n v="53285.463553877584"/>
  </r>
  <r>
    <s v="Regular"/>
    <x v="1"/>
    <x v="3"/>
    <x v="2"/>
    <x v="1"/>
    <x v="0"/>
    <x v="0"/>
    <x v="0"/>
    <x v="1"/>
    <n v="0"/>
    <n v="0"/>
    <n v="182.75399999999999"/>
    <n v="182.75399999999999"/>
    <n v="182.75399999999999"/>
    <n v="182.75399999999999"/>
    <n v="0"/>
    <x v="0"/>
    <n v="0"/>
    <n v="0"/>
    <n v="29"/>
    <n v="73"/>
    <n v="0"/>
    <n v="93.70559999999999"/>
    <n v="211.1712"/>
    <m/>
    <n v="117.35516164627359"/>
    <n v="277.74110154064613"/>
    <n v="0"/>
    <n v="17125.073222399998"/>
    <n v="38592.381484799997"/>
    <n v="0"/>
    <n v="21447.12521150308"/>
    <n v="50758.297270959243"/>
  </r>
  <r>
    <s v="Refaturamento - Regular"/>
    <x v="1"/>
    <x v="3"/>
    <x v="2"/>
    <x v="1"/>
    <x v="0"/>
    <x v="0"/>
    <x v="0"/>
    <x v="1"/>
    <n v="0"/>
    <n v="0"/>
    <n v="-100.434"/>
    <n v="-100.434"/>
    <n v="-100.434"/>
    <n v="-100.434"/>
    <n v="0"/>
    <x v="0"/>
    <n v="0"/>
    <n v="0"/>
    <n v="29"/>
    <n v="73"/>
    <n v="0"/>
    <n v="93.70559999999999"/>
    <n v="211.1712"/>
    <m/>
    <n v="117.35516164627359"/>
    <n v="277.74110154064613"/>
    <n v="0"/>
    <n v="-9411.2282303999982"/>
    <n v="-21208.768300799999"/>
    <n v="0"/>
    <n v="-11786.448304781841"/>
    <n v="-27894.649792133252"/>
  </r>
  <r>
    <s v="Regular"/>
    <x v="1"/>
    <x v="3"/>
    <x v="2"/>
    <x v="1"/>
    <x v="0"/>
    <x v="0"/>
    <x v="0"/>
    <x v="2"/>
    <n v="0"/>
    <n v="0"/>
    <n v="229.15899999999999"/>
    <n v="229.15899999999999"/>
    <n v="229.15899999999999"/>
    <n v="229.15899999999999"/>
    <n v="0"/>
    <x v="0"/>
    <n v="0"/>
    <n v="0"/>
    <n v="29"/>
    <n v="73"/>
    <n v="0"/>
    <n v="93.70559999999999"/>
    <n v="211.1712"/>
    <m/>
    <n v="117.35516164627359"/>
    <n v="277.74110154064613"/>
    <n v="0"/>
    <n v="21473.481590399995"/>
    <n v="48391.781020800001"/>
    <n v="0"/>
    <n v="26892.991487698408"/>
    <n v="63646.873087952925"/>
  </r>
  <r>
    <s v="Refaturamento - Regular"/>
    <x v="1"/>
    <x v="3"/>
    <x v="2"/>
    <x v="1"/>
    <x v="0"/>
    <x v="0"/>
    <x v="0"/>
    <x v="2"/>
    <n v="0"/>
    <n v="0"/>
    <n v="-11.388"/>
    <n v="-11.388"/>
    <n v="-11.388"/>
    <n v="-11.388"/>
    <n v="0"/>
    <x v="0"/>
    <n v="0"/>
    <n v="0"/>
    <n v="29"/>
    <n v="73"/>
    <n v="0"/>
    <n v="93.70559999999999"/>
    <n v="211.1712"/>
    <m/>
    <n v="117.35516164627359"/>
    <n v="277.74110154064613"/>
    <n v="0"/>
    <n v="-1067.1193727999998"/>
    <n v="-2404.8176256000002"/>
    <n v="0"/>
    <n v="-1336.4405808277636"/>
    <n v="-3162.9156643448782"/>
  </r>
  <r>
    <s v="Regular"/>
    <x v="1"/>
    <x v="3"/>
    <x v="2"/>
    <x v="1"/>
    <x v="0"/>
    <x v="0"/>
    <x v="0"/>
    <x v="3"/>
    <n v="0"/>
    <n v="0"/>
    <n v="359.40800000000002"/>
    <n v="359.40800000000002"/>
    <n v="359.40800000000002"/>
    <n v="359.40800000000002"/>
    <n v="0"/>
    <x v="0"/>
    <n v="0"/>
    <n v="0"/>
    <n v="29"/>
    <n v="73"/>
    <n v="0"/>
    <n v="93.70559999999999"/>
    <n v="211.1712"/>
    <m/>
    <n v="117.35516164627359"/>
    <n v="277.74110154064613"/>
    <n v="0"/>
    <n v="33678.542284799994"/>
    <n v="75896.618649600001"/>
    <n v="0"/>
    <n v="42178.383936963895"/>
    <n v="99822.373822520545"/>
  </r>
  <r>
    <s v="Refaturamento - Regular"/>
    <x v="1"/>
    <x v="3"/>
    <x v="2"/>
    <x v="1"/>
    <x v="0"/>
    <x v="0"/>
    <x v="0"/>
    <x v="3"/>
    <n v="0"/>
    <n v="0"/>
    <n v="-36.177"/>
    <n v="-36.177"/>
    <n v="-36.177"/>
    <n v="-36.177"/>
    <n v="0"/>
    <x v="0"/>
    <n v="0"/>
    <n v="0"/>
    <n v="29"/>
    <n v="73"/>
    <n v="0"/>
    <n v="93.70559999999999"/>
    <n v="211.1712"/>
    <m/>
    <n v="117.35516164627359"/>
    <n v="277.74110154064613"/>
    <n v="0"/>
    <n v="-3389.9874911999996"/>
    <n v="-7639.5405024000002"/>
    <n v="0"/>
    <n v="-4245.5576828772391"/>
    <n v="-10047.839830435954"/>
  </r>
  <r>
    <s v="Regular"/>
    <x v="1"/>
    <x v="3"/>
    <x v="2"/>
    <x v="1"/>
    <x v="0"/>
    <x v="0"/>
    <x v="0"/>
    <x v="4"/>
    <n v="0"/>
    <n v="0"/>
    <n v="794.12800000000004"/>
    <n v="794.12800000000004"/>
    <n v="794.12800000000004"/>
    <n v="794.12800000000004"/>
    <n v="0"/>
    <x v="0"/>
    <n v="0"/>
    <n v="0"/>
    <n v="29"/>
    <n v="73"/>
    <n v="0"/>
    <n v="93.70559999999999"/>
    <n v="211.1712"/>
    <m/>
    <n v="117.35516164627359"/>
    <n v="277.74110154064613"/>
    <n v="0"/>
    <n v="74414.240716799992"/>
    <n v="167696.96271360002"/>
    <n v="0"/>
    <n v="93195.019807831952"/>
    <n v="220561.98548427023"/>
  </r>
  <r>
    <s v="Regular"/>
    <x v="1"/>
    <x v="3"/>
    <x v="2"/>
    <x v="1"/>
    <x v="0"/>
    <x v="0"/>
    <x v="0"/>
    <x v="5"/>
    <n v="0"/>
    <n v="0"/>
    <n v="2048.826"/>
    <n v="2048.826"/>
    <n v="2048.826"/>
    <n v="2048.826"/>
    <n v="0"/>
    <x v="0"/>
    <n v="0"/>
    <n v="0"/>
    <n v="29"/>
    <n v="73"/>
    <n v="0"/>
    <n v="93.70559999999999"/>
    <n v="211.1712"/>
    <m/>
    <n v="117.35516164627359"/>
    <n v="277.74110154064613"/>
    <n v="0"/>
    <n v="191986.46962559997"/>
    <n v="432653.04501120001"/>
    <n v="0"/>
    <n v="240440.30641508813"/>
    <n v="569043.19010511588"/>
  </r>
  <r>
    <s v="Regular"/>
    <x v="1"/>
    <x v="3"/>
    <x v="2"/>
    <x v="1"/>
    <x v="0"/>
    <x v="0"/>
    <x v="0"/>
    <x v="6"/>
    <n v="0"/>
    <n v="0"/>
    <n v="3389.585"/>
    <n v="3389.585"/>
    <n v="3389.585"/>
    <n v="3389.585"/>
    <n v="0"/>
    <x v="0"/>
    <n v="0"/>
    <n v="0"/>
    <n v="29"/>
    <n v="73"/>
    <n v="0"/>
    <n v="93.70559999999999"/>
    <n v="211.1712"/>
    <m/>
    <n v="117.35516164627359"/>
    <n v="277.74110154064613"/>
    <n v="0"/>
    <n v="317623.09617599996"/>
    <n v="715782.73195200006"/>
    <n v="0"/>
    <n v="397785.29558878427"/>
    <n v="941427.07166565105"/>
  </r>
  <r>
    <s v="Regular"/>
    <x v="1"/>
    <x v="3"/>
    <x v="2"/>
    <x v="1"/>
    <x v="0"/>
    <x v="0"/>
    <x v="0"/>
    <x v="7"/>
    <n v="0"/>
    <n v="0"/>
    <n v="2984.8510000000001"/>
    <n v="2984.8510000000001"/>
    <n v="2984.8510000000001"/>
    <n v="2984.8510000000001"/>
    <n v="0"/>
    <x v="0"/>
    <n v="0"/>
    <n v="0"/>
    <n v="29"/>
    <n v="73"/>
    <n v="0"/>
    <n v="93.70559999999999"/>
    <n v="211.1712"/>
    <m/>
    <n v="117.35516164627359"/>
    <n v="277.74110154064613"/>
    <n v="0"/>
    <n v="279697.25386559998"/>
    <n v="630314.56749120005"/>
    <n v="0"/>
    <n v="350287.67159504135"/>
    <n v="829015.8046746992"/>
  </r>
  <r>
    <s v="Regular"/>
    <x v="1"/>
    <x v="3"/>
    <x v="2"/>
    <x v="1"/>
    <x v="0"/>
    <x v="0"/>
    <x v="0"/>
    <x v="8"/>
    <n v="0"/>
    <n v="0"/>
    <n v="2603.8910000000001"/>
    <n v="2603.8910000000001"/>
    <n v="2603.8910000000001"/>
    <n v="2603.8910000000001"/>
    <n v="0"/>
    <x v="0"/>
    <n v="0"/>
    <n v="0"/>
    <n v="29"/>
    <n v="73"/>
    <n v="0"/>
    <n v="93.70559999999999"/>
    <n v="211.1712"/>
    <m/>
    <n v="117.35516164627359"/>
    <n v="277.74110154064613"/>
    <n v="0"/>
    <n v="243999.16848959998"/>
    <n v="549866.78713920002"/>
    <n v="0"/>
    <n v="305580.04921427701"/>
    <n v="723207.55463177466"/>
  </r>
  <r>
    <s v="Refaturamento - Regular"/>
    <x v="1"/>
    <x v="3"/>
    <x v="2"/>
    <x v="1"/>
    <x v="0"/>
    <x v="0"/>
    <x v="0"/>
    <x v="8"/>
    <n v="0"/>
    <n v="0"/>
    <n v="-14.539"/>
    <n v="-14.539"/>
    <n v="-14.539"/>
    <n v="-14.539"/>
    <n v="0"/>
    <x v="0"/>
    <n v="0"/>
    <n v="0"/>
    <n v="29"/>
    <n v="73"/>
    <n v="0"/>
    <n v="93.70559999999999"/>
    <n v="211.1712"/>
    <m/>
    <n v="117.35516164627359"/>
    <n v="277.74110154064613"/>
    <n v="0"/>
    <n v="-1362.3857183999999"/>
    <n v="-3070.2180767999998"/>
    <n v="0"/>
    <n v="-1706.2266951751717"/>
    <n v="-4038.0778752994538"/>
  </r>
  <r>
    <s v="Regular"/>
    <x v="1"/>
    <x v="3"/>
    <x v="2"/>
    <x v="1"/>
    <x v="0"/>
    <x v="0"/>
    <x v="0"/>
    <x v="9"/>
    <n v="0"/>
    <n v="0"/>
    <n v="3362.259"/>
    <n v="3362.259"/>
    <n v="3362.259"/>
    <n v="3362.259"/>
    <n v="0"/>
    <x v="0"/>
    <n v="0"/>
    <n v="0"/>
    <n v="29"/>
    <n v="73"/>
    <n v="0"/>
    <n v="93.70559999999999"/>
    <n v="211.1712"/>
    <m/>
    <n v="117.35516164627359"/>
    <n v="277.74110154064613"/>
    <n v="0"/>
    <n v="315062.49695039995"/>
    <n v="710012.26774080005"/>
    <n v="0"/>
    <n v="394578.4484416382"/>
    <n v="933837.51832495129"/>
  </r>
  <r>
    <s v="Regular"/>
    <x v="1"/>
    <x v="3"/>
    <x v="2"/>
    <x v="1"/>
    <x v="0"/>
    <x v="0"/>
    <x v="0"/>
    <x v="10"/>
    <n v="0"/>
    <n v="0"/>
    <n v="1077.0920000000001"/>
    <n v="1077.0920000000001"/>
    <n v="1077.0920000000001"/>
    <n v="1077.0920000000001"/>
    <n v="0"/>
    <x v="0"/>
    <n v="0"/>
    <n v="0"/>
    <n v="29"/>
    <n v="73"/>
    <n v="0"/>
    <n v="93.70559999999999"/>
    <n v="211.1712"/>
    <m/>
    <n v="117.35516164627359"/>
    <n v="277.74110154064613"/>
    <n v="0"/>
    <n v="100929.5521152"/>
    <n v="227450.81015040001"/>
    <n v="0"/>
    <n v="126402.30576790812"/>
    <n v="299152.71854061767"/>
  </r>
  <r>
    <s v="Refaturamento - Regular"/>
    <x v="1"/>
    <x v="3"/>
    <x v="2"/>
    <x v="1"/>
    <x v="0"/>
    <x v="0"/>
    <x v="0"/>
    <x v="10"/>
    <n v="0"/>
    <n v="0"/>
    <n v="4.7569999999999997"/>
    <n v="4.7569999999999997"/>
    <n v="4.7569999999999997"/>
    <n v="4.7569999999999997"/>
    <n v="0"/>
    <x v="0"/>
    <n v="0"/>
    <n v="0"/>
    <n v="29"/>
    <n v="73"/>
    <n v="0"/>
    <n v="93.70559999999999"/>
    <n v="211.1712"/>
    <m/>
    <n v="117.35516164627359"/>
    <n v="277.74110154064613"/>
    <n v="0"/>
    <n v="445.75753919999994"/>
    <n v="1004.5413983999999"/>
    <n v="0"/>
    <n v="558.25850395132341"/>
    <n v="1321.2144200288535"/>
  </r>
  <r>
    <s v="PROJETADO"/>
    <x v="1"/>
    <x v="3"/>
    <x v="2"/>
    <x v="1"/>
    <x v="0"/>
    <x v="0"/>
    <x v="0"/>
    <x v="11"/>
    <n v="0"/>
    <n v="0"/>
    <n v="1077.0920000000001"/>
    <n v="1077.0920000000001"/>
    <n v="1077.0920000000001"/>
    <n v="1077.0920000000001"/>
    <n v="0"/>
    <x v="0"/>
    <n v="0"/>
    <n v="0"/>
    <n v="29"/>
    <n v="73"/>
    <n v="0"/>
    <n v="93.70559999999999"/>
    <n v="211.1712"/>
    <m/>
    <n v="117.35516164627359"/>
    <n v="277.74110154064613"/>
    <n v="0"/>
    <n v="100929.5521152"/>
    <n v="227450.81015040001"/>
    <n v="0"/>
    <n v="126402.30576790812"/>
    <n v="299152.71854061767"/>
  </r>
  <r>
    <s v="PROJETADO"/>
    <x v="1"/>
    <x v="3"/>
    <x v="2"/>
    <x v="1"/>
    <x v="0"/>
    <x v="0"/>
    <x v="0"/>
    <x v="11"/>
    <n v="0"/>
    <n v="0"/>
    <n v="4.7569999999999997"/>
    <n v="4.7569999999999997"/>
    <n v="4.7569999999999997"/>
    <n v="4.7569999999999997"/>
    <n v="0"/>
    <x v="0"/>
    <n v="0"/>
    <n v="0"/>
    <n v="29"/>
    <n v="73"/>
    <n v="0"/>
    <n v="93.70559999999999"/>
    <n v="211.1712"/>
    <m/>
    <n v="117.35516164627359"/>
    <n v="277.74110154064613"/>
    <n v="0"/>
    <n v="445.75753919999994"/>
    <n v="1004.5413983999999"/>
    <n v="0"/>
    <n v="558.25850395132341"/>
    <n v="1321.2144200288535"/>
  </r>
  <r>
    <s v="Regular"/>
    <x v="1"/>
    <x v="3"/>
    <x v="2"/>
    <x v="1"/>
    <x v="0"/>
    <x v="0"/>
    <x v="1"/>
    <x v="0"/>
    <n v="6226"/>
    <n v="6226"/>
    <n v="0"/>
    <n v="0"/>
    <n v="0"/>
    <n v="0"/>
    <n v="218"/>
    <x v="0"/>
    <n v="0"/>
    <n v="7"/>
    <n v="0"/>
    <n v="0"/>
    <n v="20.975999999999999"/>
    <n v="0"/>
    <n v="0"/>
    <n v="27.221549366878396"/>
    <m/>
    <m/>
    <n v="130596.576"/>
    <n v="0"/>
    <n v="0"/>
    <n v="169481.3663581849"/>
    <n v="0"/>
    <n v="0"/>
  </r>
  <r>
    <s v="Sistema de Compensação"/>
    <x v="1"/>
    <x v="3"/>
    <x v="2"/>
    <x v="1"/>
    <x v="0"/>
    <x v="0"/>
    <x v="1"/>
    <x v="0"/>
    <n v="1096"/>
    <n v="1096"/>
    <n v="0"/>
    <n v="0"/>
    <n v="0"/>
    <n v="0"/>
    <n v="16"/>
    <x v="0"/>
    <n v="0"/>
    <n v="7"/>
    <n v="0"/>
    <n v="0"/>
    <n v="20.975999999999999"/>
    <n v="0"/>
    <n v="0"/>
    <n v="27.221549366878396"/>
    <m/>
    <m/>
    <n v="22989.696"/>
    <n v="0"/>
    <n v="0"/>
    <n v="29834.818106098723"/>
    <n v="0"/>
    <n v="0"/>
  </r>
  <r>
    <s v="Regular"/>
    <x v="1"/>
    <x v="3"/>
    <x v="2"/>
    <x v="1"/>
    <x v="0"/>
    <x v="0"/>
    <x v="1"/>
    <x v="1"/>
    <n v="5221"/>
    <n v="5221"/>
    <n v="0"/>
    <n v="0"/>
    <n v="0"/>
    <n v="0"/>
    <n v="212"/>
    <x v="0"/>
    <n v="0"/>
    <n v="7"/>
    <n v="0"/>
    <n v="0"/>
    <n v="20.975999999999999"/>
    <n v="0"/>
    <n v="0"/>
    <n v="27.221549366878396"/>
    <m/>
    <m/>
    <n v="109515.696"/>
    <n v="0"/>
    <n v="0"/>
    <n v="142123.70924447209"/>
    <n v="0"/>
    <n v="0"/>
  </r>
  <r>
    <s v="Refaturamento - Regular"/>
    <x v="1"/>
    <x v="3"/>
    <x v="2"/>
    <x v="1"/>
    <x v="0"/>
    <x v="0"/>
    <x v="1"/>
    <x v="1"/>
    <n v="-596"/>
    <n v="-596"/>
    <n v="0"/>
    <n v="0"/>
    <n v="0"/>
    <n v="0"/>
    <n v="-1"/>
    <x v="0"/>
    <n v="0"/>
    <n v="7"/>
    <n v="0"/>
    <n v="0"/>
    <n v="20.975999999999999"/>
    <n v="0"/>
    <n v="0"/>
    <n v="27.221549366878396"/>
    <m/>
    <m/>
    <n v="-12501.696"/>
    <n v="0"/>
    <n v="0"/>
    <n v="-16224.043422659524"/>
    <n v="0"/>
    <n v="0"/>
  </r>
  <r>
    <s v="Sistema de Compensação"/>
    <x v="1"/>
    <x v="3"/>
    <x v="2"/>
    <x v="1"/>
    <x v="0"/>
    <x v="0"/>
    <x v="1"/>
    <x v="1"/>
    <n v="441"/>
    <n v="441"/>
    <n v="0"/>
    <n v="0"/>
    <n v="0"/>
    <n v="0"/>
    <n v="14"/>
    <x v="0"/>
    <n v="0"/>
    <n v="7"/>
    <n v="0"/>
    <n v="0"/>
    <n v="20.975999999999999"/>
    <n v="0"/>
    <n v="0"/>
    <n v="27.221549366878396"/>
    <m/>
    <m/>
    <n v="9250.4159999999993"/>
    <n v="0"/>
    <n v="0"/>
    <n v="12004.703270793372"/>
    <n v="0"/>
    <n v="0"/>
  </r>
  <r>
    <s v="Regular"/>
    <x v="1"/>
    <x v="3"/>
    <x v="2"/>
    <x v="1"/>
    <x v="0"/>
    <x v="0"/>
    <x v="1"/>
    <x v="2"/>
    <n v="4974"/>
    <n v="4974"/>
    <n v="0"/>
    <n v="0"/>
    <n v="0"/>
    <n v="0"/>
    <n v="213"/>
    <x v="0"/>
    <n v="0"/>
    <n v="7"/>
    <n v="0"/>
    <n v="0"/>
    <n v="20.975999999999999"/>
    <n v="0"/>
    <n v="0"/>
    <n v="27.221549366878396"/>
    <m/>
    <m/>
    <n v="104334.624"/>
    <n v="0"/>
    <n v="0"/>
    <n v="135399.98655085315"/>
    <n v="0"/>
    <n v="0"/>
  </r>
  <r>
    <s v="Refaturamento - Regular"/>
    <x v="1"/>
    <x v="3"/>
    <x v="2"/>
    <x v="1"/>
    <x v="0"/>
    <x v="0"/>
    <x v="1"/>
    <x v="2"/>
    <n v="-7695"/>
    <n v="-7695"/>
    <n v="0"/>
    <n v="0"/>
    <n v="0"/>
    <n v="0"/>
    <n v="-2"/>
    <x v="0"/>
    <n v="0"/>
    <n v="7"/>
    <n v="0"/>
    <n v="0"/>
    <n v="20.975999999999999"/>
    <n v="0"/>
    <n v="0"/>
    <n v="27.221549366878396"/>
    <m/>
    <m/>
    <n v="-161410.32"/>
    <n v="0"/>
    <n v="0"/>
    <n v="-209469.82237812926"/>
    <n v="0"/>
    <n v="0"/>
  </r>
  <r>
    <s v="Sistema de Compensação"/>
    <x v="1"/>
    <x v="3"/>
    <x v="2"/>
    <x v="1"/>
    <x v="0"/>
    <x v="0"/>
    <x v="1"/>
    <x v="2"/>
    <n v="316"/>
    <n v="316"/>
    <n v="0"/>
    <n v="0"/>
    <n v="0"/>
    <n v="0"/>
    <n v="14"/>
    <x v="0"/>
    <n v="0"/>
    <n v="7"/>
    <n v="0"/>
    <n v="0"/>
    <n v="20.975999999999999"/>
    <n v="0"/>
    <n v="0"/>
    <n v="27.221549366878396"/>
    <m/>
    <m/>
    <n v="6628.4159999999993"/>
    <n v="0"/>
    <n v="0"/>
    <n v="8602.0095999335736"/>
    <n v="0"/>
    <n v="0"/>
  </r>
  <r>
    <s v="Regular"/>
    <x v="1"/>
    <x v="3"/>
    <x v="2"/>
    <x v="1"/>
    <x v="0"/>
    <x v="0"/>
    <x v="1"/>
    <x v="3"/>
    <n v="13775"/>
    <n v="13775"/>
    <n v="0"/>
    <n v="0"/>
    <n v="0"/>
    <n v="0"/>
    <n v="230"/>
    <x v="0"/>
    <n v="0"/>
    <n v="7"/>
    <n v="0"/>
    <n v="0"/>
    <n v="20.975999999999999"/>
    <n v="0"/>
    <n v="0"/>
    <n v="27.221549366878396"/>
    <m/>
    <m/>
    <n v="288944.39999999997"/>
    <n v="0"/>
    <n v="0"/>
    <n v="374976.8425287499"/>
    <n v="0"/>
    <n v="0"/>
  </r>
  <r>
    <s v="Refaturamento - Regular"/>
    <x v="1"/>
    <x v="3"/>
    <x v="2"/>
    <x v="1"/>
    <x v="0"/>
    <x v="0"/>
    <x v="1"/>
    <x v="3"/>
    <n v="-57"/>
    <n v="-57"/>
    <n v="0"/>
    <n v="0"/>
    <n v="0"/>
    <n v="0"/>
    <n v="-5"/>
    <x v="0"/>
    <n v="0"/>
    <n v="7"/>
    <n v="0"/>
    <n v="0"/>
    <n v="20.975999999999999"/>
    <n v="0"/>
    <n v="0"/>
    <n v="27.221549366878396"/>
    <m/>
    <m/>
    <n v="-1195.6320000000001"/>
    <n v="0"/>
    <n v="0"/>
    <n v="-1551.6283139120685"/>
    <n v="0"/>
    <n v="0"/>
  </r>
  <r>
    <s v="Sistema de Compensação"/>
    <x v="1"/>
    <x v="3"/>
    <x v="2"/>
    <x v="1"/>
    <x v="0"/>
    <x v="0"/>
    <x v="1"/>
    <x v="3"/>
    <n v="528"/>
    <n v="528"/>
    <n v="0"/>
    <n v="0"/>
    <n v="0"/>
    <n v="0"/>
    <n v="13"/>
    <x v="0"/>
    <n v="0"/>
    <n v="7"/>
    <n v="0"/>
    <n v="0"/>
    <n v="20.975999999999999"/>
    <n v="0"/>
    <n v="0"/>
    <n v="27.221549366878396"/>
    <m/>
    <m/>
    <n v="11075.328"/>
    <n v="0"/>
    <n v="0"/>
    <n v="14372.978065711794"/>
    <n v="0"/>
    <n v="0"/>
  </r>
  <r>
    <s v="Regular"/>
    <x v="1"/>
    <x v="3"/>
    <x v="2"/>
    <x v="1"/>
    <x v="0"/>
    <x v="0"/>
    <x v="1"/>
    <x v="4"/>
    <n v="18117"/>
    <n v="18117"/>
    <n v="0"/>
    <n v="0"/>
    <n v="0"/>
    <n v="0"/>
    <n v="230"/>
    <x v="0"/>
    <n v="0"/>
    <n v="7"/>
    <n v="0"/>
    <n v="0"/>
    <n v="20.975999999999999"/>
    <n v="0"/>
    <n v="0"/>
    <n v="27.221549366878396"/>
    <m/>
    <m/>
    <n v="380022.19199999998"/>
    <n v="0"/>
    <n v="0"/>
    <n v="493172.80987973587"/>
    <n v="0"/>
    <n v="0"/>
  </r>
  <r>
    <s v="Refaturamento - Regular"/>
    <x v="1"/>
    <x v="3"/>
    <x v="2"/>
    <x v="1"/>
    <x v="0"/>
    <x v="0"/>
    <x v="1"/>
    <x v="4"/>
    <n v="-196"/>
    <n v="-196"/>
    <n v="0"/>
    <n v="0"/>
    <n v="0"/>
    <n v="0"/>
    <n v="0"/>
    <x v="0"/>
    <n v="0"/>
    <n v="7"/>
    <n v="0"/>
    <n v="0"/>
    <n v="20.975999999999999"/>
    <n v="0"/>
    <n v="0"/>
    <n v="27.221549366878396"/>
    <m/>
    <m/>
    <n v="-4111.2960000000003"/>
    <n v="0"/>
    <n v="0"/>
    <n v="-5335.4236759081659"/>
    <n v="0"/>
    <n v="0"/>
  </r>
  <r>
    <s v="Sistema de Compensação"/>
    <x v="1"/>
    <x v="3"/>
    <x v="2"/>
    <x v="1"/>
    <x v="0"/>
    <x v="0"/>
    <x v="1"/>
    <x v="4"/>
    <n v="1778"/>
    <n v="1778"/>
    <n v="0"/>
    <n v="0"/>
    <n v="0"/>
    <n v="0"/>
    <n v="14"/>
    <x v="0"/>
    <n v="0"/>
    <n v="7"/>
    <n v="0"/>
    <n v="0"/>
    <n v="20.975999999999999"/>
    <n v="0"/>
    <n v="0"/>
    <n v="27.221549366878396"/>
    <m/>
    <m/>
    <n v="37295.328000000001"/>
    <n v="0"/>
    <n v="0"/>
    <n v="48399.914774309786"/>
    <n v="0"/>
    <n v="0"/>
  </r>
  <r>
    <s v="Regular"/>
    <x v="1"/>
    <x v="3"/>
    <x v="2"/>
    <x v="1"/>
    <x v="0"/>
    <x v="0"/>
    <x v="1"/>
    <x v="5"/>
    <n v="23146"/>
    <n v="23146"/>
    <n v="0"/>
    <n v="0"/>
    <n v="0"/>
    <n v="0"/>
    <n v="242"/>
    <x v="0"/>
    <n v="0"/>
    <n v="7"/>
    <n v="0"/>
    <n v="0"/>
    <n v="20.975999999999999"/>
    <n v="0"/>
    <n v="0"/>
    <n v="27.221549366878396"/>
    <m/>
    <m/>
    <n v="485510.49599999998"/>
    <n v="0"/>
    <n v="0"/>
    <n v="630069.98164576734"/>
    <n v="0"/>
    <n v="0"/>
  </r>
  <r>
    <s v="Refaturamento - Regular"/>
    <x v="1"/>
    <x v="3"/>
    <x v="2"/>
    <x v="1"/>
    <x v="0"/>
    <x v="0"/>
    <x v="1"/>
    <x v="5"/>
    <n v="-134"/>
    <n v="-134"/>
    <n v="0"/>
    <n v="0"/>
    <n v="0"/>
    <n v="0"/>
    <n v="0"/>
    <x v="0"/>
    <n v="0"/>
    <n v="7"/>
    <n v="0"/>
    <n v="0"/>
    <n v="20.975999999999999"/>
    <n v="0"/>
    <n v="0"/>
    <n v="27.221549366878396"/>
    <m/>
    <m/>
    <n v="-2810.7839999999997"/>
    <n v="0"/>
    <n v="0"/>
    <n v="-3647.6876151617048"/>
    <n v="0"/>
    <n v="0"/>
  </r>
  <r>
    <s v="Sistema de Compensação"/>
    <x v="1"/>
    <x v="3"/>
    <x v="2"/>
    <x v="1"/>
    <x v="0"/>
    <x v="0"/>
    <x v="1"/>
    <x v="5"/>
    <n v="2209"/>
    <n v="2209"/>
    <n v="0"/>
    <n v="0"/>
    <n v="0"/>
    <n v="0"/>
    <n v="14"/>
    <x v="0"/>
    <n v="0"/>
    <n v="7"/>
    <n v="0"/>
    <n v="0"/>
    <n v="20.975999999999999"/>
    <n v="0"/>
    <n v="0"/>
    <n v="27.221549366878396"/>
    <m/>
    <m/>
    <n v="46335.983999999997"/>
    <n v="0"/>
    <n v="0"/>
    <n v="60132.402551434374"/>
    <n v="0"/>
    <n v="0"/>
  </r>
  <r>
    <s v="Regular"/>
    <x v="1"/>
    <x v="3"/>
    <x v="2"/>
    <x v="1"/>
    <x v="0"/>
    <x v="0"/>
    <x v="1"/>
    <x v="6"/>
    <n v="25117"/>
    <n v="25117"/>
    <n v="0"/>
    <n v="0"/>
    <n v="0"/>
    <n v="0"/>
    <n v="225"/>
    <x v="0"/>
    <n v="0"/>
    <n v="7"/>
    <n v="0"/>
    <n v="0"/>
    <n v="20.975999999999999"/>
    <n v="0"/>
    <n v="0"/>
    <n v="27.221549366878396"/>
    <m/>
    <m/>
    <n v="526854.19199999992"/>
    <n v="0"/>
    <n v="0"/>
    <n v="683723.6554478847"/>
    <n v="0"/>
    <n v="0"/>
  </r>
  <r>
    <s v="Refaturamento - Regular"/>
    <x v="1"/>
    <x v="3"/>
    <x v="2"/>
    <x v="1"/>
    <x v="0"/>
    <x v="0"/>
    <x v="1"/>
    <x v="6"/>
    <n v="-1366"/>
    <n v="-1366"/>
    <n v="0"/>
    <n v="0"/>
    <n v="0"/>
    <n v="0"/>
    <n v="-4"/>
    <x v="0"/>
    <n v="0"/>
    <n v="7"/>
    <n v="0"/>
    <n v="0"/>
    <n v="20.975999999999999"/>
    <n v="0"/>
    <n v="0"/>
    <n v="27.221549366878396"/>
    <m/>
    <m/>
    <n v="-28653.216"/>
    <n v="0"/>
    <n v="0"/>
    <n v="-37184.636435155888"/>
    <n v="0"/>
    <n v="0"/>
  </r>
  <r>
    <s v="Sistema de Compensação"/>
    <x v="1"/>
    <x v="3"/>
    <x v="2"/>
    <x v="1"/>
    <x v="0"/>
    <x v="0"/>
    <x v="1"/>
    <x v="6"/>
    <n v="2179"/>
    <n v="2179"/>
    <n v="0"/>
    <n v="0"/>
    <n v="0"/>
    <n v="0"/>
    <n v="15"/>
    <x v="0"/>
    <n v="0"/>
    <n v="7"/>
    <n v="0"/>
    <n v="0"/>
    <n v="20.975999999999999"/>
    <n v="0"/>
    <n v="0"/>
    <n v="27.221549366878396"/>
    <m/>
    <m/>
    <n v="45706.703999999998"/>
    <n v="0"/>
    <n v="0"/>
    <n v="59315.756070428026"/>
    <n v="0"/>
    <n v="0"/>
  </r>
  <r>
    <s v="Regular"/>
    <x v="1"/>
    <x v="3"/>
    <x v="2"/>
    <x v="1"/>
    <x v="0"/>
    <x v="0"/>
    <x v="1"/>
    <x v="7"/>
    <n v="26254"/>
    <n v="26254"/>
    <n v="0"/>
    <n v="0"/>
    <n v="0"/>
    <n v="0"/>
    <n v="224"/>
    <x v="0"/>
    <n v="0"/>
    <n v="7"/>
    <n v="0"/>
    <n v="0"/>
    <n v="20.975999999999999"/>
    <n v="0"/>
    <n v="0"/>
    <n v="27.221549366878396"/>
    <m/>
    <m/>
    <n v="550703.90399999998"/>
    <n v="0"/>
    <n v="0"/>
    <n v="714674.55707802542"/>
    <n v="0"/>
    <n v="0"/>
  </r>
  <r>
    <s v="Sistema de Compensação"/>
    <x v="1"/>
    <x v="3"/>
    <x v="2"/>
    <x v="1"/>
    <x v="0"/>
    <x v="0"/>
    <x v="1"/>
    <x v="7"/>
    <n v="2390"/>
    <n v="2390"/>
    <n v="0"/>
    <n v="0"/>
    <n v="0"/>
    <n v="0"/>
    <n v="15"/>
    <x v="0"/>
    <n v="0"/>
    <n v="7"/>
    <n v="0"/>
    <n v="0"/>
    <n v="20.975999999999999"/>
    <n v="0"/>
    <n v="0"/>
    <n v="27.221549366878396"/>
    <m/>
    <m/>
    <n v="50132.639999999999"/>
    <n v="0"/>
    <n v="0"/>
    <n v="65059.502986839369"/>
    <n v="0"/>
    <n v="0"/>
  </r>
  <r>
    <s v="Regular"/>
    <x v="1"/>
    <x v="3"/>
    <x v="2"/>
    <x v="1"/>
    <x v="0"/>
    <x v="0"/>
    <x v="1"/>
    <x v="8"/>
    <n v="23879"/>
    <n v="23879"/>
    <n v="0"/>
    <n v="0"/>
    <n v="0"/>
    <n v="0"/>
    <n v="217"/>
    <x v="0"/>
    <n v="0"/>
    <n v="7"/>
    <n v="0"/>
    <n v="0"/>
    <n v="20.975999999999999"/>
    <n v="0"/>
    <n v="0"/>
    <n v="27.221549366878396"/>
    <m/>
    <m/>
    <n v="500885.90399999998"/>
    <n v="0"/>
    <n v="0"/>
    <n v="650023.37733168923"/>
    <n v="0"/>
    <n v="0"/>
  </r>
  <r>
    <s v="Refaturamento - Regular"/>
    <x v="1"/>
    <x v="3"/>
    <x v="2"/>
    <x v="1"/>
    <x v="0"/>
    <x v="0"/>
    <x v="1"/>
    <x v="8"/>
    <n v="-37"/>
    <n v="-37"/>
    <n v="0"/>
    <n v="0"/>
    <n v="0"/>
    <n v="0"/>
    <n v="-1"/>
    <x v="0"/>
    <n v="0"/>
    <n v="7"/>
    <n v="0"/>
    <n v="0"/>
    <n v="20.975999999999999"/>
    <n v="0"/>
    <n v="0"/>
    <n v="27.221549366878396"/>
    <m/>
    <m/>
    <n v="-776.11199999999997"/>
    <n v="0"/>
    <n v="0"/>
    <n v="-1007.1973265745006"/>
    <n v="0"/>
    <n v="0"/>
  </r>
  <r>
    <s v="Sistema de Compensação"/>
    <x v="1"/>
    <x v="3"/>
    <x v="2"/>
    <x v="1"/>
    <x v="0"/>
    <x v="0"/>
    <x v="1"/>
    <x v="8"/>
    <n v="2399"/>
    <n v="2399"/>
    <n v="0"/>
    <n v="0"/>
    <n v="0"/>
    <n v="0"/>
    <n v="16"/>
    <x v="0"/>
    <n v="0"/>
    <n v="7"/>
    <n v="0"/>
    <n v="0"/>
    <n v="20.975999999999999"/>
    <n v="0"/>
    <n v="0"/>
    <n v="27.221549366878396"/>
    <m/>
    <m/>
    <n v="50321.423999999999"/>
    <n v="0"/>
    <n v="0"/>
    <n v="65304.496931141271"/>
    <n v="0"/>
    <n v="0"/>
  </r>
  <r>
    <s v="Regular"/>
    <x v="1"/>
    <x v="3"/>
    <x v="2"/>
    <x v="1"/>
    <x v="0"/>
    <x v="0"/>
    <x v="1"/>
    <x v="9"/>
    <n v="25852"/>
    <n v="25852"/>
    <n v="0"/>
    <n v="0"/>
    <n v="0"/>
    <n v="0"/>
    <n v="221"/>
    <x v="0"/>
    <n v="0"/>
    <n v="7"/>
    <n v="0"/>
    <n v="0"/>
    <n v="20.975999999999999"/>
    <n v="0"/>
    <n v="0"/>
    <n v="27.221549366878396"/>
    <m/>
    <m/>
    <n v="542271.55200000003"/>
    <n v="0"/>
    <n v="0"/>
    <n v="703731.49423254025"/>
    <n v="0"/>
    <n v="0"/>
  </r>
  <r>
    <s v="Sistema de Compensação"/>
    <x v="1"/>
    <x v="3"/>
    <x v="2"/>
    <x v="1"/>
    <x v="0"/>
    <x v="0"/>
    <x v="1"/>
    <x v="9"/>
    <n v="2388"/>
    <n v="2388"/>
    <n v="0"/>
    <n v="0"/>
    <n v="0"/>
    <n v="0"/>
    <n v="16"/>
    <x v="0"/>
    <n v="0"/>
    <n v="7"/>
    <n v="0"/>
    <n v="0"/>
    <n v="20.975999999999999"/>
    <n v="0"/>
    <n v="0"/>
    <n v="27.221549366878396"/>
    <m/>
    <m/>
    <n v="50090.687999999995"/>
    <n v="0"/>
    <n v="0"/>
    <n v="65005.059888105607"/>
    <n v="0"/>
    <n v="0"/>
  </r>
  <r>
    <s v="Regular"/>
    <x v="1"/>
    <x v="3"/>
    <x v="2"/>
    <x v="1"/>
    <x v="0"/>
    <x v="0"/>
    <x v="1"/>
    <x v="10"/>
    <n v="26284"/>
    <n v="26284"/>
    <n v="0"/>
    <n v="0"/>
    <n v="0"/>
    <n v="0"/>
    <n v="216"/>
    <x v="0"/>
    <n v="0"/>
    <n v="7"/>
    <n v="0"/>
    <n v="0"/>
    <n v="20.975999999999999"/>
    <n v="0"/>
    <n v="0"/>
    <n v="27.221549366878396"/>
    <m/>
    <m/>
    <n v="551333.18400000001"/>
    <n v="0"/>
    <n v="0"/>
    <n v="715491.20355903171"/>
    <n v="0"/>
    <n v="0"/>
  </r>
  <r>
    <s v="Sistema de Compensação"/>
    <x v="1"/>
    <x v="3"/>
    <x v="2"/>
    <x v="1"/>
    <x v="0"/>
    <x v="0"/>
    <x v="1"/>
    <x v="10"/>
    <n v="2222"/>
    <n v="2222"/>
    <n v="0"/>
    <n v="0"/>
    <n v="0"/>
    <n v="0"/>
    <n v="16"/>
    <x v="0"/>
    <n v="0"/>
    <n v="7"/>
    <n v="0"/>
    <n v="0"/>
    <n v="20.975999999999999"/>
    <n v="0"/>
    <n v="0"/>
    <n v="27.221549366878396"/>
    <m/>
    <m/>
    <n v="46608.671999999999"/>
    <n v="0"/>
    <n v="0"/>
    <n v="60486.282693203793"/>
    <n v="0"/>
    <n v="0"/>
  </r>
  <r>
    <s v="PROJETADO"/>
    <x v="1"/>
    <x v="3"/>
    <x v="2"/>
    <x v="1"/>
    <x v="0"/>
    <x v="0"/>
    <x v="1"/>
    <x v="11"/>
    <n v="26284"/>
    <n v="26284"/>
    <n v="0"/>
    <n v="0"/>
    <n v="0"/>
    <n v="0"/>
    <n v="216"/>
    <x v="0"/>
    <n v="0"/>
    <n v="7"/>
    <n v="0"/>
    <n v="0"/>
    <n v="20.975999999999999"/>
    <n v="0"/>
    <n v="0"/>
    <n v="27.221549366878396"/>
    <m/>
    <m/>
    <n v="551333.18400000001"/>
    <n v="0"/>
    <n v="0"/>
    <n v="715491.20355903171"/>
    <n v="0"/>
    <n v="0"/>
  </r>
  <r>
    <s v="PROJETADO"/>
    <x v="1"/>
    <x v="3"/>
    <x v="2"/>
    <x v="1"/>
    <x v="0"/>
    <x v="0"/>
    <x v="1"/>
    <x v="11"/>
    <n v="2222"/>
    <n v="2222"/>
    <n v="0"/>
    <n v="0"/>
    <n v="0"/>
    <n v="0"/>
    <n v="16"/>
    <x v="0"/>
    <n v="0"/>
    <n v="7"/>
    <n v="0"/>
    <n v="0"/>
    <n v="20.975999999999999"/>
    <n v="0"/>
    <n v="0"/>
    <n v="27.221549366878396"/>
    <m/>
    <m/>
    <n v="46608.671999999999"/>
    <n v="0"/>
    <n v="0"/>
    <n v="60486.282693203793"/>
    <n v="0"/>
    <n v="0"/>
  </r>
  <r>
    <s v="Regular"/>
    <x v="1"/>
    <x v="3"/>
    <x v="2"/>
    <x v="1"/>
    <x v="0"/>
    <x v="0"/>
    <x v="2"/>
    <x v="0"/>
    <n v="0"/>
    <n v="0"/>
    <n v="9.4350000000000005"/>
    <n v="9.4350000000000005"/>
    <n v="9.4350000000000005"/>
    <n v="9.4350000000000005"/>
    <n v="0"/>
    <x v="0"/>
    <n v="0"/>
    <n v="0"/>
    <n v="8"/>
    <n v="72"/>
    <n v="0"/>
    <n v="1495.4304"/>
    <n v="332.74560000000002"/>
    <m/>
    <n v="1899.6622727754132"/>
    <n v="432.85794003279227"/>
    <n v="0"/>
    <n v="14109.385824000001"/>
    <n v="3139.4547360000006"/>
    <n v="0"/>
    <n v="17923.313543636024"/>
    <n v="4084.0146642093955"/>
  </r>
  <r>
    <s v="Regular"/>
    <x v="1"/>
    <x v="3"/>
    <x v="2"/>
    <x v="1"/>
    <x v="0"/>
    <x v="0"/>
    <x v="2"/>
    <x v="1"/>
    <n v="0"/>
    <n v="0"/>
    <n v="6.7779999999999996"/>
    <n v="6.7779999999999996"/>
    <n v="6.7779999999999996"/>
    <n v="6.7779999999999996"/>
    <n v="0"/>
    <x v="0"/>
    <n v="0"/>
    <n v="0"/>
    <n v="8"/>
    <n v="72"/>
    <n v="0"/>
    <n v="1495.4304"/>
    <n v="332.74560000000002"/>
    <m/>
    <n v="1899.6622727754132"/>
    <n v="432.85794003279227"/>
    <n v="0"/>
    <n v="10136.027251199999"/>
    <n v="2255.3496768"/>
    <n v="0"/>
    <n v="12875.91088487175"/>
    <n v="2933.9111175422659"/>
  </r>
  <r>
    <s v="Refaturamento - Regular"/>
    <x v="1"/>
    <x v="3"/>
    <x v="2"/>
    <x v="1"/>
    <x v="0"/>
    <x v="0"/>
    <x v="2"/>
    <x v="1"/>
    <n v="0"/>
    <n v="0"/>
    <n v="-2.3E-2"/>
    <n v="-2.3E-2"/>
    <n v="-2.3E-2"/>
    <n v="-2.3E-2"/>
    <n v="0"/>
    <x v="0"/>
    <n v="0"/>
    <n v="0"/>
    <n v="8"/>
    <n v="72"/>
    <n v="0"/>
    <n v="1495.4304"/>
    <n v="332.74560000000002"/>
    <m/>
    <n v="1899.6622727754132"/>
    <n v="432.85794003279227"/>
    <n v="0"/>
    <n v="-34.394899199999998"/>
    <n v="-7.6531488000000003"/>
    <n v="0"/>
    <n v="-43.692232273834499"/>
    <n v="-9.9557326207542225"/>
  </r>
  <r>
    <s v="Regular"/>
    <x v="1"/>
    <x v="3"/>
    <x v="2"/>
    <x v="1"/>
    <x v="0"/>
    <x v="0"/>
    <x v="2"/>
    <x v="2"/>
    <n v="0"/>
    <n v="0"/>
    <n v="8.4969999999999999"/>
    <n v="8.4969999999999999"/>
    <n v="8.4969999999999999"/>
    <n v="8.4969999999999999"/>
    <n v="0"/>
    <x v="0"/>
    <n v="0"/>
    <n v="0"/>
    <n v="8"/>
    <n v="72"/>
    <n v="0"/>
    <n v="1495.4304"/>
    <n v="332.74560000000002"/>
    <m/>
    <n v="1899.6622727754132"/>
    <n v="432.85794003279227"/>
    <n v="0"/>
    <n v="12706.672108799999"/>
    <n v="2827.3393632000002"/>
    <n v="0"/>
    <n v="16141.430331772686"/>
    <n v="3677.9939164586358"/>
  </r>
  <r>
    <s v="Refaturamento - Regular"/>
    <x v="1"/>
    <x v="3"/>
    <x v="2"/>
    <x v="1"/>
    <x v="0"/>
    <x v="0"/>
    <x v="2"/>
    <x v="2"/>
    <n v="0"/>
    <n v="0"/>
    <n v="-5.5E-2"/>
    <n v="-5.5E-2"/>
    <n v="-5.5E-2"/>
    <n v="-5.5E-2"/>
    <n v="0"/>
    <x v="0"/>
    <n v="0"/>
    <n v="0"/>
    <n v="8"/>
    <n v="72"/>
    <n v="0"/>
    <n v="1495.4304"/>
    <n v="332.74560000000002"/>
    <m/>
    <n v="1899.6622727754132"/>
    <n v="432.85794003279227"/>
    <n v="0"/>
    <n v="-82.248671999999999"/>
    <n v="-18.301008000000003"/>
    <n v="0"/>
    <n v="-104.48142500264773"/>
    <n v="-23.807186701803577"/>
  </r>
  <r>
    <s v="Regular"/>
    <x v="1"/>
    <x v="3"/>
    <x v="2"/>
    <x v="1"/>
    <x v="0"/>
    <x v="0"/>
    <x v="2"/>
    <x v="3"/>
    <n v="0"/>
    <n v="0"/>
    <n v="15.045999999999999"/>
    <n v="15.045999999999999"/>
    <n v="15.045999999999999"/>
    <n v="15.045999999999999"/>
    <n v="0"/>
    <x v="0"/>
    <n v="0"/>
    <n v="0"/>
    <n v="8"/>
    <n v="72"/>
    <n v="0"/>
    <n v="1495.4304"/>
    <n v="332.74560000000002"/>
    <m/>
    <n v="1899.6622727754132"/>
    <n v="432.85794003279227"/>
    <n v="0"/>
    <n v="22500.245798399999"/>
    <n v="5006.4902976000003"/>
    <n v="0"/>
    <n v="28582.318556178867"/>
    <n v="6512.780565733392"/>
  </r>
  <r>
    <s v="Refaturamento - Regular"/>
    <x v="1"/>
    <x v="3"/>
    <x v="2"/>
    <x v="1"/>
    <x v="0"/>
    <x v="0"/>
    <x v="2"/>
    <x v="3"/>
    <n v="0"/>
    <n v="0"/>
    <n v="-0.93300000000000005"/>
    <n v="-0.93300000000000005"/>
    <n v="-0.93300000000000005"/>
    <n v="-0.93300000000000005"/>
    <n v="0"/>
    <x v="0"/>
    <n v="0"/>
    <n v="0"/>
    <n v="8"/>
    <n v="72"/>
    <n v="0"/>
    <n v="1495.4304"/>
    <n v="332.74560000000002"/>
    <m/>
    <n v="1899.6622727754132"/>
    <n v="432.85794003279227"/>
    <n v="0"/>
    <n v="-1395.2365632000001"/>
    <n v="-310.45164480000005"/>
    <n v="0"/>
    <n v="-1772.3849004994606"/>
    <n v="-403.85645805059522"/>
  </r>
  <r>
    <s v="Regular"/>
    <x v="1"/>
    <x v="3"/>
    <x v="2"/>
    <x v="1"/>
    <x v="0"/>
    <x v="0"/>
    <x v="2"/>
    <x v="4"/>
    <n v="0"/>
    <n v="0"/>
    <n v="19.14"/>
    <n v="19.14"/>
    <n v="19.14"/>
    <n v="19.14"/>
    <n v="0"/>
    <x v="0"/>
    <n v="0"/>
    <n v="0"/>
    <n v="8"/>
    <n v="72"/>
    <n v="0"/>
    <n v="1495.4304"/>
    <n v="332.74560000000002"/>
    <m/>
    <n v="1899.6622727754132"/>
    <n v="432.85794003279227"/>
    <n v="0"/>
    <n v="28622.537855999999"/>
    <n v="6368.7507840000007"/>
    <n v="0"/>
    <n v="36359.535900921408"/>
    <n v="8284.9009722276442"/>
  </r>
  <r>
    <s v="Regular"/>
    <x v="1"/>
    <x v="3"/>
    <x v="2"/>
    <x v="1"/>
    <x v="0"/>
    <x v="0"/>
    <x v="2"/>
    <x v="5"/>
    <n v="0"/>
    <n v="0"/>
    <n v="29.234999999999999"/>
    <n v="29.234999999999999"/>
    <n v="29.234999999999999"/>
    <n v="29.234999999999999"/>
    <n v="0"/>
    <x v="0"/>
    <n v="0"/>
    <n v="0"/>
    <n v="8"/>
    <n v="72"/>
    <n v="0"/>
    <n v="1495.4304"/>
    <n v="332.74560000000002"/>
    <m/>
    <n v="1899.6622727754132"/>
    <n v="432.85794003279227"/>
    <n v="0"/>
    <n v="43718.907743999996"/>
    <n v="9727.8176160000003"/>
    <n v="0"/>
    <n v="55536.626544589206"/>
    <n v="12654.601876858682"/>
  </r>
  <r>
    <s v="Regular"/>
    <x v="1"/>
    <x v="3"/>
    <x v="2"/>
    <x v="1"/>
    <x v="0"/>
    <x v="0"/>
    <x v="2"/>
    <x v="6"/>
    <n v="0"/>
    <n v="0"/>
    <n v="43.805999999999997"/>
    <n v="43.805999999999997"/>
    <n v="43.805999999999997"/>
    <n v="43.805999999999997"/>
    <n v="0"/>
    <x v="0"/>
    <n v="0"/>
    <n v="0"/>
    <n v="8"/>
    <n v="72"/>
    <n v="0"/>
    <n v="1495.4304"/>
    <n v="332.74560000000002"/>
    <m/>
    <n v="1899.6622727754132"/>
    <n v="432.85794003279227"/>
    <n v="0"/>
    <n v="65508.824102399994"/>
    <n v="14576.2537536"/>
    <n v="0"/>
    <n v="83216.605521199745"/>
    <n v="18961.774921076496"/>
  </r>
  <r>
    <s v="Regular"/>
    <x v="1"/>
    <x v="3"/>
    <x v="2"/>
    <x v="1"/>
    <x v="0"/>
    <x v="0"/>
    <x v="2"/>
    <x v="7"/>
    <n v="0"/>
    <n v="0"/>
    <n v="34.412999999999997"/>
    <n v="34.412999999999997"/>
    <n v="34.412999999999997"/>
    <n v="34.412999999999997"/>
    <n v="0"/>
    <x v="0"/>
    <n v="0"/>
    <n v="0"/>
    <n v="8"/>
    <n v="72"/>
    <n v="0"/>
    <n v="1495.4304"/>
    <n v="332.74560000000002"/>
    <m/>
    <n v="1899.6622727754132"/>
    <n v="432.85794003279227"/>
    <n v="0"/>
    <n v="51462.246355199997"/>
    <n v="11450.7743328"/>
    <n v="0"/>
    <n v="65373.077793020289"/>
    <n v="14895.940290348479"/>
  </r>
  <r>
    <s v="Regular"/>
    <x v="1"/>
    <x v="3"/>
    <x v="2"/>
    <x v="1"/>
    <x v="0"/>
    <x v="0"/>
    <x v="2"/>
    <x v="8"/>
    <n v="0"/>
    <n v="0"/>
    <n v="46.701999999999998"/>
    <n v="46.701999999999998"/>
    <n v="46.701999999999998"/>
    <n v="46.701999999999998"/>
    <n v="0"/>
    <x v="0"/>
    <n v="0"/>
    <n v="0"/>
    <n v="8"/>
    <n v="72"/>
    <n v="0"/>
    <n v="1495.4304"/>
    <n v="332.74560000000002"/>
    <m/>
    <n v="1899.6622727754132"/>
    <n v="432.85794003279227"/>
    <n v="0"/>
    <n v="69839.590540799996"/>
    <n v="15539.8850112"/>
    <n v="0"/>
    <n v="88718.027463157341"/>
    <n v="20215.331515411464"/>
  </r>
  <r>
    <s v="Regular"/>
    <x v="1"/>
    <x v="3"/>
    <x v="2"/>
    <x v="1"/>
    <x v="0"/>
    <x v="0"/>
    <x v="2"/>
    <x v="9"/>
    <n v="0"/>
    <n v="0"/>
    <n v="38.884999999999998"/>
    <n v="38.884999999999998"/>
    <n v="38.884999999999998"/>
    <n v="38.884999999999998"/>
    <n v="0"/>
    <x v="0"/>
    <n v="0"/>
    <n v="0"/>
    <n v="8"/>
    <n v="72"/>
    <n v="0"/>
    <n v="1495.4304"/>
    <n v="332.74560000000002"/>
    <m/>
    <n v="1899.6622727754132"/>
    <n v="432.85794003279227"/>
    <n v="0"/>
    <n v="58149.811103999993"/>
    <n v="12938.812656"/>
    <n v="0"/>
    <n v="73868.367476871936"/>
    <n v="16831.680998175125"/>
  </r>
  <r>
    <s v="Regular"/>
    <x v="1"/>
    <x v="3"/>
    <x v="2"/>
    <x v="1"/>
    <x v="0"/>
    <x v="0"/>
    <x v="2"/>
    <x v="10"/>
    <n v="0"/>
    <n v="0"/>
    <n v="23.085000000000001"/>
    <n v="23.085000000000001"/>
    <n v="23.085000000000001"/>
    <n v="23.085000000000001"/>
    <n v="0"/>
    <x v="0"/>
    <n v="0"/>
    <n v="0"/>
    <n v="8"/>
    <n v="72"/>
    <n v="0"/>
    <n v="1495.4304"/>
    <n v="332.74560000000002"/>
    <m/>
    <n v="1899.6622727754132"/>
    <n v="432.85794003279227"/>
    <n v="0"/>
    <n v="34522.010783999998"/>
    <n v="7681.4321760000012"/>
    <n v="0"/>
    <n v="43853.703567020413"/>
    <n v="9992.5255456570103"/>
  </r>
  <r>
    <s v="Refaturamento - Regular"/>
    <x v="1"/>
    <x v="3"/>
    <x v="2"/>
    <x v="1"/>
    <x v="0"/>
    <x v="0"/>
    <x v="2"/>
    <x v="10"/>
    <n v="0"/>
    <n v="0"/>
    <n v="-11.449"/>
    <n v="-11.449"/>
    <n v="-11.449"/>
    <n v="-11.449"/>
    <n v="0"/>
    <x v="0"/>
    <n v="0"/>
    <n v="0"/>
    <n v="8"/>
    <n v="72"/>
    <n v="0"/>
    <n v="1495.4304"/>
    <n v="332.74560000000002"/>
    <m/>
    <n v="1899.6622727754132"/>
    <n v="432.85794003279227"/>
    <n v="0"/>
    <n v="-17121.182649599999"/>
    <n v="-3809.6043744000003"/>
    <n v="0"/>
    <n v="-21749.233361005707"/>
    <n v="-4955.7905554354384"/>
  </r>
  <r>
    <s v="PROJETADO"/>
    <x v="1"/>
    <x v="3"/>
    <x v="2"/>
    <x v="1"/>
    <x v="0"/>
    <x v="0"/>
    <x v="2"/>
    <x v="11"/>
    <n v="0"/>
    <n v="0"/>
    <n v="23.085000000000001"/>
    <n v="23.085000000000001"/>
    <n v="23.085000000000001"/>
    <n v="23.085000000000001"/>
    <n v="0"/>
    <x v="0"/>
    <n v="0"/>
    <n v="0"/>
    <n v="8"/>
    <n v="72"/>
    <n v="0"/>
    <n v="1495.4304"/>
    <n v="332.74560000000002"/>
    <m/>
    <n v="1899.6622727754132"/>
    <n v="432.85794003279227"/>
    <n v="0"/>
    <n v="34522.010783999998"/>
    <n v="7681.4321760000012"/>
    <n v="0"/>
    <n v="43853.703567020413"/>
    <n v="9992.5255456570103"/>
  </r>
  <r>
    <s v="PROJETADO"/>
    <x v="1"/>
    <x v="3"/>
    <x v="2"/>
    <x v="1"/>
    <x v="0"/>
    <x v="0"/>
    <x v="2"/>
    <x v="11"/>
    <n v="0"/>
    <n v="0"/>
    <n v="-11.449"/>
    <n v="-11.449"/>
    <n v="-11.449"/>
    <n v="-11.449"/>
    <n v="0"/>
    <x v="0"/>
    <n v="0"/>
    <n v="0"/>
    <n v="8"/>
    <n v="72"/>
    <n v="0"/>
    <n v="1495.4304"/>
    <n v="332.74560000000002"/>
    <m/>
    <n v="1899.6622727754132"/>
    <n v="432.85794003279227"/>
    <n v="0"/>
    <n v="-17121.182649599999"/>
    <n v="-3809.6043744000003"/>
    <n v="0"/>
    <n v="-21749.233361005707"/>
    <n v="-4955.7905554354384"/>
  </r>
  <r>
    <s v="Regular"/>
    <x v="1"/>
    <x v="3"/>
    <x v="2"/>
    <x v="0"/>
    <x v="0"/>
    <x v="0"/>
    <x v="0"/>
    <x v="0"/>
    <n v="0"/>
    <n v="0"/>
    <n v="1020.134"/>
    <n v="1020.134"/>
    <n v="1020.134"/>
    <n v="1020.134"/>
    <n v="0"/>
    <x v="0"/>
    <n v="0"/>
    <n v="0"/>
    <n v="29"/>
    <n v="73"/>
    <n v="0"/>
    <n v="93.70559999999999"/>
    <n v="211.1712"/>
    <m/>
    <n v="117.35516164627359"/>
    <n v="277.74110154064613"/>
    <n v="0"/>
    <n v="95592.268550399996"/>
    <n v="215422.92094079999"/>
    <n v="0"/>
    <n v="119717.99047085966"/>
    <n v="283333.1408790655"/>
  </r>
  <r>
    <s v="Sistema de Compensação"/>
    <x v="1"/>
    <x v="3"/>
    <x v="2"/>
    <x v="0"/>
    <x v="0"/>
    <x v="0"/>
    <x v="0"/>
    <x v="0"/>
    <n v="0"/>
    <n v="0"/>
    <n v="4.2039999999999997"/>
    <n v="4.2039999999999997"/>
    <n v="4.2039999999999997"/>
    <n v="4.2039999999999997"/>
    <n v="0"/>
    <x v="0"/>
    <n v="0"/>
    <n v="0"/>
    <n v="29"/>
    <n v="73"/>
    <n v="0"/>
    <n v="93.70559999999999"/>
    <n v="211.1712"/>
    <m/>
    <n v="117.35516164627359"/>
    <n v="277.74110154064613"/>
    <n v="0"/>
    <n v="393.93834239999995"/>
    <n v="887.76372479999998"/>
    <n v="0"/>
    <n v="493.36109956093412"/>
    <n v="1167.6235908768763"/>
  </r>
  <r>
    <s v="Regular"/>
    <x v="1"/>
    <x v="3"/>
    <x v="2"/>
    <x v="0"/>
    <x v="0"/>
    <x v="0"/>
    <x v="0"/>
    <x v="1"/>
    <n v="0"/>
    <n v="0"/>
    <n v="996.875"/>
    <n v="996.875"/>
    <n v="996.875"/>
    <n v="996.875"/>
    <n v="0"/>
    <x v="0"/>
    <n v="0"/>
    <n v="0"/>
    <n v="29"/>
    <n v="73"/>
    <n v="0"/>
    <n v="93.70559999999999"/>
    <n v="211.1712"/>
    <m/>
    <n v="117.35516164627359"/>
    <n v="277.74110154064613"/>
    <n v="0"/>
    <n v="93412.76999999999"/>
    <n v="210511.29"/>
    <n v="0"/>
    <n v="116988.42676612898"/>
    <n v="276873.1605983316"/>
  </r>
  <r>
    <s v="Sistema de Compensação"/>
    <x v="1"/>
    <x v="3"/>
    <x v="2"/>
    <x v="0"/>
    <x v="0"/>
    <x v="0"/>
    <x v="0"/>
    <x v="1"/>
    <n v="0"/>
    <n v="0"/>
    <n v="-5.6360000000000001"/>
    <n v="-5.6360000000000001"/>
    <n v="-5.6360000000000001"/>
    <n v="-5.6360000000000001"/>
    <n v="0"/>
    <x v="0"/>
    <n v="0"/>
    <n v="0"/>
    <n v="29"/>
    <n v="73"/>
    <n v="0"/>
    <n v="93.70559999999999"/>
    <n v="211.1712"/>
    <m/>
    <n v="117.35516164627359"/>
    <n v="277.74110154064613"/>
    <n v="0"/>
    <n v="-528.12476159999994"/>
    <n v="-1190.1608831999999"/>
    <n v="0"/>
    <n v="-661.41369103839793"/>
    <n v="-1565.3488482830817"/>
  </r>
  <r>
    <s v="Regular"/>
    <x v="1"/>
    <x v="3"/>
    <x v="2"/>
    <x v="0"/>
    <x v="0"/>
    <x v="0"/>
    <x v="0"/>
    <x v="2"/>
    <n v="0"/>
    <n v="0"/>
    <n v="1004.29"/>
    <n v="1004.29"/>
    <n v="1004.29"/>
    <n v="1004.29"/>
    <n v="0"/>
    <x v="0"/>
    <n v="0"/>
    <n v="0"/>
    <n v="29"/>
    <n v="73"/>
    <n v="0"/>
    <n v="93.70559999999999"/>
    <n v="211.1712"/>
    <m/>
    <n v="117.35516164627359"/>
    <n v="277.74110154064613"/>
    <n v="0"/>
    <n v="94107.597023999988"/>
    <n v="212077.12444799999"/>
    <n v="0"/>
    <n v="117858.6152897361"/>
    <n v="278932.61086625548"/>
  </r>
  <r>
    <s v="Sistema de Compensação"/>
    <x v="1"/>
    <x v="3"/>
    <x v="2"/>
    <x v="0"/>
    <x v="0"/>
    <x v="0"/>
    <x v="0"/>
    <x v="2"/>
    <n v="0"/>
    <n v="0"/>
    <n v="0.54"/>
    <n v="0.54"/>
    <n v="0.54"/>
    <n v="0.54"/>
    <n v="0"/>
    <x v="0"/>
    <n v="0"/>
    <n v="0"/>
    <n v="29"/>
    <n v="73"/>
    <n v="0"/>
    <n v="93.70559999999999"/>
    <n v="211.1712"/>
    <m/>
    <n v="117.35516164627359"/>
    <n v="277.74110154064613"/>
    <n v="0"/>
    <n v="50.601023999999995"/>
    <n v="114.032448"/>
    <n v="0"/>
    <n v="63.37178728898774"/>
    <n v="149.98019483194892"/>
  </r>
  <r>
    <s v="Regular"/>
    <x v="1"/>
    <x v="3"/>
    <x v="2"/>
    <x v="0"/>
    <x v="0"/>
    <x v="0"/>
    <x v="0"/>
    <x v="3"/>
    <n v="0"/>
    <n v="0"/>
    <n v="735.94899999999996"/>
    <n v="735.94899999999996"/>
    <n v="735.94899999999996"/>
    <n v="735.94899999999996"/>
    <n v="0"/>
    <x v="0"/>
    <n v="0"/>
    <n v="0"/>
    <n v="29"/>
    <n v="73"/>
    <n v="0"/>
    <n v="93.70559999999999"/>
    <n v="211.1712"/>
    <m/>
    <n v="117.35516164627359"/>
    <n v="277.74110154064613"/>
    <n v="0"/>
    <n v="68962.542614399994"/>
    <n v="155411.2334688"/>
    <n v="0"/>
    <n v="86367.413858413391"/>
    <n v="204403.28593773698"/>
  </r>
  <r>
    <s v="Sistema de Compensação"/>
    <x v="1"/>
    <x v="3"/>
    <x v="2"/>
    <x v="0"/>
    <x v="0"/>
    <x v="0"/>
    <x v="0"/>
    <x v="3"/>
    <n v="0"/>
    <n v="0"/>
    <n v="17.625"/>
    <n v="17.625"/>
    <n v="17.625"/>
    <n v="17.625"/>
    <n v="0"/>
    <x v="0"/>
    <n v="0"/>
    <n v="0"/>
    <n v="29"/>
    <n v="73"/>
    <n v="0"/>
    <n v="93.70559999999999"/>
    <n v="211.1712"/>
    <m/>
    <n v="117.35516164627359"/>
    <n v="277.74110154064613"/>
    <n v="0"/>
    <n v="1651.5611999999999"/>
    <n v="3721.8924000000002"/>
    <n v="0"/>
    <n v="2068.3847240155719"/>
    <n v="4895.1869146538884"/>
  </r>
  <r>
    <s v="Regular"/>
    <x v="1"/>
    <x v="3"/>
    <x v="2"/>
    <x v="0"/>
    <x v="0"/>
    <x v="0"/>
    <x v="0"/>
    <x v="4"/>
    <n v="0"/>
    <n v="0"/>
    <n v="690.42499999999995"/>
    <n v="690.42499999999995"/>
    <n v="690.42499999999995"/>
    <n v="690.42499999999995"/>
    <n v="0"/>
    <x v="0"/>
    <n v="0"/>
    <n v="0"/>
    <n v="29"/>
    <n v="73"/>
    <n v="0"/>
    <n v="93.70559999999999"/>
    <n v="211.1712"/>
    <m/>
    <n v="117.35516164627359"/>
    <n v="277.74110154064613"/>
    <n v="0"/>
    <n v="64696.688879999987"/>
    <n v="145797.87576"/>
    <n v="0"/>
    <n v="81024.937479628439"/>
    <n v="191759.40003120058"/>
  </r>
  <r>
    <s v="Sistema de Compensação"/>
    <x v="1"/>
    <x v="3"/>
    <x v="2"/>
    <x v="0"/>
    <x v="0"/>
    <x v="0"/>
    <x v="0"/>
    <x v="4"/>
    <n v="0"/>
    <n v="0"/>
    <n v="105.735"/>
    <n v="105.735"/>
    <n v="105.735"/>
    <n v="105.735"/>
    <n v="0"/>
    <x v="0"/>
    <n v="0"/>
    <n v="0"/>
    <n v="29"/>
    <n v="73"/>
    <n v="0"/>
    <n v="93.70559999999999"/>
    <n v="211.1712"/>
    <m/>
    <n v="117.35516164627359"/>
    <n v="277.74110154064613"/>
    <n v="0"/>
    <n v="9907.9616159999987"/>
    <n v="22328.186831999999"/>
    <n v="0"/>
    <n v="12408.548016668738"/>
    <n v="29366.955371400218"/>
  </r>
  <r>
    <s v="Regular"/>
    <x v="1"/>
    <x v="3"/>
    <x v="2"/>
    <x v="0"/>
    <x v="0"/>
    <x v="0"/>
    <x v="0"/>
    <x v="5"/>
    <n v="0"/>
    <n v="0"/>
    <n v="758.21699999999998"/>
    <n v="758.21699999999998"/>
    <n v="758.21699999999998"/>
    <n v="758.21699999999998"/>
    <n v="0"/>
    <x v="0"/>
    <n v="0"/>
    <n v="0"/>
    <n v="29"/>
    <n v="73"/>
    <n v="0"/>
    <n v="93.70559999999999"/>
    <n v="211.1712"/>
    <m/>
    <n v="117.35516164627359"/>
    <n v="277.74110154064613"/>
    <n v="0"/>
    <n v="71049.178915199984"/>
    <n v="160113.5937504"/>
    <n v="0"/>
    <n v="88980.678597952618"/>
    <n v="210588.02478684409"/>
  </r>
  <r>
    <s v="Sistema de Compensação"/>
    <x v="1"/>
    <x v="3"/>
    <x v="2"/>
    <x v="0"/>
    <x v="0"/>
    <x v="0"/>
    <x v="0"/>
    <x v="5"/>
    <n v="0"/>
    <n v="0"/>
    <n v="237.92599999999999"/>
    <n v="237.92599999999999"/>
    <n v="237.92599999999999"/>
    <n v="237.92599999999999"/>
    <n v="0"/>
    <x v="0"/>
    <n v="0"/>
    <n v="0"/>
    <n v="29"/>
    <n v="73"/>
    <n v="0"/>
    <n v="93.70559999999999"/>
    <n v="211.1712"/>
    <m/>
    <n v="117.35516164627359"/>
    <n v="277.74110154064613"/>
    <n v="0"/>
    <n v="22294.998585599995"/>
    <n v="50243.118931199999"/>
    <n v="0"/>
    <n v="27921.844189851287"/>
    <n v="66081.829325159764"/>
  </r>
  <r>
    <s v="Regular"/>
    <x v="1"/>
    <x v="3"/>
    <x v="2"/>
    <x v="0"/>
    <x v="0"/>
    <x v="0"/>
    <x v="0"/>
    <x v="6"/>
    <n v="0"/>
    <n v="0"/>
    <n v="752.76700000000005"/>
    <n v="752.76700000000005"/>
    <n v="752.76700000000005"/>
    <n v="752.76700000000005"/>
    <n v="0"/>
    <x v="0"/>
    <n v="0"/>
    <n v="0"/>
    <n v="29"/>
    <n v="73"/>
    <n v="0"/>
    <n v="93.70559999999999"/>
    <n v="211.1712"/>
    <m/>
    <n v="117.35516164627359"/>
    <n v="277.74110154064613"/>
    <n v="0"/>
    <n v="70538.483395200004"/>
    <n v="158962.71071040002"/>
    <n v="0"/>
    <n v="88341.092966980432"/>
    <n v="209074.33578344758"/>
  </r>
  <r>
    <s v="Sistema de Compensação"/>
    <x v="1"/>
    <x v="3"/>
    <x v="2"/>
    <x v="0"/>
    <x v="0"/>
    <x v="0"/>
    <x v="0"/>
    <x v="6"/>
    <n v="0"/>
    <n v="0"/>
    <n v="516.38599999999997"/>
    <n v="516.38599999999997"/>
    <n v="516.38599999999997"/>
    <n v="516.38599999999997"/>
    <n v="0"/>
    <x v="0"/>
    <n v="0"/>
    <n v="0"/>
    <n v="29"/>
    <n v="73"/>
    <n v="0"/>
    <n v="93.70559999999999"/>
    <n v="211.1712"/>
    <m/>
    <n v="117.35516164627359"/>
    <n v="277.74110154064613"/>
    <n v="0"/>
    <n v="48388.259961599993"/>
    <n v="109045.8512832"/>
    <n v="0"/>
    <n v="60600.562501872628"/>
    <n v="143421.61646016809"/>
  </r>
  <r>
    <s v="Regular"/>
    <x v="1"/>
    <x v="3"/>
    <x v="2"/>
    <x v="0"/>
    <x v="0"/>
    <x v="0"/>
    <x v="0"/>
    <x v="7"/>
    <n v="0"/>
    <n v="0"/>
    <n v="775.32399999999996"/>
    <n v="775.32399999999996"/>
    <n v="775.32399999999996"/>
    <n v="775.32399999999996"/>
    <n v="0"/>
    <x v="0"/>
    <n v="0"/>
    <n v="0"/>
    <n v="29"/>
    <n v="73"/>
    <n v="0"/>
    <n v="93.70559999999999"/>
    <n v="211.1712"/>
    <m/>
    <n v="117.35516164627359"/>
    <n v="277.74110154064613"/>
    <n v="0"/>
    <n v="72652.20061439999"/>
    <n v="163726.09946879998"/>
    <n v="0"/>
    <n v="90988.273348235423"/>
    <n v="215339.3418108999"/>
  </r>
  <r>
    <s v="Sistema de Compensação"/>
    <x v="1"/>
    <x v="3"/>
    <x v="2"/>
    <x v="0"/>
    <x v="0"/>
    <x v="0"/>
    <x v="0"/>
    <x v="7"/>
    <n v="0"/>
    <n v="0"/>
    <n v="539.37"/>
    <n v="539.37"/>
    <n v="539.37"/>
    <n v="539.37"/>
    <n v="0"/>
    <x v="0"/>
    <n v="0"/>
    <n v="0"/>
    <n v="29"/>
    <n v="73"/>
    <n v="0"/>
    <n v="93.70559999999999"/>
    <n v="211.1712"/>
    <m/>
    <n v="117.35516164627359"/>
    <n v="277.74110154064613"/>
    <n v="0"/>
    <n v="50541.989471999994"/>
    <n v="113899.41014399999"/>
    <n v="0"/>
    <n v="63297.853537150586"/>
    <n v="149805.2179379783"/>
  </r>
  <r>
    <s v="Regular"/>
    <x v="1"/>
    <x v="3"/>
    <x v="2"/>
    <x v="0"/>
    <x v="0"/>
    <x v="0"/>
    <x v="0"/>
    <x v="8"/>
    <n v="0"/>
    <n v="0"/>
    <n v="698.18299999999999"/>
    <n v="698.18299999999999"/>
    <n v="698.18299999999999"/>
    <n v="698.18299999999999"/>
    <n v="0"/>
    <x v="0"/>
    <n v="0"/>
    <n v="0"/>
    <n v="29"/>
    <n v="73"/>
    <n v="0"/>
    <n v="93.70559999999999"/>
    <n v="211.1712"/>
    <m/>
    <n v="117.35516164627359"/>
    <n v="277.74110154064613"/>
    <n v="0"/>
    <n v="65423.656924799994"/>
    <n v="147436.14192960001"/>
    <n v="0"/>
    <n v="81935.378823680236"/>
    <n v="193914.11549695293"/>
  </r>
  <r>
    <s v="Sistema de Compensação"/>
    <x v="1"/>
    <x v="3"/>
    <x v="2"/>
    <x v="0"/>
    <x v="0"/>
    <x v="0"/>
    <x v="0"/>
    <x v="8"/>
    <n v="0"/>
    <n v="0"/>
    <n v="273.089"/>
    <n v="273.089"/>
    <n v="273.089"/>
    <n v="273.089"/>
    <n v="0"/>
    <x v="0"/>
    <n v="0"/>
    <n v="0"/>
    <n v="29"/>
    <n v="73"/>
    <n v="0"/>
    <n v="93.70559999999999"/>
    <n v="211.1712"/>
    <m/>
    <n v="117.35516164627359"/>
    <n v="277.74110154064613"/>
    <n v="0"/>
    <n v="25589.968598399999"/>
    <n v="57668.531836800001"/>
    <n v="0"/>
    <n v="32048.403738819208"/>
    <n v="75848.039678633504"/>
  </r>
  <r>
    <s v="Regular"/>
    <x v="1"/>
    <x v="3"/>
    <x v="2"/>
    <x v="0"/>
    <x v="0"/>
    <x v="0"/>
    <x v="0"/>
    <x v="9"/>
    <n v="0"/>
    <n v="0"/>
    <n v="667.37599999999998"/>
    <n v="667.37599999999998"/>
    <n v="667.37599999999998"/>
    <n v="667.37599999999998"/>
    <n v="0"/>
    <x v="0"/>
    <n v="0"/>
    <n v="0"/>
    <n v="29"/>
    <n v="73"/>
    <n v="0"/>
    <n v="93.70559999999999"/>
    <n v="211.1712"/>
    <m/>
    <n v="117.35516164627359"/>
    <n v="277.74110154064613"/>
    <n v="0"/>
    <n v="62536.868505599989"/>
    <n v="140930.59077119999"/>
    <n v="0"/>
    <n v="78320.018358843474"/>
    <n v="185357.74538179024"/>
  </r>
  <r>
    <s v="Sistema de Compensação"/>
    <x v="1"/>
    <x v="3"/>
    <x v="2"/>
    <x v="0"/>
    <x v="0"/>
    <x v="0"/>
    <x v="0"/>
    <x v="9"/>
    <n v="0"/>
    <n v="0"/>
    <n v="477.92899999999997"/>
    <n v="477.92899999999997"/>
    <n v="477.92899999999997"/>
    <n v="477.92899999999997"/>
    <n v="0"/>
    <x v="0"/>
    <n v="0"/>
    <n v="0"/>
    <n v="29"/>
    <n v="73"/>
    <n v="0"/>
    <n v="93.70559999999999"/>
    <n v="211.1712"/>
    <m/>
    <n v="117.35516164627359"/>
    <n v="277.74110154064613"/>
    <n v="0"/>
    <n v="44784.623702399993"/>
    <n v="100924.84044479999"/>
    <n v="0"/>
    <n v="56087.435050441884"/>
    <n v="132740.52691821946"/>
  </r>
  <r>
    <s v="Regular"/>
    <x v="1"/>
    <x v="3"/>
    <x v="2"/>
    <x v="0"/>
    <x v="0"/>
    <x v="0"/>
    <x v="0"/>
    <x v="10"/>
    <n v="0"/>
    <n v="0"/>
    <n v="688.91700000000003"/>
    <n v="688.91700000000003"/>
    <n v="688.91700000000003"/>
    <n v="688.91700000000003"/>
    <n v="0"/>
    <x v="0"/>
    <n v="0"/>
    <n v="0"/>
    <n v="29"/>
    <n v="73"/>
    <n v="0"/>
    <n v="93.70559999999999"/>
    <n v="211.1712"/>
    <m/>
    <n v="117.35516164627359"/>
    <n v="277.74110154064613"/>
    <n v="0"/>
    <n v="64555.380835199998"/>
    <n v="145479.42959040002"/>
    <n v="0"/>
    <n v="80847.965895865869"/>
    <n v="191340.56645007731"/>
  </r>
  <r>
    <s v="Sistema de Compensação"/>
    <x v="1"/>
    <x v="3"/>
    <x v="2"/>
    <x v="0"/>
    <x v="0"/>
    <x v="0"/>
    <x v="0"/>
    <x v="10"/>
    <n v="0"/>
    <n v="0"/>
    <n v="156.30500000000001"/>
    <n v="156.30500000000001"/>
    <n v="156.30500000000001"/>
    <n v="156.30500000000001"/>
    <n v="0"/>
    <x v="0"/>
    <n v="0"/>
    <n v="0"/>
    <n v="29"/>
    <n v="73"/>
    <n v="0"/>
    <n v="93.70559999999999"/>
    <n v="211.1712"/>
    <m/>
    <n v="117.35516164627359"/>
    <n v="277.74110154064613"/>
    <n v="0"/>
    <n v="14646.653807999999"/>
    <n v="33007.114416000004"/>
    <n v="0"/>
    <n v="18343.198541120793"/>
    <n v="43412.322876310696"/>
  </r>
  <r>
    <s v="PROJETADO"/>
    <x v="1"/>
    <x v="3"/>
    <x v="2"/>
    <x v="0"/>
    <x v="0"/>
    <x v="0"/>
    <x v="0"/>
    <x v="11"/>
    <n v="0"/>
    <n v="0"/>
    <n v="688.91700000000003"/>
    <n v="688.91700000000003"/>
    <n v="688.91700000000003"/>
    <n v="688.91700000000003"/>
    <n v="0"/>
    <x v="0"/>
    <n v="0"/>
    <n v="0"/>
    <n v="29"/>
    <n v="73"/>
    <n v="0"/>
    <n v="93.70559999999999"/>
    <n v="211.1712"/>
    <m/>
    <n v="117.35516164627359"/>
    <n v="277.74110154064613"/>
    <n v="0"/>
    <n v="64555.380835199998"/>
    <n v="145479.42959040002"/>
    <n v="0"/>
    <n v="80847.965895865869"/>
    <n v="191340.56645007731"/>
  </r>
  <r>
    <s v="PROJETADO"/>
    <x v="1"/>
    <x v="3"/>
    <x v="2"/>
    <x v="0"/>
    <x v="0"/>
    <x v="0"/>
    <x v="0"/>
    <x v="11"/>
    <n v="0"/>
    <n v="0"/>
    <n v="156.30500000000001"/>
    <n v="156.30500000000001"/>
    <n v="156.30500000000001"/>
    <n v="156.30500000000001"/>
    <n v="0"/>
    <x v="0"/>
    <n v="0"/>
    <n v="0"/>
    <n v="29"/>
    <n v="73"/>
    <n v="0"/>
    <n v="93.70559999999999"/>
    <n v="211.1712"/>
    <m/>
    <n v="117.35516164627359"/>
    <n v="277.74110154064613"/>
    <n v="0"/>
    <n v="14646.653807999999"/>
    <n v="33007.114416000004"/>
    <n v="0"/>
    <n v="18343.198541120793"/>
    <n v="43412.322876310696"/>
  </r>
  <r>
    <s v="Regular"/>
    <x v="1"/>
    <x v="3"/>
    <x v="2"/>
    <x v="0"/>
    <x v="0"/>
    <x v="0"/>
    <x v="1"/>
    <x v="0"/>
    <n v="5550"/>
    <n v="5550"/>
    <n v="0"/>
    <n v="0"/>
    <n v="0"/>
    <n v="0"/>
    <n v="41"/>
    <x v="0"/>
    <n v="0"/>
    <n v="7"/>
    <n v="0"/>
    <n v="0"/>
    <n v="20.975999999999999"/>
    <n v="0"/>
    <n v="0"/>
    <n v="27.221549366878396"/>
    <m/>
    <m/>
    <n v="116416.79999999999"/>
    <n v="0"/>
    <n v="0"/>
    <n v="151079.59898617509"/>
    <n v="0"/>
    <n v="0"/>
  </r>
  <r>
    <s v="Sistema de Compensação"/>
    <x v="1"/>
    <x v="3"/>
    <x v="2"/>
    <x v="0"/>
    <x v="0"/>
    <x v="0"/>
    <x v="1"/>
    <x v="0"/>
    <n v="32"/>
    <n v="32"/>
    <n v="0"/>
    <n v="0"/>
    <n v="0"/>
    <n v="0"/>
    <n v="3"/>
    <x v="0"/>
    <n v="0"/>
    <n v="7"/>
    <n v="0"/>
    <n v="0"/>
    <n v="20.975999999999999"/>
    <n v="0"/>
    <n v="0"/>
    <n v="27.221549366878396"/>
    <m/>
    <m/>
    <n v="671.23199999999997"/>
    <n v="0"/>
    <n v="0"/>
    <n v="871.08957974010866"/>
    <n v="0"/>
    <n v="0"/>
  </r>
  <r>
    <s v="Regular"/>
    <x v="1"/>
    <x v="3"/>
    <x v="2"/>
    <x v="0"/>
    <x v="0"/>
    <x v="0"/>
    <x v="1"/>
    <x v="1"/>
    <n v="4018"/>
    <n v="4018"/>
    <n v="0"/>
    <n v="0"/>
    <n v="0"/>
    <n v="0"/>
    <n v="41"/>
    <x v="0"/>
    <n v="0"/>
    <n v="7"/>
    <n v="0"/>
    <n v="0"/>
    <n v="20.975999999999999"/>
    <n v="0"/>
    <n v="0"/>
    <n v="27.221549366878396"/>
    <m/>
    <m/>
    <n v="84281.567999999999"/>
    <n v="0"/>
    <n v="0"/>
    <n v="109376.18535611739"/>
    <n v="0"/>
    <n v="0"/>
  </r>
  <r>
    <s v="Sistema de Compensação"/>
    <x v="1"/>
    <x v="3"/>
    <x v="2"/>
    <x v="0"/>
    <x v="0"/>
    <x v="0"/>
    <x v="1"/>
    <x v="1"/>
    <n v="539"/>
    <n v="539"/>
    <n v="0"/>
    <n v="0"/>
    <n v="0"/>
    <n v="0"/>
    <n v="3"/>
    <x v="0"/>
    <n v="0"/>
    <n v="7"/>
    <n v="0"/>
    <n v="0"/>
    <n v="20.975999999999999"/>
    <n v="0"/>
    <n v="0"/>
    <n v="27.221549366878396"/>
    <m/>
    <m/>
    <n v="11306.064"/>
    <n v="0"/>
    <n v="0"/>
    <n v="14672.415108747455"/>
    <n v="0"/>
    <n v="0"/>
  </r>
  <r>
    <s v="Regular"/>
    <x v="1"/>
    <x v="3"/>
    <x v="2"/>
    <x v="0"/>
    <x v="0"/>
    <x v="0"/>
    <x v="1"/>
    <x v="2"/>
    <n v="4255"/>
    <n v="4255"/>
    <n v="0"/>
    <n v="0"/>
    <n v="0"/>
    <n v="0"/>
    <n v="41"/>
    <x v="0"/>
    <n v="0"/>
    <n v="7"/>
    <n v="0"/>
    <n v="0"/>
    <n v="20.975999999999999"/>
    <n v="0"/>
    <n v="0"/>
    <n v="27.221549366878396"/>
    <m/>
    <m/>
    <n v="89252.87999999999"/>
    <n v="0"/>
    <n v="0"/>
    <n v="115827.69255606757"/>
    <n v="0"/>
    <n v="0"/>
  </r>
  <r>
    <s v="Sistema de Compensação"/>
    <x v="1"/>
    <x v="3"/>
    <x v="2"/>
    <x v="0"/>
    <x v="0"/>
    <x v="0"/>
    <x v="1"/>
    <x v="2"/>
    <n v="1"/>
    <n v="1"/>
    <n v="0"/>
    <n v="0"/>
    <n v="0"/>
    <n v="0"/>
    <n v="2"/>
    <x v="0"/>
    <n v="0"/>
    <n v="7"/>
    <n v="0"/>
    <n v="0"/>
    <n v="20.975999999999999"/>
    <n v="0"/>
    <n v="0"/>
    <n v="27.221549366878396"/>
    <m/>
    <m/>
    <n v="20.975999999999999"/>
    <n v="0"/>
    <n v="0"/>
    <n v="27.221549366878396"/>
    <n v="0"/>
    <n v="0"/>
  </r>
  <r>
    <s v="Regular"/>
    <x v="1"/>
    <x v="3"/>
    <x v="2"/>
    <x v="0"/>
    <x v="0"/>
    <x v="0"/>
    <x v="1"/>
    <x v="3"/>
    <n v="4170"/>
    <n v="4170"/>
    <n v="0"/>
    <n v="0"/>
    <n v="0"/>
    <n v="0"/>
    <n v="41"/>
    <x v="0"/>
    <n v="0"/>
    <n v="7"/>
    <n v="0"/>
    <n v="0"/>
    <n v="20.975999999999999"/>
    <n v="0"/>
    <n v="0"/>
    <n v="27.221549366878396"/>
    <m/>
    <m/>
    <n v="87469.92"/>
    <n v="0"/>
    <n v="0"/>
    <n v="113513.86085988292"/>
    <n v="0"/>
    <n v="0"/>
  </r>
  <r>
    <s v="Sistema de Compensação"/>
    <x v="1"/>
    <x v="3"/>
    <x v="2"/>
    <x v="0"/>
    <x v="0"/>
    <x v="0"/>
    <x v="1"/>
    <x v="3"/>
    <n v="225"/>
    <n v="225"/>
    <n v="0"/>
    <n v="0"/>
    <n v="0"/>
    <n v="0"/>
    <n v="3"/>
    <x v="0"/>
    <n v="0"/>
    <n v="7"/>
    <n v="0"/>
    <n v="0"/>
    <n v="20.975999999999999"/>
    <n v="0"/>
    <n v="0"/>
    <n v="27.221549366878396"/>
    <m/>
    <m/>
    <n v="4719.5999999999995"/>
    <n v="0"/>
    <n v="0"/>
    <n v="6124.8486075476394"/>
    <n v="0"/>
    <n v="0"/>
  </r>
  <r>
    <s v="Regular"/>
    <x v="1"/>
    <x v="3"/>
    <x v="2"/>
    <x v="0"/>
    <x v="0"/>
    <x v="0"/>
    <x v="1"/>
    <x v="4"/>
    <n v="3013"/>
    <n v="3013"/>
    <n v="0"/>
    <n v="0"/>
    <n v="0"/>
    <n v="0"/>
    <n v="42"/>
    <x v="0"/>
    <n v="0"/>
    <n v="7"/>
    <n v="0"/>
    <n v="0"/>
    <n v="20.975999999999999"/>
    <n v="0"/>
    <n v="0"/>
    <n v="27.221549366878396"/>
    <m/>
    <m/>
    <n v="63200.687999999995"/>
    <n v="0"/>
    <n v="0"/>
    <n v="82018.528242404602"/>
    <n v="0"/>
    <n v="0"/>
  </r>
  <r>
    <s v="Sistema de Compensação"/>
    <x v="1"/>
    <x v="3"/>
    <x v="2"/>
    <x v="0"/>
    <x v="0"/>
    <x v="0"/>
    <x v="1"/>
    <x v="4"/>
    <n v="312"/>
    <n v="312"/>
    <n v="0"/>
    <n v="0"/>
    <n v="0"/>
    <n v="0"/>
    <n v="3"/>
    <x v="0"/>
    <n v="0"/>
    <n v="7"/>
    <n v="0"/>
    <n v="0"/>
    <n v="20.975999999999999"/>
    <n v="0"/>
    <n v="0"/>
    <n v="27.221549366878396"/>
    <m/>
    <m/>
    <n v="6544.5119999999997"/>
    <n v="0"/>
    <n v="0"/>
    <n v="8493.1234024660589"/>
    <n v="0"/>
    <n v="0"/>
  </r>
  <r>
    <s v="Regular"/>
    <x v="1"/>
    <x v="3"/>
    <x v="2"/>
    <x v="0"/>
    <x v="0"/>
    <x v="0"/>
    <x v="1"/>
    <x v="5"/>
    <n v="2672"/>
    <n v="2672"/>
    <n v="0"/>
    <n v="0"/>
    <n v="0"/>
    <n v="0"/>
    <n v="38"/>
    <x v="0"/>
    <n v="0"/>
    <n v="7"/>
    <n v="0"/>
    <n v="0"/>
    <n v="20.975999999999999"/>
    <n v="0"/>
    <n v="0"/>
    <n v="27.221549366878396"/>
    <m/>
    <m/>
    <n v="56047.871999999996"/>
    <n v="0"/>
    <n v="0"/>
    <n v="72735.979908299079"/>
    <n v="0"/>
    <n v="0"/>
  </r>
  <r>
    <s v="Sistema de Compensação"/>
    <x v="1"/>
    <x v="3"/>
    <x v="2"/>
    <x v="0"/>
    <x v="0"/>
    <x v="0"/>
    <x v="1"/>
    <x v="5"/>
    <n v="235"/>
    <n v="235"/>
    <n v="0"/>
    <n v="0"/>
    <n v="0"/>
    <n v="0"/>
    <n v="3"/>
    <x v="0"/>
    <n v="0"/>
    <n v="7"/>
    <n v="0"/>
    <n v="0"/>
    <n v="20.975999999999999"/>
    <n v="0"/>
    <n v="0"/>
    <n v="27.221549366878396"/>
    <m/>
    <m/>
    <n v="4929.3599999999997"/>
    <n v="0"/>
    <n v="0"/>
    <n v="6397.0641012164233"/>
    <n v="0"/>
    <n v="0"/>
  </r>
  <r>
    <s v="Regular"/>
    <x v="1"/>
    <x v="3"/>
    <x v="2"/>
    <x v="0"/>
    <x v="0"/>
    <x v="0"/>
    <x v="1"/>
    <x v="6"/>
    <n v="3283"/>
    <n v="3283"/>
    <n v="0"/>
    <n v="0"/>
    <n v="0"/>
    <n v="0"/>
    <n v="43"/>
    <x v="0"/>
    <n v="0"/>
    <n v="7"/>
    <n v="0"/>
    <n v="0"/>
    <n v="20.975999999999999"/>
    <n v="0"/>
    <n v="0"/>
    <n v="27.221549366878396"/>
    <m/>
    <m/>
    <n v="68864.207999999999"/>
    <n v="0"/>
    <n v="0"/>
    <n v="89368.346571461778"/>
    <n v="0"/>
    <n v="0"/>
  </r>
  <r>
    <s v="Sistema de Compensação"/>
    <x v="1"/>
    <x v="3"/>
    <x v="2"/>
    <x v="0"/>
    <x v="0"/>
    <x v="0"/>
    <x v="1"/>
    <x v="6"/>
    <n v="359"/>
    <n v="359"/>
    <n v="0"/>
    <n v="0"/>
    <n v="0"/>
    <n v="0"/>
    <n v="3"/>
    <x v="0"/>
    <n v="0"/>
    <n v="7"/>
    <n v="0"/>
    <n v="0"/>
    <n v="20.975999999999999"/>
    <n v="0"/>
    <n v="0"/>
    <n v="27.221549366878396"/>
    <m/>
    <m/>
    <n v="7530.384"/>
    <n v="0"/>
    <n v="0"/>
    <n v="9772.5362227093447"/>
    <n v="0"/>
    <n v="0"/>
  </r>
  <r>
    <s v="Regular"/>
    <x v="1"/>
    <x v="3"/>
    <x v="2"/>
    <x v="0"/>
    <x v="0"/>
    <x v="0"/>
    <x v="1"/>
    <x v="7"/>
    <n v="3104"/>
    <n v="3104"/>
    <n v="0"/>
    <n v="0"/>
    <n v="0"/>
    <n v="0"/>
    <n v="40"/>
    <x v="0"/>
    <n v="0"/>
    <n v="7"/>
    <n v="0"/>
    <n v="0"/>
    <n v="20.975999999999999"/>
    <n v="0"/>
    <n v="0"/>
    <n v="27.221549366878396"/>
    <m/>
    <m/>
    <n v="65109.504000000001"/>
    <n v="0"/>
    <n v="0"/>
    <n v="84495.689234790538"/>
    <n v="0"/>
    <n v="0"/>
  </r>
  <r>
    <s v="Sistema de Compensação"/>
    <x v="1"/>
    <x v="3"/>
    <x v="2"/>
    <x v="0"/>
    <x v="0"/>
    <x v="0"/>
    <x v="1"/>
    <x v="7"/>
    <n v="355"/>
    <n v="355"/>
    <n v="0"/>
    <n v="0"/>
    <n v="0"/>
    <n v="0"/>
    <n v="3"/>
    <x v="0"/>
    <n v="0"/>
    <n v="7"/>
    <n v="0"/>
    <n v="0"/>
    <n v="20.975999999999999"/>
    <n v="0"/>
    <n v="0"/>
    <n v="27.221549366878396"/>
    <m/>
    <m/>
    <n v="7446.48"/>
    <n v="0"/>
    <n v="0"/>
    <n v="9663.65002524183"/>
    <n v="0"/>
    <n v="0"/>
  </r>
  <r>
    <s v="Regular"/>
    <x v="1"/>
    <x v="3"/>
    <x v="2"/>
    <x v="0"/>
    <x v="0"/>
    <x v="0"/>
    <x v="1"/>
    <x v="8"/>
    <n v="3706"/>
    <n v="3706"/>
    <n v="0"/>
    <n v="0"/>
    <n v="0"/>
    <n v="0"/>
    <n v="42"/>
    <x v="0"/>
    <n v="0"/>
    <n v="7"/>
    <n v="0"/>
    <n v="0"/>
    <n v="20.975999999999999"/>
    <n v="0"/>
    <n v="0"/>
    <n v="27.221549366878396"/>
    <m/>
    <m/>
    <n v="77737.055999999997"/>
    <n v="0"/>
    <n v="0"/>
    <n v="100883.06195365134"/>
    <n v="0"/>
    <n v="0"/>
  </r>
  <r>
    <s v="Sistema de Compensação"/>
    <x v="1"/>
    <x v="3"/>
    <x v="2"/>
    <x v="0"/>
    <x v="0"/>
    <x v="0"/>
    <x v="1"/>
    <x v="8"/>
    <n v="367"/>
    <n v="367"/>
    <n v="0"/>
    <n v="0"/>
    <n v="0"/>
    <n v="0"/>
    <n v="3"/>
    <x v="0"/>
    <n v="0"/>
    <n v="7"/>
    <n v="0"/>
    <n v="0"/>
    <n v="20.975999999999999"/>
    <n v="0"/>
    <n v="0"/>
    <n v="27.221549366878396"/>
    <m/>
    <m/>
    <n v="7698.192"/>
    <n v="0"/>
    <n v="0"/>
    <n v="9990.3086176443703"/>
    <n v="0"/>
    <n v="0"/>
  </r>
  <r>
    <s v="Regular"/>
    <x v="1"/>
    <x v="3"/>
    <x v="2"/>
    <x v="0"/>
    <x v="0"/>
    <x v="0"/>
    <x v="1"/>
    <x v="9"/>
    <n v="2629"/>
    <n v="2629"/>
    <n v="0"/>
    <n v="0"/>
    <n v="0"/>
    <n v="0"/>
    <n v="38"/>
    <x v="0"/>
    <n v="0"/>
    <n v="7"/>
    <n v="0"/>
    <n v="0"/>
    <n v="20.975999999999999"/>
    <n v="0"/>
    <n v="0"/>
    <n v="27.221549366878396"/>
    <m/>
    <m/>
    <n v="55145.903999999995"/>
    <n v="0"/>
    <n v="0"/>
    <n v="71565.453285523297"/>
    <n v="0"/>
    <n v="0"/>
  </r>
  <r>
    <s v="Sistema de Compensação"/>
    <x v="1"/>
    <x v="3"/>
    <x v="2"/>
    <x v="0"/>
    <x v="0"/>
    <x v="0"/>
    <x v="1"/>
    <x v="9"/>
    <n v="371"/>
    <n v="371"/>
    <n v="0"/>
    <n v="0"/>
    <n v="0"/>
    <n v="0"/>
    <n v="3"/>
    <x v="0"/>
    <n v="0"/>
    <n v="7"/>
    <n v="0"/>
    <n v="0"/>
    <n v="20.975999999999999"/>
    <n v="0"/>
    <n v="0"/>
    <n v="27.221549366878396"/>
    <m/>
    <m/>
    <n v="7782.0959999999995"/>
    <n v="0"/>
    <n v="0"/>
    <n v="10099.194815111885"/>
    <n v="0"/>
    <n v="0"/>
  </r>
  <r>
    <s v="Regular"/>
    <x v="1"/>
    <x v="3"/>
    <x v="2"/>
    <x v="0"/>
    <x v="0"/>
    <x v="0"/>
    <x v="1"/>
    <x v="10"/>
    <n v="3744"/>
    <n v="3744"/>
    <n v="0"/>
    <n v="0"/>
    <n v="0"/>
    <n v="0"/>
    <n v="41"/>
    <x v="0"/>
    <n v="0"/>
    <n v="7"/>
    <n v="0"/>
    <n v="0"/>
    <n v="20.975999999999999"/>
    <n v="0"/>
    <n v="0"/>
    <n v="27.221549366878396"/>
    <m/>
    <m/>
    <n v="78534.144"/>
    <n v="0"/>
    <n v="0"/>
    <n v="101917.48082959271"/>
    <n v="0"/>
    <n v="0"/>
  </r>
  <r>
    <s v="Sistema de Compensação"/>
    <x v="1"/>
    <x v="3"/>
    <x v="2"/>
    <x v="0"/>
    <x v="0"/>
    <x v="0"/>
    <x v="1"/>
    <x v="10"/>
    <n v="878"/>
    <n v="878"/>
    <n v="0"/>
    <n v="0"/>
    <n v="0"/>
    <n v="0"/>
    <n v="4"/>
    <x v="0"/>
    <n v="0"/>
    <n v="7"/>
    <n v="0"/>
    <n v="0"/>
    <n v="20.975999999999999"/>
    <n v="0"/>
    <n v="0"/>
    <n v="27.221549366878396"/>
    <m/>
    <m/>
    <n v="18416.928"/>
    <n v="0"/>
    <n v="0"/>
    <n v="23900.520344119232"/>
    <n v="0"/>
    <n v="0"/>
  </r>
  <r>
    <s v="PROJETADO"/>
    <x v="1"/>
    <x v="3"/>
    <x v="2"/>
    <x v="0"/>
    <x v="0"/>
    <x v="0"/>
    <x v="1"/>
    <x v="11"/>
    <n v="3744"/>
    <n v="3744"/>
    <n v="0"/>
    <n v="0"/>
    <n v="0"/>
    <n v="0"/>
    <n v="41"/>
    <x v="0"/>
    <n v="0"/>
    <n v="7"/>
    <n v="0"/>
    <n v="0"/>
    <n v="20.975999999999999"/>
    <n v="0"/>
    <n v="0"/>
    <n v="27.221549366878396"/>
    <m/>
    <m/>
    <n v="78534.144"/>
    <n v="0"/>
    <n v="0"/>
    <n v="101917.48082959271"/>
    <n v="0"/>
    <n v="0"/>
  </r>
  <r>
    <s v="PROJETADO"/>
    <x v="1"/>
    <x v="3"/>
    <x v="2"/>
    <x v="0"/>
    <x v="0"/>
    <x v="0"/>
    <x v="1"/>
    <x v="11"/>
    <n v="878"/>
    <n v="878"/>
    <n v="0"/>
    <n v="0"/>
    <n v="0"/>
    <n v="0"/>
    <n v="4"/>
    <x v="0"/>
    <n v="0"/>
    <n v="7"/>
    <n v="0"/>
    <n v="0"/>
    <n v="20.975999999999999"/>
    <n v="0"/>
    <n v="0"/>
    <n v="27.221549366878396"/>
    <m/>
    <m/>
    <n v="18416.928"/>
    <n v="0"/>
    <n v="0"/>
    <n v="23900.520344119232"/>
    <n v="0"/>
    <n v="0"/>
  </r>
  <r>
    <s v="Regular"/>
    <x v="1"/>
    <x v="3"/>
    <x v="2"/>
    <x v="0"/>
    <x v="0"/>
    <x v="0"/>
    <x v="2"/>
    <x v="0"/>
    <n v="0"/>
    <n v="0"/>
    <n v="60.104999999999997"/>
    <n v="60.104999999999997"/>
    <n v="60.104999999999997"/>
    <n v="60.104999999999997"/>
    <n v="0"/>
    <x v="0"/>
    <n v="0"/>
    <n v="0"/>
    <n v="8"/>
    <n v="72"/>
    <n v="0"/>
    <n v="1495.4304"/>
    <n v="332.74560000000002"/>
    <m/>
    <n v="1899.6622727754132"/>
    <n v="432.85794003279227"/>
    <n v="0"/>
    <n v="89882.84419199999"/>
    <n v="19999.674288000002"/>
    <n v="0"/>
    <n v="114179.2009051662"/>
    <n v="26016.926485670978"/>
  </r>
  <r>
    <s v="Sistema de Compensação"/>
    <x v="1"/>
    <x v="3"/>
    <x v="2"/>
    <x v="0"/>
    <x v="0"/>
    <x v="0"/>
    <x v="2"/>
    <x v="0"/>
    <n v="0"/>
    <n v="0"/>
    <n v="6.0999999999999999E-2"/>
    <n v="6.0999999999999999E-2"/>
    <n v="6.0999999999999999E-2"/>
    <n v="6.0999999999999999E-2"/>
    <n v="0"/>
    <x v="0"/>
    <n v="0"/>
    <n v="0"/>
    <n v="8"/>
    <n v="72"/>
    <n v="0"/>
    <n v="1495.4304"/>
    <n v="332.74560000000002"/>
    <m/>
    <n v="1899.6622727754132"/>
    <n v="432.85794003279227"/>
    <n v="0"/>
    <n v="91.221254399999992"/>
    <n v="20.297481600000001"/>
    <n v="0"/>
    <n v="115.87939863930021"/>
    <n v="26.404334342000329"/>
  </r>
  <r>
    <s v="Regular"/>
    <x v="1"/>
    <x v="3"/>
    <x v="2"/>
    <x v="0"/>
    <x v="0"/>
    <x v="0"/>
    <x v="2"/>
    <x v="1"/>
    <n v="0"/>
    <n v="0"/>
    <n v="56.448999999999998"/>
    <n v="56.448999999999998"/>
    <n v="56.448999999999998"/>
    <n v="56.448999999999998"/>
    <n v="0"/>
    <x v="0"/>
    <n v="0"/>
    <n v="0"/>
    <n v="8"/>
    <n v="72"/>
    <n v="0"/>
    <n v="1495.4304"/>
    <n v="332.74560000000002"/>
    <m/>
    <n v="1899.6622727754132"/>
    <n v="432.85794003279227"/>
    <n v="0"/>
    <n v="84415.550649600002"/>
    <n v="18783.156374400001"/>
    <n v="0"/>
    <n v="107234.03563589929"/>
    <n v="24434.397856911091"/>
  </r>
  <r>
    <s v="Sistema de Compensação"/>
    <x v="1"/>
    <x v="3"/>
    <x v="2"/>
    <x v="0"/>
    <x v="0"/>
    <x v="0"/>
    <x v="2"/>
    <x v="1"/>
    <n v="0"/>
    <n v="0"/>
    <n v="-1.0489999999999999"/>
    <n v="-1.0489999999999999"/>
    <n v="-1.0489999999999999"/>
    <n v="-1.0489999999999999"/>
    <n v="0"/>
    <x v="0"/>
    <n v="0"/>
    <n v="0"/>
    <n v="8"/>
    <n v="72"/>
    <n v="0"/>
    <n v="1495.4304"/>
    <n v="332.74560000000002"/>
    <m/>
    <n v="1899.6622727754132"/>
    <n v="432.85794003279227"/>
    <n v="0"/>
    <n v="-1568.7064895999999"/>
    <n v="-349.05013439999999"/>
    <n v="0"/>
    <n v="-1992.7457241414083"/>
    <n v="-454.06797909439905"/>
  </r>
  <r>
    <s v="Regular"/>
    <x v="1"/>
    <x v="3"/>
    <x v="2"/>
    <x v="0"/>
    <x v="0"/>
    <x v="0"/>
    <x v="2"/>
    <x v="2"/>
    <n v="0"/>
    <n v="0"/>
    <n v="60.249000000000002"/>
    <n v="60.249000000000002"/>
    <n v="60.249000000000002"/>
    <n v="60.249000000000002"/>
    <n v="0"/>
    <x v="0"/>
    <n v="0"/>
    <n v="0"/>
    <n v="8"/>
    <n v="72"/>
    <n v="0"/>
    <n v="1495.4304"/>
    <n v="332.74560000000002"/>
    <m/>
    <n v="1899.6622727754132"/>
    <n v="432.85794003279227"/>
    <n v="0"/>
    <n v="90098.186169599998"/>
    <n v="20047.589654400002"/>
    <n v="0"/>
    <n v="114452.75227244587"/>
    <n v="26079.258029035704"/>
  </r>
  <r>
    <s v="Sistema de Compensação"/>
    <x v="1"/>
    <x v="3"/>
    <x v="2"/>
    <x v="0"/>
    <x v="0"/>
    <x v="0"/>
    <x v="2"/>
    <x v="2"/>
    <n v="0"/>
    <n v="0"/>
    <n v="0.105"/>
    <n v="0.105"/>
    <n v="0.105"/>
    <n v="0.105"/>
    <n v="0"/>
    <x v="0"/>
    <n v="0"/>
    <n v="0"/>
    <n v="8"/>
    <n v="72"/>
    <n v="0"/>
    <n v="1495.4304"/>
    <n v="332.74560000000002"/>
    <m/>
    <n v="1899.6622727754132"/>
    <n v="432.85794003279227"/>
    <n v="0"/>
    <n v="157.02019199999998"/>
    <n v="34.938288"/>
    <n v="0"/>
    <n v="199.46453864141839"/>
    <n v="45.450083703443184"/>
  </r>
  <r>
    <s v="Regular"/>
    <x v="1"/>
    <x v="3"/>
    <x v="2"/>
    <x v="0"/>
    <x v="0"/>
    <x v="0"/>
    <x v="2"/>
    <x v="3"/>
    <n v="0"/>
    <n v="0"/>
    <n v="51.003999999999998"/>
    <n v="51.003999999999998"/>
    <n v="51.003999999999998"/>
    <n v="51.003999999999998"/>
    <n v="0"/>
    <x v="0"/>
    <n v="0"/>
    <n v="0"/>
    <n v="8"/>
    <n v="72"/>
    <n v="0"/>
    <n v="1495.4304"/>
    <n v="332.74560000000002"/>
    <m/>
    <n v="1899.6622727754132"/>
    <n v="432.85794003279227"/>
    <n v="0"/>
    <n v="76272.932121599995"/>
    <n v="16971.3565824"/>
    <n v="0"/>
    <n v="96890.374560637167"/>
    <n v="22077.486373432537"/>
  </r>
  <r>
    <s v="Sistema de Compensação"/>
    <x v="1"/>
    <x v="3"/>
    <x v="2"/>
    <x v="0"/>
    <x v="0"/>
    <x v="0"/>
    <x v="2"/>
    <x v="3"/>
    <n v="0"/>
    <n v="0"/>
    <n v="1.103"/>
    <n v="1.103"/>
    <n v="1.103"/>
    <n v="1.103"/>
    <n v="0"/>
    <x v="0"/>
    <n v="0"/>
    <n v="0"/>
    <n v="8"/>
    <n v="72"/>
    <n v="0"/>
    <n v="1495.4304"/>
    <n v="332.74560000000002"/>
    <m/>
    <n v="1899.6622727754132"/>
    <n v="432.85794003279227"/>
    <n v="0"/>
    <n v="1649.4597311999999"/>
    <n v="367.0183968"/>
    <n v="0"/>
    <n v="2095.3274868712806"/>
    <n v="477.44230785616986"/>
  </r>
  <r>
    <s v="Regular"/>
    <x v="1"/>
    <x v="3"/>
    <x v="2"/>
    <x v="0"/>
    <x v="0"/>
    <x v="0"/>
    <x v="2"/>
    <x v="4"/>
    <n v="0"/>
    <n v="0"/>
    <n v="47.575000000000003"/>
    <n v="47.575000000000003"/>
    <n v="47.575000000000003"/>
    <n v="47.575000000000003"/>
    <n v="0"/>
    <x v="0"/>
    <n v="0"/>
    <n v="0"/>
    <n v="8"/>
    <n v="72"/>
    <n v="0"/>
    <n v="1495.4304"/>
    <n v="332.74560000000002"/>
    <m/>
    <n v="1899.6622727754132"/>
    <n v="432.85794003279227"/>
    <n v="0"/>
    <n v="71145.101280000003"/>
    <n v="15830.371920000001"/>
    <n v="0"/>
    <n v="90376.432627290284"/>
    <n v="20593.216497060093"/>
  </r>
  <r>
    <s v="Sistema de Compensação"/>
    <x v="1"/>
    <x v="3"/>
    <x v="2"/>
    <x v="0"/>
    <x v="0"/>
    <x v="0"/>
    <x v="2"/>
    <x v="4"/>
    <n v="0"/>
    <n v="0"/>
    <n v="5.2469999999999999"/>
    <n v="5.2469999999999999"/>
    <n v="5.2469999999999999"/>
    <n v="5.2469999999999999"/>
    <n v="0"/>
    <x v="0"/>
    <n v="0"/>
    <n v="0"/>
    <n v="8"/>
    <n v="72"/>
    <n v="0"/>
    <n v="1495.4304"/>
    <n v="332.74560000000002"/>
    <m/>
    <n v="1899.6622727754132"/>
    <n v="432.85794003279227"/>
    <n v="0"/>
    <n v="7846.5233087999995"/>
    <n v="1745.9161632"/>
    <n v="0"/>
    <n v="9967.527945252592"/>
    <n v="2271.2056113520612"/>
  </r>
  <r>
    <s v="Regular"/>
    <x v="1"/>
    <x v="3"/>
    <x v="2"/>
    <x v="0"/>
    <x v="0"/>
    <x v="0"/>
    <x v="2"/>
    <x v="5"/>
    <n v="0"/>
    <n v="0"/>
    <n v="50.600999999999999"/>
    <n v="50.600999999999999"/>
    <n v="50.600999999999999"/>
    <n v="50.600999999999999"/>
    <n v="0"/>
    <x v="0"/>
    <n v="0"/>
    <n v="0"/>
    <n v="8"/>
    <n v="72"/>
    <n v="0"/>
    <n v="1495.4304"/>
    <n v="332.74560000000002"/>
    <m/>
    <n v="1899.6622727754132"/>
    <n v="432.85794003279227"/>
    <n v="0"/>
    <n v="75670.273670399998"/>
    <n v="16837.260105600002"/>
    <n v="0"/>
    <n v="96124.810664708682"/>
    <n v="21903.044623599322"/>
  </r>
  <r>
    <s v="Sistema de Compensação"/>
    <x v="1"/>
    <x v="3"/>
    <x v="2"/>
    <x v="0"/>
    <x v="0"/>
    <x v="0"/>
    <x v="2"/>
    <x v="5"/>
    <n v="0"/>
    <n v="0"/>
    <n v="12.153"/>
    <n v="12.153"/>
    <n v="12.153"/>
    <n v="12.153"/>
    <n v="0"/>
    <x v="0"/>
    <n v="0"/>
    <n v="0"/>
    <n v="8"/>
    <n v="72"/>
    <n v="0"/>
    <n v="1495.4304"/>
    <n v="332.74560000000002"/>
    <m/>
    <n v="1899.6622727754132"/>
    <n v="432.85794003279227"/>
    <n v="0"/>
    <n v="18173.9656512"/>
    <n v="4043.8572768000004"/>
    <n v="0"/>
    <n v="23086.595601039597"/>
    <n v="5260.522545218525"/>
  </r>
  <r>
    <s v="Regular"/>
    <x v="1"/>
    <x v="3"/>
    <x v="2"/>
    <x v="0"/>
    <x v="0"/>
    <x v="0"/>
    <x v="2"/>
    <x v="6"/>
    <n v="0"/>
    <n v="0"/>
    <n v="53.113999999999997"/>
    <n v="53.113999999999997"/>
    <n v="53.113999999999997"/>
    <n v="53.113999999999997"/>
    <n v="0"/>
    <x v="0"/>
    <n v="0"/>
    <n v="0"/>
    <n v="8"/>
    <n v="72"/>
    <n v="0"/>
    <n v="1495.4304"/>
    <n v="332.74560000000002"/>
    <m/>
    <n v="1899.6622727754132"/>
    <n v="432.85794003279227"/>
    <n v="0"/>
    <n v="79428.290265599993"/>
    <n v="17673.449798400001"/>
    <n v="0"/>
    <n v="100898.66195619329"/>
    <n v="22990.816626901727"/>
  </r>
  <r>
    <s v="Sistema de Compensação"/>
    <x v="1"/>
    <x v="3"/>
    <x v="2"/>
    <x v="0"/>
    <x v="0"/>
    <x v="0"/>
    <x v="2"/>
    <x v="6"/>
    <n v="0"/>
    <n v="0"/>
    <n v="28.7"/>
    <n v="28.7"/>
    <n v="28.7"/>
    <n v="28.7"/>
    <n v="0"/>
    <x v="0"/>
    <n v="0"/>
    <n v="0"/>
    <n v="8"/>
    <n v="72"/>
    <n v="0"/>
    <n v="1495.4304"/>
    <n v="332.74560000000002"/>
    <m/>
    <n v="1899.6622727754132"/>
    <n v="432.85794003279227"/>
    <n v="0"/>
    <n v="42918.852480000001"/>
    <n v="9549.7987200000007"/>
    <n v="0"/>
    <n v="54520.307228654354"/>
    <n v="12423.022878941138"/>
  </r>
  <r>
    <s v="Regular"/>
    <x v="1"/>
    <x v="3"/>
    <x v="2"/>
    <x v="0"/>
    <x v="0"/>
    <x v="0"/>
    <x v="2"/>
    <x v="7"/>
    <n v="0"/>
    <n v="0"/>
    <n v="57.963000000000001"/>
    <n v="57.963000000000001"/>
    <n v="57.963000000000001"/>
    <n v="57.963000000000001"/>
    <n v="0"/>
    <x v="0"/>
    <n v="0"/>
    <n v="0"/>
    <n v="8"/>
    <n v="72"/>
    <n v="0"/>
    <n v="1495.4304"/>
    <n v="332.74560000000002"/>
    <m/>
    <n v="1899.6622727754132"/>
    <n v="432.85794003279227"/>
    <n v="0"/>
    <n v="86679.632275199998"/>
    <n v="19286.933212800002"/>
    <n v="0"/>
    <n v="110110.12431688128"/>
    <n v="25089.744778120737"/>
  </r>
  <r>
    <s v="Sistema de Compensação"/>
    <x v="1"/>
    <x v="3"/>
    <x v="2"/>
    <x v="0"/>
    <x v="0"/>
    <x v="0"/>
    <x v="2"/>
    <x v="7"/>
    <n v="0"/>
    <n v="0"/>
    <n v="32.121000000000002"/>
    <n v="32.121000000000002"/>
    <n v="32.121000000000002"/>
    <n v="32.121000000000002"/>
    <n v="0"/>
    <x v="0"/>
    <n v="0"/>
    <n v="0"/>
    <n v="8"/>
    <n v="72"/>
    <n v="0"/>
    <n v="1495.4304"/>
    <n v="332.74560000000002"/>
    <m/>
    <n v="1899.6622727754132"/>
    <n v="432.85794003279227"/>
    <n v="0"/>
    <n v="48034.719878399999"/>
    <n v="10688.121417600001"/>
    <n v="0"/>
    <n v="61019.051863819048"/>
    <n v="13903.829891793321"/>
  </r>
  <r>
    <s v="Regular"/>
    <x v="1"/>
    <x v="3"/>
    <x v="2"/>
    <x v="0"/>
    <x v="0"/>
    <x v="0"/>
    <x v="2"/>
    <x v="8"/>
    <n v="0"/>
    <n v="0"/>
    <n v="50.191000000000003"/>
    <n v="50.191000000000003"/>
    <n v="50.191000000000003"/>
    <n v="50.191000000000003"/>
    <n v="0"/>
    <x v="0"/>
    <n v="0"/>
    <n v="0"/>
    <n v="8"/>
    <n v="72"/>
    <n v="0"/>
    <n v="1495.4304"/>
    <n v="332.74560000000002"/>
    <m/>
    <n v="1899.6622727754132"/>
    <n v="432.85794003279227"/>
    <n v="0"/>
    <n v="75057.147206399997"/>
    <n v="16700.834409600004"/>
    <n v="0"/>
    <n v="95345.949132870766"/>
    <n v="21725.572868185878"/>
  </r>
  <r>
    <s v="Sistema de Compensação"/>
    <x v="1"/>
    <x v="3"/>
    <x v="2"/>
    <x v="0"/>
    <x v="0"/>
    <x v="0"/>
    <x v="2"/>
    <x v="8"/>
    <n v="0"/>
    <n v="0"/>
    <n v="17.806999999999999"/>
    <n v="17.806999999999999"/>
    <n v="17.806999999999999"/>
    <n v="17.806999999999999"/>
    <n v="0"/>
    <x v="0"/>
    <n v="0"/>
    <n v="0"/>
    <n v="8"/>
    <n v="72"/>
    <n v="0"/>
    <n v="1495.4304"/>
    <n v="332.74560000000002"/>
    <m/>
    <n v="1899.6622727754132"/>
    <n v="432.85794003279227"/>
    <n v="0"/>
    <n v="26629.129132799997"/>
    <n v="5925.2008992000001"/>
    <n v="0"/>
    <n v="33827.286091311777"/>
    <n v="7707.9013381639315"/>
  </r>
  <r>
    <s v="Regular"/>
    <x v="1"/>
    <x v="3"/>
    <x v="2"/>
    <x v="0"/>
    <x v="0"/>
    <x v="0"/>
    <x v="2"/>
    <x v="9"/>
    <n v="0"/>
    <n v="0"/>
    <n v="47.332000000000001"/>
    <n v="47.332000000000001"/>
    <n v="47.332000000000001"/>
    <n v="47.332000000000001"/>
    <n v="0"/>
    <x v="0"/>
    <n v="0"/>
    <n v="0"/>
    <n v="8"/>
    <n v="72"/>
    <n v="0"/>
    <n v="1495.4304"/>
    <n v="332.74560000000002"/>
    <m/>
    <n v="1899.6622727754132"/>
    <n v="432.85794003279227"/>
    <n v="0"/>
    <n v="70781.711692800003"/>
    <n v="15749.514739200002"/>
    <n v="0"/>
    <n v="89914.814695005858"/>
    <n v="20488.032017632126"/>
  </r>
  <r>
    <s v="Sistema de Compensação"/>
    <x v="1"/>
    <x v="3"/>
    <x v="2"/>
    <x v="0"/>
    <x v="0"/>
    <x v="0"/>
    <x v="2"/>
    <x v="9"/>
    <n v="0"/>
    <n v="0"/>
    <n v="27.065000000000001"/>
    <n v="27.065000000000001"/>
    <n v="27.065000000000001"/>
    <n v="27.065000000000001"/>
    <n v="0"/>
    <x v="0"/>
    <n v="0"/>
    <n v="0"/>
    <n v="8"/>
    <n v="72"/>
    <n v="0"/>
    <n v="1495.4304"/>
    <n v="332.74560000000002"/>
    <m/>
    <n v="1899.6622727754132"/>
    <n v="432.85794003279227"/>
    <n v="0"/>
    <n v="40473.823775999997"/>
    <n v="9005.7596640000011"/>
    <n v="0"/>
    <n v="51414.359412666563"/>
    <n v="11715.300146987523"/>
  </r>
  <r>
    <s v="Regular"/>
    <x v="1"/>
    <x v="3"/>
    <x v="2"/>
    <x v="0"/>
    <x v="0"/>
    <x v="0"/>
    <x v="2"/>
    <x v="10"/>
    <n v="0"/>
    <n v="0"/>
    <n v="44.673999999999999"/>
    <n v="44.673999999999999"/>
    <n v="44.673999999999999"/>
    <n v="44.673999999999999"/>
    <n v="0"/>
    <x v="0"/>
    <n v="0"/>
    <n v="0"/>
    <n v="8"/>
    <n v="72"/>
    <n v="0"/>
    <n v="1495.4304"/>
    <n v="332.74560000000002"/>
    <m/>
    <n v="1899.6622727754132"/>
    <n v="432.85794003279227"/>
    <n v="0"/>
    <n v="66806.857689600001"/>
    <n v="14865.0769344"/>
    <n v="0"/>
    <n v="84865.512373968813"/>
    <n v="19337.495613024963"/>
  </r>
  <r>
    <s v="Sistema de Compensação"/>
    <x v="1"/>
    <x v="3"/>
    <x v="2"/>
    <x v="0"/>
    <x v="0"/>
    <x v="0"/>
    <x v="2"/>
    <x v="10"/>
    <n v="0"/>
    <n v="0"/>
    <n v="8.4009999999999998"/>
    <n v="8.4009999999999998"/>
    <n v="8.4009999999999998"/>
    <n v="8.4009999999999998"/>
    <n v="0"/>
    <x v="0"/>
    <n v="0"/>
    <n v="0"/>
    <n v="8"/>
    <n v="72"/>
    <n v="0"/>
    <n v="1495.4304"/>
    <n v="332.74560000000002"/>
    <m/>
    <n v="1899.6622727754132"/>
    <n v="432.85794003279227"/>
    <n v="0"/>
    <n v="12563.1107904"/>
    <n v="2795.3957856000002"/>
    <n v="0"/>
    <n v="15959.062753586246"/>
    <n v="3636.439554215488"/>
  </r>
  <r>
    <s v="PROJETADO"/>
    <x v="1"/>
    <x v="3"/>
    <x v="2"/>
    <x v="0"/>
    <x v="0"/>
    <x v="0"/>
    <x v="2"/>
    <x v="11"/>
    <n v="0"/>
    <n v="0"/>
    <n v="44.673999999999999"/>
    <n v="44.673999999999999"/>
    <n v="44.673999999999999"/>
    <n v="44.673999999999999"/>
    <n v="0"/>
    <x v="0"/>
    <n v="0"/>
    <n v="0"/>
    <n v="8"/>
    <n v="72"/>
    <n v="0"/>
    <n v="1495.4304"/>
    <n v="332.74560000000002"/>
    <m/>
    <n v="1899.6622727754132"/>
    <n v="432.85794003279227"/>
    <n v="0"/>
    <n v="66806.857689600001"/>
    <n v="14865.0769344"/>
    <n v="0"/>
    <n v="84865.512373968813"/>
    <n v="19337.495613024963"/>
  </r>
  <r>
    <s v="PROJETADO"/>
    <x v="1"/>
    <x v="3"/>
    <x v="2"/>
    <x v="0"/>
    <x v="0"/>
    <x v="0"/>
    <x v="2"/>
    <x v="11"/>
    <n v="0"/>
    <n v="0"/>
    <n v="8.4009999999999998"/>
    <n v="8.4009999999999998"/>
    <n v="8.4009999999999998"/>
    <n v="8.4009999999999998"/>
    <n v="0"/>
    <x v="0"/>
    <n v="0"/>
    <n v="0"/>
    <n v="8"/>
    <n v="72"/>
    <n v="0"/>
    <n v="1495.4304"/>
    <n v="332.74560000000002"/>
    <m/>
    <n v="1899.6622727754132"/>
    <n v="432.85794003279227"/>
    <n v="0"/>
    <n v="12563.1107904"/>
    <n v="2795.3957856000002"/>
    <n v="0"/>
    <n v="15959.062753586246"/>
    <n v="3636.439554215488"/>
  </r>
  <r>
    <s v="Regular"/>
    <x v="1"/>
    <x v="3"/>
    <x v="3"/>
    <x v="2"/>
    <x v="0"/>
    <x v="0"/>
    <x v="0"/>
    <x v="0"/>
    <n v="0"/>
    <n v="0"/>
    <n v="4641.6940000000004"/>
    <n v="4641.6940000000004"/>
    <n v="4641.6940000000004"/>
    <n v="4641.6940000000004"/>
    <n v="0"/>
    <x v="0"/>
    <n v="0"/>
    <n v="0"/>
    <n v="29"/>
    <n v="73"/>
    <n v="0"/>
    <n v="91.753399999999999"/>
    <n v="206.77179999999998"/>
    <m/>
    <n v="116.15765999682182"/>
    <n v="274.90700866778241"/>
    <n v="0"/>
    <n v="425891.20625960006"/>
    <n v="959771.42342919996"/>
    <n v="0"/>
    <n v="539168.31346128788"/>
    <n v="1276034.2126911937"/>
  </r>
  <r>
    <s v="Regular"/>
    <x v="1"/>
    <x v="3"/>
    <x v="3"/>
    <x v="2"/>
    <x v="0"/>
    <x v="0"/>
    <x v="0"/>
    <x v="1"/>
    <n v="0"/>
    <n v="0"/>
    <n v="4329.7560000000003"/>
    <n v="4329.7560000000003"/>
    <n v="4329.7560000000003"/>
    <n v="4329.7560000000003"/>
    <n v="0"/>
    <x v="0"/>
    <n v="0"/>
    <n v="0"/>
    <n v="29"/>
    <n v="73"/>
    <n v="0"/>
    <n v="91.753399999999999"/>
    <n v="206.77179999999998"/>
    <m/>
    <n v="116.15765999682182"/>
    <n v="274.90700866778241"/>
    <n v="0"/>
    <n v="397269.83417040005"/>
    <n v="895271.44168080005"/>
    <n v="0"/>
    <n v="502934.32531719928"/>
    <n v="1190280.2702213831"/>
  </r>
  <r>
    <s v="Sistema de Compensação"/>
    <x v="1"/>
    <x v="3"/>
    <x v="3"/>
    <x v="2"/>
    <x v="0"/>
    <x v="0"/>
    <x v="0"/>
    <x v="1"/>
    <n v="0"/>
    <n v="0"/>
    <n v="16.446999999999999"/>
    <n v="16.446999999999999"/>
    <n v="16.446999999999999"/>
    <n v="16.446999999999999"/>
    <n v="0"/>
    <x v="0"/>
    <n v="0"/>
    <n v="0"/>
    <n v="29"/>
    <n v="73"/>
    <n v="0"/>
    <n v="91.753399999999999"/>
    <n v="206.77179999999998"/>
    <m/>
    <n v="116.15765999682182"/>
    <n v="274.90700866778241"/>
    <n v="0"/>
    <n v="1509.0681697999999"/>
    <n v="3400.7757945999997"/>
    <n v="0"/>
    <n v="1910.4450339677285"/>
    <n v="4521.3955715590173"/>
  </r>
  <r>
    <s v="Regular"/>
    <x v="1"/>
    <x v="3"/>
    <x v="3"/>
    <x v="2"/>
    <x v="0"/>
    <x v="0"/>
    <x v="0"/>
    <x v="2"/>
    <n v="0"/>
    <n v="0"/>
    <n v="4514.2030000000004"/>
    <n v="4514.2030000000004"/>
    <n v="4514.2030000000004"/>
    <n v="4514.2030000000004"/>
    <n v="0"/>
    <x v="0"/>
    <n v="0"/>
    <n v="0"/>
    <n v="29"/>
    <n v="73"/>
    <n v="0"/>
    <n v="91.753399999999999"/>
    <n v="206.77179999999998"/>
    <m/>
    <n v="116.15765999682182"/>
    <n v="274.90700866778241"/>
    <n v="0"/>
    <n v="414193.47354020004"/>
    <n v="933409.87987539999"/>
    <n v="0"/>
    <n v="524359.25723063305"/>
    <n v="1240986.0432491296"/>
  </r>
  <r>
    <s v="Sistema de Compensação"/>
    <x v="1"/>
    <x v="3"/>
    <x v="3"/>
    <x v="2"/>
    <x v="0"/>
    <x v="0"/>
    <x v="0"/>
    <x v="2"/>
    <n v="0"/>
    <n v="0"/>
    <n v="16.873000000000001"/>
    <n v="16.873000000000001"/>
    <n v="16.873000000000001"/>
    <n v="16.873000000000001"/>
    <n v="0"/>
    <x v="0"/>
    <n v="0"/>
    <n v="0"/>
    <n v="29"/>
    <n v="73"/>
    <n v="0"/>
    <n v="91.753399999999999"/>
    <n v="206.77179999999998"/>
    <m/>
    <n v="116.15765999682182"/>
    <n v="274.90700866778241"/>
    <n v="0"/>
    <n v="1548.1551182000001"/>
    <n v="3488.8605813999998"/>
    <n v="0"/>
    <n v="1959.9281971263747"/>
    <n v="4638.5059572514929"/>
  </r>
  <r>
    <s v="Regular"/>
    <x v="1"/>
    <x v="3"/>
    <x v="3"/>
    <x v="2"/>
    <x v="0"/>
    <x v="0"/>
    <x v="0"/>
    <x v="3"/>
    <n v="0"/>
    <n v="0"/>
    <n v="4537.826"/>
    <n v="4537.826"/>
    <n v="4537.826"/>
    <n v="4537.826"/>
    <n v="0"/>
    <x v="0"/>
    <n v="0"/>
    <n v="0"/>
    <n v="29"/>
    <n v="73"/>
    <n v="0"/>
    <n v="91.753399999999999"/>
    <n v="206.77179999999998"/>
    <m/>
    <n v="116.15765999682182"/>
    <n v="274.90700866778241"/>
    <n v="0"/>
    <n v="416360.96410839999"/>
    <n v="938294.45010679995"/>
    <n v="0"/>
    <n v="527103.24963273795"/>
    <n v="1247480.1715148883"/>
  </r>
  <r>
    <s v="Sistema de Compensação"/>
    <x v="1"/>
    <x v="3"/>
    <x v="3"/>
    <x v="2"/>
    <x v="0"/>
    <x v="0"/>
    <x v="0"/>
    <x v="3"/>
    <n v="0"/>
    <n v="0"/>
    <n v="18.643999999999998"/>
    <n v="18.643999999999998"/>
    <n v="18.643999999999998"/>
    <n v="18.643999999999998"/>
    <n v="0"/>
    <x v="0"/>
    <n v="0"/>
    <n v="0"/>
    <n v="29"/>
    <n v="73"/>
    <n v="0"/>
    <n v="91.753399999999999"/>
    <n v="206.77179999999998"/>
    <m/>
    <n v="116.15765999682182"/>
    <n v="274.90700866778241"/>
    <n v="0"/>
    <n v="1710.6503895999999"/>
    <n v="3855.0534391999995"/>
    <n v="0"/>
    <n v="2165.6434129807458"/>
    <n v="5125.3662696021347"/>
  </r>
  <r>
    <s v="Regular"/>
    <x v="1"/>
    <x v="3"/>
    <x v="3"/>
    <x v="2"/>
    <x v="0"/>
    <x v="0"/>
    <x v="0"/>
    <x v="4"/>
    <n v="0"/>
    <n v="0"/>
    <n v="4334.0870000000004"/>
    <n v="4334.0870000000004"/>
    <n v="4334.0870000000004"/>
    <n v="4334.0870000000004"/>
    <n v="0"/>
    <x v="0"/>
    <n v="0"/>
    <n v="0"/>
    <n v="29"/>
    <n v="73"/>
    <n v="0"/>
    <n v="91.753399999999999"/>
    <n v="206.77179999999998"/>
    <m/>
    <n v="116.15765999682182"/>
    <n v="274.90700866778241"/>
    <n v="0"/>
    <n v="397667.21814580006"/>
    <n v="896166.97034660005"/>
    <n v="0"/>
    <n v="503437.40414264554"/>
    <n v="1191470.8924759231"/>
  </r>
  <r>
    <s v="Sistema de Compensação"/>
    <x v="1"/>
    <x v="3"/>
    <x v="3"/>
    <x v="2"/>
    <x v="0"/>
    <x v="0"/>
    <x v="0"/>
    <x v="4"/>
    <n v="0"/>
    <n v="0"/>
    <n v="17.384"/>
    <n v="17.384"/>
    <n v="17.384"/>
    <n v="17.384"/>
    <n v="0"/>
    <x v="0"/>
    <n v="0"/>
    <n v="0"/>
    <n v="29"/>
    <n v="73"/>
    <n v="0"/>
    <n v="91.753399999999999"/>
    <n v="206.77179999999998"/>
    <m/>
    <n v="116.15765999682182"/>
    <n v="274.90700866778241"/>
    <n v="0"/>
    <n v="1595.0411056"/>
    <n v="3594.5209711999996"/>
    <n v="0"/>
    <n v="2019.2847613847505"/>
    <n v="4778.9834386807297"/>
  </r>
  <r>
    <s v="Regular"/>
    <x v="1"/>
    <x v="3"/>
    <x v="3"/>
    <x v="2"/>
    <x v="0"/>
    <x v="0"/>
    <x v="0"/>
    <x v="5"/>
    <n v="0"/>
    <n v="0"/>
    <n v="4657.0370000000003"/>
    <n v="4657.0370000000003"/>
    <n v="4657.0370000000003"/>
    <n v="4657.0370000000003"/>
    <n v="0"/>
    <x v="0"/>
    <n v="0"/>
    <n v="0"/>
    <n v="29"/>
    <n v="73"/>
    <n v="0"/>
    <n v="91.753399999999999"/>
    <n v="206.77179999999998"/>
    <m/>
    <n v="116.15765999682182"/>
    <n v="274.90700866778241"/>
    <n v="0"/>
    <n v="427298.97867580003"/>
    <n v="962943.92315659998"/>
    <n v="0"/>
    <n v="540950.52043861907"/>
    <n v="1280252.1109251834"/>
  </r>
  <r>
    <s v="Sistema de Compensação"/>
    <x v="1"/>
    <x v="3"/>
    <x v="3"/>
    <x v="2"/>
    <x v="0"/>
    <x v="0"/>
    <x v="0"/>
    <x v="5"/>
    <n v="0"/>
    <n v="0"/>
    <n v="22.382999999999999"/>
    <n v="22.382999999999999"/>
    <n v="22.382999999999999"/>
    <n v="22.382999999999999"/>
    <n v="0"/>
    <x v="0"/>
    <n v="0"/>
    <n v="0"/>
    <n v="29"/>
    <n v="73"/>
    <n v="0"/>
    <n v="91.753399999999999"/>
    <n v="206.77179999999998"/>
    <m/>
    <n v="116.15765999682182"/>
    <n v="274.90700866778241"/>
    <n v="0"/>
    <n v="2053.7163522000001"/>
    <n v="4628.1731993999992"/>
    <n v="0"/>
    <n v="2599.9569037088627"/>
    <n v="6153.2435750109735"/>
  </r>
  <r>
    <s v="Regular"/>
    <x v="1"/>
    <x v="3"/>
    <x v="3"/>
    <x v="2"/>
    <x v="0"/>
    <x v="0"/>
    <x v="0"/>
    <x v="6"/>
    <n v="0"/>
    <n v="0"/>
    <n v="4427.6210000000001"/>
    <n v="4427.6210000000001"/>
    <n v="4427.6210000000001"/>
    <n v="4427.6210000000001"/>
    <n v="0"/>
    <x v="0"/>
    <n v="0"/>
    <n v="0"/>
    <n v="29"/>
    <n v="73"/>
    <n v="0"/>
    <n v="91.753399999999999"/>
    <n v="206.77179999999998"/>
    <m/>
    <n v="116.15765999682182"/>
    <n v="274.90700866778241"/>
    <n v="0"/>
    <n v="406249.2806614"/>
    <n v="915507.16388779995"/>
    <n v="0"/>
    <n v="514302.09471278824"/>
    <n v="1217184.0446246555"/>
  </r>
  <r>
    <s v="Refaturamento - Regular"/>
    <x v="1"/>
    <x v="3"/>
    <x v="3"/>
    <x v="2"/>
    <x v="0"/>
    <x v="0"/>
    <x v="0"/>
    <x v="6"/>
    <n v="0"/>
    <n v="0"/>
    <n v="2.161"/>
    <n v="2.161"/>
    <n v="2.161"/>
    <n v="2.161"/>
    <n v="0"/>
    <x v="0"/>
    <n v="0"/>
    <n v="0"/>
    <n v="29"/>
    <n v="73"/>
    <n v="0"/>
    <n v="91.753399999999999"/>
    <n v="206.77179999999998"/>
    <m/>
    <n v="116.15765999682182"/>
    <n v="274.90700866778241"/>
    <n v="0"/>
    <n v="198.27909740000001"/>
    <n v="446.83385979999997"/>
    <n v="0"/>
    <n v="251.01670325313196"/>
    <n v="594.07404573107783"/>
  </r>
  <r>
    <s v="Sistema de Compensação"/>
    <x v="1"/>
    <x v="3"/>
    <x v="3"/>
    <x v="2"/>
    <x v="0"/>
    <x v="0"/>
    <x v="0"/>
    <x v="6"/>
    <n v="0"/>
    <n v="0"/>
    <n v="13.494999999999999"/>
    <n v="13.494999999999999"/>
    <n v="13.494999999999999"/>
    <n v="13.494999999999999"/>
    <n v="0"/>
    <x v="0"/>
    <n v="0"/>
    <n v="0"/>
    <n v="29"/>
    <n v="73"/>
    <n v="0"/>
    <n v="91.753399999999999"/>
    <n v="206.77179999999998"/>
    <m/>
    <n v="116.15765999682182"/>
    <n v="274.90700866778241"/>
    <n v="0"/>
    <n v="1238.212133"/>
    <n v="2790.3854409999994"/>
    <n v="0"/>
    <n v="1567.5476216571103"/>
    <n v="3709.8700819717233"/>
  </r>
  <r>
    <s v="Regular"/>
    <x v="1"/>
    <x v="3"/>
    <x v="3"/>
    <x v="2"/>
    <x v="0"/>
    <x v="0"/>
    <x v="0"/>
    <x v="7"/>
    <n v="0"/>
    <n v="0"/>
    <n v="4464.2560000000003"/>
    <n v="4464.2560000000003"/>
    <n v="4464.2560000000003"/>
    <n v="4464.2560000000003"/>
    <n v="0"/>
    <x v="0"/>
    <n v="0"/>
    <n v="0"/>
    <n v="29"/>
    <n v="73"/>
    <n v="0"/>
    <n v="91.753399999999999"/>
    <n v="206.77179999999998"/>
    <m/>
    <n v="116.15765999682182"/>
    <n v="274.90700866778241"/>
    <n v="0"/>
    <n v="409610.6664704"/>
    <n v="923082.24878080003"/>
    <n v="0"/>
    <n v="518557.53058677184"/>
    <n v="1227255.2628871996"/>
  </r>
  <r>
    <s v="Refaturamento - Regular"/>
    <x v="1"/>
    <x v="3"/>
    <x v="3"/>
    <x v="2"/>
    <x v="0"/>
    <x v="0"/>
    <x v="0"/>
    <x v="7"/>
    <n v="0"/>
    <n v="0"/>
    <n v="1.657"/>
    <n v="1.657"/>
    <n v="1.657"/>
    <n v="1.657"/>
    <n v="0"/>
    <x v="0"/>
    <n v="0"/>
    <n v="0"/>
    <n v="29"/>
    <n v="73"/>
    <n v="0"/>
    <n v="91.753399999999999"/>
    <n v="206.77179999999998"/>
    <m/>
    <n v="116.15765999682182"/>
    <n v="274.90700866778241"/>
    <n v="0"/>
    <n v="152.03538380000001"/>
    <n v="342.62087259999998"/>
    <n v="0"/>
    <n v="192.47324261473375"/>
    <n v="455.52091336251544"/>
  </r>
  <r>
    <s v="Sistema de Compensação"/>
    <x v="1"/>
    <x v="3"/>
    <x v="3"/>
    <x v="2"/>
    <x v="0"/>
    <x v="0"/>
    <x v="0"/>
    <x v="7"/>
    <n v="0"/>
    <n v="0"/>
    <n v="22.876999999999999"/>
    <n v="22.876999999999999"/>
    <n v="22.876999999999999"/>
    <n v="22.876999999999999"/>
    <n v="0"/>
    <x v="0"/>
    <n v="0"/>
    <n v="0"/>
    <n v="29"/>
    <n v="73"/>
    <n v="0"/>
    <n v="91.753399999999999"/>
    <n v="206.77179999999998"/>
    <m/>
    <n v="116.15765999682182"/>
    <n v="274.90700866778241"/>
    <n v="0"/>
    <n v="2099.0425317999998"/>
    <n v="4730.3184685999995"/>
    <n v="0"/>
    <n v="2657.3387877472928"/>
    <n v="6289.0476372928579"/>
  </r>
  <r>
    <s v="Regular"/>
    <x v="1"/>
    <x v="3"/>
    <x v="3"/>
    <x v="2"/>
    <x v="0"/>
    <x v="0"/>
    <x v="0"/>
    <x v="8"/>
    <n v="0"/>
    <n v="0"/>
    <n v="4503.6189999999997"/>
    <n v="4503.6189999999997"/>
    <n v="4503.6189999999997"/>
    <n v="4503.6189999999997"/>
    <n v="0"/>
    <x v="0"/>
    <n v="0"/>
    <n v="0"/>
    <n v="29"/>
    <n v="73"/>
    <n v="0"/>
    <n v="91.753399999999999"/>
    <n v="206.77179999999998"/>
    <m/>
    <n v="116.15765999682182"/>
    <n v="274.90700866778241"/>
    <n v="0"/>
    <n v="413222.35555459996"/>
    <n v="931221.40714419982"/>
    <n v="0"/>
    <n v="523129.84455722664"/>
    <n v="1238076.4274693895"/>
  </r>
  <r>
    <s v="Sistema de Compensação"/>
    <x v="1"/>
    <x v="3"/>
    <x v="3"/>
    <x v="2"/>
    <x v="0"/>
    <x v="0"/>
    <x v="0"/>
    <x v="8"/>
    <n v="0"/>
    <n v="0"/>
    <n v="22.722000000000001"/>
    <n v="22.722000000000001"/>
    <n v="22.722000000000001"/>
    <n v="22.722000000000001"/>
    <n v="0"/>
    <x v="0"/>
    <n v="0"/>
    <n v="0"/>
    <n v="29"/>
    <n v="73"/>
    <n v="0"/>
    <n v="91.753399999999999"/>
    <n v="206.77179999999998"/>
    <m/>
    <n v="116.15765999682182"/>
    <n v="274.90700866778241"/>
    <n v="0"/>
    <n v="2084.8207548"/>
    <n v="4698.2688396000003"/>
    <n v="0"/>
    <n v="2639.3343504477857"/>
    <n v="6246.4370509493519"/>
  </r>
  <r>
    <s v="Regular"/>
    <x v="1"/>
    <x v="3"/>
    <x v="3"/>
    <x v="2"/>
    <x v="0"/>
    <x v="0"/>
    <x v="0"/>
    <x v="9"/>
    <n v="0"/>
    <n v="0"/>
    <n v="3935.6869999999999"/>
    <n v="3935.6869999999999"/>
    <n v="3935.6869999999999"/>
    <n v="3935.6869999999999"/>
    <n v="0"/>
    <x v="0"/>
    <n v="0"/>
    <n v="0"/>
    <n v="29"/>
    <n v="73"/>
    <n v="0"/>
    <n v="91.753399999999999"/>
    <n v="206.77179999999998"/>
    <m/>
    <n v="116.15765999682182"/>
    <n v="274.90700866778241"/>
    <n v="0"/>
    <n v="361112.66358579998"/>
    <n v="813789.08522659994"/>
    <n v="0"/>
    <n v="457160.19239991164"/>
    <n v="1081947.9402226785"/>
  </r>
  <r>
    <s v="Sistema de Compensação"/>
    <x v="1"/>
    <x v="3"/>
    <x v="3"/>
    <x v="2"/>
    <x v="0"/>
    <x v="0"/>
    <x v="0"/>
    <x v="9"/>
    <n v="0"/>
    <n v="0"/>
    <n v="12.218"/>
    <n v="12.218"/>
    <n v="12.218"/>
    <n v="12.218"/>
    <n v="0"/>
    <x v="0"/>
    <n v="0"/>
    <n v="0"/>
    <n v="29"/>
    <n v="73"/>
    <n v="0"/>
    <n v="91.753399999999999"/>
    <n v="206.77179999999998"/>
    <m/>
    <n v="116.15765999682182"/>
    <n v="274.90700866778241"/>
    <n v="0"/>
    <n v="1121.0430412000001"/>
    <n v="2526.3378524"/>
    <n v="0"/>
    <n v="1419.2142898411689"/>
    <n v="3358.8138319029654"/>
  </r>
  <r>
    <s v="Regular"/>
    <x v="1"/>
    <x v="3"/>
    <x v="3"/>
    <x v="2"/>
    <x v="0"/>
    <x v="0"/>
    <x v="0"/>
    <x v="10"/>
    <n v="0"/>
    <n v="0"/>
    <n v="4499.54"/>
    <n v="4499.54"/>
    <n v="4499.54"/>
    <n v="4499.54"/>
    <n v="0"/>
    <x v="0"/>
    <n v="0"/>
    <n v="0"/>
    <n v="29"/>
    <n v="73"/>
    <n v="0"/>
    <n v="91.753399999999999"/>
    <n v="206.77179999999998"/>
    <m/>
    <n v="116.15765999682182"/>
    <n v="274.90700866778241"/>
    <n v="0"/>
    <n v="412848.093436"/>
    <n v="930377.98497199989"/>
    <n v="0"/>
    <n v="522656.03746209963"/>
    <n v="1236955.0817810337"/>
  </r>
  <r>
    <s v="Sistema de Compensação"/>
    <x v="1"/>
    <x v="3"/>
    <x v="3"/>
    <x v="2"/>
    <x v="0"/>
    <x v="0"/>
    <x v="0"/>
    <x v="10"/>
    <n v="0"/>
    <n v="0"/>
    <n v="23.904"/>
    <n v="23.904"/>
    <n v="23.904"/>
    <n v="23.904"/>
    <n v="0"/>
    <x v="0"/>
    <n v="0"/>
    <n v="0"/>
    <n v="29"/>
    <n v="73"/>
    <n v="0"/>
    <n v="91.753399999999999"/>
    <n v="206.77179999999998"/>
    <m/>
    <n v="116.15765999682182"/>
    <n v="274.90700866778241"/>
    <n v="0"/>
    <n v="2193.2732735999998"/>
    <n v="4942.6731071999993"/>
    <n v="0"/>
    <n v="2776.6327045640287"/>
    <n v="6571.3771351946707"/>
  </r>
  <r>
    <s v="PROJETADO"/>
    <x v="1"/>
    <x v="3"/>
    <x v="3"/>
    <x v="2"/>
    <x v="0"/>
    <x v="0"/>
    <x v="0"/>
    <x v="11"/>
    <n v="0"/>
    <n v="0"/>
    <n v="4499.54"/>
    <n v="4499.54"/>
    <n v="4499.54"/>
    <n v="4499.54"/>
    <n v="0"/>
    <x v="0"/>
    <n v="0"/>
    <n v="0"/>
    <n v="29"/>
    <n v="73"/>
    <n v="0"/>
    <n v="91.753399999999999"/>
    <n v="206.77179999999998"/>
    <m/>
    <n v="116.15765999682182"/>
    <n v="274.90700866778241"/>
    <n v="0"/>
    <n v="412848.093436"/>
    <n v="930377.98497199989"/>
    <n v="0"/>
    <n v="522656.03746209963"/>
    <n v="1236955.0817810337"/>
  </r>
  <r>
    <s v="PROJETADO"/>
    <x v="1"/>
    <x v="3"/>
    <x v="3"/>
    <x v="2"/>
    <x v="0"/>
    <x v="0"/>
    <x v="0"/>
    <x v="11"/>
    <n v="0"/>
    <n v="0"/>
    <n v="23.904"/>
    <n v="23.904"/>
    <n v="23.904"/>
    <n v="23.904"/>
    <n v="0"/>
    <x v="0"/>
    <n v="0"/>
    <n v="0"/>
    <n v="29"/>
    <n v="73"/>
    <n v="0"/>
    <n v="91.753399999999999"/>
    <n v="206.77179999999998"/>
    <m/>
    <n v="116.15765999682182"/>
    <n v="274.90700866778241"/>
    <n v="0"/>
    <n v="2193.2732735999998"/>
    <n v="4942.6731071999993"/>
    <n v="0"/>
    <n v="2776.6327045640287"/>
    <n v="6571.3771351946707"/>
  </r>
  <r>
    <s v="Regular"/>
    <x v="1"/>
    <x v="3"/>
    <x v="3"/>
    <x v="2"/>
    <x v="0"/>
    <x v="0"/>
    <x v="1"/>
    <x v="0"/>
    <n v="13518"/>
    <n v="13518"/>
    <n v="0"/>
    <n v="0"/>
    <n v="0"/>
    <n v="0"/>
    <n v="220"/>
    <x v="0"/>
    <n v="0"/>
    <n v="7"/>
    <n v="0"/>
    <n v="0"/>
    <n v="20.539000000000001"/>
    <n v="0"/>
    <n v="0"/>
    <n v="26.943778454971472"/>
    <m/>
    <m/>
    <n v="277646.20200000005"/>
    <n v="0"/>
    <n v="0"/>
    <n v="364225.99715430435"/>
    <n v="0"/>
    <n v="0"/>
  </r>
  <r>
    <s v="Regular"/>
    <x v="1"/>
    <x v="3"/>
    <x v="3"/>
    <x v="2"/>
    <x v="0"/>
    <x v="0"/>
    <x v="1"/>
    <x v="1"/>
    <n v="13284"/>
    <n v="13284"/>
    <n v="0"/>
    <n v="0"/>
    <n v="0"/>
    <n v="0"/>
    <n v="216"/>
    <x v="0"/>
    <n v="0"/>
    <n v="7"/>
    <n v="0"/>
    <n v="0"/>
    <n v="20.539000000000001"/>
    <n v="0"/>
    <n v="0"/>
    <n v="26.943778454971472"/>
    <m/>
    <m/>
    <n v="272840.076"/>
    <n v="0"/>
    <n v="0"/>
    <n v="357921.15299584105"/>
    <n v="0"/>
    <n v="0"/>
  </r>
  <r>
    <s v="Sistema de Compensação"/>
    <x v="1"/>
    <x v="3"/>
    <x v="3"/>
    <x v="2"/>
    <x v="0"/>
    <x v="0"/>
    <x v="1"/>
    <x v="1"/>
    <n v="50"/>
    <n v="50"/>
    <n v="0"/>
    <n v="0"/>
    <n v="0"/>
    <n v="0"/>
    <n v="1"/>
    <x v="0"/>
    <n v="0"/>
    <n v="7"/>
    <n v="0"/>
    <n v="0"/>
    <n v="20.539000000000001"/>
    <n v="0"/>
    <n v="0"/>
    <n v="26.943778454971472"/>
    <m/>
    <m/>
    <n v="1026.95"/>
    <n v="0"/>
    <n v="0"/>
    <n v="1347.1889227485735"/>
    <n v="0"/>
    <n v="0"/>
  </r>
  <r>
    <s v="Regular"/>
    <x v="1"/>
    <x v="3"/>
    <x v="3"/>
    <x v="2"/>
    <x v="0"/>
    <x v="0"/>
    <x v="1"/>
    <x v="2"/>
    <n v="13127"/>
    <n v="13127"/>
    <n v="0"/>
    <n v="0"/>
    <n v="0"/>
    <n v="0"/>
    <n v="215"/>
    <x v="0"/>
    <n v="0"/>
    <n v="7"/>
    <n v="0"/>
    <n v="0"/>
    <n v="20.539000000000001"/>
    <n v="0"/>
    <n v="0"/>
    <n v="26.943778454971472"/>
    <m/>
    <m/>
    <n v="269615.45300000004"/>
    <n v="0"/>
    <n v="0"/>
    <n v="353690.97977841052"/>
    <n v="0"/>
    <n v="0"/>
  </r>
  <r>
    <s v="Sistema de Compensação"/>
    <x v="1"/>
    <x v="3"/>
    <x v="3"/>
    <x v="2"/>
    <x v="0"/>
    <x v="0"/>
    <x v="1"/>
    <x v="2"/>
    <n v="59"/>
    <n v="59"/>
    <n v="0"/>
    <n v="0"/>
    <n v="0"/>
    <n v="0"/>
    <n v="1"/>
    <x v="0"/>
    <n v="0"/>
    <n v="7"/>
    <n v="0"/>
    <n v="0"/>
    <n v="20.539000000000001"/>
    <n v="0"/>
    <n v="0"/>
    <n v="26.943778454971472"/>
    <m/>
    <m/>
    <n v="1211.8010000000002"/>
    <n v="0"/>
    <n v="0"/>
    <n v="1589.6829288433169"/>
    <n v="0"/>
    <n v="0"/>
  </r>
  <r>
    <s v="Regular"/>
    <x v="1"/>
    <x v="3"/>
    <x v="3"/>
    <x v="2"/>
    <x v="0"/>
    <x v="0"/>
    <x v="1"/>
    <x v="3"/>
    <n v="13536"/>
    <n v="13536"/>
    <n v="0"/>
    <n v="0"/>
    <n v="0"/>
    <n v="0"/>
    <n v="215"/>
    <x v="0"/>
    <n v="0"/>
    <n v="7"/>
    <n v="0"/>
    <n v="0"/>
    <n v="20.539000000000001"/>
    <n v="0"/>
    <n v="0"/>
    <n v="26.943778454971472"/>
    <m/>
    <m/>
    <n v="278015.90400000004"/>
    <n v="0"/>
    <n v="0"/>
    <n v="364710.98516649386"/>
    <n v="0"/>
    <n v="0"/>
  </r>
  <r>
    <s v="Sistema de Compensação"/>
    <x v="1"/>
    <x v="3"/>
    <x v="3"/>
    <x v="2"/>
    <x v="0"/>
    <x v="0"/>
    <x v="1"/>
    <x v="3"/>
    <n v="57"/>
    <n v="57"/>
    <n v="0"/>
    <n v="0"/>
    <n v="0"/>
    <n v="0"/>
    <n v="1"/>
    <x v="0"/>
    <n v="0"/>
    <n v="7"/>
    <n v="0"/>
    <n v="0"/>
    <n v="20.539000000000001"/>
    <n v="0"/>
    <n v="0"/>
    <n v="26.943778454971472"/>
    <m/>
    <m/>
    <n v="1170.7230000000002"/>
    <n v="0"/>
    <n v="0"/>
    <n v="1535.7953719333739"/>
    <n v="0"/>
    <n v="0"/>
  </r>
  <r>
    <s v="Regular"/>
    <x v="1"/>
    <x v="3"/>
    <x v="3"/>
    <x v="2"/>
    <x v="0"/>
    <x v="0"/>
    <x v="1"/>
    <x v="4"/>
    <n v="13015"/>
    <n v="13015"/>
    <n v="0"/>
    <n v="0"/>
    <n v="0"/>
    <n v="0"/>
    <n v="217"/>
    <x v="0"/>
    <n v="0"/>
    <n v="7"/>
    <n v="0"/>
    <n v="0"/>
    <n v="20.539000000000001"/>
    <n v="0"/>
    <n v="0"/>
    <n v="26.943778454971472"/>
    <m/>
    <m/>
    <n v="267315.08500000002"/>
    <n v="0"/>
    <n v="0"/>
    <n v="350673.2765914537"/>
    <n v="0"/>
    <n v="0"/>
  </r>
  <r>
    <s v="Sistema de Compensação"/>
    <x v="1"/>
    <x v="3"/>
    <x v="3"/>
    <x v="2"/>
    <x v="0"/>
    <x v="0"/>
    <x v="1"/>
    <x v="4"/>
    <n v="65"/>
    <n v="65"/>
    <n v="0"/>
    <n v="0"/>
    <n v="0"/>
    <n v="0"/>
    <n v="1"/>
    <x v="0"/>
    <n v="0"/>
    <n v="7"/>
    <n v="0"/>
    <n v="0"/>
    <n v="20.539000000000001"/>
    <n v="0"/>
    <n v="0"/>
    <n v="26.943778454971472"/>
    <m/>
    <m/>
    <n v="1335.0350000000001"/>
    <n v="0"/>
    <n v="0"/>
    <n v="1751.3455995731456"/>
    <n v="0"/>
    <n v="0"/>
  </r>
  <r>
    <s v="Regular"/>
    <x v="1"/>
    <x v="3"/>
    <x v="3"/>
    <x v="2"/>
    <x v="0"/>
    <x v="0"/>
    <x v="1"/>
    <x v="5"/>
    <n v="14089"/>
    <n v="14089"/>
    <n v="0"/>
    <n v="0"/>
    <n v="0"/>
    <n v="0"/>
    <n v="206"/>
    <x v="0"/>
    <n v="0"/>
    <n v="7"/>
    <n v="0"/>
    <n v="0"/>
    <n v="20.539000000000001"/>
    <n v="0"/>
    <n v="0"/>
    <n v="26.943778454971472"/>
    <m/>
    <m/>
    <n v="289373.97100000002"/>
    <n v="0"/>
    <n v="0"/>
    <n v="379610.89465209306"/>
    <n v="0"/>
    <n v="0"/>
  </r>
  <r>
    <s v="Sistema de Compensação"/>
    <x v="1"/>
    <x v="3"/>
    <x v="3"/>
    <x v="2"/>
    <x v="0"/>
    <x v="0"/>
    <x v="1"/>
    <x v="5"/>
    <n v="61"/>
    <n v="61"/>
    <n v="0"/>
    <n v="0"/>
    <n v="0"/>
    <n v="0"/>
    <n v="1"/>
    <x v="0"/>
    <n v="0"/>
    <n v="7"/>
    <n v="0"/>
    <n v="0"/>
    <n v="20.539000000000001"/>
    <n v="0"/>
    <n v="0"/>
    <n v="26.943778454971472"/>
    <m/>
    <m/>
    <n v="1252.8790000000001"/>
    <n v="0"/>
    <n v="0"/>
    <n v="1643.5704857532598"/>
    <n v="0"/>
    <n v="0"/>
  </r>
  <r>
    <s v="Regular"/>
    <x v="1"/>
    <x v="3"/>
    <x v="3"/>
    <x v="2"/>
    <x v="0"/>
    <x v="0"/>
    <x v="1"/>
    <x v="6"/>
    <n v="14911"/>
    <n v="14911"/>
    <n v="0"/>
    <n v="0"/>
    <n v="0"/>
    <n v="0"/>
    <n v="207"/>
    <x v="0"/>
    <n v="0"/>
    <n v="7"/>
    <n v="0"/>
    <n v="0"/>
    <n v="20.539000000000001"/>
    <n v="0"/>
    <n v="0"/>
    <n v="26.943778454971472"/>
    <m/>
    <m/>
    <n v="306257.02900000004"/>
    <n v="0"/>
    <n v="0"/>
    <n v="401758.68054207962"/>
    <n v="0"/>
    <n v="0"/>
  </r>
  <r>
    <s v="Refaturamento - Regular"/>
    <x v="1"/>
    <x v="3"/>
    <x v="3"/>
    <x v="2"/>
    <x v="0"/>
    <x v="0"/>
    <x v="1"/>
    <x v="6"/>
    <n v="91"/>
    <n v="91"/>
    <n v="0"/>
    <n v="0"/>
    <n v="0"/>
    <n v="0"/>
    <n v="1"/>
    <x v="0"/>
    <n v="0"/>
    <n v="7"/>
    <n v="0"/>
    <n v="0"/>
    <n v="20.539000000000001"/>
    <n v="0"/>
    <n v="0"/>
    <n v="26.943778454971472"/>
    <m/>
    <m/>
    <n v="1869.0490000000002"/>
    <n v="0"/>
    <n v="0"/>
    <n v="2451.8838394024037"/>
    <n v="0"/>
    <n v="0"/>
  </r>
  <r>
    <s v="Sistema de Compensação"/>
    <x v="1"/>
    <x v="3"/>
    <x v="3"/>
    <x v="2"/>
    <x v="0"/>
    <x v="0"/>
    <x v="1"/>
    <x v="6"/>
    <n v="60"/>
    <n v="60"/>
    <n v="0"/>
    <n v="0"/>
    <n v="0"/>
    <n v="0"/>
    <n v="1"/>
    <x v="0"/>
    <n v="0"/>
    <n v="7"/>
    <n v="0"/>
    <n v="0"/>
    <n v="20.539000000000001"/>
    <n v="0"/>
    <n v="0"/>
    <n v="26.943778454971472"/>
    <m/>
    <m/>
    <n v="1232.3400000000001"/>
    <n v="0"/>
    <n v="0"/>
    <n v="1616.6267072982882"/>
    <n v="0"/>
    <n v="0"/>
  </r>
  <r>
    <s v="Regular"/>
    <x v="1"/>
    <x v="3"/>
    <x v="3"/>
    <x v="2"/>
    <x v="0"/>
    <x v="0"/>
    <x v="1"/>
    <x v="7"/>
    <n v="15382"/>
    <n v="15382"/>
    <n v="0"/>
    <n v="0"/>
    <n v="0"/>
    <n v="0"/>
    <n v="207"/>
    <x v="0"/>
    <n v="0"/>
    <n v="7"/>
    <n v="0"/>
    <n v="0"/>
    <n v="20.539000000000001"/>
    <n v="0"/>
    <n v="0"/>
    <n v="26.943778454971472"/>
    <m/>
    <m/>
    <n v="315930.89800000004"/>
    <n v="0"/>
    <n v="0"/>
    <n v="414449.20019437117"/>
    <n v="0"/>
    <n v="0"/>
  </r>
  <r>
    <s v="Refaturamento - Regular"/>
    <x v="1"/>
    <x v="3"/>
    <x v="3"/>
    <x v="2"/>
    <x v="0"/>
    <x v="0"/>
    <x v="1"/>
    <x v="7"/>
    <n v="70"/>
    <n v="70"/>
    <n v="0"/>
    <n v="0"/>
    <n v="0"/>
    <n v="0"/>
    <n v="0"/>
    <x v="0"/>
    <n v="0"/>
    <n v="7"/>
    <n v="0"/>
    <n v="0"/>
    <n v="20.539000000000001"/>
    <n v="0"/>
    <n v="0"/>
    <n v="26.943778454971472"/>
    <m/>
    <m/>
    <n v="1437.73"/>
    <n v="0"/>
    <n v="0"/>
    <n v="1886.0644918480029"/>
    <n v="0"/>
    <n v="0"/>
  </r>
  <r>
    <s v="Sistema de Compensação"/>
    <x v="1"/>
    <x v="3"/>
    <x v="3"/>
    <x v="2"/>
    <x v="0"/>
    <x v="0"/>
    <x v="1"/>
    <x v="7"/>
    <n v="60"/>
    <n v="60"/>
    <n v="0"/>
    <n v="0"/>
    <n v="0"/>
    <n v="0"/>
    <n v="1"/>
    <x v="0"/>
    <n v="0"/>
    <n v="7"/>
    <n v="0"/>
    <n v="0"/>
    <n v="20.539000000000001"/>
    <n v="0"/>
    <n v="0"/>
    <n v="26.943778454971472"/>
    <m/>
    <m/>
    <n v="1232.3400000000001"/>
    <n v="0"/>
    <n v="0"/>
    <n v="1616.6267072982882"/>
    <n v="0"/>
    <n v="0"/>
  </r>
  <r>
    <s v="Regular"/>
    <x v="1"/>
    <x v="3"/>
    <x v="3"/>
    <x v="2"/>
    <x v="0"/>
    <x v="0"/>
    <x v="1"/>
    <x v="8"/>
    <n v="15474"/>
    <n v="15474"/>
    <n v="0"/>
    <n v="0"/>
    <n v="0"/>
    <n v="0"/>
    <n v="207"/>
    <x v="0"/>
    <n v="0"/>
    <n v="7"/>
    <n v="0"/>
    <n v="0"/>
    <n v="20.539000000000001"/>
    <n v="0"/>
    <n v="0"/>
    <n v="26.943778454971472"/>
    <m/>
    <m/>
    <n v="317820.48600000003"/>
    <n v="0"/>
    <n v="0"/>
    <n v="416928.02781222854"/>
    <n v="0"/>
    <n v="0"/>
  </r>
  <r>
    <s v="Sistema de Compensação"/>
    <x v="1"/>
    <x v="3"/>
    <x v="3"/>
    <x v="2"/>
    <x v="0"/>
    <x v="0"/>
    <x v="1"/>
    <x v="8"/>
    <n v="57"/>
    <n v="57"/>
    <n v="0"/>
    <n v="0"/>
    <n v="0"/>
    <n v="0"/>
    <n v="1"/>
    <x v="0"/>
    <n v="0"/>
    <n v="7"/>
    <n v="0"/>
    <n v="0"/>
    <n v="20.539000000000001"/>
    <n v="0"/>
    <n v="0"/>
    <n v="26.943778454971472"/>
    <m/>
    <m/>
    <n v="1170.7230000000002"/>
    <n v="0"/>
    <n v="0"/>
    <n v="1535.7953719333739"/>
    <n v="0"/>
    <n v="0"/>
  </r>
  <r>
    <s v="Regular"/>
    <x v="1"/>
    <x v="3"/>
    <x v="3"/>
    <x v="2"/>
    <x v="0"/>
    <x v="0"/>
    <x v="1"/>
    <x v="9"/>
    <n v="15164"/>
    <n v="15164"/>
    <n v="0"/>
    <n v="0"/>
    <n v="0"/>
    <n v="0"/>
    <n v="207"/>
    <x v="0"/>
    <n v="0"/>
    <n v="7"/>
    <n v="0"/>
    <n v="0"/>
    <n v="20.539000000000001"/>
    <n v="0"/>
    <n v="0"/>
    <n v="26.943778454971472"/>
    <m/>
    <m/>
    <n v="311453.39600000001"/>
    <n v="0"/>
    <n v="0"/>
    <n v="408575.45649118739"/>
    <n v="0"/>
    <n v="0"/>
  </r>
  <r>
    <s v="Sistema de Compensação"/>
    <x v="1"/>
    <x v="3"/>
    <x v="3"/>
    <x v="2"/>
    <x v="0"/>
    <x v="0"/>
    <x v="1"/>
    <x v="9"/>
    <n v="59"/>
    <n v="59"/>
    <n v="0"/>
    <n v="0"/>
    <n v="0"/>
    <n v="0"/>
    <n v="1"/>
    <x v="0"/>
    <n v="0"/>
    <n v="7"/>
    <n v="0"/>
    <n v="0"/>
    <n v="20.539000000000001"/>
    <n v="0"/>
    <n v="0"/>
    <n v="26.943778454971472"/>
    <m/>
    <m/>
    <n v="1211.8010000000002"/>
    <n v="0"/>
    <n v="0"/>
    <n v="1589.6829288433169"/>
    <n v="0"/>
    <n v="0"/>
  </r>
  <r>
    <s v="Regular"/>
    <x v="1"/>
    <x v="3"/>
    <x v="3"/>
    <x v="2"/>
    <x v="0"/>
    <x v="0"/>
    <x v="1"/>
    <x v="10"/>
    <n v="15309"/>
    <n v="15309"/>
    <n v="0"/>
    <n v="0"/>
    <n v="0"/>
    <n v="0"/>
    <n v="207"/>
    <x v="0"/>
    <n v="0"/>
    <n v="7"/>
    <n v="0"/>
    <n v="0"/>
    <n v="20.539000000000001"/>
    <n v="0"/>
    <n v="0"/>
    <n v="26.943778454971472"/>
    <m/>
    <m/>
    <n v="314431.55100000004"/>
    <n v="0"/>
    <n v="0"/>
    <n v="412482.30436715827"/>
    <n v="0"/>
    <n v="0"/>
  </r>
  <r>
    <s v="Sistema de Compensação"/>
    <x v="1"/>
    <x v="3"/>
    <x v="3"/>
    <x v="2"/>
    <x v="0"/>
    <x v="0"/>
    <x v="1"/>
    <x v="10"/>
    <n v="59"/>
    <n v="59"/>
    <n v="0"/>
    <n v="0"/>
    <n v="0"/>
    <n v="0"/>
    <n v="1"/>
    <x v="0"/>
    <n v="0"/>
    <n v="7"/>
    <n v="0"/>
    <n v="0"/>
    <n v="20.539000000000001"/>
    <n v="0"/>
    <n v="0"/>
    <n v="26.943778454971472"/>
    <m/>
    <m/>
    <n v="1211.8010000000002"/>
    <n v="0"/>
    <n v="0"/>
    <n v="1589.6829288433169"/>
    <n v="0"/>
    <n v="0"/>
  </r>
  <r>
    <s v="PROJETADO"/>
    <x v="1"/>
    <x v="3"/>
    <x v="3"/>
    <x v="2"/>
    <x v="0"/>
    <x v="0"/>
    <x v="1"/>
    <x v="11"/>
    <n v="15309"/>
    <n v="15309"/>
    <n v="0"/>
    <n v="0"/>
    <n v="0"/>
    <n v="0"/>
    <n v="207"/>
    <x v="0"/>
    <n v="0"/>
    <n v="7"/>
    <n v="0"/>
    <n v="0"/>
    <n v="20.539000000000001"/>
    <n v="0"/>
    <n v="0"/>
    <n v="26.943778454971472"/>
    <m/>
    <m/>
    <n v="314431.55100000004"/>
    <n v="0"/>
    <n v="0"/>
    <n v="412482.30436715827"/>
    <n v="0"/>
    <n v="0"/>
  </r>
  <r>
    <s v="PROJETADO"/>
    <x v="1"/>
    <x v="3"/>
    <x v="3"/>
    <x v="2"/>
    <x v="0"/>
    <x v="0"/>
    <x v="1"/>
    <x v="11"/>
    <n v="59"/>
    <n v="59"/>
    <n v="0"/>
    <n v="0"/>
    <n v="0"/>
    <n v="0"/>
    <n v="1"/>
    <x v="0"/>
    <n v="0"/>
    <n v="7"/>
    <n v="0"/>
    <n v="0"/>
    <n v="20.539000000000001"/>
    <n v="0"/>
    <n v="0"/>
    <n v="26.943778454971472"/>
    <m/>
    <m/>
    <n v="1211.8010000000002"/>
    <n v="0"/>
    <n v="0"/>
    <n v="1589.6829288433169"/>
    <n v="0"/>
    <n v="0"/>
  </r>
  <r>
    <s v="Regular"/>
    <x v="1"/>
    <x v="3"/>
    <x v="3"/>
    <x v="2"/>
    <x v="0"/>
    <x v="0"/>
    <x v="2"/>
    <x v="0"/>
    <n v="0"/>
    <n v="0"/>
    <n v="429.45600000000002"/>
    <n v="429.45600000000002"/>
    <n v="429.45600000000002"/>
    <n v="429.45600000000002"/>
    <n v="0"/>
    <x v="0"/>
    <n v="0"/>
    <n v="0"/>
    <n v="8"/>
    <n v="72"/>
    <n v="0"/>
    <n v="1464.2755999999999"/>
    <n v="325.8134"/>
    <m/>
    <n v="1880.2779638695415"/>
    <n v="428.44102227735561"/>
    <n v="0"/>
    <n v="628841.94207360002"/>
    <n v="139922.51951040002"/>
    <n v="0"/>
    <n v="807496.65325155784"/>
    <n v="183996.56766314403"/>
  </r>
  <r>
    <s v="Regular"/>
    <x v="1"/>
    <x v="3"/>
    <x v="3"/>
    <x v="2"/>
    <x v="0"/>
    <x v="0"/>
    <x v="2"/>
    <x v="1"/>
    <n v="0"/>
    <n v="0"/>
    <n v="406.90600000000001"/>
    <n v="406.90600000000001"/>
    <n v="406.90600000000001"/>
    <n v="406.90600000000001"/>
    <n v="0"/>
    <x v="0"/>
    <n v="0"/>
    <n v="0"/>
    <n v="8"/>
    <n v="72"/>
    <n v="0"/>
    <n v="1464.2755999999999"/>
    <n v="325.8134"/>
    <m/>
    <n v="1880.2779638695415"/>
    <n v="428.44102227735561"/>
    <n v="0"/>
    <n v="595822.52729360003"/>
    <n v="132575.4273404"/>
    <n v="0"/>
    <n v="765096.38516629965"/>
    <n v="174335.22261078967"/>
  </r>
  <r>
    <s v="Sistema de Compensação"/>
    <x v="1"/>
    <x v="3"/>
    <x v="3"/>
    <x v="2"/>
    <x v="0"/>
    <x v="0"/>
    <x v="2"/>
    <x v="1"/>
    <n v="0"/>
    <n v="0"/>
    <n v="2.1840000000000002"/>
    <n v="2.1840000000000002"/>
    <n v="2.1840000000000002"/>
    <n v="2.1840000000000002"/>
    <n v="0"/>
    <x v="0"/>
    <n v="0"/>
    <n v="0"/>
    <n v="8"/>
    <n v="72"/>
    <n v="0"/>
    <n v="1464.2755999999999"/>
    <n v="325.8134"/>
    <m/>
    <n v="1880.2779638695415"/>
    <n v="428.44102227735561"/>
    <n v="0"/>
    <n v="3197.9779103999999"/>
    <n v="711.57646560000001"/>
    <n v="0"/>
    <n v="4106.5270730910788"/>
    <n v="935.71519265374468"/>
  </r>
  <r>
    <s v="Regular"/>
    <x v="1"/>
    <x v="3"/>
    <x v="3"/>
    <x v="2"/>
    <x v="0"/>
    <x v="0"/>
    <x v="2"/>
    <x v="2"/>
    <n v="0"/>
    <n v="0"/>
    <n v="426.63900000000001"/>
    <n v="426.63900000000001"/>
    <n v="426.63900000000001"/>
    <n v="426.63900000000001"/>
    <n v="0"/>
    <x v="0"/>
    <n v="0"/>
    <n v="0"/>
    <n v="8"/>
    <n v="72"/>
    <n v="0"/>
    <n v="1464.2755999999999"/>
    <n v="325.8134"/>
    <m/>
    <n v="1880.2779638695415"/>
    <n v="428.44102227735561"/>
    <n v="0"/>
    <n v="624717.07770839997"/>
    <n v="139004.7031626"/>
    <n v="0"/>
    <n v="802199.91022733739"/>
    <n v="182789.64930338872"/>
  </r>
  <r>
    <s v="Sistema de Compensação"/>
    <x v="1"/>
    <x v="3"/>
    <x v="3"/>
    <x v="2"/>
    <x v="0"/>
    <x v="0"/>
    <x v="2"/>
    <x v="2"/>
    <n v="0"/>
    <n v="0"/>
    <n v="2.6219999999999999"/>
    <n v="2.6219999999999999"/>
    <n v="2.6219999999999999"/>
    <n v="2.6219999999999999"/>
    <n v="0"/>
    <x v="0"/>
    <n v="0"/>
    <n v="0"/>
    <n v="8"/>
    <n v="72"/>
    <n v="0"/>
    <n v="1464.2755999999999"/>
    <n v="325.8134"/>
    <m/>
    <n v="1880.2779638695415"/>
    <n v="428.44102227735561"/>
    <n v="0"/>
    <n v="3839.3306231999995"/>
    <n v="854.28273479999996"/>
    <n v="0"/>
    <n v="4930.0888212659374"/>
    <n v="1123.3723604112263"/>
  </r>
  <r>
    <s v="Regular"/>
    <x v="1"/>
    <x v="3"/>
    <x v="3"/>
    <x v="2"/>
    <x v="0"/>
    <x v="0"/>
    <x v="2"/>
    <x v="3"/>
    <n v="0"/>
    <n v="0"/>
    <n v="435.65199999999999"/>
    <n v="435.65199999999999"/>
    <n v="435.65199999999999"/>
    <n v="435.65199999999999"/>
    <n v="0"/>
    <x v="0"/>
    <n v="0"/>
    <n v="0"/>
    <n v="8"/>
    <n v="72"/>
    <n v="0"/>
    <n v="1464.2755999999999"/>
    <n v="325.8134"/>
    <m/>
    <n v="1880.2779638695415"/>
    <n v="428.44102227735561"/>
    <n v="0"/>
    <n v="637914.5936911999"/>
    <n v="141941.25933679999"/>
    <n v="0"/>
    <n v="819146.85551569343"/>
    <n v="186651.18823717453"/>
  </r>
  <r>
    <s v="Sistema de Compensação"/>
    <x v="1"/>
    <x v="3"/>
    <x v="3"/>
    <x v="2"/>
    <x v="0"/>
    <x v="0"/>
    <x v="2"/>
    <x v="3"/>
    <n v="0"/>
    <n v="0"/>
    <n v="2.7410000000000001"/>
    <n v="2.7410000000000001"/>
    <n v="2.7410000000000001"/>
    <n v="2.7410000000000001"/>
    <n v="0"/>
    <x v="0"/>
    <n v="0"/>
    <n v="0"/>
    <n v="8"/>
    <n v="72"/>
    <n v="0"/>
    <n v="1464.2755999999999"/>
    <n v="325.8134"/>
    <m/>
    <n v="1880.2779638695415"/>
    <n v="428.44102227735561"/>
    <n v="0"/>
    <n v="4013.5794196000002"/>
    <n v="893.05452940000009"/>
    <n v="0"/>
    <n v="5153.8418989664133"/>
    <n v="1174.3568420622319"/>
  </r>
  <r>
    <s v="Regular"/>
    <x v="1"/>
    <x v="3"/>
    <x v="3"/>
    <x v="2"/>
    <x v="0"/>
    <x v="0"/>
    <x v="2"/>
    <x v="4"/>
    <n v="0"/>
    <n v="0"/>
    <n v="408.01"/>
    <n v="408.01"/>
    <n v="408.01"/>
    <n v="408.01"/>
    <n v="0"/>
    <x v="0"/>
    <n v="0"/>
    <n v="0"/>
    <n v="8"/>
    <n v="72"/>
    <n v="0"/>
    <n v="1464.2755999999999"/>
    <n v="325.8134"/>
    <m/>
    <n v="1880.2779638695415"/>
    <n v="428.44102227735561"/>
    <n v="0"/>
    <n v="597439.08755599998"/>
    <n v="132935.12533400001"/>
    <n v="0"/>
    <n v="767172.21203841164"/>
    <n v="174808.22149938386"/>
  </r>
  <r>
    <s v="Sistema de Compensação"/>
    <x v="1"/>
    <x v="3"/>
    <x v="3"/>
    <x v="2"/>
    <x v="0"/>
    <x v="0"/>
    <x v="2"/>
    <x v="4"/>
    <n v="0"/>
    <n v="0"/>
    <n v="2.5739999999999998"/>
    <n v="2.5739999999999998"/>
    <n v="2.5739999999999998"/>
    <n v="2.5739999999999998"/>
    <n v="0"/>
    <x v="0"/>
    <n v="0"/>
    <n v="0"/>
    <n v="8"/>
    <n v="72"/>
    <n v="0"/>
    <n v="1464.2755999999999"/>
    <n v="325.8134"/>
    <m/>
    <n v="1880.2779638695415"/>
    <n v="428.44102227735561"/>
    <n v="0"/>
    <n v="3769.0453943999996"/>
    <n v="838.6436915999999"/>
    <n v="0"/>
    <n v="4839.8354790001995"/>
    <n v="1102.8071913419133"/>
  </r>
  <r>
    <s v="Regular"/>
    <x v="1"/>
    <x v="3"/>
    <x v="3"/>
    <x v="2"/>
    <x v="0"/>
    <x v="0"/>
    <x v="2"/>
    <x v="5"/>
    <n v="0"/>
    <n v="0"/>
    <n v="397.70100000000002"/>
    <n v="397.70100000000002"/>
    <n v="397.70100000000002"/>
    <n v="397.70100000000002"/>
    <n v="0"/>
    <x v="0"/>
    <n v="0"/>
    <n v="0"/>
    <n v="8"/>
    <n v="72"/>
    <n v="0"/>
    <n v="1464.2755999999999"/>
    <n v="325.8134"/>
    <m/>
    <n v="1880.2779638695415"/>
    <n v="428.44102227735561"/>
    <n v="0"/>
    <n v="582343.87039559998"/>
    <n v="129576.31499340001"/>
    <n v="0"/>
    <n v="747788.42650888057"/>
    <n v="170391.42300072662"/>
  </r>
  <r>
    <s v="Sistema de Compensação"/>
    <x v="1"/>
    <x v="3"/>
    <x v="3"/>
    <x v="2"/>
    <x v="0"/>
    <x v="0"/>
    <x v="2"/>
    <x v="5"/>
    <n v="0"/>
    <n v="0"/>
    <n v="2.9830000000000001"/>
    <n v="2.9830000000000001"/>
    <n v="2.9830000000000001"/>
    <n v="2.9830000000000001"/>
    <n v="0"/>
    <x v="0"/>
    <n v="0"/>
    <n v="0"/>
    <n v="8"/>
    <n v="72"/>
    <n v="0"/>
    <n v="1464.2755999999999"/>
    <n v="325.8134"/>
    <m/>
    <n v="1880.2779638695415"/>
    <n v="428.44102227735561"/>
    <n v="0"/>
    <n v="4367.9341148000003"/>
    <n v="971.90137220000008"/>
    <n v="0"/>
    <n v="5608.8691662228421"/>
    <n v="1278.0395694533518"/>
  </r>
  <r>
    <s v="Regular"/>
    <x v="1"/>
    <x v="3"/>
    <x v="3"/>
    <x v="2"/>
    <x v="0"/>
    <x v="0"/>
    <x v="2"/>
    <x v="6"/>
    <n v="0"/>
    <n v="0"/>
    <n v="385.101"/>
    <n v="385.101"/>
    <n v="385.101"/>
    <n v="385.101"/>
    <n v="0"/>
    <x v="0"/>
    <n v="0"/>
    <n v="0"/>
    <n v="8"/>
    <n v="72"/>
    <n v="0"/>
    <n v="1464.2755999999999"/>
    <n v="325.8134"/>
    <m/>
    <n v="1880.2779638695415"/>
    <n v="428.44102227735561"/>
    <n v="0"/>
    <n v="563893.99783559993"/>
    <n v="125471.0661534"/>
    <n v="0"/>
    <n v="724096.9241641243"/>
    <n v="164993.06612003193"/>
  </r>
  <r>
    <s v="Refaturamento - Regular"/>
    <x v="1"/>
    <x v="3"/>
    <x v="3"/>
    <x v="2"/>
    <x v="0"/>
    <x v="0"/>
    <x v="2"/>
    <x v="6"/>
    <n v="0"/>
    <n v="0"/>
    <n v="0.19"/>
    <n v="0.19"/>
    <n v="0.19"/>
    <n v="0.19"/>
    <n v="0"/>
    <x v="0"/>
    <n v="0"/>
    <n v="0"/>
    <n v="8"/>
    <n v="72"/>
    <n v="0"/>
    <n v="1464.2755999999999"/>
    <n v="325.8134"/>
    <m/>
    <n v="1880.2779638695415"/>
    <n v="428.44102227735561"/>
    <n v="0"/>
    <n v="278.21236399999998"/>
    <n v="61.904546000000003"/>
    <n v="0"/>
    <n v="357.25281313521288"/>
    <n v="81.403794232697564"/>
  </r>
  <r>
    <s v="Sistema de Compensação"/>
    <x v="1"/>
    <x v="3"/>
    <x v="3"/>
    <x v="2"/>
    <x v="0"/>
    <x v="0"/>
    <x v="2"/>
    <x v="6"/>
    <n v="0"/>
    <n v="0"/>
    <n v="2.0249999999999999"/>
    <n v="2.0249999999999999"/>
    <n v="2.0249999999999999"/>
    <n v="2.0249999999999999"/>
    <n v="0"/>
    <x v="0"/>
    <n v="0"/>
    <n v="0"/>
    <n v="8"/>
    <n v="72"/>
    <n v="0"/>
    <n v="1464.2755999999999"/>
    <n v="325.8134"/>
    <m/>
    <n v="1880.2779638695415"/>
    <n v="428.44102227735561"/>
    <n v="0"/>
    <n v="2965.1580899999999"/>
    <n v="659.77213499999993"/>
    <n v="0"/>
    <n v="3807.5628768358215"/>
    <n v="867.59307011164503"/>
  </r>
  <r>
    <s v="Regular"/>
    <x v="1"/>
    <x v="3"/>
    <x v="3"/>
    <x v="2"/>
    <x v="0"/>
    <x v="0"/>
    <x v="2"/>
    <x v="7"/>
    <n v="0"/>
    <n v="0"/>
    <n v="442.82"/>
    <n v="442.82"/>
    <n v="442.82"/>
    <n v="442.82"/>
    <n v="0"/>
    <x v="0"/>
    <n v="0"/>
    <n v="0"/>
    <n v="8"/>
    <n v="72"/>
    <n v="0"/>
    <n v="1464.2755999999999"/>
    <n v="325.8134"/>
    <m/>
    <n v="1880.2779638695415"/>
    <n v="428.44102227735561"/>
    <n v="0"/>
    <n v="648410.52119200001"/>
    <n v="144276.68978799999"/>
    <n v="0"/>
    <n v="832624.68796071038"/>
    <n v="189722.25348485861"/>
  </r>
  <r>
    <s v="Refaturamento - Regular"/>
    <x v="1"/>
    <x v="3"/>
    <x v="3"/>
    <x v="2"/>
    <x v="0"/>
    <x v="0"/>
    <x v="2"/>
    <x v="7"/>
    <n v="0"/>
    <n v="0"/>
    <n v="8.7999999999999995E-2"/>
    <n v="8.7999999999999995E-2"/>
    <n v="8.7999999999999995E-2"/>
    <n v="8.7999999999999995E-2"/>
    <n v="0"/>
    <x v="0"/>
    <n v="0"/>
    <n v="0"/>
    <n v="8"/>
    <n v="72"/>
    <n v="0"/>
    <n v="1464.2755999999999"/>
    <n v="325.8134"/>
    <m/>
    <n v="1880.2779638695415"/>
    <n v="428.44102227735561"/>
    <n v="0"/>
    <n v="128.85625279999999"/>
    <n v="28.6715792"/>
    <n v="0"/>
    <n v="165.46446082051963"/>
    <n v="37.702809960407293"/>
  </r>
  <r>
    <s v="Sistema de Compensação"/>
    <x v="1"/>
    <x v="3"/>
    <x v="3"/>
    <x v="2"/>
    <x v="0"/>
    <x v="0"/>
    <x v="2"/>
    <x v="7"/>
    <n v="0"/>
    <n v="0"/>
    <n v="3.5739999999999998"/>
    <n v="3.5739999999999998"/>
    <n v="3.5739999999999998"/>
    <n v="3.5739999999999998"/>
    <n v="0"/>
    <x v="0"/>
    <n v="0"/>
    <n v="0"/>
    <n v="8"/>
    <n v="72"/>
    <n v="0"/>
    <n v="1464.2755999999999"/>
    <n v="325.8134"/>
    <m/>
    <n v="1880.2779638695415"/>
    <n v="428.44102227735561"/>
    <n v="0"/>
    <n v="5233.3209943999991"/>
    <n v="1164.4570916"/>
    <n v="0"/>
    <n v="6720.1134428697414"/>
    <n v="1531.2482136192689"/>
  </r>
  <r>
    <s v="Regular"/>
    <x v="1"/>
    <x v="3"/>
    <x v="3"/>
    <x v="2"/>
    <x v="0"/>
    <x v="0"/>
    <x v="2"/>
    <x v="8"/>
    <n v="0"/>
    <n v="0"/>
    <n v="402.59899999999999"/>
    <n v="402.59899999999999"/>
    <n v="402.59899999999999"/>
    <n v="402.59899999999999"/>
    <n v="0"/>
    <x v="0"/>
    <n v="0"/>
    <n v="0"/>
    <n v="8"/>
    <n v="72"/>
    <n v="0"/>
    <n v="1464.2755999999999"/>
    <n v="325.8134"/>
    <m/>
    <n v="1880.2779638695415"/>
    <n v="428.44102227735561"/>
    <n v="0"/>
    <n v="589515.89228439995"/>
    <n v="131172.1490266"/>
    <n v="0"/>
    <n v="756998.02797591349"/>
    <n v="172489.92712784107"/>
  </r>
  <r>
    <s v="Sistema de Compensação"/>
    <x v="1"/>
    <x v="3"/>
    <x v="3"/>
    <x v="2"/>
    <x v="0"/>
    <x v="0"/>
    <x v="2"/>
    <x v="8"/>
    <n v="0"/>
    <n v="0"/>
    <n v="3.2610000000000001"/>
    <n v="3.2610000000000001"/>
    <n v="3.2610000000000001"/>
    <n v="3.2610000000000001"/>
    <n v="0"/>
    <x v="0"/>
    <n v="0"/>
    <n v="0"/>
    <n v="8"/>
    <n v="72"/>
    <n v="0"/>
    <n v="1464.2755999999999"/>
    <n v="325.8134"/>
    <m/>
    <n v="1880.2779638695415"/>
    <n v="428.44102227735561"/>
    <n v="0"/>
    <n v="4775.0027315999996"/>
    <n v="1062.4774973999999"/>
    <n v="0"/>
    <n v="6131.5864401785748"/>
    <n v="1397.1461736464566"/>
  </r>
  <r>
    <s v="Regular"/>
    <x v="1"/>
    <x v="3"/>
    <x v="3"/>
    <x v="2"/>
    <x v="0"/>
    <x v="0"/>
    <x v="2"/>
    <x v="9"/>
    <n v="0"/>
    <n v="0"/>
    <n v="375.17599999999999"/>
    <n v="375.17599999999999"/>
    <n v="375.17599999999999"/>
    <n v="375.17599999999999"/>
    <n v="0"/>
    <x v="0"/>
    <n v="0"/>
    <n v="0"/>
    <n v="8"/>
    <n v="72"/>
    <n v="0"/>
    <n v="1464.2755999999999"/>
    <n v="325.8134"/>
    <m/>
    <n v="1880.2779638695415"/>
    <n v="428.44102227735561"/>
    <n v="0"/>
    <n v="549361.06250559993"/>
    <n v="122237.3681584"/>
    <n v="0"/>
    <n v="705435.16537271906"/>
    <n v="160740.78897392916"/>
  </r>
  <r>
    <s v="Sistema de Compensação"/>
    <x v="1"/>
    <x v="3"/>
    <x v="3"/>
    <x v="2"/>
    <x v="0"/>
    <x v="0"/>
    <x v="2"/>
    <x v="9"/>
    <n v="0"/>
    <n v="0"/>
    <n v="1.9770000000000001"/>
    <n v="1.9770000000000001"/>
    <n v="1.9770000000000001"/>
    <n v="1.9770000000000001"/>
    <n v="0"/>
    <x v="0"/>
    <n v="0"/>
    <n v="0"/>
    <n v="8"/>
    <n v="72"/>
    <n v="0"/>
    <n v="1464.2755999999999"/>
    <n v="325.8134"/>
    <m/>
    <n v="1880.2779638695415"/>
    <n v="428.44102227735561"/>
    <n v="0"/>
    <n v="2894.8728612"/>
    <n v="644.13309179999999"/>
    <n v="0"/>
    <n v="3717.3095345700835"/>
    <n v="847.02790104233213"/>
  </r>
  <r>
    <s v="Regular"/>
    <x v="1"/>
    <x v="3"/>
    <x v="3"/>
    <x v="2"/>
    <x v="0"/>
    <x v="0"/>
    <x v="2"/>
    <x v="10"/>
    <n v="0"/>
    <n v="0"/>
    <n v="440.09699999999998"/>
    <n v="440.09699999999998"/>
    <n v="440.09699999999998"/>
    <n v="440.09699999999998"/>
    <n v="0"/>
    <x v="0"/>
    <n v="0"/>
    <n v="0"/>
    <n v="8"/>
    <n v="72"/>
    <n v="0"/>
    <n v="1464.2755999999999"/>
    <n v="325.8134"/>
    <m/>
    <n v="1880.2779638695415"/>
    <n v="428.44102227735561"/>
    <n v="0"/>
    <n v="644423.29873319995"/>
    <n v="143389.49989979999"/>
    <n v="0"/>
    <n v="827504.69106509362"/>
    <n v="188555.60858119736"/>
  </r>
  <r>
    <s v="Sistema de Compensação"/>
    <x v="1"/>
    <x v="3"/>
    <x v="3"/>
    <x v="2"/>
    <x v="0"/>
    <x v="0"/>
    <x v="2"/>
    <x v="10"/>
    <n v="0"/>
    <n v="0"/>
    <n v="3.238"/>
    <n v="3.238"/>
    <n v="3.238"/>
    <n v="3.238"/>
    <n v="0"/>
    <x v="0"/>
    <n v="0"/>
    <n v="0"/>
    <n v="8"/>
    <n v="72"/>
    <n v="0"/>
    <n v="1464.2755999999999"/>
    <n v="325.8134"/>
    <m/>
    <n v="1880.2779638695415"/>
    <n v="428.44102227735561"/>
    <n v="0"/>
    <n v="4741.3243928000002"/>
    <n v="1054.9837892"/>
    <n v="0"/>
    <n v="6088.3400470095758"/>
    <n v="1387.2920301340775"/>
  </r>
  <r>
    <s v="PROJETADO"/>
    <x v="1"/>
    <x v="3"/>
    <x v="3"/>
    <x v="2"/>
    <x v="0"/>
    <x v="0"/>
    <x v="2"/>
    <x v="11"/>
    <n v="0"/>
    <n v="0"/>
    <n v="440.09699999999998"/>
    <n v="440.09699999999998"/>
    <n v="440.09699999999998"/>
    <n v="440.09699999999998"/>
    <n v="0"/>
    <x v="0"/>
    <n v="0"/>
    <n v="0"/>
    <n v="8"/>
    <n v="72"/>
    <n v="0"/>
    <n v="1464.2755999999999"/>
    <n v="325.8134"/>
    <m/>
    <n v="1880.2779638695415"/>
    <n v="428.44102227735561"/>
    <n v="0"/>
    <n v="644423.29873319995"/>
    <n v="143389.49989979999"/>
    <n v="0"/>
    <n v="827504.69106509362"/>
    <n v="188555.60858119736"/>
  </r>
  <r>
    <s v="PROJETADO"/>
    <x v="1"/>
    <x v="3"/>
    <x v="3"/>
    <x v="2"/>
    <x v="0"/>
    <x v="0"/>
    <x v="2"/>
    <x v="11"/>
    <n v="0"/>
    <n v="0"/>
    <n v="3.238"/>
    <n v="3.238"/>
    <n v="3.238"/>
    <n v="3.238"/>
    <n v="0"/>
    <x v="0"/>
    <n v="0"/>
    <n v="0"/>
    <n v="8"/>
    <n v="72"/>
    <n v="0"/>
    <n v="1464.2755999999999"/>
    <n v="325.8134"/>
    <m/>
    <n v="1880.2779638695415"/>
    <n v="428.44102227735561"/>
    <n v="0"/>
    <n v="4741.3243928000002"/>
    <n v="1054.9837892"/>
    <n v="0"/>
    <n v="6088.3400470095758"/>
    <n v="1387.2920301340775"/>
  </r>
  <r>
    <s v="Regular"/>
    <x v="2"/>
    <x v="4"/>
    <x v="7"/>
    <x v="3"/>
    <x v="0"/>
    <x v="0"/>
    <x v="0"/>
    <x v="0"/>
    <n v="0"/>
    <n v="0"/>
    <n v="63.302"/>
    <n v="63.302"/>
    <n v="63.302"/>
    <n v="63.302"/>
    <n v="0"/>
    <x v="0"/>
    <n v="0"/>
    <n v="0"/>
    <n v="12"/>
    <n v="52"/>
    <n v="0"/>
    <n v="304.7"/>
    <n v="219.97"/>
    <m/>
    <n v="379.45760801787162"/>
    <n v="283.40928728637363"/>
    <n v="0"/>
    <n v="19288.1194"/>
    <n v="13924.540939999999"/>
    <n v="0"/>
    <n v="24020.425502747308"/>
    <n v="17940.374703802023"/>
  </r>
  <r>
    <s v="Sistema de Compensação"/>
    <x v="2"/>
    <x v="4"/>
    <x v="7"/>
    <x v="3"/>
    <x v="0"/>
    <x v="0"/>
    <x v="0"/>
    <x v="0"/>
    <n v="0"/>
    <n v="0"/>
    <n v="0.182"/>
    <n v="0.182"/>
    <n v="0.182"/>
    <n v="0.182"/>
    <n v="0"/>
    <x v="0"/>
    <n v="0"/>
    <n v="0"/>
    <n v="12"/>
    <n v="52"/>
    <n v="0"/>
    <n v="304.7"/>
    <n v="219.97"/>
    <m/>
    <n v="379.45760801787162"/>
    <n v="283.40928728637363"/>
    <n v="0"/>
    <n v="55.455399999999997"/>
    <n v="40.03454"/>
    <n v="0"/>
    <n v="69.061284659252635"/>
    <n v="51.580490286119996"/>
  </r>
  <r>
    <s v="Regular"/>
    <x v="2"/>
    <x v="4"/>
    <x v="7"/>
    <x v="3"/>
    <x v="0"/>
    <x v="0"/>
    <x v="0"/>
    <x v="1"/>
    <n v="0"/>
    <n v="0"/>
    <n v="55.173000000000002"/>
    <n v="55.173000000000002"/>
    <n v="55.173000000000002"/>
    <n v="55.173000000000002"/>
    <n v="0"/>
    <x v="0"/>
    <n v="0"/>
    <n v="0"/>
    <n v="12"/>
    <n v="52"/>
    <n v="0"/>
    <n v="304.7"/>
    <n v="219.97"/>
    <m/>
    <n v="379.45760801787162"/>
    <n v="283.40928728637363"/>
    <n v="0"/>
    <n v="16811.213100000001"/>
    <n v="12136.40481"/>
    <n v="0"/>
    <n v="20935.814607170032"/>
    <n v="15636.540607451092"/>
  </r>
  <r>
    <s v="Refaturamento - Regular"/>
    <x v="2"/>
    <x v="4"/>
    <x v="7"/>
    <x v="3"/>
    <x v="0"/>
    <x v="0"/>
    <x v="0"/>
    <x v="1"/>
    <n v="0"/>
    <n v="0"/>
    <n v="-0.879"/>
    <n v="-0.879"/>
    <n v="-0.879"/>
    <n v="-0.879"/>
    <n v="0"/>
    <x v="0"/>
    <n v="0"/>
    <n v="0"/>
    <n v="12"/>
    <n v="52"/>
    <n v="0"/>
    <n v="304.7"/>
    <n v="219.97"/>
    <m/>
    <n v="379.45760801787162"/>
    <n v="283.40928728637363"/>
    <n v="0"/>
    <n v="-267.8313"/>
    <n v="-193.35363000000001"/>
    <n v="0"/>
    <n v="-333.54323744770915"/>
    <n v="-249.11676352472242"/>
  </r>
  <r>
    <s v="Sistema de Compensação"/>
    <x v="2"/>
    <x v="4"/>
    <x v="7"/>
    <x v="3"/>
    <x v="0"/>
    <x v="0"/>
    <x v="0"/>
    <x v="1"/>
    <n v="0"/>
    <n v="0"/>
    <n v="3.5999999999999997E-2"/>
    <n v="3.5999999999999997E-2"/>
    <n v="3.5999999999999997E-2"/>
    <n v="3.5999999999999997E-2"/>
    <n v="0"/>
    <x v="0"/>
    <n v="0"/>
    <n v="0"/>
    <n v="12"/>
    <n v="52"/>
    <n v="0"/>
    <n v="304.7"/>
    <n v="219.97"/>
    <m/>
    <n v="379.45760801787162"/>
    <n v="283.40928728637363"/>
    <n v="0"/>
    <n v="10.969199999999999"/>
    <n v="7.9189199999999991"/>
    <n v="0"/>
    <n v="13.660473888643377"/>
    <n v="10.20273434230945"/>
  </r>
  <r>
    <s v="Regular"/>
    <x v="2"/>
    <x v="4"/>
    <x v="7"/>
    <x v="3"/>
    <x v="0"/>
    <x v="0"/>
    <x v="0"/>
    <x v="2"/>
    <n v="0"/>
    <n v="0"/>
    <n v="49.68"/>
    <n v="49.68"/>
    <n v="49.68"/>
    <n v="49.68"/>
    <n v="0"/>
    <x v="0"/>
    <n v="0"/>
    <n v="0"/>
    <n v="12"/>
    <n v="52"/>
    <n v="0"/>
    <n v="304.7"/>
    <n v="219.97"/>
    <m/>
    <n v="379.45760801787162"/>
    <n v="283.40928728637363"/>
    <n v="0"/>
    <n v="15137.495999999999"/>
    <n v="10928.1096"/>
    <n v="0"/>
    <n v="18851.453966327863"/>
    <n v="14079.773392387042"/>
  </r>
  <r>
    <s v="Refaturamento - Regular"/>
    <x v="2"/>
    <x v="4"/>
    <x v="7"/>
    <x v="3"/>
    <x v="0"/>
    <x v="0"/>
    <x v="0"/>
    <x v="2"/>
    <n v="0"/>
    <n v="0"/>
    <n v="-0.13900000000000001"/>
    <n v="-0.13900000000000001"/>
    <n v="-0.13900000000000001"/>
    <n v="-0.13900000000000001"/>
    <n v="0"/>
    <x v="0"/>
    <n v="0"/>
    <n v="0"/>
    <n v="12"/>
    <n v="52"/>
    <n v="0"/>
    <n v="304.7"/>
    <n v="219.97"/>
    <m/>
    <n v="379.45760801787162"/>
    <n v="283.40928728637363"/>
    <n v="0"/>
    <n v="-42.353300000000004"/>
    <n v="-30.575830000000003"/>
    <n v="0"/>
    <n v="-52.744607514484159"/>
    <n v="-39.393890932805938"/>
  </r>
  <r>
    <s v="Sistema de Compensação"/>
    <x v="2"/>
    <x v="4"/>
    <x v="7"/>
    <x v="3"/>
    <x v="0"/>
    <x v="0"/>
    <x v="0"/>
    <x v="2"/>
    <n v="0"/>
    <n v="0"/>
    <n v="0.442"/>
    <n v="0.442"/>
    <n v="0.442"/>
    <n v="0.442"/>
    <n v="0"/>
    <x v="0"/>
    <n v="0"/>
    <n v="0"/>
    <n v="12"/>
    <n v="52"/>
    <n v="0"/>
    <n v="304.7"/>
    <n v="219.97"/>
    <m/>
    <n v="379.45760801787162"/>
    <n v="283.40928728637363"/>
    <n v="0"/>
    <n v="134.67740000000001"/>
    <n v="97.226740000000007"/>
    <n v="0"/>
    <n v="167.72026274389927"/>
    <n v="125.26690498057714"/>
  </r>
  <r>
    <s v="Regular"/>
    <x v="2"/>
    <x v="4"/>
    <x v="7"/>
    <x v="3"/>
    <x v="0"/>
    <x v="0"/>
    <x v="0"/>
    <x v="3"/>
    <n v="0"/>
    <n v="0"/>
    <n v="47.259"/>
    <n v="47.259"/>
    <n v="47.259"/>
    <n v="47.259"/>
    <n v="0"/>
    <x v="0"/>
    <n v="0"/>
    <n v="0"/>
    <n v="12"/>
    <n v="52"/>
    <n v="0"/>
    <n v="304.7"/>
    <n v="219.97"/>
    <m/>
    <n v="379.45760801787162"/>
    <n v="283.40928728637363"/>
    <n v="0"/>
    <n v="14399.817299999999"/>
    <n v="10395.56223"/>
    <n v="0"/>
    <n v="17932.787097316595"/>
    <n v="13393.639507866732"/>
  </r>
  <r>
    <s v="Refaturamento - Regular"/>
    <x v="2"/>
    <x v="4"/>
    <x v="7"/>
    <x v="3"/>
    <x v="0"/>
    <x v="0"/>
    <x v="0"/>
    <x v="3"/>
    <n v="0"/>
    <n v="0"/>
    <n v="0.191"/>
    <n v="0.191"/>
    <n v="0.191"/>
    <n v="0.191"/>
    <n v="0"/>
    <x v="0"/>
    <n v="0"/>
    <n v="0"/>
    <n v="12"/>
    <n v="52"/>
    <n v="0"/>
    <n v="304.7"/>
    <n v="219.97"/>
    <m/>
    <n v="379.45760801787162"/>
    <n v="283.40928728637363"/>
    <n v="0"/>
    <n v="58.197699999999998"/>
    <n v="42.014270000000003"/>
    <n v="0"/>
    <n v="72.476403131413477"/>
    <n v="54.131173871697364"/>
  </r>
  <r>
    <s v="Regular"/>
    <x v="2"/>
    <x v="4"/>
    <x v="7"/>
    <x v="3"/>
    <x v="0"/>
    <x v="0"/>
    <x v="0"/>
    <x v="4"/>
    <n v="0"/>
    <n v="0"/>
    <n v="52.165999999999997"/>
    <n v="52.165999999999997"/>
    <n v="52.165999999999997"/>
    <n v="52.165999999999997"/>
    <n v="0"/>
    <x v="0"/>
    <n v="0"/>
    <n v="0"/>
    <n v="12"/>
    <n v="52"/>
    <n v="0"/>
    <n v="304.7"/>
    <n v="219.97"/>
    <m/>
    <n v="379.45760801787162"/>
    <n v="283.40928728637363"/>
    <n v="0"/>
    <n v="15894.980199999998"/>
    <n v="11474.955019999999"/>
    <n v="0"/>
    <n v="19794.78557986029"/>
    <n v="14784.328880580966"/>
  </r>
  <r>
    <s v="Sistema de Compensação"/>
    <x v="2"/>
    <x v="4"/>
    <x v="7"/>
    <x v="3"/>
    <x v="0"/>
    <x v="0"/>
    <x v="0"/>
    <x v="4"/>
    <n v="0"/>
    <n v="0"/>
    <n v="4.9000000000000002E-2"/>
    <n v="4.9000000000000002E-2"/>
    <n v="4.9000000000000002E-2"/>
    <n v="4.9000000000000002E-2"/>
    <n v="0"/>
    <x v="0"/>
    <n v="0"/>
    <n v="0"/>
    <n v="12"/>
    <n v="52"/>
    <n v="0"/>
    <n v="304.7"/>
    <n v="219.97"/>
    <m/>
    <n v="379.45760801787162"/>
    <n v="283.40928728637363"/>
    <n v="0"/>
    <n v="14.930300000000001"/>
    <n v="10.77853"/>
    <n v="0"/>
    <n v="18.59342279287571"/>
    <n v="13.887055077032308"/>
  </r>
  <r>
    <s v="Regular"/>
    <x v="2"/>
    <x v="4"/>
    <x v="7"/>
    <x v="3"/>
    <x v="0"/>
    <x v="0"/>
    <x v="0"/>
    <x v="5"/>
    <n v="0"/>
    <n v="0"/>
    <n v="55.752000000000002"/>
    <n v="55.752000000000002"/>
    <n v="55.752000000000002"/>
    <n v="55.752000000000002"/>
    <n v="0"/>
    <x v="0"/>
    <n v="0"/>
    <n v="0"/>
    <n v="12"/>
    <n v="52"/>
    <n v="0"/>
    <n v="304.7"/>
    <n v="219.97"/>
    <m/>
    <n v="379.45760801787162"/>
    <n v="283.40928728637363"/>
    <n v="0"/>
    <n v="16987.634399999999"/>
    <n v="12263.76744"/>
    <n v="0"/>
    <n v="21155.520562212379"/>
    <n v="15800.634584789903"/>
  </r>
  <r>
    <s v="Sistema de Compensação"/>
    <x v="2"/>
    <x v="4"/>
    <x v="7"/>
    <x v="3"/>
    <x v="0"/>
    <x v="0"/>
    <x v="0"/>
    <x v="5"/>
    <n v="0"/>
    <n v="0"/>
    <n v="2.5999999999999999E-2"/>
    <n v="2.5999999999999999E-2"/>
    <n v="2.5999999999999999E-2"/>
    <n v="2.5999999999999999E-2"/>
    <n v="0"/>
    <x v="0"/>
    <n v="0"/>
    <n v="0"/>
    <n v="12"/>
    <n v="52"/>
    <n v="0"/>
    <n v="304.7"/>
    <n v="219.97"/>
    <m/>
    <n v="379.45760801787162"/>
    <n v="283.40928728637363"/>
    <n v="0"/>
    <n v="7.9221999999999992"/>
    <n v="5.71922"/>
    <n v="0"/>
    <n v="9.8658978084646609"/>
    <n v="7.3686414694457136"/>
  </r>
  <r>
    <s v="Regular"/>
    <x v="2"/>
    <x v="4"/>
    <x v="7"/>
    <x v="3"/>
    <x v="0"/>
    <x v="0"/>
    <x v="0"/>
    <x v="6"/>
    <n v="0"/>
    <n v="0"/>
    <n v="58.466999999999999"/>
    <n v="58.466999999999999"/>
    <n v="58.466999999999999"/>
    <n v="58.466999999999999"/>
    <n v="0"/>
    <x v="0"/>
    <n v="0"/>
    <n v="0"/>
    <n v="12"/>
    <n v="52"/>
    <n v="0"/>
    <n v="304.7"/>
    <n v="219.97"/>
    <m/>
    <n v="379.45760801787162"/>
    <n v="283.40928728637363"/>
    <n v="0"/>
    <n v="17814.894899999999"/>
    <n v="12860.985989999999"/>
    <n v="0"/>
    <n v="22185.7479679809"/>
    <n v="16570.090799772406"/>
  </r>
  <r>
    <s v="Refaturamento - Regular"/>
    <x v="2"/>
    <x v="4"/>
    <x v="7"/>
    <x v="3"/>
    <x v="0"/>
    <x v="0"/>
    <x v="0"/>
    <x v="6"/>
    <n v="0"/>
    <n v="0"/>
    <n v="-0.255"/>
    <n v="-0.255"/>
    <n v="-0.255"/>
    <n v="-0.255"/>
    <n v="0"/>
    <x v="0"/>
    <n v="0"/>
    <n v="0"/>
    <n v="12"/>
    <n v="52"/>
    <n v="0"/>
    <n v="304.7"/>
    <n v="219.97"/>
    <m/>
    <n v="379.45760801787162"/>
    <n v="283.40928728637363"/>
    <n v="0"/>
    <n v="-77.698499999999996"/>
    <n v="-56.092350000000003"/>
    <n v="0"/>
    <n v="-96.76169004455727"/>
    <n v="-72.269368258025281"/>
  </r>
  <r>
    <s v="Sistema de Compensação"/>
    <x v="2"/>
    <x v="4"/>
    <x v="7"/>
    <x v="3"/>
    <x v="0"/>
    <x v="0"/>
    <x v="0"/>
    <x v="6"/>
    <n v="0"/>
    <n v="0"/>
    <n v="0.107"/>
    <n v="0.107"/>
    <n v="0.107"/>
    <n v="0.107"/>
    <n v="0"/>
    <x v="0"/>
    <n v="0"/>
    <n v="0"/>
    <n v="12"/>
    <n v="52"/>
    <n v="0"/>
    <n v="304.7"/>
    <n v="219.97"/>
    <m/>
    <n v="379.45760801787162"/>
    <n v="283.40928728637363"/>
    <n v="0"/>
    <n v="32.602899999999998"/>
    <n v="23.53679"/>
    <n v="0"/>
    <n v="40.601964057912262"/>
    <n v="30.324793739641976"/>
  </r>
  <r>
    <s v="Regular"/>
    <x v="2"/>
    <x v="4"/>
    <x v="7"/>
    <x v="3"/>
    <x v="0"/>
    <x v="0"/>
    <x v="0"/>
    <x v="7"/>
    <n v="0"/>
    <n v="0"/>
    <n v="61.220999999999997"/>
    <n v="61.220999999999997"/>
    <n v="61.220999999999997"/>
    <n v="61.220999999999997"/>
    <n v="0"/>
    <x v="0"/>
    <n v="0"/>
    <n v="0"/>
    <n v="12"/>
    <n v="52"/>
    <n v="0"/>
    <n v="304.7"/>
    <n v="219.97"/>
    <m/>
    <n v="379.45760801787162"/>
    <n v="283.40928728637363"/>
    <n v="0"/>
    <n v="18654.038699999997"/>
    <n v="13466.783369999999"/>
    <n v="0"/>
    <n v="23230.774220462117"/>
    <n v="17350.599976959078"/>
  </r>
  <r>
    <s v="Refaturamento - Regular"/>
    <x v="2"/>
    <x v="4"/>
    <x v="7"/>
    <x v="3"/>
    <x v="0"/>
    <x v="0"/>
    <x v="0"/>
    <x v="7"/>
    <n v="0"/>
    <n v="0"/>
    <n v="-0.14499999999999999"/>
    <n v="-0.14499999999999999"/>
    <n v="-0.14499999999999999"/>
    <n v="-0.14499999999999999"/>
    <n v="0"/>
    <x v="0"/>
    <n v="0"/>
    <n v="0"/>
    <n v="12"/>
    <n v="52"/>
    <n v="0"/>
    <n v="304.7"/>
    <n v="219.97"/>
    <m/>
    <n v="379.45760801787162"/>
    <n v="283.40928728637363"/>
    <n v="0"/>
    <n v="-44.181499999999993"/>
    <n v="-31.895649999999996"/>
    <n v="0"/>
    <n v="-55.021353162591382"/>
    <n v="-41.094346656524174"/>
  </r>
  <r>
    <s v="Sistema de Compensação"/>
    <x v="2"/>
    <x v="4"/>
    <x v="7"/>
    <x v="3"/>
    <x v="0"/>
    <x v="0"/>
    <x v="0"/>
    <x v="7"/>
    <n v="0"/>
    <n v="0"/>
    <n v="0.152"/>
    <n v="0.152"/>
    <n v="0.152"/>
    <n v="0.152"/>
    <n v="0"/>
    <x v="0"/>
    <n v="0"/>
    <n v="0"/>
    <n v="12"/>
    <n v="52"/>
    <n v="0"/>
    <n v="304.7"/>
    <n v="219.97"/>
    <m/>
    <n v="379.45760801787162"/>
    <n v="283.40928728637363"/>
    <n v="0"/>
    <n v="46.314399999999999"/>
    <n v="33.43544"/>
    <n v="0"/>
    <n v="57.677556418716485"/>
    <n v="43.078211667528791"/>
  </r>
  <r>
    <s v="Regular"/>
    <x v="2"/>
    <x v="4"/>
    <x v="7"/>
    <x v="3"/>
    <x v="0"/>
    <x v="0"/>
    <x v="0"/>
    <x v="8"/>
    <n v="0"/>
    <n v="0"/>
    <n v="56.481000000000002"/>
    <n v="56.481000000000002"/>
    <n v="56.481000000000002"/>
    <n v="56.481000000000002"/>
    <n v="0"/>
    <x v="0"/>
    <n v="0"/>
    <n v="0"/>
    <n v="12"/>
    <n v="52"/>
    <n v="0"/>
    <n v="304.7"/>
    <n v="219.97"/>
    <m/>
    <n v="379.45760801787162"/>
    <n v="283.40928728637363"/>
    <n v="0"/>
    <n v="17209.760699999999"/>
    <n v="12424.12557"/>
    <n v="0"/>
    <n v="21432.145158457406"/>
    <n v="16007.239955221668"/>
  </r>
  <r>
    <s v="Sistema de Compensação"/>
    <x v="2"/>
    <x v="4"/>
    <x v="7"/>
    <x v="3"/>
    <x v="0"/>
    <x v="0"/>
    <x v="0"/>
    <x v="8"/>
    <n v="0"/>
    <n v="0"/>
    <n v="0.16400000000000001"/>
    <n v="0.16400000000000001"/>
    <n v="0.16400000000000001"/>
    <n v="0.16400000000000001"/>
    <n v="0"/>
    <x v="0"/>
    <n v="0"/>
    <n v="0"/>
    <n v="12"/>
    <n v="52"/>
    <n v="0"/>
    <n v="304.7"/>
    <n v="219.97"/>
    <m/>
    <n v="379.45760801787162"/>
    <n v="283.40928728637363"/>
    <n v="0"/>
    <n v="49.970799999999997"/>
    <n v="36.07508"/>
    <n v="0"/>
    <n v="62.231047714930952"/>
    <n v="46.479123114965276"/>
  </r>
  <r>
    <s v="Regular"/>
    <x v="2"/>
    <x v="4"/>
    <x v="7"/>
    <x v="3"/>
    <x v="0"/>
    <x v="0"/>
    <x v="0"/>
    <x v="9"/>
    <n v="0"/>
    <n v="0"/>
    <n v="56.331000000000003"/>
    <n v="56.331000000000003"/>
    <n v="56.331000000000003"/>
    <n v="56.331000000000003"/>
    <n v="0"/>
    <x v="0"/>
    <n v="0"/>
    <n v="0"/>
    <n v="12"/>
    <n v="52"/>
    <n v="0"/>
    <n v="304.7"/>
    <n v="219.97"/>
    <m/>
    <n v="379.45760801787162"/>
    <n v="283.40928728637363"/>
    <n v="0"/>
    <n v="17164.055700000001"/>
    <n v="12391.130070000001"/>
    <n v="0"/>
    <n v="21375.226517254727"/>
    <n v="15964.728562128714"/>
  </r>
  <r>
    <s v="Sistema de Compensação"/>
    <x v="2"/>
    <x v="4"/>
    <x v="7"/>
    <x v="3"/>
    <x v="0"/>
    <x v="0"/>
    <x v="0"/>
    <x v="9"/>
    <n v="0"/>
    <n v="0"/>
    <n v="0.13800000000000001"/>
    <n v="0.13800000000000001"/>
    <n v="0.13800000000000001"/>
    <n v="0.13800000000000001"/>
    <n v="0"/>
    <x v="0"/>
    <n v="0"/>
    <n v="0"/>
    <n v="12"/>
    <n v="52"/>
    <n v="0"/>
    <n v="304.7"/>
    <n v="219.97"/>
    <m/>
    <n v="379.45760801787162"/>
    <n v="283.40928728637363"/>
    <n v="0"/>
    <n v="42.0486"/>
    <n v="30.355860000000003"/>
    <n v="0"/>
    <n v="52.365149906466286"/>
    <n v="39.110481645519563"/>
  </r>
  <r>
    <s v="Regular"/>
    <x v="2"/>
    <x v="4"/>
    <x v="7"/>
    <x v="3"/>
    <x v="0"/>
    <x v="0"/>
    <x v="0"/>
    <x v="10"/>
    <n v="0"/>
    <n v="0"/>
    <n v="60.597999999999999"/>
    <n v="60.597999999999999"/>
    <n v="60.597999999999999"/>
    <n v="60.597999999999999"/>
    <n v="0"/>
    <x v="0"/>
    <n v="0"/>
    <n v="0"/>
    <n v="12"/>
    <n v="52"/>
    <n v="0"/>
    <n v="304.7"/>
    <n v="219.97"/>
    <m/>
    <n v="379.45760801787162"/>
    <n v="283.40928728637363"/>
    <n v="0"/>
    <n v="18464.210599999999"/>
    <n v="13329.74206"/>
    <n v="0"/>
    <n v="22994.372130666983"/>
    <n v="17174.035990979668"/>
  </r>
  <r>
    <s v="Sistema de Compensação"/>
    <x v="2"/>
    <x v="4"/>
    <x v="7"/>
    <x v="3"/>
    <x v="0"/>
    <x v="0"/>
    <x v="0"/>
    <x v="10"/>
    <n v="0"/>
    <n v="0"/>
    <n v="0.159"/>
    <n v="0.159"/>
    <n v="0.159"/>
    <n v="0.159"/>
    <n v="0"/>
    <x v="0"/>
    <n v="0"/>
    <n v="0"/>
    <n v="12"/>
    <n v="52"/>
    <n v="0"/>
    <n v="304.7"/>
    <n v="219.97"/>
    <m/>
    <n v="379.45760801787162"/>
    <n v="283.40928728637363"/>
    <n v="0"/>
    <n v="48.447299999999998"/>
    <n v="34.975230000000003"/>
    <n v="0"/>
    <n v="60.333759674841588"/>
    <n v="45.062076678533408"/>
  </r>
  <r>
    <s v="PROJETADO"/>
    <x v="2"/>
    <x v="4"/>
    <x v="7"/>
    <x v="3"/>
    <x v="0"/>
    <x v="0"/>
    <x v="0"/>
    <x v="11"/>
    <n v="0"/>
    <n v="0"/>
    <n v="60.597999999999999"/>
    <n v="60.597999999999999"/>
    <n v="60.597999999999999"/>
    <n v="60.597999999999999"/>
    <n v="0"/>
    <x v="0"/>
    <n v="0"/>
    <n v="0"/>
    <n v="12"/>
    <n v="52"/>
    <n v="0"/>
    <n v="304.7"/>
    <n v="219.97"/>
    <m/>
    <n v="379.45760801787162"/>
    <n v="283.40928728637363"/>
    <n v="0"/>
    <n v="18464.210599999999"/>
    <n v="13329.74206"/>
    <n v="0"/>
    <n v="22994.372130666983"/>
    <n v="17174.035990979668"/>
  </r>
  <r>
    <s v="PROJETADO"/>
    <x v="2"/>
    <x v="4"/>
    <x v="7"/>
    <x v="3"/>
    <x v="0"/>
    <x v="0"/>
    <x v="0"/>
    <x v="11"/>
    <n v="0"/>
    <n v="0"/>
    <n v="0.159"/>
    <n v="0.159"/>
    <n v="0.159"/>
    <n v="0.159"/>
    <n v="0"/>
    <x v="0"/>
    <n v="0"/>
    <n v="0"/>
    <n v="12"/>
    <n v="52"/>
    <n v="0"/>
    <n v="304.7"/>
    <n v="219.97"/>
    <m/>
    <n v="379.45760801787162"/>
    <n v="283.40928728637363"/>
    <n v="0"/>
    <n v="48.447299999999998"/>
    <n v="34.975230000000003"/>
    <n v="0"/>
    <n v="60.333759674841588"/>
    <n v="45.062076678533408"/>
  </r>
  <r>
    <s v="Regular"/>
    <x v="2"/>
    <x v="4"/>
    <x v="7"/>
    <x v="3"/>
    <x v="0"/>
    <x v="0"/>
    <x v="3"/>
    <x v="0"/>
    <n v="0"/>
    <n v="0"/>
    <n v="3.3980000000000001"/>
    <n v="3.3980000000000001"/>
    <n v="3.3980000000000001"/>
    <n v="3.3980000000000001"/>
    <n v="0"/>
    <x v="0"/>
    <n v="0"/>
    <n v="0"/>
    <n v="32"/>
    <n v="51"/>
    <n v="0"/>
    <n v="657.51"/>
    <n v="219.97"/>
    <m/>
    <n v="817.20668325562065"/>
    <n v="283.40928728637363"/>
    <n v="0"/>
    <n v="2234.2189800000001"/>
    <n v="747.45806000000005"/>
    <n v="0"/>
    <n v="2776.8683097025992"/>
    <n v="963.02475819909762"/>
  </r>
  <r>
    <s v="Sistema de Compensação"/>
    <x v="2"/>
    <x v="4"/>
    <x v="7"/>
    <x v="3"/>
    <x v="0"/>
    <x v="0"/>
    <x v="3"/>
    <x v="0"/>
    <n v="0"/>
    <n v="0"/>
    <n v="7.0000000000000001E-3"/>
    <n v="7.0000000000000001E-3"/>
    <n v="7.0000000000000001E-3"/>
    <n v="7.0000000000000001E-3"/>
    <n v="0"/>
    <x v="0"/>
    <n v="0"/>
    <n v="0"/>
    <n v="32"/>
    <n v="51"/>
    <n v="0"/>
    <n v="657.51"/>
    <n v="219.97"/>
    <m/>
    <n v="817.20668325562065"/>
    <n v="283.40928728637363"/>
    <n v="0"/>
    <n v="4.6025700000000001"/>
    <n v="1.53979"/>
    <n v="0"/>
    <n v="5.7204467827893444"/>
    <n v="1.9838650110046154"/>
  </r>
  <r>
    <s v="Regular"/>
    <x v="2"/>
    <x v="4"/>
    <x v="7"/>
    <x v="3"/>
    <x v="0"/>
    <x v="0"/>
    <x v="3"/>
    <x v="1"/>
    <n v="0"/>
    <n v="0"/>
    <n v="3.12"/>
    <n v="3.12"/>
    <n v="3.12"/>
    <n v="3.12"/>
    <n v="0"/>
    <x v="0"/>
    <n v="0"/>
    <n v="0"/>
    <n v="32"/>
    <n v="51"/>
    <n v="0"/>
    <n v="657.51"/>
    <n v="219.97"/>
    <m/>
    <n v="817.20668325562065"/>
    <n v="283.40928728637363"/>
    <n v="0"/>
    <n v="2051.4312"/>
    <n v="686.30640000000005"/>
    <n v="0"/>
    <n v="2549.6848517575363"/>
    <n v="884.2369763334857"/>
  </r>
  <r>
    <s v="Refaturamento - Regular"/>
    <x v="2"/>
    <x v="4"/>
    <x v="7"/>
    <x v="3"/>
    <x v="0"/>
    <x v="0"/>
    <x v="3"/>
    <x v="1"/>
    <n v="0"/>
    <n v="0"/>
    <n v="-4.9000000000000002E-2"/>
    <n v="-4.9000000000000002E-2"/>
    <n v="-4.9000000000000002E-2"/>
    <n v="-4.9000000000000002E-2"/>
    <n v="0"/>
    <x v="0"/>
    <n v="0"/>
    <n v="0"/>
    <n v="32"/>
    <n v="51"/>
    <n v="0"/>
    <n v="657.51"/>
    <n v="219.97"/>
    <m/>
    <n v="817.20668325562065"/>
    <n v="283.40928728637363"/>
    <n v="0"/>
    <n v="-32.21799"/>
    <n v="-10.77853"/>
    <n v="0"/>
    <n v="-40.04312747952541"/>
    <n v="-13.887055077032308"/>
  </r>
  <r>
    <s v="Regular"/>
    <x v="2"/>
    <x v="4"/>
    <x v="7"/>
    <x v="3"/>
    <x v="0"/>
    <x v="0"/>
    <x v="3"/>
    <x v="2"/>
    <n v="0"/>
    <n v="0"/>
    <n v="2.746"/>
    <n v="2.746"/>
    <n v="2.746"/>
    <n v="2.746"/>
    <n v="0"/>
    <x v="0"/>
    <n v="0"/>
    <n v="0"/>
    <n v="32"/>
    <n v="51"/>
    <n v="0"/>
    <n v="657.51"/>
    <n v="219.97"/>
    <m/>
    <n v="817.20668325562065"/>
    <n v="283.40928728637363"/>
    <n v="0"/>
    <n v="1805.5224599999999"/>
    <n v="604.03761999999995"/>
    <n v="0"/>
    <n v="2244.0495522199344"/>
    <n v="778.24190288838201"/>
  </r>
  <r>
    <s v="Regular"/>
    <x v="2"/>
    <x v="4"/>
    <x v="7"/>
    <x v="3"/>
    <x v="0"/>
    <x v="0"/>
    <x v="3"/>
    <x v="3"/>
    <n v="0"/>
    <n v="0"/>
    <n v="2.6850000000000001"/>
    <n v="2.6850000000000001"/>
    <n v="2.6850000000000001"/>
    <n v="2.6850000000000001"/>
    <n v="0"/>
    <x v="0"/>
    <n v="0"/>
    <n v="0"/>
    <n v="32"/>
    <n v="51"/>
    <n v="0"/>
    <n v="657.51"/>
    <n v="219.97"/>
    <m/>
    <n v="817.20668325562065"/>
    <n v="283.40928728637363"/>
    <n v="0"/>
    <n v="1765.41435"/>
    <n v="590.61945000000003"/>
    <n v="0"/>
    <n v="2194.1999445413417"/>
    <n v="760.95393636391316"/>
  </r>
  <r>
    <s v="Regular"/>
    <x v="2"/>
    <x v="4"/>
    <x v="7"/>
    <x v="3"/>
    <x v="0"/>
    <x v="0"/>
    <x v="3"/>
    <x v="4"/>
    <n v="0"/>
    <n v="0"/>
    <n v="2.6389999999999998"/>
    <n v="2.6389999999999998"/>
    <n v="2.6389999999999998"/>
    <n v="2.6389999999999998"/>
    <n v="0"/>
    <x v="0"/>
    <n v="0"/>
    <n v="0"/>
    <n v="32"/>
    <n v="51"/>
    <n v="0"/>
    <n v="657.51"/>
    <n v="219.97"/>
    <m/>
    <n v="817.20668325562065"/>
    <n v="283.40928728637363"/>
    <n v="0"/>
    <n v="1735.1688899999999"/>
    <n v="580.50082999999995"/>
    <n v="0"/>
    <n v="2156.6084371115826"/>
    <n v="747.91710914874"/>
  </r>
  <r>
    <s v="Sistema de Compensação"/>
    <x v="2"/>
    <x v="4"/>
    <x v="7"/>
    <x v="3"/>
    <x v="0"/>
    <x v="0"/>
    <x v="3"/>
    <x v="4"/>
    <n v="0"/>
    <n v="0"/>
    <n v="2E-3"/>
    <n v="2E-3"/>
    <n v="2E-3"/>
    <n v="2E-3"/>
    <n v="0"/>
    <x v="0"/>
    <n v="0"/>
    <n v="0"/>
    <n v="32"/>
    <n v="51"/>
    <n v="0"/>
    <n v="657.51"/>
    <n v="219.97"/>
    <m/>
    <n v="817.20668325562065"/>
    <n v="283.40928728637363"/>
    <n v="0"/>
    <n v="1.3150200000000001"/>
    <n v="0.43994"/>
    <n v="0"/>
    <n v="1.6344133665112413"/>
    <n v="0.56681857457274731"/>
  </r>
  <r>
    <s v="Regular"/>
    <x v="2"/>
    <x v="4"/>
    <x v="7"/>
    <x v="3"/>
    <x v="0"/>
    <x v="0"/>
    <x v="3"/>
    <x v="5"/>
    <n v="0"/>
    <n v="0"/>
    <n v="3.2970000000000002"/>
    <n v="3.2970000000000002"/>
    <n v="3.2970000000000002"/>
    <n v="3.2970000000000002"/>
    <n v="0"/>
    <x v="0"/>
    <n v="0"/>
    <n v="0"/>
    <n v="32"/>
    <n v="51"/>
    <n v="0"/>
    <n v="657.51"/>
    <n v="219.97"/>
    <m/>
    <n v="817.20668325562065"/>
    <n v="283.40928728637363"/>
    <n v="0"/>
    <n v="2167.8104699999999"/>
    <n v="725.24108999999999"/>
    <n v="0"/>
    <n v="2694.3304346937812"/>
    <n v="934.40042018317388"/>
  </r>
  <r>
    <s v="Sistema de Compensação"/>
    <x v="2"/>
    <x v="4"/>
    <x v="7"/>
    <x v="3"/>
    <x v="0"/>
    <x v="0"/>
    <x v="3"/>
    <x v="5"/>
    <n v="0"/>
    <n v="0"/>
    <n v="1E-3"/>
    <n v="1E-3"/>
    <n v="1E-3"/>
    <n v="1E-3"/>
    <n v="0"/>
    <x v="0"/>
    <n v="0"/>
    <n v="0"/>
    <n v="32"/>
    <n v="51"/>
    <n v="0"/>
    <n v="657.51"/>
    <n v="219.97"/>
    <m/>
    <n v="817.20668325562065"/>
    <n v="283.40928728637363"/>
    <n v="0"/>
    <n v="0.65751000000000004"/>
    <n v="0.21997"/>
    <n v="0"/>
    <n v="0.81720668325562063"/>
    <n v="0.28340928728637366"/>
  </r>
  <r>
    <s v="Regular"/>
    <x v="2"/>
    <x v="4"/>
    <x v="7"/>
    <x v="3"/>
    <x v="0"/>
    <x v="0"/>
    <x v="3"/>
    <x v="6"/>
    <n v="0"/>
    <n v="0"/>
    <n v="2.6629999999999998"/>
    <n v="2.6629999999999998"/>
    <n v="2.6629999999999998"/>
    <n v="2.6629999999999998"/>
    <n v="0"/>
    <x v="0"/>
    <n v="0"/>
    <n v="0"/>
    <n v="32"/>
    <n v="51"/>
    <n v="0"/>
    <n v="657.51"/>
    <n v="219.97"/>
    <m/>
    <n v="817.20668325562065"/>
    <n v="283.40928728637363"/>
    <n v="0"/>
    <n v="1750.9491299999997"/>
    <n v="585.78010999999992"/>
    <n v="0"/>
    <n v="2176.2213975097175"/>
    <n v="754.71893204361288"/>
  </r>
  <r>
    <s v="Refaturamento - Regular"/>
    <x v="2"/>
    <x v="4"/>
    <x v="7"/>
    <x v="3"/>
    <x v="0"/>
    <x v="0"/>
    <x v="3"/>
    <x v="6"/>
    <n v="0"/>
    <n v="0"/>
    <n v="-0.52300000000000002"/>
    <n v="-0.52300000000000002"/>
    <n v="-0.52300000000000002"/>
    <n v="-0.52300000000000002"/>
    <n v="0"/>
    <x v="0"/>
    <n v="0"/>
    <n v="0"/>
    <n v="32"/>
    <n v="51"/>
    <n v="0"/>
    <n v="657.51"/>
    <n v="219.97"/>
    <m/>
    <n v="817.20668325562065"/>
    <n v="283.40928728637363"/>
    <n v="0"/>
    <n v="-343.87772999999999"/>
    <n v="-115.04431000000001"/>
    <n v="0"/>
    <n v="-427.39909534268963"/>
    <n v="-148.22305725077342"/>
  </r>
  <r>
    <s v="Sistema de Compensação"/>
    <x v="2"/>
    <x v="4"/>
    <x v="7"/>
    <x v="3"/>
    <x v="0"/>
    <x v="0"/>
    <x v="3"/>
    <x v="6"/>
    <n v="0"/>
    <n v="0"/>
    <n v="5.0000000000000001E-3"/>
    <n v="5.0000000000000001E-3"/>
    <n v="5.0000000000000001E-3"/>
    <n v="5.0000000000000001E-3"/>
    <n v="0"/>
    <x v="0"/>
    <n v="0"/>
    <n v="0"/>
    <n v="32"/>
    <n v="51"/>
    <n v="0"/>
    <n v="657.51"/>
    <n v="219.97"/>
    <m/>
    <n v="817.20668325562065"/>
    <n v="283.40928728637363"/>
    <n v="0"/>
    <n v="3.28755"/>
    <n v="1.09985"/>
    <n v="0"/>
    <n v="4.0860334162781031"/>
    <n v="1.4170464364318682"/>
  </r>
  <r>
    <s v="Regular"/>
    <x v="2"/>
    <x v="4"/>
    <x v="7"/>
    <x v="3"/>
    <x v="0"/>
    <x v="0"/>
    <x v="3"/>
    <x v="7"/>
    <n v="0"/>
    <n v="0"/>
    <n v="2.9780000000000002"/>
    <n v="2.9780000000000002"/>
    <n v="2.9780000000000002"/>
    <n v="2.9780000000000002"/>
    <n v="0"/>
    <x v="0"/>
    <n v="0"/>
    <n v="0"/>
    <n v="32"/>
    <n v="51"/>
    <n v="0"/>
    <n v="657.51"/>
    <n v="219.97"/>
    <m/>
    <n v="817.20668325562065"/>
    <n v="283.40928728637363"/>
    <n v="0"/>
    <n v="1958.0647800000002"/>
    <n v="655.07066000000009"/>
    <n v="0"/>
    <n v="2433.6415027352386"/>
    <n v="843.99285753882077"/>
  </r>
  <r>
    <s v="Refaturamento - Regular"/>
    <x v="2"/>
    <x v="4"/>
    <x v="7"/>
    <x v="3"/>
    <x v="0"/>
    <x v="0"/>
    <x v="3"/>
    <x v="7"/>
    <n v="0"/>
    <n v="0"/>
    <n v="-6.0000000000000001E-3"/>
    <n v="-6.0000000000000001E-3"/>
    <n v="-6.0000000000000001E-3"/>
    <n v="-6.0000000000000001E-3"/>
    <n v="0"/>
    <x v="0"/>
    <n v="0"/>
    <n v="0"/>
    <n v="32"/>
    <n v="51"/>
    <n v="0"/>
    <n v="657.51"/>
    <n v="219.97"/>
    <m/>
    <n v="817.20668325562065"/>
    <n v="283.40928728637363"/>
    <n v="0"/>
    <n v="-3.9450600000000002"/>
    <n v="-1.31982"/>
    <n v="0"/>
    <n v="-4.9032400995337238"/>
    <n v="-1.7004557237182418"/>
  </r>
  <r>
    <s v="Sistema de Compensação"/>
    <x v="2"/>
    <x v="4"/>
    <x v="7"/>
    <x v="3"/>
    <x v="0"/>
    <x v="0"/>
    <x v="3"/>
    <x v="7"/>
    <n v="0"/>
    <n v="0"/>
    <n v="7.0000000000000001E-3"/>
    <n v="7.0000000000000001E-3"/>
    <n v="7.0000000000000001E-3"/>
    <n v="7.0000000000000001E-3"/>
    <n v="0"/>
    <x v="0"/>
    <n v="0"/>
    <n v="0"/>
    <n v="32"/>
    <n v="51"/>
    <n v="0"/>
    <n v="657.51"/>
    <n v="219.97"/>
    <m/>
    <n v="817.20668325562065"/>
    <n v="283.40928728637363"/>
    <n v="0"/>
    <n v="4.6025700000000001"/>
    <n v="1.53979"/>
    <n v="0"/>
    <n v="5.7204467827893444"/>
    <n v="1.9838650110046154"/>
  </r>
  <r>
    <s v="Regular"/>
    <x v="2"/>
    <x v="4"/>
    <x v="7"/>
    <x v="3"/>
    <x v="0"/>
    <x v="0"/>
    <x v="3"/>
    <x v="8"/>
    <n v="0"/>
    <n v="0"/>
    <n v="3.0219999999999998"/>
    <n v="3.0219999999999998"/>
    <n v="3.0219999999999998"/>
    <n v="3.0219999999999998"/>
    <n v="0"/>
    <x v="0"/>
    <n v="0"/>
    <n v="0"/>
    <n v="32"/>
    <n v="51"/>
    <n v="0"/>
    <n v="657.51"/>
    <n v="219.97"/>
    <m/>
    <n v="817.20668325562065"/>
    <n v="283.40928728637363"/>
    <n v="0"/>
    <n v="1986.9952199999998"/>
    <n v="664.74933999999996"/>
    <n v="0"/>
    <n v="2469.5985967984852"/>
    <n v="856.46286617942098"/>
  </r>
  <r>
    <s v="Sistema de Compensação"/>
    <x v="2"/>
    <x v="4"/>
    <x v="7"/>
    <x v="3"/>
    <x v="0"/>
    <x v="0"/>
    <x v="3"/>
    <x v="8"/>
    <n v="0"/>
    <n v="0"/>
    <n v="8.0000000000000002E-3"/>
    <n v="8.0000000000000002E-3"/>
    <n v="8.0000000000000002E-3"/>
    <n v="8.0000000000000002E-3"/>
    <n v="0"/>
    <x v="0"/>
    <n v="0"/>
    <n v="0"/>
    <n v="32"/>
    <n v="51"/>
    <n v="0"/>
    <n v="657.51"/>
    <n v="219.97"/>
    <m/>
    <n v="817.20668325562065"/>
    <n v="283.40928728637363"/>
    <n v="0"/>
    <n v="5.2600800000000003"/>
    <n v="1.75976"/>
    <n v="0"/>
    <n v="6.537653466044965"/>
    <n v="2.2672742982909893"/>
  </r>
  <r>
    <s v="Regular"/>
    <x v="2"/>
    <x v="4"/>
    <x v="7"/>
    <x v="3"/>
    <x v="0"/>
    <x v="0"/>
    <x v="3"/>
    <x v="9"/>
    <n v="0"/>
    <n v="0"/>
    <n v="2.831"/>
    <n v="2.831"/>
    <n v="2.831"/>
    <n v="2.831"/>
    <n v="0"/>
    <x v="0"/>
    <n v="0"/>
    <n v="0"/>
    <n v="32"/>
    <n v="51"/>
    <n v="0"/>
    <n v="657.51"/>
    <n v="219.97"/>
    <m/>
    <n v="817.20668325562065"/>
    <n v="283.40928728637363"/>
    <n v="0"/>
    <n v="1861.4108099999999"/>
    <n v="622.73506999999995"/>
    <n v="0"/>
    <n v="2313.512120296662"/>
    <n v="802.33169230772376"/>
  </r>
  <r>
    <s v="Sistema de Compensação"/>
    <x v="2"/>
    <x v="4"/>
    <x v="7"/>
    <x v="3"/>
    <x v="0"/>
    <x v="0"/>
    <x v="3"/>
    <x v="9"/>
    <n v="0"/>
    <n v="0"/>
    <n v="5.0000000000000001E-3"/>
    <n v="5.0000000000000001E-3"/>
    <n v="5.0000000000000001E-3"/>
    <n v="5.0000000000000001E-3"/>
    <n v="0"/>
    <x v="0"/>
    <n v="0"/>
    <n v="0"/>
    <n v="32"/>
    <n v="51"/>
    <n v="0"/>
    <n v="657.51"/>
    <n v="219.97"/>
    <m/>
    <n v="817.20668325562065"/>
    <n v="283.40928728637363"/>
    <n v="0"/>
    <n v="3.28755"/>
    <n v="1.09985"/>
    <n v="0"/>
    <n v="4.0860334162781031"/>
    <n v="1.4170464364318682"/>
  </r>
  <r>
    <s v="Regular"/>
    <x v="2"/>
    <x v="4"/>
    <x v="7"/>
    <x v="3"/>
    <x v="0"/>
    <x v="0"/>
    <x v="3"/>
    <x v="10"/>
    <n v="0"/>
    <n v="0"/>
    <n v="2.9950000000000001"/>
    <n v="2.9950000000000001"/>
    <n v="2.9950000000000001"/>
    <n v="2.9950000000000001"/>
    <n v="0"/>
    <x v="0"/>
    <n v="0"/>
    <n v="0"/>
    <n v="32"/>
    <n v="51"/>
    <n v="0"/>
    <n v="657.51"/>
    <n v="219.97"/>
    <m/>
    <n v="817.20668325562065"/>
    <n v="283.40928728637363"/>
    <n v="0"/>
    <n v="1969.24245"/>
    <n v="658.81015000000002"/>
    <n v="0"/>
    <n v="2447.5340163505839"/>
    <n v="848.81081542268907"/>
  </r>
  <r>
    <s v="Sistema de Compensação"/>
    <x v="2"/>
    <x v="4"/>
    <x v="7"/>
    <x v="3"/>
    <x v="0"/>
    <x v="0"/>
    <x v="3"/>
    <x v="10"/>
    <n v="0"/>
    <n v="0"/>
    <n v="7.0000000000000001E-3"/>
    <n v="7.0000000000000001E-3"/>
    <n v="7.0000000000000001E-3"/>
    <n v="7.0000000000000001E-3"/>
    <n v="0"/>
    <x v="0"/>
    <n v="0"/>
    <n v="0"/>
    <n v="32"/>
    <n v="51"/>
    <n v="0"/>
    <n v="657.51"/>
    <n v="219.97"/>
    <m/>
    <n v="817.20668325562065"/>
    <n v="283.40928728637363"/>
    <n v="0"/>
    <n v="4.6025700000000001"/>
    <n v="1.53979"/>
    <n v="0"/>
    <n v="5.7204467827893444"/>
    <n v="1.9838650110046154"/>
  </r>
  <r>
    <s v="PROJETADO"/>
    <x v="2"/>
    <x v="4"/>
    <x v="7"/>
    <x v="3"/>
    <x v="0"/>
    <x v="0"/>
    <x v="3"/>
    <x v="11"/>
    <n v="0"/>
    <n v="0"/>
    <n v="2.9950000000000001"/>
    <n v="2.9950000000000001"/>
    <n v="2.9950000000000001"/>
    <n v="2.9950000000000001"/>
    <n v="0"/>
    <x v="0"/>
    <n v="0"/>
    <n v="0"/>
    <n v="32"/>
    <n v="51"/>
    <n v="0"/>
    <n v="657.51"/>
    <n v="219.97"/>
    <m/>
    <n v="817.20668325562065"/>
    <n v="283.40928728637363"/>
    <n v="0"/>
    <n v="1969.24245"/>
    <n v="658.81015000000002"/>
    <n v="0"/>
    <n v="2447.5340163505839"/>
    <n v="848.81081542268907"/>
  </r>
  <r>
    <s v="PROJETADO"/>
    <x v="2"/>
    <x v="4"/>
    <x v="7"/>
    <x v="3"/>
    <x v="0"/>
    <x v="0"/>
    <x v="3"/>
    <x v="11"/>
    <n v="0"/>
    <n v="0"/>
    <n v="7.0000000000000001E-3"/>
    <n v="7.0000000000000001E-3"/>
    <n v="7.0000000000000001E-3"/>
    <n v="7.0000000000000001E-3"/>
    <n v="0"/>
    <x v="0"/>
    <n v="0"/>
    <n v="0"/>
    <n v="32"/>
    <n v="51"/>
    <n v="0"/>
    <n v="657.51"/>
    <n v="219.97"/>
    <m/>
    <n v="817.20668325562065"/>
    <n v="283.40928728637363"/>
    <n v="0"/>
    <n v="4.6025700000000001"/>
    <n v="1.53979"/>
    <n v="0"/>
    <n v="5.7204467827893444"/>
    <n v="1.9838650110046154"/>
  </r>
  <r>
    <s v="Regular"/>
    <x v="2"/>
    <x v="4"/>
    <x v="7"/>
    <x v="3"/>
    <x v="0"/>
    <x v="0"/>
    <x v="2"/>
    <x v="0"/>
    <n v="0"/>
    <n v="0"/>
    <n v="4.7320000000000002"/>
    <n v="4.7320000000000002"/>
    <n v="4.7320000000000002"/>
    <n v="4.7320000000000002"/>
    <n v="0"/>
    <x v="0"/>
    <n v="0"/>
    <n v="0"/>
    <n v="31"/>
    <n v="50"/>
    <n v="0"/>
    <n v="1010.32"/>
    <n v="346.61"/>
    <m/>
    <n v="1254.9554530869705"/>
    <n v="441.69177554366559"/>
    <n v="0"/>
    <n v="4780.8342400000001"/>
    <n v="1640.1585200000002"/>
    <n v="0"/>
    <n v="5938.4492040075447"/>
    <n v="2090.0854818726257"/>
  </r>
  <r>
    <s v="Sistema de Compensação"/>
    <x v="2"/>
    <x v="4"/>
    <x v="7"/>
    <x v="3"/>
    <x v="0"/>
    <x v="0"/>
    <x v="2"/>
    <x v="0"/>
    <n v="0"/>
    <n v="0"/>
    <n v="0.01"/>
    <n v="0.01"/>
    <n v="0.01"/>
    <n v="0.01"/>
    <n v="0"/>
    <x v="0"/>
    <n v="0"/>
    <n v="0"/>
    <n v="31"/>
    <n v="50"/>
    <n v="0"/>
    <n v="1010.32"/>
    <n v="346.61"/>
    <m/>
    <n v="1254.9554530869705"/>
    <n v="441.69177554366559"/>
    <n v="0"/>
    <n v="10.103200000000001"/>
    <n v="3.4661000000000004"/>
    <n v="0"/>
    <n v="12.549554530869704"/>
    <n v="4.4169177554366561"/>
  </r>
  <r>
    <s v="Regular"/>
    <x v="2"/>
    <x v="4"/>
    <x v="7"/>
    <x v="3"/>
    <x v="0"/>
    <x v="0"/>
    <x v="2"/>
    <x v="1"/>
    <n v="0"/>
    <n v="0"/>
    <n v="4.4550000000000001"/>
    <n v="4.4550000000000001"/>
    <n v="4.4550000000000001"/>
    <n v="4.4550000000000001"/>
    <n v="0"/>
    <x v="0"/>
    <n v="0"/>
    <n v="0"/>
    <n v="31"/>
    <n v="50"/>
    <n v="0"/>
    <n v="1010.32"/>
    <n v="346.61"/>
    <m/>
    <n v="1254.9554530869705"/>
    <n v="441.69177554366559"/>
    <n v="0"/>
    <n v="4500.9756000000007"/>
    <n v="1544.1475500000001"/>
    <n v="0"/>
    <n v="5590.8265435024532"/>
    <n v="1967.7368600470302"/>
  </r>
  <r>
    <s v="Refaturamento - Regular"/>
    <x v="2"/>
    <x v="4"/>
    <x v="7"/>
    <x v="3"/>
    <x v="0"/>
    <x v="0"/>
    <x v="2"/>
    <x v="1"/>
    <n v="0"/>
    <n v="0"/>
    <n v="-1.2999999999999999E-2"/>
    <n v="-1.2999999999999999E-2"/>
    <n v="-1.2999999999999999E-2"/>
    <n v="-1.2999999999999999E-2"/>
    <n v="0"/>
    <x v="0"/>
    <n v="0"/>
    <n v="0"/>
    <n v="31"/>
    <n v="50"/>
    <n v="0"/>
    <n v="1010.32"/>
    <n v="346.61"/>
    <m/>
    <n v="1254.9554530869705"/>
    <n v="441.69177554366559"/>
    <n v="0"/>
    <n v="-13.13416"/>
    <n v="-4.5059300000000002"/>
    <n v="0"/>
    <n v="-16.314420890130616"/>
    <n v="-5.7419930820676521"/>
  </r>
  <r>
    <s v="Regular"/>
    <x v="2"/>
    <x v="4"/>
    <x v="7"/>
    <x v="3"/>
    <x v="0"/>
    <x v="0"/>
    <x v="2"/>
    <x v="2"/>
    <n v="0"/>
    <n v="0"/>
    <n v="4.0510000000000002"/>
    <n v="4.0510000000000002"/>
    <n v="4.0510000000000002"/>
    <n v="4.0510000000000002"/>
    <n v="0"/>
    <x v="0"/>
    <n v="0"/>
    <n v="0"/>
    <n v="31"/>
    <n v="50"/>
    <n v="0"/>
    <n v="1010.32"/>
    <n v="346.61"/>
    <m/>
    <n v="1254.9554530869705"/>
    <n v="441.69177554366559"/>
    <n v="0"/>
    <n v="4092.8063200000001"/>
    <n v="1404.1171100000001"/>
    <n v="0"/>
    <n v="5083.8245404553172"/>
    <n v="1789.2933827273894"/>
  </r>
  <r>
    <s v="Regular"/>
    <x v="2"/>
    <x v="4"/>
    <x v="7"/>
    <x v="3"/>
    <x v="0"/>
    <x v="0"/>
    <x v="2"/>
    <x v="3"/>
    <n v="0"/>
    <n v="0"/>
    <n v="4.141"/>
    <n v="4.141"/>
    <n v="4.141"/>
    <n v="4.141"/>
    <n v="0"/>
    <x v="0"/>
    <n v="0"/>
    <n v="0"/>
    <n v="31"/>
    <n v="50"/>
    <n v="0"/>
    <n v="1010.32"/>
    <n v="346.61"/>
    <m/>
    <n v="1254.9554530869705"/>
    <n v="441.69177554366559"/>
    <n v="0"/>
    <n v="4183.7351200000003"/>
    <n v="1435.3120100000001"/>
    <n v="0"/>
    <n v="5196.7705312331445"/>
    <n v="1829.0456425263192"/>
  </r>
  <r>
    <s v="Regular"/>
    <x v="2"/>
    <x v="4"/>
    <x v="7"/>
    <x v="3"/>
    <x v="0"/>
    <x v="0"/>
    <x v="2"/>
    <x v="4"/>
    <n v="0"/>
    <n v="0"/>
    <n v="3.9369999999999998"/>
    <n v="3.9369999999999998"/>
    <n v="3.9369999999999998"/>
    <n v="3.9369999999999998"/>
    <n v="0"/>
    <x v="0"/>
    <n v="0"/>
    <n v="0"/>
    <n v="31"/>
    <n v="50"/>
    <n v="0"/>
    <n v="1010.32"/>
    <n v="346.61"/>
    <m/>
    <n v="1254.9554530869705"/>
    <n v="441.69177554366559"/>
    <n v="0"/>
    <n v="3977.6298400000001"/>
    <n v="1364.60357"/>
    <n v="0"/>
    <n v="4940.7596188034022"/>
    <n v="1738.9405203154113"/>
  </r>
  <r>
    <s v="Sistema de Compensação"/>
    <x v="2"/>
    <x v="4"/>
    <x v="7"/>
    <x v="3"/>
    <x v="0"/>
    <x v="0"/>
    <x v="2"/>
    <x v="4"/>
    <n v="0"/>
    <n v="0"/>
    <n v="2E-3"/>
    <n v="2E-3"/>
    <n v="2E-3"/>
    <n v="2E-3"/>
    <n v="0"/>
    <x v="0"/>
    <n v="0"/>
    <n v="0"/>
    <n v="31"/>
    <n v="50"/>
    <n v="0"/>
    <n v="1010.32"/>
    <n v="346.61"/>
    <m/>
    <n v="1254.9554530869705"/>
    <n v="441.69177554366559"/>
    <n v="0"/>
    <n v="2.0206400000000002"/>
    <n v="0.69322000000000006"/>
    <n v="0"/>
    <n v="2.5099109061739409"/>
    <n v="0.88338355108733124"/>
  </r>
  <r>
    <s v="Regular"/>
    <x v="2"/>
    <x v="4"/>
    <x v="7"/>
    <x v="3"/>
    <x v="0"/>
    <x v="0"/>
    <x v="2"/>
    <x v="5"/>
    <n v="0"/>
    <n v="0"/>
    <n v="4.4210000000000003"/>
    <n v="4.4210000000000003"/>
    <n v="4.4210000000000003"/>
    <n v="4.4210000000000003"/>
    <n v="0"/>
    <x v="0"/>
    <n v="0"/>
    <n v="0"/>
    <n v="31"/>
    <n v="50"/>
    <n v="0"/>
    <n v="1010.32"/>
    <n v="346.61"/>
    <m/>
    <n v="1254.9554530869705"/>
    <n v="441.69177554366559"/>
    <n v="0"/>
    <n v="4466.6247200000007"/>
    <n v="1532.3628100000001"/>
    <n v="0"/>
    <n v="5548.1580580974969"/>
    <n v="1952.7193396785456"/>
  </r>
  <r>
    <s v="Refaturamento - Regular"/>
    <x v="2"/>
    <x v="4"/>
    <x v="7"/>
    <x v="3"/>
    <x v="0"/>
    <x v="0"/>
    <x v="2"/>
    <x v="5"/>
    <n v="0"/>
    <n v="0"/>
    <n v="-0.15"/>
    <n v="-0.15"/>
    <n v="-0.15"/>
    <n v="-0.15"/>
    <n v="0"/>
    <x v="0"/>
    <n v="0"/>
    <n v="0"/>
    <n v="31"/>
    <n v="50"/>
    <n v="0"/>
    <n v="1010.32"/>
    <n v="346.61"/>
    <m/>
    <n v="1254.9554530869705"/>
    <n v="441.69177554366559"/>
    <n v="0"/>
    <n v="-151.548"/>
    <n v="-51.991500000000002"/>
    <n v="0"/>
    <n v="-188.24331796304557"/>
    <n v="-66.253766331549841"/>
  </r>
  <r>
    <s v="Sistema de Compensação"/>
    <x v="2"/>
    <x v="4"/>
    <x v="7"/>
    <x v="3"/>
    <x v="0"/>
    <x v="0"/>
    <x v="2"/>
    <x v="5"/>
    <n v="0"/>
    <n v="0"/>
    <n v="2E-3"/>
    <n v="2E-3"/>
    <n v="2E-3"/>
    <n v="2E-3"/>
    <n v="0"/>
    <x v="0"/>
    <n v="0"/>
    <n v="0"/>
    <n v="31"/>
    <n v="50"/>
    <n v="0"/>
    <n v="1010.32"/>
    <n v="346.61"/>
    <m/>
    <n v="1254.9554530869705"/>
    <n v="441.69177554366559"/>
    <n v="0"/>
    <n v="2.0206400000000002"/>
    <n v="0.69322000000000006"/>
    <n v="0"/>
    <n v="2.5099109061739409"/>
    <n v="0.88338355108733124"/>
  </r>
  <r>
    <s v="Regular"/>
    <x v="2"/>
    <x v="4"/>
    <x v="7"/>
    <x v="3"/>
    <x v="0"/>
    <x v="0"/>
    <x v="2"/>
    <x v="6"/>
    <n v="0"/>
    <n v="0"/>
    <n v="3.84"/>
    <n v="3.84"/>
    <n v="3.84"/>
    <n v="3.84"/>
    <n v="0"/>
    <x v="0"/>
    <n v="0"/>
    <n v="0"/>
    <n v="31"/>
    <n v="50"/>
    <n v="0"/>
    <n v="1010.32"/>
    <n v="346.61"/>
    <m/>
    <n v="1254.9554530869705"/>
    <n v="441.69177554366559"/>
    <n v="0"/>
    <n v="3879.6288"/>
    <n v="1330.9824000000001"/>
    <n v="0"/>
    <n v="4819.0289398539662"/>
    <n v="1696.0964180876758"/>
  </r>
  <r>
    <s v="Refaturamento - Regular"/>
    <x v="2"/>
    <x v="4"/>
    <x v="7"/>
    <x v="3"/>
    <x v="0"/>
    <x v="0"/>
    <x v="2"/>
    <x v="6"/>
    <n v="0"/>
    <n v="0"/>
    <n v="-0.31"/>
    <n v="-0.31"/>
    <n v="-0.31"/>
    <n v="-0.31"/>
    <n v="0"/>
    <x v="0"/>
    <n v="0"/>
    <n v="0"/>
    <n v="31"/>
    <n v="50"/>
    <n v="0"/>
    <n v="1010.32"/>
    <n v="346.61"/>
    <m/>
    <n v="1254.9554530869705"/>
    <n v="441.69177554366559"/>
    <n v="0"/>
    <n v="-313.19920000000002"/>
    <n v="-107.4491"/>
    <n v="0"/>
    <n v="-389.03619045696087"/>
    <n v="-136.92445041853634"/>
  </r>
  <r>
    <s v="Sistema de Compensação"/>
    <x v="2"/>
    <x v="4"/>
    <x v="7"/>
    <x v="3"/>
    <x v="0"/>
    <x v="0"/>
    <x v="2"/>
    <x v="6"/>
    <n v="0"/>
    <n v="0"/>
    <n v="6.0000000000000001E-3"/>
    <n v="6.0000000000000001E-3"/>
    <n v="6.0000000000000001E-3"/>
    <n v="6.0000000000000001E-3"/>
    <n v="0"/>
    <x v="0"/>
    <n v="0"/>
    <n v="0"/>
    <n v="31"/>
    <n v="50"/>
    <n v="0"/>
    <n v="1010.32"/>
    <n v="346.61"/>
    <m/>
    <n v="1254.9554530869705"/>
    <n v="441.69177554366559"/>
    <n v="0"/>
    <n v="6.0619200000000006"/>
    <n v="2.0796600000000001"/>
    <n v="0"/>
    <n v="7.5297327185218226"/>
    <n v="2.6501506532619934"/>
  </r>
  <r>
    <s v="Regular"/>
    <x v="2"/>
    <x v="4"/>
    <x v="7"/>
    <x v="3"/>
    <x v="0"/>
    <x v="0"/>
    <x v="2"/>
    <x v="7"/>
    <n v="0"/>
    <n v="0"/>
    <n v="4.3099999999999996"/>
    <n v="4.3099999999999996"/>
    <n v="4.3099999999999996"/>
    <n v="4.3099999999999996"/>
    <n v="0"/>
    <x v="0"/>
    <n v="0"/>
    <n v="0"/>
    <n v="31"/>
    <n v="50"/>
    <n v="0"/>
    <n v="1010.32"/>
    <n v="346.61"/>
    <m/>
    <n v="1254.9554530869705"/>
    <n v="441.69177554366559"/>
    <n v="0"/>
    <n v="4354.4791999999998"/>
    <n v="1493.8890999999999"/>
    <n v="0"/>
    <n v="5408.8580028048418"/>
    <n v="1903.6915525931986"/>
  </r>
  <r>
    <s v="Refaturamento - Regular"/>
    <x v="2"/>
    <x v="4"/>
    <x v="7"/>
    <x v="3"/>
    <x v="0"/>
    <x v="0"/>
    <x v="2"/>
    <x v="7"/>
    <n v="0"/>
    <n v="0"/>
    <n v="-8.0000000000000002E-3"/>
    <n v="-8.0000000000000002E-3"/>
    <n v="-8.0000000000000002E-3"/>
    <n v="-8.0000000000000002E-3"/>
    <n v="0"/>
    <x v="0"/>
    <n v="0"/>
    <n v="0"/>
    <n v="31"/>
    <n v="50"/>
    <n v="0"/>
    <n v="1010.32"/>
    <n v="346.61"/>
    <m/>
    <n v="1254.9554530869705"/>
    <n v="441.69177554366559"/>
    <n v="0"/>
    <n v="-8.0825600000000009"/>
    <n v="-2.7728800000000002"/>
    <n v="0"/>
    <n v="-10.039643624695763"/>
    <n v="-3.533534204349325"/>
  </r>
  <r>
    <s v="Sistema de Compensação"/>
    <x v="2"/>
    <x v="4"/>
    <x v="7"/>
    <x v="3"/>
    <x v="0"/>
    <x v="0"/>
    <x v="2"/>
    <x v="7"/>
    <n v="0"/>
    <n v="0"/>
    <n v="8.0000000000000002E-3"/>
    <n v="8.0000000000000002E-3"/>
    <n v="8.0000000000000002E-3"/>
    <n v="8.0000000000000002E-3"/>
    <n v="0"/>
    <x v="0"/>
    <n v="0"/>
    <n v="0"/>
    <n v="31"/>
    <n v="50"/>
    <n v="0"/>
    <n v="1010.32"/>
    <n v="346.61"/>
    <m/>
    <n v="1254.9554530869705"/>
    <n v="441.69177554366559"/>
    <n v="0"/>
    <n v="8.0825600000000009"/>
    <n v="2.7728800000000002"/>
    <n v="0"/>
    <n v="10.039643624695763"/>
    <n v="3.533534204349325"/>
  </r>
  <r>
    <s v="Regular"/>
    <x v="2"/>
    <x v="4"/>
    <x v="7"/>
    <x v="3"/>
    <x v="0"/>
    <x v="0"/>
    <x v="2"/>
    <x v="8"/>
    <n v="0"/>
    <n v="0"/>
    <n v="4.2809999999999997"/>
    <n v="4.2809999999999997"/>
    <n v="4.2809999999999997"/>
    <n v="4.2809999999999997"/>
    <n v="0"/>
    <x v="0"/>
    <n v="0"/>
    <n v="0"/>
    <n v="31"/>
    <n v="50"/>
    <n v="0"/>
    <n v="1010.32"/>
    <n v="346.61"/>
    <m/>
    <n v="1254.9554530869705"/>
    <n v="441.69177554366559"/>
    <n v="0"/>
    <n v="4325.1799199999996"/>
    <n v="1483.8374099999999"/>
    <n v="0"/>
    <n v="5372.4642946653203"/>
    <n v="1890.8824911024321"/>
  </r>
  <r>
    <s v="Sistema de Compensação"/>
    <x v="2"/>
    <x v="4"/>
    <x v="7"/>
    <x v="3"/>
    <x v="0"/>
    <x v="0"/>
    <x v="2"/>
    <x v="8"/>
    <n v="0"/>
    <n v="0"/>
    <n v="0.01"/>
    <n v="0.01"/>
    <n v="0.01"/>
    <n v="0.01"/>
    <n v="0"/>
    <x v="0"/>
    <n v="0"/>
    <n v="0"/>
    <n v="31"/>
    <n v="50"/>
    <n v="0"/>
    <n v="1010.32"/>
    <n v="346.61"/>
    <m/>
    <n v="1254.9554530869705"/>
    <n v="441.69177554366559"/>
    <n v="0"/>
    <n v="10.103200000000001"/>
    <n v="3.4661000000000004"/>
    <n v="0"/>
    <n v="12.549554530869704"/>
    <n v="4.4169177554366561"/>
  </r>
  <r>
    <s v="Regular"/>
    <x v="2"/>
    <x v="4"/>
    <x v="7"/>
    <x v="3"/>
    <x v="0"/>
    <x v="0"/>
    <x v="2"/>
    <x v="9"/>
    <n v="0"/>
    <n v="0"/>
    <n v="3.915"/>
    <n v="3.915"/>
    <n v="3.915"/>
    <n v="3.915"/>
    <n v="0"/>
    <x v="0"/>
    <n v="0"/>
    <n v="0"/>
    <n v="31"/>
    <n v="50"/>
    <n v="0"/>
    <n v="1010.32"/>
    <n v="346.61"/>
    <m/>
    <n v="1254.9554530869705"/>
    <n v="441.69177554366559"/>
    <n v="0"/>
    <n v="3955.4028000000003"/>
    <n v="1356.9781500000001"/>
    <n v="0"/>
    <n v="4913.1505988354893"/>
    <n v="1729.2233012534507"/>
  </r>
  <r>
    <s v="Sistema de Compensação"/>
    <x v="2"/>
    <x v="4"/>
    <x v="7"/>
    <x v="3"/>
    <x v="0"/>
    <x v="0"/>
    <x v="2"/>
    <x v="9"/>
    <n v="0"/>
    <n v="0"/>
    <n v="8.0000000000000002E-3"/>
    <n v="8.0000000000000002E-3"/>
    <n v="8.0000000000000002E-3"/>
    <n v="8.0000000000000002E-3"/>
    <n v="0"/>
    <x v="0"/>
    <n v="0"/>
    <n v="0"/>
    <n v="31"/>
    <n v="50"/>
    <n v="0"/>
    <n v="1010.32"/>
    <n v="346.61"/>
    <m/>
    <n v="1254.9554530869705"/>
    <n v="441.69177554366559"/>
    <n v="0"/>
    <n v="8.0825600000000009"/>
    <n v="2.7728800000000002"/>
    <n v="0"/>
    <n v="10.039643624695763"/>
    <n v="3.533534204349325"/>
  </r>
  <r>
    <s v="Regular"/>
    <x v="2"/>
    <x v="4"/>
    <x v="7"/>
    <x v="3"/>
    <x v="0"/>
    <x v="0"/>
    <x v="2"/>
    <x v="10"/>
    <n v="0"/>
    <n v="0"/>
    <n v="4.3780000000000001"/>
    <n v="4.3780000000000001"/>
    <n v="4.3780000000000001"/>
    <n v="4.3780000000000001"/>
    <n v="0"/>
    <x v="0"/>
    <n v="0"/>
    <n v="0"/>
    <n v="31"/>
    <n v="50"/>
    <n v="0"/>
    <n v="1010.32"/>
    <n v="346.61"/>
    <m/>
    <n v="1254.9554530869705"/>
    <n v="441.69177554366559"/>
    <n v="0"/>
    <n v="4423.1809600000006"/>
    <n v="1517.4585800000002"/>
    <n v="0"/>
    <n v="5494.1949736147571"/>
    <n v="1933.726593330168"/>
  </r>
  <r>
    <s v="Sistema de Compensação"/>
    <x v="2"/>
    <x v="4"/>
    <x v="7"/>
    <x v="3"/>
    <x v="0"/>
    <x v="0"/>
    <x v="2"/>
    <x v="10"/>
    <n v="0"/>
    <n v="0"/>
    <n v="8.0000000000000002E-3"/>
    <n v="8.0000000000000002E-3"/>
    <n v="8.0000000000000002E-3"/>
    <n v="8.0000000000000002E-3"/>
    <n v="0"/>
    <x v="0"/>
    <n v="0"/>
    <n v="0"/>
    <n v="31"/>
    <n v="50"/>
    <n v="0"/>
    <n v="1010.32"/>
    <n v="346.61"/>
    <m/>
    <n v="1254.9554530869705"/>
    <n v="441.69177554366559"/>
    <n v="0"/>
    <n v="8.0825600000000009"/>
    <n v="2.7728800000000002"/>
    <n v="0"/>
    <n v="10.039643624695763"/>
    <n v="3.533534204349325"/>
  </r>
  <r>
    <s v="PROJETADO"/>
    <x v="2"/>
    <x v="4"/>
    <x v="7"/>
    <x v="3"/>
    <x v="0"/>
    <x v="0"/>
    <x v="2"/>
    <x v="11"/>
    <n v="0"/>
    <n v="0"/>
    <n v="4.3780000000000001"/>
    <n v="4.3780000000000001"/>
    <n v="4.3780000000000001"/>
    <n v="4.3780000000000001"/>
    <n v="0"/>
    <x v="0"/>
    <n v="0"/>
    <n v="0"/>
    <n v="31"/>
    <n v="50"/>
    <n v="0"/>
    <n v="1010.32"/>
    <n v="346.61"/>
    <m/>
    <n v="1254.9554530869705"/>
    <n v="441.69177554366559"/>
    <n v="0"/>
    <n v="4423.1809600000006"/>
    <n v="1517.4585800000002"/>
    <n v="0"/>
    <n v="5494.1949736147571"/>
    <n v="1933.726593330168"/>
  </r>
  <r>
    <s v="PROJETADO"/>
    <x v="2"/>
    <x v="4"/>
    <x v="7"/>
    <x v="3"/>
    <x v="0"/>
    <x v="0"/>
    <x v="2"/>
    <x v="11"/>
    <n v="0"/>
    <n v="0"/>
    <n v="8.0000000000000002E-3"/>
    <n v="8.0000000000000002E-3"/>
    <n v="8.0000000000000002E-3"/>
    <n v="8.0000000000000002E-3"/>
    <n v="0"/>
    <x v="0"/>
    <n v="0"/>
    <n v="0"/>
    <n v="31"/>
    <n v="50"/>
    <n v="0"/>
    <n v="1010.32"/>
    <n v="346.61"/>
    <m/>
    <n v="1254.9554530869705"/>
    <n v="441.69177554366559"/>
    <n v="0"/>
    <n v="8.0825600000000009"/>
    <n v="2.7728800000000002"/>
    <n v="0"/>
    <n v="10.039643624695763"/>
    <n v="3.533534204349325"/>
  </r>
  <r>
    <s v="Regular"/>
    <x v="2"/>
    <x v="5"/>
    <x v="7"/>
    <x v="3"/>
    <x v="0"/>
    <x v="0"/>
    <x v="1"/>
    <x v="0"/>
    <n v="0"/>
    <n v="0"/>
    <n v="99925.642999999996"/>
    <n v="99925.642999999996"/>
    <n v="99925.642999999996"/>
    <n v="99925.642999999996"/>
    <n v="720359"/>
    <x v="0"/>
    <n v="0"/>
    <n v="0"/>
    <n v="13"/>
    <n v="53"/>
    <n v="0"/>
    <n v="395.58"/>
    <n v="230.53"/>
    <m/>
    <n v="492.21094817442304"/>
    <n v="296.59949464114788"/>
    <n v="0"/>
    <n v="39528585.857939996"/>
    <n v="23035858.48079"/>
    <n v="0"/>
    <n v="49184495.487968899"/>
    <n v="29637895.215491757"/>
  </r>
  <r>
    <s v="Refaturamento - Regular"/>
    <x v="2"/>
    <x v="5"/>
    <x v="7"/>
    <x v="3"/>
    <x v="0"/>
    <x v="0"/>
    <x v="1"/>
    <x v="0"/>
    <n v="0"/>
    <n v="0"/>
    <n v="-804.37300000000005"/>
    <n v="-804.37300000000005"/>
    <n v="-804.37300000000005"/>
    <n v="-804.37300000000005"/>
    <n v="-6484"/>
    <x v="0"/>
    <n v="0"/>
    <n v="0"/>
    <n v="13"/>
    <n v="53"/>
    <n v="0"/>
    <n v="395.58"/>
    <n v="230.53"/>
    <m/>
    <n v="492.21094817442304"/>
    <n v="296.59949464114788"/>
    <n v="0"/>
    <n v="-318193.87134000001"/>
    <n v="-185432.10769"/>
    <n v="0"/>
    <n v="-395921.19701590523"/>
    <n v="-238576.62530298406"/>
  </r>
  <r>
    <s v="Sistema de Compensação"/>
    <x v="2"/>
    <x v="5"/>
    <x v="7"/>
    <x v="3"/>
    <x v="0"/>
    <x v="0"/>
    <x v="1"/>
    <x v="0"/>
    <n v="0"/>
    <n v="0"/>
    <n v="610.88499999999999"/>
    <n v="610.88499999999999"/>
    <n v="610.88499999999999"/>
    <n v="610.88499999999999"/>
    <n v="3758"/>
    <x v="0"/>
    <n v="0"/>
    <n v="0"/>
    <n v="13"/>
    <n v="53"/>
    <n v="0"/>
    <n v="395.58"/>
    <n v="230.53"/>
    <m/>
    <n v="492.21094817442304"/>
    <n v="296.59949464114788"/>
    <n v="0"/>
    <n v="241653.88829999999"/>
    <n v="140827.31904999999"/>
    <n v="0"/>
    <n v="300684.28507553239"/>
    <n v="181188.18228385763"/>
  </r>
  <r>
    <s v="Sistema de Compensação"/>
    <x v="2"/>
    <x v="5"/>
    <x v="7"/>
    <x v="3"/>
    <x v="0"/>
    <x v="0"/>
    <x v="1"/>
    <x v="0"/>
    <n v="0"/>
    <n v="0"/>
    <n v="5.5380000000000003"/>
    <n v="5.5380000000000003"/>
    <n v="5.5380000000000003"/>
    <n v="5.5380000000000003"/>
    <n v="14"/>
    <x v="0"/>
    <n v="0"/>
    <n v="0"/>
    <n v="13"/>
    <n v="53"/>
    <n v="0"/>
    <n v="395.58"/>
    <n v="230.53"/>
    <m/>
    <n v="492.21094817442304"/>
    <n v="296.59949464114788"/>
    <n v="0"/>
    <n v="2190.7220400000001"/>
    <n v="1276.6751400000001"/>
    <n v="0"/>
    <n v="2725.8642309899551"/>
    <n v="1642.568001322677"/>
  </r>
  <r>
    <s v="Regular"/>
    <x v="2"/>
    <x v="5"/>
    <x v="7"/>
    <x v="3"/>
    <x v="0"/>
    <x v="0"/>
    <x v="1"/>
    <x v="1"/>
    <n v="0"/>
    <n v="0"/>
    <n v="93674.627999999997"/>
    <n v="93674.627999999997"/>
    <n v="93674.627999999997"/>
    <n v="93674.627999999997"/>
    <n v="714113"/>
    <x v="0"/>
    <n v="0"/>
    <n v="0"/>
    <n v="13"/>
    <n v="53"/>
    <n v="0"/>
    <n v="395.58"/>
    <n v="230.53"/>
    <m/>
    <n v="492.21094817442304"/>
    <n v="296.59949464114788"/>
    <n v="0"/>
    <n v="37055809.344239995"/>
    <n v="21594811.992839999"/>
    <n v="0"/>
    <n v="46107677.467766352"/>
    <n v="27783847.325497519"/>
  </r>
  <r>
    <s v="Refaturamento - Regular"/>
    <x v="2"/>
    <x v="5"/>
    <x v="7"/>
    <x v="3"/>
    <x v="0"/>
    <x v="0"/>
    <x v="1"/>
    <x v="1"/>
    <n v="0"/>
    <n v="0"/>
    <n v="-830.81299999999999"/>
    <n v="-830.81299999999999"/>
    <n v="-830.81299999999999"/>
    <n v="-830.81299999999999"/>
    <n v="-12795"/>
    <x v="0"/>
    <n v="0"/>
    <n v="0"/>
    <n v="13"/>
    <n v="53"/>
    <n v="0"/>
    <n v="395.58"/>
    <n v="230.53"/>
    <m/>
    <n v="492.21094817442304"/>
    <n v="296.59949464114788"/>
    <n v="0"/>
    <n v="-328653.00653999997"/>
    <n v="-191527.32089"/>
    <n v="0"/>
    <n v="-408935.25448563695"/>
    <n v="-246418.71594129599"/>
  </r>
  <r>
    <s v="Sistema de Compensação"/>
    <x v="2"/>
    <x v="5"/>
    <x v="7"/>
    <x v="3"/>
    <x v="0"/>
    <x v="0"/>
    <x v="1"/>
    <x v="1"/>
    <n v="0"/>
    <n v="0"/>
    <n v="693.68600000000004"/>
    <n v="693.68600000000004"/>
    <n v="693.68600000000004"/>
    <n v="693.68600000000004"/>
    <n v="4151"/>
    <x v="0"/>
    <n v="0"/>
    <n v="0"/>
    <n v="13"/>
    <n v="53"/>
    <n v="0"/>
    <n v="395.58"/>
    <n v="230.53"/>
    <m/>
    <n v="492.21094817442304"/>
    <n v="296.59949464114788"/>
    <n v="0"/>
    <n v="274408.30787999998"/>
    <n v="159915.43358000001"/>
    <n v="0"/>
    <n v="341439.84379532281"/>
    <n v="205746.91703963932"/>
  </r>
  <r>
    <s v="Sistema de Compensação"/>
    <x v="2"/>
    <x v="5"/>
    <x v="7"/>
    <x v="3"/>
    <x v="0"/>
    <x v="0"/>
    <x v="1"/>
    <x v="1"/>
    <n v="0"/>
    <n v="0"/>
    <n v="8.8379999999999992"/>
    <n v="8.8379999999999992"/>
    <n v="8.8379999999999992"/>
    <n v="8.8379999999999992"/>
    <n v="10"/>
    <x v="0"/>
    <n v="0"/>
    <n v="0"/>
    <n v="13"/>
    <n v="53"/>
    <n v="0"/>
    <n v="395.58"/>
    <n v="230.53"/>
    <m/>
    <n v="492.21094817442304"/>
    <n v="296.59949464114788"/>
    <n v="0"/>
    <n v="3496.1360399999994"/>
    <n v="2037.4241399999999"/>
    <n v="0"/>
    <n v="4350.16035996555"/>
    <n v="2621.3463336384648"/>
  </r>
  <r>
    <s v="Regular"/>
    <x v="2"/>
    <x v="5"/>
    <x v="7"/>
    <x v="3"/>
    <x v="0"/>
    <x v="0"/>
    <x v="1"/>
    <x v="2"/>
    <n v="0"/>
    <n v="0"/>
    <n v="87243.097999999998"/>
    <n v="87243.097999999998"/>
    <n v="87243.097999999998"/>
    <n v="87243.097999999998"/>
    <n v="714088"/>
    <x v="0"/>
    <n v="0"/>
    <n v="0"/>
    <n v="13"/>
    <n v="53"/>
    <n v="0"/>
    <n v="395.58"/>
    <n v="230.53"/>
    <m/>
    <n v="492.21094817442304"/>
    <n v="296.59949464114788"/>
    <n v="0"/>
    <n v="34511624.706840001"/>
    <n v="20112151.38194"/>
    <n v="0"/>
    <n v="42942007.988254108"/>
    <n v="25876258.77772814"/>
  </r>
  <r>
    <s v="Refaturamento - Regular"/>
    <x v="2"/>
    <x v="5"/>
    <x v="7"/>
    <x v="3"/>
    <x v="0"/>
    <x v="0"/>
    <x v="1"/>
    <x v="2"/>
    <n v="0"/>
    <n v="0"/>
    <n v="-697.83299999999997"/>
    <n v="-697.83299999999997"/>
    <n v="-697.83299999999997"/>
    <n v="-697.83299999999997"/>
    <n v="-9418"/>
    <x v="0"/>
    <n v="0"/>
    <n v="0"/>
    <n v="13"/>
    <n v="53"/>
    <n v="0"/>
    <n v="395.58"/>
    <n v="230.53"/>
    <m/>
    <n v="492.21094817442304"/>
    <n v="296.59949464114788"/>
    <n v="0"/>
    <n v="-276048.77813999995"/>
    <n v="-160871.44149"/>
    <n v="0"/>
    <n v="-343481.04259740212"/>
    <n v="-206976.91514391615"/>
  </r>
  <r>
    <s v="Sistema de Compensação"/>
    <x v="2"/>
    <x v="5"/>
    <x v="7"/>
    <x v="3"/>
    <x v="0"/>
    <x v="0"/>
    <x v="1"/>
    <x v="2"/>
    <n v="0"/>
    <n v="0"/>
    <n v="686.67399999999998"/>
    <n v="686.67399999999998"/>
    <n v="686.67399999999998"/>
    <n v="686.67399999999998"/>
    <n v="4499"/>
    <x v="0"/>
    <n v="0"/>
    <n v="0"/>
    <n v="13"/>
    <n v="53"/>
    <n v="0"/>
    <n v="395.58"/>
    <n v="230.53"/>
    <m/>
    <n v="492.21094817442304"/>
    <n v="296.59949464114788"/>
    <n v="0"/>
    <n v="271634.50091999996"/>
    <n v="158298.95721999998"/>
    <n v="0"/>
    <n v="337988.46062672377"/>
    <n v="203667.16138321557"/>
  </r>
  <r>
    <s v="Sistema de Compensação"/>
    <x v="2"/>
    <x v="5"/>
    <x v="7"/>
    <x v="3"/>
    <x v="0"/>
    <x v="0"/>
    <x v="1"/>
    <x v="2"/>
    <n v="0"/>
    <n v="0"/>
    <n v="4.2999999999999997E-2"/>
    <n v="4.2999999999999997E-2"/>
    <n v="4.2999999999999997E-2"/>
    <n v="4.2999999999999997E-2"/>
    <n v="10"/>
    <x v="0"/>
    <n v="0"/>
    <n v="0"/>
    <n v="13"/>
    <n v="53"/>
    <n v="0"/>
    <n v="395.58"/>
    <n v="230.53"/>
    <m/>
    <n v="492.21094817442304"/>
    <n v="296.59949464114788"/>
    <n v="0"/>
    <n v="17.009939999999997"/>
    <n v="9.9127899999999993"/>
    <n v="0"/>
    <n v="21.16507077150019"/>
    <n v="12.753778269569358"/>
  </r>
  <r>
    <s v="Regular"/>
    <x v="2"/>
    <x v="5"/>
    <x v="7"/>
    <x v="3"/>
    <x v="0"/>
    <x v="0"/>
    <x v="1"/>
    <x v="3"/>
    <n v="0"/>
    <n v="0"/>
    <n v="84965.644"/>
    <n v="84965.644"/>
    <n v="84965.644"/>
    <n v="84965.644"/>
    <n v="710526"/>
    <x v="0"/>
    <n v="0"/>
    <n v="0"/>
    <n v="13"/>
    <n v="53"/>
    <n v="0"/>
    <n v="395.58"/>
    <n v="230.53"/>
    <m/>
    <n v="492.21094817442304"/>
    <n v="296.59949464114788"/>
    <n v="0"/>
    <n v="33610709.45352"/>
    <n v="19587129.911320001"/>
    <n v="0"/>
    <n v="41821020.195490479"/>
    <n v="25200767.072259679"/>
  </r>
  <r>
    <s v="Refaturamento - Regular"/>
    <x v="2"/>
    <x v="5"/>
    <x v="7"/>
    <x v="3"/>
    <x v="0"/>
    <x v="0"/>
    <x v="1"/>
    <x v="3"/>
    <n v="0"/>
    <n v="0"/>
    <n v="-588.06500000000005"/>
    <n v="-588.06500000000005"/>
    <n v="-588.06500000000005"/>
    <n v="-588.06500000000005"/>
    <n v="-5115"/>
    <x v="0"/>
    <n v="0"/>
    <n v="0"/>
    <n v="13"/>
    <n v="53"/>
    <n v="0"/>
    <n v="395.58"/>
    <n v="230.53"/>
    <m/>
    <n v="492.21094817442304"/>
    <n v="296.59949464114788"/>
    <n v="0"/>
    <n v="-232626.75270000001"/>
    <n v="-135566.62445"/>
    <n v="0"/>
    <n v="-289452.03123819211"/>
    <n v="-174419.78181614666"/>
  </r>
  <r>
    <s v="Sistema de Compensação"/>
    <x v="2"/>
    <x v="5"/>
    <x v="7"/>
    <x v="3"/>
    <x v="0"/>
    <x v="0"/>
    <x v="1"/>
    <x v="3"/>
    <n v="0"/>
    <n v="0"/>
    <n v="715.93700000000001"/>
    <n v="715.93700000000001"/>
    <n v="715.93700000000001"/>
    <n v="715.93700000000001"/>
    <n v="4968"/>
    <x v="0"/>
    <n v="0"/>
    <n v="0"/>
    <n v="13"/>
    <n v="53"/>
    <n v="0"/>
    <n v="395.58"/>
    <n v="230.53"/>
    <m/>
    <n v="492.21094817442304"/>
    <n v="296.59949464114788"/>
    <n v="0"/>
    <n v="283210.35846000002"/>
    <n v="165044.95660999999"/>
    <n v="0"/>
    <n v="352392.0296031519"/>
    <n v="212346.55239489951"/>
  </r>
  <r>
    <s v="Sistema de Compensação"/>
    <x v="2"/>
    <x v="5"/>
    <x v="7"/>
    <x v="3"/>
    <x v="0"/>
    <x v="0"/>
    <x v="1"/>
    <x v="3"/>
    <n v="0"/>
    <n v="0"/>
    <n v="-18.384"/>
    <n v="-18.384"/>
    <n v="-18.384"/>
    <n v="-18.384"/>
    <n v="0"/>
    <x v="0"/>
    <n v="0"/>
    <n v="0"/>
    <n v="13"/>
    <n v="53"/>
    <n v="0"/>
    <n v="395.58"/>
    <n v="230.53"/>
    <m/>
    <n v="492.21094817442304"/>
    <n v="296.59949464114788"/>
    <n v="0"/>
    <n v="-7272.3427199999996"/>
    <n v="-4238.0635199999997"/>
    <n v="0"/>
    <n v="-9048.8060712385941"/>
    <n v="-5452.6851094828626"/>
  </r>
  <r>
    <s v="Regular"/>
    <x v="2"/>
    <x v="5"/>
    <x v="7"/>
    <x v="3"/>
    <x v="0"/>
    <x v="0"/>
    <x v="1"/>
    <x v="4"/>
    <n v="0"/>
    <n v="0"/>
    <n v="89958.422000000006"/>
    <n v="89958.422000000006"/>
    <n v="89958.422000000006"/>
    <n v="89958.422000000006"/>
    <n v="709464"/>
    <x v="0"/>
    <n v="0"/>
    <n v="0"/>
    <n v="13"/>
    <n v="53"/>
    <n v="0"/>
    <n v="395.58"/>
    <n v="230.53"/>
    <m/>
    <n v="492.21094817442304"/>
    <n v="296.59949464114788"/>
    <n v="0"/>
    <n v="35585752.574759997"/>
    <n v="20738115.02366"/>
    <n v="0"/>
    <n v="44278520.188894883"/>
    <n v="26681622.50391512"/>
  </r>
  <r>
    <s v="Refaturamento - Regular"/>
    <x v="2"/>
    <x v="5"/>
    <x v="7"/>
    <x v="3"/>
    <x v="0"/>
    <x v="0"/>
    <x v="1"/>
    <x v="4"/>
    <n v="0"/>
    <n v="0"/>
    <n v="-523.68399999999997"/>
    <n v="-523.68399999999997"/>
    <n v="-523.68399999999997"/>
    <n v="-523.68399999999997"/>
    <n v="-6051"/>
    <x v="0"/>
    <n v="0"/>
    <n v="0"/>
    <n v="13"/>
    <n v="53"/>
    <n v="0"/>
    <n v="395.58"/>
    <n v="230.53"/>
    <m/>
    <n v="492.21094817442304"/>
    <n v="296.59949464114788"/>
    <n v="0"/>
    <n v="-207158.91671999998"/>
    <n v="-120724.87251999999"/>
    <n v="0"/>
    <n v="-257762.99818377453"/>
    <n v="-155324.40975165489"/>
  </r>
  <r>
    <s v="Sistema de Compensação"/>
    <x v="2"/>
    <x v="5"/>
    <x v="7"/>
    <x v="3"/>
    <x v="0"/>
    <x v="0"/>
    <x v="1"/>
    <x v="4"/>
    <n v="0"/>
    <n v="0"/>
    <n v="766.30899999999997"/>
    <n v="766.30899999999997"/>
    <n v="766.30899999999997"/>
    <n v="766.30899999999997"/>
    <n v="5411"/>
    <x v="0"/>
    <n v="0"/>
    <n v="0"/>
    <n v="13"/>
    <n v="53"/>
    <n v="0"/>
    <n v="395.58"/>
    <n v="230.53"/>
    <m/>
    <n v="492.21094817442304"/>
    <n v="296.59949464114788"/>
    <n v="0"/>
    <n v="303136.51421999995"/>
    <n v="176657.21377"/>
    <n v="0"/>
    <n v="377185.67948459391"/>
    <n v="227286.86213896339"/>
  </r>
  <r>
    <s v="Sistema de Compensação"/>
    <x v="2"/>
    <x v="5"/>
    <x v="7"/>
    <x v="3"/>
    <x v="0"/>
    <x v="0"/>
    <x v="1"/>
    <x v="4"/>
    <n v="0"/>
    <n v="0"/>
    <n v="-1.863"/>
    <n v="-1.863"/>
    <n v="-1.863"/>
    <n v="-1.863"/>
    <n v="3"/>
    <x v="0"/>
    <n v="0"/>
    <n v="0"/>
    <n v="13"/>
    <n v="53"/>
    <n v="0"/>
    <n v="395.58"/>
    <n v="230.53"/>
    <m/>
    <n v="492.21094817442304"/>
    <n v="296.59949464114788"/>
    <n v="0"/>
    <n v="-736.96553999999992"/>
    <n v="-429.47739000000001"/>
    <n v="0"/>
    <n v="-916.98899644895016"/>
    <n v="-552.56485851645846"/>
  </r>
  <r>
    <s v="Regular"/>
    <x v="2"/>
    <x v="5"/>
    <x v="7"/>
    <x v="3"/>
    <x v="0"/>
    <x v="0"/>
    <x v="1"/>
    <x v="5"/>
    <n v="0"/>
    <n v="0"/>
    <n v="96018.323000000004"/>
    <n v="96018.323000000004"/>
    <n v="96018.323000000004"/>
    <n v="96018.323000000004"/>
    <n v="712020"/>
    <x v="0"/>
    <n v="0"/>
    <n v="0"/>
    <n v="13"/>
    <n v="53"/>
    <n v="0"/>
    <n v="395.58"/>
    <n v="230.53"/>
    <m/>
    <n v="492.21094817442304"/>
    <n v="296.59949464114788"/>
    <n v="0"/>
    <n v="37982928.212339997"/>
    <n v="22135104.001189999"/>
    <n v="0"/>
    <n v="47261269.805948012"/>
    <n v="28478986.078090508"/>
  </r>
  <r>
    <s v="Refaturamento - Regular"/>
    <x v="2"/>
    <x v="5"/>
    <x v="7"/>
    <x v="3"/>
    <x v="0"/>
    <x v="0"/>
    <x v="1"/>
    <x v="5"/>
    <n v="0"/>
    <n v="0"/>
    <n v="-706.54600000000005"/>
    <n v="-706.54600000000005"/>
    <n v="-706.54600000000005"/>
    <n v="-706.54600000000005"/>
    <n v="-5161"/>
    <x v="0"/>
    <n v="0"/>
    <n v="0"/>
    <n v="13"/>
    <n v="53"/>
    <n v="0"/>
    <n v="395.58"/>
    <n v="230.53"/>
    <m/>
    <n v="492.21094817442304"/>
    <n v="296.59949464114788"/>
    <n v="0"/>
    <n v="-279495.46668000001"/>
    <n v="-162880.04938000001"/>
    <n v="0"/>
    <n v="-347769.6765888459"/>
    <n v="-209561.18654072448"/>
  </r>
  <r>
    <s v="Sistema de Compensação"/>
    <x v="2"/>
    <x v="5"/>
    <x v="7"/>
    <x v="3"/>
    <x v="0"/>
    <x v="0"/>
    <x v="1"/>
    <x v="5"/>
    <n v="0"/>
    <n v="0"/>
    <n v="825.02700000000004"/>
    <n v="825.02700000000004"/>
    <n v="825.02700000000004"/>
    <n v="825.02700000000004"/>
    <n v="5933"/>
    <x v="0"/>
    <n v="0"/>
    <n v="0"/>
    <n v="13"/>
    <n v="53"/>
    <n v="0"/>
    <n v="395.58"/>
    <n v="230.53"/>
    <m/>
    <n v="492.21094817442304"/>
    <n v="296.59949464114788"/>
    <n v="0"/>
    <n v="326364.18066000001"/>
    <n v="190193.47431000002"/>
    <n v="0"/>
    <n v="406087.32193949976"/>
    <n v="244702.59126530233"/>
  </r>
  <r>
    <s v="Sistema de Compensação"/>
    <x v="2"/>
    <x v="5"/>
    <x v="7"/>
    <x v="3"/>
    <x v="0"/>
    <x v="0"/>
    <x v="1"/>
    <x v="5"/>
    <n v="0"/>
    <n v="0"/>
    <n v="-34.710999999999999"/>
    <n v="-34.710999999999999"/>
    <n v="-34.710999999999999"/>
    <n v="-34.710999999999999"/>
    <n v="-16"/>
    <x v="0"/>
    <n v="0"/>
    <n v="0"/>
    <n v="13"/>
    <n v="53"/>
    <n v="0"/>
    <n v="395.58"/>
    <n v="230.53"/>
    <m/>
    <n v="492.21094817442304"/>
    <n v="296.59949464114788"/>
    <n v="0"/>
    <n v="-13730.977379999998"/>
    <n v="-8001.9268299999994"/>
    <n v="0"/>
    <n v="-17085.134222082397"/>
    <n v="-10295.265058488883"/>
  </r>
  <r>
    <s v="Regular"/>
    <x v="2"/>
    <x v="5"/>
    <x v="7"/>
    <x v="3"/>
    <x v="0"/>
    <x v="0"/>
    <x v="1"/>
    <x v="6"/>
    <n v="0"/>
    <n v="0"/>
    <n v="101314.617"/>
    <n v="101314.617"/>
    <n v="101314.617"/>
    <n v="101314.617"/>
    <n v="711178"/>
    <x v="0"/>
    <n v="0"/>
    <n v="0"/>
    <n v="13"/>
    <n v="53"/>
    <n v="0"/>
    <n v="395.58"/>
    <n v="230.53"/>
    <m/>
    <n v="492.21094817442304"/>
    <n v="296.59949464114788"/>
    <n v="0"/>
    <n v="40078036.19286"/>
    <n v="23356058.65701"/>
    <n v="0"/>
    <n v="49868163.697498515"/>
    <n v="30049864.20196145"/>
  </r>
  <r>
    <s v="Refaturamento - Regular"/>
    <x v="2"/>
    <x v="5"/>
    <x v="7"/>
    <x v="3"/>
    <x v="0"/>
    <x v="0"/>
    <x v="1"/>
    <x v="6"/>
    <n v="0"/>
    <n v="0"/>
    <n v="-413.678"/>
    <n v="-413.678"/>
    <n v="-413.678"/>
    <n v="-413.678"/>
    <n v="-2942"/>
    <x v="0"/>
    <n v="0"/>
    <n v="0"/>
    <n v="13"/>
    <n v="53"/>
    <n v="0"/>
    <n v="395.58"/>
    <n v="230.53"/>
    <m/>
    <n v="492.21094817442304"/>
    <n v="296.59949464114788"/>
    <n v="0"/>
    <n v="-163642.74323999998"/>
    <n v="-95365.189339999997"/>
    <n v="0"/>
    <n v="-203616.84061889898"/>
    <n v="-122696.68574416077"/>
  </r>
  <r>
    <s v="Sistema de Compensação"/>
    <x v="2"/>
    <x v="5"/>
    <x v="7"/>
    <x v="3"/>
    <x v="0"/>
    <x v="0"/>
    <x v="1"/>
    <x v="6"/>
    <n v="0"/>
    <n v="0"/>
    <n v="867.30100000000004"/>
    <n v="867.30100000000004"/>
    <n v="867.30100000000004"/>
    <n v="867.30100000000004"/>
    <n v="6299"/>
    <x v="0"/>
    <n v="0"/>
    <n v="0"/>
    <n v="13"/>
    <n v="53"/>
    <n v="0"/>
    <n v="395.58"/>
    <n v="230.53"/>
    <m/>
    <n v="492.21094817442304"/>
    <n v="296.59949464114788"/>
    <n v="0"/>
    <n v="343086.92958"/>
    <n v="199938.89953000002"/>
    <n v="0"/>
    <n v="426895.04756262532"/>
    <n v="257241.03830176222"/>
  </r>
  <r>
    <s v="Sistema de Compensação"/>
    <x v="2"/>
    <x v="5"/>
    <x v="7"/>
    <x v="3"/>
    <x v="0"/>
    <x v="0"/>
    <x v="1"/>
    <x v="6"/>
    <n v="0"/>
    <n v="0"/>
    <n v="1.9810000000000001"/>
    <n v="1.9810000000000001"/>
    <n v="1.9810000000000001"/>
    <n v="1.9810000000000001"/>
    <n v="12"/>
    <x v="0"/>
    <n v="0"/>
    <n v="0"/>
    <n v="13"/>
    <n v="53"/>
    <n v="0"/>
    <n v="395.58"/>
    <n v="230.53"/>
    <m/>
    <n v="492.21094817442304"/>
    <n v="296.59949464114788"/>
    <n v="0"/>
    <n v="783.64398000000006"/>
    <n v="456.67993000000001"/>
    <n v="0"/>
    <n v="975.06988833353205"/>
    <n v="587.56359888411396"/>
  </r>
  <r>
    <s v="Regular"/>
    <x v="2"/>
    <x v="5"/>
    <x v="7"/>
    <x v="3"/>
    <x v="0"/>
    <x v="0"/>
    <x v="1"/>
    <x v="7"/>
    <n v="0"/>
    <n v="0"/>
    <n v="103451.139"/>
    <n v="103451.139"/>
    <n v="103451.139"/>
    <n v="103451.139"/>
    <n v="699786"/>
    <x v="0"/>
    <n v="0"/>
    <n v="0"/>
    <n v="13"/>
    <n v="53"/>
    <n v="0"/>
    <n v="395.58"/>
    <n v="230.53"/>
    <m/>
    <n v="492.21094817442304"/>
    <n v="296.59949464114788"/>
    <n v="0"/>
    <n v="40923201.565619998"/>
    <n v="23848591.07367"/>
    <n v="0"/>
    <n v="50919783.216914035"/>
    <n v="30683555.547451142"/>
  </r>
  <r>
    <s v="Refaturamento - Regular"/>
    <x v="2"/>
    <x v="5"/>
    <x v="7"/>
    <x v="3"/>
    <x v="0"/>
    <x v="0"/>
    <x v="1"/>
    <x v="7"/>
    <n v="0"/>
    <n v="0"/>
    <n v="-390.34500000000003"/>
    <n v="-390.34500000000003"/>
    <n v="-390.34500000000003"/>
    <n v="-390.34500000000003"/>
    <n v="-3158"/>
    <x v="0"/>
    <n v="0"/>
    <n v="0"/>
    <n v="13"/>
    <n v="53"/>
    <n v="0"/>
    <n v="395.58"/>
    <n v="230.53"/>
    <m/>
    <n v="492.21094817442304"/>
    <n v="296.59949464114788"/>
    <n v="0"/>
    <n v="-154412.67509999999"/>
    <n v="-89986.23285"/>
    <n v="0"/>
    <n v="-192132.08256514519"/>
    <n v="-115776.12973569888"/>
  </r>
  <r>
    <s v="Sistema de Compensação"/>
    <x v="2"/>
    <x v="5"/>
    <x v="7"/>
    <x v="3"/>
    <x v="0"/>
    <x v="0"/>
    <x v="1"/>
    <x v="7"/>
    <n v="0"/>
    <n v="0"/>
    <n v="1065.6189999999999"/>
    <n v="1065.6189999999999"/>
    <n v="1065.6189999999999"/>
    <n v="1065.6189999999999"/>
    <n v="6880"/>
    <x v="0"/>
    <n v="0"/>
    <n v="0"/>
    <n v="13"/>
    <n v="53"/>
    <n v="0"/>
    <n v="395.58"/>
    <n v="230.53"/>
    <m/>
    <n v="492.21094817442304"/>
    <n v="296.59949464114788"/>
    <n v="0"/>
    <n v="421537.56401999993"/>
    <n v="245657.14807"/>
    <n v="0"/>
    <n v="524509.33838268043"/>
    <n v="316062.05688000534"/>
  </r>
  <r>
    <s v="Sistema de Compensação"/>
    <x v="2"/>
    <x v="5"/>
    <x v="7"/>
    <x v="3"/>
    <x v="0"/>
    <x v="0"/>
    <x v="1"/>
    <x v="7"/>
    <n v="0"/>
    <n v="0"/>
    <n v="-20.568999999999999"/>
    <n v="-20.568999999999999"/>
    <n v="-20.568999999999999"/>
    <n v="-20.568999999999999"/>
    <n v="1"/>
    <x v="0"/>
    <n v="0"/>
    <n v="0"/>
    <n v="13"/>
    <n v="53"/>
    <n v="0"/>
    <n v="395.58"/>
    <n v="230.53"/>
    <m/>
    <n v="492.21094817442304"/>
    <n v="296.59949464114788"/>
    <n v="0"/>
    <n v="-8136.685019999999"/>
    <n v="-4741.7715699999999"/>
    <n v="0"/>
    <n v="-10124.286992999707"/>
    <n v="-6100.7550052737706"/>
  </r>
  <r>
    <s v="Regular"/>
    <x v="2"/>
    <x v="5"/>
    <x v="7"/>
    <x v="3"/>
    <x v="0"/>
    <x v="0"/>
    <x v="1"/>
    <x v="8"/>
    <n v="0"/>
    <n v="0"/>
    <n v="100424.65700000001"/>
    <n v="100424.65700000001"/>
    <n v="100424.65700000001"/>
    <n v="100424.65700000001"/>
    <n v="685430"/>
    <x v="0"/>
    <n v="0"/>
    <n v="0"/>
    <n v="13"/>
    <n v="53"/>
    <n v="0"/>
    <n v="395.58"/>
    <n v="230.53"/>
    <m/>
    <n v="492.21094817442304"/>
    <n v="296.59949464114788"/>
    <n v="0"/>
    <n v="39725985.816059999"/>
    <n v="23150896.178210001"/>
    <n v="0"/>
    <n v="49430115.642061211"/>
    <n v="29785902.515710615"/>
  </r>
  <r>
    <s v="Refaturamento - Regular"/>
    <x v="2"/>
    <x v="5"/>
    <x v="7"/>
    <x v="3"/>
    <x v="0"/>
    <x v="0"/>
    <x v="1"/>
    <x v="8"/>
    <n v="0"/>
    <n v="0"/>
    <n v="-816.92899999999997"/>
    <n v="-816.92899999999997"/>
    <n v="-816.92899999999997"/>
    <n v="-816.92899999999997"/>
    <n v="-5225"/>
    <x v="0"/>
    <n v="0"/>
    <n v="0"/>
    <n v="13"/>
    <n v="53"/>
    <n v="0"/>
    <n v="395.58"/>
    <n v="230.53"/>
    <m/>
    <n v="492.21094817442304"/>
    <n v="296.59949464114788"/>
    <n v="0"/>
    <n v="-323160.77382"/>
    <n v="-188326.64236999999"/>
    <n v="0"/>
    <n v="-402101.39768118324"/>
    <n v="-242300.72855769828"/>
  </r>
  <r>
    <s v="Sistema de Compensação"/>
    <x v="2"/>
    <x v="5"/>
    <x v="7"/>
    <x v="3"/>
    <x v="0"/>
    <x v="0"/>
    <x v="1"/>
    <x v="8"/>
    <n v="0"/>
    <n v="0"/>
    <n v="1161.79"/>
    <n v="1161.79"/>
    <n v="1161.79"/>
    <n v="1161.79"/>
    <n v="7465"/>
    <x v="0"/>
    <n v="0"/>
    <n v="0"/>
    <n v="13"/>
    <n v="53"/>
    <n v="0"/>
    <n v="395.58"/>
    <n v="230.53"/>
    <m/>
    <n v="492.21094817442304"/>
    <n v="296.59949464114788"/>
    <n v="0"/>
    <n v="459580.88819999999"/>
    <n v="267827.44870000001"/>
    <n v="0"/>
    <n v="571845.75747956289"/>
    <n v="344586.32687913917"/>
  </r>
  <r>
    <s v="Sistema de Compensação"/>
    <x v="2"/>
    <x v="5"/>
    <x v="7"/>
    <x v="3"/>
    <x v="0"/>
    <x v="0"/>
    <x v="1"/>
    <x v="8"/>
    <n v="0"/>
    <n v="0"/>
    <n v="-2.2850000000000001"/>
    <n v="-2.2850000000000001"/>
    <n v="-2.2850000000000001"/>
    <n v="-2.2850000000000001"/>
    <n v="1"/>
    <x v="0"/>
    <n v="0"/>
    <n v="0"/>
    <n v="13"/>
    <n v="53"/>
    <n v="0"/>
    <n v="395.58"/>
    <n v="230.53"/>
    <m/>
    <n v="492.21094817442304"/>
    <n v="296.59949464114788"/>
    <n v="0"/>
    <n v="-903.90030000000002"/>
    <n v="-526.76105000000007"/>
    <n v="0"/>
    <n v="-1124.7020165785568"/>
    <n v="-677.72984525502295"/>
  </r>
  <r>
    <s v="Regular"/>
    <x v="2"/>
    <x v="5"/>
    <x v="7"/>
    <x v="3"/>
    <x v="0"/>
    <x v="0"/>
    <x v="1"/>
    <x v="9"/>
    <n v="0"/>
    <n v="0"/>
    <n v="97867.597999999998"/>
    <n v="97867.597999999998"/>
    <n v="97867.597999999998"/>
    <n v="97867.597999999998"/>
    <n v="681080"/>
    <x v="0"/>
    <n v="0"/>
    <n v="0"/>
    <n v="13"/>
    <n v="53"/>
    <n v="0"/>
    <n v="395.58"/>
    <n v="230.53"/>
    <m/>
    <n v="492.21094817442304"/>
    <n v="296.59949464114788"/>
    <n v="0"/>
    <n v="38714464.416839994"/>
    <n v="22561417.366939999"/>
    <n v="0"/>
    <n v="48171503.207133263"/>
    <n v="29027480.108543016"/>
  </r>
  <r>
    <s v="Refaturamento - Regular"/>
    <x v="2"/>
    <x v="5"/>
    <x v="7"/>
    <x v="3"/>
    <x v="0"/>
    <x v="0"/>
    <x v="1"/>
    <x v="9"/>
    <n v="0"/>
    <n v="0"/>
    <n v="-1709.421"/>
    <n v="-1709.421"/>
    <n v="-1709.421"/>
    <n v="-1709.421"/>
    <n v="-4678"/>
    <x v="0"/>
    <n v="0"/>
    <n v="0"/>
    <n v="13"/>
    <n v="53"/>
    <n v="0"/>
    <n v="395.58"/>
    <n v="230.53"/>
    <m/>
    <n v="492.21094817442304"/>
    <n v="296.59949464114788"/>
    <n v="0"/>
    <n v="-676212.75917999994"/>
    <n v="-394072.82313000003"/>
    <n v="0"/>
    <n v="-841395.73123927042"/>
    <n v="-507013.40472896566"/>
  </r>
  <r>
    <s v="Sistema de Compensação"/>
    <x v="2"/>
    <x v="5"/>
    <x v="7"/>
    <x v="3"/>
    <x v="0"/>
    <x v="0"/>
    <x v="1"/>
    <x v="9"/>
    <n v="0"/>
    <n v="0"/>
    <n v="1193.732"/>
    <n v="1193.732"/>
    <n v="1193.732"/>
    <n v="1193.732"/>
    <n v="8143"/>
    <x v="0"/>
    <n v="0"/>
    <n v="0"/>
    <n v="13"/>
    <n v="53"/>
    <n v="0"/>
    <n v="395.58"/>
    <n v="230.53"/>
    <m/>
    <n v="492.21094817442304"/>
    <n v="296.59949464114788"/>
    <n v="0"/>
    <n v="472216.50455999997"/>
    <n v="275191.03795999999"/>
    <n v="0"/>
    <n v="587567.95958615036"/>
    <n v="354060.30793696671"/>
  </r>
  <r>
    <s v="Sistema de Compensação"/>
    <x v="2"/>
    <x v="5"/>
    <x v="7"/>
    <x v="3"/>
    <x v="0"/>
    <x v="0"/>
    <x v="1"/>
    <x v="9"/>
    <n v="0"/>
    <n v="0"/>
    <n v="-5.9450000000000003"/>
    <n v="-5.9450000000000003"/>
    <n v="-5.9450000000000003"/>
    <n v="-5.9450000000000003"/>
    <n v="-1"/>
    <x v="0"/>
    <n v="0"/>
    <n v="0"/>
    <n v="13"/>
    <n v="53"/>
    <n v="0"/>
    <n v="395.58"/>
    <n v="230.53"/>
    <m/>
    <n v="492.21094817442304"/>
    <n v="296.59949464114788"/>
    <n v="0"/>
    <n v="-2351.7231000000002"/>
    <n v="-1370.5008500000001"/>
    <n v="0"/>
    <n v="-2926.194086896945"/>
    <n v="-1763.2839956416242"/>
  </r>
  <r>
    <s v="Regular"/>
    <x v="2"/>
    <x v="5"/>
    <x v="7"/>
    <x v="3"/>
    <x v="0"/>
    <x v="0"/>
    <x v="1"/>
    <x v="10"/>
    <n v="0"/>
    <n v="0"/>
    <n v="103690.25900000001"/>
    <n v="103690.25900000001"/>
    <n v="103690.25900000001"/>
    <n v="103690.25900000001"/>
    <n v="676678"/>
    <x v="0"/>
    <n v="0"/>
    <n v="0"/>
    <n v="13"/>
    <n v="53"/>
    <n v="0"/>
    <n v="395.58"/>
    <n v="230.53"/>
    <m/>
    <n v="492.21094817442304"/>
    <n v="296.59949464114788"/>
    <n v="0"/>
    <n v="41017792.655220002"/>
    <n v="23903715.407270003"/>
    <n v="0"/>
    <n v="51037480.698841505"/>
    <n v="30754478.418609738"/>
  </r>
  <r>
    <s v="Refaturamento - Regular"/>
    <x v="2"/>
    <x v="5"/>
    <x v="7"/>
    <x v="3"/>
    <x v="0"/>
    <x v="0"/>
    <x v="1"/>
    <x v="10"/>
    <n v="0"/>
    <n v="0"/>
    <n v="-557.851"/>
    <n v="-557.851"/>
    <n v="-557.851"/>
    <n v="-557.851"/>
    <n v="-1881"/>
    <x v="0"/>
    <n v="0"/>
    <n v="0"/>
    <n v="13"/>
    <n v="53"/>
    <n v="0"/>
    <n v="395.58"/>
    <n v="230.53"/>
    <m/>
    <n v="492.21094817442304"/>
    <n v="296.59949464114788"/>
    <n v="0"/>
    <n v="-220674.69858"/>
    <n v="-128601.39103"/>
    <n v="0"/>
    <n v="-274580.36965005007"/>
    <n v="-165458.32468505899"/>
  </r>
  <r>
    <s v="Sistema de Compensação"/>
    <x v="2"/>
    <x v="5"/>
    <x v="7"/>
    <x v="3"/>
    <x v="0"/>
    <x v="0"/>
    <x v="1"/>
    <x v="10"/>
    <n v="0"/>
    <n v="0"/>
    <n v="1438.873"/>
    <n v="1438.873"/>
    <n v="1438.873"/>
    <n v="1438.873"/>
    <n v="8974"/>
    <x v="0"/>
    <n v="0"/>
    <n v="0"/>
    <n v="13"/>
    <n v="53"/>
    <n v="0"/>
    <n v="395.58"/>
    <n v="230.53"/>
    <m/>
    <n v="492.21094817442304"/>
    <n v="296.59949464114788"/>
    <n v="0"/>
    <n v="569189.38133999996"/>
    <n v="331703.39269000001"/>
    <n v="0"/>
    <n v="708229.04363257659"/>
    <n v="426769.00465279241"/>
  </r>
  <r>
    <s v="Sistema de Compensação"/>
    <x v="2"/>
    <x v="5"/>
    <x v="7"/>
    <x v="3"/>
    <x v="0"/>
    <x v="0"/>
    <x v="1"/>
    <x v="10"/>
    <n v="0"/>
    <n v="0"/>
    <n v="-8.7859999999999996"/>
    <n v="-8.7859999999999996"/>
    <n v="-8.7859999999999996"/>
    <n v="-8.7859999999999996"/>
    <n v="4"/>
    <x v="0"/>
    <n v="0"/>
    <n v="0"/>
    <n v="13"/>
    <n v="53"/>
    <n v="0"/>
    <n v="395.58"/>
    <n v="230.53"/>
    <m/>
    <n v="492.21094817442304"/>
    <n v="296.59949464114788"/>
    <n v="0"/>
    <n v="-3475.5658799999997"/>
    <n v="-2025.4365799999998"/>
    <n v="0"/>
    <n v="-4324.5653906604803"/>
    <n v="-2605.9231599171253"/>
  </r>
  <r>
    <s v="PROJETADO"/>
    <x v="2"/>
    <x v="5"/>
    <x v="7"/>
    <x v="3"/>
    <x v="0"/>
    <x v="0"/>
    <x v="1"/>
    <x v="11"/>
    <n v="0"/>
    <n v="0"/>
    <n v="103690.25900000001"/>
    <n v="103690.25900000001"/>
    <n v="103690.25900000001"/>
    <n v="103690.25900000001"/>
    <n v="676678"/>
    <x v="0"/>
    <n v="0"/>
    <n v="0"/>
    <n v="13"/>
    <n v="53"/>
    <n v="0"/>
    <n v="395.58"/>
    <n v="230.53"/>
    <m/>
    <n v="492.21094817442304"/>
    <n v="296.59949464114788"/>
    <n v="0"/>
    <n v="41017792.655220002"/>
    <n v="23903715.407270003"/>
    <n v="0"/>
    <n v="51037480.698841505"/>
    <n v="30754478.418609738"/>
  </r>
  <r>
    <s v="PROJETADO"/>
    <x v="2"/>
    <x v="5"/>
    <x v="7"/>
    <x v="3"/>
    <x v="0"/>
    <x v="0"/>
    <x v="1"/>
    <x v="11"/>
    <n v="0"/>
    <n v="0"/>
    <n v="-557.851"/>
    <n v="-557.851"/>
    <n v="-557.851"/>
    <n v="-557.851"/>
    <n v="-1881"/>
    <x v="0"/>
    <n v="0"/>
    <n v="0"/>
    <n v="13"/>
    <n v="53"/>
    <n v="0"/>
    <n v="395.58"/>
    <n v="230.53"/>
    <m/>
    <n v="492.21094817442304"/>
    <n v="296.59949464114788"/>
    <n v="0"/>
    <n v="-220674.69858"/>
    <n v="-128601.39103"/>
    <n v="0"/>
    <n v="-274580.36965005007"/>
    <n v="-165458.32468505899"/>
  </r>
  <r>
    <s v="PROJETADO"/>
    <x v="2"/>
    <x v="5"/>
    <x v="7"/>
    <x v="3"/>
    <x v="0"/>
    <x v="0"/>
    <x v="1"/>
    <x v="11"/>
    <n v="0"/>
    <n v="0"/>
    <n v="1438.873"/>
    <n v="1438.873"/>
    <n v="1438.873"/>
    <n v="1438.873"/>
    <n v="8974"/>
    <x v="0"/>
    <n v="0"/>
    <n v="0"/>
    <n v="13"/>
    <n v="53"/>
    <n v="0"/>
    <n v="395.58"/>
    <n v="230.53"/>
    <m/>
    <n v="492.21094817442304"/>
    <n v="296.59949464114788"/>
    <n v="0"/>
    <n v="569189.38133999996"/>
    <n v="331703.39269000001"/>
    <n v="0"/>
    <n v="708229.04363257659"/>
    <n v="426769.00465279241"/>
  </r>
  <r>
    <s v="PROJETADO"/>
    <x v="2"/>
    <x v="5"/>
    <x v="7"/>
    <x v="3"/>
    <x v="0"/>
    <x v="0"/>
    <x v="1"/>
    <x v="11"/>
    <n v="0"/>
    <n v="0"/>
    <n v="-8.7859999999999996"/>
    <n v="-8.7859999999999996"/>
    <n v="-8.7859999999999996"/>
    <n v="-8.7859999999999996"/>
    <n v="4"/>
    <x v="0"/>
    <n v="0"/>
    <n v="0"/>
    <n v="13"/>
    <n v="53"/>
    <n v="0"/>
    <n v="395.58"/>
    <n v="230.53"/>
    <m/>
    <n v="492.21094817442304"/>
    <n v="296.59949464114788"/>
    <n v="0"/>
    <n v="-3475.5658799999997"/>
    <n v="-2025.4365799999998"/>
    <n v="0"/>
    <n v="-4324.5653906604803"/>
    <n v="-2605.9231599171253"/>
  </r>
  <r>
    <s v="Regular"/>
    <x v="2"/>
    <x v="5"/>
    <x v="7"/>
    <x v="4"/>
    <x v="0"/>
    <x v="0"/>
    <x v="1"/>
    <x v="0"/>
    <n v="0"/>
    <n v="0"/>
    <n v="10455.143"/>
    <n v="10455.143"/>
    <n v="10455.143"/>
    <n v="10455.143"/>
    <n v="44935"/>
    <x v="0"/>
    <n v="0"/>
    <n v="0"/>
    <n v="14"/>
    <n v="74"/>
    <n v="0"/>
    <n v="118.67"/>
    <n v="80.680000000000007"/>
    <m/>
    <n v="148.55273961217156"/>
    <n v="103.80982312440176"/>
    <n v="0"/>
    <n v="1240711.81981"/>
    <n v="843520.93724000012"/>
    <n v="0"/>
    <n v="1553140.1356870183"/>
    <n v="1085346.5455703272"/>
  </r>
  <r>
    <s v="Regular"/>
    <x v="2"/>
    <x v="5"/>
    <x v="7"/>
    <x v="4"/>
    <x v="0"/>
    <x v="0"/>
    <x v="1"/>
    <x v="1"/>
    <n v="0"/>
    <n v="0"/>
    <n v="10561.165999999999"/>
    <n v="10561.165999999999"/>
    <n v="10561.165999999999"/>
    <n v="10561.165999999999"/>
    <n v="47300"/>
    <x v="0"/>
    <n v="0"/>
    <n v="0"/>
    <n v="14"/>
    <n v="74"/>
    <n v="0"/>
    <n v="118.67"/>
    <n v="80.680000000000007"/>
    <m/>
    <n v="148.55273961217156"/>
    <n v="103.80982312440176"/>
    <n v="0"/>
    <n v="1253293.5692199999"/>
    <n v="852074.87288000004"/>
    <n v="0"/>
    <n v="1568890.1427989195"/>
    <n v="1096352.7744474455"/>
  </r>
  <r>
    <s v="Regular"/>
    <x v="2"/>
    <x v="5"/>
    <x v="7"/>
    <x v="4"/>
    <x v="0"/>
    <x v="0"/>
    <x v="1"/>
    <x v="2"/>
    <n v="0"/>
    <n v="0"/>
    <n v="10647.829"/>
    <n v="10647.829"/>
    <n v="10647.829"/>
    <n v="10647.829"/>
    <n v="49835"/>
    <x v="0"/>
    <n v="0"/>
    <n v="0"/>
    <n v="14"/>
    <n v="74"/>
    <n v="0"/>
    <n v="118.67"/>
    <n v="80.680000000000007"/>
    <m/>
    <n v="148.55273961217156"/>
    <n v="103.80982312440176"/>
    <n v="0"/>
    <n v="1263577.8674300001"/>
    <n v="859066.84372"/>
    <n v="0"/>
    <n v="1581764.1688719292"/>
    <n v="1105349.2451488758"/>
  </r>
  <r>
    <s v="Regular"/>
    <x v="2"/>
    <x v="5"/>
    <x v="7"/>
    <x v="4"/>
    <x v="0"/>
    <x v="0"/>
    <x v="1"/>
    <x v="3"/>
    <n v="0"/>
    <n v="0"/>
    <n v="10783.445"/>
    <n v="10783.445"/>
    <n v="10783.445"/>
    <n v="10783.445"/>
    <n v="51526"/>
    <x v="0"/>
    <n v="0"/>
    <n v="0"/>
    <n v="14"/>
    <n v="74"/>
    <n v="0"/>
    <n v="118.67"/>
    <n v="80.680000000000007"/>
    <m/>
    <n v="148.55273961217156"/>
    <n v="103.80982312440176"/>
    <n v="0"/>
    <n v="1279671.41815"/>
    <n v="870008.34260000009"/>
    <n v="0"/>
    <n v="1601910.2972071734"/>
    <n v="1119427.5181217145"/>
  </r>
  <r>
    <s v="Regular"/>
    <x v="2"/>
    <x v="5"/>
    <x v="7"/>
    <x v="4"/>
    <x v="0"/>
    <x v="0"/>
    <x v="1"/>
    <x v="4"/>
    <n v="0"/>
    <n v="0"/>
    <n v="10870.652"/>
    <n v="10870.652"/>
    <n v="10870.652"/>
    <n v="10870.652"/>
    <n v="50080"/>
    <x v="0"/>
    <n v="0"/>
    <n v="0"/>
    <n v="14"/>
    <n v="74"/>
    <n v="0"/>
    <n v="118.67"/>
    <n v="80.680000000000007"/>
    <m/>
    <n v="148.55273961217156"/>
    <n v="103.80982312440176"/>
    <n v="0"/>
    <n v="1290020.27284"/>
    <n v="877044.20336000004"/>
    <n v="0"/>
    <n v="1614865.135970532"/>
    <n v="1128480.4613669242"/>
  </r>
  <r>
    <s v="Regular"/>
    <x v="2"/>
    <x v="5"/>
    <x v="7"/>
    <x v="4"/>
    <x v="0"/>
    <x v="0"/>
    <x v="1"/>
    <x v="5"/>
    <n v="0"/>
    <n v="0"/>
    <n v="10861.496999999999"/>
    <n v="10861.496999999999"/>
    <n v="10861.496999999999"/>
    <n v="10861.496999999999"/>
    <n v="47881"/>
    <x v="0"/>
    <n v="0"/>
    <n v="0"/>
    <n v="14"/>
    <n v="74"/>
    <n v="0"/>
    <n v="118.67"/>
    <n v="80.680000000000007"/>
    <m/>
    <n v="148.55273961217156"/>
    <n v="103.80982312440176"/>
    <n v="0"/>
    <n v="1288933.8489899999"/>
    <n v="876305.57796000002"/>
    <n v="0"/>
    <n v="1613505.1356393825"/>
    <n v="1127530.0824362203"/>
  </r>
  <r>
    <s v="Regular"/>
    <x v="2"/>
    <x v="5"/>
    <x v="7"/>
    <x v="4"/>
    <x v="0"/>
    <x v="0"/>
    <x v="1"/>
    <x v="6"/>
    <n v="0"/>
    <n v="0"/>
    <n v="10916.983"/>
    <n v="10916.983"/>
    <n v="10916.983"/>
    <n v="10916.983"/>
    <n v="46469"/>
    <x v="0"/>
    <n v="0"/>
    <n v="0"/>
    <n v="14"/>
    <n v="74"/>
    <n v="0"/>
    <n v="118.67"/>
    <n v="80.680000000000007"/>
    <m/>
    <n v="148.55273961217156"/>
    <n v="103.80982312440176"/>
    <n v="0"/>
    <n v="1295518.37261"/>
    <n v="880782.18844000006"/>
    <n v="0"/>
    <n v="1621747.7329495037"/>
    <n v="1133290.0742821009"/>
  </r>
  <r>
    <s v="Regular"/>
    <x v="2"/>
    <x v="5"/>
    <x v="7"/>
    <x v="4"/>
    <x v="0"/>
    <x v="0"/>
    <x v="1"/>
    <x v="7"/>
    <n v="0"/>
    <n v="0"/>
    <n v="11470.518"/>
    <n v="11470.518"/>
    <n v="11470.518"/>
    <n v="11470.518"/>
    <n v="47685"/>
    <x v="0"/>
    <n v="0"/>
    <n v="0"/>
    <n v="14"/>
    <n v="74"/>
    <n v="0"/>
    <n v="118.67"/>
    <n v="80.680000000000007"/>
    <m/>
    <n v="148.55273961217156"/>
    <n v="103.80982312440176"/>
    <n v="0"/>
    <n v="1361206.37106"/>
    <n v="925441.39224000007"/>
    <n v="0"/>
    <n v="1703976.873670727"/>
    <n v="1190752.4447252667"/>
  </r>
  <r>
    <s v="Regular"/>
    <x v="2"/>
    <x v="5"/>
    <x v="7"/>
    <x v="4"/>
    <x v="0"/>
    <x v="0"/>
    <x v="1"/>
    <x v="8"/>
    <n v="0"/>
    <n v="0"/>
    <n v="12009.77"/>
    <n v="12009.77"/>
    <n v="12009.77"/>
    <n v="12009.77"/>
    <n v="51375"/>
    <x v="0"/>
    <n v="0"/>
    <n v="0"/>
    <n v="14"/>
    <n v="74"/>
    <n v="0"/>
    <n v="118.67"/>
    <n v="80.680000000000007"/>
    <m/>
    <n v="148.55273961217156"/>
    <n v="103.80982312440176"/>
    <n v="0"/>
    <n v="1425199.4059000001"/>
    <n v="968948.24360000016"/>
    <n v="0"/>
    <n v="1784084.2356120697"/>
    <n v="1246732.0994647467"/>
  </r>
  <r>
    <s v="Regular"/>
    <x v="2"/>
    <x v="5"/>
    <x v="7"/>
    <x v="4"/>
    <x v="0"/>
    <x v="0"/>
    <x v="1"/>
    <x v="9"/>
    <n v="0"/>
    <n v="0"/>
    <n v="11899.406999999999"/>
    <n v="11899.406999999999"/>
    <n v="11899.406999999999"/>
    <n v="11899.406999999999"/>
    <n v="51716"/>
    <x v="0"/>
    <n v="0"/>
    <n v="0"/>
    <n v="14"/>
    <n v="74"/>
    <n v="0"/>
    <n v="118.67"/>
    <n v="80.680000000000007"/>
    <m/>
    <n v="148.55273961217156"/>
    <n v="103.80982312440176"/>
    <n v="0"/>
    <n v="1412102.6286899999"/>
    <n v="960044.15676000004"/>
    <n v="0"/>
    <n v="1767689.5096102515"/>
    <n v="1235275.335955268"/>
  </r>
  <r>
    <s v="Regular"/>
    <x v="2"/>
    <x v="5"/>
    <x v="7"/>
    <x v="4"/>
    <x v="0"/>
    <x v="0"/>
    <x v="1"/>
    <x v="10"/>
    <n v="0"/>
    <n v="0"/>
    <n v="11920.166999999999"/>
    <n v="11920.166999999999"/>
    <n v="11920.166999999999"/>
    <n v="11920.166999999999"/>
    <n v="48796"/>
    <x v="0"/>
    <n v="0"/>
    <n v="0"/>
    <n v="14"/>
    <n v="74"/>
    <n v="0"/>
    <n v="118.67"/>
    <n v="80.680000000000007"/>
    <m/>
    <n v="148.55273961217156"/>
    <n v="103.80982312440176"/>
    <n v="0"/>
    <n v="1414566.21789"/>
    <n v="961719.07356000005"/>
    <n v="0"/>
    <n v="1770773.4644846001"/>
    <n v="1237430.4278833307"/>
  </r>
  <r>
    <s v="PROJETADO"/>
    <x v="2"/>
    <x v="5"/>
    <x v="7"/>
    <x v="4"/>
    <x v="0"/>
    <x v="0"/>
    <x v="1"/>
    <x v="11"/>
    <n v="0"/>
    <n v="0"/>
    <n v="11920.166999999999"/>
    <n v="11920.166999999999"/>
    <n v="11920.166999999999"/>
    <n v="11920.166999999999"/>
    <n v="48796"/>
    <x v="0"/>
    <n v="0"/>
    <n v="0"/>
    <n v="14"/>
    <n v="74"/>
    <n v="0"/>
    <n v="118.67"/>
    <n v="80.680000000000007"/>
    <m/>
    <n v="148.55273961217156"/>
    <n v="103.80982312440176"/>
    <n v="0"/>
    <n v="1414566.21789"/>
    <n v="961719.07356000005"/>
    <n v="0"/>
    <n v="1770773.4644846001"/>
    <n v="1237430.4278833307"/>
  </r>
  <r>
    <s v="Regular"/>
    <x v="2"/>
    <x v="5"/>
    <x v="7"/>
    <x v="5"/>
    <x v="0"/>
    <x v="0"/>
    <x v="1"/>
    <x v="0"/>
    <n v="0"/>
    <n v="0"/>
    <n v="16077.365"/>
    <n v="16077.365"/>
    <n v="16077.365"/>
    <n v="16077.365"/>
    <n v="170033"/>
    <x v="0"/>
    <n v="0"/>
    <n v="0"/>
    <n v="15"/>
    <n v="75"/>
    <n v="0"/>
    <n v="203.44"/>
    <n v="138.32"/>
    <m/>
    <n v="254.66183933515126"/>
    <n v="177.95969678468873"/>
    <n v="0"/>
    <n v="3270779.1355999997"/>
    <n v="2223821.1267999997"/>
    <n v="0"/>
    <n v="4094291.3425625842"/>
    <n v="2861123.000496767"/>
  </r>
  <r>
    <s v="Regular"/>
    <x v="2"/>
    <x v="5"/>
    <x v="7"/>
    <x v="5"/>
    <x v="0"/>
    <x v="0"/>
    <x v="1"/>
    <x v="1"/>
    <n v="0"/>
    <n v="0"/>
    <n v="15612.285"/>
    <n v="15612.285"/>
    <n v="15612.285"/>
    <n v="15612.285"/>
    <n v="181675"/>
    <x v="0"/>
    <n v="0"/>
    <n v="0"/>
    <n v="15"/>
    <n v="75"/>
    <n v="0"/>
    <n v="203.44"/>
    <n v="138.32"/>
    <m/>
    <n v="254.66183933515126"/>
    <n v="177.95969678468873"/>
    <n v="0"/>
    <n v="3176163.2604"/>
    <n v="2159491.2612000001"/>
    <n v="0"/>
    <n v="3975853.2143245917"/>
    <n v="2778357.5047161439"/>
  </r>
  <r>
    <s v="Regular"/>
    <x v="2"/>
    <x v="5"/>
    <x v="7"/>
    <x v="5"/>
    <x v="0"/>
    <x v="0"/>
    <x v="1"/>
    <x v="2"/>
    <n v="0"/>
    <n v="0"/>
    <n v="14934.215"/>
    <n v="14934.215"/>
    <n v="14934.215"/>
    <n v="14934.215"/>
    <n v="197966"/>
    <x v="0"/>
    <n v="0"/>
    <n v="0"/>
    <n v="15"/>
    <n v="75"/>
    <n v="0"/>
    <n v="203.44"/>
    <n v="138.32"/>
    <m/>
    <n v="254.66183933515126"/>
    <n v="177.95969678468873"/>
    <n v="0"/>
    <n v="3038216.6995999999"/>
    <n v="2065700.6187999998"/>
    <n v="0"/>
    <n v="3803174.660926606"/>
    <n v="2657688.37311735"/>
  </r>
  <r>
    <s v="Regular"/>
    <x v="2"/>
    <x v="5"/>
    <x v="7"/>
    <x v="5"/>
    <x v="0"/>
    <x v="0"/>
    <x v="1"/>
    <x v="3"/>
    <n v="0"/>
    <n v="0"/>
    <n v="14767.232"/>
    <n v="14767.232"/>
    <n v="14767.232"/>
    <n v="14767.232"/>
    <n v="205798"/>
    <x v="0"/>
    <n v="0"/>
    <n v="0"/>
    <n v="15"/>
    <n v="75"/>
    <n v="0"/>
    <n v="203.44"/>
    <n v="138.32"/>
    <m/>
    <n v="254.66183933515126"/>
    <n v="177.95969678468873"/>
    <n v="0"/>
    <n v="3004245.67808"/>
    <n v="2042603.53024"/>
    <n v="0"/>
    <n v="3760650.4630089044"/>
    <n v="2627972.1290691528"/>
  </r>
  <r>
    <s v="Regular"/>
    <x v="2"/>
    <x v="5"/>
    <x v="7"/>
    <x v="5"/>
    <x v="0"/>
    <x v="0"/>
    <x v="1"/>
    <x v="4"/>
    <n v="0"/>
    <n v="0"/>
    <n v="15543.1"/>
    <n v="15543.1"/>
    <n v="15543.1"/>
    <n v="15543.1"/>
    <n v="197336"/>
    <x v="0"/>
    <n v="0"/>
    <n v="0"/>
    <n v="15"/>
    <n v="75"/>
    <n v="0"/>
    <n v="203.44"/>
    <n v="138.32"/>
    <m/>
    <n v="254.66183933515126"/>
    <n v="177.95969678468873"/>
    <n v="0"/>
    <n v="3162088.264"/>
    <n v="2149921.5919999997"/>
    <n v="0"/>
    <n v="3958234.4349701898"/>
    <n v="2766045.3630940956"/>
  </r>
  <r>
    <s v="Regular"/>
    <x v="2"/>
    <x v="5"/>
    <x v="7"/>
    <x v="5"/>
    <x v="0"/>
    <x v="0"/>
    <x v="1"/>
    <x v="5"/>
    <n v="0"/>
    <n v="0"/>
    <n v="16294.031000000001"/>
    <n v="16294.031000000001"/>
    <n v="16294.031000000001"/>
    <n v="16294.031000000001"/>
    <n v="184733"/>
    <x v="0"/>
    <n v="0"/>
    <n v="0"/>
    <n v="15"/>
    <n v="75"/>
    <n v="0"/>
    <n v="203.44"/>
    <n v="138.32"/>
    <m/>
    <n v="254.66183933515126"/>
    <n v="177.95969678468873"/>
    <n v="0"/>
    <n v="3314857.66664"/>
    <n v="2253790.3679200001"/>
    <n v="0"/>
    <n v="4149467.9046439743"/>
    <n v="2899680.8161603184"/>
  </r>
  <r>
    <s v="Regular"/>
    <x v="2"/>
    <x v="5"/>
    <x v="7"/>
    <x v="5"/>
    <x v="0"/>
    <x v="0"/>
    <x v="1"/>
    <x v="6"/>
    <n v="0"/>
    <n v="0"/>
    <n v="17100.547999999999"/>
    <n v="17100.547999999999"/>
    <n v="17100.547999999999"/>
    <n v="17100.547999999999"/>
    <n v="172211"/>
    <x v="0"/>
    <n v="0"/>
    <n v="0"/>
    <n v="15"/>
    <n v="75"/>
    <n v="0"/>
    <n v="203.44"/>
    <n v="138.32"/>
    <m/>
    <n v="254.66183933515126"/>
    <n v="177.95969678468873"/>
    <n v="0"/>
    <n v="3478935.4851199999"/>
    <n v="2365347.7993599996"/>
    <n v="0"/>
    <n v="4354857.0073190415"/>
    <n v="3043208.3369320151"/>
  </r>
  <r>
    <s v="Regular"/>
    <x v="2"/>
    <x v="5"/>
    <x v="7"/>
    <x v="5"/>
    <x v="0"/>
    <x v="0"/>
    <x v="1"/>
    <x v="7"/>
    <n v="0"/>
    <n v="0"/>
    <n v="18353.892"/>
    <n v="18353.892"/>
    <n v="18353.892"/>
    <n v="18353.892"/>
    <n v="173327"/>
    <x v="0"/>
    <n v="0"/>
    <n v="0"/>
    <n v="15"/>
    <n v="75"/>
    <n v="0"/>
    <n v="203.44"/>
    <n v="138.32"/>
    <m/>
    <n v="254.66183933515126"/>
    <n v="177.95969678468873"/>
    <n v="0"/>
    <n v="3733915.7884800001"/>
    <n v="2538710.3414399996"/>
    <n v="0"/>
    <n v="4674035.8956787176"/>
    <n v="3266253.0551389242"/>
  </r>
  <r>
    <s v="Regular"/>
    <x v="2"/>
    <x v="5"/>
    <x v="7"/>
    <x v="5"/>
    <x v="0"/>
    <x v="0"/>
    <x v="1"/>
    <x v="8"/>
    <n v="0"/>
    <n v="0"/>
    <n v="18870.63"/>
    <n v="18870.63"/>
    <n v="18870.63"/>
    <n v="18870.63"/>
    <n v="186656"/>
    <x v="0"/>
    <n v="0"/>
    <n v="0"/>
    <n v="15"/>
    <n v="75"/>
    <n v="0"/>
    <n v="203.44"/>
    <n v="138.32"/>
    <m/>
    <n v="254.66183933515126"/>
    <n v="177.95969678468873"/>
    <n v="0"/>
    <n v="3839040.9672000003"/>
    <n v="2610185.5416000001"/>
    <n v="0"/>
    <n v="4805629.3452130854"/>
    <n v="3358211.5929360511"/>
  </r>
  <r>
    <s v="Regular"/>
    <x v="2"/>
    <x v="5"/>
    <x v="7"/>
    <x v="5"/>
    <x v="0"/>
    <x v="0"/>
    <x v="1"/>
    <x v="9"/>
    <n v="0"/>
    <n v="0"/>
    <n v="19059.675999999999"/>
    <n v="19059.675999999999"/>
    <n v="19059.675999999999"/>
    <n v="19059.675999999999"/>
    <n v="193424"/>
    <x v="0"/>
    <n v="0"/>
    <n v="0"/>
    <n v="15"/>
    <n v="75"/>
    <n v="0"/>
    <n v="203.44"/>
    <n v="138.32"/>
    <m/>
    <n v="254.66183933515126"/>
    <n v="177.95969678468873"/>
    <n v="0"/>
    <n v="3877500.48544"/>
    <n v="2636334.3843199997"/>
    <n v="0"/>
    <n v="4853772.1472920384"/>
    <n v="3391854.161774409"/>
  </r>
  <r>
    <s v="Regular"/>
    <x v="2"/>
    <x v="5"/>
    <x v="7"/>
    <x v="5"/>
    <x v="0"/>
    <x v="0"/>
    <x v="1"/>
    <x v="10"/>
    <n v="0"/>
    <n v="0"/>
    <n v="20407.688999999998"/>
    <n v="20407.688999999998"/>
    <n v="20407.688999999998"/>
    <n v="20407.688999999998"/>
    <n v="177677"/>
    <x v="0"/>
    <n v="0"/>
    <n v="0"/>
    <n v="15"/>
    <n v="75"/>
    <n v="0"/>
    <n v="203.44"/>
    <n v="138.32"/>
    <m/>
    <n v="254.66183933515126"/>
    <n v="177.95969678468873"/>
    <n v="0"/>
    <n v="4151740.2501599998"/>
    <n v="2822791.5424799998"/>
    <n v="0"/>
    <n v="5197059.6173197329"/>
    <n v="3631746.1465162272"/>
  </r>
  <r>
    <s v="PROJETADO"/>
    <x v="2"/>
    <x v="5"/>
    <x v="7"/>
    <x v="5"/>
    <x v="0"/>
    <x v="0"/>
    <x v="1"/>
    <x v="11"/>
    <n v="0"/>
    <n v="0"/>
    <n v="20407.688999999998"/>
    <n v="20407.688999999998"/>
    <n v="20407.688999999998"/>
    <n v="20407.688999999998"/>
    <n v="177677"/>
    <x v="0"/>
    <n v="0"/>
    <n v="0"/>
    <n v="15"/>
    <n v="75"/>
    <n v="0"/>
    <n v="203.44"/>
    <n v="138.32"/>
    <m/>
    <n v="254.66183933515126"/>
    <n v="177.95969678468873"/>
    <n v="0"/>
    <n v="4151740.2501599998"/>
    <n v="2822791.5424799998"/>
    <n v="0"/>
    <n v="5197059.6173197329"/>
    <n v="3631746.1465162272"/>
  </r>
  <r>
    <s v="Regular"/>
    <x v="2"/>
    <x v="5"/>
    <x v="7"/>
    <x v="6"/>
    <x v="0"/>
    <x v="0"/>
    <x v="1"/>
    <x v="0"/>
    <n v="0"/>
    <n v="0"/>
    <n v="6241.5249999999996"/>
    <n v="6241.5249999999996"/>
    <n v="6241.5249999999996"/>
    <n v="6241.5249999999996"/>
    <n v="120572"/>
    <x v="0"/>
    <n v="0"/>
    <n v="0"/>
    <n v="33"/>
    <n v="54"/>
    <n v="0"/>
    <n v="305.14999999999998"/>
    <n v="207.47"/>
    <m/>
    <n v="381.99275900272693"/>
    <n v="266.9395451770331"/>
    <n v="0"/>
    <n v="1904601.3537499998"/>
    <n v="1294929.19175"/>
    <n v="0"/>
    <n v="2384217.3551344951"/>
    <n v="1666109.8447110814"/>
  </r>
  <r>
    <s v="Regular"/>
    <x v="2"/>
    <x v="5"/>
    <x v="7"/>
    <x v="6"/>
    <x v="0"/>
    <x v="0"/>
    <x v="1"/>
    <x v="1"/>
    <n v="0"/>
    <n v="0"/>
    <n v="5574.6679999999997"/>
    <n v="5574.6679999999997"/>
    <n v="5574.6679999999997"/>
    <n v="5574.6679999999997"/>
    <n v="112012"/>
    <x v="0"/>
    <n v="0"/>
    <n v="0"/>
    <n v="33"/>
    <n v="54"/>
    <n v="0"/>
    <n v="305.14999999999998"/>
    <n v="207.47"/>
    <m/>
    <n v="381.99275900272693"/>
    <n v="266.9395451770331"/>
    <n v="0"/>
    <n v="1701109.9401999998"/>
    <n v="1156576.36996"/>
    <n v="0"/>
    <n v="2129482.8098442135"/>
    <n v="1488099.3404329605"/>
  </r>
  <r>
    <s v="Regular"/>
    <x v="2"/>
    <x v="5"/>
    <x v="7"/>
    <x v="6"/>
    <x v="0"/>
    <x v="0"/>
    <x v="1"/>
    <x v="2"/>
    <n v="0"/>
    <n v="0"/>
    <n v="4570.7780000000002"/>
    <n v="4570.7780000000002"/>
    <n v="4570.7780000000002"/>
    <n v="4570.7780000000002"/>
    <n v="98967"/>
    <x v="0"/>
    <n v="0"/>
    <n v="0"/>
    <n v="33"/>
    <n v="54"/>
    <n v="0"/>
    <n v="305.14999999999998"/>
    <n v="207.47"/>
    <m/>
    <n v="381.99275900272693"/>
    <n v="266.9395451770331"/>
    <n v="0"/>
    <n v="1394772.9066999999"/>
    <n v="948299.31166000001"/>
    <n v="0"/>
    <n v="1746004.0990089662"/>
    <n v="1220121.4004251889"/>
  </r>
  <r>
    <s v="Regular"/>
    <x v="2"/>
    <x v="5"/>
    <x v="7"/>
    <x v="6"/>
    <x v="0"/>
    <x v="0"/>
    <x v="1"/>
    <x v="3"/>
    <n v="0"/>
    <n v="0"/>
    <n v="4280.3370000000004"/>
    <n v="4280.3370000000004"/>
    <n v="4280.3370000000004"/>
    <n v="4280.3370000000004"/>
    <n v="94626"/>
    <x v="0"/>
    <n v="0"/>
    <n v="0"/>
    <n v="33"/>
    <n v="54"/>
    <n v="0"/>
    <n v="305.14999999999998"/>
    <n v="207.47"/>
    <m/>
    <n v="381.99275900272693"/>
    <n v="266.9395451770331"/>
    <n v="0"/>
    <n v="1306144.83555"/>
    <n v="888041.51739000005"/>
    <n v="0"/>
    <n v="1635057.7400914554"/>
    <n v="1142591.2119844265"/>
  </r>
  <r>
    <s v="Regular"/>
    <x v="2"/>
    <x v="5"/>
    <x v="7"/>
    <x v="6"/>
    <x v="0"/>
    <x v="0"/>
    <x v="1"/>
    <x v="4"/>
    <n v="0"/>
    <n v="0"/>
    <n v="4982.7870000000003"/>
    <n v="4982.7870000000003"/>
    <n v="4982.7870000000003"/>
    <n v="4982.7870000000003"/>
    <n v="105531"/>
    <x v="0"/>
    <n v="0"/>
    <n v="0"/>
    <n v="33"/>
    <n v="54"/>
    <n v="0"/>
    <n v="305.14999999999998"/>
    <n v="207.47"/>
    <m/>
    <n v="381.99275900272693"/>
    <n v="266.9395451770331"/>
    <n v="0"/>
    <n v="1520497.4530499999"/>
    <n v="1033778.81889"/>
    <n v="0"/>
    <n v="1903388.5536529208"/>
    <n v="1330102.8954940333"/>
  </r>
  <r>
    <s v="Regular"/>
    <x v="2"/>
    <x v="5"/>
    <x v="7"/>
    <x v="6"/>
    <x v="0"/>
    <x v="0"/>
    <x v="1"/>
    <x v="5"/>
    <n v="0"/>
    <n v="0"/>
    <n v="5808.45"/>
    <n v="5808.45"/>
    <n v="5808.45"/>
    <n v="5808.45"/>
    <n v="117808"/>
    <x v="0"/>
    <n v="0"/>
    <n v="0"/>
    <n v="33"/>
    <n v="54"/>
    <n v="0"/>
    <n v="305.14999999999998"/>
    <n v="207.47"/>
    <m/>
    <n v="381.99275900272693"/>
    <n v="266.9395451770331"/>
    <n v="0"/>
    <n v="1772448.5174999998"/>
    <n v="1205079.1214999999"/>
    <n v="0"/>
    <n v="2218785.8410293893"/>
    <n v="1550505.0011835378"/>
  </r>
  <r>
    <s v="Regular"/>
    <x v="2"/>
    <x v="5"/>
    <x v="7"/>
    <x v="6"/>
    <x v="0"/>
    <x v="0"/>
    <x v="1"/>
    <x v="6"/>
    <n v="0"/>
    <n v="0"/>
    <n v="6793.5389999999998"/>
    <n v="6793.5389999999998"/>
    <n v="6793.5389999999998"/>
    <n v="6793.5389999999998"/>
    <n v="130909"/>
    <x v="0"/>
    <n v="0"/>
    <n v="0"/>
    <n v="33"/>
    <n v="54"/>
    <n v="0"/>
    <n v="305.14999999999998"/>
    <n v="207.47"/>
    <m/>
    <n v="381.99275900272693"/>
    <n v="266.9395451770331"/>
    <n v="0"/>
    <n v="2073048.4258499998"/>
    <n v="1409455.53633"/>
    <n v="0"/>
    <n v="2595082.7060026266"/>
    <n v="1813464.2108024361"/>
  </r>
  <r>
    <s v="Regular"/>
    <x v="2"/>
    <x v="5"/>
    <x v="7"/>
    <x v="6"/>
    <x v="0"/>
    <x v="0"/>
    <x v="1"/>
    <x v="7"/>
    <n v="0"/>
    <n v="0"/>
    <n v="7819.826"/>
    <n v="7819.826"/>
    <n v="7819.826"/>
    <n v="7819.826"/>
    <n v="143851"/>
    <x v="0"/>
    <n v="0"/>
    <n v="0"/>
    <n v="33"/>
    <n v="54"/>
    <n v="0"/>
    <n v="305.14999999999998"/>
    <n v="207.47"/>
    <m/>
    <n v="381.99275900272693"/>
    <n v="266.9395451770331"/>
    <n v="0"/>
    <n v="2386219.9038999998"/>
    <n v="1622379.3002200001"/>
    <n v="0"/>
    <n v="2987116.9086612579"/>
    <n v="2087420.7958035381"/>
  </r>
  <r>
    <s v="Regular"/>
    <x v="2"/>
    <x v="5"/>
    <x v="7"/>
    <x v="6"/>
    <x v="0"/>
    <x v="0"/>
    <x v="1"/>
    <x v="8"/>
    <n v="0"/>
    <n v="0"/>
    <n v="7863.6009999999997"/>
    <n v="7863.6009999999997"/>
    <n v="7863.6009999999997"/>
    <n v="7863.6009999999997"/>
    <n v="144783"/>
    <x v="0"/>
    <n v="0"/>
    <n v="0"/>
    <n v="33"/>
    <n v="54"/>
    <n v="0"/>
    <n v="305.14999999999998"/>
    <n v="207.47"/>
    <m/>
    <n v="381.99275900272693"/>
    <n v="266.9395451770331"/>
    <n v="0"/>
    <n v="2399577.8451499995"/>
    <n v="1631461.29947"/>
    <n v="0"/>
    <n v="3003838.6416866025"/>
    <n v="2099106.0743936626"/>
  </r>
  <r>
    <s v="Regular"/>
    <x v="2"/>
    <x v="5"/>
    <x v="7"/>
    <x v="6"/>
    <x v="0"/>
    <x v="0"/>
    <x v="1"/>
    <x v="9"/>
    <n v="0"/>
    <n v="0"/>
    <n v="7866.2489999999998"/>
    <n v="7866.2489999999998"/>
    <n v="7866.2489999999998"/>
    <n v="7866.2489999999998"/>
    <n v="143765"/>
    <x v="0"/>
    <n v="0"/>
    <n v="0"/>
    <n v="33"/>
    <n v="54"/>
    <n v="0"/>
    <n v="305.14999999999998"/>
    <n v="207.47"/>
    <m/>
    <n v="381.99275900272693"/>
    <n v="266.9395451770331"/>
    <n v="0"/>
    <n v="2400385.8823499996"/>
    <n v="1632010.6800299999"/>
    <n v="0"/>
    <n v="3004850.1585124414"/>
    <n v="2099812.9303092915"/>
  </r>
  <r>
    <s v="Regular"/>
    <x v="2"/>
    <x v="5"/>
    <x v="7"/>
    <x v="6"/>
    <x v="0"/>
    <x v="0"/>
    <x v="1"/>
    <x v="10"/>
    <n v="0"/>
    <n v="0"/>
    <n v="9757.3469999999998"/>
    <n v="9757.3469999999998"/>
    <n v="9757.3469999999998"/>
    <n v="9757.3469999999998"/>
    <n v="163822"/>
    <x v="0"/>
    <n v="0"/>
    <n v="0"/>
    <n v="33"/>
    <n v="54"/>
    <n v="0"/>
    <n v="305.14999999999998"/>
    <n v="207.47"/>
    <m/>
    <n v="381.99275900272693"/>
    <n v="266.9395451770331"/>
    <n v="0"/>
    <n v="2977454.4370499998"/>
    <n v="2024356.7820899999"/>
    <n v="0"/>
    <n v="3727235.9010769804"/>
    <n v="2604621.7703144881"/>
  </r>
  <r>
    <s v="PROJETADO"/>
    <x v="2"/>
    <x v="5"/>
    <x v="7"/>
    <x v="6"/>
    <x v="0"/>
    <x v="0"/>
    <x v="1"/>
    <x v="11"/>
    <n v="0"/>
    <n v="0"/>
    <n v="9757.3469999999998"/>
    <n v="9757.3469999999998"/>
    <n v="9757.3469999999998"/>
    <n v="9757.3469999999998"/>
    <n v="163822"/>
    <x v="0"/>
    <n v="0"/>
    <n v="0"/>
    <n v="33"/>
    <n v="54"/>
    <n v="0"/>
    <n v="305.14999999999998"/>
    <n v="207.47"/>
    <m/>
    <n v="381.99275900272693"/>
    <n v="266.9395451770331"/>
    <n v="0"/>
    <n v="2977454.4370499998"/>
    <n v="2024356.7820899999"/>
    <n v="0"/>
    <n v="3727235.9010769804"/>
    <n v="2604621.7703144881"/>
  </r>
  <r>
    <s v="Regular"/>
    <x v="2"/>
    <x v="5"/>
    <x v="7"/>
    <x v="7"/>
    <x v="0"/>
    <x v="0"/>
    <x v="1"/>
    <x v="0"/>
    <n v="0"/>
    <n v="0"/>
    <n v="1251.383"/>
    <n v="1251.383"/>
    <n v="1251.383"/>
    <n v="1251.383"/>
    <n v="13300"/>
    <x v="0"/>
    <n v="0"/>
    <n v="0"/>
    <n v="34"/>
    <n v="55"/>
    <n v="0"/>
    <n v="339.06"/>
    <n v="230.53"/>
    <m/>
    <n v="424.43639889191877"/>
    <n v="296.59949464114788"/>
    <n v="0"/>
    <n v="424293.91998000001"/>
    <n v="288481.32299000002"/>
    <n v="0"/>
    <n v="531132.49415456597"/>
    <n v="371159.56540252356"/>
  </r>
  <r>
    <s v="Regular"/>
    <x v="2"/>
    <x v="5"/>
    <x v="7"/>
    <x v="7"/>
    <x v="0"/>
    <x v="0"/>
    <x v="1"/>
    <x v="1"/>
    <n v="0"/>
    <n v="0"/>
    <n v="1007.394"/>
    <n v="1007.394"/>
    <n v="1007.394"/>
    <n v="1007.394"/>
    <n v="11410"/>
    <x v="0"/>
    <n v="0"/>
    <n v="0"/>
    <n v="34"/>
    <n v="55"/>
    <n v="0"/>
    <n v="339.06"/>
    <n v="230.53"/>
    <m/>
    <n v="424.43639889191877"/>
    <n v="296.59949464114788"/>
    <n v="0"/>
    <n v="341567.00964"/>
    <n v="232234.53882000002"/>
    <n v="0"/>
    <n v="427574.68162532564"/>
    <n v="298792.55130452453"/>
  </r>
  <r>
    <s v="Regular"/>
    <x v="2"/>
    <x v="5"/>
    <x v="7"/>
    <x v="7"/>
    <x v="0"/>
    <x v="0"/>
    <x v="1"/>
    <x v="2"/>
    <n v="0"/>
    <n v="0"/>
    <n v="777.51199999999994"/>
    <n v="777.51199999999994"/>
    <n v="777.51199999999994"/>
    <n v="777.51199999999994"/>
    <n v="8641"/>
    <x v="0"/>
    <n v="0"/>
    <n v="0"/>
    <n v="34"/>
    <n v="55"/>
    <n v="0"/>
    <n v="339.06"/>
    <n v="230.53"/>
    <m/>
    <n v="424.43639889191877"/>
    <n v="296.59949464114788"/>
    <n v="0"/>
    <n v="263623.21872"/>
    <n v="179239.84135999999"/>
    <n v="0"/>
    <n v="330004.39337525354"/>
    <n v="230609.66627742816"/>
  </r>
  <r>
    <s v="Refaturamento - Regular"/>
    <x v="2"/>
    <x v="5"/>
    <x v="7"/>
    <x v="7"/>
    <x v="0"/>
    <x v="0"/>
    <x v="1"/>
    <x v="2"/>
    <n v="0"/>
    <n v="0"/>
    <n v="-1012.818"/>
    <n v="-1012.818"/>
    <n v="-1012.818"/>
    <n v="-1012.818"/>
    <n v="-41"/>
    <x v="0"/>
    <n v="0"/>
    <n v="0"/>
    <n v="34"/>
    <n v="55"/>
    <n v="0"/>
    <n v="339.06"/>
    <n v="230.53"/>
    <m/>
    <n v="424.43639889191877"/>
    <n v="296.59949464114788"/>
    <n v="0"/>
    <n v="-343406.07108000002"/>
    <n v="-233484.93354"/>
    <n v="0"/>
    <n v="-429876.82465291535"/>
    <n v="-300401.30696345813"/>
  </r>
  <r>
    <s v="Regular"/>
    <x v="2"/>
    <x v="5"/>
    <x v="7"/>
    <x v="7"/>
    <x v="0"/>
    <x v="0"/>
    <x v="1"/>
    <x v="3"/>
    <n v="0"/>
    <n v="0"/>
    <n v="721.98299999999995"/>
    <n v="721.98299999999995"/>
    <n v="721.98299999999995"/>
    <n v="721.98299999999995"/>
    <n v="7999"/>
    <x v="0"/>
    <n v="0"/>
    <n v="0"/>
    <n v="34"/>
    <n v="55"/>
    <n v="0"/>
    <n v="339.06"/>
    <n v="230.53"/>
    <m/>
    <n v="424.43639889191877"/>
    <n v="296.59949464114788"/>
    <n v="0"/>
    <n v="244795.55597999998"/>
    <n v="166438.74098999999"/>
    <n v="0"/>
    <n v="306435.86458118417"/>
    <n v="214139.79293949986"/>
  </r>
  <r>
    <s v="Regular"/>
    <x v="2"/>
    <x v="5"/>
    <x v="7"/>
    <x v="7"/>
    <x v="0"/>
    <x v="0"/>
    <x v="1"/>
    <x v="4"/>
    <n v="0"/>
    <n v="0"/>
    <n v="886.71199999999999"/>
    <n v="886.71199999999999"/>
    <n v="886.71199999999999"/>
    <n v="886.71199999999999"/>
    <n v="9854"/>
    <x v="0"/>
    <n v="0"/>
    <n v="0"/>
    <n v="34"/>
    <n v="55"/>
    <n v="0"/>
    <n v="339.06"/>
    <n v="230.53"/>
    <m/>
    <n v="424.43639889191877"/>
    <n v="296.59949464114788"/>
    <n v="0"/>
    <n v="300648.57072000002"/>
    <n v="204413.71736000001"/>
    <n v="0"/>
    <n v="376352.84813425108"/>
    <n v="262998.33109224151"/>
  </r>
  <r>
    <s v="Regular"/>
    <x v="2"/>
    <x v="5"/>
    <x v="7"/>
    <x v="7"/>
    <x v="0"/>
    <x v="0"/>
    <x v="1"/>
    <x v="5"/>
    <n v="0"/>
    <n v="0"/>
    <n v="1087.183"/>
    <n v="1087.183"/>
    <n v="1087.183"/>
    <n v="1087.183"/>
    <n v="12032"/>
    <x v="0"/>
    <n v="0"/>
    <n v="0"/>
    <n v="34"/>
    <n v="55"/>
    <n v="0"/>
    <n v="339.06"/>
    <n v="230.53"/>
    <m/>
    <n v="424.43639889191877"/>
    <n v="296.59949464114788"/>
    <n v="0"/>
    <n v="368620.26798"/>
    <n v="250628.29699"/>
    <n v="0"/>
    <n v="461440.03745651292"/>
    <n v="322457.92838244711"/>
  </r>
  <r>
    <s v="Regular"/>
    <x v="2"/>
    <x v="5"/>
    <x v="7"/>
    <x v="7"/>
    <x v="0"/>
    <x v="0"/>
    <x v="1"/>
    <x v="6"/>
    <n v="0"/>
    <n v="0"/>
    <n v="1353.7639999999999"/>
    <n v="1353.7639999999999"/>
    <n v="1353.7639999999999"/>
    <n v="1353.7639999999999"/>
    <n v="14736"/>
    <x v="0"/>
    <n v="0"/>
    <n v="0"/>
    <n v="34"/>
    <n v="55"/>
    <n v="0"/>
    <n v="339.06"/>
    <n v="230.53"/>
    <m/>
    <n v="424.43639889191877"/>
    <n v="296.59949464114788"/>
    <n v="0"/>
    <n v="459007.22183999995"/>
    <n v="312083.21492"/>
    <n v="0"/>
    <n v="574586.71710951952"/>
    <n v="401525.71826337889"/>
  </r>
  <r>
    <s v="Regular"/>
    <x v="2"/>
    <x v="5"/>
    <x v="7"/>
    <x v="7"/>
    <x v="0"/>
    <x v="0"/>
    <x v="1"/>
    <x v="7"/>
    <n v="0"/>
    <n v="0"/>
    <n v="1757.1959999999999"/>
    <n v="1757.1959999999999"/>
    <n v="1757.1959999999999"/>
    <n v="1757.1959999999999"/>
    <n v="17963"/>
    <x v="0"/>
    <n v="0"/>
    <n v="0"/>
    <n v="34"/>
    <n v="55"/>
    <n v="0"/>
    <n v="339.06"/>
    <n v="230.53"/>
    <m/>
    <n v="424.43639889191877"/>
    <n v="296.59949464114788"/>
    <n v="0"/>
    <n v="595794.87575999997"/>
    <n v="405086.39387999999"/>
    <n v="0"/>
    <n v="745817.94238728401"/>
    <n v="521183.44558544649"/>
  </r>
  <r>
    <s v="Regular"/>
    <x v="2"/>
    <x v="5"/>
    <x v="7"/>
    <x v="7"/>
    <x v="0"/>
    <x v="0"/>
    <x v="1"/>
    <x v="8"/>
    <n v="0"/>
    <n v="0"/>
    <n v="1811.5360000000001"/>
    <n v="1811.5360000000001"/>
    <n v="1811.5360000000001"/>
    <n v="1811.5360000000001"/>
    <n v="18068"/>
    <x v="0"/>
    <n v="0"/>
    <n v="0"/>
    <n v="34"/>
    <n v="55"/>
    <n v="0"/>
    <n v="339.06"/>
    <n v="230.53"/>
    <m/>
    <n v="424.43639889191877"/>
    <n v="296.59949464114788"/>
    <n v="0"/>
    <n v="614219.39616"/>
    <n v="417613.39408"/>
    <n v="0"/>
    <n v="768881.81630307098"/>
    <n v="537300.66212424648"/>
  </r>
  <r>
    <s v="Regular"/>
    <x v="2"/>
    <x v="5"/>
    <x v="7"/>
    <x v="7"/>
    <x v="0"/>
    <x v="0"/>
    <x v="1"/>
    <x v="9"/>
    <n v="0"/>
    <n v="0"/>
    <n v="1773.5150000000001"/>
    <n v="1773.5150000000001"/>
    <n v="1773.5150000000001"/>
    <n v="1773.5150000000001"/>
    <n v="17479"/>
    <x v="0"/>
    <n v="0"/>
    <n v="0"/>
    <n v="34"/>
    <n v="55"/>
    <n v="0"/>
    <n v="339.06"/>
    <n v="230.53"/>
    <m/>
    <n v="424.43639889191877"/>
    <n v="296.59949464114788"/>
    <n v="0"/>
    <n v="601327.99589999998"/>
    <n v="408848.41295000003"/>
    <n v="0"/>
    <n v="752744.31998080132"/>
    <n v="526023.65273849538"/>
  </r>
  <r>
    <s v="Regular"/>
    <x v="2"/>
    <x v="5"/>
    <x v="7"/>
    <x v="7"/>
    <x v="0"/>
    <x v="0"/>
    <x v="1"/>
    <x v="10"/>
    <n v="0"/>
    <n v="0"/>
    <n v="2266.096"/>
    <n v="2266.096"/>
    <n v="2266.096"/>
    <n v="2266.096"/>
    <n v="23101"/>
    <x v="0"/>
    <n v="0"/>
    <n v="0"/>
    <n v="34"/>
    <n v="55"/>
    <n v="0"/>
    <n v="339.06"/>
    <n v="230.53"/>
    <m/>
    <n v="424.43639889191877"/>
    <n v="296.59949464114788"/>
    <n v="0"/>
    <n v="768342.50976000004"/>
    <n v="522403.11087999999"/>
    <n v="0"/>
    <n v="961813.62578338152"/>
    <n v="672122.9284083267"/>
  </r>
  <r>
    <s v="PROJETADO"/>
    <x v="2"/>
    <x v="5"/>
    <x v="7"/>
    <x v="7"/>
    <x v="0"/>
    <x v="0"/>
    <x v="1"/>
    <x v="11"/>
    <n v="0"/>
    <n v="0"/>
    <n v="2266.096"/>
    <n v="2266.096"/>
    <n v="2266.096"/>
    <n v="2266.096"/>
    <n v="23101"/>
    <x v="0"/>
    <n v="0"/>
    <n v="0"/>
    <n v="34"/>
    <n v="55"/>
    <n v="0"/>
    <n v="339.06"/>
    <n v="230.53"/>
    <m/>
    <n v="424.43639889191877"/>
    <n v="296.59949464114788"/>
    <n v="0"/>
    <n v="768342.50976000004"/>
    <n v="522403.11087999999"/>
    <n v="0"/>
    <n v="961813.62578338152"/>
    <n v="672122.9284083267"/>
  </r>
  <r>
    <s v="Regular"/>
    <x v="3"/>
    <x v="4"/>
    <x v="2"/>
    <x v="0"/>
    <x v="0"/>
    <x v="0"/>
    <x v="0"/>
    <x v="0"/>
    <n v="0"/>
    <n v="0"/>
    <n v="1.2929999999999999"/>
    <n v="1.2929999999999999"/>
    <n v="1.2929999999999999"/>
    <n v="1.2929999999999999"/>
    <n v="0"/>
    <x v="0"/>
    <n v="0"/>
    <n v="0"/>
    <n v="21"/>
    <n v="61"/>
    <n v="0"/>
    <n v="268.14"/>
    <n v="193.58"/>
    <m/>
    <n v="356.69015153679931"/>
    <n v="266.40473004919119"/>
    <n v="0"/>
    <n v="346.70501999999999"/>
    <n v="250.29894000000002"/>
    <n v="0"/>
    <n v="461.20036593708147"/>
    <n v="344.46131595360418"/>
  </r>
  <r>
    <s v="Regular"/>
    <x v="3"/>
    <x v="4"/>
    <x v="2"/>
    <x v="0"/>
    <x v="0"/>
    <x v="0"/>
    <x v="0"/>
    <x v="1"/>
    <n v="0"/>
    <n v="0"/>
    <n v="0.1"/>
    <n v="0.1"/>
    <n v="0.1"/>
    <n v="0.1"/>
    <n v="0"/>
    <x v="0"/>
    <n v="0"/>
    <n v="0"/>
    <n v="21"/>
    <n v="61"/>
    <n v="0"/>
    <n v="268.14"/>
    <n v="193.58"/>
    <m/>
    <n v="356.69015153679931"/>
    <n v="266.40473004919119"/>
    <n v="0"/>
    <n v="26.814"/>
    <n v="19.358000000000004"/>
    <n v="0"/>
    <n v="35.669015153679929"/>
    <n v="26.640473004919119"/>
  </r>
  <r>
    <s v="Regular"/>
    <x v="3"/>
    <x v="4"/>
    <x v="2"/>
    <x v="0"/>
    <x v="0"/>
    <x v="0"/>
    <x v="0"/>
    <x v="2"/>
    <n v="0"/>
    <n v="0"/>
    <n v="0.1"/>
    <n v="0.1"/>
    <n v="0.1"/>
    <n v="0.1"/>
    <n v="0"/>
    <x v="0"/>
    <n v="0"/>
    <n v="0"/>
    <n v="21"/>
    <n v="61"/>
    <n v="0"/>
    <n v="268.14"/>
    <n v="193.58"/>
    <m/>
    <n v="356.69015153679931"/>
    <n v="266.40473004919119"/>
    <n v="0"/>
    <n v="26.814"/>
    <n v="19.358000000000004"/>
    <n v="0"/>
    <n v="35.669015153679929"/>
    <n v="26.640473004919119"/>
  </r>
  <r>
    <s v="Regular"/>
    <x v="3"/>
    <x v="4"/>
    <x v="2"/>
    <x v="0"/>
    <x v="0"/>
    <x v="0"/>
    <x v="0"/>
    <x v="3"/>
    <n v="0"/>
    <n v="0"/>
    <n v="0.1"/>
    <n v="0.1"/>
    <n v="0.1"/>
    <n v="0.1"/>
    <n v="0"/>
    <x v="0"/>
    <n v="0"/>
    <n v="0"/>
    <n v="21"/>
    <n v="61"/>
    <n v="0"/>
    <n v="268.14"/>
    <n v="193.58"/>
    <m/>
    <n v="356.69015153679931"/>
    <n v="266.40473004919119"/>
    <n v="0"/>
    <n v="26.814"/>
    <n v="19.358000000000004"/>
    <n v="0"/>
    <n v="35.669015153679929"/>
    <n v="26.640473004919119"/>
  </r>
  <r>
    <s v="Regular"/>
    <x v="3"/>
    <x v="4"/>
    <x v="2"/>
    <x v="0"/>
    <x v="0"/>
    <x v="0"/>
    <x v="0"/>
    <x v="5"/>
    <n v="0"/>
    <n v="0"/>
    <n v="1.0640000000000001"/>
    <n v="1.0640000000000001"/>
    <n v="1.0640000000000001"/>
    <n v="1.0640000000000001"/>
    <n v="0"/>
    <x v="0"/>
    <n v="0"/>
    <n v="0"/>
    <n v="21"/>
    <n v="61"/>
    <n v="0"/>
    <n v="268.14"/>
    <n v="193.58"/>
    <m/>
    <n v="356.69015153679931"/>
    <n v="266.40473004919119"/>
    <n v="0"/>
    <n v="285.30095999999998"/>
    <n v="205.96912000000003"/>
    <n v="0"/>
    <n v="379.51832123515447"/>
    <n v="283.45463277233944"/>
  </r>
  <r>
    <s v="Regular"/>
    <x v="3"/>
    <x v="4"/>
    <x v="2"/>
    <x v="0"/>
    <x v="0"/>
    <x v="0"/>
    <x v="0"/>
    <x v="6"/>
    <n v="0"/>
    <n v="0"/>
    <n v="1.5489999999999999"/>
    <n v="1.5489999999999999"/>
    <n v="1.5489999999999999"/>
    <n v="1.5489999999999999"/>
    <n v="0"/>
    <x v="0"/>
    <n v="0"/>
    <n v="0"/>
    <n v="21"/>
    <n v="61"/>
    <n v="0"/>
    <n v="268.14"/>
    <n v="193.58"/>
    <m/>
    <n v="356.69015153679931"/>
    <n v="266.40473004919119"/>
    <n v="0"/>
    <n v="415.34885999999995"/>
    <n v="299.85541999999998"/>
    <n v="0"/>
    <n v="552.51304473050209"/>
    <n v="412.66092684619713"/>
  </r>
  <r>
    <s v="Regular"/>
    <x v="3"/>
    <x v="4"/>
    <x v="2"/>
    <x v="0"/>
    <x v="0"/>
    <x v="0"/>
    <x v="0"/>
    <x v="7"/>
    <n v="0"/>
    <n v="0"/>
    <n v="1.798"/>
    <n v="1.798"/>
    <n v="1.798"/>
    <n v="1.798"/>
    <n v="0"/>
    <x v="0"/>
    <n v="0"/>
    <n v="0"/>
    <n v="21"/>
    <n v="61"/>
    <n v="0"/>
    <n v="268.14"/>
    <n v="193.58"/>
    <m/>
    <n v="356.69015153679931"/>
    <n v="266.40473004919119"/>
    <n v="0"/>
    <n v="482.11572000000001"/>
    <n v="348.05684000000002"/>
    <n v="0"/>
    <n v="641.32889246316518"/>
    <n v="478.99570462844576"/>
  </r>
  <r>
    <s v="Regular"/>
    <x v="3"/>
    <x v="4"/>
    <x v="2"/>
    <x v="0"/>
    <x v="0"/>
    <x v="0"/>
    <x v="0"/>
    <x v="8"/>
    <n v="0"/>
    <n v="0"/>
    <n v="0.55000000000000004"/>
    <n v="0.55000000000000004"/>
    <n v="0.55000000000000004"/>
    <n v="0.55000000000000004"/>
    <n v="0"/>
    <x v="0"/>
    <n v="0"/>
    <n v="0"/>
    <n v="21"/>
    <n v="61"/>
    <n v="0"/>
    <n v="268.14"/>
    <n v="193.58"/>
    <m/>
    <n v="356.69015153679931"/>
    <n v="266.40473004919119"/>
    <n v="0"/>
    <n v="147.477"/>
    <n v="106.46900000000002"/>
    <n v="0"/>
    <n v="196.17958334523962"/>
    <n v="146.52260152705517"/>
  </r>
  <r>
    <s v="Regular"/>
    <x v="3"/>
    <x v="4"/>
    <x v="2"/>
    <x v="0"/>
    <x v="0"/>
    <x v="0"/>
    <x v="0"/>
    <x v="9"/>
    <n v="0"/>
    <n v="0"/>
    <n v="0.38300000000000001"/>
    <n v="0.38300000000000001"/>
    <n v="0.38300000000000001"/>
    <n v="0.38300000000000001"/>
    <n v="0"/>
    <x v="0"/>
    <n v="0"/>
    <n v="0"/>
    <n v="21"/>
    <n v="61"/>
    <n v="0"/>
    <n v="268.14"/>
    <n v="193.58"/>
    <m/>
    <n v="356.69015153679931"/>
    <n v="266.40473004919119"/>
    <n v="0"/>
    <n v="102.69762"/>
    <n v="74.141140000000007"/>
    <n v="0"/>
    <n v="136.61232803859414"/>
    <n v="102.03301160884023"/>
  </r>
  <r>
    <s v="Regular"/>
    <x v="3"/>
    <x v="4"/>
    <x v="2"/>
    <x v="0"/>
    <x v="0"/>
    <x v="0"/>
    <x v="0"/>
    <x v="10"/>
    <n v="0"/>
    <n v="0"/>
    <n v="1.01"/>
    <n v="1.01"/>
    <n v="1.01"/>
    <n v="1.01"/>
    <n v="0"/>
    <x v="0"/>
    <n v="0"/>
    <n v="0"/>
    <n v="21"/>
    <n v="61"/>
    <n v="0"/>
    <n v="268.14"/>
    <n v="193.58"/>
    <m/>
    <n v="356.69015153679931"/>
    <n v="266.40473004919119"/>
    <n v="0"/>
    <n v="270.82139999999998"/>
    <n v="195.51580000000001"/>
    <n v="0"/>
    <n v="360.25705305216729"/>
    <n v="269.0687773496831"/>
  </r>
  <r>
    <s v="PROJETADO"/>
    <x v="3"/>
    <x v="4"/>
    <x v="2"/>
    <x v="0"/>
    <x v="0"/>
    <x v="0"/>
    <x v="0"/>
    <x v="11"/>
    <n v="0"/>
    <n v="0"/>
    <n v="1.01"/>
    <n v="1.01"/>
    <n v="1.01"/>
    <n v="1.01"/>
    <n v="0"/>
    <x v="0"/>
    <n v="0"/>
    <n v="0"/>
    <n v="21"/>
    <n v="61"/>
    <n v="0"/>
    <n v="268.14"/>
    <n v="193.58"/>
    <m/>
    <n v="356.69015153679931"/>
    <n v="266.40473004919119"/>
    <n v="0"/>
    <n v="270.82139999999998"/>
    <n v="195.51580000000001"/>
    <n v="0"/>
    <n v="360.25705305216729"/>
    <n v="269.0687773496831"/>
  </r>
  <r>
    <s v="Regular"/>
    <x v="3"/>
    <x v="4"/>
    <x v="2"/>
    <x v="0"/>
    <x v="0"/>
    <x v="0"/>
    <x v="3"/>
    <x v="0"/>
    <n v="0"/>
    <n v="0"/>
    <n v="6.0000000000000001E-3"/>
    <n v="6.0000000000000001E-3"/>
    <n v="6.0000000000000001E-3"/>
    <n v="6.0000000000000001E-3"/>
    <n v="0"/>
    <x v="0"/>
    <n v="0"/>
    <n v="0"/>
    <n v="20"/>
    <n v="60"/>
    <n v="0"/>
    <n v="578.61"/>
    <n v="193.58"/>
    <m/>
    <n v="768.17428226028335"/>
    <n v="266.40473004919119"/>
    <n v="0"/>
    <n v="3.47166"/>
    <n v="1.1614800000000001"/>
    <n v="0"/>
    <n v="4.6090456935617006"/>
    <n v="1.5984283802951471"/>
  </r>
  <r>
    <s v="Regular"/>
    <x v="3"/>
    <x v="4"/>
    <x v="2"/>
    <x v="0"/>
    <x v="0"/>
    <x v="0"/>
    <x v="3"/>
    <x v="5"/>
    <n v="0"/>
    <n v="0"/>
    <n v="4.0000000000000001E-3"/>
    <n v="4.0000000000000001E-3"/>
    <n v="4.0000000000000001E-3"/>
    <n v="4.0000000000000001E-3"/>
    <n v="0"/>
    <x v="0"/>
    <n v="0"/>
    <n v="0"/>
    <n v="20"/>
    <n v="60"/>
    <n v="0"/>
    <n v="578.61"/>
    <n v="193.58"/>
    <m/>
    <n v="768.17428226028335"/>
    <n v="266.40473004919119"/>
    <n v="0"/>
    <n v="2.3144400000000003"/>
    <n v="0.77432000000000012"/>
    <n v="0"/>
    <n v="3.0726971290411336"/>
    <n v="1.0656189201967647"/>
  </r>
  <r>
    <s v="Regular"/>
    <x v="3"/>
    <x v="4"/>
    <x v="2"/>
    <x v="0"/>
    <x v="0"/>
    <x v="0"/>
    <x v="3"/>
    <x v="6"/>
    <n v="0"/>
    <n v="0"/>
    <n v="1.2999999999999999E-2"/>
    <n v="1.2999999999999999E-2"/>
    <n v="1.2999999999999999E-2"/>
    <n v="1.2999999999999999E-2"/>
    <n v="0"/>
    <x v="0"/>
    <n v="0"/>
    <n v="0"/>
    <n v="20"/>
    <n v="60"/>
    <n v="0"/>
    <n v="578.61"/>
    <n v="193.58"/>
    <m/>
    <n v="768.17428226028335"/>
    <n v="266.40473004919119"/>
    <n v="0"/>
    <n v="7.5219300000000002"/>
    <n v="2.51654"/>
    <n v="0"/>
    <n v="9.9862656693836822"/>
    <n v="3.4632614906394852"/>
  </r>
  <r>
    <s v="Regular"/>
    <x v="3"/>
    <x v="4"/>
    <x v="2"/>
    <x v="0"/>
    <x v="0"/>
    <x v="0"/>
    <x v="3"/>
    <x v="7"/>
    <n v="0"/>
    <n v="0"/>
    <n v="6.0000000000000001E-3"/>
    <n v="6.0000000000000001E-3"/>
    <n v="6.0000000000000001E-3"/>
    <n v="6.0000000000000001E-3"/>
    <n v="0"/>
    <x v="0"/>
    <n v="0"/>
    <n v="0"/>
    <n v="20"/>
    <n v="60"/>
    <n v="0"/>
    <n v="578.61"/>
    <n v="193.58"/>
    <m/>
    <n v="768.17428226028335"/>
    <n v="266.40473004919119"/>
    <n v="0"/>
    <n v="3.47166"/>
    <n v="1.1614800000000001"/>
    <n v="0"/>
    <n v="4.6090456935617006"/>
    <n v="1.5984283802951471"/>
  </r>
  <r>
    <s v="Regular"/>
    <x v="3"/>
    <x v="4"/>
    <x v="2"/>
    <x v="0"/>
    <x v="0"/>
    <x v="0"/>
    <x v="3"/>
    <x v="10"/>
    <n v="0"/>
    <n v="0"/>
    <n v="1E-3"/>
    <n v="1E-3"/>
    <n v="1E-3"/>
    <n v="1E-3"/>
    <n v="0"/>
    <x v="0"/>
    <n v="0"/>
    <n v="0"/>
    <n v="20"/>
    <n v="60"/>
    <n v="0"/>
    <n v="578.61"/>
    <n v="193.58"/>
    <m/>
    <n v="768.17428226028335"/>
    <n v="266.40473004919119"/>
    <n v="0"/>
    <n v="0.57861000000000007"/>
    <n v="0.19358000000000003"/>
    <n v="0"/>
    <n v="0.76817428226028339"/>
    <n v="0.26640473004919119"/>
  </r>
  <r>
    <s v="PROJETADO"/>
    <x v="3"/>
    <x v="4"/>
    <x v="2"/>
    <x v="0"/>
    <x v="0"/>
    <x v="0"/>
    <x v="3"/>
    <x v="11"/>
    <n v="0"/>
    <n v="0"/>
    <n v="1E-3"/>
    <n v="1E-3"/>
    <n v="1E-3"/>
    <n v="1E-3"/>
    <n v="0"/>
    <x v="0"/>
    <n v="0"/>
    <n v="0"/>
    <n v="20"/>
    <n v="60"/>
    <n v="0"/>
    <n v="578.61"/>
    <n v="193.58"/>
    <m/>
    <n v="768.17428226028335"/>
    <n v="266.40473004919119"/>
    <n v="0"/>
    <n v="0.57861000000000007"/>
    <n v="0.19358000000000003"/>
    <n v="0"/>
    <n v="0.76817428226028339"/>
    <n v="0.26640473004919119"/>
  </r>
  <r>
    <s v="Regular"/>
    <x v="3"/>
    <x v="4"/>
    <x v="2"/>
    <x v="0"/>
    <x v="0"/>
    <x v="0"/>
    <x v="2"/>
    <x v="5"/>
    <n v="0"/>
    <n v="0"/>
    <n v="1E-3"/>
    <n v="1E-3"/>
    <n v="1E-3"/>
    <n v="1E-3"/>
    <n v="0"/>
    <x v="0"/>
    <n v="0"/>
    <n v="0"/>
    <n v="19"/>
    <n v="59"/>
    <n v="0"/>
    <n v="889.08"/>
    <n v="305.02"/>
    <m/>
    <n v="1179.6581259017521"/>
    <n v="415.19026901104564"/>
    <n v="0"/>
    <n v="0.88908000000000009"/>
    <n v="0.30502000000000001"/>
    <n v="0"/>
    <n v="1.1796581259017522"/>
    <n v="0.41519026901104567"/>
  </r>
  <r>
    <s v="Regular"/>
    <x v="3"/>
    <x v="4"/>
    <x v="2"/>
    <x v="0"/>
    <x v="0"/>
    <x v="0"/>
    <x v="2"/>
    <x v="6"/>
    <n v="0"/>
    <n v="0"/>
    <n v="1E-3"/>
    <n v="1E-3"/>
    <n v="1E-3"/>
    <n v="1E-3"/>
    <n v="0"/>
    <x v="0"/>
    <n v="0"/>
    <n v="0"/>
    <n v="19"/>
    <n v="59"/>
    <n v="0"/>
    <n v="889.08"/>
    <n v="305.02"/>
    <m/>
    <n v="1179.6581259017521"/>
    <n v="415.19026901104564"/>
    <n v="0"/>
    <n v="0.88908000000000009"/>
    <n v="0.30502000000000001"/>
    <n v="0"/>
    <n v="1.1796581259017522"/>
    <n v="0.41519026901104567"/>
  </r>
  <r>
    <s v="Regular"/>
    <x v="3"/>
    <x v="4"/>
    <x v="2"/>
    <x v="0"/>
    <x v="0"/>
    <x v="0"/>
    <x v="2"/>
    <x v="7"/>
    <n v="0"/>
    <n v="0"/>
    <n v="1E-3"/>
    <n v="1E-3"/>
    <n v="1E-3"/>
    <n v="1E-3"/>
    <n v="0"/>
    <x v="0"/>
    <n v="0"/>
    <n v="0"/>
    <n v="19"/>
    <n v="59"/>
    <n v="0"/>
    <n v="889.08"/>
    <n v="305.02"/>
    <m/>
    <n v="1179.6581259017521"/>
    <n v="415.19026901104564"/>
    <n v="0"/>
    <n v="0.88908000000000009"/>
    <n v="0.30502000000000001"/>
    <n v="0"/>
    <n v="1.1796581259017522"/>
    <n v="0.41519026901104567"/>
  </r>
  <r>
    <s v="Regular"/>
    <x v="3"/>
    <x v="5"/>
    <x v="2"/>
    <x v="1"/>
    <x v="5"/>
    <x v="0"/>
    <x v="1"/>
    <x v="0"/>
    <n v="0"/>
    <n v="0"/>
    <n v="15.4"/>
    <n v="15.4"/>
    <n v="15.4"/>
    <n v="15.4"/>
    <n v="0"/>
    <x v="0"/>
    <n v="0"/>
    <n v="0"/>
    <n v="37"/>
    <n v="78"/>
    <n v="0"/>
    <n v="348.11"/>
    <n v="202.86"/>
    <m/>
    <n v="462.67829128395761"/>
    <n v="278.80352496267898"/>
    <n v="0"/>
    <n v="5360.8940000000002"/>
    <n v="3124.0440000000003"/>
    <n v="0"/>
    <n v="7125.2456857729476"/>
    <n v="4293.5742844252563"/>
  </r>
  <r>
    <s v="Regular"/>
    <x v="3"/>
    <x v="5"/>
    <x v="2"/>
    <x v="1"/>
    <x v="5"/>
    <x v="0"/>
    <x v="1"/>
    <x v="1"/>
    <n v="0"/>
    <n v="0"/>
    <n v="17.745000000000001"/>
    <n v="17.745000000000001"/>
    <n v="17.745000000000001"/>
    <n v="17.745000000000001"/>
    <n v="0"/>
    <x v="0"/>
    <n v="0"/>
    <n v="0"/>
    <n v="37"/>
    <n v="78"/>
    <n v="0"/>
    <n v="348.11"/>
    <n v="202.86"/>
    <m/>
    <n v="462.67829128395761"/>
    <n v="278.80352496267898"/>
    <n v="0"/>
    <n v="6177.2119500000008"/>
    <n v="3599.7507000000005"/>
    <n v="0"/>
    <n v="8210.2262788338285"/>
    <n v="4947.3685504627383"/>
  </r>
  <r>
    <s v="Refaturamento - Regular"/>
    <x v="3"/>
    <x v="5"/>
    <x v="2"/>
    <x v="1"/>
    <x v="5"/>
    <x v="0"/>
    <x v="1"/>
    <x v="1"/>
    <n v="0"/>
    <n v="0"/>
    <n v="-19.623999999999999"/>
    <n v="-19.623999999999999"/>
    <n v="-19.623999999999999"/>
    <n v="-19.623999999999999"/>
    <n v="0"/>
    <x v="0"/>
    <n v="0"/>
    <n v="0"/>
    <n v="37"/>
    <n v="78"/>
    <n v="0"/>
    <n v="348.11"/>
    <n v="202.86"/>
    <m/>
    <n v="462.67829128395761"/>
    <n v="278.80352496267898"/>
    <n v="0"/>
    <n v="-6831.3106399999997"/>
    <n v="-3980.9246400000002"/>
    <n v="0"/>
    <n v="-9079.5987881563833"/>
    <n v="-5471.2403738676121"/>
  </r>
  <r>
    <s v="Regular"/>
    <x v="3"/>
    <x v="5"/>
    <x v="2"/>
    <x v="1"/>
    <x v="5"/>
    <x v="0"/>
    <x v="1"/>
    <x v="2"/>
    <n v="0"/>
    <n v="0"/>
    <n v="22.635999999999999"/>
    <n v="22.635999999999999"/>
    <n v="22.635999999999999"/>
    <n v="22.635999999999999"/>
    <n v="0"/>
    <x v="0"/>
    <n v="0"/>
    <n v="0"/>
    <n v="37"/>
    <n v="78"/>
    <n v="0"/>
    <n v="348.11"/>
    <n v="202.86"/>
    <m/>
    <n v="462.67829128395761"/>
    <n v="278.80352496267898"/>
    <n v="0"/>
    <n v="7879.8179600000003"/>
    <n v="4591.9389600000004"/>
    <n v="0"/>
    <n v="10473.185801503663"/>
    <n v="6310.996591055201"/>
  </r>
  <r>
    <s v="Refaturamento - Regular"/>
    <x v="3"/>
    <x v="5"/>
    <x v="2"/>
    <x v="1"/>
    <x v="5"/>
    <x v="0"/>
    <x v="1"/>
    <x v="2"/>
    <n v="0"/>
    <n v="0"/>
    <n v="-0.39600000000000002"/>
    <n v="-0.39600000000000002"/>
    <n v="-0.39600000000000002"/>
    <n v="-0.39600000000000002"/>
    <n v="0"/>
    <x v="0"/>
    <n v="0"/>
    <n v="0"/>
    <n v="37"/>
    <n v="78"/>
    <n v="0"/>
    <n v="348.11"/>
    <n v="202.86"/>
    <m/>
    <n v="462.67829128395761"/>
    <n v="278.80352496267898"/>
    <n v="0"/>
    <n v="-137.85156000000001"/>
    <n v="-80.332560000000015"/>
    <n v="0"/>
    <n v="-183.22060334844721"/>
    <n v="-110.40619588522088"/>
  </r>
  <r>
    <s v="Regular"/>
    <x v="3"/>
    <x v="5"/>
    <x v="2"/>
    <x v="1"/>
    <x v="5"/>
    <x v="0"/>
    <x v="1"/>
    <x v="3"/>
    <n v="0"/>
    <n v="0"/>
    <n v="19.344999999999999"/>
    <n v="19.344999999999999"/>
    <n v="19.344999999999999"/>
    <n v="19.344999999999999"/>
    <n v="0"/>
    <x v="0"/>
    <n v="0"/>
    <n v="0"/>
    <n v="37"/>
    <n v="78"/>
    <n v="0"/>
    <n v="348.11"/>
    <n v="202.86"/>
    <m/>
    <n v="462.67829128395761"/>
    <n v="278.80352496267898"/>
    <n v="0"/>
    <n v="6734.1879499999995"/>
    <n v="3924.3267000000001"/>
    <n v="0"/>
    <n v="8950.5115448881588"/>
    <n v="5393.4541904030248"/>
  </r>
  <r>
    <s v="Refaturamento - Regular"/>
    <x v="3"/>
    <x v="5"/>
    <x v="2"/>
    <x v="1"/>
    <x v="5"/>
    <x v="0"/>
    <x v="1"/>
    <x v="3"/>
    <n v="0"/>
    <n v="0"/>
    <n v="-0.14099999999999999"/>
    <n v="-0.14099999999999999"/>
    <n v="-0.14099999999999999"/>
    <n v="-0.14099999999999999"/>
    <n v="0"/>
    <x v="0"/>
    <n v="0"/>
    <n v="0"/>
    <n v="37"/>
    <n v="78"/>
    <n v="0"/>
    <n v="348.11"/>
    <n v="202.86"/>
    <m/>
    <n v="462.67829128395761"/>
    <n v="278.80352496267898"/>
    <n v="0"/>
    <n v="-49.083509999999997"/>
    <n v="-28.603259999999999"/>
    <n v="0"/>
    <n v="-65.237639071038018"/>
    <n v="-39.311297019737729"/>
  </r>
  <r>
    <s v="Regular"/>
    <x v="3"/>
    <x v="5"/>
    <x v="2"/>
    <x v="1"/>
    <x v="5"/>
    <x v="0"/>
    <x v="1"/>
    <x v="4"/>
    <n v="0"/>
    <n v="0"/>
    <n v="32.347000000000001"/>
    <n v="32.347000000000001"/>
    <n v="32.347000000000001"/>
    <n v="32.347000000000001"/>
    <n v="0"/>
    <x v="0"/>
    <n v="0"/>
    <n v="0"/>
    <n v="37"/>
    <n v="78"/>
    <n v="0"/>
    <n v="348.11"/>
    <n v="202.86"/>
    <m/>
    <n v="462.67829128395761"/>
    <n v="278.80352496267898"/>
    <n v="0"/>
    <n v="11260.314170000001"/>
    <n v="6561.9124200000006"/>
    <n v="0"/>
    <n v="14966.254688162177"/>
    <n v="9018.4576219677765"/>
  </r>
  <r>
    <s v="Refaturamento - Regular"/>
    <x v="3"/>
    <x v="5"/>
    <x v="2"/>
    <x v="1"/>
    <x v="5"/>
    <x v="0"/>
    <x v="1"/>
    <x v="4"/>
    <n v="0"/>
    <n v="0"/>
    <n v="-3.976"/>
    <n v="-3.976"/>
    <n v="-3.976"/>
    <n v="-3.976"/>
    <n v="0"/>
    <x v="0"/>
    <n v="0"/>
    <n v="0"/>
    <n v="37"/>
    <n v="78"/>
    <n v="0"/>
    <n v="348.11"/>
    <n v="202.86"/>
    <m/>
    <n v="462.67829128395761"/>
    <n v="278.80352496267898"/>
    <n v="0"/>
    <n v="-1384.08536"/>
    <n v="-806.57136000000003"/>
    <n v="0"/>
    <n v="-1839.6088861450155"/>
    <n v="-1108.5228152516115"/>
  </r>
  <r>
    <s v="Regular"/>
    <x v="3"/>
    <x v="5"/>
    <x v="2"/>
    <x v="1"/>
    <x v="5"/>
    <x v="0"/>
    <x v="1"/>
    <x v="5"/>
    <n v="0"/>
    <n v="0"/>
    <n v="48.305999999999997"/>
    <n v="48.305999999999997"/>
    <n v="48.305999999999997"/>
    <n v="48.305999999999997"/>
    <n v="0"/>
    <x v="0"/>
    <n v="0"/>
    <n v="0"/>
    <n v="37"/>
    <n v="78"/>
    <n v="0"/>
    <n v="348.11"/>
    <n v="202.86"/>
    <m/>
    <n v="462.67829128395761"/>
    <n v="278.80352496267898"/>
    <n v="0"/>
    <n v="16815.801660000001"/>
    <n v="9799.355160000001"/>
    <n v="0"/>
    <n v="22350.137538762854"/>
    <n v="13467.883076847171"/>
  </r>
  <r>
    <s v="Refaturamento - Regular"/>
    <x v="3"/>
    <x v="5"/>
    <x v="2"/>
    <x v="1"/>
    <x v="5"/>
    <x v="0"/>
    <x v="1"/>
    <x v="5"/>
    <n v="0"/>
    <n v="0"/>
    <n v="-1.3149999999999999"/>
    <n v="-1.3149999999999999"/>
    <n v="-1.3149999999999999"/>
    <n v="-1.3149999999999999"/>
    <n v="0"/>
    <x v="0"/>
    <n v="0"/>
    <n v="0"/>
    <n v="37"/>
    <n v="78"/>
    <n v="0"/>
    <n v="348.11"/>
    <n v="202.86"/>
    <m/>
    <n v="462.67829128395761"/>
    <n v="278.80352496267898"/>
    <n v="0"/>
    <n v="-457.76465000000002"/>
    <n v="-266.76089999999999"/>
    <n v="0"/>
    <n v="-608.42195303840424"/>
    <n v="-366.62663532592285"/>
  </r>
  <r>
    <s v="Regular"/>
    <x v="3"/>
    <x v="5"/>
    <x v="2"/>
    <x v="1"/>
    <x v="5"/>
    <x v="0"/>
    <x v="1"/>
    <x v="6"/>
    <n v="0"/>
    <n v="0"/>
    <n v="61.534999999999997"/>
    <n v="61.534999999999997"/>
    <n v="61.534999999999997"/>
    <n v="61.534999999999997"/>
    <n v="0"/>
    <x v="0"/>
    <n v="0"/>
    <n v="0"/>
    <n v="37"/>
    <n v="78"/>
    <n v="0"/>
    <n v="348.11"/>
    <n v="202.86"/>
    <m/>
    <n v="462.67829128395761"/>
    <n v="278.80352496267898"/>
    <n v="0"/>
    <n v="21420.948850000001"/>
    <n v="12482.990100000001"/>
    <n v="0"/>
    <n v="28470.908654158331"/>
    <n v="17156.17490857845"/>
  </r>
  <r>
    <s v="Regular"/>
    <x v="3"/>
    <x v="5"/>
    <x v="2"/>
    <x v="1"/>
    <x v="5"/>
    <x v="0"/>
    <x v="1"/>
    <x v="7"/>
    <n v="0"/>
    <n v="0"/>
    <n v="61.465000000000003"/>
    <n v="61.465000000000003"/>
    <n v="61.465000000000003"/>
    <n v="61.465000000000003"/>
    <n v="0"/>
    <x v="0"/>
    <n v="0"/>
    <n v="0"/>
    <n v="37"/>
    <n v="78"/>
    <n v="0"/>
    <n v="348.11"/>
    <n v="202.86"/>
    <m/>
    <n v="462.67829128395761"/>
    <n v="278.80352496267898"/>
    <n v="0"/>
    <n v="21396.581150000002"/>
    <n v="12468.789900000002"/>
    <n v="0"/>
    <n v="28438.521173768455"/>
    <n v="17136.658661831065"/>
  </r>
  <r>
    <s v="Regular"/>
    <x v="3"/>
    <x v="5"/>
    <x v="2"/>
    <x v="1"/>
    <x v="5"/>
    <x v="0"/>
    <x v="1"/>
    <x v="8"/>
    <n v="0"/>
    <n v="0"/>
    <n v="54.213000000000001"/>
    <n v="54.213000000000001"/>
    <n v="54.213000000000001"/>
    <n v="54.213000000000001"/>
    <n v="0"/>
    <x v="0"/>
    <n v="0"/>
    <n v="0"/>
    <n v="37"/>
    <n v="78"/>
    <n v="0"/>
    <n v="348.11"/>
    <n v="202.86"/>
    <m/>
    <n v="462.67829128395761"/>
    <n v="278.80352496267898"/>
    <n v="0"/>
    <n v="18872.08743"/>
    <n v="10997.64918"/>
    <n v="0"/>
    <n v="25083.178205377193"/>
    <n v="15114.775498801715"/>
  </r>
  <r>
    <s v="Regular"/>
    <x v="3"/>
    <x v="5"/>
    <x v="2"/>
    <x v="1"/>
    <x v="5"/>
    <x v="0"/>
    <x v="1"/>
    <x v="9"/>
    <n v="0"/>
    <n v="0"/>
    <n v="52.506999999999998"/>
    <n v="52.506999999999998"/>
    <n v="52.506999999999998"/>
    <n v="52.506999999999998"/>
    <n v="0"/>
    <x v="0"/>
    <n v="0"/>
    <n v="0"/>
    <n v="37"/>
    <n v="78"/>
    <n v="0"/>
    <n v="348.11"/>
    <n v="202.86"/>
    <m/>
    <n v="462.67829128395761"/>
    <n v="278.80352496267898"/>
    <n v="0"/>
    <n v="18278.211770000002"/>
    <n v="10651.570020000001"/>
    <n v="0"/>
    <n v="24293.849040446759"/>
    <n v="14639.136685215384"/>
  </r>
  <r>
    <s v="Refaturamento - Regular"/>
    <x v="3"/>
    <x v="5"/>
    <x v="2"/>
    <x v="1"/>
    <x v="5"/>
    <x v="0"/>
    <x v="1"/>
    <x v="9"/>
    <n v="0"/>
    <n v="0"/>
    <n v="0.23499999999999999"/>
    <n v="0.23499999999999999"/>
    <n v="0.23499999999999999"/>
    <n v="0.23499999999999999"/>
    <n v="0"/>
    <x v="0"/>
    <n v="0"/>
    <n v="0"/>
    <n v="37"/>
    <n v="78"/>
    <n v="0"/>
    <n v="348.11"/>
    <n v="202.86"/>
    <m/>
    <n v="462.67829128395761"/>
    <n v="278.80352496267898"/>
    <n v="0"/>
    <n v="81.805849999999992"/>
    <n v="47.6721"/>
    <n v="0"/>
    <n v="108.72939845173003"/>
    <n v="65.518828366229556"/>
  </r>
  <r>
    <s v="Regular"/>
    <x v="3"/>
    <x v="5"/>
    <x v="2"/>
    <x v="1"/>
    <x v="5"/>
    <x v="0"/>
    <x v="1"/>
    <x v="10"/>
    <n v="0"/>
    <n v="0"/>
    <n v="37.521000000000001"/>
    <n v="37.521000000000001"/>
    <n v="37.521000000000001"/>
    <n v="37.521000000000001"/>
    <n v="0"/>
    <x v="0"/>
    <n v="0"/>
    <n v="0"/>
    <n v="37"/>
    <n v="78"/>
    <n v="0"/>
    <n v="348.11"/>
    <n v="202.86"/>
    <m/>
    <n v="462.67829128395761"/>
    <n v="278.80352496267898"/>
    <n v="0"/>
    <n v="13061.435310000001"/>
    <n v="7611.5100600000005"/>
    <n v="0"/>
    <n v="17360.152167265373"/>
    <n v="10460.987060124678"/>
  </r>
  <r>
    <s v="PROJETADO"/>
    <x v="3"/>
    <x v="5"/>
    <x v="2"/>
    <x v="1"/>
    <x v="5"/>
    <x v="0"/>
    <x v="1"/>
    <x v="11"/>
    <n v="0"/>
    <n v="0"/>
    <n v="37.521000000000001"/>
    <n v="37.521000000000001"/>
    <n v="37.521000000000001"/>
    <n v="37.521000000000001"/>
    <n v="0"/>
    <x v="0"/>
    <n v="0"/>
    <n v="0"/>
    <n v="37"/>
    <n v="78"/>
    <n v="0"/>
    <n v="348.11"/>
    <n v="202.86"/>
    <m/>
    <n v="462.67829128395761"/>
    <n v="278.80352496267898"/>
    <n v="0"/>
    <n v="13061.435310000001"/>
    <n v="7611.5100600000005"/>
    <n v="0"/>
    <n v="17360.152167265373"/>
    <n v="10460.987060124678"/>
  </r>
  <r>
    <s v="Regular"/>
    <x v="3"/>
    <x v="5"/>
    <x v="2"/>
    <x v="1"/>
    <x v="3"/>
    <x v="0"/>
    <x v="1"/>
    <x v="0"/>
    <n v="0"/>
    <n v="0"/>
    <n v="23.552"/>
    <n v="6.3590400000000002"/>
    <n v="23.552"/>
    <n v="6.3590400000000002"/>
    <n v="0"/>
    <x v="0"/>
    <n v="0"/>
    <n v="0"/>
    <n v="24"/>
    <n v="78"/>
    <n v="0"/>
    <n v="348.11"/>
    <n v="202.86"/>
    <m/>
    <n v="462.67829128395761"/>
    <n v="278.80352496267898"/>
    <n v="0"/>
    <n v="2213.6454144000004"/>
    <n v="1289.9948544000001"/>
    <n v="0"/>
    <n v="2942.1897614063378"/>
    <n v="1772.9227673786743"/>
  </r>
  <r>
    <s v="Regular"/>
    <x v="3"/>
    <x v="5"/>
    <x v="2"/>
    <x v="1"/>
    <x v="3"/>
    <x v="0"/>
    <x v="1"/>
    <x v="1"/>
    <n v="0"/>
    <n v="0"/>
    <n v="30.077999999999999"/>
    <n v="8.1210599999999999"/>
    <n v="30.077999999999999"/>
    <n v="8.1210599999999999"/>
    <n v="0"/>
    <x v="0"/>
    <n v="0"/>
    <n v="0"/>
    <n v="24"/>
    <n v="78"/>
    <n v="0"/>
    <n v="348.11"/>
    <n v="202.86"/>
    <m/>
    <n v="462.67829128395761"/>
    <n v="278.80352496267898"/>
    <n v="0"/>
    <n v="2827.0221965999999"/>
    <n v="1647.4382316000001"/>
    <n v="0"/>
    <n v="3757.4381642144967"/>
    <n v="2264.1801544334139"/>
  </r>
  <r>
    <s v="Refaturamento - Regular"/>
    <x v="3"/>
    <x v="5"/>
    <x v="2"/>
    <x v="1"/>
    <x v="3"/>
    <x v="0"/>
    <x v="1"/>
    <x v="1"/>
    <n v="0"/>
    <n v="0"/>
    <n v="20.071000000000002"/>
    <n v="5.4191700000000003"/>
    <n v="20.071000000000002"/>
    <n v="5.4191700000000003"/>
    <n v="0"/>
    <x v="0"/>
    <n v="0"/>
    <n v="0"/>
    <n v="24"/>
    <n v="78"/>
    <n v="0"/>
    <n v="348.11"/>
    <n v="202.86"/>
    <m/>
    <n v="462.67829128395761"/>
    <n v="278.80352496267898"/>
    <n v="0"/>
    <n v="1886.4672687000002"/>
    <n v="1099.3328262000002"/>
    <n v="0"/>
    <n v="2507.3323157772847"/>
    <n v="1510.8836983720012"/>
  </r>
  <r>
    <s v="Regular"/>
    <x v="3"/>
    <x v="5"/>
    <x v="2"/>
    <x v="1"/>
    <x v="3"/>
    <x v="0"/>
    <x v="1"/>
    <x v="2"/>
    <n v="0"/>
    <n v="0"/>
    <n v="30.792999999999999"/>
    <n v="8.3141099999999994"/>
    <n v="30.792999999999999"/>
    <n v="8.3141099999999994"/>
    <n v="0"/>
    <x v="0"/>
    <n v="0"/>
    <n v="0"/>
    <n v="24"/>
    <n v="78"/>
    <n v="0"/>
    <n v="348.11"/>
    <n v="202.86"/>
    <m/>
    <n v="462.67829128395761"/>
    <n v="278.80352496267898"/>
    <n v="0"/>
    <n v="2894.2248320999997"/>
    <n v="1686.6003545999999"/>
    <n v="0"/>
    <n v="3846.7582083468646"/>
    <n v="2318.003174927459"/>
  </r>
  <r>
    <s v="Refaturamento - Regular"/>
    <x v="3"/>
    <x v="5"/>
    <x v="2"/>
    <x v="1"/>
    <x v="3"/>
    <x v="0"/>
    <x v="1"/>
    <x v="2"/>
    <n v="0"/>
    <n v="0"/>
    <n v="-0.95299999999999996"/>
    <n v="-0.25730999999999998"/>
    <n v="-0.95299999999999996"/>
    <n v="-0.25730999999999998"/>
    <n v="0"/>
    <x v="0"/>
    <n v="0"/>
    <n v="0"/>
    <n v="24"/>
    <n v="78"/>
    <n v="0"/>
    <n v="348.11"/>
    <n v="202.86"/>
    <m/>
    <n v="462.67829128395761"/>
    <n v="278.80352496267898"/>
    <n v="0"/>
    <n v="-89.572184100000001"/>
    <n v="-52.197906600000003"/>
    <n v="0"/>
    <n v="-119.05175113027512"/>
    <n v="-71.738935008146925"/>
  </r>
  <r>
    <s v="Regular"/>
    <x v="3"/>
    <x v="5"/>
    <x v="2"/>
    <x v="1"/>
    <x v="3"/>
    <x v="0"/>
    <x v="1"/>
    <x v="3"/>
    <n v="0"/>
    <n v="0"/>
    <n v="31.149000000000001"/>
    <n v="8.4102300000000003"/>
    <n v="31.149000000000001"/>
    <n v="8.4102300000000003"/>
    <n v="0"/>
    <x v="0"/>
    <n v="0"/>
    <n v="0"/>
    <n v="24"/>
    <n v="78"/>
    <n v="0"/>
    <n v="348.11"/>
    <n v="202.86"/>
    <m/>
    <n v="462.67829128395761"/>
    <n v="278.80352496267898"/>
    <n v="0"/>
    <n v="2927.6851653000003"/>
    <n v="1706.0992578000003"/>
    <n v="0"/>
    <n v="3891.230845705079"/>
    <n v="2344.8017697468717"/>
  </r>
  <r>
    <s v="Refaturamento - Regular"/>
    <x v="3"/>
    <x v="5"/>
    <x v="2"/>
    <x v="1"/>
    <x v="3"/>
    <x v="0"/>
    <x v="1"/>
    <x v="3"/>
    <n v="0"/>
    <n v="0"/>
    <n v="-2.5870000000000002"/>
    <n v="-0.69849000000000006"/>
    <n v="-2.5870000000000002"/>
    <n v="-0.69849000000000006"/>
    <n v="0"/>
    <x v="0"/>
    <n v="0"/>
    <n v="0"/>
    <n v="24"/>
    <n v="78"/>
    <n v="0"/>
    <n v="348.11"/>
    <n v="202.86"/>
    <m/>
    <n v="462.67829128395761"/>
    <n v="278.80352496267898"/>
    <n v="0"/>
    <n v="-243.15135390000003"/>
    <n v="-141.69568140000001"/>
    <n v="0"/>
    <n v="-323.17615967893158"/>
    <n v="-194.74147415118165"/>
  </r>
  <r>
    <s v="Regular"/>
    <x v="3"/>
    <x v="5"/>
    <x v="2"/>
    <x v="1"/>
    <x v="3"/>
    <x v="0"/>
    <x v="1"/>
    <x v="4"/>
    <n v="0"/>
    <n v="0"/>
    <n v="65.122"/>
    <n v="17.582940000000001"/>
    <n v="65.122"/>
    <n v="17.582940000000001"/>
    <n v="0"/>
    <x v="0"/>
    <n v="0"/>
    <n v="0"/>
    <n v="24"/>
    <n v="78"/>
    <n v="0"/>
    <n v="348.11"/>
    <n v="202.86"/>
    <m/>
    <n v="462.67829128395761"/>
    <n v="278.80352496267898"/>
    <n v="0"/>
    <n v="6120.7972434000003"/>
    <n v="3566.8752084000002"/>
    <n v="0"/>
    <n v="8135.2446349483498"/>
    <n v="4902.1856512072873"/>
  </r>
  <r>
    <s v="Refaturamento - Regular"/>
    <x v="3"/>
    <x v="5"/>
    <x v="2"/>
    <x v="1"/>
    <x v="3"/>
    <x v="0"/>
    <x v="1"/>
    <x v="4"/>
    <n v="0"/>
    <n v="0"/>
    <n v="-7.5190000000000001"/>
    <n v="-2.0301300000000002"/>
    <n v="-7.5190000000000001"/>
    <n v="-2.0301300000000002"/>
    <n v="0"/>
    <x v="0"/>
    <n v="0"/>
    <n v="0"/>
    <n v="24"/>
    <n v="78"/>
    <n v="0"/>
    <n v="348.11"/>
    <n v="202.86"/>
    <m/>
    <n v="462.67829128395761"/>
    <n v="278.80352496267898"/>
    <n v="0"/>
    <n v="-706.70855430000006"/>
    <n v="-411.83217180000008"/>
    <n v="0"/>
    <n v="-939.29707948430098"/>
    <n v="-566.00740013248355"/>
  </r>
  <r>
    <s v="Regular"/>
    <x v="3"/>
    <x v="5"/>
    <x v="2"/>
    <x v="1"/>
    <x v="3"/>
    <x v="0"/>
    <x v="1"/>
    <x v="5"/>
    <n v="0"/>
    <n v="0"/>
    <n v="79.238"/>
    <n v="21.394259999999999"/>
    <n v="79.238"/>
    <n v="21.394259999999999"/>
    <n v="0"/>
    <x v="0"/>
    <n v="0"/>
    <n v="0"/>
    <n v="24"/>
    <n v="78"/>
    <n v="0"/>
    <n v="348.11"/>
    <n v="202.86"/>
    <m/>
    <n v="462.67829128395761"/>
    <n v="278.80352496267898"/>
    <n v="0"/>
    <n v="7447.5558486"/>
    <n v="4340.0395835999998"/>
    <n v="0"/>
    <n v="9898.6596600847224"/>
    <n v="5964.795101968044"/>
  </r>
  <r>
    <s v="Refaturamento - Regular"/>
    <x v="3"/>
    <x v="5"/>
    <x v="2"/>
    <x v="1"/>
    <x v="3"/>
    <x v="0"/>
    <x v="1"/>
    <x v="5"/>
    <n v="0"/>
    <n v="0"/>
    <n v="-0.97299999999999998"/>
    <n v="-0.26271"/>
    <n v="-0.97299999999999998"/>
    <n v="-0.26271"/>
    <n v="0"/>
    <x v="0"/>
    <n v="0"/>
    <n v="0"/>
    <n v="24"/>
    <n v="78"/>
    <n v="0"/>
    <n v="348.11"/>
    <n v="202.86"/>
    <m/>
    <n v="462.67829128395761"/>
    <n v="278.80352496267898"/>
    <n v="0"/>
    <n v="-91.451978100000005"/>
    <n v="-53.293350600000004"/>
    <n v="0"/>
    <n v="-121.5502139032085"/>
    <n v="-73.244474042945399"/>
  </r>
  <r>
    <s v="Regular"/>
    <x v="3"/>
    <x v="5"/>
    <x v="2"/>
    <x v="1"/>
    <x v="3"/>
    <x v="0"/>
    <x v="1"/>
    <x v="6"/>
    <n v="0"/>
    <n v="0"/>
    <n v="123.11499999999999"/>
    <n v="33.241050000000001"/>
    <n v="123.11499999999999"/>
    <n v="33.241050000000001"/>
    <n v="0"/>
    <x v="0"/>
    <n v="0"/>
    <n v="0"/>
    <n v="24"/>
    <n v="78"/>
    <n v="0"/>
    <n v="348.11"/>
    <n v="202.86"/>
    <m/>
    <n v="462.67829128395761"/>
    <n v="278.80352496267898"/>
    <n v="0"/>
    <n v="11571.541915500002"/>
    <n v="6743.2794030000005"/>
    <n v="0"/>
    <n v="15379.912214484599"/>
    <n v="9267.7219134606603"/>
  </r>
  <r>
    <s v="Refaturamento - Regular"/>
    <x v="3"/>
    <x v="5"/>
    <x v="2"/>
    <x v="1"/>
    <x v="3"/>
    <x v="0"/>
    <x v="1"/>
    <x v="6"/>
    <n v="0"/>
    <n v="0"/>
    <n v="-0.2"/>
    <n v="-5.3999999999999999E-2"/>
    <n v="-0.2"/>
    <n v="-5.3999999999999999E-2"/>
    <n v="0"/>
    <x v="0"/>
    <n v="0"/>
    <n v="0"/>
    <n v="24"/>
    <n v="78"/>
    <n v="0"/>
    <n v="348.11"/>
    <n v="202.86"/>
    <m/>
    <n v="462.67829128395761"/>
    <n v="278.80352496267898"/>
    <n v="0"/>
    <n v="-18.797940000000001"/>
    <n v="-10.95444"/>
    <n v="0"/>
    <n v="-24.98462772933371"/>
    <n v="-15.055390347984664"/>
  </r>
  <r>
    <s v="Regular"/>
    <x v="3"/>
    <x v="5"/>
    <x v="2"/>
    <x v="1"/>
    <x v="3"/>
    <x v="0"/>
    <x v="1"/>
    <x v="7"/>
    <n v="0"/>
    <n v="0"/>
    <n v="125.746"/>
    <n v="33.951419999999999"/>
    <n v="125.746"/>
    <n v="33.951419999999999"/>
    <n v="0"/>
    <x v="0"/>
    <n v="0"/>
    <n v="0"/>
    <n v="24"/>
    <n v="78"/>
    <n v="0"/>
    <n v="348.11"/>
    <n v="202.86"/>
    <m/>
    <n v="462.67829128395761"/>
    <n v="278.80352496267898"/>
    <n v="0"/>
    <n v="11818.828816200001"/>
    <n v="6887.3850612000006"/>
    <n v="0"/>
    <n v="15708.584992263983"/>
    <n v="9465.7755734883976"/>
  </r>
  <r>
    <s v="Regular"/>
    <x v="3"/>
    <x v="5"/>
    <x v="2"/>
    <x v="1"/>
    <x v="3"/>
    <x v="0"/>
    <x v="1"/>
    <x v="8"/>
    <n v="0"/>
    <n v="0"/>
    <n v="89.790999999999997"/>
    <n v="24.243569999999998"/>
    <n v="89.790999999999997"/>
    <n v="24.243569999999998"/>
    <n v="0"/>
    <x v="0"/>
    <n v="0"/>
    <n v="0"/>
    <n v="24"/>
    <n v="78"/>
    <n v="0"/>
    <n v="348.11"/>
    <n v="202.86"/>
    <m/>
    <n v="462.67829128395761"/>
    <n v="278.80352496267898"/>
    <n v="0"/>
    <n v="8439.4291527000005"/>
    <n v="4918.0506101999999"/>
    <n v="0"/>
    <n v="11216.973542223015"/>
    <n v="6759.1927736794551"/>
  </r>
  <r>
    <s v="Regular"/>
    <x v="3"/>
    <x v="5"/>
    <x v="2"/>
    <x v="1"/>
    <x v="3"/>
    <x v="0"/>
    <x v="1"/>
    <x v="9"/>
    <n v="0"/>
    <n v="0"/>
    <n v="103.61199999999999"/>
    <n v="27.975239999999999"/>
    <n v="103.61199999999999"/>
    <n v="27.975239999999999"/>
    <n v="0"/>
    <x v="0"/>
    <n v="0"/>
    <n v="0"/>
    <n v="24"/>
    <n v="78"/>
    <n v="0"/>
    <n v="348.11"/>
    <n v="202.86"/>
    <m/>
    <n v="462.67829128395761"/>
    <n v="278.80352496267898"/>
    <n v="0"/>
    <n v="9738.4607964000006"/>
    <n v="5675.0571864000003"/>
    <n v="0"/>
    <n v="12943.536241458622"/>
    <n v="7799.595523676935"/>
  </r>
  <r>
    <s v="Refaturamento - Regular"/>
    <x v="3"/>
    <x v="5"/>
    <x v="2"/>
    <x v="1"/>
    <x v="3"/>
    <x v="0"/>
    <x v="1"/>
    <x v="9"/>
    <n v="0"/>
    <n v="0"/>
    <n v="0.1"/>
    <n v="2.7E-2"/>
    <n v="0.1"/>
    <n v="2.7E-2"/>
    <n v="0"/>
    <x v="0"/>
    <n v="0"/>
    <n v="0"/>
    <n v="24"/>
    <n v="78"/>
    <n v="0"/>
    <n v="348.11"/>
    <n v="202.86"/>
    <m/>
    <n v="462.67829128395761"/>
    <n v="278.80352496267898"/>
    <n v="0"/>
    <n v="9.3989700000000003"/>
    <n v="5.47722"/>
    <n v="0"/>
    <n v="12.492313864666855"/>
    <n v="7.5276951739923321"/>
  </r>
  <r>
    <s v="Regular"/>
    <x v="3"/>
    <x v="5"/>
    <x v="2"/>
    <x v="1"/>
    <x v="3"/>
    <x v="0"/>
    <x v="1"/>
    <x v="10"/>
    <n v="0"/>
    <n v="0"/>
    <n v="85.393000000000001"/>
    <n v="23.05611"/>
    <n v="85.393000000000001"/>
    <n v="23.05611"/>
    <n v="0"/>
    <x v="0"/>
    <n v="0"/>
    <n v="0"/>
    <n v="24"/>
    <n v="78"/>
    <n v="0"/>
    <n v="348.11"/>
    <n v="202.86"/>
    <m/>
    <n v="462.67829128395761"/>
    <n v="278.80352496267898"/>
    <n v="0"/>
    <n v="8026.0624521000009"/>
    <n v="4677.1624746000007"/>
    <n v="0"/>
    <n v="10667.561578454968"/>
    <n v="6428.1247399272725"/>
  </r>
  <r>
    <s v="PROJETADO"/>
    <x v="3"/>
    <x v="5"/>
    <x v="2"/>
    <x v="1"/>
    <x v="3"/>
    <x v="0"/>
    <x v="1"/>
    <x v="11"/>
    <n v="0"/>
    <n v="0"/>
    <n v="85.393000000000001"/>
    <n v="23.05611"/>
    <n v="85.393000000000001"/>
    <n v="23.05611"/>
    <n v="0"/>
    <x v="0"/>
    <n v="0"/>
    <n v="0"/>
    <n v="24"/>
    <n v="78"/>
    <n v="0"/>
    <n v="348.11"/>
    <n v="202.86"/>
    <m/>
    <n v="462.67829128395761"/>
    <n v="278.80352496267898"/>
    <n v="0"/>
    <n v="8026.0624521000009"/>
    <n v="4677.1624746000007"/>
    <n v="0"/>
    <n v="10667.561578454968"/>
    <n v="6428.1247399272725"/>
  </r>
  <r>
    <s v="Regular"/>
    <x v="3"/>
    <x v="5"/>
    <x v="2"/>
    <x v="0"/>
    <x v="0"/>
    <x v="0"/>
    <x v="1"/>
    <x v="0"/>
    <n v="0"/>
    <n v="0"/>
    <n v="5510.0290000000005"/>
    <n v="5510.0290000000005"/>
    <n v="5510.0290000000005"/>
    <n v="5510.0290000000005"/>
    <n v="33405"/>
    <x v="0"/>
    <n v="0"/>
    <n v="0"/>
    <n v="37"/>
    <n v="78"/>
    <n v="0"/>
    <n v="348.11"/>
    <n v="202.86"/>
    <m/>
    <n v="462.67829128395761"/>
    <n v="278.80352496267898"/>
    <n v="0"/>
    <n v="1918096.1951900003"/>
    <n v="1117764.4829400002"/>
    <n v="0"/>
    <n v="2549370.8026450537"/>
    <n v="1536215.5078465852"/>
  </r>
  <r>
    <s v="Refaturamento - Regular"/>
    <x v="3"/>
    <x v="5"/>
    <x v="2"/>
    <x v="0"/>
    <x v="0"/>
    <x v="0"/>
    <x v="1"/>
    <x v="0"/>
    <n v="0"/>
    <n v="0"/>
    <n v="147.43600000000001"/>
    <n v="147.43600000000001"/>
    <n v="147.43600000000001"/>
    <n v="147.43600000000001"/>
    <n v="-141"/>
    <x v="0"/>
    <n v="0"/>
    <n v="0"/>
    <n v="37"/>
    <n v="78"/>
    <n v="0"/>
    <n v="348.11"/>
    <n v="202.86"/>
    <m/>
    <n v="462.67829128395761"/>
    <n v="278.80352496267898"/>
    <n v="0"/>
    <n v="51323.945960000005"/>
    <n v="29908.866960000003"/>
    <n v="0"/>
    <n v="68215.436553741572"/>
    <n v="41105.67650639754"/>
  </r>
  <r>
    <s v="Sistema de Compensação"/>
    <x v="3"/>
    <x v="5"/>
    <x v="2"/>
    <x v="0"/>
    <x v="0"/>
    <x v="0"/>
    <x v="1"/>
    <x v="0"/>
    <n v="0"/>
    <n v="0"/>
    <n v="65.212999999999994"/>
    <n v="65.212999999999994"/>
    <n v="65.212999999999994"/>
    <n v="65.212999999999994"/>
    <n v="145"/>
    <x v="0"/>
    <n v="0"/>
    <n v="0"/>
    <n v="37"/>
    <n v="78"/>
    <n v="0"/>
    <n v="348.11"/>
    <n v="202.86"/>
    <m/>
    <n v="462.67829128395761"/>
    <n v="278.80352496267898"/>
    <n v="0"/>
    <n v="22701.297429999999"/>
    <n v="13229.109179999999"/>
    <n v="0"/>
    <n v="30172.639409500724"/>
    <n v="18181.614273391184"/>
  </r>
  <r>
    <s v="Regular"/>
    <x v="3"/>
    <x v="5"/>
    <x v="2"/>
    <x v="0"/>
    <x v="0"/>
    <x v="0"/>
    <x v="1"/>
    <x v="1"/>
    <n v="0"/>
    <n v="0"/>
    <n v="4772.8140000000003"/>
    <n v="4772.8140000000003"/>
    <n v="4772.8140000000003"/>
    <n v="4772.8140000000003"/>
    <n v="34326"/>
    <x v="0"/>
    <n v="0"/>
    <n v="0"/>
    <n v="37"/>
    <n v="78"/>
    <n v="0"/>
    <n v="348.11"/>
    <n v="202.86"/>
    <m/>
    <n v="462.67829128395761"/>
    <n v="278.80352496267898"/>
    <n v="0"/>
    <n v="1661464.2815400001"/>
    <n v="968213.04804000014"/>
    <n v="0"/>
    <n v="2208277.426136151"/>
    <n v="1330677.3671912239"/>
  </r>
  <r>
    <s v="Refaturamento - Regular"/>
    <x v="3"/>
    <x v="5"/>
    <x v="2"/>
    <x v="0"/>
    <x v="0"/>
    <x v="0"/>
    <x v="1"/>
    <x v="1"/>
    <n v="0"/>
    <n v="0"/>
    <n v="-671.23400000000004"/>
    <n v="-671.23400000000004"/>
    <n v="-671.23400000000004"/>
    <n v="-671.23400000000004"/>
    <n v="-265"/>
    <x v="0"/>
    <n v="0"/>
    <n v="0"/>
    <n v="37"/>
    <n v="78"/>
    <n v="0"/>
    <n v="348.11"/>
    <n v="202.86"/>
    <m/>
    <n v="462.67829128395761"/>
    <n v="278.80352496267898"/>
    <n v="0"/>
    <n v="-233663.26774000001"/>
    <n v="-136166.52924"/>
    <n v="0"/>
    <n v="-310565.40017169603"/>
    <n v="-187142.40527479886"/>
  </r>
  <r>
    <s v="Sistema de Compensação"/>
    <x v="3"/>
    <x v="5"/>
    <x v="2"/>
    <x v="0"/>
    <x v="0"/>
    <x v="0"/>
    <x v="1"/>
    <x v="1"/>
    <n v="0"/>
    <n v="0"/>
    <n v="66.16"/>
    <n v="66.16"/>
    <n v="66.16"/>
    <n v="66.16"/>
    <n v="153"/>
    <x v="0"/>
    <n v="0"/>
    <n v="0"/>
    <n v="37"/>
    <n v="78"/>
    <n v="0"/>
    <n v="348.11"/>
    <n v="202.86"/>
    <m/>
    <n v="462.67829128395761"/>
    <n v="278.80352496267898"/>
    <n v="0"/>
    <n v="23030.957599999998"/>
    <n v="13421.2176"/>
    <n v="0"/>
    <n v="30610.795751346635"/>
    <n v="18445.641211530841"/>
  </r>
  <r>
    <s v="Regular"/>
    <x v="3"/>
    <x v="5"/>
    <x v="2"/>
    <x v="0"/>
    <x v="0"/>
    <x v="0"/>
    <x v="1"/>
    <x v="2"/>
    <n v="0"/>
    <n v="0"/>
    <n v="4605.8450000000003"/>
    <n v="4605.8450000000003"/>
    <n v="4605.8450000000003"/>
    <n v="4605.8450000000003"/>
    <n v="34905"/>
    <x v="0"/>
    <n v="0"/>
    <n v="0"/>
    <n v="37"/>
    <n v="78"/>
    <n v="0"/>
    <n v="348.11"/>
    <n v="202.86"/>
    <m/>
    <n v="462.67829128395761"/>
    <n v="278.80352496267898"/>
    <n v="0"/>
    <n v="1603340.7029500001"/>
    <n v="934341.71670000011"/>
    <n v="0"/>
    <n v="2131024.4945187597"/>
    <n v="1284125.8214317302"/>
  </r>
  <r>
    <s v="Refaturamento - Regular"/>
    <x v="3"/>
    <x v="5"/>
    <x v="2"/>
    <x v="0"/>
    <x v="0"/>
    <x v="0"/>
    <x v="1"/>
    <x v="2"/>
    <n v="0"/>
    <n v="0"/>
    <n v="-78.144000000000005"/>
    <n v="-78.144000000000005"/>
    <n v="-78.144000000000005"/>
    <n v="-78.144000000000005"/>
    <n v="-106"/>
    <x v="0"/>
    <n v="0"/>
    <n v="0"/>
    <n v="37"/>
    <n v="78"/>
    <n v="0"/>
    <n v="348.11"/>
    <n v="202.86"/>
    <m/>
    <n v="462.67829128395761"/>
    <n v="278.80352496267898"/>
    <n v="0"/>
    <n v="-27202.707840000003"/>
    <n v="-15852.291840000002"/>
    <n v="0"/>
    <n v="-36155.532394093585"/>
    <n v="-21786.822654683587"/>
  </r>
  <r>
    <s v="Sistema de Compensação"/>
    <x v="3"/>
    <x v="5"/>
    <x v="2"/>
    <x v="0"/>
    <x v="0"/>
    <x v="0"/>
    <x v="1"/>
    <x v="2"/>
    <n v="0"/>
    <n v="0"/>
    <n v="59.048999999999999"/>
    <n v="59.048999999999999"/>
    <n v="59.048999999999999"/>
    <n v="59.048999999999999"/>
    <n v="163"/>
    <x v="0"/>
    <n v="0"/>
    <n v="0"/>
    <n v="37"/>
    <n v="78"/>
    <n v="0"/>
    <n v="348.11"/>
    <n v="202.86"/>
    <m/>
    <n v="462.67829128395761"/>
    <n v="278.80352496267898"/>
    <n v="0"/>
    <n v="20555.54739"/>
    <n v="11978.68014"/>
    <n v="0"/>
    <n v="27320.690422026411"/>
    <n v="16463.069345521231"/>
  </r>
  <r>
    <s v="Sistema de Compensação"/>
    <x v="3"/>
    <x v="5"/>
    <x v="2"/>
    <x v="0"/>
    <x v="0"/>
    <x v="0"/>
    <x v="1"/>
    <x v="2"/>
    <n v="0"/>
    <n v="0"/>
    <n v="1.486"/>
    <n v="1.486"/>
    <n v="1.486"/>
    <n v="1.486"/>
    <n v="4"/>
    <x v="0"/>
    <n v="0"/>
    <n v="0"/>
    <n v="37"/>
    <n v="78"/>
    <n v="0"/>
    <n v="348.11"/>
    <n v="202.86"/>
    <m/>
    <n v="462.67829128395761"/>
    <n v="278.80352496267898"/>
    <n v="0"/>
    <n v="517.29146000000003"/>
    <n v="301.44996000000003"/>
    <n v="0"/>
    <n v="687.53994084796102"/>
    <n v="414.30203809454093"/>
  </r>
  <r>
    <s v="Regular"/>
    <x v="3"/>
    <x v="5"/>
    <x v="2"/>
    <x v="0"/>
    <x v="0"/>
    <x v="0"/>
    <x v="1"/>
    <x v="3"/>
    <n v="0"/>
    <n v="0"/>
    <n v="4522.3689999999997"/>
    <n v="4522.3689999999997"/>
    <n v="4522.3689999999997"/>
    <n v="4522.3689999999997"/>
    <n v="35161"/>
    <x v="0"/>
    <n v="0"/>
    <n v="0"/>
    <n v="37"/>
    <n v="78"/>
    <n v="0"/>
    <n v="348.11"/>
    <n v="202.86"/>
    <m/>
    <n v="462.67829128395761"/>
    <n v="278.80352496267898"/>
    <n v="0"/>
    <n v="1574281.87259"/>
    <n v="917407.77534000005"/>
    <n v="0"/>
    <n v="2092401.96147554"/>
    <n v="1260852.4183819455"/>
  </r>
  <r>
    <s v="Refaturamento - Regular"/>
    <x v="3"/>
    <x v="5"/>
    <x v="2"/>
    <x v="0"/>
    <x v="0"/>
    <x v="0"/>
    <x v="1"/>
    <x v="3"/>
    <n v="0"/>
    <n v="0"/>
    <n v="-36.036000000000001"/>
    <n v="-36.036000000000001"/>
    <n v="-36.036000000000001"/>
    <n v="-36.036000000000001"/>
    <n v="-171"/>
    <x v="0"/>
    <n v="0"/>
    <n v="0"/>
    <n v="37"/>
    <n v="78"/>
    <n v="0"/>
    <n v="348.11"/>
    <n v="202.86"/>
    <m/>
    <n v="462.67829128395761"/>
    <n v="278.80352496267898"/>
    <n v="0"/>
    <n v="-12544.491960000001"/>
    <n v="-7310.2629600000009"/>
    <n v="0"/>
    <n v="-16673.074904708697"/>
    <n v="-10046.9638255551"/>
  </r>
  <r>
    <s v="Sistema de Compensação"/>
    <x v="3"/>
    <x v="5"/>
    <x v="2"/>
    <x v="0"/>
    <x v="0"/>
    <x v="0"/>
    <x v="1"/>
    <x v="3"/>
    <n v="0"/>
    <n v="0"/>
    <n v="56.956000000000003"/>
    <n v="56.956000000000003"/>
    <n v="56.956000000000003"/>
    <n v="56.956000000000003"/>
    <n v="176"/>
    <x v="0"/>
    <n v="0"/>
    <n v="0"/>
    <n v="37"/>
    <n v="78"/>
    <n v="0"/>
    <n v="348.11"/>
    <n v="202.86"/>
    <m/>
    <n v="462.67829128395761"/>
    <n v="278.80352496267898"/>
    <n v="0"/>
    <n v="19826.953160000001"/>
    <n v="11554.094160000001"/>
    <n v="0"/>
    <n v="26352.30475836909"/>
    <n v="15879.533567774344"/>
  </r>
  <r>
    <s v="Regular"/>
    <x v="3"/>
    <x v="5"/>
    <x v="2"/>
    <x v="0"/>
    <x v="0"/>
    <x v="0"/>
    <x v="1"/>
    <x v="4"/>
    <n v="0"/>
    <n v="0"/>
    <n v="4763.1229999999996"/>
    <n v="4763.1229999999996"/>
    <n v="4763.1229999999996"/>
    <n v="4763.1229999999996"/>
    <n v="34970"/>
    <x v="0"/>
    <n v="0"/>
    <n v="0"/>
    <n v="37"/>
    <n v="78"/>
    <n v="0"/>
    <n v="348.11"/>
    <n v="202.86"/>
    <m/>
    <n v="462.67829128395761"/>
    <n v="278.80352496267898"/>
    <n v="0"/>
    <n v="1658090.7475299998"/>
    <n v="966247.13177999994"/>
    <n v="0"/>
    <n v="2203793.6108153178"/>
    <n v="1327975.4822308102"/>
  </r>
  <r>
    <s v="Refaturamento - Regular"/>
    <x v="3"/>
    <x v="5"/>
    <x v="2"/>
    <x v="0"/>
    <x v="0"/>
    <x v="0"/>
    <x v="1"/>
    <x v="4"/>
    <n v="0"/>
    <n v="0"/>
    <n v="-9.7279999999999998"/>
    <n v="-9.7279999999999998"/>
    <n v="-9.7279999999999998"/>
    <n v="-9.7279999999999998"/>
    <n v="-113"/>
    <x v="0"/>
    <n v="0"/>
    <n v="0"/>
    <n v="37"/>
    <n v="78"/>
    <n v="0"/>
    <n v="348.11"/>
    <n v="202.86"/>
    <m/>
    <n v="462.67829128395761"/>
    <n v="278.80352496267898"/>
    <n v="0"/>
    <n v="-3386.41408"/>
    <n v="-1973.4220800000001"/>
    <n v="0"/>
    <n v="-4500.9344176103396"/>
    <n v="-2712.2006908369412"/>
  </r>
  <r>
    <s v="Sistema de Compensação"/>
    <x v="3"/>
    <x v="5"/>
    <x v="2"/>
    <x v="0"/>
    <x v="0"/>
    <x v="0"/>
    <x v="1"/>
    <x v="4"/>
    <n v="0"/>
    <n v="0"/>
    <n v="98.608000000000004"/>
    <n v="98.608000000000004"/>
    <n v="98.608000000000004"/>
    <n v="98.608000000000004"/>
    <n v="189"/>
    <x v="0"/>
    <n v="0"/>
    <n v="0"/>
    <n v="37"/>
    <n v="78"/>
    <n v="0"/>
    <n v="348.11"/>
    <n v="202.86"/>
    <m/>
    <n v="462.67829128395761"/>
    <n v="278.80352496267898"/>
    <n v="0"/>
    <n v="34326.43088"/>
    <n v="20003.618880000002"/>
    <n v="0"/>
    <n v="45623.780946928491"/>
    <n v="27492.257989519851"/>
  </r>
  <r>
    <s v="Sistema de Compensação"/>
    <x v="3"/>
    <x v="5"/>
    <x v="2"/>
    <x v="0"/>
    <x v="0"/>
    <x v="0"/>
    <x v="1"/>
    <x v="4"/>
    <n v="0"/>
    <n v="0"/>
    <n v="1.9890000000000001"/>
    <n v="1.9890000000000001"/>
    <n v="1.9890000000000001"/>
    <n v="1.9890000000000001"/>
    <n v="0"/>
    <x v="0"/>
    <n v="0"/>
    <n v="0"/>
    <n v="37"/>
    <n v="78"/>
    <n v="0"/>
    <n v="348.11"/>
    <n v="202.86"/>
    <m/>
    <n v="462.67829128395761"/>
    <n v="278.80352496267898"/>
    <n v="0"/>
    <n v="692.39079000000004"/>
    <n v="403.48854000000006"/>
    <n v="0"/>
    <n v="920.26712136379172"/>
    <n v="554.54021115076853"/>
  </r>
  <r>
    <s v="Regular"/>
    <x v="3"/>
    <x v="5"/>
    <x v="2"/>
    <x v="0"/>
    <x v="0"/>
    <x v="0"/>
    <x v="1"/>
    <x v="5"/>
    <n v="0"/>
    <n v="0"/>
    <n v="5162.3419999999996"/>
    <n v="5162.3419999999996"/>
    <n v="5162.3419999999996"/>
    <n v="5162.3419999999996"/>
    <n v="35908"/>
    <x v="0"/>
    <n v="0"/>
    <n v="0"/>
    <n v="37"/>
    <n v="78"/>
    <n v="0"/>
    <n v="348.11"/>
    <n v="202.86"/>
    <m/>
    <n v="462.67829128395761"/>
    <n v="278.80352496267898"/>
    <n v="0"/>
    <n v="1797062.87362"/>
    <n v="1047232.69812"/>
    <n v="0"/>
    <n v="2388503.5755834081"/>
    <n v="1439279.146662886"/>
  </r>
  <r>
    <s v="Refaturamento - Regular"/>
    <x v="3"/>
    <x v="5"/>
    <x v="2"/>
    <x v="0"/>
    <x v="0"/>
    <x v="0"/>
    <x v="1"/>
    <x v="5"/>
    <n v="0"/>
    <n v="0"/>
    <n v="-13.669"/>
    <n v="-13.669"/>
    <n v="-13.669"/>
    <n v="-13.669"/>
    <n v="-133"/>
    <x v="0"/>
    <n v="0"/>
    <n v="0"/>
    <n v="37"/>
    <n v="78"/>
    <n v="0"/>
    <n v="348.11"/>
    <n v="202.86"/>
    <m/>
    <n v="462.67829128395761"/>
    <n v="278.80352496267898"/>
    <n v="0"/>
    <n v="-4758.3155900000002"/>
    <n v="-2772.8933400000001"/>
    <n v="0"/>
    <n v="-6324.3495635604168"/>
    <n v="-3810.9653827148591"/>
  </r>
  <r>
    <s v="Sistema de Compensação"/>
    <x v="3"/>
    <x v="5"/>
    <x v="2"/>
    <x v="0"/>
    <x v="0"/>
    <x v="0"/>
    <x v="1"/>
    <x v="5"/>
    <n v="0"/>
    <n v="0"/>
    <n v="118"/>
    <n v="118"/>
    <n v="118"/>
    <n v="118"/>
    <n v="206"/>
    <x v="0"/>
    <n v="0"/>
    <n v="0"/>
    <n v="37"/>
    <n v="78"/>
    <n v="0"/>
    <n v="348.11"/>
    <n v="202.86"/>
    <m/>
    <n v="462.67829128395761"/>
    <n v="278.80352496267898"/>
    <n v="0"/>
    <n v="41076.980000000003"/>
    <n v="23937.480000000003"/>
    <n v="0"/>
    <n v="54596.038371506998"/>
    <n v="32898.815945596121"/>
  </r>
  <r>
    <s v="Sistema de Compensação"/>
    <x v="3"/>
    <x v="5"/>
    <x v="2"/>
    <x v="0"/>
    <x v="0"/>
    <x v="0"/>
    <x v="1"/>
    <x v="5"/>
    <n v="0"/>
    <n v="0"/>
    <n v="-1.65"/>
    <n v="-1.65"/>
    <n v="-1.65"/>
    <n v="-1.65"/>
    <n v="-9"/>
    <x v="0"/>
    <n v="0"/>
    <n v="0"/>
    <n v="37"/>
    <n v="78"/>
    <n v="0"/>
    <n v="348.11"/>
    <n v="202.86"/>
    <m/>
    <n v="462.67829128395761"/>
    <n v="278.80352496267898"/>
    <n v="0"/>
    <n v="-574.38149999999996"/>
    <n v="-334.71899999999999"/>
    <n v="0"/>
    <n v="-763.41918061853005"/>
    <n v="-460.02581618842027"/>
  </r>
  <r>
    <s v="Regular"/>
    <x v="3"/>
    <x v="5"/>
    <x v="2"/>
    <x v="0"/>
    <x v="0"/>
    <x v="0"/>
    <x v="1"/>
    <x v="6"/>
    <n v="0"/>
    <n v="0"/>
    <n v="5692.7060000000001"/>
    <n v="5692.7060000000001"/>
    <n v="5692.7060000000001"/>
    <n v="5692.7060000000001"/>
    <n v="36116"/>
    <x v="0"/>
    <n v="0"/>
    <n v="0"/>
    <n v="37"/>
    <n v="78"/>
    <n v="0"/>
    <n v="348.11"/>
    <n v="202.86"/>
    <m/>
    <n v="462.67829128395761"/>
    <n v="278.80352496267898"/>
    <n v="0"/>
    <n v="1981687.8856600001"/>
    <n v="1154822.3391600002"/>
    <n v="0"/>
    <n v="2633891.4848619332"/>
    <n v="1587146.4993761925"/>
  </r>
  <r>
    <s v="Refaturamento - Regular"/>
    <x v="3"/>
    <x v="5"/>
    <x v="2"/>
    <x v="0"/>
    <x v="0"/>
    <x v="0"/>
    <x v="1"/>
    <x v="6"/>
    <n v="0"/>
    <n v="0"/>
    <n v="-17.8"/>
    <n v="-17.8"/>
    <n v="-17.8"/>
    <n v="-17.8"/>
    <n v="-176"/>
    <x v="0"/>
    <n v="0"/>
    <n v="0"/>
    <n v="37"/>
    <n v="78"/>
    <n v="0"/>
    <n v="348.11"/>
    <n v="202.86"/>
    <m/>
    <n v="462.67829128395761"/>
    <n v="278.80352496267898"/>
    <n v="0"/>
    <n v="-6196.3580000000002"/>
    <n v="-3610.9080000000004"/>
    <n v="0"/>
    <n v="-8235.6735848544449"/>
    <n v="-4962.7027443356856"/>
  </r>
  <r>
    <s v="Sistema de Compensação"/>
    <x v="3"/>
    <x v="5"/>
    <x v="2"/>
    <x v="0"/>
    <x v="0"/>
    <x v="0"/>
    <x v="1"/>
    <x v="6"/>
    <n v="0"/>
    <n v="0"/>
    <n v="110.271"/>
    <n v="110.271"/>
    <n v="110.271"/>
    <n v="110.271"/>
    <n v="212"/>
    <x v="0"/>
    <n v="0"/>
    <n v="0"/>
    <n v="37"/>
    <n v="78"/>
    <n v="0"/>
    <n v="348.11"/>
    <n v="202.86"/>
    <m/>
    <n v="462.67829128395761"/>
    <n v="278.80352496267898"/>
    <n v="0"/>
    <n v="38386.437810000003"/>
    <n v="22369.575060000003"/>
    <n v="0"/>
    <n v="51019.997858173287"/>
    <n v="30743.943501159574"/>
  </r>
  <r>
    <s v="Sistema de Compensação"/>
    <x v="3"/>
    <x v="5"/>
    <x v="2"/>
    <x v="0"/>
    <x v="0"/>
    <x v="0"/>
    <x v="1"/>
    <x v="6"/>
    <n v="0"/>
    <n v="0"/>
    <n v="0.49"/>
    <n v="0.49"/>
    <n v="0.49"/>
    <n v="0.49"/>
    <n v="0"/>
    <x v="0"/>
    <n v="0"/>
    <n v="0"/>
    <n v="37"/>
    <n v="78"/>
    <n v="0"/>
    <n v="348.11"/>
    <n v="202.86"/>
    <m/>
    <n v="462.67829128395761"/>
    <n v="278.80352496267898"/>
    <n v="0"/>
    <n v="170.57390000000001"/>
    <n v="99.40140000000001"/>
    <n v="0"/>
    <n v="226.71236272913922"/>
    <n v="136.61372723171269"/>
  </r>
  <r>
    <s v="Regular"/>
    <x v="3"/>
    <x v="5"/>
    <x v="2"/>
    <x v="0"/>
    <x v="0"/>
    <x v="0"/>
    <x v="1"/>
    <x v="7"/>
    <n v="0"/>
    <n v="0"/>
    <n v="5372.299"/>
    <n v="5372.299"/>
    <n v="5372.299"/>
    <n v="5372.299"/>
    <n v="33159"/>
    <x v="0"/>
    <n v="0"/>
    <n v="0"/>
    <n v="37"/>
    <n v="78"/>
    <n v="0"/>
    <n v="348.11"/>
    <n v="202.86"/>
    <m/>
    <n v="462.67829128395761"/>
    <n v="278.80352496267898"/>
    <n v="0"/>
    <n v="1870151.00489"/>
    <n v="1089824.5751400001"/>
    <n v="0"/>
    <n v="2485646.1215865142"/>
    <n v="1497815.8983534754"/>
  </r>
  <r>
    <s v="Refaturamento - Regular"/>
    <x v="3"/>
    <x v="5"/>
    <x v="2"/>
    <x v="0"/>
    <x v="0"/>
    <x v="0"/>
    <x v="1"/>
    <x v="7"/>
    <n v="0"/>
    <n v="0"/>
    <n v="-19.481000000000002"/>
    <n v="-19.481000000000002"/>
    <n v="-19.481000000000002"/>
    <n v="-19.481000000000002"/>
    <n v="-106"/>
    <x v="0"/>
    <n v="0"/>
    <n v="0"/>
    <n v="37"/>
    <n v="78"/>
    <n v="0"/>
    <n v="348.11"/>
    <n v="202.86"/>
    <m/>
    <n v="462.67829128395761"/>
    <n v="278.80352496267898"/>
    <n v="0"/>
    <n v="-6781.5309100000004"/>
    <n v="-3951.9156600000006"/>
    <n v="0"/>
    <n v="-9013.435792502778"/>
    <n v="-5431.3714697979494"/>
  </r>
  <r>
    <s v="Sistema de Compensação"/>
    <x v="3"/>
    <x v="5"/>
    <x v="2"/>
    <x v="0"/>
    <x v="0"/>
    <x v="0"/>
    <x v="1"/>
    <x v="7"/>
    <n v="0"/>
    <n v="0"/>
    <n v="118.617"/>
    <n v="118.617"/>
    <n v="118.617"/>
    <n v="118.617"/>
    <n v="226"/>
    <x v="0"/>
    <n v="0"/>
    <n v="0"/>
    <n v="37"/>
    <n v="78"/>
    <n v="0"/>
    <n v="348.11"/>
    <n v="202.86"/>
    <m/>
    <n v="462.67829128395761"/>
    <n v="278.80352496267898"/>
    <n v="0"/>
    <n v="41291.763870000002"/>
    <n v="24062.644620000003"/>
    <n v="0"/>
    <n v="54881.510877229201"/>
    <n v="33070.837720498093"/>
  </r>
  <r>
    <s v="Regular"/>
    <x v="3"/>
    <x v="5"/>
    <x v="2"/>
    <x v="0"/>
    <x v="0"/>
    <x v="0"/>
    <x v="1"/>
    <x v="8"/>
    <n v="0"/>
    <n v="0"/>
    <n v="4777.3860000000004"/>
    <n v="4777.3860000000004"/>
    <n v="4777.3860000000004"/>
    <n v="4777.3860000000004"/>
    <n v="30763"/>
    <x v="0"/>
    <n v="0"/>
    <n v="0"/>
    <n v="37"/>
    <n v="78"/>
    <n v="0"/>
    <n v="348.11"/>
    <n v="202.86"/>
    <m/>
    <n v="462.67829128395761"/>
    <n v="278.80352496267898"/>
    <n v="0"/>
    <n v="1663055.8404600003"/>
    <n v="969140.52396000014"/>
    <n v="0"/>
    <n v="2210392.7912839013"/>
    <n v="1331952.0569073532"/>
  </r>
  <r>
    <s v="Refaturamento - Regular"/>
    <x v="3"/>
    <x v="5"/>
    <x v="2"/>
    <x v="0"/>
    <x v="0"/>
    <x v="0"/>
    <x v="1"/>
    <x v="8"/>
    <n v="0"/>
    <n v="0"/>
    <n v="-21.193999999999999"/>
    <n v="-21.193999999999999"/>
    <n v="-21.193999999999999"/>
    <n v="-21.193999999999999"/>
    <n v="-179"/>
    <x v="0"/>
    <n v="0"/>
    <n v="0"/>
    <n v="37"/>
    <n v="78"/>
    <n v="0"/>
    <n v="348.11"/>
    <n v="202.86"/>
    <m/>
    <n v="462.67829128395761"/>
    <n v="278.80352496267898"/>
    <n v="0"/>
    <n v="-7377.8433400000004"/>
    <n v="-4299.4148400000004"/>
    <n v="0"/>
    <n v="-9806.0037054721979"/>
    <n v="-5908.9619080590182"/>
  </r>
  <r>
    <s v="Sistema de Compensação"/>
    <x v="3"/>
    <x v="5"/>
    <x v="2"/>
    <x v="0"/>
    <x v="0"/>
    <x v="0"/>
    <x v="1"/>
    <x v="8"/>
    <n v="0"/>
    <n v="0"/>
    <n v="107.86"/>
    <n v="107.86"/>
    <n v="107.86"/>
    <n v="107.86"/>
    <n v="241"/>
    <x v="0"/>
    <n v="0"/>
    <n v="0"/>
    <n v="37"/>
    <n v="78"/>
    <n v="0"/>
    <n v="348.11"/>
    <n v="202.86"/>
    <m/>
    <n v="462.67829128395761"/>
    <n v="278.80352496267898"/>
    <n v="0"/>
    <n v="37547.1446"/>
    <n v="21880.479600000002"/>
    <n v="0"/>
    <n v="49904.480497887664"/>
    <n v="30071.748202474555"/>
  </r>
  <r>
    <s v="Regular"/>
    <x v="3"/>
    <x v="5"/>
    <x v="2"/>
    <x v="0"/>
    <x v="0"/>
    <x v="0"/>
    <x v="1"/>
    <x v="9"/>
    <n v="0"/>
    <n v="0"/>
    <n v="4650.3680000000004"/>
    <n v="4650.3680000000004"/>
    <n v="4650.3680000000004"/>
    <n v="4650.3680000000004"/>
    <n v="30365"/>
    <x v="0"/>
    <n v="0"/>
    <n v="0"/>
    <n v="37"/>
    <n v="78"/>
    <n v="0"/>
    <n v="348.11"/>
    <n v="202.86"/>
    <m/>
    <n v="462.67829128395761"/>
    <n v="278.80352496267898"/>
    <n v="0"/>
    <n v="1618839.6044800002"/>
    <n v="943373.65248000016"/>
    <n v="0"/>
    <n v="2151624.3200815953"/>
    <n v="1296538.9907736436"/>
  </r>
  <r>
    <s v="Refaturamento - Regular"/>
    <x v="3"/>
    <x v="5"/>
    <x v="2"/>
    <x v="0"/>
    <x v="0"/>
    <x v="0"/>
    <x v="1"/>
    <x v="9"/>
    <n v="0"/>
    <n v="0"/>
    <n v="-13.035"/>
    <n v="-13.035"/>
    <n v="-13.035"/>
    <n v="-13.035"/>
    <n v="-129"/>
    <x v="0"/>
    <n v="0"/>
    <n v="0"/>
    <n v="37"/>
    <n v="78"/>
    <n v="0"/>
    <n v="348.11"/>
    <n v="202.86"/>
    <m/>
    <n v="462.67829128395761"/>
    <n v="278.80352496267898"/>
    <n v="0"/>
    <n v="-4537.6138500000006"/>
    <n v="-2644.2801000000004"/>
    <n v="0"/>
    <n v="-6031.0115268863874"/>
    <n v="-3634.2039478885204"/>
  </r>
  <r>
    <s v="Sistema de Compensação"/>
    <x v="3"/>
    <x v="5"/>
    <x v="2"/>
    <x v="0"/>
    <x v="0"/>
    <x v="0"/>
    <x v="1"/>
    <x v="9"/>
    <n v="0"/>
    <n v="0"/>
    <n v="105.203"/>
    <n v="105.203"/>
    <n v="105.203"/>
    <n v="105.203"/>
    <n v="256"/>
    <x v="0"/>
    <n v="0"/>
    <n v="0"/>
    <n v="37"/>
    <n v="78"/>
    <n v="0"/>
    <n v="348.11"/>
    <n v="202.86"/>
    <m/>
    <n v="462.67829128395761"/>
    <n v="278.80352496267898"/>
    <n v="0"/>
    <n v="36622.216330000003"/>
    <n v="21341.480580000003"/>
    <n v="0"/>
    <n v="48675.144277946194"/>
    <n v="29330.967236648718"/>
  </r>
  <r>
    <s v="Regular"/>
    <x v="3"/>
    <x v="5"/>
    <x v="2"/>
    <x v="0"/>
    <x v="0"/>
    <x v="0"/>
    <x v="1"/>
    <x v="10"/>
    <n v="0"/>
    <n v="0"/>
    <n v="4715.38"/>
    <n v="4715.38"/>
    <n v="4715.38"/>
    <n v="4715.38"/>
    <n v="29947"/>
    <x v="0"/>
    <n v="0"/>
    <n v="0"/>
    <n v="37"/>
    <n v="78"/>
    <n v="0"/>
    <n v="348.11"/>
    <n v="202.86"/>
    <m/>
    <n v="462.67829128395761"/>
    <n v="278.80352496267898"/>
    <n v="0"/>
    <n v="1641470.9318000001"/>
    <n v="956561.98680000007"/>
    <n v="0"/>
    <n v="2181703.961154548"/>
    <n v="1314664.5655385172"/>
  </r>
  <r>
    <s v="Refaturamento - Regular"/>
    <x v="3"/>
    <x v="5"/>
    <x v="2"/>
    <x v="0"/>
    <x v="0"/>
    <x v="0"/>
    <x v="1"/>
    <x v="10"/>
    <n v="0"/>
    <n v="0"/>
    <n v="-43.738"/>
    <n v="-43.738"/>
    <n v="-43.738"/>
    <n v="-43.738"/>
    <n v="-8"/>
    <x v="0"/>
    <n v="0"/>
    <n v="0"/>
    <n v="37"/>
    <n v="78"/>
    <n v="0"/>
    <n v="348.11"/>
    <n v="202.86"/>
    <m/>
    <n v="462.67829128395761"/>
    <n v="278.80352496267898"/>
    <n v="0"/>
    <n v="-15225.635180000001"/>
    <n v="-8872.6906799999997"/>
    <n v="0"/>
    <n v="-20236.623104177739"/>
    <n v="-12194.308574817653"/>
  </r>
  <r>
    <s v="Sistema de Compensação"/>
    <x v="3"/>
    <x v="5"/>
    <x v="2"/>
    <x v="0"/>
    <x v="0"/>
    <x v="0"/>
    <x v="1"/>
    <x v="10"/>
    <n v="0"/>
    <n v="0"/>
    <n v="113.006"/>
    <n v="113.006"/>
    <n v="113.006"/>
    <n v="113.006"/>
    <n v="282"/>
    <x v="0"/>
    <n v="0"/>
    <n v="0"/>
    <n v="37"/>
    <n v="78"/>
    <n v="0"/>
    <n v="348.11"/>
    <n v="202.86"/>
    <m/>
    <n v="462.67829128395761"/>
    <n v="278.80352496267898"/>
    <n v="0"/>
    <n v="39338.518660000002"/>
    <n v="22924.39716"/>
    <n v="0"/>
    <n v="52285.422984834913"/>
    <n v="31506.471141932499"/>
  </r>
  <r>
    <s v="Sistema de Compensação"/>
    <x v="3"/>
    <x v="5"/>
    <x v="2"/>
    <x v="0"/>
    <x v="0"/>
    <x v="0"/>
    <x v="1"/>
    <x v="10"/>
    <n v="0"/>
    <n v="0"/>
    <n v="7.0640000000000001"/>
    <n v="7.0640000000000001"/>
    <n v="7.0640000000000001"/>
    <n v="7.0640000000000001"/>
    <n v="2"/>
    <x v="0"/>
    <n v="0"/>
    <n v="0"/>
    <n v="37"/>
    <n v="78"/>
    <n v="0"/>
    <n v="348.11"/>
    <n v="202.86"/>
    <m/>
    <n v="462.67829128395761"/>
    <n v="278.80352496267898"/>
    <n v="0"/>
    <n v="2459.0490400000003"/>
    <n v="1433.0030400000001"/>
    <n v="0"/>
    <n v="3268.3594496298765"/>
    <n v="1969.4681003363644"/>
  </r>
  <r>
    <s v="PROJETADO"/>
    <x v="3"/>
    <x v="5"/>
    <x v="2"/>
    <x v="0"/>
    <x v="0"/>
    <x v="0"/>
    <x v="1"/>
    <x v="11"/>
    <n v="0"/>
    <n v="0"/>
    <n v="4715.38"/>
    <n v="4715.38"/>
    <n v="4715.38"/>
    <n v="4715.38"/>
    <n v="29947"/>
    <x v="0"/>
    <n v="0"/>
    <n v="0"/>
    <n v="37"/>
    <n v="78"/>
    <n v="0"/>
    <n v="348.11"/>
    <n v="202.86"/>
    <m/>
    <n v="462.67829128395761"/>
    <n v="278.80352496267898"/>
    <n v="0"/>
    <n v="1641470.9318000001"/>
    <n v="956561.98680000007"/>
    <n v="0"/>
    <n v="2181703.961154548"/>
    <n v="1314664.5655385172"/>
  </r>
  <r>
    <s v="PROJETADO"/>
    <x v="3"/>
    <x v="5"/>
    <x v="2"/>
    <x v="0"/>
    <x v="0"/>
    <x v="0"/>
    <x v="1"/>
    <x v="11"/>
    <n v="0"/>
    <n v="0"/>
    <n v="-43.738"/>
    <n v="-43.738"/>
    <n v="-43.738"/>
    <n v="-43.738"/>
    <n v="-8"/>
    <x v="0"/>
    <n v="0"/>
    <n v="0"/>
    <n v="37"/>
    <n v="78"/>
    <n v="0"/>
    <n v="348.11"/>
    <n v="202.86"/>
    <m/>
    <n v="462.67829128395761"/>
    <n v="278.80352496267898"/>
    <n v="0"/>
    <n v="-15225.635180000001"/>
    <n v="-8872.6906799999997"/>
    <n v="0"/>
    <n v="-20236.623104177739"/>
    <n v="-12194.308574817653"/>
  </r>
  <r>
    <s v="PROJETADO"/>
    <x v="3"/>
    <x v="5"/>
    <x v="2"/>
    <x v="0"/>
    <x v="0"/>
    <x v="0"/>
    <x v="1"/>
    <x v="11"/>
    <n v="0"/>
    <n v="0"/>
    <n v="113.006"/>
    <n v="113.006"/>
    <n v="113.006"/>
    <n v="113.006"/>
    <n v="282"/>
    <x v="0"/>
    <n v="0"/>
    <n v="0"/>
    <n v="37"/>
    <n v="78"/>
    <n v="0"/>
    <n v="348.11"/>
    <n v="202.86"/>
    <m/>
    <n v="462.67829128395761"/>
    <n v="278.80352496267898"/>
    <n v="0"/>
    <n v="39338.518660000002"/>
    <n v="22924.39716"/>
    <n v="0"/>
    <n v="52285.422984834913"/>
    <n v="31506.471141932499"/>
  </r>
  <r>
    <s v="PROJETADO"/>
    <x v="3"/>
    <x v="5"/>
    <x v="2"/>
    <x v="0"/>
    <x v="0"/>
    <x v="0"/>
    <x v="1"/>
    <x v="11"/>
    <n v="0"/>
    <n v="0"/>
    <n v="7.0640000000000001"/>
    <n v="7.0640000000000001"/>
    <n v="7.0640000000000001"/>
    <n v="7.0640000000000001"/>
    <n v="2"/>
    <x v="0"/>
    <n v="0"/>
    <n v="0"/>
    <n v="37"/>
    <n v="78"/>
    <n v="0"/>
    <n v="348.11"/>
    <n v="202.86"/>
    <m/>
    <n v="462.67829128395761"/>
    <n v="278.80352496267898"/>
    <n v="0"/>
    <n v="2459.0490400000003"/>
    <n v="1433.0030400000001"/>
    <n v="0"/>
    <n v="3268.3594496298765"/>
    <n v="1969.4681003363644"/>
  </r>
  <r>
    <s v="Regular"/>
    <x v="4"/>
    <x v="4"/>
    <x v="0"/>
    <x v="0"/>
    <x v="0"/>
    <x v="0"/>
    <x v="0"/>
    <x v="0"/>
    <n v="0"/>
    <n v="0"/>
    <n v="152.58199999999999"/>
    <n v="152.58199999999999"/>
    <n v="152.58199999999999"/>
    <n v="152.58199999999999"/>
    <n v="0"/>
    <x v="0"/>
    <n v="0"/>
    <n v="0"/>
    <n v="44"/>
    <n v="84"/>
    <n v="0"/>
    <n v="304.7"/>
    <n v="219.97"/>
    <m/>
    <n v="379.45760801787162"/>
    <n v="283.40928728637363"/>
    <n v="0"/>
    <n v="46491.735399999998"/>
    <n v="33563.46254"/>
    <n v="0"/>
    <n v="57898.400746582884"/>
    <n v="43243.155872729461"/>
  </r>
  <r>
    <s v="Refaturamento - Regular"/>
    <x v="4"/>
    <x v="4"/>
    <x v="0"/>
    <x v="0"/>
    <x v="0"/>
    <x v="0"/>
    <x v="0"/>
    <x v="0"/>
    <n v="0"/>
    <n v="0"/>
    <n v="8.5489999999999995"/>
    <n v="8.5489999999999995"/>
    <n v="8.5489999999999995"/>
    <n v="8.5489999999999995"/>
    <n v="0"/>
    <x v="0"/>
    <n v="0"/>
    <n v="0"/>
    <n v="44"/>
    <n v="84"/>
    <n v="0"/>
    <n v="304.7"/>
    <n v="219.97"/>
    <m/>
    <n v="379.45760801787162"/>
    <n v="283.40928728637363"/>
    <n v="0"/>
    <n v="2604.8802999999998"/>
    <n v="1880.5235299999999"/>
    <n v="0"/>
    <n v="3243.9830909447842"/>
    <n v="2422.865997011208"/>
  </r>
  <r>
    <s v="Sistema de Compensação"/>
    <x v="4"/>
    <x v="4"/>
    <x v="0"/>
    <x v="0"/>
    <x v="0"/>
    <x v="0"/>
    <x v="0"/>
    <x v="0"/>
    <n v="0"/>
    <n v="0"/>
    <n v="0.26400000000000001"/>
    <n v="0.26400000000000001"/>
    <n v="0.26400000000000001"/>
    <n v="0.26400000000000001"/>
    <n v="0"/>
    <x v="0"/>
    <n v="0"/>
    <n v="0"/>
    <n v="44"/>
    <n v="84"/>
    <n v="0"/>
    <n v="304.7"/>
    <n v="219.97"/>
    <m/>
    <n v="379.45760801787162"/>
    <n v="283.40928728637363"/>
    <n v="0"/>
    <n v="80.440799999999996"/>
    <n v="58.07208"/>
    <n v="0"/>
    <n v="100.17680851671811"/>
    <n v="74.820051843602641"/>
  </r>
  <r>
    <s v="Regular"/>
    <x v="4"/>
    <x v="4"/>
    <x v="0"/>
    <x v="0"/>
    <x v="0"/>
    <x v="0"/>
    <x v="0"/>
    <x v="1"/>
    <n v="0"/>
    <n v="0"/>
    <n v="147.941"/>
    <n v="147.941"/>
    <n v="147.941"/>
    <n v="147.941"/>
    <n v="0"/>
    <x v="0"/>
    <n v="0"/>
    <n v="0"/>
    <n v="44"/>
    <n v="84"/>
    <n v="0"/>
    <n v="304.7"/>
    <n v="219.97"/>
    <m/>
    <n v="379.45760801787162"/>
    <n v="283.40928728637363"/>
    <n v="0"/>
    <n v="45077.6227"/>
    <n v="32542.581770000001"/>
    <n v="0"/>
    <n v="56137.337987771949"/>
    <n v="41927.853370433404"/>
  </r>
  <r>
    <s v="Refaturamento - Regular"/>
    <x v="4"/>
    <x v="4"/>
    <x v="0"/>
    <x v="0"/>
    <x v="0"/>
    <x v="0"/>
    <x v="0"/>
    <x v="1"/>
    <n v="0"/>
    <n v="0"/>
    <n v="-3.448"/>
    <n v="-3.448"/>
    <n v="-3.448"/>
    <n v="-3.448"/>
    <n v="0"/>
    <x v="0"/>
    <n v="0"/>
    <n v="0"/>
    <n v="44"/>
    <n v="84"/>
    <n v="0"/>
    <n v="304.7"/>
    <n v="219.97"/>
    <m/>
    <n v="379.45760801787162"/>
    <n v="283.40928728637363"/>
    <n v="0"/>
    <n v="-1050.6055999999999"/>
    <n v="-758.45655999999997"/>
    <n v="0"/>
    <n v="-1308.3698324456213"/>
    <n v="-977.19522256341622"/>
  </r>
  <r>
    <s v="Sistema de Compensação"/>
    <x v="4"/>
    <x v="4"/>
    <x v="0"/>
    <x v="0"/>
    <x v="0"/>
    <x v="0"/>
    <x v="0"/>
    <x v="1"/>
    <n v="0"/>
    <n v="0"/>
    <n v="0.245"/>
    <n v="0.245"/>
    <n v="0.245"/>
    <n v="0.245"/>
    <n v="0"/>
    <x v="0"/>
    <n v="0"/>
    <n v="0"/>
    <n v="44"/>
    <n v="84"/>
    <n v="0"/>
    <n v="304.7"/>
    <n v="219.97"/>
    <m/>
    <n v="379.45760801787162"/>
    <n v="283.40928728637363"/>
    <n v="0"/>
    <n v="74.651499999999999"/>
    <n v="53.892649999999996"/>
    <n v="0"/>
    <n v="92.967113964378541"/>
    <n v="69.435275385161532"/>
  </r>
  <r>
    <s v="Regular"/>
    <x v="4"/>
    <x v="4"/>
    <x v="0"/>
    <x v="0"/>
    <x v="0"/>
    <x v="0"/>
    <x v="0"/>
    <x v="2"/>
    <n v="0"/>
    <n v="0"/>
    <n v="128.26400000000001"/>
    <n v="128.26400000000001"/>
    <n v="128.26400000000001"/>
    <n v="128.26400000000001"/>
    <n v="0"/>
    <x v="0"/>
    <n v="0"/>
    <n v="0"/>
    <n v="44"/>
    <n v="84"/>
    <n v="0"/>
    <n v="304.7"/>
    <n v="219.97"/>
    <m/>
    <n v="379.45760801787162"/>
    <n v="283.40928728637363"/>
    <n v="0"/>
    <n v="39082.040800000002"/>
    <n v="28214.232080000002"/>
    <n v="0"/>
    <n v="48670.750634804288"/>
    <n v="36351.20882449943"/>
  </r>
  <r>
    <s v="Refaturamento - Regular"/>
    <x v="4"/>
    <x v="4"/>
    <x v="0"/>
    <x v="0"/>
    <x v="0"/>
    <x v="0"/>
    <x v="0"/>
    <x v="2"/>
    <n v="0"/>
    <n v="0"/>
    <n v="-2.36"/>
    <n v="-2.36"/>
    <n v="-2.36"/>
    <n v="-2.36"/>
    <n v="0"/>
    <x v="0"/>
    <n v="0"/>
    <n v="0"/>
    <n v="44"/>
    <n v="84"/>
    <n v="0"/>
    <n v="304.7"/>
    <n v="219.97"/>
    <m/>
    <n v="379.45760801787162"/>
    <n v="283.40928728637363"/>
    <n v="0"/>
    <n v="-719.09199999999998"/>
    <n v="-519.12919999999997"/>
    <n v="0"/>
    <n v="-895.51995492217702"/>
    <n v="-668.84591799584177"/>
  </r>
  <r>
    <s v="Sistema de Compensação"/>
    <x v="4"/>
    <x v="4"/>
    <x v="0"/>
    <x v="0"/>
    <x v="0"/>
    <x v="0"/>
    <x v="0"/>
    <x v="2"/>
    <n v="0"/>
    <n v="0"/>
    <n v="0.26800000000000002"/>
    <n v="0.26800000000000002"/>
    <n v="0.26800000000000002"/>
    <n v="0.26800000000000002"/>
    <n v="0"/>
    <x v="0"/>
    <n v="0"/>
    <n v="0"/>
    <n v="44"/>
    <n v="84"/>
    <n v="0"/>
    <n v="304.7"/>
    <n v="219.97"/>
    <m/>
    <n v="379.45760801787162"/>
    <n v="283.40928728637363"/>
    <n v="0"/>
    <n v="81.659599999999998"/>
    <n v="58.95196"/>
    <n v="0"/>
    <n v="101.6946389487896"/>
    <n v="75.953688992748141"/>
  </r>
  <r>
    <s v="Regular"/>
    <x v="4"/>
    <x v="4"/>
    <x v="0"/>
    <x v="0"/>
    <x v="0"/>
    <x v="0"/>
    <x v="0"/>
    <x v="3"/>
    <n v="0"/>
    <n v="0"/>
    <n v="134.69"/>
    <n v="134.69"/>
    <n v="134.69"/>
    <n v="134.69"/>
    <n v="0"/>
    <x v="0"/>
    <n v="0"/>
    <n v="0"/>
    <n v="44"/>
    <n v="84"/>
    <n v="0"/>
    <n v="304.7"/>
    <n v="219.97"/>
    <m/>
    <n v="379.45760801787162"/>
    <n v="283.40928728637363"/>
    <n v="0"/>
    <n v="41040.042999999998"/>
    <n v="29627.759299999998"/>
    <n v="0"/>
    <n v="51109.145223927131"/>
    <n v="38172.396904601665"/>
  </r>
  <r>
    <s v="Refaturamento - Regular"/>
    <x v="4"/>
    <x v="4"/>
    <x v="0"/>
    <x v="0"/>
    <x v="0"/>
    <x v="0"/>
    <x v="0"/>
    <x v="3"/>
    <n v="0"/>
    <n v="0"/>
    <n v="0.33800000000000002"/>
    <n v="0.33800000000000002"/>
    <n v="0.33800000000000002"/>
    <n v="0.33800000000000002"/>
    <n v="0"/>
    <x v="0"/>
    <n v="0"/>
    <n v="0"/>
    <n v="44"/>
    <n v="84"/>
    <n v="0"/>
    <n v="304.7"/>
    <n v="219.97"/>
    <m/>
    <n v="379.45760801787162"/>
    <n v="283.40928728637363"/>
    <n v="0"/>
    <n v="102.98860000000001"/>
    <n v="74.349860000000007"/>
    <n v="0"/>
    <n v="128.2566715100406"/>
    <n v="95.792339102794287"/>
  </r>
  <r>
    <s v="Sistema de Compensação"/>
    <x v="4"/>
    <x v="4"/>
    <x v="0"/>
    <x v="0"/>
    <x v="0"/>
    <x v="0"/>
    <x v="0"/>
    <x v="3"/>
    <n v="0"/>
    <n v="0"/>
    <n v="0.69799999999999995"/>
    <n v="0.69799999999999995"/>
    <n v="0.69799999999999995"/>
    <n v="0.69799999999999995"/>
    <n v="0"/>
    <x v="0"/>
    <n v="0"/>
    <n v="0"/>
    <n v="44"/>
    <n v="84"/>
    <n v="0"/>
    <n v="304.7"/>
    <n v="219.97"/>
    <m/>
    <n v="379.45760801787162"/>
    <n v="283.40928728637363"/>
    <n v="0"/>
    <n v="212.68059999999997"/>
    <n v="153.53905999999998"/>
    <n v="0"/>
    <n v="264.86141039647435"/>
    <n v="197.81968252588877"/>
  </r>
  <r>
    <s v="Regular"/>
    <x v="4"/>
    <x v="4"/>
    <x v="0"/>
    <x v="0"/>
    <x v="0"/>
    <x v="0"/>
    <x v="0"/>
    <x v="4"/>
    <n v="0"/>
    <n v="0"/>
    <n v="142.40100000000001"/>
    <n v="142.40100000000001"/>
    <n v="142.40100000000001"/>
    <n v="142.40100000000001"/>
    <n v="0"/>
    <x v="0"/>
    <n v="0"/>
    <n v="0"/>
    <n v="44"/>
    <n v="84"/>
    <n v="0"/>
    <n v="304.7"/>
    <n v="219.97"/>
    <m/>
    <n v="379.45760801787162"/>
    <n v="283.40928728637363"/>
    <n v="0"/>
    <n v="43389.584699999999"/>
    <n v="31323.947970000001"/>
    <n v="0"/>
    <n v="54035.142839352942"/>
    <n v="40357.765918866891"/>
  </r>
  <r>
    <s v="Sistema de Compensação"/>
    <x v="4"/>
    <x v="4"/>
    <x v="0"/>
    <x v="0"/>
    <x v="0"/>
    <x v="0"/>
    <x v="0"/>
    <x v="4"/>
    <n v="0"/>
    <n v="0"/>
    <n v="0.42899999999999999"/>
    <n v="0.42899999999999999"/>
    <n v="0.42899999999999999"/>
    <n v="0.42899999999999999"/>
    <n v="0"/>
    <x v="0"/>
    <n v="0"/>
    <n v="0"/>
    <n v="44"/>
    <n v="84"/>
    <n v="0"/>
    <n v="304.7"/>
    <n v="219.97"/>
    <m/>
    <n v="379.45760801787162"/>
    <n v="283.40928728637363"/>
    <n v="0"/>
    <n v="130.71629999999999"/>
    <n v="94.367130000000003"/>
    <n v="0"/>
    <n v="162.78731383966692"/>
    <n v="121.58258424585428"/>
  </r>
  <r>
    <s v="Regular"/>
    <x v="4"/>
    <x v="4"/>
    <x v="0"/>
    <x v="0"/>
    <x v="0"/>
    <x v="0"/>
    <x v="0"/>
    <x v="5"/>
    <n v="0"/>
    <n v="0"/>
    <n v="158.839"/>
    <n v="158.839"/>
    <n v="158.839"/>
    <n v="158.839"/>
    <n v="0"/>
    <x v="0"/>
    <n v="0"/>
    <n v="0"/>
    <n v="44"/>
    <n v="84"/>
    <n v="0"/>
    <n v="304.7"/>
    <n v="219.97"/>
    <m/>
    <n v="379.45760801787162"/>
    <n v="283.40928728637363"/>
    <n v="0"/>
    <n v="48398.243299999995"/>
    <n v="34939.814830000003"/>
    <n v="0"/>
    <n v="60272.666999950707"/>
    <n v="45016.447783280302"/>
  </r>
  <r>
    <s v="Sistema de Compensação"/>
    <x v="4"/>
    <x v="4"/>
    <x v="0"/>
    <x v="0"/>
    <x v="0"/>
    <x v="0"/>
    <x v="0"/>
    <x v="5"/>
    <n v="0"/>
    <n v="0"/>
    <n v="0.72399999999999998"/>
    <n v="0.72399999999999998"/>
    <n v="0.72399999999999998"/>
    <n v="0.72399999999999998"/>
    <n v="0"/>
    <x v="0"/>
    <n v="0"/>
    <n v="0"/>
    <n v="44"/>
    <n v="84"/>
    <n v="0"/>
    <n v="304.7"/>
    <n v="219.97"/>
    <m/>
    <n v="379.45760801787162"/>
    <n v="283.40928728637363"/>
    <n v="0"/>
    <n v="220.60279999999997"/>
    <n v="159.25827999999998"/>
    <n v="0"/>
    <n v="274.72730820493905"/>
    <n v="205.18832399533449"/>
  </r>
  <r>
    <s v="Regular"/>
    <x v="4"/>
    <x v="4"/>
    <x v="0"/>
    <x v="0"/>
    <x v="0"/>
    <x v="0"/>
    <x v="0"/>
    <x v="6"/>
    <n v="0"/>
    <n v="0"/>
    <n v="166.381"/>
    <n v="166.381"/>
    <n v="166.381"/>
    <n v="166.381"/>
    <n v="0"/>
    <x v="0"/>
    <n v="0"/>
    <n v="0"/>
    <n v="44"/>
    <n v="84"/>
    <n v="0"/>
    <n v="304.7"/>
    <n v="219.97"/>
    <m/>
    <n v="379.45760801787162"/>
    <n v="283.40928728637363"/>
    <n v="0"/>
    <n v="50696.290699999998"/>
    <n v="36598.828569999998"/>
    <n v="0"/>
    <n v="63134.536279621498"/>
    <n v="47153.920627994128"/>
  </r>
  <r>
    <s v="Refaturamento - Regular"/>
    <x v="4"/>
    <x v="4"/>
    <x v="0"/>
    <x v="0"/>
    <x v="0"/>
    <x v="0"/>
    <x v="0"/>
    <x v="6"/>
    <n v="0"/>
    <n v="0"/>
    <n v="-0.47499999999999998"/>
    <n v="-0.47499999999999998"/>
    <n v="-0.47499999999999998"/>
    <n v="-0.47499999999999998"/>
    <n v="0"/>
    <x v="0"/>
    <n v="0"/>
    <n v="0"/>
    <n v="44"/>
    <n v="84"/>
    <n v="0"/>
    <n v="304.7"/>
    <n v="219.97"/>
    <m/>
    <n v="379.45760801787162"/>
    <n v="283.40928728637363"/>
    <n v="0"/>
    <n v="-144.73249999999999"/>
    <n v="-104.48575"/>
    <n v="0"/>
    <n v="-180.24236380848902"/>
    <n v="-134.61941146102745"/>
  </r>
  <r>
    <s v="Sistema de Compensação"/>
    <x v="4"/>
    <x v="4"/>
    <x v="0"/>
    <x v="0"/>
    <x v="0"/>
    <x v="0"/>
    <x v="0"/>
    <x v="6"/>
    <n v="0"/>
    <n v="0"/>
    <n v="0.55200000000000005"/>
    <n v="0.55200000000000005"/>
    <n v="0.55200000000000005"/>
    <n v="0.55200000000000005"/>
    <n v="0"/>
    <x v="0"/>
    <n v="0"/>
    <n v="0"/>
    <n v="44"/>
    <n v="84"/>
    <n v="0"/>
    <n v="304.7"/>
    <n v="219.97"/>
    <m/>
    <n v="379.45760801787162"/>
    <n v="283.40928728637363"/>
    <n v="0"/>
    <n v="168.1944"/>
    <n v="121.42344000000001"/>
    <n v="0"/>
    <n v="209.46059962586514"/>
    <n v="156.44192658207825"/>
  </r>
  <r>
    <s v="Regular"/>
    <x v="4"/>
    <x v="4"/>
    <x v="0"/>
    <x v="0"/>
    <x v="0"/>
    <x v="0"/>
    <x v="0"/>
    <x v="7"/>
    <n v="0"/>
    <n v="0"/>
    <n v="154.74199999999999"/>
    <n v="154.74199999999999"/>
    <n v="154.74199999999999"/>
    <n v="154.74199999999999"/>
    <n v="0"/>
    <x v="0"/>
    <n v="0"/>
    <n v="0"/>
    <n v="44"/>
    <n v="84"/>
    <n v="0"/>
    <n v="304.7"/>
    <n v="219.97"/>
    <m/>
    <n v="379.45760801787162"/>
    <n v="283.40928728637363"/>
    <n v="0"/>
    <n v="47149.887399999992"/>
    <n v="34038.597739999997"/>
    <n v="0"/>
    <n v="58718.029179901489"/>
    <n v="43855.319933268023"/>
  </r>
  <r>
    <s v="Refaturamento - Regular"/>
    <x v="4"/>
    <x v="4"/>
    <x v="0"/>
    <x v="0"/>
    <x v="0"/>
    <x v="0"/>
    <x v="0"/>
    <x v="7"/>
    <n v="0"/>
    <n v="0"/>
    <n v="-0.2"/>
    <n v="-0.2"/>
    <n v="-0.2"/>
    <n v="-0.2"/>
    <n v="0"/>
    <x v="0"/>
    <n v="0"/>
    <n v="0"/>
    <n v="44"/>
    <n v="84"/>
    <n v="0"/>
    <n v="304.7"/>
    <n v="219.97"/>
    <m/>
    <n v="379.45760801787162"/>
    <n v="283.40928728637363"/>
    <n v="0"/>
    <n v="-60.94"/>
    <n v="-43.994"/>
    <n v="0"/>
    <n v="-75.891521603574333"/>
    <n v="-56.681857457274731"/>
  </r>
  <r>
    <s v="Sistema de Compensação"/>
    <x v="4"/>
    <x v="4"/>
    <x v="0"/>
    <x v="0"/>
    <x v="0"/>
    <x v="0"/>
    <x v="0"/>
    <x v="7"/>
    <n v="0"/>
    <n v="0"/>
    <n v="0.48299999999999998"/>
    <n v="0.48299999999999998"/>
    <n v="0.48299999999999998"/>
    <n v="0.48299999999999998"/>
    <n v="0"/>
    <x v="0"/>
    <n v="0"/>
    <n v="0"/>
    <n v="44"/>
    <n v="84"/>
    <n v="0"/>
    <n v="304.7"/>
    <n v="219.97"/>
    <m/>
    <n v="379.45760801787162"/>
    <n v="283.40928728637363"/>
    <n v="0"/>
    <n v="147.17009999999999"/>
    <n v="106.24551"/>
    <n v="0"/>
    <n v="183.278024672632"/>
    <n v="136.88668575931845"/>
  </r>
  <r>
    <s v="Regular"/>
    <x v="4"/>
    <x v="4"/>
    <x v="0"/>
    <x v="0"/>
    <x v="0"/>
    <x v="0"/>
    <x v="0"/>
    <x v="8"/>
    <n v="0"/>
    <n v="0"/>
    <n v="178.86799999999999"/>
    <n v="178.86799999999999"/>
    <n v="178.86799999999999"/>
    <n v="178.86799999999999"/>
    <n v="0"/>
    <x v="0"/>
    <n v="0"/>
    <n v="0"/>
    <n v="44"/>
    <n v="84"/>
    <n v="0"/>
    <n v="304.7"/>
    <n v="219.97"/>
    <m/>
    <n v="379.45760801787162"/>
    <n v="283.40928728637363"/>
    <n v="0"/>
    <n v="54501.079599999997"/>
    <n v="39345.593959999998"/>
    <n v="0"/>
    <n v="67872.823430940654"/>
    <n v="50692.852398339077"/>
  </r>
  <r>
    <s v="Sistema de Compensação"/>
    <x v="4"/>
    <x v="4"/>
    <x v="0"/>
    <x v="0"/>
    <x v="0"/>
    <x v="0"/>
    <x v="0"/>
    <x v="8"/>
    <n v="0"/>
    <n v="0"/>
    <n v="0.16900000000000001"/>
    <n v="0.16900000000000001"/>
    <n v="0.16900000000000001"/>
    <n v="0.16900000000000001"/>
    <n v="0"/>
    <x v="0"/>
    <n v="0"/>
    <n v="0"/>
    <n v="44"/>
    <n v="84"/>
    <n v="0"/>
    <n v="304.7"/>
    <n v="219.97"/>
    <m/>
    <n v="379.45760801787162"/>
    <n v="283.40928728637363"/>
    <n v="0"/>
    <n v="51.494300000000003"/>
    <n v="37.174930000000003"/>
    <n v="0"/>
    <n v="64.128335755020302"/>
    <n v="47.896169551397143"/>
  </r>
  <r>
    <s v="Regular"/>
    <x v="4"/>
    <x v="4"/>
    <x v="0"/>
    <x v="0"/>
    <x v="0"/>
    <x v="0"/>
    <x v="0"/>
    <x v="9"/>
    <n v="0"/>
    <n v="0"/>
    <n v="143.70099999999999"/>
    <n v="143.70099999999999"/>
    <n v="143.70099999999999"/>
    <n v="143.70099999999999"/>
    <n v="0"/>
    <x v="0"/>
    <n v="0"/>
    <n v="0"/>
    <n v="44"/>
    <n v="84"/>
    <n v="0"/>
    <n v="304.7"/>
    <n v="219.97"/>
    <m/>
    <n v="379.45760801787162"/>
    <n v="283.40928728637363"/>
    <n v="0"/>
    <n v="43785.694699999993"/>
    <n v="31609.908969999997"/>
    <n v="0"/>
    <n v="54528.437729776168"/>
    <n v="40726.197992339177"/>
  </r>
  <r>
    <s v="Refaturamento - Regular"/>
    <x v="4"/>
    <x v="4"/>
    <x v="0"/>
    <x v="0"/>
    <x v="0"/>
    <x v="0"/>
    <x v="0"/>
    <x v="9"/>
    <n v="0"/>
    <n v="0"/>
    <n v="-40.08"/>
    <n v="-40.08"/>
    <n v="-40.08"/>
    <n v="-40.08"/>
    <n v="0"/>
    <x v="0"/>
    <n v="0"/>
    <n v="0"/>
    <n v="44"/>
    <n v="84"/>
    <n v="0"/>
    <n v="304.7"/>
    <n v="219.97"/>
    <m/>
    <n v="379.45760801787162"/>
    <n v="283.40928728637363"/>
    <n v="0"/>
    <n v="-12212.375999999998"/>
    <n v="-8816.3976000000002"/>
    <n v="0"/>
    <n v="-15208.660929356294"/>
    <n v="-11359.044234437855"/>
  </r>
  <r>
    <s v="Sistema de Compensação"/>
    <x v="4"/>
    <x v="4"/>
    <x v="0"/>
    <x v="0"/>
    <x v="0"/>
    <x v="0"/>
    <x v="0"/>
    <x v="9"/>
    <n v="0"/>
    <n v="0"/>
    <n v="0.13700000000000001"/>
    <n v="0.13700000000000001"/>
    <n v="0.13700000000000001"/>
    <n v="0.13700000000000001"/>
    <n v="0"/>
    <x v="0"/>
    <n v="0"/>
    <n v="0"/>
    <n v="44"/>
    <n v="84"/>
    <n v="0"/>
    <n v="304.7"/>
    <n v="219.97"/>
    <m/>
    <n v="379.45760801787162"/>
    <n v="283.40928728637363"/>
    <n v="0"/>
    <n v="41.743900000000004"/>
    <n v="30.135890000000003"/>
    <n v="0"/>
    <n v="51.985692298448413"/>
    <n v="38.827072358233188"/>
  </r>
  <r>
    <s v="Regular"/>
    <x v="4"/>
    <x v="4"/>
    <x v="0"/>
    <x v="0"/>
    <x v="0"/>
    <x v="0"/>
    <x v="0"/>
    <x v="10"/>
    <n v="0"/>
    <n v="0"/>
    <n v="149.50800000000001"/>
    <n v="149.50800000000001"/>
    <n v="149.50800000000001"/>
    <n v="149.50800000000001"/>
    <n v="0"/>
    <x v="0"/>
    <n v="0"/>
    <n v="0"/>
    <n v="44"/>
    <n v="84"/>
    <n v="0"/>
    <n v="304.7"/>
    <n v="219.97"/>
    <m/>
    <n v="379.45760801787162"/>
    <n v="283.40928728637363"/>
    <n v="0"/>
    <n v="45555.087599999999"/>
    <n v="32887.27476"/>
    <n v="0"/>
    <n v="56731.948059535956"/>
    <n v="42371.95572361115"/>
  </r>
  <r>
    <s v="Sistema de Compensação"/>
    <x v="4"/>
    <x v="4"/>
    <x v="0"/>
    <x v="0"/>
    <x v="0"/>
    <x v="0"/>
    <x v="0"/>
    <x v="10"/>
    <n v="0"/>
    <n v="0"/>
    <n v="0.14799999999999999"/>
    <n v="0.14799999999999999"/>
    <n v="0.14799999999999999"/>
    <n v="0.14799999999999999"/>
    <n v="0"/>
    <x v="0"/>
    <n v="0"/>
    <n v="0"/>
    <n v="44"/>
    <n v="84"/>
    <n v="0"/>
    <n v="304.7"/>
    <n v="219.97"/>
    <m/>
    <n v="379.45760801787162"/>
    <n v="283.40928728637363"/>
    <n v="0"/>
    <n v="45.095599999999997"/>
    <n v="32.55556"/>
    <n v="0"/>
    <n v="56.159725986645"/>
    <n v="41.944574518383291"/>
  </r>
  <r>
    <s v="PROJETADO"/>
    <x v="4"/>
    <x v="4"/>
    <x v="0"/>
    <x v="0"/>
    <x v="0"/>
    <x v="0"/>
    <x v="0"/>
    <x v="11"/>
    <n v="0"/>
    <n v="0"/>
    <n v="149.50800000000001"/>
    <n v="149.50800000000001"/>
    <n v="149.50800000000001"/>
    <n v="149.50800000000001"/>
    <n v="0"/>
    <x v="0"/>
    <n v="0"/>
    <n v="0"/>
    <n v="44"/>
    <n v="84"/>
    <n v="0"/>
    <n v="304.7"/>
    <n v="219.97"/>
    <m/>
    <n v="379.45760801787162"/>
    <n v="283.40928728637363"/>
    <n v="0"/>
    <n v="45555.087599999999"/>
    <n v="32887.27476"/>
    <n v="0"/>
    <n v="56731.948059535956"/>
    <n v="42371.95572361115"/>
  </r>
  <r>
    <s v="PROJETADO"/>
    <x v="4"/>
    <x v="4"/>
    <x v="0"/>
    <x v="0"/>
    <x v="0"/>
    <x v="0"/>
    <x v="0"/>
    <x v="11"/>
    <n v="0"/>
    <n v="0"/>
    <n v="0.14799999999999999"/>
    <n v="0.14799999999999999"/>
    <n v="0.14799999999999999"/>
    <n v="0.14799999999999999"/>
    <n v="0"/>
    <x v="0"/>
    <n v="0"/>
    <n v="0"/>
    <n v="44"/>
    <n v="84"/>
    <n v="0"/>
    <n v="304.7"/>
    <n v="219.97"/>
    <m/>
    <n v="379.45760801787162"/>
    <n v="283.40928728637363"/>
    <n v="0"/>
    <n v="45.095599999999997"/>
    <n v="32.55556"/>
    <n v="0"/>
    <n v="56.159725986645"/>
    <n v="41.944574518383291"/>
  </r>
  <r>
    <s v="Regular"/>
    <x v="4"/>
    <x v="4"/>
    <x v="0"/>
    <x v="0"/>
    <x v="0"/>
    <x v="0"/>
    <x v="3"/>
    <x v="0"/>
    <n v="0"/>
    <n v="0"/>
    <n v="9.5060000000000002"/>
    <n v="9.5060000000000002"/>
    <n v="9.5060000000000002"/>
    <n v="9.5060000000000002"/>
    <n v="0"/>
    <x v="0"/>
    <n v="0"/>
    <n v="0"/>
    <n v="43"/>
    <n v="83"/>
    <n v="0"/>
    <n v="657.51"/>
    <n v="219.97"/>
    <m/>
    <n v="817.20668325562065"/>
    <n v="283.40928728637363"/>
    <n v="0"/>
    <n v="6250.2900600000003"/>
    <n v="2091.0348199999999"/>
    <n v="0"/>
    <n v="7768.3667310279297"/>
    <n v="2694.0886849442677"/>
  </r>
  <r>
    <s v="Refaturamento - Regular"/>
    <x v="4"/>
    <x v="4"/>
    <x v="0"/>
    <x v="0"/>
    <x v="0"/>
    <x v="0"/>
    <x v="3"/>
    <x v="0"/>
    <n v="0"/>
    <n v="0"/>
    <n v="0.85599999999999998"/>
    <n v="0.85599999999999998"/>
    <n v="0.85599999999999998"/>
    <n v="0.85599999999999998"/>
    <n v="0"/>
    <x v="0"/>
    <n v="0"/>
    <n v="0"/>
    <n v="43"/>
    <n v="83"/>
    <n v="0"/>
    <n v="657.51"/>
    <n v="219.97"/>
    <m/>
    <n v="817.20668325562065"/>
    <n v="283.40928728637363"/>
    <n v="0"/>
    <n v="562.82855999999992"/>
    <n v="188.29432"/>
    <n v="0"/>
    <n v="699.52892086681129"/>
    <n v="242.59834991713581"/>
  </r>
  <r>
    <s v="Sistema de Compensação"/>
    <x v="4"/>
    <x v="4"/>
    <x v="0"/>
    <x v="0"/>
    <x v="0"/>
    <x v="0"/>
    <x v="3"/>
    <x v="0"/>
    <n v="0"/>
    <n v="0"/>
    <n v="2.3E-2"/>
    <n v="2.3E-2"/>
    <n v="2.3E-2"/>
    <n v="2.3E-2"/>
    <n v="0"/>
    <x v="0"/>
    <n v="0"/>
    <n v="0"/>
    <n v="43"/>
    <n v="83"/>
    <n v="0"/>
    <n v="657.51"/>
    <n v="219.97"/>
    <m/>
    <n v="817.20668325562065"/>
    <n v="283.40928728637363"/>
    <n v="0"/>
    <n v="15.122729999999999"/>
    <n v="5.05931"/>
    <n v="0"/>
    <n v="18.795753714879275"/>
    <n v="6.5184136075865933"/>
  </r>
  <r>
    <s v="Regular"/>
    <x v="4"/>
    <x v="4"/>
    <x v="0"/>
    <x v="0"/>
    <x v="0"/>
    <x v="0"/>
    <x v="3"/>
    <x v="1"/>
    <n v="0"/>
    <n v="0"/>
    <n v="8.7210000000000001"/>
    <n v="8.7210000000000001"/>
    <n v="8.7210000000000001"/>
    <n v="8.7210000000000001"/>
    <n v="0"/>
    <x v="0"/>
    <n v="0"/>
    <n v="0"/>
    <n v="43"/>
    <n v="83"/>
    <n v="0"/>
    <n v="657.51"/>
    <n v="219.97"/>
    <m/>
    <n v="817.20668325562065"/>
    <n v="283.40928728637363"/>
    <n v="0"/>
    <n v="5734.1447099999996"/>
    <n v="1918.3583699999999"/>
    <n v="0"/>
    <n v="7126.8594846722681"/>
    <n v="2471.6123944244646"/>
  </r>
  <r>
    <s v="Refaturamento - Regular"/>
    <x v="4"/>
    <x v="4"/>
    <x v="0"/>
    <x v="0"/>
    <x v="0"/>
    <x v="0"/>
    <x v="3"/>
    <x v="1"/>
    <n v="0"/>
    <n v="0"/>
    <n v="-0.25900000000000001"/>
    <n v="-0.25900000000000001"/>
    <n v="-0.25900000000000001"/>
    <n v="-0.25900000000000001"/>
    <n v="0"/>
    <x v="0"/>
    <n v="0"/>
    <n v="0"/>
    <n v="43"/>
    <n v="83"/>
    <n v="0"/>
    <n v="657.51"/>
    <n v="219.97"/>
    <m/>
    <n v="817.20668325562065"/>
    <n v="283.40928728637363"/>
    <n v="0"/>
    <n v="-170.29509000000002"/>
    <n v="-56.972230000000003"/>
    <n v="0"/>
    <n v="-211.65653096320577"/>
    <n v="-73.403005407170767"/>
  </r>
  <r>
    <s v="Sistema de Compensação"/>
    <x v="4"/>
    <x v="4"/>
    <x v="0"/>
    <x v="0"/>
    <x v="0"/>
    <x v="0"/>
    <x v="3"/>
    <x v="1"/>
    <n v="0"/>
    <n v="0"/>
    <n v="2.1999999999999999E-2"/>
    <n v="2.1999999999999999E-2"/>
    <n v="2.1999999999999999E-2"/>
    <n v="2.1999999999999999E-2"/>
    <n v="0"/>
    <x v="0"/>
    <n v="0"/>
    <n v="0"/>
    <n v="43"/>
    <n v="83"/>
    <n v="0"/>
    <n v="657.51"/>
    <n v="219.97"/>
    <m/>
    <n v="817.20668325562065"/>
    <n v="283.40928728637363"/>
    <n v="0"/>
    <n v="14.465219999999999"/>
    <n v="4.83934"/>
    <n v="0"/>
    <n v="17.978547031623652"/>
    <n v="6.2350043203002192"/>
  </r>
  <r>
    <s v="Regular"/>
    <x v="4"/>
    <x v="4"/>
    <x v="0"/>
    <x v="0"/>
    <x v="0"/>
    <x v="0"/>
    <x v="3"/>
    <x v="2"/>
    <n v="0"/>
    <n v="0"/>
    <n v="9.41"/>
    <n v="9.41"/>
    <n v="9.41"/>
    <n v="9.41"/>
    <n v="0"/>
    <x v="0"/>
    <n v="0"/>
    <n v="0"/>
    <n v="43"/>
    <n v="83"/>
    <n v="0"/>
    <n v="657.51"/>
    <n v="219.97"/>
    <m/>
    <n v="817.20668325562065"/>
    <n v="283.40928728637363"/>
    <n v="0"/>
    <n v="6187.1691000000001"/>
    <n v="2069.9177"/>
    <n v="0"/>
    <n v="7689.9148894353903"/>
    <n v="2666.8813933647757"/>
  </r>
  <r>
    <s v="Refaturamento - Regular"/>
    <x v="4"/>
    <x v="4"/>
    <x v="0"/>
    <x v="0"/>
    <x v="0"/>
    <x v="0"/>
    <x v="3"/>
    <x v="2"/>
    <n v="0"/>
    <n v="0"/>
    <n v="1.9E-2"/>
    <n v="1.9E-2"/>
    <n v="1.9E-2"/>
    <n v="1.9E-2"/>
    <n v="0"/>
    <x v="0"/>
    <n v="0"/>
    <n v="0"/>
    <n v="43"/>
    <n v="83"/>
    <n v="0"/>
    <n v="657.51"/>
    <n v="219.97"/>
    <m/>
    <n v="817.20668325562065"/>
    <n v="283.40928728637363"/>
    <n v="0"/>
    <n v="12.49269"/>
    <n v="4.17943"/>
    <n v="0"/>
    <n v="15.526926981856793"/>
    <n v="5.3847764584410989"/>
  </r>
  <r>
    <s v="Sistema de Compensação"/>
    <x v="4"/>
    <x v="4"/>
    <x v="0"/>
    <x v="0"/>
    <x v="0"/>
    <x v="0"/>
    <x v="3"/>
    <x v="2"/>
    <n v="0"/>
    <n v="0"/>
    <n v="2.5000000000000001E-2"/>
    <n v="2.5000000000000001E-2"/>
    <n v="2.5000000000000001E-2"/>
    <n v="2.5000000000000001E-2"/>
    <n v="0"/>
    <x v="0"/>
    <n v="0"/>
    <n v="0"/>
    <n v="43"/>
    <n v="83"/>
    <n v="0"/>
    <n v="657.51"/>
    <n v="219.97"/>
    <m/>
    <n v="817.20668325562065"/>
    <n v="283.40928728637363"/>
    <n v="0"/>
    <n v="16.437750000000001"/>
    <n v="5.49925"/>
    <n v="0"/>
    <n v="20.430167081390518"/>
    <n v="7.0852321821593414"/>
  </r>
  <r>
    <s v="Regular"/>
    <x v="4"/>
    <x v="4"/>
    <x v="0"/>
    <x v="0"/>
    <x v="0"/>
    <x v="0"/>
    <x v="3"/>
    <x v="3"/>
    <n v="0"/>
    <n v="0"/>
    <n v="8.5809999999999995"/>
    <n v="8.5809999999999995"/>
    <n v="8.5809999999999995"/>
    <n v="8.5809999999999995"/>
    <n v="0"/>
    <x v="0"/>
    <n v="0"/>
    <n v="0"/>
    <n v="43"/>
    <n v="83"/>
    <n v="0"/>
    <n v="657.51"/>
    <n v="219.97"/>
    <m/>
    <n v="817.20668325562065"/>
    <n v="283.40928728637363"/>
    <n v="0"/>
    <n v="5642.0933099999993"/>
    <n v="1887.5625699999998"/>
    <n v="0"/>
    <n v="7012.4505490164802"/>
    <n v="2431.935094204372"/>
  </r>
  <r>
    <s v="Refaturamento - Regular"/>
    <x v="4"/>
    <x v="4"/>
    <x v="0"/>
    <x v="0"/>
    <x v="0"/>
    <x v="0"/>
    <x v="3"/>
    <x v="3"/>
    <n v="0"/>
    <n v="0"/>
    <n v="2.4E-2"/>
    <n v="2.4E-2"/>
    <n v="2.4E-2"/>
    <n v="2.4E-2"/>
    <n v="0"/>
    <x v="0"/>
    <n v="0"/>
    <n v="0"/>
    <n v="43"/>
    <n v="83"/>
    <n v="0"/>
    <n v="657.51"/>
    <n v="219.97"/>
    <m/>
    <n v="817.20668325562065"/>
    <n v="283.40928728637363"/>
    <n v="0"/>
    <n v="15.780240000000001"/>
    <n v="5.27928"/>
    <n v="0"/>
    <n v="19.612960398134895"/>
    <n v="6.8018228948729673"/>
  </r>
  <r>
    <s v="Sistema de Compensação"/>
    <x v="4"/>
    <x v="4"/>
    <x v="0"/>
    <x v="0"/>
    <x v="0"/>
    <x v="0"/>
    <x v="3"/>
    <x v="3"/>
    <n v="0"/>
    <n v="0"/>
    <n v="3.6999999999999998E-2"/>
    <n v="3.6999999999999998E-2"/>
    <n v="3.6999999999999998E-2"/>
    <n v="3.6999999999999998E-2"/>
    <n v="0"/>
    <x v="0"/>
    <n v="0"/>
    <n v="0"/>
    <n v="43"/>
    <n v="83"/>
    <n v="0"/>
    <n v="657.51"/>
    <n v="219.97"/>
    <m/>
    <n v="817.20668325562065"/>
    <n v="283.40928728637363"/>
    <n v="0"/>
    <n v="24.327869999999997"/>
    <n v="8.13889"/>
    <n v="0"/>
    <n v="30.236647280457962"/>
    <n v="10.486143629595823"/>
  </r>
  <r>
    <s v="Regular"/>
    <x v="4"/>
    <x v="4"/>
    <x v="0"/>
    <x v="0"/>
    <x v="0"/>
    <x v="0"/>
    <x v="3"/>
    <x v="4"/>
    <n v="0"/>
    <n v="0"/>
    <n v="8.4809999999999999"/>
    <n v="8.4809999999999999"/>
    <n v="8.4809999999999999"/>
    <n v="8.4809999999999999"/>
    <n v="0"/>
    <x v="0"/>
    <n v="0"/>
    <n v="0"/>
    <n v="43"/>
    <n v="83"/>
    <n v="0"/>
    <n v="657.51"/>
    <n v="219.97"/>
    <m/>
    <n v="817.20668325562065"/>
    <n v="283.40928728637363"/>
    <n v="0"/>
    <n v="5576.34231"/>
    <n v="1865.56557"/>
    <n v="0"/>
    <n v="6930.7298806909184"/>
    <n v="2403.5941654757348"/>
  </r>
  <r>
    <s v="Sistema de Compensação"/>
    <x v="4"/>
    <x v="4"/>
    <x v="0"/>
    <x v="0"/>
    <x v="0"/>
    <x v="0"/>
    <x v="3"/>
    <x v="4"/>
    <n v="0"/>
    <n v="0"/>
    <n v="2.5999999999999999E-2"/>
    <n v="2.5999999999999999E-2"/>
    <n v="2.5999999999999999E-2"/>
    <n v="2.5999999999999999E-2"/>
    <n v="0"/>
    <x v="0"/>
    <n v="0"/>
    <n v="0"/>
    <n v="43"/>
    <n v="83"/>
    <n v="0"/>
    <n v="657.51"/>
    <n v="219.97"/>
    <m/>
    <n v="817.20668325562065"/>
    <n v="283.40928728637363"/>
    <n v="0"/>
    <n v="17.09526"/>
    <n v="5.71922"/>
    <n v="0"/>
    <n v="21.247373764646134"/>
    <n v="7.3686414694457136"/>
  </r>
  <r>
    <s v="Regular"/>
    <x v="4"/>
    <x v="4"/>
    <x v="0"/>
    <x v="0"/>
    <x v="0"/>
    <x v="0"/>
    <x v="3"/>
    <x v="5"/>
    <n v="0"/>
    <n v="0"/>
    <n v="9.77"/>
    <n v="9.77"/>
    <n v="9.77"/>
    <n v="9.77"/>
    <n v="0"/>
    <x v="0"/>
    <n v="0"/>
    <n v="0"/>
    <n v="43"/>
    <n v="83"/>
    <n v="0"/>
    <n v="657.51"/>
    <n v="219.97"/>
    <m/>
    <n v="817.20668325562065"/>
    <n v="283.40928728637363"/>
    <n v="0"/>
    <n v="6423.8726999999999"/>
    <n v="2149.1068999999998"/>
    <n v="0"/>
    <n v="7984.1092954074138"/>
    <n v="2768.9087367878701"/>
  </r>
  <r>
    <s v="Sistema de Compensação"/>
    <x v="4"/>
    <x v="4"/>
    <x v="0"/>
    <x v="0"/>
    <x v="0"/>
    <x v="0"/>
    <x v="3"/>
    <x v="5"/>
    <n v="0"/>
    <n v="0"/>
    <n v="7.0000000000000007E-2"/>
    <n v="7.0000000000000007E-2"/>
    <n v="7.0000000000000007E-2"/>
    <n v="7.0000000000000007E-2"/>
    <n v="0"/>
    <x v="0"/>
    <n v="0"/>
    <n v="0"/>
    <n v="43"/>
    <n v="83"/>
    <n v="0"/>
    <n v="657.51"/>
    <n v="219.97"/>
    <m/>
    <n v="817.20668325562065"/>
    <n v="283.40928728637363"/>
    <n v="0"/>
    <n v="46.025700000000001"/>
    <n v="15.397900000000002"/>
    <n v="0"/>
    <n v="57.204467827893453"/>
    <n v="19.838650110046157"/>
  </r>
  <r>
    <s v="Regular"/>
    <x v="4"/>
    <x v="4"/>
    <x v="0"/>
    <x v="0"/>
    <x v="0"/>
    <x v="0"/>
    <x v="3"/>
    <x v="6"/>
    <n v="0"/>
    <n v="0"/>
    <n v="9.8170000000000002"/>
    <n v="9.8170000000000002"/>
    <n v="9.8170000000000002"/>
    <n v="9.8170000000000002"/>
    <n v="0"/>
    <x v="0"/>
    <n v="0"/>
    <n v="0"/>
    <n v="43"/>
    <n v="83"/>
    <n v="0"/>
    <n v="657.51"/>
    <n v="219.97"/>
    <m/>
    <n v="817.20668325562065"/>
    <n v="283.40928728637363"/>
    <n v="0"/>
    <n v="6454.77567"/>
    <n v="2159.4454900000001"/>
    <n v="0"/>
    <n v="8022.5180095204278"/>
    <n v="2782.22897329033"/>
  </r>
  <r>
    <s v="Refaturamento - Regular"/>
    <x v="4"/>
    <x v="4"/>
    <x v="0"/>
    <x v="0"/>
    <x v="0"/>
    <x v="0"/>
    <x v="3"/>
    <x v="6"/>
    <n v="0"/>
    <n v="0"/>
    <n v="-3.9E-2"/>
    <n v="-3.9E-2"/>
    <n v="-3.9E-2"/>
    <n v="-3.9E-2"/>
    <n v="0"/>
    <x v="0"/>
    <n v="0"/>
    <n v="0"/>
    <n v="43"/>
    <n v="83"/>
    <n v="0"/>
    <n v="657.51"/>
    <n v="219.97"/>
    <m/>
    <n v="817.20668325562065"/>
    <n v="283.40928728637363"/>
    <n v="0"/>
    <n v="-25.642890000000001"/>
    <n v="-8.57883"/>
    <n v="0"/>
    <n v="-31.871060646969205"/>
    <n v="-11.052962204168571"/>
  </r>
  <r>
    <s v="Sistema de Compensação"/>
    <x v="4"/>
    <x v="4"/>
    <x v="0"/>
    <x v="0"/>
    <x v="0"/>
    <x v="0"/>
    <x v="3"/>
    <x v="6"/>
    <n v="0"/>
    <n v="0"/>
    <n v="3.4000000000000002E-2"/>
    <n v="3.4000000000000002E-2"/>
    <n v="3.4000000000000002E-2"/>
    <n v="3.4000000000000002E-2"/>
    <n v="0"/>
    <x v="0"/>
    <n v="0"/>
    <n v="0"/>
    <n v="43"/>
    <n v="83"/>
    <n v="0"/>
    <n v="657.51"/>
    <n v="219.97"/>
    <m/>
    <n v="817.20668325562065"/>
    <n v="283.40928728637363"/>
    <n v="0"/>
    <n v="22.355340000000002"/>
    <n v="7.4789800000000008"/>
    <n v="0"/>
    <n v="27.785027230691103"/>
    <n v="9.6359157677367033"/>
  </r>
  <r>
    <s v="Regular"/>
    <x v="4"/>
    <x v="4"/>
    <x v="0"/>
    <x v="0"/>
    <x v="0"/>
    <x v="0"/>
    <x v="3"/>
    <x v="7"/>
    <n v="0"/>
    <n v="0"/>
    <n v="10.035"/>
    <n v="10.035"/>
    <n v="10.035"/>
    <n v="10.035"/>
    <n v="0"/>
    <x v="0"/>
    <n v="0"/>
    <n v="0"/>
    <n v="43"/>
    <n v="83"/>
    <n v="0"/>
    <n v="657.51"/>
    <n v="219.97"/>
    <m/>
    <n v="817.20668325562065"/>
    <n v="283.40928728637363"/>
    <n v="0"/>
    <n v="6598.1128500000004"/>
    <n v="2207.3989500000002"/>
    <n v="0"/>
    <n v="8200.6690664701528"/>
    <n v="2844.0121979187593"/>
  </r>
  <r>
    <s v="Sistema de Compensação"/>
    <x v="4"/>
    <x v="4"/>
    <x v="0"/>
    <x v="0"/>
    <x v="0"/>
    <x v="0"/>
    <x v="3"/>
    <x v="7"/>
    <n v="0"/>
    <n v="0"/>
    <n v="2.5000000000000001E-2"/>
    <n v="2.5000000000000001E-2"/>
    <n v="2.5000000000000001E-2"/>
    <n v="2.5000000000000001E-2"/>
    <n v="0"/>
    <x v="0"/>
    <n v="0"/>
    <n v="0"/>
    <n v="43"/>
    <n v="83"/>
    <n v="0"/>
    <n v="657.51"/>
    <n v="219.97"/>
    <m/>
    <n v="817.20668325562065"/>
    <n v="283.40928728637363"/>
    <n v="0"/>
    <n v="16.437750000000001"/>
    <n v="5.49925"/>
    <n v="0"/>
    <n v="20.430167081390518"/>
    <n v="7.0852321821593414"/>
  </r>
  <r>
    <s v="Regular"/>
    <x v="4"/>
    <x v="4"/>
    <x v="0"/>
    <x v="0"/>
    <x v="0"/>
    <x v="0"/>
    <x v="3"/>
    <x v="8"/>
    <n v="0"/>
    <n v="0"/>
    <n v="9.1539999999999999"/>
    <n v="9.1539999999999999"/>
    <n v="9.1539999999999999"/>
    <n v="9.1539999999999999"/>
    <n v="0"/>
    <x v="0"/>
    <n v="0"/>
    <n v="0"/>
    <n v="43"/>
    <n v="83"/>
    <n v="0"/>
    <n v="657.51"/>
    <n v="219.97"/>
    <m/>
    <n v="817.20668325562065"/>
    <n v="283.40928728637363"/>
    <n v="0"/>
    <n v="6018.8465399999995"/>
    <n v="2013.60538"/>
    <n v="0"/>
    <n v="7480.7099785219516"/>
    <n v="2594.3286158194642"/>
  </r>
  <r>
    <s v="Sistema de Compensação"/>
    <x v="4"/>
    <x v="4"/>
    <x v="0"/>
    <x v="0"/>
    <x v="0"/>
    <x v="0"/>
    <x v="3"/>
    <x v="8"/>
    <n v="0"/>
    <n v="0"/>
    <n v="1.2E-2"/>
    <n v="1.2E-2"/>
    <n v="1.2E-2"/>
    <n v="1.2E-2"/>
    <n v="0"/>
    <x v="0"/>
    <n v="0"/>
    <n v="0"/>
    <n v="43"/>
    <n v="83"/>
    <n v="0"/>
    <n v="657.51"/>
    <n v="219.97"/>
    <m/>
    <n v="817.20668325562065"/>
    <n v="283.40928728637363"/>
    <n v="0"/>
    <n v="7.8901200000000005"/>
    <n v="2.63964"/>
    <n v="0"/>
    <n v="9.8064801990674475"/>
    <n v="3.4009114474364837"/>
  </r>
  <r>
    <s v="Regular"/>
    <x v="4"/>
    <x v="4"/>
    <x v="0"/>
    <x v="0"/>
    <x v="0"/>
    <x v="0"/>
    <x v="3"/>
    <x v="9"/>
    <n v="0"/>
    <n v="0"/>
    <n v="9.6010000000000009"/>
    <n v="9.6010000000000009"/>
    <n v="9.6010000000000009"/>
    <n v="9.6010000000000009"/>
    <n v="0"/>
    <x v="0"/>
    <n v="0"/>
    <n v="0"/>
    <n v="43"/>
    <n v="83"/>
    <n v="0"/>
    <n v="657.51"/>
    <n v="219.97"/>
    <m/>
    <n v="817.20668325562065"/>
    <n v="283.40928728637363"/>
    <n v="0"/>
    <n v="6312.7535100000005"/>
    <n v="2111.9319700000001"/>
    <n v="0"/>
    <n v="7846.0013659372144"/>
    <n v="2721.0125672364734"/>
  </r>
  <r>
    <s v="Refaturamento - Regular"/>
    <x v="4"/>
    <x v="4"/>
    <x v="0"/>
    <x v="0"/>
    <x v="0"/>
    <x v="0"/>
    <x v="3"/>
    <x v="9"/>
    <n v="0"/>
    <n v="0"/>
    <n v="-0.20200000000000001"/>
    <n v="-0.20200000000000001"/>
    <n v="-0.20200000000000001"/>
    <n v="-0.20200000000000001"/>
    <n v="0"/>
    <x v="0"/>
    <n v="0"/>
    <n v="0"/>
    <n v="43"/>
    <n v="83"/>
    <n v="0"/>
    <n v="657.51"/>
    <n v="219.97"/>
    <m/>
    <n v="817.20668325562065"/>
    <n v="283.40928728637363"/>
    <n v="0"/>
    <n v="-132.81702000000001"/>
    <n v="-44.43394"/>
    <n v="0"/>
    <n v="-165.07575001763539"/>
    <n v="-57.248676031847474"/>
  </r>
  <r>
    <s v="Sistema de Compensação"/>
    <x v="4"/>
    <x v="4"/>
    <x v="0"/>
    <x v="0"/>
    <x v="0"/>
    <x v="0"/>
    <x v="3"/>
    <x v="9"/>
    <n v="0"/>
    <n v="0"/>
    <n v="8.9999999999999993E-3"/>
    <n v="8.9999999999999993E-3"/>
    <n v="8.9999999999999993E-3"/>
    <n v="8.9999999999999993E-3"/>
    <n v="0"/>
    <x v="0"/>
    <n v="0"/>
    <n v="0"/>
    <n v="43"/>
    <n v="83"/>
    <n v="0"/>
    <n v="657.51"/>
    <n v="219.97"/>
    <m/>
    <n v="817.20668325562065"/>
    <n v="283.40928728637363"/>
    <n v="0"/>
    <n v="5.9175899999999997"/>
    <n v="1.9797299999999998"/>
    <n v="0"/>
    <n v="7.3548601493005856"/>
    <n v="2.5506835855773624"/>
  </r>
  <r>
    <s v="Regular"/>
    <x v="4"/>
    <x v="4"/>
    <x v="0"/>
    <x v="0"/>
    <x v="0"/>
    <x v="0"/>
    <x v="3"/>
    <x v="10"/>
    <n v="0"/>
    <n v="0"/>
    <n v="9.8010000000000002"/>
    <n v="9.8010000000000002"/>
    <n v="9.8010000000000002"/>
    <n v="9.8010000000000002"/>
    <n v="0"/>
    <x v="0"/>
    <n v="0"/>
    <n v="0"/>
    <n v="43"/>
    <n v="83"/>
    <n v="0"/>
    <n v="657.51"/>
    <n v="219.97"/>
    <m/>
    <n v="817.20668325562065"/>
    <n v="283.40928728637363"/>
    <n v="0"/>
    <n v="6444.25551"/>
    <n v="2155.9259700000002"/>
    <n v="0"/>
    <n v="8009.4427025883379"/>
    <n v="2777.6944246937478"/>
  </r>
  <r>
    <s v="Sistema de Compensação"/>
    <x v="4"/>
    <x v="4"/>
    <x v="0"/>
    <x v="0"/>
    <x v="0"/>
    <x v="0"/>
    <x v="3"/>
    <x v="10"/>
    <n v="0"/>
    <n v="0"/>
    <n v="8.0000000000000002E-3"/>
    <n v="8.0000000000000002E-3"/>
    <n v="8.0000000000000002E-3"/>
    <n v="8.0000000000000002E-3"/>
    <n v="0"/>
    <x v="0"/>
    <n v="0"/>
    <n v="0"/>
    <n v="43"/>
    <n v="83"/>
    <n v="0"/>
    <n v="657.51"/>
    <n v="219.97"/>
    <m/>
    <n v="817.20668325562065"/>
    <n v="283.40928728637363"/>
    <n v="0"/>
    <n v="5.2600800000000003"/>
    <n v="1.75976"/>
    <n v="0"/>
    <n v="6.537653466044965"/>
    <n v="2.2672742982909893"/>
  </r>
  <r>
    <s v="PROJETADO"/>
    <x v="4"/>
    <x v="4"/>
    <x v="0"/>
    <x v="0"/>
    <x v="0"/>
    <x v="0"/>
    <x v="3"/>
    <x v="11"/>
    <n v="0"/>
    <n v="0"/>
    <n v="9.8010000000000002"/>
    <n v="9.8010000000000002"/>
    <n v="9.8010000000000002"/>
    <n v="9.8010000000000002"/>
    <n v="0"/>
    <x v="0"/>
    <n v="0"/>
    <n v="0"/>
    <n v="43"/>
    <n v="83"/>
    <n v="0"/>
    <n v="657.51"/>
    <n v="219.97"/>
    <m/>
    <n v="817.20668325562065"/>
    <n v="283.40928728637363"/>
    <n v="0"/>
    <n v="6444.25551"/>
    <n v="2155.9259700000002"/>
    <n v="0"/>
    <n v="8009.4427025883379"/>
    <n v="2777.6944246937478"/>
  </r>
  <r>
    <s v="PROJETADO"/>
    <x v="4"/>
    <x v="4"/>
    <x v="0"/>
    <x v="0"/>
    <x v="0"/>
    <x v="0"/>
    <x v="3"/>
    <x v="11"/>
    <n v="0"/>
    <n v="0"/>
    <n v="8.0000000000000002E-3"/>
    <n v="8.0000000000000002E-3"/>
    <n v="8.0000000000000002E-3"/>
    <n v="8.0000000000000002E-3"/>
    <n v="0"/>
    <x v="0"/>
    <n v="0"/>
    <n v="0"/>
    <n v="43"/>
    <n v="83"/>
    <n v="0"/>
    <n v="657.51"/>
    <n v="219.97"/>
    <m/>
    <n v="817.20668325562065"/>
    <n v="283.40928728637363"/>
    <n v="0"/>
    <n v="5.2600800000000003"/>
    <n v="1.75976"/>
    <n v="0"/>
    <n v="6.537653466044965"/>
    <n v="2.2672742982909893"/>
  </r>
  <r>
    <s v="Regular"/>
    <x v="4"/>
    <x v="4"/>
    <x v="0"/>
    <x v="0"/>
    <x v="0"/>
    <x v="0"/>
    <x v="2"/>
    <x v="0"/>
    <n v="0"/>
    <n v="0"/>
    <n v="10.586"/>
    <n v="10.586"/>
    <n v="10.586"/>
    <n v="10.586"/>
    <n v="0"/>
    <x v="0"/>
    <n v="0"/>
    <n v="0"/>
    <n v="42"/>
    <n v="82"/>
    <n v="0"/>
    <n v="1010.32"/>
    <n v="346.61"/>
    <m/>
    <n v="1254.9554530869705"/>
    <n v="441.69177554366559"/>
    <n v="0"/>
    <n v="10695.247520000001"/>
    <n v="3669.2134600000004"/>
    <n v="0"/>
    <n v="13284.958426378669"/>
    <n v="4675.7491359052437"/>
  </r>
  <r>
    <s v="Refaturamento - Regular"/>
    <x v="4"/>
    <x v="4"/>
    <x v="0"/>
    <x v="0"/>
    <x v="0"/>
    <x v="0"/>
    <x v="2"/>
    <x v="0"/>
    <n v="0"/>
    <n v="0"/>
    <n v="0.61799999999999999"/>
    <n v="0.61799999999999999"/>
    <n v="0.61799999999999999"/>
    <n v="0.61799999999999999"/>
    <n v="0"/>
    <x v="0"/>
    <n v="0"/>
    <n v="0"/>
    <n v="42"/>
    <n v="82"/>
    <n v="0"/>
    <n v="1010.32"/>
    <n v="346.61"/>
    <m/>
    <n v="1254.9554530869705"/>
    <n v="441.69177554366559"/>
    <n v="0"/>
    <n v="624.37776000000008"/>
    <n v="214.20498000000001"/>
    <n v="0"/>
    <n v="775.56247000774772"/>
    <n v="272.96551728598536"/>
  </r>
  <r>
    <s v="Sistema de Compensação"/>
    <x v="4"/>
    <x v="4"/>
    <x v="0"/>
    <x v="0"/>
    <x v="0"/>
    <x v="0"/>
    <x v="2"/>
    <x v="0"/>
    <n v="0"/>
    <n v="0"/>
    <n v="2.1999999999999999E-2"/>
    <n v="2.1999999999999999E-2"/>
    <n v="2.1999999999999999E-2"/>
    <n v="2.1999999999999999E-2"/>
    <n v="0"/>
    <x v="0"/>
    <n v="0"/>
    <n v="0"/>
    <n v="42"/>
    <n v="82"/>
    <n v="0"/>
    <n v="1010.32"/>
    <n v="346.61"/>
    <m/>
    <n v="1254.9554530869705"/>
    <n v="441.69177554366559"/>
    <n v="0"/>
    <n v="22.227039999999999"/>
    <n v="7.6254200000000001"/>
    <n v="0"/>
    <n v="27.609019967913348"/>
    <n v="9.7172190619606429"/>
  </r>
  <r>
    <s v="Regular"/>
    <x v="4"/>
    <x v="4"/>
    <x v="0"/>
    <x v="0"/>
    <x v="0"/>
    <x v="0"/>
    <x v="2"/>
    <x v="1"/>
    <n v="0"/>
    <n v="0"/>
    <n v="9.3480000000000008"/>
    <n v="9.3480000000000008"/>
    <n v="9.3480000000000008"/>
    <n v="9.3480000000000008"/>
    <n v="0"/>
    <x v="0"/>
    <n v="0"/>
    <n v="0"/>
    <n v="42"/>
    <n v="82"/>
    <n v="0"/>
    <n v="1010.32"/>
    <n v="346.61"/>
    <m/>
    <n v="1254.9554530869705"/>
    <n v="441.69177554366559"/>
    <n v="0"/>
    <n v="9444.4713600000014"/>
    <n v="3240.1102800000003"/>
    <n v="0"/>
    <n v="11731.323575457001"/>
    <n v="4128.9347177821865"/>
  </r>
  <r>
    <s v="Refaturamento - Regular"/>
    <x v="4"/>
    <x v="4"/>
    <x v="0"/>
    <x v="0"/>
    <x v="0"/>
    <x v="0"/>
    <x v="2"/>
    <x v="1"/>
    <n v="0"/>
    <n v="0"/>
    <n v="-0.11700000000000001"/>
    <n v="-0.11700000000000001"/>
    <n v="-0.11700000000000001"/>
    <n v="-0.11700000000000001"/>
    <n v="0"/>
    <x v="0"/>
    <n v="0"/>
    <n v="0"/>
    <n v="42"/>
    <n v="82"/>
    <n v="0"/>
    <n v="1010.32"/>
    <n v="346.61"/>
    <m/>
    <n v="1254.9554530869705"/>
    <n v="441.69177554366559"/>
    <n v="0"/>
    <n v="-118.20744000000002"/>
    <n v="-40.553370000000001"/>
    <n v="0"/>
    <n v="-146.82978801117557"/>
    <n v="-51.677937738608875"/>
  </r>
  <r>
    <s v="Sistema de Compensação"/>
    <x v="4"/>
    <x v="4"/>
    <x v="0"/>
    <x v="0"/>
    <x v="0"/>
    <x v="0"/>
    <x v="2"/>
    <x v="1"/>
    <n v="0"/>
    <n v="0"/>
    <n v="2.1000000000000001E-2"/>
    <n v="2.1000000000000001E-2"/>
    <n v="2.1000000000000001E-2"/>
    <n v="2.1000000000000001E-2"/>
    <n v="0"/>
    <x v="0"/>
    <n v="0"/>
    <n v="0"/>
    <n v="42"/>
    <n v="82"/>
    <n v="0"/>
    <n v="1010.32"/>
    <n v="346.61"/>
    <m/>
    <n v="1254.9554530869705"/>
    <n v="441.69177554366559"/>
    <n v="0"/>
    <n v="21.216720000000002"/>
    <n v="7.2788100000000009"/>
    <n v="0"/>
    <n v="26.35406451482638"/>
    <n v="9.2755272864169775"/>
  </r>
  <r>
    <s v="Regular"/>
    <x v="4"/>
    <x v="4"/>
    <x v="0"/>
    <x v="0"/>
    <x v="0"/>
    <x v="0"/>
    <x v="2"/>
    <x v="2"/>
    <n v="0"/>
    <n v="0"/>
    <n v="8.8529999999999998"/>
    <n v="8.8529999999999998"/>
    <n v="8.8529999999999998"/>
    <n v="8.8529999999999998"/>
    <n v="0"/>
    <x v="0"/>
    <n v="0"/>
    <n v="0"/>
    <n v="42"/>
    <n v="82"/>
    <n v="0"/>
    <n v="1010.32"/>
    <n v="346.61"/>
    <m/>
    <n v="1254.9554530869705"/>
    <n v="441.69177554366559"/>
    <n v="0"/>
    <n v="8944.3629600000004"/>
    <n v="3068.5383299999999"/>
    <n v="0"/>
    <n v="11110.120626178948"/>
    <n v="3910.2972888880713"/>
  </r>
  <r>
    <s v="Refaturamento - Regular"/>
    <x v="4"/>
    <x v="4"/>
    <x v="0"/>
    <x v="0"/>
    <x v="0"/>
    <x v="0"/>
    <x v="2"/>
    <x v="2"/>
    <n v="0"/>
    <n v="0"/>
    <n v="0.01"/>
    <n v="0.01"/>
    <n v="0.01"/>
    <n v="0.01"/>
    <n v="0"/>
    <x v="0"/>
    <n v="0"/>
    <n v="0"/>
    <n v="42"/>
    <n v="82"/>
    <n v="0"/>
    <n v="1010.32"/>
    <n v="346.61"/>
    <m/>
    <n v="1254.9554530869705"/>
    <n v="441.69177554366559"/>
    <n v="0"/>
    <n v="10.103200000000001"/>
    <n v="3.4661000000000004"/>
    <n v="0"/>
    <n v="12.549554530869704"/>
    <n v="4.4169177554366561"/>
  </r>
  <r>
    <s v="Sistema de Compensação"/>
    <x v="4"/>
    <x v="4"/>
    <x v="0"/>
    <x v="0"/>
    <x v="0"/>
    <x v="0"/>
    <x v="2"/>
    <x v="2"/>
    <n v="0"/>
    <n v="0"/>
    <n v="2.5000000000000001E-2"/>
    <n v="2.5000000000000001E-2"/>
    <n v="2.5000000000000001E-2"/>
    <n v="2.5000000000000001E-2"/>
    <n v="0"/>
    <x v="0"/>
    <n v="0"/>
    <n v="0"/>
    <n v="42"/>
    <n v="82"/>
    <n v="0"/>
    <n v="1010.32"/>
    <n v="346.61"/>
    <m/>
    <n v="1254.9554530869705"/>
    <n v="441.69177554366559"/>
    <n v="0"/>
    <n v="25.258000000000003"/>
    <n v="8.6652500000000003"/>
    <n v="0"/>
    <n v="31.373886327174262"/>
    <n v="11.042294388591641"/>
  </r>
  <r>
    <s v="Regular"/>
    <x v="4"/>
    <x v="4"/>
    <x v="0"/>
    <x v="0"/>
    <x v="0"/>
    <x v="0"/>
    <x v="2"/>
    <x v="3"/>
    <n v="0"/>
    <n v="0"/>
    <n v="9.3680000000000003"/>
    <n v="9.3680000000000003"/>
    <n v="9.3680000000000003"/>
    <n v="9.3680000000000003"/>
    <n v="0"/>
    <x v="0"/>
    <n v="0"/>
    <n v="0"/>
    <n v="42"/>
    <n v="82"/>
    <n v="0"/>
    <n v="1010.32"/>
    <n v="346.61"/>
    <m/>
    <n v="1254.9554530869705"/>
    <n v="441.69177554366559"/>
    <n v="0"/>
    <n v="9464.6777600000005"/>
    <n v="3247.0424800000001"/>
    <n v="0"/>
    <n v="11756.42268451874"/>
    <n v="4137.7685532930591"/>
  </r>
  <r>
    <s v="Refaturamento - Regular"/>
    <x v="4"/>
    <x v="4"/>
    <x v="0"/>
    <x v="0"/>
    <x v="0"/>
    <x v="0"/>
    <x v="2"/>
    <x v="3"/>
    <n v="0"/>
    <n v="0"/>
    <n v="2.1000000000000001E-2"/>
    <n v="2.1000000000000001E-2"/>
    <n v="2.1000000000000001E-2"/>
    <n v="2.1000000000000001E-2"/>
    <n v="0"/>
    <x v="0"/>
    <n v="0"/>
    <n v="0"/>
    <n v="42"/>
    <n v="82"/>
    <n v="0"/>
    <n v="1010.32"/>
    <n v="346.61"/>
    <m/>
    <n v="1254.9554530869705"/>
    <n v="441.69177554366559"/>
    <n v="0"/>
    <n v="21.216720000000002"/>
    <n v="7.2788100000000009"/>
    <n v="0"/>
    <n v="26.35406451482638"/>
    <n v="9.2755272864169775"/>
  </r>
  <r>
    <s v="Sistema de Compensação"/>
    <x v="4"/>
    <x v="4"/>
    <x v="0"/>
    <x v="0"/>
    <x v="0"/>
    <x v="0"/>
    <x v="2"/>
    <x v="3"/>
    <n v="0"/>
    <n v="0"/>
    <n v="5.7000000000000002E-2"/>
    <n v="5.7000000000000002E-2"/>
    <n v="5.7000000000000002E-2"/>
    <n v="5.7000000000000002E-2"/>
    <n v="0"/>
    <x v="0"/>
    <n v="0"/>
    <n v="0"/>
    <n v="42"/>
    <n v="82"/>
    <n v="0"/>
    <n v="1010.32"/>
    <n v="346.61"/>
    <m/>
    <n v="1254.9554530869705"/>
    <n v="441.69177554366559"/>
    <n v="0"/>
    <n v="57.588240000000006"/>
    <n v="19.756770000000003"/>
    <n v="0"/>
    <n v="71.532460825957315"/>
    <n v="25.176431205988941"/>
  </r>
  <r>
    <s v="Regular"/>
    <x v="4"/>
    <x v="4"/>
    <x v="0"/>
    <x v="0"/>
    <x v="0"/>
    <x v="0"/>
    <x v="2"/>
    <x v="4"/>
    <n v="0"/>
    <n v="0"/>
    <n v="8.5449999999999999"/>
    <n v="8.5449999999999999"/>
    <n v="8.5449999999999999"/>
    <n v="8.5449999999999999"/>
    <n v="0"/>
    <x v="0"/>
    <n v="0"/>
    <n v="0"/>
    <n v="42"/>
    <n v="82"/>
    <n v="0"/>
    <n v="1010.32"/>
    <n v="346.61"/>
    <m/>
    <n v="1254.9554530869705"/>
    <n v="441.69177554366559"/>
    <n v="0"/>
    <n v="8633.1844000000001"/>
    <n v="2961.7824500000002"/>
    <n v="0"/>
    <n v="10723.594346628162"/>
    <n v="3774.2562220206223"/>
  </r>
  <r>
    <s v="Sistema de Compensação"/>
    <x v="4"/>
    <x v="4"/>
    <x v="0"/>
    <x v="0"/>
    <x v="0"/>
    <x v="0"/>
    <x v="2"/>
    <x v="4"/>
    <n v="0"/>
    <n v="0"/>
    <n v="0.03"/>
    <n v="0.03"/>
    <n v="0.03"/>
    <n v="0.03"/>
    <n v="0"/>
    <x v="0"/>
    <n v="0"/>
    <n v="0"/>
    <n v="42"/>
    <n v="82"/>
    <n v="0"/>
    <n v="1010.32"/>
    <n v="346.61"/>
    <m/>
    <n v="1254.9554530869705"/>
    <n v="441.69177554366559"/>
    <n v="0"/>
    <n v="30.3096"/>
    <n v="10.398300000000001"/>
    <n v="0"/>
    <n v="37.648663592609111"/>
    <n v="13.250753266309967"/>
  </r>
  <r>
    <s v="Regular"/>
    <x v="4"/>
    <x v="4"/>
    <x v="0"/>
    <x v="0"/>
    <x v="0"/>
    <x v="0"/>
    <x v="2"/>
    <x v="5"/>
    <n v="0"/>
    <n v="0"/>
    <n v="10.036"/>
    <n v="10.036"/>
    <n v="10.036"/>
    <n v="10.036"/>
    <n v="0"/>
    <x v="0"/>
    <n v="0"/>
    <n v="0"/>
    <n v="42"/>
    <n v="82"/>
    <n v="0"/>
    <n v="1010.32"/>
    <n v="346.61"/>
    <m/>
    <n v="1254.9554530869705"/>
    <n v="441.69177554366559"/>
    <n v="0"/>
    <n v="10139.57152"/>
    <n v="3478.5779600000001"/>
    <n v="0"/>
    <n v="12594.732927180836"/>
    <n v="4432.8186593562277"/>
  </r>
  <r>
    <s v="Sistema de Compensação"/>
    <x v="4"/>
    <x v="4"/>
    <x v="0"/>
    <x v="0"/>
    <x v="0"/>
    <x v="0"/>
    <x v="2"/>
    <x v="5"/>
    <n v="0"/>
    <n v="0"/>
    <n v="4.8000000000000001E-2"/>
    <n v="4.8000000000000001E-2"/>
    <n v="4.8000000000000001E-2"/>
    <n v="4.8000000000000001E-2"/>
    <n v="0"/>
    <x v="0"/>
    <n v="0"/>
    <n v="0"/>
    <n v="42"/>
    <n v="82"/>
    <n v="0"/>
    <n v="1010.32"/>
    <n v="346.61"/>
    <m/>
    <n v="1254.9554530869705"/>
    <n v="441.69177554366559"/>
    <n v="0"/>
    <n v="48.495360000000005"/>
    <n v="16.637280000000001"/>
    <n v="0"/>
    <n v="60.237861748174581"/>
    <n v="21.201205226095947"/>
  </r>
  <r>
    <s v="Regular"/>
    <x v="4"/>
    <x v="4"/>
    <x v="0"/>
    <x v="0"/>
    <x v="0"/>
    <x v="0"/>
    <x v="2"/>
    <x v="6"/>
    <n v="0"/>
    <n v="0"/>
    <n v="9.1769999999999996"/>
    <n v="9.1769999999999996"/>
    <n v="9.1769999999999996"/>
    <n v="9.1769999999999996"/>
    <n v="0"/>
    <x v="0"/>
    <n v="0"/>
    <n v="0"/>
    <n v="42"/>
    <n v="82"/>
    <n v="0"/>
    <n v="1010.32"/>
    <n v="346.61"/>
    <m/>
    <n v="1254.9554530869705"/>
    <n v="441.69177554366559"/>
    <n v="0"/>
    <n v="9271.7066400000003"/>
    <n v="3180.83997"/>
    <n v="0"/>
    <n v="11516.726192979128"/>
    <n v="4053.4054241642189"/>
  </r>
  <r>
    <s v="Refaturamento - Regular"/>
    <x v="4"/>
    <x v="4"/>
    <x v="0"/>
    <x v="0"/>
    <x v="0"/>
    <x v="0"/>
    <x v="2"/>
    <x v="6"/>
    <n v="0"/>
    <n v="0"/>
    <n v="-7.0999999999999994E-2"/>
    <n v="-7.0999999999999994E-2"/>
    <n v="-7.0999999999999994E-2"/>
    <n v="-7.0999999999999994E-2"/>
    <n v="0"/>
    <x v="0"/>
    <n v="0"/>
    <n v="0"/>
    <n v="42"/>
    <n v="82"/>
    <n v="0"/>
    <n v="1010.32"/>
    <n v="346.61"/>
    <m/>
    <n v="1254.9554530869705"/>
    <n v="441.69177554366559"/>
    <n v="0"/>
    <n v="-71.73272"/>
    <n v="-24.609309999999997"/>
    <n v="0"/>
    <n v="-89.1018371691749"/>
    <n v="-31.360116063600255"/>
  </r>
  <r>
    <s v="Sistema de Compensação"/>
    <x v="4"/>
    <x v="4"/>
    <x v="0"/>
    <x v="0"/>
    <x v="0"/>
    <x v="0"/>
    <x v="2"/>
    <x v="6"/>
    <n v="0"/>
    <n v="0"/>
    <n v="3.5000000000000003E-2"/>
    <n v="3.5000000000000003E-2"/>
    <n v="3.5000000000000003E-2"/>
    <n v="3.5000000000000003E-2"/>
    <n v="0"/>
    <x v="0"/>
    <n v="0"/>
    <n v="0"/>
    <n v="42"/>
    <n v="82"/>
    <n v="0"/>
    <n v="1010.32"/>
    <n v="346.61"/>
    <m/>
    <n v="1254.9554530869705"/>
    <n v="441.69177554366559"/>
    <n v="0"/>
    <n v="35.361200000000004"/>
    <n v="12.131350000000001"/>
    <n v="0"/>
    <n v="43.923440858043968"/>
    <n v="15.459212144028298"/>
  </r>
  <r>
    <s v="Regular"/>
    <x v="4"/>
    <x v="4"/>
    <x v="0"/>
    <x v="0"/>
    <x v="0"/>
    <x v="0"/>
    <x v="2"/>
    <x v="7"/>
    <n v="0"/>
    <n v="0"/>
    <n v="10.515000000000001"/>
    <n v="10.515000000000001"/>
    <n v="10.515000000000001"/>
    <n v="10.515000000000001"/>
    <n v="0"/>
    <x v="0"/>
    <n v="0"/>
    <n v="0"/>
    <n v="42"/>
    <n v="82"/>
    <n v="0"/>
    <n v="1010.32"/>
    <n v="346.61"/>
    <m/>
    <n v="1254.9554530869705"/>
    <n v="441.69177554366559"/>
    <n v="0"/>
    <n v="10623.514800000001"/>
    <n v="3644.6041500000001"/>
    <n v="0"/>
    <n v="13195.856589209496"/>
    <n v="4644.3890198416439"/>
  </r>
  <r>
    <s v="Sistema de Compensação"/>
    <x v="4"/>
    <x v="4"/>
    <x v="0"/>
    <x v="0"/>
    <x v="0"/>
    <x v="0"/>
    <x v="2"/>
    <x v="7"/>
    <n v="0"/>
    <n v="0"/>
    <n v="1.6E-2"/>
    <n v="1.6E-2"/>
    <n v="1.6E-2"/>
    <n v="1.6E-2"/>
    <n v="0"/>
    <x v="0"/>
    <n v="0"/>
    <n v="0"/>
    <n v="42"/>
    <n v="82"/>
    <n v="0"/>
    <n v="1010.32"/>
    <n v="346.61"/>
    <m/>
    <n v="1254.9554530869705"/>
    <n v="441.69177554366559"/>
    <n v="0"/>
    <n v="16.165120000000002"/>
    <n v="5.5457600000000005"/>
    <n v="0"/>
    <n v="20.079287249391527"/>
    <n v="7.0670684086986499"/>
  </r>
  <r>
    <s v="Regular"/>
    <x v="4"/>
    <x v="4"/>
    <x v="0"/>
    <x v="0"/>
    <x v="0"/>
    <x v="0"/>
    <x v="2"/>
    <x v="8"/>
    <n v="0"/>
    <n v="0"/>
    <n v="9.4600000000000009"/>
    <n v="9.4600000000000009"/>
    <n v="9.4600000000000009"/>
    <n v="9.4600000000000009"/>
    <n v="0"/>
    <x v="0"/>
    <n v="0"/>
    <n v="0"/>
    <n v="42"/>
    <n v="82"/>
    <n v="0"/>
    <n v="1010.32"/>
    <n v="346.61"/>
    <m/>
    <n v="1254.9554530869705"/>
    <n v="441.69177554366559"/>
    <n v="0"/>
    <n v="9557.6272000000008"/>
    <n v="3278.9306000000006"/>
    <n v="0"/>
    <n v="11871.878586202742"/>
    <n v="4178.4041966430768"/>
  </r>
  <r>
    <s v="Sistema de Compensação"/>
    <x v="4"/>
    <x v="4"/>
    <x v="0"/>
    <x v="0"/>
    <x v="0"/>
    <x v="0"/>
    <x v="2"/>
    <x v="8"/>
    <n v="0"/>
    <n v="0"/>
    <n v="1.0999999999999999E-2"/>
    <n v="1.0999999999999999E-2"/>
    <n v="1.0999999999999999E-2"/>
    <n v="1.0999999999999999E-2"/>
    <n v="0"/>
    <x v="0"/>
    <n v="0"/>
    <n v="0"/>
    <n v="42"/>
    <n v="82"/>
    <n v="0"/>
    <n v="1010.32"/>
    <n v="346.61"/>
    <m/>
    <n v="1254.9554530869705"/>
    <n v="441.69177554366559"/>
    <n v="0"/>
    <n v="11.113519999999999"/>
    <n v="3.81271"/>
    <n v="0"/>
    <n v="13.804509983956674"/>
    <n v="4.8586095309803214"/>
  </r>
  <r>
    <s v="Regular"/>
    <x v="4"/>
    <x v="4"/>
    <x v="0"/>
    <x v="0"/>
    <x v="0"/>
    <x v="0"/>
    <x v="2"/>
    <x v="9"/>
    <n v="0"/>
    <n v="0"/>
    <n v="10.082000000000001"/>
    <n v="10.082000000000001"/>
    <n v="10.082000000000001"/>
    <n v="10.082000000000001"/>
    <n v="0"/>
    <x v="0"/>
    <n v="0"/>
    <n v="0"/>
    <n v="42"/>
    <n v="82"/>
    <n v="0"/>
    <n v="1010.32"/>
    <n v="346.61"/>
    <m/>
    <n v="1254.9554530869705"/>
    <n v="441.69177554366559"/>
    <n v="0"/>
    <n v="10186.046240000001"/>
    <n v="3494.5220200000003"/>
    <n v="0"/>
    <n v="12652.460878022837"/>
    <n v="4453.1364810312371"/>
  </r>
  <r>
    <s v="Sistema de Compensação"/>
    <x v="4"/>
    <x v="4"/>
    <x v="0"/>
    <x v="0"/>
    <x v="0"/>
    <x v="0"/>
    <x v="2"/>
    <x v="9"/>
    <n v="0"/>
    <n v="0"/>
    <n v="8.9999999999999993E-3"/>
    <n v="8.9999999999999993E-3"/>
    <n v="8.9999999999999993E-3"/>
    <n v="8.9999999999999993E-3"/>
    <n v="0"/>
    <x v="0"/>
    <n v="0"/>
    <n v="0"/>
    <n v="42"/>
    <n v="82"/>
    <n v="0"/>
    <n v="1010.32"/>
    <n v="346.61"/>
    <m/>
    <n v="1254.9554530869705"/>
    <n v="441.69177554366559"/>
    <n v="0"/>
    <n v="9.0928799999999992"/>
    <n v="3.1194899999999999"/>
    <n v="0"/>
    <n v="11.294599077782733"/>
    <n v="3.9752259798929899"/>
  </r>
  <r>
    <s v="Regular"/>
    <x v="4"/>
    <x v="4"/>
    <x v="0"/>
    <x v="0"/>
    <x v="0"/>
    <x v="0"/>
    <x v="2"/>
    <x v="10"/>
    <n v="0"/>
    <n v="0"/>
    <n v="11.125"/>
    <n v="11.125"/>
    <n v="11.125"/>
    <n v="11.125"/>
    <n v="0"/>
    <x v="0"/>
    <n v="0"/>
    <n v="0"/>
    <n v="42"/>
    <n v="82"/>
    <n v="0"/>
    <n v="1010.32"/>
    <n v="346.61"/>
    <m/>
    <n v="1254.9554530869705"/>
    <n v="441.69177554366559"/>
    <n v="0"/>
    <n v="11239.810000000001"/>
    <n v="3856.0362500000001"/>
    <n v="0"/>
    <n v="13961.379415592546"/>
    <n v="4913.8210029232796"/>
  </r>
  <r>
    <s v="Sistema de Compensação"/>
    <x v="4"/>
    <x v="4"/>
    <x v="0"/>
    <x v="0"/>
    <x v="0"/>
    <x v="0"/>
    <x v="2"/>
    <x v="10"/>
    <n v="0"/>
    <n v="0"/>
    <n v="8.0000000000000002E-3"/>
    <n v="8.0000000000000002E-3"/>
    <n v="8.0000000000000002E-3"/>
    <n v="8.0000000000000002E-3"/>
    <n v="0"/>
    <x v="0"/>
    <n v="0"/>
    <n v="0"/>
    <n v="42"/>
    <n v="82"/>
    <n v="0"/>
    <n v="1010.32"/>
    <n v="346.61"/>
    <m/>
    <n v="1254.9554530869705"/>
    <n v="441.69177554366559"/>
    <n v="0"/>
    <n v="8.0825600000000009"/>
    <n v="2.7728800000000002"/>
    <n v="0"/>
    <n v="10.039643624695763"/>
    <n v="3.533534204349325"/>
  </r>
  <r>
    <s v="PROJETADO"/>
    <x v="4"/>
    <x v="4"/>
    <x v="0"/>
    <x v="0"/>
    <x v="0"/>
    <x v="0"/>
    <x v="2"/>
    <x v="11"/>
    <n v="0"/>
    <n v="0"/>
    <n v="11.125"/>
    <n v="11.125"/>
    <n v="11.125"/>
    <n v="11.125"/>
    <n v="0"/>
    <x v="0"/>
    <n v="0"/>
    <n v="0"/>
    <n v="42"/>
    <n v="82"/>
    <n v="0"/>
    <n v="1010.32"/>
    <n v="346.61"/>
    <m/>
    <n v="1254.9554530869705"/>
    <n v="441.69177554366559"/>
    <n v="0"/>
    <n v="11239.810000000001"/>
    <n v="3856.0362500000001"/>
    <n v="0"/>
    <n v="13961.379415592546"/>
    <n v="4913.8210029232796"/>
  </r>
  <r>
    <s v="PROJETADO"/>
    <x v="4"/>
    <x v="4"/>
    <x v="0"/>
    <x v="0"/>
    <x v="0"/>
    <x v="0"/>
    <x v="2"/>
    <x v="11"/>
    <n v="0"/>
    <n v="0"/>
    <n v="8.0000000000000002E-3"/>
    <n v="8.0000000000000002E-3"/>
    <n v="8.0000000000000002E-3"/>
    <n v="8.0000000000000002E-3"/>
    <n v="0"/>
    <x v="0"/>
    <n v="0"/>
    <n v="0"/>
    <n v="42"/>
    <n v="82"/>
    <n v="0"/>
    <n v="1010.32"/>
    <n v="346.61"/>
    <m/>
    <n v="1254.9554530869705"/>
    <n v="441.69177554366559"/>
    <n v="0"/>
    <n v="8.0825600000000009"/>
    <n v="2.7728800000000002"/>
    <n v="0"/>
    <n v="10.039643624695763"/>
    <n v="3.533534204349325"/>
  </r>
  <r>
    <s v="Regular"/>
    <x v="4"/>
    <x v="4"/>
    <x v="6"/>
    <x v="0"/>
    <x v="0"/>
    <x v="0"/>
    <x v="0"/>
    <x v="0"/>
    <n v="0"/>
    <n v="0"/>
    <n v="9.4350000000000005"/>
    <n v="9.4350000000000005"/>
    <n v="9.4350000000000005"/>
    <n v="9.4350000000000005"/>
    <n v="0"/>
    <x v="0"/>
    <n v="0"/>
    <n v="0"/>
    <n v="44"/>
    <n v="84"/>
    <n v="0"/>
    <n v="304.7"/>
    <n v="219.97"/>
    <m/>
    <n v="379.45760801787162"/>
    <n v="283.40928728637363"/>
    <n v="0"/>
    <n v="2874.8445000000002"/>
    <n v="2075.4169500000003"/>
    <n v="0"/>
    <n v="3580.1825316486188"/>
    <n v="2673.9666255469351"/>
  </r>
  <r>
    <s v="Regular"/>
    <x v="4"/>
    <x v="4"/>
    <x v="6"/>
    <x v="0"/>
    <x v="0"/>
    <x v="0"/>
    <x v="0"/>
    <x v="1"/>
    <n v="0"/>
    <n v="0"/>
    <n v="7.9790000000000001"/>
    <n v="7.9790000000000001"/>
    <n v="7.9790000000000001"/>
    <n v="7.9790000000000001"/>
    <n v="0"/>
    <x v="0"/>
    <n v="0"/>
    <n v="0"/>
    <n v="44"/>
    <n v="84"/>
    <n v="0"/>
    <n v="304.7"/>
    <n v="219.97"/>
    <m/>
    <n v="379.45760801787162"/>
    <n v="283.40928728637363"/>
    <n v="0"/>
    <n v="2431.2012999999997"/>
    <n v="1755.1406300000001"/>
    <n v="0"/>
    <n v="3027.6922543745977"/>
    <n v="2261.3227032579753"/>
  </r>
  <r>
    <s v="Regular"/>
    <x v="4"/>
    <x v="4"/>
    <x v="6"/>
    <x v="0"/>
    <x v="0"/>
    <x v="0"/>
    <x v="0"/>
    <x v="2"/>
    <n v="0"/>
    <n v="0"/>
    <n v="6.8819999999999997"/>
    <n v="6.8819999999999997"/>
    <n v="6.8819999999999997"/>
    <n v="6.8819999999999997"/>
    <n v="0"/>
    <x v="0"/>
    <n v="0"/>
    <n v="0"/>
    <n v="44"/>
    <n v="84"/>
    <n v="0"/>
    <n v="304.7"/>
    <n v="219.97"/>
    <m/>
    <n v="379.45760801787162"/>
    <n v="283.40928728637363"/>
    <n v="0"/>
    <n v="2096.9453999999996"/>
    <n v="1513.8335399999999"/>
    <n v="0"/>
    <n v="2611.4272583789925"/>
    <n v="1950.4227151048233"/>
  </r>
  <r>
    <s v="Regular"/>
    <x v="4"/>
    <x v="4"/>
    <x v="6"/>
    <x v="0"/>
    <x v="0"/>
    <x v="0"/>
    <x v="0"/>
    <x v="3"/>
    <n v="0"/>
    <n v="0"/>
    <n v="7.0830000000000002"/>
    <n v="7.0830000000000002"/>
    <n v="7.0830000000000002"/>
    <n v="7.0830000000000002"/>
    <n v="0"/>
    <x v="0"/>
    <n v="0"/>
    <n v="0"/>
    <n v="44"/>
    <n v="84"/>
    <n v="0"/>
    <n v="304.7"/>
    <n v="219.97"/>
    <m/>
    <n v="379.45760801787162"/>
    <n v="283.40928728637363"/>
    <n v="0"/>
    <n v="2158.1900999999998"/>
    <n v="1558.0475100000001"/>
    <n v="0"/>
    <n v="2687.6982375905845"/>
    <n v="2007.3879818493845"/>
  </r>
  <r>
    <s v="Regular"/>
    <x v="4"/>
    <x v="4"/>
    <x v="6"/>
    <x v="0"/>
    <x v="0"/>
    <x v="0"/>
    <x v="0"/>
    <x v="4"/>
    <n v="0"/>
    <n v="0"/>
    <n v="8.4890000000000008"/>
    <n v="8.4890000000000008"/>
    <n v="8.4890000000000008"/>
    <n v="8.4890000000000008"/>
    <n v="0"/>
    <x v="0"/>
    <n v="0"/>
    <n v="0"/>
    <n v="44"/>
    <n v="84"/>
    <n v="0"/>
    <n v="304.7"/>
    <n v="219.97"/>
    <m/>
    <n v="379.45760801787162"/>
    <n v="283.40928728637363"/>
    <n v="0"/>
    <n v="2586.5983000000001"/>
    <n v="1867.3253300000001"/>
    <n v="0"/>
    <n v="3221.2156344637124"/>
    <n v="2405.8614397740257"/>
  </r>
  <r>
    <s v="Regular"/>
    <x v="4"/>
    <x v="4"/>
    <x v="6"/>
    <x v="0"/>
    <x v="0"/>
    <x v="0"/>
    <x v="0"/>
    <x v="5"/>
    <n v="0"/>
    <n v="0"/>
    <n v="10.281000000000001"/>
    <n v="10.281000000000001"/>
    <n v="10.281000000000001"/>
    <n v="10.281000000000001"/>
    <n v="0"/>
    <x v="0"/>
    <n v="0"/>
    <n v="0"/>
    <n v="44"/>
    <n v="84"/>
    <n v="0"/>
    <n v="304.7"/>
    <n v="219.97"/>
    <m/>
    <n v="379.45760801787162"/>
    <n v="283.40928728637363"/>
    <n v="0"/>
    <n v="3132.6206999999999"/>
    <n v="2261.5115700000001"/>
    <n v="0"/>
    <n v="3901.2036680317383"/>
    <n v="2913.7308825912073"/>
  </r>
  <r>
    <s v="Regular"/>
    <x v="4"/>
    <x v="4"/>
    <x v="6"/>
    <x v="0"/>
    <x v="0"/>
    <x v="0"/>
    <x v="0"/>
    <x v="6"/>
    <n v="0"/>
    <n v="0"/>
    <n v="10.707000000000001"/>
    <n v="10.707000000000001"/>
    <n v="10.707000000000001"/>
    <n v="10.707000000000001"/>
    <n v="0"/>
    <x v="0"/>
    <n v="0"/>
    <n v="0"/>
    <n v="44"/>
    <n v="84"/>
    <n v="0"/>
    <n v="304.7"/>
    <n v="219.97"/>
    <m/>
    <n v="379.45760801787162"/>
    <n v="283.40928728637363"/>
    <n v="0"/>
    <n v="3262.4229"/>
    <n v="2355.2187900000004"/>
    <n v="0"/>
    <n v="4062.8526090473515"/>
    <n v="3034.4632389752028"/>
  </r>
  <r>
    <s v="Regular"/>
    <x v="4"/>
    <x v="4"/>
    <x v="6"/>
    <x v="0"/>
    <x v="0"/>
    <x v="0"/>
    <x v="0"/>
    <x v="7"/>
    <n v="0"/>
    <n v="0"/>
    <n v="12.432"/>
    <n v="12.432"/>
    <n v="12.432"/>
    <n v="12.432"/>
    <n v="0"/>
    <x v="0"/>
    <n v="0"/>
    <n v="0"/>
    <n v="44"/>
    <n v="84"/>
    <n v="0"/>
    <n v="304.7"/>
    <n v="219.97"/>
    <m/>
    <n v="379.45760801787162"/>
    <n v="283.40928728637363"/>
    <n v="0"/>
    <n v="3788.0304000000001"/>
    <n v="2734.6670400000003"/>
    <n v="0"/>
    <n v="4717.4169828781805"/>
    <n v="3523.344259544197"/>
  </r>
  <r>
    <s v="Regular"/>
    <x v="4"/>
    <x v="4"/>
    <x v="6"/>
    <x v="0"/>
    <x v="0"/>
    <x v="0"/>
    <x v="0"/>
    <x v="8"/>
    <n v="0"/>
    <n v="0"/>
    <n v="9.625"/>
    <n v="9.625"/>
    <n v="9.625"/>
    <n v="9.625"/>
    <n v="0"/>
    <x v="0"/>
    <n v="0"/>
    <n v="0"/>
    <n v="44"/>
    <n v="84"/>
    <n v="0"/>
    <n v="304.7"/>
    <n v="219.97"/>
    <m/>
    <n v="379.45760801787162"/>
    <n v="283.40928728637363"/>
    <n v="0"/>
    <n v="2932.7374999999997"/>
    <n v="2117.2112499999998"/>
    <n v="0"/>
    <n v="3652.2794771720141"/>
    <n v="2727.814390131346"/>
  </r>
  <r>
    <s v="Regular"/>
    <x v="4"/>
    <x v="4"/>
    <x v="6"/>
    <x v="0"/>
    <x v="0"/>
    <x v="0"/>
    <x v="0"/>
    <x v="9"/>
    <n v="0"/>
    <n v="0"/>
    <n v="9.8699999999999992"/>
    <n v="9.8699999999999992"/>
    <n v="9.8699999999999992"/>
    <n v="9.8699999999999992"/>
    <n v="0"/>
    <x v="0"/>
    <n v="0"/>
    <n v="0"/>
    <n v="44"/>
    <n v="84"/>
    <n v="0"/>
    <n v="304.7"/>
    <n v="219.97"/>
    <m/>
    <n v="379.45760801787162"/>
    <n v="283.40928728637363"/>
    <n v="0"/>
    <n v="3007.3889999999997"/>
    <n v="2171.1038999999996"/>
    <n v="0"/>
    <n v="3745.2465911363925"/>
    <n v="2797.2496655165073"/>
  </r>
  <r>
    <s v="Regular"/>
    <x v="4"/>
    <x v="4"/>
    <x v="6"/>
    <x v="0"/>
    <x v="0"/>
    <x v="0"/>
    <x v="0"/>
    <x v="10"/>
    <n v="0"/>
    <n v="0"/>
    <n v="9.7780000000000005"/>
    <n v="9.7780000000000005"/>
    <n v="9.7780000000000005"/>
    <n v="9.7780000000000005"/>
    <n v="0"/>
    <x v="0"/>
    <n v="0"/>
    <n v="0"/>
    <n v="44"/>
    <n v="84"/>
    <n v="0"/>
    <n v="304.7"/>
    <n v="219.97"/>
    <m/>
    <n v="379.45760801787162"/>
    <n v="283.40928728637363"/>
    <n v="0"/>
    <n v="2979.3566000000001"/>
    <n v="2150.8666600000001"/>
    <n v="0"/>
    <n v="3710.3364911987487"/>
    <n v="2771.1760110861615"/>
  </r>
  <r>
    <s v="PROJETADO"/>
    <x v="4"/>
    <x v="4"/>
    <x v="6"/>
    <x v="0"/>
    <x v="0"/>
    <x v="0"/>
    <x v="0"/>
    <x v="11"/>
    <n v="0"/>
    <n v="0"/>
    <n v="9.7780000000000005"/>
    <n v="9.7780000000000005"/>
    <n v="9.7780000000000005"/>
    <n v="9.7780000000000005"/>
    <n v="0"/>
    <x v="0"/>
    <n v="0"/>
    <n v="0"/>
    <n v="44"/>
    <n v="84"/>
    <n v="0"/>
    <n v="304.7"/>
    <n v="219.97"/>
    <m/>
    <n v="379.45760801787162"/>
    <n v="283.40928728637363"/>
    <n v="0"/>
    <n v="2979.3566000000001"/>
    <n v="2150.8666600000001"/>
    <n v="0"/>
    <n v="3710.3364911987487"/>
    <n v="2771.1760110861615"/>
  </r>
  <r>
    <s v="Regular"/>
    <x v="4"/>
    <x v="4"/>
    <x v="6"/>
    <x v="0"/>
    <x v="0"/>
    <x v="0"/>
    <x v="3"/>
    <x v="0"/>
    <n v="0"/>
    <n v="0"/>
    <n v="0.66400000000000003"/>
    <n v="0.66400000000000003"/>
    <n v="0.66400000000000003"/>
    <n v="0.66400000000000003"/>
    <n v="0"/>
    <x v="0"/>
    <n v="0"/>
    <n v="0"/>
    <n v="43"/>
    <n v="83"/>
    <n v="0"/>
    <n v="657.51"/>
    <n v="219.97"/>
    <m/>
    <n v="817.20668325562065"/>
    <n v="283.40928728637363"/>
    <n v="0"/>
    <n v="436.58663999999999"/>
    <n v="146.06008"/>
    <n v="0"/>
    <n v="542.62523768173219"/>
    <n v="188.1837667581521"/>
  </r>
  <r>
    <s v="Regular"/>
    <x v="4"/>
    <x v="4"/>
    <x v="6"/>
    <x v="0"/>
    <x v="0"/>
    <x v="0"/>
    <x v="3"/>
    <x v="1"/>
    <n v="0"/>
    <n v="0"/>
    <n v="0.51300000000000001"/>
    <n v="0.51300000000000001"/>
    <n v="0.51300000000000001"/>
    <n v="0.51300000000000001"/>
    <n v="0"/>
    <x v="0"/>
    <n v="0"/>
    <n v="0"/>
    <n v="43"/>
    <n v="83"/>
    <n v="0"/>
    <n v="657.51"/>
    <n v="219.97"/>
    <m/>
    <n v="817.20668325562065"/>
    <n v="283.40928728637363"/>
    <n v="0"/>
    <n v="337.30263000000002"/>
    <n v="112.84461"/>
    <n v="0"/>
    <n v="419.22702851013338"/>
    <n v="145.38896437790967"/>
  </r>
  <r>
    <s v="Regular"/>
    <x v="4"/>
    <x v="4"/>
    <x v="6"/>
    <x v="0"/>
    <x v="0"/>
    <x v="0"/>
    <x v="3"/>
    <x v="2"/>
    <n v="0"/>
    <n v="0"/>
    <n v="0.42799999999999999"/>
    <n v="0.42799999999999999"/>
    <n v="0.42799999999999999"/>
    <n v="0.42799999999999999"/>
    <n v="0"/>
    <x v="0"/>
    <n v="0"/>
    <n v="0"/>
    <n v="43"/>
    <n v="83"/>
    <n v="0"/>
    <n v="657.51"/>
    <n v="219.97"/>
    <m/>
    <n v="817.20668325562065"/>
    <n v="283.40928728637363"/>
    <n v="0"/>
    <n v="281.41427999999996"/>
    <n v="94.14716"/>
    <n v="0"/>
    <n v="349.76446043340565"/>
    <n v="121.2991749585679"/>
  </r>
  <r>
    <s v="Regular"/>
    <x v="4"/>
    <x v="4"/>
    <x v="6"/>
    <x v="0"/>
    <x v="0"/>
    <x v="0"/>
    <x v="3"/>
    <x v="3"/>
    <n v="0"/>
    <n v="0"/>
    <n v="0.49299999999999999"/>
    <n v="0.49299999999999999"/>
    <n v="0.49299999999999999"/>
    <n v="0.49299999999999999"/>
    <n v="0"/>
    <x v="0"/>
    <n v="0"/>
    <n v="0"/>
    <n v="43"/>
    <n v="83"/>
    <n v="0"/>
    <n v="657.51"/>
    <n v="219.97"/>
    <m/>
    <n v="817.20668325562065"/>
    <n v="283.40928728637363"/>
    <n v="0"/>
    <n v="324.15242999999998"/>
    <n v="108.44521"/>
    <n v="0"/>
    <n v="402.88289484502099"/>
    <n v="139.7207786321822"/>
  </r>
  <r>
    <s v="Regular"/>
    <x v="4"/>
    <x v="4"/>
    <x v="6"/>
    <x v="0"/>
    <x v="0"/>
    <x v="0"/>
    <x v="3"/>
    <x v="4"/>
    <n v="0"/>
    <n v="0"/>
    <n v="0.58199999999999996"/>
    <n v="0.58199999999999996"/>
    <n v="0.58199999999999996"/>
    <n v="0.58199999999999996"/>
    <n v="0"/>
    <x v="0"/>
    <n v="0"/>
    <n v="0"/>
    <n v="43"/>
    <n v="83"/>
    <n v="0"/>
    <n v="657.51"/>
    <n v="219.97"/>
    <m/>
    <n v="817.20668325562065"/>
    <n v="283.40928728637363"/>
    <n v="0"/>
    <n v="382.67081999999999"/>
    <n v="128.02253999999999"/>
    <n v="0"/>
    <n v="475.6142896547712"/>
    <n v="164.94420520066944"/>
  </r>
  <r>
    <s v="Regular"/>
    <x v="4"/>
    <x v="4"/>
    <x v="6"/>
    <x v="0"/>
    <x v="0"/>
    <x v="0"/>
    <x v="3"/>
    <x v="5"/>
    <n v="0"/>
    <n v="0"/>
    <n v="0.73899999999999999"/>
    <n v="0.73899999999999999"/>
    <n v="0.73899999999999999"/>
    <n v="0.73899999999999999"/>
    <n v="0"/>
    <x v="0"/>
    <n v="0"/>
    <n v="0"/>
    <n v="43"/>
    <n v="83"/>
    <n v="0"/>
    <n v="657.51"/>
    <n v="219.97"/>
    <m/>
    <n v="817.20668325562065"/>
    <n v="283.40928728637363"/>
    <n v="0"/>
    <n v="485.89988999999997"/>
    <n v="162.55783"/>
    <n v="0"/>
    <n v="603.91573892590361"/>
    <n v="209.4394633046301"/>
  </r>
  <r>
    <s v="Regular"/>
    <x v="4"/>
    <x v="4"/>
    <x v="6"/>
    <x v="0"/>
    <x v="0"/>
    <x v="0"/>
    <x v="3"/>
    <x v="6"/>
    <n v="0"/>
    <n v="0"/>
    <n v="0.78600000000000003"/>
    <n v="0.78600000000000003"/>
    <n v="0.78600000000000003"/>
    <n v="0.78600000000000003"/>
    <n v="0"/>
    <x v="0"/>
    <n v="0"/>
    <n v="0"/>
    <n v="43"/>
    <n v="83"/>
    <n v="0"/>
    <n v="657.51"/>
    <n v="219.97"/>
    <m/>
    <n v="817.20668325562065"/>
    <n v="283.40928728637363"/>
    <n v="0"/>
    <n v="516.80286000000001"/>
    <n v="172.89642000000001"/>
    <n v="0"/>
    <n v="642.32445303891791"/>
    <n v="222.75969980708967"/>
  </r>
  <r>
    <s v="Regular"/>
    <x v="4"/>
    <x v="4"/>
    <x v="6"/>
    <x v="0"/>
    <x v="0"/>
    <x v="0"/>
    <x v="3"/>
    <x v="7"/>
    <n v="0"/>
    <n v="0"/>
    <n v="0.82899999999999996"/>
    <n v="0.82899999999999996"/>
    <n v="0.82899999999999996"/>
    <n v="0.82899999999999996"/>
    <n v="0"/>
    <x v="0"/>
    <n v="0"/>
    <n v="0"/>
    <n v="43"/>
    <n v="83"/>
    <n v="0"/>
    <n v="657.51"/>
    <n v="219.97"/>
    <m/>
    <n v="817.20668325562065"/>
    <n v="283.40928728637363"/>
    <n v="0"/>
    <n v="545.07578999999998"/>
    <n v="182.35513"/>
    <n v="0"/>
    <n v="677.4643404189095"/>
    <n v="234.94629916040373"/>
  </r>
  <r>
    <s v="Regular"/>
    <x v="4"/>
    <x v="4"/>
    <x v="6"/>
    <x v="0"/>
    <x v="0"/>
    <x v="0"/>
    <x v="3"/>
    <x v="8"/>
    <n v="0"/>
    <n v="0"/>
    <n v="0.68600000000000005"/>
    <n v="0.68600000000000005"/>
    <n v="0.68600000000000005"/>
    <n v="0.68600000000000005"/>
    <n v="0"/>
    <x v="0"/>
    <n v="0"/>
    <n v="0"/>
    <n v="43"/>
    <n v="83"/>
    <n v="0"/>
    <n v="657.51"/>
    <n v="219.97"/>
    <m/>
    <n v="817.20668325562065"/>
    <n v="283.40928728637363"/>
    <n v="0"/>
    <n v="451.05186000000003"/>
    <n v="150.89942000000002"/>
    <n v="0"/>
    <n v="560.60378471335582"/>
    <n v="194.41877107845232"/>
  </r>
  <r>
    <s v="Regular"/>
    <x v="4"/>
    <x v="4"/>
    <x v="6"/>
    <x v="0"/>
    <x v="0"/>
    <x v="0"/>
    <x v="3"/>
    <x v="9"/>
    <n v="0"/>
    <n v="0"/>
    <n v="0.69"/>
    <n v="0.69"/>
    <n v="0.69"/>
    <n v="0.69"/>
    <n v="0"/>
    <x v="0"/>
    <n v="0"/>
    <n v="0"/>
    <n v="43"/>
    <n v="83"/>
    <n v="0"/>
    <n v="657.51"/>
    <n v="219.97"/>
    <m/>
    <n v="817.20668325562065"/>
    <n v="283.40928728637363"/>
    <n v="0"/>
    <n v="453.68189999999998"/>
    <n v="151.77929999999998"/>
    <n v="0"/>
    <n v="563.87261144637819"/>
    <n v="195.55240822759779"/>
  </r>
  <r>
    <s v="Regular"/>
    <x v="4"/>
    <x v="4"/>
    <x v="6"/>
    <x v="0"/>
    <x v="0"/>
    <x v="0"/>
    <x v="3"/>
    <x v="10"/>
    <n v="0"/>
    <n v="0"/>
    <n v="0.68400000000000005"/>
    <n v="0.68400000000000005"/>
    <n v="0.68400000000000005"/>
    <n v="0.68400000000000005"/>
    <n v="0"/>
    <x v="0"/>
    <n v="0"/>
    <n v="0"/>
    <n v="43"/>
    <n v="83"/>
    <n v="0"/>
    <n v="657.51"/>
    <n v="219.97"/>
    <m/>
    <n v="817.20668325562065"/>
    <n v="283.40928728637363"/>
    <n v="0"/>
    <n v="449.73684000000003"/>
    <n v="150.45948000000001"/>
    <n v="0"/>
    <n v="558.96937134684458"/>
    <n v="193.85195250387957"/>
  </r>
  <r>
    <s v="PROJETADO"/>
    <x v="4"/>
    <x v="4"/>
    <x v="6"/>
    <x v="0"/>
    <x v="0"/>
    <x v="0"/>
    <x v="3"/>
    <x v="11"/>
    <n v="0"/>
    <n v="0"/>
    <n v="0.68400000000000005"/>
    <n v="0.68400000000000005"/>
    <n v="0.68400000000000005"/>
    <n v="0.68400000000000005"/>
    <n v="0"/>
    <x v="0"/>
    <n v="0"/>
    <n v="0"/>
    <n v="43"/>
    <n v="83"/>
    <n v="0"/>
    <n v="657.51"/>
    <n v="219.97"/>
    <m/>
    <n v="817.20668325562065"/>
    <n v="283.40928728637363"/>
    <n v="0"/>
    <n v="449.73684000000003"/>
    <n v="150.45948000000001"/>
    <n v="0"/>
    <n v="558.96937134684458"/>
    <n v="193.85195250387957"/>
  </r>
  <r>
    <s v="Regular"/>
    <x v="4"/>
    <x v="4"/>
    <x v="6"/>
    <x v="0"/>
    <x v="0"/>
    <x v="0"/>
    <x v="2"/>
    <x v="0"/>
    <n v="0"/>
    <n v="0"/>
    <n v="0.27700000000000002"/>
    <n v="0.27700000000000002"/>
    <n v="0.27700000000000002"/>
    <n v="0.27700000000000002"/>
    <n v="0"/>
    <x v="0"/>
    <n v="0"/>
    <n v="0"/>
    <n v="42"/>
    <n v="82"/>
    <n v="0"/>
    <n v="1010.32"/>
    <n v="346.61"/>
    <m/>
    <n v="1254.9554530869705"/>
    <n v="441.69177554366559"/>
    <n v="0"/>
    <n v="279.85864000000004"/>
    <n v="96.010970000000015"/>
    <n v="0"/>
    <n v="347.62266050509083"/>
    <n v="122.34862182559537"/>
  </r>
  <r>
    <s v="Regular"/>
    <x v="4"/>
    <x v="4"/>
    <x v="6"/>
    <x v="0"/>
    <x v="0"/>
    <x v="0"/>
    <x v="2"/>
    <x v="1"/>
    <n v="0"/>
    <n v="0"/>
    <n v="0.25800000000000001"/>
    <n v="0.25800000000000001"/>
    <n v="0.25800000000000001"/>
    <n v="0.25800000000000001"/>
    <n v="0"/>
    <x v="0"/>
    <n v="0"/>
    <n v="0"/>
    <n v="42"/>
    <n v="82"/>
    <n v="0"/>
    <n v="1010.32"/>
    <n v="346.61"/>
    <m/>
    <n v="1254.9554530869705"/>
    <n v="441.69177554366559"/>
    <n v="0"/>
    <n v="260.66256000000004"/>
    <n v="89.425380000000004"/>
    <n v="0"/>
    <n v="323.77850689643839"/>
    <n v="113.95647809026572"/>
  </r>
  <r>
    <s v="Regular"/>
    <x v="4"/>
    <x v="4"/>
    <x v="6"/>
    <x v="0"/>
    <x v="0"/>
    <x v="0"/>
    <x v="2"/>
    <x v="2"/>
    <n v="0"/>
    <n v="0"/>
    <n v="0.25700000000000001"/>
    <n v="0.25700000000000001"/>
    <n v="0.25700000000000001"/>
    <n v="0.25700000000000001"/>
    <n v="0"/>
    <x v="0"/>
    <n v="0"/>
    <n v="0"/>
    <n v="42"/>
    <n v="82"/>
    <n v="0"/>
    <n v="1010.32"/>
    <n v="346.61"/>
    <m/>
    <n v="1254.9554530869705"/>
    <n v="441.69177554366559"/>
    <n v="0"/>
    <n v="259.65224000000001"/>
    <n v="89.078770000000006"/>
    <n v="0"/>
    <n v="322.52355144335144"/>
    <n v="113.51478631472206"/>
  </r>
  <r>
    <s v="Regular"/>
    <x v="4"/>
    <x v="4"/>
    <x v="6"/>
    <x v="0"/>
    <x v="0"/>
    <x v="0"/>
    <x v="2"/>
    <x v="3"/>
    <n v="0"/>
    <n v="0"/>
    <n v="0.312"/>
    <n v="0.312"/>
    <n v="0.312"/>
    <n v="0.312"/>
    <n v="0"/>
    <x v="0"/>
    <n v="0"/>
    <n v="0"/>
    <n v="42"/>
    <n v="82"/>
    <n v="0"/>
    <n v="1010.32"/>
    <n v="346.61"/>
    <m/>
    <n v="1254.9554530869705"/>
    <n v="441.69177554366559"/>
    <n v="0"/>
    <n v="315.21984000000003"/>
    <n v="108.14232"/>
    <n v="0"/>
    <n v="391.54610136313477"/>
    <n v="137.80783396962366"/>
  </r>
  <r>
    <s v="Regular"/>
    <x v="4"/>
    <x v="4"/>
    <x v="6"/>
    <x v="0"/>
    <x v="0"/>
    <x v="0"/>
    <x v="2"/>
    <x v="4"/>
    <n v="0"/>
    <n v="0"/>
    <n v="0.41199999999999998"/>
    <n v="0.41199999999999998"/>
    <n v="0.41199999999999998"/>
    <n v="0.41199999999999998"/>
    <n v="0"/>
    <x v="0"/>
    <n v="0"/>
    <n v="0"/>
    <n v="42"/>
    <n v="82"/>
    <n v="0"/>
    <n v="1010.32"/>
    <n v="346.61"/>
    <m/>
    <n v="1254.9554530869705"/>
    <n v="441.69177554366559"/>
    <n v="0"/>
    <n v="416.25184000000002"/>
    <n v="142.80331999999999"/>
    <n v="0"/>
    <n v="517.04164667183181"/>
    <n v="181.9770115239902"/>
  </r>
  <r>
    <s v="Regular"/>
    <x v="4"/>
    <x v="4"/>
    <x v="6"/>
    <x v="0"/>
    <x v="0"/>
    <x v="0"/>
    <x v="2"/>
    <x v="5"/>
    <n v="0"/>
    <n v="0"/>
    <n v="0.57199999999999995"/>
    <n v="0.57199999999999995"/>
    <n v="0.57199999999999995"/>
    <n v="0.57199999999999995"/>
    <n v="0"/>
    <x v="0"/>
    <n v="0"/>
    <n v="0"/>
    <n v="42"/>
    <n v="82"/>
    <n v="0"/>
    <n v="1010.32"/>
    <n v="346.61"/>
    <m/>
    <n v="1254.9554530869705"/>
    <n v="441.69177554366559"/>
    <n v="0"/>
    <n v="577.90304000000003"/>
    <n v="198.26092"/>
    <n v="0"/>
    <n v="717.834519165747"/>
    <n v="252.64769561097668"/>
  </r>
  <r>
    <s v="Regular"/>
    <x v="4"/>
    <x v="4"/>
    <x v="6"/>
    <x v="0"/>
    <x v="0"/>
    <x v="0"/>
    <x v="2"/>
    <x v="6"/>
    <n v="0"/>
    <n v="0"/>
    <n v="0.58699999999999997"/>
    <n v="0.58699999999999997"/>
    <n v="0.58699999999999997"/>
    <n v="0.58699999999999997"/>
    <n v="0"/>
    <x v="0"/>
    <n v="0"/>
    <n v="0"/>
    <n v="42"/>
    <n v="82"/>
    <n v="0"/>
    <n v="1010.32"/>
    <n v="346.61"/>
    <m/>
    <n v="1254.9554530869705"/>
    <n v="441.69177554366559"/>
    <n v="0"/>
    <n v="593.05783999999994"/>
    <n v="203.46007"/>
    <n v="0"/>
    <n v="736.65885096205159"/>
    <n v="259.2730722441317"/>
  </r>
  <r>
    <s v="Regular"/>
    <x v="4"/>
    <x v="4"/>
    <x v="6"/>
    <x v="0"/>
    <x v="0"/>
    <x v="0"/>
    <x v="2"/>
    <x v="7"/>
    <n v="0"/>
    <n v="0"/>
    <n v="0.52800000000000002"/>
    <n v="0.52800000000000002"/>
    <n v="0.52800000000000002"/>
    <n v="0.52800000000000002"/>
    <n v="0"/>
    <x v="0"/>
    <n v="0"/>
    <n v="0"/>
    <n v="42"/>
    <n v="82"/>
    <n v="0"/>
    <n v="1010.32"/>
    <n v="346.61"/>
    <m/>
    <n v="1254.9554530869705"/>
    <n v="441.69177554366559"/>
    <n v="0"/>
    <n v="533.44896000000006"/>
    <n v="183.01008000000002"/>
    <n v="0"/>
    <n v="662.6164792299204"/>
    <n v="233.21325748705544"/>
  </r>
  <r>
    <s v="Regular"/>
    <x v="4"/>
    <x v="4"/>
    <x v="6"/>
    <x v="0"/>
    <x v="0"/>
    <x v="0"/>
    <x v="2"/>
    <x v="8"/>
    <n v="0"/>
    <n v="0"/>
    <n v="0.38400000000000001"/>
    <n v="0.38400000000000001"/>
    <n v="0.38400000000000001"/>
    <n v="0.38400000000000001"/>
    <n v="0"/>
    <x v="0"/>
    <n v="0"/>
    <n v="0"/>
    <n v="42"/>
    <n v="82"/>
    <n v="0"/>
    <n v="1010.32"/>
    <n v="346.61"/>
    <m/>
    <n v="1254.9554530869705"/>
    <n v="441.69177554366559"/>
    <n v="0"/>
    <n v="387.96288000000004"/>
    <n v="133.09824"/>
    <n v="0"/>
    <n v="481.90289398539664"/>
    <n v="169.60964180876758"/>
  </r>
  <r>
    <s v="Regular"/>
    <x v="4"/>
    <x v="4"/>
    <x v="6"/>
    <x v="0"/>
    <x v="0"/>
    <x v="0"/>
    <x v="2"/>
    <x v="9"/>
    <n v="0"/>
    <n v="0"/>
    <n v="0.43099999999999999"/>
    <n v="0.43099999999999999"/>
    <n v="0.43099999999999999"/>
    <n v="0.43099999999999999"/>
    <n v="0"/>
    <x v="0"/>
    <n v="0"/>
    <n v="0"/>
    <n v="42"/>
    <n v="82"/>
    <n v="0"/>
    <n v="1010.32"/>
    <n v="346.61"/>
    <m/>
    <n v="1254.9554530869705"/>
    <n v="441.69177554366559"/>
    <n v="0"/>
    <n v="435.44792000000001"/>
    <n v="149.38891000000001"/>
    <n v="0"/>
    <n v="540.88580028048432"/>
    <n v="190.36915525931985"/>
  </r>
  <r>
    <s v="Regular"/>
    <x v="4"/>
    <x v="4"/>
    <x v="6"/>
    <x v="0"/>
    <x v="0"/>
    <x v="0"/>
    <x v="2"/>
    <x v="10"/>
    <n v="0"/>
    <n v="0"/>
    <n v="0.46899999999999997"/>
    <n v="0.46899999999999997"/>
    <n v="0.46899999999999997"/>
    <n v="0.46899999999999997"/>
    <n v="0"/>
    <x v="0"/>
    <n v="0"/>
    <n v="0"/>
    <n v="42"/>
    <n v="82"/>
    <n v="0"/>
    <n v="1010.32"/>
    <n v="346.61"/>
    <m/>
    <n v="1254.9554530869705"/>
    <n v="441.69177554366559"/>
    <n v="0"/>
    <n v="473.84008"/>
    <n v="162.56009"/>
    <n v="0"/>
    <n v="588.5741074977891"/>
    <n v="207.15344272997913"/>
  </r>
  <r>
    <s v="PROJETADO"/>
    <x v="4"/>
    <x v="4"/>
    <x v="6"/>
    <x v="0"/>
    <x v="0"/>
    <x v="0"/>
    <x v="2"/>
    <x v="11"/>
    <n v="0"/>
    <n v="0"/>
    <n v="0.46899999999999997"/>
    <n v="0.46899999999999997"/>
    <n v="0.46899999999999997"/>
    <n v="0.46899999999999997"/>
    <n v="0"/>
    <x v="0"/>
    <n v="0"/>
    <n v="0"/>
    <n v="42"/>
    <n v="82"/>
    <n v="0"/>
    <n v="1010.32"/>
    <n v="346.61"/>
    <m/>
    <n v="1254.9554530869705"/>
    <n v="441.69177554366559"/>
    <n v="0"/>
    <n v="473.84008"/>
    <n v="162.56009"/>
    <n v="0"/>
    <n v="588.5741074977891"/>
    <n v="207.15344272997913"/>
  </r>
  <r>
    <s v="Regular"/>
    <x v="4"/>
    <x v="4"/>
    <x v="1"/>
    <x v="0"/>
    <x v="0"/>
    <x v="0"/>
    <x v="0"/>
    <x v="0"/>
    <n v="0"/>
    <n v="0"/>
    <n v="4.7960000000000003"/>
    <n v="4.7960000000000003"/>
    <n v="4.7960000000000003"/>
    <n v="4.7960000000000003"/>
    <n v="0"/>
    <x v="0"/>
    <n v="0"/>
    <n v="0"/>
    <n v="44"/>
    <n v="84"/>
    <n v="0"/>
    <n v="304.7"/>
    <n v="219.97"/>
    <m/>
    <n v="379.45760801787162"/>
    <n v="283.40928728637363"/>
    <n v="0"/>
    <n v="1461.3412000000001"/>
    <n v="1054.97612"/>
    <n v="0"/>
    <n v="1819.8786880537125"/>
    <n v="1359.2309418254481"/>
  </r>
  <r>
    <s v="Regular"/>
    <x v="4"/>
    <x v="4"/>
    <x v="1"/>
    <x v="0"/>
    <x v="0"/>
    <x v="0"/>
    <x v="0"/>
    <x v="1"/>
    <n v="0"/>
    <n v="0"/>
    <n v="5.032"/>
    <n v="5.032"/>
    <n v="5.032"/>
    <n v="5.032"/>
    <n v="0"/>
    <x v="0"/>
    <n v="0"/>
    <n v="0"/>
    <n v="44"/>
    <n v="84"/>
    <n v="0"/>
    <n v="304.7"/>
    <n v="219.97"/>
    <m/>
    <n v="379.45760801787162"/>
    <n v="283.40928728637363"/>
    <n v="0"/>
    <n v="1533.2503999999999"/>
    <n v="1106.88904"/>
    <n v="0"/>
    <n v="1909.4306835459299"/>
    <n v="1426.1155336250322"/>
  </r>
  <r>
    <s v="Regular"/>
    <x v="4"/>
    <x v="4"/>
    <x v="1"/>
    <x v="0"/>
    <x v="0"/>
    <x v="0"/>
    <x v="0"/>
    <x v="2"/>
    <n v="0"/>
    <n v="0"/>
    <n v="4.6959999999999997"/>
    <n v="4.6959999999999997"/>
    <n v="4.6959999999999997"/>
    <n v="4.6959999999999997"/>
    <n v="0"/>
    <x v="0"/>
    <n v="0"/>
    <n v="0"/>
    <n v="44"/>
    <n v="84"/>
    <n v="0"/>
    <n v="304.7"/>
    <n v="219.97"/>
    <m/>
    <n v="379.45760801787162"/>
    <n v="283.40928728637363"/>
    <n v="0"/>
    <n v="1430.8711999999998"/>
    <n v="1032.97912"/>
    <n v="0"/>
    <n v="1781.9329272519251"/>
    <n v="1330.8900130968104"/>
  </r>
  <r>
    <s v="Regular"/>
    <x v="4"/>
    <x v="4"/>
    <x v="1"/>
    <x v="0"/>
    <x v="0"/>
    <x v="0"/>
    <x v="0"/>
    <x v="3"/>
    <n v="0"/>
    <n v="0"/>
    <n v="4.7809999999999997"/>
    <n v="4.7809999999999997"/>
    <n v="4.7809999999999997"/>
    <n v="4.7809999999999997"/>
    <n v="0"/>
    <x v="0"/>
    <n v="0"/>
    <n v="0"/>
    <n v="44"/>
    <n v="84"/>
    <n v="0"/>
    <n v="304.7"/>
    <n v="219.97"/>
    <m/>
    <n v="379.45760801787162"/>
    <n v="283.40928728637363"/>
    <n v="0"/>
    <n v="1456.7706999999998"/>
    <n v="1051.6765699999999"/>
    <n v="0"/>
    <n v="1814.1868239334442"/>
    <n v="1354.9798025161522"/>
  </r>
  <r>
    <s v="Regular"/>
    <x v="4"/>
    <x v="4"/>
    <x v="1"/>
    <x v="0"/>
    <x v="0"/>
    <x v="0"/>
    <x v="0"/>
    <x v="4"/>
    <n v="0"/>
    <n v="0"/>
    <n v="5.1029999999999998"/>
    <n v="5.1029999999999998"/>
    <n v="5.1029999999999998"/>
    <n v="5.1029999999999998"/>
    <n v="0"/>
    <x v="0"/>
    <n v="0"/>
    <n v="0"/>
    <n v="44"/>
    <n v="84"/>
    <n v="0"/>
    <n v="304.7"/>
    <n v="219.97"/>
    <m/>
    <n v="379.45760801787162"/>
    <n v="283.40928728637363"/>
    <n v="0"/>
    <n v="1554.8840999999998"/>
    <n v="1122.5069099999998"/>
    <n v="0"/>
    <n v="1936.3721737151989"/>
    <n v="1446.2375930223645"/>
  </r>
  <r>
    <s v="Regular"/>
    <x v="4"/>
    <x v="4"/>
    <x v="1"/>
    <x v="0"/>
    <x v="0"/>
    <x v="0"/>
    <x v="0"/>
    <x v="5"/>
    <n v="0"/>
    <n v="0"/>
    <n v="5.16"/>
    <n v="5.16"/>
    <n v="5.16"/>
    <n v="5.16"/>
    <n v="0"/>
    <x v="0"/>
    <n v="0"/>
    <n v="0"/>
    <n v="44"/>
    <n v="84"/>
    <n v="0"/>
    <n v="304.7"/>
    <n v="219.97"/>
    <m/>
    <n v="379.45760801787162"/>
    <n v="283.40928728637363"/>
    <n v="0"/>
    <n v="1572.252"/>
    <n v="1135.0452"/>
    <n v="0"/>
    <n v="1958.0012573722177"/>
    <n v="1462.3919223976879"/>
  </r>
  <r>
    <s v="Regular"/>
    <x v="4"/>
    <x v="4"/>
    <x v="1"/>
    <x v="0"/>
    <x v="0"/>
    <x v="0"/>
    <x v="0"/>
    <x v="6"/>
    <n v="0"/>
    <n v="0"/>
    <n v="5.3239999999999998"/>
    <n v="5.3239999999999998"/>
    <n v="5.3239999999999998"/>
    <n v="5.3239999999999998"/>
    <n v="0"/>
    <x v="0"/>
    <n v="0"/>
    <n v="0"/>
    <n v="44"/>
    <n v="84"/>
    <n v="0"/>
    <n v="304.7"/>
    <n v="219.97"/>
    <m/>
    <n v="379.45760801787162"/>
    <n v="283.40928728637363"/>
    <n v="0"/>
    <n v="1622.2227999999998"/>
    <n v="1171.1202799999999"/>
    <n v="0"/>
    <n v="2020.2323050871485"/>
    <n v="1508.8710455126532"/>
  </r>
  <r>
    <s v="Regular"/>
    <x v="4"/>
    <x v="4"/>
    <x v="1"/>
    <x v="0"/>
    <x v="0"/>
    <x v="0"/>
    <x v="0"/>
    <x v="7"/>
    <n v="0"/>
    <n v="0"/>
    <n v="5.0250000000000004"/>
    <n v="5.0250000000000004"/>
    <n v="5.0250000000000004"/>
    <n v="5.0250000000000004"/>
    <n v="0"/>
    <x v="0"/>
    <n v="0"/>
    <n v="0"/>
    <n v="44"/>
    <n v="84"/>
    <n v="0"/>
    <n v="304.7"/>
    <n v="219.97"/>
    <m/>
    <n v="379.45760801787162"/>
    <n v="283.40928728637363"/>
    <n v="0"/>
    <n v="1531.1175000000001"/>
    <n v="1105.34925"/>
    <n v="0"/>
    <n v="1906.7744802898051"/>
    <n v="1424.1316686140276"/>
  </r>
  <r>
    <s v="Regular"/>
    <x v="4"/>
    <x v="4"/>
    <x v="1"/>
    <x v="0"/>
    <x v="0"/>
    <x v="0"/>
    <x v="0"/>
    <x v="8"/>
    <n v="0"/>
    <n v="0"/>
    <n v="4.7859999999999996"/>
    <n v="4.7859999999999996"/>
    <n v="4.7859999999999996"/>
    <n v="4.7859999999999996"/>
    <n v="0"/>
    <x v="0"/>
    <n v="0"/>
    <n v="0"/>
    <n v="44"/>
    <n v="84"/>
    <n v="0"/>
    <n v="304.7"/>
    <n v="219.97"/>
    <m/>
    <n v="379.45760801787162"/>
    <n v="283.40928728637363"/>
    <n v="0"/>
    <n v="1458.2941999999998"/>
    <n v="1052.7764199999999"/>
    <n v="0"/>
    <n v="1816.0841119735335"/>
    <n v="1356.3968489525842"/>
  </r>
  <r>
    <s v="Regular"/>
    <x v="4"/>
    <x v="4"/>
    <x v="1"/>
    <x v="0"/>
    <x v="0"/>
    <x v="0"/>
    <x v="0"/>
    <x v="9"/>
    <n v="0"/>
    <n v="0"/>
    <n v="4.6509999999999998"/>
    <n v="4.6509999999999998"/>
    <n v="4.6509999999999998"/>
    <n v="4.6509999999999998"/>
    <n v="0"/>
    <x v="0"/>
    <n v="0"/>
    <n v="0"/>
    <n v="44"/>
    <n v="84"/>
    <n v="0"/>
    <n v="304.7"/>
    <n v="219.97"/>
    <m/>
    <n v="379.45760801787162"/>
    <n v="283.40928728637363"/>
    <n v="0"/>
    <n v="1417.1596999999999"/>
    <n v="1023.08047"/>
    <n v="0"/>
    <n v="1764.8573348911209"/>
    <n v="1318.1365951689236"/>
  </r>
  <r>
    <s v="Regular"/>
    <x v="4"/>
    <x v="4"/>
    <x v="1"/>
    <x v="0"/>
    <x v="0"/>
    <x v="0"/>
    <x v="0"/>
    <x v="10"/>
    <n v="0"/>
    <n v="0"/>
    <n v="5.101"/>
    <n v="5.101"/>
    <n v="5.101"/>
    <n v="5.101"/>
    <n v="0"/>
    <x v="0"/>
    <n v="0"/>
    <n v="0"/>
    <n v="44"/>
    <n v="84"/>
    <n v="0"/>
    <n v="304.7"/>
    <n v="219.97"/>
    <m/>
    <n v="379.45760801787162"/>
    <n v="283.40928728637363"/>
    <n v="0"/>
    <n v="1554.2746999999999"/>
    <n v="1122.0669700000001"/>
    <n v="0"/>
    <n v="1935.6132584991631"/>
    <n v="1445.6707744477919"/>
  </r>
  <r>
    <s v="PROJETADO"/>
    <x v="4"/>
    <x v="4"/>
    <x v="1"/>
    <x v="0"/>
    <x v="0"/>
    <x v="0"/>
    <x v="0"/>
    <x v="11"/>
    <n v="0"/>
    <n v="0"/>
    <n v="5.101"/>
    <n v="5.101"/>
    <n v="5.101"/>
    <n v="5.101"/>
    <n v="0"/>
    <x v="0"/>
    <n v="0"/>
    <n v="0"/>
    <n v="44"/>
    <n v="84"/>
    <n v="0"/>
    <n v="304.7"/>
    <n v="219.97"/>
    <m/>
    <n v="379.45760801787162"/>
    <n v="283.40928728637363"/>
    <n v="0"/>
    <n v="1554.2746999999999"/>
    <n v="1122.0669700000001"/>
    <n v="0"/>
    <n v="1935.6132584991631"/>
    <n v="1445.6707744477919"/>
  </r>
  <r>
    <s v="Regular"/>
    <x v="4"/>
    <x v="4"/>
    <x v="1"/>
    <x v="0"/>
    <x v="0"/>
    <x v="0"/>
    <x v="3"/>
    <x v="0"/>
    <n v="0"/>
    <n v="0"/>
    <n v="9.8000000000000004E-2"/>
    <n v="9.8000000000000004E-2"/>
    <n v="9.8000000000000004E-2"/>
    <n v="9.8000000000000004E-2"/>
    <n v="0"/>
    <x v="0"/>
    <n v="0"/>
    <n v="0"/>
    <n v="43"/>
    <n v="83"/>
    <n v="0"/>
    <n v="657.51"/>
    <n v="219.97"/>
    <m/>
    <n v="817.20668325562065"/>
    <n v="283.40928728637363"/>
    <n v="0"/>
    <n v="64.435980000000001"/>
    <n v="21.55706"/>
    <n v="0"/>
    <n v="80.086254959050819"/>
    <n v="27.774110154064616"/>
  </r>
  <r>
    <s v="Regular"/>
    <x v="4"/>
    <x v="4"/>
    <x v="1"/>
    <x v="0"/>
    <x v="0"/>
    <x v="0"/>
    <x v="3"/>
    <x v="1"/>
    <n v="0"/>
    <n v="0"/>
    <n v="9.2999999999999999E-2"/>
    <n v="9.2999999999999999E-2"/>
    <n v="9.2999999999999999E-2"/>
    <n v="9.2999999999999999E-2"/>
    <n v="0"/>
    <x v="0"/>
    <n v="0"/>
    <n v="0"/>
    <n v="43"/>
    <n v="83"/>
    <n v="0"/>
    <n v="657.51"/>
    <n v="219.97"/>
    <m/>
    <n v="817.20668325562065"/>
    <n v="283.40928728637363"/>
    <n v="0"/>
    <n v="61.148429999999998"/>
    <n v="20.45721"/>
    <n v="0"/>
    <n v="76.000221542772721"/>
    <n v="26.357063717632748"/>
  </r>
  <r>
    <s v="Regular"/>
    <x v="4"/>
    <x v="4"/>
    <x v="1"/>
    <x v="0"/>
    <x v="0"/>
    <x v="0"/>
    <x v="3"/>
    <x v="2"/>
    <n v="0"/>
    <n v="0"/>
    <n v="9.8000000000000004E-2"/>
    <n v="9.8000000000000004E-2"/>
    <n v="9.8000000000000004E-2"/>
    <n v="9.8000000000000004E-2"/>
    <n v="0"/>
    <x v="0"/>
    <n v="0"/>
    <n v="0"/>
    <n v="43"/>
    <n v="83"/>
    <n v="0"/>
    <n v="657.51"/>
    <n v="219.97"/>
    <m/>
    <n v="817.20668325562065"/>
    <n v="283.40928728637363"/>
    <n v="0"/>
    <n v="64.435980000000001"/>
    <n v="21.55706"/>
    <n v="0"/>
    <n v="80.086254959050819"/>
    <n v="27.774110154064616"/>
  </r>
  <r>
    <s v="Regular"/>
    <x v="4"/>
    <x v="4"/>
    <x v="1"/>
    <x v="0"/>
    <x v="0"/>
    <x v="0"/>
    <x v="3"/>
    <x v="3"/>
    <n v="0"/>
    <n v="0"/>
    <n v="0.105"/>
    <n v="0.105"/>
    <n v="0.105"/>
    <n v="0.105"/>
    <n v="0"/>
    <x v="0"/>
    <n v="0"/>
    <n v="0"/>
    <n v="43"/>
    <n v="83"/>
    <n v="0"/>
    <n v="657.51"/>
    <n v="219.97"/>
    <m/>
    <n v="817.20668325562065"/>
    <n v="283.40928728637363"/>
    <n v="0"/>
    <n v="69.038550000000001"/>
    <n v="23.09685"/>
    <n v="0"/>
    <n v="85.806701741840158"/>
    <n v="29.757975165069229"/>
  </r>
  <r>
    <s v="Regular"/>
    <x v="4"/>
    <x v="4"/>
    <x v="1"/>
    <x v="0"/>
    <x v="0"/>
    <x v="0"/>
    <x v="3"/>
    <x v="4"/>
    <n v="0"/>
    <n v="0"/>
    <n v="0.125"/>
    <n v="0.125"/>
    <n v="0.125"/>
    <n v="0.125"/>
    <n v="0"/>
    <x v="0"/>
    <n v="0"/>
    <n v="0"/>
    <n v="43"/>
    <n v="83"/>
    <n v="0"/>
    <n v="657.51"/>
    <n v="219.97"/>
    <m/>
    <n v="817.20668325562065"/>
    <n v="283.40928728637363"/>
    <n v="0"/>
    <n v="82.188749999999999"/>
    <n v="27.49625"/>
    <n v="0"/>
    <n v="102.15083540695258"/>
    <n v="35.426160910796703"/>
  </r>
  <r>
    <s v="Regular"/>
    <x v="4"/>
    <x v="4"/>
    <x v="1"/>
    <x v="0"/>
    <x v="0"/>
    <x v="0"/>
    <x v="3"/>
    <x v="5"/>
    <n v="0"/>
    <n v="0"/>
    <n v="0.11700000000000001"/>
    <n v="0.11700000000000001"/>
    <n v="0.11700000000000001"/>
    <n v="0.11700000000000001"/>
    <n v="0"/>
    <x v="0"/>
    <n v="0"/>
    <n v="0"/>
    <n v="43"/>
    <n v="83"/>
    <n v="0"/>
    <n v="657.51"/>
    <n v="219.97"/>
    <m/>
    <n v="817.20668325562065"/>
    <n v="283.40928728637363"/>
    <n v="0"/>
    <n v="76.928669999999997"/>
    <n v="25.73649"/>
    <n v="0"/>
    <n v="95.613181940907623"/>
    <n v="33.158886612505718"/>
  </r>
  <r>
    <s v="Regular"/>
    <x v="4"/>
    <x v="4"/>
    <x v="1"/>
    <x v="0"/>
    <x v="0"/>
    <x v="0"/>
    <x v="3"/>
    <x v="6"/>
    <n v="0"/>
    <n v="0"/>
    <n v="0.121"/>
    <n v="0.121"/>
    <n v="0.121"/>
    <n v="0.121"/>
    <n v="0"/>
    <x v="0"/>
    <n v="0"/>
    <n v="0"/>
    <n v="43"/>
    <n v="83"/>
    <n v="0"/>
    <n v="657.51"/>
    <n v="219.97"/>
    <m/>
    <n v="817.20668325562065"/>
    <n v="283.40928728637363"/>
    <n v="0"/>
    <n v="79.558709999999991"/>
    <n v="26.61637"/>
    <n v="0"/>
    <n v="98.882008673930102"/>
    <n v="34.292523761651211"/>
  </r>
  <r>
    <s v="Regular"/>
    <x v="4"/>
    <x v="4"/>
    <x v="1"/>
    <x v="0"/>
    <x v="0"/>
    <x v="0"/>
    <x v="3"/>
    <x v="7"/>
    <n v="0"/>
    <n v="0"/>
    <n v="0.125"/>
    <n v="0.125"/>
    <n v="0.125"/>
    <n v="0.125"/>
    <n v="0"/>
    <x v="0"/>
    <n v="0"/>
    <n v="0"/>
    <n v="43"/>
    <n v="83"/>
    <n v="0"/>
    <n v="657.51"/>
    <n v="219.97"/>
    <m/>
    <n v="817.20668325562065"/>
    <n v="283.40928728637363"/>
    <n v="0"/>
    <n v="82.188749999999999"/>
    <n v="27.49625"/>
    <n v="0"/>
    <n v="102.15083540695258"/>
    <n v="35.426160910796703"/>
  </r>
  <r>
    <s v="Regular"/>
    <x v="4"/>
    <x v="4"/>
    <x v="1"/>
    <x v="0"/>
    <x v="0"/>
    <x v="0"/>
    <x v="3"/>
    <x v="8"/>
    <n v="0"/>
    <n v="0"/>
    <n v="0.14099999999999999"/>
    <n v="0.14099999999999999"/>
    <n v="0.14099999999999999"/>
    <n v="0.14099999999999999"/>
    <n v="0"/>
    <x v="0"/>
    <n v="0"/>
    <n v="0"/>
    <n v="43"/>
    <n v="83"/>
    <n v="0"/>
    <n v="657.51"/>
    <n v="219.97"/>
    <m/>
    <n v="817.20668325562065"/>
    <n v="283.40928728637363"/>
    <n v="0"/>
    <n v="92.708909999999989"/>
    <n v="31.015769999999996"/>
    <n v="0"/>
    <n v="115.2261423390425"/>
    <n v="39.960709507378681"/>
  </r>
  <r>
    <s v="Regular"/>
    <x v="4"/>
    <x v="4"/>
    <x v="1"/>
    <x v="0"/>
    <x v="0"/>
    <x v="0"/>
    <x v="3"/>
    <x v="9"/>
    <n v="0"/>
    <n v="0"/>
    <n v="0.121"/>
    <n v="0.121"/>
    <n v="0.121"/>
    <n v="0.121"/>
    <n v="0"/>
    <x v="0"/>
    <n v="0"/>
    <n v="0"/>
    <n v="43"/>
    <n v="83"/>
    <n v="0"/>
    <n v="657.51"/>
    <n v="219.97"/>
    <m/>
    <n v="817.20668325562065"/>
    <n v="283.40928728637363"/>
    <n v="0"/>
    <n v="79.558709999999991"/>
    <n v="26.61637"/>
    <n v="0"/>
    <n v="98.882008673930102"/>
    <n v="34.292523761651211"/>
  </r>
  <r>
    <s v="Regular"/>
    <x v="4"/>
    <x v="4"/>
    <x v="1"/>
    <x v="0"/>
    <x v="0"/>
    <x v="0"/>
    <x v="3"/>
    <x v="10"/>
    <n v="0"/>
    <n v="0"/>
    <n v="0.13300000000000001"/>
    <n v="0.13300000000000001"/>
    <n v="0.13300000000000001"/>
    <n v="0.13300000000000001"/>
    <n v="0"/>
    <x v="0"/>
    <n v="0"/>
    <n v="0"/>
    <n v="43"/>
    <n v="83"/>
    <n v="0"/>
    <n v="657.51"/>
    <n v="219.97"/>
    <m/>
    <n v="817.20668325562065"/>
    <n v="283.40928728637363"/>
    <n v="0"/>
    <n v="87.448830000000001"/>
    <n v="29.25601"/>
    <n v="0"/>
    <n v="108.68848887299755"/>
    <n v="37.693435209087696"/>
  </r>
  <r>
    <s v="PROJETADO"/>
    <x v="4"/>
    <x v="4"/>
    <x v="1"/>
    <x v="0"/>
    <x v="0"/>
    <x v="0"/>
    <x v="3"/>
    <x v="11"/>
    <n v="0"/>
    <n v="0"/>
    <n v="0.13300000000000001"/>
    <n v="0.13300000000000001"/>
    <n v="0.13300000000000001"/>
    <n v="0.13300000000000001"/>
    <n v="0"/>
    <x v="0"/>
    <n v="0"/>
    <n v="0"/>
    <n v="43"/>
    <n v="83"/>
    <n v="0"/>
    <n v="657.51"/>
    <n v="219.97"/>
    <m/>
    <n v="817.20668325562065"/>
    <n v="283.40928728637363"/>
    <n v="0"/>
    <n v="87.448830000000001"/>
    <n v="29.25601"/>
    <n v="0"/>
    <n v="108.68848887299755"/>
    <n v="37.693435209087696"/>
  </r>
  <r>
    <s v="Regular"/>
    <x v="4"/>
    <x v="4"/>
    <x v="1"/>
    <x v="0"/>
    <x v="0"/>
    <x v="0"/>
    <x v="2"/>
    <x v="0"/>
    <n v="0"/>
    <n v="0"/>
    <n v="0.14199999999999999"/>
    <n v="0.14199999999999999"/>
    <n v="0.14199999999999999"/>
    <n v="0.14199999999999999"/>
    <n v="0"/>
    <x v="0"/>
    <n v="0"/>
    <n v="0"/>
    <n v="42"/>
    <n v="82"/>
    <n v="0"/>
    <n v="1010.32"/>
    <n v="346.61"/>
    <m/>
    <n v="1254.9554530869705"/>
    <n v="441.69177554366559"/>
    <n v="0"/>
    <n v="143.46544"/>
    <n v="49.218619999999994"/>
    <n v="0"/>
    <n v="178.2036743383498"/>
    <n v="62.720232127200511"/>
  </r>
  <r>
    <s v="Regular"/>
    <x v="4"/>
    <x v="4"/>
    <x v="1"/>
    <x v="0"/>
    <x v="0"/>
    <x v="0"/>
    <x v="2"/>
    <x v="1"/>
    <n v="0"/>
    <n v="0"/>
    <n v="0.124"/>
    <n v="0.124"/>
    <n v="0.124"/>
    <n v="0.124"/>
    <n v="0"/>
    <x v="0"/>
    <n v="0"/>
    <n v="0"/>
    <n v="42"/>
    <n v="82"/>
    <n v="0"/>
    <n v="1010.32"/>
    <n v="346.61"/>
    <m/>
    <n v="1254.9554530869705"/>
    <n v="441.69177554366559"/>
    <n v="0"/>
    <n v="125.27968"/>
    <n v="42.979640000000003"/>
    <n v="0"/>
    <n v="155.61447618278433"/>
    <n v="54.769780167414531"/>
  </r>
  <r>
    <s v="Regular"/>
    <x v="4"/>
    <x v="4"/>
    <x v="1"/>
    <x v="0"/>
    <x v="0"/>
    <x v="0"/>
    <x v="2"/>
    <x v="2"/>
    <n v="0"/>
    <n v="0"/>
    <n v="0.17199999999999999"/>
    <n v="0.17199999999999999"/>
    <n v="0.17199999999999999"/>
    <n v="0.17199999999999999"/>
    <n v="0"/>
    <x v="0"/>
    <n v="0"/>
    <n v="0"/>
    <n v="42"/>
    <n v="82"/>
    <n v="0"/>
    <n v="1010.32"/>
    <n v="346.61"/>
    <m/>
    <n v="1254.9554530869705"/>
    <n v="441.69177554366559"/>
    <n v="0"/>
    <n v="173.77503999999999"/>
    <n v="59.61692"/>
    <n v="0"/>
    <n v="215.8523379309589"/>
    <n v="75.970985393510475"/>
  </r>
  <r>
    <s v="Regular"/>
    <x v="4"/>
    <x v="4"/>
    <x v="1"/>
    <x v="0"/>
    <x v="0"/>
    <x v="0"/>
    <x v="2"/>
    <x v="3"/>
    <n v="0"/>
    <n v="0"/>
    <n v="0.13300000000000001"/>
    <n v="0.13300000000000001"/>
    <n v="0.13300000000000001"/>
    <n v="0.13300000000000001"/>
    <n v="0"/>
    <x v="0"/>
    <n v="0"/>
    <n v="0"/>
    <n v="42"/>
    <n v="82"/>
    <n v="0"/>
    <n v="1010.32"/>
    <n v="346.61"/>
    <m/>
    <n v="1254.9554530869705"/>
    <n v="441.69177554366559"/>
    <n v="0"/>
    <n v="134.37256000000002"/>
    <n v="46.099130000000002"/>
    <n v="0"/>
    <n v="166.90907526056708"/>
    <n v="58.745006147307528"/>
  </r>
  <r>
    <s v="Regular"/>
    <x v="4"/>
    <x v="4"/>
    <x v="1"/>
    <x v="0"/>
    <x v="0"/>
    <x v="0"/>
    <x v="2"/>
    <x v="4"/>
    <n v="0"/>
    <n v="0"/>
    <n v="0.12"/>
    <n v="0.12"/>
    <n v="0.12"/>
    <n v="0.12"/>
    <n v="0"/>
    <x v="0"/>
    <n v="0"/>
    <n v="0"/>
    <n v="42"/>
    <n v="82"/>
    <n v="0"/>
    <n v="1010.32"/>
    <n v="346.61"/>
    <m/>
    <n v="1254.9554530869705"/>
    <n v="441.69177554366559"/>
    <n v="0"/>
    <n v="121.2384"/>
    <n v="41.593200000000003"/>
    <n v="0"/>
    <n v="150.59465437043644"/>
    <n v="53.00301306523987"/>
  </r>
  <r>
    <s v="Regular"/>
    <x v="4"/>
    <x v="4"/>
    <x v="1"/>
    <x v="0"/>
    <x v="0"/>
    <x v="0"/>
    <x v="2"/>
    <x v="5"/>
    <n v="0"/>
    <n v="0"/>
    <n v="0.14399999999999999"/>
    <n v="0.14399999999999999"/>
    <n v="0.14399999999999999"/>
    <n v="0.14399999999999999"/>
    <n v="0"/>
    <x v="0"/>
    <n v="0"/>
    <n v="0"/>
    <n v="42"/>
    <n v="82"/>
    <n v="0"/>
    <n v="1010.32"/>
    <n v="346.61"/>
    <m/>
    <n v="1254.9554530869705"/>
    <n v="441.69177554366559"/>
    <n v="0"/>
    <n v="145.48607999999999"/>
    <n v="49.911839999999998"/>
    <n v="0"/>
    <n v="180.71358524452373"/>
    <n v="63.603615678287838"/>
  </r>
  <r>
    <s v="Regular"/>
    <x v="4"/>
    <x v="4"/>
    <x v="1"/>
    <x v="0"/>
    <x v="0"/>
    <x v="0"/>
    <x v="2"/>
    <x v="6"/>
    <n v="0"/>
    <n v="0"/>
    <n v="0.13700000000000001"/>
    <n v="0.13700000000000001"/>
    <n v="0.13700000000000001"/>
    <n v="0.13700000000000001"/>
    <n v="0"/>
    <x v="0"/>
    <n v="0"/>
    <n v="0"/>
    <n v="42"/>
    <n v="82"/>
    <n v="0"/>
    <n v="1010.32"/>
    <n v="346.61"/>
    <m/>
    <n v="1254.9554530869705"/>
    <n v="441.69177554366559"/>
    <n v="0"/>
    <n v="138.41384000000002"/>
    <n v="47.485570000000003"/>
    <n v="0"/>
    <n v="171.92889707291496"/>
    <n v="60.511773249482189"/>
  </r>
  <r>
    <s v="Regular"/>
    <x v="4"/>
    <x v="4"/>
    <x v="1"/>
    <x v="0"/>
    <x v="0"/>
    <x v="0"/>
    <x v="2"/>
    <x v="7"/>
    <n v="0"/>
    <n v="0"/>
    <n v="0.155"/>
    <n v="0.155"/>
    <n v="0.155"/>
    <n v="0.155"/>
    <n v="0"/>
    <x v="0"/>
    <n v="0"/>
    <n v="0"/>
    <n v="42"/>
    <n v="82"/>
    <n v="0"/>
    <n v="1010.32"/>
    <n v="346.61"/>
    <m/>
    <n v="1254.9554530869705"/>
    <n v="441.69177554366559"/>
    <n v="0"/>
    <n v="156.59960000000001"/>
    <n v="53.724550000000001"/>
    <n v="0"/>
    <n v="194.51809522848043"/>
    <n v="68.462225209268169"/>
  </r>
  <r>
    <s v="Regular"/>
    <x v="4"/>
    <x v="4"/>
    <x v="1"/>
    <x v="0"/>
    <x v="0"/>
    <x v="0"/>
    <x v="2"/>
    <x v="8"/>
    <n v="0"/>
    <n v="0"/>
    <n v="0.186"/>
    <n v="0.186"/>
    <n v="0.186"/>
    <n v="0.186"/>
    <n v="0"/>
    <x v="0"/>
    <n v="0"/>
    <n v="0"/>
    <n v="42"/>
    <n v="82"/>
    <n v="0"/>
    <n v="1010.32"/>
    <n v="346.61"/>
    <m/>
    <n v="1254.9554530869705"/>
    <n v="441.69177554366559"/>
    <n v="0"/>
    <n v="187.91952000000001"/>
    <n v="64.469459999999998"/>
    <n v="0"/>
    <n v="233.42171427417651"/>
    <n v="82.1546702511218"/>
  </r>
  <r>
    <s v="Regular"/>
    <x v="4"/>
    <x v="4"/>
    <x v="1"/>
    <x v="0"/>
    <x v="0"/>
    <x v="0"/>
    <x v="2"/>
    <x v="9"/>
    <n v="0"/>
    <n v="0"/>
    <n v="0.151"/>
    <n v="0.151"/>
    <n v="0.151"/>
    <n v="0.151"/>
    <n v="0"/>
    <x v="0"/>
    <n v="0"/>
    <n v="0"/>
    <n v="42"/>
    <n v="82"/>
    <n v="0"/>
    <n v="1010.32"/>
    <n v="346.61"/>
    <m/>
    <n v="1254.9554530869705"/>
    <n v="441.69177554366559"/>
    <n v="0"/>
    <n v="152.55832000000001"/>
    <n v="52.33811"/>
    <n v="0"/>
    <n v="189.49827341613255"/>
    <n v="66.695458107093501"/>
  </r>
  <r>
    <s v="Regular"/>
    <x v="4"/>
    <x v="4"/>
    <x v="1"/>
    <x v="0"/>
    <x v="0"/>
    <x v="0"/>
    <x v="2"/>
    <x v="10"/>
    <n v="0"/>
    <n v="0"/>
    <n v="0.19600000000000001"/>
    <n v="0.19600000000000001"/>
    <n v="0.19600000000000001"/>
    <n v="0.19600000000000001"/>
    <n v="0"/>
    <x v="0"/>
    <n v="0"/>
    <n v="0"/>
    <n v="42"/>
    <n v="82"/>
    <n v="0"/>
    <n v="1010.32"/>
    <n v="346.61"/>
    <m/>
    <n v="1254.9554530869705"/>
    <n v="441.69177554366559"/>
    <n v="0"/>
    <n v="198.02272000000002"/>
    <n v="67.935560000000009"/>
    <n v="0"/>
    <n v="245.97126880504621"/>
    <n v="86.571588006558457"/>
  </r>
  <r>
    <s v="PROJETADO"/>
    <x v="4"/>
    <x v="4"/>
    <x v="1"/>
    <x v="0"/>
    <x v="0"/>
    <x v="0"/>
    <x v="2"/>
    <x v="11"/>
    <n v="0"/>
    <n v="0"/>
    <n v="0.19600000000000001"/>
    <n v="0.19600000000000001"/>
    <n v="0.19600000000000001"/>
    <n v="0.19600000000000001"/>
    <n v="0"/>
    <x v="0"/>
    <n v="0"/>
    <n v="0"/>
    <n v="42"/>
    <n v="82"/>
    <n v="0"/>
    <n v="1010.32"/>
    <n v="346.61"/>
    <m/>
    <n v="1254.9554530869705"/>
    <n v="441.69177554366559"/>
    <n v="0"/>
    <n v="198.02272000000002"/>
    <n v="67.935560000000009"/>
    <n v="0"/>
    <n v="245.97126880504621"/>
    <n v="86.571588006558457"/>
  </r>
  <r>
    <s v="Regular"/>
    <x v="4"/>
    <x v="4"/>
    <x v="5"/>
    <x v="0"/>
    <x v="0"/>
    <x v="0"/>
    <x v="0"/>
    <x v="0"/>
    <n v="0"/>
    <n v="0"/>
    <n v="2.0630000000000002"/>
    <n v="2.0630000000000002"/>
    <n v="2.0630000000000002"/>
    <n v="2.0630000000000002"/>
    <n v="0"/>
    <x v="0"/>
    <n v="0"/>
    <n v="0"/>
    <n v="44"/>
    <n v="84"/>
    <n v="0"/>
    <n v="304.7"/>
    <n v="219.97"/>
    <m/>
    <n v="379.45760801787162"/>
    <n v="283.40928728637363"/>
    <n v="0"/>
    <n v="628.59609999999998"/>
    <n v="453.79811000000001"/>
    <n v="0"/>
    <n v="782.8210453408692"/>
    <n v="584.67335967178883"/>
  </r>
  <r>
    <s v="Regular"/>
    <x v="4"/>
    <x v="4"/>
    <x v="5"/>
    <x v="0"/>
    <x v="0"/>
    <x v="0"/>
    <x v="0"/>
    <x v="1"/>
    <n v="0"/>
    <n v="0"/>
    <n v="1.911"/>
    <n v="1.911"/>
    <n v="1.911"/>
    <n v="1.911"/>
    <n v="0"/>
    <x v="0"/>
    <n v="0"/>
    <n v="0"/>
    <n v="44"/>
    <n v="84"/>
    <n v="0"/>
    <n v="304.7"/>
    <n v="219.97"/>
    <m/>
    <n v="379.45760801787162"/>
    <n v="283.40928728637363"/>
    <n v="0"/>
    <n v="582.2817"/>
    <n v="420.36266999999998"/>
    <n v="0"/>
    <n v="725.14348892215264"/>
    <n v="541.59514800425995"/>
  </r>
  <r>
    <s v="Regular"/>
    <x v="4"/>
    <x v="4"/>
    <x v="5"/>
    <x v="0"/>
    <x v="0"/>
    <x v="0"/>
    <x v="0"/>
    <x v="2"/>
    <n v="0"/>
    <n v="0"/>
    <n v="1.7889999999999999"/>
    <n v="1.7889999999999999"/>
    <n v="1.7889999999999999"/>
    <n v="1.7889999999999999"/>
    <n v="0"/>
    <x v="0"/>
    <n v="0"/>
    <n v="0"/>
    <n v="44"/>
    <n v="84"/>
    <n v="0"/>
    <n v="304.7"/>
    <n v="219.97"/>
    <m/>
    <n v="379.45760801787162"/>
    <n v="283.40928728637363"/>
    <n v="0"/>
    <n v="545.10829999999999"/>
    <n v="393.52632999999997"/>
    <n v="0"/>
    <n v="678.84966074397232"/>
    <n v="507.01921495532241"/>
  </r>
  <r>
    <s v="Regular"/>
    <x v="4"/>
    <x v="4"/>
    <x v="5"/>
    <x v="0"/>
    <x v="0"/>
    <x v="0"/>
    <x v="0"/>
    <x v="3"/>
    <n v="0"/>
    <n v="0"/>
    <n v="4.1749999999999998"/>
    <n v="4.1749999999999998"/>
    <n v="4.1749999999999998"/>
    <n v="4.1749999999999998"/>
    <n v="0"/>
    <x v="0"/>
    <n v="0"/>
    <n v="0"/>
    <n v="44"/>
    <n v="84"/>
    <n v="0"/>
    <n v="304.7"/>
    <n v="219.97"/>
    <m/>
    <n v="379.45760801787162"/>
    <n v="283.40928728637363"/>
    <n v="0"/>
    <n v="1272.1224999999999"/>
    <n v="918.37474999999995"/>
    <n v="0"/>
    <n v="1584.235513474614"/>
    <n v="1183.2337744206097"/>
  </r>
  <r>
    <s v="Regular"/>
    <x v="4"/>
    <x v="4"/>
    <x v="5"/>
    <x v="0"/>
    <x v="0"/>
    <x v="0"/>
    <x v="0"/>
    <x v="4"/>
    <n v="0"/>
    <n v="0"/>
    <n v="4.4509999999999996"/>
    <n v="4.4509999999999996"/>
    <n v="4.4509999999999996"/>
    <n v="4.4509999999999996"/>
    <n v="0"/>
    <x v="0"/>
    <n v="0"/>
    <n v="0"/>
    <n v="44"/>
    <n v="84"/>
    <n v="0"/>
    <n v="304.7"/>
    <n v="219.97"/>
    <m/>
    <n v="379.45760801787162"/>
    <n v="283.40928728637363"/>
    <n v="0"/>
    <n v="1356.2196999999999"/>
    <n v="979.08646999999996"/>
    <n v="0"/>
    <n v="1688.9658132875466"/>
    <n v="1261.4547377116489"/>
  </r>
  <r>
    <s v="Regular"/>
    <x v="4"/>
    <x v="4"/>
    <x v="5"/>
    <x v="0"/>
    <x v="0"/>
    <x v="0"/>
    <x v="0"/>
    <x v="5"/>
    <n v="0"/>
    <n v="0"/>
    <n v="8.8800000000000008"/>
    <n v="8.8800000000000008"/>
    <n v="8.8800000000000008"/>
    <n v="8.8800000000000008"/>
    <n v="0"/>
    <x v="0"/>
    <n v="0"/>
    <n v="0"/>
    <n v="44"/>
    <n v="84"/>
    <n v="0"/>
    <n v="304.7"/>
    <n v="219.97"/>
    <m/>
    <n v="379.45760801787162"/>
    <n v="283.40928728637363"/>
    <n v="0"/>
    <n v="2705.7360000000003"/>
    <n v="1953.3336000000002"/>
    <n v="0"/>
    <n v="3369.5835591987002"/>
    <n v="2516.6744711029978"/>
  </r>
  <r>
    <s v="Regular"/>
    <x v="4"/>
    <x v="4"/>
    <x v="5"/>
    <x v="0"/>
    <x v="0"/>
    <x v="0"/>
    <x v="0"/>
    <x v="6"/>
    <n v="0"/>
    <n v="0"/>
    <n v="7.8230000000000004"/>
    <n v="7.8230000000000004"/>
    <n v="7.8230000000000004"/>
    <n v="7.8230000000000004"/>
    <n v="0"/>
    <x v="0"/>
    <n v="0"/>
    <n v="0"/>
    <n v="44"/>
    <n v="84"/>
    <n v="0"/>
    <n v="304.7"/>
    <n v="219.97"/>
    <m/>
    <n v="379.45760801787162"/>
    <n v="283.40928728637363"/>
    <n v="0"/>
    <n v="2383.6680999999999"/>
    <n v="1720.8253100000002"/>
    <n v="0"/>
    <n v="2968.4968675238097"/>
    <n v="2217.1108544413009"/>
  </r>
  <r>
    <s v="Regular"/>
    <x v="4"/>
    <x v="4"/>
    <x v="5"/>
    <x v="0"/>
    <x v="0"/>
    <x v="0"/>
    <x v="0"/>
    <x v="7"/>
    <n v="0"/>
    <n v="0"/>
    <n v="17.111000000000001"/>
    <n v="17.111000000000001"/>
    <n v="17.111000000000001"/>
    <n v="17.111000000000001"/>
    <n v="0"/>
    <x v="0"/>
    <n v="0"/>
    <n v="0"/>
    <n v="44"/>
    <n v="84"/>
    <n v="0"/>
    <n v="304.7"/>
    <n v="219.97"/>
    <m/>
    <n v="379.45760801787162"/>
    <n v="283.40928728637363"/>
    <n v="0"/>
    <n v="5213.7217000000001"/>
    <n v="3763.9066700000003"/>
    <n v="0"/>
    <n v="6492.8991307938013"/>
    <n v="4849.4163147571389"/>
  </r>
  <r>
    <s v="Regular"/>
    <x v="4"/>
    <x v="4"/>
    <x v="5"/>
    <x v="0"/>
    <x v="0"/>
    <x v="0"/>
    <x v="0"/>
    <x v="8"/>
    <n v="0"/>
    <n v="0"/>
    <n v="24.946999999999999"/>
    <n v="24.946999999999999"/>
    <n v="24.946999999999999"/>
    <n v="24.946999999999999"/>
    <n v="0"/>
    <x v="0"/>
    <n v="0"/>
    <n v="0"/>
    <n v="44"/>
    <n v="84"/>
    <n v="0"/>
    <n v="304.7"/>
    <n v="219.97"/>
    <m/>
    <n v="379.45760801787162"/>
    <n v="283.40928728637363"/>
    <n v="0"/>
    <n v="7601.3508999999995"/>
    <n v="5487.59159"/>
    <n v="0"/>
    <n v="9466.3289472218439"/>
    <n v="7070.2114899331627"/>
  </r>
  <r>
    <s v="Refaturamento - Regular"/>
    <x v="4"/>
    <x v="4"/>
    <x v="5"/>
    <x v="0"/>
    <x v="0"/>
    <x v="0"/>
    <x v="0"/>
    <x v="8"/>
    <n v="0"/>
    <n v="0"/>
    <n v="2.657"/>
    <n v="2.657"/>
    <n v="2.657"/>
    <n v="2.657"/>
    <n v="0"/>
    <x v="0"/>
    <n v="0"/>
    <n v="0"/>
    <n v="44"/>
    <n v="84"/>
    <n v="0"/>
    <n v="304.7"/>
    <n v="219.97"/>
    <m/>
    <n v="379.45760801787162"/>
    <n v="283.40928728637363"/>
    <n v="0"/>
    <n v="809.58789999999999"/>
    <n v="584.46028999999999"/>
    <n v="0"/>
    <n v="1008.218864503485"/>
    <n v="753.01847631989472"/>
  </r>
  <r>
    <s v="Regular"/>
    <x v="4"/>
    <x v="4"/>
    <x v="5"/>
    <x v="0"/>
    <x v="0"/>
    <x v="0"/>
    <x v="0"/>
    <x v="9"/>
    <n v="0"/>
    <n v="0"/>
    <n v="31.097000000000001"/>
    <n v="31.097000000000001"/>
    <n v="31.097000000000001"/>
    <n v="31.097000000000001"/>
    <n v="0"/>
    <x v="0"/>
    <n v="0"/>
    <n v="0"/>
    <n v="44"/>
    <n v="84"/>
    <n v="0"/>
    <n v="304.7"/>
    <n v="219.97"/>
    <m/>
    <n v="379.45760801787162"/>
    <n v="283.40928728637363"/>
    <n v="0"/>
    <n v="9475.2559000000001"/>
    <n v="6840.4070900000006"/>
    <n v="0"/>
    <n v="11799.993236531755"/>
    <n v="8813.1786067443609"/>
  </r>
  <r>
    <s v="Regular"/>
    <x v="4"/>
    <x v="4"/>
    <x v="5"/>
    <x v="0"/>
    <x v="0"/>
    <x v="0"/>
    <x v="0"/>
    <x v="10"/>
    <n v="0"/>
    <n v="0"/>
    <n v="32.451000000000001"/>
    <n v="32.451000000000001"/>
    <n v="32.451000000000001"/>
    <n v="32.451000000000001"/>
    <n v="0"/>
    <x v="0"/>
    <n v="0"/>
    <n v="0"/>
    <n v="44"/>
    <n v="84"/>
    <n v="0"/>
    <n v="304.7"/>
    <n v="219.97"/>
    <m/>
    <n v="379.45760801787162"/>
    <n v="283.40928728637363"/>
    <n v="0"/>
    <n v="9887.8197"/>
    <n v="7138.24647"/>
    <n v="0"/>
    <n v="12313.778837787951"/>
    <n v="9196.9147817301109"/>
  </r>
  <r>
    <s v="PROJETADO"/>
    <x v="4"/>
    <x v="4"/>
    <x v="5"/>
    <x v="0"/>
    <x v="0"/>
    <x v="0"/>
    <x v="0"/>
    <x v="11"/>
    <n v="0"/>
    <n v="0"/>
    <n v="32.451000000000001"/>
    <n v="32.451000000000001"/>
    <n v="32.451000000000001"/>
    <n v="32.451000000000001"/>
    <n v="0"/>
    <x v="0"/>
    <n v="0"/>
    <n v="0"/>
    <n v="44"/>
    <n v="84"/>
    <n v="0"/>
    <n v="304.7"/>
    <n v="219.97"/>
    <m/>
    <n v="379.45760801787162"/>
    <n v="283.40928728637363"/>
    <n v="0"/>
    <n v="9887.8197"/>
    <n v="7138.24647"/>
    <n v="0"/>
    <n v="12313.778837787951"/>
    <n v="9196.9147817301109"/>
  </r>
  <r>
    <s v="Regular"/>
    <x v="4"/>
    <x v="4"/>
    <x v="5"/>
    <x v="0"/>
    <x v="0"/>
    <x v="0"/>
    <x v="3"/>
    <x v="0"/>
    <n v="0"/>
    <n v="0"/>
    <n v="2.4E-2"/>
    <n v="2.4E-2"/>
    <n v="2.4E-2"/>
    <n v="2.4E-2"/>
    <n v="0"/>
    <x v="0"/>
    <n v="0"/>
    <n v="0"/>
    <n v="43"/>
    <n v="83"/>
    <n v="0"/>
    <n v="657.51"/>
    <n v="219.97"/>
    <m/>
    <n v="817.20668325562065"/>
    <n v="283.40928728637363"/>
    <n v="0"/>
    <n v="15.780240000000001"/>
    <n v="5.27928"/>
    <n v="0"/>
    <n v="19.612960398134895"/>
    <n v="6.8018228948729673"/>
  </r>
  <r>
    <s v="Regular"/>
    <x v="4"/>
    <x v="4"/>
    <x v="5"/>
    <x v="0"/>
    <x v="0"/>
    <x v="0"/>
    <x v="3"/>
    <x v="1"/>
    <n v="0"/>
    <n v="0"/>
    <n v="2.4E-2"/>
    <n v="2.4E-2"/>
    <n v="2.4E-2"/>
    <n v="2.4E-2"/>
    <n v="0"/>
    <x v="0"/>
    <n v="0"/>
    <n v="0"/>
    <n v="43"/>
    <n v="83"/>
    <n v="0"/>
    <n v="657.51"/>
    <n v="219.97"/>
    <m/>
    <n v="817.20668325562065"/>
    <n v="283.40928728637363"/>
    <n v="0"/>
    <n v="15.780240000000001"/>
    <n v="5.27928"/>
    <n v="0"/>
    <n v="19.612960398134895"/>
    <n v="6.8018228948729673"/>
  </r>
  <r>
    <s v="Regular"/>
    <x v="4"/>
    <x v="4"/>
    <x v="5"/>
    <x v="0"/>
    <x v="0"/>
    <x v="0"/>
    <x v="3"/>
    <x v="2"/>
    <n v="0"/>
    <n v="0"/>
    <n v="2.7149999999999999"/>
    <n v="2.7149999999999999"/>
    <n v="2.7149999999999999"/>
    <n v="2.7149999999999999"/>
    <n v="0"/>
    <x v="0"/>
    <n v="0"/>
    <n v="0"/>
    <n v="43"/>
    <n v="83"/>
    <n v="0"/>
    <n v="657.51"/>
    <n v="219.97"/>
    <m/>
    <n v="817.20668325562065"/>
    <n v="283.40928728637363"/>
    <n v="0"/>
    <n v="1785.1396499999998"/>
    <n v="597.21854999999994"/>
    <n v="0"/>
    <n v="2218.7161450390099"/>
    <n v="769.45621498250432"/>
  </r>
  <r>
    <s v="Regular"/>
    <x v="4"/>
    <x v="4"/>
    <x v="5"/>
    <x v="0"/>
    <x v="0"/>
    <x v="0"/>
    <x v="3"/>
    <x v="3"/>
    <n v="0"/>
    <n v="0"/>
    <n v="0.22600000000000001"/>
    <n v="0.22600000000000001"/>
    <n v="0.22600000000000001"/>
    <n v="0.22600000000000001"/>
    <n v="0"/>
    <x v="0"/>
    <n v="0"/>
    <n v="0"/>
    <n v="43"/>
    <n v="83"/>
    <n v="0"/>
    <n v="657.51"/>
    <n v="219.97"/>
    <m/>
    <n v="817.20668325562065"/>
    <n v="283.40928728637363"/>
    <n v="0"/>
    <n v="148.59726000000001"/>
    <n v="49.71322"/>
    <n v="0"/>
    <n v="184.68871041577026"/>
    <n v="64.050498926720437"/>
  </r>
  <r>
    <s v="Regular"/>
    <x v="4"/>
    <x v="4"/>
    <x v="5"/>
    <x v="0"/>
    <x v="0"/>
    <x v="0"/>
    <x v="3"/>
    <x v="4"/>
    <n v="0"/>
    <n v="0"/>
    <n v="0.252"/>
    <n v="0.252"/>
    <n v="0.252"/>
    <n v="0.252"/>
    <n v="0"/>
    <x v="0"/>
    <n v="0"/>
    <n v="0"/>
    <n v="43"/>
    <n v="83"/>
    <n v="0"/>
    <n v="657.51"/>
    <n v="219.97"/>
    <m/>
    <n v="817.20668325562065"/>
    <n v="283.40928728637363"/>
    <n v="0"/>
    <n v="165.69252"/>
    <n v="55.43244"/>
    <n v="0"/>
    <n v="205.9360841804164"/>
    <n v="71.419140396166156"/>
  </r>
  <r>
    <s v="Regular"/>
    <x v="4"/>
    <x v="4"/>
    <x v="5"/>
    <x v="0"/>
    <x v="0"/>
    <x v="0"/>
    <x v="3"/>
    <x v="5"/>
    <n v="0"/>
    <n v="0"/>
    <n v="0.57099999999999995"/>
    <n v="0.57099999999999995"/>
    <n v="0.57099999999999995"/>
    <n v="0.57099999999999995"/>
    <n v="0"/>
    <x v="0"/>
    <n v="0"/>
    <n v="0"/>
    <n v="43"/>
    <n v="83"/>
    <n v="0"/>
    <n v="657.51"/>
    <n v="219.97"/>
    <m/>
    <n v="817.20668325562065"/>
    <n v="283.40928728637363"/>
    <n v="0"/>
    <n v="375.43820999999997"/>
    <n v="125.60287"/>
    <n v="0"/>
    <n v="466.62501613895932"/>
    <n v="161.82670304051933"/>
  </r>
  <r>
    <s v="Regular"/>
    <x v="4"/>
    <x v="4"/>
    <x v="5"/>
    <x v="0"/>
    <x v="0"/>
    <x v="0"/>
    <x v="3"/>
    <x v="6"/>
    <n v="0"/>
    <n v="0"/>
    <n v="0.46100000000000002"/>
    <n v="0.46100000000000002"/>
    <n v="0.46100000000000002"/>
    <n v="0.46100000000000002"/>
    <n v="0"/>
    <x v="0"/>
    <n v="0"/>
    <n v="0"/>
    <n v="43"/>
    <n v="83"/>
    <n v="0"/>
    <n v="657.51"/>
    <n v="219.97"/>
    <m/>
    <n v="817.20668325562065"/>
    <n v="283.40928728637363"/>
    <n v="0"/>
    <n v="303.11211000000003"/>
    <n v="101.40617"/>
    <n v="0"/>
    <n v="376.73228098084115"/>
    <n v="130.65168143901826"/>
  </r>
  <r>
    <s v="Regular"/>
    <x v="4"/>
    <x v="4"/>
    <x v="5"/>
    <x v="0"/>
    <x v="0"/>
    <x v="0"/>
    <x v="3"/>
    <x v="7"/>
    <n v="0"/>
    <n v="0"/>
    <n v="1.484"/>
    <n v="1.484"/>
    <n v="1.484"/>
    <n v="1.484"/>
    <n v="0"/>
    <x v="0"/>
    <n v="0"/>
    <n v="0"/>
    <n v="43"/>
    <n v="83"/>
    <n v="0"/>
    <n v="657.51"/>
    <n v="219.97"/>
    <m/>
    <n v="817.20668325562065"/>
    <n v="283.40928728637363"/>
    <n v="0"/>
    <n v="975.74483999999995"/>
    <n v="326.43547999999998"/>
    <n v="0"/>
    <n v="1212.7347179513411"/>
    <n v="420.57938233297847"/>
  </r>
  <r>
    <s v="Regular"/>
    <x v="4"/>
    <x v="4"/>
    <x v="5"/>
    <x v="0"/>
    <x v="0"/>
    <x v="0"/>
    <x v="3"/>
    <x v="8"/>
    <n v="0"/>
    <n v="0"/>
    <n v="1.099"/>
    <n v="1.099"/>
    <n v="1.099"/>
    <n v="1.099"/>
    <n v="0"/>
    <x v="0"/>
    <n v="0"/>
    <n v="0"/>
    <n v="43"/>
    <n v="83"/>
    <n v="0"/>
    <n v="657.51"/>
    <n v="219.97"/>
    <m/>
    <n v="817.20668325562065"/>
    <n v="283.40928728637363"/>
    <n v="0"/>
    <n v="722.60348999999997"/>
    <n v="241.74703"/>
    <n v="0"/>
    <n v="898.11014489792706"/>
    <n v="311.46680672772459"/>
  </r>
  <r>
    <s v="Refaturamento - Regular"/>
    <x v="4"/>
    <x v="4"/>
    <x v="5"/>
    <x v="0"/>
    <x v="0"/>
    <x v="0"/>
    <x v="3"/>
    <x v="8"/>
    <n v="0"/>
    <n v="0"/>
    <n v="-2.657"/>
    <n v="-2.657"/>
    <n v="-2.657"/>
    <n v="-2.657"/>
    <n v="0"/>
    <x v="0"/>
    <n v="0"/>
    <n v="0"/>
    <n v="43"/>
    <n v="83"/>
    <n v="0"/>
    <n v="657.51"/>
    <n v="219.97"/>
    <m/>
    <n v="817.20668325562065"/>
    <n v="283.40928728637363"/>
    <n v="0"/>
    <n v="-1747.00407"/>
    <n v="-584.46028999999999"/>
    <n v="0"/>
    <n v="-2171.3181574101841"/>
    <n v="-753.01847631989472"/>
  </r>
  <r>
    <s v="Regular"/>
    <x v="4"/>
    <x v="4"/>
    <x v="5"/>
    <x v="0"/>
    <x v="0"/>
    <x v="0"/>
    <x v="3"/>
    <x v="9"/>
    <n v="0"/>
    <n v="0"/>
    <n v="1.9079999999999999"/>
    <n v="1.9079999999999999"/>
    <n v="1.9079999999999999"/>
    <n v="1.9079999999999999"/>
    <n v="0"/>
    <x v="0"/>
    <n v="0"/>
    <n v="0"/>
    <n v="43"/>
    <n v="83"/>
    <n v="0"/>
    <n v="657.51"/>
    <n v="219.97"/>
    <m/>
    <n v="817.20668325562065"/>
    <n v="283.40928728637363"/>
    <n v="0"/>
    <n v="1254.52908"/>
    <n v="419.70275999999996"/>
    <n v="0"/>
    <n v="1559.230351651724"/>
    <n v="540.74492014240082"/>
  </r>
  <r>
    <s v="Regular"/>
    <x v="4"/>
    <x v="4"/>
    <x v="5"/>
    <x v="0"/>
    <x v="0"/>
    <x v="0"/>
    <x v="3"/>
    <x v="10"/>
    <n v="0"/>
    <n v="0"/>
    <n v="2.0619999999999998"/>
    <n v="2.0619999999999998"/>
    <n v="2.0619999999999998"/>
    <n v="2.0619999999999998"/>
    <n v="0"/>
    <x v="0"/>
    <n v="0"/>
    <n v="0"/>
    <n v="43"/>
    <n v="83"/>
    <n v="0"/>
    <n v="657.51"/>
    <n v="219.97"/>
    <m/>
    <n v="817.20668325562065"/>
    <n v="283.40928728637363"/>
    <n v="0"/>
    <n v="1355.7856199999999"/>
    <n v="453.57813999999996"/>
    <n v="0"/>
    <n v="1685.0801808730896"/>
    <n v="584.38995038450241"/>
  </r>
  <r>
    <s v="PROJETADO"/>
    <x v="4"/>
    <x v="4"/>
    <x v="5"/>
    <x v="0"/>
    <x v="0"/>
    <x v="0"/>
    <x v="3"/>
    <x v="11"/>
    <n v="0"/>
    <n v="0"/>
    <n v="2.0619999999999998"/>
    <n v="2.0619999999999998"/>
    <n v="2.0619999999999998"/>
    <n v="2.0619999999999998"/>
    <n v="0"/>
    <x v="0"/>
    <n v="0"/>
    <n v="0"/>
    <n v="43"/>
    <n v="83"/>
    <n v="0"/>
    <n v="657.51"/>
    <n v="219.97"/>
    <m/>
    <n v="817.20668325562065"/>
    <n v="283.40928728637363"/>
    <n v="0"/>
    <n v="1355.7856199999999"/>
    <n v="453.57813999999996"/>
    <n v="0"/>
    <n v="1685.0801808730896"/>
    <n v="584.38995038450241"/>
  </r>
  <r>
    <s v="Regular"/>
    <x v="4"/>
    <x v="4"/>
    <x v="5"/>
    <x v="0"/>
    <x v="0"/>
    <x v="0"/>
    <x v="2"/>
    <x v="0"/>
    <n v="0"/>
    <n v="0"/>
    <n v="3.5000000000000003E-2"/>
    <n v="3.5000000000000003E-2"/>
    <n v="3.5000000000000003E-2"/>
    <n v="3.5000000000000003E-2"/>
    <n v="0"/>
    <x v="0"/>
    <n v="0"/>
    <n v="0"/>
    <n v="42"/>
    <n v="82"/>
    <n v="0"/>
    <n v="1010.32"/>
    <n v="346.61"/>
    <m/>
    <n v="1254.9554530869705"/>
    <n v="441.69177554366559"/>
    <n v="0"/>
    <n v="35.361200000000004"/>
    <n v="12.131350000000001"/>
    <n v="0"/>
    <n v="43.923440858043968"/>
    <n v="15.459212144028298"/>
  </r>
  <r>
    <s v="Regular"/>
    <x v="4"/>
    <x v="4"/>
    <x v="5"/>
    <x v="0"/>
    <x v="0"/>
    <x v="0"/>
    <x v="2"/>
    <x v="1"/>
    <n v="0"/>
    <n v="0"/>
    <n v="3.7999999999999999E-2"/>
    <n v="3.7999999999999999E-2"/>
    <n v="3.7999999999999999E-2"/>
    <n v="3.7999999999999999E-2"/>
    <n v="0"/>
    <x v="0"/>
    <n v="0"/>
    <n v="0"/>
    <n v="42"/>
    <n v="82"/>
    <n v="0"/>
    <n v="1010.32"/>
    <n v="346.61"/>
    <m/>
    <n v="1254.9554530869705"/>
    <n v="441.69177554366559"/>
    <n v="0"/>
    <n v="38.392160000000004"/>
    <n v="13.17118"/>
    <n v="0"/>
    <n v="47.688307217304875"/>
    <n v="16.78428747065929"/>
  </r>
  <r>
    <s v="Regular"/>
    <x v="4"/>
    <x v="4"/>
    <x v="5"/>
    <x v="0"/>
    <x v="0"/>
    <x v="0"/>
    <x v="2"/>
    <x v="2"/>
    <n v="0"/>
    <n v="0"/>
    <n v="5.6000000000000001E-2"/>
    <n v="5.6000000000000001E-2"/>
    <n v="5.6000000000000001E-2"/>
    <n v="5.6000000000000001E-2"/>
    <n v="0"/>
    <x v="0"/>
    <n v="0"/>
    <n v="0"/>
    <n v="42"/>
    <n v="82"/>
    <n v="0"/>
    <n v="1010.32"/>
    <n v="346.61"/>
    <m/>
    <n v="1254.9554530869705"/>
    <n v="441.69177554366559"/>
    <n v="0"/>
    <n v="56.577920000000006"/>
    <n v="19.410160000000001"/>
    <n v="0"/>
    <n v="70.277505372870351"/>
    <n v="24.734739430445273"/>
  </r>
  <r>
    <s v="Regular"/>
    <x v="4"/>
    <x v="4"/>
    <x v="5"/>
    <x v="0"/>
    <x v="0"/>
    <x v="0"/>
    <x v="2"/>
    <x v="3"/>
    <n v="0"/>
    <n v="0"/>
    <n v="0.152"/>
    <n v="0.152"/>
    <n v="0.152"/>
    <n v="0.152"/>
    <n v="0"/>
    <x v="0"/>
    <n v="0"/>
    <n v="0"/>
    <n v="42"/>
    <n v="82"/>
    <n v="0"/>
    <n v="1010.32"/>
    <n v="346.61"/>
    <m/>
    <n v="1254.9554530869705"/>
    <n v="441.69177554366559"/>
    <n v="0"/>
    <n v="153.56864000000002"/>
    <n v="52.684719999999999"/>
    <n v="0"/>
    <n v="190.7532288692195"/>
    <n v="67.137149882637161"/>
  </r>
  <r>
    <s v="Regular"/>
    <x v="4"/>
    <x v="4"/>
    <x v="5"/>
    <x v="0"/>
    <x v="0"/>
    <x v="0"/>
    <x v="2"/>
    <x v="4"/>
    <n v="0"/>
    <n v="0"/>
    <n v="0.184"/>
    <n v="0.184"/>
    <n v="0.184"/>
    <n v="0.184"/>
    <n v="0"/>
    <x v="0"/>
    <n v="0"/>
    <n v="0"/>
    <n v="42"/>
    <n v="82"/>
    <n v="0"/>
    <n v="1010.32"/>
    <n v="346.61"/>
    <m/>
    <n v="1254.9554530869705"/>
    <n v="441.69177554366559"/>
    <n v="0"/>
    <n v="185.89888000000002"/>
    <n v="63.776240000000001"/>
    <n v="0"/>
    <n v="230.91180336800255"/>
    <n v="81.271286700034466"/>
  </r>
  <r>
    <s v="Regular"/>
    <x v="4"/>
    <x v="4"/>
    <x v="5"/>
    <x v="0"/>
    <x v="0"/>
    <x v="0"/>
    <x v="2"/>
    <x v="5"/>
    <n v="0"/>
    <n v="0"/>
    <n v="0.28699999999999998"/>
    <n v="0.28699999999999998"/>
    <n v="0.28699999999999998"/>
    <n v="0.28699999999999998"/>
    <n v="0"/>
    <x v="0"/>
    <n v="0"/>
    <n v="0"/>
    <n v="42"/>
    <n v="82"/>
    <n v="0"/>
    <n v="1010.32"/>
    <n v="346.61"/>
    <m/>
    <n v="1254.9554530869705"/>
    <n v="441.69177554366559"/>
    <n v="0"/>
    <n v="289.96184"/>
    <n v="99.477069999999998"/>
    <n v="0"/>
    <n v="360.17221503596051"/>
    <n v="126.76553958103202"/>
  </r>
  <r>
    <s v="Regular"/>
    <x v="4"/>
    <x v="4"/>
    <x v="5"/>
    <x v="0"/>
    <x v="0"/>
    <x v="0"/>
    <x v="2"/>
    <x v="6"/>
    <n v="0"/>
    <n v="0"/>
    <n v="0.23899999999999999"/>
    <n v="0.23899999999999999"/>
    <n v="0.23899999999999999"/>
    <n v="0.23899999999999999"/>
    <n v="0"/>
    <x v="0"/>
    <n v="0"/>
    <n v="0"/>
    <n v="42"/>
    <n v="82"/>
    <n v="0"/>
    <n v="1010.32"/>
    <n v="346.61"/>
    <m/>
    <n v="1254.9554530869705"/>
    <n v="441.69177554366559"/>
    <n v="0"/>
    <n v="241.46647999999999"/>
    <n v="82.839789999999994"/>
    <n v="0"/>
    <n v="299.93435328778594"/>
    <n v="105.56433435493607"/>
  </r>
  <r>
    <s v="Regular"/>
    <x v="4"/>
    <x v="4"/>
    <x v="5"/>
    <x v="0"/>
    <x v="0"/>
    <x v="0"/>
    <x v="2"/>
    <x v="7"/>
    <n v="0"/>
    <n v="0"/>
    <n v="1.25"/>
    <n v="1.25"/>
    <n v="1.25"/>
    <n v="1.25"/>
    <n v="0"/>
    <x v="0"/>
    <n v="0"/>
    <n v="0"/>
    <n v="42"/>
    <n v="82"/>
    <n v="0"/>
    <n v="1010.32"/>
    <n v="346.61"/>
    <m/>
    <n v="1254.9554530869705"/>
    <n v="441.69177554366559"/>
    <n v="0"/>
    <n v="1262.9000000000001"/>
    <n v="433.26250000000005"/>
    <n v="0"/>
    <n v="1568.694316358713"/>
    <n v="552.11471942958201"/>
  </r>
  <r>
    <s v="Regular"/>
    <x v="4"/>
    <x v="4"/>
    <x v="5"/>
    <x v="0"/>
    <x v="0"/>
    <x v="0"/>
    <x v="2"/>
    <x v="8"/>
    <n v="0"/>
    <n v="0"/>
    <n v="1.9"/>
    <n v="1.9"/>
    <n v="1.9"/>
    <n v="1.9"/>
    <n v="0"/>
    <x v="0"/>
    <n v="0"/>
    <n v="0"/>
    <n v="42"/>
    <n v="82"/>
    <n v="0"/>
    <n v="1010.32"/>
    <n v="346.61"/>
    <m/>
    <n v="1254.9554530869705"/>
    <n v="441.69177554366559"/>
    <n v="0"/>
    <n v="1919.6079999999999"/>
    <n v="658.55899999999997"/>
    <n v="0"/>
    <n v="2384.4153608652437"/>
    <n v="839.2143735329646"/>
  </r>
  <r>
    <s v="Regular"/>
    <x v="4"/>
    <x v="4"/>
    <x v="5"/>
    <x v="0"/>
    <x v="0"/>
    <x v="0"/>
    <x v="2"/>
    <x v="9"/>
    <n v="0"/>
    <n v="0"/>
    <n v="1.2270000000000001"/>
    <n v="1.2270000000000001"/>
    <n v="1.2270000000000001"/>
    <n v="1.2270000000000001"/>
    <n v="0"/>
    <x v="0"/>
    <n v="0"/>
    <n v="0"/>
    <n v="42"/>
    <n v="82"/>
    <n v="0"/>
    <n v="1010.32"/>
    <n v="346.61"/>
    <m/>
    <n v="1254.9554530869705"/>
    <n v="441.69177554366559"/>
    <n v="0"/>
    <n v="1239.6626400000002"/>
    <n v="425.29047000000003"/>
    <n v="0"/>
    <n v="1539.8303409377129"/>
    <n v="541.95580859207769"/>
  </r>
  <r>
    <s v="Regular"/>
    <x v="4"/>
    <x v="4"/>
    <x v="5"/>
    <x v="0"/>
    <x v="0"/>
    <x v="0"/>
    <x v="2"/>
    <x v="10"/>
    <n v="0"/>
    <n v="0"/>
    <n v="1.341"/>
    <n v="1.341"/>
    <n v="1.341"/>
    <n v="1.341"/>
    <n v="0"/>
    <x v="0"/>
    <n v="0"/>
    <n v="0"/>
    <n v="42"/>
    <n v="82"/>
    <n v="0"/>
    <n v="1010.32"/>
    <n v="346.61"/>
    <m/>
    <n v="1254.9554530869705"/>
    <n v="441.69177554366559"/>
    <n v="0"/>
    <n v="1354.8391200000001"/>
    <n v="464.80401000000001"/>
    <n v="0"/>
    <n v="1682.8952625896275"/>
    <n v="592.30867100405555"/>
  </r>
  <r>
    <s v="PROJETADO"/>
    <x v="4"/>
    <x v="4"/>
    <x v="5"/>
    <x v="0"/>
    <x v="0"/>
    <x v="0"/>
    <x v="2"/>
    <x v="11"/>
    <n v="0"/>
    <n v="0"/>
    <n v="1.341"/>
    <n v="1.341"/>
    <n v="1.341"/>
    <n v="1.341"/>
    <n v="0"/>
    <x v="0"/>
    <n v="0"/>
    <n v="0"/>
    <n v="42"/>
    <n v="82"/>
    <n v="0"/>
    <n v="1010.32"/>
    <n v="346.61"/>
    <m/>
    <n v="1254.9554530869705"/>
    <n v="441.69177554366559"/>
    <n v="0"/>
    <n v="1354.8391200000001"/>
    <n v="464.80401000000001"/>
    <n v="0"/>
    <n v="1682.8952625896275"/>
    <n v="592.30867100405555"/>
  </r>
  <r>
    <s v="Regular"/>
    <x v="4"/>
    <x v="5"/>
    <x v="0"/>
    <x v="0"/>
    <x v="0"/>
    <x v="0"/>
    <x v="1"/>
    <x v="0"/>
    <n v="0"/>
    <n v="0"/>
    <n v="28544"/>
    <n v="28544"/>
    <n v="28544"/>
    <n v="28544"/>
    <n v="64136"/>
    <x v="0"/>
    <n v="0"/>
    <n v="0"/>
    <n v="45"/>
    <n v="85"/>
    <n v="0"/>
    <n v="395.58"/>
    <n v="230.53"/>
    <m/>
    <n v="492.21094817442304"/>
    <n v="296.59949464114788"/>
    <n v="0"/>
    <n v="11291435.52"/>
    <n v="6580248.3200000003"/>
    <n v="0"/>
    <n v="14049669.304690732"/>
    <n v="8466135.9750369247"/>
  </r>
  <r>
    <s v="Refaturamento - Regular"/>
    <x v="4"/>
    <x v="5"/>
    <x v="0"/>
    <x v="0"/>
    <x v="0"/>
    <x v="0"/>
    <x v="1"/>
    <x v="0"/>
    <n v="0"/>
    <n v="0"/>
    <n v="-258.91899999999998"/>
    <n v="-258.91899999999998"/>
    <n v="-258.91899999999998"/>
    <n v="-258.91899999999998"/>
    <n v="-489"/>
    <x v="0"/>
    <n v="0"/>
    <n v="0"/>
    <n v="45"/>
    <n v="85"/>
    <n v="0"/>
    <n v="395.58"/>
    <n v="230.53"/>
    <m/>
    <n v="492.21094817442304"/>
    <n v="296.59949464114788"/>
    <n v="0"/>
    <n v="-102423.17801999999"/>
    <n v="-59688.597069999996"/>
    <n v="0"/>
    <n v="-127442.76649037343"/>
    <n v="-76795.244552991368"/>
  </r>
  <r>
    <s v="Sistema de Compensação"/>
    <x v="4"/>
    <x v="5"/>
    <x v="0"/>
    <x v="0"/>
    <x v="0"/>
    <x v="0"/>
    <x v="1"/>
    <x v="0"/>
    <n v="0"/>
    <n v="0"/>
    <n v="1269.1379999999999"/>
    <n v="1269.1379999999999"/>
    <n v="1269.1379999999999"/>
    <n v="1269.1379999999999"/>
    <n v="1423"/>
    <x v="0"/>
    <n v="0"/>
    <n v="0"/>
    <n v="45"/>
    <n v="85"/>
    <n v="0"/>
    <n v="395.58"/>
    <n v="230.53"/>
    <m/>
    <n v="492.21094817442304"/>
    <n v="296.59949464114788"/>
    <n v="0"/>
    <n v="502045.61003999994"/>
    <n v="292574.38313999999"/>
    <n v="0"/>
    <n v="624683.61834419088"/>
    <n v="376425.68942987709"/>
  </r>
  <r>
    <s v="Sistema de Compensação"/>
    <x v="4"/>
    <x v="5"/>
    <x v="0"/>
    <x v="0"/>
    <x v="0"/>
    <x v="0"/>
    <x v="1"/>
    <x v="0"/>
    <n v="0"/>
    <n v="0"/>
    <n v="36.396999999999998"/>
    <n v="36.396999999999998"/>
    <n v="36.396999999999998"/>
    <n v="36.396999999999998"/>
    <n v="9"/>
    <x v="0"/>
    <n v="0"/>
    <n v="0"/>
    <n v="45"/>
    <n v="85"/>
    <n v="0"/>
    <n v="395.58"/>
    <n v="230.53"/>
    <m/>
    <n v="492.21094817442304"/>
    <n v="296.59949464114788"/>
    <n v="0"/>
    <n v="14397.925259999998"/>
    <n v="8390.6004099999991"/>
    <n v="0"/>
    <n v="17915.001880704476"/>
    <n v="10795.33180645386"/>
  </r>
  <r>
    <s v="Regular"/>
    <x v="4"/>
    <x v="5"/>
    <x v="0"/>
    <x v="0"/>
    <x v="0"/>
    <x v="0"/>
    <x v="1"/>
    <x v="1"/>
    <n v="0"/>
    <n v="0"/>
    <n v="26741.223999999998"/>
    <n v="26741.223999999998"/>
    <n v="26741.223999999998"/>
    <n v="26741.223999999998"/>
    <n v="63593"/>
    <x v="0"/>
    <n v="0"/>
    <n v="0"/>
    <n v="45"/>
    <n v="85"/>
    <n v="0"/>
    <n v="395.58"/>
    <n v="230.53"/>
    <m/>
    <n v="492.21094817442304"/>
    <n v="296.59949464114788"/>
    <n v="0"/>
    <n v="10578293.389919998"/>
    <n v="6164654.3687199997"/>
    <n v="0"/>
    <n v="13162323.220384637"/>
    <n v="7931433.5244857343"/>
  </r>
  <r>
    <s v="Refaturamento - Regular"/>
    <x v="4"/>
    <x v="5"/>
    <x v="0"/>
    <x v="0"/>
    <x v="0"/>
    <x v="0"/>
    <x v="1"/>
    <x v="1"/>
    <n v="0"/>
    <n v="0"/>
    <n v="-198.053"/>
    <n v="-198.053"/>
    <n v="-198.053"/>
    <n v="-198.053"/>
    <n v="-1060"/>
    <x v="0"/>
    <n v="0"/>
    <n v="0"/>
    <n v="45"/>
    <n v="85"/>
    <n v="0"/>
    <n v="395.58"/>
    <n v="230.53"/>
    <m/>
    <n v="492.21094817442304"/>
    <n v="296.59949464114788"/>
    <n v="0"/>
    <n v="-78345.805739999996"/>
    <n v="-45657.158089999997"/>
    <n v="0"/>
    <n v="-97483.854918789002"/>
    <n v="-58742.419712163261"/>
  </r>
  <r>
    <s v="Sistema de Compensação"/>
    <x v="4"/>
    <x v="5"/>
    <x v="0"/>
    <x v="0"/>
    <x v="0"/>
    <x v="0"/>
    <x v="1"/>
    <x v="1"/>
    <n v="0"/>
    <n v="0"/>
    <n v="1735.873"/>
    <n v="1735.873"/>
    <n v="1735.873"/>
    <n v="1735.873"/>
    <n v="1699"/>
    <x v="0"/>
    <n v="0"/>
    <n v="0"/>
    <n v="45"/>
    <n v="85"/>
    <n v="0"/>
    <n v="395.58"/>
    <n v="230.53"/>
    <m/>
    <n v="492.21094817442304"/>
    <n v="296.59949464114788"/>
    <n v="0"/>
    <n v="686676.64133999997"/>
    <n v="400170.80269000004"/>
    <n v="0"/>
    <n v="854415.69524038024"/>
    <n v="514859.0545612133"/>
  </r>
  <r>
    <s v="Sistema de Compensação"/>
    <x v="4"/>
    <x v="5"/>
    <x v="0"/>
    <x v="0"/>
    <x v="0"/>
    <x v="0"/>
    <x v="1"/>
    <x v="1"/>
    <n v="0"/>
    <n v="0"/>
    <n v="-20"/>
    <n v="-20"/>
    <n v="-20"/>
    <n v="-20"/>
    <n v="0"/>
    <x v="0"/>
    <n v="0"/>
    <n v="0"/>
    <n v="45"/>
    <n v="85"/>
    <n v="0"/>
    <n v="395.58"/>
    <n v="230.53"/>
    <m/>
    <n v="492.21094817442304"/>
    <n v="296.59949464114788"/>
    <n v="0"/>
    <n v="-7911.5999999999995"/>
    <n v="-4610.6000000000004"/>
    <n v="0"/>
    <n v="-9844.2189634884598"/>
    <n v="-5931.9898928229577"/>
  </r>
  <r>
    <s v="Regular"/>
    <x v="4"/>
    <x v="5"/>
    <x v="0"/>
    <x v="0"/>
    <x v="0"/>
    <x v="0"/>
    <x v="1"/>
    <x v="2"/>
    <n v="0"/>
    <n v="0"/>
    <n v="25549.922999999999"/>
    <n v="25549.922999999999"/>
    <n v="25549.922999999999"/>
    <n v="25549.922999999999"/>
    <n v="63481"/>
    <x v="0"/>
    <n v="0"/>
    <n v="0"/>
    <n v="45"/>
    <n v="85"/>
    <n v="0"/>
    <n v="395.58"/>
    <n v="230.53"/>
    <m/>
    <n v="492.21094817442304"/>
    <n v="296.59949464114788"/>
    <n v="0"/>
    <n v="10107038.540339999"/>
    <n v="5890023.7491899999"/>
    <n v="0"/>
    <n v="12575951.825613499"/>
    <n v="7578094.2499202406"/>
  </r>
  <r>
    <s v="Refaturamento - Regular"/>
    <x v="4"/>
    <x v="5"/>
    <x v="0"/>
    <x v="0"/>
    <x v="0"/>
    <x v="0"/>
    <x v="1"/>
    <x v="2"/>
    <n v="0"/>
    <n v="0"/>
    <n v="-273.99200000000002"/>
    <n v="-273.99200000000002"/>
    <n v="-273.99200000000002"/>
    <n v="-273.99200000000002"/>
    <n v="-870"/>
    <x v="0"/>
    <n v="0"/>
    <n v="0"/>
    <n v="45"/>
    <n v="85"/>
    <n v="0"/>
    <n v="395.58"/>
    <n v="230.53"/>
    <m/>
    <n v="492.21094817442304"/>
    <n v="296.59949464114788"/>
    <n v="0"/>
    <n v="-108385.75536000001"/>
    <n v="-63163.375760000003"/>
    <n v="0"/>
    <n v="-134861.86211220652"/>
    <n v="-81265.888735717395"/>
  </r>
  <r>
    <s v="Sistema de Compensação"/>
    <x v="4"/>
    <x v="5"/>
    <x v="0"/>
    <x v="0"/>
    <x v="0"/>
    <x v="0"/>
    <x v="1"/>
    <x v="2"/>
    <n v="0"/>
    <n v="0"/>
    <n v="1779.4159999999999"/>
    <n v="1779.4159999999999"/>
    <n v="1779.4159999999999"/>
    <n v="1779.4159999999999"/>
    <n v="1879"/>
    <x v="0"/>
    <n v="0"/>
    <n v="0"/>
    <n v="45"/>
    <n v="85"/>
    <n v="0"/>
    <n v="395.58"/>
    <n v="230.53"/>
    <m/>
    <n v="492.21094817442304"/>
    <n v="296.59949464114788"/>
    <n v="0"/>
    <n v="703901.38127999997"/>
    <n v="410208.77048000001"/>
    <n v="0"/>
    <n v="875848.03655673913"/>
    <n v="527773.88635637274"/>
  </r>
  <r>
    <s v="Sistema de Compensação"/>
    <x v="4"/>
    <x v="5"/>
    <x v="0"/>
    <x v="0"/>
    <x v="0"/>
    <x v="0"/>
    <x v="1"/>
    <x v="2"/>
    <n v="0"/>
    <n v="0"/>
    <n v="-22.675000000000001"/>
    <n v="-22.675000000000001"/>
    <n v="-22.675000000000001"/>
    <n v="-22.675000000000001"/>
    <n v="0"/>
    <x v="0"/>
    <n v="0"/>
    <n v="0"/>
    <n v="45"/>
    <n v="85"/>
    <n v="0"/>
    <n v="395.58"/>
    <n v="230.53"/>
    <m/>
    <n v="492.21094817442304"/>
    <n v="296.59949464114788"/>
    <n v="0"/>
    <n v="-8969.7764999999999"/>
    <n v="-5227.26775"/>
    <n v="0"/>
    <n v="-11160.883249855042"/>
    <n v="-6725.3935409880287"/>
  </r>
  <r>
    <s v="Regular"/>
    <x v="4"/>
    <x v="5"/>
    <x v="0"/>
    <x v="0"/>
    <x v="0"/>
    <x v="0"/>
    <x v="1"/>
    <x v="3"/>
    <n v="0"/>
    <n v="0"/>
    <n v="26188.084999999999"/>
    <n v="26188.084999999999"/>
    <n v="26188.084999999999"/>
    <n v="26188.084999999999"/>
    <n v="63270"/>
    <x v="0"/>
    <n v="0"/>
    <n v="0"/>
    <n v="45"/>
    <n v="85"/>
    <n v="0"/>
    <n v="395.58"/>
    <n v="230.53"/>
    <m/>
    <n v="492.21094817442304"/>
    <n v="296.59949464114788"/>
    <n v="0"/>
    <n v="10359482.664299998"/>
    <n v="6037139.2350500003"/>
    <n v="0"/>
    <n v="12890062.148722384"/>
    <n v="7767372.776619425"/>
  </r>
  <r>
    <s v="Refaturamento - Regular"/>
    <x v="4"/>
    <x v="5"/>
    <x v="0"/>
    <x v="0"/>
    <x v="0"/>
    <x v="0"/>
    <x v="1"/>
    <x v="3"/>
    <n v="0"/>
    <n v="0"/>
    <n v="-191.34299999999999"/>
    <n v="-191.34299999999999"/>
    <n v="-191.34299999999999"/>
    <n v="-191.34299999999999"/>
    <n v="-601"/>
    <x v="0"/>
    <n v="0"/>
    <n v="0"/>
    <n v="45"/>
    <n v="85"/>
    <n v="0"/>
    <n v="395.58"/>
    <n v="230.53"/>
    <m/>
    <n v="492.21094817442304"/>
    <n v="296.59949464114788"/>
    <n v="0"/>
    <n v="-75691.463939999987"/>
    <n v="-44110.301789999998"/>
    <n v="0"/>
    <n v="-94181.119456538625"/>
    <n v="-56752.237103121159"/>
  </r>
  <r>
    <s v="Sistema de Compensação"/>
    <x v="4"/>
    <x v="5"/>
    <x v="0"/>
    <x v="0"/>
    <x v="0"/>
    <x v="0"/>
    <x v="1"/>
    <x v="3"/>
    <n v="0"/>
    <n v="0"/>
    <n v="1732.671"/>
    <n v="1732.671"/>
    <n v="1732.671"/>
    <n v="1732.671"/>
    <n v="2039"/>
    <x v="0"/>
    <n v="0"/>
    <n v="0"/>
    <n v="45"/>
    <n v="85"/>
    <n v="0"/>
    <n v="395.58"/>
    <n v="230.53"/>
    <m/>
    <n v="492.21094817442304"/>
    <n v="296.59949464114788"/>
    <n v="0"/>
    <n v="685409.99418000004"/>
    <n v="399432.64562999998"/>
    <n v="0"/>
    <n v="852839.63578432577"/>
    <n v="513909.34297937236"/>
  </r>
  <r>
    <s v="Sistema de Compensação"/>
    <x v="4"/>
    <x v="5"/>
    <x v="0"/>
    <x v="0"/>
    <x v="0"/>
    <x v="0"/>
    <x v="1"/>
    <x v="3"/>
    <n v="0"/>
    <n v="0"/>
    <n v="16.030999999999999"/>
    <n v="16.030999999999999"/>
    <n v="16.030999999999999"/>
    <n v="16.030999999999999"/>
    <n v="2"/>
    <x v="0"/>
    <n v="0"/>
    <n v="0"/>
    <n v="45"/>
    <n v="85"/>
    <n v="0"/>
    <n v="395.58"/>
    <n v="230.53"/>
    <m/>
    <n v="492.21094817442304"/>
    <n v="296.59949464114788"/>
    <n v="0"/>
    <n v="6341.5429799999993"/>
    <n v="3695.6264299999998"/>
    <n v="0"/>
    <n v="7890.6337101841755"/>
    <n v="4754.7864985922415"/>
  </r>
  <r>
    <s v="Regular"/>
    <x v="4"/>
    <x v="5"/>
    <x v="0"/>
    <x v="0"/>
    <x v="0"/>
    <x v="0"/>
    <x v="1"/>
    <x v="4"/>
    <n v="0"/>
    <n v="0"/>
    <n v="27928.151000000002"/>
    <n v="27928.151000000002"/>
    <n v="27928.151000000002"/>
    <n v="27928.151000000002"/>
    <n v="63213"/>
    <x v="0"/>
    <n v="0"/>
    <n v="0"/>
    <n v="45"/>
    <n v="85"/>
    <n v="0"/>
    <n v="395.58"/>
    <n v="230.53"/>
    <m/>
    <n v="492.21094817442304"/>
    <n v="296.59949464114788"/>
    <n v="0"/>
    <n v="11047817.972580001"/>
    <n v="6438276.6500300001"/>
    <n v="0"/>
    <n v="13746541.684468461"/>
    <n v="8283475.472861669"/>
  </r>
  <r>
    <s v="Refaturamento - Regular"/>
    <x v="4"/>
    <x v="5"/>
    <x v="0"/>
    <x v="0"/>
    <x v="0"/>
    <x v="0"/>
    <x v="1"/>
    <x v="4"/>
    <n v="0"/>
    <n v="0"/>
    <n v="-104.52800000000001"/>
    <n v="-104.52800000000001"/>
    <n v="-104.52800000000001"/>
    <n v="-104.52800000000001"/>
    <n v="-725"/>
    <x v="0"/>
    <n v="0"/>
    <n v="0"/>
    <n v="45"/>
    <n v="85"/>
    <n v="0"/>
    <n v="395.58"/>
    <n v="230.53"/>
    <m/>
    <n v="492.21094817442304"/>
    <n v="296.59949464114788"/>
    <n v="0"/>
    <n v="-41349.186240000003"/>
    <n v="-24096.839840000001"/>
    <n v="0"/>
    <n v="-51449.825990776095"/>
    <n v="-31002.951975849908"/>
  </r>
  <r>
    <s v="Sistema de Compensação"/>
    <x v="4"/>
    <x v="5"/>
    <x v="0"/>
    <x v="0"/>
    <x v="0"/>
    <x v="0"/>
    <x v="1"/>
    <x v="4"/>
    <n v="0"/>
    <n v="0"/>
    <n v="1545.4639999999999"/>
    <n v="1545.4639999999999"/>
    <n v="1545.4639999999999"/>
    <n v="1545.4639999999999"/>
    <n v="2228"/>
    <x v="0"/>
    <n v="0"/>
    <n v="0"/>
    <n v="45"/>
    <n v="85"/>
    <n v="0"/>
    <n v="395.58"/>
    <n v="230.53"/>
    <m/>
    <n v="492.21094817442304"/>
    <n v="296.59949464114788"/>
    <n v="0"/>
    <n v="611354.64911999996"/>
    <n v="356275.81591999996"/>
    <n v="0"/>
    <n v="760694.30080943648"/>
    <n v="458383.84138608695"/>
  </r>
  <r>
    <s v="Sistema de Compensação"/>
    <x v="4"/>
    <x v="5"/>
    <x v="0"/>
    <x v="0"/>
    <x v="0"/>
    <x v="0"/>
    <x v="1"/>
    <x v="4"/>
    <n v="0"/>
    <n v="0"/>
    <n v="67.804000000000002"/>
    <n v="67.804000000000002"/>
    <n v="67.804000000000002"/>
    <n v="67.804000000000002"/>
    <n v="12"/>
    <x v="0"/>
    <n v="0"/>
    <n v="0"/>
    <n v="45"/>
    <n v="85"/>
    <n v="0"/>
    <n v="395.58"/>
    <n v="230.53"/>
    <m/>
    <n v="492.21094817442304"/>
    <n v="296.59949464114788"/>
    <n v="0"/>
    <n v="26821.906319999998"/>
    <n v="15630.85612"/>
    <n v="0"/>
    <n v="33373.871130018582"/>
    <n v="20110.632134648393"/>
  </r>
  <r>
    <s v="Regular"/>
    <x v="4"/>
    <x v="5"/>
    <x v="0"/>
    <x v="0"/>
    <x v="0"/>
    <x v="0"/>
    <x v="1"/>
    <x v="5"/>
    <n v="0"/>
    <n v="0"/>
    <n v="30093.437999999998"/>
    <n v="30093.437999999998"/>
    <n v="30093.437999999998"/>
    <n v="30093.437999999998"/>
    <n v="63314"/>
    <x v="0"/>
    <n v="0"/>
    <n v="0"/>
    <n v="45"/>
    <n v="85"/>
    <n v="0"/>
    <n v="395.58"/>
    <n v="230.53"/>
    <m/>
    <n v="492.21094817442304"/>
    <n v="296.59949464114788"/>
    <n v="0"/>
    <n v="11904362.204039998"/>
    <n v="6937440.2621399993"/>
    <n v="0"/>
    <n v="14812319.651808212"/>
    <n v="8925698.5028147157"/>
  </r>
  <r>
    <s v="Refaturamento - Regular"/>
    <x v="4"/>
    <x v="5"/>
    <x v="0"/>
    <x v="0"/>
    <x v="0"/>
    <x v="0"/>
    <x v="1"/>
    <x v="5"/>
    <n v="0"/>
    <n v="0"/>
    <n v="-112.68600000000001"/>
    <n v="-112.68600000000001"/>
    <n v="-112.68600000000001"/>
    <n v="-112.68600000000001"/>
    <n v="-394"/>
    <x v="0"/>
    <n v="0"/>
    <n v="0"/>
    <n v="45"/>
    <n v="85"/>
    <n v="0"/>
    <n v="395.58"/>
    <n v="230.53"/>
    <m/>
    <n v="492.21094817442304"/>
    <n v="296.59949464114788"/>
    <n v="0"/>
    <n v="-44576.327880000004"/>
    <n v="-25977.503580000001"/>
    <n v="0"/>
    <n v="-55465.28290598304"/>
    <n v="-33422.610653132389"/>
  </r>
  <r>
    <s v="Sistema de Compensação"/>
    <x v="4"/>
    <x v="5"/>
    <x v="0"/>
    <x v="0"/>
    <x v="0"/>
    <x v="0"/>
    <x v="1"/>
    <x v="5"/>
    <n v="0"/>
    <n v="0"/>
    <n v="1630.78"/>
    <n v="1630.78"/>
    <n v="1630.78"/>
    <n v="1630.78"/>
    <n v="2368"/>
    <x v="0"/>
    <n v="0"/>
    <n v="0"/>
    <n v="45"/>
    <n v="85"/>
    <n v="0"/>
    <n v="395.58"/>
    <n v="230.53"/>
    <m/>
    <n v="492.21094817442304"/>
    <n v="296.59949464114788"/>
    <n v="0"/>
    <n v="645103.95239999995"/>
    <n v="375943.71340000001"/>
    <n v="0"/>
    <n v="802687.7700638856"/>
    <n v="483688.52387089113"/>
  </r>
  <r>
    <s v="Sistema de Compensação"/>
    <x v="4"/>
    <x v="5"/>
    <x v="0"/>
    <x v="0"/>
    <x v="0"/>
    <x v="0"/>
    <x v="1"/>
    <x v="5"/>
    <n v="0"/>
    <n v="0"/>
    <n v="76.355000000000004"/>
    <n v="76.355000000000004"/>
    <n v="76.355000000000004"/>
    <n v="76.355000000000004"/>
    <n v="69"/>
    <x v="0"/>
    <n v="0"/>
    <n v="0"/>
    <n v="45"/>
    <n v="85"/>
    <n v="0"/>
    <n v="395.58"/>
    <n v="230.53"/>
    <m/>
    <n v="492.21094817442304"/>
    <n v="296.59949464114788"/>
    <n v="0"/>
    <n v="30204.510900000001"/>
    <n v="17602.118150000002"/>
    <n v="0"/>
    <n v="37582.766947858072"/>
    <n v="22646.854413324847"/>
  </r>
  <r>
    <s v="Regular"/>
    <x v="4"/>
    <x v="5"/>
    <x v="0"/>
    <x v="0"/>
    <x v="0"/>
    <x v="0"/>
    <x v="1"/>
    <x v="6"/>
    <n v="0"/>
    <n v="0"/>
    <n v="31624.109"/>
    <n v="31624.109"/>
    <n v="31624.109"/>
    <n v="31624.109"/>
    <n v="63306"/>
    <x v="0"/>
    <n v="0"/>
    <n v="0"/>
    <n v="45"/>
    <n v="85"/>
    <n v="0"/>
    <n v="395.58"/>
    <n v="230.53"/>
    <m/>
    <n v="492.21094817442304"/>
    <n v="296.59949464114788"/>
    <n v="0"/>
    <n v="12509865.03822"/>
    <n v="7290305.8477699999"/>
    <n v="0"/>
    <n v="15565732.676061306"/>
    <n v="9379694.7478765771"/>
  </r>
  <r>
    <s v="Refaturamento - Regular"/>
    <x v="4"/>
    <x v="5"/>
    <x v="0"/>
    <x v="0"/>
    <x v="0"/>
    <x v="0"/>
    <x v="1"/>
    <x v="6"/>
    <n v="0"/>
    <n v="0"/>
    <n v="20.347000000000001"/>
    <n v="20.347000000000001"/>
    <n v="20.347000000000001"/>
    <n v="20.347000000000001"/>
    <n v="-275"/>
    <x v="0"/>
    <n v="0"/>
    <n v="0"/>
    <n v="45"/>
    <n v="85"/>
    <n v="0"/>
    <n v="395.58"/>
    <n v="230.53"/>
    <m/>
    <n v="492.21094817442304"/>
    <n v="296.59949464114788"/>
    <n v="0"/>
    <n v="8048.8662599999998"/>
    <n v="4690.5939100000005"/>
    <n v="0"/>
    <n v="10015.016162504986"/>
    <n v="6034.9099174634366"/>
  </r>
  <r>
    <s v="Sistema de Compensação"/>
    <x v="4"/>
    <x v="5"/>
    <x v="0"/>
    <x v="0"/>
    <x v="0"/>
    <x v="0"/>
    <x v="1"/>
    <x v="6"/>
    <n v="0"/>
    <n v="0"/>
    <n v="1566.777"/>
    <n v="1566.777"/>
    <n v="1566.777"/>
    <n v="1566.777"/>
    <n v="2524"/>
    <x v="0"/>
    <n v="0"/>
    <n v="0"/>
    <n v="45"/>
    <n v="85"/>
    <n v="0"/>
    <n v="395.58"/>
    <n v="230.53"/>
    <m/>
    <n v="492.21094817442304"/>
    <n v="296.59949464114788"/>
    <n v="0"/>
    <n v="619785.64566000004"/>
    <n v="361189.10181000002"/>
    <n v="0"/>
    <n v="771184.792747878"/>
    <n v="464705.26641537377"/>
  </r>
  <r>
    <s v="Sistema de Compensação"/>
    <x v="4"/>
    <x v="5"/>
    <x v="0"/>
    <x v="0"/>
    <x v="0"/>
    <x v="0"/>
    <x v="1"/>
    <x v="6"/>
    <n v="0"/>
    <n v="0"/>
    <n v="-5.94"/>
    <n v="-5.94"/>
    <n v="-5.94"/>
    <n v="-5.94"/>
    <n v="-3"/>
    <x v="0"/>
    <n v="0"/>
    <n v="0"/>
    <n v="45"/>
    <n v="85"/>
    <n v="0"/>
    <n v="395.58"/>
    <n v="230.53"/>
    <m/>
    <n v="492.21094817442304"/>
    <n v="296.59949464114788"/>
    <n v="0"/>
    <n v="-2349.7451999999998"/>
    <n v="-1369.3482000000001"/>
    <n v="0"/>
    <n v="-2923.733032156073"/>
    <n v="-1761.8009981684186"/>
  </r>
  <r>
    <s v="Regular"/>
    <x v="4"/>
    <x v="5"/>
    <x v="0"/>
    <x v="0"/>
    <x v="0"/>
    <x v="0"/>
    <x v="1"/>
    <x v="7"/>
    <n v="0"/>
    <n v="0"/>
    <n v="32229.486000000001"/>
    <n v="32229.486000000001"/>
    <n v="32229.486000000001"/>
    <n v="32229.486000000001"/>
    <n v="62196"/>
    <x v="0"/>
    <n v="0"/>
    <n v="0"/>
    <n v="45"/>
    <n v="85"/>
    <n v="0"/>
    <n v="395.58"/>
    <n v="230.53"/>
    <m/>
    <n v="492.21094817442304"/>
    <n v="296.59949464114788"/>
    <n v="0"/>
    <n v="12749340.07188"/>
    <n v="7429863.4075800003"/>
    <n v="0"/>
    <n v="15863705.863234293"/>
    <n v="9559249.2601439506"/>
  </r>
  <r>
    <s v="Refaturamento - Regular"/>
    <x v="4"/>
    <x v="5"/>
    <x v="0"/>
    <x v="0"/>
    <x v="0"/>
    <x v="0"/>
    <x v="1"/>
    <x v="7"/>
    <n v="0"/>
    <n v="0"/>
    <n v="-116.292"/>
    <n v="-116.292"/>
    <n v="-116.292"/>
    <n v="-116.292"/>
    <n v="-370"/>
    <x v="0"/>
    <n v="0"/>
    <n v="0"/>
    <n v="45"/>
    <n v="85"/>
    <n v="0"/>
    <n v="395.58"/>
    <n v="230.53"/>
    <m/>
    <n v="492.21094817442304"/>
    <n v="296.59949464114788"/>
    <n v="0"/>
    <n v="-46002.789359999995"/>
    <n v="-26808.794760000001"/>
    <n v="0"/>
    <n v="-57240.195585100002"/>
    <n v="-34492.148430808367"/>
  </r>
  <r>
    <s v="Sistema de Compensação"/>
    <x v="4"/>
    <x v="5"/>
    <x v="0"/>
    <x v="0"/>
    <x v="0"/>
    <x v="0"/>
    <x v="1"/>
    <x v="7"/>
    <n v="0"/>
    <n v="0"/>
    <n v="1973.788"/>
    <n v="1973.788"/>
    <n v="1973.788"/>
    <n v="1973.788"/>
    <n v="2712"/>
    <x v="0"/>
    <n v="0"/>
    <n v="0"/>
    <n v="45"/>
    <n v="85"/>
    <n v="0"/>
    <n v="395.58"/>
    <n v="230.53"/>
    <m/>
    <n v="492.21094817442304"/>
    <n v="296.59949464114788"/>
    <n v="0"/>
    <n v="780791.05703999999"/>
    <n v="455017.34763999999"/>
    <n v="0"/>
    <n v="971520.06297529815"/>
    <n v="585424.52332876204"/>
  </r>
  <r>
    <s v="Sistema de Compensação"/>
    <x v="4"/>
    <x v="5"/>
    <x v="0"/>
    <x v="0"/>
    <x v="0"/>
    <x v="0"/>
    <x v="1"/>
    <x v="7"/>
    <n v="0"/>
    <n v="0"/>
    <n v="-24.870999999999999"/>
    <n v="-24.870999999999999"/>
    <n v="-24.870999999999999"/>
    <n v="-24.870999999999999"/>
    <n v="0"/>
    <x v="0"/>
    <n v="0"/>
    <n v="0"/>
    <n v="45"/>
    <n v="85"/>
    <n v="0"/>
    <n v="395.58"/>
    <n v="230.53"/>
    <m/>
    <n v="492.21094817442304"/>
    <n v="296.59949464114788"/>
    <n v="0"/>
    <n v="-9838.4701799999984"/>
    <n v="-5733.51163"/>
    <n v="0"/>
    <n v="-12241.778492046074"/>
    <n v="-7376.7260312199887"/>
  </r>
  <r>
    <s v="Regular"/>
    <x v="4"/>
    <x v="5"/>
    <x v="0"/>
    <x v="0"/>
    <x v="0"/>
    <x v="0"/>
    <x v="1"/>
    <x v="8"/>
    <n v="0"/>
    <n v="0"/>
    <n v="29042.809000000001"/>
    <n v="29042.809000000001"/>
    <n v="29042.809000000001"/>
    <n v="29042.809000000001"/>
    <n v="61530"/>
    <x v="0"/>
    <n v="0"/>
    <n v="0"/>
    <n v="45"/>
    <n v="85"/>
    <n v="0"/>
    <n v="395.58"/>
    <n v="230.53"/>
    <m/>
    <n v="492.21094817442304"/>
    <n v="296.59949464114788"/>
    <n v="0"/>
    <n v="11488754.38422"/>
    <n v="6695238.7587700002"/>
    <n v="0"/>
    <n v="14295188.555538667"/>
    <n v="8614082.4723593816"/>
  </r>
  <r>
    <s v="Refaturamento - Regular"/>
    <x v="4"/>
    <x v="5"/>
    <x v="0"/>
    <x v="0"/>
    <x v="0"/>
    <x v="0"/>
    <x v="1"/>
    <x v="8"/>
    <n v="0"/>
    <n v="0"/>
    <n v="-78.17"/>
    <n v="-78.17"/>
    <n v="-78.17"/>
    <n v="-78.17"/>
    <n v="-682"/>
    <x v="0"/>
    <n v="0"/>
    <n v="0"/>
    <n v="45"/>
    <n v="85"/>
    <n v="0"/>
    <n v="395.58"/>
    <n v="230.53"/>
    <m/>
    <n v="492.21094817442304"/>
    <n v="296.59949464114788"/>
    <n v="0"/>
    <n v="-30922.488600000001"/>
    <n v="-18020.5301"/>
    <n v="0"/>
    <n v="-38476.129818794652"/>
    <n v="-23185.182496098532"/>
  </r>
  <r>
    <s v="Sistema de Compensação"/>
    <x v="4"/>
    <x v="5"/>
    <x v="0"/>
    <x v="0"/>
    <x v="0"/>
    <x v="0"/>
    <x v="1"/>
    <x v="8"/>
    <n v="0"/>
    <n v="0"/>
    <n v="1887.521"/>
    <n v="1887.521"/>
    <n v="1887.521"/>
    <n v="1887.521"/>
    <n v="2919"/>
    <x v="0"/>
    <n v="0"/>
    <n v="0"/>
    <n v="45"/>
    <n v="85"/>
    <n v="0"/>
    <n v="395.58"/>
    <n v="230.53"/>
    <m/>
    <n v="492.21094817442304"/>
    <n v="296.59949464114788"/>
    <n v="0"/>
    <n v="746665.55718"/>
    <n v="435130.21613000002"/>
    <n v="0"/>
    <n v="929058.5011091351"/>
    <n v="559837.77472455404"/>
  </r>
  <r>
    <s v="Sistema de Compensação"/>
    <x v="4"/>
    <x v="5"/>
    <x v="0"/>
    <x v="0"/>
    <x v="0"/>
    <x v="0"/>
    <x v="1"/>
    <x v="8"/>
    <n v="0"/>
    <n v="0"/>
    <n v="-8.5299999999999994"/>
    <n v="-8.5299999999999994"/>
    <n v="-8.5299999999999994"/>
    <n v="-8.5299999999999994"/>
    <n v="1"/>
    <x v="0"/>
    <n v="0"/>
    <n v="0"/>
    <n v="45"/>
    <n v="85"/>
    <n v="0"/>
    <n v="395.58"/>
    <n v="230.53"/>
    <m/>
    <n v="492.21094817442304"/>
    <n v="296.59949464114788"/>
    <n v="0"/>
    <n v="-3374.2973999999995"/>
    <n v="-1966.4208999999998"/>
    <n v="0"/>
    <n v="-4198.5593879278285"/>
    <n v="-2529.9936892889914"/>
  </r>
  <r>
    <s v="Regular"/>
    <x v="4"/>
    <x v="5"/>
    <x v="0"/>
    <x v="0"/>
    <x v="0"/>
    <x v="0"/>
    <x v="1"/>
    <x v="9"/>
    <n v="0"/>
    <n v="0"/>
    <n v="29179.13"/>
    <n v="29179.13"/>
    <n v="29179.13"/>
    <n v="29179.13"/>
    <n v="61244"/>
    <x v="0"/>
    <n v="0"/>
    <n v="0"/>
    <n v="45"/>
    <n v="85"/>
    <n v="0"/>
    <n v="395.58"/>
    <n v="230.53"/>
    <m/>
    <n v="492.21094817442304"/>
    <n v="296.59949464114788"/>
    <n v="0"/>
    <n v="11542680.2454"/>
    <n v="6726664.8388999999"/>
    <n v="0"/>
    <n v="14362287.244204752"/>
    <n v="8654515.2120683584"/>
  </r>
  <r>
    <s v="Refaturamento - Regular"/>
    <x v="4"/>
    <x v="5"/>
    <x v="0"/>
    <x v="0"/>
    <x v="0"/>
    <x v="0"/>
    <x v="1"/>
    <x v="9"/>
    <n v="0"/>
    <n v="0"/>
    <n v="-119.01900000000001"/>
    <n v="-119.01900000000001"/>
    <n v="-119.01900000000001"/>
    <n v="-119.01900000000001"/>
    <n v="-553"/>
    <x v="0"/>
    <n v="0"/>
    <n v="0"/>
    <n v="45"/>
    <n v="85"/>
    <n v="0"/>
    <n v="395.58"/>
    <n v="230.53"/>
    <m/>
    <n v="492.21094817442304"/>
    <n v="296.59949464114788"/>
    <n v="0"/>
    <n v="-47081.53602"/>
    <n v="-27437.450070000003"/>
    <n v="0"/>
    <n v="-58582.454840771657"/>
    <n v="-35300.975252694785"/>
  </r>
  <r>
    <s v="Sistema de Compensação"/>
    <x v="4"/>
    <x v="5"/>
    <x v="0"/>
    <x v="0"/>
    <x v="0"/>
    <x v="0"/>
    <x v="1"/>
    <x v="9"/>
    <n v="0"/>
    <n v="0"/>
    <n v="1669.3969999999999"/>
    <n v="1669.3969999999999"/>
    <n v="1669.3969999999999"/>
    <n v="1669.3969999999999"/>
    <n v="3115"/>
    <x v="0"/>
    <n v="0"/>
    <n v="0"/>
    <n v="45"/>
    <n v="85"/>
    <n v="0"/>
    <n v="395.58"/>
    <n v="230.53"/>
    <m/>
    <n v="492.21094817442304"/>
    <n v="296.59949464114788"/>
    <n v="0"/>
    <n v="660380.06525999994"/>
    <n v="384846.09041"/>
    <n v="0"/>
    <n v="821695.48024953727"/>
    <n v="495142.30655544833"/>
  </r>
  <r>
    <s v="Sistema de Compensação"/>
    <x v="4"/>
    <x v="5"/>
    <x v="0"/>
    <x v="0"/>
    <x v="0"/>
    <x v="0"/>
    <x v="1"/>
    <x v="9"/>
    <n v="0"/>
    <n v="0"/>
    <n v="-5.3559999999999999"/>
    <n v="-5.3559999999999999"/>
    <n v="-5.3559999999999999"/>
    <n v="-5.3559999999999999"/>
    <n v="6"/>
    <x v="0"/>
    <n v="0"/>
    <n v="0"/>
    <n v="45"/>
    <n v="85"/>
    <n v="0"/>
    <n v="395.58"/>
    <n v="230.53"/>
    <m/>
    <n v="492.21094817442304"/>
    <n v="296.59949464114788"/>
    <n v="0"/>
    <n v="-2118.7264799999998"/>
    <n v="-1234.7186799999999"/>
    <n v="0"/>
    <n v="-2636.2818384222096"/>
    <n v="-1588.5868932979881"/>
  </r>
  <r>
    <s v="Regular"/>
    <x v="4"/>
    <x v="5"/>
    <x v="0"/>
    <x v="0"/>
    <x v="0"/>
    <x v="0"/>
    <x v="1"/>
    <x v="10"/>
    <n v="0"/>
    <n v="0"/>
    <n v="30904.699000000001"/>
    <n v="30904.699000000001"/>
    <n v="30904.699000000001"/>
    <n v="30904.699000000001"/>
    <n v="61091"/>
    <x v="0"/>
    <n v="0"/>
    <n v="0"/>
    <n v="45"/>
    <n v="85"/>
    <n v="0"/>
    <n v="395.58"/>
    <n v="230.53"/>
    <m/>
    <n v="492.21094817442304"/>
    <n v="296.59949464114788"/>
    <n v="0"/>
    <n v="12225280.83042"/>
    <n v="7124460.2604700001"/>
    <n v="0"/>
    <n v="15211631.197835144"/>
    <n v="9166318.1054367889"/>
  </r>
  <r>
    <s v="Refaturamento - Regular"/>
    <x v="4"/>
    <x v="5"/>
    <x v="0"/>
    <x v="0"/>
    <x v="0"/>
    <x v="0"/>
    <x v="1"/>
    <x v="10"/>
    <n v="0"/>
    <n v="0"/>
    <n v="-296.94200000000001"/>
    <n v="-296.94200000000001"/>
    <n v="-296.94200000000001"/>
    <n v="-296.94200000000001"/>
    <n v="-276"/>
    <x v="0"/>
    <n v="0"/>
    <n v="0"/>
    <n v="45"/>
    <n v="85"/>
    <n v="0"/>
    <n v="395.58"/>
    <n v="230.53"/>
    <m/>
    <n v="492.21094817442304"/>
    <n v="296.59949464114788"/>
    <n v="0"/>
    <n v="-117464.31636"/>
    <n v="-68454.039260000005"/>
    <n v="0"/>
    <n v="-146158.10337280954"/>
    <n v="-88072.847137731733"/>
  </r>
  <r>
    <s v="Sistema de Compensação"/>
    <x v="4"/>
    <x v="5"/>
    <x v="0"/>
    <x v="0"/>
    <x v="0"/>
    <x v="0"/>
    <x v="1"/>
    <x v="10"/>
    <n v="0"/>
    <n v="0"/>
    <n v="2199.0100000000002"/>
    <n v="2199.0100000000002"/>
    <n v="2199.0100000000002"/>
    <n v="2199.0100000000002"/>
    <n v="3306"/>
    <x v="0"/>
    <n v="0"/>
    <n v="0"/>
    <n v="45"/>
    <n v="85"/>
    <n v="0"/>
    <n v="395.58"/>
    <n v="230.53"/>
    <m/>
    <n v="492.21094817442304"/>
    <n v="296.59949464114788"/>
    <n v="0"/>
    <n v="869884.37580000004"/>
    <n v="506937.77530000004"/>
    <n v="0"/>
    <n v="1082376.7971450381"/>
    <n v="652225.25471083063"/>
  </r>
  <r>
    <s v="Sistema de Compensação"/>
    <x v="4"/>
    <x v="5"/>
    <x v="0"/>
    <x v="0"/>
    <x v="0"/>
    <x v="0"/>
    <x v="1"/>
    <x v="10"/>
    <n v="0"/>
    <n v="0"/>
    <n v="-5.585"/>
    <n v="-5.585"/>
    <n v="-5.585"/>
    <n v="-5.585"/>
    <n v="0"/>
    <x v="0"/>
    <n v="0"/>
    <n v="0"/>
    <n v="45"/>
    <n v="85"/>
    <n v="0"/>
    <n v="395.58"/>
    <n v="230.53"/>
    <m/>
    <n v="492.21094817442304"/>
    <n v="296.59949464114788"/>
    <n v="0"/>
    <n v="-2209.3143"/>
    <n v="-1287.5100500000001"/>
    <n v="0"/>
    <n v="-2748.9981455541529"/>
    <n v="-1656.5081775708109"/>
  </r>
  <r>
    <s v="PROJETADO"/>
    <x v="4"/>
    <x v="5"/>
    <x v="0"/>
    <x v="0"/>
    <x v="0"/>
    <x v="0"/>
    <x v="1"/>
    <x v="11"/>
    <n v="0"/>
    <n v="0"/>
    <n v="30904.699000000001"/>
    <n v="30904.699000000001"/>
    <n v="30904.699000000001"/>
    <n v="30904.699000000001"/>
    <n v="61091"/>
    <x v="0"/>
    <n v="0"/>
    <n v="0"/>
    <n v="45"/>
    <n v="85"/>
    <n v="0"/>
    <n v="395.58"/>
    <n v="230.53"/>
    <m/>
    <n v="492.21094817442304"/>
    <n v="296.59949464114788"/>
    <n v="0"/>
    <n v="12225280.83042"/>
    <n v="7124460.2604700001"/>
    <n v="0"/>
    <n v="15211631.197835144"/>
    <n v="9166318.1054367889"/>
  </r>
  <r>
    <s v="PROJETADO"/>
    <x v="4"/>
    <x v="5"/>
    <x v="0"/>
    <x v="0"/>
    <x v="0"/>
    <x v="0"/>
    <x v="1"/>
    <x v="11"/>
    <n v="0"/>
    <n v="0"/>
    <n v="-296.94200000000001"/>
    <n v="-296.94200000000001"/>
    <n v="-296.94200000000001"/>
    <n v="-296.94200000000001"/>
    <n v="-276"/>
    <x v="0"/>
    <n v="0"/>
    <n v="0"/>
    <n v="45"/>
    <n v="85"/>
    <n v="0"/>
    <n v="395.58"/>
    <n v="230.53"/>
    <m/>
    <n v="492.21094817442304"/>
    <n v="296.59949464114788"/>
    <n v="0"/>
    <n v="-117464.31636"/>
    <n v="-68454.039260000005"/>
    <n v="0"/>
    <n v="-146158.10337280954"/>
    <n v="-88072.847137731733"/>
  </r>
  <r>
    <s v="PROJETADO"/>
    <x v="4"/>
    <x v="5"/>
    <x v="0"/>
    <x v="0"/>
    <x v="0"/>
    <x v="0"/>
    <x v="1"/>
    <x v="11"/>
    <n v="0"/>
    <n v="0"/>
    <n v="2199.0100000000002"/>
    <n v="2199.0100000000002"/>
    <n v="2199.0100000000002"/>
    <n v="2199.0100000000002"/>
    <n v="3306"/>
    <x v="0"/>
    <n v="0"/>
    <n v="0"/>
    <n v="45"/>
    <n v="85"/>
    <n v="0"/>
    <n v="395.58"/>
    <n v="230.53"/>
    <m/>
    <n v="492.21094817442304"/>
    <n v="296.59949464114788"/>
    <n v="0"/>
    <n v="869884.37580000004"/>
    <n v="506937.77530000004"/>
    <n v="0"/>
    <n v="1082376.7971450381"/>
    <n v="652225.25471083063"/>
  </r>
  <r>
    <s v="PROJETADO"/>
    <x v="4"/>
    <x v="5"/>
    <x v="0"/>
    <x v="0"/>
    <x v="0"/>
    <x v="0"/>
    <x v="1"/>
    <x v="11"/>
    <n v="0"/>
    <n v="0"/>
    <n v="-5.585"/>
    <n v="-5.585"/>
    <n v="-5.585"/>
    <n v="-5.585"/>
    <n v="0"/>
    <x v="0"/>
    <n v="0"/>
    <n v="0"/>
    <n v="45"/>
    <n v="85"/>
    <n v="0"/>
    <n v="395.58"/>
    <n v="230.53"/>
    <m/>
    <n v="492.21094817442304"/>
    <n v="296.59949464114788"/>
    <n v="0"/>
    <n v="-2209.3143"/>
    <n v="-1287.5100500000001"/>
    <n v="0"/>
    <n v="-2748.9981455541529"/>
    <n v="-1656.5081775708109"/>
  </r>
  <r>
    <s v="Regular"/>
    <x v="4"/>
    <x v="5"/>
    <x v="6"/>
    <x v="0"/>
    <x v="0"/>
    <x v="0"/>
    <x v="1"/>
    <x v="0"/>
    <n v="0"/>
    <n v="0"/>
    <n v="168.625"/>
    <n v="168.625"/>
    <n v="168.625"/>
    <n v="168.625"/>
    <n v="73"/>
    <x v="0"/>
    <n v="0"/>
    <n v="0"/>
    <n v="45"/>
    <n v="85"/>
    <n v="0"/>
    <n v="395.58"/>
    <n v="230.53"/>
    <m/>
    <n v="492.21094817442304"/>
    <n v="296.59949464114788"/>
    <n v="0"/>
    <n v="66704.677499999991"/>
    <n v="38873.121250000004"/>
    <n v="0"/>
    <n v="82999.071135912091"/>
    <n v="50014.089783863565"/>
  </r>
  <r>
    <s v="Regular"/>
    <x v="4"/>
    <x v="5"/>
    <x v="6"/>
    <x v="0"/>
    <x v="0"/>
    <x v="0"/>
    <x v="1"/>
    <x v="1"/>
    <n v="0"/>
    <n v="0"/>
    <n v="148.601"/>
    <n v="148.601"/>
    <n v="148.601"/>
    <n v="148.601"/>
    <n v="72"/>
    <x v="0"/>
    <n v="0"/>
    <n v="0"/>
    <n v="45"/>
    <n v="85"/>
    <n v="0"/>
    <n v="395.58"/>
    <n v="230.53"/>
    <m/>
    <n v="492.21094817442304"/>
    <n v="296.59949464114788"/>
    <n v="0"/>
    <n v="58783.583579999999"/>
    <n v="34256.988530000002"/>
    <n v="0"/>
    <n v="73143.039109667443"/>
    <n v="44074.98150316922"/>
  </r>
  <r>
    <s v="Refaturamento - Regular"/>
    <x v="4"/>
    <x v="5"/>
    <x v="6"/>
    <x v="0"/>
    <x v="0"/>
    <x v="0"/>
    <x v="1"/>
    <x v="1"/>
    <n v="0"/>
    <n v="0"/>
    <n v="-2.19"/>
    <n v="-2.19"/>
    <n v="-2.19"/>
    <n v="-2.19"/>
    <n v="-1"/>
    <x v="0"/>
    <n v="0"/>
    <n v="0"/>
    <n v="45"/>
    <n v="85"/>
    <n v="0"/>
    <n v="395.58"/>
    <n v="230.53"/>
    <m/>
    <n v="492.21094817442304"/>
    <n v="296.59949464114788"/>
    <n v="0"/>
    <n v="-866.3202"/>
    <n v="-504.86070000000001"/>
    <n v="0"/>
    <n v="-1077.9419765019863"/>
    <n v="-649.55289326411389"/>
  </r>
  <r>
    <s v="Regular"/>
    <x v="4"/>
    <x v="5"/>
    <x v="6"/>
    <x v="0"/>
    <x v="0"/>
    <x v="0"/>
    <x v="1"/>
    <x v="2"/>
    <n v="0"/>
    <n v="0"/>
    <n v="137.315"/>
    <n v="137.315"/>
    <n v="137.315"/>
    <n v="137.315"/>
    <n v="72"/>
    <x v="0"/>
    <n v="0"/>
    <n v="0"/>
    <n v="45"/>
    <n v="85"/>
    <n v="0"/>
    <n v="395.58"/>
    <n v="230.53"/>
    <m/>
    <n v="492.21094817442304"/>
    <n v="296.59949464114788"/>
    <n v="0"/>
    <n v="54319.0677"/>
    <n v="31655.22695"/>
    <n v="0"/>
    <n v="67587.946348570898"/>
    <n v="40727.559606649222"/>
  </r>
  <r>
    <s v="Regular"/>
    <x v="4"/>
    <x v="5"/>
    <x v="6"/>
    <x v="0"/>
    <x v="0"/>
    <x v="0"/>
    <x v="1"/>
    <x v="3"/>
    <n v="0"/>
    <n v="0"/>
    <n v="149.45599999999999"/>
    <n v="149.45599999999999"/>
    <n v="149.45599999999999"/>
    <n v="149.45599999999999"/>
    <n v="77"/>
    <x v="0"/>
    <n v="0"/>
    <n v="0"/>
    <n v="45"/>
    <n v="85"/>
    <n v="0"/>
    <n v="395.58"/>
    <n v="230.53"/>
    <m/>
    <n v="492.21094817442304"/>
    <n v="296.59949464114788"/>
    <n v="0"/>
    <n v="59121.804479999992"/>
    <n v="34454.091679999998"/>
    <n v="0"/>
    <n v="73563.879470356565"/>
    <n v="44328.574071087394"/>
  </r>
  <r>
    <s v="Refaturamento - Regular"/>
    <x v="4"/>
    <x v="5"/>
    <x v="6"/>
    <x v="0"/>
    <x v="0"/>
    <x v="0"/>
    <x v="1"/>
    <x v="3"/>
    <n v="0"/>
    <n v="0"/>
    <n v="5.3869999999999996"/>
    <n v="5.3869999999999996"/>
    <n v="5.3869999999999996"/>
    <n v="5.3869999999999996"/>
    <n v="1"/>
    <x v="0"/>
    <n v="0"/>
    <n v="0"/>
    <n v="45"/>
    <n v="85"/>
    <n v="0"/>
    <n v="395.58"/>
    <n v="230.53"/>
    <m/>
    <n v="492.21094817442304"/>
    <n v="296.59949464114788"/>
    <n v="0"/>
    <n v="2130.9894599999998"/>
    <n v="1241.86511"/>
    <n v="0"/>
    <n v="2651.5403778156165"/>
    <n v="1597.7814776318635"/>
  </r>
  <r>
    <s v="Regular"/>
    <x v="4"/>
    <x v="5"/>
    <x v="6"/>
    <x v="0"/>
    <x v="0"/>
    <x v="0"/>
    <x v="1"/>
    <x v="4"/>
    <n v="0"/>
    <n v="0"/>
    <n v="172.93899999999999"/>
    <n v="172.93899999999999"/>
    <n v="172.93899999999999"/>
    <n v="172.93899999999999"/>
    <n v="80"/>
    <x v="0"/>
    <n v="0"/>
    <n v="0"/>
    <n v="45"/>
    <n v="85"/>
    <n v="0"/>
    <n v="395.58"/>
    <n v="230.53"/>
    <m/>
    <n v="492.21094817442304"/>
    <n v="296.59949464114788"/>
    <n v="0"/>
    <n v="68411.209619999994"/>
    <n v="39867.627670000002"/>
    <n v="0"/>
    <n v="85122.469166336537"/>
    <n v="51293.620003745469"/>
  </r>
  <r>
    <s v="Refaturamento - Regular"/>
    <x v="4"/>
    <x v="5"/>
    <x v="6"/>
    <x v="0"/>
    <x v="0"/>
    <x v="0"/>
    <x v="1"/>
    <x v="4"/>
    <n v="0"/>
    <n v="0"/>
    <n v="2.1259999999999999"/>
    <n v="2.1259999999999999"/>
    <n v="2.1259999999999999"/>
    <n v="2.1259999999999999"/>
    <n v="0"/>
    <x v="0"/>
    <n v="0"/>
    <n v="0"/>
    <n v="45"/>
    <n v="85"/>
    <n v="0"/>
    <n v="395.58"/>
    <n v="230.53"/>
    <m/>
    <n v="492.21094817442304"/>
    <n v="296.59949464114788"/>
    <n v="0"/>
    <n v="841.00307999999995"/>
    <n v="490.10677999999996"/>
    <n v="0"/>
    <n v="1046.4404758188234"/>
    <n v="630.57052560708041"/>
  </r>
  <r>
    <s v="Regular"/>
    <x v="4"/>
    <x v="5"/>
    <x v="6"/>
    <x v="0"/>
    <x v="0"/>
    <x v="0"/>
    <x v="1"/>
    <x v="5"/>
    <n v="0"/>
    <n v="0"/>
    <n v="182.76599999999999"/>
    <n v="182.76599999999999"/>
    <n v="182.76599999999999"/>
    <n v="182.76599999999999"/>
    <n v="77"/>
    <x v="0"/>
    <n v="0"/>
    <n v="0"/>
    <n v="45"/>
    <n v="85"/>
    <n v="0"/>
    <n v="395.58"/>
    <n v="230.53"/>
    <m/>
    <n v="492.21094817442304"/>
    <n v="296.59949464114788"/>
    <n v="0"/>
    <n v="72298.574280000001"/>
    <n v="42133.045979999995"/>
    <n v="0"/>
    <n v="89959.426154046596"/>
    <n v="54208.303237584034"/>
  </r>
  <r>
    <s v="Refaturamento - Regular"/>
    <x v="4"/>
    <x v="5"/>
    <x v="6"/>
    <x v="0"/>
    <x v="0"/>
    <x v="0"/>
    <x v="1"/>
    <x v="5"/>
    <n v="0"/>
    <n v="0"/>
    <n v="-1.242"/>
    <n v="-1.242"/>
    <n v="-1.242"/>
    <n v="-1.242"/>
    <n v="0"/>
    <x v="0"/>
    <n v="0"/>
    <n v="0"/>
    <n v="45"/>
    <n v="85"/>
    <n v="0"/>
    <n v="395.58"/>
    <n v="230.53"/>
    <m/>
    <n v="492.21094817442304"/>
    <n v="296.59949464114788"/>
    <n v="0"/>
    <n v="-491.31036"/>
    <n v="-286.31826000000001"/>
    <n v="0"/>
    <n v="-611.3259976326334"/>
    <n v="-368.37657234430566"/>
  </r>
  <r>
    <s v="Regular"/>
    <x v="4"/>
    <x v="5"/>
    <x v="6"/>
    <x v="0"/>
    <x v="0"/>
    <x v="0"/>
    <x v="1"/>
    <x v="6"/>
    <n v="0"/>
    <n v="0"/>
    <n v="199.899"/>
    <n v="199.899"/>
    <n v="199.899"/>
    <n v="199.899"/>
    <n v="78"/>
    <x v="0"/>
    <n v="0"/>
    <n v="0"/>
    <n v="45"/>
    <n v="85"/>
    <n v="0"/>
    <n v="395.58"/>
    <n v="230.53"/>
    <m/>
    <n v="492.21094817442304"/>
    <n v="296.59949464114788"/>
    <n v="0"/>
    <n v="79076.046419999999"/>
    <n v="46082.716469999999"/>
    <n v="0"/>
    <n v="98392.476329118988"/>
    <n v="59289.942379270818"/>
  </r>
  <r>
    <s v="Refaturamento - Regular"/>
    <x v="4"/>
    <x v="5"/>
    <x v="6"/>
    <x v="0"/>
    <x v="0"/>
    <x v="0"/>
    <x v="1"/>
    <x v="6"/>
    <n v="0"/>
    <n v="0"/>
    <n v="2.06"/>
    <n v="2.06"/>
    <n v="2.06"/>
    <n v="2.06"/>
    <n v="0"/>
    <x v="0"/>
    <n v="0"/>
    <n v="0"/>
    <n v="45"/>
    <n v="85"/>
    <n v="0"/>
    <n v="395.58"/>
    <n v="230.53"/>
    <m/>
    <n v="492.21094817442304"/>
    <n v="296.59949464114788"/>
    <n v="0"/>
    <n v="814.89480000000003"/>
    <n v="474.89179999999999"/>
    <n v="0"/>
    <n v="1013.9545532393115"/>
    <n v="610.99495896076462"/>
  </r>
  <r>
    <s v="Regular"/>
    <x v="4"/>
    <x v="5"/>
    <x v="6"/>
    <x v="0"/>
    <x v="0"/>
    <x v="0"/>
    <x v="1"/>
    <x v="7"/>
    <n v="0"/>
    <n v="0"/>
    <n v="2481.085"/>
    <n v="2481.085"/>
    <n v="2481.085"/>
    <n v="2481.085"/>
    <n v="93"/>
    <x v="0"/>
    <n v="0"/>
    <n v="0"/>
    <n v="45"/>
    <n v="85"/>
    <n v="0"/>
    <n v="395.58"/>
    <n v="230.53"/>
    <m/>
    <n v="492.21094817442304"/>
    <n v="296.59949464114788"/>
    <n v="0"/>
    <n v="981467.60430000001"/>
    <n v="571964.52505000005"/>
    <n v="0"/>
    <n v="1221217.2003513384"/>
    <n v="735888.55716173246"/>
  </r>
  <r>
    <s v="Regular"/>
    <x v="4"/>
    <x v="5"/>
    <x v="6"/>
    <x v="0"/>
    <x v="0"/>
    <x v="0"/>
    <x v="1"/>
    <x v="8"/>
    <n v="0"/>
    <n v="0"/>
    <n v="237.035"/>
    <n v="237.035"/>
    <n v="237.035"/>
    <n v="237.035"/>
    <n v="82"/>
    <x v="0"/>
    <n v="0"/>
    <n v="0"/>
    <n v="45"/>
    <n v="85"/>
    <n v="0"/>
    <n v="395.58"/>
    <n v="230.53"/>
    <m/>
    <n v="492.21094817442304"/>
    <n v="296.59949464114788"/>
    <n v="0"/>
    <n v="93766.305299999993"/>
    <n v="54643.678549999997"/>
    <n v="0"/>
    <n v="116671.22210052436"/>
    <n v="70304.46121226449"/>
  </r>
  <r>
    <s v="Regular"/>
    <x v="4"/>
    <x v="5"/>
    <x v="6"/>
    <x v="0"/>
    <x v="0"/>
    <x v="0"/>
    <x v="1"/>
    <x v="9"/>
    <n v="0"/>
    <n v="0"/>
    <n v="233.012"/>
    <n v="233.012"/>
    <n v="233.012"/>
    <n v="233.012"/>
    <n v="85"/>
    <x v="0"/>
    <n v="0"/>
    <n v="0"/>
    <n v="45"/>
    <n v="85"/>
    <n v="0"/>
    <n v="395.58"/>
    <n v="230.53"/>
    <m/>
    <n v="492.21094817442304"/>
    <n v="296.59949464114788"/>
    <n v="0"/>
    <n v="92174.886960000003"/>
    <n v="53716.256359999999"/>
    <n v="0"/>
    <n v="114691.05745601867"/>
    <n v="69111.241445323147"/>
  </r>
  <r>
    <s v="Refaturamento - Regular"/>
    <x v="4"/>
    <x v="5"/>
    <x v="6"/>
    <x v="0"/>
    <x v="0"/>
    <x v="0"/>
    <x v="1"/>
    <x v="9"/>
    <n v="0"/>
    <n v="0"/>
    <n v="4.1280000000000001"/>
    <n v="4.1280000000000001"/>
    <n v="4.1280000000000001"/>
    <n v="4.1280000000000001"/>
    <n v="0"/>
    <x v="0"/>
    <n v="0"/>
    <n v="0"/>
    <n v="45"/>
    <n v="85"/>
    <n v="0"/>
    <n v="395.58"/>
    <n v="230.53"/>
    <m/>
    <n v="492.21094817442304"/>
    <n v="296.59949464114788"/>
    <n v="0"/>
    <n v="1632.95424"/>
    <n v="951.62783999999999"/>
    <n v="0"/>
    <n v="2031.8467940640185"/>
    <n v="1224.3627138786585"/>
  </r>
  <r>
    <s v="Regular"/>
    <x v="4"/>
    <x v="5"/>
    <x v="6"/>
    <x v="0"/>
    <x v="0"/>
    <x v="0"/>
    <x v="1"/>
    <x v="10"/>
    <n v="0"/>
    <n v="0"/>
    <n v="230.875"/>
    <n v="230.875"/>
    <n v="230.875"/>
    <n v="230.875"/>
    <n v="83"/>
    <x v="0"/>
    <n v="0"/>
    <n v="0"/>
    <n v="45"/>
    <n v="85"/>
    <n v="0"/>
    <n v="395.58"/>
    <n v="230.53"/>
    <m/>
    <n v="492.21094817442304"/>
    <n v="296.59949464114788"/>
    <n v="0"/>
    <n v="91329.532500000001"/>
    <n v="53223.613749999997"/>
    <n v="0"/>
    <n v="113639.20265976992"/>
    <n v="68477.408325275013"/>
  </r>
  <r>
    <s v="Refaturamento - Regular"/>
    <x v="4"/>
    <x v="5"/>
    <x v="6"/>
    <x v="0"/>
    <x v="0"/>
    <x v="0"/>
    <x v="1"/>
    <x v="10"/>
    <n v="0"/>
    <n v="0"/>
    <n v="137.595"/>
    <n v="137.595"/>
    <n v="137.595"/>
    <n v="137.595"/>
    <n v="1"/>
    <x v="0"/>
    <n v="0"/>
    <n v="0"/>
    <n v="45"/>
    <n v="85"/>
    <n v="0"/>
    <n v="395.58"/>
    <n v="230.53"/>
    <m/>
    <n v="492.21094817442304"/>
    <n v="296.59949464114788"/>
    <n v="0"/>
    <n v="54429.830099999999"/>
    <n v="31719.77535"/>
    <n v="0"/>
    <n v="67725.765414059744"/>
    <n v="40810.607465148743"/>
  </r>
  <r>
    <s v="PROJETADO"/>
    <x v="4"/>
    <x v="5"/>
    <x v="6"/>
    <x v="0"/>
    <x v="0"/>
    <x v="0"/>
    <x v="1"/>
    <x v="11"/>
    <n v="0"/>
    <n v="0"/>
    <n v="230.875"/>
    <n v="230.875"/>
    <n v="230.875"/>
    <n v="230.875"/>
    <n v="83"/>
    <x v="0"/>
    <n v="0"/>
    <n v="0"/>
    <n v="45"/>
    <n v="85"/>
    <n v="0"/>
    <n v="395.58"/>
    <n v="230.53"/>
    <m/>
    <n v="492.21094817442304"/>
    <n v="296.59949464114788"/>
    <n v="0"/>
    <n v="91329.532500000001"/>
    <n v="53223.613749999997"/>
    <n v="0"/>
    <n v="113639.20265976992"/>
    <n v="68477.408325275013"/>
  </r>
  <r>
    <s v="PROJETADO"/>
    <x v="4"/>
    <x v="5"/>
    <x v="6"/>
    <x v="0"/>
    <x v="0"/>
    <x v="0"/>
    <x v="1"/>
    <x v="11"/>
    <n v="0"/>
    <n v="0"/>
    <n v="137.595"/>
    <n v="137.595"/>
    <n v="137.595"/>
    <n v="137.595"/>
    <n v="1"/>
    <x v="0"/>
    <n v="0"/>
    <n v="0"/>
    <n v="45"/>
    <n v="85"/>
    <n v="0"/>
    <n v="395.58"/>
    <n v="230.53"/>
    <m/>
    <n v="492.21094817442304"/>
    <n v="296.59949464114788"/>
    <n v="0"/>
    <n v="54429.830099999999"/>
    <n v="31719.77535"/>
    <n v="0"/>
    <n v="67725.765414059744"/>
    <n v="40810.607465148743"/>
  </r>
  <r>
    <s v="Regular"/>
    <x v="4"/>
    <x v="5"/>
    <x v="1"/>
    <x v="0"/>
    <x v="0"/>
    <x v="0"/>
    <x v="1"/>
    <x v="0"/>
    <n v="0"/>
    <n v="0"/>
    <n v="1505.6759999999999"/>
    <n v="1505.6759999999999"/>
    <n v="1505.6759999999999"/>
    <n v="1505.6759999999999"/>
    <n v="1692"/>
    <x v="0"/>
    <n v="0"/>
    <n v="0"/>
    <n v="45"/>
    <n v="85"/>
    <n v="0"/>
    <n v="395.58"/>
    <n v="230.53"/>
    <m/>
    <n v="492.21094817442304"/>
    <n v="296.59949464114788"/>
    <n v="0"/>
    <n v="595615.31207999995"/>
    <n v="347103.48827999999"/>
    <n v="0"/>
    <n v="741110.21160347259"/>
    <n v="446582.74069330498"/>
  </r>
  <r>
    <s v="Refaturamento - Regular"/>
    <x v="4"/>
    <x v="5"/>
    <x v="1"/>
    <x v="0"/>
    <x v="0"/>
    <x v="0"/>
    <x v="1"/>
    <x v="0"/>
    <n v="0"/>
    <n v="0"/>
    <n v="-172.834"/>
    <n v="-172.834"/>
    <n v="-172.834"/>
    <n v="-172.834"/>
    <n v="-105"/>
    <x v="0"/>
    <n v="0"/>
    <n v="0"/>
    <n v="45"/>
    <n v="85"/>
    <n v="0"/>
    <n v="395.58"/>
    <n v="230.53"/>
    <m/>
    <n v="492.21094817442304"/>
    <n v="296.59949464114788"/>
    <n v="0"/>
    <n v="-68369.673719999992"/>
    <n v="-39843.422019999998"/>
    <n v="0"/>
    <n v="-85070.787016778238"/>
    <n v="-51262.477056808151"/>
  </r>
  <r>
    <s v="Sistema de Compensação"/>
    <x v="4"/>
    <x v="5"/>
    <x v="1"/>
    <x v="0"/>
    <x v="0"/>
    <x v="0"/>
    <x v="1"/>
    <x v="0"/>
    <n v="0"/>
    <n v="0"/>
    <n v="62.817999999999998"/>
    <n v="62.817999999999998"/>
    <n v="62.817999999999998"/>
    <n v="62.817999999999998"/>
    <n v="44"/>
    <x v="0"/>
    <n v="0"/>
    <n v="0"/>
    <n v="45"/>
    <n v="85"/>
    <n v="0"/>
    <n v="395.58"/>
    <n v="230.53"/>
    <m/>
    <n v="492.21094817442304"/>
    <n v="296.59949464114788"/>
    <n v="0"/>
    <n v="24849.544439999998"/>
    <n v="14481.43354"/>
    <n v="0"/>
    <n v="30919.707342420905"/>
    <n v="18631.787054367625"/>
  </r>
  <r>
    <s v="Regular"/>
    <x v="4"/>
    <x v="5"/>
    <x v="1"/>
    <x v="0"/>
    <x v="0"/>
    <x v="0"/>
    <x v="1"/>
    <x v="1"/>
    <n v="0"/>
    <n v="0"/>
    <n v="1501.28"/>
    <n v="1501.28"/>
    <n v="1501.28"/>
    <n v="1501.28"/>
    <n v="1684"/>
    <x v="0"/>
    <n v="0"/>
    <n v="0"/>
    <n v="45"/>
    <n v="85"/>
    <n v="0"/>
    <n v="395.58"/>
    <n v="230.53"/>
    <m/>
    <n v="492.21094817442304"/>
    <n v="296.59949464114788"/>
    <n v="0"/>
    <n v="593876.34239999996"/>
    <n v="346090.0784"/>
    <n v="0"/>
    <n v="738946.45227529784"/>
    <n v="445278.88931486249"/>
  </r>
  <r>
    <s v="Refaturamento - Regular"/>
    <x v="4"/>
    <x v="5"/>
    <x v="1"/>
    <x v="0"/>
    <x v="0"/>
    <x v="0"/>
    <x v="1"/>
    <x v="1"/>
    <n v="0"/>
    <n v="0"/>
    <n v="-8.2620000000000005"/>
    <n v="-8.2620000000000005"/>
    <n v="-8.2620000000000005"/>
    <n v="-8.2620000000000005"/>
    <n v="-44"/>
    <x v="0"/>
    <n v="0"/>
    <n v="0"/>
    <n v="45"/>
    <n v="85"/>
    <n v="0"/>
    <n v="395.58"/>
    <n v="230.53"/>
    <m/>
    <n v="492.21094817442304"/>
    <n v="296.59949464114788"/>
    <n v="0"/>
    <n v="-3268.2819600000003"/>
    <n v="-1904.63886"/>
    <n v="0"/>
    <n v="-4066.6468538170834"/>
    <n v="-2450.5050247251638"/>
  </r>
  <r>
    <s v="Sistema de Compensação"/>
    <x v="4"/>
    <x v="5"/>
    <x v="1"/>
    <x v="0"/>
    <x v="0"/>
    <x v="0"/>
    <x v="1"/>
    <x v="1"/>
    <n v="0"/>
    <n v="0"/>
    <n v="62.762999999999998"/>
    <n v="62.762999999999998"/>
    <n v="62.762999999999998"/>
    <n v="62.762999999999998"/>
    <n v="47"/>
    <x v="0"/>
    <n v="0"/>
    <n v="0"/>
    <n v="45"/>
    <n v="85"/>
    <n v="0"/>
    <n v="395.58"/>
    <n v="230.53"/>
    <m/>
    <n v="492.21094817442304"/>
    <n v="296.59949464114788"/>
    <n v="0"/>
    <n v="24827.787539999998"/>
    <n v="14468.75439"/>
    <n v="0"/>
    <n v="30892.635740271311"/>
    <n v="18615.474082162364"/>
  </r>
  <r>
    <s v="Regular"/>
    <x v="4"/>
    <x v="5"/>
    <x v="1"/>
    <x v="0"/>
    <x v="0"/>
    <x v="0"/>
    <x v="1"/>
    <x v="2"/>
    <n v="0"/>
    <n v="0"/>
    <n v="1432.605"/>
    <n v="1432.605"/>
    <n v="1432.605"/>
    <n v="1432.605"/>
    <n v="1661"/>
    <x v="0"/>
    <n v="0"/>
    <n v="0"/>
    <n v="45"/>
    <n v="85"/>
    <n v="0"/>
    <n v="395.58"/>
    <n v="230.53"/>
    <m/>
    <n v="492.21094817442304"/>
    <n v="296.59949464114788"/>
    <n v="0"/>
    <n v="566709.88589999999"/>
    <n v="330258.43064999999"/>
    <n v="0"/>
    <n v="705143.86540941929"/>
    <n v="424909.9190203817"/>
  </r>
  <r>
    <s v="Refaturamento - Regular"/>
    <x v="4"/>
    <x v="5"/>
    <x v="1"/>
    <x v="0"/>
    <x v="0"/>
    <x v="0"/>
    <x v="1"/>
    <x v="2"/>
    <n v="0"/>
    <n v="0"/>
    <n v="3.9969999999999999"/>
    <n v="3.9969999999999999"/>
    <n v="3.9969999999999999"/>
    <n v="3.9969999999999999"/>
    <n v="1"/>
    <x v="0"/>
    <n v="0"/>
    <n v="0"/>
    <n v="45"/>
    <n v="85"/>
    <n v="0"/>
    <n v="395.58"/>
    <n v="230.53"/>
    <m/>
    <n v="492.21094817442304"/>
    <n v="296.59949464114788"/>
    <n v="0"/>
    <n v="1581.1332599999998"/>
    <n v="921.42840999999999"/>
    <n v="0"/>
    <n v="1967.3671598531689"/>
    <n v="1185.5081800806681"/>
  </r>
  <r>
    <s v="Sistema de Compensação"/>
    <x v="4"/>
    <x v="5"/>
    <x v="1"/>
    <x v="0"/>
    <x v="0"/>
    <x v="0"/>
    <x v="1"/>
    <x v="2"/>
    <n v="0"/>
    <n v="0"/>
    <n v="79.084999999999994"/>
    <n v="79.084999999999994"/>
    <n v="79.084999999999994"/>
    <n v="79.084999999999994"/>
    <n v="47"/>
    <x v="0"/>
    <n v="0"/>
    <n v="0"/>
    <n v="45"/>
    <n v="85"/>
    <n v="0"/>
    <n v="395.58"/>
    <n v="230.53"/>
    <m/>
    <n v="492.21094817442304"/>
    <n v="296.59949464114788"/>
    <n v="0"/>
    <n v="31284.444299999996"/>
    <n v="18231.465049999999"/>
    <n v="0"/>
    <n v="38926.502836374246"/>
    <n v="23456.571033695178"/>
  </r>
  <r>
    <s v="Regular"/>
    <x v="4"/>
    <x v="5"/>
    <x v="1"/>
    <x v="0"/>
    <x v="0"/>
    <x v="0"/>
    <x v="1"/>
    <x v="3"/>
    <n v="0"/>
    <n v="0"/>
    <n v="1448.0619999999999"/>
    <n v="1448.0619999999999"/>
    <n v="1448.0619999999999"/>
    <n v="1448.0619999999999"/>
    <n v="1648"/>
    <x v="0"/>
    <n v="0"/>
    <n v="0"/>
    <n v="45"/>
    <n v="85"/>
    <n v="0"/>
    <n v="395.58"/>
    <n v="230.53"/>
    <m/>
    <n v="492.21094817442304"/>
    <n v="296.59949464114788"/>
    <n v="0"/>
    <n v="572824.36595999997"/>
    <n v="333821.73285999999"/>
    <n v="0"/>
    <n v="712751.97003535135"/>
    <n v="429494.45740904985"/>
  </r>
  <r>
    <s v="Refaturamento - Regular"/>
    <x v="4"/>
    <x v="5"/>
    <x v="1"/>
    <x v="0"/>
    <x v="0"/>
    <x v="0"/>
    <x v="1"/>
    <x v="3"/>
    <n v="0"/>
    <n v="0"/>
    <n v="7.23"/>
    <n v="7.23"/>
    <n v="7.23"/>
    <n v="7.23"/>
    <n v="-41"/>
    <x v="0"/>
    <n v="0"/>
    <n v="0"/>
    <n v="45"/>
    <n v="85"/>
    <n v="0"/>
    <n v="395.58"/>
    <n v="230.53"/>
    <m/>
    <n v="492.21094817442304"/>
    <n v="296.59949464114788"/>
    <n v="0"/>
    <n v="2860.0434"/>
    <n v="1666.7319"/>
    <n v="0"/>
    <n v="3558.6851553010788"/>
    <n v="2144.4143462554994"/>
  </r>
  <r>
    <s v="Sistema de Compensação"/>
    <x v="4"/>
    <x v="5"/>
    <x v="1"/>
    <x v="0"/>
    <x v="0"/>
    <x v="0"/>
    <x v="1"/>
    <x v="3"/>
    <n v="0"/>
    <n v="0"/>
    <n v="82.409000000000006"/>
    <n v="82.409000000000006"/>
    <n v="82.409000000000006"/>
    <n v="82.409000000000006"/>
    <n v="52"/>
    <x v="0"/>
    <n v="0"/>
    <n v="0"/>
    <n v="45"/>
    <n v="85"/>
    <n v="0"/>
    <n v="395.58"/>
    <n v="230.53"/>
    <m/>
    <n v="492.21094817442304"/>
    <n v="296.59949464114788"/>
    <n v="0"/>
    <n v="32599.352220000001"/>
    <n v="18997.746770000002"/>
    <n v="0"/>
    <n v="40562.612028106028"/>
    <n v="24442.467753882356"/>
  </r>
  <r>
    <s v="Regular"/>
    <x v="4"/>
    <x v="5"/>
    <x v="1"/>
    <x v="0"/>
    <x v="0"/>
    <x v="0"/>
    <x v="1"/>
    <x v="4"/>
    <n v="0"/>
    <n v="0"/>
    <n v="1459.585"/>
    <n v="1459.585"/>
    <n v="1459.585"/>
    <n v="1459.585"/>
    <n v="1631"/>
    <x v="0"/>
    <n v="0"/>
    <n v="0"/>
    <n v="45"/>
    <n v="85"/>
    <n v="0"/>
    <n v="395.58"/>
    <n v="230.53"/>
    <m/>
    <n v="492.21094817442304"/>
    <n v="296.59949464114788"/>
    <n v="0"/>
    <n v="577382.63430000003"/>
    <n v="336478.13005000004"/>
    <n v="0"/>
    <n v="718423.71679116529"/>
    <n v="432912.17338579986"/>
  </r>
  <r>
    <s v="Refaturamento - Regular"/>
    <x v="4"/>
    <x v="5"/>
    <x v="1"/>
    <x v="0"/>
    <x v="0"/>
    <x v="0"/>
    <x v="1"/>
    <x v="4"/>
    <n v="0"/>
    <n v="0"/>
    <n v="-22.405999999999999"/>
    <n v="-22.405999999999999"/>
    <n v="-22.405999999999999"/>
    <n v="-22.405999999999999"/>
    <n v="-72"/>
    <x v="0"/>
    <n v="0"/>
    <n v="0"/>
    <n v="45"/>
    <n v="85"/>
    <n v="0"/>
    <n v="395.58"/>
    <n v="230.53"/>
    <m/>
    <n v="492.21094817442304"/>
    <n v="296.59949464114788"/>
    <n v="0"/>
    <n v="-8863.3654799999986"/>
    <n v="-5165.2551800000001"/>
    <n v="0"/>
    <n v="-11028.478504796121"/>
    <n v="-6645.608276929559"/>
  </r>
  <r>
    <s v="Sistema de Compensação"/>
    <x v="4"/>
    <x v="5"/>
    <x v="1"/>
    <x v="0"/>
    <x v="0"/>
    <x v="0"/>
    <x v="1"/>
    <x v="4"/>
    <n v="0"/>
    <n v="0"/>
    <n v="96.01"/>
    <n v="96.01"/>
    <n v="96.01"/>
    <n v="96.01"/>
    <n v="51"/>
    <x v="0"/>
    <n v="0"/>
    <n v="0"/>
    <n v="45"/>
    <n v="85"/>
    <n v="0"/>
    <n v="395.58"/>
    <n v="230.53"/>
    <m/>
    <n v="492.21094817442304"/>
    <n v="296.59949464114788"/>
    <n v="0"/>
    <n v="37979.635800000004"/>
    <n v="22133.185300000001"/>
    <n v="0"/>
    <n v="47257.173134226359"/>
    <n v="28476.517480496608"/>
  </r>
  <r>
    <s v="Sistema de Compensação"/>
    <x v="4"/>
    <x v="5"/>
    <x v="1"/>
    <x v="0"/>
    <x v="0"/>
    <x v="0"/>
    <x v="1"/>
    <x v="4"/>
    <n v="0"/>
    <n v="0"/>
    <n v="-55.259"/>
    <n v="-55.259"/>
    <n v="-55.259"/>
    <n v="-55.259"/>
    <n v="-3"/>
    <x v="0"/>
    <n v="0"/>
    <n v="0"/>
    <n v="45"/>
    <n v="85"/>
    <n v="0"/>
    <n v="395.58"/>
    <n v="230.53"/>
    <m/>
    <n v="492.21094817442304"/>
    <n v="296.59949464114788"/>
    <n v="0"/>
    <n v="-21859.355219999998"/>
    <n v="-12738.85727"/>
    <n v="0"/>
    <n v="-27199.084785170442"/>
    <n v="-16389.79147437519"/>
  </r>
  <r>
    <s v="Regular"/>
    <x v="4"/>
    <x v="5"/>
    <x v="1"/>
    <x v="0"/>
    <x v="0"/>
    <x v="0"/>
    <x v="1"/>
    <x v="5"/>
    <n v="0"/>
    <n v="0"/>
    <n v="1524.098"/>
    <n v="1524.098"/>
    <n v="1524.098"/>
    <n v="1524.098"/>
    <n v="1626"/>
    <x v="0"/>
    <n v="0"/>
    <n v="0"/>
    <n v="45"/>
    <n v="85"/>
    <n v="0"/>
    <n v="395.58"/>
    <n v="230.53"/>
    <m/>
    <n v="492.21094817442304"/>
    <n v="296.59949464114788"/>
    <n v="0"/>
    <n v="602902.68683999998"/>
    <n v="351350.31193999999"/>
    <n v="0"/>
    <n v="750177.72169074183"/>
    <n v="452046.69658358418"/>
  </r>
  <r>
    <s v="Refaturamento - Regular"/>
    <x v="4"/>
    <x v="5"/>
    <x v="1"/>
    <x v="0"/>
    <x v="0"/>
    <x v="0"/>
    <x v="1"/>
    <x v="5"/>
    <n v="0"/>
    <n v="0"/>
    <n v="-61.552"/>
    <n v="-61.552"/>
    <n v="-61.552"/>
    <n v="-61.552"/>
    <n v="-199"/>
    <x v="0"/>
    <n v="0"/>
    <n v="0"/>
    <n v="45"/>
    <n v="85"/>
    <n v="0"/>
    <n v="395.58"/>
    <n v="230.53"/>
    <m/>
    <n v="492.21094817442304"/>
    <n v="296.59949464114788"/>
    <n v="0"/>
    <n v="-24348.740159999998"/>
    <n v="-14189.582560000001"/>
    <n v="0"/>
    <n v="-30296.568282032087"/>
    <n v="-18256.292094151933"/>
  </r>
  <r>
    <s v="Sistema de Compensação"/>
    <x v="4"/>
    <x v="5"/>
    <x v="1"/>
    <x v="0"/>
    <x v="0"/>
    <x v="0"/>
    <x v="1"/>
    <x v="5"/>
    <n v="0"/>
    <n v="0"/>
    <n v="54.527999999999999"/>
    <n v="54.527999999999999"/>
    <n v="54.527999999999999"/>
    <n v="54.527999999999999"/>
    <n v="56"/>
    <x v="0"/>
    <n v="0"/>
    <n v="0"/>
    <n v="45"/>
    <n v="85"/>
    <n v="0"/>
    <n v="395.58"/>
    <n v="230.53"/>
    <m/>
    <n v="492.21094817442304"/>
    <n v="296.59949464114788"/>
    <n v="0"/>
    <n v="21570.186239999999"/>
    <n v="12570.339840000001"/>
    <n v="0"/>
    <n v="26839.27858205494"/>
    <n v="16172.977243792511"/>
  </r>
  <r>
    <s v="Sistema de Compensação"/>
    <x v="4"/>
    <x v="5"/>
    <x v="1"/>
    <x v="0"/>
    <x v="0"/>
    <x v="0"/>
    <x v="1"/>
    <x v="5"/>
    <n v="0"/>
    <n v="0"/>
    <n v="-1.903"/>
    <n v="-1.903"/>
    <n v="-1.903"/>
    <n v="-1.903"/>
    <n v="-3"/>
    <x v="0"/>
    <n v="0"/>
    <n v="0"/>
    <n v="45"/>
    <n v="85"/>
    <n v="0"/>
    <n v="395.58"/>
    <n v="230.53"/>
    <m/>
    <n v="492.21094817442304"/>
    <n v="296.59949464114788"/>
    <n v="0"/>
    <n v="-752.78873999999996"/>
    <n v="-438.69859000000002"/>
    <n v="0"/>
    <n v="-936.67743437592708"/>
    <n v="-564.4288383021044"/>
  </r>
  <r>
    <s v="Regular"/>
    <x v="4"/>
    <x v="5"/>
    <x v="1"/>
    <x v="0"/>
    <x v="0"/>
    <x v="0"/>
    <x v="1"/>
    <x v="6"/>
    <n v="0"/>
    <n v="0"/>
    <n v="1615.914"/>
    <n v="1615.914"/>
    <n v="1615.914"/>
    <n v="1615.914"/>
    <n v="1604"/>
    <x v="0"/>
    <n v="0"/>
    <n v="0"/>
    <n v="45"/>
    <n v="85"/>
    <n v="0"/>
    <n v="395.58"/>
    <n v="230.53"/>
    <m/>
    <n v="492.21094817442304"/>
    <n v="296.59949464114788"/>
    <n v="0"/>
    <n v="639223.26011999999"/>
    <n v="372516.65441999998"/>
    <n v="0"/>
    <n v="795370.56210832461"/>
    <n v="479279.27578355581"/>
  </r>
  <r>
    <s v="Refaturamento - Regular"/>
    <x v="4"/>
    <x v="5"/>
    <x v="1"/>
    <x v="0"/>
    <x v="0"/>
    <x v="0"/>
    <x v="1"/>
    <x v="6"/>
    <n v="0"/>
    <n v="0"/>
    <n v="10.622"/>
    <n v="10.622"/>
    <n v="10.622"/>
    <n v="10.622"/>
    <n v="-27"/>
    <x v="0"/>
    <n v="0"/>
    <n v="0"/>
    <n v="45"/>
    <n v="85"/>
    <n v="0"/>
    <n v="395.58"/>
    <n v="230.53"/>
    <m/>
    <n v="492.21094817442304"/>
    <n v="296.59949464114788"/>
    <n v="0"/>
    <n v="4201.8507599999994"/>
    <n v="2448.68966"/>
    <n v="0"/>
    <n v="5228.2646915087216"/>
    <n v="3150.4798320782729"/>
  </r>
  <r>
    <s v="Sistema de Compensação"/>
    <x v="4"/>
    <x v="5"/>
    <x v="1"/>
    <x v="0"/>
    <x v="0"/>
    <x v="0"/>
    <x v="1"/>
    <x v="6"/>
    <n v="0"/>
    <n v="0"/>
    <n v="68.239000000000004"/>
    <n v="68.239000000000004"/>
    <n v="68.239000000000004"/>
    <n v="68.239000000000004"/>
    <n v="62"/>
    <x v="0"/>
    <n v="0"/>
    <n v="0"/>
    <n v="45"/>
    <n v="85"/>
    <n v="0"/>
    <n v="395.58"/>
    <n v="230.53"/>
    <m/>
    <n v="492.21094817442304"/>
    <n v="296.59949464114788"/>
    <n v="0"/>
    <n v="26993.983619999999"/>
    <n v="15731.136670000002"/>
    <n v="0"/>
    <n v="33587.982892474458"/>
    <n v="20239.652914817292"/>
  </r>
  <r>
    <s v="Regular"/>
    <x v="4"/>
    <x v="5"/>
    <x v="1"/>
    <x v="0"/>
    <x v="0"/>
    <x v="0"/>
    <x v="1"/>
    <x v="7"/>
    <n v="0"/>
    <n v="0"/>
    <n v="1572.2940000000001"/>
    <n v="1572.2940000000001"/>
    <n v="1572.2940000000001"/>
    <n v="1572.2940000000001"/>
    <n v="1568"/>
    <x v="0"/>
    <n v="0"/>
    <n v="0"/>
    <n v="45"/>
    <n v="85"/>
    <n v="0"/>
    <n v="395.58"/>
    <n v="230.53"/>
    <m/>
    <n v="492.21094817442304"/>
    <n v="296.59949464114788"/>
    <n v="0"/>
    <n v="621968.06052000006"/>
    <n v="362460.93582000001"/>
    <n v="0"/>
    <n v="773900.3205489564"/>
    <n v="466341.60582730902"/>
  </r>
  <r>
    <s v="Refaturamento - Regular"/>
    <x v="4"/>
    <x v="5"/>
    <x v="1"/>
    <x v="0"/>
    <x v="0"/>
    <x v="0"/>
    <x v="1"/>
    <x v="7"/>
    <n v="0"/>
    <n v="0"/>
    <n v="-4.5759999999999996"/>
    <n v="-4.5759999999999996"/>
    <n v="-4.5759999999999996"/>
    <n v="-4.5759999999999996"/>
    <n v="-44"/>
    <x v="0"/>
    <n v="0"/>
    <n v="0"/>
    <n v="45"/>
    <n v="85"/>
    <n v="0"/>
    <n v="395.58"/>
    <n v="230.53"/>
    <m/>
    <n v="492.21094817442304"/>
    <n v="296.59949464114788"/>
    <n v="0"/>
    <n v="-1810.1740799999998"/>
    <n v="-1054.9052799999999"/>
    <n v="0"/>
    <n v="-2252.3572988461597"/>
    <n v="-1357.2392874778925"/>
  </r>
  <r>
    <s v="Sistema de Compensação"/>
    <x v="4"/>
    <x v="5"/>
    <x v="1"/>
    <x v="0"/>
    <x v="0"/>
    <x v="0"/>
    <x v="1"/>
    <x v="7"/>
    <n v="0"/>
    <n v="0"/>
    <n v="76.97"/>
    <n v="76.97"/>
    <n v="76.97"/>
    <n v="76.97"/>
    <n v="63"/>
    <x v="0"/>
    <n v="0"/>
    <n v="0"/>
    <n v="45"/>
    <n v="85"/>
    <n v="0"/>
    <n v="395.58"/>
    <n v="230.53"/>
    <m/>
    <n v="492.21094817442304"/>
    <n v="296.59949464114788"/>
    <n v="0"/>
    <n v="30447.792599999997"/>
    <n v="17743.894100000001"/>
    <n v="0"/>
    <n v="37885.476680985339"/>
    <n v="22829.263102529152"/>
  </r>
  <r>
    <s v="Regular"/>
    <x v="4"/>
    <x v="5"/>
    <x v="1"/>
    <x v="0"/>
    <x v="0"/>
    <x v="0"/>
    <x v="1"/>
    <x v="8"/>
    <n v="0"/>
    <n v="0"/>
    <n v="1453.2370000000001"/>
    <n v="1453.2370000000001"/>
    <n v="1453.2370000000001"/>
    <n v="1453.2370000000001"/>
    <n v="1546"/>
    <x v="0"/>
    <n v="0"/>
    <n v="0"/>
    <n v="45"/>
    <n v="85"/>
    <n v="0"/>
    <n v="395.58"/>
    <n v="230.53"/>
    <m/>
    <n v="492.21094817442304"/>
    <n v="296.59949464114788"/>
    <n v="0"/>
    <n v="574871.49245999998"/>
    <n v="335014.72561000002"/>
    <n v="0"/>
    <n v="715299.16169215401"/>
    <n v="431029.35979381786"/>
  </r>
  <r>
    <s v="Refaturamento - Regular"/>
    <x v="4"/>
    <x v="5"/>
    <x v="1"/>
    <x v="0"/>
    <x v="0"/>
    <x v="0"/>
    <x v="1"/>
    <x v="8"/>
    <n v="0"/>
    <n v="0"/>
    <n v="-10.802"/>
    <n v="-10.802"/>
    <n v="-10.802"/>
    <n v="-10.802"/>
    <n v="-45"/>
    <x v="0"/>
    <n v="0"/>
    <n v="0"/>
    <n v="45"/>
    <n v="85"/>
    <n v="0"/>
    <n v="395.58"/>
    <n v="230.53"/>
    <m/>
    <n v="492.21094817442304"/>
    <n v="296.59949464114788"/>
    <n v="0"/>
    <n v="-4273.0551599999999"/>
    <n v="-2490.1850599999998"/>
    <n v="0"/>
    <n v="-5316.8626621801177"/>
    <n v="-3203.8677411136791"/>
  </r>
  <r>
    <s v="Sistema de Compensação"/>
    <x v="4"/>
    <x v="5"/>
    <x v="1"/>
    <x v="0"/>
    <x v="0"/>
    <x v="0"/>
    <x v="1"/>
    <x v="8"/>
    <n v="0"/>
    <n v="0"/>
    <n v="73.98"/>
    <n v="73.98"/>
    <n v="73.98"/>
    <n v="73.98"/>
    <n v="72"/>
    <x v="0"/>
    <n v="0"/>
    <n v="0"/>
    <n v="45"/>
    <n v="85"/>
    <n v="0"/>
    <n v="395.58"/>
    <n v="230.53"/>
    <m/>
    <n v="492.21094817442304"/>
    <n v="296.59949464114788"/>
    <n v="0"/>
    <n v="29265.008399999999"/>
    <n v="17054.609400000001"/>
    <n v="0"/>
    <n v="36413.765945943822"/>
    <n v="21942.430613552122"/>
  </r>
  <r>
    <s v="Regular"/>
    <x v="4"/>
    <x v="5"/>
    <x v="1"/>
    <x v="0"/>
    <x v="0"/>
    <x v="0"/>
    <x v="1"/>
    <x v="9"/>
    <n v="0"/>
    <n v="0"/>
    <n v="1458.9690000000001"/>
    <n v="1458.9690000000001"/>
    <n v="1458.9690000000001"/>
    <n v="1458.9690000000001"/>
    <n v="1533"/>
    <x v="0"/>
    <n v="0"/>
    <n v="0"/>
    <n v="45"/>
    <n v="85"/>
    <n v="0"/>
    <n v="395.58"/>
    <n v="230.53"/>
    <m/>
    <n v="492.21094817442304"/>
    <n v="296.59949464114788"/>
    <n v="0"/>
    <n v="577138.95701999997"/>
    <n v="336336.12357"/>
    <n v="0"/>
    <n v="718120.51484708989"/>
    <n v="432729.46809710091"/>
  </r>
  <r>
    <s v="Refaturamento - Regular"/>
    <x v="4"/>
    <x v="5"/>
    <x v="1"/>
    <x v="0"/>
    <x v="0"/>
    <x v="0"/>
    <x v="1"/>
    <x v="9"/>
    <n v="0"/>
    <n v="0"/>
    <n v="3.9060000000000001"/>
    <n v="3.9060000000000001"/>
    <n v="3.9060000000000001"/>
    <n v="3.9060000000000001"/>
    <n v="-9"/>
    <x v="0"/>
    <n v="0"/>
    <n v="0"/>
    <n v="45"/>
    <n v="85"/>
    <n v="0"/>
    <n v="395.58"/>
    <n v="230.53"/>
    <m/>
    <n v="492.21094817442304"/>
    <n v="296.59949464114788"/>
    <n v="0"/>
    <n v="1545.1354799999999"/>
    <n v="900.45018000000005"/>
    <n v="0"/>
    <n v="1922.5759635692964"/>
    <n v="1158.5176260683236"/>
  </r>
  <r>
    <s v="Sistema de Compensação"/>
    <x v="4"/>
    <x v="5"/>
    <x v="1"/>
    <x v="0"/>
    <x v="0"/>
    <x v="0"/>
    <x v="1"/>
    <x v="9"/>
    <n v="0"/>
    <n v="0"/>
    <n v="73.623999999999995"/>
    <n v="73.623999999999995"/>
    <n v="73.623999999999995"/>
    <n v="73.623999999999995"/>
    <n v="75"/>
    <x v="0"/>
    <n v="0"/>
    <n v="0"/>
    <n v="45"/>
    <n v="85"/>
    <n v="0"/>
    <n v="395.58"/>
    <n v="230.53"/>
    <m/>
    <n v="492.21094817442304"/>
    <n v="296.59949464114788"/>
    <n v="0"/>
    <n v="29124.181919999995"/>
    <n v="16972.540719999997"/>
    <n v="0"/>
    <n v="36238.53884839372"/>
    <n v="21836.84119345987"/>
  </r>
  <r>
    <s v="Regular"/>
    <x v="4"/>
    <x v="5"/>
    <x v="1"/>
    <x v="0"/>
    <x v="0"/>
    <x v="0"/>
    <x v="1"/>
    <x v="10"/>
    <n v="0"/>
    <n v="0"/>
    <n v="1512.3150000000001"/>
    <n v="1512.3150000000001"/>
    <n v="1512.3150000000001"/>
    <n v="1512.3150000000001"/>
    <n v="1510"/>
    <x v="0"/>
    <n v="0"/>
    <n v="0"/>
    <n v="45"/>
    <n v="85"/>
    <n v="0"/>
    <n v="395.58"/>
    <n v="230.53"/>
    <m/>
    <n v="492.21094817442304"/>
    <n v="296.59949464114788"/>
    <n v="0"/>
    <n v="598241.56770000001"/>
    <n v="348633.97695000004"/>
    <n v="0"/>
    <n v="744378.00008840265"/>
    <n v="448551.86473822757"/>
  </r>
  <r>
    <s v="Sistema de Compensação"/>
    <x v="4"/>
    <x v="5"/>
    <x v="1"/>
    <x v="0"/>
    <x v="0"/>
    <x v="0"/>
    <x v="1"/>
    <x v="10"/>
    <n v="0"/>
    <n v="0"/>
    <n v="91.531000000000006"/>
    <n v="91.531000000000006"/>
    <n v="91.531000000000006"/>
    <n v="91.531000000000006"/>
    <n v="80"/>
    <x v="0"/>
    <n v="0"/>
    <n v="0"/>
    <n v="45"/>
    <n v="85"/>
    <n v="0"/>
    <n v="395.58"/>
    <n v="230.53"/>
    <m/>
    <n v="492.21094817442304"/>
    <n v="296.59949464114788"/>
    <n v="0"/>
    <n v="36207.832979999999"/>
    <n v="21100.64143"/>
    <n v="0"/>
    <n v="45052.56029735312"/>
    <n v="27148.048343998908"/>
  </r>
  <r>
    <s v="Sistema de Compensação"/>
    <x v="4"/>
    <x v="5"/>
    <x v="1"/>
    <x v="0"/>
    <x v="0"/>
    <x v="0"/>
    <x v="1"/>
    <x v="10"/>
    <n v="0"/>
    <n v="0"/>
    <n v="-1.087"/>
    <n v="-1.087"/>
    <n v="-1.087"/>
    <n v="-1.087"/>
    <n v="0"/>
    <x v="0"/>
    <n v="0"/>
    <n v="0"/>
    <n v="45"/>
    <n v="85"/>
    <n v="0"/>
    <n v="395.58"/>
    <n v="230.53"/>
    <m/>
    <n v="492.21094817442304"/>
    <n v="296.59949464114788"/>
    <n v="0"/>
    <n v="-429.99545999999998"/>
    <n v="-250.58610999999999"/>
    <n v="0"/>
    <n v="-535.03330066559784"/>
    <n v="-322.40365067492775"/>
  </r>
  <r>
    <s v="PROJETADO"/>
    <x v="4"/>
    <x v="5"/>
    <x v="1"/>
    <x v="0"/>
    <x v="0"/>
    <x v="0"/>
    <x v="1"/>
    <x v="11"/>
    <n v="0"/>
    <n v="0"/>
    <n v="1512.3150000000001"/>
    <n v="1512.3150000000001"/>
    <n v="1512.3150000000001"/>
    <n v="1512.3150000000001"/>
    <n v="1510"/>
    <x v="0"/>
    <n v="0"/>
    <n v="0"/>
    <n v="45"/>
    <n v="85"/>
    <n v="0"/>
    <n v="395.58"/>
    <n v="230.53"/>
    <m/>
    <n v="492.21094817442304"/>
    <n v="296.59949464114788"/>
    <n v="0"/>
    <n v="598241.56770000001"/>
    <n v="348633.97695000004"/>
    <n v="0"/>
    <n v="744378.00008840265"/>
    <n v="448551.86473822757"/>
  </r>
  <r>
    <s v="PROJETADO"/>
    <x v="4"/>
    <x v="5"/>
    <x v="1"/>
    <x v="0"/>
    <x v="0"/>
    <x v="0"/>
    <x v="1"/>
    <x v="11"/>
    <n v="0"/>
    <n v="0"/>
    <n v="91.531000000000006"/>
    <n v="91.531000000000006"/>
    <n v="91.531000000000006"/>
    <n v="91.531000000000006"/>
    <n v="80"/>
    <x v="0"/>
    <n v="0"/>
    <n v="0"/>
    <n v="45"/>
    <n v="85"/>
    <n v="0"/>
    <n v="395.58"/>
    <n v="230.53"/>
    <m/>
    <n v="492.21094817442304"/>
    <n v="296.59949464114788"/>
    <n v="0"/>
    <n v="36207.832979999999"/>
    <n v="21100.64143"/>
    <n v="0"/>
    <n v="45052.56029735312"/>
    <n v="27148.048343998908"/>
  </r>
  <r>
    <s v="PROJETADO"/>
    <x v="4"/>
    <x v="5"/>
    <x v="1"/>
    <x v="0"/>
    <x v="0"/>
    <x v="0"/>
    <x v="1"/>
    <x v="11"/>
    <n v="0"/>
    <n v="0"/>
    <n v="-1.087"/>
    <n v="-1.087"/>
    <n v="-1.087"/>
    <n v="-1.087"/>
    <n v="0"/>
    <x v="0"/>
    <n v="0"/>
    <n v="0"/>
    <n v="45"/>
    <n v="85"/>
    <n v="0"/>
    <n v="395.58"/>
    <n v="230.53"/>
    <m/>
    <n v="492.21094817442304"/>
    <n v="296.59949464114788"/>
    <n v="0"/>
    <n v="-429.99545999999998"/>
    <n v="-250.58610999999999"/>
    <n v="0"/>
    <n v="-535.03330066559784"/>
    <n v="-322.40365067492775"/>
  </r>
  <r>
    <s v="Regular"/>
    <x v="4"/>
    <x v="5"/>
    <x v="5"/>
    <x v="0"/>
    <x v="0"/>
    <x v="0"/>
    <x v="1"/>
    <x v="0"/>
    <n v="0"/>
    <n v="0"/>
    <n v="5714.0309999999999"/>
    <n v="5714.0309999999999"/>
    <n v="5714.0309999999999"/>
    <n v="5714.0309999999999"/>
    <n v="8607"/>
    <x v="0"/>
    <n v="0"/>
    <n v="0"/>
    <n v="45"/>
    <n v="85"/>
    <n v="0"/>
    <n v="395.58"/>
    <n v="230.53"/>
    <m/>
    <n v="492.21094817442304"/>
    <n v="296.59949464114788"/>
    <n v="0"/>
    <n v="2260356.3829799998"/>
    <n v="1317255.5664299999"/>
    <n v="0"/>
    <n v="2812508.6164080468"/>
    <n v="1694778.706963853"/>
  </r>
  <r>
    <s v="Refaturamento - Regular"/>
    <x v="4"/>
    <x v="5"/>
    <x v="5"/>
    <x v="0"/>
    <x v="0"/>
    <x v="0"/>
    <x v="1"/>
    <x v="0"/>
    <n v="0"/>
    <n v="0"/>
    <n v="-3.681"/>
    <n v="-3.681"/>
    <n v="-3.681"/>
    <n v="-3.681"/>
    <n v="-3"/>
    <x v="0"/>
    <n v="0"/>
    <n v="0"/>
    <n v="45"/>
    <n v="85"/>
    <n v="0"/>
    <n v="395.58"/>
    <n v="230.53"/>
    <m/>
    <n v="492.21094817442304"/>
    <n v="296.59949464114788"/>
    <n v="0"/>
    <n v="-1456.1299799999999"/>
    <n v="-848.58092999999997"/>
    <n v="0"/>
    <n v="-1811.8285002300513"/>
    <n v="-1091.7827397740655"/>
  </r>
  <r>
    <s v="Sistema de Compensação"/>
    <x v="4"/>
    <x v="5"/>
    <x v="5"/>
    <x v="0"/>
    <x v="0"/>
    <x v="0"/>
    <x v="1"/>
    <x v="0"/>
    <n v="0"/>
    <n v="0"/>
    <n v="3.5409999999999999"/>
    <n v="3.5409999999999999"/>
    <n v="3.5409999999999999"/>
    <n v="3.5409999999999999"/>
    <n v="13"/>
    <x v="0"/>
    <n v="0"/>
    <n v="0"/>
    <n v="45"/>
    <n v="85"/>
    <n v="0"/>
    <n v="395.58"/>
    <n v="230.53"/>
    <m/>
    <n v="492.21094817442304"/>
    <n v="296.59949464114788"/>
    <n v="0"/>
    <n v="1400.7487799999999"/>
    <n v="816.30673000000002"/>
    <n v="0"/>
    <n v="1742.918967485632"/>
    <n v="1050.2588105243046"/>
  </r>
  <r>
    <s v="Regular"/>
    <x v="4"/>
    <x v="5"/>
    <x v="5"/>
    <x v="0"/>
    <x v="0"/>
    <x v="0"/>
    <x v="1"/>
    <x v="1"/>
    <n v="0"/>
    <n v="0"/>
    <n v="5223.0290000000005"/>
    <n v="5223.0290000000005"/>
    <n v="5223.0290000000005"/>
    <n v="5223.0290000000005"/>
    <n v="8615"/>
    <x v="0"/>
    <n v="0"/>
    <n v="0"/>
    <n v="45"/>
    <n v="85"/>
    <n v="0"/>
    <n v="395.58"/>
    <n v="230.53"/>
    <m/>
    <n v="492.21094817442304"/>
    <n v="296.59949464114788"/>
    <n v="0"/>
    <n v="2066125.8118200002"/>
    <n v="1204064.87537"/>
    <n v="0"/>
    <n v="2570832.0564325089"/>
    <n v="1549147.7618960601"/>
  </r>
  <r>
    <s v="Refaturamento - Regular"/>
    <x v="4"/>
    <x v="5"/>
    <x v="5"/>
    <x v="0"/>
    <x v="0"/>
    <x v="0"/>
    <x v="1"/>
    <x v="1"/>
    <n v="0"/>
    <n v="0"/>
    <n v="-4.4859999999999998"/>
    <n v="-4.4859999999999998"/>
    <n v="-4.4859999999999998"/>
    <n v="-4.4859999999999998"/>
    <n v="5"/>
    <x v="0"/>
    <n v="0"/>
    <n v="0"/>
    <n v="45"/>
    <n v="85"/>
    <n v="0"/>
    <n v="395.58"/>
    <n v="230.53"/>
    <m/>
    <n v="492.21094817442304"/>
    <n v="296.59949464114788"/>
    <n v="0"/>
    <n v="-1774.5718799999997"/>
    <n v="-1034.1575800000001"/>
    <n v="0"/>
    <n v="-2208.0583135104616"/>
    <n v="-1330.5453329601894"/>
  </r>
  <r>
    <s v="Sistema de Compensação"/>
    <x v="4"/>
    <x v="5"/>
    <x v="5"/>
    <x v="0"/>
    <x v="0"/>
    <x v="0"/>
    <x v="1"/>
    <x v="1"/>
    <n v="0"/>
    <n v="0"/>
    <n v="2.9529999999999998"/>
    <n v="2.9529999999999998"/>
    <n v="2.9529999999999998"/>
    <n v="2.9529999999999998"/>
    <n v="13"/>
    <x v="0"/>
    <n v="0"/>
    <n v="0"/>
    <n v="45"/>
    <n v="85"/>
    <n v="0"/>
    <n v="395.58"/>
    <n v="230.53"/>
    <m/>
    <n v="492.21094817442304"/>
    <n v="296.59949464114788"/>
    <n v="0"/>
    <n v="1168.1477399999999"/>
    <n v="680.75509"/>
    <n v="0"/>
    <n v="1453.4989299590711"/>
    <n v="875.85830767530967"/>
  </r>
  <r>
    <s v="Regular"/>
    <x v="4"/>
    <x v="5"/>
    <x v="5"/>
    <x v="0"/>
    <x v="0"/>
    <x v="0"/>
    <x v="1"/>
    <x v="2"/>
    <n v="0"/>
    <n v="0"/>
    <n v="4767.2659999999996"/>
    <n v="4767.2659999999996"/>
    <n v="4767.2659999999996"/>
    <n v="4767.2659999999996"/>
    <n v="8595"/>
    <x v="0"/>
    <n v="0"/>
    <n v="0"/>
    <n v="45"/>
    <n v="85"/>
    <n v="0"/>
    <n v="395.58"/>
    <n v="230.53"/>
    <m/>
    <n v="492.21094817442304"/>
    <n v="296.59949464114788"/>
    <n v="0"/>
    <n v="1885835.0842799998"/>
    <n v="1098997.8309799999"/>
    <n v="0"/>
    <n v="2346500.5180596886"/>
    <n v="1413968.6864199264"/>
  </r>
  <r>
    <s v="Refaturamento - Regular"/>
    <x v="4"/>
    <x v="5"/>
    <x v="5"/>
    <x v="0"/>
    <x v="0"/>
    <x v="0"/>
    <x v="1"/>
    <x v="2"/>
    <n v="0"/>
    <n v="0"/>
    <n v="-84.954999999999998"/>
    <n v="-84.954999999999998"/>
    <n v="-84.954999999999998"/>
    <n v="-84.954999999999998"/>
    <n v="-7"/>
    <x v="0"/>
    <n v="0"/>
    <n v="0"/>
    <n v="45"/>
    <n v="85"/>
    <n v="0"/>
    <n v="395.58"/>
    <n v="230.53"/>
    <m/>
    <n v="492.21094817442304"/>
    <n v="296.59949464114788"/>
    <n v="0"/>
    <n v="-33606.498899999999"/>
    <n v="-19584.676149999999"/>
    <n v="0"/>
    <n v="-41815.781102158107"/>
    <n v="-25197.610067238718"/>
  </r>
  <r>
    <s v="Sistema de Compensação"/>
    <x v="4"/>
    <x v="5"/>
    <x v="5"/>
    <x v="0"/>
    <x v="0"/>
    <x v="0"/>
    <x v="1"/>
    <x v="2"/>
    <n v="0"/>
    <n v="0"/>
    <n v="2.2890000000000001"/>
    <n v="2.2890000000000001"/>
    <n v="2.2890000000000001"/>
    <n v="2.2890000000000001"/>
    <n v="13"/>
    <x v="0"/>
    <n v="0"/>
    <n v="0"/>
    <n v="45"/>
    <n v="85"/>
    <n v="0"/>
    <n v="395.58"/>
    <n v="230.53"/>
    <m/>
    <n v="492.21094817442304"/>
    <n v="296.59949464114788"/>
    <n v="0"/>
    <n v="905.48262"/>
    <n v="527.68317000000002"/>
    <n v="0"/>
    <n v="1126.6708603712543"/>
    <n v="678.91624323358758"/>
  </r>
  <r>
    <s v="Regular"/>
    <x v="4"/>
    <x v="5"/>
    <x v="5"/>
    <x v="0"/>
    <x v="0"/>
    <x v="0"/>
    <x v="1"/>
    <x v="3"/>
    <n v="0"/>
    <n v="0"/>
    <n v="5084.723"/>
    <n v="5084.723"/>
    <n v="5084.723"/>
    <n v="5084.723"/>
    <n v="8626"/>
    <x v="0"/>
    <n v="0"/>
    <n v="0"/>
    <n v="45"/>
    <n v="85"/>
    <n v="0"/>
    <n v="395.58"/>
    <n v="230.53"/>
    <m/>
    <n v="492.21094817442304"/>
    <n v="296.59949464114788"/>
    <n v="0"/>
    <n v="2011414.72434"/>
    <n v="1172181.19319"/>
    <n v="0"/>
    <n v="2502756.3290342968"/>
    <n v="1508126.2721902214"/>
  </r>
  <r>
    <s v="Refaturamento - Regular"/>
    <x v="4"/>
    <x v="5"/>
    <x v="5"/>
    <x v="0"/>
    <x v="0"/>
    <x v="0"/>
    <x v="1"/>
    <x v="3"/>
    <n v="0"/>
    <n v="0"/>
    <n v="-23.492999999999999"/>
    <n v="-23.492999999999999"/>
    <n v="-23.492999999999999"/>
    <n v="-23.492999999999999"/>
    <n v="-7"/>
    <x v="0"/>
    <n v="0"/>
    <n v="0"/>
    <n v="45"/>
    <n v="85"/>
    <n v="0"/>
    <n v="395.58"/>
    <n v="230.53"/>
    <m/>
    <n v="492.21094817442304"/>
    <n v="296.59949464114788"/>
    <n v="0"/>
    <n v="-9293.3609399999987"/>
    <n v="-5415.8412899999994"/>
    <n v="0"/>
    <n v="-11563.51180546172"/>
    <n v="-6968.011927604487"/>
  </r>
  <r>
    <s v="Sistema de Compensação"/>
    <x v="4"/>
    <x v="5"/>
    <x v="5"/>
    <x v="0"/>
    <x v="0"/>
    <x v="0"/>
    <x v="1"/>
    <x v="3"/>
    <n v="0"/>
    <n v="0"/>
    <n v="2.4550000000000001"/>
    <n v="2.4550000000000001"/>
    <n v="2.4550000000000001"/>
    <n v="2.4550000000000001"/>
    <n v="13"/>
    <x v="0"/>
    <n v="0"/>
    <n v="0"/>
    <n v="45"/>
    <n v="85"/>
    <n v="0"/>
    <n v="395.58"/>
    <n v="230.53"/>
    <m/>
    <n v="492.21094817442304"/>
    <n v="296.59949464114788"/>
    <n v="0"/>
    <n v="971.14890000000003"/>
    <n v="565.95114999999998"/>
    <n v="0"/>
    <n v="1208.3778777682087"/>
    <n v="728.15175934401805"/>
  </r>
  <r>
    <s v="Regular"/>
    <x v="4"/>
    <x v="5"/>
    <x v="5"/>
    <x v="0"/>
    <x v="0"/>
    <x v="0"/>
    <x v="1"/>
    <x v="4"/>
    <n v="0"/>
    <n v="0"/>
    <n v="5930.9080000000004"/>
    <n v="5930.9080000000004"/>
    <n v="5930.9080000000004"/>
    <n v="5930.9080000000004"/>
    <n v="8616"/>
    <x v="0"/>
    <n v="0"/>
    <n v="0"/>
    <n v="45"/>
    <n v="85"/>
    <n v="0"/>
    <n v="395.58"/>
    <n v="230.53"/>
    <m/>
    <n v="492.21094817442304"/>
    <n v="296.59949464114788"/>
    <n v="0"/>
    <n v="2346148.5866399999"/>
    <n v="1367252.2212400001"/>
    <n v="0"/>
    <n v="2919257.8502152711"/>
    <n v="1759104.3155631411"/>
  </r>
  <r>
    <s v="Refaturamento - Regular"/>
    <x v="4"/>
    <x v="5"/>
    <x v="5"/>
    <x v="0"/>
    <x v="0"/>
    <x v="0"/>
    <x v="1"/>
    <x v="4"/>
    <n v="0"/>
    <n v="0"/>
    <n v="-25.251999999999999"/>
    <n v="-25.251999999999999"/>
    <n v="-25.251999999999999"/>
    <n v="-25.251999999999999"/>
    <n v="-26"/>
    <x v="0"/>
    <n v="0"/>
    <n v="0"/>
    <n v="45"/>
    <n v="85"/>
    <n v="0"/>
    <n v="395.58"/>
    <n v="230.53"/>
    <m/>
    <n v="492.21094817442304"/>
    <n v="296.59949464114788"/>
    <n v="0"/>
    <n v="-9989.1861599999993"/>
    <n v="-5821.3435599999993"/>
    <n v="0"/>
    <n v="-12429.31086330053"/>
    <n v="-7489.7304386782662"/>
  </r>
  <r>
    <s v="Sistema de Compensação"/>
    <x v="4"/>
    <x v="5"/>
    <x v="5"/>
    <x v="0"/>
    <x v="0"/>
    <x v="0"/>
    <x v="1"/>
    <x v="4"/>
    <n v="0"/>
    <n v="0"/>
    <n v="2.831"/>
    <n v="2.831"/>
    <n v="2.831"/>
    <n v="2.831"/>
    <n v="13"/>
    <x v="0"/>
    <n v="0"/>
    <n v="0"/>
    <n v="45"/>
    <n v="85"/>
    <n v="0"/>
    <n v="395.58"/>
    <n v="230.53"/>
    <m/>
    <n v="492.21094817442304"/>
    <n v="296.59949464114788"/>
    <n v="0"/>
    <n v="1119.88698"/>
    <n v="652.63043000000005"/>
    <n v="0"/>
    <n v="1393.4491942817915"/>
    <n v="839.67316932908966"/>
  </r>
  <r>
    <s v="Regular"/>
    <x v="4"/>
    <x v="5"/>
    <x v="5"/>
    <x v="0"/>
    <x v="0"/>
    <x v="0"/>
    <x v="1"/>
    <x v="5"/>
    <n v="0"/>
    <n v="0"/>
    <n v="7232.415"/>
    <n v="7232.415"/>
    <n v="7232.415"/>
    <n v="7232.415"/>
    <n v="8665"/>
    <x v="0"/>
    <n v="0"/>
    <n v="0"/>
    <n v="45"/>
    <n v="85"/>
    <n v="0"/>
    <n v="395.58"/>
    <n v="230.53"/>
    <m/>
    <n v="492.21094817442304"/>
    <n v="296.59949464114788"/>
    <n v="0"/>
    <n v="2860998.7256999998"/>
    <n v="1667288.62995"/>
    <n v="0"/>
    <n v="3559873.8447409198"/>
    <n v="2145130.6340350574"/>
  </r>
  <r>
    <s v="Refaturamento - Regular"/>
    <x v="4"/>
    <x v="5"/>
    <x v="5"/>
    <x v="0"/>
    <x v="0"/>
    <x v="0"/>
    <x v="1"/>
    <x v="5"/>
    <n v="0"/>
    <n v="0"/>
    <n v="2.569"/>
    <n v="2.569"/>
    <n v="2.569"/>
    <n v="2.569"/>
    <n v="1"/>
    <x v="0"/>
    <n v="0"/>
    <n v="0"/>
    <n v="45"/>
    <n v="85"/>
    <n v="0"/>
    <n v="395.58"/>
    <n v="230.53"/>
    <m/>
    <n v="492.21094817442304"/>
    <n v="296.59949464114788"/>
    <n v="0"/>
    <n v="1016.24502"/>
    <n v="592.23157000000003"/>
    <n v="0"/>
    <n v="1264.4899258600929"/>
    <n v="761.96410173310892"/>
  </r>
  <r>
    <s v="Sistema de Compensação"/>
    <x v="4"/>
    <x v="5"/>
    <x v="5"/>
    <x v="0"/>
    <x v="0"/>
    <x v="0"/>
    <x v="1"/>
    <x v="5"/>
    <n v="0"/>
    <n v="0"/>
    <n v="3.49"/>
    <n v="3.49"/>
    <n v="3.49"/>
    <n v="3.49"/>
    <n v="14"/>
    <x v="0"/>
    <n v="0"/>
    <n v="0"/>
    <n v="45"/>
    <n v="85"/>
    <n v="0"/>
    <n v="395.58"/>
    <n v="230.53"/>
    <m/>
    <n v="492.21094817442304"/>
    <n v="296.59949464114788"/>
    <n v="0"/>
    <n v="1380.5742"/>
    <n v="804.54970000000003"/>
    <n v="0"/>
    <n v="1717.8162091287365"/>
    <n v="1035.1322362976061"/>
  </r>
  <r>
    <s v="Regular"/>
    <x v="4"/>
    <x v="5"/>
    <x v="5"/>
    <x v="0"/>
    <x v="0"/>
    <x v="0"/>
    <x v="1"/>
    <x v="6"/>
    <n v="0"/>
    <n v="0"/>
    <n v="8660.2759999999998"/>
    <n v="8660.2759999999998"/>
    <n v="8660.2759999999998"/>
    <n v="8660.2759999999998"/>
    <n v="8757"/>
    <x v="0"/>
    <n v="0"/>
    <n v="0"/>
    <n v="45"/>
    <n v="85"/>
    <n v="0"/>
    <n v="395.58"/>
    <n v="230.53"/>
    <m/>
    <n v="492.21094817442304"/>
    <n v="296.59949464114788"/>
    <n v="0"/>
    <n v="3425831.9800799997"/>
    <n v="1996453.42628"/>
    <n v="0"/>
    <n v="4262682.6614122"/>
    <n v="2568633.4850528617"/>
  </r>
  <r>
    <s v="Refaturamento - Regular"/>
    <x v="4"/>
    <x v="5"/>
    <x v="5"/>
    <x v="0"/>
    <x v="0"/>
    <x v="0"/>
    <x v="1"/>
    <x v="6"/>
    <n v="0"/>
    <n v="0"/>
    <n v="-0.30599999999999999"/>
    <n v="-0.30599999999999999"/>
    <n v="-0.30599999999999999"/>
    <n v="-0.30599999999999999"/>
    <n v="2"/>
    <x v="0"/>
    <n v="0"/>
    <n v="0"/>
    <n v="45"/>
    <n v="85"/>
    <n v="0"/>
    <n v="395.58"/>
    <n v="230.53"/>
    <m/>
    <n v="492.21094817442304"/>
    <n v="296.59949464114788"/>
    <n v="0"/>
    <n v="-121.04747999999999"/>
    <n v="-70.542180000000002"/>
    <n v="0"/>
    <n v="-150.61655014137344"/>
    <n v="-90.759445360191251"/>
  </r>
  <r>
    <s v="Sistema de Compensação"/>
    <x v="4"/>
    <x v="5"/>
    <x v="5"/>
    <x v="0"/>
    <x v="0"/>
    <x v="0"/>
    <x v="1"/>
    <x v="6"/>
    <n v="0"/>
    <n v="0"/>
    <n v="3.4609999999999999"/>
    <n v="3.4609999999999999"/>
    <n v="3.4609999999999999"/>
    <n v="3.4609999999999999"/>
    <n v="14"/>
    <x v="0"/>
    <n v="0"/>
    <n v="0"/>
    <n v="45"/>
    <n v="85"/>
    <n v="0"/>
    <n v="395.58"/>
    <n v="230.53"/>
    <m/>
    <n v="492.21094817442304"/>
    <n v="296.59949464114788"/>
    <n v="0"/>
    <n v="1369.1023799999998"/>
    <n v="797.86433"/>
    <n v="0"/>
    <n v="1703.542091631678"/>
    <n v="1026.5308509530128"/>
  </r>
  <r>
    <s v="Regular"/>
    <x v="4"/>
    <x v="5"/>
    <x v="5"/>
    <x v="0"/>
    <x v="0"/>
    <x v="0"/>
    <x v="1"/>
    <x v="7"/>
    <n v="0"/>
    <n v="0"/>
    <n v="8372.5529999999999"/>
    <n v="8372.5529999999999"/>
    <n v="8372.5529999999999"/>
    <n v="8372.5529999999999"/>
    <n v="8719"/>
    <x v="0"/>
    <n v="0"/>
    <n v="0"/>
    <n v="45"/>
    <n v="85"/>
    <n v="0"/>
    <n v="395.58"/>
    <n v="230.53"/>
    <m/>
    <n v="492.21094817442304"/>
    <n v="296.59949464114788"/>
    <n v="0"/>
    <n v="3312014.5157399997"/>
    <n v="1930124.6430899999"/>
    <n v="0"/>
    <n v="4121062.2507706103"/>
    <n v="2483294.9886562265"/>
  </r>
  <r>
    <s v="Refaturamento - Regular"/>
    <x v="4"/>
    <x v="5"/>
    <x v="5"/>
    <x v="0"/>
    <x v="0"/>
    <x v="0"/>
    <x v="1"/>
    <x v="7"/>
    <n v="0"/>
    <n v="0"/>
    <n v="20.786000000000001"/>
    <n v="20.786000000000001"/>
    <n v="20.786000000000001"/>
    <n v="20.786000000000001"/>
    <n v="5"/>
    <x v="0"/>
    <n v="0"/>
    <n v="0"/>
    <n v="45"/>
    <n v="85"/>
    <n v="0"/>
    <n v="395.58"/>
    <n v="230.53"/>
    <m/>
    <n v="492.21094817442304"/>
    <n v="296.59949464114788"/>
    <n v="0"/>
    <n v="8222.5258800000011"/>
    <n v="4791.7965800000002"/>
    <n v="0"/>
    <n v="10231.096768753558"/>
    <n v="6165.1170956108999"/>
  </r>
  <r>
    <s v="Sistema de Compensação"/>
    <x v="4"/>
    <x v="5"/>
    <x v="5"/>
    <x v="0"/>
    <x v="0"/>
    <x v="0"/>
    <x v="1"/>
    <x v="7"/>
    <n v="0"/>
    <n v="0"/>
    <n v="14.475"/>
    <n v="14.475"/>
    <n v="14.475"/>
    <n v="14.475"/>
    <n v="14"/>
    <x v="0"/>
    <n v="0"/>
    <n v="0"/>
    <n v="45"/>
    <n v="85"/>
    <n v="0"/>
    <n v="395.58"/>
    <n v="230.53"/>
    <m/>
    <n v="492.21094817442304"/>
    <n v="296.59949464114788"/>
    <n v="0"/>
    <n v="5726.0204999999996"/>
    <n v="3336.92175"/>
    <n v="0"/>
    <n v="7124.7534748247735"/>
    <n v="4293.2776849306156"/>
  </r>
  <r>
    <s v="Regular"/>
    <x v="4"/>
    <x v="5"/>
    <x v="5"/>
    <x v="0"/>
    <x v="0"/>
    <x v="0"/>
    <x v="1"/>
    <x v="8"/>
    <n v="0"/>
    <n v="0"/>
    <n v="6606.7129999999997"/>
    <n v="6606.7129999999997"/>
    <n v="6606.7129999999997"/>
    <n v="6606.7129999999997"/>
    <n v="8706"/>
    <x v="0"/>
    <n v="0"/>
    <n v="0"/>
    <n v="45"/>
    <n v="85"/>
    <n v="0"/>
    <n v="395.58"/>
    <n v="230.53"/>
    <m/>
    <n v="492.21094817442304"/>
    <n v="296.59949464114788"/>
    <n v="0"/>
    <n v="2613483.5285399999"/>
    <n v="1523045.54789"/>
    <n v="0"/>
    <n v="3251896.4700462869"/>
    <n v="1959547.737039102"/>
  </r>
  <r>
    <s v="Refaturamento - Regular"/>
    <x v="4"/>
    <x v="5"/>
    <x v="5"/>
    <x v="0"/>
    <x v="0"/>
    <x v="0"/>
    <x v="1"/>
    <x v="8"/>
    <n v="0"/>
    <n v="0"/>
    <n v="10.88"/>
    <n v="10.88"/>
    <n v="10.88"/>
    <n v="10.88"/>
    <n v="9"/>
    <x v="0"/>
    <n v="0"/>
    <n v="0"/>
    <n v="45"/>
    <n v="85"/>
    <n v="0"/>
    <n v="395.58"/>
    <n v="230.53"/>
    <m/>
    <n v="492.21094817442304"/>
    <n v="296.59949464114788"/>
    <n v="0"/>
    <n v="4303.9103999999998"/>
    <n v="2508.1664000000001"/>
    <n v="0"/>
    <n v="5355.2551161377232"/>
    <n v="3227.0025016956893"/>
  </r>
  <r>
    <s v="Sistema de Compensação"/>
    <x v="4"/>
    <x v="5"/>
    <x v="5"/>
    <x v="0"/>
    <x v="0"/>
    <x v="0"/>
    <x v="1"/>
    <x v="8"/>
    <n v="0"/>
    <n v="0"/>
    <n v="3.4460000000000002"/>
    <n v="3.4460000000000002"/>
    <n v="3.4460000000000002"/>
    <n v="3.4460000000000002"/>
    <n v="14"/>
    <x v="0"/>
    <n v="0"/>
    <n v="0"/>
    <n v="45"/>
    <n v="85"/>
    <n v="0"/>
    <n v="395.58"/>
    <n v="230.53"/>
    <m/>
    <n v="492.21094817442304"/>
    <n v="296.59949464114788"/>
    <n v="0"/>
    <n v="1363.16868"/>
    <n v="794.40638000000001"/>
    <n v="0"/>
    <n v="1696.1589274090618"/>
    <n v="1022.0818585333957"/>
  </r>
  <r>
    <s v="Regular"/>
    <x v="4"/>
    <x v="5"/>
    <x v="5"/>
    <x v="0"/>
    <x v="0"/>
    <x v="0"/>
    <x v="1"/>
    <x v="9"/>
    <n v="0"/>
    <n v="0"/>
    <n v="7409.0039999999999"/>
    <n v="7409.0039999999999"/>
    <n v="7409.0039999999999"/>
    <n v="7409.0039999999999"/>
    <n v="8677"/>
    <x v="0"/>
    <n v="0"/>
    <n v="0"/>
    <n v="45"/>
    <n v="85"/>
    <n v="0"/>
    <n v="395.58"/>
    <n v="230.53"/>
    <m/>
    <n v="492.21094817442304"/>
    <n v="296.59949464114788"/>
    <n v="0"/>
    <n v="2930853.8023199998"/>
    <n v="1707997.69212"/>
    <n v="0"/>
    <n v="3646792.8838680931"/>
    <n v="2197506.8421942433"/>
  </r>
  <r>
    <s v="Refaturamento - Regular"/>
    <x v="4"/>
    <x v="5"/>
    <x v="5"/>
    <x v="0"/>
    <x v="0"/>
    <x v="0"/>
    <x v="1"/>
    <x v="9"/>
    <n v="0"/>
    <n v="0"/>
    <n v="6.7190000000000003"/>
    <n v="6.7190000000000003"/>
    <n v="6.7190000000000003"/>
    <n v="6.7190000000000003"/>
    <n v="9"/>
    <x v="0"/>
    <n v="0"/>
    <n v="0"/>
    <n v="45"/>
    <n v="85"/>
    <n v="0"/>
    <n v="395.58"/>
    <n v="230.53"/>
    <m/>
    <n v="492.21094817442304"/>
    <n v="296.59949464114788"/>
    <n v="0"/>
    <n v="2657.90202"/>
    <n v="1548.9310700000001"/>
    <n v="0"/>
    <n v="3307.1653607839485"/>
    <n v="1992.8520044938728"/>
  </r>
  <r>
    <s v="Sistema de Compensação"/>
    <x v="4"/>
    <x v="5"/>
    <x v="5"/>
    <x v="0"/>
    <x v="0"/>
    <x v="0"/>
    <x v="1"/>
    <x v="9"/>
    <n v="0"/>
    <n v="0"/>
    <n v="3.649"/>
    <n v="3.649"/>
    <n v="3.649"/>
    <n v="3.649"/>
    <n v="14"/>
    <x v="0"/>
    <n v="0"/>
    <n v="0"/>
    <n v="45"/>
    <n v="85"/>
    <n v="0"/>
    <n v="395.58"/>
    <n v="230.53"/>
    <m/>
    <n v="492.21094817442304"/>
    <n v="296.59949464114788"/>
    <n v="0"/>
    <n v="1443.4714199999999"/>
    <n v="841.20397000000003"/>
    <n v="0"/>
    <n v="1796.0777498884697"/>
    <n v="1082.2915559455487"/>
  </r>
  <r>
    <s v="Regular"/>
    <x v="4"/>
    <x v="5"/>
    <x v="5"/>
    <x v="0"/>
    <x v="0"/>
    <x v="0"/>
    <x v="1"/>
    <x v="10"/>
    <n v="0"/>
    <n v="0"/>
    <n v="8814.9629999999997"/>
    <n v="8814.9629999999997"/>
    <n v="8814.9629999999997"/>
    <n v="8814.9629999999997"/>
    <n v="8714"/>
    <x v="0"/>
    <n v="0"/>
    <n v="0"/>
    <n v="45"/>
    <n v="85"/>
    <n v="0"/>
    <n v="395.58"/>
    <n v="230.53"/>
    <m/>
    <n v="492.21094817442304"/>
    <n v="296.59949464114788"/>
    <n v="0"/>
    <n v="3487023.0635399995"/>
    <n v="2032113.4203899999"/>
    <n v="0"/>
    <n v="4338821.2963524563"/>
    <n v="2614513.5710804169"/>
  </r>
  <r>
    <s v="Refaturamento - Regular"/>
    <x v="4"/>
    <x v="5"/>
    <x v="5"/>
    <x v="0"/>
    <x v="0"/>
    <x v="0"/>
    <x v="1"/>
    <x v="10"/>
    <n v="0"/>
    <n v="0"/>
    <n v="-479.51600000000002"/>
    <n v="-479.51600000000002"/>
    <n v="-479.51600000000002"/>
    <n v="-479.51600000000002"/>
    <n v="7"/>
    <x v="0"/>
    <n v="0"/>
    <n v="0"/>
    <n v="45"/>
    <n v="85"/>
    <n v="0"/>
    <n v="395.58"/>
    <n v="230.53"/>
    <m/>
    <n v="492.21094817442304"/>
    <n v="296.59949464114788"/>
    <n v="0"/>
    <n v="-189686.93927999999"/>
    <n v="-110542.82348000001"/>
    <n v="0"/>
    <n v="-236023.02502480664"/>
    <n v="-142224.20327234466"/>
  </r>
  <r>
    <s v="Sistema de Compensação"/>
    <x v="4"/>
    <x v="5"/>
    <x v="5"/>
    <x v="0"/>
    <x v="0"/>
    <x v="0"/>
    <x v="1"/>
    <x v="10"/>
    <n v="0"/>
    <n v="0"/>
    <n v="4.0510000000000002"/>
    <n v="4.0510000000000002"/>
    <n v="4.0510000000000002"/>
    <n v="4.0510000000000002"/>
    <n v="14"/>
    <x v="0"/>
    <n v="0"/>
    <n v="0"/>
    <n v="45"/>
    <n v="85"/>
    <n v="0"/>
    <n v="395.58"/>
    <n v="230.53"/>
    <m/>
    <n v="492.21094817442304"/>
    <n v="296.59949464114788"/>
    <n v="0"/>
    <n v="1602.49458"/>
    <n v="933.87702999999999"/>
    <n v="0"/>
    <n v="1993.9465510545879"/>
    <n v="1201.52455279129"/>
  </r>
  <r>
    <s v="PROJETADO"/>
    <x v="4"/>
    <x v="5"/>
    <x v="5"/>
    <x v="0"/>
    <x v="0"/>
    <x v="0"/>
    <x v="1"/>
    <x v="11"/>
    <n v="0"/>
    <n v="0"/>
    <n v="8814.9629999999997"/>
    <n v="8814.9629999999997"/>
    <n v="8814.9629999999997"/>
    <n v="8814.9629999999997"/>
    <n v="8714"/>
    <x v="0"/>
    <n v="0"/>
    <n v="0"/>
    <n v="45"/>
    <n v="85"/>
    <n v="0"/>
    <n v="395.58"/>
    <n v="230.53"/>
    <m/>
    <n v="492.21094817442304"/>
    <n v="296.59949464114788"/>
    <n v="0"/>
    <n v="3487023.0635399995"/>
    <n v="2032113.4203899999"/>
    <n v="0"/>
    <n v="4338821.2963524563"/>
    <n v="2614513.5710804169"/>
  </r>
  <r>
    <s v="PROJETADO"/>
    <x v="4"/>
    <x v="5"/>
    <x v="5"/>
    <x v="0"/>
    <x v="0"/>
    <x v="0"/>
    <x v="1"/>
    <x v="11"/>
    <n v="0"/>
    <n v="0"/>
    <n v="-479.51600000000002"/>
    <n v="-479.51600000000002"/>
    <n v="-479.51600000000002"/>
    <n v="-479.51600000000002"/>
    <n v="7"/>
    <x v="0"/>
    <n v="0"/>
    <n v="0"/>
    <n v="45"/>
    <n v="85"/>
    <n v="0"/>
    <n v="395.58"/>
    <n v="230.53"/>
    <m/>
    <n v="492.21094817442304"/>
    <n v="296.59949464114788"/>
    <n v="0"/>
    <n v="-189686.93927999999"/>
    <n v="-110542.82348000001"/>
    <n v="0"/>
    <n v="-236023.02502480664"/>
    <n v="-142224.20327234466"/>
  </r>
  <r>
    <s v="PROJETADO"/>
    <x v="4"/>
    <x v="5"/>
    <x v="5"/>
    <x v="0"/>
    <x v="0"/>
    <x v="0"/>
    <x v="1"/>
    <x v="11"/>
    <n v="0"/>
    <n v="0"/>
    <n v="4.0510000000000002"/>
    <n v="4.0510000000000002"/>
    <n v="4.0510000000000002"/>
    <n v="4.0510000000000002"/>
    <n v="14"/>
    <x v="0"/>
    <n v="0"/>
    <n v="0"/>
    <n v="45"/>
    <n v="85"/>
    <n v="0"/>
    <n v="395.58"/>
    <n v="230.53"/>
    <m/>
    <n v="492.21094817442304"/>
    <n v="296.59949464114788"/>
    <n v="0"/>
    <n v="1602.49458"/>
    <n v="933.87702999999999"/>
    <n v="0"/>
    <n v="1993.9465510545879"/>
    <n v="1201.52455279129"/>
  </r>
  <r>
    <s v="Regular"/>
    <x v="4"/>
    <x v="5"/>
    <x v="3"/>
    <x v="2"/>
    <x v="0"/>
    <x v="0"/>
    <x v="1"/>
    <x v="0"/>
    <n v="0"/>
    <n v="0"/>
    <n v="3092.855"/>
    <n v="3092.855"/>
    <n v="3092.855"/>
    <n v="3092.855"/>
    <n v="1547"/>
    <x v="0"/>
    <n v="0"/>
    <n v="0"/>
    <n v="45"/>
    <n v="85"/>
    <n v="0"/>
    <n v="371.84519999999998"/>
    <n v="216.69819999999999"/>
    <m/>
    <n v="477.44461972919032"/>
    <n v="287.70150980191346"/>
    <n v="0"/>
    <n v="1150063.286046"/>
    <n v="670216.11136099999"/>
    <n v="0"/>
    <n v="1476666.979352525"/>
    <n v="889819.0530983971"/>
  </r>
  <r>
    <s v="Refaturamento - Regular"/>
    <x v="4"/>
    <x v="5"/>
    <x v="3"/>
    <x v="2"/>
    <x v="0"/>
    <x v="0"/>
    <x v="1"/>
    <x v="0"/>
    <n v="0"/>
    <n v="0"/>
    <n v="6.59"/>
    <n v="6.59"/>
    <n v="6.59"/>
    <n v="6.59"/>
    <n v="1"/>
    <x v="0"/>
    <n v="0"/>
    <n v="0"/>
    <n v="45"/>
    <n v="85"/>
    <n v="0"/>
    <n v="371.84519999999998"/>
    <n v="216.69819999999999"/>
    <m/>
    <n v="477.44461972919032"/>
    <n v="287.70150980191346"/>
    <n v="0"/>
    <n v="2450.4598679999999"/>
    <n v="1428.0411379999998"/>
    <n v="0"/>
    <n v="3146.3600440153641"/>
    <n v="1895.9529495946097"/>
  </r>
  <r>
    <s v="Regular"/>
    <x v="4"/>
    <x v="5"/>
    <x v="3"/>
    <x v="2"/>
    <x v="0"/>
    <x v="0"/>
    <x v="1"/>
    <x v="1"/>
    <n v="0"/>
    <n v="0"/>
    <n v="3094.5010000000002"/>
    <n v="3094.5010000000002"/>
    <n v="3094.5010000000002"/>
    <n v="3094.5010000000002"/>
    <n v="1570"/>
    <x v="0"/>
    <n v="0"/>
    <n v="0"/>
    <n v="45"/>
    <n v="85"/>
    <n v="0"/>
    <n v="371.84519999999998"/>
    <n v="216.69819999999999"/>
    <m/>
    <n v="477.44461972919032"/>
    <n v="287.70150980191346"/>
    <n v="0"/>
    <n v="1150675.3432452001"/>
    <n v="670572.79659819999"/>
    <n v="0"/>
    <n v="1477452.8531965993"/>
    <n v="890292.60978353105"/>
  </r>
  <r>
    <s v="Refaturamento - Regular"/>
    <x v="4"/>
    <x v="5"/>
    <x v="3"/>
    <x v="2"/>
    <x v="0"/>
    <x v="0"/>
    <x v="1"/>
    <x v="1"/>
    <n v="0"/>
    <n v="0"/>
    <n v="-2.7E-2"/>
    <n v="-2.7E-2"/>
    <n v="-2.7E-2"/>
    <n v="-2.7E-2"/>
    <n v="0"/>
    <x v="0"/>
    <n v="0"/>
    <n v="0"/>
    <n v="45"/>
    <n v="85"/>
    <n v="0"/>
    <n v="371.84519999999998"/>
    <n v="216.69819999999999"/>
    <m/>
    <n v="477.44461972919032"/>
    <n v="287.70150980191346"/>
    <n v="0"/>
    <n v="-10.0398204"/>
    <n v="-5.8508513999999998"/>
    <n v="0"/>
    <n v="-12.891004732688138"/>
    <n v="-7.7679407646516632"/>
  </r>
  <r>
    <s v="Regular"/>
    <x v="4"/>
    <x v="5"/>
    <x v="3"/>
    <x v="2"/>
    <x v="0"/>
    <x v="0"/>
    <x v="1"/>
    <x v="2"/>
    <n v="0"/>
    <n v="0"/>
    <n v="2929.2640000000001"/>
    <n v="2929.2640000000001"/>
    <n v="2929.2640000000001"/>
    <n v="2929.2640000000001"/>
    <n v="1550"/>
    <x v="0"/>
    <n v="0"/>
    <n v="0"/>
    <n v="45"/>
    <n v="85"/>
    <n v="0"/>
    <n v="371.84519999999998"/>
    <n v="216.69819999999999"/>
    <m/>
    <n v="477.44461972919032"/>
    <n v="287.70150980191346"/>
    <n v="0"/>
    <n v="1089232.7579327999"/>
    <n v="634766.23612479994"/>
    <n v="0"/>
    <n v="1398561.336566407"/>
    <n v="842753.67540839221"/>
  </r>
  <r>
    <s v="Refaturamento - Regular"/>
    <x v="4"/>
    <x v="5"/>
    <x v="3"/>
    <x v="2"/>
    <x v="0"/>
    <x v="0"/>
    <x v="1"/>
    <x v="2"/>
    <n v="0"/>
    <n v="0"/>
    <n v="-6.7169999999999996"/>
    <n v="-6.7169999999999996"/>
    <n v="-6.7169999999999996"/>
    <n v="-6.7169999999999996"/>
    <n v="2"/>
    <x v="0"/>
    <n v="0"/>
    <n v="0"/>
    <n v="45"/>
    <n v="85"/>
    <n v="0"/>
    <n v="371.84519999999998"/>
    <n v="216.69819999999999"/>
    <m/>
    <n v="477.44461972919032"/>
    <n v="287.70150980191346"/>
    <n v="0"/>
    <n v="-2497.6842083999995"/>
    <n v="-1455.5618093999999"/>
    <n v="0"/>
    <n v="-3206.9955107209712"/>
    <n v="-1932.4910413394525"/>
  </r>
  <r>
    <s v="Regular"/>
    <x v="4"/>
    <x v="5"/>
    <x v="3"/>
    <x v="2"/>
    <x v="0"/>
    <x v="0"/>
    <x v="1"/>
    <x v="3"/>
    <n v="0"/>
    <n v="0"/>
    <n v="2958.587"/>
    <n v="2958.587"/>
    <n v="2958.587"/>
    <n v="2958.587"/>
    <n v="1556"/>
    <x v="0"/>
    <n v="0"/>
    <n v="0"/>
    <n v="45"/>
    <n v="85"/>
    <n v="0"/>
    <n v="371.84519999999998"/>
    <n v="216.69819999999999"/>
    <m/>
    <n v="477.44461972919032"/>
    <n v="287.70150980191346"/>
    <n v="0"/>
    <n v="1100136.3747323998"/>
    <n v="641120.47744339996"/>
    <n v="0"/>
    <n v="1412561.445150726"/>
    <n v="851189.94678031374"/>
  </r>
  <r>
    <s v="Refaturamento - Regular"/>
    <x v="4"/>
    <x v="5"/>
    <x v="3"/>
    <x v="2"/>
    <x v="0"/>
    <x v="0"/>
    <x v="1"/>
    <x v="3"/>
    <n v="0"/>
    <n v="0"/>
    <n v="2.613"/>
    <n v="2.613"/>
    <n v="2.613"/>
    <n v="2.613"/>
    <n v="0"/>
    <x v="0"/>
    <n v="0"/>
    <n v="0"/>
    <n v="45"/>
    <n v="85"/>
    <n v="0"/>
    <n v="371.84519999999998"/>
    <n v="216.69819999999999"/>
    <m/>
    <n v="477.44461972919032"/>
    <n v="287.70150980191346"/>
    <n v="0"/>
    <n v="971.63150759999996"/>
    <n v="566.23239660000002"/>
    <n v="0"/>
    <n v="1247.5627913523742"/>
    <n v="751.76404511239991"/>
  </r>
  <r>
    <s v="Sistema de Compensação"/>
    <x v="4"/>
    <x v="5"/>
    <x v="3"/>
    <x v="2"/>
    <x v="0"/>
    <x v="0"/>
    <x v="1"/>
    <x v="3"/>
    <n v="0"/>
    <n v="0"/>
    <n v="13.978"/>
    <n v="13.978"/>
    <n v="13.978"/>
    <n v="13.978"/>
    <n v="5"/>
    <x v="0"/>
    <n v="0"/>
    <n v="0"/>
    <n v="45"/>
    <n v="85"/>
    <n v="0"/>
    <n v="371.84519999999998"/>
    <n v="216.69819999999999"/>
    <m/>
    <n v="477.44461972919032"/>
    <n v="287.70150980191346"/>
    <n v="0"/>
    <n v="5197.6522055999994"/>
    <n v="3029.0074395999995"/>
    <n v="0"/>
    <n v="6673.7208945746224"/>
    <n v="4021.4917040111463"/>
  </r>
  <r>
    <s v="Regular"/>
    <x v="4"/>
    <x v="5"/>
    <x v="3"/>
    <x v="2"/>
    <x v="0"/>
    <x v="0"/>
    <x v="1"/>
    <x v="4"/>
    <n v="0"/>
    <n v="0"/>
    <n v="2312.0279999999998"/>
    <n v="2312.0279999999998"/>
    <n v="2312.0279999999998"/>
    <n v="2312.0279999999998"/>
    <n v="1408"/>
    <x v="0"/>
    <n v="0"/>
    <n v="0"/>
    <n v="45"/>
    <n v="85"/>
    <n v="0"/>
    <n v="371.84519999999998"/>
    <n v="216.69819999999999"/>
    <m/>
    <n v="477.44461972919032"/>
    <n v="287.70150980191346"/>
    <n v="0"/>
    <n v="859716.51406559988"/>
    <n v="501012.30594959995"/>
    <n v="0"/>
    <n v="1103865.3292632403"/>
    <n v="665173.94630429836"/>
  </r>
  <r>
    <s v="Sistema de Compensação"/>
    <x v="4"/>
    <x v="5"/>
    <x v="3"/>
    <x v="2"/>
    <x v="0"/>
    <x v="0"/>
    <x v="1"/>
    <x v="4"/>
    <n v="0"/>
    <n v="0"/>
    <n v="373.048"/>
    <n v="373.048"/>
    <n v="373.048"/>
    <n v="373.048"/>
    <n v="134"/>
    <x v="0"/>
    <n v="0"/>
    <n v="0"/>
    <n v="45"/>
    <n v="85"/>
    <n v="0"/>
    <n v="371.84519999999998"/>
    <n v="216.69819999999999"/>
    <m/>
    <n v="477.44461972919032"/>
    <n v="287.70150980191346"/>
    <n v="0"/>
    <n v="138716.10816959999"/>
    <n v="80838.830113599994"/>
    <n v="0"/>
    <n v="178109.76050073499"/>
    <n v="107326.47282858421"/>
  </r>
  <r>
    <s v="Regular"/>
    <x v="4"/>
    <x v="5"/>
    <x v="3"/>
    <x v="2"/>
    <x v="0"/>
    <x v="0"/>
    <x v="1"/>
    <x v="5"/>
    <n v="0"/>
    <n v="0"/>
    <n v="2505.9850000000001"/>
    <n v="2505.9850000000001"/>
    <n v="2505.9850000000001"/>
    <n v="2505.9850000000001"/>
    <n v="1402"/>
    <x v="0"/>
    <n v="0"/>
    <n v="0"/>
    <n v="45"/>
    <n v="85"/>
    <n v="0"/>
    <n v="371.84519999999998"/>
    <n v="216.69819999999999"/>
    <m/>
    <n v="477.44461972919032"/>
    <n v="287.70150980191346"/>
    <n v="0"/>
    <n v="931838.49352200003"/>
    <n v="543042.43872700003"/>
    <n v="0"/>
    <n v="1196469.0553720552"/>
    <n v="720975.66804094811"/>
  </r>
  <r>
    <s v="Sistema de Compensação"/>
    <x v="4"/>
    <x v="5"/>
    <x v="3"/>
    <x v="2"/>
    <x v="0"/>
    <x v="0"/>
    <x v="1"/>
    <x v="5"/>
    <n v="0"/>
    <n v="0"/>
    <n v="196.49299999999999"/>
    <n v="196.49299999999999"/>
    <n v="196.49299999999999"/>
    <n v="196.49299999999999"/>
    <n v="173"/>
    <x v="0"/>
    <n v="0"/>
    <n v="0"/>
    <n v="45"/>
    <n v="85"/>
    <n v="0"/>
    <n v="371.84519999999998"/>
    <n v="216.69819999999999"/>
    <m/>
    <n v="477.44461972919032"/>
    <n v="287.70150980191346"/>
    <n v="0"/>
    <n v="73064.978883599993"/>
    <n v="42579.679412599995"/>
    <n v="0"/>
    <n v="93814.525664447792"/>
    <n v="56531.332765507381"/>
  </r>
  <r>
    <s v="Sistema de Compensação"/>
    <x v="4"/>
    <x v="5"/>
    <x v="3"/>
    <x v="2"/>
    <x v="0"/>
    <x v="0"/>
    <x v="1"/>
    <x v="5"/>
    <n v="0"/>
    <n v="0"/>
    <n v="2.5070000000000001"/>
    <n v="2.5070000000000001"/>
    <n v="2.5070000000000001"/>
    <n v="2.5070000000000001"/>
    <n v="0"/>
    <x v="0"/>
    <n v="0"/>
    <n v="0"/>
    <n v="45"/>
    <n v="85"/>
    <n v="0"/>
    <n v="371.84519999999998"/>
    <n v="216.69819999999999"/>
    <m/>
    <n v="477.44461972919032"/>
    <n v="287.70150980191346"/>
    <n v="0"/>
    <n v="932.21591639999997"/>
    <n v="543.26238739999997"/>
    <n v="0"/>
    <n v="1196.9536616610801"/>
    <n v="721.26768507339705"/>
  </r>
  <r>
    <s v="Regular"/>
    <x v="4"/>
    <x v="5"/>
    <x v="3"/>
    <x v="2"/>
    <x v="0"/>
    <x v="0"/>
    <x v="1"/>
    <x v="6"/>
    <n v="0"/>
    <n v="0"/>
    <n v="2475.7399999999998"/>
    <n v="2475.7399999999998"/>
    <n v="2475.7399999999998"/>
    <n v="2475.7399999999998"/>
    <n v="1419"/>
    <x v="0"/>
    <n v="0"/>
    <n v="0"/>
    <n v="45"/>
    <n v="85"/>
    <n v="0"/>
    <n v="371.84519999999998"/>
    <n v="216.69819999999999"/>
    <m/>
    <n v="477.44461972919032"/>
    <n v="287.70150980191346"/>
    <n v="0"/>
    <n v="920592.03544799984"/>
    <n v="536488.40166799992"/>
    <n v="0"/>
    <n v="1182028.7428483455"/>
    <n v="712274.13587698911"/>
  </r>
  <r>
    <s v="Sistema de Compensação"/>
    <x v="4"/>
    <x v="5"/>
    <x v="3"/>
    <x v="2"/>
    <x v="0"/>
    <x v="0"/>
    <x v="1"/>
    <x v="6"/>
    <n v="0"/>
    <n v="0"/>
    <n v="85.683000000000007"/>
    <n v="85.683000000000007"/>
    <n v="85.683000000000007"/>
    <n v="85.683000000000007"/>
    <n v="178"/>
    <x v="0"/>
    <n v="0"/>
    <n v="0"/>
    <n v="45"/>
    <n v="85"/>
    <n v="0"/>
    <n v="371.84519999999998"/>
    <n v="216.69819999999999"/>
    <m/>
    <n v="477.44461972919032"/>
    <n v="287.70150980191346"/>
    <n v="0"/>
    <n v="31860.8122716"/>
    <n v="18567.3518706"/>
    <n v="0"/>
    <n v="40908.887352256221"/>
    <n v="24651.128464357353"/>
  </r>
  <r>
    <s v="Regular"/>
    <x v="4"/>
    <x v="5"/>
    <x v="3"/>
    <x v="2"/>
    <x v="0"/>
    <x v="0"/>
    <x v="1"/>
    <x v="7"/>
    <n v="0"/>
    <n v="0"/>
    <n v="2496.7779999999998"/>
    <n v="2496.7779999999998"/>
    <n v="2496.7779999999998"/>
    <n v="2496.7779999999998"/>
    <n v="1414"/>
    <x v="0"/>
    <n v="0"/>
    <n v="0"/>
    <n v="45"/>
    <n v="85"/>
    <n v="0"/>
    <n v="371.84519999999998"/>
    <n v="216.69819999999999"/>
    <m/>
    <n v="477.44461972919032"/>
    <n v="287.70150980191346"/>
    <n v="0"/>
    <n v="928414.91476559988"/>
    <n v="541047.29839959997"/>
    <n v="0"/>
    <n v="1192073.2227582082"/>
    <n v="718326.80024020188"/>
  </r>
  <r>
    <s v="Refaturamento - Regular"/>
    <x v="4"/>
    <x v="5"/>
    <x v="3"/>
    <x v="2"/>
    <x v="0"/>
    <x v="0"/>
    <x v="1"/>
    <x v="7"/>
    <n v="0"/>
    <n v="0"/>
    <n v="-5.0000000000000001E-3"/>
    <n v="-5.0000000000000001E-3"/>
    <n v="-5.0000000000000001E-3"/>
    <n v="-5.0000000000000001E-3"/>
    <n v="0"/>
    <x v="0"/>
    <n v="0"/>
    <n v="0"/>
    <n v="45"/>
    <n v="85"/>
    <n v="0"/>
    <n v="371.84519999999998"/>
    <n v="216.69819999999999"/>
    <m/>
    <n v="477.44461972919032"/>
    <n v="287.70150980191346"/>
    <n v="0"/>
    <n v="-1.8592259999999998"/>
    <n v="-1.083491"/>
    <n v="0"/>
    <n v="-2.3872230986459515"/>
    <n v="-1.4385075490095673"/>
  </r>
  <r>
    <s v="Sistema de Compensação"/>
    <x v="4"/>
    <x v="5"/>
    <x v="3"/>
    <x v="2"/>
    <x v="0"/>
    <x v="0"/>
    <x v="1"/>
    <x v="7"/>
    <n v="0"/>
    <n v="0"/>
    <n v="149.88900000000001"/>
    <n v="149.88900000000001"/>
    <n v="149.88900000000001"/>
    <n v="149.88900000000001"/>
    <n v="196"/>
    <x v="0"/>
    <n v="0"/>
    <n v="0"/>
    <n v="45"/>
    <n v="85"/>
    <n v="0"/>
    <n v="371.84519999999998"/>
    <n v="216.69819999999999"/>
    <m/>
    <n v="477.44461972919032"/>
    <n v="287.70150980191346"/>
    <n v="0"/>
    <n v="55735.5051828"/>
    <n v="32480.6764998"/>
    <n v="0"/>
    <n v="71563.696606588608"/>
    <n v="43123.291602699006"/>
  </r>
  <r>
    <s v="Sistema de Compensação"/>
    <x v="4"/>
    <x v="5"/>
    <x v="3"/>
    <x v="2"/>
    <x v="0"/>
    <x v="0"/>
    <x v="1"/>
    <x v="7"/>
    <n v="0"/>
    <n v="0"/>
    <n v="0.86899999999999999"/>
    <n v="0.86899999999999999"/>
    <n v="0.86899999999999999"/>
    <n v="0.86899999999999999"/>
    <n v="1"/>
    <x v="0"/>
    <n v="0"/>
    <n v="0"/>
    <n v="45"/>
    <n v="85"/>
    <n v="0"/>
    <n v="371.84519999999998"/>
    <n v="216.69819999999999"/>
    <m/>
    <n v="477.44461972919032"/>
    <n v="287.70150980191346"/>
    <n v="0"/>
    <n v="323.13347879999998"/>
    <n v="188.31073579999997"/>
    <n v="0"/>
    <n v="414.89937454466639"/>
    <n v="250.01261201786281"/>
  </r>
  <r>
    <s v="Regular"/>
    <x v="4"/>
    <x v="5"/>
    <x v="3"/>
    <x v="2"/>
    <x v="0"/>
    <x v="0"/>
    <x v="1"/>
    <x v="8"/>
    <n v="0"/>
    <n v="0"/>
    <n v="2330.549"/>
    <n v="2330.549"/>
    <n v="2330.549"/>
    <n v="2330.549"/>
    <n v="1382"/>
    <x v="0"/>
    <n v="0"/>
    <n v="0"/>
    <n v="45"/>
    <n v="85"/>
    <n v="0"/>
    <n v="371.84519999999998"/>
    <n v="216.69819999999999"/>
    <m/>
    <n v="477.44461972919032"/>
    <n v="287.70150980191346"/>
    <n v="0"/>
    <n v="866603.45901479991"/>
    <n v="505025.77331179997"/>
    <n v="0"/>
    <n v="1112708.0810652447"/>
    <n v="670502.46596733958"/>
  </r>
  <r>
    <s v="Refaturamento - Regular"/>
    <x v="4"/>
    <x v="5"/>
    <x v="3"/>
    <x v="2"/>
    <x v="0"/>
    <x v="0"/>
    <x v="1"/>
    <x v="8"/>
    <n v="0"/>
    <n v="0"/>
    <n v="12.458"/>
    <n v="12.458"/>
    <n v="12.458"/>
    <n v="12.458"/>
    <n v="0"/>
    <x v="0"/>
    <n v="0"/>
    <n v="0"/>
    <n v="45"/>
    <n v="85"/>
    <n v="0"/>
    <n v="371.84519999999998"/>
    <n v="216.69819999999999"/>
    <m/>
    <n v="477.44461972919032"/>
    <n v="287.70150980191346"/>
    <n v="0"/>
    <n v="4632.4475015999997"/>
    <n v="2699.6261755999999"/>
    <n v="0"/>
    <n v="5948.0050725862529"/>
    <n v="3584.1854091122377"/>
  </r>
  <r>
    <s v="Sistema de Compensação"/>
    <x v="4"/>
    <x v="5"/>
    <x v="3"/>
    <x v="2"/>
    <x v="0"/>
    <x v="0"/>
    <x v="1"/>
    <x v="8"/>
    <n v="0"/>
    <n v="0"/>
    <n v="55.753999999999998"/>
    <n v="55.753999999999998"/>
    <n v="55.753999999999998"/>
    <n v="55.753999999999998"/>
    <n v="210"/>
    <x v="0"/>
    <n v="0"/>
    <n v="0"/>
    <n v="45"/>
    <n v="85"/>
    <n v="0"/>
    <n v="371.84519999999998"/>
    <n v="216.69819999999999"/>
    <m/>
    <n v="477.44461972919032"/>
    <n v="287.70150980191346"/>
    <n v="0"/>
    <n v="20731.857280799999"/>
    <n v="12081.791442799999"/>
    <n v="0"/>
    <n v="26619.447328381277"/>
    <n v="16040.509977495882"/>
  </r>
  <r>
    <s v="Sistema de Compensação"/>
    <x v="4"/>
    <x v="5"/>
    <x v="3"/>
    <x v="2"/>
    <x v="0"/>
    <x v="0"/>
    <x v="1"/>
    <x v="8"/>
    <n v="0"/>
    <n v="0"/>
    <n v="7.665"/>
    <n v="7.665"/>
    <n v="7.665"/>
    <n v="7.665"/>
    <n v="0"/>
    <x v="0"/>
    <n v="0"/>
    <n v="0"/>
    <n v="45"/>
    <n v="85"/>
    <n v="0"/>
    <n v="371.84519999999998"/>
    <n v="216.69819999999999"/>
    <m/>
    <n v="477.44461972919032"/>
    <n v="287.70150980191346"/>
    <n v="0"/>
    <n v="2850.1934579999997"/>
    <n v="1660.9917029999999"/>
    <n v="0"/>
    <n v="3659.6130102242437"/>
    <n v="2205.2320726316666"/>
  </r>
  <r>
    <s v="Regular"/>
    <x v="4"/>
    <x v="5"/>
    <x v="3"/>
    <x v="2"/>
    <x v="0"/>
    <x v="0"/>
    <x v="1"/>
    <x v="9"/>
    <n v="0"/>
    <n v="0"/>
    <n v="2281.1390000000001"/>
    <n v="2281.1390000000001"/>
    <n v="2281.1390000000001"/>
    <n v="2281.1390000000001"/>
    <n v="1417"/>
    <x v="0"/>
    <n v="0"/>
    <n v="0"/>
    <n v="45"/>
    <n v="85"/>
    <n v="0"/>
    <n v="371.84519999999998"/>
    <n v="216.69819999999999"/>
    <m/>
    <n v="477.44461972919032"/>
    <n v="287.70150980191346"/>
    <n v="0"/>
    <n v="848230.58768280002"/>
    <n v="494318.71524980001"/>
    <n v="0"/>
    <n v="1089117.5424044256"/>
    <n v="656287.13436802709"/>
  </r>
  <r>
    <s v="Refaturamento - Regular"/>
    <x v="4"/>
    <x v="5"/>
    <x v="3"/>
    <x v="2"/>
    <x v="0"/>
    <x v="0"/>
    <x v="1"/>
    <x v="9"/>
    <n v="0"/>
    <n v="0"/>
    <n v="4.6710000000000003"/>
    <n v="4.6710000000000003"/>
    <n v="4.6710000000000003"/>
    <n v="4.6710000000000003"/>
    <n v="4"/>
    <x v="0"/>
    <n v="0"/>
    <n v="0"/>
    <n v="45"/>
    <n v="85"/>
    <n v="0"/>
    <n v="371.84519999999998"/>
    <n v="216.69819999999999"/>
    <m/>
    <n v="477.44461972919032"/>
    <n v="287.70150980191346"/>
    <n v="0"/>
    <n v="1736.8889291999999"/>
    <n v="1012.1972922"/>
    <n v="0"/>
    <n v="2230.143818755048"/>
    <n v="1343.8537522847378"/>
  </r>
  <r>
    <s v="Sistema de Compensação"/>
    <x v="4"/>
    <x v="5"/>
    <x v="3"/>
    <x v="2"/>
    <x v="0"/>
    <x v="0"/>
    <x v="1"/>
    <x v="9"/>
    <n v="0"/>
    <n v="0"/>
    <n v="66.58"/>
    <n v="66.58"/>
    <n v="66.58"/>
    <n v="66.58"/>
    <n v="214"/>
    <x v="0"/>
    <n v="0"/>
    <n v="0"/>
    <n v="45"/>
    <n v="85"/>
    <n v="0"/>
    <n v="371.84519999999998"/>
    <n v="216.69819999999999"/>
    <m/>
    <n v="477.44461972919032"/>
    <n v="287.70150980191346"/>
    <n v="0"/>
    <n v="24757.453415999997"/>
    <n v="14427.766155999998"/>
    <n v="0"/>
    <n v="31788.26278156949"/>
    <n v="19155.166522611398"/>
  </r>
  <r>
    <s v="Sistema de Compensação"/>
    <x v="4"/>
    <x v="5"/>
    <x v="3"/>
    <x v="2"/>
    <x v="0"/>
    <x v="0"/>
    <x v="1"/>
    <x v="9"/>
    <n v="0"/>
    <n v="0"/>
    <n v="-6.843"/>
    <n v="-6.843"/>
    <n v="-6.843"/>
    <n v="-6.843"/>
    <n v="0"/>
    <x v="0"/>
    <n v="0"/>
    <n v="0"/>
    <n v="45"/>
    <n v="85"/>
    <n v="0"/>
    <n v="371.84519999999998"/>
    <n v="216.69819999999999"/>
    <m/>
    <n v="477.44461972919032"/>
    <n v="287.70150980191346"/>
    <n v="0"/>
    <n v="-2544.5367035999998"/>
    <n v="-1482.8657825999999"/>
    <n v="0"/>
    <n v="-3267.1535328068494"/>
    <n v="-1968.7414315744938"/>
  </r>
  <r>
    <s v="Regular"/>
    <x v="4"/>
    <x v="5"/>
    <x v="3"/>
    <x v="2"/>
    <x v="0"/>
    <x v="0"/>
    <x v="1"/>
    <x v="10"/>
    <n v="0"/>
    <n v="0"/>
    <n v="2349.0390000000002"/>
    <n v="2349.0390000000002"/>
    <n v="2349.0390000000002"/>
    <n v="2349.0390000000002"/>
    <n v="1410"/>
    <x v="0"/>
    <n v="0"/>
    <n v="0"/>
    <n v="45"/>
    <n v="85"/>
    <n v="0"/>
    <n v="371.84519999999998"/>
    <n v="216.69819999999999"/>
    <m/>
    <n v="477.44461972919032"/>
    <n v="287.70150980191346"/>
    <n v="0"/>
    <n v="873478.87676280004"/>
    <n v="509032.52302980004"/>
    <n v="0"/>
    <n v="1121536.0320840375"/>
    <n v="675822.06688357703"/>
  </r>
  <r>
    <s v="Refaturamento - Regular"/>
    <x v="4"/>
    <x v="5"/>
    <x v="3"/>
    <x v="2"/>
    <x v="0"/>
    <x v="0"/>
    <x v="1"/>
    <x v="10"/>
    <n v="0"/>
    <n v="0"/>
    <n v="-2.8"/>
    <n v="-2.8"/>
    <n v="-2.8"/>
    <n v="-2.8"/>
    <n v="1"/>
    <x v="0"/>
    <n v="0"/>
    <n v="0"/>
    <n v="45"/>
    <n v="85"/>
    <n v="0"/>
    <n v="371.84519999999998"/>
    <n v="216.69819999999999"/>
    <m/>
    <n v="477.44461972919032"/>
    <n v="287.70150980191346"/>
    <n v="0"/>
    <n v="-1041.1665599999999"/>
    <n v="-606.75495999999987"/>
    <n v="0"/>
    <n v="-1336.8449352417329"/>
    <n v="-805.56422744535769"/>
  </r>
  <r>
    <s v="Sistema de Compensação"/>
    <x v="4"/>
    <x v="5"/>
    <x v="3"/>
    <x v="2"/>
    <x v="0"/>
    <x v="0"/>
    <x v="1"/>
    <x v="10"/>
    <n v="0"/>
    <n v="0"/>
    <n v="57.878999999999998"/>
    <n v="57.878999999999998"/>
    <n v="57.878999999999998"/>
    <n v="57.878999999999998"/>
    <n v="223"/>
    <x v="0"/>
    <n v="0"/>
    <n v="0"/>
    <n v="45"/>
    <n v="85"/>
    <n v="0"/>
    <n v="371.84519999999998"/>
    <n v="216.69819999999999"/>
    <m/>
    <n v="477.44461972919032"/>
    <n v="287.70150980191346"/>
    <n v="0"/>
    <n v="21522.028330799996"/>
    <n v="12542.275117799998"/>
    <n v="0"/>
    <n v="27634.017145305806"/>
    <n v="16651.875685824947"/>
  </r>
  <r>
    <s v="Sistema de Compensação"/>
    <x v="4"/>
    <x v="5"/>
    <x v="3"/>
    <x v="2"/>
    <x v="0"/>
    <x v="0"/>
    <x v="1"/>
    <x v="10"/>
    <n v="0"/>
    <n v="0"/>
    <n v="7.2370000000000001"/>
    <n v="7.2370000000000001"/>
    <n v="7.2370000000000001"/>
    <n v="7.2370000000000001"/>
    <n v="0"/>
    <x v="0"/>
    <n v="0"/>
    <n v="0"/>
    <n v="45"/>
    <n v="85"/>
    <n v="0"/>
    <n v="371.84519999999998"/>
    <n v="216.69819999999999"/>
    <m/>
    <n v="477.44461972919032"/>
    <n v="287.70150980191346"/>
    <n v="0"/>
    <n v="2691.0437124"/>
    <n v="1568.2448734"/>
    <n v="0"/>
    <n v="3455.2667129801503"/>
    <n v="2082.0958264364476"/>
  </r>
  <r>
    <s v="PROJETADO"/>
    <x v="4"/>
    <x v="5"/>
    <x v="3"/>
    <x v="2"/>
    <x v="0"/>
    <x v="0"/>
    <x v="1"/>
    <x v="11"/>
    <n v="0"/>
    <n v="0"/>
    <n v="2349.0390000000002"/>
    <n v="2349.0390000000002"/>
    <n v="2349.0390000000002"/>
    <n v="2349.0390000000002"/>
    <n v="1410"/>
    <x v="0"/>
    <n v="0"/>
    <n v="0"/>
    <n v="45"/>
    <n v="85"/>
    <n v="0"/>
    <n v="371.84519999999998"/>
    <n v="216.69819999999999"/>
    <m/>
    <n v="477.44461972919032"/>
    <n v="287.70150980191346"/>
    <n v="0"/>
    <n v="873478.87676280004"/>
    <n v="509032.52302980004"/>
    <n v="0"/>
    <n v="1121536.0320840375"/>
    <n v="675822.06688357703"/>
  </r>
  <r>
    <s v="PROJETADO"/>
    <x v="4"/>
    <x v="5"/>
    <x v="3"/>
    <x v="2"/>
    <x v="0"/>
    <x v="0"/>
    <x v="1"/>
    <x v="11"/>
    <n v="0"/>
    <n v="0"/>
    <n v="-2.8"/>
    <n v="-2.8"/>
    <n v="-2.8"/>
    <n v="-2.8"/>
    <n v="1"/>
    <x v="0"/>
    <n v="0"/>
    <n v="0"/>
    <n v="45"/>
    <n v="85"/>
    <n v="0"/>
    <n v="371.84519999999998"/>
    <n v="216.69819999999999"/>
    <m/>
    <n v="477.44461972919032"/>
    <n v="287.70150980191346"/>
    <n v="0"/>
    <n v="-1041.1665599999999"/>
    <n v="-606.75495999999987"/>
    <n v="0"/>
    <n v="-1336.8449352417329"/>
    <n v="-805.56422744535769"/>
  </r>
  <r>
    <s v="PROJETADO"/>
    <x v="4"/>
    <x v="5"/>
    <x v="3"/>
    <x v="2"/>
    <x v="0"/>
    <x v="0"/>
    <x v="1"/>
    <x v="11"/>
    <n v="0"/>
    <n v="0"/>
    <n v="57.878999999999998"/>
    <n v="57.878999999999998"/>
    <n v="57.878999999999998"/>
    <n v="57.878999999999998"/>
    <n v="223"/>
    <x v="0"/>
    <n v="0"/>
    <n v="0"/>
    <n v="45"/>
    <n v="85"/>
    <n v="0"/>
    <n v="371.84519999999998"/>
    <n v="216.69819999999999"/>
    <m/>
    <n v="477.44461972919032"/>
    <n v="287.70150980191346"/>
    <n v="0"/>
    <n v="21522.028330799996"/>
    <n v="12542.275117799998"/>
    <n v="0"/>
    <n v="27634.017145305806"/>
    <n v="16651.875685824947"/>
  </r>
  <r>
    <s v="PROJETADO"/>
    <x v="4"/>
    <x v="5"/>
    <x v="3"/>
    <x v="2"/>
    <x v="0"/>
    <x v="0"/>
    <x v="1"/>
    <x v="11"/>
    <n v="0"/>
    <n v="0"/>
    <n v="7.2370000000000001"/>
    <n v="7.2370000000000001"/>
    <n v="7.2370000000000001"/>
    <n v="7.2370000000000001"/>
    <n v="0"/>
    <x v="0"/>
    <n v="0"/>
    <n v="0"/>
    <n v="45"/>
    <n v="85"/>
    <n v="0"/>
    <n v="371.84519999999998"/>
    <n v="216.69819999999999"/>
    <m/>
    <n v="477.44461972919032"/>
    <n v="287.70150980191346"/>
    <n v="0"/>
    <n v="2691.0437124"/>
    <n v="1568.2448734"/>
    <n v="0"/>
    <n v="3455.2667129801503"/>
    <n v="2082.0958264364476"/>
  </r>
  <r>
    <s v="Regular"/>
    <x v="5"/>
    <x v="5"/>
    <x v="8"/>
    <x v="8"/>
    <x v="0"/>
    <x v="0"/>
    <x v="1"/>
    <x v="0"/>
    <n v="0"/>
    <n v="0"/>
    <n v="20920.609"/>
    <n v="20920.609"/>
    <n v="20920.609"/>
    <n v="20920.609"/>
    <n v="261"/>
    <x v="0"/>
    <n v="0"/>
    <n v="0"/>
    <n v="71"/>
    <n v="1"/>
    <n v="0"/>
    <n v="217.57"/>
    <n v="126.79"/>
    <m/>
    <n v="270.71602149593269"/>
    <n v="163.12972205263137"/>
    <n v="0"/>
    <n v="4551696.90013"/>
    <n v="2652524.01511"/>
    <n v="0"/>
    <n v="5663544.0357520031"/>
    <n v="3412773.1313417782"/>
  </r>
  <r>
    <s v="Regular"/>
    <x v="5"/>
    <x v="5"/>
    <x v="8"/>
    <x v="8"/>
    <x v="0"/>
    <x v="0"/>
    <x v="1"/>
    <x v="1"/>
    <n v="0"/>
    <n v="0"/>
    <n v="20196.168000000001"/>
    <n v="20196.168000000001"/>
    <n v="20196.168000000001"/>
    <n v="20196.168000000001"/>
    <n v="267"/>
    <x v="0"/>
    <n v="0"/>
    <n v="0"/>
    <n v="71"/>
    <n v="1"/>
    <n v="0"/>
    <n v="217.57"/>
    <n v="126.79"/>
    <m/>
    <n v="270.71602149593269"/>
    <n v="163.12972205263137"/>
    <n v="0"/>
    <n v="4394080.2717599999"/>
    <n v="2560672.1407200005"/>
    <n v="0"/>
    <n v="5467426.2504234686"/>
    <n v="3294595.2723682481"/>
  </r>
  <r>
    <s v="Refaturamento - Regular"/>
    <x v="5"/>
    <x v="5"/>
    <x v="8"/>
    <x v="8"/>
    <x v="0"/>
    <x v="0"/>
    <x v="1"/>
    <x v="1"/>
    <n v="0"/>
    <n v="0"/>
    <n v="0.20200000000000001"/>
    <n v="0.20200000000000001"/>
    <n v="0.20200000000000001"/>
    <n v="0.20200000000000001"/>
    <n v="2"/>
    <x v="0"/>
    <n v="0"/>
    <n v="0"/>
    <n v="71"/>
    <n v="1"/>
    <n v="0"/>
    <n v="217.57"/>
    <n v="126.79"/>
    <m/>
    <n v="270.71602149593269"/>
    <n v="163.12972205263137"/>
    <n v="0"/>
    <n v="43.94914"/>
    <n v="25.611580000000004"/>
    <n v="0"/>
    <n v="54.684636342178408"/>
    <n v="32.952203854631534"/>
  </r>
  <r>
    <s v="Regular"/>
    <x v="5"/>
    <x v="5"/>
    <x v="8"/>
    <x v="8"/>
    <x v="0"/>
    <x v="0"/>
    <x v="1"/>
    <x v="2"/>
    <n v="0"/>
    <n v="0"/>
    <n v="20900.804"/>
    <n v="20900.804"/>
    <n v="20900.804"/>
    <n v="20900.804"/>
    <n v="268"/>
    <x v="0"/>
    <n v="0"/>
    <n v="0"/>
    <n v="71"/>
    <n v="1"/>
    <n v="0"/>
    <n v="217.57"/>
    <n v="126.79"/>
    <m/>
    <n v="270.71602149593269"/>
    <n v="163.12972205263137"/>
    <n v="0"/>
    <n v="4547387.9262800002"/>
    <n v="2650012.9391600001"/>
    <n v="0"/>
    <n v="5658182.5049462756"/>
    <n v="3409542.3471965259"/>
  </r>
  <r>
    <s v="Refaturamento - Regular"/>
    <x v="5"/>
    <x v="5"/>
    <x v="8"/>
    <x v="8"/>
    <x v="0"/>
    <x v="0"/>
    <x v="1"/>
    <x v="2"/>
    <n v="0"/>
    <n v="0"/>
    <n v="2.0499999999999998"/>
    <n v="2.0499999999999998"/>
    <n v="2.0499999999999998"/>
    <n v="2.0499999999999998"/>
    <n v="16"/>
    <x v="0"/>
    <n v="0"/>
    <n v="0"/>
    <n v="71"/>
    <n v="1"/>
    <n v="0"/>
    <n v="217.57"/>
    <n v="126.79"/>
    <m/>
    <n v="270.71602149593269"/>
    <n v="163.12972205263137"/>
    <n v="0"/>
    <n v="446.01849999999996"/>
    <n v="259.91949999999997"/>
    <n v="0"/>
    <n v="554.967844066662"/>
    <n v="334.41593020789429"/>
  </r>
  <r>
    <s v="Regular"/>
    <x v="5"/>
    <x v="5"/>
    <x v="8"/>
    <x v="8"/>
    <x v="0"/>
    <x v="0"/>
    <x v="1"/>
    <x v="3"/>
    <n v="0"/>
    <n v="0"/>
    <n v="20762.859"/>
    <n v="20762.859"/>
    <n v="20762.859"/>
    <n v="20762.859"/>
    <n v="270"/>
    <x v="0"/>
    <n v="0"/>
    <n v="0"/>
    <n v="71"/>
    <n v="1"/>
    <n v="0"/>
    <n v="217.57"/>
    <n v="126.79"/>
    <m/>
    <n v="270.71602149593269"/>
    <n v="163.12972205263137"/>
    <n v="0"/>
    <n v="4517375.2326299995"/>
    <n v="2632522.89261"/>
    <n v="0"/>
    <n v="5620838.5833610194"/>
    <n v="3387039.4176879758"/>
  </r>
  <r>
    <s v="Refaturamento - Regular"/>
    <x v="5"/>
    <x v="5"/>
    <x v="8"/>
    <x v="8"/>
    <x v="0"/>
    <x v="0"/>
    <x v="1"/>
    <x v="3"/>
    <n v="0"/>
    <n v="0"/>
    <n v="-22.75"/>
    <n v="-22.75"/>
    <n v="-22.75"/>
    <n v="-22.75"/>
    <n v="0"/>
    <x v="0"/>
    <n v="0"/>
    <n v="0"/>
    <n v="71"/>
    <n v="1"/>
    <n v="0"/>
    <n v="217.57"/>
    <n v="126.79"/>
    <m/>
    <n v="270.71602149593269"/>
    <n v="163.12972205263137"/>
    <n v="0"/>
    <n v="-4949.7174999999997"/>
    <n v="-2884.4725000000003"/>
    <n v="0"/>
    <n v="-6158.7894890324687"/>
    <n v="-3711.2011766973637"/>
  </r>
  <r>
    <s v="Regular"/>
    <x v="5"/>
    <x v="5"/>
    <x v="8"/>
    <x v="8"/>
    <x v="0"/>
    <x v="0"/>
    <x v="1"/>
    <x v="4"/>
    <n v="0"/>
    <n v="0"/>
    <n v="19962.026999999998"/>
    <n v="19962.026999999998"/>
    <n v="19962.026999999998"/>
    <n v="19962.026999999998"/>
    <n v="280"/>
    <x v="0"/>
    <n v="0"/>
    <n v="0"/>
    <n v="71"/>
    <n v="1"/>
    <n v="0"/>
    <n v="217.57"/>
    <n v="126.79"/>
    <m/>
    <n v="270.71602149593269"/>
    <n v="163.12972205263137"/>
    <n v="0"/>
    <n v="4343138.2143899994"/>
    <n v="2530985.4033300001"/>
    <n v="0"/>
    <n v="5404040.5304343887"/>
    <n v="3256399.9161171224"/>
  </r>
  <r>
    <s v="Refaturamento - Regular"/>
    <x v="5"/>
    <x v="5"/>
    <x v="8"/>
    <x v="8"/>
    <x v="0"/>
    <x v="0"/>
    <x v="1"/>
    <x v="4"/>
    <n v="0"/>
    <n v="0"/>
    <n v="1267.078"/>
    <n v="1267.078"/>
    <n v="1267.078"/>
    <n v="1267.078"/>
    <n v="0"/>
    <x v="0"/>
    <n v="0"/>
    <n v="0"/>
    <n v="71"/>
    <n v="1"/>
    <n v="0"/>
    <n v="217.57"/>
    <n v="126.79"/>
    <m/>
    <n v="270.71602149593269"/>
    <n v="163.12972205263137"/>
    <n v="0"/>
    <n v="275678.16045999998"/>
    <n v="160652.81961999999"/>
    <n v="0"/>
    <n v="343018.31508502341"/>
    <n v="206698.08195900405"/>
  </r>
  <r>
    <s v="Regular"/>
    <x v="5"/>
    <x v="5"/>
    <x v="8"/>
    <x v="8"/>
    <x v="0"/>
    <x v="0"/>
    <x v="1"/>
    <x v="5"/>
    <n v="0"/>
    <n v="0"/>
    <n v="20768.708999999999"/>
    <n v="20768.708999999999"/>
    <n v="20768.708999999999"/>
    <n v="20768.708999999999"/>
    <n v="274"/>
    <x v="0"/>
    <n v="0"/>
    <n v="0"/>
    <n v="71"/>
    <n v="1"/>
    <n v="0"/>
    <n v="217.57"/>
    <n v="126.79"/>
    <m/>
    <n v="270.71602149593269"/>
    <n v="163.12972205263137"/>
    <n v="0"/>
    <n v="4518648.0171299996"/>
    <n v="2633264.61411"/>
    <n v="0"/>
    <n v="5622422.2720867703"/>
    <n v="3387993.7265619831"/>
  </r>
  <r>
    <s v="Refaturamento - Regular"/>
    <x v="5"/>
    <x v="5"/>
    <x v="8"/>
    <x v="8"/>
    <x v="0"/>
    <x v="0"/>
    <x v="1"/>
    <x v="5"/>
    <n v="0"/>
    <n v="0"/>
    <n v="1699.692"/>
    <n v="1699.692"/>
    <n v="1699.692"/>
    <n v="1699.692"/>
    <n v="0"/>
    <x v="0"/>
    <n v="0"/>
    <n v="0"/>
    <n v="71"/>
    <n v="1"/>
    <n v="0"/>
    <n v="217.57"/>
    <n v="126.79"/>
    <m/>
    <n v="270.71602149593269"/>
    <n v="163.12972205263137"/>
    <n v="0"/>
    <n v="369801.98843999999"/>
    <n v="215503.94868"/>
    <n v="0"/>
    <n v="460133.85600846482"/>
    <n v="277270.28353508114"/>
  </r>
  <r>
    <s v="Regular"/>
    <x v="5"/>
    <x v="5"/>
    <x v="8"/>
    <x v="8"/>
    <x v="0"/>
    <x v="0"/>
    <x v="1"/>
    <x v="6"/>
    <n v="0"/>
    <n v="0"/>
    <n v="20091.36"/>
    <n v="20091.36"/>
    <n v="20091.36"/>
    <n v="20091.36"/>
    <n v="279"/>
    <x v="0"/>
    <n v="0"/>
    <n v="0"/>
    <n v="71"/>
    <n v="1"/>
    <n v="0"/>
    <n v="217.57"/>
    <n v="126.79"/>
    <m/>
    <n v="270.71602149593269"/>
    <n v="163.12972205263137"/>
    <n v="0"/>
    <n v="4371277.1952"/>
    <n v="2547383.5344000002"/>
    <n v="0"/>
    <n v="5439053.0456425222"/>
    <n v="3277497.9724593558"/>
  </r>
  <r>
    <s v="Refaturamento - Regular"/>
    <x v="5"/>
    <x v="5"/>
    <x v="8"/>
    <x v="8"/>
    <x v="0"/>
    <x v="0"/>
    <x v="1"/>
    <x v="6"/>
    <n v="0"/>
    <n v="0"/>
    <n v="2221.096"/>
    <n v="2221.096"/>
    <n v="2221.096"/>
    <n v="2221.096"/>
    <n v="0"/>
    <x v="0"/>
    <n v="0"/>
    <n v="0"/>
    <n v="71"/>
    <n v="1"/>
    <n v="0"/>
    <n v="217.57"/>
    <n v="126.79"/>
    <m/>
    <n v="270.71602149593269"/>
    <n v="163.12972205263137"/>
    <n v="0"/>
    <n v="483243.85671999998"/>
    <n v="281612.76183999999"/>
    <n v="0"/>
    <n v="601286.27248053008"/>
    <n v="362326.7731322113"/>
  </r>
  <r>
    <s v="Regular"/>
    <x v="5"/>
    <x v="5"/>
    <x v="8"/>
    <x v="8"/>
    <x v="0"/>
    <x v="0"/>
    <x v="1"/>
    <x v="7"/>
    <n v="0"/>
    <n v="0"/>
    <n v="20768.733"/>
    <n v="20768.733"/>
    <n v="20768.733"/>
    <n v="20768.733"/>
    <n v="290"/>
    <x v="0"/>
    <n v="0"/>
    <n v="0"/>
    <n v="71"/>
    <n v="1"/>
    <n v="0"/>
    <n v="217.57"/>
    <n v="126.79"/>
    <m/>
    <n v="270.71602149593269"/>
    <n v="163.12972205263137"/>
    <n v="0"/>
    <n v="4518653.23881"/>
    <n v="2633267.6570700002"/>
    <n v="0"/>
    <n v="5622428.7692712871"/>
    <n v="3387997.641675313"/>
  </r>
  <r>
    <s v="Refaturamento - Regular"/>
    <x v="5"/>
    <x v="5"/>
    <x v="8"/>
    <x v="8"/>
    <x v="0"/>
    <x v="0"/>
    <x v="1"/>
    <x v="7"/>
    <n v="0"/>
    <n v="0"/>
    <n v="4132.5479999999998"/>
    <n v="4132.5479999999998"/>
    <n v="4132.5479999999998"/>
    <n v="4132.5479999999998"/>
    <n v="0"/>
    <x v="0"/>
    <n v="0"/>
    <n v="0"/>
    <n v="71"/>
    <n v="1"/>
    <n v="0"/>
    <n v="217.57"/>
    <n v="126.79"/>
    <m/>
    <n v="270.71602149593269"/>
    <n v="163.12972205263137"/>
    <n v="0"/>
    <n v="899118.46835999994"/>
    <n v="523965.76091999997"/>
    <n v="0"/>
    <n v="1118746.9532009736"/>
    <n v="674141.40660915757"/>
  </r>
  <r>
    <s v="Regular"/>
    <x v="5"/>
    <x v="5"/>
    <x v="8"/>
    <x v="8"/>
    <x v="0"/>
    <x v="0"/>
    <x v="1"/>
    <x v="8"/>
    <n v="0"/>
    <n v="0"/>
    <n v="20799.067999999999"/>
    <n v="20799.067999999999"/>
    <n v="20799.067999999999"/>
    <n v="20799.067999999999"/>
    <n v="274"/>
    <x v="0"/>
    <n v="0"/>
    <n v="0"/>
    <n v="71"/>
    <n v="1"/>
    <n v="0"/>
    <n v="217.57"/>
    <n v="126.79"/>
    <m/>
    <n v="270.71602149593269"/>
    <n v="163.12972205263137"/>
    <n v="0"/>
    <n v="4525253.2247599997"/>
    <n v="2637113.8317200001"/>
    <n v="0"/>
    <n v="5630640.9397833655"/>
    <n v="3392946.1817937791"/>
  </r>
  <r>
    <s v="Regular"/>
    <x v="5"/>
    <x v="5"/>
    <x v="8"/>
    <x v="8"/>
    <x v="0"/>
    <x v="0"/>
    <x v="1"/>
    <x v="9"/>
    <n v="0"/>
    <n v="0"/>
    <n v="18742.116000000002"/>
    <n v="18742.116000000002"/>
    <n v="18742.116000000002"/>
    <n v="18742.116000000002"/>
    <n v="274"/>
    <x v="0"/>
    <n v="0"/>
    <n v="0"/>
    <n v="71"/>
    <n v="1"/>
    <n v="0"/>
    <n v="217.57"/>
    <n v="126.79"/>
    <m/>
    <n v="270.71602149593269"/>
    <n v="163.12972205263137"/>
    <n v="0"/>
    <n v="4077722.1781200003"/>
    <n v="2376312.8876400003"/>
    <n v="0"/>
    <n v="5073791.0779352644"/>
    <n v="3057396.1737581752"/>
  </r>
  <r>
    <s v="Refaturamento - Regular"/>
    <x v="5"/>
    <x v="5"/>
    <x v="8"/>
    <x v="8"/>
    <x v="0"/>
    <x v="0"/>
    <x v="1"/>
    <x v="9"/>
    <n v="0"/>
    <n v="0"/>
    <n v="-7.5709999999999997"/>
    <n v="-7.5709999999999997"/>
    <n v="-7.5709999999999997"/>
    <n v="-7.5709999999999997"/>
    <n v="0"/>
    <x v="0"/>
    <n v="0"/>
    <n v="0"/>
    <n v="71"/>
    <n v="1"/>
    <n v="0"/>
    <n v="217.57"/>
    <n v="126.79"/>
    <m/>
    <n v="270.71602149593269"/>
    <n v="163.12972205263137"/>
    <n v="0"/>
    <n v="-1647.2224699999999"/>
    <n v="-959.92709000000002"/>
    <n v="0"/>
    <n v="-2049.5909987457062"/>
    <n v="-1235.055125660472"/>
  </r>
  <r>
    <s v="Regular"/>
    <x v="5"/>
    <x v="5"/>
    <x v="8"/>
    <x v="8"/>
    <x v="0"/>
    <x v="0"/>
    <x v="1"/>
    <x v="10"/>
    <n v="0"/>
    <n v="0"/>
    <n v="23191.295999999998"/>
    <n v="23191.295999999998"/>
    <n v="23191.295999999998"/>
    <n v="23191.295999999998"/>
    <n v="280"/>
    <x v="0"/>
    <n v="0"/>
    <n v="0"/>
    <n v="71"/>
    <n v="1"/>
    <n v="0"/>
    <n v="217.57"/>
    <n v="126.79"/>
    <m/>
    <n v="270.71602149593269"/>
    <n v="163.12972205263137"/>
    <n v="0"/>
    <n v="5045730.2707199994"/>
    <n v="2940424.4198400001"/>
    <n v="0"/>
    <n v="6278255.3864545375"/>
    <n v="3783189.6705203014"/>
  </r>
  <r>
    <s v="Refaturamento - Regular"/>
    <x v="5"/>
    <x v="5"/>
    <x v="8"/>
    <x v="8"/>
    <x v="0"/>
    <x v="0"/>
    <x v="1"/>
    <x v="10"/>
    <n v="0"/>
    <n v="0"/>
    <n v="7.79"/>
    <n v="7.79"/>
    <n v="7.79"/>
    <n v="7.79"/>
    <n v="0"/>
    <x v="0"/>
    <n v="0"/>
    <n v="0"/>
    <n v="71"/>
    <n v="1"/>
    <n v="0"/>
    <n v="217.57"/>
    <n v="126.79"/>
    <m/>
    <n v="270.71602149593269"/>
    <n v="163.12972205263137"/>
    <n v="0"/>
    <n v="1694.8703"/>
    <n v="987.69410000000005"/>
    <n v="0"/>
    <n v="2108.8778074533157"/>
    <n v="1270.7805347899982"/>
  </r>
  <r>
    <s v="PROJETADO"/>
    <x v="5"/>
    <x v="5"/>
    <x v="8"/>
    <x v="8"/>
    <x v="0"/>
    <x v="0"/>
    <x v="1"/>
    <x v="11"/>
    <n v="0"/>
    <n v="0"/>
    <n v="23191.295999999998"/>
    <n v="23191.295999999998"/>
    <n v="23191.295999999998"/>
    <n v="23191.295999999998"/>
    <n v="280"/>
    <x v="0"/>
    <n v="0"/>
    <n v="0"/>
    <n v="71"/>
    <n v="1"/>
    <n v="0"/>
    <n v="217.57"/>
    <n v="126.79"/>
    <m/>
    <n v="270.71602149593269"/>
    <n v="163.12972205263137"/>
    <n v="0"/>
    <n v="5045730.2707199994"/>
    <n v="2940424.4198400001"/>
    <n v="0"/>
    <n v="6278255.3864545375"/>
    <n v="3783189.6705203014"/>
  </r>
  <r>
    <s v="PROJETADO"/>
    <x v="5"/>
    <x v="5"/>
    <x v="8"/>
    <x v="8"/>
    <x v="0"/>
    <x v="0"/>
    <x v="1"/>
    <x v="11"/>
    <n v="0"/>
    <n v="0"/>
    <n v="7.79"/>
    <n v="7.79"/>
    <n v="7.79"/>
    <n v="7.79"/>
    <n v="0"/>
    <x v="0"/>
    <n v="0"/>
    <n v="0"/>
    <n v="71"/>
    <n v="1"/>
    <n v="0"/>
    <n v="217.57"/>
    <n v="126.79"/>
    <m/>
    <n v="270.71602149593269"/>
    <n v="163.12972205263137"/>
    <n v="0"/>
    <n v="1694.8703"/>
    <n v="987.69410000000005"/>
    <n v="0"/>
    <n v="2108.8778074533157"/>
    <n v="1270.78053478999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37057-4244-49CA-8761-6D6EC2C3D03C}" name="Efeito Resumo" cacheId="1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19" firstHeaderRow="0" firstDataRow="1" firstDataCol="1"/>
  <pivotFields count="36"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x="0"/>
        <item x="4"/>
        <item x="5"/>
        <item x="1"/>
        <item x="2"/>
        <item x="3"/>
        <item t="default"/>
      </items>
    </pivotField>
    <pivotField axis="axisRow" showAll="0">
      <items count="10">
        <item x="0"/>
        <item x="6"/>
        <item x="8"/>
        <item x="1"/>
        <item x="4"/>
        <item x="5"/>
        <item x="7"/>
        <item x="2"/>
        <item x="3"/>
        <item t="default"/>
      </items>
    </pivotField>
    <pivotField axis="axisRow" showAll="0">
      <items count="10">
        <item x="1"/>
        <item x="2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7">
        <item x="1"/>
        <item x="4"/>
        <item x="2"/>
        <item x="5"/>
        <item x="3"/>
        <item x="0"/>
        <item t="default"/>
      </items>
    </pivotField>
    <pivotField axis="axisRow" showAll="0">
      <items count="10">
        <item x="4"/>
        <item x="1"/>
        <item x="3"/>
        <item x="8"/>
        <item x="6"/>
        <item x="2"/>
        <item x="0"/>
        <item x="7"/>
        <item x="5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6">
        <item x="0"/>
        <item x="3"/>
        <item x="4"/>
        <item x="1"/>
        <item x="2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18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686">
    <format dxfId="1206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120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204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1203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1202">
      <pivotArea type="all" dataOnly="0" outline="0" fieldPosition="0"/>
    </format>
    <format dxfId="1201">
      <pivotArea outline="0" collapsedLevelsAreSubtotals="1" fieldPosition="0"/>
    </format>
    <format dxfId="1200">
      <pivotArea field="16" type="button" dataOnly="0" labelOnly="1" outline="0" axis="axisRow" fieldPosition="0"/>
    </format>
    <format dxfId="1199">
      <pivotArea dataOnly="0" labelOnly="1" fieldPosition="0">
        <references count="1">
          <reference field="16" count="0"/>
        </references>
      </pivotArea>
    </format>
    <format dxfId="1198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1197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1196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119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3"/>
          </reference>
        </references>
      </pivotArea>
    </format>
    <format dxfId="1194">
      <pivotArea dataOnly="0" labelOnly="1" fieldPosition="0">
        <references count="2">
          <reference field="1" count="1">
            <x v="0"/>
          </reference>
          <reference field="16" count="1" selected="0">
            <x v="4"/>
          </reference>
        </references>
      </pivotArea>
    </format>
    <format dxfId="119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119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1191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190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189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1188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1187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1186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1185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184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118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118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1181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4"/>
          </reference>
        </references>
      </pivotArea>
    </format>
    <format dxfId="118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4">
            <x v="0"/>
            <x v="3"/>
            <x v="7"/>
            <x v="8"/>
          </reference>
          <reference field="16" count="1" selected="0">
            <x v="0"/>
          </reference>
        </references>
      </pivotArea>
    </format>
    <format dxfId="1179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1178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7">
            <x v="0"/>
            <x v="1"/>
            <x v="3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1177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176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1175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17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1173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4">
            <x v="0"/>
            <x v="1"/>
            <x v="3"/>
            <x v="5"/>
          </reference>
          <reference field="16" count="1" selected="0">
            <x v="0"/>
          </reference>
        </references>
      </pivotArea>
    </format>
    <format dxfId="117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1171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117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1169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1168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167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116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1165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164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116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116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6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6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115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15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5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5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5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154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53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52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51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50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14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114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147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1146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1145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4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1143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4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4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4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39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3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3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3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113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1134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113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1132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1131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113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112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12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12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126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112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4"/>
          </reference>
        </references>
      </pivotArea>
    </format>
    <format dxfId="112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2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2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4"/>
            <x v="5"/>
          </reference>
          <reference field="16" count="1" selected="0">
            <x v="0"/>
          </reference>
        </references>
      </pivotArea>
    </format>
    <format dxfId="112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2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9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5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2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1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10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4"/>
            <x v="5"/>
          </reference>
          <reference field="16" count="1" selected="0">
            <x v="0"/>
          </reference>
        </references>
      </pivotArea>
    </format>
    <format dxfId="1109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08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07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0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0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0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0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0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01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10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3"/>
            <x v="4"/>
          </reference>
          <reference field="16" count="1" selected="0">
            <x v="0"/>
          </reference>
        </references>
      </pivotArea>
    </format>
    <format dxfId="109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98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9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9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95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9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9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9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9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9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89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108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1"/>
          </reference>
        </references>
      </pivotArea>
    </format>
    <format dxfId="1087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1"/>
          </reference>
        </references>
      </pivotArea>
    </format>
    <format dxfId="1086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2">
            <x v="1"/>
            <x v="5"/>
          </reference>
          <reference field="16" count="1" selected="0">
            <x v="2"/>
          </reference>
        </references>
      </pivotArea>
    </format>
    <format dxfId="108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2">
            <x v="1"/>
            <x v="5"/>
          </reference>
          <reference field="16" count="1" selected="0">
            <x v="2"/>
          </reference>
        </references>
      </pivotArea>
    </format>
    <format dxfId="108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3"/>
          </reference>
        </references>
      </pivotArea>
    </format>
    <format dxfId="108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2"/>
            <x v="5"/>
          </reference>
          <reference field="16" count="1" selected="0">
            <x v="3"/>
          </reference>
        </references>
      </pivotArea>
    </format>
    <format dxfId="1082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1" selected="0">
            <x v="3"/>
          </reference>
        </references>
      </pivotArea>
    </format>
    <format dxfId="1081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2"/>
            <x v="5"/>
          </reference>
          <reference field="16" count="1" selected="0">
            <x v="3"/>
          </reference>
        </references>
      </pivotArea>
    </format>
    <format dxfId="108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4"/>
          </reference>
        </references>
      </pivotArea>
    </format>
    <format dxfId="107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7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7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7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7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7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7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7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7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7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9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8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7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6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3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2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1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6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4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50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6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1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104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103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1038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4">
            <x v="0"/>
            <x v="2"/>
            <x v="5"/>
            <x v="8"/>
          </reference>
          <reference field="16" count="1" selected="0">
            <x v="2"/>
          </reference>
        </references>
      </pivotArea>
    </format>
    <format dxfId="1037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4"/>
          </reference>
          <reference field="16" count="1" selected="0">
            <x v="2"/>
          </reference>
        </references>
      </pivotArea>
    </format>
    <format dxfId="103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7"/>
          </reference>
          <reference field="16" count="1" selected="0">
            <x v="2"/>
          </reference>
        </references>
      </pivotArea>
    </format>
    <format dxfId="103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103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03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03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03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03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029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102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6"/>
          </reference>
          <reference field="16" count="1" selected="0">
            <x v="4"/>
          </reference>
        </references>
      </pivotArea>
    </format>
    <format dxfId="102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2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2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102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2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2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21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2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1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1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1017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16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1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14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13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1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101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1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09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100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0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0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0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0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0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0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100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100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9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98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99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99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99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99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9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9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9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9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89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98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987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986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98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98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98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98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981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98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97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97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97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97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97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974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97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4"/>
          </reference>
        </references>
      </pivotArea>
    </format>
    <format dxfId="97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7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6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6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6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6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96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96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6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6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5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5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5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5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5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5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5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5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5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5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4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4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4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4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4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4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4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4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4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4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3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3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3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3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3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3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3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3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3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3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2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28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2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2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25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2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2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2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2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2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11">
            <x v="0"/>
            <x v="1"/>
            <x v="2"/>
            <x v="3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91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6">
            <x v="0"/>
            <x v="5"/>
            <x v="6"/>
            <x v="7"/>
            <x v="10"/>
            <x v="11"/>
          </reference>
          <reference field="16" count="1" selected="0">
            <x v="0"/>
          </reference>
        </references>
      </pivotArea>
    </format>
    <format dxfId="91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3">
            <x v="5"/>
            <x v="6"/>
            <x v="7"/>
          </reference>
          <reference field="16" count="1" selected="0">
            <x v="0"/>
          </reference>
        </references>
      </pivotArea>
    </format>
    <format dxfId="91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1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1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1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1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1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1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1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0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0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0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0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0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90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90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90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0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90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9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9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97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89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89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89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893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89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89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890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88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88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88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88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885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88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88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88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88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88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87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87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87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87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87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87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87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87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87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87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86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86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86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86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86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4"/>
          </reference>
        </references>
      </pivotArea>
    </format>
    <format dxfId="86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4"/>
          </reference>
        </references>
      </pivotArea>
    </format>
    <format dxfId="86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4"/>
          </reference>
        </references>
      </pivotArea>
    </format>
    <format dxfId="862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861">
      <pivotArea type="all" dataOnly="0" outline="0" fieldPosition="0"/>
    </format>
    <format dxfId="860">
      <pivotArea outline="0" collapsedLevelsAreSubtotals="1" fieldPosition="0"/>
    </format>
    <format dxfId="859">
      <pivotArea field="16" type="button" dataOnly="0" labelOnly="1" outline="0" axis="axisRow" fieldPosition="0"/>
    </format>
    <format dxfId="858">
      <pivotArea dataOnly="0" labelOnly="1" fieldPosition="0">
        <references count="1">
          <reference field="16" count="0"/>
        </references>
      </pivotArea>
    </format>
    <format dxfId="857">
      <pivotArea dataOnly="0" labelOnly="1" fieldPosition="0">
        <references count="2">
          <reference field="1" count="0"/>
          <reference field="16" count="1" selected="0">
            <x v="0"/>
          </reference>
        </references>
      </pivotArea>
    </format>
    <format dxfId="856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1"/>
          </reference>
        </references>
      </pivotArea>
    </format>
    <format dxfId="855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2"/>
          </reference>
        </references>
      </pivotArea>
    </format>
    <format dxfId="854">
      <pivotArea dataOnly="0" labelOnly="1" fieldPosition="0">
        <references count="2">
          <reference field="1" count="2">
            <x v="0"/>
            <x v="1"/>
          </reference>
          <reference field="16" count="1" selected="0">
            <x v="3"/>
          </reference>
        </references>
      </pivotArea>
    </format>
    <format dxfId="853">
      <pivotArea dataOnly="0" labelOnly="1" fieldPosition="0">
        <references count="2">
          <reference field="1" count="1">
            <x v="0"/>
          </reference>
          <reference field="16" count="1" selected="0">
            <x v="4"/>
          </reference>
        </references>
      </pivotArea>
    </format>
    <format dxfId="852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0"/>
          </reference>
        </references>
      </pivotArea>
    </format>
    <format dxfId="85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0"/>
          </reference>
        </references>
      </pivotArea>
    </format>
    <format dxfId="850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49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48">
      <pivotArea dataOnly="0" labelOnly="1" fieldPosition="0">
        <references count="3">
          <reference field="1" count="1" selected="0">
            <x v="4"/>
          </reference>
          <reference field="2" count="2">
            <x v="1"/>
            <x v="2"/>
          </reference>
          <reference field="16" count="1" selected="0">
            <x v="0"/>
          </reference>
        </references>
      </pivotArea>
    </format>
    <format dxfId="847">
      <pivotArea dataOnly="0" labelOnly="1" fieldPosition="0">
        <references count="3">
          <reference field="1" count="1" selected="0">
            <x v="5"/>
          </reference>
          <reference field="2" count="1">
            <x v="2"/>
          </reference>
          <reference field="16" count="1" selected="0">
            <x v="0"/>
          </reference>
        </references>
      </pivotArea>
    </format>
    <format dxfId="846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845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16" count="1" selected="0">
            <x v="1"/>
          </reference>
        </references>
      </pivotArea>
    </format>
    <format dxfId="844">
      <pivotArea dataOnly="0" labelOnly="1" fieldPosition="0">
        <references count="3">
          <reference field="1" count="1" selected="0">
            <x v="0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843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16" count="1" selected="0">
            <x v="2"/>
          </reference>
        </references>
      </pivotArea>
    </format>
    <format dxfId="842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3"/>
          </reference>
        </references>
      </pivotArea>
    </format>
    <format dxfId="841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5"/>
          </reference>
          <reference field="16" count="1" selected="0">
            <x v="3"/>
          </reference>
        </references>
      </pivotArea>
    </format>
    <format dxfId="840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16" count="1" selected="0">
            <x v="4"/>
          </reference>
        </references>
      </pivotArea>
    </format>
    <format dxfId="83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4">
            <x v="0"/>
            <x v="3"/>
            <x v="7"/>
            <x v="8"/>
          </reference>
          <reference field="16" count="1" selected="0">
            <x v="0"/>
          </reference>
        </references>
      </pivotArea>
    </format>
    <format dxfId="838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4">
            <x v="0"/>
            <x v="3"/>
            <x v="5"/>
            <x v="8"/>
          </reference>
          <reference field="16" count="1" selected="0">
            <x v="0"/>
          </reference>
        </references>
      </pivotArea>
    </format>
    <format dxfId="837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7">
            <x v="0"/>
            <x v="1"/>
            <x v="3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83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3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1" selected="0">
            <x v="0"/>
          </reference>
        </references>
      </pivotArea>
    </format>
    <format dxfId="83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33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7"/>
          </reference>
          <reference field="16" count="1" selected="0">
            <x v="0"/>
          </reference>
        </references>
      </pivotArea>
    </format>
    <format dxfId="832">
      <pivotArea dataOnly="0" labelOnly="1" fieldPosition="0">
        <references count="4">
          <reference field="1" count="1" selected="0">
            <x v="4"/>
          </reference>
          <reference field="2" count="1" selected="0">
            <x v="1"/>
          </reference>
          <reference field="3" count="4">
            <x v="0"/>
            <x v="1"/>
            <x v="3"/>
            <x v="5"/>
          </reference>
          <reference field="16" count="1" selected="0">
            <x v="0"/>
          </reference>
        </references>
      </pivotArea>
    </format>
    <format dxfId="831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5">
            <x v="0"/>
            <x v="1"/>
            <x v="3"/>
            <x v="5"/>
            <x v="8"/>
          </reference>
          <reference field="16" count="1" selected="0">
            <x v="0"/>
          </reference>
        </references>
      </pivotArea>
    </format>
    <format dxfId="830">
      <pivotArea dataOnly="0" labelOnly="1" fieldPosition="0">
        <references count="4">
          <reference field="1" count="1" selected="0">
            <x v="5"/>
          </reference>
          <reference field="2" count="1" selected="0">
            <x v="2"/>
          </reference>
          <reference field="3" count="1">
            <x v="2"/>
          </reference>
          <reference field="16" count="1" selected="0">
            <x v="0"/>
          </reference>
        </references>
      </pivotArea>
    </format>
    <format dxfId="82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828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4"/>
          </reference>
          <reference field="16" count="1" selected="0">
            <x v="1"/>
          </reference>
        </references>
      </pivotArea>
    </format>
    <format dxfId="827">
      <pivotArea dataOnly="0" labelOnly="1" fieldPosition="0">
        <references count="4">
          <reference field="1" count="1" selected="0">
            <x v="0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82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16" count="1" selected="0">
            <x v="2"/>
          </reference>
        </references>
      </pivotArea>
    </format>
    <format dxfId="82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2">
            <x v="0"/>
            <x v="3"/>
          </reference>
          <reference field="16" count="1" selected="0">
            <x v="3"/>
          </reference>
        </references>
      </pivotArea>
    </format>
    <format dxfId="824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23">
      <pivotArea dataOnly="0" labelOnly="1" fieldPosition="0">
        <references count="4">
          <reference field="1" count="1" selected="0">
            <x v="1"/>
          </reference>
          <reference field="2" count="1" selected="0">
            <x v="5"/>
          </reference>
          <reference field="3" count="1">
            <x v="3"/>
          </reference>
          <reference field="16" count="1" selected="0">
            <x v="3"/>
          </reference>
        </references>
      </pivotArea>
    </format>
    <format dxfId="82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16" count="1" selected="0">
            <x v="4"/>
          </reference>
        </references>
      </pivotArea>
    </format>
    <format dxfId="82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2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1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81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17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1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15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1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13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12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11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10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9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8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807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806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4"/>
          </reference>
          <reference field="16" count="1" selected="0">
            <x v="0"/>
          </reference>
        </references>
      </pivotArea>
    </format>
    <format dxfId="805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5">
            <x v="4"/>
            <x v="5"/>
            <x v="6"/>
            <x v="7"/>
            <x v="8"/>
          </reference>
          <reference field="16" count="1" selected="0">
            <x v="0"/>
          </reference>
        </references>
      </pivotArea>
    </format>
    <format dxfId="804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2">
            <x v="0"/>
            <x v="3"/>
          </reference>
          <reference field="16" count="1" selected="0">
            <x v="0"/>
          </reference>
        </references>
      </pivotArea>
    </format>
    <format dxfId="802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1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800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9">
      <pivotArea dataOnly="0" labelOnly="1" fieldPosition="0">
        <references count="5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8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7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6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>
            <x v="3"/>
          </reference>
          <reference field="16" count="1" selected="0">
            <x v="0"/>
          </reference>
        </references>
      </pivotArea>
    </format>
    <format dxfId="794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>
            <x v="1"/>
          </reference>
          <reference field="16" count="1" selected="0">
            <x v="0"/>
          </reference>
        </references>
      </pivotArea>
    </format>
    <format dxfId="793">
      <pivotArea dataOnly="0" labelOnly="1" fieldPosition="0">
        <references count="5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1" selected="0">
            <x v="0"/>
          </reference>
        </references>
      </pivotArea>
    </format>
    <format dxfId="79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91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1"/>
          </reference>
        </references>
      </pivotArea>
    </format>
    <format dxfId="790">
      <pivotArea dataOnly="0" labelOnly="1" fieldPosition="0">
        <references count="5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89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3"/>
          </reference>
          <reference field="16" count="1" selected="0">
            <x v="2"/>
          </reference>
        </references>
      </pivotArea>
    </format>
    <format dxfId="78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78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786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785">
      <pivotArea dataOnly="0" labelOnly="1" fieldPosition="0">
        <references count="5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3"/>
          </reference>
        </references>
      </pivotArea>
    </format>
    <format dxfId="78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1" selected="0">
            <x v="4"/>
          </reference>
        </references>
      </pivotArea>
    </format>
    <format dxfId="78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8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8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4"/>
            <x v="5"/>
          </reference>
          <reference field="16" count="1" selected="0">
            <x v="0"/>
          </reference>
        </references>
      </pivotArea>
    </format>
    <format dxfId="78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4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3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2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1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70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69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4"/>
            <x v="5"/>
          </reference>
          <reference field="16" count="1" selected="0">
            <x v="0"/>
          </reference>
        </references>
      </pivotArea>
    </format>
    <format dxfId="768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67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6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6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6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6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6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6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60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5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2">
            <x v="3"/>
            <x v="4"/>
          </reference>
          <reference field="16" count="1" selected="0">
            <x v="0"/>
          </reference>
        </references>
      </pivotArea>
    </format>
    <format dxfId="75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57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56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55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54">
      <pivotArea dataOnly="0" labelOnly="1" fieldPosition="0">
        <references count="6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5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5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51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50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49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48">
      <pivotArea dataOnly="0" labelOnly="1" fieldPosition="0">
        <references count="6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5"/>
          </reference>
          <reference field="16" count="1" selected="0">
            <x v="0"/>
          </reference>
        </references>
      </pivotArea>
    </format>
    <format dxfId="74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1"/>
          </reference>
        </references>
      </pivotArea>
    </format>
    <format dxfId="746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1"/>
          </reference>
        </references>
      </pivotArea>
    </format>
    <format dxfId="745">
      <pivotArea dataOnly="0" labelOnly="1" fieldPosition="0">
        <references count="6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2">
            <x v="1"/>
            <x v="5"/>
          </reference>
          <reference field="16" count="1" selected="0">
            <x v="2"/>
          </reference>
        </references>
      </pivotArea>
    </format>
    <format dxfId="74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2">
            <x v="1"/>
            <x v="5"/>
          </reference>
          <reference field="16" count="1" selected="0">
            <x v="2"/>
          </reference>
        </references>
      </pivotArea>
    </format>
    <format dxfId="74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5"/>
          </reference>
          <reference field="16" count="1" selected="0">
            <x v="3"/>
          </reference>
        </references>
      </pivotArea>
    </format>
    <format dxfId="74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2"/>
            <x v="5"/>
          </reference>
          <reference field="16" count="1" selected="0">
            <x v="3"/>
          </reference>
        </references>
      </pivotArea>
    </format>
    <format dxfId="741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1" selected="0">
            <x v="3"/>
          </reference>
        </references>
      </pivotArea>
    </format>
    <format dxfId="740">
      <pivotArea dataOnly="0" labelOnly="1" fieldPosition="0">
        <references count="6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2">
            <x v="2"/>
            <x v="5"/>
          </reference>
          <reference field="16" count="1" selected="0">
            <x v="3"/>
          </reference>
        </references>
      </pivotArea>
    </format>
    <format dxfId="73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0"/>
          </reference>
          <reference field="16" count="1" selected="0">
            <x v="4"/>
          </reference>
        </references>
      </pivotArea>
    </format>
    <format dxfId="73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3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3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3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3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3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3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3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3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9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8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7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6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5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4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3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2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1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20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9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1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9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8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7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6">
      <pivotArea dataOnly="0" labelOnly="1" fieldPosition="0">
        <references count="7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5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4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3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1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700">
      <pivotArea dataOnly="0" labelOnly="1" fieldPosition="0">
        <references count="7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0"/>
          </reference>
        </references>
      </pivotArea>
    </format>
    <format dxfId="69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69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1"/>
          </reference>
          <reference field="16" count="1" selected="0">
            <x v="1"/>
          </reference>
        </references>
      </pivotArea>
    </format>
    <format dxfId="697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4">
            <x v="0"/>
            <x v="2"/>
            <x v="5"/>
            <x v="8"/>
          </reference>
          <reference field="16" count="1" selected="0">
            <x v="2"/>
          </reference>
        </references>
      </pivotArea>
    </format>
    <format dxfId="696">
      <pivotArea dataOnly="0" labelOnly="1" fieldPosition="0">
        <references count="7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4"/>
          </reference>
          <reference field="16" count="1" selected="0">
            <x v="2"/>
          </reference>
        </references>
      </pivotArea>
    </format>
    <format dxfId="695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>
            <x v="7"/>
          </reference>
          <reference field="16" count="1" selected="0">
            <x v="2"/>
          </reference>
        </references>
      </pivotArea>
    </format>
    <format dxfId="694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3"/>
          </reference>
          <reference field="16" count="1" selected="0">
            <x v="2"/>
          </reference>
        </references>
      </pivotArea>
    </format>
    <format dxfId="69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69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69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690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689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688">
      <pivotArea dataOnly="0" labelOnly="1" fieldPosition="0">
        <references count="7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>
            <x v="6"/>
          </reference>
          <reference field="16" count="1" selected="0">
            <x v="3"/>
          </reference>
        </references>
      </pivotArea>
    </format>
    <format dxfId="68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>
            <x v="6"/>
          </reference>
          <reference field="16" count="1" selected="0">
            <x v="4"/>
          </reference>
        </references>
      </pivotArea>
    </format>
    <format dxfId="68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8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8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68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8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8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80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79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7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7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2">
            <x v="0"/>
            <x v="3"/>
          </reference>
          <reference field="16" count="1" selected="0">
            <x v="0"/>
          </reference>
        </references>
      </pivotArea>
    </format>
    <format dxfId="676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75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74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73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72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71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0"/>
          </reference>
          <reference field="16" count="1" selected="0">
            <x v="0"/>
          </reference>
        </references>
      </pivotArea>
    </format>
    <format dxfId="670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69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68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0"/>
          </reference>
        </references>
      </pivotArea>
    </format>
    <format dxfId="66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6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6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6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6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6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6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6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5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5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57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56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55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54">
      <pivotArea dataOnly="0" labelOnly="1" fieldPosition="0">
        <references count="8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1"/>
            <x v="3"/>
          </reference>
          <reference field="16" count="1" selected="0">
            <x v="0"/>
          </reference>
        </references>
      </pivotArea>
    </format>
    <format dxfId="65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5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51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50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9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8">
      <pivotArea dataOnly="0" labelOnly="1" fieldPosition="0">
        <references count="8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6"/>
          </reference>
          <reference field="7" count="1">
            <x v="2"/>
          </reference>
          <reference field="16" count="1" selected="0">
            <x v="0"/>
          </reference>
        </references>
      </pivotArea>
    </format>
    <format dxfId="64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46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3">
            <x v="0"/>
            <x v="2"/>
            <x v="3"/>
          </reference>
          <reference field="16" count="1" selected="0">
            <x v="1"/>
          </reference>
        </references>
      </pivotArea>
    </format>
    <format dxfId="645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44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43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5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42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8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41">
      <pivotArea dataOnly="0" labelOnly="1" fieldPosition="0">
        <references count="8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4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40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7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39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3"/>
          </reference>
          <reference field="7" count="1">
            <x v="2"/>
          </reference>
          <reference field="16" count="1" selected="0">
            <x v="2"/>
          </reference>
        </references>
      </pivotArea>
    </format>
    <format dxfId="63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3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3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3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34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33">
      <pivotArea dataOnly="0" labelOnly="1" fieldPosition="0">
        <references count="8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3"/>
          </reference>
        </references>
      </pivotArea>
    </format>
    <format dxfId="63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3">
            <x v="0"/>
            <x v="2"/>
            <x v="3"/>
          </reference>
          <reference field="16" count="1" selected="0">
            <x v="4"/>
          </reference>
        </references>
      </pivotArea>
    </format>
    <format dxfId="63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3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62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3">
            <x v="0"/>
            <x v="1"/>
            <x v="2"/>
          </reference>
          <reference field="16" count="1" selected="0">
            <x v="0"/>
          </reference>
        </references>
      </pivotArea>
    </format>
    <format dxfId="62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2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2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9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8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7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1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1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1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60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60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60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4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3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92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91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9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7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8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8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84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4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5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6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7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8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8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11">
            <x v="0"/>
            <x v="1"/>
            <x v="2"/>
            <x v="3"/>
            <x v="5"/>
            <x v="6"/>
            <x v="7"/>
            <x v="8"/>
            <x v="9"/>
            <x v="10"/>
            <x v="11"/>
          </reference>
          <reference field="16" count="1" selected="0">
            <x v="0"/>
          </reference>
        </references>
      </pivotArea>
    </format>
    <format dxfId="57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6">
            <x v="0"/>
            <x v="5"/>
            <x v="6"/>
            <x v="7"/>
            <x v="10"/>
            <x v="11"/>
          </reference>
          <reference field="16" count="1" selected="0">
            <x v="0"/>
          </reference>
        </references>
      </pivotArea>
    </format>
    <format dxfId="57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3">
            <x v="5"/>
            <x v="6"/>
            <x v="7"/>
          </reference>
          <reference field="16" count="1" selected="0">
            <x v="0"/>
          </reference>
        </references>
      </pivotArea>
    </format>
    <format dxfId="57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7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7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71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70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9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8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7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6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5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4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0"/>
          </reference>
        </references>
      </pivotArea>
    </format>
    <format dxfId="563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1"/>
          </reference>
          <reference field="8" count="0"/>
          <reference field="16" count="1" selected="0">
            <x v="0"/>
          </reference>
        </references>
      </pivotArea>
    </format>
    <format dxfId="562">
      <pivotArea dataOnly="0" labelOnly="1" fieldPosition="0">
        <references count="9">
          <reference field="1" count="1" selected="0">
            <x v="4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0"/>
          </reference>
        </references>
      </pivotArea>
    </format>
    <format dxfId="56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6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9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8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8"/>
          </reference>
          <reference field="4" count="1" selected="0">
            <x v="1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6">
      <pivotArea dataOnly="0" labelOnly="1" fieldPosition="0">
        <references count="9">
          <reference field="1" count="1" selected="0">
            <x v="5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0"/>
          </reference>
        </references>
      </pivotArea>
    </format>
    <format dxfId="55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5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5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5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0"/>
          </reference>
          <reference field="8" count="0"/>
          <reference field="16" count="1" selected="0">
            <x v="1"/>
          </reference>
        </references>
      </pivotArea>
    </format>
    <format dxfId="55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16" count="1" selected="0">
            <x v="1"/>
          </reference>
        </references>
      </pivotArea>
    </format>
    <format dxfId="55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1"/>
          </reference>
          <reference field="7" count="1" selected="0">
            <x v="3"/>
          </reference>
          <reference field="8" count="0"/>
          <reference field="16" count="1" selected="0">
            <x v="1"/>
          </reference>
        </references>
      </pivotArea>
    </format>
    <format dxfId="549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48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47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46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8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45">
      <pivotArea dataOnly="0" labelOnly="1" fieldPosition="0">
        <references count="9">
          <reference field="1" count="1" selected="0">
            <x v="0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4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1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4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16" count="1" selected="0">
            <x v="2"/>
          </reference>
        </references>
      </pivotArea>
    </format>
    <format dxfId="54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4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4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3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3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3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3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3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3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3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3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3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30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29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28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27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3"/>
          </reference>
        </references>
      </pivotArea>
    </format>
    <format dxfId="526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3"/>
          </reference>
        </references>
      </pivotArea>
    </format>
    <format dxfId="525">
      <pivotArea dataOnly="0" labelOnly="1" fieldPosition="0">
        <references count="9">
          <reference field="1" count="1" selected="0">
            <x v="1"/>
          </reference>
          <reference field="2" count="1" selected="0">
            <x v="5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5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3"/>
          </reference>
        </references>
      </pivotArea>
    </format>
    <format dxfId="52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0"/>
          </reference>
          <reference field="8" count="0"/>
          <reference field="16" count="1" selected="0">
            <x v="4"/>
          </reference>
        </references>
      </pivotArea>
    </format>
    <format dxfId="52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16" count="1" selected="0">
            <x v="4"/>
          </reference>
        </references>
      </pivotArea>
    </format>
    <format dxfId="52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3"/>
          </reference>
          <reference field="8" count="0"/>
          <reference field="16" count="1" selected="0">
            <x v="4"/>
          </reference>
        </references>
      </pivotArea>
    </format>
    <format dxfId="52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B50DD-1504-4C84-9D79-8040930E9508}" name="Subsidio Resumo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704" firstHeaderRow="0" firstDataRow="1" firstDataCol="1"/>
  <pivotFields count="3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6">
        <item x="0"/>
        <item x="4"/>
        <item x="3"/>
        <item x="1"/>
        <item x="2"/>
        <item t="default"/>
      </items>
    </pivotField>
    <pivotField axis="axisRow" showAll="0">
      <items count="6">
        <item x="0"/>
        <item x="3"/>
        <item x="4"/>
        <item x="1"/>
        <item x="2"/>
        <item t="default"/>
      </items>
    </pivotField>
    <pivotField axis="axisRow" showAll="0">
      <items count="9">
        <item x="1"/>
        <item x="2"/>
        <item x="0"/>
        <item x="3"/>
        <item x="4"/>
        <item x="5"/>
        <item x="6"/>
        <item x="7"/>
        <item t="default"/>
      </items>
    </pivotField>
    <pivotField axis="axisRow" showAll="0">
      <items count="6">
        <item x="3"/>
        <item x="0"/>
        <item x="4"/>
        <item x="1"/>
        <item x="2"/>
        <item t="default"/>
      </items>
    </pivotField>
    <pivotField axis="axisRow" showAll="0">
      <items count="9">
        <item x="3"/>
        <item x="2"/>
        <item x="7"/>
        <item x="5"/>
        <item x="1"/>
        <item x="0"/>
        <item x="6"/>
        <item x="4"/>
        <item t="default"/>
      </items>
    </pivotField>
    <pivotField axis="axisRow" showAll="0">
      <items count="5">
        <item x="0"/>
        <item x="3"/>
        <item x="1"/>
        <item x="2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8">
        <item x="3"/>
        <item x="6"/>
        <item x="0"/>
        <item x="4"/>
        <item x="1"/>
        <item x="2"/>
        <item x="5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703">
    <i>
      <x/>
    </i>
    <i r="1">
      <x/>
    </i>
    <i r="2">
      <x/>
    </i>
    <i r="3">
      <x v="4"/>
    </i>
    <i r="4">
      <x v="1"/>
    </i>
    <i r="5">
      <x v="4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 v="4"/>
    </i>
    <i r="4">
      <x v="1"/>
    </i>
    <i r="5">
      <x v="4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 v="4"/>
    </i>
    <i r="4">
      <x v="1"/>
    </i>
    <i r="5">
      <x v="4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4"/>
    </i>
    <i r="4">
      <x v="1"/>
    </i>
    <i r="5">
      <x v="4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2"/>
    </i>
    <i r="2">
      <x v="2"/>
    </i>
    <i r="3">
      <x v="2"/>
    </i>
    <i r="4">
      <x v="4"/>
    </i>
    <i r="5">
      <x v="4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4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4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4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/>
    </i>
    <i r="3">
      <x/>
    </i>
    <i r="4">
      <x v="2"/>
    </i>
    <i r="5">
      <x v="1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/>
    </i>
    <i r="3">
      <x/>
    </i>
    <i r="4">
      <x v="2"/>
    </i>
    <i r="5">
      <x v="1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4"/>
    </i>
    <i r="3">
      <x/>
    </i>
    <i r="4">
      <x v="2"/>
    </i>
    <i r="5">
      <x v="1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 v="2"/>
    </i>
    <i r="5">
      <x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4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6">
      <x v="7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4"/>
    </i>
    <i r="6">
      <x v="3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3"/>
    </i>
    <i r="3">
      <x v="1"/>
    </i>
    <i r="4">
      <x v="2"/>
    </i>
    <i r="5">
      <x/>
    </i>
    <i r="6">
      <x v="6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4"/>
    </i>
    <i r="6">
      <x v="2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/>
    </i>
    <i r="2">
      <x/>
    </i>
    <i r="3">
      <x v="3"/>
    </i>
    <i r="4">
      <x/>
    </i>
    <i r="5">
      <x v="3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4"/>
    </i>
    <i r="3">
      <x v="3"/>
    </i>
    <i r="4">
      <x/>
    </i>
    <i r="5">
      <x v="3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3"/>
    </i>
    <i r="4">
      <x/>
    </i>
    <i r="5">
      <x v="3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5"/>
    </i>
    <i r="1">
      <x/>
    </i>
    <i r="2">
      <x/>
    </i>
    <i r="3">
      <x v="3"/>
    </i>
    <i r="4">
      <x/>
    </i>
    <i r="5">
      <x v="4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4"/>
    </i>
    <i r="6">
      <x v="5"/>
    </i>
    <i r="7">
      <x/>
    </i>
    <i r="8">
      <x/>
    </i>
    <i r="8">
      <x v="1"/>
    </i>
    <i r="8">
      <x v="2"/>
    </i>
    <i r="7">
      <x v="3"/>
    </i>
    <i r="8">
      <x/>
    </i>
    <i r="8">
      <x v="1"/>
    </i>
    <i r="8">
      <x v="2"/>
    </i>
    <i r="1">
      <x v="1"/>
    </i>
    <i r="2">
      <x v="4"/>
    </i>
    <i r="3">
      <x v="3"/>
    </i>
    <i r="4">
      <x/>
    </i>
    <i r="5">
      <x v="4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4"/>
    </i>
    <i r="6">
      <x v="5"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 v="3"/>
    </i>
    <i r="4">
      <x v="2"/>
    </i>
    <i r="5">
      <x v="4"/>
    </i>
    <i r="6">
      <x v="5"/>
    </i>
    <i r="7">
      <x/>
    </i>
    <i r="8">
      <x/>
    </i>
    <i r="8">
      <x v="1"/>
    </i>
    <i r="8">
      <x v="2"/>
    </i>
    <i r="8">
      <x v="3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5"/>
    </i>
    <i r="8">
      <x v="6"/>
    </i>
    <i r="8">
      <x v="7"/>
    </i>
    <i r="8">
      <x v="10"/>
    </i>
    <i r="8">
      <x v="11"/>
    </i>
    <i r="7">
      <x v="3"/>
    </i>
    <i r="8">
      <x v="5"/>
    </i>
    <i r="8">
      <x v="6"/>
    </i>
    <i r="8">
      <x v="7"/>
    </i>
    <i r="2">
      <x v="2"/>
    </i>
    <i r="3">
      <x v="3"/>
    </i>
    <i r="4">
      <x/>
    </i>
    <i r="5">
      <x v="2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4"/>
    </i>
    <i r="6">
      <x v="5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6"/>
    </i>
    <i r="1">
      <x v="2"/>
    </i>
    <i r="2">
      <x v="2"/>
    </i>
    <i r="3">
      <x v="2"/>
    </i>
    <i r="4">
      <x v="3"/>
    </i>
    <i r="5">
      <x v="4"/>
    </i>
    <i r="6">
      <x v="5"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380">
    <format dxfId="520">
      <pivotArea outline="0" collapsedLevelsAreSubtotals="1" fieldPosition="0"/>
    </format>
    <format dxfId="519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18">
      <pivotArea type="all" dataOnly="0" outline="0" fieldPosition="0"/>
    </format>
    <format dxfId="517">
      <pivotArea outline="0" collapsedLevelsAreSubtotals="1" fieldPosition="0"/>
    </format>
    <format dxfId="516">
      <pivotArea field="31" type="button" dataOnly="0" labelOnly="1" outline="0" axis="axisRow" fieldPosition="0"/>
    </format>
    <format dxfId="515">
      <pivotArea dataOnly="0" labelOnly="1" fieldPosition="0">
        <references count="1">
          <reference field="31" count="0"/>
        </references>
      </pivotArea>
    </format>
    <format dxfId="514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513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512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511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510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4"/>
          </reference>
        </references>
      </pivotArea>
    </format>
    <format dxfId="509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508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507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506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505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504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50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502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50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500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499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4"/>
          </reference>
        </references>
      </pivotArea>
    </format>
    <format dxfId="498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497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496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495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5"/>
          </reference>
        </references>
      </pivotArea>
    </format>
    <format dxfId="494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493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49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91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90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89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48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487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86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85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48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83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482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81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80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47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78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77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76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47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47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73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72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71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470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46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68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67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46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465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46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6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6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46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460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459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45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457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45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455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454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453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45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45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45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44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44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447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446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44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2">
            <x v="0"/>
            <x v="4"/>
          </reference>
          <reference field="31" count="1" selected="0">
            <x v="3"/>
          </reference>
        </references>
      </pivotArea>
    </format>
    <format dxfId="444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2">
            <x v="0"/>
            <x v="4"/>
          </reference>
          <reference field="31" count="1" selected="0">
            <x v="3"/>
          </reference>
        </references>
      </pivotArea>
    </format>
    <format dxfId="44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442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44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44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43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43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43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436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43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5"/>
          </reference>
        </references>
      </pivotArea>
    </format>
    <format dxfId="43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43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4"/>
          </reference>
          <reference field="31" count="1" selected="0">
            <x v="6"/>
          </reference>
        </references>
      </pivotArea>
    </format>
    <format dxfId="43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431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430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429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42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42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42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42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42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2"/>
          </reference>
        </references>
      </pivotArea>
    </format>
    <format dxfId="423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2"/>
          </reference>
        </references>
      </pivotArea>
    </format>
    <format dxfId="42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2"/>
          </reference>
        </references>
      </pivotArea>
    </format>
    <format dxfId="42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4">
            <x v="0"/>
            <x v="1"/>
            <x v="4"/>
            <x v="7"/>
          </reference>
          <reference field="31" count="1" selected="0">
            <x v="3"/>
          </reference>
        </references>
      </pivotArea>
    </format>
    <format dxfId="42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3"/>
          </reference>
          <reference field="31" count="1" selected="0">
            <x v="3"/>
          </reference>
        </references>
      </pivotArea>
    </format>
    <format dxfId="41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6"/>
          </reference>
          <reference field="31" count="1" selected="0">
            <x v="3"/>
          </reference>
        </references>
      </pivotArea>
    </format>
    <format dxfId="418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2"/>
          </reference>
          <reference field="31" count="1" selected="0">
            <x v="3"/>
          </reference>
        </references>
      </pivotArea>
    </format>
    <format dxfId="41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416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41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41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41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41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41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410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40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40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40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6"/>
          </reference>
        </references>
      </pivotArea>
    </format>
    <format dxfId="40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05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40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403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40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0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40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9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39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97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96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39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9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9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9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9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9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89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38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8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38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38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38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38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82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381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38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7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37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37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7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7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74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7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37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7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370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36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6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6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6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36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6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6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6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6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60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35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35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35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5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5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5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5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5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50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34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34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34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34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4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4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34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34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4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4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3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33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37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33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11">
            <x v="0"/>
            <x v="1"/>
            <x v="2"/>
            <x v="3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33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1"/>
          </reference>
          <reference field="8" count="6">
            <x v="0"/>
            <x v="5"/>
            <x v="6"/>
            <x v="7"/>
            <x v="10"/>
            <x v="11"/>
          </reference>
          <reference field="31" count="1" selected="0">
            <x v="5"/>
          </reference>
        </references>
      </pivotArea>
    </format>
    <format dxfId="33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3">
            <x v="5"/>
            <x v="6"/>
            <x v="7"/>
          </reference>
          <reference field="31" count="1" selected="0">
            <x v="5"/>
          </reference>
        </references>
      </pivotArea>
    </format>
    <format dxfId="33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3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33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33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329">
      <pivotArea type="all" dataOnly="0" outline="0" fieldPosition="0"/>
    </format>
    <format dxfId="328">
      <pivotArea outline="0" collapsedLevelsAreSubtotals="1" fieldPosition="0"/>
    </format>
    <format dxfId="327">
      <pivotArea field="31" type="button" dataOnly="0" labelOnly="1" outline="0" axis="axisRow" fieldPosition="0"/>
    </format>
    <format dxfId="326">
      <pivotArea dataOnly="0" labelOnly="1" fieldPosition="0">
        <references count="1">
          <reference field="31" count="0"/>
        </references>
      </pivotArea>
    </format>
    <format dxfId="325">
      <pivotArea dataOnly="0" labelOnly="1" fieldPosition="0">
        <references count="2">
          <reference field="1" count="3">
            <x v="0"/>
            <x v="1"/>
            <x v="4"/>
          </reference>
          <reference field="31" count="1" selected="0">
            <x v="0"/>
          </reference>
        </references>
      </pivotArea>
    </format>
    <format dxfId="324">
      <pivotArea dataOnly="0" labelOnly="1" fieldPosition="0">
        <references count="2">
          <reference field="1" count="1">
            <x v="2"/>
          </reference>
          <reference field="31" count="1" selected="0">
            <x v="1"/>
          </reference>
        </references>
      </pivotArea>
    </format>
    <format dxfId="323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2"/>
          </reference>
        </references>
      </pivotArea>
    </format>
    <format dxfId="322">
      <pivotArea dataOnly="0" labelOnly="1" fieldPosition="0">
        <references count="2">
          <reference field="1" count="2">
            <x v="0"/>
            <x v="1"/>
          </reference>
          <reference field="31" count="1" selected="0">
            <x v="3"/>
          </reference>
        </references>
      </pivotArea>
    </format>
    <format dxfId="321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4"/>
          </reference>
        </references>
      </pivotArea>
    </format>
    <format dxfId="320">
      <pivotArea dataOnly="0" labelOnly="1" fieldPosition="0">
        <references count="2">
          <reference field="1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319">
      <pivotArea dataOnly="0" labelOnly="1" fieldPosition="0">
        <references count="2">
          <reference field="1" count="1">
            <x v="2"/>
          </reference>
          <reference field="31" count="1" selected="0">
            <x v="6"/>
          </reference>
        </references>
      </pivotArea>
    </format>
    <format dxfId="318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0"/>
          </reference>
        </references>
      </pivotArea>
    </format>
    <format dxfId="317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0"/>
          </reference>
        </references>
      </pivotArea>
    </format>
    <format dxfId="316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315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314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2"/>
          </reference>
        </references>
      </pivotArea>
    </format>
    <format dxfId="313">
      <pivotArea dataOnly="0" labelOnly="1" fieldPosition="0">
        <references count="3">
          <reference field="1" count="1" selected="0">
            <x v="1"/>
          </reference>
          <reference field="2" count="2">
            <x v="0"/>
            <x v="4"/>
          </reference>
          <reference field="31" count="1" selected="0">
            <x v="2"/>
          </reference>
        </references>
      </pivotArea>
    </format>
    <format dxfId="31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11">
      <pivotArea dataOnly="0" labelOnly="1" fieldPosition="0">
        <references count="3">
          <reference field="1" count="1" selected="0">
            <x v="1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310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4"/>
          </reference>
        </references>
      </pivotArea>
    </format>
    <format dxfId="309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4"/>
          </reference>
        </references>
      </pivotArea>
    </format>
    <format dxfId="308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307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1" count="1" selected="0">
            <x v="5"/>
          </reference>
        </references>
      </pivotArea>
    </format>
    <format dxfId="306">
      <pivotArea dataOnly="0" labelOnly="1" fieldPosition="0">
        <references count="3">
          <reference field="1" count="1" selected="0">
            <x v="1"/>
          </reference>
          <reference field="2" count="1">
            <x v="4"/>
          </reference>
          <reference field="31" count="1" selected="0">
            <x v="5"/>
          </reference>
        </references>
      </pivotArea>
    </format>
    <format dxfId="305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31" count="1" selected="0">
            <x v="5"/>
          </reference>
        </references>
      </pivotArea>
    </format>
    <format dxfId="304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6"/>
          </reference>
        </references>
      </pivotArea>
    </format>
    <format dxfId="30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02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01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300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4"/>
          </reference>
          <reference field="31" count="1" selected="0">
            <x v="0"/>
          </reference>
        </references>
      </pivotArea>
    </format>
    <format dxfId="299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1"/>
          </reference>
        </references>
      </pivotArea>
    </format>
    <format dxfId="298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97">
      <pivotArea dataOnly="0" labelOnly="1" fieldPosition="0">
        <references count="4">
          <reference field="1" count="1" selected="0">
            <x v="1"/>
          </reference>
          <reference field="2" count="1" selected="0">
            <x v="0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96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0"/>
          </reference>
          <reference field="31" count="1" selected="0">
            <x v="2"/>
          </reference>
        </references>
      </pivotArea>
    </format>
    <format dxfId="29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94">
      <pivotArea dataOnly="0" labelOnly="1" fieldPosition="0">
        <references count="4">
          <reference field="1" count="1" selected="0">
            <x v="1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293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92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91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4"/>
          </reference>
        </references>
      </pivotArea>
    </format>
    <format dxfId="29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89">
      <pivotArea dataOnly="0" labelOnly="1" fieldPosition="0">
        <references count="4">
          <reference field="1" count="1" selected="0">
            <x v="1"/>
          </reference>
          <reference field="2" count="1" selected="0">
            <x v="4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88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87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3"/>
          </reference>
          <reference field="31" count="1" selected="0">
            <x v="5"/>
          </reference>
        </references>
      </pivotArea>
    </format>
    <format dxfId="286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6"/>
          </reference>
        </references>
      </pivotArea>
    </format>
    <format dxfId="28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84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83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82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281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28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79">
      <pivotArea dataOnly="0" labelOnly="1" fieldPosition="0">
        <references count="5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78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>
            <x v="2"/>
          </reference>
          <reference field="31" count="1" selected="0">
            <x v="2"/>
          </reference>
        </references>
      </pivotArea>
    </format>
    <format dxfId="27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276">
      <pivotArea dataOnly="0" labelOnly="1" fieldPosition="0">
        <references count="5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27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74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7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0"/>
          </reference>
          <reference field="31" count="1" selected="0">
            <x v="4"/>
          </reference>
        </references>
      </pivotArea>
    </format>
    <format dxfId="27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271">
      <pivotArea dataOnly="0" labelOnly="1" fieldPosition="0">
        <references count="5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270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>
            <x v="2"/>
          </reference>
          <reference field="31" count="1" selected="0">
            <x v="5"/>
          </reference>
        </references>
      </pivotArea>
    </format>
    <format dxfId="26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2">
            <x v="0"/>
            <x v="2"/>
          </reference>
          <reference field="31" count="1" selected="0">
            <x v="5"/>
          </reference>
        </references>
      </pivotArea>
    </format>
    <format dxfId="268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3"/>
          </reference>
          <reference field="31" count="1" selected="0">
            <x v="6"/>
          </reference>
        </references>
      </pivotArea>
    </format>
    <format dxfId="26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266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265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264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>
            <x v="4"/>
          </reference>
          <reference field="31" count="1" selected="0">
            <x v="0"/>
          </reference>
        </references>
      </pivotArea>
    </format>
    <format dxfId="26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262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26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26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>
            <x v="4"/>
          </reference>
          <reference field="31" count="1" selected="0">
            <x v="1"/>
          </reference>
        </references>
      </pivotArea>
    </format>
    <format dxfId="25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258">
      <pivotArea dataOnly="0" labelOnly="1" fieldPosition="0">
        <references count="6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257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25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2">
            <x v="0"/>
            <x v="4"/>
          </reference>
          <reference field="31" count="1" selected="0">
            <x v="3"/>
          </reference>
        </references>
      </pivotArea>
    </format>
    <format dxfId="255">
      <pivotArea dataOnly="0" labelOnly="1" fieldPosition="0">
        <references count="6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2">
            <x v="0"/>
            <x v="4"/>
          </reference>
          <reference field="31" count="1" selected="0">
            <x v="3"/>
          </reference>
        </references>
      </pivotArea>
    </format>
    <format dxfId="25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53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5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3"/>
          </reference>
          <reference field="31" count="1" selected="0">
            <x v="4"/>
          </reference>
        </references>
      </pivotArea>
    </format>
    <format dxfId="25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25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249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248">
      <pivotArea dataOnly="0" labelOnly="1" fieldPosition="0">
        <references count="6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247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24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5"/>
          </reference>
        </references>
      </pivotArea>
    </format>
    <format dxfId="24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>
            <x v="4"/>
          </reference>
          <reference field="31" count="1" selected="0">
            <x v="5"/>
          </reference>
        </references>
      </pivotArea>
    </format>
    <format dxfId="24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>
            <x v="4"/>
          </reference>
          <reference field="31" count="1" selected="0">
            <x v="6"/>
          </reference>
        </references>
      </pivotArea>
    </format>
    <format dxfId="24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242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241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240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0"/>
          </reference>
        </references>
      </pivotArea>
    </format>
    <format dxfId="23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23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237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23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1"/>
          </reference>
        </references>
      </pivotArea>
    </format>
    <format dxfId="23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2"/>
          </reference>
        </references>
      </pivotArea>
    </format>
    <format dxfId="234">
      <pivotArea dataOnly="0" labelOnly="1" fieldPosition="0">
        <references count="7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2"/>
          </reference>
        </references>
      </pivotArea>
    </format>
    <format dxfId="23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>
            <x v="5"/>
          </reference>
          <reference field="31" count="1" selected="0">
            <x v="2"/>
          </reference>
        </references>
      </pivotArea>
    </format>
    <format dxfId="23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4">
            <x v="0"/>
            <x v="1"/>
            <x v="4"/>
            <x v="7"/>
          </reference>
          <reference field="31" count="1" selected="0">
            <x v="3"/>
          </reference>
        </references>
      </pivotArea>
    </format>
    <format dxfId="23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3"/>
          </reference>
          <reference field="31" count="1" selected="0">
            <x v="3"/>
          </reference>
        </references>
      </pivotArea>
    </format>
    <format dxfId="230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>
            <x v="6"/>
          </reference>
          <reference field="31" count="1" selected="0">
            <x v="3"/>
          </reference>
        </references>
      </pivotArea>
    </format>
    <format dxfId="229">
      <pivotArea dataOnly="0" labelOnly="1" fieldPosition="0">
        <references count="7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2"/>
          </reference>
          <reference field="31" count="1" selected="0">
            <x v="3"/>
          </reference>
        </references>
      </pivotArea>
    </format>
    <format dxfId="22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227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22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>
            <x v="5"/>
          </reference>
          <reference field="31" count="1" selected="0">
            <x v="4"/>
          </reference>
        </references>
      </pivotArea>
    </format>
    <format dxfId="22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22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223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222">
      <pivotArea dataOnly="0" labelOnly="1" fieldPosition="0">
        <references count="7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221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22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21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5"/>
          </reference>
        </references>
      </pivotArea>
    </format>
    <format dxfId="21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>
            <x v="5"/>
          </reference>
          <reference field="31" count="1" selected="0">
            <x v="6"/>
          </reference>
        </references>
      </pivotArea>
    </format>
    <format dxfId="21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16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215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214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0"/>
          </reference>
        </references>
      </pivotArea>
    </format>
    <format dxfId="21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12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1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1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1"/>
          </reference>
        </references>
      </pivotArea>
    </format>
    <format dxfId="20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08">
      <pivotArea dataOnly="0" labelOnly="1" fieldPosition="0">
        <references count="8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07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2"/>
          </reference>
        </references>
      </pivotArea>
    </format>
    <format dxfId="20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0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0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4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0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7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0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01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200">
      <pivotArea dataOnly="0" labelOnly="1" fieldPosition="0">
        <references count="8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2"/>
          </reference>
          <reference field="7" count="1">
            <x v="2"/>
          </reference>
          <reference field="31" count="1" selected="0">
            <x v="3"/>
          </reference>
        </references>
      </pivotArea>
    </format>
    <format dxfId="19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198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0"/>
          </reference>
          <reference field="31" count="1" selected="0">
            <x v="4"/>
          </reference>
        </references>
      </pivotArea>
    </format>
    <format dxfId="19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4"/>
          </reference>
        </references>
      </pivotArea>
    </format>
    <format dxfId="19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19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2">
            <x v="0"/>
            <x v="3"/>
          </reference>
          <reference field="31" count="1" selected="0">
            <x v="5"/>
          </reference>
        </references>
      </pivotArea>
    </format>
    <format dxfId="194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193">
      <pivotArea dataOnly="0" labelOnly="1" fieldPosition="0">
        <references count="8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2"/>
            <x v="3"/>
          </reference>
          <reference field="31" count="1" selected="0">
            <x v="5"/>
          </reference>
        </references>
      </pivotArea>
    </format>
    <format dxfId="192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3">
            <x v="0"/>
            <x v="1"/>
            <x v="3"/>
          </reference>
          <reference field="31" count="1" selected="0">
            <x v="5"/>
          </reference>
        </references>
      </pivotArea>
    </format>
    <format dxfId="19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9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5"/>
          </reference>
        </references>
      </pivotArea>
    </format>
    <format dxfId="18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5"/>
          </reference>
          <reference field="7" count="1">
            <x v="2"/>
          </reference>
          <reference field="31" count="1" selected="0">
            <x v="6"/>
          </reference>
        </references>
      </pivotArea>
    </format>
    <format dxfId="18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8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86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85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84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8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8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81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1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8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4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5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6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7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7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7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73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72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71">
      <pivotArea dataOnly="0" labelOnly="1" fieldPosition="0">
        <references count="9">
          <reference field="1" count="1" selected="0">
            <x v="1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7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6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6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0"/>
          </reference>
          <reference field="4" count="1" selected="0">
            <x v="2"/>
          </reference>
          <reference field="5" count="1" selected="0">
            <x v="1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2"/>
          </reference>
        </references>
      </pivotArea>
    </format>
    <format dxfId="16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0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1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4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7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3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2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0"/>
          </reference>
          <reference field="6" count="1" selected="0">
            <x v="6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1">
      <pivotArea dataOnly="0" labelOnly="1" fieldPosition="0">
        <references count="9">
          <reference field="1" count="1" selected="0">
            <x v="1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2"/>
          </reference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6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4"/>
          </reference>
        </references>
      </pivotArea>
    </format>
    <format dxfId="15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4"/>
          </reference>
        </references>
      </pivotArea>
    </format>
    <format dxfId="15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1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3">
            <x v="0"/>
            <x v="1"/>
            <x v="2"/>
          </reference>
          <reference field="31" count="1" selected="0">
            <x v="5"/>
          </reference>
        </references>
      </pivotArea>
    </format>
    <format dxfId="153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52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51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50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0"/>
          <reference field="31" count="1" selected="0">
            <x v="5"/>
          </reference>
        </references>
      </pivotArea>
    </format>
    <format dxfId="149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8">
      <pivotArea dataOnly="0" labelOnly="1" fieldPosition="0">
        <references count="9">
          <reference field="1" count="1" selected="0">
            <x v="1"/>
          </reference>
          <reference field="2" count="1" selected="0">
            <x v="4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0"/>
          <reference field="31" count="1" selected="0">
            <x v="5"/>
          </reference>
        </references>
      </pivotArea>
    </format>
    <format dxfId="147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0"/>
          </reference>
          <reference field="8" count="11">
            <x v="0"/>
            <x v="1"/>
            <x v="2"/>
            <x v="3"/>
            <x v="5"/>
            <x v="6"/>
            <x v="7"/>
            <x v="8"/>
            <x v="9"/>
            <x v="10"/>
            <x v="11"/>
          </reference>
          <reference field="31" count="1" selected="0">
            <x v="5"/>
          </reference>
        </references>
      </pivotArea>
    </format>
    <format dxfId="146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1"/>
          </reference>
          <reference field="8" count="6">
            <x v="0"/>
            <x v="5"/>
            <x v="6"/>
            <x v="7"/>
            <x v="10"/>
            <x v="11"/>
          </reference>
          <reference field="31" count="1" selected="0">
            <x v="5"/>
          </reference>
        </references>
      </pivotArea>
    </format>
    <format dxfId="14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3"/>
          </reference>
          <reference field="8" count="3">
            <x v="5"/>
            <x v="6"/>
            <x v="7"/>
          </reference>
          <reference field="31" count="1" selected="0">
            <x v="5"/>
          </reference>
        </references>
      </pivotArea>
    </format>
    <format dxfId="14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2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0"/>
          <reference field="31" count="1" selected="0">
            <x v="5"/>
          </reference>
        </references>
      </pivotArea>
    </format>
    <format dxfId="14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3"/>
          </reference>
          <reference field="5" count="1" selected="0">
            <x v="4"/>
          </reference>
          <reference field="6" count="1" selected="0">
            <x v="5"/>
          </reference>
          <reference field="7" count="1" selected="0">
            <x v="2"/>
          </reference>
          <reference field="8" count="1">
            <x v="0"/>
          </reference>
          <reference field="31" count="1" selected="0">
            <x v="6"/>
          </reference>
        </references>
      </pivotArea>
    </format>
    <format dxfId="141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F1C1BE1-732D-48AC-B85F-7628B103A230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2610E68A-A053-4A75-A1E5-B4EEBC599E37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F13853D7-1BBD-44B3-810B-5D9D70234357}" autoFormatId="0" applyNumberFormats="0" applyBorderFormats="0" applyFontFormats="1" applyPatternFormats="1" applyAlignmentFormats="0" applyWidthHeightFormats="0">
  <queryTableRefresh nextId="43">
    <queryTableFields count="42">
      <queryTableField id="1" name="SUBGRUPO" tableColumnId="43"/>
      <queryTableField id="2" name="MODALIDADE" tableColumnId="44"/>
      <queryTableField id="3" name="CLASSE" tableColumnId="45"/>
      <queryTableField id="4" name="SUBCLASSE" tableColumnId="46"/>
      <queryTableField id="5" name="DETALHE" tableColumnId="47"/>
      <queryTableField id="6" name="POSTO" tableColumnId="48"/>
      <queryTableField id="7" name="UNIDADE" tableColumnId="49"/>
      <queryTableField id="8" name="ACESSANTE" tableColumnId="50"/>
      <queryTableField id="9" name="Total TUSD" tableColumnId="51"/>
      <queryTableField id="10" name="Total TE" tableColumnId="52"/>
      <queryTableField id="11" name="TUSD_CDE_COVID" tableColumnId="53"/>
      <queryTableField id="12" name="TUSD_TFSEE" tableColumnId="54"/>
      <queryTableField id="13" name="TUSD_PeD" tableColumnId="55"/>
      <queryTableField id="14" name="TUSD_ONS" tableColumnId="56"/>
      <queryTableField id="15" name="TUSD_CCC" tableColumnId="57"/>
      <queryTableField id="16" name="TUSD_CDE" tableColumnId="58"/>
      <queryTableField id="17" name="TUSD_PROINFA" tableColumnId="59"/>
      <queryTableField id="18" name="Liminar1" tableColumnId="60"/>
      <queryTableField id="19" name="TUSD_RB" tableColumnId="61"/>
      <queryTableField id="20" name="TUSD_FR" tableColumnId="62"/>
      <queryTableField id="21" name="TUSD_CCT" tableColumnId="63"/>
      <queryTableField id="22" name="TUSD_CCD" tableColumnId="64"/>
      <queryTableField id="23" name="TUSD_CUSD" tableColumnId="65"/>
      <queryTableField id="24" name="TUSDG_T" tableColumnId="66"/>
      <queryTableField id="25" name="TUSDG_ONS" tableColumnId="67"/>
      <queryTableField id="26" name="TUSD_FioB" tableColumnId="68"/>
      <queryTableField id="27" name="TUSD Subsidio" tableColumnId="69"/>
      <queryTableField id="28" name="TUSD Outros" tableColumnId="70"/>
      <queryTableField id="29" name="TUSD_PT" tableColumnId="71"/>
      <queryTableField id="30" name="TUSD_Per_RB_D" tableColumnId="72"/>
      <queryTableField id="31" name="TUSD_PNT" tableColumnId="73"/>
      <queryTableField id="32" name="TUSD_RI" tableColumnId="74"/>
      <queryTableField id="33" name="TE_CDE_COVID" tableColumnId="75"/>
      <queryTableField id="34" name="TE_PeD" tableColumnId="76"/>
      <queryTableField id="35" name="TE_ESSERR" tableColumnId="77"/>
      <queryTableField id="36" name="TE_CFURH" tableColumnId="78"/>
      <queryTableField id="37" name="TE_ENERGIA" tableColumnId="79"/>
      <queryTableField id="38" name="TE_TRANSPORTE_ITAIPU" tableColumnId="80"/>
      <queryTableField id="39" name="TE_TUST_ITAIPU" tableColumnId="81"/>
      <queryTableField id="40" name="TE_TUST_CI" tableColumnId="82"/>
      <queryTableField id="41" name="TE Subsidio" tableColumnId="83"/>
      <queryTableField id="42" name="TE_Per_RB" tableColumnId="84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FB0790-0063-4886-8DE1-2F6C3F116544}" name="Efeito" displayName="Efeito" ref="A1:AG2012" totalsRowShown="0" headerRowDxfId="1275" dataDxfId="1274">
  <autoFilter ref="A1:AG2012" xr:uid="{97FB0790-0063-4886-8DE1-2F6C3F116544}"/>
  <tableColumns count="33">
    <tableColumn id="1" xr3:uid="{17FEA3A9-AC30-4E0F-998B-8A8EA90485BC}" name="TipoMercado" dataDxfId="1273"/>
    <tableColumn id="2" xr3:uid="{E69FE15A-9EF5-45B0-A527-15B567E019A1}" name="Subgrupo" dataDxfId="1272"/>
    <tableColumn id="3" xr3:uid="{EECEE62F-D96D-4898-AD0F-AB2E56C26B86}" name="Modalidade" dataDxfId="1271"/>
    <tableColumn id="4" xr3:uid="{9028CA86-D315-4399-9DE6-E8905DF1E5A1}" name="Classe" dataDxfId="1270"/>
    <tableColumn id="5" xr3:uid="{9EDDB0A6-BE25-4178-8416-9451CEE74F9D}" name="Subclasse" dataDxfId="1269"/>
    <tableColumn id="6" xr3:uid="{2ABCAAD6-7B4A-41ED-ACFD-8A8926F1E230}" name="Detalhe" dataDxfId="1268"/>
    <tableColumn id="7" xr3:uid="{3D558593-5436-4D1A-9A30-6E5F2FBD8A2C}" name="Agente" dataDxfId="1267"/>
    <tableColumn id="8" xr3:uid="{BFE7CA26-4B29-4CC9-906A-A6871F727A0D}" name="Posto" dataDxfId="1266"/>
    <tableColumn id="9" xr3:uid="{FD3762DD-3E72-4097-B9C1-F13EF3D0C091}" name="AnoMes" dataDxfId="1265"/>
    <tableColumn id="10" xr3:uid="{064E45E7-2FD6-4487-B0E4-3A14BA3924C8}" name="D" dataDxfId="1264"/>
    <tableColumn id="11" xr3:uid="{C10547A7-0E10-49F8-BCAF-80EE7FCA3CB8}" name="Daj" dataDxfId="1263"/>
    <tableColumn id="12" xr3:uid="{187D2868-FC49-47AF-B529-483F3947B517}" name="TUSD_E" dataDxfId="1262"/>
    <tableColumn id="13" xr3:uid="{0ED68F1B-1593-42A5-B0CB-B8A6F374BBA8}" name="TUSD_Eaj" dataDxfId="1261"/>
    <tableColumn id="14" xr3:uid="{30D8B33A-2288-494B-8718-10DCFA256047}" name="TE_E" dataDxfId="1260"/>
    <tableColumn id="15" xr3:uid="{63A03597-64A5-4547-9662-911C3FD0B929}" name="TE_Eaj" dataDxfId="1259"/>
    <tableColumn id="16" xr3:uid="{FB4D1199-2CA5-45E4-A048-3AD336EC1E1C}" name="UC" dataDxfId="1258"/>
    <tableColumn id="17" xr3:uid="{1A267379-F996-4AEF-AAB3-E32C13F61CDC}" name="OPÇÃO" dataDxfId="1257"/>
    <tableColumn id="18" xr3:uid="{0B1DC432-B399-43D0-AD3D-188106730374}" name="CóD. AUX." dataDxfId="1256"/>
    <tableColumn id="19" xr3:uid="{393DCE34-5FB0-4DCF-861E-5712DF92D902}" name="CóD. AUX. TUSD R$/kW" dataDxfId="1255"/>
    <tableColumn id="20" xr3:uid="{187AB4AD-3197-4AF6-99C7-B1EC27647FEB}" name="CóD. AUX. TUSD R$/MWh" dataDxfId="1254"/>
    <tableColumn id="21" xr3:uid="{1A374386-1945-49B2-984A-10ABF0C87F75}" name="CóD. AUX. TE R$/MWh" dataDxfId="1253"/>
    <tableColumn id="22" xr3:uid="{F8F6B7C8-C2F0-47A2-AA6F-16715DD0295B}" name="TUSD (R$/kW)" dataDxfId="1252"/>
    <tableColumn id="23" xr3:uid="{51840CFD-2E00-49CC-9198-04C9B4A8BF3D}" name="TUSD (R$/MWh)" dataDxfId="1251"/>
    <tableColumn id="24" xr3:uid="{DC0F439B-0C9C-404C-93B8-56BA264E919C}" name="TE (R$/MWh)" dataDxfId="1250"/>
    <tableColumn id="25" xr3:uid="{13BE5FD1-D1B3-4668-BDB4-640A739DBDCC}" name="TUSD (R$/kW) NOVA" dataDxfId="1249"/>
    <tableColumn id="26" xr3:uid="{E81DFFC3-F3C0-404E-9164-556FDF593FEB}" name="TUSD (R$/MWh) NOVA" dataDxfId="1248">
      <calculatedColumnFormula>('TUSD BE'!$AM$61+'TUSD BF'!$AM$61+'TUSD CVA'!$AM$61)*1</calculatedColumnFormula>
    </tableColumn>
    <tableColumn id="27" xr3:uid="{24E320FD-0FA9-4625-A488-D16892302E4E}" name="TE (R$/MWh) NOVA" dataDxfId="1247">
      <calculatedColumnFormula>('TE BE'!$AA$43+'TE BF'!$AA$43+'TE CVA'!$AA$43)*1</calculatedColumnFormula>
    </tableColumn>
    <tableColumn id="28" xr3:uid="{E3F7D9A7-616D-4825-964C-EE6BAB7F68C9}" name="RA0 ou RV - TUSD (kW)" dataDxfId="1246"/>
    <tableColumn id="29" xr3:uid="{78199811-3907-4040-A15A-44F03A480C1F}" name="RA0 ou RV - TUSD (MWh)" dataDxfId="1245"/>
    <tableColumn id="30" xr3:uid="{1164C508-97F8-4914-A8FE-1F865F1B4910}" name="RA0 ou RV - TE (MWh)" dataDxfId="1244"/>
    <tableColumn id="31" xr3:uid="{94DAE5D8-0A81-486E-A834-24F3FD406717}" name="RA1 ou RRD - TUSD (kW)" dataDxfId="1243"/>
    <tableColumn id="32" xr3:uid="{7DBD85FD-6AE9-42F6-ACFB-D47500FD0E83}" name="RA1 ou RRD - TUSD (MWh)" dataDxfId="1242"/>
    <tableColumn id="33" xr3:uid="{66A3B8E7-3CFC-4821-A141-29A7B5435A04}" name="RA1 ou RRD - TE (MWh)" dataDxfId="12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50BB1F-2BB3-4718-843D-A1FEE6759EF6}" name="Subsidio" displayName="Subsidio" ref="A1:AF704" totalsRowShown="0" headerRowDxfId="1240" dataDxfId="1239">
  <autoFilter ref="A1:AF704" xr:uid="{9B50BB1F-2BB3-4718-843D-A1FEE6759EF6}"/>
  <tableColumns count="32">
    <tableColumn id="1" xr3:uid="{E3D3F924-701E-4DFC-8FF3-B31B058615E5}" name="TipoMercado" dataDxfId="1238"/>
    <tableColumn id="2" xr3:uid="{B27DD12A-A476-48FC-9AB2-F3EBE000734F}" name="Subgrupo" dataDxfId="1237"/>
    <tableColumn id="3" xr3:uid="{C1C8F513-2F46-4C14-8CE3-FBFC28495443}" name="Modalidade" dataDxfId="1236"/>
    <tableColumn id="4" xr3:uid="{E7DF2F6D-9125-4095-8581-15A934286C65}" name="Classe" dataDxfId="1235"/>
    <tableColumn id="5" xr3:uid="{35BEA385-8A6D-4D58-AFBB-5E47C62BB55D}" name="Subclasse" dataDxfId="1234"/>
    <tableColumn id="6" xr3:uid="{6C768845-C7CB-4AB4-BDA0-1B37D4DCC6DA}" name="Detalhe" dataDxfId="1233"/>
    <tableColumn id="7" xr3:uid="{0ADBE5F9-A9B0-4874-AB11-A13C050601C5}" name="Agente" dataDxfId="1232"/>
    <tableColumn id="8" xr3:uid="{2BB2EF20-7C2E-42F9-B3D1-82EEDE8E903E}" name="Posto" dataDxfId="1231"/>
    <tableColumn id="9" xr3:uid="{1BFE7FC0-8D1F-48E8-985E-A4DC531114A4}" name="AnoMes" dataDxfId="1230"/>
    <tableColumn id="10" xr3:uid="{52901F23-3C99-41E9-9BB3-1E8213F5D447}" name="D" dataDxfId="1229"/>
    <tableColumn id="11" xr3:uid="{3601E82B-4429-4810-BD4C-D78C3038A019}" name="Daj" dataDxfId="1228"/>
    <tableColumn id="12" xr3:uid="{A11C3128-0A84-459F-8973-80F62FD7F251}" name="TUSD_E" dataDxfId="1227"/>
    <tableColumn id="13" xr3:uid="{DE913F8B-2137-46D8-B94D-E1F7B65FF3B9}" name="TUSD_Eaj" dataDxfId="1226"/>
    <tableColumn id="14" xr3:uid="{739B4668-96EF-4168-8032-7865266CFCA9}" name="TE_E" dataDxfId="1225"/>
    <tableColumn id="15" xr3:uid="{05072C42-74B7-4B6E-BB08-5C783066DD54}" name="TE_Eaj" dataDxfId="1224"/>
    <tableColumn id="16" xr3:uid="{4FF8F443-24D7-4943-AAF1-4500D2A0417D}" name="UC" dataDxfId="1223"/>
    <tableColumn id="17" xr3:uid="{497C1C27-BDBE-4753-9234-B92A28D9B644}" name="OPÇÃO" dataDxfId="1222"/>
    <tableColumn id="18" xr3:uid="{D4F03B74-AC5F-456C-88CB-16C9C93B1CF6}" name="CóD. AUX." dataDxfId="1221"/>
    <tableColumn id="19" xr3:uid="{AFF24A50-3CA3-4A34-8C7E-26604489440E}" name="CóD. AUX. TUSD R$/kW" dataDxfId="1220"/>
    <tableColumn id="20" xr3:uid="{ADCAF52C-0643-494E-B028-CEC4E59C96F0}" name="CóD. AUX. TUSD R$/MWh" dataDxfId="1219"/>
    <tableColumn id="21" xr3:uid="{75FD8C6C-DF17-40FC-A20D-492EF0C51FA3}" name="CóD. AUX. TE R$/MWh" dataDxfId="1218"/>
    <tableColumn id="22" xr3:uid="{396B093F-CDBD-45FF-B3A3-B3218586323D}" name="TUSD (R$/kW)" dataDxfId="1217"/>
    <tableColumn id="23" xr3:uid="{123AB0B1-D987-4585-B1B4-FEBE326A0745}" name="TUSD (R$/MWh)" dataDxfId="1216"/>
    <tableColumn id="24" xr3:uid="{61F0FD9B-0F5A-4CB5-B120-348FE72DDF27}" name="TE (R$/MWh)" dataDxfId="1215"/>
    <tableColumn id="25" xr3:uid="{F1638FFB-32EF-46A1-B350-0B23CDE3EEAE}" name="TUSD (R$/kW) NOVA" dataDxfId="1214"/>
    <tableColumn id="26" xr3:uid="{F8CBD118-EB4B-40D8-B2F7-9D855D715265}" name="TUSD (R$/MWh) NOVA" dataDxfId="1213">
      <calculatedColumnFormula>('TUSD BE'!$AM$59+'TUSD BF'!$AM$59+'TUSD CVA'!$AM$59)*1</calculatedColumnFormula>
    </tableColumn>
    <tableColumn id="27" xr3:uid="{E5246DF0-859C-4644-A4A1-A0E843122E6A}" name="TE (R$/MWh) NOVA" dataDxfId="1212">
      <calculatedColumnFormula>('TE BE'!$AA$41+'TE BF'!$AA$41+'TE CVA'!$AA$41)*1</calculatedColumnFormula>
    </tableColumn>
    <tableColumn id="28" xr3:uid="{8D180631-DCC9-429B-9D0B-0AEA620CEB11}" name="SUBSIDIO kW - TV" dataDxfId="1211">
      <calculatedColumnFormula>(J2-K2)*V2</calculatedColumnFormula>
    </tableColumn>
    <tableColumn id="29" xr3:uid="{4AABE6AD-75F2-4BAE-8A47-BAB445121336}" name="SUBSIDIO MWh - TV" dataDxfId="1210">
      <calculatedColumnFormula>(L2-M2)*W2+(N2-O2)*X2</calculatedColumnFormula>
    </tableColumn>
    <tableColumn id="30" xr3:uid="{DA65BABA-507E-45F3-A20D-3AE140F444B5}" name="SUBSIDIO kW - TN" dataDxfId="1209">
      <calculatedColumnFormula>(J2-K2)*Y2</calculatedColumnFormula>
    </tableColumn>
    <tableColumn id="31" xr3:uid="{6847BA2B-3320-4C75-82F6-7537F8581150}" name="SUBSIDIO MWh - TN" dataDxfId="1208">
      <calculatedColumnFormula>(L2-M2)*Z2+(N2-O2)*AA2</calculatedColumnFormula>
    </tableColumn>
    <tableColumn id="32" xr3:uid="{E35AC80C-BF39-412C-9E32-B7F40B8AF0DF}" name="TIPO" dataDxfId="120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D09842-91DF-4EC1-8CF8-C4F6052FD902}" name="TabelaFin" displayName="TabelaFin" ref="B3:AQ65" tableType="queryTable" totalsRowShown="0" headerRowDxfId="140" dataDxfId="138" headerRowBorderDxfId="139" tableBorderDxfId="137" totalsRowBorderDxfId="136">
  <autoFilter ref="B3:AQ65" xr:uid="{2BD09842-91DF-4EC1-8CF8-C4F6052FD902}"/>
  <sortState xmlns:xlrd2="http://schemas.microsoft.com/office/spreadsheetml/2017/richdata2" ref="B4:AQ65">
    <sortCondition ref="B4:B65"/>
    <sortCondition ref="C4:C65"/>
    <sortCondition ref="D4:D65"/>
    <sortCondition ref="E4:E65"/>
    <sortCondition ref="F4:F65"/>
    <sortCondition descending="1" ref="G4:G65"/>
    <sortCondition descending="1" ref="H4:H65"/>
    <sortCondition ref="I4:I65"/>
  </sortState>
  <tableColumns count="42">
    <tableColumn id="43" xr3:uid="{4CC2D6C4-6452-4273-87C5-B766436E2840}" uniqueName="43" name="SUBGRUPO" queryTableFieldId="1" dataDxfId="135"/>
    <tableColumn id="44" xr3:uid="{2EB76DF7-3918-480C-984C-6A4CAB6E34A9}" uniqueName="44" name="MODALIDADE" queryTableFieldId="2" dataDxfId="134"/>
    <tableColumn id="45" xr3:uid="{60923A6F-45E2-44D4-B648-1CDE02D1C655}" uniqueName="45" name="CLASSE" queryTableFieldId="3" dataDxfId="133"/>
    <tableColumn id="46" xr3:uid="{38F59FCB-256B-4367-8A07-F231F00043B4}" uniqueName="46" name="SUBCLASSE" queryTableFieldId="4" dataDxfId="132"/>
    <tableColumn id="47" xr3:uid="{5BE06E87-B5B9-4106-B484-EE861CB05A2C}" uniqueName="47" name="DETALHE" queryTableFieldId="5" dataDxfId="131"/>
    <tableColumn id="48" xr3:uid="{4A9DA3B6-66DD-43D3-8193-E3515B227A12}" uniqueName="48" name="POSTO" queryTableFieldId="6" dataDxfId="130"/>
    <tableColumn id="49" xr3:uid="{04817D94-B796-4933-8000-EAC5B1AE6BC6}" uniqueName="49" name="UNIDADE" queryTableFieldId="7" dataDxfId="129"/>
    <tableColumn id="50" xr3:uid="{F7378942-BD5D-4102-8A0C-05508570B808}" uniqueName="50" name="ACESSANTE" queryTableFieldId="8" dataDxfId="128"/>
    <tableColumn id="51" xr3:uid="{8B06D301-D728-4880-8E57-7CB09432D672}" uniqueName="51" name="Total TUSD" queryTableFieldId="9" dataDxfId="127"/>
    <tableColumn id="52" xr3:uid="{F1085EAE-DF33-4894-B12B-F1982FF30C2F}" uniqueName="52" name="Total TE" queryTableFieldId="10" dataDxfId="126"/>
    <tableColumn id="53" xr3:uid="{727D128D-E35B-42FF-9DF8-EC1940659F91}" uniqueName="53" name="TUSD_CDE_COVID" queryTableFieldId="11" dataDxfId="125"/>
    <tableColumn id="54" xr3:uid="{710FFA5A-9759-4DA3-B0ED-260D1FF979DD}" uniqueName="54" name="TUSD_TFSEE" queryTableFieldId="12" dataDxfId="124"/>
    <tableColumn id="55" xr3:uid="{22E3E83F-E0C1-4CC7-9FF5-12D1392B47E1}" uniqueName="55" name="TUSD_PeD" queryTableFieldId="13" dataDxfId="123"/>
    <tableColumn id="56" xr3:uid="{547BC775-C3EF-476F-8877-7294BCBD8685}" uniqueName="56" name="TUSD_ONS" queryTableFieldId="14" dataDxfId="122"/>
    <tableColumn id="57" xr3:uid="{3185C8CD-0F39-4E61-AD55-D519BBCB7FDD}" uniqueName="57" name="TUSD_CCC" queryTableFieldId="15" dataDxfId="121"/>
    <tableColumn id="58" xr3:uid="{0A159505-277C-4A78-AAD3-68E6FBE939A0}" uniqueName="58" name="TUSD_CDE" queryTableFieldId="16" dataDxfId="120"/>
    <tableColumn id="59" xr3:uid="{8E719783-891B-446D-B8C1-61F9F17A467C}" uniqueName="59" name="TUSD_PROINFA" queryTableFieldId="17" dataDxfId="119"/>
    <tableColumn id="60" xr3:uid="{7FA1B96B-E7BB-4118-8765-64093DA629AF}" uniqueName="60" name="Liminar1" queryTableFieldId="18" dataDxfId="118"/>
    <tableColumn id="61" xr3:uid="{F4DCD5BD-CFCB-4213-AA4C-15AD773DA7A7}" uniqueName="61" name="TUSD_RB" queryTableFieldId="19" dataDxfId="117"/>
    <tableColumn id="62" xr3:uid="{F726AD40-290C-4680-AE3C-A61BB2F38C9F}" uniqueName="62" name="TUSD_FR" queryTableFieldId="20" dataDxfId="116"/>
    <tableColumn id="63" xr3:uid="{7E43C1BD-7D31-43C7-8B22-F381CA5CCA9D}" uniqueName="63" name="TUSD_CCT" queryTableFieldId="21" dataDxfId="115"/>
    <tableColumn id="64" xr3:uid="{7EB1DE7E-1320-456F-801E-35FCBE6E1F1A}" uniqueName="64" name="TUSD_CCD" queryTableFieldId="22" dataDxfId="114"/>
    <tableColumn id="65" xr3:uid="{170AEBA5-5A71-4DBA-A8CE-9FB915618150}" uniqueName="65" name="TUSD_CUSD" queryTableFieldId="23" dataDxfId="113"/>
    <tableColumn id="66" xr3:uid="{1A5E59BC-8FF0-48EF-BD2C-7B9EC08742B5}" uniqueName="66" name="TUSDG_T" queryTableFieldId="24" dataDxfId="112"/>
    <tableColumn id="67" xr3:uid="{4B67B895-3EC3-4A6C-AFFD-0841C7B9AB82}" uniqueName="67" name="TUSDG_ONS" queryTableFieldId="25" dataDxfId="111"/>
    <tableColumn id="68" xr3:uid="{70C06EA6-6FF0-4BE3-9E16-C90E9EAD655D}" uniqueName="68" name="TUSD_FioB" queryTableFieldId="26" dataDxfId="110"/>
    <tableColumn id="69" xr3:uid="{F8CD8987-23D9-4349-ACF2-A1F4B499EC03}" uniqueName="69" name="TUSD Subsidio" queryTableFieldId="27" dataDxfId="109"/>
    <tableColumn id="70" xr3:uid="{AD7F183F-A20F-46C3-921C-850897E7A561}" uniqueName="70" name="TUSD Outros" queryTableFieldId="28" dataDxfId="108"/>
    <tableColumn id="71" xr3:uid="{83399B7B-049F-4DBF-8E6C-AD5643A4630C}" uniqueName="71" name="TUSD_PT" queryTableFieldId="29" dataDxfId="107"/>
    <tableColumn id="72" xr3:uid="{B7DE9413-0614-490D-9028-68C555FAFD77}" uniqueName="72" name="TUSD_Per_RB_D" queryTableFieldId="30" dataDxfId="106"/>
    <tableColumn id="73" xr3:uid="{65C36163-261D-4555-A949-9BAFDE677A1D}" uniqueName="73" name="TUSD_PNT" queryTableFieldId="31" dataDxfId="105"/>
    <tableColumn id="74" xr3:uid="{B4F84EBB-6A1D-41AC-8B0F-149838337CA3}" uniqueName="74" name="TUSD_RI" queryTableFieldId="32" dataDxfId="104"/>
    <tableColumn id="75" xr3:uid="{4B4D5295-2F1D-4787-B884-6DB4CB94E3F9}" uniqueName="75" name="TE_CDE_COVID" queryTableFieldId="33" dataDxfId="103"/>
    <tableColumn id="76" xr3:uid="{74503D30-7B86-45E9-A3F7-6A53FBD17BDF}" uniqueName="76" name="TE_PeD" queryTableFieldId="34" dataDxfId="102"/>
    <tableColumn id="77" xr3:uid="{906F218B-5B99-48D4-AA38-E2739E7C2394}" uniqueName="77" name="TE_ESSERR" queryTableFieldId="35" dataDxfId="101"/>
    <tableColumn id="78" xr3:uid="{48EA4B3F-2C22-4A1E-B40A-E70E0563510E}" uniqueName="78" name="TE_CFURH" queryTableFieldId="36" dataDxfId="100"/>
    <tableColumn id="79" xr3:uid="{EDFEF026-1D0A-43E2-94BA-80263712B2C6}" uniqueName="79" name="TE_ENERGIA" queryTableFieldId="37" dataDxfId="99"/>
    <tableColumn id="80" xr3:uid="{1903793B-EE15-4372-BB10-232A7BB328B2}" uniqueName="80" name="TE_TRANSPORTE_ITAIPU" queryTableFieldId="38" dataDxfId="98"/>
    <tableColumn id="81" xr3:uid="{3736B33F-8EE0-45EC-9CC5-8BF222B1C04A}" uniqueName="81" name="TE_TUST_ITAIPU" queryTableFieldId="39" dataDxfId="97"/>
    <tableColumn id="82" xr3:uid="{6178E8FB-3DAF-4290-B529-F0B807767DAD}" uniqueName="82" name="TE_TUST_CI" queryTableFieldId="40" dataDxfId="96"/>
    <tableColumn id="83" xr3:uid="{775F8885-5DAD-4172-A020-160265C9B580}" uniqueName="83" name="TE Subsidio" queryTableFieldId="41" dataDxfId="95"/>
    <tableColumn id="84" xr3:uid="{CF88DE4A-C8EA-4D99-82BA-DE4FDC018F12}" uniqueName="84" name="TE_Per_RB" queryTableFieldId="42" dataDxfId="9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BFEA1F1-0D8B-4DD4-AF5A-CDEC6BF0B693}" name="TabelaEc" displayName="TabelaEc" ref="B3:AQ65" tableType="queryTable" totalsRowShown="0" headerRowDxfId="93" dataDxfId="91" headerRowBorderDxfId="92" tableBorderDxfId="90" totalsRowBorderDxfId="89">
  <autoFilter ref="B3:AQ65" xr:uid="{6BFEA1F1-0D8B-4DD4-AF5A-CDEC6BF0B693}"/>
  <sortState xmlns:xlrd2="http://schemas.microsoft.com/office/spreadsheetml/2017/richdata2" ref="B4:AQ65">
    <sortCondition ref="B4:B65"/>
    <sortCondition ref="C4:C65"/>
    <sortCondition ref="D4:D65"/>
    <sortCondition ref="E4:E65"/>
    <sortCondition ref="F4:F65"/>
    <sortCondition descending="1" ref="G4:G65"/>
    <sortCondition descending="1" ref="H4:H65"/>
    <sortCondition ref="I4:I65"/>
  </sortState>
  <tableColumns count="42">
    <tableColumn id="43" xr3:uid="{EC2590F9-B498-48D4-887C-6135A3AA9E1B}" uniqueName="43" name="SUBGRUPO" queryTableFieldId="1" dataDxfId="88"/>
    <tableColumn id="44" xr3:uid="{18E98472-9FF9-4FCD-8BDF-6A23F33B56F6}" uniqueName="44" name="MODALIDADE" queryTableFieldId="2" dataDxfId="87"/>
    <tableColumn id="45" xr3:uid="{F325F356-6D15-4707-AE2F-D370BB0EFFA2}" uniqueName="45" name="CLASSE" queryTableFieldId="3" dataDxfId="86"/>
    <tableColumn id="46" xr3:uid="{629DA4E6-8A22-4E78-9477-B26903E45E4A}" uniqueName="46" name="SUBCLASSE" queryTableFieldId="4" dataDxfId="85"/>
    <tableColumn id="47" xr3:uid="{EBD7F981-4F43-49DD-AD55-9FC648DED72F}" uniqueName="47" name="DETALHE" queryTableFieldId="5" dataDxfId="84"/>
    <tableColumn id="48" xr3:uid="{78DDDB31-9933-4E82-AE96-62BCA5A80241}" uniqueName="48" name="POSTO" queryTableFieldId="6" dataDxfId="83"/>
    <tableColumn id="49" xr3:uid="{4E5AB6E3-CC87-41A5-8F8B-EBFE108CBE45}" uniqueName="49" name="UNIDADE" queryTableFieldId="7" dataDxfId="82"/>
    <tableColumn id="50" xr3:uid="{7C0E467E-1464-4B1C-93FE-17D6D40DB016}" uniqueName="50" name="ACESSANTE" queryTableFieldId="8" dataDxfId="81"/>
    <tableColumn id="51" xr3:uid="{F0A99B8E-EBC1-4401-8F69-4F43C9C70588}" uniqueName="51" name="Total TUSD" queryTableFieldId="9" dataDxfId="80"/>
    <tableColumn id="52" xr3:uid="{04AF3674-4658-44F5-9676-73E69F0AB301}" uniqueName="52" name="Total TE" queryTableFieldId="10" dataDxfId="79"/>
    <tableColumn id="53" xr3:uid="{F06A7D9D-CF01-41EB-A2A5-14F78B817875}" uniqueName="53" name="TUSD_CDE_COVID" queryTableFieldId="11" dataDxfId="78"/>
    <tableColumn id="54" xr3:uid="{7BB4BA99-5E37-47A5-B866-DF5B49B6136C}" uniqueName="54" name="TUSD_TFSEE" queryTableFieldId="12" dataDxfId="77"/>
    <tableColumn id="55" xr3:uid="{591EEDC5-A72B-462C-B676-5EABBEFFF11B}" uniqueName="55" name="TUSD_PeD" queryTableFieldId="13" dataDxfId="76"/>
    <tableColumn id="56" xr3:uid="{FF282B68-E1B4-4DC9-9B79-88C78B9CED11}" uniqueName="56" name="TUSD_ONS" queryTableFieldId="14" dataDxfId="75"/>
    <tableColumn id="57" xr3:uid="{1919B72A-AA98-46CE-8A41-51E79118A676}" uniqueName="57" name="TUSD_CCC" queryTableFieldId="15" dataDxfId="74"/>
    <tableColumn id="58" xr3:uid="{05C34334-0D4F-4E32-8264-695201F03CAB}" uniqueName="58" name="TUSD_CDE" queryTableFieldId="16" dataDxfId="73"/>
    <tableColumn id="59" xr3:uid="{78BEE2A2-314B-4D40-B1D9-E1B5F64F1650}" uniqueName="59" name="TUSD_PROINFA" queryTableFieldId="17" dataDxfId="72"/>
    <tableColumn id="60" xr3:uid="{D40DE413-34D2-47BE-9180-5164E17E5C7B}" uniqueName="60" name="Liminar1" queryTableFieldId="18" dataDxfId="71"/>
    <tableColumn id="61" xr3:uid="{1068D9AE-8B9D-4FCB-8908-F120AB9BB40A}" uniqueName="61" name="TUSD_RB" queryTableFieldId="19" dataDxfId="70"/>
    <tableColumn id="62" xr3:uid="{B9B3FC40-1A28-4D3F-A12D-C1C040360D9F}" uniqueName="62" name="TUSD_FR" queryTableFieldId="20" dataDxfId="69"/>
    <tableColumn id="63" xr3:uid="{92CC1BD7-9117-428E-BBC0-F3E38AC7EA86}" uniqueName="63" name="TUSD_CCT" queryTableFieldId="21" dataDxfId="68"/>
    <tableColumn id="64" xr3:uid="{22583B57-DA10-46B3-9511-38A95151D670}" uniqueName="64" name="TUSD_CCD" queryTableFieldId="22" dataDxfId="67"/>
    <tableColumn id="65" xr3:uid="{7FF959F2-FD25-427D-90BB-9AAEC8151DD0}" uniqueName="65" name="TUSD_CUSD" queryTableFieldId="23" dataDxfId="66"/>
    <tableColumn id="66" xr3:uid="{A66BEFE9-135F-4BAE-B195-8C4293CB6D95}" uniqueName="66" name="TUSDG_T" queryTableFieldId="24" dataDxfId="65"/>
    <tableColumn id="67" xr3:uid="{02F2B13A-9E94-4398-B452-A488169CABBF}" uniqueName="67" name="TUSDG_ONS" queryTableFieldId="25" dataDxfId="64"/>
    <tableColumn id="68" xr3:uid="{C8575C86-602B-4133-A9D2-78D49F774C48}" uniqueName="68" name="TUSD_FioB" queryTableFieldId="26" dataDxfId="63"/>
    <tableColumn id="69" xr3:uid="{38D1B01F-8138-43E2-BCB1-82D188A15232}" uniqueName="69" name="TUSD Subsidio" queryTableFieldId="27" dataDxfId="62"/>
    <tableColumn id="70" xr3:uid="{BDEBF56E-EF13-4A5C-9F99-9580120001F6}" uniqueName="70" name="TUSD Outros" queryTableFieldId="28" dataDxfId="61"/>
    <tableColumn id="71" xr3:uid="{DCFBF77B-D600-466E-ACB4-C6AF3FAEB413}" uniqueName="71" name="TUSD_PT" queryTableFieldId="29" dataDxfId="60"/>
    <tableColumn id="72" xr3:uid="{BAACB6FA-C5CD-49F3-BB0B-71CD03BB7488}" uniqueName="72" name="TUSD_Per_RB_D" queryTableFieldId="30" dataDxfId="59"/>
    <tableColumn id="73" xr3:uid="{A3552A73-EC65-4314-9A03-20BC1F9FFB7F}" uniqueName="73" name="TUSD_PNT" queryTableFieldId="31" dataDxfId="58"/>
    <tableColumn id="74" xr3:uid="{E89017EA-CF46-44A5-B024-284345BCD818}" uniqueName="74" name="TUSD_RI" queryTableFieldId="32" dataDxfId="57"/>
    <tableColumn id="75" xr3:uid="{475E85AB-12BD-47E5-BCE2-3CE40AE35430}" uniqueName="75" name="TE_CDE_COVID" queryTableFieldId="33" dataDxfId="56"/>
    <tableColumn id="76" xr3:uid="{FF858654-026E-4B1F-8B65-9D95BC1D391E}" uniqueName="76" name="TE_PeD" queryTableFieldId="34" dataDxfId="55"/>
    <tableColumn id="77" xr3:uid="{015BD738-124E-4F9E-AE7A-9E2C9516224C}" uniqueName="77" name="TE_ESSERR" queryTableFieldId="35" dataDxfId="54"/>
    <tableColumn id="78" xr3:uid="{E40A8B3D-99B5-4319-AA4A-81E0516F1AB0}" uniqueName="78" name="TE_CFURH" queryTableFieldId="36" dataDxfId="53"/>
    <tableColumn id="79" xr3:uid="{923B72F7-A57F-43D7-AAB3-22BE483F6357}" uniqueName="79" name="TE_ENERGIA" queryTableFieldId="37" dataDxfId="52"/>
    <tableColumn id="80" xr3:uid="{F3266F80-1BEB-44FA-A318-930332DA4DFD}" uniqueName="80" name="TE_TRANSPORTE_ITAIPU" queryTableFieldId="38" dataDxfId="51"/>
    <tableColumn id="81" xr3:uid="{5C563E0A-2032-4C54-8DD9-D1CC002CDC9E}" uniqueName="81" name="TE_TUST_ITAIPU" queryTableFieldId="39" dataDxfId="50"/>
    <tableColumn id="82" xr3:uid="{1A0B327E-CE0A-4BDB-B103-5DE1CAC571BF}" uniqueName="82" name="TE_TUST_CI" queryTableFieldId="40" dataDxfId="49"/>
    <tableColumn id="83" xr3:uid="{BCFCA47B-16A3-4900-95A3-B6DA8A34F936}" uniqueName="83" name="TE Subsidio" queryTableFieldId="41" dataDxfId="48"/>
    <tableColumn id="84" xr3:uid="{DFF8AD4C-5E4F-4964-B000-638075D39B07}" uniqueName="84" name="TE_Per_RB" queryTableFieldId="42" dataDxfId="4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A50FED-4265-403C-8E24-A3F5DE77C2F5}" name="TabelaCVA" displayName="TabelaCVA" ref="B3:AQ65" tableType="queryTable" totalsRowShown="0" headerRowDxfId="46" dataDxfId="44" headerRowBorderDxfId="45" tableBorderDxfId="43" totalsRowBorderDxfId="42">
  <autoFilter ref="B3:AQ65" xr:uid="{D8A50FED-4265-403C-8E24-A3F5DE77C2F5}"/>
  <sortState xmlns:xlrd2="http://schemas.microsoft.com/office/spreadsheetml/2017/richdata2" ref="B4:AQ65">
    <sortCondition ref="B4:B65"/>
    <sortCondition ref="C4:C65"/>
    <sortCondition ref="D4:D65"/>
    <sortCondition ref="E4:E65"/>
    <sortCondition ref="F4:F65"/>
    <sortCondition descending="1" ref="G4:G65"/>
    <sortCondition descending="1" ref="H4:H65"/>
    <sortCondition ref="I4:I65"/>
  </sortState>
  <tableColumns count="42">
    <tableColumn id="43" xr3:uid="{2EA9FAE5-573B-4936-9B2E-F75E33AAA46D}" uniqueName="43" name="SUBGRUPO" queryTableFieldId="1" dataDxfId="41"/>
    <tableColumn id="44" xr3:uid="{4A75D427-6E9F-4E88-A936-7FC43C78F3EF}" uniqueName="44" name="MODALIDADE" queryTableFieldId="2" dataDxfId="40"/>
    <tableColumn id="45" xr3:uid="{9E417CB6-E3AE-4309-B409-0B0F0C66A906}" uniqueName="45" name="CLASSE" queryTableFieldId="3" dataDxfId="39"/>
    <tableColumn id="46" xr3:uid="{16B8845F-23B9-4CCD-97A6-28A1B2CBE94F}" uniqueName="46" name="SUBCLASSE" queryTableFieldId="4" dataDxfId="38"/>
    <tableColumn id="47" xr3:uid="{858E5FC9-4F81-4647-B9EF-120D8E22C251}" uniqueName="47" name="DETALHE" queryTableFieldId="5" dataDxfId="37"/>
    <tableColumn id="48" xr3:uid="{EB0E0C7A-745E-417E-83FC-45596304FB2F}" uniqueName="48" name="POSTO" queryTableFieldId="6" dataDxfId="36"/>
    <tableColumn id="49" xr3:uid="{1D1890F2-0E73-4DAA-B279-C85B516F27FC}" uniqueName="49" name="UNIDADE" queryTableFieldId="7" dataDxfId="35"/>
    <tableColumn id="50" xr3:uid="{9E31B232-11E6-4D1F-9927-CA8102673BD5}" uniqueName="50" name="ACESSANTE" queryTableFieldId="8" dataDxfId="34"/>
    <tableColumn id="51" xr3:uid="{7026D20F-C11A-4CA0-A5D9-849FD376FF3C}" uniqueName="51" name="Total TUSD" queryTableFieldId="9" dataDxfId="33"/>
    <tableColumn id="52" xr3:uid="{20EC4823-781F-4DCB-8570-73F1DFA485B0}" uniqueName="52" name="Total TE" queryTableFieldId="10" dataDxfId="32"/>
    <tableColumn id="53" xr3:uid="{8CD229BF-72FE-45B3-915D-5D0BCD6D1772}" uniqueName="53" name="TUSD_CDE_COVID" queryTableFieldId="11" dataDxfId="31"/>
    <tableColumn id="54" xr3:uid="{4886386E-0011-491C-9E28-48B49778E65E}" uniqueName="54" name="TUSD_TFSEE" queryTableFieldId="12" dataDxfId="30"/>
    <tableColumn id="55" xr3:uid="{7D6FEDEB-A0B4-41B5-9119-DA31B87139B5}" uniqueName="55" name="TUSD_PeD" queryTableFieldId="13" dataDxfId="29"/>
    <tableColumn id="56" xr3:uid="{7333A56C-0533-43E7-9A0C-01DD29F7D49A}" uniqueName="56" name="TUSD_ONS" queryTableFieldId="14" dataDxfId="28"/>
    <tableColumn id="57" xr3:uid="{70B9C8D6-5B4B-45A9-A5B5-16E756806808}" uniqueName="57" name="TUSD_CCC" queryTableFieldId="15" dataDxfId="27"/>
    <tableColumn id="58" xr3:uid="{0B0049BF-7BDA-4F18-8712-F22861CA9C11}" uniqueName="58" name="TUSD_CDE" queryTableFieldId="16" dataDxfId="26"/>
    <tableColumn id="59" xr3:uid="{A26826EF-AA72-4328-8E7E-64D98EBBF278}" uniqueName="59" name="TUSD_PROINFA" queryTableFieldId="17" dataDxfId="25"/>
    <tableColumn id="60" xr3:uid="{818E7E3B-F9AB-47B8-AA73-3D638FCCB410}" uniqueName="60" name="Liminar1" queryTableFieldId="18" dataDxfId="24"/>
    <tableColumn id="61" xr3:uid="{FDFD77AD-D39B-403E-9DE3-ADA87E156F08}" uniqueName="61" name="TUSD_RB" queryTableFieldId="19" dataDxfId="23"/>
    <tableColumn id="62" xr3:uid="{BA4344D7-E60E-41B5-BBEB-D608364DEA84}" uniqueName="62" name="TUSD_FR" queryTableFieldId="20" dataDxfId="22"/>
    <tableColumn id="63" xr3:uid="{C11A8F02-6E46-48CB-8773-779D697A3703}" uniqueName="63" name="TUSD_CCT" queryTableFieldId="21" dataDxfId="21"/>
    <tableColumn id="64" xr3:uid="{4535376B-C337-4AF4-9A1A-285D48F341A9}" uniqueName="64" name="TUSD_CCD" queryTableFieldId="22" dataDxfId="20"/>
    <tableColumn id="65" xr3:uid="{B9FD6439-B940-4EB1-8E63-D2E92AEFFE4F}" uniqueName="65" name="TUSD_CUSD" queryTableFieldId="23" dataDxfId="19"/>
    <tableColumn id="66" xr3:uid="{25DB3FA6-346D-47FF-B46B-061549F5E345}" uniqueName="66" name="TUSDG_T" queryTableFieldId="24" dataDxfId="18"/>
    <tableColumn id="67" xr3:uid="{F18B9EDB-ADB5-4A23-B322-277408F4D3A0}" uniqueName="67" name="TUSDG_ONS" queryTableFieldId="25" dataDxfId="17"/>
    <tableColumn id="68" xr3:uid="{621867AB-93AB-411B-8207-97F439325448}" uniqueName="68" name="TUSD_FioB" queryTableFieldId="26" dataDxfId="16"/>
    <tableColumn id="69" xr3:uid="{AF7AB860-CB6B-43F1-83F8-42EEF07E9983}" uniqueName="69" name="TUSD Subsidio" queryTableFieldId="27" dataDxfId="15"/>
    <tableColumn id="70" xr3:uid="{0921C207-0A17-49E4-849E-8CF5149C1D4A}" uniqueName="70" name="TUSD Outros" queryTableFieldId="28" dataDxfId="14"/>
    <tableColumn id="71" xr3:uid="{B6EBC651-9644-43CB-8C8C-9EFFBAC41B77}" uniqueName="71" name="TUSD_PT" queryTableFieldId="29" dataDxfId="13"/>
    <tableColumn id="72" xr3:uid="{1A6ED8B9-F72F-4EC8-9ED0-A5001FA73489}" uniqueName="72" name="TUSD_Per_RB_D" queryTableFieldId="30" dataDxfId="12"/>
    <tableColumn id="73" xr3:uid="{0875D4F1-D759-482B-8FE6-3DDE0DF7C329}" uniqueName="73" name="TUSD_PNT" queryTableFieldId="31" dataDxfId="11"/>
    <tableColumn id="74" xr3:uid="{3B41CF0B-0090-4EC9-837B-BAA62789ADB4}" uniqueName="74" name="TUSD_RI" queryTableFieldId="32" dataDxfId="10"/>
    <tableColumn id="75" xr3:uid="{53F9AD22-5A72-454E-AC37-BF91D1C7151B}" uniqueName="75" name="TE_CDE_COVID" queryTableFieldId="33" dataDxfId="9"/>
    <tableColumn id="76" xr3:uid="{C38A5E07-4044-44A2-94DC-54DF0E195F79}" uniqueName="76" name="TE_PeD" queryTableFieldId="34" dataDxfId="8"/>
    <tableColumn id="77" xr3:uid="{66B19FEE-4E04-4F88-9F3F-D2D5EF47A0D2}" uniqueName="77" name="TE_ESSERR" queryTableFieldId="35" dataDxfId="7"/>
    <tableColumn id="78" xr3:uid="{085EB5F5-341F-4190-B939-47CB48D49B4A}" uniqueName="78" name="TE_CFURH" queryTableFieldId="36" dataDxfId="6"/>
    <tableColumn id="79" xr3:uid="{275AE12E-A1B1-4546-8E6B-AB8436782C11}" uniqueName="79" name="TE_ENERGIA" queryTableFieldId="37" dataDxfId="5"/>
    <tableColumn id="80" xr3:uid="{24C31A06-96C8-4D3B-B001-763015CB6E9C}" uniqueName="80" name="TE_TRANSPORTE_ITAIPU" queryTableFieldId="38" dataDxfId="4"/>
    <tableColumn id="81" xr3:uid="{EE53ECF0-0919-4B0B-A818-95FEA4A0F282}" uniqueName="81" name="TE_TUST_ITAIPU" queryTableFieldId="39" dataDxfId="3"/>
    <tableColumn id="82" xr3:uid="{09CA22E0-60B1-4596-BD81-9E18930E62EC}" uniqueName="82" name="TE_TUST_CI" queryTableFieldId="40" dataDxfId="2"/>
    <tableColumn id="83" xr3:uid="{AB65906C-4FFD-4C90-B7AF-722FFB98AC43}" uniqueName="83" name="TE Subsidio" queryTableFieldId="41" dataDxfId="1"/>
    <tableColumn id="84" xr3:uid="{A33FA1E6-B2AE-4340-8CD7-82270982113C}" uniqueName="84" name="TE_Per_RB" queryTableFieldId="4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E8B11-DB1E-401F-B94D-32A3BE8489DA}">
  <dimension ref="A1:W2012"/>
  <sheetViews>
    <sheetView showGridLines="0" topLeftCell="H1976" workbookViewId="0">
      <selection activeCell="T2013" sqref="T2013"/>
    </sheetView>
  </sheetViews>
  <sheetFormatPr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3.7109375" style="3" bestFit="1" customWidth="1"/>
    <col min="7" max="7" width="20" style="3" bestFit="1" customWidth="1"/>
    <col min="8" max="8" width="10.28515625" style="3" bestFit="1" customWidth="1"/>
    <col min="9" max="9" width="8.7109375" style="6" bestFit="1" customWidth="1"/>
    <col min="10" max="11" width="7.85546875" style="4" bestFit="1" customWidth="1"/>
    <col min="12" max="16" width="8.7109375" style="4" bestFit="1" customWidth="1"/>
    <col min="17" max="17" width="11" style="3" bestFit="1" customWidth="1"/>
    <col min="18" max="18" width="8.5703125" style="3" bestFit="1" customWidth="1"/>
    <col min="19" max="19" width="78.140625" style="3" bestFit="1" customWidth="1"/>
    <col min="20" max="20" width="83.85546875" style="3" bestFit="1" customWidth="1"/>
    <col min="21" max="21" width="18.42578125" style="3" bestFit="1" customWidth="1"/>
    <col min="22" max="22" width="19.85546875" style="3" bestFit="1" customWidth="1"/>
    <col min="23" max="23" width="17.7109375" style="3" bestFit="1" customWidth="1"/>
    <col min="24" max="16384" width="9.140625" style="3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107</v>
      </c>
      <c r="T1" s="1" t="s">
        <v>512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3" t="s">
        <v>21</v>
      </c>
      <c r="B2" s="3" t="s">
        <v>41</v>
      </c>
      <c r="C2" s="3" t="s">
        <v>42</v>
      </c>
      <c r="D2" s="3" t="s">
        <v>43</v>
      </c>
      <c r="E2" s="3" t="s">
        <v>25</v>
      </c>
      <c r="F2" s="3" t="s">
        <v>25</v>
      </c>
      <c r="G2" s="3" t="s">
        <v>25</v>
      </c>
      <c r="H2" s="3" t="s">
        <v>36</v>
      </c>
      <c r="I2" s="6">
        <v>44317</v>
      </c>
      <c r="J2" s="4">
        <v>200</v>
      </c>
      <c r="K2" s="4">
        <v>200</v>
      </c>
      <c r="L2" s="4">
        <v>27.738</v>
      </c>
      <c r="M2" s="4">
        <v>27.738</v>
      </c>
      <c r="N2" s="4">
        <v>27.738</v>
      </c>
      <c r="O2" s="4">
        <v>27.738</v>
      </c>
      <c r="P2" s="4">
        <v>0</v>
      </c>
      <c r="Q2" s="3" t="s">
        <v>26</v>
      </c>
      <c r="R2" s="3">
        <v>0</v>
      </c>
      <c r="S2" s="3" t="s">
        <v>108</v>
      </c>
      <c r="T2" s="3" t="s">
        <v>513</v>
      </c>
      <c r="U2" s="3">
        <v>93</v>
      </c>
      <c r="V2" s="3">
        <v>94</v>
      </c>
      <c r="W2" s="3">
        <v>48</v>
      </c>
    </row>
    <row r="3" spans="1:23" ht="11.25" customHeight="1" x14ac:dyDescent="0.25">
      <c r="A3" s="3" t="s">
        <v>28</v>
      </c>
      <c r="B3" s="3" t="s">
        <v>41</v>
      </c>
      <c r="C3" s="3" t="s">
        <v>42</v>
      </c>
      <c r="D3" s="3" t="s">
        <v>43</v>
      </c>
      <c r="E3" s="3" t="s">
        <v>25</v>
      </c>
      <c r="F3" s="3" t="s">
        <v>25</v>
      </c>
      <c r="G3" s="3" t="s">
        <v>25</v>
      </c>
      <c r="H3" s="3" t="s">
        <v>36</v>
      </c>
      <c r="I3" s="6">
        <v>44317</v>
      </c>
      <c r="J3" s="4">
        <v>200</v>
      </c>
      <c r="K3" s="4">
        <v>200</v>
      </c>
      <c r="L3" s="4">
        <v>52.478000000000002</v>
      </c>
      <c r="M3" s="4">
        <v>52.478000000000002</v>
      </c>
      <c r="N3" s="4">
        <v>52.478000000000002</v>
      </c>
      <c r="O3" s="4">
        <v>52.478000000000002</v>
      </c>
      <c r="P3" s="4">
        <v>0</v>
      </c>
      <c r="Q3" s="3" t="s">
        <v>26</v>
      </c>
      <c r="R3" s="3">
        <v>0</v>
      </c>
      <c r="S3" s="3" t="s">
        <v>108</v>
      </c>
      <c r="T3" s="3" t="s">
        <v>513</v>
      </c>
      <c r="U3" s="3">
        <v>93</v>
      </c>
      <c r="V3" s="3">
        <v>94</v>
      </c>
      <c r="W3" s="3">
        <v>48</v>
      </c>
    </row>
    <row r="4" spans="1:23" ht="11.25" customHeight="1" x14ac:dyDescent="0.25">
      <c r="A4" s="3" t="s">
        <v>21</v>
      </c>
      <c r="B4" s="3" t="s">
        <v>41</v>
      </c>
      <c r="C4" s="3" t="s">
        <v>42</v>
      </c>
      <c r="D4" s="3" t="s">
        <v>43</v>
      </c>
      <c r="E4" s="3" t="s">
        <v>25</v>
      </c>
      <c r="F4" s="3" t="s">
        <v>25</v>
      </c>
      <c r="G4" s="3" t="s">
        <v>25</v>
      </c>
      <c r="H4" s="3" t="s">
        <v>36</v>
      </c>
      <c r="I4" s="6">
        <v>44317</v>
      </c>
      <c r="J4" s="4">
        <v>3500</v>
      </c>
      <c r="K4" s="4">
        <v>3500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57</v>
      </c>
      <c r="R4" s="3">
        <v>0</v>
      </c>
      <c r="S4" s="3" t="s">
        <v>108</v>
      </c>
      <c r="U4" s="3">
        <v>93</v>
      </c>
      <c r="V4" s="3">
        <v>0</v>
      </c>
      <c r="W4" s="3">
        <v>0</v>
      </c>
    </row>
    <row r="5" spans="1:23" ht="11.25" customHeight="1" x14ac:dyDescent="0.25">
      <c r="A5" s="3" t="s">
        <v>21</v>
      </c>
      <c r="B5" s="3" t="s">
        <v>41</v>
      </c>
      <c r="C5" s="3" t="s">
        <v>42</v>
      </c>
      <c r="D5" s="3" t="s">
        <v>43</v>
      </c>
      <c r="E5" s="3" t="s">
        <v>25</v>
      </c>
      <c r="F5" s="3" t="s">
        <v>25</v>
      </c>
      <c r="G5" s="3" t="s">
        <v>25</v>
      </c>
      <c r="H5" s="3" t="s">
        <v>36</v>
      </c>
      <c r="I5" s="6">
        <v>44348</v>
      </c>
      <c r="J5" s="4">
        <v>200</v>
      </c>
      <c r="K5" s="4">
        <v>200</v>
      </c>
      <c r="L5" s="4">
        <v>28.448</v>
      </c>
      <c r="M5" s="4">
        <v>28.448</v>
      </c>
      <c r="N5" s="4">
        <v>28.448</v>
      </c>
      <c r="O5" s="4">
        <v>28.448</v>
      </c>
      <c r="P5" s="4">
        <v>0</v>
      </c>
      <c r="Q5" s="3" t="s">
        <v>26</v>
      </c>
      <c r="R5" s="3">
        <v>0</v>
      </c>
      <c r="S5" s="3" t="s">
        <v>109</v>
      </c>
      <c r="T5" s="3" t="s">
        <v>514</v>
      </c>
      <c r="U5" s="3">
        <v>93</v>
      </c>
      <c r="V5" s="3">
        <v>94</v>
      </c>
      <c r="W5" s="3">
        <v>48</v>
      </c>
    </row>
    <row r="6" spans="1:23" ht="11.25" customHeight="1" x14ac:dyDescent="0.25">
      <c r="A6" s="3" t="s">
        <v>28</v>
      </c>
      <c r="B6" s="3" t="s">
        <v>41</v>
      </c>
      <c r="C6" s="3" t="s">
        <v>42</v>
      </c>
      <c r="D6" s="3" t="s">
        <v>43</v>
      </c>
      <c r="E6" s="3" t="s">
        <v>25</v>
      </c>
      <c r="F6" s="3" t="s">
        <v>25</v>
      </c>
      <c r="G6" s="3" t="s">
        <v>25</v>
      </c>
      <c r="H6" s="3" t="s">
        <v>36</v>
      </c>
      <c r="I6" s="6">
        <v>44348</v>
      </c>
      <c r="J6" s="4">
        <v>200</v>
      </c>
      <c r="K6" s="4">
        <v>200</v>
      </c>
      <c r="L6" s="4">
        <v>47.994</v>
      </c>
      <c r="M6" s="4">
        <v>47.994</v>
      </c>
      <c r="N6" s="4">
        <v>47.994</v>
      </c>
      <c r="O6" s="4">
        <v>47.994</v>
      </c>
      <c r="P6" s="4">
        <v>0</v>
      </c>
      <c r="Q6" s="3" t="s">
        <v>26</v>
      </c>
      <c r="R6" s="3">
        <v>0</v>
      </c>
      <c r="S6" s="3" t="s">
        <v>109</v>
      </c>
      <c r="T6" s="3" t="s">
        <v>514</v>
      </c>
      <c r="U6" s="3">
        <v>93</v>
      </c>
      <c r="V6" s="3">
        <v>94</v>
      </c>
      <c r="W6" s="3">
        <v>48</v>
      </c>
    </row>
    <row r="7" spans="1:23" ht="11.25" customHeight="1" x14ac:dyDescent="0.25">
      <c r="A7" s="3" t="s">
        <v>21</v>
      </c>
      <c r="B7" s="3" t="s">
        <v>41</v>
      </c>
      <c r="C7" s="3" t="s">
        <v>42</v>
      </c>
      <c r="D7" s="3" t="s">
        <v>43</v>
      </c>
      <c r="E7" s="3" t="s">
        <v>25</v>
      </c>
      <c r="F7" s="3" t="s">
        <v>25</v>
      </c>
      <c r="G7" s="3" t="s">
        <v>25</v>
      </c>
      <c r="H7" s="3" t="s">
        <v>36</v>
      </c>
      <c r="I7" s="6">
        <v>44348</v>
      </c>
      <c r="J7" s="4">
        <v>3298</v>
      </c>
      <c r="K7" s="4">
        <v>3298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57</v>
      </c>
      <c r="R7" s="3">
        <v>0</v>
      </c>
      <c r="S7" s="3" t="s">
        <v>109</v>
      </c>
      <c r="U7" s="3">
        <v>93</v>
      </c>
      <c r="V7" s="3">
        <v>0</v>
      </c>
      <c r="W7" s="3">
        <v>0</v>
      </c>
    </row>
    <row r="8" spans="1:23" ht="11.25" customHeight="1" x14ac:dyDescent="0.25">
      <c r="A8" s="3" t="s">
        <v>21</v>
      </c>
      <c r="B8" s="3" t="s">
        <v>41</v>
      </c>
      <c r="C8" s="3" t="s">
        <v>42</v>
      </c>
      <c r="D8" s="3" t="s">
        <v>43</v>
      </c>
      <c r="E8" s="3" t="s">
        <v>25</v>
      </c>
      <c r="F8" s="3" t="s">
        <v>25</v>
      </c>
      <c r="G8" s="3" t="s">
        <v>25</v>
      </c>
      <c r="H8" s="3" t="s">
        <v>36</v>
      </c>
      <c r="I8" s="6">
        <v>44378</v>
      </c>
      <c r="J8" s="4">
        <v>200</v>
      </c>
      <c r="K8" s="4">
        <v>200</v>
      </c>
      <c r="L8" s="4">
        <v>33.168999999999997</v>
      </c>
      <c r="M8" s="4">
        <v>33.168999999999997</v>
      </c>
      <c r="N8" s="4">
        <v>33.168999999999997</v>
      </c>
      <c r="O8" s="4">
        <v>33.168999999999997</v>
      </c>
      <c r="P8" s="4">
        <v>0</v>
      </c>
      <c r="Q8" s="3" t="s">
        <v>26</v>
      </c>
      <c r="R8" s="3">
        <v>0</v>
      </c>
      <c r="S8" s="3" t="s">
        <v>110</v>
      </c>
      <c r="T8" s="3" t="s">
        <v>515</v>
      </c>
      <c r="U8" s="3">
        <v>93</v>
      </c>
      <c r="V8" s="3">
        <v>94</v>
      </c>
      <c r="W8" s="3">
        <v>48</v>
      </c>
    </row>
    <row r="9" spans="1:23" ht="11.25" customHeight="1" x14ac:dyDescent="0.25">
      <c r="A9" s="3" t="s">
        <v>28</v>
      </c>
      <c r="B9" s="3" t="s">
        <v>41</v>
      </c>
      <c r="C9" s="3" t="s">
        <v>42</v>
      </c>
      <c r="D9" s="3" t="s">
        <v>43</v>
      </c>
      <c r="E9" s="3" t="s">
        <v>25</v>
      </c>
      <c r="F9" s="3" t="s">
        <v>25</v>
      </c>
      <c r="G9" s="3" t="s">
        <v>25</v>
      </c>
      <c r="H9" s="3" t="s">
        <v>36</v>
      </c>
      <c r="I9" s="6">
        <v>44378</v>
      </c>
      <c r="J9" s="4">
        <v>200</v>
      </c>
      <c r="K9" s="4">
        <v>200</v>
      </c>
      <c r="L9" s="4">
        <v>47.045999999999999</v>
      </c>
      <c r="M9" s="4">
        <v>47.045999999999999</v>
      </c>
      <c r="N9" s="4">
        <v>47.045999999999999</v>
      </c>
      <c r="O9" s="4">
        <v>47.045999999999999</v>
      </c>
      <c r="P9" s="4">
        <v>0</v>
      </c>
      <c r="Q9" s="3" t="s">
        <v>26</v>
      </c>
      <c r="R9" s="3">
        <v>0</v>
      </c>
      <c r="S9" s="3" t="s">
        <v>110</v>
      </c>
      <c r="T9" s="3" t="s">
        <v>515</v>
      </c>
      <c r="U9" s="3">
        <v>93</v>
      </c>
      <c r="V9" s="3">
        <v>94</v>
      </c>
      <c r="W9" s="3">
        <v>48</v>
      </c>
    </row>
    <row r="10" spans="1:23" ht="11.25" customHeight="1" x14ac:dyDescent="0.25">
      <c r="A10" s="3" t="s">
        <v>21</v>
      </c>
      <c r="B10" s="3" t="s">
        <v>41</v>
      </c>
      <c r="C10" s="3" t="s">
        <v>42</v>
      </c>
      <c r="D10" s="3" t="s">
        <v>43</v>
      </c>
      <c r="E10" s="3" t="s">
        <v>25</v>
      </c>
      <c r="F10" s="3" t="s">
        <v>25</v>
      </c>
      <c r="G10" s="3" t="s">
        <v>25</v>
      </c>
      <c r="H10" s="3" t="s">
        <v>36</v>
      </c>
      <c r="I10" s="6">
        <v>44378</v>
      </c>
      <c r="J10" s="4">
        <v>3225</v>
      </c>
      <c r="K10" s="4">
        <v>3225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57</v>
      </c>
      <c r="R10" s="3">
        <v>0</v>
      </c>
      <c r="S10" s="3" t="s">
        <v>110</v>
      </c>
      <c r="U10" s="3">
        <v>93</v>
      </c>
      <c r="V10" s="3">
        <v>0</v>
      </c>
      <c r="W10" s="3">
        <v>0</v>
      </c>
    </row>
    <row r="11" spans="1:23" ht="11.25" customHeight="1" x14ac:dyDescent="0.25">
      <c r="A11" s="3" t="s">
        <v>21</v>
      </c>
      <c r="B11" s="3" t="s">
        <v>41</v>
      </c>
      <c r="C11" s="3" t="s">
        <v>42</v>
      </c>
      <c r="D11" s="3" t="s">
        <v>43</v>
      </c>
      <c r="E11" s="3" t="s">
        <v>25</v>
      </c>
      <c r="F11" s="3" t="s">
        <v>25</v>
      </c>
      <c r="G11" s="3" t="s">
        <v>25</v>
      </c>
      <c r="H11" s="3" t="s">
        <v>36</v>
      </c>
      <c r="I11" s="6">
        <v>44409</v>
      </c>
      <c r="J11" s="4">
        <v>200</v>
      </c>
      <c r="K11" s="4">
        <v>200</v>
      </c>
      <c r="L11" s="4">
        <v>36.734000000000002</v>
      </c>
      <c r="M11" s="4">
        <v>36.734000000000002</v>
      </c>
      <c r="N11" s="4">
        <v>36.734000000000002</v>
      </c>
      <c r="O11" s="4">
        <v>36.734000000000002</v>
      </c>
      <c r="P11" s="4">
        <v>0</v>
      </c>
      <c r="Q11" s="3" t="s">
        <v>26</v>
      </c>
      <c r="R11" s="3">
        <v>0</v>
      </c>
      <c r="S11" s="3" t="s">
        <v>111</v>
      </c>
      <c r="T11" s="3" t="s">
        <v>516</v>
      </c>
      <c r="U11" s="3">
        <v>93</v>
      </c>
      <c r="V11" s="3">
        <v>94</v>
      </c>
      <c r="W11" s="3">
        <v>48</v>
      </c>
    </row>
    <row r="12" spans="1:23" ht="11.25" customHeight="1" x14ac:dyDescent="0.25">
      <c r="A12" s="3" t="s">
        <v>21</v>
      </c>
      <c r="B12" s="3" t="s">
        <v>41</v>
      </c>
      <c r="C12" s="3" t="s">
        <v>42</v>
      </c>
      <c r="D12" s="3" t="s">
        <v>43</v>
      </c>
      <c r="E12" s="3" t="s">
        <v>25</v>
      </c>
      <c r="F12" s="3" t="s">
        <v>25</v>
      </c>
      <c r="G12" s="3" t="s">
        <v>25</v>
      </c>
      <c r="H12" s="3" t="s">
        <v>36</v>
      </c>
      <c r="I12" s="6">
        <v>44409</v>
      </c>
      <c r="J12" s="4">
        <v>2889</v>
      </c>
      <c r="K12" s="4">
        <v>2889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57</v>
      </c>
      <c r="R12" s="3">
        <v>0</v>
      </c>
      <c r="S12" s="3" t="s">
        <v>111</v>
      </c>
      <c r="U12" s="3">
        <v>93</v>
      </c>
      <c r="V12" s="3">
        <v>0</v>
      </c>
      <c r="W12" s="3">
        <v>0</v>
      </c>
    </row>
    <row r="13" spans="1:23" ht="11.25" customHeight="1" x14ac:dyDescent="0.25">
      <c r="A13" s="3" t="s">
        <v>21</v>
      </c>
      <c r="B13" s="3" t="s">
        <v>41</v>
      </c>
      <c r="C13" s="3" t="s">
        <v>42</v>
      </c>
      <c r="D13" s="3" t="s">
        <v>43</v>
      </c>
      <c r="E13" s="3" t="s">
        <v>25</v>
      </c>
      <c r="F13" s="3" t="s">
        <v>25</v>
      </c>
      <c r="G13" s="3" t="s">
        <v>25</v>
      </c>
      <c r="H13" s="3" t="s">
        <v>36</v>
      </c>
      <c r="I13" s="6">
        <v>44440</v>
      </c>
      <c r="J13" s="4">
        <v>200</v>
      </c>
      <c r="K13" s="4">
        <v>200</v>
      </c>
      <c r="L13" s="4">
        <v>39.317</v>
      </c>
      <c r="M13" s="4">
        <v>39.317</v>
      </c>
      <c r="N13" s="4">
        <v>39.317</v>
      </c>
      <c r="O13" s="4">
        <v>39.317</v>
      </c>
      <c r="P13" s="4">
        <v>0</v>
      </c>
      <c r="Q13" s="3" t="s">
        <v>26</v>
      </c>
      <c r="R13" s="3">
        <v>0</v>
      </c>
      <c r="S13" s="3" t="s">
        <v>112</v>
      </c>
      <c r="T13" s="3" t="s">
        <v>517</v>
      </c>
      <c r="U13" s="3">
        <v>93</v>
      </c>
      <c r="V13" s="3">
        <v>94</v>
      </c>
      <c r="W13" s="3">
        <v>48</v>
      </c>
    </row>
    <row r="14" spans="1:23" ht="11.25" customHeight="1" x14ac:dyDescent="0.25">
      <c r="A14" s="3" t="s">
        <v>21</v>
      </c>
      <c r="B14" s="3" t="s">
        <v>41</v>
      </c>
      <c r="C14" s="3" t="s">
        <v>42</v>
      </c>
      <c r="D14" s="3" t="s">
        <v>43</v>
      </c>
      <c r="E14" s="3" t="s">
        <v>25</v>
      </c>
      <c r="F14" s="3" t="s">
        <v>25</v>
      </c>
      <c r="G14" s="3" t="s">
        <v>25</v>
      </c>
      <c r="H14" s="3" t="s">
        <v>36</v>
      </c>
      <c r="I14" s="6">
        <v>44440</v>
      </c>
      <c r="J14" s="4">
        <v>3500</v>
      </c>
      <c r="K14" s="4">
        <v>3500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3" t="s">
        <v>57</v>
      </c>
      <c r="R14" s="3">
        <v>0</v>
      </c>
      <c r="S14" s="3" t="s">
        <v>112</v>
      </c>
      <c r="U14" s="3">
        <v>93</v>
      </c>
      <c r="V14" s="3">
        <v>0</v>
      </c>
      <c r="W14" s="3">
        <v>0</v>
      </c>
    </row>
    <row r="15" spans="1:23" ht="11.25" customHeight="1" x14ac:dyDescent="0.25">
      <c r="A15" s="3" t="s">
        <v>21</v>
      </c>
      <c r="B15" s="3" t="s">
        <v>41</v>
      </c>
      <c r="C15" s="3" t="s">
        <v>42</v>
      </c>
      <c r="D15" s="3" t="s">
        <v>43</v>
      </c>
      <c r="E15" s="3" t="s">
        <v>25</v>
      </c>
      <c r="F15" s="3" t="s">
        <v>25</v>
      </c>
      <c r="G15" s="3" t="s">
        <v>25</v>
      </c>
      <c r="H15" s="3" t="s">
        <v>36</v>
      </c>
      <c r="I15" s="6">
        <v>44470</v>
      </c>
      <c r="J15" s="4">
        <v>200</v>
      </c>
      <c r="K15" s="4">
        <v>200</v>
      </c>
      <c r="L15" s="4">
        <v>44.417000000000002</v>
      </c>
      <c r="M15" s="4">
        <v>44.417000000000002</v>
      </c>
      <c r="N15" s="4">
        <v>44.417000000000002</v>
      </c>
      <c r="O15" s="4">
        <v>44.417000000000002</v>
      </c>
      <c r="P15" s="4">
        <v>0</v>
      </c>
      <c r="Q15" s="3" t="s">
        <v>26</v>
      </c>
      <c r="R15" s="3">
        <v>0</v>
      </c>
      <c r="S15" s="3" t="s">
        <v>113</v>
      </c>
      <c r="T15" s="3" t="s">
        <v>518</v>
      </c>
      <c r="U15" s="3">
        <v>93</v>
      </c>
      <c r="V15" s="3">
        <v>94</v>
      </c>
      <c r="W15" s="3">
        <v>48</v>
      </c>
    </row>
    <row r="16" spans="1:23" ht="11.25" customHeight="1" x14ac:dyDescent="0.25">
      <c r="A16" s="3" t="s">
        <v>21</v>
      </c>
      <c r="B16" s="3" t="s">
        <v>41</v>
      </c>
      <c r="C16" s="3" t="s">
        <v>42</v>
      </c>
      <c r="D16" s="3" t="s">
        <v>43</v>
      </c>
      <c r="E16" s="3" t="s">
        <v>25</v>
      </c>
      <c r="F16" s="3" t="s">
        <v>25</v>
      </c>
      <c r="G16" s="3" t="s">
        <v>25</v>
      </c>
      <c r="H16" s="3" t="s">
        <v>36</v>
      </c>
      <c r="I16" s="6">
        <v>44470</v>
      </c>
      <c r="J16" s="4">
        <v>3500</v>
      </c>
      <c r="K16" s="4">
        <v>3500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3" t="s">
        <v>57</v>
      </c>
      <c r="R16" s="3">
        <v>0</v>
      </c>
      <c r="S16" s="3" t="s">
        <v>113</v>
      </c>
      <c r="U16" s="3">
        <v>93</v>
      </c>
      <c r="V16" s="3">
        <v>0</v>
      </c>
      <c r="W16" s="3">
        <v>0</v>
      </c>
    </row>
    <row r="17" spans="1:23" ht="11.25" customHeight="1" x14ac:dyDescent="0.25">
      <c r="A17" s="3" t="s">
        <v>21</v>
      </c>
      <c r="B17" s="3" t="s">
        <v>41</v>
      </c>
      <c r="C17" s="3" t="s">
        <v>42</v>
      </c>
      <c r="D17" s="3" t="s">
        <v>43</v>
      </c>
      <c r="E17" s="3" t="s">
        <v>25</v>
      </c>
      <c r="F17" s="3" t="s">
        <v>25</v>
      </c>
      <c r="G17" s="3" t="s">
        <v>25</v>
      </c>
      <c r="H17" s="3" t="s">
        <v>36</v>
      </c>
      <c r="I17" s="6">
        <v>44501</v>
      </c>
      <c r="J17" s="4">
        <v>200</v>
      </c>
      <c r="K17" s="4">
        <v>200</v>
      </c>
      <c r="L17" s="4">
        <v>42.972000000000001</v>
      </c>
      <c r="M17" s="4">
        <v>42.972000000000001</v>
      </c>
      <c r="N17" s="4">
        <v>42.972000000000001</v>
      </c>
      <c r="O17" s="4">
        <v>42.972000000000001</v>
      </c>
      <c r="P17" s="4">
        <v>0</v>
      </c>
      <c r="Q17" s="3" t="s">
        <v>26</v>
      </c>
      <c r="R17" s="3">
        <v>0</v>
      </c>
      <c r="S17" s="3" t="s">
        <v>114</v>
      </c>
      <c r="T17" s="3" t="s">
        <v>519</v>
      </c>
      <c r="U17" s="3">
        <v>93</v>
      </c>
      <c r="V17" s="3">
        <v>94</v>
      </c>
      <c r="W17" s="3">
        <v>48</v>
      </c>
    </row>
    <row r="18" spans="1:23" ht="11.25" customHeight="1" x14ac:dyDescent="0.25">
      <c r="A18" s="3" t="s">
        <v>21</v>
      </c>
      <c r="B18" s="3" t="s">
        <v>41</v>
      </c>
      <c r="C18" s="3" t="s">
        <v>42</v>
      </c>
      <c r="D18" s="3" t="s">
        <v>43</v>
      </c>
      <c r="E18" s="3" t="s">
        <v>25</v>
      </c>
      <c r="F18" s="3" t="s">
        <v>25</v>
      </c>
      <c r="G18" s="3" t="s">
        <v>25</v>
      </c>
      <c r="H18" s="3" t="s">
        <v>36</v>
      </c>
      <c r="I18" s="6">
        <v>44501</v>
      </c>
      <c r="J18" s="4">
        <v>3500</v>
      </c>
      <c r="K18" s="4">
        <v>3500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3" t="s">
        <v>57</v>
      </c>
      <c r="R18" s="3">
        <v>0</v>
      </c>
      <c r="S18" s="3" t="s">
        <v>114</v>
      </c>
      <c r="U18" s="3">
        <v>93</v>
      </c>
      <c r="V18" s="3">
        <v>0</v>
      </c>
      <c r="W18" s="3">
        <v>0</v>
      </c>
    </row>
    <row r="19" spans="1:23" ht="11.25" customHeight="1" x14ac:dyDescent="0.25">
      <c r="A19" s="3" t="s">
        <v>21</v>
      </c>
      <c r="B19" s="3" t="s">
        <v>41</v>
      </c>
      <c r="C19" s="3" t="s">
        <v>42</v>
      </c>
      <c r="D19" s="3" t="s">
        <v>43</v>
      </c>
      <c r="E19" s="3" t="s">
        <v>25</v>
      </c>
      <c r="F19" s="3" t="s">
        <v>25</v>
      </c>
      <c r="G19" s="3" t="s">
        <v>25</v>
      </c>
      <c r="H19" s="3" t="s">
        <v>36</v>
      </c>
      <c r="I19" s="6">
        <v>44531</v>
      </c>
      <c r="J19" s="4">
        <v>200</v>
      </c>
      <c r="K19" s="4">
        <v>200</v>
      </c>
      <c r="L19" s="4">
        <v>45.470999999999997</v>
      </c>
      <c r="M19" s="4">
        <v>45.470999999999997</v>
      </c>
      <c r="N19" s="4">
        <v>45.470999999999997</v>
      </c>
      <c r="O19" s="4">
        <v>45.470999999999997</v>
      </c>
      <c r="P19" s="4">
        <v>0</v>
      </c>
      <c r="Q19" s="3" t="s">
        <v>26</v>
      </c>
      <c r="R19" s="3">
        <v>0</v>
      </c>
      <c r="S19" s="3" t="s">
        <v>115</v>
      </c>
      <c r="T19" s="3" t="s">
        <v>520</v>
      </c>
      <c r="U19" s="3">
        <v>93</v>
      </c>
      <c r="V19" s="3">
        <v>94</v>
      </c>
      <c r="W19" s="3">
        <v>48</v>
      </c>
    </row>
    <row r="20" spans="1:23" ht="11.25" customHeight="1" x14ac:dyDescent="0.25">
      <c r="A20" s="3" t="s">
        <v>21</v>
      </c>
      <c r="B20" s="3" t="s">
        <v>41</v>
      </c>
      <c r="C20" s="3" t="s">
        <v>42</v>
      </c>
      <c r="D20" s="3" t="s">
        <v>43</v>
      </c>
      <c r="E20" s="3" t="s">
        <v>25</v>
      </c>
      <c r="F20" s="3" t="s">
        <v>25</v>
      </c>
      <c r="G20" s="3" t="s">
        <v>25</v>
      </c>
      <c r="H20" s="3" t="s">
        <v>36</v>
      </c>
      <c r="I20" s="6">
        <v>44531</v>
      </c>
      <c r="J20" s="4">
        <v>3500</v>
      </c>
      <c r="K20" s="4">
        <v>3500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3" t="s">
        <v>57</v>
      </c>
      <c r="R20" s="3">
        <v>0</v>
      </c>
      <c r="S20" s="3" t="s">
        <v>115</v>
      </c>
      <c r="U20" s="3">
        <v>93</v>
      </c>
      <c r="V20" s="3">
        <v>0</v>
      </c>
      <c r="W20" s="3">
        <v>0</v>
      </c>
    </row>
    <row r="21" spans="1:23" ht="11.25" customHeight="1" x14ac:dyDescent="0.25">
      <c r="A21" s="3" t="s">
        <v>21</v>
      </c>
      <c r="B21" s="3" t="s">
        <v>41</v>
      </c>
      <c r="C21" s="3" t="s">
        <v>42</v>
      </c>
      <c r="D21" s="3" t="s">
        <v>43</v>
      </c>
      <c r="E21" s="3" t="s">
        <v>25</v>
      </c>
      <c r="F21" s="3" t="s">
        <v>25</v>
      </c>
      <c r="G21" s="3" t="s">
        <v>25</v>
      </c>
      <c r="H21" s="3" t="s">
        <v>36</v>
      </c>
      <c r="I21" s="6">
        <v>44562</v>
      </c>
      <c r="J21" s="4">
        <v>200</v>
      </c>
      <c r="K21" s="4">
        <v>200</v>
      </c>
      <c r="L21" s="4">
        <v>46.872999999999998</v>
      </c>
      <c r="M21" s="4">
        <v>46.872999999999998</v>
      </c>
      <c r="N21" s="4">
        <v>46.872999999999998</v>
      </c>
      <c r="O21" s="4">
        <v>46.872999999999998</v>
      </c>
      <c r="P21" s="4">
        <v>0</v>
      </c>
      <c r="Q21" s="3" t="s">
        <v>26</v>
      </c>
      <c r="R21" s="3">
        <v>0</v>
      </c>
      <c r="S21" s="3" t="s">
        <v>116</v>
      </c>
      <c r="T21" s="3" t="s">
        <v>521</v>
      </c>
      <c r="U21" s="3">
        <v>93</v>
      </c>
      <c r="V21" s="3">
        <v>94</v>
      </c>
      <c r="W21" s="3">
        <v>48</v>
      </c>
    </row>
    <row r="22" spans="1:23" ht="11.25" customHeight="1" x14ac:dyDescent="0.25">
      <c r="A22" s="3" t="s">
        <v>21</v>
      </c>
      <c r="B22" s="3" t="s">
        <v>41</v>
      </c>
      <c r="C22" s="3" t="s">
        <v>42</v>
      </c>
      <c r="D22" s="3" t="s">
        <v>43</v>
      </c>
      <c r="E22" s="3" t="s">
        <v>25</v>
      </c>
      <c r="F22" s="3" t="s">
        <v>25</v>
      </c>
      <c r="G22" s="3" t="s">
        <v>25</v>
      </c>
      <c r="H22" s="3" t="s">
        <v>36</v>
      </c>
      <c r="I22" s="6">
        <v>44562</v>
      </c>
      <c r="J22" s="4">
        <v>3500</v>
      </c>
      <c r="K22" s="4">
        <v>3500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3" t="s">
        <v>57</v>
      </c>
      <c r="R22" s="3">
        <v>0</v>
      </c>
      <c r="S22" s="3" t="s">
        <v>116</v>
      </c>
      <c r="U22" s="3">
        <v>93</v>
      </c>
      <c r="V22" s="3">
        <v>0</v>
      </c>
      <c r="W22" s="3">
        <v>0</v>
      </c>
    </row>
    <row r="23" spans="1:23" ht="11.25" customHeight="1" x14ac:dyDescent="0.25">
      <c r="A23" s="3" t="s">
        <v>21</v>
      </c>
      <c r="B23" s="3" t="s">
        <v>41</v>
      </c>
      <c r="C23" s="3" t="s">
        <v>42</v>
      </c>
      <c r="D23" s="3" t="s">
        <v>43</v>
      </c>
      <c r="E23" s="3" t="s">
        <v>25</v>
      </c>
      <c r="F23" s="3" t="s">
        <v>25</v>
      </c>
      <c r="G23" s="3" t="s">
        <v>25</v>
      </c>
      <c r="H23" s="3" t="s">
        <v>36</v>
      </c>
      <c r="I23" s="6">
        <v>44593</v>
      </c>
      <c r="J23" s="4">
        <v>200</v>
      </c>
      <c r="K23" s="4">
        <v>200</v>
      </c>
      <c r="L23" s="4">
        <v>44.387999999999998</v>
      </c>
      <c r="M23" s="4">
        <v>44.387999999999998</v>
      </c>
      <c r="N23" s="4">
        <v>44.387999999999998</v>
      </c>
      <c r="O23" s="4">
        <v>44.387999999999998</v>
      </c>
      <c r="P23" s="4">
        <v>0</v>
      </c>
      <c r="Q23" s="3" t="s">
        <v>26</v>
      </c>
      <c r="R23" s="3">
        <v>0</v>
      </c>
      <c r="S23" s="3" t="s">
        <v>117</v>
      </c>
      <c r="T23" s="3" t="s">
        <v>522</v>
      </c>
      <c r="U23" s="3">
        <v>93</v>
      </c>
      <c r="V23" s="3">
        <v>94</v>
      </c>
      <c r="W23" s="3">
        <v>48</v>
      </c>
    </row>
    <row r="24" spans="1:23" ht="11.25" customHeight="1" x14ac:dyDescent="0.25">
      <c r="A24" s="3" t="s">
        <v>21</v>
      </c>
      <c r="B24" s="3" t="s">
        <v>41</v>
      </c>
      <c r="C24" s="3" t="s">
        <v>42</v>
      </c>
      <c r="D24" s="3" t="s">
        <v>43</v>
      </c>
      <c r="E24" s="3" t="s">
        <v>25</v>
      </c>
      <c r="F24" s="3" t="s">
        <v>25</v>
      </c>
      <c r="G24" s="3" t="s">
        <v>25</v>
      </c>
      <c r="H24" s="3" t="s">
        <v>36</v>
      </c>
      <c r="I24" s="6">
        <v>44593</v>
      </c>
      <c r="J24" s="4">
        <v>3500</v>
      </c>
      <c r="K24" s="4">
        <v>3500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3" t="s">
        <v>57</v>
      </c>
      <c r="R24" s="3">
        <v>0</v>
      </c>
      <c r="S24" s="3" t="s">
        <v>117</v>
      </c>
      <c r="U24" s="3">
        <v>93</v>
      </c>
      <c r="V24" s="3">
        <v>0</v>
      </c>
      <c r="W24" s="3">
        <v>0</v>
      </c>
    </row>
    <row r="25" spans="1:23" ht="11.25" customHeight="1" x14ac:dyDescent="0.25">
      <c r="A25" s="3" t="s">
        <v>21</v>
      </c>
      <c r="B25" s="3" t="s">
        <v>41</v>
      </c>
      <c r="C25" s="3" t="s">
        <v>42</v>
      </c>
      <c r="D25" s="3" t="s">
        <v>43</v>
      </c>
      <c r="E25" s="3" t="s">
        <v>25</v>
      </c>
      <c r="F25" s="3" t="s">
        <v>25</v>
      </c>
      <c r="G25" s="3" t="s">
        <v>25</v>
      </c>
      <c r="H25" s="3" t="s">
        <v>36</v>
      </c>
      <c r="I25" s="6">
        <v>44621</v>
      </c>
      <c r="J25" s="4">
        <v>200</v>
      </c>
      <c r="K25" s="4">
        <v>200</v>
      </c>
      <c r="L25" s="4">
        <v>42.975000000000001</v>
      </c>
      <c r="M25" s="4">
        <v>42.975000000000001</v>
      </c>
      <c r="N25" s="4">
        <v>42.975000000000001</v>
      </c>
      <c r="O25" s="4">
        <v>42.975000000000001</v>
      </c>
      <c r="P25" s="4">
        <v>0</v>
      </c>
      <c r="Q25" s="3" t="s">
        <v>26</v>
      </c>
      <c r="R25" s="3">
        <v>0</v>
      </c>
      <c r="S25" s="3" t="s">
        <v>118</v>
      </c>
      <c r="T25" s="3" t="s">
        <v>523</v>
      </c>
      <c r="U25" s="3">
        <v>93</v>
      </c>
      <c r="V25" s="3">
        <v>94</v>
      </c>
      <c r="W25" s="3">
        <v>48</v>
      </c>
    </row>
    <row r="26" spans="1:23" ht="11.25" customHeight="1" x14ac:dyDescent="0.25">
      <c r="A26" s="3" t="s">
        <v>21</v>
      </c>
      <c r="B26" s="3" t="s">
        <v>41</v>
      </c>
      <c r="C26" s="3" t="s">
        <v>42</v>
      </c>
      <c r="D26" s="3" t="s">
        <v>43</v>
      </c>
      <c r="E26" s="3" t="s">
        <v>25</v>
      </c>
      <c r="F26" s="3" t="s">
        <v>25</v>
      </c>
      <c r="G26" s="3" t="s">
        <v>25</v>
      </c>
      <c r="H26" s="3" t="s">
        <v>36</v>
      </c>
      <c r="I26" s="6">
        <v>44621</v>
      </c>
      <c r="J26" s="4">
        <v>3500</v>
      </c>
      <c r="K26" s="4">
        <v>3500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3" t="s">
        <v>57</v>
      </c>
      <c r="R26" s="3">
        <v>0</v>
      </c>
      <c r="S26" s="3" t="s">
        <v>118</v>
      </c>
      <c r="U26" s="3">
        <v>93</v>
      </c>
      <c r="V26" s="3">
        <v>0</v>
      </c>
      <c r="W26" s="3">
        <v>0</v>
      </c>
    </row>
    <row r="27" spans="1:23" ht="11.25" customHeight="1" x14ac:dyDescent="0.25">
      <c r="A27" s="3" t="s">
        <v>56</v>
      </c>
      <c r="B27" s="3" t="s">
        <v>41</v>
      </c>
      <c r="C27" s="3" t="s">
        <v>42</v>
      </c>
      <c r="D27" s="3" t="s">
        <v>43</v>
      </c>
      <c r="E27" s="3" t="s">
        <v>25</v>
      </c>
      <c r="F27" s="3" t="s">
        <v>25</v>
      </c>
      <c r="G27" s="3" t="s">
        <v>25</v>
      </c>
      <c r="H27" s="3" t="s">
        <v>36</v>
      </c>
      <c r="I27" s="6">
        <v>44652</v>
      </c>
      <c r="J27" s="4">
        <v>200</v>
      </c>
      <c r="K27" s="4">
        <v>200</v>
      </c>
      <c r="L27" s="4">
        <v>42.975000000000001</v>
      </c>
      <c r="M27" s="4">
        <v>42.975000000000001</v>
      </c>
      <c r="N27" s="4">
        <v>42.975000000000001</v>
      </c>
      <c r="O27" s="4">
        <v>42.975000000000001</v>
      </c>
      <c r="P27" s="4">
        <v>0</v>
      </c>
      <c r="Q27" s="3" t="s">
        <v>26</v>
      </c>
      <c r="R27" s="3">
        <v>0</v>
      </c>
      <c r="S27" s="3" t="s">
        <v>119</v>
      </c>
      <c r="T27" s="3" t="s">
        <v>524</v>
      </c>
      <c r="U27" s="3">
        <v>93</v>
      </c>
      <c r="V27" s="3">
        <v>94</v>
      </c>
      <c r="W27" s="3">
        <v>48</v>
      </c>
    </row>
    <row r="28" spans="1:23" ht="11.25" customHeight="1" x14ac:dyDescent="0.25">
      <c r="A28" s="3" t="s">
        <v>56</v>
      </c>
      <c r="B28" s="3" t="s">
        <v>41</v>
      </c>
      <c r="C28" s="3" t="s">
        <v>42</v>
      </c>
      <c r="D28" s="3" t="s">
        <v>43</v>
      </c>
      <c r="E28" s="3" t="s">
        <v>25</v>
      </c>
      <c r="F28" s="3" t="s">
        <v>25</v>
      </c>
      <c r="G28" s="3" t="s">
        <v>25</v>
      </c>
      <c r="H28" s="3" t="s">
        <v>36</v>
      </c>
      <c r="I28" s="6">
        <v>44652</v>
      </c>
      <c r="J28" s="4">
        <v>3500</v>
      </c>
      <c r="K28" s="4">
        <v>3500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3" t="s">
        <v>57</v>
      </c>
      <c r="R28" s="3">
        <v>0</v>
      </c>
      <c r="S28" s="3" t="s">
        <v>119</v>
      </c>
      <c r="U28" s="3">
        <v>93</v>
      </c>
      <c r="V28" s="3">
        <v>0</v>
      </c>
      <c r="W28" s="3">
        <v>0</v>
      </c>
    </row>
    <row r="29" spans="1:23" ht="11.25" customHeight="1" x14ac:dyDescent="0.25">
      <c r="A29" s="3" t="s">
        <v>21</v>
      </c>
      <c r="B29" s="3" t="s">
        <v>41</v>
      </c>
      <c r="C29" s="3" t="s">
        <v>42</v>
      </c>
      <c r="D29" s="3" t="s">
        <v>43</v>
      </c>
      <c r="E29" s="3" t="s">
        <v>25</v>
      </c>
      <c r="F29" s="3" t="s">
        <v>25</v>
      </c>
      <c r="G29" s="3" t="s">
        <v>25</v>
      </c>
      <c r="H29" s="3" t="s">
        <v>25</v>
      </c>
      <c r="I29" s="6">
        <v>44317</v>
      </c>
      <c r="J29" s="4">
        <v>0</v>
      </c>
      <c r="K29" s="4">
        <v>0</v>
      </c>
      <c r="L29" s="4">
        <v>1215.8720000000001</v>
      </c>
      <c r="M29" s="4">
        <v>1215.8720000000001</v>
      </c>
      <c r="N29" s="4">
        <v>0</v>
      </c>
      <c r="O29" s="4">
        <v>0</v>
      </c>
      <c r="P29" s="4">
        <v>1</v>
      </c>
      <c r="Q29" s="3" t="s">
        <v>57</v>
      </c>
      <c r="R29" s="3">
        <v>0</v>
      </c>
      <c r="S29" s="3" t="s">
        <v>120</v>
      </c>
      <c r="U29" s="3">
        <v>0</v>
      </c>
      <c r="V29" s="3">
        <v>94</v>
      </c>
      <c r="W29" s="3">
        <v>0</v>
      </c>
    </row>
    <row r="30" spans="1:23" ht="11.25" customHeight="1" x14ac:dyDescent="0.25">
      <c r="A30" s="3" t="s">
        <v>21</v>
      </c>
      <c r="B30" s="3" t="s">
        <v>41</v>
      </c>
      <c r="C30" s="3" t="s">
        <v>42</v>
      </c>
      <c r="D30" s="3" t="s">
        <v>43</v>
      </c>
      <c r="E30" s="3" t="s">
        <v>25</v>
      </c>
      <c r="F30" s="3" t="s">
        <v>25</v>
      </c>
      <c r="G30" s="3" t="s">
        <v>25</v>
      </c>
      <c r="H30" s="3" t="s">
        <v>25</v>
      </c>
      <c r="I30" s="6">
        <v>44348</v>
      </c>
      <c r="J30" s="4">
        <v>0</v>
      </c>
      <c r="K30" s="4">
        <v>0</v>
      </c>
      <c r="L30" s="4">
        <v>1041.5170000000001</v>
      </c>
      <c r="M30" s="4">
        <v>1041.5170000000001</v>
      </c>
      <c r="N30" s="4">
        <v>0</v>
      </c>
      <c r="O30" s="4">
        <v>0</v>
      </c>
      <c r="P30" s="4">
        <v>1</v>
      </c>
      <c r="Q30" s="3" t="s">
        <v>57</v>
      </c>
      <c r="R30" s="3">
        <v>0</v>
      </c>
      <c r="S30" s="3" t="s">
        <v>121</v>
      </c>
      <c r="U30" s="3">
        <v>0</v>
      </c>
      <c r="V30" s="3">
        <v>94</v>
      </c>
      <c r="W30" s="3">
        <v>0</v>
      </c>
    </row>
    <row r="31" spans="1:23" ht="11.25" customHeight="1" x14ac:dyDescent="0.25">
      <c r="A31" s="3" t="s">
        <v>21</v>
      </c>
      <c r="B31" s="3" t="s">
        <v>41</v>
      </c>
      <c r="C31" s="3" t="s">
        <v>42</v>
      </c>
      <c r="D31" s="3" t="s">
        <v>43</v>
      </c>
      <c r="E31" s="3" t="s">
        <v>25</v>
      </c>
      <c r="F31" s="3" t="s">
        <v>25</v>
      </c>
      <c r="G31" s="3" t="s">
        <v>25</v>
      </c>
      <c r="H31" s="3" t="s">
        <v>25</v>
      </c>
      <c r="I31" s="6">
        <v>44378</v>
      </c>
      <c r="J31" s="4">
        <v>0</v>
      </c>
      <c r="K31" s="4">
        <v>0</v>
      </c>
      <c r="L31" s="4">
        <v>1293.883</v>
      </c>
      <c r="M31" s="4">
        <v>1293.883</v>
      </c>
      <c r="N31" s="4">
        <v>0</v>
      </c>
      <c r="O31" s="4">
        <v>0</v>
      </c>
      <c r="P31" s="4">
        <v>1</v>
      </c>
      <c r="Q31" s="3" t="s">
        <v>57</v>
      </c>
      <c r="R31" s="3">
        <v>0</v>
      </c>
      <c r="S31" s="3" t="s">
        <v>122</v>
      </c>
      <c r="U31" s="3">
        <v>0</v>
      </c>
      <c r="V31" s="3">
        <v>94</v>
      </c>
      <c r="W31" s="3">
        <v>0</v>
      </c>
    </row>
    <row r="32" spans="1:23" ht="11.25" customHeight="1" x14ac:dyDescent="0.25">
      <c r="A32" s="3" t="s">
        <v>21</v>
      </c>
      <c r="B32" s="3" t="s">
        <v>41</v>
      </c>
      <c r="C32" s="3" t="s">
        <v>42</v>
      </c>
      <c r="D32" s="3" t="s">
        <v>43</v>
      </c>
      <c r="E32" s="3" t="s">
        <v>25</v>
      </c>
      <c r="F32" s="3" t="s">
        <v>25</v>
      </c>
      <c r="G32" s="3" t="s">
        <v>25</v>
      </c>
      <c r="H32" s="3" t="s">
        <v>25</v>
      </c>
      <c r="I32" s="6">
        <v>44409</v>
      </c>
      <c r="J32" s="4">
        <v>0</v>
      </c>
      <c r="K32" s="4">
        <v>0</v>
      </c>
      <c r="L32" s="4">
        <v>1324.5219999999999</v>
      </c>
      <c r="M32" s="4">
        <v>1324.5219999999999</v>
      </c>
      <c r="N32" s="4">
        <v>0</v>
      </c>
      <c r="O32" s="4">
        <v>0</v>
      </c>
      <c r="P32" s="4">
        <v>1</v>
      </c>
      <c r="Q32" s="3" t="s">
        <v>57</v>
      </c>
      <c r="R32" s="3">
        <v>0</v>
      </c>
      <c r="S32" s="3" t="s">
        <v>123</v>
      </c>
      <c r="U32" s="3">
        <v>0</v>
      </c>
      <c r="V32" s="3">
        <v>94</v>
      </c>
      <c r="W32" s="3">
        <v>0</v>
      </c>
    </row>
    <row r="33" spans="1:23" ht="11.25" customHeight="1" x14ac:dyDescent="0.25">
      <c r="A33" s="3" t="s">
        <v>21</v>
      </c>
      <c r="B33" s="3" t="s">
        <v>41</v>
      </c>
      <c r="C33" s="3" t="s">
        <v>42</v>
      </c>
      <c r="D33" s="3" t="s">
        <v>43</v>
      </c>
      <c r="E33" s="3" t="s">
        <v>25</v>
      </c>
      <c r="F33" s="3" t="s">
        <v>25</v>
      </c>
      <c r="G33" s="3" t="s">
        <v>25</v>
      </c>
      <c r="H33" s="3" t="s">
        <v>25</v>
      </c>
      <c r="I33" s="6">
        <v>44440</v>
      </c>
      <c r="J33" s="4">
        <v>0</v>
      </c>
      <c r="K33" s="4">
        <v>0</v>
      </c>
      <c r="L33" s="4">
        <v>1374.8130000000001</v>
      </c>
      <c r="M33" s="4">
        <v>1374.8130000000001</v>
      </c>
      <c r="N33" s="4">
        <v>0</v>
      </c>
      <c r="O33" s="4">
        <v>0</v>
      </c>
      <c r="P33" s="4">
        <v>1</v>
      </c>
      <c r="Q33" s="3" t="s">
        <v>57</v>
      </c>
      <c r="R33" s="3">
        <v>0</v>
      </c>
      <c r="S33" s="3" t="s">
        <v>124</v>
      </c>
      <c r="U33" s="3">
        <v>0</v>
      </c>
      <c r="V33" s="3">
        <v>94</v>
      </c>
      <c r="W33" s="3">
        <v>0</v>
      </c>
    </row>
    <row r="34" spans="1:23" ht="11.25" customHeight="1" x14ac:dyDescent="0.25">
      <c r="A34" s="3" t="s">
        <v>21</v>
      </c>
      <c r="B34" s="3" t="s">
        <v>41</v>
      </c>
      <c r="C34" s="3" t="s">
        <v>42</v>
      </c>
      <c r="D34" s="3" t="s">
        <v>43</v>
      </c>
      <c r="E34" s="3" t="s">
        <v>25</v>
      </c>
      <c r="F34" s="3" t="s">
        <v>25</v>
      </c>
      <c r="G34" s="3" t="s">
        <v>25</v>
      </c>
      <c r="H34" s="3" t="s">
        <v>25</v>
      </c>
      <c r="I34" s="6">
        <v>44470</v>
      </c>
      <c r="J34" s="4">
        <v>0</v>
      </c>
      <c r="K34" s="4">
        <v>0</v>
      </c>
      <c r="L34" s="4">
        <v>1494.662</v>
      </c>
      <c r="M34" s="4">
        <v>1494.662</v>
      </c>
      <c r="N34" s="4">
        <v>0</v>
      </c>
      <c r="O34" s="4">
        <v>0</v>
      </c>
      <c r="P34" s="4">
        <v>1</v>
      </c>
      <c r="Q34" s="3" t="s">
        <v>57</v>
      </c>
      <c r="R34" s="3">
        <v>0</v>
      </c>
      <c r="S34" s="3" t="s">
        <v>125</v>
      </c>
      <c r="U34" s="3">
        <v>0</v>
      </c>
      <c r="V34" s="3">
        <v>94</v>
      </c>
      <c r="W34" s="3">
        <v>0</v>
      </c>
    </row>
    <row r="35" spans="1:23" ht="11.25" customHeight="1" x14ac:dyDescent="0.25">
      <c r="A35" s="3" t="s">
        <v>21</v>
      </c>
      <c r="B35" s="3" t="s">
        <v>41</v>
      </c>
      <c r="C35" s="3" t="s">
        <v>42</v>
      </c>
      <c r="D35" s="3" t="s">
        <v>43</v>
      </c>
      <c r="E35" s="3" t="s">
        <v>25</v>
      </c>
      <c r="F35" s="3" t="s">
        <v>25</v>
      </c>
      <c r="G35" s="3" t="s">
        <v>25</v>
      </c>
      <c r="H35" s="3" t="s">
        <v>25</v>
      </c>
      <c r="I35" s="6">
        <v>44501</v>
      </c>
      <c r="J35" s="4">
        <v>0</v>
      </c>
      <c r="K35" s="4">
        <v>0</v>
      </c>
      <c r="L35" s="4">
        <v>1515.797</v>
      </c>
      <c r="M35" s="4">
        <v>1515.797</v>
      </c>
      <c r="N35" s="4">
        <v>0</v>
      </c>
      <c r="O35" s="4">
        <v>0</v>
      </c>
      <c r="P35" s="4">
        <v>1</v>
      </c>
      <c r="Q35" s="3" t="s">
        <v>57</v>
      </c>
      <c r="R35" s="3">
        <v>0</v>
      </c>
      <c r="S35" s="3" t="s">
        <v>126</v>
      </c>
      <c r="U35" s="3">
        <v>0</v>
      </c>
      <c r="V35" s="3">
        <v>94</v>
      </c>
      <c r="W35" s="3">
        <v>0</v>
      </c>
    </row>
    <row r="36" spans="1:23" ht="11.25" customHeight="1" x14ac:dyDescent="0.25">
      <c r="A36" s="3" t="s">
        <v>21</v>
      </c>
      <c r="B36" s="3" t="s">
        <v>41</v>
      </c>
      <c r="C36" s="3" t="s">
        <v>42</v>
      </c>
      <c r="D36" s="3" t="s">
        <v>43</v>
      </c>
      <c r="E36" s="3" t="s">
        <v>25</v>
      </c>
      <c r="F36" s="3" t="s">
        <v>25</v>
      </c>
      <c r="G36" s="3" t="s">
        <v>25</v>
      </c>
      <c r="H36" s="3" t="s">
        <v>25</v>
      </c>
      <c r="I36" s="6">
        <v>44531</v>
      </c>
      <c r="J36" s="4">
        <v>0</v>
      </c>
      <c r="K36" s="4">
        <v>0</v>
      </c>
      <c r="L36" s="4">
        <v>1577.326</v>
      </c>
      <c r="M36" s="4">
        <v>1577.326</v>
      </c>
      <c r="N36" s="4">
        <v>0</v>
      </c>
      <c r="O36" s="4">
        <v>0</v>
      </c>
      <c r="P36" s="4">
        <v>1</v>
      </c>
      <c r="Q36" s="3" t="s">
        <v>57</v>
      </c>
      <c r="R36" s="3">
        <v>0</v>
      </c>
      <c r="S36" s="3" t="s">
        <v>127</v>
      </c>
      <c r="U36" s="3">
        <v>0</v>
      </c>
      <c r="V36" s="3">
        <v>94</v>
      </c>
      <c r="W36" s="3">
        <v>0</v>
      </c>
    </row>
    <row r="37" spans="1:23" ht="11.25" customHeight="1" x14ac:dyDescent="0.25">
      <c r="A37" s="3" t="s">
        <v>21</v>
      </c>
      <c r="B37" s="3" t="s">
        <v>41</v>
      </c>
      <c r="C37" s="3" t="s">
        <v>42</v>
      </c>
      <c r="D37" s="3" t="s">
        <v>43</v>
      </c>
      <c r="E37" s="3" t="s">
        <v>25</v>
      </c>
      <c r="F37" s="3" t="s">
        <v>25</v>
      </c>
      <c r="G37" s="3" t="s">
        <v>25</v>
      </c>
      <c r="H37" s="3" t="s">
        <v>25</v>
      </c>
      <c r="I37" s="6">
        <v>44562</v>
      </c>
      <c r="J37" s="4">
        <v>0</v>
      </c>
      <c r="K37" s="4">
        <v>0</v>
      </c>
      <c r="L37" s="4">
        <v>1475.672</v>
      </c>
      <c r="M37" s="4">
        <v>1475.672</v>
      </c>
      <c r="N37" s="4">
        <v>0</v>
      </c>
      <c r="O37" s="4">
        <v>0</v>
      </c>
      <c r="P37" s="4">
        <v>1</v>
      </c>
      <c r="Q37" s="3" t="s">
        <v>57</v>
      </c>
      <c r="R37" s="3">
        <v>0</v>
      </c>
      <c r="S37" s="3" t="s">
        <v>128</v>
      </c>
      <c r="U37" s="3">
        <v>0</v>
      </c>
      <c r="V37" s="3">
        <v>94</v>
      </c>
      <c r="W37" s="3">
        <v>0</v>
      </c>
    </row>
    <row r="38" spans="1:23" ht="11.25" customHeight="1" x14ac:dyDescent="0.25">
      <c r="A38" s="3" t="s">
        <v>21</v>
      </c>
      <c r="B38" s="3" t="s">
        <v>41</v>
      </c>
      <c r="C38" s="3" t="s">
        <v>42</v>
      </c>
      <c r="D38" s="3" t="s">
        <v>43</v>
      </c>
      <c r="E38" s="3" t="s">
        <v>25</v>
      </c>
      <c r="F38" s="3" t="s">
        <v>25</v>
      </c>
      <c r="G38" s="3" t="s">
        <v>25</v>
      </c>
      <c r="H38" s="3" t="s">
        <v>25</v>
      </c>
      <c r="I38" s="6">
        <v>44593</v>
      </c>
      <c r="J38" s="4">
        <v>0</v>
      </c>
      <c r="K38" s="4">
        <v>0</v>
      </c>
      <c r="L38" s="4">
        <v>1329.7860000000001</v>
      </c>
      <c r="M38" s="4">
        <v>1329.7860000000001</v>
      </c>
      <c r="N38" s="4">
        <v>0</v>
      </c>
      <c r="O38" s="4">
        <v>0</v>
      </c>
      <c r="P38" s="4">
        <v>1</v>
      </c>
      <c r="Q38" s="3" t="s">
        <v>57</v>
      </c>
      <c r="R38" s="3">
        <v>0</v>
      </c>
      <c r="S38" s="3" t="s">
        <v>129</v>
      </c>
      <c r="U38" s="3">
        <v>0</v>
      </c>
      <c r="V38" s="3">
        <v>94</v>
      </c>
      <c r="W38" s="3">
        <v>0</v>
      </c>
    </row>
    <row r="39" spans="1:23" ht="11.25" customHeight="1" x14ac:dyDescent="0.25">
      <c r="A39" s="3" t="s">
        <v>21</v>
      </c>
      <c r="B39" s="3" t="s">
        <v>41</v>
      </c>
      <c r="C39" s="3" t="s">
        <v>42</v>
      </c>
      <c r="D39" s="3" t="s">
        <v>43</v>
      </c>
      <c r="E39" s="3" t="s">
        <v>25</v>
      </c>
      <c r="F39" s="3" t="s">
        <v>25</v>
      </c>
      <c r="G39" s="3" t="s">
        <v>25</v>
      </c>
      <c r="H39" s="3" t="s">
        <v>25</v>
      </c>
      <c r="I39" s="6">
        <v>44621</v>
      </c>
      <c r="J39" s="4">
        <v>0</v>
      </c>
      <c r="K39" s="4">
        <v>0</v>
      </c>
      <c r="L39" s="4">
        <v>1430.7180000000001</v>
      </c>
      <c r="M39" s="4">
        <v>1430.7180000000001</v>
      </c>
      <c r="N39" s="4">
        <v>0</v>
      </c>
      <c r="O39" s="4">
        <v>0</v>
      </c>
      <c r="P39" s="4">
        <v>1</v>
      </c>
      <c r="Q39" s="3" t="s">
        <v>57</v>
      </c>
      <c r="R39" s="3">
        <v>0</v>
      </c>
      <c r="S39" s="3" t="s">
        <v>130</v>
      </c>
      <c r="U39" s="3">
        <v>0</v>
      </c>
      <c r="V39" s="3">
        <v>94</v>
      </c>
      <c r="W39" s="3">
        <v>0</v>
      </c>
    </row>
    <row r="40" spans="1:23" ht="11.25" customHeight="1" x14ac:dyDescent="0.25">
      <c r="A40" s="3" t="s">
        <v>56</v>
      </c>
      <c r="B40" s="3" t="s">
        <v>41</v>
      </c>
      <c r="C40" s="3" t="s">
        <v>42</v>
      </c>
      <c r="D40" s="3" t="s">
        <v>43</v>
      </c>
      <c r="E40" s="3" t="s">
        <v>25</v>
      </c>
      <c r="F40" s="3" t="s">
        <v>25</v>
      </c>
      <c r="G40" s="3" t="s">
        <v>25</v>
      </c>
      <c r="H40" s="3" t="s">
        <v>25</v>
      </c>
      <c r="I40" s="6">
        <v>44652</v>
      </c>
      <c r="J40" s="4">
        <v>0</v>
      </c>
      <c r="K40" s="4">
        <v>0</v>
      </c>
      <c r="L40" s="4">
        <v>1430.7180000000001</v>
      </c>
      <c r="M40" s="4">
        <v>1430.7180000000001</v>
      </c>
      <c r="N40" s="4">
        <v>0</v>
      </c>
      <c r="O40" s="4">
        <v>0</v>
      </c>
      <c r="P40" s="4">
        <v>1</v>
      </c>
      <c r="Q40" s="3" t="s">
        <v>57</v>
      </c>
      <c r="R40" s="3">
        <v>0</v>
      </c>
      <c r="S40" s="3" t="s">
        <v>131</v>
      </c>
      <c r="U40" s="3">
        <v>0</v>
      </c>
      <c r="V40" s="3">
        <v>94</v>
      </c>
      <c r="W40" s="3">
        <v>0</v>
      </c>
    </row>
    <row r="41" spans="1:23" ht="11.25" customHeight="1" x14ac:dyDescent="0.25">
      <c r="A41" s="3" t="s">
        <v>21</v>
      </c>
      <c r="B41" s="3" t="s">
        <v>41</v>
      </c>
      <c r="C41" s="3" t="s">
        <v>42</v>
      </c>
      <c r="D41" s="3" t="s">
        <v>43</v>
      </c>
      <c r="E41" s="3" t="s">
        <v>25</v>
      </c>
      <c r="F41" s="3" t="s">
        <v>25</v>
      </c>
      <c r="G41" s="3" t="s">
        <v>25</v>
      </c>
      <c r="H41" s="3" t="s">
        <v>35</v>
      </c>
      <c r="I41" s="6">
        <v>44317</v>
      </c>
      <c r="J41" s="4">
        <v>200</v>
      </c>
      <c r="K41" s="4">
        <v>200</v>
      </c>
      <c r="L41" s="4">
        <v>2.8010000000000002</v>
      </c>
      <c r="M41" s="4">
        <v>2.8010000000000002</v>
      </c>
      <c r="N41" s="4">
        <v>2.8010000000000002</v>
      </c>
      <c r="O41" s="4">
        <v>2.8010000000000002</v>
      </c>
      <c r="P41" s="4">
        <v>0</v>
      </c>
      <c r="Q41" s="3" t="s">
        <v>26</v>
      </c>
      <c r="R41" s="3">
        <v>0</v>
      </c>
      <c r="S41" s="3" t="s">
        <v>132</v>
      </c>
      <c r="T41" s="3" t="s">
        <v>525</v>
      </c>
      <c r="U41" s="3">
        <v>92</v>
      </c>
      <c r="V41" s="3">
        <v>94</v>
      </c>
      <c r="W41" s="3">
        <v>47</v>
      </c>
    </row>
    <row r="42" spans="1:23" ht="11.25" customHeight="1" x14ac:dyDescent="0.25">
      <c r="A42" s="3" t="s">
        <v>28</v>
      </c>
      <c r="B42" s="3" t="s">
        <v>41</v>
      </c>
      <c r="C42" s="3" t="s">
        <v>42</v>
      </c>
      <c r="D42" s="3" t="s">
        <v>43</v>
      </c>
      <c r="E42" s="3" t="s">
        <v>25</v>
      </c>
      <c r="F42" s="3" t="s">
        <v>25</v>
      </c>
      <c r="G42" s="3" t="s">
        <v>25</v>
      </c>
      <c r="H42" s="3" t="s">
        <v>35</v>
      </c>
      <c r="I42" s="6">
        <v>44317</v>
      </c>
      <c r="J42" s="4">
        <v>200</v>
      </c>
      <c r="K42" s="4">
        <v>200</v>
      </c>
      <c r="L42" s="4">
        <v>6.8620000000000001</v>
      </c>
      <c r="M42" s="4">
        <v>6.8620000000000001</v>
      </c>
      <c r="N42" s="4">
        <v>6.8620000000000001</v>
      </c>
      <c r="O42" s="4">
        <v>6.8620000000000001</v>
      </c>
      <c r="P42" s="4">
        <v>0</v>
      </c>
      <c r="Q42" s="3" t="s">
        <v>26</v>
      </c>
      <c r="R42" s="3">
        <v>0</v>
      </c>
      <c r="S42" s="3" t="s">
        <v>132</v>
      </c>
      <c r="T42" s="3" t="s">
        <v>525</v>
      </c>
      <c r="U42" s="3">
        <v>92</v>
      </c>
      <c r="V42" s="3">
        <v>94</v>
      </c>
      <c r="W42" s="3">
        <v>47</v>
      </c>
    </row>
    <row r="43" spans="1:23" ht="11.25" customHeight="1" x14ac:dyDescent="0.25">
      <c r="A43" s="3" t="s">
        <v>21</v>
      </c>
      <c r="B43" s="3" t="s">
        <v>41</v>
      </c>
      <c r="C43" s="3" t="s">
        <v>42</v>
      </c>
      <c r="D43" s="3" t="s">
        <v>43</v>
      </c>
      <c r="E43" s="3" t="s">
        <v>25</v>
      </c>
      <c r="F43" s="3" t="s">
        <v>25</v>
      </c>
      <c r="G43" s="3" t="s">
        <v>25</v>
      </c>
      <c r="H43" s="3" t="s">
        <v>35</v>
      </c>
      <c r="I43" s="6">
        <v>44317</v>
      </c>
      <c r="J43" s="4">
        <v>3130</v>
      </c>
      <c r="K43" s="4">
        <v>3130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 t="s">
        <v>57</v>
      </c>
      <c r="R43" s="3">
        <v>0</v>
      </c>
      <c r="S43" s="3" t="s">
        <v>132</v>
      </c>
      <c r="U43" s="3">
        <v>92</v>
      </c>
      <c r="V43" s="3">
        <v>0</v>
      </c>
      <c r="W43" s="3">
        <v>0</v>
      </c>
    </row>
    <row r="44" spans="1:23" ht="11.25" customHeight="1" x14ac:dyDescent="0.25">
      <c r="A44" s="3" t="s">
        <v>21</v>
      </c>
      <c r="B44" s="3" t="s">
        <v>41</v>
      </c>
      <c r="C44" s="3" t="s">
        <v>42</v>
      </c>
      <c r="D44" s="3" t="s">
        <v>43</v>
      </c>
      <c r="E44" s="3" t="s">
        <v>25</v>
      </c>
      <c r="F44" s="3" t="s">
        <v>25</v>
      </c>
      <c r="G44" s="3" t="s">
        <v>25</v>
      </c>
      <c r="H44" s="3" t="s">
        <v>35</v>
      </c>
      <c r="I44" s="6">
        <v>44348</v>
      </c>
      <c r="J44" s="4">
        <v>200</v>
      </c>
      <c r="K44" s="4">
        <v>200</v>
      </c>
      <c r="L44" s="4">
        <v>2.7890000000000001</v>
      </c>
      <c r="M44" s="4">
        <v>2.7890000000000001</v>
      </c>
      <c r="N44" s="4">
        <v>2.7890000000000001</v>
      </c>
      <c r="O44" s="4">
        <v>2.7890000000000001</v>
      </c>
      <c r="P44" s="4">
        <v>0</v>
      </c>
      <c r="Q44" s="3" t="s">
        <v>26</v>
      </c>
      <c r="R44" s="3">
        <v>0</v>
      </c>
      <c r="S44" s="3" t="s">
        <v>133</v>
      </c>
      <c r="T44" s="3" t="s">
        <v>526</v>
      </c>
      <c r="U44" s="3">
        <v>92</v>
      </c>
      <c r="V44" s="3">
        <v>94</v>
      </c>
      <c r="W44" s="3">
        <v>47</v>
      </c>
    </row>
    <row r="45" spans="1:23" ht="11.25" customHeight="1" x14ac:dyDescent="0.25">
      <c r="A45" s="3" t="s">
        <v>28</v>
      </c>
      <c r="B45" s="3" t="s">
        <v>41</v>
      </c>
      <c r="C45" s="3" t="s">
        <v>42</v>
      </c>
      <c r="D45" s="3" t="s">
        <v>43</v>
      </c>
      <c r="E45" s="3" t="s">
        <v>25</v>
      </c>
      <c r="F45" s="3" t="s">
        <v>25</v>
      </c>
      <c r="G45" s="3" t="s">
        <v>25</v>
      </c>
      <c r="H45" s="3" t="s">
        <v>35</v>
      </c>
      <c r="I45" s="6">
        <v>44348</v>
      </c>
      <c r="J45" s="4">
        <v>200</v>
      </c>
      <c r="K45" s="4">
        <v>200</v>
      </c>
      <c r="L45" s="4">
        <v>6.46</v>
      </c>
      <c r="M45" s="4">
        <v>6.46</v>
      </c>
      <c r="N45" s="4">
        <v>6.46</v>
      </c>
      <c r="O45" s="4">
        <v>6.46</v>
      </c>
      <c r="P45" s="4">
        <v>0</v>
      </c>
      <c r="Q45" s="3" t="s">
        <v>26</v>
      </c>
      <c r="R45" s="3">
        <v>0</v>
      </c>
      <c r="S45" s="3" t="s">
        <v>133</v>
      </c>
      <c r="T45" s="3" t="s">
        <v>526</v>
      </c>
      <c r="U45" s="3">
        <v>92</v>
      </c>
      <c r="V45" s="3">
        <v>94</v>
      </c>
      <c r="W45" s="3">
        <v>47</v>
      </c>
    </row>
    <row r="46" spans="1:23" ht="11.25" customHeight="1" x14ac:dyDescent="0.25">
      <c r="A46" s="3" t="s">
        <v>21</v>
      </c>
      <c r="B46" s="3" t="s">
        <v>41</v>
      </c>
      <c r="C46" s="3" t="s">
        <v>42</v>
      </c>
      <c r="D46" s="3" t="s">
        <v>43</v>
      </c>
      <c r="E46" s="3" t="s">
        <v>25</v>
      </c>
      <c r="F46" s="3" t="s">
        <v>25</v>
      </c>
      <c r="G46" s="3" t="s">
        <v>25</v>
      </c>
      <c r="H46" s="3" t="s">
        <v>35</v>
      </c>
      <c r="I46" s="6">
        <v>44348</v>
      </c>
      <c r="J46" s="4">
        <v>3035</v>
      </c>
      <c r="K46" s="4">
        <v>3035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 t="s">
        <v>57</v>
      </c>
      <c r="R46" s="3">
        <v>0</v>
      </c>
      <c r="S46" s="3" t="s">
        <v>133</v>
      </c>
      <c r="U46" s="3">
        <v>92</v>
      </c>
      <c r="V46" s="3">
        <v>0</v>
      </c>
      <c r="W46" s="3">
        <v>0</v>
      </c>
    </row>
    <row r="47" spans="1:23" ht="11.25" customHeight="1" x14ac:dyDescent="0.25">
      <c r="A47" s="3" t="s">
        <v>21</v>
      </c>
      <c r="B47" s="3" t="s">
        <v>41</v>
      </c>
      <c r="C47" s="3" t="s">
        <v>42</v>
      </c>
      <c r="D47" s="3" t="s">
        <v>43</v>
      </c>
      <c r="E47" s="3" t="s">
        <v>25</v>
      </c>
      <c r="F47" s="3" t="s">
        <v>25</v>
      </c>
      <c r="G47" s="3" t="s">
        <v>25</v>
      </c>
      <c r="H47" s="3" t="s">
        <v>35</v>
      </c>
      <c r="I47" s="6">
        <v>44378</v>
      </c>
      <c r="J47" s="4">
        <v>200</v>
      </c>
      <c r="K47" s="4">
        <v>200</v>
      </c>
      <c r="L47" s="4">
        <v>3.2930000000000001</v>
      </c>
      <c r="M47" s="4">
        <v>3.2930000000000001</v>
      </c>
      <c r="N47" s="4">
        <v>3.2930000000000001</v>
      </c>
      <c r="O47" s="4">
        <v>3.2930000000000001</v>
      </c>
      <c r="P47" s="4">
        <v>0</v>
      </c>
      <c r="Q47" s="3" t="s">
        <v>26</v>
      </c>
      <c r="R47" s="3">
        <v>0</v>
      </c>
      <c r="S47" s="3" t="s">
        <v>134</v>
      </c>
      <c r="T47" s="3" t="s">
        <v>527</v>
      </c>
      <c r="U47" s="3">
        <v>92</v>
      </c>
      <c r="V47" s="3">
        <v>94</v>
      </c>
      <c r="W47" s="3">
        <v>47</v>
      </c>
    </row>
    <row r="48" spans="1:23" ht="11.25" customHeight="1" x14ac:dyDescent="0.25">
      <c r="A48" s="3" t="s">
        <v>28</v>
      </c>
      <c r="B48" s="3" t="s">
        <v>41</v>
      </c>
      <c r="C48" s="3" t="s">
        <v>42</v>
      </c>
      <c r="D48" s="3" t="s">
        <v>43</v>
      </c>
      <c r="E48" s="3" t="s">
        <v>25</v>
      </c>
      <c r="F48" s="3" t="s">
        <v>25</v>
      </c>
      <c r="G48" s="3" t="s">
        <v>25</v>
      </c>
      <c r="H48" s="3" t="s">
        <v>35</v>
      </c>
      <c r="I48" s="6">
        <v>44378</v>
      </c>
      <c r="J48" s="4">
        <v>200</v>
      </c>
      <c r="K48" s="4">
        <v>200</v>
      </c>
      <c r="L48" s="4">
        <v>6.5650000000000004</v>
      </c>
      <c r="M48" s="4">
        <v>6.5650000000000004</v>
      </c>
      <c r="N48" s="4">
        <v>6.5650000000000004</v>
      </c>
      <c r="O48" s="4">
        <v>6.5650000000000004</v>
      </c>
      <c r="P48" s="4">
        <v>0</v>
      </c>
      <c r="Q48" s="3" t="s">
        <v>26</v>
      </c>
      <c r="R48" s="3">
        <v>0</v>
      </c>
      <c r="S48" s="3" t="s">
        <v>134</v>
      </c>
      <c r="T48" s="3" t="s">
        <v>527</v>
      </c>
      <c r="U48" s="3">
        <v>92</v>
      </c>
      <c r="V48" s="3">
        <v>94</v>
      </c>
      <c r="W48" s="3">
        <v>47</v>
      </c>
    </row>
    <row r="49" spans="1:23" ht="11.25" customHeight="1" x14ac:dyDescent="0.25">
      <c r="A49" s="3" t="s">
        <v>21</v>
      </c>
      <c r="B49" s="3" t="s">
        <v>41</v>
      </c>
      <c r="C49" s="3" t="s">
        <v>42</v>
      </c>
      <c r="D49" s="3" t="s">
        <v>43</v>
      </c>
      <c r="E49" s="3" t="s">
        <v>25</v>
      </c>
      <c r="F49" s="3" t="s">
        <v>25</v>
      </c>
      <c r="G49" s="3" t="s">
        <v>25</v>
      </c>
      <c r="H49" s="3" t="s">
        <v>35</v>
      </c>
      <c r="I49" s="6">
        <v>44378</v>
      </c>
      <c r="J49" s="4">
        <v>3136</v>
      </c>
      <c r="K49" s="4">
        <v>3136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3" t="s">
        <v>57</v>
      </c>
      <c r="R49" s="3">
        <v>0</v>
      </c>
      <c r="S49" s="3" t="s">
        <v>134</v>
      </c>
      <c r="U49" s="3">
        <v>92</v>
      </c>
      <c r="V49" s="3">
        <v>0</v>
      </c>
      <c r="W49" s="3">
        <v>0</v>
      </c>
    </row>
    <row r="50" spans="1:23" ht="11.25" customHeight="1" x14ac:dyDescent="0.25">
      <c r="A50" s="3" t="s">
        <v>21</v>
      </c>
      <c r="B50" s="3" t="s">
        <v>41</v>
      </c>
      <c r="C50" s="3" t="s">
        <v>42</v>
      </c>
      <c r="D50" s="3" t="s">
        <v>43</v>
      </c>
      <c r="E50" s="3" t="s">
        <v>25</v>
      </c>
      <c r="F50" s="3" t="s">
        <v>25</v>
      </c>
      <c r="G50" s="3" t="s">
        <v>25</v>
      </c>
      <c r="H50" s="3" t="s">
        <v>35</v>
      </c>
      <c r="I50" s="6">
        <v>44409</v>
      </c>
      <c r="J50" s="4">
        <v>200</v>
      </c>
      <c r="K50" s="4">
        <v>200</v>
      </c>
      <c r="L50" s="4">
        <v>3.4990000000000001</v>
      </c>
      <c r="M50" s="4">
        <v>3.4990000000000001</v>
      </c>
      <c r="N50" s="4">
        <v>3.4990000000000001</v>
      </c>
      <c r="O50" s="4">
        <v>3.4990000000000001</v>
      </c>
      <c r="P50" s="4">
        <v>0</v>
      </c>
      <c r="Q50" s="3" t="s">
        <v>26</v>
      </c>
      <c r="R50" s="3">
        <v>0</v>
      </c>
      <c r="S50" s="3" t="s">
        <v>135</v>
      </c>
      <c r="T50" s="3" t="s">
        <v>528</v>
      </c>
      <c r="U50" s="3">
        <v>92</v>
      </c>
      <c r="V50" s="3">
        <v>94</v>
      </c>
      <c r="W50" s="3">
        <v>47</v>
      </c>
    </row>
    <row r="51" spans="1:23" ht="11.25" customHeight="1" x14ac:dyDescent="0.25">
      <c r="A51" s="3" t="s">
        <v>21</v>
      </c>
      <c r="B51" s="3" t="s">
        <v>41</v>
      </c>
      <c r="C51" s="3" t="s">
        <v>42</v>
      </c>
      <c r="D51" s="3" t="s">
        <v>43</v>
      </c>
      <c r="E51" s="3" t="s">
        <v>25</v>
      </c>
      <c r="F51" s="3" t="s">
        <v>25</v>
      </c>
      <c r="G51" s="3" t="s">
        <v>25</v>
      </c>
      <c r="H51" s="3" t="s">
        <v>35</v>
      </c>
      <c r="I51" s="6">
        <v>44409</v>
      </c>
      <c r="J51" s="4">
        <v>2839</v>
      </c>
      <c r="K51" s="4">
        <v>2839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57</v>
      </c>
      <c r="R51" s="3">
        <v>0</v>
      </c>
      <c r="S51" s="3" t="s">
        <v>135</v>
      </c>
      <c r="U51" s="3">
        <v>92</v>
      </c>
      <c r="V51" s="3">
        <v>0</v>
      </c>
      <c r="W51" s="3">
        <v>0</v>
      </c>
    </row>
    <row r="52" spans="1:23" ht="11.25" customHeight="1" x14ac:dyDescent="0.25">
      <c r="A52" s="3" t="s">
        <v>21</v>
      </c>
      <c r="B52" s="3" t="s">
        <v>41</v>
      </c>
      <c r="C52" s="3" t="s">
        <v>42</v>
      </c>
      <c r="D52" s="3" t="s">
        <v>43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44440</v>
      </c>
      <c r="J52" s="4">
        <v>200</v>
      </c>
      <c r="K52" s="4">
        <v>200</v>
      </c>
      <c r="L52" s="4">
        <v>3.7480000000000002</v>
      </c>
      <c r="M52" s="4">
        <v>3.7480000000000002</v>
      </c>
      <c r="N52" s="4">
        <v>3.7480000000000002</v>
      </c>
      <c r="O52" s="4">
        <v>3.7480000000000002</v>
      </c>
      <c r="P52" s="4">
        <v>0</v>
      </c>
      <c r="Q52" s="3" t="s">
        <v>26</v>
      </c>
      <c r="R52" s="3">
        <v>0</v>
      </c>
      <c r="S52" s="3" t="s">
        <v>136</v>
      </c>
      <c r="T52" s="3" t="s">
        <v>529</v>
      </c>
      <c r="U52" s="3">
        <v>92</v>
      </c>
      <c r="V52" s="3">
        <v>94</v>
      </c>
      <c r="W52" s="3">
        <v>47</v>
      </c>
    </row>
    <row r="53" spans="1:23" ht="11.25" customHeight="1" x14ac:dyDescent="0.25">
      <c r="A53" s="3" t="s">
        <v>21</v>
      </c>
      <c r="B53" s="3" t="s">
        <v>41</v>
      </c>
      <c r="C53" s="3" t="s">
        <v>42</v>
      </c>
      <c r="D53" s="3" t="s">
        <v>43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44440</v>
      </c>
      <c r="J53" s="4">
        <v>3250</v>
      </c>
      <c r="K53" s="4">
        <v>3250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3" t="s">
        <v>57</v>
      </c>
      <c r="R53" s="3">
        <v>0</v>
      </c>
      <c r="S53" s="3" t="s">
        <v>136</v>
      </c>
      <c r="U53" s="3">
        <v>92</v>
      </c>
      <c r="V53" s="3">
        <v>0</v>
      </c>
      <c r="W53" s="3">
        <v>0</v>
      </c>
    </row>
    <row r="54" spans="1:23" ht="11.25" customHeight="1" x14ac:dyDescent="0.25">
      <c r="A54" s="3" t="s">
        <v>21</v>
      </c>
      <c r="B54" s="3" t="s">
        <v>41</v>
      </c>
      <c r="C54" s="3" t="s">
        <v>42</v>
      </c>
      <c r="D54" s="3" t="s">
        <v>43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44470</v>
      </c>
      <c r="J54" s="4">
        <v>200</v>
      </c>
      <c r="K54" s="4">
        <v>200</v>
      </c>
      <c r="L54" s="4">
        <v>4.1020000000000003</v>
      </c>
      <c r="M54" s="4">
        <v>4.1020000000000003</v>
      </c>
      <c r="N54" s="4">
        <v>4.1020000000000003</v>
      </c>
      <c r="O54" s="4">
        <v>4.1020000000000003</v>
      </c>
      <c r="P54" s="4">
        <v>0</v>
      </c>
      <c r="Q54" s="3" t="s">
        <v>26</v>
      </c>
      <c r="R54" s="3">
        <v>0</v>
      </c>
      <c r="S54" s="3" t="s">
        <v>137</v>
      </c>
      <c r="T54" s="3" t="s">
        <v>530</v>
      </c>
      <c r="U54" s="3">
        <v>92</v>
      </c>
      <c r="V54" s="3">
        <v>94</v>
      </c>
      <c r="W54" s="3">
        <v>47</v>
      </c>
    </row>
    <row r="55" spans="1:23" ht="11.25" customHeight="1" x14ac:dyDescent="0.25">
      <c r="A55" s="3" t="s">
        <v>21</v>
      </c>
      <c r="B55" s="3" t="s">
        <v>41</v>
      </c>
      <c r="C55" s="3" t="s">
        <v>42</v>
      </c>
      <c r="D55" s="3" t="s">
        <v>43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44470</v>
      </c>
      <c r="J55" s="4">
        <v>3250</v>
      </c>
      <c r="K55" s="4">
        <v>3250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3" t="s">
        <v>57</v>
      </c>
      <c r="R55" s="3">
        <v>0</v>
      </c>
      <c r="S55" s="3" t="s">
        <v>137</v>
      </c>
      <c r="U55" s="3">
        <v>92</v>
      </c>
      <c r="V55" s="3">
        <v>0</v>
      </c>
      <c r="W55" s="3">
        <v>0</v>
      </c>
    </row>
    <row r="56" spans="1:23" ht="11.25" customHeight="1" x14ac:dyDescent="0.25">
      <c r="A56" s="3" t="s">
        <v>21</v>
      </c>
      <c r="B56" s="3" t="s">
        <v>41</v>
      </c>
      <c r="C56" s="3" t="s">
        <v>42</v>
      </c>
      <c r="D56" s="3" t="s">
        <v>43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44501</v>
      </c>
      <c r="J56" s="4">
        <v>200</v>
      </c>
      <c r="K56" s="4">
        <v>200</v>
      </c>
      <c r="L56" s="4">
        <v>3.9929999999999999</v>
      </c>
      <c r="M56" s="4">
        <v>3.9929999999999999</v>
      </c>
      <c r="N56" s="4">
        <v>3.9929999999999999</v>
      </c>
      <c r="O56" s="4">
        <v>3.9929999999999999</v>
      </c>
      <c r="P56" s="4">
        <v>0</v>
      </c>
      <c r="Q56" s="3" t="s">
        <v>26</v>
      </c>
      <c r="R56" s="3">
        <v>0</v>
      </c>
      <c r="S56" s="3" t="s">
        <v>138</v>
      </c>
      <c r="T56" s="3" t="s">
        <v>531</v>
      </c>
      <c r="U56" s="3">
        <v>92</v>
      </c>
      <c r="V56" s="3">
        <v>94</v>
      </c>
      <c r="W56" s="3">
        <v>47</v>
      </c>
    </row>
    <row r="57" spans="1:23" ht="11.25" customHeight="1" x14ac:dyDescent="0.25">
      <c r="A57" s="3" t="s">
        <v>21</v>
      </c>
      <c r="B57" s="3" t="s">
        <v>41</v>
      </c>
      <c r="C57" s="3" t="s">
        <v>42</v>
      </c>
      <c r="D57" s="3" t="s">
        <v>43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44501</v>
      </c>
      <c r="J57" s="4">
        <v>3250</v>
      </c>
      <c r="K57" s="4">
        <v>3250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 t="s">
        <v>57</v>
      </c>
      <c r="R57" s="3">
        <v>0</v>
      </c>
      <c r="S57" s="3" t="s">
        <v>138</v>
      </c>
      <c r="U57" s="3">
        <v>92</v>
      </c>
      <c r="V57" s="3">
        <v>0</v>
      </c>
      <c r="W57" s="3">
        <v>0</v>
      </c>
    </row>
    <row r="58" spans="1:23" ht="11.25" customHeight="1" x14ac:dyDescent="0.25">
      <c r="A58" s="3" t="s">
        <v>21</v>
      </c>
      <c r="B58" s="3" t="s">
        <v>41</v>
      </c>
      <c r="C58" s="3" t="s">
        <v>42</v>
      </c>
      <c r="D58" s="3" t="s">
        <v>43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44531</v>
      </c>
      <c r="J58" s="4">
        <v>200</v>
      </c>
      <c r="K58" s="4">
        <v>200</v>
      </c>
      <c r="L58" s="4">
        <v>4.2759999999999998</v>
      </c>
      <c r="M58" s="4">
        <v>4.2759999999999998</v>
      </c>
      <c r="N58" s="4">
        <v>4.2759999999999998</v>
      </c>
      <c r="O58" s="4">
        <v>4.2759999999999998</v>
      </c>
      <c r="P58" s="4">
        <v>0</v>
      </c>
      <c r="Q58" s="3" t="s">
        <v>26</v>
      </c>
      <c r="R58" s="3">
        <v>0</v>
      </c>
      <c r="S58" s="3" t="s">
        <v>139</v>
      </c>
      <c r="T58" s="3" t="s">
        <v>532</v>
      </c>
      <c r="U58" s="3">
        <v>92</v>
      </c>
      <c r="V58" s="3">
        <v>94</v>
      </c>
      <c r="W58" s="3">
        <v>47</v>
      </c>
    </row>
    <row r="59" spans="1:23" ht="11.25" customHeight="1" x14ac:dyDescent="0.25">
      <c r="A59" s="3" t="s">
        <v>21</v>
      </c>
      <c r="B59" s="3" t="s">
        <v>41</v>
      </c>
      <c r="C59" s="3" t="s">
        <v>42</v>
      </c>
      <c r="D59" s="3" t="s">
        <v>43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44531</v>
      </c>
      <c r="J59" s="4">
        <v>3298</v>
      </c>
      <c r="K59" s="4">
        <v>3298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3" t="s">
        <v>57</v>
      </c>
      <c r="R59" s="3">
        <v>0</v>
      </c>
      <c r="S59" s="3" t="s">
        <v>139</v>
      </c>
      <c r="U59" s="3">
        <v>92</v>
      </c>
      <c r="V59" s="3">
        <v>0</v>
      </c>
      <c r="W59" s="3">
        <v>0</v>
      </c>
    </row>
    <row r="60" spans="1:23" ht="11.25" customHeight="1" x14ac:dyDescent="0.25">
      <c r="A60" s="3" t="s">
        <v>21</v>
      </c>
      <c r="B60" s="3" t="s">
        <v>41</v>
      </c>
      <c r="C60" s="3" t="s">
        <v>42</v>
      </c>
      <c r="D60" s="3" t="s">
        <v>43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44562</v>
      </c>
      <c r="J60" s="4">
        <v>200</v>
      </c>
      <c r="K60" s="4">
        <v>200</v>
      </c>
      <c r="L60" s="4">
        <v>3.9359999999999999</v>
      </c>
      <c r="M60" s="4">
        <v>3.9359999999999999</v>
      </c>
      <c r="N60" s="4">
        <v>3.9359999999999999</v>
      </c>
      <c r="O60" s="4">
        <v>3.9359999999999999</v>
      </c>
      <c r="P60" s="4">
        <v>0</v>
      </c>
      <c r="Q60" s="3" t="s">
        <v>26</v>
      </c>
      <c r="R60" s="3">
        <v>0</v>
      </c>
      <c r="S60" s="3" t="s">
        <v>140</v>
      </c>
      <c r="T60" s="3" t="s">
        <v>533</v>
      </c>
      <c r="U60" s="3">
        <v>92</v>
      </c>
      <c r="V60" s="3">
        <v>94</v>
      </c>
      <c r="W60" s="3">
        <v>47</v>
      </c>
    </row>
    <row r="61" spans="1:23" ht="11.25" customHeight="1" x14ac:dyDescent="0.25">
      <c r="A61" s="3" t="s">
        <v>21</v>
      </c>
      <c r="B61" s="3" t="s">
        <v>41</v>
      </c>
      <c r="C61" s="3" t="s">
        <v>42</v>
      </c>
      <c r="D61" s="3" t="s">
        <v>43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44562</v>
      </c>
      <c r="J61" s="4">
        <v>3250</v>
      </c>
      <c r="K61" s="4">
        <v>3250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3" t="s">
        <v>57</v>
      </c>
      <c r="R61" s="3">
        <v>0</v>
      </c>
      <c r="S61" s="3" t="s">
        <v>140</v>
      </c>
      <c r="U61" s="3">
        <v>92</v>
      </c>
      <c r="V61" s="3">
        <v>0</v>
      </c>
      <c r="W61" s="3">
        <v>0</v>
      </c>
    </row>
    <row r="62" spans="1:23" ht="11.25" customHeight="1" x14ac:dyDescent="0.25">
      <c r="A62" s="3" t="s">
        <v>21</v>
      </c>
      <c r="B62" s="3" t="s">
        <v>41</v>
      </c>
      <c r="C62" s="3" t="s">
        <v>42</v>
      </c>
      <c r="D62" s="3" t="s">
        <v>43</v>
      </c>
      <c r="E62" s="3" t="s">
        <v>25</v>
      </c>
      <c r="F62" s="3" t="s">
        <v>25</v>
      </c>
      <c r="G62" s="3" t="s">
        <v>25</v>
      </c>
      <c r="H62" s="3" t="s">
        <v>35</v>
      </c>
      <c r="I62" s="6">
        <v>44593</v>
      </c>
      <c r="J62" s="4">
        <v>200</v>
      </c>
      <c r="K62" s="4">
        <v>200</v>
      </c>
      <c r="L62" s="4">
        <v>3.7879999999999998</v>
      </c>
      <c r="M62" s="4">
        <v>3.7879999999999998</v>
      </c>
      <c r="N62" s="4">
        <v>3.7879999999999998</v>
      </c>
      <c r="O62" s="4">
        <v>3.7879999999999998</v>
      </c>
      <c r="P62" s="4">
        <v>0</v>
      </c>
      <c r="Q62" s="3" t="s">
        <v>26</v>
      </c>
      <c r="R62" s="3">
        <v>0</v>
      </c>
      <c r="S62" s="3" t="s">
        <v>141</v>
      </c>
      <c r="T62" s="3" t="s">
        <v>534</v>
      </c>
      <c r="U62" s="3">
        <v>92</v>
      </c>
      <c r="V62" s="3">
        <v>94</v>
      </c>
      <c r="W62" s="3">
        <v>47</v>
      </c>
    </row>
    <row r="63" spans="1:23" ht="11.25" customHeight="1" x14ac:dyDescent="0.25">
      <c r="A63" s="3" t="s">
        <v>21</v>
      </c>
      <c r="B63" s="3" t="s">
        <v>41</v>
      </c>
      <c r="C63" s="3" t="s">
        <v>42</v>
      </c>
      <c r="D63" s="3" t="s">
        <v>43</v>
      </c>
      <c r="E63" s="3" t="s">
        <v>25</v>
      </c>
      <c r="F63" s="3" t="s">
        <v>25</v>
      </c>
      <c r="G63" s="3" t="s">
        <v>25</v>
      </c>
      <c r="H63" s="3" t="s">
        <v>35</v>
      </c>
      <c r="I63" s="6">
        <v>44593</v>
      </c>
      <c r="J63" s="4">
        <v>3250</v>
      </c>
      <c r="K63" s="4">
        <v>3250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3" t="s">
        <v>57</v>
      </c>
      <c r="R63" s="3">
        <v>0</v>
      </c>
      <c r="S63" s="3" t="s">
        <v>141</v>
      </c>
      <c r="U63" s="3">
        <v>92</v>
      </c>
      <c r="V63" s="3">
        <v>0</v>
      </c>
      <c r="W63" s="3">
        <v>0</v>
      </c>
    </row>
    <row r="64" spans="1:23" ht="11.25" customHeight="1" x14ac:dyDescent="0.25">
      <c r="A64" s="3" t="s">
        <v>21</v>
      </c>
      <c r="B64" s="3" t="s">
        <v>41</v>
      </c>
      <c r="C64" s="3" t="s">
        <v>42</v>
      </c>
      <c r="D64" s="3" t="s">
        <v>43</v>
      </c>
      <c r="E64" s="3" t="s">
        <v>25</v>
      </c>
      <c r="F64" s="3" t="s">
        <v>25</v>
      </c>
      <c r="G64" s="3" t="s">
        <v>25</v>
      </c>
      <c r="H64" s="3" t="s">
        <v>35</v>
      </c>
      <c r="I64" s="6">
        <v>44621</v>
      </c>
      <c r="J64" s="4">
        <v>200</v>
      </c>
      <c r="K64" s="4">
        <v>200</v>
      </c>
      <c r="L64" s="4">
        <v>3.7559999999999998</v>
      </c>
      <c r="M64" s="4">
        <v>3.7559999999999998</v>
      </c>
      <c r="N64" s="4">
        <v>3.7559999999999998</v>
      </c>
      <c r="O64" s="4">
        <v>3.7559999999999998</v>
      </c>
      <c r="P64" s="4">
        <v>0</v>
      </c>
      <c r="Q64" s="3" t="s">
        <v>26</v>
      </c>
      <c r="R64" s="3">
        <v>0</v>
      </c>
      <c r="S64" s="3" t="s">
        <v>142</v>
      </c>
      <c r="T64" s="3" t="s">
        <v>535</v>
      </c>
      <c r="U64" s="3">
        <v>92</v>
      </c>
      <c r="V64" s="3">
        <v>94</v>
      </c>
      <c r="W64" s="3">
        <v>47</v>
      </c>
    </row>
    <row r="65" spans="1:23" ht="11.25" customHeight="1" x14ac:dyDescent="0.25">
      <c r="A65" s="3" t="s">
        <v>21</v>
      </c>
      <c r="B65" s="3" t="s">
        <v>41</v>
      </c>
      <c r="C65" s="3" t="s">
        <v>42</v>
      </c>
      <c r="D65" s="3" t="s">
        <v>43</v>
      </c>
      <c r="E65" s="3" t="s">
        <v>25</v>
      </c>
      <c r="F65" s="3" t="s">
        <v>25</v>
      </c>
      <c r="G65" s="3" t="s">
        <v>25</v>
      </c>
      <c r="H65" s="3" t="s">
        <v>35</v>
      </c>
      <c r="I65" s="6">
        <v>44621</v>
      </c>
      <c r="J65" s="4">
        <v>3250</v>
      </c>
      <c r="K65" s="4">
        <v>3250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 t="s">
        <v>57</v>
      </c>
      <c r="R65" s="3">
        <v>0</v>
      </c>
      <c r="S65" s="3" t="s">
        <v>142</v>
      </c>
      <c r="U65" s="3">
        <v>92</v>
      </c>
      <c r="V65" s="3">
        <v>0</v>
      </c>
      <c r="W65" s="3">
        <v>0</v>
      </c>
    </row>
    <row r="66" spans="1:23" ht="11.25" customHeight="1" x14ac:dyDescent="0.25">
      <c r="A66" s="3" t="s">
        <v>56</v>
      </c>
      <c r="B66" s="3" t="s">
        <v>41</v>
      </c>
      <c r="C66" s="3" t="s">
        <v>42</v>
      </c>
      <c r="D66" s="3" t="s">
        <v>43</v>
      </c>
      <c r="E66" s="3" t="s">
        <v>25</v>
      </c>
      <c r="F66" s="3" t="s">
        <v>25</v>
      </c>
      <c r="G66" s="3" t="s">
        <v>25</v>
      </c>
      <c r="H66" s="3" t="s">
        <v>35</v>
      </c>
      <c r="I66" s="6">
        <v>44652</v>
      </c>
      <c r="J66" s="4">
        <v>200</v>
      </c>
      <c r="K66" s="4">
        <v>200</v>
      </c>
      <c r="L66" s="4">
        <v>3.7559999999999998</v>
      </c>
      <c r="M66" s="4">
        <v>3.7559999999999998</v>
      </c>
      <c r="N66" s="4">
        <v>3.7559999999999998</v>
      </c>
      <c r="O66" s="4">
        <v>3.7559999999999998</v>
      </c>
      <c r="P66" s="4">
        <v>0</v>
      </c>
      <c r="Q66" s="3" t="s">
        <v>26</v>
      </c>
      <c r="R66" s="3">
        <v>0</v>
      </c>
      <c r="S66" s="3" t="s">
        <v>143</v>
      </c>
      <c r="T66" s="3" t="s">
        <v>536</v>
      </c>
      <c r="U66" s="3">
        <v>92</v>
      </c>
      <c r="V66" s="3">
        <v>94</v>
      </c>
      <c r="W66" s="3">
        <v>47</v>
      </c>
    </row>
    <row r="67" spans="1:23" ht="11.25" customHeight="1" x14ac:dyDescent="0.25">
      <c r="A67" s="3" t="s">
        <v>56</v>
      </c>
      <c r="B67" s="3" t="s">
        <v>41</v>
      </c>
      <c r="C67" s="3" t="s">
        <v>42</v>
      </c>
      <c r="D67" s="3" t="s">
        <v>43</v>
      </c>
      <c r="E67" s="3" t="s">
        <v>25</v>
      </c>
      <c r="F67" s="3" t="s">
        <v>25</v>
      </c>
      <c r="G67" s="3" t="s">
        <v>25</v>
      </c>
      <c r="H67" s="3" t="s">
        <v>35</v>
      </c>
      <c r="I67" s="6">
        <v>44652</v>
      </c>
      <c r="J67" s="4">
        <v>3250</v>
      </c>
      <c r="K67" s="4">
        <v>3250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 t="s">
        <v>57</v>
      </c>
      <c r="R67" s="3">
        <v>0</v>
      </c>
      <c r="S67" s="3" t="s">
        <v>143</v>
      </c>
      <c r="U67" s="3">
        <v>92</v>
      </c>
      <c r="V67" s="3">
        <v>0</v>
      </c>
      <c r="W67" s="3">
        <v>0</v>
      </c>
    </row>
    <row r="68" spans="1:23" ht="11.25" customHeight="1" x14ac:dyDescent="0.25">
      <c r="A68" s="3" t="s">
        <v>21</v>
      </c>
      <c r="B68" s="3" t="s">
        <v>41</v>
      </c>
      <c r="C68" s="3" t="s">
        <v>42</v>
      </c>
      <c r="D68" s="3" t="s">
        <v>40</v>
      </c>
      <c r="E68" s="3" t="s">
        <v>25</v>
      </c>
      <c r="F68" s="3" t="s">
        <v>58</v>
      </c>
      <c r="G68" s="3" t="s">
        <v>25</v>
      </c>
      <c r="H68" s="3" t="s">
        <v>36</v>
      </c>
      <c r="I68" s="6">
        <v>44317</v>
      </c>
      <c r="J68" s="4">
        <v>13000</v>
      </c>
      <c r="K68" s="4">
        <v>13000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3" t="s">
        <v>59</v>
      </c>
      <c r="R68" s="3">
        <v>0</v>
      </c>
      <c r="S68" s="3" t="s">
        <v>108</v>
      </c>
      <c r="U68" s="3">
        <v>93</v>
      </c>
      <c r="V68" s="3">
        <v>0</v>
      </c>
      <c r="W68" s="3">
        <v>0</v>
      </c>
    </row>
    <row r="69" spans="1:23" ht="11.25" customHeight="1" x14ac:dyDescent="0.25">
      <c r="A69" s="3" t="s">
        <v>21</v>
      </c>
      <c r="B69" s="3" t="s">
        <v>41</v>
      </c>
      <c r="C69" s="3" t="s">
        <v>42</v>
      </c>
      <c r="D69" s="3" t="s">
        <v>40</v>
      </c>
      <c r="E69" s="3" t="s">
        <v>25</v>
      </c>
      <c r="F69" s="3" t="s">
        <v>58</v>
      </c>
      <c r="G69" s="3" t="s">
        <v>25</v>
      </c>
      <c r="H69" s="3" t="s">
        <v>36</v>
      </c>
      <c r="I69" s="6">
        <v>44348</v>
      </c>
      <c r="J69" s="4">
        <v>13000</v>
      </c>
      <c r="K69" s="4">
        <v>13000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3" t="s">
        <v>59</v>
      </c>
      <c r="R69" s="3">
        <v>0</v>
      </c>
      <c r="S69" s="3" t="s">
        <v>109</v>
      </c>
      <c r="U69" s="3">
        <v>93</v>
      </c>
      <c r="V69" s="3">
        <v>0</v>
      </c>
      <c r="W69" s="3">
        <v>0</v>
      </c>
    </row>
    <row r="70" spans="1:23" ht="11.25" customHeight="1" x14ac:dyDescent="0.25">
      <c r="A70" s="3" t="s">
        <v>21</v>
      </c>
      <c r="B70" s="3" t="s">
        <v>41</v>
      </c>
      <c r="C70" s="3" t="s">
        <v>42</v>
      </c>
      <c r="D70" s="3" t="s">
        <v>40</v>
      </c>
      <c r="E70" s="3" t="s">
        <v>25</v>
      </c>
      <c r="F70" s="3" t="s">
        <v>58</v>
      </c>
      <c r="G70" s="3" t="s">
        <v>25</v>
      </c>
      <c r="H70" s="3" t="s">
        <v>36</v>
      </c>
      <c r="I70" s="6">
        <v>44378</v>
      </c>
      <c r="J70" s="4">
        <v>13000</v>
      </c>
      <c r="K70" s="4">
        <v>13000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3" t="s">
        <v>59</v>
      </c>
      <c r="R70" s="3">
        <v>0</v>
      </c>
      <c r="S70" s="3" t="s">
        <v>110</v>
      </c>
      <c r="U70" s="3">
        <v>93</v>
      </c>
      <c r="V70" s="3">
        <v>0</v>
      </c>
      <c r="W70" s="3">
        <v>0</v>
      </c>
    </row>
    <row r="71" spans="1:23" ht="11.25" customHeight="1" x14ac:dyDescent="0.25">
      <c r="A71" s="3" t="s">
        <v>21</v>
      </c>
      <c r="B71" s="3" t="s">
        <v>41</v>
      </c>
      <c r="C71" s="3" t="s">
        <v>42</v>
      </c>
      <c r="D71" s="3" t="s">
        <v>40</v>
      </c>
      <c r="E71" s="3" t="s">
        <v>25</v>
      </c>
      <c r="F71" s="3" t="s">
        <v>58</v>
      </c>
      <c r="G71" s="3" t="s">
        <v>25</v>
      </c>
      <c r="H71" s="3" t="s">
        <v>36</v>
      </c>
      <c r="I71" s="6">
        <v>44409</v>
      </c>
      <c r="J71" s="4">
        <v>13000</v>
      </c>
      <c r="K71" s="4">
        <v>13000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3" t="s">
        <v>59</v>
      </c>
      <c r="R71" s="3">
        <v>0</v>
      </c>
      <c r="S71" s="3" t="s">
        <v>111</v>
      </c>
      <c r="U71" s="3">
        <v>93</v>
      </c>
      <c r="V71" s="3">
        <v>0</v>
      </c>
      <c r="W71" s="3">
        <v>0</v>
      </c>
    </row>
    <row r="72" spans="1:23" ht="11.25" customHeight="1" x14ac:dyDescent="0.25">
      <c r="A72" s="3" t="s">
        <v>21</v>
      </c>
      <c r="B72" s="3" t="s">
        <v>41</v>
      </c>
      <c r="C72" s="3" t="s">
        <v>42</v>
      </c>
      <c r="D72" s="3" t="s">
        <v>40</v>
      </c>
      <c r="E72" s="3" t="s">
        <v>25</v>
      </c>
      <c r="F72" s="3" t="s">
        <v>58</v>
      </c>
      <c r="G72" s="3" t="s">
        <v>25</v>
      </c>
      <c r="H72" s="3" t="s">
        <v>36</v>
      </c>
      <c r="I72" s="6">
        <v>44440</v>
      </c>
      <c r="J72" s="4">
        <v>13000</v>
      </c>
      <c r="K72" s="4">
        <v>13000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3" t="s">
        <v>59</v>
      </c>
      <c r="R72" s="3">
        <v>0</v>
      </c>
      <c r="S72" s="3" t="s">
        <v>112</v>
      </c>
      <c r="U72" s="3">
        <v>93</v>
      </c>
      <c r="V72" s="3">
        <v>0</v>
      </c>
      <c r="W72" s="3">
        <v>0</v>
      </c>
    </row>
    <row r="73" spans="1:23" ht="11.25" customHeight="1" x14ac:dyDescent="0.25">
      <c r="A73" s="3" t="s">
        <v>21</v>
      </c>
      <c r="B73" s="3" t="s">
        <v>41</v>
      </c>
      <c r="C73" s="3" t="s">
        <v>42</v>
      </c>
      <c r="D73" s="3" t="s">
        <v>40</v>
      </c>
      <c r="E73" s="3" t="s">
        <v>25</v>
      </c>
      <c r="F73" s="3" t="s">
        <v>58</v>
      </c>
      <c r="G73" s="3" t="s">
        <v>25</v>
      </c>
      <c r="H73" s="3" t="s">
        <v>36</v>
      </c>
      <c r="I73" s="6">
        <v>44470</v>
      </c>
      <c r="J73" s="4">
        <v>13000</v>
      </c>
      <c r="K73" s="4">
        <v>13000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3" t="s">
        <v>59</v>
      </c>
      <c r="R73" s="3">
        <v>0</v>
      </c>
      <c r="S73" s="3" t="s">
        <v>113</v>
      </c>
      <c r="U73" s="3">
        <v>93</v>
      </c>
      <c r="V73" s="3">
        <v>0</v>
      </c>
      <c r="W73" s="3">
        <v>0</v>
      </c>
    </row>
    <row r="74" spans="1:23" ht="11.25" customHeight="1" x14ac:dyDescent="0.25">
      <c r="A74" s="3" t="s">
        <v>21</v>
      </c>
      <c r="B74" s="3" t="s">
        <v>41</v>
      </c>
      <c r="C74" s="3" t="s">
        <v>42</v>
      </c>
      <c r="D74" s="3" t="s">
        <v>40</v>
      </c>
      <c r="E74" s="3" t="s">
        <v>25</v>
      </c>
      <c r="F74" s="3" t="s">
        <v>58</v>
      </c>
      <c r="G74" s="3" t="s">
        <v>25</v>
      </c>
      <c r="H74" s="3" t="s">
        <v>36</v>
      </c>
      <c r="I74" s="6">
        <v>44501</v>
      </c>
      <c r="J74" s="4">
        <v>13000</v>
      </c>
      <c r="K74" s="4">
        <v>13000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3" t="s">
        <v>59</v>
      </c>
      <c r="R74" s="3">
        <v>0</v>
      </c>
      <c r="S74" s="3" t="s">
        <v>114</v>
      </c>
      <c r="U74" s="3">
        <v>93</v>
      </c>
      <c r="V74" s="3">
        <v>0</v>
      </c>
      <c r="W74" s="3">
        <v>0</v>
      </c>
    </row>
    <row r="75" spans="1:23" ht="11.25" customHeight="1" x14ac:dyDescent="0.25">
      <c r="A75" s="3" t="s">
        <v>21</v>
      </c>
      <c r="B75" s="3" t="s">
        <v>41</v>
      </c>
      <c r="C75" s="3" t="s">
        <v>42</v>
      </c>
      <c r="D75" s="3" t="s">
        <v>40</v>
      </c>
      <c r="E75" s="3" t="s">
        <v>25</v>
      </c>
      <c r="F75" s="3" t="s">
        <v>58</v>
      </c>
      <c r="G75" s="3" t="s">
        <v>25</v>
      </c>
      <c r="H75" s="3" t="s">
        <v>36</v>
      </c>
      <c r="I75" s="6">
        <v>44531</v>
      </c>
      <c r="J75" s="4">
        <v>20000</v>
      </c>
      <c r="K75" s="4">
        <v>20000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3" t="s">
        <v>59</v>
      </c>
      <c r="R75" s="3">
        <v>0</v>
      </c>
      <c r="S75" s="3" t="s">
        <v>115</v>
      </c>
      <c r="U75" s="3">
        <v>93</v>
      </c>
      <c r="V75" s="3">
        <v>0</v>
      </c>
      <c r="W75" s="3">
        <v>0</v>
      </c>
    </row>
    <row r="76" spans="1:23" ht="11.25" customHeight="1" x14ac:dyDescent="0.25">
      <c r="A76" s="3" t="s">
        <v>21</v>
      </c>
      <c r="B76" s="3" t="s">
        <v>41</v>
      </c>
      <c r="C76" s="3" t="s">
        <v>42</v>
      </c>
      <c r="D76" s="3" t="s">
        <v>40</v>
      </c>
      <c r="E76" s="3" t="s">
        <v>25</v>
      </c>
      <c r="F76" s="3" t="s">
        <v>58</v>
      </c>
      <c r="G76" s="3" t="s">
        <v>25</v>
      </c>
      <c r="H76" s="3" t="s">
        <v>36</v>
      </c>
      <c r="I76" s="6">
        <v>44562</v>
      </c>
      <c r="J76" s="4">
        <v>20000</v>
      </c>
      <c r="K76" s="4">
        <v>20000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3" t="s">
        <v>59</v>
      </c>
      <c r="R76" s="3">
        <v>0</v>
      </c>
      <c r="S76" s="3" t="s">
        <v>116</v>
      </c>
      <c r="U76" s="3">
        <v>93</v>
      </c>
      <c r="V76" s="3">
        <v>0</v>
      </c>
      <c r="W76" s="3">
        <v>0</v>
      </c>
    </row>
    <row r="77" spans="1:23" ht="11.25" customHeight="1" x14ac:dyDescent="0.25">
      <c r="A77" s="3" t="s">
        <v>21</v>
      </c>
      <c r="B77" s="3" t="s">
        <v>41</v>
      </c>
      <c r="C77" s="3" t="s">
        <v>42</v>
      </c>
      <c r="D77" s="3" t="s">
        <v>40</v>
      </c>
      <c r="E77" s="3" t="s">
        <v>25</v>
      </c>
      <c r="F77" s="3" t="s">
        <v>58</v>
      </c>
      <c r="G77" s="3" t="s">
        <v>25</v>
      </c>
      <c r="H77" s="3" t="s">
        <v>36</v>
      </c>
      <c r="I77" s="6">
        <v>44593</v>
      </c>
      <c r="J77" s="4">
        <v>50000</v>
      </c>
      <c r="K77" s="4">
        <v>50000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3" t="s">
        <v>59</v>
      </c>
      <c r="R77" s="3">
        <v>0</v>
      </c>
      <c r="S77" s="3" t="s">
        <v>117</v>
      </c>
      <c r="U77" s="3">
        <v>93</v>
      </c>
      <c r="V77" s="3">
        <v>0</v>
      </c>
      <c r="W77" s="3">
        <v>0</v>
      </c>
    </row>
    <row r="78" spans="1:23" ht="11.25" customHeight="1" x14ac:dyDescent="0.25">
      <c r="A78" s="3" t="s">
        <v>21</v>
      </c>
      <c r="B78" s="3" t="s">
        <v>41</v>
      </c>
      <c r="C78" s="3" t="s">
        <v>42</v>
      </c>
      <c r="D78" s="3" t="s">
        <v>40</v>
      </c>
      <c r="E78" s="3" t="s">
        <v>25</v>
      </c>
      <c r="F78" s="3" t="s">
        <v>58</v>
      </c>
      <c r="G78" s="3" t="s">
        <v>25</v>
      </c>
      <c r="H78" s="3" t="s">
        <v>36</v>
      </c>
      <c r="I78" s="6">
        <v>44621</v>
      </c>
      <c r="J78" s="4">
        <v>30000</v>
      </c>
      <c r="K78" s="4">
        <v>30000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3" t="s">
        <v>59</v>
      </c>
      <c r="R78" s="3">
        <v>0</v>
      </c>
      <c r="S78" s="3" t="s">
        <v>118</v>
      </c>
      <c r="U78" s="3">
        <v>93</v>
      </c>
      <c r="V78" s="3">
        <v>0</v>
      </c>
      <c r="W78" s="3">
        <v>0</v>
      </c>
    </row>
    <row r="79" spans="1:23" ht="11.25" customHeight="1" x14ac:dyDescent="0.25">
      <c r="A79" s="3" t="s">
        <v>56</v>
      </c>
      <c r="B79" s="3" t="s">
        <v>41</v>
      </c>
      <c r="C79" s="3" t="s">
        <v>42</v>
      </c>
      <c r="D79" s="3" t="s">
        <v>40</v>
      </c>
      <c r="E79" s="3" t="s">
        <v>25</v>
      </c>
      <c r="F79" s="3" t="s">
        <v>58</v>
      </c>
      <c r="G79" s="3" t="s">
        <v>25</v>
      </c>
      <c r="H79" s="3" t="s">
        <v>36</v>
      </c>
      <c r="I79" s="6">
        <v>44652</v>
      </c>
      <c r="J79" s="4">
        <v>30000</v>
      </c>
      <c r="K79" s="4">
        <v>30000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3" t="s">
        <v>59</v>
      </c>
      <c r="R79" s="3">
        <v>0</v>
      </c>
      <c r="S79" s="3" t="s">
        <v>119</v>
      </c>
      <c r="U79" s="3">
        <v>93</v>
      </c>
      <c r="V79" s="3">
        <v>0</v>
      </c>
      <c r="W79" s="3">
        <v>0</v>
      </c>
    </row>
    <row r="80" spans="1:23" ht="11.25" customHeight="1" x14ac:dyDescent="0.25">
      <c r="A80" s="3" t="s">
        <v>21</v>
      </c>
      <c r="B80" s="3" t="s">
        <v>41</v>
      </c>
      <c r="C80" s="3" t="s">
        <v>42</v>
      </c>
      <c r="D80" s="3" t="s">
        <v>40</v>
      </c>
      <c r="E80" s="3" t="s">
        <v>25</v>
      </c>
      <c r="F80" s="3" t="s">
        <v>58</v>
      </c>
      <c r="G80" s="3" t="s">
        <v>25</v>
      </c>
      <c r="H80" s="3" t="s">
        <v>25</v>
      </c>
      <c r="I80" s="6">
        <v>44317</v>
      </c>
      <c r="J80" s="4">
        <v>0</v>
      </c>
      <c r="K80" s="4">
        <v>0</v>
      </c>
      <c r="L80" s="4">
        <v>5789.893</v>
      </c>
      <c r="M80" s="4">
        <v>5789.893</v>
      </c>
      <c r="N80" s="4">
        <v>0</v>
      </c>
      <c r="O80" s="4">
        <v>0</v>
      </c>
      <c r="P80" s="4">
        <v>2</v>
      </c>
      <c r="Q80" s="3" t="s">
        <v>59</v>
      </c>
      <c r="R80" s="3">
        <v>0</v>
      </c>
      <c r="S80" s="3" t="s">
        <v>144</v>
      </c>
      <c r="U80" s="3">
        <v>0</v>
      </c>
      <c r="V80" s="3">
        <v>95</v>
      </c>
      <c r="W80" s="3">
        <v>0</v>
      </c>
    </row>
    <row r="81" spans="1:23" ht="11.25" customHeight="1" x14ac:dyDescent="0.25">
      <c r="A81" s="3" t="s">
        <v>21</v>
      </c>
      <c r="B81" s="3" t="s">
        <v>41</v>
      </c>
      <c r="C81" s="3" t="s">
        <v>42</v>
      </c>
      <c r="D81" s="3" t="s">
        <v>40</v>
      </c>
      <c r="E81" s="3" t="s">
        <v>25</v>
      </c>
      <c r="F81" s="3" t="s">
        <v>58</v>
      </c>
      <c r="G81" s="3" t="s">
        <v>25</v>
      </c>
      <c r="H81" s="3" t="s">
        <v>25</v>
      </c>
      <c r="I81" s="6">
        <v>44348</v>
      </c>
      <c r="J81" s="4">
        <v>0</v>
      </c>
      <c r="K81" s="4">
        <v>0</v>
      </c>
      <c r="L81" s="4">
        <v>4727.4160000000002</v>
      </c>
      <c r="M81" s="4">
        <v>4727.4160000000002</v>
      </c>
      <c r="N81" s="4">
        <v>0</v>
      </c>
      <c r="O81" s="4">
        <v>0</v>
      </c>
      <c r="P81" s="4">
        <v>2</v>
      </c>
      <c r="Q81" s="3" t="s">
        <v>59</v>
      </c>
      <c r="R81" s="3">
        <v>0</v>
      </c>
      <c r="S81" s="3" t="s">
        <v>145</v>
      </c>
      <c r="U81" s="3">
        <v>0</v>
      </c>
      <c r="V81" s="3">
        <v>95</v>
      </c>
      <c r="W81" s="3">
        <v>0</v>
      </c>
    </row>
    <row r="82" spans="1:23" ht="11.25" customHeight="1" x14ac:dyDescent="0.25">
      <c r="A82" s="3" t="s">
        <v>21</v>
      </c>
      <c r="B82" s="3" t="s">
        <v>41</v>
      </c>
      <c r="C82" s="3" t="s">
        <v>42</v>
      </c>
      <c r="D82" s="3" t="s">
        <v>40</v>
      </c>
      <c r="E82" s="3" t="s">
        <v>25</v>
      </c>
      <c r="F82" s="3" t="s">
        <v>58</v>
      </c>
      <c r="G82" s="3" t="s">
        <v>25</v>
      </c>
      <c r="H82" s="3" t="s">
        <v>25</v>
      </c>
      <c r="I82" s="6">
        <v>44378</v>
      </c>
      <c r="J82" s="4">
        <v>0</v>
      </c>
      <c r="K82" s="4">
        <v>0</v>
      </c>
      <c r="L82" s="4">
        <v>5140.2759999999998</v>
      </c>
      <c r="M82" s="4">
        <v>5140.2759999999998</v>
      </c>
      <c r="N82" s="4">
        <v>0</v>
      </c>
      <c r="O82" s="4">
        <v>0</v>
      </c>
      <c r="P82" s="4">
        <v>2</v>
      </c>
      <c r="Q82" s="3" t="s">
        <v>59</v>
      </c>
      <c r="R82" s="3">
        <v>0</v>
      </c>
      <c r="S82" s="3" t="s">
        <v>146</v>
      </c>
      <c r="U82" s="3">
        <v>0</v>
      </c>
      <c r="V82" s="3">
        <v>95</v>
      </c>
      <c r="W82" s="3">
        <v>0</v>
      </c>
    </row>
    <row r="83" spans="1:23" ht="11.25" customHeight="1" x14ac:dyDescent="0.25">
      <c r="A83" s="3" t="s">
        <v>21</v>
      </c>
      <c r="B83" s="3" t="s">
        <v>41</v>
      </c>
      <c r="C83" s="3" t="s">
        <v>42</v>
      </c>
      <c r="D83" s="3" t="s">
        <v>40</v>
      </c>
      <c r="E83" s="3" t="s">
        <v>25</v>
      </c>
      <c r="F83" s="3" t="s">
        <v>58</v>
      </c>
      <c r="G83" s="3" t="s">
        <v>25</v>
      </c>
      <c r="H83" s="3" t="s">
        <v>25</v>
      </c>
      <c r="I83" s="6">
        <v>44409</v>
      </c>
      <c r="J83" s="4">
        <v>0</v>
      </c>
      <c r="K83" s="4">
        <v>0</v>
      </c>
      <c r="L83" s="4">
        <v>4829.6610000000001</v>
      </c>
      <c r="M83" s="4">
        <v>4829.6610000000001</v>
      </c>
      <c r="N83" s="4">
        <v>0</v>
      </c>
      <c r="O83" s="4">
        <v>0</v>
      </c>
      <c r="P83" s="4">
        <v>2</v>
      </c>
      <c r="Q83" s="3" t="s">
        <v>59</v>
      </c>
      <c r="R83" s="3">
        <v>0</v>
      </c>
      <c r="S83" s="3" t="s">
        <v>147</v>
      </c>
      <c r="U83" s="3">
        <v>0</v>
      </c>
      <c r="V83" s="3">
        <v>95</v>
      </c>
      <c r="W83" s="3">
        <v>0</v>
      </c>
    </row>
    <row r="84" spans="1:23" ht="11.25" customHeight="1" x14ac:dyDescent="0.25">
      <c r="A84" s="3" t="s">
        <v>21</v>
      </c>
      <c r="B84" s="3" t="s">
        <v>41</v>
      </c>
      <c r="C84" s="3" t="s">
        <v>42</v>
      </c>
      <c r="D84" s="3" t="s">
        <v>40</v>
      </c>
      <c r="E84" s="3" t="s">
        <v>25</v>
      </c>
      <c r="F84" s="3" t="s">
        <v>58</v>
      </c>
      <c r="G84" s="3" t="s">
        <v>25</v>
      </c>
      <c r="H84" s="3" t="s">
        <v>25</v>
      </c>
      <c r="I84" s="6">
        <v>44440</v>
      </c>
      <c r="J84" s="4">
        <v>0</v>
      </c>
      <c r="K84" s="4">
        <v>0</v>
      </c>
      <c r="L84" s="4">
        <v>5062.6009999999997</v>
      </c>
      <c r="M84" s="4">
        <v>5062.6009999999997</v>
      </c>
      <c r="N84" s="4">
        <v>0</v>
      </c>
      <c r="O84" s="4">
        <v>0</v>
      </c>
      <c r="P84" s="4">
        <v>2</v>
      </c>
      <c r="Q84" s="3" t="s">
        <v>59</v>
      </c>
      <c r="R84" s="3">
        <v>0</v>
      </c>
      <c r="S84" s="3" t="s">
        <v>148</v>
      </c>
      <c r="U84" s="3">
        <v>0</v>
      </c>
      <c r="V84" s="3">
        <v>95</v>
      </c>
      <c r="W84" s="3">
        <v>0</v>
      </c>
    </row>
    <row r="85" spans="1:23" ht="11.25" customHeight="1" x14ac:dyDescent="0.25">
      <c r="A85" s="3" t="s">
        <v>21</v>
      </c>
      <c r="B85" s="3" t="s">
        <v>41</v>
      </c>
      <c r="C85" s="3" t="s">
        <v>42</v>
      </c>
      <c r="D85" s="3" t="s">
        <v>40</v>
      </c>
      <c r="E85" s="3" t="s">
        <v>25</v>
      </c>
      <c r="F85" s="3" t="s">
        <v>58</v>
      </c>
      <c r="G85" s="3" t="s">
        <v>25</v>
      </c>
      <c r="H85" s="3" t="s">
        <v>25</v>
      </c>
      <c r="I85" s="6">
        <v>44470</v>
      </c>
      <c r="J85" s="4">
        <v>0</v>
      </c>
      <c r="K85" s="4">
        <v>0</v>
      </c>
      <c r="L85" s="4">
        <v>5313.598</v>
      </c>
      <c r="M85" s="4">
        <v>5313.598</v>
      </c>
      <c r="N85" s="4">
        <v>0</v>
      </c>
      <c r="O85" s="4">
        <v>0</v>
      </c>
      <c r="P85" s="4">
        <v>2</v>
      </c>
      <c r="Q85" s="3" t="s">
        <v>59</v>
      </c>
      <c r="R85" s="3">
        <v>0</v>
      </c>
      <c r="S85" s="3" t="s">
        <v>149</v>
      </c>
      <c r="U85" s="3">
        <v>0</v>
      </c>
      <c r="V85" s="3">
        <v>95</v>
      </c>
      <c r="W85" s="3">
        <v>0</v>
      </c>
    </row>
    <row r="86" spans="1:23" ht="11.25" customHeight="1" x14ac:dyDescent="0.25">
      <c r="A86" s="3" t="s">
        <v>21</v>
      </c>
      <c r="B86" s="3" t="s">
        <v>41</v>
      </c>
      <c r="C86" s="3" t="s">
        <v>42</v>
      </c>
      <c r="D86" s="3" t="s">
        <v>40</v>
      </c>
      <c r="E86" s="3" t="s">
        <v>25</v>
      </c>
      <c r="F86" s="3" t="s">
        <v>58</v>
      </c>
      <c r="G86" s="3" t="s">
        <v>25</v>
      </c>
      <c r="H86" s="3" t="s">
        <v>25</v>
      </c>
      <c r="I86" s="6">
        <v>44501</v>
      </c>
      <c r="J86" s="4">
        <v>0</v>
      </c>
      <c r="K86" s="4">
        <v>0</v>
      </c>
      <c r="L86" s="4">
        <v>3710.576</v>
      </c>
      <c r="M86" s="4">
        <v>3710.576</v>
      </c>
      <c r="N86" s="4">
        <v>0</v>
      </c>
      <c r="O86" s="4">
        <v>0</v>
      </c>
      <c r="P86" s="4">
        <v>2</v>
      </c>
      <c r="Q86" s="3" t="s">
        <v>59</v>
      </c>
      <c r="R86" s="3">
        <v>0</v>
      </c>
      <c r="S86" s="3" t="s">
        <v>150</v>
      </c>
      <c r="U86" s="3">
        <v>0</v>
      </c>
      <c r="V86" s="3">
        <v>95</v>
      </c>
      <c r="W86" s="3">
        <v>0</v>
      </c>
    </row>
    <row r="87" spans="1:23" ht="11.25" customHeight="1" x14ac:dyDescent="0.25">
      <c r="A87" s="3" t="s">
        <v>21</v>
      </c>
      <c r="B87" s="3" t="s">
        <v>41</v>
      </c>
      <c r="C87" s="3" t="s">
        <v>42</v>
      </c>
      <c r="D87" s="3" t="s">
        <v>40</v>
      </c>
      <c r="E87" s="3" t="s">
        <v>25</v>
      </c>
      <c r="F87" s="3" t="s">
        <v>58</v>
      </c>
      <c r="G87" s="3" t="s">
        <v>25</v>
      </c>
      <c r="H87" s="3" t="s">
        <v>25</v>
      </c>
      <c r="I87" s="6">
        <v>44531</v>
      </c>
      <c r="J87" s="4">
        <v>0</v>
      </c>
      <c r="K87" s="4">
        <v>0</v>
      </c>
      <c r="L87" s="4">
        <v>4887.2669999999998</v>
      </c>
      <c r="M87" s="4">
        <v>4887.2669999999998</v>
      </c>
      <c r="N87" s="4">
        <v>0</v>
      </c>
      <c r="O87" s="4">
        <v>0</v>
      </c>
      <c r="P87" s="4">
        <v>3</v>
      </c>
      <c r="Q87" s="3" t="s">
        <v>59</v>
      </c>
      <c r="R87" s="3">
        <v>0</v>
      </c>
      <c r="S87" s="3" t="s">
        <v>151</v>
      </c>
      <c r="U87" s="3">
        <v>0</v>
      </c>
      <c r="V87" s="3">
        <v>95</v>
      </c>
      <c r="W87" s="3">
        <v>0</v>
      </c>
    </row>
    <row r="88" spans="1:23" ht="11.25" customHeight="1" x14ac:dyDescent="0.25">
      <c r="A88" s="3" t="s">
        <v>21</v>
      </c>
      <c r="B88" s="3" t="s">
        <v>41</v>
      </c>
      <c r="C88" s="3" t="s">
        <v>42</v>
      </c>
      <c r="D88" s="3" t="s">
        <v>40</v>
      </c>
      <c r="E88" s="3" t="s">
        <v>25</v>
      </c>
      <c r="F88" s="3" t="s">
        <v>58</v>
      </c>
      <c r="G88" s="3" t="s">
        <v>25</v>
      </c>
      <c r="H88" s="3" t="s">
        <v>25</v>
      </c>
      <c r="I88" s="6">
        <v>44562</v>
      </c>
      <c r="J88" s="4">
        <v>0</v>
      </c>
      <c r="K88" s="4">
        <v>0</v>
      </c>
      <c r="L88" s="4">
        <v>5070.223</v>
      </c>
      <c r="M88" s="4">
        <v>5070.223</v>
      </c>
      <c r="N88" s="4">
        <v>0</v>
      </c>
      <c r="O88" s="4">
        <v>0</v>
      </c>
      <c r="P88" s="4">
        <v>3</v>
      </c>
      <c r="Q88" s="3" t="s">
        <v>59</v>
      </c>
      <c r="R88" s="3">
        <v>0</v>
      </c>
      <c r="S88" s="3" t="s">
        <v>152</v>
      </c>
      <c r="U88" s="3">
        <v>0</v>
      </c>
      <c r="V88" s="3">
        <v>95</v>
      </c>
      <c r="W88" s="3">
        <v>0</v>
      </c>
    </row>
    <row r="89" spans="1:23" ht="11.25" customHeight="1" x14ac:dyDescent="0.25">
      <c r="A89" s="3" t="s">
        <v>21</v>
      </c>
      <c r="B89" s="3" t="s">
        <v>41</v>
      </c>
      <c r="C89" s="3" t="s">
        <v>42</v>
      </c>
      <c r="D89" s="3" t="s">
        <v>40</v>
      </c>
      <c r="E89" s="3" t="s">
        <v>25</v>
      </c>
      <c r="F89" s="3" t="s">
        <v>58</v>
      </c>
      <c r="G89" s="3" t="s">
        <v>25</v>
      </c>
      <c r="H89" s="3" t="s">
        <v>25</v>
      </c>
      <c r="I89" s="6">
        <v>44593</v>
      </c>
      <c r="J89" s="4">
        <v>0</v>
      </c>
      <c r="K89" s="4">
        <v>0</v>
      </c>
      <c r="L89" s="4">
        <v>13825.752</v>
      </c>
      <c r="M89" s="4">
        <v>13825.752</v>
      </c>
      <c r="N89" s="4">
        <v>0</v>
      </c>
      <c r="O89" s="4">
        <v>0</v>
      </c>
      <c r="P89" s="4">
        <v>3</v>
      </c>
      <c r="Q89" s="3" t="s">
        <v>59</v>
      </c>
      <c r="R89" s="3">
        <v>0</v>
      </c>
      <c r="S89" s="3" t="s">
        <v>153</v>
      </c>
      <c r="U89" s="3">
        <v>0</v>
      </c>
      <c r="V89" s="3">
        <v>95</v>
      </c>
      <c r="W89" s="3">
        <v>0</v>
      </c>
    </row>
    <row r="90" spans="1:23" ht="11.25" customHeight="1" x14ac:dyDescent="0.25">
      <c r="A90" s="3" t="s">
        <v>21</v>
      </c>
      <c r="B90" s="3" t="s">
        <v>41</v>
      </c>
      <c r="C90" s="3" t="s">
        <v>42</v>
      </c>
      <c r="D90" s="3" t="s">
        <v>40</v>
      </c>
      <c r="E90" s="3" t="s">
        <v>25</v>
      </c>
      <c r="F90" s="3" t="s">
        <v>58</v>
      </c>
      <c r="G90" s="3" t="s">
        <v>25</v>
      </c>
      <c r="H90" s="3" t="s">
        <v>25</v>
      </c>
      <c r="I90" s="6">
        <v>44621</v>
      </c>
      <c r="J90" s="4">
        <v>0</v>
      </c>
      <c r="K90" s="4">
        <v>0</v>
      </c>
      <c r="L90" s="4">
        <v>10905.182000000001</v>
      </c>
      <c r="M90" s="4">
        <v>10905.182000000001</v>
      </c>
      <c r="N90" s="4">
        <v>0</v>
      </c>
      <c r="O90" s="4">
        <v>0</v>
      </c>
      <c r="P90" s="4">
        <v>4</v>
      </c>
      <c r="Q90" s="3" t="s">
        <v>59</v>
      </c>
      <c r="R90" s="3">
        <v>0</v>
      </c>
      <c r="S90" s="3" t="s">
        <v>154</v>
      </c>
      <c r="U90" s="3">
        <v>0</v>
      </c>
      <c r="V90" s="3">
        <v>95</v>
      </c>
      <c r="W90" s="3">
        <v>0</v>
      </c>
    </row>
    <row r="91" spans="1:23" ht="11.25" customHeight="1" x14ac:dyDescent="0.25">
      <c r="A91" s="3" t="s">
        <v>56</v>
      </c>
      <c r="B91" s="3" t="s">
        <v>41</v>
      </c>
      <c r="C91" s="3" t="s">
        <v>42</v>
      </c>
      <c r="D91" s="3" t="s">
        <v>40</v>
      </c>
      <c r="E91" s="3" t="s">
        <v>25</v>
      </c>
      <c r="F91" s="3" t="s">
        <v>58</v>
      </c>
      <c r="G91" s="3" t="s">
        <v>25</v>
      </c>
      <c r="H91" s="3" t="s">
        <v>25</v>
      </c>
      <c r="I91" s="6">
        <v>44652</v>
      </c>
      <c r="J91" s="4">
        <v>0</v>
      </c>
      <c r="K91" s="4">
        <v>0</v>
      </c>
      <c r="L91" s="4">
        <v>10905.182000000001</v>
      </c>
      <c r="M91" s="4">
        <v>10905.182000000001</v>
      </c>
      <c r="N91" s="4">
        <v>0</v>
      </c>
      <c r="O91" s="4">
        <v>0</v>
      </c>
      <c r="P91" s="4">
        <v>4</v>
      </c>
      <c r="Q91" s="3" t="s">
        <v>59</v>
      </c>
      <c r="R91" s="3">
        <v>0</v>
      </c>
      <c r="S91" s="3" t="s">
        <v>155</v>
      </c>
      <c r="U91" s="3">
        <v>0</v>
      </c>
      <c r="V91" s="3">
        <v>95</v>
      </c>
      <c r="W91" s="3">
        <v>0</v>
      </c>
    </row>
    <row r="92" spans="1:23" ht="11.25" customHeight="1" x14ac:dyDescent="0.25">
      <c r="A92" s="3" t="s">
        <v>21</v>
      </c>
      <c r="B92" s="3" t="s">
        <v>41</v>
      </c>
      <c r="C92" s="3" t="s">
        <v>42</v>
      </c>
      <c r="D92" s="3" t="s">
        <v>40</v>
      </c>
      <c r="E92" s="3" t="s">
        <v>25</v>
      </c>
      <c r="F92" s="3" t="s">
        <v>58</v>
      </c>
      <c r="G92" s="3" t="s">
        <v>25</v>
      </c>
      <c r="H92" s="3" t="s">
        <v>35</v>
      </c>
      <c r="I92" s="6">
        <v>44317</v>
      </c>
      <c r="J92" s="4">
        <v>12800</v>
      </c>
      <c r="K92" s="4">
        <v>12800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3" t="s">
        <v>59</v>
      </c>
      <c r="R92" s="3">
        <v>0</v>
      </c>
      <c r="S92" s="3" t="s">
        <v>132</v>
      </c>
      <c r="U92" s="3">
        <v>92</v>
      </c>
      <c r="V92" s="3">
        <v>0</v>
      </c>
      <c r="W92" s="3">
        <v>0</v>
      </c>
    </row>
    <row r="93" spans="1:23" ht="11.25" customHeight="1" x14ac:dyDescent="0.25">
      <c r="A93" s="3" t="s">
        <v>21</v>
      </c>
      <c r="B93" s="3" t="s">
        <v>41</v>
      </c>
      <c r="C93" s="3" t="s">
        <v>42</v>
      </c>
      <c r="D93" s="3" t="s">
        <v>40</v>
      </c>
      <c r="E93" s="3" t="s">
        <v>25</v>
      </c>
      <c r="F93" s="3" t="s">
        <v>58</v>
      </c>
      <c r="G93" s="3" t="s">
        <v>25</v>
      </c>
      <c r="H93" s="3" t="s">
        <v>35</v>
      </c>
      <c r="I93" s="6">
        <v>44348</v>
      </c>
      <c r="J93" s="4">
        <v>12800</v>
      </c>
      <c r="K93" s="4">
        <v>12800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3" t="s">
        <v>59</v>
      </c>
      <c r="R93" s="3">
        <v>0</v>
      </c>
      <c r="S93" s="3" t="s">
        <v>133</v>
      </c>
      <c r="U93" s="3">
        <v>92</v>
      </c>
      <c r="V93" s="3">
        <v>0</v>
      </c>
      <c r="W93" s="3">
        <v>0</v>
      </c>
    </row>
    <row r="94" spans="1:23" ht="11.25" customHeight="1" x14ac:dyDescent="0.25">
      <c r="A94" s="3" t="s">
        <v>21</v>
      </c>
      <c r="B94" s="3" t="s">
        <v>41</v>
      </c>
      <c r="C94" s="3" t="s">
        <v>42</v>
      </c>
      <c r="D94" s="3" t="s">
        <v>40</v>
      </c>
      <c r="E94" s="3" t="s">
        <v>25</v>
      </c>
      <c r="F94" s="3" t="s">
        <v>58</v>
      </c>
      <c r="G94" s="3" t="s">
        <v>25</v>
      </c>
      <c r="H94" s="3" t="s">
        <v>35</v>
      </c>
      <c r="I94" s="6">
        <v>44378</v>
      </c>
      <c r="J94" s="4">
        <v>12800</v>
      </c>
      <c r="K94" s="4">
        <v>12800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3" t="s">
        <v>59</v>
      </c>
      <c r="R94" s="3">
        <v>0</v>
      </c>
      <c r="S94" s="3" t="s">
        <v>134</v>
      </c>
      <c r="U94" s="3">
        <v>92</v>
      </c>
      <c r="V94" s="3">
        <v>0</v>
      </c>
      <c r="W94" s="3">
        <v>0</v>
      </c>
    </row>
    <row r="95" spans="1:23" ht="11.25" customHeight="1" x14ac:dyDescent="0.25">
      <c r="A95" s="3" t="s">
        <v>21</v>
      </c>
      <c r="B95" s="3" t="s">
        <v>41</v>
      </c>
      <c r="C95" s="3" t="s">
        <v>42</v>
      </c>
      <c r="D95" s="3" t="s">
        <v>40</v>
      </c>
      <c r="E95" s="3" t="s">
        <v>25</v>
      </c>
      <c r="F95" s="3" t="s">
        <v>58</v>
      </c>
      <c r="G95" s="3" t="s">
        <v>25</v>
      </c>
      <c r="H95" s="3" t="s">
        <v>35</v>
      </c>
      <c r="I95" s="6">
        <v>44409</v>
      </c>
      <c r="J95" s="4">
        <v>12800</v>
      </c>
      <c r="K95" s="4">
        <v>12800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3" t="s">
        <v>59</v>
      </c>
      <c r="R95" s="3">
        <v>0</v>
      </c>
      <c r="S95" s="3" t="s">
        <v>135</v>
      </c>
      <c r="U95" s="3">
        <v>92</v>
      </c>
      <c r="V95" s="3">
        <v>0</v>
      </c>
      <c r="W95" s="3">
        <v>0</v>
      </c>
    </row>
    <row r="96" spans="1:23" ht="11.25" customHeight="1" x14ac:dyDescent="0.25">
      <c r="A96" s="3" t="s">
        <v>21</v>
      </c>
      <c r="B96" s="3" t="s">
        <v>41</v>
      </c>
      <c r="C96" s="3" t="s">
        <v>42</v>
      </c>
      <c r="D96" s="3" t="s">
        <v>40</v>
      </c>
      <c r="E96" s="3" t="s">
        <v>25</v>
      </c>
      <c r="F96" s="3" t="s">
        <v>58</v>
      </c>
      <c r="G96" s="3" t="s">
        <v>25</v>
      </c>
      <c r="H96" s="3" t="s">
        <v>35</v>
      </c>
      <c r="I96" s="6">
        <v>44440</v>
      </c>
      <c r="J96" s="4">
        <v>12800</v>
      </c>
      <c r="K96" s="4">
        <v>12800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3" t="s">
        <v>59</v>
      </c>
      <c r="R96" s="3">
        <v>0</v>
      </c>
      <c r="S96" s="3" t="s">
        <v>136</v>
      </c>
      <c r="U96" s="3">
        <v>92</v>
      </c>
      <c r="V96" s="3">
        <v>0</v>
      </c>
      <c r="W96" s="3">
        <v>0</v>
      </c>
    </row>
    <row r="97" spans="1:23" ht="11.25" customHeight="1" x14ac:dyDescent="0.25">
      <c r="A97" s="3" t="s">
        <v>21</v>
      </c>
      <c r="B97" s="3" t="s">
        <v>41</v>
      </c>
      <c r="C97" s="3" t="s">
        <v>42</v>
      </c>
      <c r="D97" s="3" t="s">
        <v>40</v>
      </c>
      <c r="E97" s="3" t="s">
        <v>25</v>
      </c>
      <c r="F97" s="3" t="s">
        <v>58</v>
      </c>
      <c r="G97" s="3" t="s">
        <v>25</v>
      </c>
      <c r="H97" s="3" t="s">
        <v>35</v>
      </c>
      <c r="I97" s="6">
        <v>44470</v>
      </c>
      <c r="J97" s="4">
        <v>12800</v>
      </c>
      <c r="K97" s="4">
        <v>12800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3" t="s">
        <v>59</v>
      </c>
      <c r="R97" s="3">
        <v>0</v>
      </c>
      <c r="S97" s="3" t="s">
        <v>137</v>
      </c>
      <c r="U97" s="3">
        <v>92</v>
      </c>
      <c r="V97" s="3">
        <v>0</v>
      </c>
      <c r="W97" s="3">
        <v>0</v>
      </c>
    </row>
    <row r="98" spans="1:23" ht="11.25" customHeight="1" x14ac:dyDescent="0.25">
      <c r="A98" s="3" t="s">
        <v>21</v>
      </c>
      <c r="B98" s="3" t="s">
        <v>41</v>
      </c>
      <c r="C98" s="3" t="s">
        <v>42</v>
      </c>
      <c r="D98" s="3" t="s">
        <v>40</v>
      </c>
      <c r="E98" s="3" t="s">
        <v>25</v>
      </c>
      <c r="F98" s="3" t="s">
        <v>58</v>
      </c>
      <c r="G98" s="3" t="s">
        <v>25</v>
      </c>
      <c r="H98" s="3" t="s">
        <v>35</v>
      </c>
      <c r="I98" s="6">
        <v>44501</v>
      </c>
      <c r="J98" s="4">
        <v>12800</v>
      </c>
      <c r="K98" s="4">
        <v>12800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3" t="s">
        <v>59</v>
      </c>
      <c r="R98" s="3">
        <v>0</v>
      </c>
      <c r="S98" s="3" t="s">
        <v>138</v>
      </c>
      <c r="U98" s="3">
        <v>92</v>
      </c>
      <c r="V98" s="3">
        <v>0</v>
      </c>
      <c r="W98" s="3">
        <v>0</v>
      </c>
    </row>
    <row r="99" spans="1:23" ht="11.25" customHeight="1" x14ac:dyDescent="0.25">
      <c r="A99" s="3" t="s">
        <v>21</v>
      </c>
      <c r="B99" s="3" t="s">
        <v>41</v>
      </c>
      <c r="C99" s="3" t="s">
        <v>42</v>
      </c>
      <c r="D99" s="3" t="s">
        <v>40</v>
      </c>
      <c r="E99" s="3" t="s">
        <v>25</v>
      </c>
      <c r="F99" s="3" t="s">
        <v>58</v>
      </c>
      <c r="G99" s="3" t="s">
        <v>25</v>
      </c>
      <c r="H99" s="3" t="s">
        <v>35</v>
      </c>
      <c r="I99" s="6">
        <v>44531</v>
      </c>
      <c r="J99" s="4">
        <v>17800</v>
      </c>
      <c r="K99" s="4">
        <v>17800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3" t="s">
        <v>59</v>
      </c>
      <c r="R99" s="3">
        <v>0</v>
      </c>
      <c r="S99" s="3" t="s">
        <v>139</v>
      </c>
      <c r="U99" s="3">
        <v>92</v>
      </c>
      <c r="V99" s="3">
        <v>0</v>
      </c>
      <c r="W99" s="3">
        <v>0</v>
      </c>
    </row>
    <row r="100" spans="1:23" ht="11.25" customHeight="1" x14ac:dyDescent="0.25">
      <c r="A100" s="3" t="s">
        <v>21</v>
      </c>
      <c r="B100" s="3" t="s">
        <v>41</v>
      </c>
      <c r="C100" s="3" t="s">
        <v>42</v>
      </c>
      <c r="D100" s="3" t="s">
        <v>40</v>
      </c>
      <c r="E100" s="3" t="s">
        <v>25</v>
      </c>
      <c r="F100" s="3" t="s">
        <v>58</v>
      </c>
      <c r="G100" s="3" t="s">
        <v>25</v>
      </c>
      <c r="H100" s="3" t="s">
        <v>35</v>
      </c>
      <c r="I100" s="6">
        <v>44562</v>
      </c>
      <c r="J100" s="4">
        <v>17800</v>
      </c>
      <c r="K100" s="4">
        <v>17800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3" t="s">
        <v>59</v>
      </c>
      <c r="R100" s="3">
        <v>0</v>
      </c>
      <c r="S100" s="3" t="s">
        <v>140</v>
      </c>
      <c r="U100" s="3">
        <v>92</v>
      </c>
      <c r="V100" s="3">
        <v>0</v>
      </c>
      <c r="W100" s="3">
        <v>0</v>
      </c>
    </row>
    <row r="101" spans="1:23" ht="11.25" customHeight="1" x14ac:dyDescent="0.25">
      <c r="A101" s="3" t="s">
        <v>21</v>
      </c>
      <c r="B101" s="3" t="s">
        <v>41</v>
      </c>
      <c r="C101" s="3" t="s">
        <v>42</v>
      </c>
      <c r="D101" s="3" t="s">
        <v>40</v>
      </c>
      <c r="E101" s="3" t="s">
        <v>25</v>
      </c>
      <c r="F101" s="3" t="s">
        <v>58</v>
      </c>
      <c r="G101" s="3" t="s">
        <v>25</v>
      </c>
      <c r="H101" s="3" t="s">
        <v>35</v>
      </c>
      <c r="I101" s="6">
        <v>44593</v>
      </c>
      <c r="J101" s="4">
        <v>37520</v>
      </c>
      <c r="K101" s="4">
        <v>37520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3" t="s">
        <v>59</v>
      </c>
      <c r="R101" s="3">
        <v>0</v>
      </c>
      <c r="S101" s="3" t="s">
        <v>141</v>
      </c>
      <c r="U101" s="3">
        <v>92</v>
      </c>
      <c r="V101" s="3">
        <v>0</v>
      </c>
      <c r="W101" s="3">
        <v>0</v>
      </c>
    </row>
    <row r="102" spans="1:23" ht="11.25" customHeight="1" x14ac:dyDescent="0.25">
      <c r="A102" s="3" t="s">
        <v>21</v>
      </c>
      <c r="B102" s="3" t="s">
        <v>41</v>
      </c>
      <c r="C102" s="3" t="s">
        <v>42</v>
      </c>
      <c r="D102" s="3" t="s">
        <v>40</v>
      </c>
      <c r="E102" s="3" t="s">
        <v>25</v>
      </c>
      <c r="F102" s="3" t="s">
        <v>58</v>
      </c>
      <c r="G102" s="3" t="s">
        <v>25</v>
      </c>
      <c r="H102" s="3" t="s">
        <v>35</v>
      </c>
      <c r="I102" s="6">
        <v>44621</v>
      </c>
      <c r="J102" s="4">
        <v>24300</v>
      </c>
      <c r="K102" s="4">
        <v>24300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3" t="s">
        <v>59</v>
      </c>
      <c r="R102" s="3">
        <v>0</v>
      </c>
      <c r="S102" s="3" t="s">
        <v>142</v>
      </c>
      <c r="U102" s="3">
        <v>92</v>
      </c>
      <c r="V102" s="3">
        <v>0</v>
      </c>
      <c r="W102" s="3">
        <v>0</v>
      </c>
    </row>
    <row r="103" spans="1:23" ht="11.25" customHeight="1" x14ac:dyDescent="0.25">
      <c r="A103" s="3" t="s">
        <v>56</v>
      </c>
      <c r="B103" s="3" t="s">
        <v>41</v>
      </c>
      <c r="C103" s="3" t="s">
        <v>42</v>
      </c>
      <c r="D103" s="3" t="s">
        <v>40</v>
      </c>
      <c r="E103" s="3" t="s">
        <v>25</v>
      </c>
      <c r="F103" s="3" t="s">
        <v>58</v>
      </c>
      <c r="G103" s="3" t="s">
        <v>25</v>
      </c>
      <c r="H103" s="3" t="s">
        <v>35</v>
      </c>
      <c r="I103" s="6">
        <v>44652</v>
      </c>
      <c r="J103" s="4">
        <v>24300</v>
      </c>
      <c r="K103" s="4">
        <v>24300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3" t="s">
        <v>59</v>
      </c>
      <c r="R103" s="3">
        <v>0</v>
      </c>
      <c r="S103" s="3" t="s">
        <v>143</v>
      </c>
      <c r="U103" s="3">
        <v>92</v>
      </c>
      <c r="V103" s="3">
        <v>0</v>
      </c>
      <c r="W103" s="3">
        <v>0</v>
      </c>
    </row>
    <row r="104" spans="1:23" ht="11.25" customHeight="1" x14ac:dyDescent="0.25">
      <c r="A104" s="3" t="s">
        <v>21</v>
      </c>
      <c r="B104" s="3" t="s">
        <v>41</v>
      </c>
      <c r="C104" s="3" t="s">
        <v>42</v>
      </c>
      <c r="D104" s="3" t="s">
        <v>40</v>
      </c>
      <c r="E104" s="3" t="s">
        <v>25</v>
      </c>
      <c r="F104" s="3" t="s">
        <v>60</v>
      </c>
      <c r="G104" s="3" t="s">
        <v>25</v>
      </c>
      <c r="H104" s="3" t="s">
        <v>36</v>
      </c>
      <c r="I104" s="6">
        <v>44317</v>
      </c>
      <c r="J104" s="4">
        <v>7000</v>
      </c>
      <c r="K104" s="4">
        <v>10.4559000000003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3" t="s">
        <v>57</v>
      </c>
      <c r="R104" s="3">
        <v>0</v>
      </c>
      <c r="S104" s="3" t="s">
        <v>108</v>
      </c>
      <c r="U104" s="3">
        <v>93</v>
      </c>
      <c r="V104" s="3">
        <v>0</v>
      </c>
      <c r="W104" s="3">
        <v>0</v>
      </c>
    </row>
    <row r="105" spans="1:23" ht="11.25" customHeight="1" x14ac:dyDescent="0.25">
      <c r="A105" s="3" t="s">
        <v>21</v>
      </c>
      <c r="B105" s="3" t="s">
        <v>41</v>
      </c>
      <c r="C105" s="3" t="s">
        <v>42</v>
      </c>
      <c r="D105" s="3" t="s">
        <v>40</v>
      </c>
      <c r="E105" s="3" t="s">
        <v>25</v>
      </c>
      <c r="F105" s="3" t="s">
        <v>60</v>
      </c>
      <c r="G105" s="3" t="s">
        <v>25</v>
      </c>
      <c r="H105" s="3" t="s">
        <v>36</v>
      </c>
      <c r="I105" s="6">
        <v>44348</v>
      </c>
      <c r="J105" s="4">
        <v>7000</v>
      </c>
      <c r="K105" s="4">
        <v>5.6000000000001604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3" t="s">
        <v>57</v>
      </c>
      <c r="R105" s="3">
        <v>0</v>
      </c>
      <c r="S105" s="3" t="s">
        <v>109</v>
      </c>
      <c r="U105" s="3">
        <v>93</v>
      </c>
      <c r="V105" s="3">
        <v>0</v>
      </c>
      <c r="W105" s="3">
        <v>0</v>
      </c>
    </row>
    <row r="106" spans="1:23" ht="11.25" customHeight="1" x14ac:dyDescent="0.25">
      <c r="A106" s="3" t="s">
        <v>21</v>
      </c>
      <c r="B106" s="3" t="s">
        <v>41</v>
      </c>
      <c r="C106" s="3" t="s">
        <v>42</v>
      </c>
      <c r="D106" s="3" t="s">
        <v>40</v>
      </c>
      <c r="E106" s="3" t="s">
        <v>25</v>
      </c>
      <c r="F106" s="3" t="s">
        <v>60</v>
      </c>
      <c r="G106" s="3" t="s">
        <v>25</v>
      </c>
      <c r="H106" s="3" t="s">
        <v>36</v>
      </c>
      <c r="I106" s="6">
        <v>44378</v>
      </c>
      <c r="J106" s="4">
        <v>7000</v>
      </c>
      <c r="K106" s="4">
        <v>5.6000000000001604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3" t="s">
        <v>57</v>
      </c>
      <c r="R106" s="3">
        <v>0</v>
      </c>
      <c r="S106" s="3" t="s">
        <v>110</v>
      </c>
      <c r="U106" s="3">
        <v>93</v>
      </c>
      <c r="V106" s="3">
        <v>0</v>
      </c>
      <c r="W106" s="3">
        <v>0</v>
      </c>
    </row>
    <row r="107" spans="1:23" ht="11.25" customHeight="1" x14ac:dyDescent="0.25">
      <c r="A107" s="3" t="s">
        <v>21</v>
      </c>
      <c r="B107" s="3" t="s">
        <v>41</v>
      </c>
      <c r="C107" s="3" t="s">
        <v>42</v>
      </c>
      <c r="D107" s="3" t="s">
        <v>40</v>
      </c>
      <c r="E107" s="3" t="s">
        <v>25</v>
      </c>
      <c r="F107" s="3" t="s">
        <v>60</v>
      </c>
      <c r="G107" s="3" t="s">
        <v>25</v>
      </c>
      <c r="H107" s="3" t="s">
        <v>36</v>
      </c>
      <c r="I107" s="6">
        <v>44409</v>
      </c>
      <c r="J107" s="4">
        <v>7000</v>
      </c>
      <c r="K107" s="4">
        <v>0.70000000000069995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3" t="s">
        <v>57</v>
      </c>
      <c r="R107" s="3">
        <v>0</v>
      </c>
      <c r="S107" s="3" t="s">
        <v>111</v>
      </c>
      <c r="U107" s="3">
        <v>93</v>
      </c>
      <c r="V107" s="3">
        <v>0</v>
      </c>
      <c r="W107" s="3">
        <v>0</v>
      </c>
    </row>
    <row r="108" spans="1:23" ht="11.25" customHeight="1" x14ac:dyDescent="0.25">
      <c r="A108" s="3" t="s">
        <v>21</v>
      </c>
      <c r="B108" s="3" t="s">
        <v>41</v>
      </c>
      <c r="C108" s="3" t="s">
        <v>42</v>
      </c>
      <c r="D108" s="3" t="s">
        <v>40</v>
      </c>
      <c r="E108" s="3" t="s">
        <v>25</v>
      </c>
      <c r="F108" s="3" t="s">
        <v>60</v>
      </c>
      <c r="G108" s="3" t="s">
        <v>25</v>
      </c>
      <c r="H108" s="3" t="s">
        <v>36</v>
      </c>
      <c r="I108" s="6">
        <v>44440</v>
      </c>
      <c r="J108" s="4">
        <v>7000</v>
      </c>
      <c r="K108" s="4">
        <v>5.6000000000001604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57</v>
      </c>
      <c r="R108" s="3">
        <v>0</v>
      </c>
      <c r="S108" s="3" t="s">
        <v>112</v>
      </c>
      <c r="U108" s="3">
        <v>93</v>
      </c>
      <c r="V108" s="3">
        <v>0</v>
      </c>
      <c r="W108" s="3">
        <v>0</v>
      </c>
    </row>
    <row r="109" spans="1:23" ht="11.25" customHeight="1" x14ac:dyDescent="0.25">
      <c r="A109" s="3" t="s">
        <v>21</v>
      </c>
      <c r="B109" s="3" t="s">
        <v>41</v>
      </c>
      <c r="C109" s="3" t="s">
        <v>42</v>
      </c>
      <c r="D109" s="3" t="s">
        <v>40</v>
      </c>
      <c r="E109" s="3" t="s">
        <v>25</v>
      </c>
      <c r="F109" s="3" t="s">
        <v>60</v>
      </c>
      <c r="G109" s="3" t="s">
        <v>25</v>
      </c>
      <c r="H109" s="3" t="s">
        <v>36</v>
      </c>
      <c r="I109" s="6">
        <v>44470</v>
      </c>
      <c r="J109" s="4">
        <v>7000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3" t="s">
        <v>57</v>
      </c>
      <c r="R109" s="3">
        <v>0</v>
      </c>
      <c r="S109" s="3" t="s">
        <v>113</v>
      </c>
      <c r="U109" s="3">
        <v>93</v>
      </c>
      <c r="V109" s="3">
        <v>0</v>
      </c>
      <c r="W109" s="3">
        <v>0</v>
      </c>
    </row>
    <row r="110" spans="1:23" ht="11.25" customHeight="1" x14ac:dyDescent="0.25">
      <c r="A110" s="3" t="s">
        <v>21</v>
      </c>
      <c r="B110" s="3" t="s">
        <v>41</v>
      </c>
      <c r="C110" s="3" t="s">
        <v>42</v>
      </c>
      <c r="D110" s="3" t="s">
        <v>40</v>
      </c>
      <c r="E110" s="3" t="s">
        <v>25</v>
      </c>
      <c r="F110" s="3" t="s">
        <v>60</v>
      </c>
      <c r="G110" s="3" t="s">
        <v>25</v>
      </c>
      <c r="H110" s="3" t="s">
        <v>36</v>
      </c>
      <c r="I110" s="6">
        <v>44501</v>
      </c>
      <c r="J110" s="4">
        <v>7000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57</v>
      </c>
      <c r="R110" s="3">
        <v>0</v>
      </c>
      <c r="S110" s="3" t="s">
        <v>114</v>
      </c>
      <c r="U110" s="3">
        <v>93</v>
      </c>
      <c r="V110" s="3">
        <v>0</v>
      </c>
      <c r="W110" s="3">
        <v>0</v>
      </c>
    </row>
    <row r="111" spans="1:23" ht="11.25" customHeight="1" x14ac:dyDescent="0.25">
      <c r="A111" s="3" t="s">
        <v>21</v>
      </c>
      <c r="B111" s="3" t="s">
        <v>41</v>
      </c>
      <c r="C111" s="3" t="s">
        <v>42</v>
      </c>
      <c r="D111" s="3" t="s">
        <v>40</v>
      </c>
      <c r="E111" s="3" t="s">
        <v>25</v>
      </c>
      <c r="F111" s="3" t="s">
        <v>60</v>
      </c>
      <c r="G111" s="3" t="s">
        <v>25</v>
      </c>
      <c r="H111" s="3" t="s">
        <v>36</v>
      </c>
      <c r="I111" s="6">
        <v>44531</v>
      </c>
      <c r="J111" s="4">
        <v>13742</v>
      </c>
      <c r="K111" s="4">
        <v>6871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3" t="s">
        <v>57</v>
      </c>
      <c r="R111" s="3">
        <v>0</v>
      </c>
      <c r="S111" s="3" t="s">
        <v>115</v>
      </c>
      <c r="U111" s="3">
        <v>93</v>
      </c>
      <c r="V111" s="3">
        <v>0</v>
      </c>
      <c r="W111" s="3">
        <v>0</v>
      </c>
    </row>
    <row r="112" spans="1:23" ht="11.25" customHeight="1" x14ac:dyDescent="0.25">
      <c r="A112" s="3" t="s">
        <v>21</v>
      </c>
      <c r="B112" s="3" t="s">
        <v>41</v>
      </c>
      <c r="C112" s="3" t="s">
        <v>42</v>
      </c>
      <c r="D112" s="3" t="s">
        <v>40</v>
      </c>
      <c r="E112" s="3" t="s">
        <v>25</v>
      </c>
      <c r="F112" s="3" t="s">
        <v>60</v>
      </c>
      <c r="G112" s="3" t="s">
        <v>25</v>
      </c>
      <c r="H112" s="3" t="s">
        <v>36</v>
      </c>
      <c r="I112" s="6">
        <v>44562</v>
      </c>
      <c r="J112" s="4">
        <v>7022</v>
      </c>
      <c r="K112" s="4">
        <v>3511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57</v>
      </c>
      <c r="R112" s="3">
        <v>0</v>
      </c>
      <c r="S112" s="3" t="s">
        <v>116</v>
      </c>
      <c r="U112" s="3">
        <v>93</v>
      </c>
      <c r="V112" s="3">
        <v>0</v>
      </c>
      <c r="W112" s="3">
        <v>0</v>
      </c>
    </row>
    <row r="113" spans="1:23" ht="11.25" customHeight="1" x14ac:dyDescent="0.25">
      <c r="A113" s="3" t="s">
        <v>21</v>
      </c>
      <c r="B113" s="3" t="s">
        <v>41</v>
      </c>
      <c r="C113" s="3" t="s">
        <v>42</v>
      </c>
      <c r="D113" s="3" t="s">
        <v>40</v>
      </c>
      <c r="E113" s="3" t="s">
        <v>25</v>
      </c>
      <c r="F113" s="3" t="s">
        <v>60</v>
      </c>
      <c r="G113" s="3" t="s">
        <v>25</v>
      </c>
      <c r="H113" s="3" t="s">
        <v>36</v>
      </c>
      <c r="I113" s="6">
        <v>44593</v>
      </c>
      <c r="J113" s="4">
        <v>10565</v>
      </c>
      <c r="K113" s="4">
        <v>5282.5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3" t="s">
        <v>57</v>
      </c>
      <c r="R113" s="3">
        <v>0</v>
      </c>
      <c r="S113" s="3" t="s">
        <v>117</v>
      </c>
      <c r="U113" s="3">
        <v>93</v>
      </c>
      <c r="V113" s="3">
        <v>0</v>
      </c>
      <c r="W113" s="3">
        <v>0</v>
      </c>
    </row>
    <row r="114" spans="1:23" ht="11.25" customHeight="1" x14ac:dyDescent="0.25">
      <c r="A114" s="3" t="s">
        <v>21</v>
      </c>
      <c r="B114" s="3" t="s">
        <v>41</v>
      </c>
      <c r="C114" s="3" t="s">
        <v>42</v>
      </c>
      <c r="D114" s="3" t="s">
        <v>40</v>
      </c>
      <c r="E114" s="3" t="s">
        <v>25</v>
      </c>
      <c r="F114" s="3" t="s">
        <v>60</v>
      </c>
      <c r="G114" s="3" t="s">
        <v>25</v>
      </c>
      <c r="H114" s="3" t="s">
        <v>36</v>
      </c>
      <c r="I114" s="6">
        <v>44621</v>
      </c>
      <c r="J114" s="4">
        <v>10565</v>
      </c>
      <c r="K114" s="4">
        <v>5282.5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57</v>
      </c>
      <c r="R114" s="3">
        <v>0</v>
      </c>
      <c r="S114" s="3" t="s">
        <v>118</v>
      </c>
      <c r="U114" s="3">
        <v>93</v>
      </c>
      <c r="V114" s="3">
        <v>0</v>
      </c>
      <c r="W114" s="3">
        <v>0</v>
      </c>
    </row>
    <row r="115" spans="1:23" ht="11.25" customHeight="1" x14ac:dyDescent="0.25">
      <c r="A115" s="3" t="s">
        <v>56</v>
      </c>
      <c r="B115" s="3" t="s">
        <v>41</v>
      </c>
      <c r="C115" s="3" t="s">
        <v>42</v>
      </c>
      <c r="D115" s="3" t="s">
        <v>40</v>
      </c>
      <c r="E115" s="3" t="s">
        <v>25</v>
      </c>
      <c r="F115" s="3" t="s">
        <v>60</v>
      </c>
      <c r="G115" s="3" t="s">
        <v>25</v>
      </c>
      <c r="H115" s="3" t="s">
        <v>36</v>
      </c>
      <c r="I115" s="6">
        <v>44652</v>
      </c>
      <c r="J115" s="4">
        <v>10565</v>
      </c>
      <c r="K115" s="4">
        <v>5282.5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3" t="s">
        <v>57</v>
      </c>
      <c r="R115" s="3">
        <v>0</v>
      </c>
      <c r="S115" s="3" t="s">
        <v>119</v>
      </c>
      <c r="U115" s="3">
        <v>93</v>
      </c>
      <c r="V115" s="3">
        <v>0</v>
      </c>
      <c r="W115" s="3">
        <v>0</v>
      </c>
    </row>
    <row r="116" spans="1:23" ht="11.25" customHeight="1" x14ac:dyDescent="0.25">
      <c r="A116" s="3" t="s">
        <v>21</v>
      </c>
      <c r="B116" s="3" t="s">
        <v>41</v>
      </c>
      <c r="C116" s="3" t="s">
        <v>42</v>
      </c>
      <c r="D116" s="3" t="s">
        <v>40</v>
      </c>
      <c r="E116" s="3" t="s">
        <v>25</v>
      </c>
      <c r="F116" s="3" t="s">
        <v>60</v>
      </c>
      <c r="G116" s="3" t="s">
        <v>25</v>
      </c>
      <c r="H116" s="3" t="s">
        <v>25</v>
      </c>
      <c r="I116" s="6">
        <v>44317</v>
      </c>
      <c r="J116" s="4">
        <v>0</v>
      </c>
      <c r="K116" s="4">
        <v>0</v>
      </c>
      <c r="L116" s="4">
        <v>574.60900000000004</v>
      </c>
      <c r="M116" s="4">
        <v>574.60900000000004</v>
      </c>
      <c r="N116" s="4">
        <v>0</v>
      </c>
      <c r="O116" s="4">
        <v>0</v>
      </c>
      <c r="P116" s="4">
        <v>1</v>
      </c>
      <c r="Q116" s="3" t="s">
        <v>57</v>
      </c>
      <c r="R116" s="3">
        <v>0</v>
      </c>
      <c r="S116" s="3" t="s">
        <v>120</v>
      </c>
      <c r="U116" s="3">
        <v>0</v>
      </c>
      <c r="V116" s="3">
        <v>94</v>
      </c>
      <c r="W116" s="3">
        <v>0</v>
      </c>
    </row>
    <row r="117" spans="1:23" ht="11.25" customHeight="1" x14ac:dyDescent="0.25">
      <c r="A117" s="3" t="s">
        <v>21</v>
      </c>
      <c r="B117" s="3" t="s">
        <v>41</v>
      </c>
      <c r="C117" s="3" t="s">
        <v>42</v>
      </c>
      <c r="D117" s="3" t="s">
        <v>40</v>
      </c>
      <c r="E117" s="3" t="s">
        <v>25</v>
      </c>
      <c r="F117" s="3" t="s">
        <v>60</v>
      </c>
      <c r="G117" s="3" t="s">
        <v>25</v>
      </c>
      <c r="H117" s="3" t="s">
        <v>25</v>
      </c>
      <c r="I117" s="6">
        <v>44348</v>
      </c>
      <c r="J117" s="4">
        <v>0</v>
      </c>
      <c r="K117" s="4">
        <v>0</v>
      </c>
      <c r="L117" s="4">
        <v>540.64800000000002</v>
      </c>
      <c r="M117" s="4">
        <v>540.64800000000002</v>
      </c>
      <c r="N117" s="4">
        <v>0</v>
      </c>
      <c r="O117" s="4">
        <v>0</v>
      </c>
      <c r="P117" s="4">
        <v>1</v>
      </c>
      <c r="Q117" s="3" t="s">
        <v>57</v>
      </c>
      <c r="R117" s="3">
        <v>0</v>
      </c>
      <c r="S117" s="3" t="s">
        <v>121</v>
      </c>
      <c r="U117" s="3">
        <v>0</v>
      </c>
      <c r="V117" s="3">
        <v>94</v>
      </c>
      <c r="W117" s="3">
        <v>0</v>
      </c>
    </row>
    <row r="118" spans="1:23" ht="11.25" customHeight="1" x14ac:dyDescent="0.25">
      <c r="A118" s="3" t="s">
        <v>21</v>
      </c>
      <c r="B118" s="3" t="s">
        <v>41</v>
      </c>
      <c r="C118" s="3" t="s">
        <v>42</v>
      </c>
      <c r="D118" s="3" t="s">
        <v>40</v>
      </c>
      <c r="E118" s="3" t="s">
        <v>25</v>
      </c>
      <c r="F118" s="3" t="s">
        <v>60</v>
      </c>
      <c r="G118" s="3" t="s">
        <v>25</v>
      </c>
      <c r="H118" s="3" t="s">
        <v>25</v>
      </c>
      <c r="I118" s="6">
        <v>44378</v>
      </c>
      <c r="J118" s="4">
        <v>0</v>
      </c>
      <c r="K118" s="4">
        <v>0</v>
      </c>
      <c r="L118" s="4">
        <v>572.745</v>
      </c>
      <c r="M118" s="4">
        <v>572.745</v>
      </c>
      <c r="N118" s="4">
        <v>0</v>
      </c>
      <c r="O118" s="4">
        <v>0</v>
      </c>
      <c r="P118" s="4">
        <v>1</v>
      </c>
      <c r="Q118" s="3" t="s">
        <v>57</v>
      </c>
      <c r="R118" s="3">
        <v>0</v>
      </c>
      <c r="S118" s="3" t="s">
        <v>122</v>
      </c>
      <c r="U118" s="3">
        <v>0</v>
      </c>
      <c r="V118" s="3">
        <v>94</v>
      </c>
      <c r="W118" s="3">
        <v>0</v>
      </c>
    </row>
    <row r="119" spans="1:23" ht="11.25" customHeight="1" x14ac:dyDescent="0.25">
      <c r="A119" s="3" t="s">
        <v>21</v>
      </c>
      <c r="B119" s="3" t="s">
        <v>41</v>
      </c>
      <c r="C119" s="3" t="s">
        <v>42</v>
      </c>
      <c r="D119" s="3" t="s">
        <v>40</v>
      </c>
      <c r="E119" s="3" t="s">
        <v>25</v>
      </c>
      <c r="F119" s="3" t="s">
        <v>60</v>
      </c>
      <c r="G119" s="3" t="s">
        <v>25</v>
      </c>
      <c r="H119" s="3" t="s">
        <v>25</v>
      </c>
      <c r="I119" s="6">
        <v>44409</v>
      </c>
      <c r="J119" s="4">
        <v>0</v>
      </c>
      <c r="K119" s="4">
        <v>0</v>
      </c>
      <c r="L119" s="4">
        <v>682.30899999999997</v>
      </c>
      <c r="M119" s="4">
        <v>682.30899999999997</v>
      </c>
      <c r="N119" s="4">
        <v>0</v>
      </c>
      <c r="O119" s="4">
        <v>0</v>
      </c>
      <c r="P119" s="4">
        <v>1</v>
      </c>
      <c r="Q119" s="3" t="s">
        <v>57</v>
      </c>
      <c r="R119" s="3">
        <v>0</v>
      </c>
      <c r="S119" s="3" t="s">
        <v>123</v>
      </c>
      <c r="U119" s="3">
        <v>0</v>
      </c>
      <c r="V119" s="3">
        <v>94</v>
      </c>
      <c r="W119" s="3">
        <v>0</v>
      </c>
    </row>
    <row r="120" spans="1:23" ht="11.25" customHeight="1" x14ac:dyDescent="0.25">
      <c r="A120" s="3" t="s">
        <v>21</v>
      </c>
      <c r="B120" s="3" t="s">
        <v>41</v>
      </c>
      <c r="C120" s="3" t="s">
        <v>42</v>
      </c>
      <c r="D120" s="3" t="s">
        <v>40</v>
      </c>
      <c r="E120" s="3" t="s">
        <v>25</v>
      </c>
      <c r="F120" s="3" t="s">
        <v>60</v>
      </c>
      <c r="G120" s="3" t="s">
        <v>25</v>
      </c>
      <c r="H120" s="3" t="s">
        <v>25</v>
      </c>
      <c r="I120" s="6">
        <v>44440</v>
      </c>
      <c r="J120" s="4">
        <v>0</v>
      </c>
      <c r="K120" s="4">
        <v>0</v>
      </c>
      <c r="L120" s="4">
        <v>463.755</v>
      </c>
      <c r="M120" s="4">
        <v>463.755</v>
      </c>
      <c r="N120" s="4">
        <v>0</v>
      </c>
      <c r="O120" s="4">
        <v>0</v>
      </c>
      <c r="P120" s="4">
        <v>1</v>
      </c>
      <c r="Q120" s="3" t="s">
        <v>57</v>
      </c>
      <c r="R120" s="3">
        <v>0</v>
      </c>
      <c r="S120" s="3" t="s">
        <v>124</v>
      </c>
      <c r="U120" s="3">
        <v>0</v>
      </c>
      <c r="V120" s="3">
        <v>94</v>
      </c>
      <c r="W120" s="3">
        <v>0</v>
      </c>
    </row>
    <row r="121" spans="1:23" ht="11.25" customHeight="1" x14ac:dyDescent="0.25">
      <c r="A121" s="3" t="s">
        <v>21</v>
      </c>
      <c r="B121" s="3" t="s">
        <v>41</v>
      </c>
      <c r="C121" s="3" t="s">
        <v>42</v>
      </c>
      <c r="D121" s="3" t="s">
        <v>40</v>
      </c>
      <c r="E121" s="3" t="s">
        <v>25</v>
      </c>
      <c r="F121" s="3" t="s">
        <v>60</v>
      </c>
      <c r="G121" s="3" t="s">
        <v>25</v>
      </c>
      <c r="H121" s="3" t="s">
        <v>25</v>
      </c>
      <c r="I121" s="6">
        <v>44470</v>
      </c>
      <c r="J121" s="4">
        <v>0</v>
      </c>
      <c r="K121" s="4">
        <v>0</v>
      </c>
      <c r="L121" s="4">
        <v>42.067</v>
      </c>
      <c r="M121" s="4">
        <v>42.067</v>
      </c>
      <c r="N121" s="4">
        <v>0</v>
      </c>
      <c r="O121" s="4">
        <v>0</v>
      </c>
      <c r="P121" s="4">
        <v>1</v>
      </c>
      <c r="Q121" s="3" t="s">
        <v>57</v>
      </c>
      <c r="R121" s="3">
        <v>0</v>
      </c>
      <c r="S121" s="3" t="s">
        <v>125</v>
      </c>
      <c r="U121" s="3">
        <v>0</v>
      </c>
      <c r="V121" s="3">
        <v>94</v>
      </c>
      <c r="W121" s="3">
        <v>0</v>
      </c>
    </row>
    <row r="122" spans="1:23" ht="11.25" customHeight="1" x14ac:dyDescent="0.25">
      <c r="A122" s="3" t="s">
        <v>21</v>
      </c>
      <c r="B122" s="3" t="s">
        <v>41</v>
      </c>
      <c r="C122" s="3" t="s">
        <v>42</v>
      </c>
      <c r="D122" s="3" t="s">
        <v>40</v>
      </c>
      <c r="E122" s="3" t="s">
        <v>25</v>
      </c>
      <c r="F122" s="3" t="s">
        <v>60</v>
      </c>
      <c r="G122" s="3" t="s">
        <v>25</v>
      </c>
      <c r="H122" s="3" t="s">
        <v>25</v>
      </c>
      <c r="I122" s="6">
        <v>44501</v>
      </c>
      <c r="J122" s="4">
        <v>0</v>
      </c>
      <c r="K122" s="4">
        <v>0</v>
      </c>
      <c r="L122" s="4">
        <v>34.969000000000001</v>
      </c>
      <c r="M122" s="4">
        <v>34.969000000000001</v>
      </c>
      <c r="N122" s="4">
        <v>0</v>
      </c>
      <c r="O122" s="4">
        <v>0</v>
      </c>
      <c r="P122" s="4">
        <v>1</v>
      </c>
      <c r="Q122" s="3" t="s">
        <v>57</v>
      </c>
      <c r="R122" s="3">
        <v>0</v>
      </c>
      <c r="S122" s="3" t="s">
        <v>126</v>
      </c>
      <c r="U122" s="3">
        <v>0</v>
      </c>
      <c r="V122" s="3">
        <v>94</v>
      </c>
      <c r="W122" s="3">
        <v>0</v>
      </c>
    </row>
    <row r="123" spans="1:23" ht="11.25" customHeight="1" x14ac:dyDescent="0.25">
      <c r="A123" s="3" t="s">
        <v>21</v>
      </c>
      <c r="B123" s="3" t="s">
        <v>41</v>
      </c>
      <c r="C123" s="3" t="s">
        <v>42</v>
      </c>
      <c r="D123" s="3" t="s">
        <v>40</v>
      </c>
      <c r="E123" s="3" t="s">
        <v>25</v>
      </c>
      <c r="F123" s="3" t="s">
        <v>60</v>
      </c>
      <c r="G123" s="3" t="s">
        <v>25</v>
      </c>
      <c r="H123" s="3" t="s">
        <v>25</v>
      </c>
      <c r="I123" s="6">
        <v>44531</v>
      </c>
      <c r="J123" s="4">
        <v>0</v>
      </c>
      <c r="K123" s="4">
        <v>0</v>
      </c>
      <c r="L123" s="4">
        <v>8297.3130000000001</v>
      </c>
      <c r="M123" s="4">
        <v>8297.3130000000001</v>
      </c>
      <c r="N123" s="4">
        <v>0</v>
      </c>
      <c r="O123" s="4">
        <v>0</v>
      </c>
      <c r="P123" s="4">
        <v>1</v>
      </c>
      <c r="Q123" s="3" t="s">
        <v>57</v>
      </c>
      <c r="R123" s="3">
        <v>0</v>
      </c>
      <c r="S123" s="3" t="s">
        <v>127</v>
      </c>
      <c r="U123" s="3">
        <v>0</v>
      </c>
      <c r="V123" s="3">
        <v>94</v>
      </c>
      <c r="W123" s="3">
        <v>0</v>
      </c>
    </row>
    <row r="124" spans="1:23" ht="11.25" customHeight="1" x14ac:dyDescent="0.25">
      <c r="A124" s="3" t="s">
        <v>21</v>
      </c>
      <c r="B124" s="3" t="s">
        <v>41</v>
      </c>
      <c r="C124" s="3" t="s">
        <v>42</v>
      </c>
      <c r="D124" s="3" t="s">
        <v>40</v>
      </c>
      <c r="E124" s="3" t="s">
        <v>25</v>
      </c>
      <c r="F124" s="3" t="s">
        <v>60</v>
      </c>
      <c r="G124" s="3" t="s">
        <v>25</v>
      </c>
      <c r="H124" s="3" t="s">
        <v>25</v>
      </c>
      <c r="I124" s="6">
        <v>44562</v>
      </c>
      <c r="J124" s="4">
        <v>0</v>
      </c>
      <c r="K124" s="4">
        <v>0</v>
      </c>
      <c r="L124" s="4">
        <v>3571.835</v>
      </c>
      <c r="M124" s="4">
        <v>3571.835</v>
      </c>
      <c r="N124" s="4">
        <v>0</v>
      </c>
      <c r="O124" s="4">
        <v>0</v>
      </c>
      <c r="P124" s="4">
        <v>1</v>
      </c>
      <c r="Q124" s="3" t="s">
        <v>57</v>
      </c>
      <c r="R124" s="3">
        <v>0</v>
      </c>
      <c r="S124" s="3" t="s">
        <v>128</v>
      </c>
      <c r="U124" s="3">
        <v>0</v>
      </c>
      <c r="V124" s="3">
        <v>94</v>
      </c>
      <c r="W124" s="3">
        <v>0</v>
      </c>
    </row>
    <row r="125" spans="1:23" ht="11.25" customHeight="1" x14ac:dyDescent="0.25">
      <c r="A125" s="3" t="s">
        <v>21</v>
      </c>
      <c r="B125" s="3" t="s">
        <v>41</v>
      </c>
      <c r="C125" s="3" t="s">
        <v>42</v>
      </c>
      <c r="D125" s="3" t="s">
        <v>40</v>
      </c>
      <c r="E125" s="3" t="s">
        <v>25</v>
      </c>
      <c r="F125" s="3" t="s">
        <v>60</v>
      </c>
      <c r="G125" s="3" t="s">
        <v>25</v>
      </c>
      <c r="H125" s="3" t="s">
        <v>25</v>
      </c>
      <c r="I125" s="6">
        <v>44593</v>
      </c>
      <c r="J125" s="4">
        <v>0</v>
      </c>
      <c r="K125" s="4">
        <v>0</v>
      </c>
      <c r="L125" s="4">
        <v>2942.058</v>
      </c>
      <c r="M125" s="4">
        <v>2942.058</v>
      </c>
      <c r="N125" s="4">
        <v>0</v>
      </c>
      <c r="O125" s="4">
        <v>0</v>
      </c>
      <c r="P125" s="4">
        <v>2</v>
      </c>
      <c r="Q125" s="3" t="s">
        <v>57</v>
      </c>
      <c r="R125" s="3">
        <v>0</v>
      </c>
      <c r="S125" s="3" t="s">
        <v>129</v>
      </c>
      <c r="U125" s="3">
        <v>0</v>
      </c>
      <c r="V125" s="3">
        <v>94</v>
      </c>
      <c r="W125" s="3">
        <v>0</v>
      </c>
    </row>
    <row r="126" spans="1:23" ht="11.25" customHeight="1" x14ac:dyDescent="0.25">
      <c r="A126" s="3" t="s">
        <v>21</v>
      </c>
      <c r="B126" s="3" t="s">
        <v>41</v>
      </c>
      <c r="C126" s="3" t="s">
        <v>42</v>
      </c>
      <c r="D126" s="3" t="s">
        <v>40</v>
      </c>
      <c r="E126" s="3" t="s">
        <v>25</v>
      </c>
      <c r="F126" s="3" t="s">
        <v>60</v>
      </c>
      <c r="G126" s="3" t="s">
        <v>25</v>
      </c>
      <c r="H126" s="3" t="s">
        <v>25</v>
      </c>
      <c r="I126" s="6">
        <v>44621</v>
      </c>
      <c r="J126" s="4">
        <v>0</v>
      </c>
      <c r="K126" s="4">
        <v>0</v>
      </c>
      <c r="L126" s="4">
        <v>3532.6480000000001</v>
      </c>
      <c r="M126" s="4">
        <v>3532.6480000000001</v>
      </c>
      <c r="N126" s="4">
        <v>0</v>
      </c>
      <c r="O126" s="4">
        <v>0</v>
      </c>
      <c r="P126" s="4">
        <v>1</v>
      </c>
      <c r="Q126" s="3" t="s">
        <v>57</v>
      </c>
      <c r="R126" s="3">
        <v>0</v>
      </c>
      <c r="S126" s="3" t="s">
        <v>130</v>
      </c>
      <c r="U126" s="3">
        <v>0</v>
      </c>
      <c r="V126" s="3">
        <v>94</v>
      </c>
      <c r="W126" s="3">
        <v>0</v>
      </c>
    </row>
    <row r="127" spans="1:23" ht="11.25" customHeight="1" x14ac:dyDescent="0.25">
      <c r="A127" s="3" t="s">
        <v>56</v>
      </c>
      <c r="B127" s="3" t="s">
        <v>41</v>
      </c>
      <c r="C127" s="3" t="s">
        <v>42</v>
      </c>
      <c r="D127" s="3" t="s">
        <v>40</v>
      </c>
      <c r="E127" s="3" t="s">
        <v>25</v>
      </c>
      <c r="F127" s="3" t="s">
        <v>60</v>
      </c>
      <c r="G127" s="3" t="s">
        <v>25</v>
      </c>
      <c r="H127" s="3" t="s">
        <v>25</v>
      </c>
      <c r="I127" s="6">
        <v>44652</v>
      </c>
      <c r="J127" s="4">
        <v>0</v>
      </c>
      <c r="K127" s="4">
        <v>0</v>
      </c>
      <c r="L127" s="4">
        <v>3532.6480000000001</v>
      </c>
      <c r="M127" s="4">
        <v>3532.6480000000001</v>
      </c>
      <c r="N127" s="4">
        <v>0</v>
      </c>
      <c r="O127" s="4">
        <v>0</v>
      </c>
      <c r="P127" s="4">
        <v>1</v>
      </c>
      <c r="Q127" s="3" t="s">
        <v>57</v>
      </c>
      <c r="R127" s="3">
        <v>0</v>
      </c>
      <c r="S127" s="3" t="s">
        <v>131</v>
      </c>
      <c r="U127" s="3">
        <v>0</v>
      </c>
      <c r="V127" s="3">
        <v>94</v>
      </c>
      <c r="W127" s="3">
        <v>0</v>
      </c>
    </row>
    <row r="128" spans="1:23" ht="11.25" customHeight="1" x14ac:dyDescent="0.25">
      <c r="A128" s="3" t="s">
        <v>21</v>
      </c>
      <c r="B128" s="3" t="s">
        <v>41</v>
      </c>
      <c r="C128" s="3" t="s">
        <v>42</v>
      </c>
      <c r="D128" s="3" t="s">
        <v>40</v>
      </c>
      <c r="E128" s="3" t="s">
        <v>25</v>
      </c>
      <c r="F128" s="3" t="s">
        <v>60</v>
      </c>
      <c r="G128" s="3" t="s">
        <v>25</v>
      </c>
      <c r="H128" s="3" t="s">
        <v>35</v>
      </c>
      <c r="I128" s="6">
        <v>44317</v>
      </c>
      <c r="J128" s="4">
        <v>5000</v>
      </c>
      <c r="K128" s="4">
        <v>7.4685499999999099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3" t="s">
        <v>57</v>
      </c>
      <c r="R128" s="3">
        <v>0</v>
      </c>
      <c r="S128" s="3" t="s">
        <v>132</v>
      </c>
      <c r="U128" s="3">
        <v>92</v>
      </c>
      <c r="V128" s="3">
        <v>0</v>
      </c>
      <c r="W128" s="3">
        <v>0</v>
      </c>
    </row>
    <row r="129" spans="1:23" ht="11.25" customHeight="1" x14ac:dyDescent="0.25">
      <c r="A129" s="3" t="s">
        <v>21</v>
      </c>
      <c r="B129" s="3" t="s">
        <v>41</v>
      </c>
      <c r="C129" s="3" t="s">
        <v>42</v>
      </c>
      <c r="D129" s="3" t="s">
        <v>40</v>
      </c>
      <c r="E129" s="3" t="s">
        <v>25</v>
      </c>
      <c r="F129" s="3" t="s">
        <v>60</v>
      </c>
      <c r="G129" s="3" t="s">
        <v>25</v>
      </c>
      <c r="H129" s="3" t="s">
        <v>35</v>
      </c>
      <c r="I129" s="6">
        <v>44348</v>
      </c>
      <c r="J129" s="4">
        <v>5000</v>
      </c>
      <c r="K129" s="4">
        <v>4.0000000000001101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3" t="s">
        <v>57</v>
      </c>
      <c r="R129" s="3">
        <v>0</v>
      </c>
      <c r="S129" s="3" t="s">
        <v>133</v>
      </c>
      <c r="U129" s="3">
        <v>92</v>
      </c>
      <c r="V129" s="3">
        <v>0</v>
      </c>
      <c r="W129" s="3">
        <v>0</v>
      </c>
    </row>
    <row r="130" spans="1:23" ht="11.25" customHeight="1" x14ac:dyDescent="0.25">
      <c r="A130" s="3" t="s">
        <v>21</v>
      </c>
      <c r="B130" s="3" t="s">
        <v>41</v>
      </c>
      <c r="C130" s="3" t="s">
        <v>42</v>
      </c>
      <c r="D130" s="3" t="s">
        <v>40</v>
      </c>
      <c r="E130" s="3" t="s">
        <v>25</v>
      </c>
      <c r="F130" s="3" t="s">
        <v>60</v>
      </c>
      <c r="G130" s="3" t="s">
        <v>25</v>
      </c>
      <c r="H130" s="3" t="s">
        <v>35</v>
      </c>
      <c r="I130" s="6">
        <v>44378</v>
      </c>
      <c r="J130" s="4">
        <v>5000</v>
      </c>
      <c r="K130" s="4">
        <v>4.0000000000001101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3" t="s">
        <v>57</v>
      </c>
      <c r="R130" s="3">
        <v>0</v>
      </c>
      <c r="S130" s="3" t="s">
        <v>134</v>
      </c>
      <c r="U130" s="3">
        <v>92</v>
      </c>
      <c r="V130" s="3">
        <v>0</v>
      </c>
      <c r="W130" s="3">
        <v>0</v>
      </c>
    </row>
    <row r="131" spans="1:23" ht="11.25" customHeight="1" x14ac:dyDescent="0.25">
      <c r="A131" s="3" t="s">
        <v>21</v>
      </c>
      <c r="B131" s="3" t="s">
        <v>41</v>
      </c>
      <c r="C131" s="3" t="s">
        <v>42</v>
      </c>
      <c r="D131" s="3" t="s">
        <v>40</v>
      </c>
      <c r="E131" s="3" t="s">
        <v>25</v>
      </c>
      <c r="F131" s="3" t="s">
        <v>60</v>
      </c>
      <c r="G131" s="3" t="s">
        <v>25</v>
      </c>
      <c r="H131" s="3" t="s">
        <v>35</v>
      </c>
      <c r="I131" s="6">
        <v>44409</v>
      </c>
      <c r="J131" s="4">
        <v>5000</v>
      </c>
      <c r="K131" s="4">
        <v>0.50000000000050004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3" t="s">
        <v>57</v>
      </c>
      <c r="R131" s="3">
        <v>0</v>
      </c>
      <c r="S131" s="3" t="s">
        <v>135</v>
      </c>
      <c r="U131" s="3">
        <v>92</v>
      </c>
      <c r="V131" s="3">
        <v>0</v>
      </c>
      <c r="W131" s="3">
        <v>0</v>
      </c>
    </row>
    <row r="132" spans="1:23" ht="11.25" customHeight="1" x14ac:dyDescent="0.25">
      <c r="A132" s="3" t="s">
        <v>21</v>
      </c>
      <c r="B132" s="3" t="s">
        <v>41</v>
      </c>
      <c r="C132" s="3" t="s">
        <v>42</v>
      </c>
      <c r="D132" s="3" t="s">
        <v>40</v>
      </c>
      <c r="E132" s="3" t="s">
        <v>25</v>
      </c>
      <c r="F132" s="3" t="s">
        <v>60</v>
      </c>
      <c r="G132" s="3" t="s">
        <v>25</v>
      </c>
      <c r="H132" s="3" t="s">
        <v>35</v>
      </c>
      <c r="I132" s="6">
        <v>44440</v>
      </c>
      <c r="J132" s="4">
        <v>5000</v>
      </c>
      <c r="K132" s="4">
        <v>4.0000000000001101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3" t="s">
        <v>57</v>
      </c>
      <c r="R132" s="3">
        <v>0</v>
      </c>
      <c r="S132" s="3" t="s">
        <v>136</v>
      </c>
      <c r="U132" s="3">
        <v>92</v>
      </c>
      <c r="V132" s="3">
        <v>0</v>
      </c>
      <c r="W132" s="3">
        <v>0</v>
      </c>
    </row>
    <row r="133" spans="1:23" ht="11.25" customHeight="1" x14ac:dyDescent="0.25">
      <c r="A133" s="3" t="s">
        <v>21</v>
      </c>
      <c r="B133" s="3" t="s">
        <v>41</v>
      </c>
      <c r="C133" s="3" t="s">
        <v>42</v>
      </c>
      <c r="D133" s="3" t="s">
        <v>40</v>
      </c>
      <c r="E133" s="3" t="s">
        <v>25</v>
      </c>
      <c r="F133" s="3" t="s">
        <v>60</v>
      </c>
      <c r="G133" s="3" t="s">
        <v>25</v>
      </c>
      <c r="H133" s="3" t="s">
        <v>35</v>
      </c>
      <c r="I133" s="6">
        <v>44470</v>
      </c>
      <c r="J133" s="4">
        <v>5000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3" t="s">
        <v>57</v>
      </c>
      <c r="R133" s="3">
        <v>0</v>
      </c>
      <c r="S133" s="3" t="s">
        <v>137</v>
      </c>
      <c r="U133" s="3">
        <v>92</v>
      </c>
      <c r="V133" s="3">
        <v>0</v>
      </c>
      <c r="W133" s="3">
        <v>0</v>
      </c>
    </row>
    <row r="134" spans="1:23" ht="11.25" customHeight="1" x14ac:dyDescent="0.25">
      <c r="A134" s="3" t="s">
        <v>21</v>
      </c>
      <c r="B134" s="3" t="s">
        <v>41</v>
      </c>
      <c r="C134" s="3" t="s">
        <v>42</v>
      </c>
      <c r="D134" s="3" t="s">
        <v>40</v>
      </c>
      <c r="E134" s="3" t="s">
        <v>25</v>
      </c>
      <c r="F134" s="3" t="s">
        <v>60</v>
      </c>
      <c r="G134" s="3" t="s">
        <v>25</v>
      </c>
      <c r="H134" s="3" t="s">
        <v>35</v>
      </c>
      <c r="I134" s="6">
        <v>44501</v>
      </c>
      <c r="J134" s="4">
        <v>5000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3" t="s">
        <v>57</v>
      </c>
      <c r="R134" s="3">
        <v>0</v>
      </c>
      <c r="S134" s="3" t="s">
        <v>138</v>
      </c>
      <c r="U134" s="3">
        <v>92</v>
      </c>
      <c r="V134" s="3">
        <v>0</v>
      </c>
      <c r="W134" s="3">
        <v>0</v>
      </c>
    </row>
    <row r="135" spans="1:23" ht="11.25" customHeight="1" x14ac:dyDescent="0.25">
      <c r="A135" s="3" t="s">
        <v>21</v>
      </c>
      <c r="B135" s="3" t="s">
        <v>41</v>
      </c>
      <c r="C135" s="3" t="s">
        <v>42</v>
      </c>
      <c r="D135" s="3" t="s">
        <v>40</v>
      </c>
      <c r="E135" s="3" t="s">
        <v>25</v>
      </c>
      <c r="F135" s="3" t="s">
        <v>60</v>
      </c>
      <c r="G135" s="3" t="s">
        <v>25</v>
      </c>
      <c r="H135" s="3" t="s">
        <v>35</v>
      </c>
      <c r="I135" s="6">
        <v>44531</v>
      </c>
      <c r="J135" s="4">
        <v>13389</v>
      </c>
      <c r="K135" s="4">
        <v>6694.5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3" t="s">
        <v>57</v>
      </c>
      <c r="R135" s="3">
        <v>0</v>
      </c>
      <c r="S135" s="3" t="s">
        <v>139</v>
      </c>
      <c r="U135" s="3">
        <v>92</v>
      </c>
      <c r="V135" s="3">
        <v>0</v>
      </c>
      <c r="W135" s="3">
        <v>0</v>
      </c>
    </row>
    <row r="136" spans="1:23" ht="11.25" customHeight="1" x14ac:dyDescent="0.25">
      <c r="A136" s="3" t="s">
        <v>21</v>
      </c>
      <c r="B136" s="3" t="s">
        <v>41</v>
      </c>
      <c r="C136" s="3" t="s">
        <v>42</v>
      </c>
      <c r="D136" s="3" t="s">
        <v>40</v>
      </c>
      <c r="E136" s="3" t="s">
        <v>25</v>
      </c>
      <c r="F136" s="3" t="s">
        <v>60</v>
      </c>
      <c r="G136" s="3" t="s">
        <v>25</v>
      </c>
      <c r="H136" s="3" t="s">
        <v>35</v>
      </c>
      <c r="I136" s="6">
        <v>44562</v>
      </c>
      <c r="J136" s="4">
        <v>6770</v>
      </c>
      <c r="K136" s="4">
        <v>3385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3" t="s">
        <v>57</v>
      </c>
      <c r="R136" s="3">
        <v>0</v>
      </c>
      <c r="S136" s="3" t="s">
        <v>140</v>
      </c>
      <c r="U136" s="3">
        <v>92</v>
      </c>
      <c r="V136" s="3">
        <v>0</v>
      </c>
      <c r="W136" s="3">
        <v>0</v>
      </c>
    </row>
    <row r="137" spans="1:23" ht="11.25" customHeight="1" x14ac:dyDescent="0.25">
      <c r="A137" s="3" t="s">
        <v>21</v>
      </c>
      <c r="B137" s="3" t="s">
        <v>41</v>
      </c>
      <c r="C137" s="3" t="s">
        <v>42</v>
      </c>
      <c r="D137" s="3" t="s">
        <v>40</v>
      </c>
      <c r="E137" s="3" t="s">
        <v>25</v>
      </c>
      <c r="F137" s="3" t="s">
        <v>60</v>
      </c>
      <c r="G137" s="3" t="s">
        <v>25</v>
      </c>
      <c r="H137" s="3" t="s">
        <v>35</v>
      </c>
      <c r="I137" s="6">
        <v>44593</v>
      </c>
      <c r="J137" s="4">
        <v>10565</v>
      </c>
      <c r="K137" s="4">
        <v>5282.5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3" t="s">
        <v>57</v>
      </c>
      <c r="R137" s="3">
        <v>0</v>
      </c>
      <c r="S137" s="3" t="s">
        <v>141</v>
      </c>
      <c r="U137" s="3">
        <v>92</v>
      </c>
      <c r="V137" s="3">
        <v>0</v>
      </c>
      <c r="W137" s="3">
        <v>0</v>
      </c>
    </row>
    <row r="138" spans="1:23" ht="11.25" customHeight="1" x14ac:dyDescent="0.25">
      <c r="A138" s="3" t="s">
        <v>21</v>
      </c>
      <c r="B138" s="3" t="s">
        <v>41</v>
      </c>
      <c r="C138" s="3" t="s">
        <v>42</v>
      </c>
      <c r="D138" s="3" t="s">
        <v>40</v>
      </c>
      <c r="E138" s="3" t="s">
        <v>25</v>
      </c>
      <c r="F138" s="3" t="s">
        <v>60</v>
      </c>
      <c r="G138" s="3" t="s">
        <v>25</v>
      </c>
      <c r="H138" s="3" t="s">
        <v>35</v>
      </c>
      <c r="I138" s="6">
        <v>44621</v>
      </c>
      <c r="J138" s="4">
        <v>10565</v>
      </c>
      <c r="K138" s="4">
        <v>5282.5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3" t="s">
        <v>57</v>
      </c>
      <c r="R138" s="3">
        <v>0</v>
      </c>
      <c r="S138" s="3" t="s">
        <v>142</v>
      </c>
      <c r="U138" s="3">
        <v>92</v>
      </c>
      <c r="V138" s="3">
        <v>0</v>
      </c>
      <c r="W138" s="3">
        <v>0</v>
      </c>
    </row>
    <row r="139" spans="1:23" ht="11.25" customHeight="1" x14ac:dyDescent="0.25">
      <c r="A139" s="3" t="s">
        <v>56</v>
      </c>
      <c r="B139" s="3" t="s">
        <v>41</v>
      </c>
      <c r="C139" s="3" t="s">
        <v>42</v>
      </c>
      <c r="D139" s="3" t="s">
        <v>40</v>
      </c>
      <c r="E139" s="3" t="s">
        <v>25</v>
      </c>
      <c r="F139" s="3" t="s">
        <v>60</v>
      </c>
      <c r="G139" s="3" t="s">
        <v>25</v>
      </c>
      <c r="H139" s="3" t="s">
        <v>35</v>
      </c>
      <c r="I139" s="6">
        <v>44652</v>
      </c>
      <c r="J139" s="4">
        <v>10565</v>
      </c>
      <c r="K139" s="4">
        <v>5282.5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3" t="s">
        <v>57</v>
      </c>
      <c r="R139" s="3">
        <v>0</v>
      </c>
      <c r="S139" s="3" t="s">
        <v>143</v>
      </c>
      <c r="U139" s="3">
        <v>92</v>
      </c>
      <c r="V139" s="3">
        <v>0</v>
      </c>
      <c r="W139" s="3">
        <v>0</v>
      </c>
    </row>
    <row r="140" spans="1:23" ht="11.25" customHeight="1" x14ac:dyDescent="0.25">
      <c r="A140" s="3" t="s">
        <v>21</v>
      </c>
      <c r="B140" s="3" t="s">
        <v>41</v>
      </c>
      <c r="C140" s="3" t="s">
        <v>42</v>
      </c>
      <c r="D140" s="3" t="s">
        <v>40</v>
      </c>
      <c r="E140" s="3" t="s">
        <v>25</v>
      </c>
      <c r="F140" s="3" t="s">
        <v>25</v>
      </c>
      <c r="G140" s="3" t="s">
        <v>25</v>
      </c>
      <c r="H140" s="3" t="s">
        <v>36</v>
      </c>
      <c r="I140" s="6">
        <v>44317</v>
      </c>
      <c r="J140" s="4">
        <v>4840</v>
      </c>
      <c r="K140" s="4">
        <v>4840</v>
      </c>
      <c r="L140" s="4">
        <v>621.27200000000005</v>
      </c>
      <c r="M140" s="4">
        <v>621.27200000000005</v>
      </c>
      <c r="N140" s="4">
        <v>621.27200000000005</v>
      </c>
      <c r="O140" s="4">
        <v>621.27200000000005</v>
      </c>
      <c r="P140" s="4">
        <v>0</v>
      </c>
      <c r="Q140" s="3" t="s">
        <v>26</v>
      </c>
      <c r="R140" s="3">
        <v>0</v>
      </c>
      <c r="S140" s="3" t="s">
        <v>108</v>
      </c>
      <c r="T140" s="3" t="s">
        <v>513</v>
      </c>
      <c r="U140" s="3">
        <v>93</v>
      </c>
      <c r="V140" s="3">
        <v>94</v>
      </c>
      <c r="W140" s="3">
        <v>48</v>
      </c>
    </row>
    <row r="141" spans="1:23" ht="11.25" customHeight="1" x14ac:dyDescent="0.25">
      <c r="A141" s="3" t="s">
        <v>28</v>
      </c>
      <c r="B141" s="3" t="s">
        <v>41</v>
      </c>
      <c r="C141" s="3" t="s">
        <v>42</v>
      </c>
      <c r="D141" s="3" t="s">
        <v>40</v>
      </c>
      <c r="E141" s="3" t="s">
        <v>25</v>
      </c>
      <c r="F141" s="3" t="s">
        <v>25</v>
      </c>
      <c r="G141" s="3" t="s">
        <v>25</v>
      </c>
      <c r="H141" s="3" t="s">
        <v>36</v>
      </c>
      <c r="I141" s="6">
        <v>44317</v>
      </c>
      <c r="J141" s="4">
        <v>100</v>
      </c>
      <c r="K141" s="4">
        <v>100</v>
      </c>
      <c r="L141" s="4">
        <v>5.9320000000000004</v>
      </c>
      <c r="M141" s="4">
        <v>5.9320000000000004</v>
      </c>
      <c r="N141" s="4">
        <v>5.9320000000000004</v>
      </c>
      <c r="O141" s="4">
        <v>5.9320000000000004</v>
      </c>
      <c r="P141" s="4">
        <v>0</v>
      </c>
      <c r="Q141" s="3" t="s">
        <v>26</v>
      </c>
      <c r="R141" s="3">
        <v>0</v>
      </c>
      <c r="S141" s="3" t="s">
        <v>108</v>
      </c>
      <c r="T141" s="3" t="s">
        <v>513</v>
      </c>
      <c r="U141" s="3">
        <v>93</v>
      </c>
      <c r="V141" s="3">
        <v>94</v>
      </c>
      <c r="W141" s="3">
        <v>48</v>
      </c>
    </row>
    <row r="142" spans="1:23" ht="11.25" customHeight="1" x14ac:dyDescent="0.25">
      <c r="A142" s="3" t="s">
        <v>21</v>
      </c>
      <c r="B142" s="3" t="s">
        <v>41</v>
      </c>
      <c r="C142" s="3" t="s">
        <v>42</v>
      </c>
      <c r="D142" s="3" t="s">
        <v>40</v>
      </c>
      <c r="E142" s="3" t="s">
        <v>25</v>
      </c>
      <c r="F142" s="3" t="s">
        <v>25</v>
      </c>
      <c r="G142" s="3" t="s">
        <v>25</v>
      </c>
      <c r="H142" s="3" t="s">
        <v>36</v>
      </c>
      <c r="I142" s="6">
        <v>44317</v>
      </c>
      <c r="J142" s="4">
        <v>49463</v>
      </c>
      <c r="K142" s="4">
        <v>49463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3" t="s">
        <v>57</v>
      </c>
      <c r="R142" s="3">
        <v>0</v>
      </c>
      <c r="S142" s="3" t="s">
        <v>108</v>
      </c>
      <c r="U142" s="3">
        <v>93</v>
      </c>
      <c r="V142" s="3">
        <v>0</v>
      </c>
      <c r="W142" s="3">
        <v>0</v>
      </c>
    </row>
    <row r="143" spans="1:23" ht="11.25" customHeight="1" x14ac:dyDescent="0.25">
      <c r="A143" s="3" t="s">
        <v>21</v>
      </c>
      <c r="B143" s="3" t="s">
        <v>41</v>
      </c>
      <c r="C143" s="3" t="s">
        <v>42</v>
      </c>
      <c r="D143" s="3" t="s">
        <v>40</v>
      </c>
      <c r="E143" s="3" t="s">
        <v>25</v>
      </c>
      <c r="F143" s="3" t="s">
        <v>25</v>
      </c>
      <c r="G143" s="3" t="s">
        <v>25</v>
      </c>
      <c r="H143" s="3" t="s">
        <v>36</v>
      </c>
      <c r="I143" s="6">
        <v>44348</v>
      </c>
      <c r="J143" s="4">
        <v>4921</v>
      </c>
      <c r="K143" s="4">
        <v>4921</v>
      </c>
      <c r="L143" s="4">
        <v>705.63099999999997</v>
      </c>
      <c r="M143" s="4">
        <v>705.63099999999997</v>
      </c>
      <c r="N143" s="4">
        <v>705.63099999999997</v>
      </c>
      <c r="O143" s="4">
        <v>705.63099999999997</v>
      </c>
      <c r="P143" s="4">
        <v>0</v>
      </c>
      <c r="Q143" s="3" t="s">
        <v>26</v>
      </c>
      <c r="R143" s="3">
        <v>0</v>
      </c>
      <c r="S143" s="3" t="s">
        <v>109</v>
      </c>
      <c r="T143" s="3" t="s">
        <v>514</v>
      </c>
      <c r="U143" s="3">
        <v>93</v>
      </c>
      <c r="V143" s="3">
        <v>94</v>
      </c>
      <c r="W143" s="3">
        <v>48</v>
      </c>
    </row>
    <row r="144" spans="1:23" ht="11.25" customHeight="1" x14ac:dyDescent="0.25">
      <c r="A144" s="3" t="s">
        <v>28</v>
      </c>
      <c r="B144" s="3" t="s">
        <v>41</v>
      </c>
      <c r="C144" s="3" t="s">
        <v>42</v>
      </c>
      <c r="D144" s="3" t="s">
        <v>40</v>
      </c>
      <c r="E144" s="3" t="s">
        <v>25</v>
      </c>
      <c r="F144" s="3" t="s">
        <v>25</v>
      </c>
      <c r="G144" s="3" t="s">
        <v>25</v>
      </c>
      <c r="H144" s="3" t="s">
        <v>36</v>
      </c>
      <c r="I144" s="6">
        <v>44348</v>
      </c>
      <c r="J144" s="4">
        <v>100</v>
      </c>
      <c r="K144" s="4">
        <v>100</v>
      </c>
      <c r="L144" s="4">
        <v>6.3680000000000003</v>
      </c>
      <c r="M144" s="4">
        <v>6.3680000000000003</v>
      </c>
      <c r="N144" s="4">
        <v>6.3680000000000003</v>
      </c>
      <c r="O144" s="4">
        <v>6.3680000000000003</v>
      </c>
      <c r="P144" s="4">
        <v>0</v>
      </c>
      <c r="Q144" s="3" t="s">
        <v>26</v>
      </c>
      <c r="R144" s="3">
        <v>0</v>
      </c>
      <c r="S144" s="3" t="s">
        <v>109</v>
      </c>
      <c r="T144" s="3" t="s">
        <v>514</v>
      </c>
      <c r="U144" s="3">
        <v>93</v>
      </c>
      <c r="V144" s="3">
        <v>94</v>
      </c>
      <c r="W144" s="3">
        <v>48</v>
      </c>
    </row>
    <row r="145" spans="1:23" ht="11.25" customHeight="1" x14ac:dyDescent="0.25">
      <c r="A145" s="3" t="s">
        <v>21</v>
      </c>
      <c r="B145" s="3" t="s">
        <v>41</v>
      </c>
      <c r="C145" s="3" t="s">
        <v>42</v>
      </c>
      <c r="D145" s="3" t="s">
        <v>40</v>
      </c>
      <c r="E145" s="3" t="s">
        <v>25</v>
      </c>
      <c r="F145" s="3" t="s">
        <v>25</v>
      </c>
      <c r="G145" s="3" t="s">
        <v>25</v>
      </c>
      <c r="H145" s="3" t="s">
        <v>36</v>
      </c>
      <c r="I145" s="6">
        <v>44348</v>
      </c>
      <c r="J145" s="4">
        <v>49155</v>
      </c>
      <c r="K145" s="4">
        <v>49155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3" t="s">
        <v>57</v>
      </c>
      <c r="R145" s="3">
        <v>0</v>
      </c>
      <c r="S145" s="3" t="s">
        <v>109</v>
      </c>
      <c r="U145" s="3">
        <v>93</v>
      </c>
      <c r="V145" s="3">
        <v>0</v>
      </c>
      <c r="W145" s="3">
        <v>0</v>
      </c>
    </row>
    <row r="146" spans="1:23" ht="11.25" customHeight="1" x14ac:dyDescent="0.25">
      <c r="A146" s="3" t="s">
        <v>21</v>
      </c>
      <c r="B146" s="3" t="s">
        <v>41</v>
      </c>
      <c r="C146" s="3" t="s">
        <v>42</v>
      </c>
      <c r="D146" s="3" t="s">
        <v>40</v>
      </c>
      <c r="E146" s="3" t="s">
        <v>25</v>
      </c>
      <c r="F146" s="3" t="s">
        <v>25</v>
      </c>
      <c r="G146" s="3" t="s">
        <v>25</v>
      </c>
      <c r="H146" s="3" t="s">
        <v>36</v>
      </c>
      <c r="I146" s="6">
        <v>44378</v>
      </c>
      <c r="J146" s="4">
        <v>3574</v>
      </c>
      <c r="K146" s="4">
        <v>3574</v>
      </c>
      <c r="L146" s="4">
        <v>715.23800000000006</v>
      </c>
      <c r="M146" s="4">
        <v>715.23800000000006</v>
      </c>
      <c r="N146" s="4">
        <v>715.23800000000006</v>
      </c>
      <c r="O146" s="4">
        <v>715.23800000000006</v>
      </c>
      <c r="P146" s="4">
        <v>0</v>
      </c>
      <c r="Q146" s="3" t="s">
        <v>26</v>
      </c>
      <c r="R146" s="3">
        <v>0</v>
      </c>
      <c r="S146" s="3" t="s">
        <v>110</v>
      </c>
      <c r="T146" s="3" t="s">
        <v>515</v>
      </c>
      <c r="U146" s="3">
        <v>93</v>
      </c>
      <c r="V146" s="3">
        <v>94</v>
      </c>
      <c r="W146" s="3">
        <v>48</v>
      </c>
    </row>
    <row r="147" spans="1:23" ht="11.25" customHeight="1" x14ac:dyDescent="0.25">
      <c r="A147" s="3" t="s">
        <v>28</v>
      </c>
      <c r="B147" s="3" t="s">
        <v>41</v>
      </c>
      <c r="C147" s="3" t="s">
        <v>42</v>
      </c>
      <c r="D147" s="3" t="s">
        <v>40</v>
      </c>
      <c r="E147" s="3" t="s">
        <v>25</v>
      </c>
      <c r="F147" s="3" t="s">
        <v>25</v>
      </c>
      <c r="G147" s="3" t="s">
        <v>25</v>
      </c>
      <c r="H147" s="3" t="s">
        <v>36</v>
      </c>
      <c r="I147" s="6">
        <v>44378</v>
      </c>
      <c r="J147" s="4">
        <v>100</v>
      </c>
      <c r="K147" s="4">
        <v>100</v>
      </c>
      <c r="L147" s="4">
        <v>1.131</v>
      </c>
      <c r="M147" s="4">
        <v>1.131</v>
      </c>
      <c r="N147" s="4">
        <v>1.131</v>
      </c>
      <c r="O147" s="4">
        <v>1.131</v>
      </c>
      <c r="P147" s="4">
        <v>0</v>
      </c>
      <c r="Q147" s="3" t="s">
        <v>26</v>
      </c>
      <c r="R147" s="3">
        <v>0</v>
      </c>
      <c r="S147" s="3" t="s">
        <v>110</v>
      </c>
      <c r="T147" s="3" t="s">
        <v>515</v>
      </c>
      <c r="U147" s="3">
        <v>93</v>
      </c>
      <c r="V147" s="3">
        <v>94</v>
      </c>
      <c r="W147" s="3">
        <v>48</v>
      </c>
    </row>
    <row r="148" spans="1:23" ht="11.25" customHeight="1" x14ac:dyDescent="0.25">
      <c r="A148" s="3" t="s">
        <v>21</v>
      </c>
      <c r="B148" s="3" t="s">
        <v>41</v>
      </c>
      <c r="C148" s="3" t="s">
        <v>42</v>
      </c>
      <c r="D148" s="3" t="s">
        <v>40</v>
      </c>
      <c r="E148" s="3" t="s">
        <v>25</v>
      </c>
      <c r="F148" s="3" t="s">
        <v>25</v>
      </c>
      <c r="G148" s="3" t="s">
        <v>25</v>
      </c>
      <c r="H148" s="3" t="s">
        <v>36</v>
      </c>
      <c r="I148" s="6">
        <v>44378</v>
      </c>
      <c r="J148" s="4">
        <v>49318</v>
      </c>
      <c r="K148" s="4">
        <v>49318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3" t="s">
        <v>57</v>
      </c>
      <c r="R148" s="3">
        <v>0</v>
      </c>
      <c r="S148" s="3" t="s">
        <v>110</v>
      </c>
      <c r="U148" s="3">
        <v>93</v>
      </c>
      <c r="V148" s="3">
        <v>0</v>
      </c>
      <c r="W148" s="3">
        <v>0</v>
      </c>
    </row>
    <row r="149" spans="1:23" ht="11.25" customHeight="1" x14ac:dyDescent="0.25">
      <c r="A149" s="3" t="s">
        <v>21</v>
      </c>
      <c r="B149" s="3" t="s">
        <v>41</v>
      </c>
      <c r="C149" s="3" t="s">
        <v>42</v>
      </c>
      <c r="D149" s="3" t="s">
        <v>40</v>
      </c>
      <c r="E149" s="3" t="s">
        <v>25</v>
      </c>
      <c r="F149" s="3" t="s">
        <v>25</v>
      </c>
      <c r="G149" s="3" t="s">
        <v>25</v>
      </c>
      <c r="H149" s="3" t="s">
        <v>36</v>
      </c>
      <c r="I149" s="6">
        <v>44409</v>
      </c>
      <c r="J149" s="4">
        <v>5783</v>
      </c>
      <c r="K149" s="4">
        <v>5783</v>
      </c>
      <c r="L149" s="4">
        <v>1005.037</v>
      </c>
      <c r="M149" s="4">
        <v>1005.037</v>
      </c>
      <c r="N149" s="4">
        <v>1005.037</v>
      </c>
      <c r="O149" s="4">
        <v>1005.037</v>
      </c>
      <c r="P149" s="4">
        <v>0</v>
      </c>
      <c r="Q149" s="3" t="s">
        <v>26</v>
      </c>
      <c r="R149" s="3">
        <v>0</v>
      </c>
      <c r="S149" s="3" t="s">
        <v>111</v>
      </c>
      <c r="T149" s="3" t="s">
        <v>516</v>
      </c>
      <c r="U149" s="3">
        <v>93</v>
      </c>
      <c r="V149" s="3">
        <v>94</v>
      </c>
      <c r="W149" s="3">
        <v>48</v>
      </c>
    </row>
    <row r="150" spans="1:23" ht="11.25" customHeight="1" x14ac:dyDescent="0.25">
      <c r="A150" s="3" t="s">
        <v>28</v>
      </c>
      <c r="B150" s="3" t="s">
        <v>41</v>
      </c>
      <c r="C150" s="3" t="s">
        <v>42</v>
      </c>
      <c r="D150" s="3" t="s">
        <v>40</v>
      </c>
      <c r="E150" s="3" t="s">
        <v>25</v>
      </c>
      <c r="F150" s="3" t="s">
        <v>25</v>
      </c>
      <c r="G150" s="3" t="s">
        <v>25</v>
      </c>
      <c r="H150" s="3" t="s">
        <v>36</v>
      </c>
      <c r="I150" s="6">
        <v>44409</v>
      </c>
      <c r="J150" s="4">
        <v>100</v>
      </c>
      <c r="K150" s="4">
        <v>100</v>
      </c>
      <c r="L150" s="4">
        <v>2.024</v>
      </c>
      <c r="M150" s="4">
        <v>2.024</v>
      </c>
      <c r="N150" s="4">
        <v>2.024</v>
      </c>
      <c r="O150" s="4">
        <v>2.024</v>
      </c>
      <c r="P150" s="4">
        <v>0</v>
      </c>
      <c r="Q150" s="3" t="s">
        <v>26</v>
      </c>
      <c r="R150" s="3">
        <v>0</v>
      </c>
      <c r="S150" s="3" t="s">
        <v>111</v>
      </c>
      <c r="T150" s="3" t="s">
        <v>516</v>
      </c>
      <c r="U150" s="3">
        <v>93</v>
      </c>
      <c r="V150" s="3">
        <v>94</v>
      </c>
      <c r="W150" s="3">
        <v>48</v>
      </c>
    </row>
    <row r="151" spans="1:23" ht="11.25" customHeight="1" x14ac:dyDescent="0.25">
      <c r="A151" s="3" t="s">
        <v>21</v>
      </c>
      <c r="B151" s="3" t="s">
        <v>41</v>
      </c>
      <c r="C151" s="3" t="s">
        <v>42</v>
      </c>
      <c r="D151" s="3" t="s">
        <v>40</v>
      </c>
      <c r="E151" s="3" t="s">
        <v>25</v>
      </c>
      <c r="F151" s="3" t="s">
        <v>25</v>
      </c>
      <c r="G151" s="3" t="s">
        <v>25</v>
      </c>
      <c r="H151" s="3" t="s">
        <v>36</v>
      </c>
      <c r="I151" s="6">
        <v>44409</v>
      </c>
      <c r="J151" s="4">
        <v>49452</v>
      </c>
      <c r="K151" s="4">
        <v>49452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3" t="s">
        <v>57</v>
      </c>
      <c r="R151" s="3">
        <v>0</v>
      </c>
      <c r="S151" s="3" t="s">
        <v>111</v>
      </c>
      <c r="U151" s="3">
        <v>93</v>
      </c>
      <c r="V151" s="3">
        <v>0</v>
      </c>
      <c r="W151" s="3">
        <v>0</v>
      </c>
    </row>
    <row r="152" spans="1:23" ht="11.25" customHeight="1" x14ac:dyDescent="0.25">
      <c r="A152" s="3" t="s">
        <v>21</v>
      </c>
      <c r="B152" s="3" t="s">
        <v>41</v>
      </c>
      <c r="C152" s="3" t="s">
        <v>42</v>
      </c>
      <c r="D152" s="3" t="s">
        <v>40</v>
      </c>
      <c r="E152" s="3" t="s">
        <v>25</v>
      </c>
      <c r="F152" s="3" t="s">
        <v>25</v>
      </c>
      <c r="G152" s="3" t="s">
        <v>25</v>
      </c>
      <c r="H152" s="3" t="s">
        <v>36</v>
      </c>
      <c r="I152" s="6">
        <v>44440</v>
      </c>
      <c r="J152" s="4">
        <v>9668</v>
      </c>
      <c r="K152" s="4">
        <v>9668</v>
      </c>
      <c r="L152" s="4">
        <v>736.87599999999998</v>
      </c>
      <c r="M152" s="4">
        <v>736.87599999999998</v>
      </c>
      <c r="N152" s="4">
        <v>736.87599999999998</v>
      </c>
      <c r="O152" s="4">
        <v>736.87599999999998</v>
      </c>
      <c r="P152" s="4">
        <v>0</v>
      </c>
      <c r="Q152" s="3" t="s">
        <v>26</v>
      </c>
      <c r="R152" s="3">
        <v>0</v>
      </c>
      <c r="S152" s="3" t="s">
        <v>112</v>
      </c>
      <c r="T152" s="3" t="s">
        <v>517</v>
      </c>
      <c r="U152" s="3">
        <v>93</v>
      </c>
      <c r="V152" s="3">
        <v>94</v>
      </c>
      <c r="W152" s="3">
        <v>48</v>
      </c>
    </row>
    <row r="153" spans="1:23" ht="11.25" customHeight="1" x14ac:dyDescent="0.25">
      <c r="A153" s="3" t="s">
        <v>28</v>
      </c>
      <c r="B153" s="3" t="s">
        <v>41</v>
      </c>
      <c r="C153" s="3" t="s">
        <v>42</v>
      </c>
      <c r="D153" s="3" t="s">
        <v>40</v>
      </c>
      <c r="E153" s="3" t="s">
        <v>25</v>
      </c>
      <c r="F153" s="3" t="s">
        <v>25</v>
      </c>
      <c r="G153" s="3" t="s">
        <v>25</v>
      </c>
      <c r="H153" s="3" t="s">
        <v>36</v>
      </c>
      <c r="I153" s="6">
        <v>44440</v>
      </c>
      <c r="J153" s="4">
        <v>100</v>
      </c>
      <c r="K153" s="4">
        <v>100</v>
      </c>
      <c r="L153" s="4">
        <v>0.3</v>
      </c>
      <c r="M153" s="4">
        <v>0.3</v>
      </c>
      <c r="N153" s="4">
        <v>0.3</v>
      </c>
      <c r="O153" s="4">
        <v>0.3</v>
      </c>
      <c r="P153" s="4">
        <v>0</v>
      </c>
      <c r="Q153" s="3" t="s">
        <v>26</v>
      </c>
      <c r="R153" s="3">
        <v>0</v>
      </c>
      <c r="S153" s="3" t="s">
        <v>112</v>
      </c>
      <c r="T153" s="3" t="s">
        <v>517</v>
      </c>
      <c r="U153" s="3">
        <v>93</v>
      </c>
      <c r="V153" s="3">
        <v>94</v>
      </c>
      <c r="W153" s="3">
        <v>48</v>
      </c>
    </row>
    <row r="154" spans="1:23" ht="11.25" customHeight="1" x14ac:dyDescent="0.25">
      <c r="A154" s="3" t="s">
        <v>21</v>
      </c>
      <c r="B154" s="3" t="s">
        <v>41</v>
      </c>
      <c r="C154" s="3" t="s">
        <v>42</v>
      </c>
      <c r="D154" s="3" t="s">
        <v>40</v>
      </c>
      <c r="E154" s="3" t="s">
        <v>25</v>
      </c>
      <c r="F154" s="3" t="s">
        <v>25</v>
      </c>
      <c r="G154" s="3" t="s">
        <v>25</v>
      </c>
      <c r="H154" s="3" t="s">
        <v>36</v>
      </c>
      <c r="I154" s="6">
        <v>44440</v>
      </c>
      <c r="J154" s="4">
        <v>49642</v>
      </c>
      <c r="K154" s="4">
        <v>49642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3" t="s">
        <v>57</v>
      </c>
      <c r="R154" s="3">
        <v>0</v>
      </c>
      <c r="S154" s="3" t="s">
        <v>112</v>
      </c>
      <c r="U154" s="3">
        <v>93</v>
      </c>
      <c r="V154" s="3">
        <v>0</v>
      </c>
      <c r="W154" s="3">
        <v>0</v>
      </c>
    </row>
    <row r="155" spans="1:23" ht="11.25" customHeight="1" x14ac:dyDescent="0.25">
      <c r="A155" s="3" t="s">
        <v>21</v>
      </c>
      <c r="B155" s="3" t="s">
        <v>41</v>
      </c>
      <c r="C155" s="3" t="s">
        <v>42</v>
      </c>
      <c r="D155" s="3" t="s">
        <v>40</v>
      </c>
      <c r="E155" s="3" t="s">
        <v>25</v>
      </c>
      <c r="F155" s="3" t="s">
        <v>25</v>
      </c>
      <c r="G155" s="3" t="s">
        <v>25</v>
      </c>
      <c r="H155" s="3" t="s">
        <v>36</v>
      </c>
      <c r="I155" s="6">
        <v>44470</v>
      </c>
      <c r="J155" s="4">
        <v>9924</v>
      </c>
      <c r="K155" s="4">
        <v>9924</v>
      </c>
      <c r="L155" s="4">
        <v>174.50399999999999</v>
      </c>
      <c r="M155" s="4">
        <v>174.50399999999999</v>
      </c>
      <c r="N155" s="4">
        <v>174.50399999999999</v>
      </c>
      <c r="O155" s="4">
        <v>174.50399999999999</v>
      </c>
      <c r="P155" s="4">
        <v>0</v>
      </c>
      <c r="Q155" s="3" t="s">
        <v>26</v>
      </c>
      <c r="R155" s="3">
        <v>0</v>
      </c>
      <c r="S155" s="3" t="s">
        <v>113</v>
      </c>
      <c r="T155" s="3" t="s">
        <v>518</v>
      </c>
      <c r="U155" s="3">
        <v>93</v>
      </c>
      <c r="V155" s="3">
        <v>94</v>
      </c>
      <c r="W155" s="3">
        <v>48</v>
      </c>
    </row>
    <row r="156" spans="1:23" ht="11.25" customHeight="1" x14ac:dyDescent="0.25">
      <c r="A156" s="3" t="s">
        <v>28</v>
      </c>
      <c r="B156" s="3" t="s">
        <v>41</v>
      </c>
      <c r="C156" s="3" t="s">
        <v>42</v>
      </c>
      <c r="D156" s="3" t="s">
        <v>40</v>
      </c>
      <c r="E156" s="3" t="s">
        <v>25</v>
      </c>
      <c r="F156" s="3" t="s">
        <v>25</v>
      </c>
      <c r="G156" s="3" t="s">
        <v>25</v>
      </c>
      <c r="H156" s="3" t="s">
        <v>36</v>
      </c>
      <c r="I156" s="6">
        <v>44470</v>
      </c>
      <c r="J156" s="4">
        <v>100</v>
      </c>
      <c r="K156" s="4">
        <v>100</v>
      </c>
      <c r="L156" s="4">
        <v>4.6859999999999999</v>
      </c>
      <c r="M156" s="4">
        <v>4.6859999999999999</v>
      </c>
      <c r="N156" s="4">
        <v>4.6859999999999999</v>
      </c>
      <c r="O156" s="4">
        <v>4.6859999999999999</v>
      </c>
      <c r="P156" s="4">
        <v>0</v>
      </c>
      <c r="Q156" s="3" t="s">
        <v>26</v>
      </c>
      <c r="R156" s="3">
        <v>0</v>
      </c>
      <c r="S156" s="3" t="s">
        <v>113</v>
      </c>
      <c r="T156" s="3" t="s">
        <v>518</v>
      </c>
      <c r="U156" s="3">
        <v>93</v>
      </c>
      <c r="V156" s="3">
        <v>94</v>
      </c>
      <c r="W156" s="3">
        <v>48</v>
      </c>
    </row>
    <row r="157" spans="1:23" ht="11.25" customHeight="1" x14ac:dyDescent="0.25">
      <c r="A157" s="3" t="s">
        <v>21</v>
      </c>
      <c r="B157" s="3" t="s">
        <v>41</v>
      </c>
      <c r="C157" s="3" t="s">
        <v>42</v>
      </c>
      <c r="D157" s="3" t="s">
        <v>40</v>
      </c>
      <c r="E157" s="3" t="s">
        <v>25</v>
      </c>
      <c r="F157" s="3" t="s">
        <v>25</v>
      </c>
      <c r="G157" s="3" t="s">
        <v>25</v>
      </c>
      <c r="H157" s="3" t="s">
        <v>36</v>
      </c>
      <c r="I157" s="6">
        <v>44470</v>
      </c>
      <c r="J157" s="4">
        <v>49553</v>
      </c>
      <c r="K157" s="4">
        <v>49553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 t="s">
        <v>57</v>
      </c>
      <c r="R157" s="3">
        <v>0</v>
      </c>
      <c r="S157" s="3" t="s">
        <v>113</v>
      </c>
      <c r="U157" s="3">
        <v>93</v>
      </c>
      <c r="V157" s="3">
        <v>0</v>
      </c>
      <c r="W157" s="3">
        <v>0</v>
      </c>
    </row>
    <row r="158" spans="1:23" ht="11.25" customHeight="1" x14ac:dyDescent="0.25">
      <c r="A158" s="3" t="s">
        <v>21</v>
      </c>
      <c r="B158" s="3" t="s">
        <v>41</v>
      </c>
      <c r="C158" s="3" t="s">
        <v>42</v>
      </c>
      <c r="D158" s="3" t="s">
        <v>40</v>
      </c>
      <c r="E158" s="3" t="s">
        <v>25</v>
      </c>
      <c r="F158" s="3" t="s">
        <v>25</v>
      </c>
      <c r="G158" s="3" t="s">
        <v>25</v>
      </c>
      <c r="H158" s="3" t="s">
        <v>36</v>
      </c>
      <c r="I158" s="6">
        <v>44501</v>
      </c>
      <c r="J158" s="4">
        <v>7887</v>
      </c>
      <c r="K158" s="4">
        <v>7887</v>
      </c>
      <c r="L158" s="4">
        <v>156.44800000000001</v>
      </c>
      <c r="M158" s="4">
        <v>156.44800000000001</v>
      </c>
      <c r="N158" s="4">
        <v>156.44800000000001</v>
      </c>
      <c r="O158" s="4">
        <v>156.44800000000001</v>
      </c>
      <c r="P158" s="4">
        <v>0</v>
      </c>
      <c r="Q158" s="3" t="s">
        <v>26</v>
      </c>
      <c r="R158" s="3">
        <v>0</v>
      </c>
      <c r="S158" s="3" t="s">
        <v>114</v>
      </c>
      <c r="T158" s="3" t="s">
        <v>519</v>
      </c>
      <c r="U158" s="3">
        <v>93</v>
      </c>
      <c r="V158" s="3">
        <v>94</v>
      </c>
      <c r="W158" s="3">
        <v>48</v>
      </c>
    </row>
    <row r="159" spans="1:23" ht="11.25" customHeight="1" x14ac:dyDescent="0.25">
      <c r="A159" s="3" t="s">
        <v>27</v>
      </c>
      <c r="B159" s="3" t="s">
        <v>41</v>
      </c>
      <c r="C159" s="3" t="s">
        <v>42</v>
      </c>
      <c r="D159" s="3" t="s">
        <v>40</v>
      </c>
      <c r="E159" s="3" t="s">
        <v>25</v>
      </c>
      <c r="F159" s="3" t="s">
        <v>25</v>
      </c>
      <c r="G159" s="3" t="s">
        <v>25</v>
      </c>
      <c r="H159" s="3" t="s">
        <v>36</v>
      </c>
      <c r="I159" s="6">
        <v>44501</v>
      </c>
      <c r="J159" s="4">
        <v>0</v>
      </c>
      <c r="K159" s="4">
        <v>0</v>
      </c>
      <c r="L159" s="4">
        <v>0.42599999999999999</v>
      </c>
      <c r="M159" s="4">
        <v>0.42599999999999999</v>
      </c>
      <c r="N159" s="4">
        <v>0.42599999999999999</v>
      </c>
      <c r="O159" s="4">
        <v>0.42599999999999999</v>
      </c>
      <c r="P159" s="4">
        <v>0</v>
      </c>
      <c r="Q159" s="3" t="s">
        <v>26</v>
      </c>
      <c r="R159" s="3">
        <v>0</v>
      </c>
      <c r="S159" s="3" t="s">
        <v>114</v>
      </c>
      <c r="T159" s="3" t="s">
        <v>519</v>
      </c>
      <c r="U159" s="3">
        <v>0</v>
      </c>
      <c r="V159" s="3">
        <v>94</v>
      </c>
      <c r="W159" s="3">
        <v>48</v>
      </c>
    </row>
    <row r="160" spans="1:23" ht="11.25" customHeight="1" x14ac:dyDescent="0.25">
      <c r="A160" s="3" t="s">
        <v>28</v>
      </c>
      <c r="B160" s="3" t="s">
        <v>41</v>
      </c>
      <c r="C160" s="3" t="s">
        <v>42</v>
      </c>
      <c r="D160" s="3" t="s">
        <v>40</v>
      </c>
      <c r="E160" s="3" t="s">
        <v>25</v>
      </c>
      <c r="F160" s="3" t="s">
        <v>25</v>
      </c>
      <c r="G160" s="3" t="s">
        <v>25</v>
      </c>
      <c r="H160" s="3" t="s">
        <v>36</v>
      </c>
      <c r="I160" s="6">
        <v>44501</v>
      </c>
      <c r="J160" s="4">
        <v>100</v>
      </c>
      <c r="K160" s="4">
        <v>100</v>
      </c>
      <c r="L160" s="4">
        <v>5.05</v>
      </c>
      <c r="M160" s="4">
        <v>5.05</v>
      </c>
      <c r="N160" s="4">
        <v>5.05</v>
      </c>
      <c r="O160" s="4">
        <v>5.05</v>
      </c>
      <c r="P160" s="4">
        <v>0</v>
      </c>
      <c r="Q160" s="3" t="s">
        <v>26</v>
      </c>
      <c r="R160" s="3">
        <v>0</v>
      </c>
      <c r="S160" s="3" t="s">
        <v>114</v>
      </c>
      <c r="T160" s="3" t="s">
        <v>519</v>
      </c>
      <c r="U160" s="3">
        <v>93</v>
      </c>
      <c r="V160" s="3">
        <v>94</v>
      </c>
      <c r="W160" s="3">
        <v>48</v>
      </c>
    </row>
    <row r="161" spans="1:23" ht="11.25" customHeight="1" x14ac:dyDescent="0.25">
      <c r="A161" s="3" t="s">
        <v>21</v>
      </c>
      <c r="B161" s="3" t="s">
        <v>41</v>
      </c>
      <c r="C161" s="3" t="s">
        <v>42</v>
      </c>
      <c r="D161" s="3" t="s">
        <v>40</v>
      </c>
      <c r="E161" s="3" t="s">
        <v>25</v>
      </c>
      <c r="F161" s="3" t="s">
        <v>25</v>
      </c>
      <c r="G161" s="3" t="s">
        <v>25</v>
      </c>
      <c r="H161" s="3" t="s">
        <v>36</v>
      </c>
      <c r="I161" s="6">
        <v>44501</v>
      </c>
      <c r="J161" s="4">
        <v>49542</v>
      </c>
      <c r="K161" s="4">
        <v>49542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3" t="s">
        <v>57</v>
      </c>
      <c r="R161" s="3">
        <v>0</v>
      </c>
      <c r="S161" s="3" t="s">
        <v>114</v>
      </c>
      <c r="U161" s="3">
        <v>93</v>
      </c>
      <c r="V161" s="3">
        <v>0</v>
      </c>
      <c r="W161" s="3">
        <v>0</v>
      </c>
    </row>
    <row r="162" spans="1:23" ht="11.25" customHeight="1" x14ac:dyDescent="0.25">
      <c r="A162" s="3" t="s">
        <v>21</v>
      </c>
      <c r="B162" s="3" t="s">
        <v>41</v>
      </c>
      <c r="C162" s="3" t="s">
        <v>42</v>
      </c>
      <c r="D162" s="3" t="s">
        <v>40</v>
      </c>
      <c r="E162" s="3" t="s">
        <v>25</v>
      </c>
      <c r="F162" s="3" t="s">
        <v>25</v>
      </c>
      <c r="G162" s="3" t="s">
        <v>25</v>
      </c>
      <c r="H162" s="3" t="s">
        <v>36</v>
      </c>
      <c r="I162" s="6">
        <v>44531</v>
      </c>
      <c r="J162" s="4">
        <v>7482</v>
      </c>
      <c r="K162" s="4">
        <v>7482</v>
      </c>
      <c r="L162" s="4">
        <v>321.03899999999999</v>
      </c>
      <c r="M162" s="4">
        <v>321.03899999999999</v>
      </c>
      <c r="N162" s="4">
        <v>321.03899999999999</v>
      </c>
      <c r="O162" s="4">
        <v>321.03899999999999</v>
      </c>
      <c r="P162" s="4">
        <v>0</v>
      </c>
      <c r="Q162" s="3" t="s">
        <v>26</v>
      </c>
      <c r="R162" s="3">
        <v>0</v>
      </c>
      <c r="S162" s="3" t="s">
        <v>115</v>
      </c>
      <c r="T162" s="3" t="s">
        <v>520</v>
      </c>
      <c r="U162" s="3">
        <v>93</v>
      </c>
      <c r="V162" s="3">
        <v>94</v>
      </c>
      <c r="W162" s="3">
        <v>48</v>
      </c>
    </row>
    <row r="163" spans="1:23" ht="11.25" customHeight="1" x14ac:dyDescent="0.25">
      <c r="A163" s="3" t="s">
        <v>28</v>
      </c>
      <c r="B163" s="3" t="s">
        <v>41</v>
      </c>
      <c r="C163" s="3" t="s">
        <v>42</v>
      </c>
      <c r="D163" s="3" t="s">
        <v>40</v>
      </c>
      <c r="E163" s="3" t="s">
        <v>25</v>
      </c>
      <c r="F163" s="3" t="s">
        <v>25</v>
      </c>
      <c r="G163" s="3" t="s">
        <v>25</v>
      </c>
      <c r="H163" s="3" t="s">
        <v>36</v>
      </c>
      <c r="I163" s="6">
        <v>44531</v>
      </c>
      <c r="J163" s="4">
        <v>100</v>
      </c>
      <c r="K163" s="4">
        <v>100</v>
      </c>
      <c r="L163" s="4">
        <v>0.17</v>
      </c>
      <c r="M163" s="4">
        <v>0.17</v>
      </c>
      <c r="N163" s="4">
        <v>0.17</v>
      </c>
      <c r="O163" s="4">
        <v>0.17</v>
      </c>
      <c r="P163" s="4">
        <v>0</v>
      </c>
      <c r="Q163" s="3" t="s">
        <v>26</v>
      </c>
      <c r="R163" s="3">
        <v>0</v>
      </c>
      <c r="S163" s="3" t="s">
        <v>115</v>
      </c>
      <c r="T163" s="3" t="s">
        <v>520</v>
      </c>
      <c r="U163" s="3">
        <v>93</v>
      </c>
      <c r="V163" s="3">
        <v>94</v>
      </c>
      <c r="W163" s="3">
        <v>48</v>
      </c>
    </row>
    <row r="164" spans="1:23" ht="11.25" customHeight="1" x14ac:dyDescent="0.25">
      <c r="A164" s="3" t="s">
        <v>21</v>
      </c>
      <c r="B164" s="3" t="s">
        <v>41</v>
      </c>
      <c r="C164" s="3" t="s">
        <v>42</v>
      </c>
      <c r="D164" s="3" t="s">
        <v>40</v>
      </c>
      <c r="E164" s="3" t="s">
        <v>25</v>
      </c>
      <c r="F164" s="3" t="s">
        <v>25</v>
      </c>
      <c r="G164" s="3" t="s">
        <v>25</v>
      </c>
      <c r="H164" s="3" t="s">
        <v>36</v>
      </c>
      <c r="I164" s="6">
        <v>44531</v>
      </c>
      <c r="J164" s="4">
        <v>49402</v>
      </c>
      <c r="K164" s="4">
        <v>49402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3" t="s">
        <v>57</v>
      </c>
      <c r="R164" s="3">
        <v>0</v>
      </c>
      <c r="S164" s="3" t="s">
        <v>115</v>
      </c>
      <c r="U164" s="3">
        <v>93</v>
      </c>
      <c r="V164" s="3">
        <v>0</v>
      </c>
      <c r="W164" s="3">
        <v>0</v>
      </c>
    </row>
    <row r="165" spans="1:23" ht="11.25" customHeight="1" x14ac:dyDescent="0.25">
      <c r="A165" s="3" t="s">
        <v>21</v>
      </c>
      <c r="B165" s="3" t="s">
        <v>41</v>
      </c>
      <c r="C165" s="3" t="s">
        <v>42</v>
      </c>
      <c r="D165" s="3" t="s">
        <v>40</v>
      </c>
      <c r="E165" s="3" t="s">
        <v>25</v>
      </c>
      <c r="F165" s="3" t="s">
        <v>25</v>
      </c>
      <c r="G165" s="3" t="s">
        <v>25</v>
      </c>
      <c r="H165" s="3" t="s">
        <v>36</v>
      </c>
      <c r="I165" s="6">
        <v>44562</v>
      </c>
      <c r="J165" s="4">
        <v>13711</v>
      </c>
      <c r="K165" s="4">
        <v>13711</v>
      </c>
      <c r="L165" s="4">
        <v>136.46799999999999</v>
      </c>
      <c r="M165" s="4">
        <v>136.46799999999999</v>
      </c>
      <c r="N165" s="4">
        <v>136.46799999999999</v>
      </c>
      <c r="O165" s="4">
        <v>136.46799999999999</v>
      </c>
      <c r="P165" s="4">
        <v>0</v>
      </c>
      <c r="Q165" s="3" t="s">
        <v>26</v>
      </c>
      <c r="R165" s="3">
        <v>0</v>
      </c>
      <c r="S165" s="3" t="s">
        <v>116</v>
      </c>
      <c r="T165" s="3" t="s">
        <v>521</v>
      </c>
      <c r="U165" s="3">
        <v>93</v>
      </c>
      <c r="V165" s="3">
        <v>94</v>
      </c>
      <c r="W165" s="3">
        <v>48</v>
      </c>
    </row>
    <row r="166" spans="1:23" ht="11.25" customHeight="1" x14ac:dyDescent="0.25">
      <c r="A166" s="3" t="s">
        <v>28</v>
      </c>
      <c r="B166" s="3" t="s">
        <v>41</v>
      </c>
      <c r="C166" s="3" t="s">
        <v>42</v>
      </c>
      <c r="D166" s="3" t="s">
        <v>40</v>
      </c>
      <c r="E166" s="3" t="s">
        <v>25</v>
      </c>
      <c r="F166" s="3" t="s">
        <v>25</v>
      </c>
      <c r="G166" s="3" t="s">
        <v>25</v>
      </c>
      <c r="H166" s="3" t="s">
        <v>36</v>
      </c>
      <c r="I166" s="6">
        <v>44562</v>
      </c>
      <c r="J166" s="4">
        <v>100</v>
      </c>
      <c r="K166" s="4">
        <v>100</v>
      </c>
      <c r="L166" s="4">
        <v>3.7349999999999999</v>
      </c>
      <c r="M166" s="4">
        <v>3.7349999999999999</v>
      </c>
      <c r="N166" s="4">
        <v>3.7349999999999999</v>
      </c>
      <c r="O166" s="4">
        <v>3.7349999999999999</v>
      </c>
      <c r="P166" s="4">
        <v>0</v>
      </c>
      <c r="Q166" s="3" t="s">
        <v>26</v>
      </c>
      <c r="R166" s="3">
        <v>0</v>
      </c>
      <c r="S166" s="3" t="s">
        <v>116</v>
      </c>
      <c r="T166" s="3" t="s">
        <v>521</v>
      </c>
      <c r="U166" s="3">
        <v>93</v>
      </c>
      <c r="V166" s="3">
        <v>94</v>
      </c>
      <c r="W166" s="3">
        <v>48</v>
      </c>
    </row>
    <row r="167" spans="1:23" ht="11.25" customHeight="1" x14ac:dyDescent="0.25">
      <c r="A167" s="3" t="s">
        <v>21</v>
      </c>
      <c r="B167" s="3" t="s">
        <v>41</v>
      </c>
      <c r="C167" s="3" t="s">
        <v>42</v>
      </c>
      <c r="D167" s="3" t="s">
        <v>40</v>
      </c>
      <c r="E167" s="3" t="s">
        <v>25</v>
      </c>
      <c r="F167" s="3" t="s">
        <v>25</v>
      </c>
      <c r="G167" s="3" t="s">
        <v>25</v>
      </c>
      <c r="H167" s="3" t="s">
        <v>36</v>
      </c>
      <c r="I167" s="6">
        <v>44562</v>
      </c>
      <c r="J167" s="4">
        <v>49400</v>
      </c>
      <c r="K167" s="4">
        <v>49400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3" t="s">
        <v>57</v>
      </c>
      <c r="R167" s="3">
        <v>0</v>
      </c>
      <c r="S167" s="3" t="s">
        <v>116</v>
      </c>
      <c r="U167" s="3">
        <v>93</v>
      </c>
      <c r="V167" s="3">
        <v>0</v>
      </c>
      <c r="W167" s="3">
        <v>0</v>
      </c>
    </row>
    <row r="168" spans="1:23" ht="11.25" customHeight="1" x14ac:dyDescent="0.25">
      <c r="A168" s="3" t="s">
        <v>21</v>
      </c>
      <c r="B168" s="3" t="s">
        <v>41</v>
      </c>
      <c r="C168" s="3" t="s">
        <v>42</v>
      </c>
      <c r="D168" s="3" t="s">
        <v>40</v>
      </c>
      <c r="E168" s="3" t="s">
        <v>25</v>
      </c>
      <c r="F168" s="3" t="s">
        <v>25</v>
      </c>
      <c r="G168" s="3" t="s">
        <v>25</v>
      </c>
      <c r="H168" s="3" t="s">
        <v>36</v>
      </c>
      <c r="I168" s="6">
        <v>44593</v>
      </c>
      <c r="J168" s="4">
        <v>12452</v>
      </c>
      <c r="K168" s="4">
        <v>12452</v>
      </c>
      <c r="L168" s="4">
        <v>135.31800000000001</v>
      </c>
      <c r="M168" s="4">
        <v>135.31800000000001</v>
      </c>
      <c r="N168" s="4">
        <v>135.31800000000001</v>
      </c>
      <c r="O168" s="4">
        <v>135.31800000000001</v>
      </c>
      <c r="P168" s="4">
        <v>0</v>
      </c>
      <c r="Q168" s="3" t="s">
        <v>26</v>
      </c>
      <c r="R168" s="3">
        <v>0</v>
      </c>
      <c r="S168" s="3" t="s">
        <v>117</v>
      </c>
      <c r="T168" s="3" t="s">
        <v>522</v>
      </c>
      <c r="U168" s="3">
        <v>93</v>
      </c>
      <c r="V168" s="3">
        <v>94</v>
      </c>
      <c r="W168" s="3">
        <v>48</v>
      </c>
    </row>
    <row r="169" spans="1:23" ht="11.25" customHeight="1" x14ac:dyDescent="0.25">
      <c r="A169" s="3" t="s">
        <v>27</v>
      </c>
      <c r="B169" s="3" t="s">
        <v>41</v>
      </c>
      <c r="C169" s="3" t="s">
        <v>42</v>
      </c>
      <c r="D169" s="3" t="s">
        <v>40</v>
      </c>
      <c r="E169" s="3" t="s">
        <v>25</v>
      </c>
      <c r="F169" s="3" t="s">
        <v>25</v>
      </c>
      <c r="G169" s="3" t="s">
        <v>25</v>
      </c>
      <c r="H169" s="3" t="s">
        <v>36</v>
      </c>
      <c r="I169" s="6">
        <v>44593</v>
      </c>
      <c r="J169" s="4">
        <v>-7192</v>
      </c>
      <c r="K169" s="4">
        <v>-7192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3" t="s">
        <v>26</v>
      </c>
      <c r="R169" s="3">
        <v>0</v>
      </c>
      <c r="S169" s="3" t="s">
        <v>117</v>
      </c>
      <c r="T169" s="3" t="s">
        <v>522</v>
      </c>
      <c r="U169" s="3">
        <v>93</v>
      </c>
      <c r="V169" s="3">
        <v>0</v>
      </c>
      <c r="W169" s="3">
        <v>0</v>
      </c>
    </row>
    <row r="170" spans="1:23" ht="11.25" customHeight="1" x14ac:dyDescent="0.25">
      <c r="A170" s="3" t="s">
        <v>28</v>
      </c>
      <c r="B170" s="3" t="s">
        <v>41</v>
      </c>
      <c r="C170" s="3" t="s">
        <v>42</v>
      </c>
      <c r="D170" s="3" t="s">
        <v>40</v>
      </c>
      <c r="E170" s="3" t="s">
        <v>25</v>
      </c>
      <c r="F170" s="3" t="s">
        <v>25</v>
      </c>
      <c r="G170" s="3" t="s">
        <v>25</v>
      </c>
      <c r="H170" s="3" t="s">
        <v>36</v>
      </c>
      <c r="I170" s="6">
        <v>44593</v>
      </c>
      <c r="J170" s="4">
        <v>100</v>
      </c>
      <c r="K170" s="4">
        <v>100</v>
      </c>
      <c r="L170" s="4">
        <v>4.3410000000000002</v>
      </c>
      <c r="M170" s="4">
        <v>4.3410000000000002</v>
      </c>
      <c r="N170" s="4">
        <v>4.3410000000000002</v>
      </c>
      <c r="O170" s="4">
        <v>4.3410000000000002</v>
      </c>
      <c r="P170" s="4">
        <v>0</v>
      </c>
      <c r="Q170" s="3" t="s">
        <v>26</v>
      </c>
      <c r="R170" s="3">
        <v>0</v>
      </c>
      <c r="S170" s="3" t="s">
        <v>117</v>
      </c>
      <c r="T170" s="3" t="s">
        <v>522</v>
      </c>
      <c r="U170" s="3">
        <v>93</v>
      </c>
      <c r="V170" s="3">
        <v>94</v>
      </c>
      <c r="W170" s="3">
        <v>48</v>
      </c>
    </row>
    <row r="171" spans="1:23" ht="11.25" customHeight="1" x14ac:dyDescent="0.25">
      <c r="A171" s="3" t="s">
        <v>21</v>
      </c>
      <c r="B171" s="3" t="s">
        <v>41</v>
      </c>
      <c r="C171" s="3" t="s">
        <v>42</v>
      </c>
      <c r="D171" s="3" t="s">
        <v>40</v>
      </c>
      <c r="E171" s="3" t="s">
        <v>25</v>
      </c>
      <c r="F171" s="3" t="s">
        <v>25</v>
      </c>
      <c r="G171" s="3" t="s">
        <v>25</v>
      </c>
      <c r="H171" s="3" t="s">
        <v>36</v>
      </c>
      <c r="I171" s="6">
        <v>44593</v>
      </c>
      <c r="J171" s="4">
        <v>19400</v>
      </c>
      <c r="K171" s="4">
        <v>19400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3" t="s">
        <v>57</v>
      </c>
      <c r="R171" s="3">
        <v>0</v>
      </c>
      <c r="S171" s="3" t="s">
        <v>117</v>
      </c>
      <c r="U171" s="3">
        <v>93</v>
      </c>
      <c r="V171" s="3">
        <v>0</v>
      </c>
      <c r="W171" s="3">
        <v>0</v>
      </c>
    </row>
    <row r="172" spans="1:23" ht="11.25" customHeight="1" x14ac:dyDescent="0.25">
      <c r="A172" s="3" t="s">
        <v>21</v>
      </c>
      <c r="B172" s="3" t="s">
        <v>41</v>
      </c>
      <c r="C172" s="3" t="s">
        <v>42</v>
      </c>
      <c r="D172" s="3" t="s">
        <v>40</v>
      </c>
      <c r="E172" s="3" t="s">
        <v>25</v>
      </c>
      <c r="F172" s="3" t="s">
        <v>25</v>
      </c>
      <c r="G172" s="3" t="s">
        <v>25</v>
      </c>
      <c r="H172" s="3" t="s">
        <v>36</v>
      </c>
      <c r="I172" s="6">
        <v>44621</v>
      </c>
      <c r="J172" s="4">
        <v>8594</v>
      </c>
      <c r="K172" s="4">
        <v>8594</v>
      </c>
      <c r="L172" s="4">
        <v>360.09899999999999</v>
      </c>
      <c r="M172" s="4">
        <v>360.09899999999999</v>
      </c>
      <c r="N172" s="4">
        <v>360.09899999999999</v>
      </c>
      <c r="O172" s="4">
        <v>360.09899999999999</v>
      </c>
      <c r="P172" s="4">
        <v>0</v>
      </c>
      <c r="Q172" s="3" t="s">
        <v>26</v>
      </c>
      <c r="R172" s="3">
        <v>0</v>
      </c>
      <c r="S172" s="3" t="s">
        <v>118</v>
      </c>
      <c r="T172" s="3" t="s">
        <v>523</v>
      </c>
      <c r="U172" s="3">
        <v>93</v>
      </c>
      <c r="V172" s="3">
        <v>94</v>
      </c>
      <c r="W172" s="3">
        <v>48</v>
      </c>
    </row>
    <row r="173" spans="1:23" ht="11.25" customHeight="1" x14ac:dyDescent="0.25">
      <c r="A173" s="3" t="s">
        <v>28</v>
      </c>
      <c r="B173" s="3" t="s">
        <v>41</v>
      </c>
      <c r="C173" s="3" t="s">
        <v>42</v>
      </c>
      <c r="D173" s="3" t="s">
        <v>40</v>
      </c>
      <c r="E173" s="3" t="s">
        <v>25</v>
      </c>
      <c r="F173" s="3" t="s">
        <v>25</v>
      </c>
      <c r="G173" s="3" t="s">
        <v>25</v>
      </c>
      <c r="H173" s="3" t="s">
        <v>36</v>
      </c>
      <c r="I173" s="6">
        <v>44621</v>
      </c>
      <c r="J173" s="4">
        <v>100</v>
      </c>
      <c r="K173" s="4">
        <v>100</v>
      </c>
      <c r="L173" s="4">
        <v>0.30399999999999999</v>
      </c>
      <c r="M173" s="4">
        <v>0.30399999999999999</v>
      </c>
      <c r="N173" s="4">
        <v>0.30399999999999999</v>
      </c>
      <c r="O173" s="4">
        <v>0.30399999999999999</v>
      </c>
      <c r="P173" s="4">
        <v>0</v>
      </c>
      <c r="Q173" s="3" t="s">
        <v>26</v>
      </c>
      <c r="R173" s="3">
        <v>0</v>
      </c>
      <c r="S173" s="3" t="s">
        <v>118</v>
      </c>
      <c r="T173" s="3" t="s">
        <v>523</v>
      </c>
      <c r="U173" s="3">
        <v>93</v>
      </c>
      <c r="V173" s="3">
        <v>94</v>
      </c>
      <c r="W173" s="3">
        <v>48</v>
      </c>
    </row>
    <row r="174" spans="1:23" ht="11.25" customHeight="1" x14ac:dyDescent="0.25">
      <c r="A174" s="3" t="s">
        <v>21</v>
      </c>
      <c r="B174" s="3" t="s">
        <v>41</v>
      </c>
      <c r="C174" s="3" t="s">
        <v>42</v>
      </c>
      <c r="D174" s="3" t="s">
        <v>40</v>
      </c>
      <c r="E174" s="3" t="s">
        <v>25</v>
      </c>
      <c r="F174" s="3" t="s">
        <v>25</v>
      </c>
      <c r="G174" s="3" t="s">
        <v>25</v>
      </c>
      <c r="H174" s="3" t="s">
        <v>36</v>
      </c>
      <c r="I174" s="6">
        <v>44621</v>
      </c>
      <c r="J174" s="4">
        <v>39400</v>
      </c>
      <c r="K174" s="4">
        <v>39400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3" t="s">
        <v>57</v>
      </c>
      <c r="R174" s="3">
        <v>0</v>
      </c>
      <c r="S174" s="3" t="s">
        <v>118</v>
      </c>
      <c r="U174" s="3">
        <v>93</v>
      </c>
      <c r="V174" s="3">
        <v>0</v>
      </c>
      <c r="W174" s="3">
        <v>0</v>
      </c>
    </row>
    <row r="175" spans="1:23" ht="11.25" customHeight="1" x14ac:dyDescent="0.25">
      <c r="A175" s="3" t="s">
        <v>56</v>
      </c>
      <c r="B175" s="3" t="s">
        <v>41</v>
      </c>
      <c r="C175" s="3" t="s">
        <v>42</v>
      </c>
      <c r="D175" s="3" t="s">
        <v>40</v>
      </c>
      <c r="E175" s="3" t="s">
        <v>25</v>
      </c>
      <c r="F175" s="3" t="s">
        <v>25</v>
      </c>
      <c r="G175" s="3" t="s">
        <v>25</v>
      </c>
      <c r="H175" s="3" t="s">
        <v>36</v>
      </c>
      <c r="I175" s="6">
        <v>44652</v>
      </c>
      <c r="J175" s="4">
        <v>8594</v>
      </c>
      <c r="K175" s="4">
        <v>8594</v>
      </c>
      <c r="L175" s="4">
        <v>360.09899999999999</v>
      </c>
      <c r="M175" s="4">
        <v>360.09899999999999</v>
      </c>
      <c r="N175" s="4">
        <v>360.09899999999999</v>
      </c>
      <c r="O175" s="4">
        <v>360.09899999999999</v>
      </c>
      <c r="P175" s="4">
        <v>0</v>
      </c>
      <c r="Q175" s="3" t="s">
        <v>26</v>
      </c>
      <c r="R175" s="3">
        <v>0</v>
      </c>
      <c r="S175" s="3" t="s">
        <v>119</v>
      </c>
      <c r="T175" s="3" t="s">
        <v>524</v>
      </c>
      <c r="U175" s="3">
        <v>93</v>
      </c>
      <c r="V175" s="3">
        <v>94</v>
      </c>
      <c r="W175" s="3">
        <v>48</v>
      </c>
    </row>
    <row r="176" spans="1:23" ht="11.25" customHeight="1" x14ac:dyDescent="0.25">
      <c r="A176" s="3" t="s">
        <v>56</v>
      </c>
      <c r="B176" s="3" t="s">
        <v>41</v>
      </c>
      <c r="C176" s="3" t="s">
        <v>42</v>
      </c>
      <c r="D176" s="3" t="s">
        <v>40</v>
      </c>
      <c r="E176" s="3" t="s">
        <v>25</v>
      </c>
      <c r="F176" s="3" t="s">
        <v>25</v>
      </c>
      <c r="G176" s="3" t="s">
        <v>25</v>
      </c>
      <c r="H176" s="3" t="s">
        <v>36</v>
      </c>
      <c r="I176" s="6">
        <v>44652</v>
      </c>
      <c r="J176" s="4">
        <v>100</v>
      </c>
      <c r="K176" s="4">
        <v>100</v>
      </c>
      <c r="L176" s="4">
        <v>0.30399999999999999</v>
      </c>
      <c r="M176" s="4">
        <v>0.30399999999999999</v>
      </c>
      <c r="N176" s="4">
        <v>0.30399999999999999</v>
      </c>
      <c r="O176" s="4">
        <v>0.30399999999999999</v>
      </c>
      <c r="P176" s="4">
        <v>0</v>
      </c>
      <c r="Q176" s="3" t="s">
        <v>26</v>
      </c>
      <c r="R176" s="3">
        <v>0</v>
      </c>
      <c r="S176" s="3" t="s">
        <v>119</v>
      </c>
      <c r="T176" s="3" t="s">
        <v>524</v>
      </c>
      <c r="U176" s="3">
        <v>93</v>
      </c>
      <c r="V176" s="3">
        <v>94</v>
      </c>
      <c r="W176" s="3">
        <v>48</v>
      </c>
    </row>
    <row r="177" spans="1:23" ht="11.25" customHeight="1" x14ac:dyDescent="0.25">
      <c r="A177" s="3" t="s">
        <v>56</v>
      </c>
      <c r="B177" s="3" t="s">
        <v>41</v>
      </c>
      <c r="C177" s="3" t="s">
        <v>42</v>
      </c>
      <c r="D177" s="3" t="s">
        <v>40</v>
      </c>
      <c r="E177" s="3" t="s">
        <v>25</v>
      </c>
      <c r="F177" s="3" t="s">
        <v>25</v>
      </c>
      <c r="G177" s="3" t="s">
        <v>25</v>
      </c>
      <c r="H177" s="3" t="s">
        <v>36</v>
      </c>
      <c r="I177" s="6">
        <v>44652</v>
      </c>
      <c r="J177" s="4">
        <v>39400</v>
      </c>
      <c r="K177" s="4">
        <v>39400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3" t="s">
        <v>57</v>
      </c>
      <c r="R177" s="3">
        <v>0</v>
      </c>
      <c r="S177" s="3" t="s">
        <v>119</v>
      </c>
      <c r="U177" s="3">
        <v>93</v>
      </c>
      <c r="V177" s="3">
        <v>0</v>
      </c>
      <c r="W177" s="3">
        <v>0</v>
      </c>
    </row>
    <row r="178" spans="1:23" ht="11.25" customHeight="1" x14ac:dyDescent="0.25">
      <c r="A178" s="3" t="s">
        <v>21</v>
      </c>
      <c r="B178" s="3" t="s">
        <v>41</v>
      </c>
      <c r="C178" s="3" t="s">
        <v>42</v>
      </c>
      <c r="D178" s="3" t="s">
        <v>40</v>
      </c>
      <c r="E178" s="3" t="s">
        <v>25</v>
      </c>
      <c r="F178" s="3" t="s">
        <v>25</v>
      </c>
      <c r="G178" s="3" t="s">
        <v>25</v>
      </c>
      <c r="H178" s="3" t="s">
        <v>25</v>
      </c>
      <c r="I178" s="6">
        <v>44317</v>
      </c>
      <c r="J178" s="4">
        <v>0</v>
      </c>
      <c r="K178" s="4">
        <v>0</v>
      </c>
      <c r="L178" s="4">
        <v>29376.78</v>
      </c>
      <c r="M178" s="4">
        <v>29376.78</v>
      </c>
      <c r="N178" s="4">
        <v>0</v>
      </c>
      <c r="O178" s="4">
        <v>0</v>
      </c>
      <c r="P178" s="4">
        <v>4</v>
      </c>
      <c r="Q178" s="3" t="s">
        <v>57</v>
      </c>
      <c r="R178" s="3">
        <v>0</v>
      </c>
      <c r="S178" s="3" t="s">
        <v>120</v>
      </c>
      <c r="U178" s="3">
        <v>0</v>
      </c>
      <c r="V178" s="3">
        <v>94</v>
      </c>
      <c r="W178" s="3">
        <v>0</v>
      </c>
    </row>
    <row r="179" spans="1:23" ht="11.25" customHeight="1" x14ac:dyDescent="0.25">
      <c r="A179" s="3" t="s">
        <v>21</v>
      </c>
      <c r="B179" s="3" t="s">
        <v>41</v>
      </c>
      <c r="C179" s="3" t="s">
        <v>42</v>
      </c>
      <c r="D179" s="3" t="s">
        <v>40</v>
      </c>
      <c r="E179" s="3" t="s">
        <v>25</v>
      </c>
      <c r="F179" s="3" t="s">
        <v>25</v>
      </c>
      <c r="G179" s="3" t="s">
        <v>25</v>
      </c>
      <c r="H179" s="3" t="s">
        <v>25</v>
      </c>
      <c r="I179" s="6">
        <v>44348</v>
      </c>
      <c r="J179" s="4">
        <v>0</v>
      </c>
      <c r="K179" s="4">
        <v>0</v>
      </c>
      <c r="L179" s="4">
        <v>23583.421999999999</v>
      </c>
      <c r="M179" s="4">
        <v>23583.421999999999</v>
      </c>
      <c r="N179" s="4">
        <v>0</v>
      </c>
      <c r="O179" s="4">
        <v>0</v>
      </c>
      <c r="P179" s="4">
        <v>4</v>
      </c>
      <c r="Q179" s="3" t="s">
        <v>57</v>
      </c>
      <c r="R179" s="3">
        <v>0</v>
      </c>
      <c r="S179" s="3" t="s">
        <v>121</v>
      </c>
      <c r="U179" s="3">
        <v>0</v>
      </c>
      <c r="V179" s="3">
        <v>94</v>
      </c>
      <c r="W179" s="3">
        <v>0</v>
      </c>
    </row>
    <row r="180" spans="1:23" ht="11.25" customHeight="1" x14ac:dyDescent="0.25">
      <c r="A180" s="3" t="s">
        <v>21</v>
      </c>
      <c r="B180" s="3" t="s">
        <v>41</v>
      </c>
      <c r="C180" s="3" t="s">
        <v>42</v>
      </c>
      <c r="D180" s="3" t="s">
        <v>40</v>
      </c>
      <c r="E180" s="3" t="s">
        <v>25</v>
      </c>
      <c r="F180" s="3" t="s">
        <v>25</v>
      </c>
      <c r="G180" s="3" t="s">
        <v>25</v>
      </c>
      <c r="H180" s="3" t="s">
        <v>25</v>
      </c>
      <c r="I180" s="6">
        <v>44378</v>
      </c>
      <c r="J180" s="4">
        <v>0</v>
      </c>
      <c r="K180" s="4">
        <v>0</v>
      </c>
      <c r="L180" s="4">
        <v>21330.383999999998</v>
      </c>
      <c r="M180" s="4">
        <v>21330.383999999998</v>
      </c>
      <c r="N180" s="4">
        <v>0</v>
      </c>
      <c r="O180" s="4">
        <v>0</v>
      </c>
      <c r="P180" s="4">
        <v>4</v>
      </c>
      <c r="Q180" s="3" t="s">
        <v>57</v>
      </c>
      <c r="R180" s="3">
        <v>0</v>
      </c>
      <c r="S180" s="3" t="s">
        <v>122</v>
      </c>
      <c r="U180" s="3">
        <v>0</v>
      </c>
      <c r="V180" s="3">
        <v>94</v>
      </c>
      <c r="W180" s="3">
        <v>0</v>
      </c>
    </row>
    <row r="181" spans="1:23" ht="11.25" customHeight="1" x14ac:dyDescent="0.25">
      <c r="A181" s="3" t="s">
        <v>21</v>
      </c>
      <c r="B181" s="3" t="s">
        <v>41</v>
      </c>
      <c r="C181" s="3" t="s">
        <v>42</v>
      </c>
      <c r="D181" s="3" t="s">
        <v>40</v>
      </c>
      <c r="E181" s="3" t="s">
        <v>25</v>
      </c>
      <c r="F181" s="3" t="s">
        <v>25</v>
      </c>
      <c r="G181" s="3" t="s">
        <v>25</v>
      </c>
      <c r="H181" s="3" t="s">
        <v>25</v>
      </c>
      <c r="I181" s="6">
        <v>44409</v>
      </c>
      <c r="J181" s="4">
        <v>0</v>
      </c>
      <c r="K181" s="4">
        <v>0</v>
      </c>
      <c r="L181" s="4">
        <v>25771.386999999999</v>
      </c>
      <c r="M181" s="4">
        <v>25771.386999999999</v>
      </c>
      <c r="N181" s="4">
        <v>0</v>
      </c>
      <c r="O181" s="4">
        <v>0</v>
      </c>
      <c r="P181" s="4">
        <v>4</v>
      </c>
      <c r="Q181" s="3" t="s">
        <v>57</v>
      </c>
      <c r="R181" s="3">
        <v>0</v>
      </c>
      <c r="S181" s="3" t="s">
        <v>123</v>
      </c>
      <c r="U181" s="3">
        <v>0</v>
      </c>
      <c r="V181" s="3">
        <v>94</v>
      </c>
      <c r="W181" s="3">
        <v>0</v>
      </c>
    </row>
    <row r="182" spans="1:23" ht="11.25" customHeight="1" x14ac:dyDescent="0.25">
      <c r="A182" s="3" t="s">
        <v>21</v>
      </c>
      <c r="B182" s="3" t="s">
        <v>41</v>
      </c>
      <c r="C182" s="3" t="s">
        <v>42</v>
      </c>
      <c r="D182" s="3" t="s">
        <v>40</v>
      </c>
      <c r="E182" s="3" t="s">
        <v>25</v>
      </c>
      <c r="F182" s="3" t="s">
        <v>25</v>
      </c>
      <c r="G182" s="3" t="s">
        <v>25</v>
      </c>
      <c r="H182" s="3" t="s">
        <v>25</v>
      </c>
      <c r="I182" s="6">
        <v>44440</v>
      </c>
      <c r="J182" s="4">
        <v>0</v>
      </c>
      <c r="K182" s="4">
        <v>0</v>
      </c>
      <c r="L182" s="4">
        <v>28474.440999999999</v>
      </c>
      <c r="M182" s="4">
        <v>28474.440999999999</v>
      </c>
      <c r="N182" s="4">
        <v>0</v>
      </c>
      <c r="O182" s="4">
        <v>0</v>
      </c>
      <c r="P182" s="4">
        <v>4</v>
      </c>
      <c r="Q182" s="3" t="s">
        <v>57</v>
      </c>
      <c r="R182" s="3">
        <v>0</v>
      </c>
      <c r="S182" s="3" t="s">
        <v>124</v>
      </c>
      <c r="U182" s="3">
        <v>0</v>
      </c>
      <c r="V182" s="3">
        <v>94</v>
      </c>
      <c r="W182" s="3">
        <v>0</v>
      </c>
    </row>
    <row r="183" spans="1:23" ht="11.25" customHeight="1" x14ac:dyDescent="0.25">
      <c r="A183" s="3" t="s">
        <v>21</v>
      </c>
      <c r="B183" s="3" t="s">
        <v>41</v>
      </c>
      <c r="C183" s="3" t="s">
        <v>42</v>
      </c>
      <c r="D183" s="3" t="s">
        <v>40</v>
      </c>
      <c r="E183" s="3" t="s">
        <v>25</v>
      </c>
      <c r="F183" s="3" t="s">
        <v>25</v>
      </c>
      <c r="G183" s="3" t="s">
        <v>25</v>
      </c>
      <c r="H183" s="3" t="s">
        <v>25</v>
      </c>
      <c r="I183" s="6">
        <v>44470</v>
      </c>
      <c r="J183" s="4">
        <v>0</v>
      </c>
      <c r="K183" s="4">
        <v>0</v>
      </c>
      <c r="L183" s="4">
        <v>27093.434000000001</v>
      </c>
      <c r="M183" s="4">
        <v>27093.434000000001</v>
      </c>
      <c r="N183" s="4">
        <v>0</v>
      </c>
      <c r="O183" s="4">
        <v>0</v>
      </c>
      <c r="P183" s="4">
        <v>4</v>
      </c>
      <c r="Q183" s="3" t="s">
        <v>57</v>
      </c>
      <c r="R183" s="3">
        <v>0</v>
      </c>
      <c r="S183" s="3" t="s">
        <v>125</v>
      </c>
      <c r="U183" s="3">
        <v>0</v>
      </c>
      <c r="V183" s="3">
        <v>94</v>
      </c>
      <c r="W183" s="3">
        <v>0</v>
      </c>
    </row>
    <row r="184" spans="1:23" ht="11.25" customHeight="1" x14ac:dyDescent="0.25">
      <c r="A184" s="3" t="s">
        <v>21</v>
      </c>
      <c r="B184" s="3" t="s">
        <v>41</v>
      </c>
      <c r="C184" s="3" t="s">
        <v>42</v>
      </c>
      <c r="D184" s="3" t="s">
        <v>40</v>
      </c>
      <c r="E184" s="3" t="s">
        <v>25</v>
      </c>
      <c r="F184" s="3" t="s">
        <v>25</v>
      </c>
      <c r="G184" s="3" t="s">
        <v>25</v>
      </c>
      <c r="H184" s="3" t="s">
        <v>25</v>
      </c>
      <c r="I184" s="6">
        <v>44501</v>
      </c>
      <c r="J184" s="4">
        <v>0</v>
      </c>
      <c r="K184" s="4">
        <v>0</v>
      </c>
      <c r="L184" s="4">
        <v>26645.107</v>
      </c>
      <c r="M184" s="4">
        <v>26645.107</v>
      </c>
      <c r="N184" s="4">
        <v>0</v>
      </c>
      <c r="O184" s="4">
        <v>0</v>
      </c>
      <c r="P184" s="4">
        <v>4</v>
      </c>
      <c r="Q184" s="3" t="s">
        <v>57</v>
      </c>
      <c r="R184" s="3">
        <v>0</v>
      </c>
      <c r="S184" s="3" t="s">
        <v>126</v>
      </c>
      <c r="U184" s="3">
        <v>0</v>
      </c>
      <c r="V184" s="3">
        <v>94</v>
      </c>
      <c r="W184" s="3">
        <v>0</v>
      </c>
    </row>
    <row r="185" spans="1:23" ht="11.25" customHeight="1" x14ac:dyDescent="0.25">
      <c r="A185" s="3" t="s">
        <v>21</v>
      </c>
      <c r="B185" s="3" t="s">
        <v>41</v>
      </c>
      <c r="C185" s="3" t="s">
        <v>42</v>
      </c>
      <c r="D185" s="3" t="s">
        <v>40</v>
      </c>
      <c r="E185" s="3" t="s">
        <v>25</v>
      </c>
      <c r="F185" s="3" t="s">
        <v>25</v>
      </c>
      <c r="G185" s="3" t="s">
        <v>25</v>
      </c>
      <c r="H185" s="3" t="s">
        <v>25</v>
      </c>
      <c r="I185" s="6">
        <v>44531</v>
      </c>
      <c r="J185" s="4">
        <v>0</v>
      </c>
      <c r="K185" s="4">
        <v>0</v>
      </c>
      <c r="L185" s="4">
        <v>26238.37</v>
      </c>
      <c r="M185" s="4">
        <v>26238.37</v>
      </c>
      <c r="N185" s="4">
        <v>0</v>
      </c>
      <c r="O185" s="4">
        <v>0</v>
      </c>
      <c r="P185" s="4">
        <v>4</v>
      </c>
      <c r="Q185" s="3" t="s">
        <v>57</v>
      </c>
      <c r="R185" s="3">
        <v>0</v>
      </c>
      <c r="S185" s="3" t="s">
        <v>127</v>
      </c>
      <c r="U185" s="3">
        <v>0</v>
      </c>
      <c r="V185" s="3">
        <v>94</v>
      </c>
      <c r="W185" s="3">
        <v>0</v>
      </c>
    </row>
    <row r="186" spans="1:23" ht="11.25" customHeight="1" x14ac:dyDescent="0.25">
      <c r="A186" s="3" t="s">
        <v>21</v>
      </c>
      <c r="B186" s="3" t="s">
        <v>41</v>
      </c>
      <c r="C186" s="3" t="s">
        <v>42</v>
      </c>
      <c r="D186" s="3" t="s">
        <v>40</v>
      </c>
      <c r="E186" s="3" t="s">
        <v>25</v>
      </c>
      <c r="F186" s="3" t="s">
        <v>25</v>
      </c>
      <c r="G186" s="3" t="s">
        <v>25</v>
      </c>
      <c r="H186" s="3" t="s">
        <v>25</v>
      </c>
      <c r="I186" s="6">
        <v>44562</v>
      </c>
      <c r="J186" s="4">
        <v>0</v>
      </c>
      <c r="K186" s="4">
        <v>0</v>
      </c>
      <c r="L186" s="4">
        <v>29372.008000000002</v>
      </c>
      <c r="M186" s="4">
        <v>29372.008000000002</v>
      </c>
      <c r="N186" s="4">
        <v>0</v>
      </c>
      <c r="O186" s="4">
        <v>0</v>
      </c>
      <c r="P186" s="4">
        <v>4</v>
      </c>
      <c r="Q186" s="3" t="s">
        <v>57</v>
      </c>
      <c r="R186" s="3">
        <v>0</v>
      </c>
      <c r="S186" s="3" t="s">
        <v>128</v>
      </c>
      <c r="U186" s="3">
        <v>0</v>
      </c>
      <c r="V186" s="3">
        <v>94</v>
      </c>
      <c r="W186" s="3">
        <v>0</v>
      </c>
    </row>
    <row r="187" spans="1:23" ht="11.25" customHeight="1" x14ac:dyDescent="0.25">
      <c r="A187" s="3" t="s">
        <v>21</v>
      </c>
      <c r="B187" s="3" t="s">
        <v>41</v>
      </c>
      <c r="C187" s="3" t="s">
        <v>42</v>
      </c>
      <c r="D187" s="3" t="s">
        <v>40</v>
      </c>
      <c r="E187" s="3" t="s">
        <v>25</v>
      </c>
      <c r="F187" s="3" t="s">
        <v>25</v>
      </c>
      <c r="G187" s="3" t="s">
        <v>25</v>
      </c>
      <c r="H187" s="3" t="s">
        <v>25</v>
      </c>
      <c r="I187" s="6">
        <v>44593</v>
      </c>
      <c r="J187" s="4">
        <v>0</v>
      </c>
      <c r="K187" s="4">
        <v>0</v>
      </c>
      <c r="L187" s="4">
        <v>16198.055</v>
      </c>
      <c r="M187" s="4">
        <v>16198.055</v>
      </c>
      <c r="N187" s="4">
        <v>0</v>
      </c>
      <c r="O187" s="4">
        <v>0</v>
      </c>
      <c r="P187" s="4">
        <v>3</v>
      </c>
      <c r="Q187" s="3" t="s">
        <v>57</v>
      </c>
      <c r="R187" s="3">
        <v>0</v>
      </c>
      <c r="S187" s="3" t="s">
        <v>129</v>
      </c>
      <c r="U187" s="3">
        <v>0</v>
      </c>
      <c r="V187" s="3">
        <v>94</v>
      </c>
      <c r="W187" s="3">
        <v>0</v>
      </c>
    </row>
    <row r="188" spans="1:23" ht="11.25" customHeight="1" x14ac:dyDescent="0.25">
      <c r="A188" s="3" t="s">
        <v>21</v>
      </c>
      <c r="B188" s="3" t="s">
        <v>41</v>
      </c>
      <c r="C188" s="3" t="s">
        <v>42</v>
      </c>
      <c r="D188" s="3" t="s">
        <v>40</v>
      </c>
      <c r="E188" s="3" t="s">
        <v>25</v>
      </c>
      <c r="F188" s="3" t="s">
        <v>25</v>
      </c>
      <c r="G188" s="3" t="s">
        <v>25</v>
      </c>
      <c r="H188" s="3" t="s">
        <v>25</v>
      </c>
      <c r="I188" s="6">
        <v>44621</v>
      </c>
      <c r="J188" s="4">
        <v>0</v>
      </c>
      <c r="K188" s="4">
        <v>0</v>
      </c>
      <c r="L188" s="4">
        <v>24665.269</v>
      </c>
      <c r="M188" s="4">
        <v>24665.269</v>
      </c>
      <c r="N188" s="4">
        <v>0</v>
      </c>
      <c r="O188" s="4">
        <v>0</v>
      </c>
      <c r="P188" s="4">
        <v>3</v>
      </c>
      <c r="Q188" s="3" t="s">
        <v>57</v>
      </c>
      <c r="R188" s="3">
        <v>0</v>
      </c>
      <c r="S188" s="3" t="s">
        <v>130</v>
      </c>
      <c r="U188" s="3">
        <v>0</v>
      </c>
      <c r="V188" s="3">
        <v>94</v>
      </c>
      <c r="W188" s="3">
        <v>0</v>
      </c>
    </row>
    <row r="189" spans="1:23" ht="11.25" customHeight="1" x14ac:dyDescent="0.25">
      <c r="A189" s="3" t="s">
        <v>56</v>
      </c>
      <c r="B189" s="3" t="s">
        <v>41</v>
      </c>
      <c r="C189" s="3" t="s">
        <v>42</v>
      </c>
      <c r="D189" s="3" t="s">
        <v>40</v>
      </c>
      <c r="E189" s="3" t="s">
        <v>25</v>
      </c>
      <c r="F189" s="3" t="s">
        <v>25</v>
      </c>
      <c r="G189" s="3" t="s">
        <v>25</v>
      </c>
      <c r="H189" s="3" t="s">
        <v>25</v>
      </c>
      <c r="I189" s="6">
        <v>44652</v>
      </c>
      <c r="J189" s="4">
        <v>0</v>
      </c>
      <c r="K189" s="4">
        <v>0</v>
      </c>
      <c r="L189" s="4">
        <v>24665.269</v>
      </c>
      <c r="M189" s="4">
        <v>24665.269</v>
      </c>
      <c r="N189" s="4">
        <v>0</v>
      </c>
      <c r="O189" s="4">
        <v>0</v>
      </c>
      <c r="P189" s="4">
        <v>3</v>
      </c>
      <c r="Q189" s="3" t="s">
        <v>57</v>
      </c>
      <c r="R189" s="3">
        <v>0</v>
      </c>
      <c r="S189" s="3" t="s">
        <v>131</v>
      </c>
      <c r="U189" s="3">
        <v>0</v>
      </c>
      <c r="V189" s="3">
        <v>94</v>
      </c>
      <c r="W189" s="3">
        <v>0</v>
      </c>
    </row>
    <row r="190" spans="1:23" ht="11.25" customHeight="1" x14ac:dyDescent="0.25">
      <c r="A190" s="3" t="s">
        <v>21</v>
      </c>
      <c r="B190" s="3" t="s">
        <v>41</v>
      </c>
      <c r="C190" s="3" t="s">
        <v>42</v>
      </c>
      <c r="D190" s="3" t="s">
        <v>40</v>
      </c>
      <c r="E190" s="3" t="s">
        <v>25</v>
      </c>
      <c r="F190" s="3" t="s">
        <v>25</v>
      </c>
      <c r="G190" s="3" t="s">
        <v>25</v>
      </c>
      <c r="H190" s="3" t="s">
        <v>35</v>
      </c>
      <c r="I190" s="6">
        <v>44317</v>
      </c>
      <c r="J190" s="4">
        <v>3330</v>
      </c>
      <c r="K190" s="4">
        <v>3330</v>
      </c>
      <c r="L190" s="4">
        <v>50.755000000000003</v>
      </c>
      <c r="M190" s="4">
        <v>50.755000000000003</v>
      </c>
      <c r="N190" s="4">
        <v>50.755000000000003</v>
      </c>
      <c r="O190" s="4">
        <v>50.755000000000003</v>
      </c>
      <c r="P190" s="4">
        <v>0</v>
      </c>
      <c r="Q190" s="3" t="s">
        <v>26</v>
      </c>
      <c r="R190" s="3">
        <v>0</v>
      </c>
      <c r="S190" s="3" t="s">
        <v>132</v>
      </c>
      <c r="T190" s="3" t="s">
        <v>525</v>
      </c>
      <c r="U190" s="3">
        <v>92</v>
      </c>
      <c r="V190" s="3">
        <v>94</v>
      </c>
      <c r="W190" s="3">
        <v>47</v>
      </c>
    </row>
    <row r="191" spans="1:23" ht="11.25" customHeight="1" x14ac:dyDescent="0.25">
      <c r="A191" s="3" t="s">
        <v>28</v>
      </c>
      <c r="B191" s="3" t="s">
        <v>41</v>
      </c>
      <c r="C191" s="3" t="s">
        <v>42</v>
      </c>
      <c r="D191" s="3" t="s">
        <v>40</v>
      </c>
      <c r="E191" s="3" t="s">
        <v>25</v>
      </c>
      <c r="F191" s="3" t="s">
        <v>25</v>
      </c>
      <c r="G191" s="3" t="s">
        <v>25</v>
      </c>
      <c r="H191" s="3" t="s">
        <v>35</v>
      </c>
      <c r="I191" s="6">
        <v>44317</v>
      </c>
      <c r="J191" s="4">
        <v>100</v>
      </c>
      <c r="K191" s="4">
        <v>100</v>
      </c>
      <c r="L191" s="4">
        <v>1.871</v>
      </c>
      <c r="M191" s="4">
        <v>1.871</v>
      </c>
      <c r="N191" s="4">
        <v>1.871</v>
      </c>
      <c r="O191" s="4">
        <v>1.871</v>
      </c>
      <c r="P191" s="4">
        <v>0</v>
      </c>
      <c r="Q191" s="3" t="s">
        <v>26</v>
      </c>
      <c r="R191" s="3">
        <v>0</v>
      </c>
      <c r="S191" s="3" t="s">
        <v>132</v>
      </c>
      <c r="T191" s="3" t="s">
        <v>525</v>
      </c>
      <c r="U191" s="3">
        <v>92</v>
      </c>
      <c r="V191" s="3">
        <v>94</v>
      </c>
      <c r="W191" s="3">
        <v>47</v>
      </c>
    </row>
    <row r="192" spans="1:23" ht="11.25" customHeight="1" x14ac:dyDescent="0.25">
      <c r="A192" s="3" t="s">
        <v>21</v>
      </c>
      <c r="B192" s="3" t="s">
        <v>41</v>
      </c>
      <c r="C192" s="3" t="s">
        <v>42</v>
      </c>
      <c r="D192" s="3" t="s">
        <v>40</v>
      </c>
      <c r="E192" s="3" t="s">
        <v>25</v>
      </c>
      <c r="F192" s="3" t="s">
        <v>25</v>
      </c>
      <c r="G192" s="3" t="s">
        <v>25</v>
      </c>
      <c r="H192" s="3" t="s">
        <v>35</v>
      </c>
      <c r="I192" s="6">
        <v>44317</v>
      </c>
      <c r="J192" s="4">
        <v>44822</v>
      </c>
      <c r="K192" s="4">
        <v>44822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3" t="s">
        <v>57</v>
      </c>
      <c r="R192" s="3">
        <v>0</v>
      </c>
      <c r="S192" s="3" t="s">
        <v>132</v>
      </c>
      <c r="U192" s="3">
        <v>92</v>
      </c>
      <c r="V192" s="3">
        <v>0</v>
      </c>
      <c r="W192" s="3">
        <v>0</v>
      </c>
    </row>
    <row r="193" spans="1:23" ht="11.25" customHeight="1" x14ac:dyDescent="0.25">
      <c r="A193" s="3" t="s">
        <v>21</v>
      </c>
      <c r="B193" s="3" t="s">
        <v>41</v>
      </c>
      <c r="C193" s="3" t="s">
        <v>42</v>
      </c>
      <c r="D193" s="3" t="s">
        <v>40</v>
      </c>
      <c r="E193" s="3" t="s">
        <v>25</v>
      </c>
      <c r="F193" s="3" t="s">
        <v>25</v>
      </c>
      <c r="G193" s="3" t="s">
        <v>25</v>
      </c>
      <c r="H193" s="3" t="s">
        <v>35</v>
      </c>
      <c r="I193" s="6">
        <v>44348</v>
      </c>
      <c r="J193" s="4">
        <v>2920</v>
      </c>
      <c r="K193" s="4">
        <v>2920</v>
      </c>
      <c r="L193" s="4">
        <v>53.985999999999997</v>
      </c>
      <c r="M193" s="4">
        <v>53.985999999999997</v>
      </c>
      <c r="N193" s="4">
        <v>53.985999999999997</v>
      </c>
      <c r="O193" s="4">
        <v>53.985999999999997</v>
      </c>
      <c r="P193" s="4">
        <v>0</v>
      </c>
      <c r="Q193" s="3" t="s">
        <v>26</v>
      </c>
      <c r="R193" s="3">
        <v>0</v>
      </c>
      <c r="S193" s="3" t="s">
        <v>133</v>
      </c>
      <c r="T193" s="3" t="s">
        <v>526</v>
      </c>
      <c r="U193" s="3">
        <v>92</v>
      </c>
      <c r="V193" s="3">
        <v>94</v>
      </c>
      <c r="W193" s="3">
        <v>47</v>
      </c>
    </row>
    <row r="194" spans="1:23" ht="11.25" customHeight="1" x14ac:dyDescent="0.25">
      <c r="A194" s="3" t="s">
        <v>28</v>
      </c>
      <c r="B194" s="3" t="s">
        <v>41</v>
      </c>
      <c r="C194" s="3" t="s">
        <v>42</v>
      </c>
      <c r="D194" s="3" t="s">
        <v>40</v>
      </c>
      <c r="E194" s="3" t="s">
        <v>25</v>
      </c>
      <c r="F194" s="3" t="s">
        <v>25</v>
      </c>
      <c r="G194" s="3" t="s">
        <v>25</v>
      </c>
      <c r="H194" s="3" t="s">
        <v>35</v>
      </c>
      <c r="I194" s="6">
        <v>44348</v>
      </c>
      <c r="J194" s="4">
        <v>100</v>
      </c>
      <c r="K194" s="4">
        <v>100</v>
      </c>
      <c r="L194" s="4">
        <v>2.1219999999999999</v>
      </c>
      <c r="M194" s="4">
        <v>2.1219999999999999</v>
      </c>
      <c r="N194" s="4">
        <v>2.1219999999999999</v>
      </c>
      <c r="O194" s="4">
        <v>2.1219999999999999</v>
      </c>
      <c r="P194" s="4">
        <v>0</v>
      </c>
      <c r="Q194" s="3" t="s">
        <v>26</v>
      </c>
      <c r="R194" s="3">
        <v>0</v>
      </c>
      <c r="S194" s="3" t="s">
        <v>133</v>
      </c>
      <c r="T194" s="3" t="s">
        <v>526</v>
      </c>
      <c r="U194" s="3">
        <v>92</v>
      </c>
      <c r="V194" s="3">
        <v>94</v>
      </c>
      <c r="W194" s="3">
        <v>47</v>
      </c>
    </row>
    <row r="195" spans="1:23" ht="11.25" customHeight="1" x14ac:dyDescent="0.25">
      <c r="A195" s="3" t="s">
        <v>21</v>
      </c>
      <c r="B195" s="3" t="s">
        <v>41</v>
      </c>
      <c r="C195" s="3" t="s">
        <v>42</v>
      </c>
      <c r="D195" s="3" t="s">
        <v>40</v>
      </c>
      <c r="E195" s="3" t="s">
        <v>25</v>
      </c>
      <c r="F195" s="3" t="s">
        <v>25</v>
      </c>
      <c r="G195" s="3" t="s">
        <v>25</v>
      </c>
      <c r="H195" s="3" t="s">
        <v>35</v>
      </c>
      <c r="I195" s="6">
        <v>44348</v>
      </c>
      <c r="J195" s="4">
        <v>44379</v>
      </c>
      <c r="K195" s="4">
        <v>44379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3" t="s">
        <v>57</v>
      </c>
      <c r="R195" s="3">
        <v>0</v>
      </c>
      <c r="S195" s="3" t="s">
        <v>133</v>
      </c>
      <c r="U195" s="3">
        <v>92</v>
      </c>
      <c r="V195" s="3">
        <v>0</v>
      </c>
      <c r="W195" s="3">
        <v>0</v>
      </c>
    </row>
    <row r="196" spans="1:23" ht="11.25" customHeight="1" x14ac:dyDescent="0.25">
      <c r="A196" s="3" t="s">
        <v>21</v>
      </c>
      <c r="B196" s="3" t="s">
        <v>41</v>
      </c>
      <c r="C196" s="3" t="s">
        <v>42</v>
      </c>
      <c r="D196" s="3" t="s">
        <v>40</v>
      </c>
      <c r="E196" s="3" t="s">
        <v>25</v>
      </c>
      <c r="F196" s="3" t="s">
        <v>25</v>
      </c>
      <c r="G196" s="3" t="s">
        <v>25</v>
      </c>
      <c r="H196" s="3" t="s">
        <v>35</v>
      </c>
      <c r="I196" s="6">
        <v>44378</v>
      </c>
      <c r="J196" s="4">
        <v>2906</v>
      </c>
      <c r="K196" s="4">
        <v>2906</v>
      </c>
      <c r="L196" s="4">
        <v>60.731999999999999</v>
      </c>
      <c r="M196" s="4">
        <v>60.731999999999999</v>
      </c>
      <c r="N196" s="4">
        <v>60.731999999999999</v>
      </c>
      <c r="O196" s="4">
        <v>60.731999999999999</v>
      </c>
      <c r="P196" s="4">
        <v>0</v>
      </c>
      <c r="Q196" s="3" t="s">
        <v>26</v>
      </c>
      <c r="R196" s="3">
        <v>0</v>
      </c>
      <c r="S196" s="3" t="s">
        <v>134</v>
      </c>
      <c r="T196" s="3" t="s">
        <v>527</v>
      </c>
      <c r="U196" s="3">
        <v>92</v>
      </c>
      <c r="V196" s="3">
        <v>94</v>
      </c>
      <c r="W196" s="3">
        <v>47</v>
      </c>
    </row>
    <row r="197" spans="1:23" ht="11.25" customHeight="1" x14ac:dyDescent="0.25">
      <c r="A197" s="3" t="s">
        <v>28</v>
      </c>
      <c r="B197" s="3" t="s">
        <v>41</v>
      </c>
      <c r="C197" s="3" t="s">
        <v>42</v>
      </c>
      <c r="D197" s="3" t="s">
        <v>40</v>
      </c>
      <c r="E197" s="3" t="s">
        <v>25</v>
      </c>
      <c r="F197" s="3" t="s">
        <v>25</v>
      </c>
      <c r="G197" s="3" t="s">
        <v>25</v>
      </c>
      <c r="H197" s="3" t="s">
        <v>35</v>
      </c>
      <c r="I197" s="6">
        <v>44378</v>
      </c>
      <c r="J197" s="4">
        <v>100</v>
      </c>
      <c r="K197" s="4">
        <v>100</v>
      </c>
      <c r="L197" s="4">
        <v>0.32800000000000001</v>
      </c>
      <c r="M197" s="4">
        <v>0.32800000000000001</v>
      </c>
      <c r="N197" s="4">
        <v>0.32800000000000001</v>
      </c>
      <c r="O197" s="4">
        <v>0.32800000000000001</v>
      </c>
      <c r="P197" s="4">
        <v>0</v>
      </c>
      <c r="Q197" s="3" t="s">
        <v>26</v>
      </c>
      <c r="R197" s="3">
        <v>0</v>
      </c>
      <c r="S197" s="3" t="s">
        <v>134</v>
      </c>
      <c r="T197" s="3" t="s">
        <v>527</v>
      </c>
      <c r="U197" s="3">
        <v>92</v>
      </c>
      <c r="V197" s="3">
        <v>94</v>
      </c>
      <c r="W197" s="3">
        <v>47</v>
      </c>
    </row>
    <row r="198" spans="1:23" ht="11.25" customHeight="1" x14ac:dyDescent="0.25">
      <c r="A198" s="3" t="s">
        <v>21</v>
      </c>
      <c r="B198" s="3" t="s">
        <v>41</v>
      </c>
      <c r="C198" s="3" t="s">
        <v>42</v>
      </c>
      <c r="D198" s="3" t="s">
        <v>40</v>
      </c>
      <c r="E198" s="3" t="s">
        <v>25</v>
      </c>
      <c r="F198" s="3" t="s">
        <v>25</v>
      </c>
      <c r="G198" s="3" t="s">
        <v>25</v>
      </c>
      <c r="H198" s="3" t="s">
        <v>35</v>
      </c>
      <c r="I198" s="6">
        <v>44378</v>
      </c>
      <c r="J198" s="4">
        <v>44682</v>
      </c>
      <c r="K198" s="4">
        <v>44682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3" t="s">
        <v>57</v>
      </c>
      <c r="R198" s="3">
        <v>0</v>
      </c>
      <c r="S198" s="3" t="s">
        <v>134</v>
      </c>
      <c r="U198" s="3">
        <v>92</v>
      </c>
      <c r="V198" s="3">
        <v>0</v>
      </c>
      <c r="W198" s="3">
        <v>0</v>
      </c>
    </row>
    <row r="199" spans="1:23" ht="11.25" customHeight="1" x14ac:dyDescent="0.25">
      <c r="A199" s="3" t="s">
        <v>21</v>
      </c>
      <c r="B199" s="3" t="s">
        <v>41</v>
      </c>
      <c r="C199" s="3" t="s">
        <v>42</v>
      </c>
      <c r="D199" s="3" t="s">
        <v>40</v>
      </c>
      <c r="E199" s="3" t="s">
        <v>25</v>
      </c>
      <c r="F199" s="3" t="s">
        <v>25</v>
      </c>
      <c r="G199" s="3" t="s">
        <v>25</v>
      </c>
      <c r="H199" s="3" t="s">
        <v>35</v>
      </c>
      <c r="I199" s="6">
        <v>44409</v>
      </c>
      <c r="J199" s="4">
        <v>3836</v>
      </c>
      <c r="K199" s="4">
        <v>3836</v>
      </c>
      <c r="L199" s="4">
        <v>96.441999999999993</v>
      </c>
      <c r="M199" s="4">
        <v>96.441999999999993</v>
      </c>
      <c r="N199" s="4">
        <v>96.441999999999993</v>
      </c>
      <c r="O199" s="4">
        <v>96.441999999999993</v>
      </c>
      <c r="P199" s="4">
        <v>0</v>
      </c>
      <c r="Q199" s="3" t="s">
        <v>26</v>
      </c>
      <c r="R199" s="3">
        <v>0</v>
      </c>
      <c r="S199" s="3" t="s">
        <v>135</v>
      </c>
      <c r="T199" s="3" t="s">
        <v>528</v>
      </c>
      <c r="U199" s="3">
        <v>92</v>
      </c>
      <c r="V199" s="3">
        <v>94</v>
      </c>
      <c r="W199" s="3">
        <v>47</v>
      </c>
    </row>
    <row r="200" spans="1:23" ht="11.25" customHeight="1" x14ac:dyDescent="0.25">
      <c r="A200" s="3" t="s">
        <v>28</v>
      </c>
      <c r="B200" s="3" t="s">
        <v>41</v>
      </c>
      <c r="C200" s="3" t="s">
        <v>42</v>
      </c>
      <c r="D200" s="3" t="s">
        <v>40</v>
      </c>
      <c r="E200" s="3" t="s">
        <v>25</v>
      </c>
      <c r="F200" s="3" t="s">
        <v>25</v>
      </c>
      <c r="G200" s="3" t="s">
        <v>25</v>
      </c>
      <c r="H200" s="3" t="s">
        <v>35</v>
      </c>
      <c r="I200" s="6">
        <v>44409</v>
      </c>
      <c r="J200" s="4">
        <v>100</v>
      </c>
      <c r="K200" s="4">
        <v>100</v>
      </c>
      <c r="L200" s="4">
        <v>0.61599999999999999</v>
      </c>
      <c r="M200" s="4">
        <v>0.61599999999999999</v>
      </c>
      <c r="N200" s="4">
        <v>0.61599999999999999</v>
      </c>
      <c r="O200" s="4">
        <v>0.61599999999999999</v>
      </c>
      <c r="P200" s="4">
        <v>0</v>
      </c>
      <c r="Q200" s="3" t="s">
        <v>26</v>
      </c>
      <c r="R200" s="3">
        <v>0</v>
      </c>
      <c r="S200" s="3" t="s">
        <v>135</v>
      </c>
      <c r="T200" s="3" t="s">
        <v>528</v>
      </c>
      <c r="U200" s="3">
        <v>92</v>
      </c>
      <c r="V200" s="3">
        <v>94</v>
      </c>
      <c r="W200" s="3">
        <v>47</v>
      </c>
    </row>
    <row r="201" spans="1:23" ht="11.25" customHeight="1" x14ac:dyDescent="0.25">
      <c r="A201" s="3" t="s">
        <v>21</v>
      </c>
      <c r="B201" s="3" t="s">
        <v>41</v>
      </c>
      <c r="C201" s="3" t="s">
        <v>42</v>
      </c>
      <c r="D201" s="3" t="s">
        <v>40</v>
      </c>
      <c r="E201" s="3" t="s">
        <v>25</v>
      </c>
      <c r="F201" s="3" t="s">
        <v>25</v>
      </c>
      <c r="G201" s="3" t="s">
        <v>25</v>
      </c>
      <c r="H201" s="3" t="s">
        <v>35</v>
      </c>
      <c r="I201" s="6">
        <v>44409</v>
      </c>
      <c r="J201" s="4">
        <v>44523</v>
      </c>
      <c r="K201" s="4">
        <v>44523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3" t="s">
        <v>57</v>
      </c>
      <c r="R201" s="3">
        <v>0</v>
      </c>
      <c r="S201" s="3" t="s">
        <v>135</v>
      </c>
      <c r="U201" s="3">
        <v>92</v>
      </c>
      <c r="V201" s="3">
        <v>0</v>
      </c>
      <c r="W201" s="3">
        <v>0</v>
      </c>
    </row>
    <row r="202" spans="1:23" ht="11.25" customHeight="1" x14ac:dyDescent="0.25">
      <c r="A202" s="3" t="s">
        <v>21</v>
      </c>
      <c r="B202" s="3" t="s">
        <v>41</v>
      </c>
      <c r="C202" s="3" t="s">
        <v>42</v>
      </c>
      <c r="D202" s="3" t="s">
        <v>40</v>
      </c>
      <c r="E202" s="3" t="s">
        <v>25</v>
      </c>
      <c r="F202" s="3" t="s">
        <v>25</v>
      </c>
      <c r="G202" s="3" t="s">
        <v>25</v>
      </c>
      <c r="H202" s="3" t="s">
        <v>35</v>
      </c>
      <c r="I202" s="6">
        <v>44440</v>
      </c>
      <c r="J202" s="4">
        <v>5916</v>
      </c>
      <c r="K202" s="4">
        <v>5916</v>
      </c>
      <c r="L202" s="4">
        <v>47.600999999999999</v>
      </c>
      <c r="M202" s="4">
        <v>47.600999999999999</v>
      </c>
      <c r="N202" s="4">
        <v>47.600999999999999</v>
      </c>
      <c r="O202" s="4">
        <v>47.600999999999999</v>
      </c>
      <c r="P202" s="4">
        <v>0</v>
      </c>
      <c r="Q202" s="3" t="s">
        <v>26</v>
      </c>
      <c r="R202" s="3">
        <v>0</v>
      </c>
      <c r="S202" s="3" t="s">
        <v>136</v>
      </c>
      <c r="T202" s="3" t="s">
        <v>529</v>
      </c>
      <c r="U202" s="3">
        <v>92</v>
      </c>
      <c r="V202" s="3">
        <v>94</v>
      </c>
      <c r="W202" s="3">
        <v>47</v>
      </c>
    </row>
    <row r="203" spans="1:23" ht="11.25" customHeight="1" x14ac:dyDescent="0.25">
      <c r="A203" s="3" t="s">
        <v>28</v>
      </c>
      <c r="B203" s="3" t="s">
        <v>41</v>
      </c>
      <c r="C203" s="3" t="s">
        <v>42</v>
      </c>
      <c r="D203" s="3" t="s">
        <v>40</v>
      </c>
      <c r="E203" s="3" t="s">
        <v>25</v>
      </c>
      <c r="F203" s="3" t="s">
        <v>25</v>
      </c>
      <c r="G203" s="3" t="s">
        <v>25</v>
      </c>
      <c r="H203" s="3" t="s">
        <v>35</v>
      </c>
      <c r="I203" s="6">
        <v>44440</v>
      </c>
      <c r="J203" s="4">
        <v>100</v>
      </c>
      <c r="K203" s="4">
        <v>100</v>
      </c>
      <c r="L203" s="4">
        <v>0.10199999999999999</v>
      </c>
      <c r="M203" s="4">
        <v>0.10199999999999999</v>
      </c>
      <c r="N203" s="4">
        <v>0.10199999999999999</v>
      </c>
      <c r="O203" s="4">
        <v>0.10199999999999999</v>
      </c>
      <c r="P203" s="4">
        <v>0</v>
      </c>
      <c r="Q203" s="3" t="s">
        <v>26</v>
      </c>
      <c r="R203" s="3">
        <v>0</v>
      </c>
      <c r="S203" s="3" t="s">
        <v>136</v>
      </c>
      <c r="T203" s="3" t="s">
        <v>529</v>
      </c>
      <c r="U203" s="3">
        <v>92</v>
      </c>
      <c r="V203" s="3">
        <v>94</v>
      </c>
      <c r="W203" s="3">
        <v>47</v>
      </c>
    </row>
    <row r="204" spans="1:23" ht="11.25" customHeight="1" x14ac:dyDescent="0.25">
      <c r="A204" s="3" t="s">
        <v>21</v>
      </c>
      <c r="B204" s="3" t="s">
        <v>41</v>
      </c>
      <c r="C204" s="3" t="s">
        <v>42</v>
      </c>
      <c r="D204" s="3" t="s">
        <v>40</v>
      </c>
      <c r="E204" s="3" t="s">
        <v>25</v>
      </c>
      <c r="F204" s="3" t="s">
        <v>25</v>
      </c>
      <c r="G204" s="3" t="s">
        <v>25</v>
      </c>
      <c r="H204" s="3" t="s">
        <v>35</v>
      </c>
      <c r="I204" s="6">
        <v>44440</v>
      </c>
      <c r="J204" s="4">
        <v>45034</v>
      </c>
      <c r="K204" s="4">
        <v>45034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3" t="s">
        <v>57</v>
      </c>
      <c r="R204" s="3">
        <v>0</v>
      </c>
      <c r="S204" s="3" t="s">
        <v>136</v>
      </c>
      <c r="U204" s="3">
        <v>92</v>
      </c>
      <c r="V204" s="3">
        <v>0</v>
      </c>
      <c r="W204" s="3">
        <v>0</v>
      </c>
    </row>
    <row r="205" spans="1:23" ht="11.25" customHeight="1" x14ac:dyDescent="0.25">
      <c r="A205" s="3" t="s">
        <v>21</v>
      </c>
      <c r="B205" s="3" t="s">
        <v>41</v>
      </c>
      <c r="C205" s="3" t="s">
        <v>42</v>
      </c>
      <c r="D205" s="3" t="s">
        <v>40</v>
      </c>
      <c r="E205" s="3" t="s">
        <v>25</v>
      </c>
      <c r="F205" s="3" t="s">
        <v>25</v>
      </c>
      <c r="G205" s="3" t="s">
        <v>25</v>
      </c>
      <c r="H205" s="3" t="s">
        <v>35</v>
      </c>
      <c r="I205" s="6">
        <v>44470</v>
      </c>
      <c r="J205" s="4">
        <v>2867</v>
      </c>
      <c r="K205" s="4">
        <v>2867</v>
      </c>
      <c r="L205" s="4">
        <v>4.835</v>
      </c>
      <c r="M205" s="4">
        <v>4.835</v>
      </c>
      <c r="N205" s="4">
        <v>4.835</v>
      </c>
      <c r="O205" s="4">
        <v>4.835</v>
      </c>
      <c r="P205" s="4">
        <v>0</v>
      </c>
      <c r="Q205" s="3" t="s">
        <v>26</v>
      </c>
      <c r="R205" s="3">
        <v>0</v>
      </c>
      <c r="S205" s="3" t="s">
        <v>137</v>
      </c>
      <c r="T205" s="3" t="s">
        <v>530</v>
      </c>
      <c r="U205" s="3">
        <v>92</v>
      </c>
      <c r="V205" s="3">
        <v>94</v>
      </c>
      <c r="W205" s="3">
        <v>47</v>
      </c>
    </row>
    <row r="206" spans="1:23" ht="11.25" customHeight="1" x14ac:dyDescent="0.25">
      <c r="A206" s="3" t="s">
        <v>28</v>
      </c>
      <c r="B206" s="3" t="s">
        <v>41</v>
      </c>
      <c r="C206" s="3" t="s">
        <v>42</v>
      </c>
      <c r="D206" s="3" t="s">
        <v>40</v>
      </c>
      <c r="E206" s="3" t="s">
        <v>25</v>
      </c>
      <c r="F206" s="3" t="s">
        <v>25</v>
      </c>
      <c r="G206" s="3" t="s">
        <v>25</v>
      </c>
      <c r="H206" s="3" t="s">
        <v>35</v>
      </c>
      <c r="I206" s="6">
        <v>44470</v>
      </c>
      <c r="J206" s="4">
        <v>100</v>
      </c>
      <c r="K206" s="4">
        <v>100</v>
      </c>
      <c r="L206" s="4">
        <v>1.302</v>
      </c>
      <c r="M206" s="4">
        <v>1.302</v>
      </c>
      <c r="N206" s="4">
        <v>1.302</v>
      </c>
      <c r="O206" s="4">
        <v>1.302</v>
      </c>
      <c r="P206" s="4">
        <v>0</v>
      </c>
      <c r="Q206" s="3" t="s">
        <v>26</v>
      </c>
      <c r="R206" s="3">
        <v>0</v>
      </c>
      <c r="S206" s="3" t="s">
        <v>137</v>
      </c>
      <c r="T206" s="3" t="s">
        <v>530</v>
      </c>
      <c r="U206" s="3">
        <v>92</v>
      </c>
      <c r="V206" s="3">
        <v>94</v>
      </c>
      <c r="W206" s="3">
        <v>47</v>
      </c>
    </row>
    <row r="207" spans="1:23" ht="11.25" customHeight="1" x14ac:dyDescent="0.25">
      <c r="A207" s="3" t="s">
        <v>21</v>
      </c>
      <c r="B207" s="3" t="s">
        <v>41</v>
      </c>
      <c r="C207" s="3" t="s">
        <v>42</v>
      </c>
      <c r="D207" s="3" t="s">
        <v>40</v>
      </c>
      <c r="E207" s="3" t="s">
        <v>25</v>
      </c>
      <c r="F207" s="3" t="s">
        <v>25</v>
      </c>
      <c r="G207" s="3" t="s">
        <v>25</v>
      </c>
      <c r="H207" s="3" t="s">
        <v>35</v>
      </c>
      <c r="I207" s="6">
        <v>44470</v>
      </c>
      <c r="J207" s="4">
        <v>44686</v>
      </c>
      <c r="K207" s="4">
        <v>44686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3" t="s">
        <v>57</v>
      </c>
      <c r="R207" s="3">
        <v>0</v>
      </c>
      <c r="S207" s="3" t="s">
        <v>137</v>
      </c>
      <c r="U207" s="3">
        <v>92</v>
      </c>
      <c r="V207" s="3">
        <v>0</v>
      </c>
      <c r="W207" s="3">
        <v>0</v>
      </c>
    </row>
    <row r="208" spans="1:23" ht="11.25" customHeight="1" x14ac:dyDescent="0.25">
      <c r="A208" s="3" t="s">
        <v>21</v>
      </c>
      <c r="B208" s="3" t="s">
        <v>41</v>
      </c>
      <c r="C208" s="3" t="s">
        <v>42</v>
      </c>
      <c r="D208" s="3" t="s">
        <v>40</v>
      </c>
      <c r="E208" s="3" t="s">
        <v>25</v>
      </c>
      <c r="F208" s="3" t="s">
        <v>25</v>
      </c>
      <c r="G208" s="3" t="s">
        <v>25</v>
      </c>
      <c r="H208" s="3" t="s">
        <v>35</v>
      </c>
      <c r="I208" s="6">
        <v>44501</v>
      </c>
      <c r="J208" s="4">
        <v>5369</v>
      </c>
      <c r="K208" s="4">
        <v>5369</v>
      </c>
      <c r="L208" s="4">
        <v>24.448</v>
      </c>
      <c r="M208" s="4">
        <v>24.448</v>
      </c>
      <c r="N208" s="4">
        <v>24.448</v>
      </c>
      <c r="O208" s="4">
        <v>24.448</v>
      </c>
      <c r="P208" s="4">
        <v>0</v>
      </c>
      <c r="Q208" s="3" t="s">
        <v>26</v>
      </c>
      <c r="R208" s="3">
        <v>0</v>
      </c>
      <c r="S208" s="3" t="s">
        <v>138</v>
      </c>
      <c r="T208" s="3" t="s">
        <v>531</v>
      </c>
      <c r="U208" s="3">
        <v>92</v>
      </c>
      <c r="V208" s="3">
        <v>94</v>
      </c>
      <c r="W208" s="3">
        <v>47</v>
      </c>
    </row>
    <row r="209" spans="1:23" ht="11.25" customHeight="1" x14ac:dyDescent="0.25">
      <c r="A209" s="3" t="s">
        <v>27</v>
      </c>
      <c r="B209" s="3" t="s">
        <v>41</v>
      </c>
      <c r="C209" s="3" t="s">
        <v>42</v>
      </c>
      <c r="D209" s="3" t="s">
        <v>40</v>
      </c>
      <c r="E209" s="3" t="s">
        <v>25</v>
      </c>
      <c r="F209" s="3" t="s">
        <v>25</v>
      </c>
      <c r="G209" s="3" t="s">
        <v>25</v>
      </c>
      <c r="H209" s="3" t="s">
        <v>35</v>
      </c>
      <c r="I209" s="6">
        <v>44501</v>
      </c>
      <c r="J209" s="4">
        <v>0</v>
      </c>
      <c r="K209" s="4">
        <v>0</v>
      </c>
      <c r="L209" s="4">
        <v>-0.48799999999999999</v>
      </c>
      <c r="M209" s="4">
        <v>-0.48799999999999999</v>
      </c>
      <c r="N209" s="4">
        <v>-0.48799999999999999</v>
      </c>
      <c r="O209" s="4">
        <v>-0.48799999999999999</v>
      </c>
      <c r="P209" s="4">
        <v>0</v>
      </c>
      <c r="Q209" s="3" t="s">
        <v>26</v>
      </c>
      <c r="R209" s="3">
        <v>0</v>
      </c>
      <c r="S209" s="3" t="s">
        <v>138</v>
      </c>
      <c r="T209" s="3" t="s">
        <v>531</v>
      </c>
      <c r="U209" s="3">
        <v>0</v>
      </c>
      <c r="V209" s="3">
        <v>94</v>
      </c>
      <c r="W209" s="3">
        <v>47</v>
      </c>
    </row>
    <row r="210" spans="1:23" ht="11.25" customHeight="1" x14ac:dyDescent="0.25">
      <c r="A210" s="3" t="s">
        <v>28</v>
      </c>
      <c r="B210" s="3" t="s">
        <v>41</v>
      </c>
      <c r="C210" s="3" t="s">
        <v>42</v>
      </c>
      <c r="D210" s="3" t="s">
        <v>40</v>
      </c>
      <c r="E210" s="3" t="s">
        <v>25</v>
      </c>
      <c r="F210" s="3" t="s">
        <v>25</v>
      </c>
      <c r="G210" s="3" t="s">
        <v>25</v>
      </c>
      <c r="H210" s="3" t="s">
        <v>35</v>
      </c>
      <c r="I210" s="6">
        <v>44501</v>
      </c>
      <c r="J210" s="4">
        <v>100</v>
      </c>
      <c r="K210" s="4">
        <v>100</v>
      </c>
      <c r="L210" s="4">
        <v>2.1</v>
      </c>
      <c r="M210" s="4">
        <v>2.1</v>
      </c>
      <c r="N210" s="4">
        <v>2.1</v>
      </c>
      <c r="O210" s="4">
        <v>2.1</v>
      </c>
      <c r="P210" s="4">
        <v>0</v>
      </c>
      <c r="Q210" s="3" t="s">
        <v>26</v>
      </c>
      <c r="R210" s="3">
        <v>0</v>
      </c>
      <c r="S210" s="3" t="s">
        <v>138</v>
      </c>
      <c r="T210" s="3" t="s">
        <v>531</v>
      </c>
      <c r="U210" s="3">
        <v>92</v>
      </c>
      <c r="V210" s="3">
        <v>94</v>
      </c>
      <c r="W210" s="3">
        <v>47</v>
      </c>
    </row>
    <row r="211" spans="1:23" ht="11.25" customHeight="1" x14ac:dyDescent="0.25">
      <c r="A211" s="3" t="s">
        <v>21</v>
      </c>
      <c r="B211" s="3" t="s">
        <v>41</v>
      </c>
      <c r="C211" s="3" t="s">
        <v>42</v>
      </c>
      <c r="D211" s="3" t="s">
        <v>40</v>
      </c>
      <c r="E211" s="3" t="s">
        <v>25</v>
      </c>
      <c r="F211" s="3" t="s">
        <v>25</v>
      </c>
      <c r="G211" s="3" t="s">
        <v>25</v>
      </c>
      <c r="H211" s="3" t="s">
        <v>35</v>
      </c>
      <c r="I211" s="6">
        <v>44501</v>
      </c>
      <c r="J211" s="4">
        <v>44748</v>
      </c>
      <c r="K211" s="4">
        <v>44748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3" t="s">
        <v>57</v>
      </c>
      <c r="R211" s="3">
        <v>0</v>
      </c>
      <c r="S211" s="3" t="s">
        <v>138</v>
      </c>
      <c r="U211" s="3">
        <v>92</v>
      </c>
      <c r="V211" s="3">
        <v>0</v>
      </c>
      <c r="W211" s="3">
        <v>0</v>
      </c>
    </row>
    <row r="212" spans="1:23" ht="11.25" customHeight="1" x14ac:dyDescent="0.25">
      <c r="A212" s="3" t="s">
        <v>21</v>
      </c>
      <c r="B212" s="3" t="s">
        <v>41</v>
      </c>
      <c r="C212" s="3" t="s">
        <v>42</v>
      </c>
      <c r="D212" s="3" t="s">
        <v>40</v>
      </c>
      <c r="E212" s="3" t="s">
        <v>25</v>
      </c>
      <c r="F212" s="3" t="s">
        <v>25</v>
      </c>
      <c r="G212" s="3" t="s">
        <v>25</v>
      </c>
      <c r="H212" s="3" t="s">
        <v>35</v>
      </c>
      <c r="I212" s="6">
        <v>44531</v>
      </c>
      <c r="J212" s="4">
        <v>5582</v>
      </c>
      <c r="K212" s="4">
        <v>5582</v>
      </c>
      <c r="L212" s="4">
        <v>31.149000000000001</v>
      </c>
      <c r="M212" s="4">
        <v>31.149000000000001</v>
      </c>
      <c r="N212" s="4">
        <v>31.149000000000001</v>
      </c>
      <c r="O212" s="4">
        <v>31.149000000000001</v>
      </c>
      <c r="P212" s="4">
        <v>0</v>
      </c>
      <c r="Q212" s="3" t="s">
        <v>26</v>
      </c>
      <c r="R212" s="3">
        <v>0</v>
      </c>
      <c r="S212" s="3" t="s">
        <v>139</v>
      </c>
      <c r="T212" s="3" t="s">
        <v>532</v>
      </c>
      <c r="U212" s="3">
        <v>92</v>
      </c>
      <c r="V212" s="3">
        <v>94</v>
      </c>
      <c r="W212" s="3">
        <v>47</v>
      </c>
    </row>
    <row r="213" spans="1:23" ht="11.25" customHeight="1" x14ac:dyDescent="0.25">
      <c r="A213" s="3" t="s">
        <v>28</v>
      </c>
      <c r="B213" s="3" t="s">
        <v>41</v>
      </c>
      <c r="C213" s="3" t="s">
        <v>42</v>
      </c>
      <c r="D213" s="3" t="s">
        <v>40</v>
      </c>
      <c r="E213" s="3" t="s">
        <v>25</v>
      </c>
      <c r="F213" s="3" t="s">
        <v>25</v>
      </c>
      <c r="G213" s="3" t="s">
        <v>25</v>
      </c>
      <c r="H213" s="3" t="s">
        <v>35</v>
      </c>
      <c r="I213" s="6">
        <v>44531</v>
      </c>
      <c r="J213" s="4">
        <v>100</v>
      </c>
      <c r="K213" s="4">
        <v>100</v>
      </c>
      <c r="L213" s="4">
        <v>6.2E-2</v>
      </c>
      <c r="M213" s="4">
        <v>6.2E-2</v>
      </c>
      <c r="N213" s="4">
        <v>6.2E-2</v>
      </c>
      <c r="O213" s="4">
        <v>6.2E-2</v>
      </c>
      <c r="P213" s="4">
        <v>0</v>
      </c>
      <c r="Q213" s="3" t="s">
        <v>26</v>
      </c>
      <c r="R213" s="3">
        <v>0</v>
      </c>
      <c r="S213" s="3" t="s">
        <v>139</v>
      </c>
      <c r="T213" s="3" t="s">
        <v>532</v>
      </c>
      <c r="U213" s="3">
        <v>92</v>
      </c>
      <c r="V213" s="3">
        <v>94</v>
      </c>
      <c r="W213" s="3">
        <v>47</v>
      </c>
    </row>
    <row r="214" spans="1:23" ht="11.25" customHeight="1" x14ac:dyDescent="0.25">
      <c r="A214" s="3" t="s">
        <v>21</v>
      </c>
      <c r="B214" s="3" t="s">
        <v>41</v>
      </c>
      <c r="C214" s="3" t="s">
        <v>42</v>
      </c>
      <c r="D214" s="3" t="s">
        <v>40</v>
      </c>
      <c r="E214" s="3" t="s">
        <v>25</v>
      </c>
      <c r="F214" s="3" t="s">
        <v>25</v>
      </c>
      <c r="G214" s="3" t="s">
        <v>25</v>
      </c>
      <c r="H214" s="3" t="s">
        <v>35</v>
      </c>
      <c r="I214" s="6">
        <v>44531</v>
      </c>
      <c r="J214" s="4">
        <v>44804</v>
      </c>
      <c r="K214" s="4">
        <v>44804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3" t="s">
        <v>57</v>
      </c>
      <c r="R214" s="3">
        <v>0</v>
      </c>
      <c r="S214" s="3" t="s">
        <v>139</v>
      </c>
      <c r="U214" s="3">
        <v>92</v>
      </c>
      <c r="V214" s="3">
        <v>0</v>
      </c>
      <c r="W214" s="3">
        <v>0</v>
      </c>
    </row>
    <row r="215" spans="1:23" ht="11.25" customHeight="1" x14ac:dyDescent="0.25">
      <c r="A215" s="3" t="s">
        <v>21</v>
      </c>
      <c r="B215" s="3" t="s">
        <v>41</v>
      </c>
      <c r="C215" s="3" t="s">
        <v>42</v>
      </c>
      <c r="D215" s="3" t="s">
        <v>40</v>
      </c>
      <c r="E215" s="3" t="s">
        <v>25</v>
      </c>
      <c r="F215" s="3" t="s">
        <v>25</v>
      </c>
      <c r="G215" s="3" t="s">
        <v>25</v>
      </c>
      <c r="H215" s="3" t="s">
        <v>35</v>
      </c>
      <c r="I215" s="6">
        <v>44562</v>
      </c>
      <c r="J215" s="4">
        <v>14292</v>
      </c>
      <c r="K215" s="4">
        <v>14292</v>
      </c>
      <c r="L215" s="4">
        <v>18.780999999999999</v>
      </c>
      <c r="M215" s="4">
        <v>18.780999999999999</v>
      </c>
      <c r="N215" s="4">
        <v>18.780999999999999</v>
      </c>
      <c r="O215" s="4">
        <v>18.780999999999999</v>
      </c>
      <c r="P215" s="4">
        <v>0</v>
      </c>
      <c r="Q215" s="3" t="s">
        <v>26</v>
      </c>
      <c r="R215" s="3">
        <v>0</v>
      </c>
      <c r="S215" s="3" t="s">
        <v>140</v>
      </c>
      <c r="T215" s="3" t="s">
        <v>533</v>
      </c>
      <c r="U215" s="3">
        <v>92</v>
      </c>
      <c r="V215" s="3">
        <v>94</v>
      </c>
      <c r="W215" s="3">
        <v>47</v>
      </c>
    </row>
    <row r="216" spans="1:23" ht="11.25" customHeight="1" x14ac:dyDescent="0.25">
      <c r="A216" s="3" t="s">
        <v>28</v>
      </c>
      <c r="B216" s="3" t="s">
        <v>41</v>
      </c>
      <c r="C216" s="3" t="s">
        <v>42</v>
      </c>
      <c r="D216" s="3" t="s">
        <v>40</v>
      </c>
      <c r="E216" s="3" t="s">
        <v>25</v>
      </c>
      <c r="F216" s="3" t="s">
        <v>25</v>
      </c>
      <c r="G216" s="3" t="s">
        <v>25</v>
      </c>
      <c r="H216" s="3" t="s">
        <v>35</v>
      </c>
      <c r="I216" s="6">
        <v>44562</v>
      </c>
      <c r="J216" s="4">
        <v>100</v>
      </c>
      <c r="K216" s="4">
        <v>100</v>
      </c>
      <c r="L216" s="4">
        <v>1.464</v>
      </c>
      <c r="M216" s="4">
        <v>1.464</v>
      </c>
      <c r="N216" s="4">
        <v>1.464</v>
      </c>
      <c r="O216" s="4">
        <v>1.464</v>
      </c>
      <c r="P216" s="4">
        <v>0</v>
      </c>
      <c r="Q216" s="3" t="s">
        <v>26</v>
      </c>
      <c r="R216" s="3">
        <v>0</v>
      </c>
      <c r="S216" s="3" t="s">
        <v>140</v>
      </c>
      <c r="T216" s="3" t="s">
        <v>533</v>
      </c>
      <c r="U216" s="3">
        <v>92</v>
      </c>
      <c r="V216" s="3">
        <v>94</v>
      </c>
      <c r="W216" s="3">
        <v>47</v>
      </c>
    </row>
    <row r="217" spans="1:23" ht="11.25" customHeight="1" x14ac:dyDescent="0.25">
      <c r="A217" s="3" t="s">
        <v>21</v>
      </c>
      <c r="B217" s="3" t="s">
        <v>41</v>
      </c>
      <c r="C217" s="3" t="s">
        <v>42</v>
      </c>
      <c r="D217" s="3" t="s">
        <v>40</v>
      </c>
      <c r="E217" s="3" t="s">
        <v>25</v>
      </c>
      <c r="F217" s="3" t="s">
        <v>25</v>
      </c>
      <c r="G217" s="3" t="s">
        <v>25</v>
      </c>
      <c r="H217" s="3" t="s">
        <v>35</v>
      </c>
      <c r="I217" s="6">
        <v>44562</v>
      </c>
      <c r="J217" s="4">
        <v>44770</v>
      </c>
      <c r="K217" s="4">
        <v>44770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3" t="s">
        <v>57</v>
      </c>
      <c r="R217" s="3">
        <v>0</v>
      </c>
      <c r="S217" s="3" t="s">
        <v>140</v>
      </c>
      <c r="U217" s="3">
        <v>92</v>
      </c>
      <c r="V217" s="3">
        <v>0</v>
      </c>
      <c r="W217" s="3">
        <v>0</v>
      </c>
    </row>
    <row r="218" spans="1:23" ht="11.25" customHeight="1" x14ac:dyDescent="0.25">
      <c r="A218" s="3" t="s">
        <v>21</v>
      </c>
      <c r="B218" s="3" t="s">
        <v>41</v>
      </c>
      <c r="C218" s="3" t="s">
        <v>42</v>
      </c>
      <c r="D218" s="3" t="s">
        <v>40</v>
      </c>
      <c r="E218" s="3" t="s">
        <v>25</v>
      </c>
      <c r="F218" s="3" t="s">
        <v>25</v>
      </c>
      <c r="G218" s="3" t="s">
        <v>25</v>
      </c>
      <c r="H218" s="3" t="s">
        <v>35</v>
      </c>
      <c r="I218" s="6">
        <v>44593</v>
      </c>
      <c r="J218" s="4">
        <v>16969</v>
      </c>
      <c r="K218" s="4">
        <v>16969</v>
      </c>
      <c r="L218" s="4">
        <v>8.3040000000000003</v>
      </c>
      <c r="M218" s="4">
        <v>8.3040000000000003</v>
      </c>
      <c r="N218" s="4">
        <v>8.3040000000000003</v>
      </c>
      <c r="O218" s="4">
        <v>8.3040000000000003</v>
      </c>
      <c r="P218" s="4">
        <v>0</v>
      </c>
      <c r="Q218" s="3" t="s">
        <v>26</v>
      </c>
      <c r="R218" s="3">
        <v>0</v>
      </c>
      <c r="S218" s="3" t="s">
        <v>141</v>
      </c>
      <c r="T218" s="3" t="s">
        <v>534</v>
      </c>
      <c r="U218" s="3">
        <v>92</v>
      </c>
      <c r="V218" s="3">
        <v>94</v>
      </c>
      <c r="W218" s="3">
        <v>47</v>
      </c>
    </row>
    <row r="219" spans="1:23" ht="11.25" customHeight="1" x14ac:dyDescent="0.25">
      <c r="A219" s="3" t="s">
        <v>27</v>
      </c>
      <c r="B219" s="3" t="s">
        <v>41</v>
      </c>
      <c r="C219" s="3" t="s">
        <v>42</v>
      </c>
      <c r="D219" s="3" t="s">
        <v>40</v>
      </c>
      <c r="E219" s="3" t="s">
        <v>25</v>
      </c>
      <c r="F219" s="3" t="s">
        <v>25</v>
      </c>
      <c r="G219" s="3" t="s">
        <v>25</v>
      </c>
      <c r="H219" s="3" t="s">
        <v>35</v>
      </c>
      <c r="I219" s="6">
        <v>44593</v>
      </c>
      <c r="J219" s="4">
        <v>-5736</v>
      </c>
      <c r="K219" s="4">
        <v>-5736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3" t="s">
        <v>26</v>
      </c>
      <c r="R219" s="3">
        <v>0</v>
      </c>
      <c r="S219" s="3" t="s">
        <v>141</v>
      </c>
      <c r="T219" s="3" t="s">
        <v>534</v>
      </c>
      <c r="U219" s="3">
        <v>92</v>
      </c>
      <c r="V219" s="3">
        <v>0</v>
      </c>
      <c r="W219" s="3">
        <v>0</v>
      </c>
    </row>
    <row r="220" spans="1:23" ht="11.25" customHeight="1" x14ac:dyDescent="0.25">
      <c r="A220" s="3" t="s">
        <v>28</v>
      </c>
      <c r="B220" s="3" t="s">
        <v>41</v>
      </c>
      <c r="C220" s="3" t="s">
        <v>42</v>
      </c>
      <c r="D220" s="3" t="s">
        <v>40</v>
      </c>
      <c r="E220" s="3" t="s">
        <v>25</v>
      </c>
      <c r="F220" s="3" t="s">
        <v>25</v>
      </c>
      <c r="G220" s="3" t="s">
        <v>25</v>
      </c>
      <c r="H220" s="3" t="s">
        <v>35</v>
      </c>
      <c r="I220" s="6">
        <v>44593</v>
      </c>
      <c r="J220" s="4">
        <v>100</v>
      </c>
      <c r="K220" s="4">
        <v>100</v>
      </c>
      <c r="L220" s="4">
        <v>1.5129999999999999</v>
      </c>
      <c r="M220" s="4">
        <v>1.5129999999999999</v>
      </c>
      <c r="N220" s="4">
        <v>1.5129999999999999</v>
      </c>
      <c r="O220" s="4">
        <v>1.5129999999999999</v>
      </c>
      <c r="P220" s="4">
        <v>0</v>
      </c>
      <c r="Q220" s="3" t="s">
        <v>26</v>
      </c>
      <c r="R220" s="3">
        <v>0</v>
      </c>
      <c r="S220" s="3" t="s">
        <v>141</v>
      </c>
      <c r="T220" s="3" t="s">
        <v>534</v>
      </c>
      <c r="U220" s="3">
        <v>92</v>
      </c>
      <c r="V220" s="3">
        <v>94</v>
      </c>
      <c r="W220" s="3">
        <v>47</v>
      </c>
    </row>
    <row r="221" spans="1:23" ht="11.25" customHeight="1" x14ac:dyDescent="0.25">
      <c r="A221" s="3" t="s">
        <v>21</v>
      </c>
      <c r="B221" s="3" t="s">
        <v>41</v>
      </c>
      <c r="C221" s="3" t="s">
        <v>42</v>
      </c>
      <c r="D221" s="3" t="s">
        <v>40</v>
      </c>
      <c r="E221" s="3" t="s">
        <v>25</v>
      </c>
      <c r="F221" s="3" t="s">
        <v>25</v>
      </c>
      <c r="G221" s="3" t="s">
        <v>25</v>
      </c>
      <c r="H221" s="3" t="s">
        <v>35</v>
      </c>
      <c r="I221" s="6">
        <v>44593</v>
      </c>
      <c r="J221" s="4">
        <v>24830</v>
      </c>
      <c r="K221" s="4">
        <v>24830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3" t="s">
        <v>57</v>
      </c>
      <c r="R221" s="3">
        <v>0</v>
      </c>
      <c r="S221" s="3" t="s">
        <v>141</v>
      </c>
      <c r="U221" s="3">
        <v>92</v>
      </c>
      <c r="V221" s="3">
        <v>0</v>
      </c>
      <c r="W221" s="3">
        <v>0</v>
      </c>
    </row>
    <row r="222" spans="1:23" ht="11.25" customHeight="1" x14ac:dyDescent="0.25">
      <c r="A222" s="3" t="s">
        <v>21</v>
      </c>
      <c r="B222" s="3" t="s">
        <v>41</v>
      </c>
      <c r="C222" s="3" t="s">
        <v>42</v>
      </c>
      <c r="D222" s="3" t="s">
        <v>40</v>
      </c>
      <c r="E222" s="3" t="s">
        <v>25</v>
      </c>
      <c r="F222" s="3" t="s">
        <v>25</v>
      </c>
      <c r="G222" s="3" t="s">
        <v>25</v>
      </c>
      <c r="H222" s="3" t="s">
        <v>35</v>
      </c>
      <c r="I222" s="6">
        <v>44621</v>
      </c>
      <c r="J222" s="4">
        <v>4425</v>
      </c>
      <c r="K222" s="4">
        <v>4425</v>
      </c>
      <c r="L222" s="4">
        <v>28.998999999999999</v>
      </c>
      <c r="M222" s="4">
        <v>28.998999999999999</v>
      </c>
      <c r="N222" s="4">
        <v>28.998999999999999</v>
      </c>
      <c r="O222" s="4">
        <v>28.998999999999999</v>
      </c>
      <c r="P222" s="4">
        <v>0</v>
      </c>
      <c r="Q222" s="3" t="s">
        <v>26</v>
      </c>
      <c r="R222" s="3">
        <v>0</v>
      </c>
      <c r="S222" s="3" t="s">
        <v>142</v>
      </c>
      <c r="T222" s="3" t="s">
        <v>535</v>
      </c>
      <c r="U222" s="3">
        <v>92</v>
      </c>
      <c r="V222" s="3">
        <v>94</v>
      </c>
      <c r="W222" s="3">
        <v>47</v>
      </c>
    </row>
    <row r="223" spans="1:23" ht="11.25" customHeight="1" x14ac:dyDescent="0.25">
      <c r="A223" s="3" t="s">
        <v>27</v>
      </c>
      <c r="B223" s="3" t="s">
        <v>41</v>
      </c>
      <c r="C223" s="3" t="s">
        <v>42</v>
      </c>
      <c r="D223" s="3" t="s">
        <v>40</v>
      </c>
      <c r="E223" s="3" t="s">
        <v>25</v>
      </c>
      <c r="F223" s="3" t="s">
        <v>25</v>
      </c>
      <c r="G223" s="3" t="s">
        <v>25</v>
      </c>
      <c r="H223" s="3" t="s">
        <v>35</v>
      </c>
      <c r="I223" s="6">
        <v>44621</v>
      </c>
      <c r="J223" s="4">
        <v>-1</v>
      </c>
      <c r="K223" s="4">
        <v>-1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3" t="s">
        <v>26</v>
      </c>
      <c r="R223" s="3">
        <v>0</v>
      </c>
      <c r="S223" s="3" t="s">
        <v>142</v>
      </c>
      <c r="T223" s="3" t="s">
        <v>535</v>
      </c>
      <c r="U223" s="3">
        <v>92</v>
      </c>
      <c r="V223" s="3">
        <v>0</v>
      </c>
      <c r="W223" s="3">
        <v>0</v>
      </c>
    </row>
    <row r="224" spans="1:23" ht="11.25" customHeight="1" x14ac:dyDescent="0.25">
      <c r="A224" s="3" t="s">
        <v>28</v>
      </c>
      <c r="B224" s="3" t="s">
        <v>41</v>
      </c>
      <c r="C224" s="3" t="s">
        <v>42</v>
      </c>
      <c r="D224" s="3" t="s">
        <v>40</v>
      </c>
      <c r="E224" s="3" t="s">
        <v>25</v>
      </c>
      <c r="F224" s="3" t="s">
        <v>25</v>
      </c>
      <c r="G224" s="3" t="s">
        <v>25</v>
      </c>
      <c r="H224" s="3" t="s">
        <v>35</v>
      </c>
      <c r="I224" s="6">
        <v>44621</v>
      </c>
      <c r="J224" s="4">
        <v>100</v>
      </c>
      <c r="K224" s="4">
        <v>100</v>
      </c>
      <c r="L224" s="4">
        <v>9.2999999999999999E-2</v>
      </c>
      <c r="M224" s="4">
        <v>9.2999999999999999E-2</v>
      </c>
      <c r="N224" s="4">
        <v>9.2999999999999999E-2</v>
      </c>
      <c r="O224" s="4">
        <v>9.2999999999999999E-2</v>
      </c>
      <c r="P224" s="4">
        <v>0</v>
      </c>
      <c r="Q224" s="3" t="s">
        <v>26</v>
      </c>
      <c r="R224" s="3">
        <v>0</v>
      </c>
      <c r="S224" s="3" t="s">
        <v>142</v>
      </c>
      <c r="T224" s="3" t="s">
        <v>535</v>
      </c>
      <c r="U224" s="3">
        <v>92</v>
      </c>
      <c r="V224" s="3">
        <v>94</v>
      </c>
      <c r="W224" s="3">
        <v>47</v>
      </c>
    </row>
    <row r="225" spans="1:23" ht="11.25" customHeight="1" x14ac:dyDescent="0.25">
      <c r="A225" s="3" t="s">
        <v>21</v>
      </c>
      <c r="B225" s="3" t="s">
        <v>41</v>
      </c>
      <c r="C225" s="3" t="s">
        <v>42</v>
      </c>
      <c r="D225" s="3" t="s">
        <v>40</v>
      </c>
      <c r="E225" s="3" t="s">
        <v>25</v>
      </c>
      <c r="F225" s="3" t="s">
        <v>25</v>
      </c>
      <c r="G225" s="3" t="s">
        <v>25</v>
      </c>
      <c r="H225" s="3" t="s">
        <v>35</v>
      </c>
      <c r="I225" s="6">
        <v>44621</v>
      </c>
      <c r="J225" s="4">
        <v>38050</v>
      </c>
      <c r="K225" s="4">
        <v>38050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3" t="s">
        <v>57</v>
      </c>
      <c r="R225" s="3">
        <v>0</v>
      </c>
      <c r="S225" s="3" t="s">
        <v>142</v>
      </c>
      <c r="U225" s="3">
        <v>92</v>
      </c>
      <c r="V225" s="3">
        <v>0</v>
      </c>
      <c r="W225" s="3">
        <v>0</v>
      </c>
    </row>
    <row r="226" spans="1:23" ht="11.25" customHeight="1" x14ac:dyDescent="0.25">
      <c r="A226" s="3" t="s">
        <v>56</v>
      </c>
      <c r="B226" s="3" t="s">
        <v>41</v>
      </c>
      <c r="C226" s="3" t="s">
        <v>42</v>
      </c>
      <c r="D226" s="3" t="s">
        <v>40</v>
      </c>
      <c r="E226" s="3" t="s">
        <v>25</v>
      </c>
      <c r="F226" s="3" t="s">
        <v>25</v>
      </c>
      <c r="G226" s="3" t="s">
        <v>25</v>
      </c>
      <c r="H226" s="3" t="s">
        <v>35</v>
      </c>
      <c r="I226" s="6">
        <v>44652</v>
      </c>
      <c r="J226" s="4">
        <v>4425</v>
      </c>
      <c r="K226" s="4">
        <v>4425</v>
      </c>
      <c r="L226" s="4">
        <v>28.998999999999999</v>
      </c>
      <c r="M226" s="4">
        <v>28.998999999999999</v>
      </c>
      <c r="N226" s="4">
        <v>28.998999999999999</v>
      </c>
      <c r="O226" s="4">
        <v>28.998999999999999</v>
      </c>
      <c r="P226" s="4">
        <v>0</v>
      </c>
      <c r="Q226" s="3" t="s">
        <v>26</v>
      </c>
      <c r="R226" s="3">
        <v>0</v>
      </c>
      <c r="S226" s="3" t="s">
        <v>143</v>
      </c>
      <c r="T226" s="3" t="s">
        <v>536</v>
      </c>
      <c r="U226" s="3">
        <v>92</v>
      </c>
      <c r="V226" s="3">
        <v>94</v>
      </c>
      <c r="W226" s="3">
        <v>47</v>
      </c>
    </row>
    <row r="227" spans="1:23" ht="11.25" customHeight="1" x14ac:dyDescent="0.25">
      <c r="A227" s="3" t="s">
        <v>56</v>
      </c>
      <c r="B227" s="3" t="s">
        <v>41</v>
      </c>
      <c r="C227" s="3" t="s">
        <v>42</v>
      </c>
      <c r="D227" s="3" t="s">
        <v>40</v>
      </c>
      <c r="E227" s="3" t="s">
        <v>25</v>
      </c>
      <c r="F227" s="3" t="s">
        <v>25</v>
      </c>
      <c r="G227" s="3" t="s">
        <v>25</v>
      </c>
      <c r="H227" s="3" t="s">
        <v>35</v>
      </c>
      <c r="I227" s="6">
        <v>44652</v>
      </c>
      <c r="J227" s="4">
        <v>-1</v>
      </c>
      <c r="K227" s="4">
        <v>-1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3" t="s">
        <v>26</v>
      </c>
      <c r="R227" s="3">
        <v>0</v>
      </c>
      <c r="S227" s="3" t="s">
        <v>143</v>
      </c>
      <c r="T227" s="3" t="s">
        <v>536</v>
      </c>
      <c r="U227" s="3">
        <v>92</v>
      </c>
      <c r="V227" s="3">
        <v>0</v>
      </c>
      <c r="W227" s="3">
        <v>0</v>
      </c>
    </row>
    <row r="228" spans="1:23" ht="11.25" customHeight="1" x14ac:dyDescent="0.25">
      <c r="A228" s="3" t="s">
        <v>56</v>
      </c>
      <c r="B228" s="3" t="s">
        <v>41</v>
      </c>
      <c r="C228" s="3" t="s">
        <v>42</v>
      </c>
      <c r="D228" s="3" t="s">
        <v>40</v>
      </c>
      <c r="E228" s="3" t="s">
        <v>25</v>
      </c>
      <c r="F228" s="3" t="s">
        <v>25</v>
      </c>
      <c r="G228" s="3" t="s">
        <v>25</v>
      </c>
      <c r="H228" s="3" t="s">
        <v>35</v>
      </c>
      <c r="I228" s="6">
        <v>44652</v>
      </c>
      <c r="J228" s="4">
        <v>100</v>
      </c>
      <c r="K228" s="4">
        <v>100</v>
      </c>
      <c r="L228" s="4">
        <v>9.2999999999999999E-2</v>
      </c>
      <c r="M228" s="4">
        <v>9.2999999999999999E-2</v>
      </c>
      <c r="N228" s="4">
        <v>9.2999999999999999E-2</v>
      </c>
      <c r="O228" s="4">
        <v>9.2999999999999999E-2</v>
      </c>
      <c r="P228" s="4">
        <v>0</v>
      </c>
      <c r="Q228" s="3" t="s">
        <v>26</v>
      </c>
      <c r="R228" s="3">
        <v>0</v>
      </c>
      <c r="S228" s="3" t="s">
        <v>143</v>
      </c>
      <c r="T228" s="3" t="s">
        <v>536</v>
      </c>
      <c r="U228" s="3">
        <v>92</v>
      </c>
      <c r="V228" s="3">
        <v>94</v>
      </c>
      <c r="W228" s="3">
        <v>47</v>
      </c>
    </row>
    <row r="229" spans="1:23" ht="11.25" customHeight="1" x14ac:dyDescent="0.25">
      <c r="A229" s="3" t="s">
        <v>56</v>
      </c>
      <c r="B229" s="3" t="s">
        <v>41</v>
      </c>
      <c r="C229" s="3" t="s">
        <v>42</v>
      </c>
      <c r="D229" s="3" t="s">
        <v>40</v>
      </c>
      <c r="E229" s="3" t="s">
        <v>25</v>
      </c>
      <c r="F229" s="3" t="s">
        <v>25</v>
      </c>
      <c r="G229" s="3" t="s">
        <v>25</v>
      </c>
      <c r="H229" s="3" t="s">
        <v>35</v>
      </c>
      <c r="I229" s="6">
        <v>44652</v>
      </c>
      <c r="J229" s="4">
        <v>38050</v>
      </c>
      <c r="K229" s="4">
        <v>38050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3" t="s">
        <v>57</v>
      </c>
      <c r="R229" s="3">
        <v>0</v>
      </c>
      <c r="S229" s="3" t="s">
        <v>143</v>
      </c>
      <c r="U229" s="3">
        <v>92</v>
      </c>
      <c r="V229" s="3">
        <v>0</v>
      </c>
      <c r="W229" s="3">
        <v>0</v>
      </c>
    </row>
    <row r="230" spans="1:23" ht="11.25" customHeight="1" x14ac:dyDescent="0.25">
      <c r="A230" s="3" t="s">
        <v>21</v>
      </c>
      <c r="B230" s="3" t="s">
        <v>41</v>
      </c>
      <c r="C230" s="3" t="s">
        <v>42</v>
      </c>
      <c r="D230" s="3" t="s">
        <v>45</v>
      </c>
      <c r="E230" s="3" t="s">
        <v>53</v>
      </c>
      <c r="F230" s="3" t="s">
        <v>55</v>
      </c>
      <c r="G230" s="3" t="s">
        <v>25</v>
      </c>
      <c r="H230" s="3" t="s">
        <v>36</v>
      </c>
      <c r="I230" s="6">
        <v>44317</v>
      </c>
      <c r="J230" s="4">
        <v>0</v>
      </c>
      <c r="K230" s="4">
        <v>0</v>
      </c>
      <c r="L230" s="4">
        <v>398.63400000000001</v>
      </c>
      <c r="M230" s="4">
        <v>39.863399999999999</v>
      </c>
      <c r="N230" s="4">
        <v>398.63400000000001</v>
      </c>
      <c r="O230" s="4">
        <v>39.863399999999999</v>
      </c>
      <c r="P230" s="4">
        <v>0</v>
      </c>
      <c r="Q230" s="3" t="s">
        <v>26</v>
      </c>
      <c r="R230" s="3">
        <v>0</v>
      </c>
      <c r="S230" s="3" t="s">
        <v>108</v>
      </c>
      <c r="T230" s="3" t="s">
        <v>513</v>
      </c>
      <c r="U230" s="3">
        <v>0</v>
      </c>
      <c r="V230" s="3">
        <v>94</v>
      </c>
      <c r="W230" s="3">
        <v>48</v>
      </c>
    </row>
    <row r="231" spans="1:23" ht="11.25" customHeight="1" x14ac:dyDescent="0.25">
      <c r="A231" s="3" t="s">
        <v>21</v>
      </c>
      <c r="B231" s="3" t="s">
        <v>41</v>
      </c>
      <c r="C231" s="3" t="s">
        <v>42</v>
      </c>
      <c r="D231" s="3" t="s">
        <v>45</v>
      </c>
      <c r="E231" s="3" t="s">
        <v>53</v>
      </c>
      <c r="F231" s="3" t="s">
        <v>55</v>
      </c>
      <c r="G231" s="3" t="s">
        <v>25</v>
      </c>
      <c r="H231" s="3" t="s">
        <v>36</v>
      </c>
      <c r="I231" s="6">
        <v>44348</v>
      </c>
      <c r="J231" s="4">
        <v>0</v>
      </c>
      <c r="K231" s="4">
        <v>0</v>
      </c>
      <c r="L231" s="4">
        <v>396.06299999999999</v>
      </c>
      <c r="M231" s="4">
        <v>39.606299999999997</v>
      </c>
      <c r="N231" s="4">
        <v>396.06299999999999</v>
      </c>
      <c r="O231" s="4">
        <v>39.606299999999997</v>
      </c>
      <c r="P231" s="4">
        <v>0</v>
      </c>
      <c r="Q231" s="3" t="s">
        <v>26</v>
      </c>
      <c r="R231" s="3">
        <v>0</v>
      </c>
      <c r="S231" s="3" t="s">
        <v>109</v>
      </c>
      <c r="T231" s="3" t="s">
        <v>514</v>
      </c>
      <c r="U231" s="3">
        <v>0</v>
      </c>
      <c r="V231" s="3">
        <v>94</v>
      </c>
      <c r="W231" s="3">
        <v>48</v>
      </c>
    </row>
    <row r="232" spans="1:23" ht="11.25" customHeight="1" x14ac:dyDescent="0.25">
      <c r="A232" s="3" t="s">
        <v>21</v>
      </c>
      <c r="B232" s="3" t="s">
        <v>41</v>
      </c>
      <c r="C232" s="3" t="s">
        <v>42</v>
      </c>
      <c r="D232" s="3" t="s">
        <v>45</v>
      </c>
      <c r="E232" s="3" t="s">
        <v>53</v>
      </c>
      <c r="F232" s="3" t="s">
        <v>55</v>
      </c>
      <c r="G232" s="3" t="s">
        <v>25</v>
      </c>
      <c r="H232" s="3" t="s">
        <v>36</v>
      </c>
      <c r="I232" s="6">
        <v>44378</v>
      </c>
      <c r="J232" s="4">
        <v>0</v>
      </c>
      <c r="K232" s="4">
        <v>0</v>
      </c>
      <c r="L232" s="4">
        <v>778.96299999999997</v>
      </c>
      <c r="M232" s="4">
        <v>77.896299999999997</v>
      </c>
      <c r="N232" s="4">
        <v>778.96299999999997</v>
      </c>
      <c r="O232" s="4">
        <v>77.896299999999997</v>
      </c>
      <c r="P232" s="4">
        <v>0</v>
      </c>
      <c r="Q232" s="3" t="s">
        <v>26</v>
      </c>
      <c r="R232" s="3">
        <v>0</v>
      </c>
      <c r="S232" s="3" t="s">
        <v>110</v>
      </c>
      <c r="T232" s="3" t="s">
        <v>515</v>
      </c>
      <c r="U232" s="3">
        <v>0</v>
      </c>
      <c r="V232" s="3">
        <v>94</v>
      </c>
      <c r="W232" s="3">
        <v>48</v>
      </c>
    </row>
    <row r="233" spans="1:23" ht="11.25" customHeight="1" x14ac:dyDescent="0.25">
      <c r="A233" s="3" t="s">
        <v>21</v>
      </c>
      <c r="B233" s="3" t="s">
        <v>41</v>
      </c>
      <c r="C233" s="3" t="s">
        <v>42</v>
      </c>
      <c r="D233" s="3" t="s">
        <v>45</v>
      </c>
      <c r="E233" s="3" t="s">
        <v>53</v>
      </c>
      <c r="F233" s="3" t="s">
        <v>55</v>
      </c>
      <c r="G233" s="3" t="s">
        <v>25</v>
      </c>
      <c r="H233" s="3" t="s">
        <v>36</v>
      </c>
      <c r="I233" s="6">
        <v>44409</v>
      </c>
      <c r="J233" s="4">
        <v>0</v>
      </c>
      <c r="K233" s="4">
        <v>0</v>
      </c>
      <c r="L233" s="4">
        <v>152.744</v>
      </c>
      <c r="M233" s="4">
        <v>15.2744</v>
      </c>
      <c r="N233" s="4">
        <v>152.744</v>
      </c>
      <c r="O233" s="4">
        <v>15.2744</v>
      </c>
      <c r="P233" s="4">
        <v>0</v>
      </c>
      <c r="Q233" s="3" t="s">
        <v>26</v>
      </c>
      <c r="R233" s="3">
        <v>0</v>
      </c>
      <c r="S233" s="3" t="s">
        <v>111</v>
      </c>
      <c r="T233" s="3" t="s">
        <v>516</v>
      </c>
      <c r="U233" s="3">
        <v>0</v>
      </c>
      <c r="V233" s="3">
        <v>94</v>
      </c>
      <c r="W233" s="3">
        <v>48</v>
      </c>
    </row>
    <row r="234" spans="1:23" ht="11.25" customHeight="1" x14ac:dyDescent="0.25">
      <c r="A234" s="3" t="s">
        <v>27</v>
      </c>
      <c r="B234" s="3" t="s">
        <v>41</v>
      </c>
      <c r="C234" s="3" t="s">
        <v>42</v>
      </c>
      <c r="D234" s="3" t="s">
        <v>45</v>
      </c>
      <c r="E234" s="3" t="s">
        <v>53</v>
      </c>
      <c r="F234" s="3" t="s">
        <v>55</v>
      </c>
      <c r="G234" s="3" t="s">
        <v>25</v>
      </c>
      <c r="H234" s="3" t="s">
        <v>36</v>
      </c>
      <c r="I234" s="6">
        <v>44409</v>
      </c>
      <c r="J234" s="4">
        <v>0</v>
      </c>
      <c r="K234" s="4">
        <v>0</v>
      </c>
      <c r="L234" s="4">
        <v>-383.71600000000001</v>
      </c>
      <c r="M234" s="4">
        <v>-38.371600000000001</v>
      </c>
      <c r="N234" s="4">
        <v>-383.71600000000001</v>
      </c>
      <c r="O234" s="4">
        <v>-38.371600000000001</v>
      </c>
      <c r="P234" s="4">
        <v>0</v>
      </c>
      <c r="Q234" s="3" t="s">
        <v>26</v>
      </c>
      <c r="R234" s="3">
        <v>0</v>
      </c>
      <c r="S234" s="3" t="s">
        <v>111</v>
      </c>
      <c r="T234" s="3" t="s">
        <v>516</v>
      </c>
      <c r="U234" s="3">
        <v>0</v>
      </c>
      <c r="V234" s="3">
        <v>94</v>
      </c>
      <c r="W234" s="3">
        <v>48</v>
      </c>
    </row>
    <row r="235" spans="1:23" ht="11.25" customHeight="1" x14ac:dyDescent="0.25">
      <c r="A235" s="3" t="s">
        <v>21</v>
      </c>
      <c r="B235" s="3" t="s">
        <v>41</v>
      </c>
      <c r="C235" s="3" t="s">
        <v>42</v>
      </c>
      <c r="D235" s="3" t="s">
        <v>45</v>
      </c>
      <c r="E235" s="3" t="s">
        <v>53</v>
      </c>
      <c r="F235" s="3" t="s">
        <v>55</v>
      </c>
      <c r="G235" s="3" t="s">
        <v>25</v>
      </c>
      <c r="H235" s="3" t="s">
        <v>36</v>
      </c>
      <c r="I235" s="6">
        <v>44440</v>
      </c>
      <c r="J235" s="4">
        <v>0</v>
      </c>
      <c r="K235" s="4">
        <v>0</v>
      </c>
      <c r="L235" s="4">
        <v>2586.7269999999999</v>
      </c>
      <c r="M235" s="4">
        <v>258.67270000000002</v>
      </c>
      <c r="N235" s="4">
        <v>2586.7269999999999</v>
      </c>
      <c r="O235" s="4">
        <v>258.67270000000002</v>
      </c>
      <c r="P235" s="4">
        <v>0</v>
      </c>
      <c r="Q235" s="3" t="s">
        <v>26</v>
      </c>
      <c r="R235" s="3">
        <v>0</v>
      </c>
      <c r="S235" s="3" t="s">
        <v>112</v>
      </c>
      <c r="T235" s="3" t="s">
        <v>517</v>
      </c>
      <c r="U235" s="3">
        <v>0</v>
      </c>
      <c r="V235" s="3">
        <v>94</v>
      </c>
      <c r="W235" s="3">
        <v>48</v>
      </c>
    </row>
    <row r="236" spans="1:23" ht="11.25" customHeight="1" x14ac:dyDescent="0.25">
      <c r="A236" s="3" t="s">
        <v>21</v>
      </c>
      <c r="B236" s="3" t="s">
        <v>41</v>
      </c>
      <c r="C236" s="3" t="s">
        <v>42</v>
      </c>
      <c r="D236" s="3" t="s">
        <v>45</v>
      </c>
      <c r="E236" s="3" t="s">
        <v>53</v>
      </c>
      <c r="F236" s="3" t="s">
        <v>55</v>
      </c>
      <c r="G236" s="3" t="s">
        <v>25</v>
      </c>
      <c r="H236" s="3" t="s">
        <v>36</v>
      </c>
      <c r="I236" s="6">
        <v>44470</v>
      </c>
      <c r="J236" s="4">
        <v>0</v>
      </c>
      <c r="K236" s="4">
        <v>0</v>
      </c>
      <c r="L236" s="4">
        <v>6206.6970000000001</v>
      </c>
      <c r="M236" s="4">
        <v>620.66970000000003</v>
      </c>
      <c r="N236" s="4">
        <v>6206.6970000000001</v>
      </c>
      <c r="O236" s="4">
        <v>620.66970000000003</v>
      </c>
      <c r="P236" s="4">
        <v>0</v>
      </c>
      <c r="Q236" s="3" t="s">
        <v>26</v>
      </c>
      <c r="R236" s="3">
        <v>0</v>
      </c>
      <c r="S236" s="3" t="s">
        <v>113</v>
      </c>
      <c r="T236" s="3" t="s">
        <v>518</v>
      </c>
      <c r="U236" s="3">
        <v>0</v>
      </c>
      <c r="V236" s="3">
        <v>94</v>
      </c>
      <c r="W236" s="3">
        <v>48</v>
      </c>
    </row>
    <row r="237" spans="1:23" ht="11.25" customHeight="1" x14ac:dyDescent="0.25">
      <c r="A237" s="3" t="s">
        <v>21</v>
      </c>
      <c r="B237" s="3" t="s">
        <v>41</v>
      </c>
      <c r="C237" s="3" t="s">
        <v>42</v>
      </c>
      <c r="D237" s="3" t="s">
        <v>45</v>
      </c>
      <c r="E237" s="3" t="s">
        <v>53</v>
      </c>
      <c r="F237" s="3" t="s">
        <v>55</v>
      </c>
      <c r="G237" s="3" t="s">
        <v>25</v>
      </c>
      <c r="H237" s="3" t="s">
        <v>36</v>
      </c>
      <c r="I237" s="6">
        <v>44501</v>
      </c>
      <c r="J237" s="4">
        <v>0</v>
      </c>
      <c r="K237" s="4">
        <v>0</v>
      </c>
      <c r="L237" s="4">
        <v>6926.8459999999995</v>
      </c>
      <c r="M237" s="4">
        <v>692.68460000000005</v>
      </c>
      <c r="N237" s="4">
        <v>6926.8459999999995</v>
      </c>
      <c r="O237" s="4">
        <v>692.68460000000005</v>
      </c>
      <c r="P237" s="4">
        <v>0</v>
      </c>
      <c r="Q237" s="3" t="s">
        <v>26</v>
      </c>
      <c r="R237" s="3">
        <v>0</v>
      </c>
      <c r="S237" s="3" t="s">
        <v>114</v>
      </c>
      <c r="T237" s="3" t="s">
        <v>519</v>
      </c>
      <c r="U237" s="3">
        <v>0</v>
      </c>
      <c r="V237" s="3">
        <v>94</v>
      </c>
      <c r="W237" s="3">
        <v>48</v>
      </c>
    </row>
    <row r="238" spans="1:23" ht="11.25" customHeight="1" x14ac:dyDescent="0.25">
      <c r="A238" s="3" t="s">
        <v>21</v>
      </c>
      <c r="B238" s="3" t="s">
        <v>41</v>
      </c>
      <c r="C238" s="3" t="s">
        <v>42</v>
      </c>
      <c r="D238" s="3" t="s">
        <v>45</v>
      </c>
      <c r="E238" s="3" t="s">
        <v>53</v>
      </c>
      <c r="F238" s="3" t="s">
        <v>55</v>
      </c>
      <c r="G238" s="3" t="s">
        <v>25</v>
      </c>
      <c r="H238" s="3" t="s">
        <v>36</v>
      </c>
      <c r="I238" s="6">
        <v>44531</v>
      </c>
      <c r="J238" s="4">
        <v>0</v>
      </c>
      <c r="K238" s="4">
        <v>0</v>
      </c>
      <c r="L238" s="4">
        <v>6748.4269999999997</v>
      </c>
      <c r="M238" s="4">
        <v>674.84270000000004</v>
      </c>
      <c r="N238" s="4">
        <v>6748.4269999999997</v>
      </c>
      <c r="O238" s="4">
        <v>674.84270000000004</v>
      </c>
      <c r="P238" s="4">
        <v>0</v>
      </c>
      <c r="Q238" s="3" t="s">
        <v>26</v>
      </c>
      <c r="R238" s="3">
        <v>0</v>
      </c>
      <c r="S238" s="3" t="s">
        <v>115</v>
      </c>
      <c r="T238" s="3" t="s">
        <v>520</v>
      </c>
      <c r="U238" s="3">
        <v>0</v>
      </c>
      <c r="V238" s="3">
        <v>94</v>
      </c>
      <c r="W238" s="3">
        <v>48</v>
      </c>
    </row>
    <row r="239" spans="1:23" ht="11.25" customHeight="1" x14ac:dyDescent="0.25">
      <c r="A239" s="3" t="s">
        <v>21</v>
      </c>
      <c r="B239" s="3" t="s">
        <v>41</v>
      </c>
      <c r="C239" s="3" t="s">
        <v>42</v>
      </c>
      <c r="D239" s="3" t="s">
        <v>45</v>
      </c>
      <c r="E239" s="3" t="s">
        <v>53</v>
      </c>
      <c r="F239" s="3" t="s">
        <v>55</v>
      </c>
      <c r="G239" s="3" t="s">
        <v>25</v>
      </c>
      <c r="H239" s="3" t="s">
        <v>36</v>
      </c>
      <c r="I239" s="6">
        <v>44562</v>
      </c>
      <c r="J239" s="4">
        <v>0</v>
      </c>
      <c r="K239" s="4">
        <v>0</v>
      </c>
      <c r="L239" s="4">
        <v>5667.16</v>
      </c>
      <c r="M239" s="4">
        <v>566.71600000000001</v>
      </c>
      <c r="N239" s="4">
        <v>5667.16</v>
      </c>
      <c r="O239" s="4">
        <v>566.71600000000001</v>
      </c>
      <c r="P239" s="4">
        <v>0</v>
      </c>
      <c r="Q239" s="3" t="s">
        <v>26</v>
      </c>
      <c r="R239" s="3">
        <v>0</v>
      </c>
      <c r="S239" s="3" t="s">
        <v>116</v>
      </c>
      <c r="T239" s="3" t="s">
        <v>521</v>
      </c>
      <c r="U239" s="3">
        <v>0</v>
      </c>
      <c r="V239" s="3">
        <v>94</v>
      </c>
      <c r="W239" s="3">
        <v>48</v>
      </c>
    </row>
    <row r="240" spans="1:23" ht="11.25" customHeight="1" x14ac:dyDescent="0.25">
      <c r="A240" s="3" t="s">
        <v>21</v>
      </c>
      <c r="B240" s="3" t="s">
        <v>41</v>
      </c>
      <c r="C240" s="3" t="s">
        <v>42</v>
      </c>
      <c r="D240" s="3" t="s">
        <v>45</v>
      </c>
      <c r="E240" s="3" t="s">
        <v>53</v>
      </c>
      <c r="F240" s="3" t="s">
        <v>55</v>
      </c>
      <c r="G240" s="3" t="s">
        <v>25</v>
      </c>
      <c r="H240" s="3" t="s">
        <v>36</v>
      </c>
      <c r="I240" s="6">
        <v>44593</v>
      </c>
      <c r="J240" s="4">
        <v>0</v>
      </c>
      <c r="K240" s="4">
        <v>0</v>
      </c>
      <c r="L240" s="4">
        <v>5531.8760000000002</v>
      </c>
      <c r="M240" s="4">
        <v>553.18759999999997</v>
      </c>
      <c r="N240" s="4">
        <v>5531.8760000000002</v>
      </c>
      <c r="O240" s="4">
        <v>553.18759999999997</v>
      </c>
      <c r="P240" s="4">
        <v>0</v>
      </c>
      <c r="Q240" s="3" t="s">
        <v>26</v>
      </c>
      <c r="R240" s="3">
        <v>0</v>
      </c>
      <c r="S240" s="3" t="s">
        <v>117</v>
      </c>
      <c r="T240" s="3" t="s">
        <v>522</v>
      </c>
      <c r="U240" s="3">
        <v>0</v>
      </c>
      <c r="V240" s="3">
        <v>94</v>
      </c>
      <c r="W240" s="3">
        <v>48</v>
      </c>
    </row>
    <row r="241" spans="1:23" ht="11.25" customHeight="1" x14ac:dyDescent="0.25">
      <c r="A241" s="3" t="s">
        <v>21</v>
      </c>
      <c r="B241" s="3" t="s">
        <v>41</v>
      </c>
      <c r="C241" s="3" t="s">
        <v>42</v>
      </c>
      <c r="D241" s="3" t="s">
        <v>45</v>
      </c>
      <c r="E241" s="3" t="s">
        <v>53</v>
      </c>
      <c r="F241" s="3" t="s">
        <v>55</v>
      </c>
      <c r="G241" s="3" t="s">
        <v>25</v>
      </c>
      <c r="H241" s="3" t="s">
        <v>36</v>
      </c>
      <c r="I241" s="6">
        <v>44621</v>
      </c>
      <c r="J241" s="4">
        <v>0</v>
      </c>
      <c r="K241" s="4">
        <v>0</v>
      </c>
      <c r="L241" s="4">
        <v>2837.616</v>
      </c>
      <c r="M241" s="4">
        <v>283.76159999999999</v>
      </c>
      <c r="N241" s="4">
        <v>2837.616</v>
      </c>
      <c r="O241" s="4">
        <v>283.76159999999999</v>
      </c>
      <c r="P241" s="4">
        <v>0</v>
      </c>
      <c r="Q241" s="3" t="s">
        <v>26</v>
      </c>
      <c r="R241" s="3">
        <v>0</v>
      </c>
      <c r="S241" s="3" t="s">
        <v>118</v>
      </c>
      <c r="T241" s="3" t="s">
        <v>523</v>
      </c>
      <c r="U241" s="3">
        <v>0</v>
      </c>
      <c r="V241" s="3">
        <v>94</v>
      </c>
      <c r="W241" s="3">
        <v>48</v>
      </c>
    </row>
    <row r="242" spans="1:23" ht="11.25" customHeight="1" x14ac:dyDescent="0.25">
      <c r="A242" s="3" t="s">
        <v>56</v>
      </c>
      <c r="B242" s="3" t="s">
        <v>41</v>
      </c>
      <c r="C242" s="3" t="s">
        <v>42</v>
      </c>
      <c r="D242" s="3" t="s">
        <v>45</v>
      </c>
      <c r="E242" s="3" t="s">
        <v>53</v>
      </c>
      <c r="F242" s="3" t="s">
        <v>55</v>
      </c>
      <c r="G242" s="3" t="s">
        <v>25</v>
      </c>
      <c r="H242" s="3" t="s">
        <v>36</v>
      </c>
      <c r="I242" s="6">
        <v>44652</v>
      </c>
      <c r="J242" s="4">
        <v>0</v>
      </c>
      <c r="K242" s="4">
        <v>0</v>
      </c>
      <c r="L242" s="4">
        <v>2837.616</v>
      </c>
      <c r="M242" s="4">
        <v>283.76159999999999</v>
      </c>
      <c r="N242" s="4">
        <v>2837.616</v>
      </c>
      <c r="O242" s="4">
        <v>283.76159999999999</v>
      </c>
      <c r="P242" s="4">
        <v>0</v>
      </c>
      <c r="Q242" s="3" t="s">
        <v>26</v>
      </c>
      <c r="R242" s="3">
        <v>0</v>
      </c>
      <c r="S242" s="3" t="s">
        <v>119</v>
      </c>
      <c r="T242" s="3" t="s">
        <v>524</v>
      </c>
      <c r="U242" s="3">
        <v>0</v>
      </c>
      <c r="V242" s="3">
        <v>94</v>
      </c>
      <c r="W242" s="3">
        <v>48</v>
      </c>
    </row>
    <row r="243" spans="1:23" ht="11.25" customHeight="1" x14ac:dyDescent="0.25">
      <c r="A243" s="3" t="s">
        <v>21</v>
      </c>
      <c r="B243" s="3" t="s">
        <v>41</v>
      </c>
      <c r="C243" s="3" t="s">
        <v>42</v>
      </c>
      <c r="D243" s="3" t="s">
        <v>45</v>
      </c>
      <c r="E243" s="3" t="s">
        <v>53</v>
      </c>
      <c r="F243" s="3" t="s">
        <v>25</v>
      </c>
      <c r="G243" s="3" t="s">
        <v>25</v>
      </c>
      <c r="H243" s="3" t="s">
        <v>36</v>
      </c>
      <c r="I243" s="6">
        <v>44317</v>
      </c>
      <c r="J243" s="4">
        <v>6202</v>
      </c>
      <c r="K243" s="4">
        <v>5953.92</v>
      </c>
      <c r="L243" s="4">
        <v>736.85199999999998</v>
      </c>
      <c r="M243" s="4">
        <v>707.37792000000002</v>
      </c>
      <c r="N243" s="4">
        <v>736.85199999999998</v>
      </c>
      <c r="O243" s="4">
        <v>707.37792000000002</v>
      </c>
      <c r="P243" s="4">
        <v>0</v>
      </c>
      <c r="Q243" s="3" t="s">
        <v>26</v>
      </c>
      <c r="R243" s="3">
        <v>0</v>
      </c>
      <c r="S243" s="3" t="s">
        <v>108</v>
      </c>
      <c r="T243" s="3" t="s">
        <v>513</v>
      </c>
      <c r="U243" s="3">
        <v>93</v>
      </c>
      <c r="V243" s="3">
        <v>94</v>
      </c>
      <c r="W243" s="3">
        <v>48</v>
      </c>
    </row>
    <row r="244" spans="1:23" ht="11.25" customHeight="1" x14ac:dyDescent="0.25">
      <c r="A244" s="3" t="s">
        <v>21</v>
      </c>
      <c r="B244" s="3" t="s">
        <v>41</v>
      </c>
      <c r="C244" s="3" t="s">
        <v>42</v>
      </c>
      <c r="D244" s="3" t="s">
        <v>45</v>
      </c>
      <c r="E244" s="3" t="s">
        <v>53</v>
      </c>
      <c r="F244" s="3" t="s">
        <v>25</v>
      </c>
      <c r="G244" s="3" t="s">
        <v>25</v>
      </c>
      <c r="H244" s="3" t="s">
        <v>36</v>
      </c>
      <c r="I244" s="6">
        <v>44348</v>
      </c>
      <c r="J244" s="4">
        <v>5712</v>
      </c>
      <c r="K244" s="4">
        <v>5483.52</v>
      </c>
      <c r="L244" s="4">
        <v>681.64200000000005</v>
      </c>
      <c r="M244" s="4">
        <v>654.37631999999996</v>
      </c>
      <c r="N244" s="4">
        <v>681.64200000000005</v>
      </c>
      <c r="O244" s="4">
        <v>654.37631999999996</v>
      </c>
      <c r="P244" s="4">
        <v>0</v>
      </c>
      <c r="Q244" s="3" t="s">
        <v>26</v>
      </c>
      <c r="R244" s="3">
        <v>0</v>
      </c>
      <c r="S244" s="3" t="s">
        <v>109</v>
      </c>
      <c r="T244" s="3" t="s">
        <v>514</v>
      </c>
      <c r="U244" s="3">
        <v>93</v>
      </c>
      <c r="V244" s="3">
        <v>94</v>
      </c>
      <c r="W244" s="3">
        <v>48</v>
      </c>
    </row>
    <row r="245" spans="1:23" ht="11.25" customHeight="1" x14ac:dyDescent="0.25">
      <c r="A245" s="3" t="s">
        <v>21</v>
      </c>
      <c r="B245" s="3" t="s">
        <v>41</v>
      </c>
      <c r="C245" s="3" t="s">
        <v>42</v>
      </c>
      <c r="D245" s="3" t="s">
        <v>45</v>
      </c>
      <c r="E245" s="3" t="s">
        <v>53</v>
      </c>
      <c r="F245" s="3" t="s">
        <v>25</v>
      </c>
      <c r="G245" s="3" t="s">
        <v>25</v>
      </c>
      <c r="H245" s="3" t="s">
        <v>36</v>
      </c>
      <c r="I245" s="6">
        <v>44378</v>
      </c>
      <c r="J245" s="4">
        <v>6117</v>
      </c>
      <c r="K245" s="4">
        <v>5872.32</v>
      </c>
      <c r="L245" s="4">
        <v>1326.828</v>
      </c>
      <c r="M245" s="4">
        <v>1273.75488</v>
      </c>
      <c r="N245" s="4">
        <v>1326.828</v>
      </c>
      <c r="O245" s="4">
        <v>1273.75488</v>
      </c>
      <c r="P245" s="4">
        <v>0</v>
      </c>
      <c r="Q245" s="3" t="s">
        <v>26</v>
      </c>
      <c r="R245" s="3">
        <v>0</v>
      </c>
      <c r="S245" s="3" t="s">
        <v>110</v>
      </c>
      <c r="T245" s="3" t="s">
        <v>515</v>
      </c>
      <c r="U245" s="3">
        <v>93</v>
      </c>
      <c r="V245" s="3">
        <v>94</v>
      </c>
      <c r="W245" s="3">
        <v>48</v>
      </c>
    </row>
    <row r="246" spans="1:23" ht="11.25" customHeight="1" x14ac:dyDescent="0.25">
      <c r="A246" s="3" t="s">
        <v>21</v>
      </c>
      <c r="B246" s="3" t="s">
        <v>41</v>
      </c>
      <c r="C246" s="3" t="s">
        <v>42</v>
      </c>
      <c r="D246" s="3" t="s">
        <v>45</v>
      </c>
      <c r="E246" s="3" t="s">
        <v>53</v>
      </c>
      <c r="F246" s="3" t="s">
        <v>25</v>
      </c>
      <c r="G246" s="3" t="s">
        <v>25</v>
      </c>
      <c r="H246" s="3" t="s">
        <v>36</v>
      </c>
      <c r="I246" s="6">
        <v>44409</v>
      </c>
      <c r="J246" s="4">
        <v>5025</v>
      </c>
      <c r="K246" s="4">
        <v>4824</v>
      </c>
      <c r="L246" s="4">
        <v>345.79399999999998</v>
      </c>
      <c r="M246" s="4">
        <v>331.96224000000001</v>
      </c>
      <c r="N246" s="4">
        <v>345.79399999999998</v>
      </c>
      <c r="O246" s="4">
        <v>331.96224000000001</v>
      </c>
      <c r="P246" s="4">
        <v>0</v>
      </c>
      <c r="Q246" s="3" t="s">
        <v>26</v>
      </c>
      <c r="R246" s="3">
        <v>0</v>
      </c>
      <c r="S246" s="3" t="s">
        <v>111</v>
      </c>
      <c r="T246" s="3" t="s">
        <v>516</v>
      </c>
      <c r="U246" s="3">
        <v>93</v>
      </c>
      <c r="V246" s="3">
        <v>94</v>
      </c>
      <c r="W246" s="3">
        <v>48</v>
      </c>
    </row>
    <row r="247" spans="1:23" ht="11.25" customHeight="1" x14ac:dyDescent="0.25">
      <c r="A247" s="3" t="s">
        <v>27</v>
      </c>
      <c r="B247" s="3" t="s">
        <v>41</v>
      </c>
      <c r="C247" s="3" t="s">
        <v>42</v>
      </c>
      <c r="D247" s="3" t="s">
        <v>45</v>
      </c>
      <c r="E247" s="3" t="s">
        <v>53</v>
      </c>
      <c r="F247" s="3" t="s">
        <v>25</v>
      </c>
      <c r="G247" s="3" t="s">
        <v>25</v>
      </c>
      <c r="H247" s="3" t="s">
        <v>36</v>
      </c>
      <c r="I247" s="6">
        <v>44409</v>
      </c>
      <c r="J247" s="4">
        <v>156</v>
      </c>
      <c r="K247" s="4">
        <v>149.76</v>
      </c>
      <c r="L247" s="4">
        <v>-585.06799999999998</v>
      </c>
      <c r="M247" s="4">
        <v>-561.66528000000005</v>
      </c>
      <c r="N247" s="4">
        <v>-585.06799999999998</v>
      </c>
      <c r="O247" s="4">
        <v>-561.66528000000005</v>
      </c>
      <c r="P247" s="4">
        <v>0</v>
      </c>
      <c r="Q247" s="3" t="s">
        <v>26</v>
      </c>
      <c r="R247" s="3">
        <v>0</v>
      </c>
      <c r="S247" s="3" t="s">
        <v>111</v>
      </c>
      <c r="T247" s="3" t="s">
        <v>516</v>
      </c>
      <c r="U247" s="3">
        <v>93</v>
      </c>
      <c r="V247" s="3">
        <v>94</v>
      </c>
      <c r="W247" s="3">
        <v>48</v>
      </c>
    </row>
    <row r="248" spans="1:23" ht="11.25" customHeight="1" x14ac:dyDescent="0.25">
      <c r="A248" s="3" t="s">
        <v>21</v>
      </c>
      <c r="B248" s="3" t="s">
        <v>41</v>
      </c>
      <c r="C248" s="3" t="s">
        <v>42</v>
      </c>
      <c r="D248" s="3" t="s">
        <v>45</v>
      </c>
      <c r="E248" s="3" t="s">
        <v>53</v>
      </c>
      <c r="F248" s="3" t="s">
        <v>25</v>
      </c>
      <c r="G248" s="3" t="s">
        <v>25</v>
      </c>
      <c r="H248" s="3" t="s">
        <v>36</v>
      </c>
      <c r="I248" s="6">
        <v>44440</v>
      </c>
      <c r="J248" s="4">
        <v>27321</v>
      </c>
      <c r="K248" s="4">
        <v>26228.16</v>
      </c>
      <c r="L248" s="4">
        <v>3880.0590000000002</v>
      </c>
      <c r="M248" s="4">
        <v>3724.85664</v>
      </c>
      <c r="N248" s="4">
        <v>3880.0590000000002</v>
      </c>
      <c r="O248" s="4">
        <v>3724.85664</v>
      </c>
      <c r="P248" s="4">
        <v>0</v>
      </c>
      <c r="Q248" s="3" t="s">
        <v>26</v>
      </c>
      <c r="R248" s="3">
        <v>0</v>
      </c>
      <c r="S248" s="3" t="s">
        <v>112</v>
      </c>
      <c r="T248" s="3" t="s">
        <v>517</v>
      </c>
      <c r="U248" s="3">
        <v>93</v>
      </c>
      <c r="V248" s="3">
        <v>94</v>
      </c>
      <c r="W248" s="3">
        <v>48</v>
      </c>
    </row>
    <row r="249" spans="1:23" ht="11.25" customHeight="1" x14ac:dyDescent="0.25">
      <c r="A249" s="3" t="s">
        <v>21</v>
      </c>
      <c r="B249" s="3" t="s">
        <v>41</v>
      </c>
      <c r="C249" s="3" t="s">
        <v>42</v>
      </c>
      <c r="D249" s="3" t="s">
        <v>45</v>
      </c>
      <c r="E249" s="3" t="s">
        <v>53</v>
      </c>
      <c r="F249" s="3" t="s">
        <v>25</v>
      </c>
      <c r="G249" s="3" t="s">
        <v>25</v>
      </c>
      <c r="H249" s="3" t="s">
        <v>36</v>
      </c>
      <c r="I249" s="6">
        <v>44470</v>
      </c>
      <c r="J249" s="4">
        <v>39858</v>
      </c>
      <c r="K249" s="4">
        <v>38263.68</v>
      </c>
      <c r="L249" s="4">
        <v>9502.1970000000001</v>
      </c>
      <c r="M249" s="4">
        <v>9122.1091199999992</v>
      </c>
      <c r="N249" s="4">
        <v>9502.1970000000001</v>
      </c>
      <c r="O249" s="4">
        <v>9122.1091199999992</v>
      </c>
      <c r="P249" s="4">
        <v>0</v>
      </c>
      <c r="Q249" s="3" t="s">
        <v>26</v>
      </c>
      <c r="R249" s="3">
        <v>0</v>
      </c>
      <c r="S249" s="3" t="s">
        <v>113</v>
      </c>
      <c r="T249" s="3" t="s">
        <v>518</v>
      </c>
      <c r="U249" s="3">
        <v>93</v>
      </c>
      <c r="V249" s="3">
        <v>94</v>
      </c>
      <c r="W249" s="3">
        <v>48</v>
      </c>
    </row>
    <row r="250" spans="1:23" ht="11.25" customHeight="1" x14ac:dyDescent="0.25">
      <c r="A250" s="3" t="s">
        <v>21</v>
      </c>
      <c r="B250" s="3" t="s">
        <v>41</v>
      </c>
      <c r="C250" s="3" t="s">
        <v>42</v>
      </c>
      <c r="D250" s="3" t="s">
        <v>45</v>
      </c>
      <c r="E250" s="3" t="s">
        <v>53</v>
      </c>
      <c r="F250" s="3" t="s">
        <v>25</v>
      </c>
      <c r="G250" s="3" t="s">
        <v>25</v>
      </c>
      <c r="H250" s="3" t="s">
        <v>36</v>
      </c>
      <c r="I250" s="6">
        <v>44501</v>
      </c>
      <c r="J250" s="4">
        <v>40223</v>
      </c>
      <c r="K250" s="4">
        <v>38614.080000000002</v>
      </c>
      <c r="L250" s="4">
        <v>9331.5110000000004</v>
      </c>
      <c r="M250" s="4">
        <v>8958.2505600000004</v>
      </c>
      <c r="N250" s="4">
        <v>9331.5110000000004</v>
      </c>
      <c r="O250" s="4">
        <v>8958.2505600000004</v>
      </c>
      <c r="P250" s="4">
        <v>0</v>
      </c>
      <c r="Q250" s="3" t="s">
        <v>26</v>
      </c>
      <c r="R250" s="3">
        <v>0</v>
      </c>
      <c r="S250" s="3" t="s">
        <v>114</v>
      </c>
      <c r="T250" s="3" t="s">
        <v>519</v>
      </c>
      <c r="U250" s="3">
        <v>93</v>
      </c>
      <c r="V250" s="3">
        <v>94</v>
      </c>
      <c r="W250" s="3">
        <v>48</v>
      </c>
    </row>
    <row r="251" spans="1:23" ht="11.25" customHeight="1" x14ac:dyDescent="0.25">
      <c r="A251" s="3" t="s">
        <v>21</v>
      </c>
      <c r="B251" s="3" t="s">
        <v>41</v>
      </c>
      <c r="C251" s="3" t="s">
        <v>42</v>
      </c>
      <c r="D251" s="3" t="s">
        <v>45</v>
      </c>
      <c r="E251" s="3" t="s">
        <v>53</v>
      </c>
      <c r="F251" s="3" t="s">
        <v>25</v>
      </c>
      <c r="G251" s="3" t="s">
        <v>25</v>
      </c>
      <c r="H251" s="3" t="s">
        <v>36</v>
      </c>
      <c r="I251" s="6">
        <v>44531</v>
      </c>
      <c r="J251" s="4">
        <v>40310</v>
      </c>
      <c r="K251" s="4">
        <v>38697.599999999999</v>
      </c>
      <c r="L251" s="4">
        <v>9253.44</v>
      </c>
      <c r="M251" s="4">
        <v>8883.3024000000005</v>
      </c>
      <c r="N251" s="4">
        <v>9253.44</v>
      </c>
      <c r="O251" s="4">
        <v>8883.3024000000005</v>
      </c>
      <c r="P251" s="4">
        <v>0</v>
      </c>
      <c r="Q251" s="3" t="s">
        <v>26</v>
      </c>
      <c r="R251" s="3">
        <v>0</v>
      </c>
      <c r="S251" s="3" t="s">
        <v>115</v>
      </c>
      <c r="T251" s="3" t="s">
        <v>520</v>
      </c>
      <c r="U251" s="3">
        <v>93</v>
      </c>
      <c r="V251" s="3">
        <v>94</v>
      </c>
      <c r="W251" s="3">
        <v>48</v>
      </c>
    </row>
    <row r="252" spans="1:23" ht="11.25" customHeight="1" x14ac:dyDescent="0.25">
      <c r="A252" s="3" t="s">
        <v>21</v>
      </c>
      <c r="B252" s="3" t="s">
        <v>41</v>
      </c>
      <c r="C252" s="3" t="s">
        <v>42</v>
      </c>
      <c r="D252" s="3" t="s">
        <v>45</v>
      </c>
      <c r="E252" s="3" t="s">
        <v>53</v>
      </c>
      <c r="F252" s="3" t="s">
        <v>25</v>
      </c>
      <c r="G252" s="3" t="s">
        <v>25</v>
      </c>
      <c r="H252" s="3" t="s">
        <v>36</v>
      </c>
      <c r="I252" s="6">
        <v>44562</v>
      </c>
      <c r="J252" s="4">
        <v>34788</v>
      </c>
      <c r="K252" s="4">
        <v>33396.480000000003</v>
      </c>
      <c r="L252" s="4">
        <v>7363.6859999999997</v>
      </c>
      <c r="M252" s="4">
        <v>7069.1385600000003</v>
      </c>
      <c r="N252" s="4">
        <v>7363.6859999999997</v>
      </c>
      <c r="O252" s="4">
        <v>7069.1385600000003</v>
      </c>
      <c r="P252" s="4">
        <v>0</v>
      </c>
      <c r="Q252" s="3" t="s">
        <v>26</v>
      </c>
      <c r="R252" s="3">
        <v>0</v>
      </c>
      <c r="S252" s="3" t="s">
        <v>116</v>
      </c>
      <c r="T252" s="3" t="s">
        <v>521</v>
      </c>
      <c r="U252" s="3">
        <v>93</v>
      </c>
      <c r="V252" s="3">
        <v>94</v>
      </c>
      <c r="W252" s="3">
        <v>48</v>
      </c>
    </row>
    <row r="253" spans="1:23" ht="11.25" customHeight="1" x14ac:dyDescent="0.25">
      <c r="A253" s="3" t="s">
        <v>21</v>
      </c>
      <c r="B253" s="3" t="s">
        <v>41</v>
      </c>
      <c r="C253" s="3" t="s">
        <v>42</v>
      </c>
      <c r="D253" s="3" t="s">
        <v>45</v>
      </c>
      <c r="E253" s="3" t="s">
        <v>53</v>
      </c>
      <c r="F253" s="3" t="s">
        <v>25</v>
      </c>
      <c r="G253" s="3" t="s">
        <v>25</v>
      </c>
      <c r="H253" s="3" t="s">
        <v>36</v>
      </c>
      <c r="I253" s="6">
        <v>44593</v>
      </c>
      <c r="J253" s="4">
        <v>36266</v>
      </c>
      <c r="K253" s="4">
        <v>34815.360000000001</v>
      </c>
      <c r="L253" s="4">
        <v>6688.0519999999997</v>
      </c>
      <c r="M253" s="4">
        <v>6420.5299199999999</v>
      </c>
      <c r="N253" s="4">
        <v>6688.0519999999997</v>
      </c>
      <c r="O253" s="4">
        <v>6420.5299199999999</v>
      </c>
      <c r="P253" s="4">
        <v>0</v>
      </c>
      <c r="Q253" s="3" t="s">
        <v>26</v>
      </c>
      <c r="R253" s="3">
        <v>0</v>
      </c>
      <c r="S253" s="3" t="s">
        <v>117</v>
      </c>
      <c r="T253" s="3" t="s">
        <v>522</v>
      </c>
      <c r="U253" s="3">
        <v>93</v>
      </c>
      <c r="V253" s="3">
        <v>94</v>
      </c>
      <c r="W253" s="3">
        <v>48</v>
      </c>
    </row>
    <row r="254" spans="1:23" ht="11.25" customHeight="1" x14ac:dyDescent="0.25">
      <c r="A254" s="3" t="s">
        <v>21</v>
      </c>
      <c r="B254" s="3" t="s">
        <v>41</v>
      </c>
      <c r="C254" s="3" t="s">
        <v>42</v>
      </c>
      <c r="D254" s="3" t="s">
        <v>45</v>
      </c>
      <c r="E254" s="3" t="s">
        <v>53</v>
      </c>
      <c r="F254" s="3" t="s">
        <v>25</v>
      </c>
      <c r="G254" s="3" t="s">
        <v>25</v>
      </c>
      <c r="H254" s="3" t="s">
        <v>36</v>
      </c>
      <c r="I254" s="6">
        <v>44621</v>
      </c>
      <c r="J254" s="4">
        <v>29099</v>
      </c>
      <c r="K254" s="4">
        <v>27935.040000000001</v>
      </c>
      <c r="L254" s="4">
        <v>4225.5450000000001</v>
      </c>
      <c r="M254" s="4">
        <v>4056.5232000000001</v>
      </c>
      <c r="N254" s="4">
        <v>4225.5450000000001</v>
      </c>
      <c r="O254" s="4">
        <v>4056.5232000000001</v>
      </c>
      <c r="P254" s="4">
        <v>0</v>
      </c>
      <c r="Q254" s="3" t="s">
        <v>26</v>
      </c>
      <c r="R254" s="3">
        <v>0</v>
      </c>
      <c r="S254" s="3" t="s">
        <v>118</v>
      </c>
      <c r="T254" s="3" t="s">
        <v>523</v>
      </c>
      <c r="U254" s="3">
        <v>93</v>
      </c>
      <c r="V254" s="3">
        <v>94</v>
      </c>
      <c r="W254" s="3">
        <v>48</v>
      </c>
    </row>
    <row r="255" spans="1:23" ht="11.25" customHeight="1" x14ac:dyDescent="0.25">
      <c r="A255" s="3" t="s">
        <v>56</v>
      </c>
      <c r="B255" s="3" t="s">
        <v>41</v>
      </c>
      <c r="C255" s="3" t="s">
        <v>42</v>
      </c>
      <c r="D255" s="3" t="s">
        <v>45</v>
      </c>
      <c r="E255" s="3" t="s">
        <v>53</v>
      </c>
      <c r="F255" s="3" t="s">
        <v>25</v>
      </c>
      <c r="G255" s="3" t="s">
        <v>25</v>
      </c>
      <c r="H255" s="3" t="s">
        <v>36</v>
      </c>
      <c r="I255" s="6">
        <v>44652</v>
      </c>
      <c r="J255" s="4">
        <v>29099</v>
      </c>
      <c r="K255" s="4">
        <v>27935.040000000001</v>
      </c>
      <c r="L255" s="4">
        <v>4225.5450000000001</v>
      </c>
      <c r="M255" s="4">
        <v>4056.5232000000001</v>
      </c>
      <c r="N255" s="4">
        <v>4225.5450000000001</v>
      </c>
      <c r="O255" s="4">
        <v>4056.5232000000001</v>
      </c>
      <c r="P255" s="4">
        <v>0</v>
      </c>
      <c r="Q255" s="3" t="s">
        <v>26</v>
      </c>
      <c r="R255" s="3">
        <v>0</v>
      </c>
      <c r="S255" s="3" t="s">
        <v>119</v>
      </c>
      <c r="T255" s="3" t="s">
        <v>524</v>
      </c>
      <c r="U255" s="3">
        <v>93</v>
      </c>
      <c r="V255" s="3">
        <v>94</v>
      </c>
      <c r="W255" s="3">
        <v>48</v>
      </c>
    </row>
    <row r="256" spans="1:23" ht="11.25" customHeight="1" x14ac:dyDescent="0.25">
      <c r="A256" s="3" t="s">
        <v>21</v>
      </c>
      <c r="B256" s="3" t="s">
        <v>41</v>
      </c>
      <c r="C256" s="3" t="s">
        <v>42</v>
      </c>
      <c r="D256" s="3" t="s">
        <v>45</v>
      </c>
      <c r="E256" s="3" t="s">
        <v>53</v>
      </c>
      <c r="F256" s="3" t="s">
        <v>25</v>
      </c>
      <c r="G256" s="3" t="s">
        <v>25</v>
      </c>
      <c r="H256" s="3" t="s">
        <v>35</v>
      </c>
      <c r="I256" s="6">
        <v>44317</v>
      </c>
      <c r="J256" s="4">
        <v>2656</v>
      </c>
      <c r="K256" s="4">
        <v>2549.7600000000002</v>
      </c>
      <c r="L256" s="4">
        <v>57.115000000000002</v>
      </c>
      <c r="M256" s="4">
        <v>54.830399999999997</v>
      </c>
      <c r="N256" s="4">
        <v>57.115000000000002</v>
      </c>
      <c r="O256" s="4">
        <v>54.830399999999997</v>
      </c>
      <c r="P256" s="4">
        <v>0</v>
      </c>
      <c r="Q256" s="3" t="s">
        <v>26</v>
      </c>
      <c r="R256" s="3">
        <v>0</v>
      </c>
      <c r="S256" s="3" t="s">
        <v>132</v>
      </c>
      <c r="T256" s="3" t="s">
        <v>525</v>
      </c>
      <c r="U256" s="3">
        <v>92</v>
      </c>
      <c r="V256" s="3">
        <v>94</v>
      </c>
      <c r="W256" s="3">
        <v>47</v>
      </c>
    </row>
    <row r="257" spans="1:23" ht="11.25" customHeight="1" x14ac:dyDescent="0.25">
      <c r="A257" s="3" t="s">
        <v>21</v>
      </c>
      <c r="B257" s="3" t="s">
        <v>41</v>
      </c>
      <c r="C257" s="3" t="s">
        <v>42</v>
      </c>
      <c r="D257" s="3" t="s">
        <v>45</v>
      </c>
      <c r="E257" s="3" t="s">
        <v>53</v>
      </c>
      <c r="F257" s="3" t="s">
        <v>25</v>
      </c>
      <c r="G257" s="3" t="s">
        <v>25</v>
      </c>
      <c r="H257" s="3" t="s">
        <v>35</v>
      </c>
      <c r="I257" s="6">
        <v>44348</v>
      </c>
      <c r="J257" s="4">
        <v>2898</v>
      </c>
      <c r="K257" s="4">
        <v>2782.08</v>
      </c>
      <c r="L257" s="4">
        <v>55.436999999999998</v>
      </c>
      <c r="M257" s="4">
        <v>53.219520000000003</v>
      </c>
      <c r="N257" s="4">
        <v>55.436999999999998</v>
      </c>
      <c r="O257" s="4">
        <v>53.219520000000003</v>
      </c>
      <c r="P257" s="4">
        <v>0</v>
      </c>
      <c r="Q257" s="3" t="s">
        <v>26</v>
      </c>
      <c r="R257" s="3">
        <v>0</v>
      </c>
      <c r="S257" s="3" t="s">
        <v>133</v>
      </c>
      <c r="T257" s="3" t="s">
        <v>526</v>
      </c>
      <c r="U257" s="3">
        <v>92</v>
      </c>
      <c r="V257" s="3">
        <v>94</v>
      </c>
      <c r="W257" s="3">
        <v>47</v>
      </c>
    </row>
    <row r="258" spans="1:23" ht="11.25" customHeight="1" x14ac:dyDescent="0.25">
      <c r="A258" s="3" t="s">
        <v>21</v>
      </c>
      <c r="B258" s="3" t="s">
        <v>41</v>
      </c>
      <c r="C258" s="3" t="s">
        <v>42</v>
      </c>
      <c r="D258" s="3" t="s">
        <v>45</v>
      </c>
      <c r="E258" s="3" t="s">
        <v>53</v>
      </c>
      <c r="F258" s="3" t="s">
        <v>25</v>
      </c>
      <c r="G258" s="3" t="s">
        <v>25</v>
      </c>
      <c r="H258" s="3" t="s">
        <v>35</v>
      </c>
      <c r="I258" s="6">
        <v>44378</v>
      </c>
      <c r="J258" s="4">
        <v>2450</v>
      </c>
      <c r="K258" s="4">
        <v>2352</v>
      </c>
      <c r="L258" s="4">
        <v>66.162000000000006</v>
      </c>
      <c r="M258" s="4">
        <v>63.515520000000002</v>
      </c>
      <c r="N258" s="4">
        <v>66.162000000000006</v>
      </c>
      <c r="O258" s="4">
        <v>63.515520000000002</v>
      </c>
      <c r="P258" s="4">
        <v>0</v>
      </c>
      <c r="Q258" s="3" t="s">
        <v>26</v>
      </c>
      <c r="R258" s="3">
        <v>0</v>
      </c>
      <c r="S258" s="3" t="s">
        <v>134</v>
      </c>
      <c r="T258" s="3" t="s">
        <v>527</v>
      </c>
      <c r="U258" s="3">
        <v>92</v>
      </c>
      <c r="V258" s="3">
        <v>94</v>
      </c>
      <c r="W258" s="3">
        <v>47</v>
      </c>
    </row>
    <row r="259" spans="1:23" ht="11.25" customHeight="1" x14ac:dyDescent="0.25">
      <c r="A259" s="3" t="s">
        <v>21</v>
      </c>
      <c r="B259" s="3" t="s">
        <v>41</v>
      </c>
      <c r="C259" s="3" t="s">
        <v>42</v>
      </c>
      <c r="D259" s="3" t="s">
        <v>45</v>
      </c>
      <c r="E259" s="3" t="s">
        <v>53</v>
      </c>
      <c r="F259" s="3" t="s">
        <v>25</v>
      </c>
      <c r="G259" s="3" t="s">
        <v>25</v>
      </c>
      <c r="H259" s="3" t="s">
        <v>35</v>
      </c>
      <c r="I259" s="6">
        <v>44409</v>
      </c>
      <c r="J259" s="4">
        <v>6866</v>
      </c>
      <c r="K259" s="4">
        <v>6591.36</v>
      </c>
      <c r="L259" s="4">
        <v>41.415999999999997</v>
      </c>
      <c r="M259" s="4">
        <v>39.759360000000001</v>
      </c>
      <c r="N259" s="4">
        <v>41.415999999999997</v>
      </c>
      <c r="O259" s="4">
        <v>39.759360000000001</v>
      </c>
      <c r="P259" s="4">
        <v>0</v>
      </c>
      <c r="Q259" s="3" t="s">
        <v>26</v>
      </c>
      <c r="R259" s="3">
        <v>0</v>
      </c>
      <c r="S259" s="3" t="s">
        <v>135</v>
      </c>
      <c r="T259" s="3" t="s">
        <v>528</v>
      </c>
      <c r="U259" s="3">
        <v>92</v>
      </c>
      <c r="V259" s="3">
        <v>94</v>
      </c>
      <c r="W259" s="3">
        <v>47</v>
      </c>
    </row>
    <row r="260" spans="1:23" ht="11.25" customHeight="1" x14ac:dyDescent="0.25">
      <c r="A260" s="3" t="s">
        <v>27</v>
      </c>
      <c r="B260" s="3" t="s">
        <v>41</v>
      </c>
      <c r="C260" s="3" t="s">
        <v>42</v>
      </c>
      <c r="D260" s="3" t="s">
        <v>45</v>
      </c>
      <c r="E260" s="3" t="s">
        <v>53</v>
      </c>
      <c r="F260" s="3" t="s">
        <v>25</v>
      </c>
      <c r="G260" s="3" t="s">
        <v>25</v>
      </c>
      <c r="H260" s="3" t="s">
        <v>35</v>
      </c>
      <c r="I260" s="6">
        <v>44409</v>
      </c>
      <c r="J260" s="4">
        <v>-1</v>
      </c>
      <c r="K260" s="4">
        <v>-0.96</v>
      </c>
      <c r="L260" s="4">
        <v>-9.8640000000000008</v>
      </c>
      <c r="M260" s="4">
        <v>-9.4694400000000005</v>
      </c>
      <c r="N260" s="4">
        <v>-9.8640000000000008</v>
      </c>
      <c r="O260" s="4">
        <v>-9.4694400000000005</v>
      </c>
      <c r="P260" s="4">
        <v>0</v>
      </c>
      <c r="Q260" s="3" t="s">
        <v>26</v>
      </c>
      <c r="R260" s="3">
        <v>0</v>
      </c>
      <c r="S260" s="3" t="s">
        <v>135</v>
      </c>
      <c r="T260" s="3" t="s">
        <v>528</v>
      </c>
      <c r="U260" s="3">
        <v>92</v>
      </c>
      <c r="V260" s="3">
        <v>94</v>
      </c>
      <c r="W260" s="3">
        <v>47</v>
      </c>
    </row>
    <row r="261" spans="1:23" ht="11.25" customHeight="1" x14ac:dyDescent="0.25">
      <c r="A261" s="3" t="s">
        <v>21</v>
      </c>
      <c r="B261" s="3" t="s">
        <v>41</v>
      </c>
      <c r="C261" s="3" t="s">
        <v>42</v>
      </c>
      <c r="D261" s="3" t="s">
        <v>45</v>
      </c>
      <c r="E261" s="3" t="s">
        <v>53</v>
      </c>
      <c r="F261" s="3" t="s">
        <v>25</v>
      </c>
      <c r="G261" s="3" t="s">
        <v>25</v>
      </c>
      <c r="H261" s="3" t="s">
        <v>35</v>
      </c>
      <c r="I261" s="6">
        <v>44440</v>
      </c>
      <c r="J261" s="4">
        <v>10438</v>
      </c>
      <c r="K261" s="4">
        <v>10020.48</v>
      </c>
      <c r="L261" s="4">
        <v>285.35899999999998</v>
      </c>
      <c r="M261" s="4">
        <v>273.94463999999999</v>
      </c>
      <c r="N261" s="4">
        <v>285.35899999999998</v>
      </c>
      <c r="O261" s="4">
        <v>273.94463999999999</v>
      </c>
      <c r="P261" s="4">
        <v>0</v>
      </c>
      <c r="Q261" s="3" t="s">
        <v>26</v>
      </c>
      <c r="R261" s="3">
        <v>0</v>
      </c>
      <c r="S261" s="3" t="s">
        <v>136</v>
      </c>
      <c r="T261" s="3" t="s">
        <v>529</v>
      </c>
      <c r="U261" s="3">
        <v>92</v>
      </c>
      <c r="V261" s="3">
        <v>94</v>
      </c>
      <c r="W261" s="3">
        <v>47</v>
      </c>
    </row>
    <row r="262" spans="1:23" ht="11.25" customHeight="1" x14ac:dyDescent="0.25">
      <c r="A262" s="3" t="s">
        <v>27</v>
      </c>
      <c r="B262" s="3" t="s">
        <v>41</v>
      </c>
      <c r="C262" s="3" t="s">
        <v>42</v>
      </c>
      <c r="D262" s="3" t="s">
        <v>45</v>
      </c>
      <c r="E262" s="3" t="s">
        <v>53</v>
      </c>
      <c r="F262" s="3" t="s">
        <v>25</v>
      </c>
      <c r="G262" s="3" t="s">
        <v>25</v>
      </c>
      <c r="H262" s="3" t="s">
        <v>35</v>
      </c>
      <c r="I262" s="6">
        <v>44440</v>
      </c>
      <c r="J262" s="4">
        <v>-5000</v>
      </c>
      <c r="K262" s="4">
        <v>-4800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3" t="s">
        <v>26</v>
      </c>
      <c r="R262" s="3">
        <v>0</v>
      </c>
      <c r="S262" s="3" t="s">
        <v>136</v>
      </c>
      <c r="T262" s="3" t="s">
        <v>529</v>
      </c>
      <c r="U262" s="3">
        <v>92</v>
      </c>
      <c r="V262" s="3">
        <v>0</v>
      </c>
      <c r="W262" s="3">
        <v>0</v>
      </c>
    </row>
    <row r="263" spans="1:23" ht="11.25" customHeight="1" x14ac:dyDescent="0.25">
      <c r="A263" s="3" t="s">
        <v>21</v>
      </c>
      <c r="B263" s="3" t="s">
        <v>41</v>
      </c>
      <c r="C263" s="3" t="s">
        <v>42</v>
      </c>
      <c r="D263" s="3" t="s">
        <v>45</v>
      </c>
      <c r="E263" s="3" t="s">
        <v>53</v>
      </c>
      <c r="F263" s="3" t="s">
        <v>25</v>
      </c>
      <c r="G263" s="3" t="s">
        <v>25</v>
      </c>
      <c r="H263" s="3" t="s">
        <v>35</v>
      </c>
      <c r="I263" s="6">
        <v>44470</v>
      </c>
      <c r="J263" s="4">
        <v>19181</v>
      </c>
      <c r="K263" s="4">
        <v>18413.759999999998</v>
      </c>
      <c r="L263" s="4">
        <v>440.44600000000003</v>
      </c>
      <c r="M263" s="4">
        <v>422.82816000000003</v>
      </c>
      <c r="N263" s="4">
        <v>440.44600000000003</v>
      </c>
      <c r="O263" s="4">
        <v>422.82816000000003</v>
      </c>
      <c r="P263" s="4">
        <v>0</v>
      </c>
      <c r="Q263" s="3" t="s">
        <v>26</v>
      </c>
      <c r="R263" s="3">
        <v>0</v>
      </c>
      <c r="S263" s="3" t="s">
        <v>137</v>
      </c>
      <c r="T263" s="3" t="s">
        <v>530</v>
      </c>
      <c r="U263" s="3">
        <v>92</v>
      </c>
      <c r="V263" s="3">
        <v>94</v>
      </c>
      <c r="W263" s="3">
        <v>47</v>
      </c>
    </row>
    <row r="264" spans="1:23" ht="11.25" customHeight="1" x14ac:dyDescent="0.25">
      <c r="A264" s="3" t="s">
        <v>21</v>
      </c>
      <c r="B264" s="3" t="s">
        <v>41</v>
      </c>
      <c r="C264" s="3" t="s">
        <v>42</v>
      </c>
      <c r="D264" s="3" t="s">
        <v>45</v>
      </c>
      <c r="E264" s="3" t="s">
        <v>53</v>
      </c>
      <c r="F264" s="3" t="s">
        <v>25</v>
      </c>
      <c r="G264" s="3" t="s">
        <v>25</v>
      </c>
      <c r="H264" s="3" t="s">
        <v>35</v>
      </c>
      <c r="I264" s="6">
        <v>44501</v>
      </c>
      <c r="J264" s="4">
        <v>17184</v>
      </c>
      <c r="K264" s="4">
        <v>16496.64</v>
      </c>
      <c r="L264" s="4">
        <v>393.58499999999998</v>
      </c>
      <c r="M264" s="4">
        <v>377.84160000000003</v>
      </c>
      <c r="N264" s="4">
        <v>393.58499999999998</v>
      </c>
      <c r="O264" s="4">
        <v>377.84160000000003</v>
      </c>
      <c r="P264" s="4">
        <v>0</v>
      </c>
      <c r="Q264" s="3" t="s">
        <v>26</v>
      </c>
      <c r="R264" s="3">
        <v>0</v>
      </c>
      <c r="S264" s="3" t="s">
        <v>138</v>
      </c>
      <c r="T264" s="3" t="s">
        <v>531</v>
      </c>
      <c r="U264" s="3">
        <v>92</v>
      </c>
      <c r="V264" s="3">
        <v>94</v>
      </c>
      <c r="W264" s="3">
        <v>47</v>
      </c>
    </row>
    <row r="265" spans="1:23" ht="11.25" customHeight="1" x14ac:dyDescent="0.25">
      <c r="A265" s="3" t="s">
        <v>21</v>
      </c>
      <c r="B265" s="3" t="s">
        <v>41</v>
      </c>
      <c r="C265" s="3" t="s">
        <v>42</v>
      </c>
      <c r="D265" s="3" t="s">
        <v>45</v>
      </c>
      <c r="E265" s="3" t="s">
        <v>53</v>
      </c>
      <c r="F265" s="3" t="s">
        <v>25</v>
      </c>
      <c r="G265" s="3" t="s">
        <v>25</v>
      </c>
      <c r="H265" s="3" t="s">
        <v>35</v>
      </c>
      <c r="I265" s="6">
        <v>44531</v>
      </c>
      <c r="J265" s="4">
        <v>13433</v>
      </c>
      <c r="K265" s="4">
        <v>12895.68</v>
      </c>
      <c r="L265" s="4">
        <v>339.88400000000001</v>
      </c>
      <c r="M265" s="4">
        <v>326.28863999999999</v>
      </c>
      <c r="N265" s="4">
        <v>339.88400000000001</v>
      </c>
      <c r="O265" s="4">
        <v>326.28863999999999</v>
      </c>
      <c r="P265" s="4">
        <v>0</v>
      </c>
      <c r="Q265" s="3" t="s">
        <v>26</v>
      </c>
      <c r="R265" s="3">
        <v>0</v>
      </c>
      <c r="S265" s="3" t="s">
        <v>139</v>
      </c>
      <c r="T265" s="3" t="s">
        <v>532</v>
      </c>
      <c r="U265" s="3">
        <v>92</v>
      </c>
      <c r="V265" s="3">
        <v>94</v>
      </c>
      <c r="W265" s="3">
        <v>47</v>
      </c>
    </row>
    <row r="266" spans="1:23" ht="11.25" customHeight="1" x14ac:dyDescent="0.25">
      <c r="A266" s="3" t="s">
        <v>21</v>
      </c>
      <c r="B266" s="3" t="s">
        <v>41</v>
      </c>
      <c r="C266" s="3" t="s">
        <v>42</v>
      </c>
      <c r="D266" s="3" t="s">
        <v>45</v>
      </c>
      <c r="E266" s="3" t="s">
        <v>53</v>
      </c>
      <c r="F266" s="3" t="s">
        <v>25</v>
      </c>
      <c r="G266" s="3" t="s">
        <v>25</v>
      </c>
      <c r="H266" s="3" t="s">
        <v>35</v>
      </c>
      <c r="I266" s="6">
        <v>44562</v>
      </c>
      <c r="J266" s="4">
        <v>14199</v>
      </c>
      <c r="K266" s="4">
        <v>13631.04</v>
      </c>
      <c r="L266" s="4">
        <v>94.647000000000006</v>
      </c>
      <c r="M266" s="4">
        <v>90.86112</v>
      </c>
      <c r="N266" s="4">
        <v>94.647000000000006</v>
      </c>
      <c r="O266" s="4">
        <v>90.86112</v>
      </c>
      <c r="P266" s="4">
        <v>0</v>
      </c>
      <c r="Q266" s="3" t="s">
        <v>26</v>
      </c>
      <c r="R266" s="3">
        <v>0</v>
      </c>
      <c r="S266" s="3" t="s">
        <v>140</v>
      </c>
      <c r="T266" s="3" t="s">
        <v>533</v>
      </c>
      <c r="U266" s="3">
        <v>92</v>
      </c>
      <c r="V266" s="3">
        <v>94</v>
      </c>
      <c r="W266" s="3">
        <v>47</v>
      </c>
    </row>
    <row r="267" spans="1:23" ht="11.25" customHeight="1" x14ac:dyDescent="0.25">
      <c r="A267" s="3" t="s">
        <v>21</v>
      </c>
      <c r="B267" s="3" t="s">
        <v>41</v>
      </c>
      <c r="C267" s="3" t="s">
        <v>42</v>
      </c>
      <c r="D267" s="3" t="s">
        <v>45</v>
      </c>
      <c r="E267" s="3" t="s">
        <v>53</v>
      </c>
      <c r="F267" s="3" t="s">
        <v>25</v>
      </c>
      <c r="G267" s="3" t="s">
        <v>25</v>
      </c>
      <c r="H267" s="3" t="s">
        <v>35</v>
      </c>
      <c r="I267" s="6">
        <v>44593</v>
      </c>
      <c r="J267" s="4">
        <v>14550</v>
      </c>
      <c r="K267" s="4">
        <v>13968</v>
      </c>
      <c r="L267" s="4">
        <v>257.23599999999999</v>
      </c>
      <c r="M267" s="4">
        <v>246.94656000000001</v>
      </c>
      <c r="N267" s="4">
        <v>257.23599999999999</v>
      </c>
      <c r="O267" s="4">
        <v>246.94656000000001</v>
      </c>
      <c r="P267" s="4">
        <v>0</v>
      </c>
      <c r="Q267" s="3" t="s">
        <v>26</v>
      </c>
      <c r="R267" s="3">
        <v>0</v>
      </c>
      <c r="S267" s="3" t="s">
        <v>141</v>
      </c>
      <c r="T267" s="3" t="s">
        <v>534</v>
      </c>
      <c r="U267" s="3">
        <v>92</v>
      </c>
      <c r="V267" s="3">
        <v>94</v>
      </c>
      <c r="W267" s="3">
        <v>47</v>
      </c>
    </row>
    <row r="268" spans="1:23" ht="11.25" customHeight="1" x14ac:dyDescent="0.25">
      <c r="A268" s="3" t="s">
        <v>21</v>
      </c>
      <c r="B268" s="3" t="s">
        <v>41</v>
      </c>
      <c r="C268" s="3" t="s">
        <v>42</v>
      </c>
      <c r="D268" s="3" t="s">
        <v>45</v>
      </c>
      <c r="E268" s="3" t="s">
        <v>53</v>
      </c>
      <c r="F268" s="3" t="s">
        <v>25</v>
      </c>
      <c r="G268" s="3" t="s">
        <v>25</v>
      </c>
      <c r="H268" s="3" t="s">
        <v>35</v>
      </c>
      <c r="I268" s="6">
        <v>44621</v>
      </c>
      <c r="J268" s="4">
        <v>13990</v>
      </c>
      <c r="K268" s="4">
        <v>13430.4</v>
      </c>
      <c r="L268" s="4">
        <v>296.89499999999998</v>
      </c>
      <c r="M268" s="4">
        <v>285.01920000000001</v>
      </c>
      <c r="N268" s="4">
        <v>296.89499999999998</v>
      </c>
      <c r="O268" s="4">
        <v>285.01920000000001</v>
      </c>
      <c r="P268" s="4">
        <v>0</v>
      </c>
      <c r="Q268" s="3" t="s">
        <v>26</v>
      </c>
      <c r="R268" s="3">
        <v>0</v>
      </c>
      <c r="S268" s="3" t="s">
        <v>142</v>
      </c>
      <c r="T268" s="3" t="s">
        <v>535</v>
      </c>
      <c r="U268" s="3">
        <v>92</v>
      </c>
      <c r="V268" s="3">
        <v>94</v>
      </c>
      <c r="W268" s="3">
        <v>47</v>
      </c>
    </row>
    <row r="269" spans="1:23" ht="11.25" customHeight="1" x14ac:dyDescent="0.25">
      <c r="A269" s="3" t="s">
        <v>56</v>
      </c>
      <c r="B269" s="3" t="s">
        <v>41</v>
      </c>
      <c r="C269" s="3" t="s">
        <v>42</v>
      </c>
      <c r="D269" s="3" t="s">
        <v>45</v>
      </c>
      <c r="E269" s="3" t="s">
        <v>53</v>
      </c>
      <c r="F269" s="3" t="s">
        <v>25</v>
      </c>
      <c r="G269" s="3" t="s">
        <v>25</v>
      </c>
      <c r="H269" s="3" t="s">
        <v>35</v>
      </c>
      <c r="I269" s="6">
        <v>44652</v>
      </c>
      <c r="J269" s="4">
        <v>13990</v>
      </c>
      <c r="K269" s="4">
        <v>13430.4</v>
      </c>
      <c r="L269" s="4">
        <v>296.89499999999998</v>
      </c>
      <c r="M269" s="4">
        <v>285.01920000000001</v>
      </c>
      <c r="N269" s="4">
        <v>296.89499999999998</v>
      </c>
      <c r="O269" s="4">
        <v>285.01920000000001</v>
      </c>
      <c r="P269" s="4">
        <v>0</v>
      </c>
      <c r="Q269" s="3" t="s">
        <v>26</v>
      </c>
      <c r="R269" s="3">
        <v>0</v>
      </c>
      <c r="S269" s="3" t="s">
        <v>143</v>
      </c>
      <c r="T269" s="3" t="s">
        <v>536</v>
      </c>
      <c r="U269" s="3">
        <v>92</v>
      </c>
      <c r="V269" s="3">
        <v>94</v>
      </c>
      <c r="W269" s="3">
        <v>47</v>
      </c>
    </row>
    <row r="270" spans="1:23" ht="11.25" customHeight="1" x14ac:dyDescent="0.25">
      <c r="A270" s="3" t="s">
        <v>21</v>
      </c>
      <c r="B270" s="3" t="s">
        <v>41</v>
      </c>
      <c r="C270" s="3" t="s">
        <v>42</v>
      </c>
      <c r="D270" s="3" t="s">
        <v>45</v>
      </c>
      <c r="E270" s="3" t="s">
        <v>25</v>
      </c>
      <c r="F270" s="3" t="s">
        <v>25</v>
      </c>
      <c r="G270" s="3" t="s">
        <v>25</v>
      </c>
      <c r="H270" s="3" t="s">
        <v>36</v>
      </c>
      <c r="I270" s="6">
        <v>44317</v>
      </c>
      <c r="J270" s="4">
        <v>144</v>
      </c>
      <c r="K270" s="4">
        <v>138.24</v>
      </c>
      <c r="L270" s="4">
        <v>8.6219999999999999</v>
      </c>
      <c r="M270" s="4">
        <v>8.27712</v>
      </c>
      <c r="N270" s="4">
        <v>8.6219999999999999</v>
      </c>
      <c r="O270" s="4">
        <v>8.27712</v>
      </c>
      <c r="P270" s="4">
        <v>0</v>
      </c>
      <c r="Q270" s="3" t="s">
        <v>26</v>
      </c>
      <c r="R270" s="3">
        <v>0</v>
      </c>
      <c r="S270" s="3" t="s">
        <v>108</v>
      </c>
      <c r="T270" s="3" t="s">
        <v>513</v>
      </c>
      <c r="U270" s="3">
        <v>93</v>
      </c>
      <c r="V270" s="3">
        <v>94</v>
      </c>
      <c r="W270" s="3">
        <v>48</v>
      </c>
    </row>
    <row r="271" spans="1:23" ht="11.25" customHeight="1" x14ac:dyDescent="0.25">
      <c r="A271" s="3" t="s">
        <v>21</v>
      </c>
      <c r="B271" s="3" t="s">
        <v>41</v>
      </c>
      <c r="C271" s="3" t="s">
        <v>42</v>
      </c>
      <c r="D271" s="3" t="s">
        <v>45</v>
      </c>
      <c r="E271" s="3" t="s">
        <v>25</v>
      </c>
      <c r="F271" s="3" t="s">
        <v>25</v>
      </c>
      <c r="G271" s="3" t="s">
        <v>25</v>
      </c>
      <c r="H271" s="3" t="s">
        <v>36</v>
      </c>
      <c r="I271" s="6">
        <v>44348</v>
      </c>
      <c r="J271" s="4">
        <v>45</v>
      </c>
      <c r="K271" s="4">
        <v>43.2</v>
      </c>
      <c r="L271" s="4">
        <v>8.0399999999999991</v>
      </c>
      <c r="M271" s="4">
        <v>7.7183999999999999</v>
      </c>
      <c r="N271" s="4">
        <v>8.0399999999999991</v>
      </c>
      <c r="O271" s="4">
        <v>7.7183999999999999</v>
      </c>
      <c r="P271" s="4">
        <v>0</v>
      </c>
      <c r="Q271" s="3" t="s">
        <v>26</v>
      </c>
      <c r="R271" s="3">
        <v>0</v>
      </c>
      <c r="S271" s="3" t="s">
        <v>109</v>
      </c>
      <c r="T271" s="3" t="s">
        <v>514</v>
      </c>
      <c r="U271" s="3">
        <v>93</v>
      </c>
      <c r="V271" s="3">
        <v>94</v>
      </c>
      <c r="W271" s="3">
        <v>48</v>
      </c>
    </row>
    <row r="272" spans="1:23" ht="11.25" customHeight="1" x14ac:dyDescent="0.25">
      <c r="A272" s="3" t="s">
        <v>21</v>
      </c>
      <c r="B272" s="3" t="s">
        <v>41</v>
      </c>
      <c r="C272" s="3" t="s">
        <v>42</v>
      </c>
      <c r="D272" s="3" t="s">
        <v>45</v>
      </c>
      <c r="E272" s="3" t="s">
        <v>25</v>
      </c>
      <c r="F272" s="3" t="s">
        <v>25</v>
      </c>
      <c r="G272" s="3" t="s">
        <v>25</v>
      </c>
      <c r="H272" s="3" t="s">
        <v>36</v>
      </c>
      <c r="I272" s="6">
        <v>44378</v>
      </c>
      <c r="J272" s="4">
        <v>45</v>
      </c>
      <c r="K272" s="4">
        <v>43.2</v>
      </c>
      <c r="L272" s="4">
        <v>8.1539999999999999</v>
      </c>
      <c r="M272" s="4">
        <v>7.8278400000000001</v>
      </c>
      <c r="N272" s="4">
        <v>8.1539999999999999</v>
      </c>
      <c r="O272" s="4">
        <v>7.8278400000000001</v>
      </c>
      <c r="P272" s="4">
        <v>0</v>
      </c>
      <c r="Q272" s="3" t="s">
        <v>26</v>
      </c>
      <c r="R272" s="3">
        <v>0</v>
      </c>
      <c r="S272" s="3" t="s">
        <v>110</v>
      </c>
      <c r="T272" s="3" t="s">
        <v>515</v>
      </c>
      <c r="U272" s="3">
        <v>93</v>
      </c>
      <c r="V272" s="3">
        <v>94</v>
      </c>
      <c r="W272" s="3">
        <v>48</v>
      </c>
    </row>
    <row r="273" spans="1:23" ht="11.25" customHeight="1" x14ac:dyDescent="0.25">
      <c r="A273" s="3" t="s">
        <v>21</v>
      </c>
      <c r="B273" s="3" t="s">
        <v>41</v>
      </c>
      <c r="C273" s="3" t="s">
        <v>42</v>
      </c>
      <c r="D273" s="3" t="s">
        <v>45</v>
      </c>
      <c r="E273" s="3" t="s">
        <v>25</v>
      </c>
      <c r="F273" s="3" t="s">
        <v>25</v>
      </c>
      <c r="G273" s="3" t="s">
        <v>25</v>
      </c>
      <c r="H273" s="3" t="s">
        <v>35</v>
      </c>
      <c r="I273" s="6">
        <v>44317</v>
      </c>
      <c r="J273" s="4">
        <v>1022</v>
      </c>
      <c r="K273" s="4">
        <v>981.12</v>
      </c>
      <c r="L273" s="4">
        <v>0.96599999999999997</v>
      </c>
      <c r="M273" s="4">
        <v>0.92735999999999996</v>
      </c>
      <c r="N273" s="4">
        <v>0.96599999999999997</v>
      </c>
      <c r="O273" s="4">
        <v>0.92735999999999996</v>
      </c>
      <c r="P273" s="4">
        <v>0</v>
      </c>
      <c r="Q273" s="3" t="s">
        <v>26</v>
      </c>
      <c r="R273" s="3">
        <v>0</v>
      </c>
      <c r="S273" s="3" t="s">
        <v>132</v>
      </c>
      <c r="T273" s="3" t="s">
        <v>525</v>
      </c>
      <c r="U273" s="3">
        <v>92</v>
      </c>
      <c r="V273" s="3">
        <v>94</v>
      </c>
      <c r="W273" s="3">
        <v>47</v>
      </c>
    </row>
    <row r="274" spans="1:23" ht="11.25" customHeight="1" x14ac:dyDescent="0.25">
      <c r="A274" s="3" t="s">
        <v>21</v>
      </c>
      <c r="B274" s="3" t="s">
        <v>41</v>
      </c>
      <c r="C274" s="3" t="s">
        <v>42</v>
      </c>
      <c r="D274" s="3" t="s">
        <v>45</v>
      </c>
      <c r="E274" s="3" t="s">
        <v>25</v>
      </c>
      <c r="F274" s="3" t="s">
        <v>25</v>
      </c>
      <c r="G274" s="3" t="s">
        <v>25</v>
      </c>
      <c r="H274" s="3" t="s">
        <v>35</v>
      </c>
      <c r="I274" s="6">
        <v>44348</v>
      </c>
      <c r="J274" s="4">
        <v>24</v>
      </c>
      <c r="K274" s="4">
        <v>23.04</v>
      </c>
      <c r="L274" s="4">
        <v>0.93600000000000005</v>
      </c>
      <c r="M274" s="4">
        <v>0.89856000000000003</v>
      </c>
      <c r="N274" s="4">
        <v>0.93600000000000005</v>
      </c>
      <c r="O274" s="4">
        <v>0.89856000000000003</v>
      </c>
      <c r="P274" s="4">
        <v>0</v>
      </c>
      <c r="Q274" s="3" t="s">
        <v>26</v>
      </c>
      <c r="R274" s="3">
        <v>0</v>
      </c>
      <c r="S274" s="3" t="s">
        <v>133</v>
      </c>
      <c r="T274" s="3" t="s">
        <v>526</v>
      </c>
      <c r="U274" s="3">
        <v>92</v>
      </c>
      <c r="V274" s="3">
        <v>94</v>
      </c>
      <c r="W274" s="3">
        <v>47</v>
      </c>
    </row>
    <row r="275" spans="1:23" ht="11.25" customHeight="1" x14ac:dyDescent="0.25">
      <c r="A275" s="3" t="s">
        <v>21</v>
      </c>
      <c r="B275" s="3" t="s">
        <v>41</v>
      </c>
      <c r="C275" s="3" t="s">
        <v>42</v>
      </c>
      <c r="D275" s="3" t="s">
        <v>45</v>
      </c>
      <c r="E275" s="3" t="s">
        <v>25</v>
      </c>
      <c r="F275" s="3" t="s">
        <v>25</v>
      </c>
      <c r="G275" s="3" t="s">
        <v>25</v>
      </c>
      <c r="H275" s="3" t="s">
        <v>35</v>
      </c>
      <c r="I275" s="6">
        <v>44378</v>
      </c>
      <c r="J275" s="4">
        <v>24</v>
      </c>
      <c r="K275" s="4">
        <v>23.04</v>
      </c>
      <c r="L275" s="4">
        <v>0.99</v>
      </c>
      <c r="M275" s="4">
        <v>0.95040000000000002</v>
      </c>
      <c r="N275" s="4">
        <v>0.99</v>
      </c>
      <c r="O275" s="4">
        <v>0.95040000000000002</v>
      </c>
      <c r="P275" s="4">
        <v>0</v>
      </c>
      <c r="Q275" s="3" t="s">
        <v>26</v>
      </c>
      <c r="R275" s="3">
        <v>0</v>
      </c>
      <c r="S275" s="3" t="s">
        <v>134</v>
      </c>
      <c r="T275" s="3" t="s">
        <v>527</v>
      </c>
      <c r="U275" s="3">
        <v>92</v>
      </c>
      <c r="V275" s="3">
        <v>94</v>
      </c>
      <c r="W275" s="3">
        <v>47</v>
      </c>
    </row>
    <row r="276" spans="1:23" ht="11.25" customHeight="1" x14ac:dyDescent="0.25">
      <c r="A276" s="3" t="s">
        <v>21</v>
      </c>
      <c r="B276" s="3" t="s">
        <v>41</v>
      </c>
      <c r="C276" s="3" t="s">
        <v>42</v>
      </c>
      <c r="D276" s="3" t="s">
        <v>50</v>
      </c>
      <c r="E276" s="3" t="s">
        <v>51</v>
      </c>
      <c r="F276" s="3" t="s">
        <v>25</v>
      </c>
      <c r="G276" s="3" t="s">
        <v>25</v>
      </c>
      <c r="H276" s="3" t="s">
        <v>36</v>
      </c>
      <c r="I276" s="6">
        <v>44317</v>
      </c>
      <c r="J276" s="4">
        <v>4600</v>
      </c>
      <c r="K276" s="4">
        <v>4324</v>
      </c>
      <c r="L276" s="4">
        <v>225.024</v>
      </c>
      <c r="M276" s="4">
        <v>211.52256</v>
      </c>
      <c r="N276" s="4">
        <v>225.024</v>
      </c>
      <c r="O276" s="4">
        <v>211.52256</v>
      </c>
      <c r="P276" s="4">
        <v>0</v>
      </c>
      <c r="Q276" s="3" t="s">
        <v>26</v>
      </c>
      <c r="R276" s="3">
        <v>0</v>
      </c>
      <c r="S276" s="3" t="s">
        <v>108</v>
      </c>
      <c r="T276" s="3" t="s">
        <v>513</v>
      </c>
      <c r="U276" s="3">
        <v>93</v>
      </c>
      <c r="V276" s="3">
        <v>94</v>
      </c>
      <c r="W276" s="3">
        <v>48</v>
      </c>
    </row>
    <row r="277" spans="1:23" ht="11.25" customHeight="1" x14ac:dyDescent="0.25">
      <c r="A277" s="3" t="s">
        <v>21</v>
      </c>
      <c r="B277" s="3" t="s">
        <v>41</v>
      </c>
      <c r="C277" s="3" t="s">
        <v>42</v>
      </c>
      <c r="D277" s="3" t="s">
        <v>50</v>
      </c>
      <c r="E277" s="3" t="s">
        <v>51</v>
      </c>
      <c r="F277" s="3" t="s">
        <v>25</v>
      </c>
      <c r="G277" s="3" t="s">
        <v>25</v>
      </c>
      <c r="H277" s="3" t="s">
        <v>36</v>
      </c>
      <c r="I277" s="6">
        <v>44348</v>
      </c>
      <c r="J277" s="4">
        <v>4600</v>
      </c>
      <c r="K277" s="4">
        <v>4324</v>
      </c>
      <c r="L277" s="4">
        <v>282.38400000000001</v>
      </c>
      <c r="M277" s="4">
        <v>265.44096000000002</v>
      </c>
      <c r="N277" s="4">
        <v>282.38400000000001</v>
      </c>
      <c r="O277" s="4">
        <v>265.44096000000002</v>
      </c>
      <c r="P277" s="4">
        <v>0</v>
      </c>
      <c r="Q277" s="3" t="s">
        <v>26</v>
      </c>
      <c r="R277" s="3">
        <v>0</v>
      </c>
      <c r="S277" s="3" t="s">
        <v>109</v>
      </c>
      <c r="T277" s="3" t="s">
        <v>514</v>
      </c>
      <c r="U277" s="3">
        <v>93</v>
      </c>
      <c r="V277" s="3">
        <v>94</v>
      </c>
      <c r="W277" s="3">
        <v>48</v>
      </c>
    </row>
    <row r="278" spans="1:23" ht="11.25" customHeight="1" x14ac:dyDescent="0.25">
      <c r="A278" s="3" t="s">
        <v>21</v>
      </c>
      <c r="B278" s="3" t="s">
        <v>41</v>
      </c>
      <c r="C278" s="3" t="s">
        <v>42</v>
      </c>
      <c r="D278" s="3" t="s">
        <v>50</v>
      </c>
      <c r="E278" s="3" t="s">
        <v>51</v>
      </c>
      <c r="F278" s="3" t="s">
        <v>25</v>
      </c>
      <c r="G278" s="3" t="s">
        <v>25</v>
      </c>
      <c r="H278" s="3" t="s">
        <v>36</v>
      </c>
      <c r="I278" s="6">
        <v>44378</v>
      </c>
      <c r="J278" s="4">
        <v>4600</v>
      </c>
      <c r="K278" s="4">
        <v>4324</v>
      </c>
      <c r="L278" s="4">
        <v>240.096</v>
      </c>
      <c r="M278" s="4">
        <v>225.69023999999999</v>
      </c>
      <c r="N278" s="4">
        <v>240.096</v>
      </c>
      <c r="O278" s="4">
        <v>225.69023999999999</v>
      </c>
      <c r="P278" s="4">
        <v>0</v>
      </c>
      <c r="Q278" s="3" t="s">
        <v>26</v>
      </c>
      <c r="R278" s="3">
        <v>0</v>
      </c>
      <c r="S278" s="3" t="s">
        <v>110</v>
      </c>
      <c r="T278" s="3" t="s">
        <v>515</v>
      </c>
      <c r="U278" s="3">
        <v>93</v>
      </c>
      <c r="V278" s="3">
        <v>94</v>
      </c>
      <c r="W278" s="3">
        <v>48</v>
      </c>
    </row>
    <row r="279" spans="1:23" ht="11.25" customHeight="1" x14ac:dyDescent="0.25">
      <c r="A279" s="3" t="s">
        <v>21</v>
      </c>
      <c r="B279" s="3" t="s">
        <v>41</v>
      </c>
      <c r="C279" s="3" t="s">
        <v>42</v>
      </c>
      <c r="D279" s="3" t="s">
        <v>50</v>
      </c>
      <c r="E279" s="3" t="s">
        <v>51</v>
      </c>
      <c r="F279" s="3" t="s">
        <v>25</v>
      </c>
      <c r="G279" s="3" t="s">
        <v>25</v>
      </c>
      <c r="H279" s="3" t="s">
        <v>36</v>
      </c>
      <c r="I279" s="6">
        <v>44409</v>
      </c>
      <c r="J279" s="4">
        <v>4600</v>
      </c>
      <c r="K279" s="4">
        <v>4324</v>
      </c>
      <c r="L279" s="4">
        <v>341.88</v>
      </c>
      <c r="M279" s="4">
        <v>321.36720000000003</v>
      </c>
      <c r="N279" s="4">
        <v>341.88</v>
      </c>
      <c r="O279" s="4">
        <v>321.36720000000003</v>
      </c>
      <c r="P279" s="4">
        <v>0</v>
      </c>
      <c r="Q279" s="3" t="s">
        <v>26</v>
      </c>
      <c r="R279" s="3">
        <v>0</v>
      </c>
      <c r="S279" s="3" t="s">
        <v>111</v>
      </c>
      <c r="T279" s="3" t="s">
        <v>516</v>
      </c>
      <c r="U279" s="3">
        <v>93</v>
      </c>
      <c r="V279" s="3">
        <v>94</v>
      </c>
      <c r="W279" s="3">
        <v>48</v>
      </c>
    </row>
    <row r="280" spans="1:23" ht="11.25" customHeight="1" x14ac:dyDescent="0.25">
      <c r="A280" s="3" t="s">
        <v>21</v>
      </c>
      <c r="B280" s="3" t="s">
        <v>41</v>
      </c>
      <c r="C280" s="3" t="s">
        <v>42</v>
      </c>
      <c r="D280" s="3" t="s">
        <v>50</v>
      </c>
      <c r="E280" s="3" t="s">
        <v>51</v>
      </c>
      <c r="F280" s="3" t="s">
        <v>25</v>
      </c>
      <c r="G280" s="3" t="s">
        <v>25</v>
      </c>
      <c r="H280" s="3" t="s">
        <v>36</v>
      </c>
      <c r="I280" s="6">
        <v>44440</v>
      </c>
      <c r="J280" s="4">
        <v>4600</v>
      </c>
      <c r="K280" s="4">
        <v>4324</v>
      </c>
      <c r="L280" s="4">
        <v>384.49200000000002</v>
      </c>
      <c r="M280" s="4">
        <v>361.42248000000001</v>
      </c>
      <c r="N280" s="4">
        <v>384.49200000000002</v>
      </c>
      <c r="O280" s="4">
        <v>361.42248000000001</v>
      </c>
      <c r="P280" s="4">
        <v>0</v>
      </c>
      <c r="Q280" s="3" t="s">
        <v>26</v>
      </c>
      <c r="R280" s="3">
        <v>0</v>
      </c>
      <c r="S280" s="3" t="s">
        <v>112</v>
      </c>
      <c r="T280" s="3" t="s">
        <v>517</v>
      </c>
      <c r="U280" s="3">
        <v>93</v>
      </c>
      <c r="V280" s="3">
        <v>94</v>
      </c>
      <c r="W280" s="3">
        <v>48</v>
      </c>
    </row>
    <row r="281" spans="1:23" ht="11.25" customHeight="1" x14ac:dyDescent="0.25">
      <c r="A281" s="3" t="s">
        <v>21</v>
      </c>
      <c r="B281" s="3" t="s">
        <v>41</v>
      </c>
      <c r="C281" s="3" t="s">
        <v>42</v>
      </c>
      <c r="D281" s="3" t="s">
        <v>50</v>
      </c>
      <c r="E281" s="3" t="s">
        <v>51</v>
      </c>
      <c r="F281" s="3" t="s">
        <v>25</v>
      </c>
      <c r="G281" s="3" t="s">
        <v>25</v>
      </c>
      <c r="H281" s="3" t="s">
        <v>36</v>
      </c>
      <c r="I281" s="6">
        <v>44470</v>
      </c>
      <c r="J281" s="4">
        <v>4600</v>
      </c>
      <c r="K281" s="4">
        <v>4324</v>
      </c>
      <c r="L281" s="4">
        <v>380.964</v>
      </c>
      <c r="M281" s="4">
        <v>358.10615999999999</v>
      </c>
      <c r="N281" s="4">
        <v>380.964</v>
      </c>
      <c r="O281" s="4">
        <v>358.10615999999999</v>
      </c>
      <c r="P281" s="4">
        <v>0</v>
      </c>
      <c r="Q281" s="3" t="s">
        <v>26</v>
      </c>
      <c r="R281" s="3">
        <v>0</v>
      </c>
      <c r="S281" s="3" t="s">
        <v>113</v>
      </c>
      <c r="T281" s="3" t="s">
        <v>518</v>
      </c>
      <c r="U281" s="3">
        <v>93</v>
      </c>
      <c r="V281" s="3">
        <v>94</v>
      </c>
      <c r="W281" s="3">
        <v>48</v>
      </c>
    </row>
    <row r="282" spans="1:23" ht="11.25" customHeight="1" x14ac:dyDescent="0.25">
      <c r="A282" s="3" t="s">
        <v>21</v>
      </c>
      <c r="B282" s="3" t="s">
        <v>41</v>
      </c>
      <c r="C282" s="3" t="s">
        <v>42</v>
      </c>
      <c r="D282" s="3" t="s">
        <v>50</v>
      </c>
      <c r="E282" s="3" t="s">
        <v>51</v>
      </c>
      <c r="F282" s="3" t="s">
        <v>25</v>
      </c>
      <c r="G282" s="3" t="s">
        <v>25</v>
      </c>
      <c r="H282" s="3" t="s">
        <v>36</v>
      </c>
      <c r="I282" s="6">
        <v>44501</v>
      </c>
      <c r="J282" s="4">
        <v>4600</v>
      </c>
      <c r="K282" s="4">
        <v>4324</v>
      </c>
      <c r="L282" s="4">
        <v>427.84800000000001</v>
      </c>
      <c r="M282" s="4">
        <v>402.17712</v>
      </c>
      <c r="N282" s="4">
        <v>427.84800000000001</v>
      </c>
      <c r="O282" s="4">
        <v>402.17712</v>
      </c>
      <c r="P282" s="4">
        <v>0</v>
      </c>
      <c r="Q282" s="3" t="s">
        <v>26</v>
      </c>
      <c r="R282" s="3">
        <v>0</v>
      </c>
      <c r="S282" s="3" t="s">
        <v>114</v>
      </c>
      <c r="T282" s="3" t="s">
        <v>519</v>
      </c>
      <c r="U282" s="3">
        <v>93</v>
      </c>
      <c r="V282" s="3">
        <v>94</v>
      </c>
      <c r="W282" s="3">
        <v>48</v>
      </c>
    </row>
    <row r="283" spans="1:23" ht="11.25" customHeight="1" x14ac:dyDescent="0.25">
      <c r="A283" s="3" t="s">
        <v>21</v>
      </c>
      <c r="B283" s="3" t="s">
        <v>41</v>
      </c>
      <c r="C283" s="3" t="s">
        <v>42</v>
      </c>
      <c r="D283" s="3" t="s">
        <v>50</v>
      </c>
      <c r="E283" s="3" t="s">
        <v>51</v>
      </c>
      <c r="F283" s="3" t="s">
        <v>25</v>
      </c>
      <c r="G283" s="3" t="s">
        <v>25</v>
      </c>
      <c r="H283" s="3" t="s">
        <v>36</v>
      </c>
      <c r="I283" s="6">
        <v>44531</v>
      </c>
      <c r="J283" s="4">
        <v>4600</v>
      </c>
      <c r="K283" s="4">
        <v>4324</v>
      </c>
      <c r="L283" s="4">
        <v>392.08800000000002</v>
      </c>
      <c r="M283" s="4">
        <v>368.56272000000001</v>
      </c>
      <c r="N283" s="4">
        <v>392.08800000000002</v>
      </c>
      <c r="O283" s="4">
        <v>368.56272000000001</v>
      </c>
      <c r="P283" s="4">
        <v>0</v>
      </c>
      <c r="Q283" s="3" t="s">
        <v>26</v>
      </c>
      <c r="R283" s="3">
        <v>0</v>
      </c>
      <c r="S283" s="3" t="s">
        <v>115</v>
      </c>
      <c r="T283" s="3" t="s">
        <v>520</v>
      </c>
      <c r="U283" s="3">
        <v>93</v>
      </c>
      <c r="V283" s="3">
        <v>94</v>
      </c>
      <c r="W283" s="3">
        <v>48</v>
      </c>
    </row>
    <row r="284" spans="1:23" ht="11.25" customHeight="1" x14ac:dyDescent="0.25">
      <c r="A284" s="3" t="s">
        <v>21</v>
      </c>
      <c r="B284" s="3" t="s">
        <v>41</v>
      </c>
      <c r="C284" s="3" t="s">
        <v>42</v>
      </c>
      <c r="D284" s="3" t="s">
        <v>50</v>
      </c>
      <c r="E284" s="3" t="s">
        <v>51</v>
      </c>
      <c r="F284" s="3" t="s">
        <v>25</v>
      </c>
      <c r="G284" s="3" t="s">
        <v>25</v>
      </c>
      <c r="H284" s="3" t="s">
        <v>36</v>
      </c>
      <c r="I284" s="6">
        <v>44562</v>
      </c>
      <c r="J284" s="4">
        <v>4600</v>
      </c>
      <c r="K284" s="4">
        <v>4324</v>
      </c>
      <c r="L284" s="4">
        <v>325.572</v>
      </c>
      <c r="M284" s="4">
        <v>306.03768000000002</v>
      </c>
      <c r="N284" s="4">
        <v>325.572</v>
      </c>
      <c r="O284" s="4">
        <v>306.03768000000002</v>
      </c>
      <c r="P284" s="4">
        <v>0</v>
      </c>
      <c r="Q284" s="3" t="s">
        <v>26</v>
      </c>
      <c r="R284" s="3">
        <v>0</v>
      </c>
      <c r="S284" s="3" t="s">
        <v>116</v>
      </c>
      <c r="T284" s="3" t="s">
        <v>521</v>
      </c>
      <c r="U284" s="3">
        <v>93</v>
      </c>
      <c r="V284" s="3">
        <v>94</v>
      </c>
      <c r="W284" s="3">
        <v>48</v>
      </c>
    </row>
    <row r="285" spans="1:23" ht="11.25" customHeight="1" x14ac:dyDescent="0.25">
      <c r="A285" s="3" t="s">
        <v>21</v>
      </c>
      <c r="B285" s="3" t="s">
        <v>41</v>
      </c>
      <c r="C285" s="3" t="s">
        <v>42</v>
      </c>
      <c r="D285" s="3" t="s">
        <v>50</v>
      </c>
      <c r="E285" s="3" t="s">
        <v>51</v>
      </c>
      <c r="F285" s="3" t="s">
        <v>25</v>
      </c>
      <c r="G285" s="3" t="s">
        <v>25</v>
      </c>
      <c r="H285" s="3" t="s">
        <v>36</v>
      </c>
      <c r="I285" s="6">
        <v>44593</v>
      </c>
      <c r="J285" s="4">
        <v>4600</v>
      </c>
      <c r="K285" s="4">
        <v>4324</v>
      </c>
      <c r="L285" s="4">
        <v>324.096</v>
      </c>
      <c r="M285" s="4">
        <v>304.65024</v>
      </c>
      <c r="N285" s="4">
        <v>324.096</v>
      </c>
      <c r="O285" s="4">
        <v>304.65024</v>
      </c>
      <c r="P285" s="4">
        <v>0</v>
      </c>
      <c r="Q285" s="3" t="s">
        <v>26</v>
      </c>
      <c r="R285" s="3">
        <v>0</v>
      </c>
      <c r="S285" s="3" t="s">
        <v>117</v>
      </c>
      <c r="T285" s="3" t="s">
        <v>522</v>
      </c>
      <c r="U285" s="3">
        <v>93</v>
      </c>
      <c r="V285" s="3">
        <v>94</v>
      </c>
      <c r="W285" s="3">
        <v>48</v>
      </c>
    </row>
    <row r="286" spans="1:23" ht="11.25" customHeight="1" x14ac:dyDescent="0.25">
      <c r="A286" s="3" t="s">
        <v>21</v>
      </c>
      <c r="B286" s="3" t="s">
        <v>41</v>
      </c>
      <c r="C286" s="3" t="s">
        <v>42</v>
      </c>
      <c r="D286" s="3" t="s">
        <v>50</v>
      </c>
      <c r="E286" s="3" t="s">
        <v>51</v>
      </c>
      <c r="F286" s="3" t="s">
        <v>25</v>
      </c>
      <c r="G286" s="3" t="s">
        <v>25</v>
      </c>
      <c r="H286" s="3" t="s">
        <v>36</v>
      </c>
      <c r="I286" s="6">
        <v>44621</v>
      </c>
      <c r="J286" s="4">
        <v>4600</v>
      </c>
      <c r="K286" s="4">
        <v>4324</v>
      </c>
      <c r="L286" s="4">
        <v>407.02800000000002</v>
      </c>
      <c r="M286" s="4">
        <v>382.60631999999998</v>
      </c>
      <c r="N286" s="4">
        <v>407.02800000000002</v>
      </c>
      <c r="O286" s="4">
        <v>382.60631999999998</v>
      </c>
      <c r="P286" s="4">
        <v>0</v>
      </c>
      <c r="Q286" s="3" t="s">
        <v>26</v>
      </c>
      <c r="R286" s="3">
        <v>0</v>
      </c>
      <c r="S286" s="3" t="s">
        <v>118</v>
      </c>
      <c r="T286" s="3" t="s">
        <v>523</v>
      </c>
      <c r="U286" s="3">
        <v>93</v>
      </c>
      <c r="V286" s="3">
        <v>94</v>
      </c>
      <c r="W286" s="3">
        <v>48</v>
      </c>
    </row>
    <row r="287" spans="1:23" ht="11.25" customHeight="1" x14ac:dyDescent="0.25">
      <c r="A287" s="3" t="s">
        <v>56</v>
      </c>
      <c r="B287" s="3" t="s">
        <v>41</v>
      </c>
      <c r="C287" s="3" t="s">
        <v>42</v>
      </c>
      <c r="D287" s="3" t="s">
        <v>50</v>
      </c>
      <c r="E287" s="3" t="s">
        <v>51</v>
      </c>
      <c r="F287" s="3" t="s">
        <v>25</v>
      </c>
      <c r="G287" s="3" t="s">
        <v>25</v>
      </c>
      <c r="H287" s="3" t="s">
        <v>36</v>
      </c>
      <c r="I287" s="6">
        <v>44652</v>
      </c>
      <c r="J287" s="4">
        <v>4600</v>
      </c>
      <c r="K287" s="4">
        <v>4324</v>
      </c>
      <c r="L287" s="4">
        <v>407.02800000000002</v>
      </c>
      <c r="M287" s="4">
        <v>382.60631999999998</v>
      </c>
      <c r="N287" s="4">
        <v>407.02800000000002</v>
      </c>
      <c r="O287" s="4">
        <v>382.60631999999998</v>
      </c>
      <c r="P287" s="4">
        <v>0</v>
      </c>
      <c r="Q287" s="3" t="s">
        <v>26</v>
      </c>
      <c r="R287" s="3">
        <v>0</v>
      </c>
      <c r="S287" s="3" t="s">
        <v>119</v>
      </c>
      <c r="T287" s="3" t="s">
        <v>524</v>
      </c>
      <c r="U287" s="3">
        <v>93</v>
      </c>
      <c r="V287" s="3">
        <v>94</v>
      </c>
      <c r="W287" s="3">
        <v>48</v>
      </c>
    </row>
    <row r="288" spans="1:23" ht="11.25" customHeight="1" x14ac:dyDescent="0.25">
      <c r="A288" s="3" t="s">
        <v>21</v>
      </c>
      <c r="B288" s="3" t="s">
        <v>41</v>
      </c>
      <c r="C288" s="3" t="s">
        <v>42</v>
      </c>
      <c r="D288" s="3" t="s">
        <v>50</v>
      </c>
      <c r="E288" s="3" t="s">
        <v>51</v>
      </c>
      <c r="F288" s="3" t="s">
        <v>25</v>
      </c>
      <c r="G288" s="3" t="s">
        <v>25</v>
      </c>
      <c r="H288" s="3" t="s">
        <v>35</v>
      </c>
      <c r="I288" s="6">
        <v>44317</v>
      </c>
      <c r="J288" s="4">
        <v>50</v>
      </c>
      <c r="K288" s="4">
        <v>47</v>
      </c>
      <c r="L288" s="4">
        <v>1.764</v>
      </c>
      <c r="M288" s="4">
        <v>1.6581600000000001</v>
      </c>
      <c r="N288" s="4">
        <v>1.764</v>
      </c>
      <c r="O288" s="4">
        <v>1.6581600000000001</v>
      </c>
      <c r="P288" s="4">
        <v>0</v>
      </c>
      <c r="Q288" s="3" t="s">
        <v>26</v>
      </c>
      <c r="R288" s="3">
        <v>0</v>
      </c>
      <c r="S288" s="3" t="s">
        <v>132</v>
      </c>
      <c r="T288" s="3" t="s">
        <v>525</v>
      </c>
      <c r="U288" s="3">
        <v>92</v>
      </c>
      <c r="V288" s="3">
        <v>94</v>
      </c>
      <c r="W288" s="3">
        <v>47</v>
      </c>
    </row>
    <row r="289" spans="1:23" ht="11.25" customHeight="1" x14ac:dyDescent="0.25">
      <c r="A289" s="3" t="s">
        <v>21</v>
      </c>
      <c r="B289" s="3" t="s">
        <v>41</v>
      </c>
      <c r="C289" s="3" t="s">
        <v>42</v>
      </c>
      <c r="D289" s="3" t="s">
        <v>50</v>
      </c>
      <c r="E289" s="3" t="s">
        <v>51</v>
      </c>
      <c r="F289" s="3" t="s">
        <v>25</v>
      </c>
      <c r="G289" s="3" t="s">
        <v>25</v>
      </c>
      <c r="H289" s="3" t="s">
        <v>35</v>
      </c>
      <c r="I289" s="6">
        <v>44348</v>
      </c>
      <c r="J289" s="4">
        <v>50</v>
      </c>
      <c r="K289" s="4">
        <v>47</v>
      </c>
      <c r="L289" s="4">
        <v>1.776</v>
      </c>
      <c r="M289" s="4">
        <v>1.66944</v>
      </c>
      <c r="N289" s="4">
        <v>1.776</v>
      </c>
      <c r="O289" s="4">
        <v>1.66944</v>
      </c>
      <c r="P289" s="4">
        <v>0</v>
      </c>
      <c r="Q289" s="3" t="s">
        <v>26</v>
      </c>
      <c r="R289" s="3">
        <v>0</v>
      </c>
      <c r="S289" s="3" t="s">
        <v>133</v>
      </c>
      <c r="T289" s="3" t="s">
        <v>526</v>
      </c>
      <c r="U289" s="3">
        <v>92</v>
      </c>
      <c r="V289" s="3">
        <v>94</v>
      </c>
      <c r="W289" s="3">
        <v>47</v>
      </c>
    </row>
    <row r="290" spans="1:23" ht="11.25" customHeight="1" x14ac:dyDescent="0.25">
      <c r="A290" s="3" t="s">
        <v>21</v>
      </c>
      <c r="B290" s="3" t="s">
        <v>41</v>
      </c>
      <c r="C290" s="3" t="s">
        <v>42</v>
      </c>
      <c r="D290" s="3" t="s">
        <v>50</v>
      </c>
      <c r="E290" s="3" t="s">
        <v>51</v>
      </c>
      <c r="F290" s="3" t="s">
        <v>25</v>
      </c>
      <c r="G290" s="3" t="s">
        <v>25</v>
      </c>
      <c r="H290" s="3" t="s">
        <v>35</v>
      </c>
      <c r="I290" s="6">
        <v>44378</v>
      </c>
      <c r="J290" s="4">
        <v>50</v>
      </c>
      <c r="K290" s="4">
        <v>47</v>
      </c>
      <c r="L290" s="4">
        <v>1.764</v>
      </c>
      <c r="M290" s="4">
        <v>1.6581600000000001</v>
      </c>
      <c r="N290" s="4">
        <v>1.764</v>
      </c>
      <c r="O290" s="4">
        <v>1.6581600000000001</v>
      </c>
      <c r="P290" s="4">
        <v>0</v>
      </c>
      <c r="Q290" s="3" t="s">
        <v>26</v>
      </c>
      <c r="R290" s="3">
        <v>0</v>
      </c>
      <c r="S290" s="3" t="s">
        <v>134</v>
      </c>
      <c r="T290" s="3" t="s">
        <v>527</v>
      </c>
      <c r="U290" s="3">
        <v>92</v>
      </c>
      <c r="V290" s="3">
        <v>94</v>
      </c>
      <c r="W290" s="3">
        <v>47</v>
      </c>
    </row>
    <row r="291" spans="1:23" ht="11.25" customHeight="1" x14ac:dyDescent="0.25">
      <c r="A291" s="3" t="s">
        <v>21</v>
      </c>
      <c r="B291" s="3" t="s">
        <v>41</v>
      </c>
      <c r="C291" s="3" t="s">
        <v>42</v>
      </c>
      <c r="D291" s="3" t="s">
        <v>50</v>
      </c>
      <c r="E291" s="3" t="s">
        <v>51</v>
      </c>
      <c r="F291" s="3" t="s">
        <v>25</v>
      </c>
      <c r="G291" s="3" t="s">
        <v>25</v>
      </c>
      <c r="H291" s="3" t="s">
        <v>35</v>
      </c>
      <c r="I291" s="6">
        <v>44409</v>
      </c>
      <c r="J291" s="4">
        <v>50</v>
      </c>
      <c r="K291" s="4">
        <v>47</v>
      </c>
      <c r="L291" s="4">
        <v>1.776</v>
      </c>
      <c r="M291" s="4">
        <v>1.66944</v>
      </c>
      <c r="N291" s="4">
        <v>1.776</v>
      </c>
      <c r="O291" s="4">
        <v>1.66944</v>
      </c>
      <c r="P291" s="4">
        <v>0</v>
      </c>
      <c r="Q291" s="3" t="s">
        <v>26</v>
      </c>
      <c r="R291" s="3">
        <v>0</v>
      </c>
      <c r="S291" s="3" t="s">
        <v>135</v>
      </c>
      <c r="T291" s="3" t="s">
        <v>528</v>
      </c>
      <c r="U291" s="3">
        <v>92</v>
      </c>
      <c r="V291" s="3">
        <v>94</v>
      </c>
      <c r="W291" s="3">
        <v>47</v>
      </c>
    </row>
    <row r="292" spans="1:23" ht="11.25" customHeight="1" x14ac:dyDescent="0.25">
      <c r="A292" s="3" t="s">
        <v>21</v>
      </c>
      <c r="B292" s="3" t="s">
        <v>41</v>
      </c>
      <c r="C292" s="3" t="s">
        <v>42</v>
      </c>
      <c r="D292" s="3" t="s">
        <v>50</v>
      </c>
      <c r="E292" s="3" t="s">
        <v>51</v>
      </c>
      <c r="F292" s="3" t="s">
        <v>25</v>
      </c>
      <c r="G292" s="3" t="s">
        <v>25</v>
      </c>
      <c r="H292" s="3" t="s">
        <v>35</v>
      </c>
      <c r="I292" s="6">
        <v>44440</v>
      </c>
      <c r="J292" s="4">
        <v>50</v>
      </c>
      <c r="K292" s="4">
        <v>47</v>
      </c>
      <c r="L292" s="4">
        <v>1.74</v>
      </c>
      <c r="M292" s="4">
        <v>1.6355999999999999</v>
      </c>
      <c r="N292" s="4">
        <v>1.74</v>
      </c>
      <c r="O292" s="4">
        <v>1.6355999999999999</v>
      </c>
      <c r="P292" s="4">
        <v>0</v>
      </c>
      <c r="Q292" s="3" t="s">
        <v>26</v>
      </c>
      <c r="R292" s="3">
        <v>0</v>
      </c>
      <c r="S292" s="3" t="s">
        <v>136</v>
      </c>
      <c r="T292" s="3" t="s">
        <v>529</v>
      </c>
      <c r="U292" s="3">
        <v>92</v>
      </c>
      <c r="V292" s="3">
        <v>94</v>
      </c>
      <c r="W292" s="3">
        <v>47</v>
      </c>
    </row>
    <row r="293" spans="1:23" ht="11.25" customHeight="1" x14ac:dyDescent="0.25">
      <c r="A293" s="3" t="s">
        <v>21</v>
      </c>
      <c r="B293" s="3" t="s">
        <v>41</v>
      </c>
      <c r="C293" s="3" t="s">
        <v>42</v>
      </c>
      <c r="D293" s="3" t="s">
        <v>50</v>
      </c>
      <c r="E293" s="3" t="s">
        <v>51</v>
      </c>
      <c r="F293" s="3" t="s">
        <v>25</v>
      </c>
      <c r="G293" s="3" t="s">
        <v>25</v>
      </c>
      <c r="H293" s="3" t="s">
        <v>35</v>
      </c>
      <c r="I293" s="6">
        <v>44470</v>
      </c>
      <c r="J293" s="4">
        <v>50</v>
      </c>
      <c r="K293" s="4">
        <v>47</v>
      </c>
      <c r="L293" s="4">
        <v>1.272</v>
      </c>
      <c r="M293" s="4">
        <v>1.1956800000000001</v>
      </c>
      <c r="N293" s="4">
        <v>1.272</v>
      </c>
      <c r="O293" s="4">
        <v>1.1956800000000001</v>
      </c>
      <c r="P293" s="4">
        <v>0</v>
      </c>
      <c r="Q293" s="3" t="s">
        <v>26</v>
      </c>
      <c r="R293" s="3">
        <v>0</v>
      </c>
      <c r="S293" s="3" t="s">
        <v>137</v>
      </c>
      <c r="T293" s="3" t="s">
        <v>530</v>
      </c>
      <c r="U293" s="3">
        <v>92</v>
      </c>
      <c r="V293" s="3">
        <v>94</v>
      </c>
      <c r="W293" s="3">
        <v>47</v>
      </c>
    </row>
    <row r="294" spans="1:23" ht="11.25" customHeight="1" x14ac:dyDescent="0.25">
      <c r="A294" s="3" t="s">
        <v>21</v>
      </c>
      <c r="B294" s="3" t="s">
        <v>41</v>
      </c>
      <c r="C294" s="3" t="s">
        <v>42</v>
      </c>
      <c r="D294" s="3" t="s">
        <v>50</v>
      </c>
      <c r="E294" s="3" t="s">
        <v>51</v>
      </c>
      <c r="F294" s="3" t="s">
        <v>25</v>
      </c>
      <c r="G294" s="3" t="s">
        <v>25</v>
      </c>
      <c r="H294" s="3" t="s">
        <v>35</v>
      </c>
      <c r="I294" s="6">
        <v>44501</v>
      </c>
      <c r="J294" s="4">
        <v>50</v>
      </c>
      <c r="K294" s="4">
        <v>47</v>
      </c>
      <c r="L294" s="4">
        <v>1.716</v>
      </c>
      <c r="M294" s="4">
        <v>1.61304</v>
      </c>
      <c r="N294" s="4">
        <v>1.716</v>
      </c>
      <c r="O294" s="4">
        <v>1.61304</v>
      </c>
      <c r="P294" s="4">
        <v>0</v>
      </c>
      <c r="Q294" s="3" t="s">
        <v>26</v>
      </c>
      <c r="R294" s="3">
        <v>0</v>
      </c>
      <c r="S294" s="3" t="s">
        <v>138</v>
      </c>
      <c r="T294" s="3" t="s">
        <v>531</v>
      </c>
      <c r="U294" s="3">
        <v>92</v>
      </c>
      <c r="V294" s="3">
        <v>94</v>
      </c>
      <c r="W294" s="3">
        <v>47</v>
      </c>
    </row>
    <row r="295" spans="1:23" ht="11.25" customHeight="1" x14ac:dyDescent="0.25">
      <c r="A295" s="3" t="s">
        <v>21</v>
      </c>
      <c r="B295" s="3" t="s">
        <v>41</v>
      </c>
      <c r="C295" s="3" t="s">
        <v>42</v>
      </c>
      <c r="D295" s="3" t="s">
        <v>50</v>
      </c>
      <c r="E295" s="3" t="s">
        <v>51</v>
      </c>
      <c r="F295" s="3" t="s">
        <v>25</v>
      </c>
      <c r="G295" s="3" t="s">
        <v>25</v>
      </c>
      <c r="H295" s="3" t="s">
        <v>35</v>
      </c>
      <c r="I295" s="6">
        <v>44531</v>
      </c>
      <c r="J295" s="4">
        <v>50</v>
      </c>
      <c r="K295" s="4">
        <v>47</v>
      </c>
      <c r="L295" s="4">
        <v>1.8240000000000001</v>
      </c>
      <c r="M295" s="4">
        <v>1.7145600000000001</v>
      </c>
      <c r="N295" s="4">
        <v>1.8240000000000001</v>
      </c>
      <c r="O295" s="4">
        <v>1.7145600000000001</v>
      </c>
      <c r="P295" s="4">
        <v>0</v>
      </c>
      <c r="Q295" s="3" t="s">
        <v>26</v>
      </c>
      <c r="R295" s="3">
        <v>0</v>
      </c>
      <c r="S295" s="3" t="s">
        <v>139</v>
      </c>
      <c r="T295" s="3" t="s">
        <v>532</v>
      </c>
      <c r="U295" s="3">
        <v>92</v>
      </c>
      <c r="V295" s="3">
        <v>94</v>
      </c>
      <c r="W295" s="3">
        <v>47</v>
      </c>
    </row>
    <row r="296" spans="1:23" ht="11.25" customHeight="1" x14ac:dyDescent="0.25">
      <c r="A296" s="3" t="s">
        <v>21</v>
      </c>
      <c r="B296" s="3" t="s">
        <v>41</v>
      </c>
      <c r="C296" s="3" t="s">
        <v>42</v>
      </c>
      <c r="D296" s="3" t="s">
        <v>50</v>
      </c>
      <c r="E296" s="3" t="s">
        <v>51</v>
      </c>
      <c r="F296" s="3" t="s">
        <v>25</v>
      </c>
      <c r="G296" s="3" t="s">
        <v>25</v>
      </c>
      <c r="H296" s="3" t="s">
        <v>35</v>
      </c>
      <c r="I296" s="6">
        <v>44562</v>
      </c>
      <c r="J296" s="4">
        <v>50</v>
      </c>
      <c r="K296" s="4">
        <v>47</v>
      </c>
      <c r="L296" s="4">
        <v>1.5960000000000001</v>
      </c>
      <c r="M296" s="4">
        <v>1.50024</v>
      </c>
      <c r="N296" s="4">
        <v>1.5960000000000001</v>
      </c>
      <c r="O296" s="4">
        <v>1.50024</v>
      </c>
      <c r="P296" s="4">
        <v>0</v>
      </c>
      <c r="Q296" s="3" t="s">
        <v>26</v>
      </c>
      <c r="R296" s="3">
        <v>0</v>
      </c>
      <c r="S296" s="3" t="s">
        <v>140</v>
      </c>
      <c r="T296" s="3" t="s">
        <v>533</v>
      </c>
      <c r="U296" s="3">
        <v>92</v>
      </c>
      <c r="V296" s="3">
        <v>94</v>
      </c>
      <c r="W296" s="3">
        <v>47</v>
      </c>
    </row>
    <row r="297" spans="1:23" ht="11.25" customHeight="1" x14ac:dyDescent="0.25">
      <c r="A297" s="3" t="s">
        <v>21</v>
      </c>
      <c r="B297" s="3" t="s">
        <v>41</v>
      </c>
      <c r="C297" s="3" t="s">
        <v>42</v>
      </c>
      <c r="D297" s="3" t="s">
        <v>50</v>
      </c>
      <c r="E297" s="3" t="s">
        <v>51</v>
      </c>
      <c r="F297" s="3" t="s">
        <v>25</v>
      </c>
      <c r="G297" s="3" t="s">
        <v>25</v>
      </c>
      <c r="H297" s="3" t="s">
        <v>35</v>
      </c>
      <c r="I297" s="6">
        <v>44593</v>
      </c>
      <c r="J297" s="4">
        <v>50</v>
      </c>
      <c r="K297" s="4">
        <v>47</v>
      </c>
      <c r="L297" s="4">
        <v>1.6080000000000001</v>
      </c>
      <c r="M297" s="4">
        <v>1.51152</v>
      </c>
      <c r="N297" s="4">
        <v>1.6080000000000001</v>
      </c>
      <c r="O297" s="4">
        <v>1.51152</v>
      </c>
      <c r="P297" s="4">
        <v>0</v>
      </c>
      <c r="Q297" s="3" t="s">
        <v>26</v>
      </c>
      <c r="R297" s="3">
        <v>0</v>
      </c>
      <c r="S297" s="3" t="s">
        <v>141</v>
      </c>
      <c r="T297" s="3" t="s">
        <v>534</v>
      </c>
      <c r="U297" s="3">
        <v>92</v>
      </c>
      <c r="V297" s="3">
        <v>94</v>
      </c>
      <c r="W297" s="3">
        <v>47</v>
      </c>
    </row>
    <row r="298" spans="1:23" ht="11.25" customHeight="1" x14ac:dyDescent="0.25">
      <c r="A298" s="3" t="s">
        <v>21</v>
      </c>
      <c r="B298" s="3" t="s">
        <v>41</v>
      </c>
      <c r="C298" s="3" t="s">
        <v>42</v>
      </c>
      <c r="D298" s="3" t="s">
        <v>50</v>
      </c>
      <c r="E298" s="3" t="s">
        <v>51</v>
      </c>
      <c r="F298" s="3" t="s">
        <v>25</v>
      </c>
      <c r="G298" s="3" t="s">
        <v>25</v>
      </c>
      <c r="H298" s="3" t="s">
        <v>35</v>
      </c>
      <c r="I298" s="6">
        <v>44621</v>
      </c>
      <c r="J298" s="4">
        <v>50</v>
      </c>
      <c r="K298" s="4">
        <v>47</v>
      </c>
      <c r="L298" s="4">
        <v>1.728</v>
      </c>
      <c r="M298" s="4">
        <v>1.62432</v>
      </c>
      <c r="N298" s="4">
        <v>1.728</v>
      </c>
      <c r="O298" s="4">
        <v>1.62432</v>
      </c>
      <c r="P298" s="4">
        <v>0</v>
      </c>
      <c r="Q298" s="3" t="s">
        <v>26</v>
      </c>
      <c r="R298" s="3">
        <v>0</v>
      </c>
      <c r="S298" s="3" t="s">
        <v>142</v>
      </c>
      <c r="T298" s="3" t="s">
        <v>535</v>
      </c>
      <c r="U298" s="3">
        <v>92</v>
      </c>
      <c r="V298" s="3">
        <v>94</v>
      </c>
      <c r="W298" s="3">
        <v>47</v>
      </c>
    </row>
    <row r="299" spans="1:23" ht="11.25" customHeight="1" x14ac:dyDescent="0.25">
      <c r="A299" s="3" t="s">
        <v>56</v>
      </c>
      <c r="B299" s="3" t="s">
        <v>41</v>
      </c>
      <c r="C299" s="3" t="s">
        <v>42</v>
      </c>
      <c r="D299" s="3" t="s">
        <v>50</v>
      </c>
      <c r="E299" s="3" t="s">
        <v>51</v>
      </c>
      <c r="F299" s="3" t="s">
        <v>25</v>
      </c>
      <c r="G299" s="3" t="s">
        <v>25</v>
      </c>
      <c r="H299" s="3" t="s">
        <v>35</v>
      </c>
      <c r="I299" s="6">
        <v>44652</v>
      </c>
      <c r="J299" s="4">
        <v>50</v>
      </c>
      <c r="K299" s="4">
        <v>47</v>
      </c>
      <c r="L299" s="4">
        <v>1.728</v>
      </c>
      <c r="M299" s="4">
        <v>1.62432</v>
      </c>
      <c r="N299" s="4">
        <v>1.728</v>
      </c>
      <c r="O299" s="4">
        <v>1.62432</v>
      </c>
      <c r="P299" s="4">
        <v>0</v>
      </c>
      <c r="Q299" s="3" t="s">
        <v>26</v>
      </c>
      <c r="R299" s="3">
        <v>0</v>
      </c>
      <c r="S299" s="3" t="s">
        <v>143</v>
      </c>
      <c r="T299" s="3" t="s">
        <v>536</v>
      </c>
      <c r="U299" s="3">
        <v>92</v>
      </c>
      <c r="V299" s="3">
        <v>94</v>
      </c>
      <c r="W299" s="3">
        <v>47</v>
      </c>
    </row>
    <row r="300" spans="1:23" ht="11.25" customHeight="1" x14ac:dyDescent="0.25">
      <c r="A300" s="3" t="s">
        <v>21</v>
      </c>
      <c r="B300" s="3" t="s">
        <v>41</v>
      </c>
      <c r="C300" s="3" t="s">
        <v>61</v>
      </c>
      <c r="D300" s="3" t="s">
        <v>25</v>
      </c>
      <c r="E300" s="3" t="s">
        <v>25</v>
      </c>
      <c r="F300" s="3" t="s">
        <v>25</v>
      </c>
      <c r="G300" s="3" t="s">
        <v>62</v>
      </c>
      <c r="H300" s="3" t="s">
        <v>36</v>
      </c>
      <c r="I300" s="6">
        <v>44317</v>
      </c>
      <c r="J300" s="4">
        <v>3000</v>
      </c>
      <c r="K300" s="4">
        <v>3000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3" t="s">
        <v>63</v>
      </c>
      <c r="R300" s="3">
        <v>43</v>
      </c>
      <c r="S300" s="3" t="s">
        <v>156</v>
      </c>
      <c r="U300" s="3">
        <v>97</v>
      </c>
      <c r="V300" s="3">
        <v>0</v>
      </c>
      <c r="W300" s="3">
        <v>0</v>
      </c>
    </row>
    <row r="301" spans="1:23" ht="11.25" customHeight="1" x14ac:dyDescent="0.25">
      <c r="A301" s="3" t="s">
        <v>21</v>
      </c>
      <c r="B301" s="3" t="s">
        <v>41</v>
      </c>
      <c r="C301" s="3" t="s">
        <v>61</v>
      </c>
      <c r="D301" s="3" t="s">
        <v>25</v>
      </c>
      <c r="E301" s="3" t="s">
        <v>25</v>
      </c>
      <c r="F301" s="3" t="s">
        <v>25</v>
      </c>
      <c r="G301" s="3" t="s">
        <v>62</v>
      </c>
      <c r="H301" s="3" t="s">
        <v>36</v>
      </c>
      <c r="I301" s="6">
        <v>44348</v>
      </c>
      <c r="J301" s="4">
        <v>3000</v>
      </c>
      <c r="K301" s="4">
        <v>3000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3" t="s">
        <v>63</v>
      </c>
      <c r="R301" s="3">
        <v>43</v>
      </c>
      <c r="S301" s="3" t="s">
        <v>157</v>
      </c>
      <c r="U301" s="3">
        <v>97</v>
      </c>
      <c r="V301" s="3">
        <v>0</v>
      </c>
      <c r="W301" s="3">
        <v>0</v>
      </c>
    </row>
    <row r="302" spans="1:23" ht="11.25" customHeight="1" x14ac:dyDescent="0.25">
      <c r="A302" s="3" t="s">
        <v>21</v>
      </c>
      <c r="B302" s="3" t="s">
        <v>41</v>
      </c>
      <c r="C302" s="3" t="s">
        <v>61</v>
      </c>
      <c r="D302" s="3" t="s">
        <v>25</v>
      </c>
      <c r="E302" s="3" t="s">
        <v>25</v>
      </c>
      <c r="F302" s="3" t="s">
        <v>25</v>
      </c>
      <c r="G302" s="3" t="s">
        <v>62</v>
      </c>
      <c r="H302" s="3" t="s">
        <v>36</v>
      </c>
      <c r="I302" s="6">
        <v>44378</v>
      </c>
      <c r="J302" s="4">
        <v>3000</v>
      </c>
      <c r="K302" s="4">
        <v>3000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3" t="s">
        <v>63</v>
      </c>
      <c r="R302" s="3">
        <v>43</v>
      </c>
      <c r="S302" s="3" t="s">
        <v>158</v>
      </c>
      <c r="U302" s="3">
        <v>97</v>
      </c>
      <c r="V302" s="3">
        <v>0</v>
      </c>
      <c r="W302" s="3">
        <v>0</v>
      </c>
    </row>
    <row r="303" spans="1:23" ht="11.25" customHeight="1" x14ac:dyDescent="0.25">
      <c r="A303" s="3" t="s">
        <v>21</v>
      </c>
      <c r="B303" s="3" t="s">
        <v>41</v>
      </c>
      <c r="C303" s="3" t="s">
        <v>61</v>
      </c>
      <c r="D303" s="3" t="s">
        <v>25</v>
      </c>
      <c r="E303" s="3" t="s">
        <v>25</v>
      </c>
      <c r="F303" s="3" t="s">
        <v>25</v>
      </c>
      <c r="G303" s="3" t="s">
        <v>62</v>
      </c>
      <c r="H303" s="3" t="s">
        <v>36</v>
      </c>
      <c r="I303" s="6">
        <v>44409</v>
      </c>
      <c r="J303" s="4">
        <v>3010</v>
      </c>
      <c r="K303" s="4">
        <v>3010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3" t="s">
        <v>63</v>
      </c>
      <c r="R303" s="3">
        <v>43</v>
      </c>
      <c r="S303" s="3" t="s">
        <v>159</v>
      </c>
      <c r="U303" s="3">
        <v>97</v>
      </c>
      <c r="V303" s="3">
        <v>0</v>
      </c>
      <c r="W303" s="3">
        <v>0</v>
      </c>
    </row>
    <row r="304" spans="1:23" ht="11.25" customHeight="1" x14ac:dyDescent="0.25">
      <c r="A304" s="3" t="s">
        <v>21</v>
      </c>
      <c r="B304" s="3" t="s">
        <v>41</v>
      </c>
      <c r="C304" s="3" t="s">
        <v>61</v>
      </c>
      <c r="D304" s="3" t="s">
        <v>25</v>
      </c>
      <c r="E304" s="3" t="s">
        <v>25</v>
      </c>
      <c r="F304" s="3" t="s">
        <v>25</v>
      </c>
      <c r="G304" s="3" t="s">
        <v>62</v>
      </c>
      <c r="H304" s="3" t="s">
        <v>36</v>
      </c>
      <c r="I304" s="6">
        <v>44440</v>
      </c>
      <c r="J304" s="4">
        <v>3010</v>
      </c>
      <c r="K304" s="4">
        <v>3010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3" t="s">
        <v>63</v>
      </c>
      <c r="R304" s="3">
        <v>43</v>
      </c>
      <c r="S304" s="3" t="s">
        <v>160</v>
      </c>
      <c r="U304" s="3">
        <v>97</v>
      </c>
      <c r="V304" s="3">
        <v>0</v>
      </c>
      <c r="W304" s="3">
        <v>0</v>
      </c>
    </row>
    <row r="305" spans="1:23" ht="11.25" customHeight="1" x14ac:dyDescent="0.25">
      <c r="A305" s="3" t="s">
        <v>21</v>
      </c>
      <c r="B305" s="3" t="s">
        <v>41</v>
      </c>
      <c r="C305" s="3" t="s">
        <v>61</v>
      </c>
      <c r="D305" s="3" t="s">
        <v>25</v>
      </c>
      <c r="E305" s="3" t="s">
        <v>25</v>
      </c>
      <c r="F305" s="3" t="s">
        <v>25</v>
      </c>
      <c r="G305" s="3" t="s">
        <v>62</v>
      </c>
      <c r="H305" s="3" t="s">
        <v>36</v>
      </c>
      <c r="I305" s="6">
        <v>44470</v>
      </c>
      <c r="J305" s="4">
        <v>3010</v>
      </c>
      <c r="K305" s="4">
        <v>3010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3" t="s">
        <v>63</v>
      </c>
      <c r="R305" s="3">
        <v>43</v>
      </c>
      <c r="S305" s="3" t="s">
        <v>161</v>
      </c>
      <c r="U305" s="3">
        <v>97</v>
      </c>
      <c r="V305" s="3">
        <v>0</v>
      </c>
      <c r="W305" s="3">
        <v>0</v>
      </c>
    </row>
    <row r="306" spans="1:23" ht="11.25" customHeight="1" x14ac:dyDescent="0.25">
      <c r="A306" s="3" t="s">
        <v>21</v>
      </c>
      <c r="B306" s="3" t="s">
        <v>41</v>
      </c>
      <c r="C306" s="3" t="s">
        <v>61</v>
      </c>
      <c r="D306" s="3" t="s">
        <v>25</v>
      </c>
      <c r="E306" s="3" t="s">
        <v>25</v>
      </c>
      <c r="F306" s="3" t="s">
        <v>25</v>
      </c>
      <c r="G306" s="3" t="s">
        <v>62</v>
      </c>
      <c r="H306" s="3" t="s">
        <v>36</v>
      </c>
      <c r="I306" s="6">
        <v>44501</v>
      </c>
      <c r="J306" s="4">
        <v>3010</v>
      </c>
      <c r="K306" s="4">
        <v>3010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3" t="s">
        <v>63</v>
      </c>
      <c r="R306" s="3">
        <v>43</v>
      </c>
      <c r="S306" s="3" t="s">
        <v>162</v>
      </c>
      <c r="U306" s="3">
        <v>97</v>
      </c>
      <c r="V306" s="3">
        <v>0</v>
      </c>
      <c r="W306" s="3">
        <v>0</v>
      </c>
    </row>
    <row r="307" spans="1:23" ht="11.25" customHeight="1" x14ac:dyDescent="0.25">
      <c r="A307" s="3" t="s">
        <v>21</v>
      </c>
      <c r="B307" s="3" t="s">
        <v>41</v>
      </c>
      <c r="C307" s="3" t="s">
        <v>61</v>
      </c>
      <c r="D307" s="3" t="s">
        <v>25</v>
      </c>
      <c r="E307" s="3" t="s">
        <v>25</v>
      </c>
      <c r="F307" s="3" t="s">
        <v>25</v>
      </c>
      <c r="G307" s="3" t="s">
        <v>62</v>
      </c>
      <c r="H307" s="3" t="s">
        <v>36</v>
      </c>
      <c r="I307" s="6">
        <v>44531</v>
      </c>
      <c r="J307" s="4">
        <v>3010</v>
      </c>
      <c r="K307" s="4">
        <v>3010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3" t="s">
        <v>63</v>
      </c>
      <c r="R307" s="3">
        <v>43</v>
      </c>
      <c r="S307" s="3" t="s">
        <v>163</v>
      </c>
      <c r="U307" s="3">
        <v>97</v>
      </c>
      <c r="V307" s="3">
        <v>0</v>
      </c>
      <c r="W307" s="3">
        <v>0</v>
      </c>
    </row>
    <row r="308" spans="1:23" ht="11.25" customHeight="1" x14ac:dyDescent="0.25">
      <c r="A308" s="3" t="s">
        <v>21</v>
      </c>
      <c r="B308" s="3" t="s">
        <v>41</v>
      </c>
      <c r="C308" s="3" t="s">
        <v>61</v>
      </c>
      <c r="D308" s="3" t="s">
        <v>25</v>
      </c>
      <c r="E308" s="3" t="s">
        <v>25</v>
      </c>
      <c r="F308" s="3" t="s">
        <v>25</v>
      </c>
      <c r="G308" s="3" t="s">
        <v>62</v>
      </c>
      <c r="H308" s="3" t="s">
        <v>36</v>
      </c>
      <c r="I308" s="6">
        <v>44562</v>
      </c>
      <c r="J308" s="4">
        <v>3010</v>
      </c>
      <c r="K308" s="4">
        <v>3010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3" t="s">
        <v>63</v>
      </c>
      <c r="R308" s="3">
        <v>43</v>
      </c>
      <c r="S308" s="3" t="s">
        <v>164</v>
      </c>
      <c r="U308" s="3">
        <v>97</v>
      </c>
      <c r="V308" s="3">
        <v>0</v>
      </c>
      <c r="W308" s="3">
        <v>0</v>
      </c>
    </row>
    <row r="309" spans="1:23" ht="11.25" customHeight="1" x14ac:dyDescent="0.25">
      <c r="A309" s="3" t="s">
        <v>21</v>
      </c>
      <c r="B309" s="3" t="s">
        <v>41</v>
      </c>
      <c r="C309" s="3" t="s">
        <v>61</v>
      </c>
      <c r="D309" s="3" t="s">
        <v>25</v>
      </c>
      <c r="E309" s="3" t="s">
        <v>25</v>
      </c>
      <c r="F309" s="3" t="s">
        <v>25</v>
      </c>
      <c r="G309" s="3" t="s">
        <v>62</v>
      </c>
      <c r="H309" s="3" t="s">
        <v>36</v>
      </c>
      <c r="I309" s="6">
        <v>44593</v>
      </c>
      <c r="J309" s="4">
        <v>3010</v>
      </c>
      <c r="K309" s="4">
        <v>3010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3" t="s">
        <v>63</v>
      </c>
      <c r="R309" s="3">
        <v>43</v>
      </c>
      <c r="S309" s="3" t="s">
        <v>165</v>
      </c>
      <c r="U309" s="3">
        <v>97</v>
      </c>
      <c r="V309" s="3">
        <v>0</v>
      </c>
      <c r="W309" s="3">
        <v>0</v>
      </c>
    </row>
    <row r="310" spans="1:23" ht="11.25" customHeight="1" x14ac:dyDescent="0.25">
      <c r="A310" s="3" t="s">
        <v>21</v>
      </c>
      <c r="B310" s="3" t="s">
        <v>41</v>
      </c>
      <c r="C310" s="3" t="s">
        <v>61</v>
      </c>
      <c r="D310" s="3" t="s">
        <v>25</v>
      </c>
      <c r="E310" s="3" t="s">
        <v>25</v>
      </c>
      <c r="F310" s="3" t="s">
        <v>25</v>
      </c>
      <c r="G310" s="3" t="s">
        <v>62</v>
      </c>
      <c r="H310" s="3" t="s">
        <v>36</v>
      </c>
      <c r="I310" s="6">
        <v>44621</v>
      </c>
      <c r="J310" s="4">
        <v>3010</v>
      </c>
      <c r="K310" s="4">
        <v>3010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3" t="s">
        <v>63</v>
      </c>
      <c r="R310" s="3">
        <v>43</v>
      </c>
      <c r="S310" s="3" t="s">
        <v>166</v>
      </c>
      <c r="U310" s="3">
        <v>97</v>
      </c>
      <c r="V310" s="3">
        <v>0</v>
      </c>
      <c r="W310" s="3">
        <v>0</v>
      </c>
    </row>
    <row r="311" spans="1:23" ht="11.25" customHeight="1" x14ac:dyDescent="0.25">
      <c r="A311" s="3" t="s">
        <v>56</v>
      </c>
      <c r="B311" s="3" t="s">
        <v>41</v>
      </c>
      <c r="C311" s="3" t="s">
        <v>61</v>
      </c>
      <c r="D311" s="3" t="s">
        <v>25</v>
      </c>
      <c r="E311" s="3" t="s">
        <v>25</v>
      </c>
      <c r="F311" s="3" t="s">
        <v>25</v>
      </c>
      <c r="G311" s="3" t="s">
        <v>62</v>
      </c>
      <c r="H311" s="3" t="s">
        <v>36</v>
      </c>
      <c r="I311" s="6">
        <v>44652</v>
      </c>
      <c r="J311" s="4">
        <v>3010</v>
      </c>
      <c r="K311" s="4">
        <v>3010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3" t="s">
        <v>63</v>
      </c>
      <c r="R311" s="3">
        <v>43</v>
      </c>
      <c r="S311" s="3" t="s">
        <v>167</v>
      </c>
      <c r="U311" s="3">
        <v>97</v>
      </c>
      <c r="V311" s="3">
        <v>0</v>
      </c>
      <c r="W311" s="3">
        <v>0</v>
      </c>
    </row>
    <row r="312" spans="1:23" ht="11.25" customHeight="1" x14ac:dyDescent="0.25">
      <c r="A312" s="3" t="s">
        <v>21</v>
      </c>
      <c r="B312" s="3" t="s">
        <v>41</v>
      </c>
      <c r="C312" s="3" t="s">
        <v>61</v>
      </c>
      <c r="D312" s="3" t="s">
        <v>25</v>
      </c>
      <c r="E312" s="3" t="s">
        <v>25</v>
      </c>
      <c r="F312" s="3" t="s">
        <v>25</v>
      </c>
      <c r="G312" s="3" t="s">
        <v>62</v>
      </c>
      <c r="H312" s="3" t="s">
        <v>25</v>
      </c>
      <c r="I312" s="6">
        <v>44317</v>
      </c>
      <c r="J312" s="4">
        <v>0</v>
      </c>
      <c r="K312" s="4">
        <v>0</v>
      </c>
      <c r="L312" s="4">
        <v>1196.905</v>
      </c>
      <c r="M312" s="4">
        <v>1196.905</v>
      </c>
      <c r="N312" s="4">
        <v>0</v>
      </c>
      <c r="O312" s="4">
        <v>0</v>
      </c>
      <c r="P312" s="4">
        <v>0</v>
      </c>
      <c r="Q312" s="3" t="s">
        <v>63</v>
      </c>
      <c r="R312" s="3">
        <v>43</v>
      </c>
      <c r="S312" s="3" t="s">
        <v>168</v>
      </c>
      <c r="U312" s="3">
        <v>0</v>
      </c>
      <c r="V312" s="3">
        <v>98</v>
      </c>
      <c r="W312" s="3">
        <v>0</v>
      </c>
    </row>
    <row r="313" spans="1:23" ht="11.25" customHeight="1" x14ac:dyDescent="0.25">
      <c r="A313" s="3" t="s">
        <v>21</v>
      </c>
      <c r="B313" s="3" t="s">
        <v>41</v>
      </c>
      <c r="C313" s="3" t="s">
        <v>61</v>
      </c>
      <c r="D313" s="3" t="s">
        <v>25</v>
      </c>
      <c r="E313" s="3" t="s">
        <v>25</v>
      </c>
      <c r="F313" s="3" t="s">
        <v>25</v>
      </c>
      <c r="G313" s="3" t="s">
        <v>62</v>
      </c>
      <c r="H313" s="3" t="s">
        <v>25</v>
      </c>
      <c r="I313" s="6">
        <v>44348</v>
      </c>
      <c r="J313" s="4">
        <v>0</v>
      </c>
      <c r="K313" s="4">
        <v>0</v>
      </c>
      <c r="L313" s="4">
        <v>1112.213</v>
      </c>
      <c r="M313" s="4">
        <v>1112.213</v>
      </c>
      <c r="N313" s="4">
        <v>0</v>
      </c>
      <c r="O313" s="4">
        <v>0</v>
      </c>
      <c r="P313" s="4">
        <v>0</v>
      </c>
      <c r="Q313" s="3" t="s">
        <v>63</v>
      </c>
      <c r="R313" s="3">
        <v>43</v>
      </c>
      <c r="S313" s="3" t="s">
        <v>169</v>
      </c>
      <c r="U313" s="3">
        <v>0</v>
      </c>
      <c r="V313" s="3">
        <v>98</v>
      </c>
      <c r="W313" s="3">
        <v>0</v>
      </c>
    </row>
    <row r="314" spans="1:23" ht="11.25" customHeight="1" x14ac:dyDescent="0.25">
      <c r="A314" s="3" t="s">
        <v>21</v>
      </c>
      <c r="B314" s="3" t="s">
        <v>41</v>
      </c>
      <c r="C314" s="3" t="s">
        <v>61</v>
      </c>
      <c r="D314" s="3" t="s">
        <v>25</v>
      </c>
      <c r="E314" s="3" t="s">
        <v>25</v>
      </c>
      <c r="F314" s="3" t="s">
        <v>25</v>
      </c>
      <c r="G314" s="3" t="s">
        <v>62</v>
      </c>
      <c r="H314" s="3" t="s">
        <v>25</v>
      </c>
      <c r="I314" s="6">
        <v>44378</v>
      </c>
      <c r="J314" s="4">
        <v>0</v>
      </c>
      <c r="K314" s="4">
        <v>0</v>
      </c>
      <c r="L314" s="4">
        <v>1154.4970000000001</v>
      </c>
      <c r="M314" s="4">
        <v>1154.4970000000001</v>
      </c>
      <c r="N314" s="4">
        <v>0</v>
      </c>
      <c r="O314" s="4">
        <v>0</v>
      </c>
      <c r="P314" s="4">
        <v>0</v>
      </c>
      <c r="Q314" s="3" t="s">
        <v>63</v>
      </c>
      <c r="R314" s="3">
        <v>43</v>
      </c>
      <c r="S314" s="3" t="s">
        <v>170</v>
      </c>
      <c r="U314" s="3">
        <v>0</v>
      </c>
      <c r="V314" s="3">
        <v>98</v>
      </c>
      <c r="W314" s="3">
        <v>0</v>
      </c>
    </row>
    <row r="315" spans="1:23" ht="11.25" customHeight="1" x14ac:dyDescent="0.25">
      <c r="A315" s="3" t="s">
        <v>21</v>
      </c>
      <c r="B315" s="3" t="s">
        <v>41</v>
      </c>
      <c r="C315" s="3" t="s">
        <v>61</v>
      </c>
      <c r="D315" s="3" t="s">
        <v>25</v>
      </c>
      <c r="E315" s="3" t="s">
        <v>25</v>
      </c>
      <c r="F315" s="3" t="s">
        <v>25</v>
      </c>
      <c r="G315" s="3" t="s">
        <v>62</v>
      </c>
      <c r="H315" s="3" t="s">
        <v>25</v>
      </c>
      <c r="I315" s="6">
        <v>44409</v>
      </c>
      <c r="J315" s="4">
        <v>0</v>
      </c>
      <c r="K315" s="4">
        <v>0</v>
      </c>
      <c r="L315" s="4">
        <v>1122.9670000000001</v>
      </c>
      <c r="M315" s="4">
        <v>1122.9670000000001</v>
      </c>
      <c r="N315" s="4">
        <v>0</v>
      </c>
      <c r="O315" s="4">
        <v>0</v>
      </c>
      <c r="P315" s="4">
        <v>0</v>
      </c>
      <c r="Q315" s="3" t="s">
        <v>63</v>
      </c>
      <c r="R315" s="3">
        <v>43</v>
      </c>
      <c r="S315" s="3" t="s">
        <v>171</v>
      </c>
      <c r="U315" s="3">
        <v>0</v>
      </c>
      <c r="V315" s="3">
        <v>98</v>
      </c>
      <c r="W315" s="3">
        <v>0</v>
      </c>
    </row>
    <row r="316" spans="1:23" ht="11.25" customHeight="1" x14ac:dyDescent="0.25">
      <c r="A316" s="3" t="s">
        <v>21</v>
      </c>
      <c r="B316" s="3" t="s">
        <v>41</v>
      </c>
      <c r="C316" s="3" t="s">
        <v>61</v>
      </c>
      <c r="D316" s="3" t="s">
        <v>25</v>
      </c>
      <c r="E316" s="3" t="s">
        <v>25</v>
      </c>
      <c r="F316" s="3" t="s">
        <v>25</v>
      </c>
      <c r="G316" s="3" t="s">
        <v>62</v>
      </c>
      <c r="H316" s="3" t="s">
        <v>25</v>
      </c>
      <c r="I316" s="6">
        <v>44440</v>
      </c>
      <c r="J316" s="4">
        <v>0</v>
      </c>
      <c r="K316" s="4">
        <v>0</v>
      </c>
      <c r="L316" s="4">
        <v>1176.069</v>
      </c>
      <c r="M316" s="4">
        <v>1176.069</v>
      </c>
      <c r="N316" s="4">
        <v>0</v>
      </c>
      <c r="O316" s="4">
        <v>0</v>
      </c>
      <c r="P316" s="4">
        <v>0</v>
      </c>
      <c r="Q316" s="3" t="s">
        <v>63</v>
      </c>
      <c r="R316" s="3">
        <v>43</v>
      </c>
      <c r="S316" s="3" t="s">
        <v>172</v>
      </c>
      <c r="U316" s="3">
        <v>0</v>
      </c>
      <c r="V316" s="3">
        <v>98</v>
      </c>
      <c r="W316" s="3">
        <v>0</v>
      </c>
    </row>
    <row r="317" spans="1:23" ht="11.25" customHeight="1" x14ac:dyDescent="0.25">
      <c r="A317" s="3" t="s">
        <v>21</v>
      </c>
      <c r="B317" s="3" t="s">
        <v>41</v>
      </c>
      <c r="C317" s="3" t="s">
        <v>61</v>
      </c>
      <c r="D317" s="3" t="s">
        <v>25</v>
      </c>
      <c r="E317" s="3" t="s">
        <v>25</v>
      </c>
      <c r="F317" s="3" t="s">
        <v>25</v>
      </c>
      <c r="G317" s="3" t="s">
        <v>62</v>
      </c>
      <c r="H317" s="3" t="s">
        <v>25</v>
      </c>
      <c r="I317" s="6">
        <v>44470</v>
      </c>
      <c r="J317" s="4">
        <v>0</v>
      </c>
      <c r="K317" s="4">
        <v>0</v>
      </c>
      <c r="L317" s="4">
        <v>1325.509</v>
      </c>
      <c r="M317" s="4">
        <v>1325.509</v>
      </c>
      <c r="N317" s="4">
        <v>0</v>
      </c>
      <c r="O317" s="4">
        <v>0</v>
      </c>
      <c r="P317" s="4">
        <v>0</v>
      </c>
      <c r="Q317" s="3" t="s">
        <v>63</v>
      </c>
      <c r="R317" s="3">
        <v>43</v>
      </c>
      <c r="S317" s="3" t="s">
        <v>173</v>
      </c>
      <c r="U317" s="3">
        <v>0</v>
      </c>
      <c r="V317" s="3">
        <v>98</v>
      </c>
      <c r="W317" s="3">
        <v>0</v>
      </c>
    </row>
    <row r="318" spans="1:23" ht="11.25" customHeight="1" x14ac:dyDescent="0.25">
      <c r="A318" s="3" t="s">
        <v>21</v>
      </c>
      <c r="B318" s="3" t="s">
        <v>41</v>
      </c>
      <c r="C318" s="3" t="s">
        <v>61</v>
      </c>
      <c r="D318" s="3" t="s">
        <v>25</v>
      </c>
      <c r="E318" s="3" t="s">
        <v>25</v>
      </c>
      <c r="F318" s="3" t="s">
        <v>25</v>
      </c>
      <c r="G318" s="3" t="s">
        <v>62</v>
      </c>
      <c r="H318" s="3" t="s">
        <v>25</v>
      </c>
      <c r="I318" s="6">
        <v>44501</v>
      </c>
      <c r="J318" s="4">
        <v>0</v>
      </c>
      <c r="K318" s="4">
        <v>0</v>
      </c>
      <c r="L318" s="4">
        <v>1340.6969999999999</v>
      </c>
      <c r="M318" s="4">
        <v>1340.6969999999999</v>
      </c>
      <c r="N318" s="4">
        <v>0</v>
      </c>
      <c r="O318" s="4">
        <v>0</v>
      </c>
      <c r="P318" s="4">
        <v>0</v>
      </c>
      <c r="Q318" s="3" t="s">
        <v>63</v>
      </c>
      <c r="R318" s="3">
        <v>43</v>
      </c>
      <c r="S318" s="3" t="s">
        <v>174</v>
      </c>
      <c r="U318" s="3">
        <v>0</v>
      </c>
      <c r="V318" s="3">
        <v>98</v>
      </c>
      <c r="W318" s="3">
        <v>0</v>
      </c>
    </row>
    <row r="319" spans="1:23" ht="11.25" customHeight="1" x14ac:dyDescent="0.25">
      <c r="A319" s="3" t="s">
        <v>21</v>
      </c>
      <c r="B319" s="3" t="s">
        <v>41</v>
      </c>
      <c r="C319" s="3" t="s">
        <v>61</v>
      </c>
      <c r="D319" s="3" t="s">
        <v>25</v>
      </c>
      <c r="E319" s="3" t="s">
        <v>25</v>
      </c>
      <c r="F319" s="3" t="s">
        <v>25</v>
      </c>
      <c r="G319" s="3" t="s">
        <v>62</v>
      </c>
      <c r="H319" s="3" t="s">
        <v>25</v>
      </c>
      <c r="I319" s="6">
        <v>44531</v>
      </c>
      <c r="J319" s="4">
        <v>0</v>
      </c>
      <c r="K319" s="4">
        <v>0</v>
      </c>
      <c r="L319" s="4">
        <v>1372.6849999999999</v>
      </c>
      <c r="M319" s="4">
        <v>1372.6849999999999</v>
      </c>
      <c r="N319" s="4">
        <v>0</v>
      </c>
      <c r="O319" s="4">
        <v>0</v>
      </c>
      <c r="P319" s="4">
        <v>0</v>
      </c>
      <c r="Q319" s="3" t="s">
        <v>63</v>
      </c>
      <c r="R319" s="3">
        <v>43</v>
      </c>
      <c r="S319" s="3" t="s">
        <v>175</v>
      </c>
      <c r="U319" s="3">
        <v>0</v>
      </c>
      <c r="V319" s="3">
        <v>98</v>
      </c>
      <c r="W319" s="3">
        <v>0</v>
      </c>
    </row>
    <row r="320" spans="1:23" ht="11.25" customHeight="1" x14ac:dyDescent="0.25">
      <c r="A320" s="3" t="s">
        <v>21</v>
      </c>
      <c r="B320" s="3" t="s">
        <v>41</v>
      </c>
      <c r="C320" s="3" t="s">
        <v>61</v>
      </c>
      <c r="D320" s="3" t="s">
        <v>25</v>
      </c>
      <c r="E320" s="3" t="s">
        <v>25</v>
      </c>
      <c r="F320" s="3" t="s">
        <v>25</v>
      </c>
      <c r="G320" s="3" t="s">
        <v>62</v>
      </c>
      <c r="H320" s="3" t="s">
        <v>25</v>
      </c>
      <c r="I320" s="6">
        <v>44562</v>
      </c>
      <c r="J320" s="4">
        <v>0</v>
      </c>
      <c r="K320" s="4">
        <v>0</v>
      </c>
      <c r="L320" s="4">
        <v>1312.577</v>
      </c>
      <c r="M320" s="4">
        <v>1312.577</v>
      </c>
      <c r="N320" s="4">
        <v>0</v>
      </c>
      <c r="O320" s="4">
        <v>0</v>
      </c>
      <c r="P320" s="4">
        <v>0</v>
      </c>
      <c r="Q320" s="3" t="s">
        <v>63</v>
      </c>
      <c r="R320" s="3">
        <v>43</v>
      </c>
      <c r="S320" s="3" t="s">
        <v>176</v>
      </c>
      <c r="U320" s="3">
        <v>0</v>
      </c>
      <c r="V320" s="3">
        <v>98</v>
      </c>
      <c r="W320" s="3">
        <v>0</v>
      </c>
    </row>
    <row r="321" spans="1:23" ht="11.25" customHeight="1" x14ac:dyDescent="0.25">
      <c r="A321" s="3" t="s">
        <v>21</v>
      </c>
      <c r="B321" s="3" t="s">
        <v>41</v>
      </c>
      <c r="C321" s="3" t="s">
        <v>61</v>
      </c>
      <c r="D321" s="3" t="s">
        <v>25</v>
      </c>
      <c r="E321" s="3" t="s">
        <v>25</v>
      </c>
      <c r="F321" s="3" t="s">
        <v>25</v>
      </c>
      <c r="G321" s="3" t="s">
        <v>62</v>
      </c>
      <c r="H321" s="3" t="s">
        <v>25</v>
      </c>
      <c r="I321" s="6">
        <v>44593</v>
      </c>
      <c r="J321" s="4">
        <v>0</v>
      </c>
      <c r="K321" s="4">
        <v>0</v>
      </c>
      <c r="L321" s="4">
        <v>1157.5319999999999</v>
      </c>
      <c r="M321" s="4">
        <v>1157.5319999999999</v>
      </c>
      <c r="N321" s="4">
        <v>0</v>
      </c>
      <c r="O321" s="4">
        <v>0</v>
      </c>
      <c r="P321" s="4">
        <v>0</v>
      </c>
      <c r="Q321" s="3" t="s">
        <v>63</v>
      </c>
      <c r="R321" s="3">
        <v>43</v>
      </c>
      <c r="S321" s="3" t="s">
        <v>177</v>
      </c>
      <c r="U321" s="3">
        <v>0</v>
      </c>
      <c r="V321" s="3">
        <v>98</v>
      </c>
      <c r="W321" s="3">
        <v>0</v>
      </c>
    </row>
    <row r="322" spans="1:23" ht="11.25" customHeight="1" x14ac:dyDescent="0.25">
      <c r="A322" s="3" t="s">
        <v>21</v>
      </c>
      <c r="B322" s="3" t="s">
        <v>41</v>
      </c>
      <c r="C322" s="3" t="s">
        <v>61</v>
      </c>
      <c r="D322" s="3" t="s">
        <v>25</v>
      </c>
      <c r="E322" s="3" t="s">
        <v>25</v>
      </c>
      <c r="F322" s="3" t="s">
        <v>25</v>
      </c>
      <c r="G322" s="3" t="s">
        <v>62</v>
      </c>
      <c r="H322" s="3" t="s">
        <v>25</v>
      </c>
      <c r="I322" s="6">
        <v>44621</v>
      </c>
      <c r="J322" s="4">
        <v>0</v>
      </c>
      <c r="K322" s="4">
        <v>0</v>
      </c>
      <c r="L322" s="4">
        <v>1298.71</v>
      </c>
      <c r="M322" s="4">
        <v>1298.71</v>
      </c>
      <c r="N322" s="4">
        <v>0</v>
      </c>
      <c r="O322" s="4">
        <v>0</v>
      </c>
      <c r="P322" s="4">
        <v>0</v>
      </c>
      <c r="Q322" s="3" t="s">
        <v>63</v>
      </c>
      <c r="R322" s="3">
        <v>43</v>
      </c>
      <c r="S322" s="3" t="s">
        <v>178</v>
      </c>
      <c r="U322" s="3">
        <v>0</v>
      </c>
      <c r="V322" s="3">
        <v>98</v>
      </c>
      <c r="W322" s="3">
        <v>0</v>
      </c>
    </row>
    <row r="323" spans="1:23" ht="11.25" customHeight="1" x14ac:dyDescent="0.25">
      <c r="A323" s="3" t="s">
        <v>56</v>
      </c>
      <c r="B323" s="3" t="s">
        <v>41</v>
      </c>
      <c r="C323" s="3" t="s">
        <v>61</v>
      </c>
      <c r="D323" s="3" t="s">
        <v>25</v>
      </c>
      <c r="E323" s="3" t="s">
        <v>25</v>
      </c>
      <c r="F323" s="3" t="s">
        <v>25</v>
      </c>
      <c r="G323" s="3" t="s">
        <v>62</v>
      </c>
      <c r="H323" s="3" t="s">
        <v>25</v>
      </c>
      <c r="I323" s="6">
        <v>44652</v>
      </c>
      <c r="J323" s="4">
        <v>0</v>
      </c>
      <c r="K323" s="4">
        <v>0</v>
      </c>
      <c r="L323" s="4">
        <v>1298.71</v>
      </c>
      <c r="M323" s="4">
        <v>1298.71</v>
      </c>
      <c r="N323" s="4">
        <v>0</v>
      </c>
      <c r="O323" s="4">
        <v>0</v>
      </c>
      <c r="P323" s="4">
        <v>0</v>
      </c>
      <c r="Q323" s="3" t="s">
        <v>63</v>
      </c>
      <c r="R323" s="3">
        <v>43</v>
      </c>
      <c r="S323" s="3" t="s">
        <v>179</v>
      </c>
      <c r="U323" s="3">
        <v>0</v>
      </c>
      <c r="V323" s="3">
        <v>98</v>
      </c>
      <c r="W323" s="3">
        <v>0</v>
      </c>
    </row>
    <row r="324" spans="1:23" ht="11.25" customHeight="1" x14ac:dyDescent="0.25">
      <c r="A324" s="3" t="s">
        <v>21</v>
      </c>
      <c r="B324" s="3" t="s">
        <v>41</v>
      </c>
      <c r="C324" s="3" t="s">
        <v>61</v>
      </c>
      <c r="D324" s="3" t="s">
        <v>25</v>
      </c>
      <c r="E324" s="3" t="s">
        <v>25</v>
      </c>
      <c r="F324" s="3" t="s">
        <v>25</v>
      </c>
      <c r="G324" s="3" t="s">
        <v>62</v>
      </c>
      <c r="H324" s="3" t="s">
        <v>35</v>
      </c>
      <c r="I324" s="6">
        <v>44317</v>
      </c>
      <c r="J324" s="4">
        <v>3000</v>
      </c>
      <c r="K324" s="4">
        <v>3000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3" t="s">
        <v>63</v>
      </c>
      <c r="R324" s="3">
        <v>43</v>
      </c>
      <c r="S324" s="3" t="s">
        <v>180</v>
      </c>
      <c r="U324" s="3">
        <v>96</v>
      </c>
      <c r="V324" s="3">
        <v>0</v>
      </c>
      <c r="W324" s="3">
        <v>0</v>
      </c>
    </row>
    <row r="325" spans="1:23" ht="11.25" customHeight="1" x14ac:dyDescent="0.25">
      <c r="A325" s="3" t="s">
        <v>21</v>
      </c>
      <c r="B325" s="3" t="s">
        <v>41</v>
      </c>
      <c r="C325" s="3" t="s">
        <v>61</v>
      </c>
      <c r="D325" s="3" t="s">
        <v>25</v>
      </c>
      <c r="E325" s="3" t="s">
        <v>25</v>
      </c>
      <c r="F325" s="3" t="s">
        <v>25</v>
      </c>
      <c r="G325" s="3" t="s">
        <v>62</v>
      </c>
      <c r="H325" s="3" t="s">
        <v>35</v>
      </c>
      <c r="I325" s="6">
        <v>44348</v>
      </c>
      <c r="J325" s="4">
        <v>3000</v>
      </c>
      <c r="K325" s="4">
        <v>3000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3" t="s">
        <v>63</v>
      </c>
      <c r="R325" s="3">
        <v>43</v>
      </c>
      <c r="S325" s="3" t="s">
        <v>181</v>
      </c>
      <c r="U325" s="3">
        <v>96</v>
      </c>
      <c r="V325" s="3">
        <v>0</v>
      </c>
      <c r="W325" s="3">
        <v>0</v>
      </c>
    </row>
    <row r="326" spans="1:23" ht="11.25" customHeight="1" x14ac:dyDescent="0.25">
      <c r="A326" s="3" t="s">
        <v>21</v>
      </c>
      <c r="B326" s="3" t="s">
        <v>41</v>
      </c>
      <c r="C326" s="3" t="s">
        <v>61</v>
      </c>
      <c r="D326" s="3" t="s">
        <v>25</v>
      </c>
      <c r="E326" s="3" t="s">
        <v>25</v>
      </c>
      <c r="F326" s="3" t="s">
        <v>25</v>
      </c>
      <c r="G326" s="3" t="s">
        <v>62</v>
      </c>
      <c r="H326" s="3" t="s">
        <v>35</v>
      </c>
      <c r="I326" s="6">
        <v>44378</v>
      </c>
      <c r="J326" s="4">
        <v>3000</v>
      </c>
      <c r="K326" s="4">
        <v>3000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3" t="s">
        <v>63</v>
      </c>
      <c r="R326" s="3">
        <v>43</v>
      </c>
      <c r="S326" s="3" t="s">
        <v>182</v>
      </c>
      <c r="U326" s="3">
        <v>96</v>
      </c>
      <c r="V326" s="3">
        <v>0</v>
      </c>
      <c r="W326" s="3">
        <v>0</v>
      </c>
    </row>
    <row r="327" spans="1:23" ht="11.25" customHeight="1" x14ac:dyDescent="0.25">
      <c r="A327" s="3" t="s">
        <v>21</v>
      </c>
      <c r="B327" s="3" t="s">
        <v>41</v>
      </c>
      <c r="C327" s="3" t="s">
        <v>61</v>
      </c>
      <c r="D327" s="3" t="s">
        <v>25</v>
      </c>
      <c r="E327" s="3" t="s">
        <v>25</v>
      </c>
      <c r="F327" s="3" t="s">
        <v>25</v>
      </c>
      <c r="G327" s="3" t="s">
        <v>62</v>
      </c>
      <c r="H327" s="3" t="s">
        <v>35</v>
      </c>
      <c r="I327" s="6">
        <v>44409</v>
      </c>
      <c r="J327" s="4">
        <v>3010</v>
      </c>
      <c r="K327" s="4">
        <v>3010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3" t="s">
        <v>63</v>
      </c>
      <c r="R327" s="3">
        <v>43</v>
      </c>
      <c r="S327" s="3" t="s">
        <v>183</v>
      </c>
      <c r="U327" s="3">
        <v>96</v>
      </c>
      <c r="V327" s="3">
        <v>0</v>
      </c>
      <c r="W327" s="3">
        <v>0</v>
      </c>
    </row>
    <row r="328" spans="1:23" ht="11.25" customHeight="1" x14ac:dyDescent="0.25">
      <c r="A328" s="3" t="s">
        <v>21</v>
      </c>
      <c r="B328" s="3" t="s">
        <v>41</v>
      </c>
      <c r="C328" s="3" t="s">
        <v>61</v>
      </c>
      <c r="D328" s="3" t="s">
        <v>25</v>
      </c>
      <c r="E328" s="3" t="s">
        <v>25</v>
      </c>
      <c r="F328" s="3" t="s">
        <v>25</v>
      </c>
      <c r="G328" s="3" t="s">
        <v>62</v>
      </c>
      <c r="H328" s="3" t="s">
        <v>35</v>
      </c>
      <c r="I328" s="6">
        <v>44440</v>
      </c>
      <c r="J328" s="4">
        <v>3010</v>
      </c>
      <c r="K328" s="4">
        <v>3010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3" t="s">
        <v>63</v>
      </c>
      <c r="R328" s="3">
        <v>43</v>
      </c>
      <c r="S328" s="3" t="s">
        <v>184</v>
      </c>
      <c r="U328" s="3">
        <v>96</v>
      </c>
      <c r="V328" s="3">
        <v>0</v>
      </c>
      <c r="W328" s="3">
        <v>0</v>
      </c>
    </row>
    <row r="329" spans="1:23" ht="11.25" customHeight="1" x14ac:dyDescent="0.25">
      <c r="A329" s="3" t="s">
        <v>21</v>
      </c>
      <c r="B329" s="3" t="s">
        <v>41</v>
      </c>
      <c r="C329" s="3" t="s">
        <v>61</v>
      </c>
      <c r="D329" s="3" t="s">
        <v>25</v>
      </c>
      <c r="E329" s="3" t="s">
        <v>25</v>
      </c>
      <c r="F329" s="3" t="s">
        <v>25</v>
      </c>
      <c r="G329" s="3" t="s">
        <v>62</v>
      </c>
      <c r="H329" s="3" t="s">
        <v>35</v>
      </c>
      <c r="I329" s="6">
        <v>44470</v>
      </c>
      <c r="J329" s="4">
        <v>3010</v>
      </c>
      <c r="K329" s="4">
        <v>3010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3" t="s">
        <v>63</v>
      </c>
      <c r="R329" s="3">
        <v>43</v>
      </c>
      <c r="S329" s="3" t="s">
        <v>185</v>
      </c>
      <c r="U329" s="3">
        <v>96</v>
      </c>
      <c r="V329" s="3">
        <v>0</v>
      </c>
      <c r="W329" s="3">
        <v>0</v>
      </c>
    </row>
    <row r="330" spans="1:23" ht="11.25" customHeight="1" x14ac:dyDescent="0.25">
      <c r="A330" s="3" t="s">
        <v>21</v>
      </c>
      <c r="B330" s="3" t="s">
        <v>41</v>
      </c>
      <c r="C330" s="3" t="s">
        <v>61</v>
      </c>
      <c r="D330" s="3" t="s">
        <v>25</v>
      </c>
      <c r="E330" s="3" t="s">
        <v>25</v>
      </c>
      <c r="F330" s="3" t="s">
        <v>25</v>
      </c>
      <c r="G330" s="3" t="s">
        <v>62</v>
      </c>
      <c r="H330" s="3" t="s">
        <v>35</v>
      </c>
      <c r="I330" s="6">
        <v>44501</v>
      </c>
      <c r="J330" s="4">
        <v>3010</v>
      </c>
      <c r="K330" s="4">
        <v>3010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3" t="s">
        <v>63</v>
      </c>
      <c r="R330" s="3">
        <v>43</v>
      </c>
      <c r="S330" s="3" t="s">
        <v>186</v>
      </c>
      <c r="U330" s="3">
        <v>96</v>
      </c>
      <c r="V330" s="3">
        <v>0</v>
      </c>
      <c r="W330" s="3">
        <v>0</v>
      </c>
    </row>
    <row r="331" spans="1:23" ht="11.25" customHeight="1" x14ac:dyDescent="0.25">
      <c r="A331" s="3" t="s">
        <v>21</v>
      </c>
      <c r="B331" s="3" t="s">
        <v>41</v>
      </c>
      <c r="C331" s="3" t="s">
        <v>61</v>
      </c>
      <c r="D331" s="3" t="s">
        <v>25</v>
      </c>
      <c r="E331" s="3" t="s">
        <v>25</v>
      </c>
      <c r="F331" s="3" t="s">
        <v>25</v>
      </c>
      <c r="G331" s="3" t="s">
        <v>62</v>
      </c>
      <c r="H331" s="3" t="s">
        <v>35</v>
      </c>
      <c r="I331" s="6">
        <v>44531</v>
      </c>
      <c r="J331" s="4">
        <v>3010</v>
      </c>
      <c r="K331" s="4">
        <v>3010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3" t="s">
        <v>63</v>
      </c>
      <c r="R331" s="3">
        <v>43</v>
      </c>
      <c r="S331" s="3" t="s">
        <v>187</v>
      </c>
      <c r="U331" s="3">
        <v>96</v>
      </c>
      <c r="V331" s="3">
        <v>0</v>
      </c>
      <c r="W331" s="3">
        <v>0</v>
      </c>
    </row>
    <row r="332" spans="1:23" ht="11.25" customHeight="1" x14ac:dyDescent="0.25">
      <c r="A332" s="3" t="s">
        <v>21</v>
      </c>
      <c r="B332" s="3" t="s">
        <v>41</v>
      </c>
      <c r="C332" s="3" t="s">
        <v>61</v>
      </c>
      <c r="D332" s="3" t="s">
        <v>25</v>
      </c>
      <c r="E332" s="3" t="s">
        <v>25</v>
      </c>
      <c r="F332" s="3" t="s">
        <v>25</v>
      </c>
      <c r="G332" s="3" t="s">
        <v>62</v>
      </c>
      <c r="H332" s="3" t="s">
        <v>35</v>
      </c>
      <c r="I332" s="6">
        <v>44562</v>
      </c>
      <c r="J332" s="4">
        <v>3010</v>
      </c>
      <c r="K332" s="4">
        <v>3010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3" t="s">
        <v>63</v>
      </c>
      <c r="R332" s="3">
        <v>43</v>
      </c>
      <c r="S332" s="3" t="s">
        <v>188</v>
      </c>
      <c r="U332" s="3">
        <v>96</v>
      </c>
      <c r="V332" s="3">
        <v>0</v>
      </c>
      <c r="W332" s="3">
        <v>0</v>
      </c>
    </row>
    <row r="333" spans="1:23" ht="11.25" customHeight="1" x14ac:dyDescent="0.25">
      <c r="A333" s="3" t="s">
        <v>21</v>
      </c>
      <c r="B333" s="3" t="s">
        <v>41</v>
      </c>
      <c r="C333" s="3" t="s">
        <v>61</v>
      </c>
      <c r="D333" s="3" t="s">
        <v>25</v>
      </c>
      <c r="E333" s="3" t="s">
        <v>25</v>
      </c>
      <c r="F333" s="3" t="s">
        <v>25</v>
      </c>
      <c r="G333" s="3" t="s">
        <v>62</v>
      </c>
      <c r="H333" s="3" t="s">
        <v>35</v>
      </c>
      <c r="I333" s="6">
        <v>44593</v>
      </c>
      <c r="J333" s="4">
        <v>3010</v>
      </c>
      <c r="K333" s="4">
        <v>3010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3" t="s">
        <v>63</v>
      </c>
      <c r="R333" s="3">
        <v>43</v>
      </c>
      <c r="S333" s="3" t="s">
        <v>189</v>
      </c>
      <c r="U333" s="3">
        <v>96</v>
      </c>
      <c r="V333" s="3">
        <v>0</v>
      </c>
      <c r="W333" s="3">
        <v>0</v>
      </c>
    </row>
    <row r="334" spans="1:23" ht="11.25" customHeight="1" x14ac:dyDescent="0.25">
      <c r="A334" s="3" t="s">
        <v>21</v>
      </c>
      <c r="B334" s="3" t="s">
        <v>41</v>
      </c>
      <c r="C334" s="3" t="s">
        <v>61</v>
      </c>
      <c r="D334" s="3" t="s">
        <v>25</v>
      </c>
      <c r="E334" s="3" t="s">
        <v>25</v>
      </c>
      <c r="F334" s="3" t="s">
        <v>25</v>
      </c>
      <c r="G334" s="3" t="s">
        <v>62</v>
      </c>
      <c r="H334" s="3" t="s">
        <v>35</v>
      </c>
      <c r="I334" s="6">
        <v>44621</v>
      </c>
      <c r="J334" s="4">
        <v>3010</v>
      </c>
      <c r="K334" s="4">
        <v>3010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3" t="s">
        <v>63</v>
      </c>
      <c r="R334" s="3">
        <v>43</v>
      </c>
      <c r="S334" s="3" t="s">
        <v>190</v>
      </c>
      <c r="U334" s="3">
        <v>96</v>
      </c>
      <c r="V334" s="3">
        <v>0</v>
      </c>
      <c r="W334" s="3">
        <v>0</v>
      </c>
    </row>
    <row r="335" spans="1:23" ht="11.25" customHeight="1" x14ac:dyDescent="0.25">
      <c r="A335" s="3" t="s">
        <v>56</v>
      </c>
      <c r="B335" s="3" t="s">
        <v>41</v>
      </c>
      <c r="C335" s="3" t="s">
        <v>61</v>
      </c>
      <c r="D335" s="3" t="s">
        <v>25</v>
      </c>
      <c r="E335" s="3" t="s">
        <v>25</v>
      </c>
      <c r="F335" s="3" t="s">
        <v>25</v>
      </c>
      <c r="G335" s="3" t="s">
        <v>62</v>
      </c>
      <c r="H335" s="3" t="s">
        <v>35</v>
      </c>
      <c r="I335" s="6">
        <v>44652</v>
      </c>
      <c r="J335" s="4">
        <v>3010</v>
      </c>
      <c r="K335" s="4">
        <v>3010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3" t="s">
        <v>63</v>
      </c>
      <c r="R335" s="3">
        <v>43</v>
      </c>
      <c r="S335" s="3" t="s">
        <v>191</v>
      </c>
      <c r="U335" s="3">
        <v>96</v>
      </c>
      <c r="V335" s="3">
        <v>0</v>
      </c>
      <c r="W335" s="3">
        <v>0</v>
      </c>
    </row>
    <row r="336" spans="1:23" ht="11.25" customHeight="1" x14ac:dyDescent="0.25">
      <c r="A336" s="3" t="s">
        <v>21</v>
      </c>
      <c r="B336" s="3" t="s">
        <v>41</v>
      </c>
      <c r="C336" s="3" t="s">
        <v>64</v>
      </c>
      <c r="D336" s="3" t="s">
        <v>25</v>
      </c>
      <c r="E336" s="3" t="s">
        <v>25</v>
      </c>
      <c r="F336" s="3" t="s">
        <v>65</v>
      </c>
      <c r="G336" s="3" t="s">
        <v>66</v>
      </c>
      <c r="H336" s="3" t="s">
        <v>25</v>
      </c>
      <c r="I336" s="6">
        <v>44317</v>
      </c>
      <c r="J336" s="4">
        <v>2305</v>
      </c>
      <c r="K336" s="4">
        <v>1152.5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3" t="s">
        <v>67</v>
      </c>
      <c r="R336" s="3">
        <v>28542</v>
      </c>
      <c r="S336" s="3" t="s">
        <v>192</v>
      </c>
      <c r="U336" s="3">
        <v>90</v>
      </c>
      <c r="V336" s="3">
        <v>0</v>
      </c>
      <c r="W336" s="3">
        <v>0</v>
      </c>
    </row>
    <row r="337" spans="1:23" ht="11.25" customHeight="1" x14ac:dyDescent="0.25">
      <c r="A337" s="3" t="s">
        <v>21</v>
      </c>
      <c r="B337" s="3" t="s">
        <v>41</v>
      </c>
      <c r="C337" s="3" t="s">
        <v>64</v>
      </c>
      <c r="D337" s="3" t="s">
        <v>25</v>
      </c>
      <c r="E337" s="3" t="s">
        <v>25</v>
      </c>
      <c r="F337" s="3" t="s">
        <v>65</v>
      </c>
      <c r="G337" s="3" t="s">
        <v>70</v>
      </c>
      <c r="H337" s="3" t="s">
        <v>25</v>
      </c>
      <c r="I337" s="6">
        <v>44317</v>
      </c>
      <c r="J337" s="4">
        <v>14270</v>
      </c>
      <c r="K337" s="4">
        <v>7580.9375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3" t="s">
        <v>67</v>
      </c>
      <c r="R337" s="3">
        <v>29161</v>
      </c>
      <c r="S337" s="3" t="s">
        <v>192</v>
      </c>
      <c r="U337" s="3">
        <v>90</v>
      </c>
      <c r="V337" s="3">
        <v>0</v>
      </c>
      <c r="W337" s="3">
        <v>0</v>
      </c>
    </row>
    <row r="338" spans="1:23" ht="11.25" customHeight="1" x14ac:dyDescent="0.25">
      <c r="A338" s="3" t="s">
        <v>21</v>
      </c>
      <c r="B338" s="3" t="s">
        <v>41</v>
      </c>
      <c r="C338" s="3" t="s">
        <v>64</v>
      </c>
      <c r="D338" s="3" t="s">
        <v>25</v>
      </c>
      <c r="E338" s="3" t="s">
        <v>25</v>
      </c>
      <c r="F338" s="3" t="s">
        <v>65</v>
      </c>
      <c r="G338" s="3" t="s">
        <v>71</v>
      </c>
      <c r="H338" s="3" t="s">
        <v>25</v>
      </c>
      <c r="I338" s="6">
        <v>44317</v>
      </c>
      <c r="J338" s="4">
        <v>30000</v>
      </c>
      <c r="K338" s="4">
        <v>15000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3" t="s">
        <v>67</v>
      </c>
      <c r="R338" s="3">
        <v>30048</v>
      </c>
      <c r="S338" s="3" t="s">
        <v>192</v>
      </c>
      <c r="U338" s="3">
        <v>90</v>
      </c>
      <c r="V338" s="3">
        <v>0</v>
      </c>
      <c r="W338" s="3">
        <v>0</v>
      </c>
    </row>
    <row r="339" spans="1:23" ht="11.25" customHeight="1" x14ac:dyDescent="0.25">
      <c r="A339" s="3" t="s">
        <v>21</v>
      </c>
      <c r="B339" s="3" t="s">
        <v>41</v>
      </c>
      <c r="C339" s="3" t="s">
        <v>64</v>
      </c>
      <c r="D339" s="3" t="s">
        <v>25</v>
      </c>
      <c r="E339" s="3" t="s">
        <v>25</v>
      </c>
      <c r="F339" s="3" t="s">
        <v>65</v>
      </c>
      <c r="G339" s="3" t="s">
        <v>73</v>
      </c>
      <c r="H339" s="3" t="s">
        <v>25</v>
      </c>
      <c r="I339" s="6">
        <v>44317</v>
      </c>
      <c r="J339" s="4">
        <v>16500</v>
      </c>
      <c r="K339" s="4">
        <v>8250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3" t="s">
        <v>67</v>
      </c>
      <c r="R339" s="3">
        <v>31371</v>
      </c>
      <c r="S339" s="3" t="s">
        <v>192</v>
      </c>
      <c r="U339" s="3">
        <v>90</v>
      </c>
      <c r="V339" s="3">
        <v>0</v>
      </c>
      <c r="W339" s="3">
        <v>0</v>
      </c>
    </row>
    <row r="340" spans="1:23" ht="11.25" customHeight="1" x14ac:dyDescent="0.25">
      <c r="A340" s="3" t="s">
        <v>21</v>
      </c>
      <c r="B340" s="3" t="s">
        <v>41</v>
      </c>
      <c r="C340" s="3" t="s">
        <v>64</v>
      </c>
      <c r="D340" s="3" t="s">
        <v>25</v>
      </c>
      <c r="E340" s="3" t="s">
        <v>25</v>
      </c>
      <c r="F340" s="3" t="s">
        <v>65</v>
      </c>
      <c r="G340" s="3" t="s">
        <v>66</v>
      </c>
      <c r="H340" s="3" t="s">
        <v>25</v>
      </c>
      <c r="I340" s="6">
        <v>44348</v>
      </c>
      <c r="J340" s="4">
        <v>2317</v>
      </c>
      <c r="K340" s="4">
        <v>1158.5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3" t="s">
        <v>67</v>
      </c>
      <c r="R340" s="3">
        <v>28542</v>
      </c>
      <c r="S340" s="3" t="s">
        <v>193</v>
      </c>
      <c r="U340" s="3">
        <v>90</v>
      </c>
      <c r="V340" s="3">
        <v>0</v>
      </c>
      <c r="W340" s="3">
        <v>0</v>
      </c>
    </row>
    <row r="341" spans="1:23" ht="11.25" customHeight="1" x14ac:dyDescent="0.25">
      <c r="A341" s="3" t="s">
        <v>21</v>
      </c>
      <c r="B341" s="3" t="s">
        <v>41</v>
      </c>
      <c r="C341" s="3" t="s">
        <v>64</v>
      </c>
      <c r="D341" s="3" t="s">
        <v>25</v>
      </c>
      <c r="E341" s="3" t="s">
        <v>25</v>
      </c>
      <c r="F341" s="3" t="s">
        <v>65</v>
      </c>
      <c r="G341" s="3" t="s">
        <v>70</v>
      </c>
      <c r="H341" s="3" t="s">
        <v>25</v>
      </c>
      <c r="I341" s="6">
        <v>44348</v>
      </c>
      <c r="J341" s="4">
        <v>14250</v>
      </c>
      <c r="K341" s="4">
        <v>7570.3125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3" t="s">
        <v>67</v>
      </c>
      <c r="R341" s="3">
        <v>29161</v>
      </c>
      <c r="S341" s="3" t="s">
        <v>193</v>
      </c>
      <c r="U341" s="3">
        <v>90</v>
      </c>
      <c r="V341" s="3">
        <v>0</v>
      </c>
      <c r="W341" s="3">
        <v>0</v>
      </c>
    </row>
    <row r="342" spans="1:23" ht="11.25" customHeight="1" x14ac:dyDescent="0.25">
      <c r="A342" s="3" t="s">
        <v>21</v>
      </c>
      <c r="B342" s="3" t="s">
        <v>41</v>
      </c>
      <c r="C342" s="3" t="s">
        <v>64</v>
      </c>
      <c r="D342" s="3" t="s">
        <v>25</v>
      </c>
      <c r="E342" s="3" t="s">
        <v>25</v>
      </c>
      <c r="F342" s="3" t="s">
        <v>65</v>
      </c>
      <c r="G342" s="3" t="s">
        <v>71</v>
      </c>
      <c r="H342" s="3" t="s">
        <v>25</v>
      </c>
      <c r="I342" s="6">
        <v>44348</v>
      </c>
      <c r="J342" s="4">
        <v>30000</v>
      </c>
      <c r="K342" s="4">
        <v>15000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3" t="s">
        <v>67</v>
      </c>
      <c r="R342" s="3">
        <v>30048</v>
      </c>
      <c r="S342" s="3" t="s">
        <v>193</v>
      </c>
      <c r="U342" s="3">
        <v>90</v>
      </c>
      <c r="V342" s="3">
        <v>0</v>
      </c>
      <c r="W342" s="3">
        <v>0</v>
      </c>
    </row>
    <row r="343" spans="1:23" ht="11.25" customHeight="1" x14ac:dyDescent="0.25">
      <c r="A343" s="3" t="s">
        <v>21</v>
      </c>
      <c r="B343" s="3" t="s">
        <v>41</v>
      </c>
      <c r="C343" s="3" t="s">
        <v>64</v>
      </c>
      <c r="D343" s="3" t="s">
        <v>25</v>
      </c>
      <c r="E343" s="3" t="s">
        <v>25</v>
      </c>
      <c r="F343" s="3" t="s">
        <v>65</v>
      </c>
      <c r="G343" s="3" t="s">
        <v>73</v>
      </c>
      <c r="H343" s="3" t="s">
        <v>25</v>
      </c>
      <c r="I343" s="6">
        <v>44348</v>
      </c>
      <c r="J343" s="4">
        <v>16500</v>
      </c>
      <c r="K343" s="4">
        <v>8250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3" t="s">
        <v>67</v>
      </c>
      <c r="R343" s="3">
        <v>31371</v>
      </c>
      <c r="S343" s="3" t="s">
        <v>193</v>
      </c>
      <c r="U343" s="3">
        <v>90</v>
      </c>
      <c r="V343" s="3">
        <v>0</v>
      </c>
      <c r="W343" s="3">
        <v>0</v>
      </c>
    </row>
    <row r="344" spans="1:23" ht="11.25" customHeight="1" x14ac:dyDescent="0.25">
      <c r="A344" s="3" t="s">
        <v>21</v>
      </c>
      <c r="B344" s="3" t="s">
        <v>41</v>
      </c>
      <c r="C344" s="3" t="s">
        <v>64</v>
      </c>
      <c r="D344" s="3" t="s">
        <v>25</v>
      </c>
      <c r="E344" s="3" t="s">
        <v>25</v>
      </c>
      <c r="F344" s="3" t="s">
        <v>65</v>
      </c>
      <c r="G344" s="3" t="s">
        <v>66</v>
      </c>
      <c r="H344" s="3" t="s">
        <v>25</v>
      </c>
      <c r="I344" s="6">
        <v>44378</v>
      </c>
      <c r="J344" s="4">
        <v>2342</v>
      </c>
      <c r="K344" s="4">
        <v>1171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3" t="s">
        <v>67</v>
      </c>
      <c r="R344" s="3">
        <v>28542</v>
      </c>
      <c r="S344" s="3" t="s">
        <v>194</v>
      </c>
      <c r="U344" s="3">
        <v>90</v>
      </c>
      <c r="V344" s="3">
        <v>0</v>
      </c>
      <c r="W344" s="3">
        <v>0</v>
      </c>
    </row>
    <row r="345" spans="1:23" ht="11.25" customHeight="1" x14ac:dyDescent="0.25">
      <c r="A345" s="3" t="s">
        <v>21</v>
      </c>
      <c r="B345" s="3" t="s">
        <v>41</v>
      </c>
      <c r="C345" s="3" t="s">
        <v>64</v>
      </c>
      <c r="D345" s="3" t="s">
        <v>25</v>
      </c>
      <c r="E345" s="3" t="s">
        <v>25</v>
      </c>
      <c r="F345" s="3" t="s">
        <v>65</v>
      </c>
      <c r="G345" s="3" t="s">
        <v>70</v>
      </c>
      <c r="H345" s="3" t="s">
        <v>25</v>
      </c>
      <c r="I345" s="6">
        <v>44378</v>
      </c>
      <c r="J345" s="4">
        <v>15428</v>
      </c>
      <c r="K345" s="4">
        <v>8196.125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3" t="s">
        <v>67</v>
      </c>
      <c r="R345" s="3">
        <v>29161</v>
      </c>
      <c r="S345" s="3" t="s">
        <v>194</v>
      </c>
      <c r="U345" s="3">
        <v>90</v>
      </c>
      <c r="V345" s="3">
        <v>0</v>
      </c>
      <c r="W345" s="3">
        <v>0</v>
      </c>
    </row>
    <row r="346" spans="1:23" ht="11.25" customHeight="1" x14ac:dyDescent="0.25">
      <c r="A346" s="3" t="s">
        <v>21</v>
      </c>
      <c r="B346" s="3" t="s">
        <v>41</v>
      </c>
      <c r="C346" s="3" t="s">
        <v>64</v>
      </c>
      <c r="D346" s="3" t="s">
        <v>25</v>
      </c>
      <c r="E346" s="3" t="s">
        <v>25</v>
      </c>
      <c r="F346" s="3" t="s">
        <v>65</v>
      </c>
      <c r="G346" s="3" t="s">
        <v>71</v>
      </c>
      <c r="H346" s="3" t="s">
        <v>25</v>
      </c>
      <c r="I346" s="6">
        <v>44378</v>
      </c>
      <c r="J346" s="4">
        <v>30000</v>
      </c>
      <c r="K346" s="4">
        <v>15000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3" t="s">
        <v>67</v>
      </c>
      <c r="R346" s="3">
        <v>30048</v>
      </c>
      <c r="S346" s="3" t="s">
        <v>194</v>
      </c>
      <c r="U346" s="3">
        <v>90</v>
      </c>
      <c r="V346" s="3">
        <v>0</v>
      </c>
      <c r="W346" s="3">
        <v>0</v>
      </c>
    </row>
    <row r="347" spans="1:23" ht="11.25" customHeight="1" x14ac:dyDescent="0.25">
      <c r="A347" s="3" t="s">
        <v>21</v>
      </c>
      <c r="B347" s="3" t="s">
        <v>41</v>
      </c>
      <c r="C347" s="3" t="s">
        <v>64</v>
      </c>
      <c r="D347" s="3" t="s">
        <v>25</v>
      </c>
      <c r="E347" s="3" t="s">
        <v>25</v>
      </c>
      <c r="F347" s="3" t="s">
        <v>65</v>
      </c>
      <c r="G347" s="3" t="s">
        <v>73</v>
      </c>
      <c r="H347" s="3" t="s">
        <v>25</v>
      </c>
      <c r="I347" s="6">
        <v>44378</v>
      </c>
      <c r="J347" s="4">
        <v>16500</v>
      </c>
      <c r="K347" s="4">
        <v>8250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3" t="s">
        <v>67</v>
      </c>
      <c r="R347" s="3">
        <v>31371</v>
      </c>
      <c r="S347" s="3" t="s">
        <v>194</v>
      </c>
      <c r="U347" s="3">
        <v>90</v>
      </c>
      <c r="V347" s="3">
        <v>0</v>
      </c>
      <c r="W347" s="3">
        <v>0</v>
      </c>
    </row>
    <row r="348" spans="1:23" ht="11.25" customHeight="1" x14ac:dyDescent="0.25">
      <c r="A348" s="3" t="s">
        <v>21</v>
      </c>
      <c r="B348" s="3" t="s">
        <v>41</v>
      </c>
      <c r="C348" s="3" t="s">
        <v>64</v>
      </c>
      <c r="D348" s="3" t="s">
        <v>25</v>
      </c>
      <c r="E348" s="3" t="s">
        <v>25</v>
      </c>
      <c r="F348" s="3" t="s">
        <v>65</v>
      </c>
      <c r="G348" s="3" t="s">
        <v>66</v>
      </c>
      <c r="H348" s="3" t="s">
        <v>25</v>
      </c>
      <c r="I348" s="6">
        <v>44409</v>
      </c>
      <c r="J348" s="4">
        <v>1533</v>
      </c>
      <c r="K348" s="4">
        <v>766.5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3" t="s">
        <v>67</v>
      </c>
      <c r="R348" s="3">
        <v>28542</v>
      </c>
      <c r="S348" s="3" t="s">
        <v>195</v>
      </c>
      <c r="U348" s="3">
        <v>90</v>
      </c>
      <c r="V348" s="3">
        <v>0</v>
      </c>
      <c r="W348" s="3">
        <v>0</v>
      </c>
    </row>
    <row r="349" spans="1:23" ht="11.25" customHeight="1" x14ac:dyDescent="0.25">
      <c r="A349" s="3" t="s">
        <v>21</v>
      </c>
      <c r="B349" s="3" t="s">
        <v>41</v>
      </c>
      <c r="C349" s="3" t="s">
        <v>64</v>
      </c>
      <c r="D349" s="3" t="s">
        <v>25</v>
      </c>
      <c r="E349" s="3" t="s">
        <v>25</v>
      </c>
      <c r="F349" s="3" t="s">
        <v>65</v>
      </c>
      <c r="G349" s="3" t="s">
        <v>70</v>
      </c>
      <c r="H349" s="3" t="s">
        <v>25</v>
      </c>
      <c r="I349" s="6">
        <v>44409</v>
      </c>
      <c r="J349" s="4">
        <v>14393</v>
      </c>
      <c r="K349" s="4">
        <v>7646.28125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3" t="s">
        <v>67</v>
      </c>
      <c r="R349" s="3">
        <v>29161</v>
      </c>
      <c r="S349" s="3" t="s">
        <v>195</v>
      </c>
      <c r="U349" s="3">
        <v>90</v>
      </c>
      <c r="V349" s="3">
        <v>0</v>
      </c>
      <c r="W349" s="3">
        <v>0</v>
      </c>
    </row>
    <row r="350" spans="1:23" ht="11.25" customHeight="1" x14ac:dyDescent="0.25">
      <c r="A350" s="3" t="s">
        <v>21</v>
      </c>
      <c r="B350" s="3" t="s">
        <v>41</v>
      </c>
      <c r="C350" s="3" t="s">
        <v>64</v>
      </c>
      <c r="D350" s="3" t="s">
        <v>25</v>
      </c>
      <c r="E350" s="3" t="s">
        <v>25</v>
      </c>
      <c r="F350" s="3" t="s">
        <v>65</v>
      </c>
      <c r="G350" s="3" t="s">
        <v>71</v>
      </c>
      <c r="H350" s="3" t="s">
        <v>25</v>
      </c>
      <c r="I350" s="6">
        <v>44409</v>
      </c>
      <c r="J350" s="4">
        <v>30000</v>
      </c>
      <c r="K350" s="4">
        <v>15000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3" t="s">
        <v>67</v>
      </c>
      <c r="R350" s="3">
        <v>30048</v>
      </c>
      <c r="S350" s="3" t="s">
        <v>195</v>
      </c>
      <c r="U350" s="3">
        <v>90</v>
      </c>
      <c r="V350" s="3">
        <v>0</v>
      </c>
      <c r="W350" s="3">
        <v>0</v>
      </c>
    </row>
    <row r="351" spans="1:23" ht="11.25" customHeight="1" x14ac:dyDescent="0.25">
      <c r="A351" s="3" t="s">
        <v>21</v>
      </c>
      <c r="B351" s="3" t="s">
        <v>41</v>
      </c>
      <c r="C351" s="3" t="s">
        <v>64</v>
      </c>
      <c r="D351" s="3" t="s">
        <v>25</v>
      </c>
      <c r="E351" s="3" t="s">
        <v>25</v>
      </c>
      <c r="F351" s="3" t="s">
        <v>65</v>
      </c>
      <c r="G351" s="3" t="s">
        <v>73</v>
      </c>
      <c r="H351" s="3" t="s">
        <v>25</v>
      </c>
      <c r="I351" s="6">
        <v>44409</v>
      </c>
      <c r="J351" s="4">
        <v>16500</v>
      </c>
      <c r="K351" s="4">
        <v>8250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3" t="s">
        <v>67</v>
      </c>
      <c r="R351" s="3">
        <v>31371</v>
      </c>
      <c r="S351" s="3" t="s">
        <v>195</v>
      </c>
      <c r="U351" s="3">
        <v>90</v>
      </c>
      <c r="V351" s="3">
        <v>0</v>
      </c>
      <c r="W351" s="3">
        <v>0</v>
      </c>
    </row>
    <row r="352" spans="1:23" ht="11.25" customHeight="1" x14ac:dyDescent="0.25">
      <c r="A352" s="3" t="s">
        <v>21</v>
      </c>
      <c r="B352" s="3" t="s">
        <v>41</v>
      </c>
      <c r="C352" s="3" t="s">
        <v>64</v>
      </c>
      <c r="D352" s="3" t="s">
        <v>25</v>
      </c>
      <c r="E352" s="3" t="s">
        <v>25</v>
      </c>
      <c r="F352" s="3" t="s">
        <v>65</v>
      </c>
      <c r="G352" s="3" t="s">
        <v>66</v>
      </c>
      <c r="H352" s="3" t="s">
        <v>25</v>
      </c>
      <c r="I352" s="6">
        <v>44440</v>
      </c>
      <c r="J352" s="4">
        <v>1066</v>
      </c>
      <c r="K352" s="4">
        <v>533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3" t="s">
        <v>67</v>
      </c>
      <c r="R352" s="3">
        <v>28542</v>
      </c>
      <c r="S352" s="3" t="s">
        <v>196</v>
      </c>
      <c r="U352" s="3">
        <v>90</v>
      </c>
      <c r="V352" s="3">
        <v>0</v>
      </c>
      <c r="W352" s="3">
        <v>0</v>
      </c>
    </row>
    <row r="353" spans="1:23" ht="11.25" customHeight="1" x14ac:dyDescent="0.25">
      <c r="A353" s="3" t="s">
        <v>21</v>
      </c>
      <c r="B353" s="3" t="s">
        <v>41</v>
      </c>
      <c r="C353" s="3" t="s">
        <v>64</v>
      </c>
      <c r="D353" s="3" t="s">
        <v>25</v>
      </c>
      <c r="E353" s="3" t="s">
        <v>25</v>
      </c>
      <c r="F353" s="3" t="s">
        <v>65</v>
      </c>
      <c r="G353" s="3" t="s">
        <v>70</v>
      </c>
      <c r="H353" s="3" t="s">
        <v>25</v>
      </c>
      <c r="I353" s="6">
        <v>44440</v>
      </c>
      <c r="J353" s="4">
        <v>12295</v>
      </c>
      <c r="K353" s="4">
        <v>6531.71875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3" t="s">
        <v>67</v>
      </c>
      <c r="R353" s="3">
        <v>29161</v>
      </c>
      <c r="S353" s="3" t="s">
        <v>196</v>
      </c>
      <c r="U353" s="3">
        <v>90</v>
      </c>
      <c r="V353" s="3">
        <v>0</v>
      </c>
      <c r="W353" s="3">
        <v>0</v>
      </c>
    </row>
    <row r="354" spans="1:23" ht="11.25" customHeight="1" x14ac:dyDescent="0.25">
      <c r="A354" s="3" t="s">
        <v>21</v>
      </c>
      <c r="B354" s="3" t="s">
        <v>41</v>
      </c>
      <c r="C354" s="3" t="s">
        <v>64</v>
      </c>
      <c r="D354" s="3" t="s">
        <v>25</v>
      </c>
      <c r="E354" s="3" t="s">
        <v>25</v>
      </c>
      <c r="F354" s="3" t="s">
        <v>65</v>
      </c>
      <c r="G354" s="3" t="s">
        <v>71</v>
      </c>
      <c r="H354" s="3" t="s">
        <v>25</v>
      </c>
      <c r="I354" s="6">
        <v>44440</v>
      </c>
      <c r="J354" s="4">
        <v>30000</v>
      </c>
      <c r="K354" s="4">
        <v>15000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3" t="s">
        <v>67</v>
      </c>
      <c r="R354" s="3">
        <v>30048</v>
      </c>
      <c r="S354" s="3" t="s">
        <v>196</v>
      </c>
      <c r="U354" s="3">
        <v>90</v>
      </c>
      <c r="V354" s="3">
        <v>0</v>
      </c>
      <c r="W354" s="3">
        <v>0</v>
      </c>
    </row>
    <row r="355" spans="1:23" ht="11.25" customHeight="1" x14ac:dyDescent="0.25">
      <c r="A355" s="3" t="s">
        <v>21</v>
      </c>
      <c r="B355" s="3" t="s">
        <v>41</v>
      </c>
      <c r="C355" s="3" t="s">
        <v>64</v>
      </c>
      <c r="D355" s="3" t="s">
        <v>25</v>
      </c>
      <c r="E355" s="3" t="s">
        <v>25</v>
      </c>
      <c r="F355" s="3" t="s">
        <v>65</v>
      </c>
      <c r="G355" s="3" t="s">
        <v>73</v>
      </c>
      <c r="H355" s="3" t="s">
        <v>25</v>
      </c>
      <c r="I355" s="6">
        <v>44440</v>
      </c>
      <c r="J355" s="4">
        <v>16500</v>
      </c>
      <c r="K355" s="4">
        <v>8250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3" t="s">
        <v>67</v>
      </c>
      <c r="R355" s="3">
        <v>31371</v>
      </c>
      <c r="S355" s="3" t="s">
        <v>196</v>
      </c>
      <c r="U355" s="3">
        <v>90</v>
      </c>
      <c r="V355" s="3">
        <v>0</v>
      </c>
      <c r="W355" s="3">
        <v>0</v>
      </c>
    </row>
    <row r="356" spans="1:23" ht="11.25" customHeight="1" x14ac:dyDescent="0.25">
      <c r="A356" s="3" t="s">
        <v>21</v>
      </c>
      <c r="B356" s="3" t="s">
        <v>41</v>
      </c>
      <c r="C356" s="3" t="s">
        <v>64</v>
      </c>
      <c r="D356" s="3" t="s">
        <v>25</v>
      </c>
      <c r="E356" s="3" t="s">
        <v>25</v>
      </c>
      <c r="F356" s="3" t="s">
        <v>65</v>
      </c>
      <c r="G356" s="3" t="s">
        <v>66</v>
      </c>
      <c r="H356" s="3" t="s">
        <v>25</v>
      </c>
      <c r="I356" s="6">
        <v>44470</v>
      </c>
      <c r="J356" s="4">
        <v>1994</v>
      </c>
      <c r="K356" s="4">
        <v>997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3" t="s">
        <v>67</v>
      </c>
      <c r="R356" s="3">
        <v>28542</v>
      </c>
      <c r="S356" s="3" t="s">
        <v>197</v>
      </c>
      <c r="U356" s="3">
        <v>90</v>
      </c>
      <c r="V356" s="3">
        <v>0</v>
      </c>
      <c r="W356" s="3">
        <v>0</v>
      </c>
    </row>
    <row r="357" spans="1:23" ht="11.25" customHeight="1" x14ac:dyDescent="0.25">
      <c r="A357" s="3" t="s">
        <v>21</v>
      </c>
      <c r="B357" s="3" t="s">
        <v>41</v>
      </c>
      <c r="C357" s="3" t="s">
        <v>64</v>
      </c>
      <c r="D357" s="3" t="s">
        <v>25</v>
      </c>
      <c r="E357" s="3" t="s">
        <v>25</v>
      </c>
      <c r="F357" s="3" t="s">
        <v>65</v>
      </c>
      <c r="G357" s="3" t="s">
        <v>70</v>
      </c>
      <c r="H357" s="3" t="s">
        <v>25</v>
      </c>
      <c r="I357" s="6">
        <v>44470</v>
      </c>
      <c r="J357" s="4">
        <v>11378</v>
      </c>
      <c r="K357" s="4">
        <v>6044.5625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3" t="s">
        <v>67</v>
      </c>
      <c r="R357" s="3">
        <v>29161</v>
      </c>
      <c r="S357" s="3" t="s">
        <v>197</v>
      </c>
      <c r="U357" s="3">
        <v>90</v>
      </c>
      <c r="V357" s="3">
        <v>0</v>
      </c>
      <c r="W357" s="3">
        <v>0</v>
      </c>
    </row>
    <row r="358" spans="1:23" ht="11.25" customHeight="1" x14ac:dyDescent="0.25">
      <c r="A358" s="3" t="s">
        <v>21</v>
      </c>
      <c r="B358" s="3" t="s">
        <v>41</v>
      </c>
      <c r="C358" s="3" t="s">
        <v>64</v>
      </c>
      <c r="D358" s="3" t="s">
        <v>25</v>
      </c>
      <c r="E358" s="3" t="s">
        <v>25</v>
      </c>
      <c r="F358" s="3" t="s">
        <v>65</v>
      </c>
      <c r="G358" s="3" t="s">
        <v>71</v>
      </c>
      <c r="H358" s="3" t="s">
        <v>25</v>
      </c>
      <c r="I358" s="6">
        <v>44470</v>
      </c>
      <c r="J358" s="4">
        <v>30000</v>
      </c>
      <c r="K358" s="4">
        <v>15000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3" t="s">
        <v>67</v>
      </c>
      <c r="R358" s="3">
        <v>30048</v>
      </c>
      <c r="S358" s="3" t="s">
        <v>197</v>
      </c>
      <c r="U358" s="3">
        <v>90</v>
      </c>
      <c r="V358" s="3">
        <v>0</v>
      </c>
      <c r="W358" s="3">
        <v>0</v>
      </c>
    </row>
    <row r="359" spans="1:23" ht="11.25" customHeight="1" x14ac:dyDescent="0.25">
      <c r="A359" s="3" t="s">
        <v>21</v>
      </c>
      <c r="B359" s="3" t="s">
        <v>41</v>
      </c>
      <c r="C359" s="3" t="s">
        <v>64</v>
      </c>
      <c r="D359" s="3" t="s">
        <v>25</v>
      </c>
      <c r="E359" s="3" t="s">
        <v>25</v>
      </c>
      <c r="F359" s="3" t="s">
        <v>65</v>
      </c>
      <c r="G359" s="3" t="s">
        <v>73</v>
      </c>
      <c r="H359" s="3" t="s">
        <v>25</v>
      </c>
      <c r="I359" s="6">
        <v>44470</v>
      </c>
      <c r="J359" s="4">
        <v>20888</v>
      </c>
      <c r="K359" s="4">
        <v>10444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3" t="s">
        <v>67</v>
      </c>
      <c r="R359" s="3">
        <v>31371</v>
      </c>
      <c r="S359" s="3" t="s">
        <v>197</v>
      </c>
      <c r="U359" s="3">
        <v>90</v>
      </c>
      <c r="V359" s="3">
        <v>0</v>
      </c>
      <c r="W359" s="3">
        <v>0</v>
      </c>
    </row>
    <row r="360" spans="1:23" ht="11.25" customHeight="1" x14ac:dyDescent="0.25">
      <c r="A360" s="3" t="s">
        <v>21</v>
      </c>
      <c r="B360" s="3" t="s">
        <v>41</v>
      </c>
      <c r="C360" s="3" t="s">
        <v>64</v>
      </c>
      <c r="D360" s="3" t="s">
        <v>25</v>
      </c>
      <c r="E360" s="3" t="s">
        <v>25</v>
      </c>
      <c r="F360" s="3" t="s">
        <v>65</v>
      </c>
      <c r="G360" s="3" t="s">
        <v>66</v>
      </c>
      <c r="H360" s="3" t="s">
        <v>25</v>
      </c>
      <c r="I360" s="6">
        <v>44501</v>
      </c>
      <c r="J360" s="4">
        <v>2636</v>
      </c>
      <c r="K360" s="4">
        <v>1318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3" t="s">
        <v>67</v>
      </c>
      <c r="R360" s="3">
        <v>28542</v>
      </c>
      <c r="S360" s="3" t="s">
        <v>198</v>
      </c>
      <c r="U360" s="3">
        <v>90</v>
      </c>
      <c r="V360" s="3">
        <v>0</v>
      </c>
      <c r="W360" s="3">
        <v>0</v>
      </c>
    </row>
    <row r="361" spans="1:23" ht="11.25" customHeight="1" x14ac:dyDescent="0.25">
      <c r="A361" s="3" t="s">
        <v>21</v>
      </c>
      <c r="B361" s="3" t="s">
        <v>41</v>
      </c>
      <c r="C361" s="3" t="s">
        <v>64</v>
      </c>
      <c r="D361" s="3" t="s">
        <v>25</v>
      </c>
      <c r="E361" s="3" t="s">
        <v>25</v>
      </c>
      <c r="F361" s="3" t="s">
        <v>65</v>
      </c>
      <c r="G361" s="3" t="s">
        <v>70</v>
      </c>
      <c r="H361" s="3" t="s">
        <v>25</v>
      </c>
      <c r="I361" s="6">
        <v>44501</v>
      </c>
      <c r="J361" s="4">
        <v>12479</v>
      </c>
      <c r="K361" s="4">
        <v>6629.46875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3" t="s">
        <v>67</v>
      </c>
      <c r="R361" s="3">
        <v>29161</v>
      </c>
      <c r="S361" s="3" t="s">
        <v>198</v>
      </c>
      <c r="U361" s="3">
        <v>90</v>
      </c>
      <c r="V361" s="3">
        <v>0</v>
      </c>
      <c r="W361" s="3">
        <v>0</v>
      </c>
    </row>
    <row r="362" spans="1:23" ht="11.25" customHeight="1" x14ac:dyDescent="0.25">
      <c r="A362" s="3" t="s">
        <v>21</v>
      </c>
      <c r="B362" s="3" t="s">
        <v>41</v>
      </c>
      <c r="C362" s="3" t="s">
        <v>64</v>
      </c>
      <c r="D362" s="3" t="s">
        <v>25</v>
      </c>
      <c r="E362" s="3" t="s">
        <v>25</v>
      </c>
      <c r="F362" s="3" t="s">
        <v>65</v>
      </c>
      <c r="G362" s="3" t="s">
        <v>71</v>
      </c>
      <c r="H362" s="3" t="s">
        <v>25</v>
      </c>
      <c r="I362" s="6">
        <v>44501</v>
      </c>
      <c r="J362" s="4">
        <v>30000</v>
      </c>
      <c r="K362" s="4">
        <v>15000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3" t="s">
        <v>67</v>
      </c>
      <c r="R362" s="3">
        <v>30048</v>
      </c>
      <c r="S362" s="3" t="s">
        <v>198</v>
      </c>
      <c r="U362" s="3">
        <v>90</v>
      </c>
      <c r="V362" s="3">
        <v>0</v>
      </c>
      <c r="W362" s="3">
        <v>0</v>
      </c>
    </row>
    <row r="363" spans="1:23" ht="11.25" customHeight="1" x14ac:dyDescent="0.25">
      <c r="A363" s="3" t="s">
        <v>21</v>
      </c>
      <c r="B363" s="3" t="s">
        <v>41</v>
      </c>
      <c r="C363" s="3" t="s">
        <v>64</v>
      </c>
      <c r="D363" s="3" t="s">
        <v>25</v>
      </c>
      <c r="E363" s="3" t="s">
        <v>25</v>
      </c>
      <c r="F363" s="3" t="s">
        <v>65</v>
      </c>
      <c r="G363" s="3" t="s">
        <v>73</v>
      </c>
      <c r="H363" s="3" t="s">
        <v>25</v>
      </c>
      <c r="I363" s="6">
        <v>44501</v>
      </c>
      <c r="J363" s="4">
        <v>20751</v>
      </c>
      <c r="K363" s="4">
        <v>10375.5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3" t="s">
        <v>67</v>
      </c>
      <c r="R363" s="3">
        <v>31371</v>
      </c>
      <c r="S363" s="3" t="s">
        <v>198</v>
      </c>
      <c r="U363" s="3">
        <v>90</v>
      </c>
      <c r="V363" s="3">
        <v>0</v>
      </c>
      <c r="W363" s="3">
        <v>0</v>
      </c>
    </row>
    <row r="364" spans="1:23" ht="11.25" customHeight="1" x14ac:dyDescent="0.25">
      <c r="A364" s="3" t="s">
        <v>21</v>
      </c>
      <c r="B364" s="3" t="s">
        <v>41</v>
      </c>
      <c r="C364" s="3" t="s">
        <v>64</v>
      </c>
      <c r="D364" s="3" t="s">
        <v>25</v>
      </c>
      <c r="E364" s="3" t="s">
        <v>25</v>
      </c>
      <c r="F364" s="3" t="s">
        <v>65</v>
      </c>
      <c r="G364" s="3" t="s">
        <v>66</v>
      </c>
      <c r="H364" s="3" t="s">
        <v>25</v>
      </c>
      <c r="I364" s="6">
        <v>44531</v>
      </c>
      <c r="J364" s="4">
        <v>1869</v>
      </c>
      <c r="K364" s="4">
        <v>934.5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3" t="s">
        <v>67</v>
      </c>
      <c r="R364" s="3">
        <v>28542</v>
      </c>
      <c r="S364" s="3" t="s">
        <v>199</v>
      </c>
      <c r="U364" s="3">
        <v>90</v>
      </c>
      <c r="V364" s="3">
        <v>0</v>
      </c>
      <c r="W364" s="3">
        <v>0</v>
      </c>
    </row>
    <row r="365" spans="1:23" ht="11.25" customHeight="1" x14ac:dyDescent="0.25">
      <c r="A365" s="3" t="s">
        <v>21</v>
      </c>
      <c r="B365" s="3" t="s">
        <v>41</v>
      </c>
      <c r="C365" s="3" t="s">
        <v>64</v>
      </c>
      <c r="D365" s="3" t="s">
        <v>25</v>
      </c>
      <c r="E365" s="3" t="s">
        <v>25</v>
      </c>
      <c r="F365" s="3" t="s">
        <v>65</v>
      </c>
      <c r="G365" s="3" t="s">
        <v>70</v>
      </c>
      <c r="H365" s="3" t="s">
        <v>25</v>
      </c>
      <c r="I365" s="6">
        <v>44531</v>
      </c>
      <c r="J365" s="4">
        <v>13259</v>
      </c>
      <c r="K365" s="4">
        <v>7043.84375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3" t="s">
        <v>67</v>
      </c>
      <c r="R365" s="3">
        <v>29161</v>
      </c>
      <c r="S365" s="3" t="s">
        <v>199</v>
      </c>
      <c r="U365" s="3">
        <v>90</v>
      </c>
      <c r="V365" s="3">
        <v>0</v>
      </c>
      <c r="W365" s="3">
        <v>0</v>
      </c>
    </row>
    <row r="366" spans="1:23" ht="11.25" customHeight="1" x14ac:dyDescent="0.25">
      <c r="A366" s="3" t="s">
        <v>21</v>
      </c>
      <c r="B366" s="3" t="s">
        <v>41</v>
      </c>
      <c r="C366" s="3" t="s">
        <v>64</v>
      </c>
      <c r="D366" s="3" t="s">
        <v>25</v>
      </c>
      <c r="E366" s="3" t="s">
        <v>25</v>
      </c>
      <c r="F366" s="3" t="s">
        <v>65</v>
      </c>
      <c r="G366" s="3" t="s">
        <v>71</v>
      </c>
      <c r="H366" s="3" t="s">
        <v>25</v>
      </c>
      <c r="I366" s="6">
        <v>44531</v>
      </c>
      <c r="J366" s="4">
        <v>30000</v>
      </c>
      <c r="K366" s="4">
        <v>15000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3" t="s">
        <v>67</v>
      </c>
      <c r="R366" s="3">
        <v>30048</v>
      </c>
      <c r="S366" s="3" t="s">
        <v>199</v>
      </c>
      <c r="U366" s="3">
        <v>90</v>
      </c>
      <c r="V366" s="3">
        <v>0</v>
      </c>
      <c r="W366" s="3">
        <v>0</v>
      </c>
    </row>
    <row r="367" spans="1:23" ht="11.25" customHeight="1" x14ac:dyDescent="0.25">
      <c r="A367" s="3" t="s">
        <v>21</v>
      </c>
      <c r="B367" s="3" t="s">
        <v>41</v>
      </c>
      <c r="C367" s="3" t="s">
        <v>64</v>
      </c>
      <c r="D367" s="3" t="s">
        <v>25</v>
      </c>
      <c r="E367" s="3" t="s">
        <v>25</v>
      </c>
      <c r="F367" s="3" t="s">
        <v>65</v>
      </c>
      <c r="G367" s="3" t="s">
        <v>73</v>
      </c>
      <c r="H367" s="3" t="s">
        <v>25</v>
      </c>
      <c r="I367" s="6">
        <v>44531</v>
      </c>
      <c r="J367" s="4">
        <v>21732</v>
      </c>
      <c r="K367" s="4">
        <v>10866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3" t="s">
        <v>67</v>
      </c>
      <c r="R367" s="3">
        <v>31371</v>
      </c>
      <c r="S367" s="3" t="s">
        <v>199</v>
      </c>
      <c r="U367" s="3">
        <v>90</v>
      </c>
      <c r="V367" s="3">
        <v>0</v>
      </c>
      <c r="W367" s="3">
        <v>0</v>
      </c>
    </row>
    <row r="368" spans="1:23" ht="11.25" customHeight="1" x14ac:dyDescent="0.25">
      <c r="A368" s="3" t="s">
        <v>21</v>
      </c>
      <c r="B368" s="3" t="s">
        <v>41</v>
      </c>
      <c r="C368" s="3" t="s">
        <v>64</v>
      </c>
      <c r="D368" s="3" t="s">
        <v>25</v>
      </c>
      <c r="E368" s="3" t="s">
        <v>25</v>
      </c>
      <c r="F368" s="3" t="s">
        <v>65</v>
      </c>
      <c r="G368" s="3" t="s">
        <v>66</v>
      </c>
      <c r="H368" s="3" t="s">
        <v>25</v>
      </c>
      <c r="I368" s="6">
        <v>44562</v>
      </c>
      <c r="J368" s="4">
        <v>2327</v>
      </c>
      <c r="K368" s="4">
        <v>1163.5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3" t="s">
        <v>67</v>
      </c>
      <c r="R368" s="3">
        <v>28542</v>
      </c>
      <c r="S368" s="3" t="s">
        <v>200</v>
      </c>
      <c r="U368" s="3">
        <v>90</v>
      </c>
      <c r="V368" s="3">
        <v>0</v>
      </c>
      <c r="W368" s="3">
        <v>0</v>
      </c>
    </row>
    <row r="369" spans="1:23" ht="11.25" customHeight="1" x14ac:dyDescent="0.25">
      <c r="A369" s="3" t="s">
        <v>21</v>
      </c>
      <c r="B369" s="3" t="s">
        <v>41</v>
      </c>
      <c r="C369" s="3" t="s">
        <v>64</v>
      </c>
      <c r="D369" s="3" t="s">
        <v>25</v>
      </c>
      <c r="E369" s="3" t="s">
        <v>25</v>
      </c>
      <c r="F369" s="3" t="s">
        <v>65</v>
      </c>
      <c r="G369" s="3" t="s">
        <v>70</v>
      </c>
      <c r="H369" s="3" t="s">
        <v>25</v>
      </c>
      <c r="I369" s="6">
        <v>44562</v>
      </c>
      <c r="J369" s="4">
        <v>12784</v>
      </c>
      <c r="K369" s="4">
        <v>6791.5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3" t="s">
        <v>67</v>
      </c>
      <c r="R369" s="3">
        <v>29161</v>
      </c>
      <c r="S369" s="3" t="s">
        <v>200</v>
      </c>
      <c r="U369" s="3">
        <v>90</v>
      </c>
      <c r="V369" s="3">
        <v>0</v>
      </c>
      <c r="W369" s="3">
        <v>0</v>
      </c>
    </row>
    <row r="370" spans="1:23" ht="11.25" customHeight="1" x14ac:dyDescent="0.25">
      <c r="A370" s="3" t="s">
        <v>21</v>
      </c>
      <c r="B370" s="3" t="s">
        <v>41</v>
      </c>
      <c r="C370" s="3" t="s">
        <v>64</v>
      </c>
      <c r="D370" s="3" t="s">
        <v>25</v>
      </c>
      <c r="E370" s="3" t="s">
        <v>25</v>
      </c>
      <c r="F370" s="3" t="s">
        <v>65</v>
      </c>
      <c r="G370" s="3" t="s">
        <v>71</v>
      </c>
      <c r="H370" s="3" t="s">
        <v>25</v>
      </c>
      <c r="I370" s="6">
        <v>44562</v>
      </c>
      <c r="J370" s="4">
        <v>30000</v>
      </c>
      <c r="K370" s="4">
        <v>15000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3" t="s">
        <v>67</v>
      </c>
      <c r="R370" s="3">
        <v>30048</v>
      </c>
      <c r="S370" s="3" t="s">
        <v>200</v>
      </c>
      <c r="U370" s="3">
        <v>90</v>
      </c>
      <c r="V370" s="3">
        <v>0</v>
      </c>
      <c r="W370" s="3">
        <v>0</v>
      </c>
    </row>
    <row r="371" spans="1:23" ht="11.25" customHeight="1" x14ac:dyDescent="0.25">
      <c r="A371" s="3" t="s">
        <v>21</v>
      </c>
      <c r="B371" s="3" t="s">
        <v>41</v>
      </c>
      <c r="C371" s="3" t="s">
        <v>64</v>
      </c>
      <c r="D371" s="3" t="s">
        <v>25</v>
      </c>
      <c r="E371" s="3" t="s">
        <v>25</v>
      </c>
      <c r="F371" s="3" t="s">
        <v>65</v>
      </c>
      <c r="G371" s="3" t="s">
        <v>73</v>
      </c>
      <c r="H371" s="3" t="s">
        <v>25</v>
      </c>
      <c r="I371" s="6">
        <v>44562</v>
      </c>
      <c r="J371" s="4">
        <v>16500</v>
      </c>
      <c r="K371" s="4">
        <v>8250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3" t="s">
        <v>67</v>
      </c>
      <c r="R371" s="3">
        <v>31371</v>
      </c>
      <c r="S371" s="3" t="s">
        <v>200</v>
      </c>
      <c r="U371" s="3">
        <v>90</v>
      </c>
      <c r="V371" s="3">
        <v>0</v>
      </c>
      <c r="W371" s="3">
        <v>0</v>
      </c>
    </row>
    <row r="372" spans="1:23" ht="11.25" customHeight="1" x14ac:dyDescent="0.25">
      <c r="A372" s="3" t="s">
        <v>21</v>
      </c>
      <c r="B372" s="3" t="s">
        <v>41</v>
      </c>
      <c r="C372" s="3" t="s">
        <v>64</v>
      </c>
      <c r="D372" s="3" t="s">
        <v>25</v>
      </c>
      <c r="E372" s="3" t="s">
        <v>25</v>
      </c>
      <c r="F372" s="3" t="s">
        <v>65</v>
      </c>
      <c r="G372" s="3" t="s">
        <v>66</v>
      </c>
      <c r="H372" s="3" t="s">
        <v>25</v>
      </c>
      <c r="I372" s="6">
        <v>44593</v>
      </c>
      <c r="J372" s="4">
        <v>1362</v>
      </c>
      <c r="K372" s="4">
        <v>681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3" t="s">
        <v>67</v>
      </c>
      <c r="R372" s="3">
        <v>28542</v>
      </c>
      <c r="S372" s="3" t="s">
        <v>201</v>
      </c>
      <c r="U372" s="3">
        <v>90</v>
      </c>
      <c r="V372" s="3">
        <v>0</v>
      </c>
      <c r="W372" s="3">
        <v>0</v>
      </c>
    </row>
    <row r="373" spans="1:23" ht="11.25" customHeight="1" x14ac:dyDescent="0.25">
      <c r="A373" s="3" t="s">
        <v>21</v>
      </c>
      <c r="B373" s="3" t="s">
        <v>41</v>
      </c>
      <c r="C373" s="3" t="s">
        <v>64</v>
      </c>
      <c r="D373" s="3" t="s">
        <v>25</v>
      </c>
      <c r="E373" s="3" t="s">
        <v>25</v>
      </c>
      <c r="F373" s="3" t="s">
        <v>65</v>
      </c>
      <c r="G373" s="3" t="s">
        <v>70</v>
      </c>
      <c r="H373" s="3" t="s">
        <v>25</v>
      </c>
      <c r="I373" s="6">
        <v>44593</v>
      </c>
      <c r="J373" s="4">
        <v>11990</v>
      </c>
      <c r="K373" s="4">
        <v>6369.6875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3" t="s">
        <v>67</v>
      </c>
      <c r="R373" s="3">
        <v>29161</v>
      </c>
      <c r="S373" s="3" t="s">
        <v>201</v>
      </c>
      <c r="U373" s="3">
        <v>90</v>
      </c>
      <c r="V373" s="3">
        <v>0</v>
      </c>
      <c r="W373" s="3">
        <v>0</v>
      </c>
    </row>
    <row r="374" spans="1:23" ht="11.25" customHeight="1" x14ac:dyDescent="0.25">
      <c r="A374" s="3" t="s">
        <v>21</v>
      </c>
      <c r="B374" s="3" t="s">
        <v>41</v>
      </c>
      <c r="C374" s="3" t="s">
        <v>64</v>
      </c>
      <c r="D374" s="3" t="s">
        <v>25</v>
      </c>
      <c r="E374" s="3" t="s">
        <v>25</v>
      </c>
      <c r="F374" s="3" t="s">
        <v>65</v>
      </c>
      <c r="G374" s="3" t="s">
        <v>71</v>
      </c>
      <c r="H374" s="3" t="s">
        <v>25</v>
      </c>
      <c r="I374" s="6">
        <v>44593</v>
      </c>
      <c r="J374" s="4">
        <v>30000</v>
      </c>
      <c r="K374" s="4">
        <v>15000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3" t="s">
        <v>67</v>
      </c>
      <c r="R374" s="3">
        <v>30048</v>
      </c>
      <c r="S374" s="3" t="s">
        <v>201</v>
      </c>
      <c r="U374" s="3">
        <v>90</v>
      </c>
      <c r="V374" s="3">
        <v>0</v>
      </c>
      <c r="W374" s="3">
        <v>0</v>
      </c>
    </row>
    <row r="375" spans="1:23" ht="11.25" customHeight="1" x14ac:dyDescent="0.25">
      <c r="A375" s="3" t="s">
        <v>21</v>
      </c>
      <c r="B375" s="3" t="s">
        <v>41</v>
      </c>
      <c r="C375" s="3" t="s">
        <v>64</v>
      </c>
      <c r="D375" s="3" t="s">
        <v>25</v>
      </c>
      <c r="E375" s="3" t="s">
        <v>25</v>
      </c>
      <c r="F375" s="3" t="s">
        <v>65</v>
      </c>
      <c r="G375" s="3" t="s">
        <v>73</v>
      </c>
      <c r="H375" s="3" t="s">
        <v>25</v>
      </c>
      <c r="I375" s="6">
        <v>44593</v>
      </c>
      <c r="J375" s="4">
        <v>16500</v>
      </c>
      <c r="K375" s="4">
        <v>8250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3" t="s">
        <v>67</v>
      </c>
      <c r="R375" s="3">
        <v>31371</v>
      </c>
      <c r="S375" s="3" t="s">
        <v>201</v>
      </c>
      <c r="U375" s="3">
        <v>90</v>
      </c>
      <c r="V375" s="3">
        <v>0</v>
      </c>
      <c r="W375" s="3">
        <v>0</v>
      </c>
    </row>
    <row r="376" spans="1:23" ht="11.25" customHeight="1" x14ac:dyDescent="0.25">
      <c r="A376" s="3" t="s">
        <v>21</v>
      </c>
      <c r="B376" s="3" t="s">
        <v>41</v>
      </c>
      <c r="C376" s="3" t="s">
        <v>64</v>
      </c>
      <c r="D376" s="3" t="s">
        <v>25</v>
      </c>
      <c r="E376" s="3" t="s">
        <v>25</v>
      </c>
      <c r="F376" s="3" t="s">
        <v>65</v>
      </c>
      <c r="G376" s="3" t="s">
        <v>66</v>
      </c>
      <c r="H376" s="3" t="s">
        <v>25</v>
      </c>
      <c r="I376" s="6">
        <v>44621</v>
      </c>
      <c r="J376" s="4">
        <v>1131</v>
      </c>
      <c r="K376" s="4">
        <v>565.5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3" t="s">
        <v>67</v>
      </c>
      <c r="R376" s="3">
        <v>28542</v>
      </c>
      <c r="S376" s="3" t="s">
        <v>202</v>
      </c>
      <c r="U376" s="3">
        <v>90</v>
      </c>
      <c r="V376" s="3">
        <v>0</v>
      </c>
      <c r="W376" s="3">
        <v>0</v>
      </c>
    </row>
    <row r="377" spans="1:23" ht="11.25" customHeight="1" x14ac:dyDescent="0.25">
      <c r="A377" s="3" t="s">
        <v>21</v>
      </c>
      <c r="B377" s="3" t="s">
        <v>41</v>
      </c>
      <c r="C377" s="3" t="s">
        <v>64</v>
      </c>
      <c r="D377" s="3" t="s">
        <v>25</v>
      </c>
      <c r="E377" s="3" t="s">
        <v>25</v>
      </c>
      <c r="F377" s="3" t="s">
        <v>65</v>
      </c>
      <c r="G377" s="3" t="s">
        <v>70</v>
      </c>
      <c r="H377" s="3" t="s">
        <v>25</v>
      </c>
      <c r="I377" s="6">
        <v>44621</v>
      </c>
      <c r="J377" s="4">
        <v>11908</v>
      </c>
      <c r="K377" s="4">
        <v>6326.125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3" t="s">
        <v>67</v>
      </c>
      <c r="R377" s="3">
        <v>29161</v>
      </c>
      <c r="S377" s="3" t="s">
        <v>202</v>
      </c>
      <c r="U377" s="3">
        <v>90</v>
      </c>
      <c r="V377" s="3">
        <v>0</v>
      </c>
      <c r="W377" s="3">
        <v>0</v>
      </c>
    </row>
    <row r="378" spans="1:23" ht="11.25" customHeight="1" x14ac:dyDescent="0.25">
      <c r="A378" s="3" t="s">
        <v>21</v>
      </c>
      <c r="B378" s="3" t="s">
        <v>41</v>
      </c>
      <c r="C378" s="3" t="s">
        <v>64</v>
      </c>
      <c r="D378" s="3" t="s">
        <v>25</v>
      </c>
      <c r="E378" s="3" t="s">
        <v>25</v>
      </c>
      <c r="F378" s="3" t="s">
        <v>65</v>
      </c>
      <c r="G378" s="3" t="s">
        <v>71</v>
      </c>
      <c r="H378" s="3" t="s">
        <v>25</v>
      </c>
      <c r="I378" s="6">
        <v>44621</v>
      </c>
      <c r="J378" s="4">
        <v>30000</v>
      </c>
      <c r="K378" s="4">
        <v>15000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3" t="s">
        <v>67</v>
      </c>
      <c r="R378" s="3">
        <v>30048</v>
      </c>
      <c r="S378" s="3" t="s">
        <v>202</v>
      </c>
      <c r="U378" s="3">
        <v>90</v>
      </c>
      <c r="V378" s="3">
        <v>0</v>
      </c>
      <c r="W378" s="3">
        <v>0</v>
      </c>
    </row>
    <row r="379" spans="1:23" ht="11.25" customHeight="1" x14ac:dyDescent="0.25">
      <c r="A379" s="3" t="s">
        <v>21</v>
      </c>
      <c r="B379" s="3" t="s">
        <v>41</v>
      </c>
      <c r="C379" s="3" t="s">
        <v>64</v>
      </c>
      <c r="D379" s="3" t="s">
        <v>25</v>
      </c>
      <c r="E379" s="3" t="s">
        <v>25</v>
      </c>
      <c r="F379" s="3" t="s">
        <v>65</v>
      </c>
      <c r="G379" s="3" t="s">
        <v>73</v>
      </c>
      <c r="H379" s="3" t="s">
        <v>25</v>
      </c>
      <c r="I379" s="6">
        <v>44621</v>
      </c>
      <c r="J379" s="4">
        <v>16500</v>
      </c>
      <c r="K379" s="4">
        <v>8250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3" t="s">
        <v>67</v>
      </c>
      <c r="R379" s="3">
        <v>31371</v>
      </c>
      <c r="S379" s="3" t="s">
        <v>202</v>
      </c>
      <c r="U379" s="3">
        <v>90</v>
      </c>
      <c r="V379" s="3">
        <v>0</v>
      </c>
      <c r="W379" s="3">
        <v>0</v>
      </c>
    </row>
    <row r="380" spans="1:23" ht="11.25" customHeight="1" x14ac:dyDescent="0.25">
      <c r="A380" s="3" t="s">
        <v>56</v>
      </c>
      <c r="B380" s="3" t="s">
        <v>41</v>
      </c>
      <c r="C380" s="3" t="s">
        <v>64</v>
      </c>
      <c r="D380" s="3" t="s">
        <v>25</v>
      </c>
      <c r="E380" s="3" t="s">
        <v>25</v>
      </c>
      <c r="F380" s="3" t="s">
        <v>65</v>
      </c>
      <c r="G380" s="3" t="s">
        <v>66</v>
      </c>
      <c r="H380" s="3" t="s">
        <v>25</v>
      </c>
      <c r="I380" s="6">
        <v>44652</v>
      </c>
      <c r="J380" s="4">
        <v>1131</v>
      </c>
      <c r="K380" s="4">
        <v>565.5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3" t="s">
        <v>67</v>
      </c>
      <c r="R380" s="3">
        <v>28542</v>
      </c>
      <c r="S380" s="3" t="s">
        <v>203</v>
      </c>
      <c r="U380" s="3">
        <v>90</v>
      </c>
      <c r="V380" s="3">
        <v>0</v>
      </c>
      <c r="W380" s="3">
        <v>0</v>
      </c>
    </row>
    <row r="381" spans="1:23" ht="11.25" customHeight="1" x14ac:dyDescent="0.25">
      <c r="A381" s="3" t="s">
        <v>56</v>
      </c>
      <c r="B381" s="3" t="s">
        <v>41</v>
      </c>
      <c r="C381" s="3" t="s">
        <v>64</v>
      </c>
      <c r="D381" s="3" t="s">
        <v>25</v>
      </c>
      <c r="E381" s="3" t="s">
        <v>25</v>
      </c>
      <c r="F381" s="3" t="s">
        <v>65</v>
      </c>
      <c r="G381" s="3" t="s">
        <v>70</v>
      </c>
      <c r="H381" s="3" t="s">
        <v>25</v>
      </c>
      <c r="I381" s="6">
        <v>44652</v>
      </c>
      <c r="J381" s="4">
        <v>11908</v>
      </c>
      <c r="K381" s="4">
        <v>6326.125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3" t="s">
        <v>67</v>
      </c>
      <c r="R381" s="3">
        <v>29161</v>
      </c>
      <c r="S381" s="3" t="s">
        <v>203</v>
      </c>
      <c r="U381" s="3">
        <v>90</v>
      </c>
      <c r="V381" s="3">
        <v>0</v>
      </c>
      <c r="W381" s="3">
        <v>0</v>
      </c>
    </row>
    <row r="382" spans="1:23" ht="11.25" customHeight="1" x14ac:dyDescent="0.25">
      <c r="A382" s="3" t="s">
        <v>56</v>
      </c>
      <c r="B382" s="3" t="s">
        <v>41</v>
      </c>
      <c r="C382" s="3" t="s">
        <v>64</v>
      </c>
      <c r="D382" s="3" t="s">
        <v>25</v>
      </c>
      <c r="E382" s="3" t="s">
        <v>25</v>
      </c>
      <c r="F382" s="3" t="s">
        <v>65</v>
      </c>
      <c r="G382" s="3" t="s">
        <v>71</v>
      </c>
      <c r="H382" s="3" t="s">
        <v>25</v>
      </c>
      <c r="I382" s="6">
        <v>44652</v>
      </c>
      <c r="J382" s="4">
        <v>30000</v>
      </c>
      <c r="K382" s="4">
        <v>15000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3" t="s">
        <v>67</v>
      </c>
      <c r="R382" s="3">
        <v>30048</v>
      </c>
      <c r="S382" s="3" t="s">
        <v>203</v>
      </c>
      <c r="U382" s="3">
        <v>90</v>
      </c>
      <c r="V382" s="3">
        <v>0</v>
      </c>
      <c r="W382" s="3">
        <v>0</v>
      </c>
    </row>
    <row r="383" spans="1:23" ht="11.25" customHeight="1" x14ac:dyDescent="0.25">
      <c r="A383" s="3" t="s">
        <v>56</v>
      </c>
      <c r="B383" s="3" t="s">
        <v>41</v>
      </c>
      <c r="C383" s="3" t="s">
        <v>64</v>
      </c>
      <c r="D383" s="3" t="s">
        <v>25</v>
      </c>
      <c r="E383" s="3" t="s">
        <v>25</v>
      </c>
      <c r="F383" s="3" t="s">
        <v>65</v>
      </c>
      <c r="G383" s="3" t="s">
        <v>73</v>
      </c>
      <c r="H383" s="3" t="s">
        <v>25</v>
      </c>
      <c r="I383" s="6">
        <v>44652</v>
      </c>
      <c r="J383" s="4">
        <v>16500</v>
      </c>
      <c r="K383" s="4">
        <v>8250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3" t="s">
        <v>67</v>
      </c>
      <c r="R383" s="3">
        <v>31371</v>
      </c>
      <c r="S383" s="3" t="s">
        <v>203</v>
      </c>
      <c r="U383" s="3">
        <v>90</v>
      </c>
      <c r="V383" s="3">
        <v>0</v>
      </c>
      <c r="W383" s="3">
        <v>0</v>
      </c>
    </row>
    <row r="384" spans="1:23" ht="11.25" customHeight="1" x14ac:dyDescent="0.25">
      <c r="A384" s="3" t="s">
        <v>21</v>
      </c>
      <c r="B384" s="3" t="s">
        <v>41</v>
      </c>
      <c r="C384" s="3" t="s">
        <v>64</v>
      </c>
      <c r="D384" s="3" t="s">
        <v>25</v>
      </c>
      <c r="E384" s="3" t="s">
        <v>25</v>
      </c>
      <c r="F384" s="3" t="s">
        <v>25</v>
      </c>
      <c r="G384" s="3" t="s">
        <v>69</v>
      </c>
      <c r="H384" s="3" t="s">
        <v>25</v>
      </c>
      <c r="I384" s="6">
        <v>44317</v>
      </c>
      <c r="J384" s="4">
        <v>13000</v>
      </c>
      <c r="K384" s="4">
        <v>6500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3" t="s">
        <v>67</v>
      </c>
      <c r="R384" s="3">
        <v>28708</v>
      </c>
      <c r="S384" s="3" t="s">
        <v>192</v>
      </c>
      <c r="U384" s="3">
        <v>90</v>
      </c>
      <c r="V384" s="3">
        <v>0</v>
      </c>
      <c r="W384" s="3">
        <v>0</v>
      </c>
    </row>
    <row r="385" spans="1:23" ht="11.25" customHeight="1" x14ac:dyDescent="0.25">
      <c r="A385" s="3" t="s">
        <v>21</v>
      </c>
      <c r="B385" s="3" t="s">
        <v>41</v>
      </c>
      <c r="C385" s="3" t="s">
        <v>64</v>
      </c>
      <c r="D385" s="3" t="s">
        <v>25</v>
      </c>
      <c r="E385" s="3" t="s">
        <v>25</v>
      </c>
      <c r="F385" s="3" t="s">
        <v>25</v>
      </c>
      <c r="G385" s="3" t="s">
        <v>69</v>
      </c>
      <c r="H385" s="3" t="s">
        <v>25</v>
      </c>
      <c r="I385" s="6">
        <v>44348</v>
      </c>
      <c r="J385" s="4">
        <v>13000</v>
      </c>
      <c r="K385" s="4">
        <v>6500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3" t="s">
        <v>67</v>
      </c>
      <c r="R385" s="3">
        <v>28708</v>
      </c>
      <c r="S385" s="3" t="s">
        <v>193</v>
      </c>
      <c r="U385" s="3">
        <v>90</v>
      </c>
      <c r="V385" s="3">
        <v>0</v>
      </c>
      <c r="W385" s="3">
        <v>0</v>
      </c>
    </row>
    <row r="386" spans="1:23" ht="11.25" customHeight="1" x14ac:dyDescent="0.25">
      <c r="A386" s="3" t="s">
        <v>21</v>
      </c>
      <c r="B386" s="3" t="s">
        <v>41</v>
      </c>
      <c r="C386" s="3" t="s">
        <v>64</v>
      </c>
      <c r="D386" s="3" t="s">
        <v>25</v>
      </c>
      <c r="E386" s="3" t="s">
        <v>25</v>
      </c>
      <c r="F386" s="3" t="s">
        <v>25</v>
      </c>
      <c r="G386" s="3" t="s">
        <v>69</v>
      </c>
      <c r="H386" s="3" t="s">
        <v>25</v>
      </c>
      <c r="I386" s="6">
        <v>44378</v>
      </c>
      <c r="J386" s="4">
        <v>13000</v>
      </c>
      <c r="K386" s="4">
        <v>6500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3" t="s">
        <v>67</v>
      </c>
      <c r="R386" s="3">
        <v>28708</v>
      </c>
      <c r="S386" s="3" t="s">
        <v>194</v>
      </c>
      <c r="U386" s="3">
        <v>90</v>
      </c>
      <c r="V386" s="3">
        <v>0</v>
      </c>
      <c r="W386" s="3">
        <v>0</v>
      </c>
    </row>
    <row r="387" spans="1:23" ht="11.25" customHeight="1" x14ac:dyDescent="0.25">
      <c r="A387" s="3" t="s">
        <v>21</v>
      </c>
      <c r="B387" s="3" t="s">
        <v>41</v>
      </c>
      <c r="C387" s="3" t="s">
        <v>64</v>
      </c>
      <c r="D387" s="3" t="s">
        <v>25</v>
      </c>
      <c r="E387" s="3" t="s">
        <v>25</v>
      </c>
      <c r="F387" s="3" t="s">
        <v>25</v>
      </c>
      <c r="G387" s="3" t="s">
        <v>69</v>
      </c>
      <c r="H387" s="3" t="s">
        <v>25</v>
      </c>
      <c r="I387" s="6">
        <v>44409</v>
      </c>
      <c r="J387" s="4">
        <v>11000</v>
      </c>
      <c r="K387" s="4">
        <v>5500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3" t="s">
        <v>67</v>
      </c>
      <c r="R387" s="3">
        <v>28708</v>
      </c>
      <c r="S387" s="3" t="s">
        <v>195</v>
      </c>
      <c r="U387" s="3">
        <v>90</v>
      </c>
      <c r="V387" s="3">
        <v>0</v>
      </c>
      <c r="W387" s="3">
        <v>0</v>
      </c>
    </row>
    <row r="388" spans="1:23" ht="11.25" customHeight="1" x14ac:dyDescent="0.25">
      <c r="A388" s="3" t="s">
        <v>21</v>
      </c>
      <c r="B388" s="3" t="s">
        <v>41</v>
      </c>
      <c r="C388" s="3" t="s">
        <v>64</v>
      </c>
      <c r="D388" s="3" t="s">
        <v>25</v>
      </c>
      <c r="E388" s="3" t="s">
        <v>25</v>
      </c>
      <c r="F388" s="3" t="s">
        <v>25</v>
      </c>
      <c r="G388" s="3" t="s">
        <v>69</v>
      </c>
      <c r="H388" s="3" t="s">
        <v>25</v>
      </c>
      <c r="I388" s="6">
        <v>44440</v>
      </c>
      <c r="J388" s="4">
        <v>11000</v>
      </c>
      <c r="K388" s="4">
        <v>5500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3" t="s">
        <v>67</v>
      </c>
      <c r="R388" s="3">
        <v>28708</v>
      </c>
      <c r="S388" s="3" t="s">
        <v>196</v>
      </c>
      <c r="U388" s="3">
        <v>90</v>
      </c>
      <c r="V388" s="3">
        <v>0</v>
      </c>
      <c r="W388" s="3">
        <v>0</v>
      </c>
    </row>
    <row r="389" spans="1:23" ht="11.25" customHeight="1" x14ac:dyDescent="0.25">
      <c r="A389" s="3" t="s">
        <v>21</v>
      </c>
      <c r="B389" s="3" t="s">
        <v>41</v>
      </c>
      <c r="C389" s="3" t="s">
        <v>64</v>
      </c>
      <c r="D389" s="3" t="s">
        <v>25</v>
      </c>
      <c r="E389" s="3" t="s">
        <v>25</v>
      </c>
      <c r="F389" s="3" t="s">
        <v>25</v>
      </c>
      <c r="G389" s="3" t="s">
        <v>69</v>
      </c>
      <c r="H389" s="3" t="s">
        <v>25</v>
      </c>
      <c r="I389" s="6">
        <v>44470</v>
      </c>
      <c r="J389" s="4">
        <v>11000</v>
      </c>
      <c r="K389" s="4">
        <v>5500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3" t="s">
        <v>67</v>
      </c>
      <c r="R389" s="3">
        <v>28708</v>
      </c>
      <c r="S389" s="3" t="s">
        <v>197</v>
      </c>
      <c r="U389" s="3">
        <v>90</v>
      </c>
      <c r="V389" s="3">
        <v>0</v>
      </c>
      <c r="W389" s="3">
        <v>0</v>
      </c>
    </row>
    <row r="390" spans="1:23" ht="11.25" customHeight="1" x14ac:dyDescent="0.25">
      <c r="A390" s="3" t="s">
        <v>21</v>
      </c>
      <c r="B390" s="3" t="s">
        <v>41</v>
      </c>
      <c r="C390" s="3" t="s">
        <v>64</v>
      </c>
      <c r="D390" s="3" t="s">
        <v>25</v>
      </c>
      <c r="E390" s="3" t="s">
        <v>25</v>
      </c>
      <c r="F390" s="3" t="s">
        <v>25</v>
      </c>
      <c r="G390" s="3" t="s">
        <v>69</v>
      </c>
      <c r="H390" s="3" t="s">
        <v>25</v>
      </c>
      <c r="I390" s="6">
        <v>44501</v>
      </c>
      <c r="J390" s="4">
        <v>11000</v>
      </c>
      <c r="K390" s="4">
        <v>5500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3" t="s">
        <v>67</v>
      </c>
      <c r="R390" s="3">
        <v>28708</v>
      </c>
      <c r="S390" s="3" t="s">
        <v>198</v>
      </c>
      <c r="U390" s="3">
        <v>90</v>
      </c>
      <c r="V390" s="3">
        <v>0</v>
      </c>
      <c r="W390" s="3">
        <v>0</v>
      </c>
    </row>
    <row r="391" spans="1:23" ht="11.25" customHeight="1" x14ac:dyDescent="0.25">
      <c r="A391" s="3" t="s">
        <v>21</v>
      </c>
      <c r="B391" s="3" t="s">
        <v>41</v>
      </c>
      <c r="C391" s="3" t="s">
        <v>64</v>
      </c>
      <c r="D391" s="3" t="s">
        <v>25</v>
      </c>
      <c r="E391" s="3" t="s">
        <v>25</v>
      </c>
      <c r="F391" s="3" t="s">
        <v>25</v>
      </c>
      <c r="G391" s="3" t="s">
        <v>69</v>
      </c>
      <c r="H391" s="3" t="s">
        <v>25</v>
      </c>
      <c r="I391" s="6">
        <v>44531</v>
      </c>
      <c r="J391" s="4">
        <v>11000</v>
      </c>
      <c r="K391" s="4">
        <v>5500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3" t="s">
        <v>67</v>
      </c>
      <c r="R391" s="3">
        <v>28708</v>
      </c>
      <c r="S391" s="3" t="s">
        <v>199</v>
      </c>
      <c r="U391" s="3">
        <v>90</v>
      </c>
      <c r="V391" s="3">
        <v>0</v>
      </c>
      <c r="W391" s="3">
        <v>0</v>
      </c>
    </row>
    <row r="392" spans="1:23" ht="11.25" customHeight="1" x14ac:dyDescent="0.25">
      <c r="A392" s="3" t="s">
        <v>21</v>
      </c>
      <c r="B392" s="3" t="s">
        <v>41</v>
      </c>
      <c r="C392" s="3" t="s">
        <v>64</v>
      </c>
      <c r="D392" s="3" t="s">
        <v>25</v>
      </c>
      <c r="E392" s="3" t="s">
        <v>25</v>
      </c>
      <c r="F392" s="3" t="s">
        <v>25</v>
      </c>
      <c r="G392" s="3" t="s">
        <v>69</v>
      </c>
      <c r="H392" s="3" t="s">
        <v>25</v>
      </c>
      <c r="I392" s="6">
        <v>44562</v>
      </c>
      <c r="J392" s="4">
        <v>11000</v>
      </c>
      <c r="K392" s="4">
        <v>5500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3" t="s">
        <v>67</v>
      </c>
      <c r="R392" s="3">
        <v>28708</v>
      </c>
      <c r="S392" s="3" t="s">
        <v>200</v>
      </c>
      <c r="U392" s="3">
        <v>90</v>
      </c>
      <c r="V392" s="3">
        <v>0</v>
      </c>
      <c r="W392" s="3">
        <v>0</v>
      </c>
    </row>
    <row r="393" spans="1:23" ht="11.25" customHeight="1" x14ac:dyDescent="0.25">
      <c r="A393" s="3" t="s">
        <v>21</v>
      </c>
      <c r="B393" s="3" t="s">
        <v>41</v>
      </c>
      <c r="C393" s="3" t="s">
        <v>64</v>
      </c>
      <c r="D393" s="3" t="s">
        <v>25</v>
      </c>
      <c r="E393" s="3" t="s">
        <v>25</v>
      </c>
      <c r="F393" s="3" t="s">
        <v>25</v>
      </c>
      <c r="G393" s="3" t="s">
        <v>69</v>
      </c>
      <c r="H393" s="3" t="s">
        <v>25</v>
      </c>
      <c r="I393" s="6">
        <v>44593</v>
      </c>
      <c r="J393" s="4">
        <v>11000</v>
      </c>
      <c r="K393" s="4">
        <v>5500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3" t="s">
        <v>67</v>
      </c>
      <c r="R393" s="3">
        <v>28708</v>
      </c>
      <c r="S393" s="3" t="s">
        <v>201</v>
      </c>
      <c r="U393" s="3">
        <v>90</v>
      </c>
      <c r="V393" s="3">
        <v>0</v>
      </c>
      <c r="W393" s="3">
        <v>0</v>
      </c>
    </row>
    <row r="394" spans="1:23" ht="11.25" customHeight="1" x14ac:dyDescent="0.25">
      <c r="A394" s="3" t="s">
        <v>21</v>
      </c>
      <c r="B394" s="3" t="s">
        <v>41</v>
      </c>
      <c r="C394" s="3" t="s">
        <v>64</v>
      </c>
      <c r="D394" s="3" t="s">
        <v>25</v>
      </c>
      <c r="E394" s="3" t="s">
        <v>25</v>
      </c>
      <c r="F394" s="3" t="s">
        <v>25</v>
      </c>
      <c r="G394" s="3" t="s">
        <v>69</v>
      </c>
      <c r="H394" s="3" t="s">
        <v>25</v>
      </c>
      <c r="I394" s="6">
        <v>44621</v>
      </c>
      <c r="J394" s="4">
        <v>11000</v>
      </c>
      <c r="K394" s="4">
        <v>5500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3" t="s">
        <v>67</v>
      </c>
      <c r="R394" s="3">
        <v>28708</v>
      </c>
      <c r="S394" s="3" t="s">
        <v>202</v>
      </c>
      <c r="U394" s="3">
        <v>90</v>
      </c>
      <c r="V394" s="3">
        <v>0</v>
      </c>
      <c r="W394" s="3">
        <v>0</v>
      </c>
    </row>
    <row r="395" spans="1:23" ht="11.25" customHeight="1" x14ac:dyDescent="0.25">
      <c r="A395" s="3" t="s">
        <v>56</v>
      </c>
      <c r="B395" s="3" t="s">
        <v>41</v>
      </c>
      <c r="C395" s="3" t="s">
        <v>64</v>
      </c>
      <c r="D395" s="3" t="s">
        <v>25</v>
      </c>
      <c r="E395" s="3" t="s">
        <v>25</v>
      </c>
      <c r="F395" s="3" t="s">
        <v>25</v>
      </c>
      <c r="G395" s="3" t="s">
        <v>69</v>
      </c>
      <c r="H395" s="3" t="s">
        <v>25</v>
      </c>
      <c r="I395" s="6">
        <v>44652</v>
      </c>
      <c r="J395" s="4">
        <v>11000</v>
      </c>
      <c r="K395" s="4">
        <v>5500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3" t="s">
        <v>67</v>
      </c>
      <c r="R395" s="3">
        <v>28708</v>
      </c>
      <c r="S395" s="3" t="s">
        <v>203</v>
      </c>
      <c r="U395" s="3">
        <v>90</v>
      </c>
      <c r="V395" s="3">
        <v>0</v>
      </c>
      <c r="W395" s="3">
        <v>0</v>
      </c>
    </row>
    <row r="396" spans="1:23" ht="11.25" customHeight="1" x14ac:dyDescent="0.25">
      <c r="A396" s="3" t="s">
        <v>21</v>
      </c>
      <c r="B396" s="3" t="s">
        <v>33</v>
      </c>
      <c r="C396" s="3" t="s">
        <v>42</v>
      </c>
      <c r="D396" s="3" t="s">
        <v>43</v>
      </c>
      <c r="E396" s="3" t="s">
        <v>25</v>
      </c>
      <c r="F396" s="3" t="s">
        <v>25</v>
      </c>
      <c r="G396" s="3" t="s">
        <v>25</v>
      </c>
      <c r="H396" s="3" t="s">
        <v>36</v>
      </c>
      <c r="I396" s="6">
        <v>44317</v>
      </c>
      <c r="J396" s="4">
        <v>9000</v>
      </c>
      <c r="K396" s="4">
        <v>9000</v>
      </c>
      <c r="L396" s="4">
        <v>2327.5320000000002</v>
      </c>
      <c r="M396" s="4">
        <v>2327.5320000000002</v>
      </c>
      <c r="N396" s="4">
        <v>2327.5320000000002</v>
      </c>
      <c r="O396" s="4">
        <v>2327.5320000000002</v>
      </c>
      <c r="P396" s="4">
        <v>0</v>
      </c>
      <c r="Q396" s="3" t="s">
        <v>26</v>
      </c>
      <c r="R396" s="3">
        <v>0</v>
      </c>
      <c r="S396" s="3" t="s">
        <v>204</v>
      </c>
      <c r="T396" s="3" t="s">
        <v>537</v>
      </c>
      <c r="U396" s="3">
        <v>87</v>
      </c>
      <c r="V396" s="3">
        <v>88</v>
      </c>
      <c r="W396" s="3">
        <v>73</v>
      </c>
    </row>
    <row r="397" spans="1:23" ht="11.25" customHeight="1" x14ac:dyDescent="0.25">
      <c r="A397" s="3" t="s">
        <v>27</v>
      </c>
      <c r="B397" s="3" t="s">
        <v>33</v>
      </c>
      <c r="C397" s="3" t="s">
        <v>42</v>
      </c>
      <c r="D397" s="3" t="s">
        <v>43</v>
      </c>
      <c r="E397" s="3" t="s">
        <v>25</v>
      </c>
      <c r="F397" s="3" t="s">
        <v>25</v>
      </c>
      <c r="G397" s="3" t="s">
        <v>25</v>
      </c>
      <c r="H397" s="3" t="s">
        <v>36</v>
      </c>
      <c r="I397" s="6">
        <v>44317</v>
      </c>
      <c r="J397" s="4">
        <v>-53</v>
      </c>
      <c r="K397" s="4">
        <v>-53</v>
      </c>
      <c r="L397" s="4">
        <v>-9.5820000000000007</v>
      </c>
      <c r="M397" s="4">
        <v>-9.5820000000000007</v>
      </c>
      <c r="N397" s="4">
        <v>-9.5820000000000007</v>
      </c>
      <c r="O397" s="4">
        <v>-9.5820000000000007</v>
      </c>
      <c r="P397" s="4">
        <v>0</v>
      </c>
      <c r="Q397" s="3" t="s">
        <v>26</v>
      </c>
      <c r="R397" s="3">
        <v>0</v>
      </c>
      <c r="S397" s="3" t="s">
        <v>204</v>
      </c>
      <c r="T397" s="3" t="s">
        <v>537</v>
      </c>
      <c r="U397" s="3">
        <v>87</v>
      </c>
      <c r="V397" s="3">
        <v>88</v>
      </c>
      <c r="W397" s="3">
        <v>73</v>
      </c>
    </row>
    <row r="398" spans="1:23" ht="11.25" customHeight="1" x14ac:dyDescent="0.25">
      <c r="A398" s="3" t="s">
        <v>28</v>
      </c>
      <c r="B398" s="3" t="s">
        <v>33</v>
      </c>
      <c r="C398" s="3" t="s">
        <v>42</v>
      </c>
      <c r="D398" s="3" t="s">
        <v>43</v>
      </c>
      <c r="E398" s="3" t="s">
        <v>25</v>
      </c>
      <c r="F398" s="3" t="s">
        <v>25</v>
      </c>
      <c r="G398" s="3" t="s">
        <v>25</v>
      </c>
      <c r="H398" s="3" t="s">
        <v>36</v>
      </c>
      <c r="I398" s="6">
        <v>44317</v>
      </c>
      <c r="J398" s="4">
        <v>90</v>
      </c>
      <c r="K398" s="4">
        <v>90</v>
      </c>
      <c r="L398" s="4">
        <v>18.356999999999999</v>
      </c>
      <c r="M398" s="4">
        <v>18.356999999999999</v>
      </c>
      <c r="N398" s="4">
        <v>18.356999999999999</v>
      </c>
      <c r="O398" s="4">
        <v>18.356999999999999</v>
      </c>
      <c r="P398" s="4">
        <v>0</v>
      </c>
      <c r="Q398" s="3" t="s">
        <v>26</v>
      </c>
      <c r="R398" s="3">
        <v>0</v>
      </c>
      <c r="S398" s="3" t="s">
        <v>204</v>
      </c>
      <c r="T398" s="3" t="s">
        <v>537</v>
      </c>
      <c r="U398" s="3">
        <v>87</v>
      </c>
      <c r="V398" s="3">
        <v>88</v>
      </c>
      <c r="W398" s="3">
        <v>73</v>
      </c>
    </row>
    <row r="399" spans="1:23" ht="11.25" customHeight="1" x14ac:dyDescent="0.25">
      <c r="A399" s="3" t="s">
        <v>28</v>
      </c>
      <c r="B399" s="3" t="s">
        <v>33</v>
      </c>
      <c r="C399" s="3" t="s">
        <v>42</v>
      </c>
      <c r="D399" s="3" t="s">
        <v>43</v>
      </c>
      <c r="E399" s="3" t="s">
        <v>25</v>
      </c>
      <c r="F399" s="3" t="s">
        <v>25</v>
      </c>
      <c r="G399" s="3" t="s">
        <v>25</v>
      </c>
      <c r="H399" s="3" t="s">
        <v>36</v>
      </c>
      <c r="I399" s="6">
        <v>44317</v>
      </c>
      <c r="J399" s="4">
        <v>-36</v>
      </c>
      <c r="K399" s="4">
        <v>-36</v>
      </c>
      <c r="L399" s="4">
        <v>-9.9580000000000002</v>
      </c>
      <c r="M399" s="4">
        <v>-9.9580000000000002</v>
      </c>
      <c r="N399" s="4">
        <v>-9.9580000000000002</v>
      </c>
      <c r="O399" s="4">
        <v>-9.9580000000000002</v>
      </c>
      <c r="P399" s="4">
        <v>0</v>
      </c>
      <c r="Q399" s="3" t="s">
        <v>26</v>
      </c>
      <c r="R399" s="3">
        <v>0</v>
      </c>
      <c r="S399" s="3" t="s">
        <v>204</v>
      </c>
      <c r="T399" s="3" t="s">
        <v>537</v>
      </c>
      <c r="U399" s="3">
        <v>87</v>
      </c>
      <c r="V399" s="3">
        <v>88</v>
      </c>
      <c r="W399" s="3">
        <v>73</v>
      </c>
    </row>
    <row r="400" spans="1:23" ht="11.25" customHeight="1" x14ac:dyDescent="0.25">
      <c r="A400" s="3" t="s">
        <v>21</v>
      </c>
      <c r="B400" s="3" t="s">
        <v>33</v>
      </c>
      <c r="C400" s="3" t="s">
        <v>42</v>
      </c>
      <c r="D400" s="3" t="s">
        <v>43</v>
      </c>
      <c r="E400" s="3" t="s">
        <v>25</v>
      </c>
      <c r="F400" s="3" t="s">
        <v>25</v>
      </c>
      <c r="G400" s="3" t="s">
        <v>25</v>
      </c>
      <c r="H400" s="3" t="s">
        <v>36</v>
      </c>
      <c r="I400" s="6">
        <v>44348</v>
      </c>
      <c r="J400" s="4">
        <v>8821</v>
      </c>
      <c r="K400" s="4">
        <v>8821</v>
      </c>
      <c r="L400" s="4">
        <v>2243.261</v>
      </c>
      <c r="M400" s="4">
        <v>2243.261</v>
      </c>
      <c r="N400" s="4">
        <v>2243.261</v>
      </c>
      <c r="O400" s="4">
        <v>2243.261</v>
      </c>
      <c r="P400" s="4">
        <v>0</v>
      </c>
      <c r="Q400" s="3" t="s">
        <v>26</v>
      </c>
      <c r="R400" s="3">
        <v>0</v>
      </c>
      <c r="S400" s="3" t="s">
        <v>205</v>
      </c>
      <c r="T400" s="3" t="s">
        <v>538</v>
      </c>
      <c r="U400" s="3">
        <v>87</v>
      </c>
      <c r="V400" s="3">
        <v>88</v>
      </c>
      <c r="W400" s="3">
        <v>73</v>
      </c>
    </row>
    <row r="401" spans="1:23" ht="11.25" customHeight="1" x14ac:dyDescent="0.25">
      <c r="A401" s="3" t="s">
        <v>28</v>
      </c>
      <c r="B401" s="3" t="s">
        <v>33</v>
      </c>
      <c r="C401" s="3" t="s">
        <v>42</v>
      </c>
      <c r="D401" s="3" t="s">
        <v>43</v>
      </c>
      <c r="E401" s="3" t="s">
        <v>25</v>
      </c>
      <c r="F401" s="3" t="s">
        <v>25</v>
      </c>
      <c r="G401" s="3" t="s">
        <v>25</v>
      </c>
      <c r="H401" s="3" t="s">
        <v>36</v>
      </c>
      <c r="I401" s="6">
        <v>44348</v>
      </c>
      <c r="J401" s="4">
        <v>90</v>
      </c>
      <c r="K401" s="4">
        <v>90</v>
      </c>
      <c r="L401" s="4">
        <v>16.402000000000001</v>
      </c>
      <c r="M401" s="4">
        <v>16.402000000000001</v>
      </c>
      <c r="N401" s="4">
        <v>16.402000000000001</v>
      </c>
      <c r="O401" s="4">
        <v>16.402000000000001</v>
      </c>
      <c r="P401" s="4">
        <v>0</v>
      </c>
      <c r="Q401" s="3" t="s">
        <v>26</v>
      </c>
      <c r="R401" s="3">
        <v>0</v>
      </c>
      <c r="S401" s="3" t="s">
        <v>205</v>
      </c>
      <c r="T401" s="3" t="s">
        <v>538</v>
      </c>
      <c r="U401" s="3">
        <v>87</v>
      </c>
      <c r="V401" s="3">
        <v>88</v>
      </c>
      <c r="W401" s="3">
        <v>73</v>
      </c>
    </row>
    <row r="402" spans="1:23" ht="11.25" customHeight="1" x14ac:dyDescent="0.25">
      <c r="A402" s="3" t="s">
        <v>21</v>
      </c>
      <c r="B402" s="3" t="s">
        <v>33</v>
      </c>
      <c r="C402" s="3" t="s">
        <v>42</v>
      </c>
      <c r="D402" s="3" t="s">
        <v>43</v>
      </c>
      <c r="E402" s="3" t="s">
        <v>25</v>
      </c>
      <c r="F402" s="3" t="s">
        <v>25</v>
      </c>
      <c r="G402" s="3" t="s">
        <v>25</v>
      </c>
      <c r="H402" s="3" t="s">
        <v>36</v>
      </c>
      <c r="I402" s="6">
        <v>44378</v>
      </c>
      <c r="J402" s="4">
        <v>8926</v>
      </c>
      <c r="K402" s="4">
        <v>8926</v>
      </c>
      <c r="L402" s="4">
        <v>2717.0369999999998</v>
      </c>
      <c r="M402" s="4">
        <v>2717.0369999999998</v>
      </c>
      <c r="N402" s="4">
        <v>2717.0369999999998</v>
      </c>
      <c r="O402" s="4">
        <v>2717.0369999999998</v>
      </c>
      <c r="P402" s="4">
        <v>0</v>
      </c>
      <c r="Q402" s="3" t="s">
        <v>26</v>
      </c>
      <c r="R402" s="3">
        <v>0</v>
      </c>
      <c r="S402" s="3" t="s">
        <v>206</v>
      </c>
      <c r="T402" s="3" t="s">
        <v>539</v>
      </c>
      <c r="U402" s="3">
        <v>87</v>
      </c>
      <c r="V402" s="3">
        <v>88</v>
      </c>
      <c r="W402" s="3">
        <v>73</v>
      </c>
    </row>
    <row r="403" spans="1:23" ht="11.25" customHeight="1" x14ac:dyDescent="0.25">
      <c r="A403" s="3" t="s">
        <v>28</v>
      </c>
      <c r="B403" s="3" t="s">
        <v>33</v>
      </c>
      <c r="C403" s="3" t="s">
        <v>42</v>
      </c>
      <c r="D403" s="3" t="s">
        <v>43</v>
      </c>
      <c r="E403" s="3" t="s">
        <v>25</v>
      </c>
      <c r="F403" s="3" t="s">
        <v>25</v>
      </c>
      <c r="G403" s="3" t="s">
        <v>25</v>
      </c>
      <c r="H403" s="3" t="s">
        <v>36</v>
      </c>
      <c r="I403" s="6">
        <v>44378</v>
      </c>
      <c r="J403" s="4">
        <v>90</v>
      </c>
      <c r="K403" s="4">
        <v>90</v>
      </c>
      <c r="L403" s="4">
        <v>16.648</v>
      </c>
      <c r="M403" s="4">
        <v>16.648</v>
      </c>
      <c r="N403" s="4">
        <v>16.648</v>
      </c>
      <c r="O403" s="4">
        <v>16.648</v>
      </c>
      <c r="P403" s="4">
        <v>0</v>
      </c>
      <c r="Q403" s="3" t="s">
        <v>26</v>
      </c>
      <c r="R403" s="3">
        <v>0</v>
      </c>
      <c r="S403" s="3" t="s">
        <v>206</v>
      </c>
      <c r="T403" s="3" t="s">
        <v>539</v>
      </c>
      <c r="U403" s="3">
        <v>87</v>
      </c>
      <c r="V403" s="3">
        <v>88</v>
      </c>
      <c r="W403" s="3">
        <v>73</v>
      </c>
    </row>
    <row r="404" spans="1:23" ht="11.25" customHeight="1" x14ac:dyDescent="0.25">
      <c r="A404" s="3" t="s">
        <v>21</v>
      </c>
      <c r="B404" s="3" t="s">
        <v>33</v>
      </c>
      <c r="C404" s="3" t="s">
        <v>42</v>
      </c>
      <c r="D404" s="3" t="s">
        <v>43</v>
      </c>
      <c r="E404" s="3" t="s">
        <v>25</v>
      </c>
      <c r="F404" s="3" t="s">
        <v>25</v>
      </c>
      <c r="G404" s="3" t="s">
        <v>25</v>
      </c>
      <c r="H404" s="3" t="s">
        <v>36</v>
      </c>
      <c r="I404" s="6">
        <v>44409</v>
      </c>
      <c r="J404" s="4">
        <v>8286</v>
      </c>
      <c r="K404" s="4">
        <v>8286</v>
      </c>
      <c r="L404" s="4">
        <v>2280.4450000000002</v>
      </c>
      <c r="M404" s="4">
        <v>2280.4450000000002</v>
      </c>
      <c r="N404" s="4">
        <v>2280.4450000000002</v>
      </c>
      <c r="O404" s="4">
        <v>2280.4450000000002</v>
      </c>
      <c r="P404" s="4">
        <v>0</v>
      </c>
      <c r="Q404" s="3" t="s">
        <v>26</v>
      </c>
      <c r="R404" s="3">
        <v>0</v>
      </c>
      <c r="S404" s="3" t="s">
        <v>207</v>
      </c>
      <c r="T404" s="3" t="s">
        <v>540</v>
      </c>
      <c r="U404" s="3">
        <v>87</v>
      </c>
      <c r="V404" s="3">
        <v>88</v>
      </c>
      <c r="W404" s="3">
        <v>73</v>
      </c>
    </row>
    <row r="405" spans="1:23" ht="11.25" customHeight="1" x14ac:dyDescent="0.25">
      <c r="A405" s="3" t="s">
        <v>28</v>
      </c>
      <c r="B405" s="3" t="s">
        <v>33</v>
      </c>
      <c r="C405" s="3" t="s">
        <v>42</v>
      </c>
      <c r="D405" s="3" t="s">
        <v>43</v>
      </c>
      <c r="E405" s="3" t="s">
        <v>25</v>
      </c>
      <c r="F405" s="3" t="s">
        <v>25</v>
      </c>
      <c r="G405" s="3" t="s">
        <v>25</v>
      </c>
      <c r="H405" s="3" t="s">
        <v>36</v>
      </c>
      <c r="I405" s="6">
        <v>44409</v>
      </c>
      <c r="J405" s="4">
        <v>77</v>
      </c>
      <c r="K405" s="4">
        <v>77</v>
      </c>
      <c r="L405" s="4">
        <v>17.574000000000002</v>
      </c>
      <c r="M405" s="4">
        <v>17.574000000000002</v>
      </c>
      <c r="N405" s="4">
        <v>17.574000000000002</v>
      </c>
      <c r="O405" s="4">
        <v>17.574000000000002</v>
      </c>
      <c r="P405" s="4">
        <v>0</v>
      </c>
      <c r="Q405" s="3" t="s">
        <v>26</v>
      </c>
      <c r="R405" s="3">
        <v>0</v>
      </c>
      <c r="S405" s="3" t="s">
        <v>207</v>
      </c>
      <c r="T405" s="3" t="s">
        <v>540</v>
      </c>
      <c r="U405" s="3">
        <v>87</v>
      </c>
      <c r="V405" s="3">
        <v>88</v>
      </c>
      <c r="W405" s="3">
        <v>73</v>
      </c>
    </row>
    <row r="406" spans="1:23" ht="11.25" customHeight="1" x14ac:dyDescent="0.25">
      <c r="A406" s="3" t="s">
        <v>21</v>
      </c>
      <c r="B406" s="3" t="s">
        <v>33</v>
      </c>
      <c r="C406" s="3" t="s">
        <v>42</v>
      </c>
      <c r="D406" s="3" t="s">
        <v>43</v>
      </c>
      <c r="E406" s="3" t="s">
        <v>25</v>
      </c>
      <c r="F406" s="3" t="s">
        <v>25</v>
      </c>
      <c r="G406" s="3" t="s">
        <v>25</v>
      </c>
      <c r="H406" s="3" t="s">
        <v>36</v>
      </c>
      <c r="I406" s="6">
        <v>44440</v>
      </c>
      <c r="J406" s="4">
        <v>8868</v>
      </c>
      <c r="K406" s="4">
        <v>8868</v>
      </c>
      <c r="L406" s="4">
        <v>2539.4430000000002</v>
      </c>
      <c r="M406" s="4">
        <v>2539.4430000000002</v>
      </c>
      <c r="N406" s="4">
        <v>2539.4430000000002</v>
      </c>
      <c r="O406" s="4">
        <v>2539.4430000000002</v>
      </c>
      <c r="P406" s="4">
        <v>0</v>
      </c>
      <c r="Q406" s="3" t="s">
        <v>26</v>
      </c>
      <c r="R406" s="3">
        <v>0</v>
      </c>
      <c r="S406" s="3" t="s">
        <v>208</v>
      </c>
      <c r="T406" s="3" t="s">
        <v>541</v>
      </c>
      <c r="U406" s="3">
        <v>87</v>
      </c>
      <c r="V406" s="3">
        <v>88</v>
      </c>
      <c r="W406" s="3">
        <v>73</v>
      </c>
    </row>
    <row r="407" spans="1:23" ht="11.25" customHeight="1" x14ac:dyDescent="0.25">
      <c r="A407" s="3" t="s">
        <v>27</v>
      </c>
      <c r="B407" s="3" t="s">
        <v>33</v>
      </c>
      <c r="C407" s="3" t="s">
        <v>42</v>
      </c>
      <c r="D407" s="3" t="s">
        <v>43</v>
      </c>
      <c r="E407" s="3" t="s">
        <v>25</v>
      </c>
      <c r="F407" s="3" t="s">
        <v>25</v>
      </c>
      <c r="G407" s="3" t="s">
        <v>25</v>
      </c>
      <c r="H407" s="3" t="s">
        <v>36</v>
      </c>
      <c r="I407" s="6">
        <v>44440</v>
      </c>
      <c r="J407" s="4">
        <v>210</v>
      </c>
      <c r="K407" s="4">
        <v>210</v>
      </c>
      <c r="L407" s="4">
        <v>27.459</v>
      </c>
      <c r="M407" s="4">
        <v>27.459</v>
      </c>
      <c r="N407" s="4">
        <v>27.459</v>
      </c>
      <c r="O407" s="4">
        <v>27.459</v>
      </c>
      <c r="P407" s="4">
        <v>0</v>
      </c>
      <c r="Q407" s="3" t="s">
        <v>26</v>
      </c>
      <c r="R407" s="3">
        <v>0</v>
      </c>
      <c r="S407" s="3" t="s">
        <v>208</v>
      </c>
      <c r="T407" s="3" t="s">
        <v>541</v>
      </c>
      <c r="U407" s="3">
        <v>87</v>
      </c>
      <c r="V407" s="3">
        <v>88</v>
      </c>
      <c r="W407" s="3">
        <v>73</v>
      </c>
    </row>
    <row r="408" spans="1:23" ht="11.25" customHeight="1" x14ac:dyDescent="0.25">
      <c r="A408" s="3" t="s">
        <v>28</v>
      </c>
      <c r="B408" s="3" t="s">
        <v>33</v>
      </c>
      <c r="C408" s="3" t="s">
        <v>42</v>
      </c>
      <c r="D408" s="3" t="s">
        <v>43</v>
      </c>
      <c r="E408" s="3" t="s">
        <v>25</v>
      </c>
      <c r="F408" s="3" t="s">
        <v>25</v>
      </c>
      <c r="G408" s="3" t="s">
        <v>25</v>
      </c>
      <c r="H408" s="3" t="s">
        <v>36</v>
      </c>
      <c r="I408" s="6">
        <v>44440</v>
      </c>
      <c r="J408" s="4">
        <v>77</v>
      </c>
      <c r="K408" s="4">
        <v>77</v>
      </c>
      <c r="L408" s="4">
        <v>16.547999999999998</v>
      </c>
      <c r="M408" s="4">
        <v>16.547999999999998</v>
      </c>
      <c r="N408" s="4">
        <v>16.547999999999998</v>
      </c>
      <c r="O408" s="4">
        <v>16.547999999999998</v>
      </c>
      <c r="P408" s="4">
        <v>0</v>
      </c>
      <c r="Q408" s="3" t="s">
        <v>26</v>
      </c>
      <c r="R408" s="3">
        <v>0</v>
      </c>
      <c r="S408" s="3" t="s">
        <v>208</v>
      </c>
      <c r="T408" s="3" t="s">
        <v>541</v>
      </c>
      <c r="U408" s="3">
        <v>87</v>
      </c>
      <c r="V408" s="3">
        <v>88</v>
      </c>
      <c r="W408" s="3">
        <v>73</v>
      </c>
    </row>
    <row r="409" spans="1:23" ht="11.25" customHeight="1" x14ac:dyDescent="0.25">
      <c r="A409" s="3" t="s">
        <v>21</v>
      </c>
      <c r="B409" s="3" t="s">
        <v>33</v>
      </c>
      <c r="C409" s="3" t="s">
        <v>42</v>
      </c>
      <c r="D409" s="3" t="s">
        <v>43</v>
      </c>
      <c r="E409" s="3" t="s">
        <v>25</v>
      </c>
      <c r="F409" s="3" t="s">
        <v>25</v>
      </c>
      <c r="G409" s="3" t="s">
        <v>25</v>
      </c>
      <c r="H409" s="3" t="s">
        <v>36</v>
      </c>
      <c r="I409" s="6">
        <v>44470</v>
      </c>
      <c r="J409" s="4">
        <v>8561</v>
      </c>
      <c r="K409" s="4">
        <v>8561</v>
      </c>
      <c r="L409" s="4">
        <v>2759.384</v>
      </c>
      <c r="M409" s="4">
        <v>2759.384</v>
      </c>
      <c r="N409" s="4">
        <v>2759.384</v>
      </c>
      <c r="O409" s="4">
        <v>2759.384</v>
      </c>
      <c r="P409" s="4">
        <v>0</v>
      </c>
      <c r="Q409" s="3" t="s">
        <v>26</v>
      </c>
      <c r="R409" s="3">
        <v>0</v>
      </c>
      <c r="S409" s="3" t="s">
        <v>209</v>
      </c>
      <c r="T409" s="3" t="s">
        <v>542</v>
      </c>
      <c r="U409" s="3">
        <v>87</v>
      </c>
      <c r="V409" s="3">
        <v>88</v>
      </c>
      <c r="W409" s="3">
        <v>73</v>
      </c>
    </row>
    <row r="410" spans="1:23" ht="11.25" customHeight="1" x14ac:dyDescent="0.25">
      <c r="A410" s="3" t="s">
        <v>28</v>
      </c>
      <c r="B410" s="3" t="s">
        <v>33</v>
      </c>
      <c r="C410" s="3" t="s">
        <v>42</v>
      </c>
      <c r="D410" s="3" t="s">
        <v>43</v>
      </c>
      <c r="E410" s="3" t="s">
        <v>25</v>
      </c>
      <c r="F410" s="3" t="s">
        <v>25</v>
      </c>
      <c r="G410" s="3" t="s">
        <v>25</v>
      </c>
      <c r="H410" s="3" t="s">
        <v>36</v>
      </c>
      <c r="I410" s="6">
        <v>44470</v>
      </c>
      <c r="J410" s="4">
        <v>82</v>
      </c>
      <c r="K410" s="4">
        <v>82</v>
      </c>
      <c r="L410" s="4">
        <v>18.934000000000001</v>
      </c>
      <c r="M410" s="4">
        <v>18.934000000000001</v>
      </c>
      <c r="N410" s="4">
        <v>18.934000000000001</v>
      </c>
      <c r="O410" s="4">
        <v>18.934000000000001</v>
      </c>
      <c r="P410" s="4">
        <v>0</v>
      </c>
      <c r="Q410" s="3" t="s">
        <v>26</v>
      </c>
      <c r="R410" s="3">
        <v>0</v>
      </c>
      <c r="S410" s="3" t="s">
        <v>209</v>
      </c>
      <c r="T410" s="3" t="s">
        <v>542</v>
      </c>
      <c r="U410" s="3">
        <v>87</v>
      </c>
      <c r="V410" s="3">
        <v>88</v>
      </c>
      <c r="W410" s="3">
        <v>73</v>
      </c>
    </row>
    <row r="411" spans="1:23" ht="11.25" customHeight="1" x14ac:dyDescent="0.25">
      <c r="A411" s="3" t="s">
        <v>21</v>
      </c>
      <c r="B411" s="3" t="s">
        <v>33</v>
      </c>
      <c r="C411" s="3" t="s">
        <v>42</v>
      </c>
      <c r="D411" s="3" t="s">
        <v>43</v>
      </c>
      <c r="E411" s="3" t="s">
        <v>25</v>
      </c>
      <c r="F411" s="3" t="s">
        <v>25</v>
      </c>
      <c r="G411" s="3" t="s">
        <v>25</v>
      </c>
      <c r="H411" s="3" t="s">
        <v>36</v>
      </c>
      <c r="I411" s="6">
        <v>44501</v>
      </c>
      <c r="J411" s="4">
        <v>8002</v>
      </c>
      <c r="K411" s="4">
        <v>8002</v>
      </c>
      <c r="L411" s="4">
        <v>2650.36</v>
      </c>
      <c r="M411" s="4">
        <v>2650.36</v>
      </c>
      <c r="N411" s="4">
        <v>2650.36</v>
      </c>
      <c r="O411" s="4">
        <v>2650.36</v>
      </c>
      <c r="P411" s="4">
        <v>0</v>
      </c>
      <c r="Q411" s="3" t="s">
        <v>26</v>
      </c>
      <c r="R411" s="3">
        <v>0</v>
      </c>
      <c r="S411" s="3" t="s">
        <v>210</v>
      </c>
      <c r="T411" s="3" t="s">
        <v>543</v>
      </c>
      <c r="U411" s="3">
        <v>87</v>
      </c>
      <c r="V411" s="3">
        <v>88</v>
      </c>
      <c r="W411" s="3">
        <v>73</v>
      </c>
    </row>
    <row r="412" spans="1:23" ht="11.25" customHeight="1" x14ac:dyDescent="0.25">
      <c r="A412" s="3" t="s">
        <v>27</v>
      </c>
      <c r="B412" s="3" t="s">
        <v>33</v>
      </c>
      <c r="C412" s="3" t="s">
        <v>42</v>
      </c>
      <c r="D412" s="3" t="s">
        <v>43</v>
      </c>
      <c r="E412" s="3" t="s">
        <v>25</v>
      </c>
      <c r="F412" s="3" t="s">
        <v>25</v>
      </c>
      <c r="G412" s="3" t="s">
        <v>25</v>
      </c>
      <c r="H412" s="3" t="s">
        <v>36</v>
      </c>
      <c r="I412" s="6">
        <v>44501</v>
      </c>
      <c r="J412" s="4">
        <v>0</v>
      </c>
      <c r="K412" s="4">
        <v>0</v>
      </c>
      <c r="L412" s="4">
        <v>0.86399999999999999</v>
      </c>
      <c r="M412" s="4">
        <v>0.86399999999999999</v>
      </c>
      <c r="N412" s="4">
        <v>0.86399999999999999</v>
      </c>
      <c r="O412" s="4">
        <v>0.86399999999999999</v>
      </c>
      <c r="P412" s="4">
        <v>0</v>
      </c>
      <c r="Q412" s="3" t="s">
        <v>26</v>
      </c>
      <c r="R412" s="3">
        <v>0</v>
      </c>
      <c r="S412" s="3" t="s">
        <v>210</v>
      </c>
      <c r="T412" s="3" t="s">
        <v>543</v>
      </c>
      <c r="U412" s="3">
        <v>0</v>
      </c>
      <c r="V412" s="3">
        <v>88</v>
      </c>
      <c r="W412" s="3">
        <v>73</v>
      </c>
    </row>
    <row r="413" spans="1:23" ht="11.25" customHeight="1" x14ac:dyDescent="0.25">
      <c r="A413" s="3" t="s">
        <v>28</v>
      </c>
      <c r="B413" s="3" t="s">
        <v>33</v>
      </c>
      <c r="C413" s="3" t="s">
        <v>42</v>
      </c>
      <c r="D413" s="3" t="s">
        <v>43</v>
      </c>
      <c r="E413" s="3" t="s">
        <v>25</v>
      </c>
      <c r="F413" s="3" t="s">
        <v>25</v>
      </c>
      <c r="G413" s="3" t="s">
        <v>25</v>
      </c>
      <c r="H413" s="3" t="s">
        <v>36</v>
      </c>
      <c r="I413" s="6">
        <v>44501</v>
      </c>
      <c r="J413" s="4">
        <v>77</v>
      </c>
      <c r="K413" s="4">
        <v>77</v>
      </c>
      <c r="L413" s="4">
        <v>16.690999999999999</v>
      </c>
      <c r="M413" s="4">
        <v>16.690999999999999</v>
      </c>
      <c r="N413" s="4">
        <v>16.690999999999999</v>
      </c>
      <c r="O413" s="4">
        <v>16.690999999999999</v>
      </c>
      <c r="P413" s="4">
        <v>0</v>
      </c>
      <c r="Q413" s="3" t="s">
        <v>26</v>
      </c>
      <c r="R413" s="3">
        <v>0</v>
      </c>
      <c r="S413" s="3" t="s">
        <v>210</v>
      </c>
      <c r="T413" s="3" t="s">
        <v>543</v>
      </c>
      <c r="U413" s="3">
        <v>87</v>
      </c>
      <c r="V413" s="3">
        <v>88</v>
      </c>
      <c r="W413" s="3">
        <v>73</v>
      </c>
    </row>
    <row r="414" spans="1:23" ht="11.25" customHeight="1" x14ac:dyDescent="0.25">
      <c r="A414" s="3" t="s">
        <v>21</v>
      </c>
      <c r="B414" s="3" t="s">
        <v>33</v>
      </c>
      <c r="C414" s="3" t="s">
        <v>42</v>
      </c>
      <c r="D414" s="3" t="s">
        <v>43</v>
      </c>
      <c r="E414" s="3" t="s">
        <v>25</v>
      </c>
      <c r="F414" s="3" t="s">
        <v>25</v>
      </c>
      <c r="G414" s="3" t="s">
        <v>25</v>
      </c>
      <c r="H414" s="3" t="s">
        <v>36</v>
      </c>
      <c r="I414" s="6">
        <v>44531</v>
      </c>
      <c r="J414" s="4">
        <v>7650</v>
      </c>
      <c r="K414" s="4">
        <v>7650</v>
      </c>
      <c r="L414" s="4">
        <v>2537.6129999999998</v>
      </c>
      <c r="M414" s="4">
        <v>2537.6129999999998</v>
      </c>
      <c r="N414" s="4">
        <v>2537.6129999999998</v>
      </c>
      <c r="O414" s="4">
        <v>2537.6129999999998</v>
      </c>
      <c r="P414" s="4">
        <v>0</v>
      </c>
      <c r="Q414" s="3" t="s">
        <v>26</v>
      </c>
      <c r="R414" s="3">
        <v>0</v>
      </c>
      <c r="S414" s="3" t="s">
        <v>211</v>
      </c>
      <c r="T414" s="3" t="s">
        <v>544</v>
      </c>
      <c r="U414" s="3">
        <v>87</v>
      </c>
      <c r="V414" s="3">
        <v>88</v>
      </c>
      <c r="W414" s="3">
        <v>73</v>
      </c>
    </row>
    <row r="415" spans="1:23" ht="11.25" customHeight="1" x14ac:dyDescent="0.25">
      <c r="A415" s="3" t="s">
        <v>28</v>
      </c>
      <c r="B415" s="3" t="s">
        <v>33</v>
      </c>
      <c r="C415" s="3" t="s">
        <v>42</v>
      </c>
      <c r="D415" s="3" t="s">
        <v>43</v>
      </c>
      <c r="E415" s="3" t="s">
        <v>25</v>
      </c>
      <c r="F415" s="3" t="s">
        <v>25</v>
      </c>
      <c r="G415" s="3" t="s">
        <v>25</v>
      </c>
      <c r="H415" s="3" t="s">
        <v>36</v>
      </c>
      <c r="I415" s="6">
        <v>44531</v>
      </c>
      <c r="J415" s="4">
        <v>77</v>
      </c>
      <c r="K415" s="4">
        <v>77</v>
      </c>
      <c r="L415" s="4">
        <v>19.433</v>
      </c>
      <c r="M415" s="4">
        <v>19.433</v>
      </c>
      <c r="N415" s="4">
        <v>19.433</v>
      </c>
      <c r="O415" s="4">
        <v>19.433</v>
      </c>
      <c r="P415" s="4">
        <v>0</v>
      </c>
      <c r="Q415" s="3" t="s">
        <v>26</v>
      </c>
      <c r="R415" s="3">
        <v>0</v>
      </c>
      <c r="S415" s="3" t="s">
        <v>211</v>
      </c>
      <c r="T415" s="3" t="s">
        <v>544</v>
      </c>
      <c r="U415" s="3">
        <v>87</v>
      </c>
      <c r="V415" s="3">
        <v>88</v>
      </c>
      <c r="W415" s="3">
        <v>73</v>
      </c>
    </row>
    <row r="416" spans="1:23" ht="11.25" customHeight="1" x14ac:dyDescent="0.25">
      <c r="A416" s="3" t="s">
        <v>21</v>
      </c>
      <c r="B416" s="3" t="s">
        <v>33</v>
      </c>
      <c r="C416" s="3" t="s">
        <v>42</v>
      </c>
      <c r="D416" s="3" t="s">
        <v>43</v>
      </c>
      <c r="E416" s="3" t="s">
        <v>25</v>
      </c>
      <c r="F416" s="3" t="s">
        <v>25</v>
      </c>
      <c r="G416" s="3" t="s">
        <v>25</v>
      </c>
      <c r="H416" s="3" t="s">
        <v>36</v>
      </c>
      <c r="I416" s="6">
        <v>44562</v>
      </c>
      <c r="J416" s="4">
        <v>7571</v>
      </c>
      <c r="K416" s="4">
        <v>7571</v>
      </c>
      <c r="L416" s="4">
        <v>2580.549</v>
      </c>
      <c r="M416" s="4">
        <v>2580.549</v>
      </c>
      <c r="N416" s="4">
        <v>2580.549</v>
      </c>
      <c r="O416" s="4">
        <v>2580.549</v>
      </c>
      <c r="P416" s="4">
        <v>0</v>
      </c>
      <c r="Q416" s="3" t="s">
        <v>26</v>
      </c>
      <c r="R416" s="3">
        <v>0</v>
      </c>
      <c r="S416" s="3" t="s">
        <v>212</v>
      </c>
      <c r="T416" s="3" t="s">
        <v>545</v>
      </c>
      <c r="U416" s="3">
        <v>87</v>
      </c>
      <c r="V416" s="3">
        <v>88</v>
      </c>
      <c r="W416" s="3">
        <v>73</v>
      </c>
    </row>
    <row r="417" spans="1:23" ht="11.25" customHeight="1" x14ac:dyDescent="0.25">
      <c r="A417" s="3" t="s">
        <v>27</v>
      </c>
      <c r="B417" s="3" t="s">
        <v>33</v>
      </c>
      <c r="C417" s="3" t="s">
        <v>42</v>
      </c>
      <c r="D417" s="3" t="s">
        <v>43</v>
      </c>
      <c r="E417" s="3" t="s">
        <v>25</v>
      </c>
      <c r="F417" s="3" t="s">
        <v>25</v>
      </c>
      <c r="G417" s="3" t="s">
        <v>25</v>
      </c>
      <c r="H417" s="3" t="s">
        <v>36</v>
      </c>
      <c r="I417" s="6">
        <v>44562</v>
      </c>
      <c r="J417" s="4">
        <v>-334</v>
      </c>
      <c r="K417" s="4">
        <v>-334</v>
      </c>
      <c r="L417" s="4">
        <v>-118.333</v>
      </c>
      <c r="M417" s="4">
        <v>-118.333</v>
      </c>
      <c r="N417" s="4">
        <v>-118.333</v>
      </c>
      <c r="O417" s="4">
        <v>-118.333</v>
      </c>
      <c r="P417" s="4">
        <v>0</v>
      </c>
      <c r="Q417" s="3" t="s">
        <v>26</v>
      </c>
      <c r="R417" s="3">
        <v>0</v>
      </c>
      <c r="S417" s="3" t="s">
        <v>212</v>
      </c>
      <c r="T417" s="3" t="s">
        <v>545</v>
      </c>
      <c r="U417" s="3">
        <v>87</v>
      </c>
      <c r="V417" s="3">
        <v>88</v>
      </c>
      <c r="W417" s="3">
        <v>73</v>
      </c>
    </row>
    <row r="418" spans="1:23" ht="11.25" customHeight="1" x14ac:dyDescent="0.25">
      <c r="A418" s="3" t="s">
        <v>28</v>
      </c>
      <c r="B418" s="3" t="s">
        <v>33</v>
      </c>
      <c r="C418" s="3" t="s">
        <v>42</v>
      </c>
      <c r="D418" s="3" t="s">
        <v>43</v>
      </c>
      <c r="E418" s="3" t="s">
        <v>25</v>
      </c>
      <c r="F418" s="3" t="s">
        <v>25</v>
      </c>
      <c r="G418" s="3" t="s">
        <v>25</v>
      </c>
      <c r="H418" s="3" t="s">
        <v>36</v>
      </c>
      <c r="I418" s="6">
        <v>44562</v>
      </c>
      <c r="J418" s="4">
        <v>77</v>
      </c>
      <c r="K418" s="4">
        <v>77</v>
      </c>
      <c r="L418" s="4">
        <v>14.002000000000001</v>
      </c>
      <c r="M418" s="4">
        <v>14.002000000000001</v>
      </c>
      <c r="N418" s="4">
        <v>14.002000000000001</v>
      </c>
      <c r="O418" s="4">
        <v>14.002000000000001</v>
      </c>
      <c r="P418" s="4">
        <v>0</v>
      </c>
      <c r="Q418" s="3" t="s">
        <v>26</v>
      </c>
      <c r="R418" s="3">
        <v>0</v>
      </c>
      <c r="S418" s="3" t="s">
        <v>212</v>
      </c>
      <c r="T418" s="3" t="s">
        <v>545</v>
      </c>
      <c r="U418" s="3">
        <v>87</v>
      </c>
      <c r="V418" s="3">
        <v>88</v>
      </c>
      <c r="W418" s="3">
        <v>73</v>
      </c>
    </row>
    <row r="419" spans="1:23" ht="11.25" customHeight="1" x14ac:dyDescent="0.25">
      <c r="A419" s="3" t="s">
        <v>21</v>
      </c>
      <c r="B419" s="3" t="s">
        <v>33</v>
      </c>
      <c r="C419" s="3" t="s">
        <v>42</v>
      </c>
      <c r="D419" s="3" t="s">
        <v>43</v>
      </c>
      <c r="E419" s="3" t="s">
        <v>25</v>
      </c>
      <c r="F419" s="3" t="s">
        <v>25</v>
      </c>
      <c r="G419" s="3" t="s">
        <v>25</v>
      </c>
      <c r="H419" s="3" t="s">
        <v>36</v>
      </c>
      <c r="I419" s="6">
        <v>44593</v>
      </c>
      <c r="J419" s="4">
        <v>7014</v>
      </c>
      <c r="K419" s="4">
        <v>7014</v>
      </c>
      <c r="L419" s="4">
        <v>2161.12</v>
      </c>
      <c r="M419" s="4">
        <v>2161.12</v>
      </c>
      <c r="N419" s="4">
        <v>2161.12</v>
      </c>
      <c r="O419" s="4">
        <v>2161.12</v>
      </c>
      <c r="P419" s="4">
        <v>0</v>
      </c>
      <c r="Q419" s="3" t="s">
        <v>26</v>
      </c>
      <c r="R419" s="3">
        <v>0</v>
      </c>
      <c r="S419" s="3" t="s">
        <v>213</v>
      </c>
      <c r="T419" s="3" t="s">
        <v>546</v>
      </c>
      <c r="U419" s="3">
        <v>87</v>
      </c>
      <c r="V419" s="3">
        <v>88</v>
      </c>
      <c r="W419" s="3">
        <v>73</v>
      </c>
    </row>
    <row r="420" spans="1:23" ht="11.25" customHeight="1" x14ac:dyDescent="0.25">
      <c r="A420" s="3" t="s">
        <v>28</v>
      </c>
      <c r="B420" s="3" t="s">
        <v>33</v>
      </c>
      <c r="C420" s="3" t="s">
        <v>42</v>
      </c>
      <c r="D420" s="3" t="s">
        <v>43</v>
      </c>
      <c r="E420" s="3" t="s">
        <v>25</v>
      </c>
      <c r="F420" s="3" t="s">
        <v>25</v>
      </c>
      <c r="G420" s="3" t="s">
        <v>25</v>
      </c>
      <c r="H420" s="3" t="s">
        <v>36</v>
      </c>
      <c r="I420" s="6">
        <v>44593</v>
      </c>
      <c r="J420" s="4">
        <v>77</v>
      </c>
      <c r="K420" s="4">
        <v>77</v>
      </c>
      <c r="L420" s="4">
        <v>11.167</v>
      </c>
      <c r="M420" s="4">
        <v>11.167</v>
      </c>
      <c r="N420" s="4">
        <v>11.167</v>
      </c>
      <c r="O420" s="4">
        <v>11.167</v>
      </c>
      <c r="P420" s="4">
        <v>0</v>
      </c>
      <c r="Q420" s="3" t="s">
        <v>26</v>
      </c>
      <c r="R420" s="3">
        <v>0</v>
      </c>
      <c r="S420" s="3" t="s">
        <v>213</v>
      </c>
      <c r="T420" s="3" t="s">
        <v>546</v>
      </c>
      <c r="U420" s="3">
        <v>87</v>
      </c>
      <c r="V420" s="3">
        <v>88</v>
      </c>
      <c r="W420" s="3">
        <v>73</v>
      </c>
    </row>
    <row r="421" spans="1:23" ht="11.25" customHeight="1" x14ac:dyDescent="0.25">
      <c r="A421" s="3" t="s">
        <v>21</v>
      </c>
      <c r="B421" s="3" t="s">
        <v>33</v>
      </c>
      <c r="C421" s="3" t="s">
        <v>42</v>
      </c>
      <c r="D421" s="3" t="s">
        <v>43</v>
      </c>
      <c r="E421" s="3" t="s">
        <v>25</v>
      </c>
      <c r="F421" s="3" t="s">
        <v>25</v>
      </c>
      <c r="G421" s="3" t="s">
        <v>25</v>
      </c>
      <c r="H421" s="3" t="s">
        <v>36</v>
      </c>
      <c r="I421" s="6">
        <v>44621</v>
      </c>
      <c r="J421" s="4">
        <v>6060</v>
      </c>
      <c r="K421" s="4">
        <v>6060</v>
      </c>
      <c r="L421" s="4">
        <v>1839.3389999999999</v>
      </c>
      <c r="M421" s="4">
        <v>1839.3389999999999</v>
      </c>
      <c r="N421" s="4">
        <v>1839.3389999999999</v>
      </c>
      <c r="O421" s="4">
        <v>1839.3389999999999</v>
      </c>
      <c r="P421" s="4">
        <v>0</v>
      </c>
      <c r="Q421" s="3" t="s">
        <v>26</v>
      </c>
      <c r="R421" s="3">
        <v>0</v>
      </c>
      <c r="S421" s="3" t="s">
        <v>214</v>
      </c>
      <c r="T421" s="3" t="s">
        <v>547</v>
      </c>
      <c r="U421" s="3">
        <v>87</v>
      </c>
      <c r="V421" s="3">
        <v>88</v>
      </c>
      <c r="W421" s="3">
        <v>73</v>
      </c>
    </row>
    <row r="422" spans="1:23" ht="11.25" customHeight="1" x14ac:dyDescent="0.25">
      <c r="A422" s="3" t="s">
        <v>28</v>
      </c>
      <c r="B422" s="3" t="s">
        <v>33</v>
      </c>
      <c r="C422" s="3" t="s">
        <v>42</v>
      </c>
      <c r="D422" s="3" t="s">
        <v>43</v>
      </c>
      <c r="E422" s="3" t="s">
        <v>25</v>
      </c>
      <c r="F422" s="3" t="s">
        <v>25</v>
      </c>
      <c r="G422" s="3" t="s">
        <v>25</v>
      </c>
      <c r="H422" s="3" t="s">
        <v>36</v>
      </c>
      <c r="I422" s="6">
        <v>44621</v>
      </c>
      <c r="J422" s="4">
        <v>77</v>
      </c>
      <c r="K422" s="4">
        <v>77</v>
      </c>
      <c r="L422" s="4">
        <v>17.690000000000001</v>
      </c>
      <c r="M422" s="4">
        <v>17.690000000000001</v>
      </c>
      <c r="N422" s="4">
        <v>17.690000000000001</v>
      </c>
      <c r="O422" s="4">
        <v>17.690000000000001</v>
      </c>
      <c r="P422" s="4">
        <v>0</v>
      </c>
      <c r="Q422" s="3" t="s">
        <v>26</v>
      </c>
      <c r="R422" s="3">
        <v>0</v>
      </c>
      <c r="S422" s="3" t="s">
        <v>214</v>
      </c>
      <c r="T422" s="3" t="s">
        <v>547</v>
      </c>
      <c r="U422" s="3">
        <v>87</v>
      </c>
      <c r="V422" s="3">
        <v>88</v>
      </c>
      <c r="W422" s="3">
        <v>73</v>
      </c>
    </row>
    <row r="423" spans="1:23" ht="11.25" customHeight="1" x14ac:dyDescent="0.25">
      <c r="A423" s="3" t="s">
        <v>56</v>
      </c>
      <c r="B423" s="3" t="s">
        <v>33</v>
      </c>
      <c r="C423" s="3" t="s">
        <v>42</v>
      </c>
      <c r="D423" s="3" t="s">
        <v>43</v>
      </c>
      <c r="E423" s="3" t="s">
        <v>25</v>
      </c>
      <c r="F423" s="3" t="s">
        <v>25</v>
      </c>
      <c r="G423" s="3" t="s">
        <v>25</v>
      </c>
      <c r="H423" s="3" t="s">
        <v>36</v>
      </c>
      <c r="I423" s="6">
        <v>44652</v>
      </c>
      <c r="J423" s="4">
        <v>6060</v>
      </c>
      <c r="K423" s="4">
        <v>6060</v>
      </c>
      <c r="L423" s="4">
        <v>1839.3389999999999</v>
      </c>
      <c r="M423" s="4">
        <v>1839.3389999999999</v>
      </c>
      <c r="N423" s="4">
        <v>1839.3389999999999</v>
      </c>
      <c r="O423" s="4">
        <v>1839.3389999999999</v>
      </c>
      <c r="P423" s="4">
        <v>0</v>
      </c>
      <c r="Q423" s="3" t="s">
        <v>26</v>
      </c>
      <c r="R423" s="3">
        <v>0</v>
      </c>
      <c r="S423" s="3" t="s">
        <v>215</v>
      </c>
      <c r="T423" s="3" t="s">
        <v>548</v>
      </c>
      <c r="U423" s="3">
        <v>87</v>
      </c>
      <c r="V423" s="3">
        <v>88</v>
      </c>
      <c r="W423" s="3">
        <v>73</v>
      </c>
    </row>
    <row r="424" spans="1:23" ht="11.25" customHeight="1" x14ac:dyDescent="0.25">
      <c r="A424" s="3" t="s">
        <v>56</v>
      </c>
      <c r="B424" s="3" t="s">
        <v>33</v>
      </c>
      <c r="C424" s="3" t="s">
        <v>42</v>
      </c>
      <c r="D424" s="3" t="s">
        <v>43</v>
      </c>
      <c r="E424" s="3" t="s">
        <v>25</v>
      </c>
      <c r="F424" s="3" t="s">
        <v>25</v>
      </c>
      <c r="G424" s="3" t="s">
        <v>25</v>
      </c>
      <c r="H424" s="3" t="s">
        <v>36</v>
      </c>
      <c r="I424" s="6">
        <v>44652</v>
      </c>
      <c r="J424" s="4">
        <v>77</v>
      </c>
      <c r="K424" s="4">
        <v>77</v>
      </c>
      <c r="L424" s="4">
        <v>17.690000000000001</v>
      </c>
      <c r="M424" s="4">
        <v>17.690000000000001</v>
      </c>
      <c r="N424" s="4">
        <v>17.690000000000001</v>
      </c>
      <c r="O424" s="4">
        <v>17.690000000000001</v>
      </c>
      <c r="P424" s="4">
        <v>0</v>
      </c>
      <c r="Q424" s="3" t="s">
        <v>26</v>
      </c>
      <c r="R424" s="3">
        <v>0</v>
      </c>
      <c r="S424" s="3" t="s">
        <v>215</v>
      </c>
      <c r="T424" s="3" t="s">
        <v>548</v>
      </c>
      <c r="U424" s="3">
        <v>87</v>
      </c>
      <c r="V424" s="3">
        <v>88</v>
      </c>
      <c r="W424" s="3">
        <v>73</v>
      </c>
    </row>
    <row r="425" spans="1:23" ht="11.25" customHeight="1" x14ac:dyDescent="0.25">
      <c r="A425" s="3" t="s">
        <v>21</v>
      </c>
      <c r="B425" s="3" t="s">
        <v>33</v>
      </c>
      <c r="C425" s="3" t="s">
        <v>42</v>
      </c>
      <c r="D425" s="3" t="s">
        <v>43</v>
      </c>
      <c r="E425" s="3" t="s">
        <v>25</v>
      </c>
      <c r="F425" s="3" t="s">
        <v>25</v>
      </c>
      <c r="G425" s="3" t="s">
        <v>25</v>
      </c>
      <c r="H425" s="3" t="s">
        <v>35</v>
      </c>
      <c r="I425" s="6">
        <v>44317</v>
      </c>
      <c r="J425" s="4">
        <v>8101</v>
      </c>
      <c r="K425" s="4">
        <v>8101</v>
      </c>
      <c r="L425" s="4">
        <v>269.06</v>
      </c>
      <c r="M425" s="4">
        <v>269.06</v>
      </c>
      <c r="N425" s="4">
        <v>269.06</v>
      </c>
      <c r="O425" s="4">
        <v>269.06</v>
      </c>
      <c r="P425" s="4">
        <v>0</v>
      </c>
      <c r="Q425" s="3" t="s">
        <v>26</v>
      </c>
      <c r="R425" s="3">
        <v>0</v>
      </c>
      <c r="S425" s="3" t="s">
        <v>216</v>
      </c>
      <c r="T425" s="3" t="s">
        <v>549</v>
      </c>
      <c r="U425" s="3">
        <v>91</v>
      </c>
      <c r="V425" s="3">
        <v>88</v>
      </c>
      <c r="W425" s="3">
        <v>72</v>
      </c>
    </row>
    <row r="426" spans="1:23" ht="11.25" customHeight="1" x14ac:dyDescent="0.25">
      <c r="A426" s="3" t="s">
        <v>27</v>
      </c>
      <c r="B426" s="3" t="s">
        <v>33</v>
      </c>
      <c r="C426" s="3" t="s">
        <v>42</v>
      </c>
      <c r="D426" s="3" t="s">
        <v>43</v>
      </c>
      <c r="E426" s="3" t="s">
        <v>25</v>
      </c>
      <c r="F426" s="3" t="s">
        <v>25</v>
      </c>
      <c r="G426" s="3" t="s">
        <v>25</v>
      </c>
      <c r="H426" s="3" t="s">
        <v>35</v>
      </c>
      <c r="I426" s="6">
        <v>44317</v>
      </c>
      <c r="J426" s="4">
        <v>-43</v>
      </c>
      <c r="K426" s="4">
        <v>-43</v>
      </c>
      <c r="L426" s="4">
        <v>-1.3640000000000001</v>
      </c>
      <c r="M426" s="4">
        <v>-1.3640000000000001</v>
      </c>
      <c r="N426" s="4">
        <v>-1.3640000000000001</v>
      </c>
      <c r="O426" s="4">
        <v>-1.3640000000000001</v>
      </c>
      <c r="P426" s="4">
        <v>0</v>
      </c>
      <c r="Q426" s="3" t="s">
        <v>26</v>
      </c>
      <c r="R426" s="3">
        <v>0</v>
      </c>
      <c r="S426" s="3" t="s">
        <v>216</v>
      </c>
      <c r="T426" s="3" t="s">
        <v>549</v>
      </c>
      <c r="U426" s="3">
        <v>91</v>
      </c>
      <c r="V426" s="3">
        <v>88</v>
      </c>
      <c r="W426" s="3">
        <v>72</v>
      </c>
    </row>
    <row r="427" spans="1:23" ht="11.25" customHeight="1" x14ac:dyDescent="0.25">
      <c r="A427" s="3" t="s">
        <v>28</v>
      </c>
      <c r="B427" s="3" t="s">
        <v>33</v>
      </c>
      <c r="C427" s="3" t="s">
        <v>42</v>
      </c>
      <c r="D427" s="3" t="s">
        <v>43</v>
      </c>
      <c r="E427" s="3" t="s">
        <v>25</v>
      </c>
      <c r="F427" s="3" t="s">
        <v>25</v>
      </c>
      <c r="G427" s="3" t="s">
        <v>25</v>
      </c>
      <c r="H427" s="3" t="s">
        <v>35</v>
      </c>
      <c r="I427" s="6">
        <v>44317</v>
      </c>
      <c r="J427" s="4">
        <v>90</v>
      </c>
      <c r="K427" s="4">
        <v>90</v>
      </c>
      <c r="L427" s="4">
        <v>3.44</v>
      </c>
      <c r="M427" s="4">
        <v>3.44</v>
      </c>
      <c r="N427" s="4">
        <v>3.44</v>
      </c>
      <c r="O427" s="4">
        <v>3.44</v>
      </c>
      <c r="P427" s="4">
        <v>0</v>
      </c>
      <c r="Q427" s="3" t="s">
        <v>26</v>
      </c>
      <c r="R427" s="3">
        <v>0</v>
      </c>
      <c r="S427" s="3" t="s">
        <v>216</v>
      </c>
      <c r="T427" s="3" t="s">
        <v>549</v>
      </c>
      <c r="U427" s="3">
        <v>91</v>
      </c>
      <c r="V427" s="3">
        <v>88</v>
      </c>
      <c r="W427" s="3">
        <v>72</v>
      </c>
    </row>
    <row r="428" spans="1:23" ht="11.25" customHeight="1" x14ac:dyDescent="0.25">
      <c r="A428" s="3" t="s">
        <v>28</v>
      </c>
      <c r="B428" s="3" t="s">
        <v>33</v>
      </c>
      <c r="C428" s="3" t="s">
        <v>42</v>
      </c>
      <c r="D428" s="3" t="s">
        <v>43</v>
      </c>
      <c r="E428" s="3" t="s">
        <v>25</v>
      </c>
      <c r="F428" s="3" t="s">
        <v>25</v>
      </c>
      <c r="G428" s="3" t="s">
        <v>25</v>
      </c>
      <c r="H428" s="3" t="s">
        <v>35</v>
      </c>
      <c r="I428" s="6">
        <v>44317</v>
      </c>
      <c r="J428" s="4">
        <v>-38</v>
      </c>
      <c r="K428" s="4">
        <v>-38</v>
      </c>
      <c r="L428" s="4">
        <v>-1.859</v>
      </c>
      <c r="M428" s="4">
        <v>-1.859</v>
      </c>
      <c r="N428" s="4">
        <v>-1.859</v>
      </c>
      <c r="O428" s="4">
        <v>-1.859</v>
      </c>
      <c r="P428" s="4">
        <v>0</v>
      </c>
      <c r="Q428" s="3" t="s">
        <v>26</v>
      </c>
      <c r="R428" s="3">
        <v>0</v>
      </c>
      <c r="S428" s="3" t="s">
        <v>216</v>
      </c>
      <c r="T428" s="3" t="s">
        <v>549</v>
      </c>
      <c r="U428" s="3">
        <v>91</v>
      </c>
      <c r="V428" s="3">
        <v>88</v>
      </c>
      <c r="W428" s="3">
        <v>72</v>
      </c>
    </row>
    <row r="429" spans="1:23" ht="11.25" customHeight="1" x14ac:dyDescent="0.25">
      <c r="A429" s="3" t="s">
        <v>21</v>
      </c>
      <c r="B429" s="3" t="s">
        <v>33</v>
      </c>
      <c r="C429" s="3" t="s">
        <v>42</v>
      </c>
      <c r="D429" s="3" t="s">
        <v>43</v>
      </c>
      <c r="E429" s="3" t="s">
        <v>25</v>
      </c>
      <c r="F429" s="3" t="s">
        <v>25</v>
      </c>
      <c r="G429" s="3" t="s">
        <v>25</v>
      </c>
      <c r="H429" s="3" t="s">
        <v>35</v>
      </c>
      <c r="I429" s="6">
        <v>44348</v>
      </c>
      <c r="J429" s="4">
        <v>7913</v>
      </c>
      <c r="K429" s="4">
        <v>7913</v>
      </c>
      <c r="L429" s="4">
        <v>255.839</v>
      </c>
      <c r="M429" s="4">
        <v>255.839</v>
      </c>
      <c r="N429" s="4">
        <v>255.839</v>
      </c>
      <c r="O429" s="4">
        <v>255.839</v>
      </c>
      <c r="P429" s="4">
        <v>0</v>
      </c>
      <c r="Q429" s="3" t="s">
        <v>26</v>
      </c>
      <c r="R429" s="3">
        <v>0</v>
      </c>
      <c r="S429" s="3" t="s">
        <v>217</v>
      </c>
      <c r="T429" s="3" t="s">
        <v>550</v>
      </c>
      <c r="U429" s="3">
        <v>91</v>
      </c>
      <c r="V429" s="3">
        <v>88</v>
      </c>
      <c r="W429" s="3">
        <v>72</v>
      </c>
    </row>
    <row r="430" spans="1:23" ht="11.25" customHeight="1" x14ac:dyDescent="0.25">
      <c r="A430" s="3" t="s">
        <v>28</v>
      </c>
      <c r="B430" s="3" t="s">
        <v>33</v>
      </c>
      <c r="C430" s="3" t="s">
        <v>42</v>
      </c>
      <c r="D430" s="3" t="s">
        <v>43</v>
      </c>
      <c r="E430" s="3" t="s">
        <v>25</v>
      </c>
      <c r="F430" s="3" t="s">
        <v>25</v>
      </c>
      <c r="G430" s="3" t="s">
        <v>25</v>
      </c>
      <c r="H430" s="3" t="s">
        <v>35</v>
      </c>
      <c r="I430" s="6">
        <v>44348</v>
      </c>
      <c r="J430" s="4">
        <v>90</v>
      </c>
      <c r="K430" s="4">
        <v>90</v>
      </c>
      <c r="L430" s="4">
        <v>3.048</v>
      </c>
      <c r="M430" s="4">
        <v>3.048</v>
      </c>
      <c r="N430" s="4">
        <v>3.048</v>
      </c>
      <c r="O430" s="4">
        <v>3.048</v>
      </c>
      <c r="P430" s="4">
        <v>0</v>
      </c>
      <c r="Q430" s="3" t="s">
        <v>26</v>
      </c>
      <c r="R430" s="3">
        <v>0</v>
      </c>
      <c r="S430" s="3" t="s">
        <v>217</v>
      </c>
      <c r="T430" s="3" t="s">
        <v>550</v>
      </c>
      <c r="U430" s="3">
        <v>91</v>
      </c>
      <c r="V430" s="3">
        <v>88</v>
      </c>
      <c r="W430" s="3">
        <v>72</v>
      </c>
    </row>
    <row r="431" spans="1:23" ht="11.25" customHeight="1" x14ac:dyDescent="0.25">
      <c r="A431" s="3" t="s">
        <v>21</v>
      </c>
      <c r="B431" s="3" t="s">
        <v>33</v>
      </c>
      <c r="C431" s="3" t="s">
        <v>42</v>
      </c>
      <c r="D431" s="3" t="s">
        <v>43</v>
      </c>
      <c r="E431" s="3" t="s">
        <v>25</v>
      </c>
      <c r="F431" s="3" t="s">
        <v>25</v>
      </c>
      <c r="G431" s="3" t="s">
        <v>25</v>
      </c>
      <c r="H431" s="3" t="s">
        <v>35</v>
      </c>
      <c r="I431" s="6">
        <v>44378</v>
      </c>
      <c r="J431" s="4">
        <v>8028</v>
      </c>
      <c r="K431" s="4">
        <v>8028</v>
      </c>
      <c r="L431" s="4">
        <v>314.69400000000002</v>
      </c>
      <c r="M431" s="4">
        <v>314.69400000000002</v>
      </c>
      <c r="N431" s="4">
        <v>314.69400000000002</v>
      </c>
      <c r="O431" s="4">
        <v>314.69400000000002</v>
      </c>
      <c r="P431" s="4">
        <v>0</v>
      </c>
      <c r="Q431" s="3" t="s">
        <v>26</v>
      </c>
      <c r="R431" s="3">
        <v>0</v>
      </c>
      <c r="S431" s="3" t="s">
        <v>218</v>
      </c>
      <c r="T431" s="3" t="s">
        <v>551</v>
      </c>
      <c r="U431" s="3">
        <v>91</v>
      </c>
      <c r="V431" s="3">
        <v>88</v>
      </c>
      <c r="W431" s="3">
        <v>72</v>
      </c>
    </row>
    <row r="432" spans="1:23" ht="11.25" customHeight="1" x14ac:dyDescent="0.25">
      <c r="A432" s="3" t="s">
        <v>28</v>
      </c>
      <c r="B432" s="3" t="s">
        <v>33</v>
      </c>
      <c r="C432" s="3" t="s">
        <v>42</v>
      </c>
      <c r="D432" s="3" t="s">
        <v>43</v>
      </c>
      <c r="E432" s="3" t="s">
        <v>25</v>
      </c>
      <c r="F432" s="3" t="s">
        <v>25</v>
      </c>
      <c r="G432" s="3" t="s">
        <v>25</v>
      </c>
      <c r="H432" s="3" t="s">
        <v>35</v>
      </c>
      <c r="I432" s="6">
        <v>44378</v>
      </c>
      <c r="J432" s="4">
        <v>90</v>
      </c>
      <c r="K432" s="4">
        <v>90</v>
      </c>
      <c r="L432" s="4">
        <v>3.0590000000000002</v>
      </c>
      <c r="M432" s="4">
        <v>3.0590000000000002</v>
      </c>
      <c r="N432" s="4">
        <v>3.0590000000000002</v>
      </c>
      <c r="O432" s="4">
        <v>3.0590000000000002</v>
      </c>
      <c r="P432" s="4">
        <v>0</v>
      </c>
      <c r="Q432" s="3" t="s">
        <v>26</v>
      </c>
      <c r="R432" s="3">
        <v>0</v>
      </c>
      <c r="S432" s="3" t="s">
        <v>218</v>
      </c>
      <c r="T432" s="3" t="s">
        <v>551</v>
      </c>
      <c r="U432" s="3">
        <v>91</v>
      </c>
      <c r="V432" s="3">
        <v>88</v>
      </c>
      <c r="W432" s="3">
        <v>72</v>
      </c>
    </row>
    <row r="433" spans="1:23" ht="11.25" customHeight="1" x14ac:dyDescent="0.25">
      <c r="A433" s="3" t="s">
        <v>21</v>
      </c>
      <c r="B433" s="3" t="s">
        <v>33</v>
      </c>
      <c r="C433" s="3" t="s">
        <v>42</v>
      </c>
      <c r="D433" s="3" t="s">
        <v>43</v>
      </c>
      <c r="E433" s="3" t="s">
        <v>25</v>
      </c>
      <c r="F433" s="3" t="s">
        <v>25</v>
      </c>
      <c r="G433" s="3" t="s">
        <v>25</v>
      </c>
      <c r="H433" s="3" t="s">
        <v>35</v>
      </c>
      <c r="I433" s="6">
        <v>44409</v>
      </c>
      <c r="J433" s="4">
        <v>7513</v>
      </c>
      <c r="K433" s="4">
        <v>7513</v>
      </c>
      <c r="L433" s="4">
        <v>265.96899999999999</v>
      </c>
      <c r="M433" s="4">
        <v>265.96899999999999</v>
      </c>
      <c r="N433" s="4">
        <v>265.96899999999999</v>
      </c>
      <c r="O433" s="4">
        <v>265.96899999999999</v>
      </c>
      <c r="P433" s="4">
        <v>0</v>
      </c>
      <c r="Q433" s="3" t="s">
        <v>26</v>
      </c>
      <c r="R433" s="3">
        <v>0</v>
      </c>
      <c r="S433" s="3" t="s">
        <v>219</v>
      </c>
      <c r="T433" s="3" t="s">
        <v>552</v>
      </c>
      <c r="U433" s="3">
        <v>91</v>
      </c>
      <c r="V433" s="3">
        <v>88</v>
      </c>
      <c r="W433" s="3">
        <v>72</v>
      </c>
    </row>
    <row r="434" spans="1:23" ht="11.25" customHeight="1" x14ac:dyDescent="0.25">
      <c r="A434" s="3" t="s">
        <v>28</v>
      </c>
      <c r="B434" s="3" t="s">
        <v>33</v>
      </c>
      <c r="C434" s="3" t="s">
        <v>42</v>
      </c>
      <c r="D434" s="3" t="s">
        <v>43</v>
      </c>
      <c r="E434" s="3" t="s">
        <v>25</v>
      </c>
      <c r="F434" s="3" t="s">
        <v>25</v>
      </c>
      <c r="G434" s="3" t="s">
        <v>25</v>
      </c>
      <c r="H434" s="3" t="s">
        <v>35</v>
      </c>
      <c r="I434" s="6">
        <v>44409</v>
      </c>
      <c r="J434" s="4">
        <v>82</v>
      </c>
      <c r="K434" s="4">
        <v>82</v>
      </c>
      <c r="L434" s="4">
        <v>3.226</v>
      </c>
      <c r="M434" s="4">
        <v>3.226</v>
      </c>
      <c r="N434" s="4">
        <v>3.226</v>
      </c>
      <c r="O434" s="4">
        <v>3.226</v>
      </c>
      <c r="P434" s="4">
        <v>0</v>
      </c>
      <c r="Q434" s="3" t="s">
        <v>26</v>
      </c>
      <c r="R434" s="3">
        <v>0</v>
      </c>
      <c r="S434" s="3" t="s">
        <v>219</v>
      </c>
      <c r="T434" s="3" t="s">
        <v>552</v>
      </c>
      <c r="U434" s="3">
        <v>91</v>
      </c>
      <c r="V434" s="3">
        <v>88</v>
      </c>
      <c r="W434" s="3">
        <v>72</v>
      </c>
    </row>
    <row r="435" spans="1:23" ht="11.25" customHeight="1" x14ac:dyDescent="0.25">
      <c r="A435" s="3" t="s">
        <v>21</v>
      </c>
      <c r="B435" s="3" t="s">
        <v>33</v>
      </c>
      <c r="C435" s="3" t="s">
        <v>42</v>
      </c>
      <c r="D435" s="3" t="s">
        <v>43</v>
      </c>
      <c r="E435" s="3" t="s">
        <v>25</v>
      </c>
      <c r="F435" s="3" t="s">
        <v>25</v>
      </c>
      <c r="G435" s="3" t="s">
        <v>25</v>
      </c>
      <c r="H435" s="3" t="s">
        <v>35</v>
      </c>
      <c r="I435" s="6">
        <v>44440</v>
      </c>
      <c r="J435" s="4">
        <v>8153</v>
      </c>
      <c r="K435" s="4">
        <v>8153</v>
      </c>
      <c r="L435" s="4">
        <v>294.86799999999999</v>
      </c>
      <c r="M435" s="4">
        <v>294.86799999999999</v>
      </c>
      <c r="N435" s="4">
        <v>294.86799999999999</v>
      </c>
      <c r="O435" s="4">
        <v>294.86799999999999</v>
      </c>
      <c r="P435" s="4">
        <v>0</v>
      </c>
      <c r="Q435" s="3" t="s">
        <v>26</v>
      </c>
      <c r="R435" s="3">
        <v>0</v>
      </c>
      <c r="S435" s="3" t="s">
        <v>220</v>
      </c>
      <c r="T435" s="3" t="s">
        <v>553</v>
      </c>
      <c r="U435" s="3">
        <v>91</v>
      </c>
      <c r="V435" s="3">
        <v>88</v>
      </c>
      <c r="W435" s="3">
        <v>72</v>
      </c>
    </row>
    <row r="436" spans="1:23" ht="11.25" customHeight="1" x14ac:dyDescent="0.25">
      <c r="A436" s="3" t="s">
        <v>27</v>
      </c>
      <c r="B436" s="3" t="s">
        <v>33</v>
      </c>
      <c r="C436" s="3" t="s">
        <v>42</v>
      </c>
      <c r="D436" s="3" t="s">
        <v>43</v>
      </c>
      <c r="E436" s="3" t="s">
        <v>25</v>
      </c>
      <c r="F436" s="3" t="s">
        <v>25</v>
      </c>
      <c r="G436" s="3" t="s">
        <v>25</v>
      </c>
      <c r="H436" s="3" t="s">
        <v>35</v>
      </c>
      <c r="I436" s="6">
        <v>44440</v>
      </c>
      <c r="J436" s="4">
        <v>210</v>
      </c>
      <c r="K436" s="4">
        <v>210</v>
      </c>
      <c r="L436" s="4">
        <v>7.47</v>
      </c>
      <c r="M436" s="4">
        <v>7.47</v>
      </c>
      <c r="N436" s="4">
        <v>7.47</v>
      </c>
      <c r="O436" s="4">
        <v>7.47</v>
      </c>
      <c r="P436" s="4">
        <v>0</v>
      </c>
      <c r="Q436" s="3" t="s">
        <v>26</v>
      </c>
      <c r="R436" s="3">
        <v>0</v>
      </c>
      <c r="S436" s="3" t="s">
        <v>220</v>
      </c>
      <c r="T436" s="3" t="s">
        <v>553</v>
      </c>
      <c r="U436" s="3">
        <v>91</v>
      </c>
      <c r="V436" s="3">
        <v>88</v>
      </c>
      <c r="W436" s="3">
        <v>72</v>
      </c>
    </row>
    <row r="437" spans="1:23" ht="11.25" customHeight="1" x14ac:dyDescent="0.25">
      <c r="A437" s="3" t="s">
        <v>28</v>
      </c>
      <c r="B437" s="3" t="s">
        <v>33</v>
      </c>
      <c r="C437" s="3" t="s">
        <v>42</v>
      </c>
      <c r="D437" s="3" t="s">
        <v>43</v>
      </c>
      <c r="E437" s="3" t="s">
        <v>25</v>
      </c>
      <c r="F437" s="3" t="s">
        <v>25</v>
      </c>
      <c r="G437" s="3" t="s">
        <v>25</v>
      </c>
      <c r="H437" s="3" t="s">
        <v>35</v>
      </c>
      <c r="I437" s="6">
        <v>44440</v>
      </c>
      <c r="J437" s="4">
        <v>82</v>
      </c>
      <c r="K437" s="4">
        <v>82</v>
      </c>
      <c r="L437" s="4">
        <v>3.109</v>
      </c>
      <c r="M437" s="4">
        <v>3.109</v>
      </c>
      <c r="N437" s="4">
        <v>3.109</v>
      </c>
      <c r="O437" s="4">
        <v>3.109</v>
      </c>
      <c r="P437" s="4">
        <v>0</v>
      </c>
      <c r="Q437" s="3" t="s">
        <v>26</v>
      </c>
      <c r="R437" s="3">
        <v>0</v>
      </c>
      <c r="S437" s="3" t="s">
        <v>220</v>
      </c>
      <c r="T437" s="3" t="s">
        <v>553</v>
      </c>
      <c r="U437" s="3">
        <v>91</v>
      </c>
      <c r="V437" s="3">
        <v>88</v>
      </c>
      <c r="W437" s="3">
        <v>72</v>
      </c>
    </row>
    <row r="438" spans="1:23" ht="11.25" customHeight="1" x14ac:dyDescent="0.25">
      <c r="A438" s="3" t="s">
        <v>21</v>
      </c>
      <c r="B438" s="3" t="s">
        <v>33</v>
      </c>
      <c r="C438" s="3" t="s">
        <v>42</v>
      </c>
      <c r="D438" s="3" t="s">
        <v>43</v>
      </c>
      <c r="E438" s="3" t="s">
        <v>25</v>
      </c>
      <c r="F438" s="3" t="s">
        <v>25</v>
      </c>
      <c r="G438" s="3" t="s">
        <v>25</v>
      </c>
      <c r="H438" s="3" t="s">
        <v>35</v>
      </c>
      <c r="I438" s="6">
        <v>44470</v>
      </c>
      <c r="J438" s="4">
        <v>7788</v>
      </c>
      <c r="K438" s="4">
        <v>7788</v>
      </c>
      <c r="L438" s="4">
        <v>287.26900000000001</v>
      </c>
      <c r="M438" s="4">
        <v>287.26900000000001</v>
      </c>
      <c r="N438" s="4">
        <v>287.26900000000001</v>
      </c>
      <c r="O438" s="4">
        <v>287.26900000000001</v>
      </c>
      <c r="P438" s="4">
        <v>0</v>
      </c>
      <c r="Q438" s="3" t="s">
        <v>26</v>
      </c>
      <c r="R438" s="3">
        <v>0</v>
      </c>
      <c r="S438" s="3" t="s">
        <v>221</v>
      </c>
      <c r="T438" s="3" t="s">
        <v>554</v>
      </c>
      <c r="U438" s="3">
        <v>91</v>
      </c>
      <c r="V438" s="3">
        <v>88</v>
      </c>
      <c r="W438" s="3">
        <v>72</v>
      </c>
    </row>
    <row r="439" spans="1:23" ht="11.25" customHeight="1" x14ac:dyDescent="0.25">
      <c r="A439" s="3" t="s">
        <v>28</v>
      </c>
      <c r="B439" s="3" t="s">
        <v>33</v>
      </c>
      <c r="C439" s="3" t="s">
        <v>42</v>
      </c>
      <c r="D439" s="3" t="s">
        <v>43</v>
      </c>
      <c r="E439" s="3" t="s">
        <v>25</v>
      </c>
      <c r="F439" s="3" t="s">
        <v>25</v>
      </c>
      <c r="G439" s="3" t="s">
        <v>25</v>
      </c>
      <c r="H439" s="3" t="s">
        <v>35</v>
      </c>
      <c r="I439" s="6">
        <v>44470</v>
      </c>
      <c r="J439" s="4">
        <v>93</v>
      </c>
      <c r="K439" s="4">
        <v>93</v>
      </c>
      <c r="L439" s="4">
        <v>3.444</v>
      </c>
      <c r="M439" s="4">
        <v>3.444</v>
      </c>
      <c r="N439" s="4">
        <v>3.444</v>
      </c>
      <c r="O439" s="4">
        <v>3.444</v>
      </c>
      <c r="P439" s="4">
        <v>0</v>
      </c>
      <c r="Q439" s="3" t="s">
        <v>26</v>
      </c>
      <c r="R439" s="3">
        <v>0</v>
      </c>
      <c r="S439" s="3" t="s">
        <v>221</v>
      </c>
      <c r="T439" s="3" t="s">
        <v>554</v>
      </c>
      <c r="U439" s="3">
        <v>91</v>
      </c>
      <c r="V439" s="3">
        <v>88</v>
      </c>
      <c r="W439" s="3">
        <v>72</v>
      </c>
    </row>
    <row r="440" spans="1:23" ht="11.25" customHeight="1" x14ac:dyDescent="0.25">
      <c r="A440" s="3" t="s">
        <v>21</v>
      </c>
      <c r="B440" s="3" t="s">
        <v>33</v>
      </c>
      <c r="C440" s="3" t="s">
        <v>42</v>
      </c>
      <c r="D440" s="3" t="s">
        <v>43</v>
      </c>
      <c r="E440" s="3" t="s">
        <v>25</v>
      </c>
      <c r="F440" s="3" t="s">
        <v>25</v>
      </c>
      <c r="G440" s="3" t="s">
        <v>25</v>
      </c>
      <c r="H440" s="3" t="s">
        <v>35</v>
      </c>
      <c r="I440" s="6">
        <v>44501</v>
      </c>
      <c r="J440" s="4">
        <v>7184</v>
      </c>
      <c r="K440" s="4">
        <v>7184</v>
      </c>
      <c r="L440" s="4">
        <v>278.85700000000003</v>
      </c>
      <c r="M440" s="4">
        <v>278.85700000000003</v>
      </c>
      <c r="N440" s="4">
        <v>278.85700000000003</v>
      </c>
      <c r="O440" s="4">
        <v>278.85700000000003</v>
      </c>
      <c r="P440" s="4">
        <v>0</v>
      </c>
      <c r="Q440" s="3" t="s">
        <v>26</v>
      </c>
      <c r="R440" s="3">
        <v>0</v>
      </c>
      <c r="S440" s="3" t="s">
        <v>222</v>
      </c>
      <c r="T440" s="3" t="s">
        <v>555</v>
      </c>
      <c r="U440" s="3">
        <v>91</v>
      </c>
      <c r="V440" s="3">
        <v>88</v>
      </c>
      <c r="W440" s="3">
        <v>72</v>
      </c>
    </row>
    <row r="441" spans="1:23" ht="11.25" customHeight="1" x14ac:dyDescent="0.25">
      <c r="A441" s="3" t="s">
        <v>27</v>
      </c>
      <c r="B441" s="3" t="s">
        <v>33</v>
      </c>
      <c r="C441" s="3" t="s">
        <v>42</v>
      </c>
      <c r="D441" s="3" t="s">
        <v>43</v>
      </c>
      <c r="E441" s="3" t="s">
        <v>25</v>
      </c>
      <c r="F441" s="3" t="s">
        <v>25</v>
      </c>
      <c r="G441" s="3" t="s">
        <v>25</v>
      </c>
      <c r="H441" s="3" t="s">
        <v>35</v>
      </c>
      <c r="I441" s="6">
        <v>44501</v>
      </c>
      <c r="J441" s="4">
        <v>10</v>
      </c>
      <c r="K441" s="4">
        <v>10</v>
      </c>
      <c r="L441" s="4">
        <v>-1.0999999999999999E-2</v>
      </c>
      <c r="M441" s="4">
        <v>-1.0999999999999999E-2</v>
      </c>
      <c r="N441" s="4">
        <v>-1.0999999999999999E-2</v>
      </c>
      <c r="O441" s="4">
        <v>-1.0999999999999999E-2</v>
      </c>
      <c r="P441" s="4">
        <v>0</v>
      </c>
      <c r="Q441" s="3" t="s">
        <v>26</v>
      </c>
      <c r="R441" s="3">
        <v>0</v>
      </c>
      <c r="S441" s="3" t="s">
        <v>222</v>
      </c>
      <c r="T441" s="3" t="s">
        <v>555</v>
      </c>
      <c r="U441" s="3">
        <v>91</v>
      </c>
      <c r="V441" s="3">
        <v>88</v>
      </c>
      <c r="W441" s="3">
        <v>72</v>
      </c>
    </row>
    <row r="442" spans="1:23" ht="11.25" customHeight="1" x14ac:dyDescent="0.25">
      <c r="A442" s="3" t="s">
        <v>28</v>
      </c>
      <c r="B442" s="3" t="s">
        <v>33</v>
      </c>
      <c r="C442" s="3" t="s">
        <v>42</v>
      </c>
      <c r="D442" s="3" t="s">
        <v>43</v>
      </c>
      <c r="E442" s="3" t="s">
        <v>25</v>
      </c>
      <c r="F442" s="3" t="s">
        <v>25</v>
      </c>
      <c r="G442" s="3" t="s">
        <v>25</v>
      </c>
      <c r="H442" s="3" t="s">
        <v>35</v>
      </c>
      <c r="I442" s="6">
        <v>44501</v>
      </c>
      <c r="J442" s="4">
        <v>82</v>
      </c>
      <c r="K442" s="4">
        <v>82</v>
      </c>
      <c r="L442" s="4">
        <v>2.9860000000000002</v>
      </c>
      <c r="M442" s="4">
        <v>2.9860000000000002</v>
      </c>
      <c r="N442" s="4">
        <v>2.9860000000000002</v>
      </c>
      <c r="O442" s="4">
        <v>2.9860000000000002</v>
      </c>
      <c r="P442" s="4">
        <v>0</v>
      </c>
      <c r="Q442" s="3" t="s">
        <v>26</v>
      </c>
      <c r="R442" s="3">
        <v>0</v>
      </c>
      <c r="S442" s="3" t="s">
        <v>222</v>
      </c>
      <c r="T442" s="3" t="s">
        <v>555</v>
      </c>
      <c r="U442" s="3">
        <v>91</v>
      </c>
      <c r="V442" s="3">
        <v>88</v>
      </c>
      <c r="W442" s="3">
        <v>72</v>
      </c>
    </row>
    <row r="443" spans="1:23" ht="11.25" customHeight="1" x14ac:dyDescent="0.25">
      <c r="A443" s="3" t="s">
        <v>21</v>
      </c>
      <c r="B443" s="3" t="s">
        <v>33</v>
      </c>
      <c r="C443" s="3" t="s">
        <v>42</v>
      </c>
      <c r="D443" s="3" t="s">
        <v>43</v>
      </c>
      <c r="E443" s="3" t="s">
        <v>25</v>
      </c>
      <c r="F443" s="3" t="s">
        <v>25</v>
      </c>
      <c r="G443" s="3" t="s">
        <v>25</v>
      </c>
      <c r="H443" s="3" t="s">
        <v>35</v>
      </c>
      <c r="I443" s="6">
        <v>44531</v>
      </c>
      <c r="J443" s="4">
        <v>6864</v>
      </c>
      <c r="K443" s="4">
        <v>6864</v>
      </c>
      <c r="L443" s="4">
        <v>293.11200000000002</v>
      </c>
      <c r="M443" s="4">
        <v>293.11200000000002</v>
      </c>
      <c r="N443" s="4">
        <v>293.11200000000002</v>
      </c>
      <c r="O443" s="4">
        <v>293.11200000000002</v>
      </c>
      <c r="P443" s="4">
        <v>0</v>
      </c>
      <c r="Q443" s="3" t="s">
        <v>26</v>
      </c>
      <c r="R443" s="3">
        <v>0</v>
      </c>
      <c r="S443" s="3" t="s">
        <v>223</v>
      </c>
      <c r="T443" s="3" t="s">
        <v>556</v>
      </c>
      <c r="U443" s="3">
        <v>91</v>
      </c>
      <c r="V443" s="3">
        <v>88</v>
      </c>
      <c r="W443" s="3">
        <v>72</v>
      </c>
    </row>
    <row r="444" spans="1:23" ht="11.25" customHeight="1" x14ac:dyDescent="0.25">
      <c r="A444" s="3" t="s">
        <v>28</v>
      </c>
      <c r="B444" s="3" t="s">
        <v>33</v>
      </c>
      <c r="C444" s="3" t="s">
        <v>42</v>
      </c>
      <c r="D444" s="3" t="s">
        <v>43</v>
      </c>
      <c r="E444" s="3" t="s">
        <v>25</v>
      </c>
      <c r="F444" s="3" t="s">
        <v>25</v>
      </c>
      <c r="G444" s="3" t="s">
        <v>25</v>
      </c>
      <c r="H444" s="3" t="s">
        <v>35</v>
      </c>
      <c r="I444" s="6">
        <v>44531</v>
      </c>
      <c r="J444" s="4">
        <v>82</v>
      </c>
      <c r="K444" s="4">
        <v>82</v>
      </c>
      <c r="L444" s="4">
        <v>3.891</v>
      </c>
      <c r="M444" s="4">
        <v>3.891</v>
      </c>
      <c r="N444" s="4">
        <v>3.891</v>
      </c>
      <c r="O444" s="4">
        <v>3.891</v>
      </c>
      <c r="P444" s="4">
        <v>0</v>
      </c>
      <c r="Q444" s="3" t="s">
        <v>26</v>
      </c>
      <c r="R444" s="3">
        <v>0</v>
      </c>
      <c r="S444" s="3" t="s">
        <v>223</v>
      </c>
      <c r="T444" s="3" t="s">
        <v>556</v>
      </c>
      <c r="U444" s="3">
        <v>91</v>
      </c>
      <c r="V444" s="3">
        <v>88</v>
      </c>
      <c r="W444" s="3">
        <v>72</v>
      </c>
    </row>
    <row r="445" spans="1:23" ht="11.25" customHeight="1" x14ac:dyDescent="0.25">
      <c r="A445" s="3" t="s">
        <v>21</v>
      </c>
      <c r="B445" s="3" t="s">
        <v>33</v>
      </c>
      <c r="C445" s="3" t="s">
        <v>42</v>
      </c>
      <c r="D445" s="3" t="s">
        <v>43</v>
      </c>
      <c r="E445" s="3" t="s">
        <v>25</v>
      </c>
      <c r="F445" s="3" t="s">
        <v>25</v>
      </c>
      <c r="G445" s="3" t="s">
        <v>25</v>
      </c>
      <c r="H445" s="3" t="s">
        <v>35</v>
      </c>
      <c r="I445" s="6">
        <v>44562</v>
      </c>
      <c r="J445" s="4">
        <v>6816</v>
      </c>
      <c r="K445" s="4">
        <v>6816</v>
      </c>
      <c r="L445" s="4">
        <v>269.83499999999998</v>
      </c>
      <c r="M445" s="4">
        <v>269.83499999999998</v>
      </c>
      <c r="N445" s="4">
        <v>269.83499999999998</v>
      </c>
      <c r="O445" s="4">
        <v>269.83499999999998</v>
      </c>
      <c r="P445" s="4">
        <v>0</v>
      </c>
      <c r="Q445" s="3" t="s">
        <v>26</v>
      </c>
      <c r="R445" s="3">
        <v>0</v>
      </c>
      <c r="S445" s="3" t="s">
        <v>224</v>
      </c>
      <c r="T445" s="3" t="s">
        <v>557</v>
      </c>
      <c r="U445" s="3">
        <v>91</v>
      </c>
      <c r="V445" s="3">
        <v>88</v>
      </c>
      <c r="W445" s="3">
        <v>72</v>
      </c>
    </row>
    <row r="446" spans="1:23" ht="11.25" customHeight="1" x14ac:dyDescent="0.25">
      <c r="A446" s="3" t="s">
        <v>27</v>
      </c>
      <c r="B446" s="3" t="s">
        <v>33</v>
      </c>
      <c r="C446" s="3" t="s">
        <v>42</v>
      </c>
      <c r="D446" s="3" t="s">
        <v>43</v>
      </c>
      <c r="E446" s="3" t="s">
        <v>25</v>
      </c>
      <c r="F446" s="3" t="s">
        <v>25</v>
      </c>
      <c r="G446" s="3" t="s">
        <v>25</v>
      </c>
      <c r="H446" s="3" t="s">
        <v>35</v>
      </c>
      <c r="I446" s="6">
        <v>44562</v>
      </c>
      <c r="J446" s="4">
        <v>-327</v>
      </c>
      <c r="K446" s="4">
        <v>-327</v>
      </c>
      <c r="L446" s="4">
        <v>-13.249000000000001</v>
      </c>
      <c r="M446" s="4">
        <v>-13.249000000000001</v>
      </c>
      <c r="N446" s="4">
        <v>-13.249000000000001</v>
      </c>
      <c r="O446" s="4">
        <v>-13.249000000000001</v>
      </c>
      <c r="P446" s="4">
        <v>0</v>
      </c>
      <c r="Q446" s="3" t="s">
        <v>26</v>
      </c>
      <c r="R446" s="3">
        <v>0</v>
      </c>
      <c r="S446" s="3" t="s">
        <v>224</v>
      </c>
      <c r="T446" s="3" t="s">
        <v>557</v>
      </c>
      <c r="U446" s="3">
        <v>91</v>
      </c>
      <c r="V446" s="3">
        <v>88</v>
      </c>
      <c r="W446" s="3">
        <v>72</v>
      </c>
    </row>
    <row r="447" spans="1:23" ht="11.25" customHeight="1" x14ac:dyDescent="0.25">
      <c r="A447" s="3" t="s">
        <v>28</v>
      </c>
      <c r="B447" s="3" t="s">
        <v>33</v>
      </c>
      <c r="C447" s="3" t="s">
        <v>42</v>
      </c>
      <c r="D447" s="3" t="s">
        <v>43</v>
      </c>
      <c r="E447" s="3" t="s">
        <v>25</v>
      </c>
      <c r="F447" s="3" t="s">
        <v>25</v>
      </c>
      <c r="G447" s="3" t="s">
        <v>25</v>
      </c>
      <c r="H447" s="3" t="s">
        <v>35</v>
      </c>
      <c r="I447" s="6">
        <v>44562</v>
      </c>
      <c r="J447" s="4">
        <v>82</v>
      </c>
      <c r="K447" s="4">
        <v>82</v>
      </c>
      <c r="L447" s="4">
        <v>2.657</v>
      </c>
      <c r="M447" s="4">
        <v>2.657</v>
      </c>
      <c r="N447" s="4">
        <v>2.657</v>
      </c>
      <c r="O447" s="4">
        <v>2.657</v>
      </c>
      <c r="P447" s="4">
        <v>0</v>
      </c>
      <c r="Q447" s="3" t="s">
        <v>26</v>
      </c>
      <c r="R447" s="3">
        <v>0</v>
      </c>
      <c r="S447" s="3" t="s">
        <v>224</v>
      </c>
      <c r="T447" s="3" t="s">
        <v>557</v>
      </c>
      <c r="U447" s="3">
        <v>91</v>
      </c>
      <c r="V447" s="3">
        <v>88</v>
      </c>
      <c r="W447" s="3">
        <v>72</v>
      </c>
    </row>
    <row r="448" spans="1:23" ht="11.25" customHeight="1" x14ac:dyDescent="0.25">
      <c r="A448" s="3" t="s">
        <v>21</v>
      </c>
      <c r="B448" s="3" t="s">
        <v>33</v>
      </c>
      <c r="C448" s="3" t="s">
        <v>42</v>
      </c>
      <c r="D448" s="3" t="s">
        <v>43</v>
      </c>
      <c r="E448" s="3" t="s">
        <v>25</v>
      </c>
      <c r="F448" s="3" t="s">
        <v>25</v>
      </c>
      <c r="G448" s="3" t="s">
        <v>25</v>
      </c>
      <c r="H448" s="3" t="s">
        <v>35</v>
      </c>
      <c r="I448" s="6">
        <v>44593</v>
      </c>
      <c r="J448" s="4">
        <v>6401</v>
      </c>
      <c r="K448" s="4">
        <v>6401</v>
      </c>
      <c r="L448" s="4">
        <v>245.26300000000001</v>
      </c>
      <c r="M448" s="4">
        <v>245.26300000000001</v>
      </c>
      <c r="N448" s="4">
        <v>245.26300000000001</v>
      </c>
      <c r="O448" s="4">
        <v>245.26300000000001</v>
      </c>
      <c r="P448" s="4">
        <v>0</v>
      </c>
      <c r="Q448" s="3" t="s">
        <v>26</v>
      </c>
      <c r="R448" s="3">
        <v>0</v>
      </c>
      <c r="S448" s="3" t="s">
        <v>225</v>
      </c>
      <c r="T448" s="3" t="s">
        <v>558</v>
      </c>
      <c r="U448" s="3">
        <v>91</v>
      </c>
      <c r="V448" s="3">
        <v>88</v>
      </c>
      <c r="W448" s="3">
        <v>72</v>
      </c>
    </row>
    <row r="449" spans="1:23" ht="11.25" customHeight="1" x14ac:dyDescent="0.25">
      <c r="A449" s="3" t="s">
        <v>28</v>
      </c>
      <c r="B449" s="3" t="s">
        <v>33</v>
      </c>
      <c r="C449" s="3" t="s">
        <v>42</v>
      </c>
      <c r="D449" s="3" t="s">
        <v>43</v>
      </c>
      <c r="E449" s="3" t="s">
        <v>25</v>
      </c>
      <c r="F449" s="3" t="s">
        <v>25</v>
      </c>
      <c r="G449" s="3" t="s">
        <v>25</v>
      </c>
      <c r="H449" s="3" t="s">
        <v>35</v>
      </c>
      <c r="I449" s="6">
        <v>44593</v>
      </c>
      <c r="J449" s="4">
        <v>82</v>
      </c>
      <c r="K449" s="4">
        <v>82</v>
      </c>
      <c r="L449" s="4">
        <v>2.21</v>
      </c>
      <c r="M449" s="4">
        <v>2.21</v>
      </c>
      <c r="N449" s="4">
        <v>2.21</v>
      </c>
      <c r="O449" s="4">
        <v>2.21</v>
      </c>
      <c r="P449" s="4">
        <v>0</v>
      </c>
      <c r="Q449" s="3" t="s">
        <v>26</v>
      </c>
      <c r="R449" s="3">
        <v>0</v>
      </c>
      <c r="S449" s="3" t="s">
        <v>225</v>
      </c>
      <c r="T449" s="3" t="s">
        <v>558</v>
      </c>
      <c r="U449" s="3">
        <v>91</v>
      </c>
      <c r="V449" s="3">
        <v>88</v>
      </c>
      <c r="W449" s="3">
        <v>72</v>
      </c>
    </row>
    <row r="450" spans="1:23" ht="11.25" customHeight="1" x14ac:dyDescent="0.25">
      <c r="A450" s="3" t="s">
        <v>21</v>
      </c>
      <c r="B450" s="3" t="s">
        <v>33</v>
      </c>
      <c r="C450" s="3" t="s">
        <v>42</v>
      </c>
      <c r="D450" s="3" t="s">
        <v>43</v>
      </c>
      <c r="E450" s="3" t="s">
        <v>25</v>
      </c>
      <c r="F450" s="3" t="s">
        <v>25</v>
      </c>
      <c r="G450" s="3" t="s">
        <v>25</v>
      </c>
      <c r="H450" s="3" t="s">
        <v>35</v>
      </c>
      <c r="I450" s="6">
        <v>44621</v>
      </c>
      <c r="J450" s="4">
        <v>5449</v>
      </c>
      <c r="K450" s="4">
        <v>5449</v>
      </c>
      <c r="L450" s="4">
        <v>210.15199999999999</v>
      </c>
      <c r="M450" s="4">
        <v>210.15199999999999</v>
      </c>
      <c r="N450" s="4">
        <v>210.15199999999999</v>
      </c>
      <c r="O450" s="4">
        <v>210.15199999999999</v>
      </c>
      <c r="P450" s="4">
        <v>0</v>
      </c>
      <c r="Q450" s="3" t="s">
        <v>26</v>
      </c>
      <c r="R450" s="3">
        <v>0</v>
      </c>
      <c r="S450" s="3" t="s">
        <v>226</v>
      </c>
      <c r="T450" s="3" t="s">
        <v>559</v>
      </c>
      <c r="U450" s="3">
        <v>91</v>
      </c>
      <c r="V450" s="3">
        <v>88</v>
      </c>
      <c r="W450" s="3">
        <v>72</v>
      </c>
    </row>
    <row r="451" spans="1:23" ht="11.25" customHeight="1" x14ac:dyDescent="0.25">
      <c r="A451" s="3" t="s">
        <v>28</v>
      </c>
      <c r="B451" s="3" t="s">
        <v>33</v>
      </c>
      <c r="C451" s="3" t="s">
        <v>42</v>
      </c>
      <c r="D451" s="3" t="s">
        <v>43</v>
      </c>
      <c r="E451" s="3" t="s">
        <v>25</v>
      </c>
      <c r="F451" s="3" t="s">
        <v>25</v>
      </c>
      <c r="G451" s="3" t="s">
        <v>25</v>
      </c>
      <c r="H451" s="3" t="s">
        <v>35</v>
      </c>
      <c r="I451" s="6">
        <v>44621</v>
      </c>
      <c r="J451" s="4">
        <v>82</v>
      </c>
      <c r="K451" s="4">
        <v>82</v>
      </c>
      <c r="L451" s="4">
        <v>2.923</v>
      </c>
      <c r="M451" s="4">
        <v>2.923</v>
      </c>
      <c r="N451" s="4">
        <v>2.923</v>
      </c>
      <c r="O451" s="4">
        <v>2.923</v>
      </c>
      <c r="P451" s="4">
        <v>0</v>
      </c>
      <c r="Q451" s="3" t="s">
        <v>26</v>
      </c>
      <c r="R451" s="3">
        <v>0</v>
      </c>
      <c r="S451" s="3" t="s">
        <v>226</v>
      </c>
      <c r="T451" s="3" t="s">
        <v>559</v>
      </c>
      <c r="U451" s="3">
        <v>91</v>
      </c>
      <c r="V451" s="3">
        <v>88</v>
      </c>
      <c r="W451" s="3">
        <v>72</v>
      </c>
    </row>
    <row r="452" spans="1:23" ht="11.25" customHeight="1" x14ac:dyDescent="0.25">
      <c r="A452" s="3" t="s">
        <v>56</v>
      </c>
      <c r="B452" s="3" t="s">
        <v>33</v>
      </c>
      <c r="C452" s="3" t="s">
        <v>42</v>
      </c>
      <c r="D452" s="3" t="s">
        <v>43</v>
      </c>
      <c r="E452" s="3" t="s">
        <v>25</v>
      </c>
      <c r="F452" s="3" t="s">
        <v>25</v>
      </c>
      <c r="G452" s="3" t="s">
        <v>25</v>
      </c>
      <c r="H452" s="3" t="s">
        <v>35</v>
      </c>
      <c r="I452" s="6">
        <v>44652</v>
      </c>
      <c r="J452" s="4">
        <v>5449</v>
      </c>
      <c r="K452" s="4">
        <v>5449</v>
      </c>
      <c r="L452" s="4">
        <v>210.15199999999999</v>
      </c>
      <c r="M452" s="4">
        <v>210.15199999999999</v>
      </c>
      <c r="N452" s="4">
        <v>210.15199999999999</v>
      </c>
      <c r="O452" s="4">
        <v>210.15199999999999</v>
      </c>
      <c r="P452" s="4">
        <v>0</v>
      </c>
      <c r="Q452" s="3" t="s">
        <v>26</v>
      </c>
      <c r="R452" s="3">
        <v>0</v>
      </c>
      <c r="S452" s="3" t="s">
        <v>227</v>
      </c>
      <c r="T452" s="3" t="s">
        <v>560</v>
      </c>
      <c r="U452" s="3">
        <v>91</v>
      </c>
      <c r="V452" s="3">
        <v>88</v>
      </c>
      <c r="W452" s="3">
        <v>72</v>
      </c>
    </row>
    <row r="453" spans="1:23" ht="11.25" customHeight="1" x14ac:dyDescent="0.25">
      <c r="A453" s="3" t="s">
        <v>56</v>
      </c>
      <c r="B453" s="3" t="s">
        <v>33</v>
      </c>
      <c r="C453" s="3" t="s">
        <v>42</v>
      </c>
      <c r="D453" s="3" t="s">
        <v>43</v>
      </c>
      <c r="E453" s="3" t="s">
        <v>25</v>
      </c>
      <c r="F453" s="3" t="s">
        <v>25</v>
      </c>
      <c r="G453" s="3" t="s">
        <v>25</v>
      </c>
      <c r="H453" s="3" t="s">
        <v>35</v>
      </c>
      <c r="I453" s="6">
        <v>44652</v>
      </c>
      <c r="J453" s="4">
        <v>82</v>
      </c>
      <c r="K453" s="4">
        <v>82</v>
      </c>
      <c r="L453" s="4">
        <v>2.923</v>
      </c>
      <c r="M453" s="4">
        <v>2.923</v>
      </c>
      <c r="N453" s="4">
        <v>2.923</v>
      </c>
      <c r="O453" s="4">
        <v>2.923</v>
      </c>
      <c r="P453" s="4">
        <v>0</v>
      </c>
      <c r="Q453" s="3" t="s">
        <v>26</v>
      </c>
      <c r="R453" s="3">
        <v>0</v>
      </c>
      <c r="S453" s="3" t="s">
        <v>227</v>
      </c>
      <c r="T453" s="3" t="s">
        <v>560</v>
      </c>
      <c r="U453" s="3">
        <v>91</v>
      </c>
      <c r="V453" s="3">
        <v>88</v>
      </c>
      <c r="W453" s="3">
        <v>72</v>
      </c>
    </row>
    <row r="454" spans="1:23" ht="11.25" customHeight="1" x14ac:dyDescent="0.25">
      <c r="A454" s="3" t="s">
        <v>21</v>
      </c>
      <c r="B454" s="3" t="s">
        <v>33</v>
      </c>
      <c r="C454" s="3" t="s">
        <v>42</v>
      </c>
      <c r="D454" s="3" t="s">
        <v>40</v>
      </c>
      <c r="E454" s="3" t="s">
        <v>25</v>
      </c>
      <c r="F454" s="3" t="s">
        <v>60</v>
      </c>
      <c r="G454" s="3" t="s">
        <v>25</v>
      </c>
      <c r="H454" s="3" t="s">
        <v>36</v>
      </c>
      <c r="I454" s="6">
        <v>44317</v>
      </c>
      <c r="J454" s="4">
        <v>11934</v>
      </c>
      <c r="K454" s="4">
        <v>4575.6024092999996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3" t="s">
        <v>57</v>
      </c>
      <c r="R454" s="3">
        <v>0</v>
      </c>
      <c r="S454" s="3" t="s">
        <v>204</v>
      </c>
      <c r="U454" s="3">
        <v>87</v>
      </c>
      <c r="V454" s="3">
        <v>0</v>
      </c>
      <c r="W454" s="3">
        <v>0</v>
      </c>
    </row>
    <row r="455" spans="1:23" ht="11.25" customHeight="1" x14ac:dyDescent="0.25">
      <c r="A455" s="3" t="s">
        <v>21</v>
      </c>
      <c r="B455" s="3" t="s">
        <v>33</v>
      </c>
      <c r="C455" s="3" t="s">
        <v>42</v>
      </c>
      <c r="D455" s="3" t="s">
        <v>40</v>
      </c>
      <c r="E455" s="3" t="s">
        <v>25</v>
      </c>
      <c r="F455" s="3" t="s">
        <v>60</v>
      </c>
      <c r="G455" s="3" t="s">
        <v>25</v>
      </c>
      <c r="H455" s="3" t="s">
        <v>36</v>
      </c>
      <c r="I455" s="6">
        <v>44348</v>
      </c>
      <c r="J455" s="4">
        <v>12806</v>
      </c>
      <c r="K455" s="4">
        <v>5134.5000052200003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3" t="s">
        <v>57</v>
      </c>
      <c r="R455" s="3">
        <v>0</v>
      </c>
      <c r="S455" s="3" t="s">
        <v>205</v>
      </c>
      <c r="U455" s="3">
        <v>87</v>
      </c>
      <c r="V455" s="3">
        <v>0</v>
      </c>
      <c r="W455" s="3">
        <v>0</v>
      </c>
    </row>
    <row r="456" spans="1:23" ht="11.25" customHeight="1" x14ac:dyDescent="0.25">
      <c r="A456" s="3" t="s">
        <v>21</v>
      </c>
      <c r="B456" s="3" t="s">
        <v>33</v>
      </c>
      <c r="C456" s="3" t="s">
        <v>42</v>
      </c>
      <c r="D456" s="3" t="s">
        <v>40</v>
      </c>
      <c r="E456" s="3" t="s">
        <v>25</v>
      </c>
      <c r="F456" s="3" t="s">
        <v>60</v>
      </c>
      <c r="G456" s="3" t="s">
        <v>25</v>
      </c>
      <c r="H456" s="3" t="s">
        <v>36</v>
      </c>
      <c r="I456" s="6">
        <v>44378</v>
      </c>
      <c r="J456" s="4">
        <v>14440</v>
      </c>
      <c r="K456" s="4">
        <v>5777.5833460000003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3" t="s">
        <v>57</v>
      </c>
      <c r="R456" s="3">
        <v>0</v>
      </c>
      <c r="S456" s="3" t="s">
        <v>206</v>
      </c>
      <c r="U456" s="3">
        <v>87</v>
      </c>
      <c r="V456" s="3">
        <v>0</v>
      </c>
      <c r="W456" s="3">
        <v>0</v>
      </c>
    </row>
    <row r="457" spans="1:23" ht="11.25" customHeight="1" x14ac:dyDescent="0.25">
      <c r="A457" s="3" t="s">
        <v>21</v>
      </c>
      <c r="B457" s="3" t="s">
        <v>33</v>
      </c>
      <c r="C457" s="3" t="s">
        <v>42</v>
      </c>
      <c r="D457" s="3" t="s">
        <v>40</v>
      </c>
      <c r="E457" s="3" t="s">
        <v>25</v>
      </c>
      <c r="F457" s="3" t="s">
        <v>60</v>
      </c>
      <c r="G457" s="3" t="s">
        <v>25</v>
      </c>
      <c r="H457" s="3" t="s">
        <v>36</v>
      </c>
      <c r="I457" s="6">
        <v>44409</v>
      </c>
      <c r="J457" s="4">
        <v>16638</v>
      </c>
      <c r="K457" s="4">
        <v>7136.5000708799998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3" t="s">
        <v>57</v>
      </c>
      <c r="R457" s="3">
        <v>0</v>
      </c>
      <c r="S457" s="3" t="s">
        <v>207</v>
      </c>
      <c r="U457" s="3">
        <v>87</v>
      </c>
      <c r="V457" s="3">
        <v>0</v>
      </c>
      <c r="W457" s="3">
        <v>0</v>
      </c>
    </row>
    <row r="458" spans="1:23" ht="11.25" customHeight="1" x14ac:dyDescent="0.25">
      <c r="A458" s="3" t="s">
        <v>21</v>
      </c>
      <c r="B458" s="3" t="s">
        <v>33</v>
      </c>
      <c r="C458" s="3" t="s">
        <v>42</v>
      </c>
      <c r="D458" s="3" t="s">
        <v>40</v>
      </c>
      <c r="E458" s="3" t="s">
        <v>25</v>
      </c>
      <c r="F458" s="3" t="s">
        <v>60</v>
      </c>
      <c r="G458" s="3" t="s">
        <v>25</v>
      </c>
      <c r="H458" s="3" t="s">
        <v>36</v>
      </c>
      <c r="I458" s="6">
        <v>44440</v>
      </c>
      <c r="J458" s="4">
        <v>16596</v>
      </c>
      <c r="K458" s="4">
        <v>6355.4322254400004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3" t="s">
        <v>57</v>
      </c>
      <c r="R458" s="3">
        <v>0</v>
      </c>
      <c r="S458" s="3" t="s">
        <v>208</v>
      </c>
      <c r="U458" s="3">
        <v>87</v>
      </c>
      <c r="V458" s="3">
        <v>0</v>
      </c>
      <c r="W458" s="3">
        <v>0</v>
      </c>
    </row>
    <row r="459" spans="1:23" ht="11.25" customHeight="1" x14ac:dyDescent="0.25">
      <c r="A459" s="3" t="s">
        <v>21</v>
      </c>
      <c r="B459" s="3" t="s">
        <v>33</v>
      </c>
      <c r="C459" s="3" t="s">
        <v>42</v>
      </c>
      <c r="D459" s="3" t="s">
        <v>40</v>
      </c>
      <c r="E459" s="3" t="s">
        <v>25</v>
      </c>
      <c r="F459" s="3" t="s">
        <v>60</v>
      </c>
      <c r="G459" s="3" t="s">
        <v>25</v>
      </c>
      <c r="H459" s="3" t="s">
        <v>36</v>
      </c>
      <c r="I459" s="6">
        <v>44470</v>
      </c>
      <c r="J459" s="4">
        <v>17990</v>
      </c>
      <c r="K459" s="4">
        <v>7682.4999719999996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3" t="s">
        <v>57</v>
      </c>
      <c r="R459" s="3">
        <v>0</v>
      </c>
      <c r="S459" s="3" t="s">
        <v>209</v>
      </c>
      <c r="U459" s="3">
        <v>87</v>
      </c>
      <c r="V459" s="3">
        <v>0</v>
      </c>
      <c r="W459" s="3">
        <v>0</v>
      </c>
    </row>
    <row r="460" spans="1:23" ht="11.25" customHeight="1" x14ac:dyDescent="0.25">
      <c r="A460" s="3" t="s">
        <v>21</v>
      </c>
      <c r="B460" s="3" t="s">
        <v>33</v>
      </c>
      <c r="C460" s="3" t="s">
        <v>42</v>
      </c>
      <c r="D460" s="3" t="s">
        <v>40</v>
      </c>
      <c r="E460" s="3" t="s">
        <v>25</v>
      </c>
      <c r="F460" s="3" t="s">
        <v>60</v>
      </c>
      <c r="G460" s="3" t="s">
        <v>25</v>
      </c>
      <c r="H460" s="3" t="s">
        <v>36</v>
      </c>
      <c r="I460" s="6">
        <v>44501</v>
      </c>
      <c r="J460" s="4">
        <v>17616</v>
      </c>
      <c r="K460" s="4">
        <v>5862.0558854399997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3" t="s">
        <v>57</v>
      </c>
      <c r="R460" s="3">
        <v>0</v>
      </c>
      <c r="S460" s="3" t="s">
        <v>210</v>
      </c>
      <c r="U460" s="3">
        <v>87</v>
      </c>
      <c r="V460" s="3">
        <v>0</v>
      </c>
      <c r="W460" s="3">
        <v>0</v>
      </c>
    </row>
    <row r="461" spans="1:23" ht="11.25" customHeight="1" x14ac:dyDescent="0.25">
      <c r="A461" s="3" t="s">
        <v>21</v>
      </c>
      <c r="B461" s="3" t="s">
        <v>33</v>
      </c>
      <c r="C461" s="3" t="s">
        <v>42</v>
      </c>
      <c r="D461" s="3" t="s">
        <v>40</v>
      </c>
      <c r="E461" s="3" t="s">
        <v>25</v>
      </c>
      <c r="F461" s="3" t="s">
        <v>60</v>
      </c>
      <c r="G461" s="3" t="s">
        <v>25</v>
      </c>
      <c r="H461" s="3" t="s">
        <v>36</v>
      </c>
      <c r="I461" s="6">
        <v>44531</v>
      </c>
      <c r="J461" s="4">
        <v>18413</v>
      </c>
      <c r="K461" s="4">
        <v>7289.0000090599997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3" t="s">
        <v>57</v>
      </c>
      <c r="R461" s="3">
        <v>0</v>
      </c>
      <c r="S461" s="3" t="s">
        <v>211</v>
      </c>
      <c r="U461" s="3">
        <v>87</v>
      </c>
      <c r="V461" s="3">
        <v>0</v>
      </c>
      <c r="W461" s="3">
        <v>0</v>
      </c>
    </row>
    <row r="462" spans="1:23" ht="11.25" customHeight="1" x14ac:dyDescent="0.25">
      <c r="A462" s="3" t="s">
        <v>21</v>
      </c>
      <c r="B462" s="3" t="s">
        <v>33</v>
      </c>
      <c r="C462" s="3" t="s">
        <v>42</v>
      </c>
      <c r="D462" s="3" t="s">
        <v>40</v>
      </c>
      <c r="E462" s="3" t="s">
        <v>25</v>
      </c>
      <c r="F462" s="3" t="s">
        <v>60</v>
      </c>
      <c r="G462" s="3" t="s">
        <v>25</v>
      </c>
      <c r="H462" s="3" t="s">
        <v>36</v>
      </c>
      <c r="I462" s="6">
        <v>44562</v>
      </c>
      <c r="J462" s="4">
        <v>18542</v>
      </c>
      <c r="K462" s="4">
        <v>7958.5000799199997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3" t="s">
        <v>57</v>
      </c>
      <c r="R462" s="3">
        <v>0</v>
      </c>
      <c r="S462" s="3" t="s">
        <v>212</v>
      </c>
      <c r="U462" s="3">
        <v>87</v>
      </c>
      <c r="V462" s="3">
        <v>0</v>
      </c>
      <c r="W462" s="3">
        <v>0</v>
      </c>
    </row>
    <row r="463" spans="1:23" ht="11.25" customHeight="1" x14ac:dyDescent="0.25">
      <c r="A463" s="3" t="s">
        <v>21</v>
      </c>
      <c r="B463" s="3" t="s">
        <v>33</v>
      </c>
      <c r="C463" s="3" t="s">
        <v>42</v>
      </c>
      <c r="D463" s="3" t="s">
        <v>40</v>
      </c>
      <c r="E463" s="3" t="s">
        <v>25</v>
      </c>
      <c r="F463" s="3" t="s">
        <v>60</v>
      </c>
      <c r="G463" s="3" t="s">
        <v>25</v>
      </c>
      <c r="H463" s="3" t="s">
        <v>36</v>
      </c>
      <c r="I463" s="6">
        <v>44593</v>
      </c>
      <c r="J463" s="4">
        <v>19122</v>
      </c>
      <c r="K463" s="4">
        <v>8248.4999571600001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3" t="s">
        <v>57</v>
      </c>
      <c r="R463" s="3">
        <v>0</v>
      </c>
      <c r="S463" s="3" t="s">
        <v>213</v>
      </c>
      <c r="U463" s="3">
        <v>87</v>
      </c>
      <c r="V463" s="3">
        <v>0</v>
      </c>
      <c r="W463" s="3">
        <v>0</v>
      </c>
    </row>
    <row r="464" spans="1:23" ht="11.25" customHeight="1" x14ac:dyDescent="0.25">
      <c r="A464" s="3" t="s">
        <v>21</v>
      </c>
      <c r="B464" s="3" t="s">
        <v>33</v>
      </c>
      <c r="C464" s="3" t="s">
        <v>42</v>
      </c>
      <c r="D464" s="3" t="s">
        <v>40</v>
      </c>
      <c r="E464" s="3" t="s">
        <v>25</v>
      </c>
      <c r="F464" s="3" t="s">
        <v>60</v>
      </c>
      <c r="G464" s="3" t="s">
        <v>25</v>
      </c>
      <c r="H464" s="3" t="s">
        <v>36</v>
      </c>
      <c r="I464" s="6">
        <v>44621</v>
      </c>
      <c r="J464" s="4">
        <v>19895</v>
      </c>
      <c r="K464" s="4">
        <v>8634.9999917500008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3" t="s">
        <v>57</v>
      </c>
      <c r="R464" s="3">
        <v>0</v>
      </c>
      <c r="S464" s="3" t="s">
        <v>214</v>
      </c>
      <c r="U464" s="3">
        <v>87</v>
      </c>
      <c r="V464" s="3">
        <v>0</v>
      </c>
      <c r="W464" s="3">
        <v>0</v>
      </c>
    </row>
    <row r="465" spans="1:23" ht="11.25" customHeight="1" x14ac:dyDescent="0.25">
      <c r="A465" s="3" t="s">
        <v>56</v>
      </c>
      <c r="B465" s="3" t="s">
        <v>33</v>
      </c>
      <c r="C465" s="3" t="s">
        <v>42</v>
      </c>
      <c r="D465" s="3" t="s">
        <v>40</v>
      </c>
      <c r="E465" s="3" t="s">
        <v>25</v>
      </c>
      <c r="F465" s="3" t="s">
        <v>60</v>
      </c>
      <c r="G465" s="3" t="s">
        <v>25</v>
      </c>
      <c r="H465" s="3" t="s">
        <v>36</v>
      </c>
      <c r="I465" s="6">
        <v>44652</v>
      </c>
      <c r="J465" s="4">
        <v>19895</v>
      </c>
      <c r="K465" s="4">
        <v>8634.9999917500008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3" t="s">
        <v>57</v>
      </c>
      <c r="R465" s="3">
        <v>0</v>
      </c>
      <c r="S465" s="3" t="s">
        <v>215</v>
      </c>
      <c r="U465" s="3">
        <v>87</v>
      </c>
      <c r="V465" s="3">
        <v>0</v>
      </c>
      <c r="W465" s="3">
        <v>0</v>
      </c>
    </row>
    <row r="466" spans="1:23" ht="11.25" customHeight="1" x14ac:dyDescent="0.25">
      <c r="A466" s="3" t="s">
        <v>21</v>
      </c>
      <c r="B466" s="3" t="s">
        <v>33</v>
      </c>
      <c r="C466" s="3" t="s">
        <v>42</v>
      </c>
      <c r="D466" s="3" t="s">
        <v>40</v>
      </c>
      <c r="E466" s="3" t="s">
        <v>25</v>
      </c>
      <c r="F466" s="3" t="s">
        <v>60</v>
      </c>
      <c r="G466" s="3" t="s">
        <v>25</v>
      </c>
      <c r="H466" s="3" t="s">
        <v>25</v>
      </c>
      <c r="I466" s="6">
        <v>44317</v>
      </c>
      <c r="J466" s="4">
        <v>0</v>
      </c>
      <c r="K466" s="4">
        <v>0</v>
      </c>
      <c r="L466" s="4">
        <v>4198.491</v>
      </c>
      <c r="M466" s="4">
        <v>4198.491</v>
      </c>
      <c r="N466" s="4">
        <v>0</v>
      </c>
      <c r="O466" s="4">
        <v>0</v>
      </c>
      <c r="P466" s="4">
        <v>22</v>
      </c>
      <c r="Q466" s="3" t="s">
        <v>57</v>
      </c>
      <c r="R466" s="3">
        <v>0</v>
      </c>
      <c r="S466" s="3" t="s">
        <v>228</v>
      </c>
      <c r="U466" s="3">
        <v>0</v>
      </c>
      <c r="V466" s="3">
        <v>88</v>
      </c>
      <c r="W466" s="3">
        <v>0</v>
      </c>
    </row>
    <row r="467" spans="1:23" ht="11.25" customHeight="1" x14ac:dyDescent="0.25">
      <c r="A467" s="3" t="s">
        <v>21</v>
      </c>
      <c r="B467" s="3" t="s">
        <v>33</v>
      </c>
      <c r="C467" s="3" t="s">
        <v>42</v>
      </c>
      <c r="D467" s="3" t="s">
        <v>40</v>
      </c>
      <c r="E467" s="3" t="s">
        <v>25</v>
      </c>
      <c r="F467" s="3" t="s">
        <v>60</v>
      </c>
      <c r="G467" s="3" t="s">
        <v>25</v>
      </c>
      <c r="H467" s="3" t="s">
        <v>25</v>
      </c>
      <c r="I467" s="6">
        <v>44348</v>
      </c>
      <c r="J467" s="4">
        <v>0</v>
      </c>
      <c r="K467" s="4">
        <v>0</v>
      </c>
      <c r="L467" s="4">
        <v>4216.2759999999998</v>
      </c>
      <c r="M467" s="4">
        <v>4216.2759999999998</v>
      </c>
      <c r="N467" s="4">
        <v>0</v>
      </c>
      <c r="O467" s="4">
        <v>0</v>
      </c>
      <c r="P467" s="4">
        <v>24</v>
      </c>
      <c r="Q467" s="3" t="s">
        <v>57</v>
      </c>
      <c r="R467" s="3">
        <v>0</v>
      </c>
      <c r="S467" s="3" t="s">
        <v>229</v>
      </c>
      <c r="U467" s="3">
        <v>0</v>
      </c>
      <c r="V467" s="3">
        <v>88</v>
      </c>
      <c r="W467" s="3">
        <v>0</v>
      </c>
    </row>
    <row r="468" spans="1:23" ht="11.25" customHeight="1" x14ac:dyDescent="0.25">
      <c r="A468" s="3" t="s">
        <v>21</v>
      </c>
      <c r="B468" s="3" t="s">
        <v>33</v>
      </c>
      <c r="C468" s="3" t="s">
        <v>42</v>
      </c>
      <c r="D468" s="3" t="s">
        <v>40</v>
      </c>
      <c r="E468" s="3" t="s">
        <v>25</v>
      </c>
      <c r="F468" s="3" t="s">
        <v>60</v>
      </c>
      <c r="G468" s="3" t="s">
        <v>25</v>
      </c>
      <c r="H468" s="3" t="s">
        <v>25</v>
      </c>
      <c r="I468" s="6">
        <v>44378</v>
      </c>
      <c r="J468" s="4">
        <v>0</v>
      </c>
      <c r="K468" s="4">
        <v>0</v>
      </c>
      <c r="L468" s="4">
        <v>5093.99</v>
      </c>
      <c r="M468" s="4">
        <v>5093.99</v>
      </c>
      <c r="N468" s="4">
        <v>0</v>
      </c>
      <c r="O468" s="4">
        <v>0</v>
      </c>
      <c r="P468" s="4">
        <v>24</v>
      </c>
      <c r="Q468" s="3" t="s">
        <v>57</v>
      </c>
      <c r="R468" s="3">
        <v>0</v>
      </c>
      <c r="S468" s="3" t="s">
        <v>230</v>
      </c>
      <c r="U468" s="3">
        <v>0</v>
      </c>
      <c r="V468" s="3">
        <v>88</v>
      </c>
      <c r="W468" s="3">
        <v>0</v>
      </c>
    </row>
    <row r="469" spans="1:23" ht="11.25" customHeight="1" x14ac:dyDescent="0.25">
      <c r="A469" s="3" t="s">
        <v>21</v>
      </c>
      <c r="B469" s="3" t="s">
        <v>33</v>
      </c>
      <c r="C469" s="3" t="s">
        <v>42</v>
      </c>
      <c r="D469" s="3" t="s">
        <v>40</v>
      </c>
      <c r="E469" s="3" t="s">
        <v>25</v>
      </c>
      <c r="F469" s="3" t="s">
        <v>60</v>
      </c>
      <c r="G469" s="3" t="s">
        <v>25</v>
      </c>
      <c r="H469" s="3" t="s">
        <v>25</v>
      </c>
      <c r="I469" s="6">
        <v>44409</v>
      </c>
      <c r="J469" s="4">
        <v>0</v>
      </c>
      <c r="K469" s="4">
        <v>0</v>
      </c>
      <c r="L469" s="4">
        <v>5794.2820000000002</v>
      </c>
      <c r="M469" s="4">
        <v>5794.2820000000002</v>
      </c>
      <c r="N469" s="4">
        <v>0</v>
      </c>
      <c r="O469" s="4">
        <v>0</v>
      </c>
      <c r="P469" s="4">
        <v>27</v>
      </c>
      <c r="Q469" s="3" t="s">
        <v>57</v>
      </c>
      <c r="R469" s="3">
        <v>0</v>
      </c>
      <c r="S469" s="3" t="s">
        <v>231</v>
      </c>
      <c r="U469" s="3">
        <v>0</v>
      </c>
      <c r="V469" s="3">
        <v>88</v>
      </c>
      <c r="W469" s="3">
        <v>0</v>
      </c>
    </row>
    <row r="470" spans="1:23" ht="11.25" customHeight="1" x14ac:dyDescent="0.25">
      <c r="A470" s="3" t="s">
        <v>21</v>
      </c>
      <c r="B470" s="3" t="s">
        <v>33</v>
      </c>
      <c r="C470" s="3" t="s">
        <v>42</v>
      </c>
      <c r="D470" s="3" t="s">
        <v>40</v>
      </c>
      <c r="E470" s="3" t="s">
        <v>25</v>
      </c>
      <c r="F470" s="3" t="s">
        <v>60</v>
      </c>
      <c r="G470" s="3" t="s">
        <v>25</v>
      </c>
      <c r="H470" s="3" t="s">
        <v>25</v>
      </c>
      <c r="I470" s="6">
        <v>44440</v>
      </c>
      <c r="J470" s="4">
        <v>0</v>
      </c>
      <c r="K470" s="4">
        <v>0</v>
      </c>
      <c r="L470" s="4">
        <v>6393.9769999999999</v>
      </c>
      <c r="M470" s="4">
        <v>6393.9769999999999</v>
      </c>
      <c r="N470" s="4">
        <v>0</v>
      </c>
      <c r="O470" s="4">
        <v>0</v>
      </c>
      <c r="P470" s="4">
        <v>29</v>
      </c>
      <c r="Q470" s="3" t="s">
        <v>57</v>
      </c>
      <c r="R470" s="3">
        <v>0</v>
      </c>
      <c r="S470" s="3" t="s">
        <v>232</v>
      </c>
      <c r="U470" s="3">
        <v>0</v>
      </c>
      <c r="V470" s="3">
        <v>88</v>
      </c>
      <c r="W470" s="3">
        <v>0</v>
      </c>
    </row>
    <row r="471" spans="1:23" ht="11.25" customHeight="1" x14ac:dyDescent="0.25">
      <c r="A471" s="3" t="s">
        <v>21</v>
      </c>
      <c r="B471" s="3" t="s">
        <v>33</v>
      </c>
      <c r="C471" s="3" t="s">
        <v>42</v>
      </c>
      <c r="D471" s="3" t="s">
        <v>40</v>
      </c>
      <c r="E471" s="3" t="s">
        <v>25</v>
      </c>
      <c r="F471" s="3" t="s">
        <v>60</v>
      </c>
      <c r="G471" s="3" t="s">
        <v>25</v>
      </c>
      <c r="H471" s="3" t="s">
        <v>25</v>
      </c>
      <c r="I471" s="6">
        <v>44470</v>
      </c>
      <c r="J471" s="4">
        <v>0</v>
      </c>
      <c r="K471" s="4">
        <v>0</v>
      </c>
      <c r="L471" s="4">
        <v>7168.2340000000004</v>
      </c>
      <c r="M471" s="4">
        <v>7168.2340000000004</v>
      </c>
      <c r="N471" s="4">
        <v>0</v>
      </c>
      <c r="O471" s="4">
        <v>0</v>
      </c>
      <c r="P471" s="4">
        <v>31</v>
      </c>
      <c r="Q471" s="3" t="s">
        <v>57</v>
      </c>
      <c r="R471" s="3">
        <v>0</v>
      </c>
      <c r="S471" s="3" t="s">
        <v>233</v>
      </c>
      <c r="U471" s="3">
        <v>0</v>
      </c>
      <c r="V471" s="3">
        <v>88</v>
      </c>
      <c r="W471" s="3">
        <v>0</v>
      </c>
    </row>
    <row r="472" spans="1:23" ht="11.25" customHeight="1" x14ac:dyDescent="0.25">
      <c r="A472" s="3" t="s">
        <v>21</v>
      </c>
      <c r="B472" s="3" t="s">
        <v>33</v>
      </c>
      <c r="C472" s="3" t="s">
        <v>42</v>
      </c>
      <c r="D472" s="3" t="s">
        <v>40</v>
      </c>
      <c r="E472" s="3" t="s">
        <v>25</v>
      </c>
      <c r="F472" s="3" t="s">
        <v>60</v>
      </c>
      <c r="G472" s="3" t="s">
        <v>25</v>
      </c>
      <c r="H472" s="3" t="s">
        <v>25</v>
      </c>
      <c r="I472" s="6">
        <v>44501</v>
      </c>
      <c r="J472" s="4">
        <v>0</v>
      </c>
      <c r="K472" s="4">
        <v>0</v>
      </c>
      <c r="L472" s="4">
        <v>6906.5820000000003</v>
      </c>
      <c r="M472" s="4">
        <v>6906.5820000000003</v>
      </c>
      <c r="N472" s="4">
        <v>0</v>
      </c>
      <c r="O472" s="4">
        <v>0</v>
      </c>
      <c r="P472" s="4">
        <v>32</v>
      </c>
      <c r="Q472" s="3" t="s">
        <v>57</v>
      </c>
      <c r="R472" s="3">
        <v>0</v>
      </c>
      <c r="S472" s="3" t="s">
        <v>234</v>
      </c>
      <c r="U472" s="3">
        <v>0</v>
      </c>
      <c r="V472" s="3">
        <v>88</v>
      </c>
      <c r="W472" s="3">
        <v>0</v>
      </c>
    </row>
    <row r="473" spans="1:23" ht="11.25" customHeight="1" x14ac:dyDescent="0.25">
      <c r="A473" s="3" t="s">
        <v>21</v>
      </c>
      <c r="B473" s="3" t="s">
        <v>33</v>
      </c>
      <c r="C473" s="3" t="s">
        <v>42</v>
      </c>
      <c r="D473" s="3" t="s">
        <v>40</v>
      </c>
      <c r="E473" s="3" t="s">
        <v>25</v>
      </c>
      <c r="F473" s="3" t="s">
        <v>60</v>
      </c>
      <c r="G473" s="3" t="s">
        <v>25</v>
      </c>
      <c r="H473" s="3" t="s">
        <v>25</v>
      </c>
      <c r="I473" s="6">
        <v>44531</v>
      </c>
      <c r="J473" s="4">
        <v>0</v>
      </c>
      <c r="K473" s="4">
        <v>0</v>
      </c>
      <c r="L473" s="4">
        <v>6939.7569999999996</v>
      </c>
      <c r="M473" s="4">
        <v>6939.7569999999996</v>
      </c>
      <c r="N473" s="4">
        <v>0</v>
      </c>
      <c r="O473" s="4">
        <v>0</v>
      </c>
      <c r="P473" s="4">
        <v>33</v>
      </c>
      <c r="Q473" s="3" t="s">
        <v>57</v>
      </c>
      <c r="R473" s="3">
        <v>0</v>
      </c>
      <c r="S473" s="3" t="s">
        <v>235</v>
      </c>
      <c r="U473" s="3">
        <v>0</v>
      </c>
      <c r="V473" s="3">
        <v>88</v>
      </c>
      <c r="W473" s="3">
        <v>0</v>
      </c>
    </row>
    <row r="474" spans="1:23" ht="11.25" customHeight="1" x14ac:dyDescent="0.25">
      <c r="A474" s="3" t="s">
        <v>21</v>
      </c>
      <c r="B474" s="3" t="s">
        <v>33</v>
      </c>
      <c r="C474" s="3" t="s">
        <v>42</v>
      </c>
      <c r="D474" s="3" t="s">
        <v>40</v>
      </c>
      <c r="E474" s="3" t="s">
        <v>25</v>
      </c>
      <c r="F474" s="3" t="s">
        <v>60</v>
      </c>
      <c r="G474" s="3" t="s">
        <v>25</v>
      </c>
      <c r="H474" s="3" t="s">
        <v>25</v>
      </c>
      <c r="I474" s="6">
        <v>44562</v>
      </c>
      <c r="J474" s="4">
        <v>0</v>
      </c>
      <c r="K474" s="4">
        <v>0</v>
      </c>
      <c r="L474" s="4">
        <v>6524.7719999999999</v>
      </c>
      <c r="M474" s="4">
        <v>6524.7719999999999</v>
      </c>
      <c r="N474" s="4">
        <v>0</v>
      </c>
      <c r="O474" s="4">
        <v>0</v>
      </c>
      <c r="P474" s="4">
        <v>34</v>
      </c>
      <c r="Q474" s="3" t="s">
        <v>57</v>
      </c>
      <c r="R474" s="3">
        <v>0</v>
      </c>
      <c r="S474" s="3" t="s">
        <v>236</v>
      </c>
      <c r="U474" s="3">
        <v>0</v>
      </c>
      <c r="V474" s="3">
        <v>88</v>
      </c>
      <c r="W474" s="3">
        <v>0</v>
      </c>
    </row>
    <row r="475" spans="1:23" ht="11.25" customHeight="1" x14ac:dyDescent="0.25">
      <c r="A475" s="3" t="s">
        <v>21</v>
      </c>
      <c r="B475" s="3" t="s">
        <v>33</v>
      </c>
      <c r="C475" s="3" t="s">
        <v>42</v>
      </c>
      <c r="D475" s="3" t="s">
        <v>40</v>
      </c>
      <c r="E475" s="3" t="s">
        <v>25</v>
      </c>
      <c r="F475" s="3" t="s">
        <v>60</v>
      </c>
      <c r="G475" s="3" t="s">
        <v>25</v>
      </c>
      <c r="H475" s="3" t="s">
        <v>25</v>
      </c>
      <c r="I475" s="6">
        <v>44593</v>
      </c>
      <c r="J475" s="4">
        <v>0</v>
      </c>
      <c r="K475" s="4">
        <v>0</v>
      </c>
      <c r="L475" s="4">
        <v>6430.9620000000004</v>
      </c>
      <c r="M475" s="4">
        <v>6430.9620000000004</v>
      </c>
      <c r="N475" s="4">
        <v>0</v>
      </c>
      <c r="O475" s="4">
        <v>0</v>
      </c>
      <c r="P475" s="4">
        <v>35</v>
      </c>
      <c r="Q475" s="3" t="s">
        <v>57</v>
      </c>
      <c r="R475" s="3">
        <v>0</v>
      </c>
      <c r="S475" s="3" t="s">
        <v>237</v>
      </c>
      <c r="U475" s="3">
        <v>0</v>
      </c>
      <c r="V475" s="3">
        <v>88</v>
      </c>
      <c r="W475" s="3">
        <v>0</v>
      </c>
    </row>
    <row r="476" spans="1:23" ht="11.25" customHeight="1" x14ac:dyDescent="0.25">
      <c r="A476" s="3" t="s">
        <v>21</v>
      </c>
      <c r="B476" s="3" t="s">
        <v>33</v>
      </c>
      <c r="C476" s="3" t="s">
        <v>42</v>
      </c>
      <c r="D476" s="3" t="s">
        <v>40</v>
      </c>
      <c r="E476" s="3" t="s">
        <v>25</v>
      </c>
      <c r="F476" s="3" t="s">
        <v>60</v>
      </c>
      <c r="G476" s="3" t="s">
        <v>25</v>
      </c>
      <c r="H476" s="3" t="s">
        <v>25</v>
      </c>
      <c r="I476" s="6">
        <v>44621</v>
      </c>
      <c r="J476" s="4">
        <v>0</v>
      </c>
      <c r="K476" s="4">
        <v>0</v>
      </c>
      <c r="L476" s="4">
        <v>7094.2309999999998</v>
      </c>
      <c r="M476" s="4">
        <v>7094.2309999999998</v>
      </c>
      <c r="N476" s="4">
        <v>0</v>
      </c>
      <c r="O476" s="4">
        <v>0</v>
      </c>
      <c r="P476" s="4">
        <v>36</v>
      </c>
      <c r="Q476" s="3" t="s">
        <v>57</v>
      </c>
      <c r="R476" s="3">
        <v>0</v>
      </c>
      <c r="S476" s="3" t="s">
        <v>238</v>
      </c>
      <c r="U476" s="3">
        <v>0</v>
      </c>
      <c r="V476" s="3">
        <v>88</v>
      </c>
      <c r="W476" s="3">
        <v>0</v>
      </c>
    </row>
    <row r="477" spans="1:23" ht="11.25" customHeight="1" x14ac:dyDescent="0.25">
      <c r="A477" s="3" t="s">
        <v>56</v>
      </c>
      <c r="B477" s="3" t="s">
        <v>33</v>
      </c>
      <c r="C477" s="3" t="s">
        <v>42</v>
      </c>
      <c r="D477" s="3" t="s">
        <v>40</v>
      </c>
      <c r="E477" s="3" t="s">
        <v>25</v>
      </c>
      <c r="F477" s="3" t="s">
        <v>60</v>
      </c>
      <c r="G477" s="3" t="s">
        <v>25</v>
      </c>
      <c r="H477" s="3" t="s">
        <v>25</v>
      </c>
      <c r="I477" s="6">
        <v>44652</v>
      </c>
      <c r="J477" s="4">
        <v>0</v>
      </c>
      <c r="K477" s="4">
        <v>0</v>
      </c>
      <c r="L477" s="4">
        <v>7094.2309999999998</v>
      </c>
      <c r="M477" s="4">
        <v>7094.2309999999998</v>
      </c>
      <c r="N477" s="4">
        <v>0</v>
      </c>
      <c r="O477" s="4">
        <v>0</v>
      </c>
      <c r="P477" s="4">
        <v>36</v>
      </c>
      <c r="Q477" s="3" t="s">
        <v>57</v>
      </c>
      <c r="R477" s="3">
        <v>0</v>
      </c>
      <c r="S477" s="3" t="s">
        <v>239</v>
      </c>
      <c r="U477" s="3">
        <v>0</v>
      </c>
      <c r="V477" s="3">
        <v>88</v>
      </c>
      <c r="W477" s="3">
        <v>0</v>
      </c>
    </row>
    <row r="478" spans="1:23" ht="11.25" customHeight="1" x14ac:dyDescent="0.25">
      <c r="A478" s="3" t="s">
        <v>21</v>
      </c>
      <c r="B478" s="3" t="s">
        <v>33</v>
      </c>
      <c r="C478" s="3" t="s">
        <v>42</v>
      </c>
      <c r="D478" s="3" t="s">
        <v>40</v>
      </c>
      <c r="E478" s="3" t="s">
        <v>25</v>
      </c>
      <c r="F478" s="3" t="s">
        <v>60</v>
      </c>
      <c r="G478" s="3" t="s">
        <v>25</v>
      </c>
      <c r="H478" s="3" t="s">
        <v>35</v>
      </c>
      <c r="I478" s="6">
        <v>44317</v>
      </c>
      <c r="J478" s="4">
        <v>11035</v>
      </c>
      <c r="K478" s="4">
        <v>4134.4795877500001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3" t="s">
        <v>57</v>
      </c>
      <c r="R478" s="3">
        <v>0</v>
      </c>
      <c r="S478" s="3" t="s">
        <v>216</v>
      </c>
      <c r="U478" s="3">
        <v>91</v>
      </c>
      <c r="V478" s="3">
        <v>0</v>
      </c>
      <c r="W478" s="3">
        <v>0</v>
      </c>
    </row>
    <row r="479" spans="1:23" ht="11.25" customHeight="1" x14ac:dyDescent="0.25">
      <c r="A479" s="3" t="s">
        <v>21</v>
      </c>
      <c r="B479" s="3" t="s">
        <v>33</v>
      </c>
      <c r="C479" s="3" t="s">
        <v>42</v>
      </c>
      <c r="D479" s="3" t="s">
        <v>40</v>
      </c>
      <c r="E479" s="3" t="s">
        <v>25</v>
      </c>
      <c r="F479" s="3" t="s">
        <v>60</v>
      </c>
      <c r="G479" s="3" t="s">
        <v>25</v>
      </c>
      <c r="H479" s="3" t="s">
        <v>35</v>
      </c>
      <c r="I479" s="6">
        <v>44348</v>
      </c>
      <c r="J479" s="4">
        <v>11843</v>
      </c>
      <c r="K479" s="4">
        <v>4690.9999832800004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3" t="s">
        <v>57</v>
      </c>
      <c r="R479" s="3">
        <v>0</v>
      </c>
      <c r="S479" s="3" t="s">
        <v>217</v>
      </c>
      <c r="U479" s="3">
        <v>91</v>
      </c>
      <c r="V479" s="3">
        <v>0</v>
      </c>
      <c r="W479" s="3">
        <v>0</v>
      </c>
    </row>
    <row r="480" spans="1:23" ht="11.25" customHeight="1" x14ac:dyDescent="0.25">
      <c r="A480" s="3" t="s">
        <v>21</v>
      </c>
      <c r="B480" s="3" t="s">
        <v>33</v>
      </c>
      <c r="C480" s="3" t="s">
        <v>42</v>
      </c>
      <c r="D480" s="3" t="s">
        <v>40</v>
      </c>
      <c r="E480" s="3" t="s">
        <v>25</v>
      </c>
      <c r="F480" s="3" t="s">
        <v>60</v>
      </c>
      <c r="G480" s="3" t="s">
        <v>25</v>
      </c>
      <c r="H480" s="3" t="s">
        <v>35</v>
      </c>
      <c r="I480" s="6">
        <v>44378</v>
      </c>
      <c r="J480" s="4">
        <v>13530</v>
      </c>
      <c r="K480" s="4">
        <v>5327.5820003999997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3" t="s">
        <v>57</v>
      </c>
      <c r="R480" s="3">
        <v>0</v>
      </c>
      <c r="S480" s="3" t="s">
        <v>218</v>
      </c>
      <c r="U480" s="3">
        <v>91</v>
      </c>
      <c r="V480" s="3">
        <v>0</v>
      </c>
      <c r="W480" s="3">
        <v>0</v>
      </c>
    </row>
    <row r="481" spans="1:23" ht="11.25" customHeight="1" x14ac:dyDescent="0.25">
      <c r="A481" s="3" t="s">
        <v>21</v>
      </c>
      <c r="B481" s="3" t="s">
        <v>33</v>
      </c>
      <c r="C481" s="3" t="s">
        <v>42</v>
      </c>
      <c r="D481" s="3" t="s">
        <v>40</v>
      </c>
      <c r="E481" s="3" t="s">
        <v>25</v>
      </c>
      <c r="F481" s="3" t="s">
        <v>60</v>
      </c>
      <c r="G481" s="3" t="s">
        <v>25</v>
      </c>
      <c r="H481" s="3" t="s">
        <v>35</v>
      </c>
      <c r="I481" s="6">
        <v>44409</v>
      </c>
      <c r="J481" s="4">
        <v>15338</v>
      </c>
      <c r="K481" s="4">
        <v>6491.5000528199998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3" t="s">
        <v>57</v>
      </c>
      <c r="R481" s="3">
        <v>0</v>
      </c>
      <c r="S481" s="3" t="s">
        <v>219</v>
      </c>
      <c r="U481" s="3">
        <v>91</v>
      </c>
      <c r="V481" s="3">
        <v>0</v>
      </c>
      <c r="W481" s="3">
        <v>0</v>
      </c>
    </row>
    <row r="482" spans="1:23" ht="11.25" customHeight="1" x14ac:dyDescent="0.25">
      <c r="A482" s="3" t="s">
        <v>21</v>
      </c>
      <c r="B482" s="3" t="s">
        <v>33</v>
      </c>
      <c r="C482" s="3" t="s">
        <v>42</v>
      </c>
      <c r="D482" s="3" t="s">
        <v>40</v>
      </c>
      <c r="E482" s="3" t="s">
        <v>25</v>
      </c>
      <c r="F482" s="3" t="s">
        <v>60</v>
      </c>
      <c r="G482" s="3" t="s">
        <v>25</v>
      </c>
      <c r="H482" s="3" t="s">
        <v>35</v>
      </c>
      <c r="I482" s="6">
        <v>44440</v>
      </c>
      <c r="J482" s="4">
        <v>15730</v>
      </c>
      <c r="K482" s="4">
        <v>5927.4009366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3" t="s">
        <v>57</v>
      </c>
      <c r="R482" s="3">
        <v>0</v>
      </c>
      <c r="S482" s="3" t="s">
        <v>220</v>
      </c>
      <c r="U482" s="3">
        <v>91</v>
      </c>
      <c r="V482" s="3">
        <v>0</v>
      </c>
      <c r="W482" s="3">
        <v>0</v>
      </c>
    </row>
    <row r="483" spans="1:23" ht="11.25" customHeight="1" x14ac:dyDescent="0.25">
      <c r="A483" s="3" t="s">
        <v>21</v>
      </c>
      <c r="B483" s="3" t="s">
        <v>33</v>
      </c>
      <c r="C483" s="3" t="s">
        <v>42</v>
      </c>
      <c r="D483" s="3" t="s">
        <v>40</v>
      </c>
      <c r="E483" s="3" t="s">
        <v>25</v>
      </c>
      <c r="F483" s="3" t="s">
        <v>60</v>
      </c>
      <c r="G483" s="3" t="s">
        <v>25</v>
      </c>
      <c r="H483" s="3" t="s">
        <v>35</v>
      </c>
      <c r="I483" s="6">
        <v>44470</v>
      </c>
      <c r="J483" s="4">
        <v>16882</v>
      </c>
      <c r="K483" s="4">
        <v>7133.5000732999997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3" t="s">
        <v>57</v>
      </c>
      <c r="R483" s="3">
        <v>0</v>
      </c>
      <c r="S483" s="3" t="s">
        <v>221</v>
      </c>
      <c r="U483" s="3">
        <v>91</v>
      </c>
      <c r="V483" s="3">
        <v>0</v>
      </c>
      <c r="W483" s="3">
        <v>0</v>
      </c>
    </row>
    <row r="484" spans="1:23" ht="11.25" customHeight="1" x14ac:dyDescent="0.25">
      <c r="A484" s="3" t="s">
        <v>21</v>
      </c>
      <c r="B484" s="3" t="s">
        <v>33</v>
      </c>
      <c r="C484" s="3" t="s">
        <v>42</v>
      </c>
      <c r="D484" s="3" t="s">
        <v>40</v>
      </c>
      <c r="E484" s="3" t="s">
        <v>25</v>
      </c>
      <c r="F484" s="3" t="s">
        <v>60</v>
      </c>
      <c r="G484" s="3" t="s">
        <v>25</v>
      </c>
      <c r="H484" s="3" t="s">
        <v>35</v>
      </c>
      <c r="I484" s="6">
        <v>44501</v>
      </c>
      <c r="J484" s="4">
        <v>16746</v>
      </c>
      <c r="K484" s="4">
        <v>5488.6229085000004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3" t="s">
        <v>57</v>
      </c>
      <c r="R484" s="3">
        <v>0</v>
      </c>
      <c r="S484" s="3" t="s">
        <v>222</v>
      </c>
      <c r="U484" s="3">
        <v>91</v>
      </c>
      <c r="V484" s="3">
        <v>0</v>
      </c>
      <c r="W484" s="3">
        <v>0</v>
      </c>
    </row>
    <row r="485" spans="1:23" ht="11.25" customHeight="1" x14ac:dyDescent="0.25">
      <c r="A485" s="3" t="s">
        <v>21</v>
      </c>
      <c r="B485" s="3" t="s">
        <v>33</v>
      </c>
      <c r="C485" s="3" t="s">
        <v>42</v>
      </c>
      <c r="D485" s="3" t="s">
        <v>40</v>
      </c>
      <c r="E485" s="3" t="s">
        <v>25</v>
      </c>
      <c r="F485" s="3" t="s">
        <v>60</v>
      </c>
      <c r="G485" s="3" t="s">
        <v>25</v>
      </c>
      <c r="H485" s="3" t="s">
        <v>35</v>
      </c>
      <c r="I485" s="6">
        <v>44531</v>
      </c>
      <c r="J485" s="4">
        <v>17504</v>
      </c>
      <c r="K485" s="4">
        <v>6839.5000070400001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3" t="s">
        <v>57</v>
      </c>
      <c r="R485" s="3">
        <v>0</v>
      </c>
      <c r="S485" s="3" t="s">
        <v>223</v>
      </c>
      <c r="U485" s="3">
        <v>91</v>
      </c>
      <c r="V485" s="3">
        <v>0</v>
      </c>
      <c r="W485" s="3">
        <v>0</v>
      </c>
    </row>
    <row r="486" spans="1:23" ht="11.25" customHeight="1" x14ac:dyDescent="0.25">
      <c r="A486" s="3" t="s">
        <v>21</v>
      </c>
      <c r="B486" s="3" t="s">
        <v>33</v>
      </c>
      <c r="C486" s="3" t="s">
        <v>42</v>
      </c>
      <c r="D486" s="3" t="s">
        <v>40</v>
      </c>
      <c r="E486" s="3" t="s">
        <v>25</v>
      </c>
      <c r="F486" s="3" t="s">
        <v>60</v>
      </c>
      <c r="G486" s="3" t="s">
        <v>25</v>
      </c>
      <c r="H486" s="3" t="s">
        <v>35</v>
      </c>
      <c r="I486" s="6">
        <v>44562</v>
      </c>
      <c r="J486" s="4">
        <v>17596</v>
      </c>
      <c r="K486" s="4">
        <v>7490.5000106400003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3" t="s">
        <v>57</v>
      </c>
      <c r="R486" s="3">
        <v>0</v>
      </c>
      <c r="S486" s="3" t="s">
        <v>224</v>
      </c>
      <c r="U486" s="3">
        <v>91</v>
      </c>
      <c r="V486" s="3">
        <v>0</v>
      </c>
      <c r="W486" s="3">
        <v>0</v>
      </c>
    </row>
    <row r="487" spans="1:23" ht="11.25" customHeight="1" x14ac:dyDescent="0.25">
      <c r="A487" s="3" t="s">
        <v>21</v>
      </c>
      <c r="B487" s="3" t="s">
        <v>33</v>
      </c>
      <c r="C487" s="3" t="s">
        <v>42</v>
      </c>
      <c r="D487" s="3" t="s">
        <v>40</v>
      </c>
      <c r="E487" s="3" t="s">
        <v>25</v>
      </c>
      <c r="F487" s="3" t="s">
        <v>60</v>
      </c>
      <c r="G487" s="3" t="s">
        <v>25</v>
      </c>
      <c r="H487" s="3" t="s">
        <v>35</v>
      </c>
      <c r="I487" s="6">
        <v>44593</v>
      </c>
      <c r="J487" s="4">
        <v>18083</v>
      </c>
      <c r="K487" s="4">
        <v>7734.00000516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3" t="s">
        <v>57</v>
      </c>
      <c r="R487" s="3">
        <v>0</v>
      </c>
      <c r="S487" s="3" t="s">
        <v>225</v>
      </c>
      <c r="U487" s="3">
        <v>91</v>
      </c>
      <c r="V487" s="3">
        <v>0</v>
      </c>
      <c r="W487" s="3">
        <v>0</v>
      </c>
    </row>
    <row r="488" spans="1:23" ht="11.25" customHeight="1" x14ac:dyDescent="0.25">
      <c r="A488" s="3" t="s">
        <v>21</v>
      </c>
      <c r="B488" s="3" t="s">
        <v>33</v>
      </c>
      <c r="C488" s="3" t="s">
        <v>42</v>
      </c>
      <c r="D488" s="3" t="s">
        <v>40</v>
      </c>
      <c r="E488" s="3" t="s">
        <v>25</v>
      </c>
      <c r="F488" s="3" t="s">
        <v>60</v>
      </c>
      <c r="G488" s="3" t="s">
        <v>25</v>
      </c>
      <c r="H488" s="3" t="s">
        <v>35</v>
      </c>
      <c r="I488" s="6">
        <v>44621</v>
      </c>
      <c r="J488" s="4">
        <v>18973</v>
      </c>
      <c r="K488" s="4">
        <v>8178.9999904400001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3" t="s">
        <v>57</v>
      </c>
      <c r="R488" s="3">
        <v>0</v>
      </c>
      <c r="S488" s="3" t="s">
        <v>226</v>
      </c>
      <c r="U488" s="3">
        <v>91</v>
      </c>
      <c r="V488" s="3">
        <v>0</v>
      </c>
      <c r="W488" s="3">
        <v>0</v>
      </c>
    </row>
    <row r="489" spans="1:23" ht="11.25" customHeight="1" x14ac:dyDescent="0.25">
      <c r="A489" s="3" t="s">
        <v>56</v>
      </c>
      <c r="B489" s="3" t="s">
        <v>33</v>
      </c>
      <c r="C489" s="3" t="s">
        <v>42</v>
      </c>
      <c r="D489" s="3" t="s">
        <v>40</v>
      </c>
      <c r="E489" s="3" t="s">
        <v>25</v>
      </c>
      <c r="F489" s="3" t="s">
        <v>60</v>
      </c>
      <c r="G489" s="3" t="s">
        <v>25</v>
      </c>
      <c r="H489" s="3" t="s">
        <v>35</v>
      </c>
      <c r="I489" s="6">
        <v>44652</v>
      </c>
      <c r="J489" s="4">
        <v>18973</v>
      </c>
      <c r="K489" s="4">
        <v>8178.9999904400001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3" t="s">
        <v>57</v>
      </c>
      <c r="R489" s="3">
        <v>0</v>
      </c>
      <c r="S489" s="3" t="s">
        <v>227</v>
      </c>
      <c r="U489" s="3">
        <v>91</v>
      </c>
      <c r="V489" s="3">
        <v>0</v>
      </c>
      <c r="W489" s="3">
        <v>0</v>
      </c>
    </row>
    <row r="490" spans="1:23" ht="11.25" customHeight="1" x14ac:dyDescent="0.25">
      <c r="A490" s="3" t="s">
        <v>21</v>
      </c>
      <c r="B490" s="3" t="s">
        <v>33</v>
      </c>
      <c r="C490" s="3" t="s">
        <v>42</v>
      </c>
      <c r="D490" s="3" t="s">
        <v>40</v>
      </c>
      <c r="E490" s="3" t="s">
        <v>25</v>
      </c>
      <c r="F490" s="3" t="s">
        <v>25</v>
      </c>
      <c r="G490" s="3" t="s">
        <v>25</v>
      </c>
      <c r="H490" s="3" t="s">
        <v>36</v>
      </c>
      <c r="I490" s="6">
        <v>44317</v>
      </c>
      <c r="J490" s="4">
        <v>4068</v>
      </c>
      <c r="K490" s="4">
        <v>4068</v>
      </c>
      <c r="L490" s="4">
        <v>1539.5229999999999</v>
      </c>
      <c r="M490" s="4">
        <v>1539.5229999999999</v>
      </c>
      <c r="N490" s="4">
        <v>1539.5229999999999</v>
      </c>
      <c r="O490" s="4">
        <v>1539.5229999999999</v>
      </c>
      <c r="P490" s="4">
        <v>0</v>
      </c>
      <c r="Q490" s="3" t="s">
        <v>26</v>
      </c>
      <c r="R490" s="3">
        <v>0</v>
      </c>
      <c r="S490" s="3" t="s">
        <v>204</v>
      </c>
      <c r="T490" s="3" t="s">
        <v>537</v>
      </c>
      <c r="U490" s="3">
        <v>87</v>
      </c>
      <c r="V490" s="3">
        <v>88</v>
      </c>
      <c r="W490" s="3">
        <v>73</v>
      </c>
    </row>
    <row r="491" spans="1:23" ht="11.25" customHeight="1" x14ac:dyDescent="0.25">
      <c r="A491" s="3" t="s">
        <v>21</v>
      </c>
      <c r="B491" s="3" t="s">
        <v>33</v>
      </c>
      <c r="C491" s="3" t="s">
        <v>42</v>
      </c>
      <c r="D491" s="3" t="s">
        <v>40</v>
      </c>
      <c r="E491" s="3" t="s">
        <v>25</v>
      </c>
      <c r="F491" s="3" t="s">
        <v>25</v>
      </c>
      <c r="G491" s="3" t="s">
        <v>25</v>
      </c>
      <c r="H491" s="3" t="s">
        <v>36</v>
      </c>
      <c r="I491" s="6">
        <v>44348</v>
      </c>
      <c r="J491" s="4">
        <v>3974</v>
      </c>
      <c r="K491" s="4">
        <v>3974</v>
      </c>
      <c r="L491" s="4">
        <v>1430.9970000000001</v>
      </c>
      <c r="M491" s="4">
        <v>1430.9970000000001</v>
      </c>
      <c r="N491" s="4">
        <v>1430.9970000000001</v>
      </c>
      <c r="O491" s="4">
        <v>1430.9970000000001</v>
      </c>
      <c r="P491" s="4">
        <v>0</v>
      </c>
      <c r="Q491" s="3" t="s">
        <v>26</v>
      </c>
      <c r="R491" s="3">
        <v>0</v>
      </c>
      <c r="S491" s="3" t="s">
        <v>205</v>
      </c>
      <c r="T491" s="3" t="s">
        <v>538</v>
      </c>
      <c r="U491" s="3">
        <v>87</v>
      </c>
      <c r="V491" s="3">
        <v>88</v>
      </c>
      <c r="W491" s="3">
        <v>73</v>
      </c>
    </row>
    <row r="492" spans="1:23" ht="11.25" customHeight="1" x14ac:dyDescent="0.25">
      <c r="A492" s="3" t="s">
        <v>21</v>
      </c>
      <c r="B492" s="3" t="s">
        <v>33</v>
      </c>
      <c r="C492" s="3" t="s">
        <v>42</v>
      </c>
      <c r="D492" s="3" t="s">
        <v>40</v>
      </c>
      <c r="E492" s="3" t="s">
        <v>25</v>
      </c>
      <c r="F492" s="3" t="s">
        <v>25</v>
      </c>
      <c r="G492" s="3" t="s">
        <v>25</v>
      </c>
      <c r="H492" s="3" t="s">
        <v>36</v>
      </c>
      <c r="I492" s="6">
        <v>44378</v>
      </c>
      <c r="J492" s="4">
        <v>4241</v>
      </c>
      <c r="K492" s="4">
        <v>4241</v>
      </c>
      <c r="L492" s="4">
        <v>1515.44</v>
      </c>
      <c r="M492" s="4">
        <v>1515.44</v>
      </c>
      <c r="N492" s="4">
        <v>1515.44</v>
      </c>
      <c r="O492" s="4">
        <v>1515.44</v>
      </c>
      <c r="P492" s="4">
        <v>0</v>
      </c>
      <c r="Q492" s="3" t="s">
        <v>26</v>
      </c>
      <c r="R492" s="3">
        <v>0</v>
      </c>
      <c r="S492" s="3" t="s">
        <v>206</v>
      </c>
      <c r="T492" s="3" t="s">
        <v>539</v>
      </c>
      <c r="U492" s="3">
        <v>87</v>
      </c>
      <c r="V492" s="3">
        <v>88</v>
      </c>
      <c r="W492" s="3">
        <v>73</v>
      </c>
    </row>
    <row r="493" spans="1:23" ht="11.25" customHeight="1" x14ac:dyDescent="0.25">
      <c r="A493" s="3" t="s">
        <v>21</v>
      </c>
      <c r="B493" s="3" t="s">
        <v>33</v>
      </c>
      <c r="C493" s="3" t="s">
        <v>42</v>
      </c>
      <c r="D493" s="3" t="s">
        <v>40</v>
      </c>
      <c r="E493" s="3" t="s">
        <v>25</v>
      </c>
      <c r="F493" s="3" t="s">
        <v>25</v>
      </c>
      <c r="G493" s="3" t="s">
        <v>25</v>
      </c>
      <c r="H493" s="3" t="s">
        <v>36</v>
      </c>
      <c r="I493" s="6">
        <v>44409</v>
      </c>
      <c r="J493" s="4">
        <v>4283</v>
      </c>
      <c r="K493" s="4">
        <v>4283</v>
      </c>
      <c r="L493" s="4">
        <v>1633.893</v>
      </c>
      <c r="M493" s="4">
        <v>1633.893</v>
      </c>
      <c r="N493" s="4">
        <v>1633.893</v>
      </c>
      <c r="O493" s="4">
        <v>1633.893</v>
      </c>
      <c r="P493" s="4">
        <v>0</v>
      </c>
      <c r="Q493" s="3" t="s">
        <v>26</v>
      </c>
      <c r="R493" s="3">
        <v>0</v>
      </c>
      <c r="S493" s="3" t="s">
        <v>207</v>
      </c>
      <c r="T493" s="3" t="s">
        <v>540</v>
      </c>
      <c r="U493" s="3">
        <v>87</v>
      </c>
      <c r="V493" s="3">
        <v>88</v>
      </c>
      <c r="W493" s="3">
        <v>73</v>
      </c>
    </row>
    <row r="494" spans="1:23" ht="11.25" customHeight="1" x14ac:dyDescent="0.25">
      <c r="A494" s="3" t="s">
        <v>21</v>
      </c>
      <c r="B494" s="3" t="s">
        <v>33</v>
      </c>
      <c r="C494" s="3" t="s">
        <v>42</v>
      </c>
      <c r="D494" s="3" t="s">
        <v>40</v>
      </c>
      <c r="E494" s="3" t="s">
        <v>25</v>
      </c>
      <c r="F494" s="3" t="s">
        <v>25</v>
      </c>
      <c r="G494" s="3" t="s">
        <v>25</v>
      </c>
      <c r="H494" s="3" t="s">
        <v>36</v>
      </c>
      <c r="I494" s="6">
        <v>44440</v>
      </c>
      <c r="J494" s="4">
        <v>4261</v>
      </c>
      <c r="K494" s="4">
        <v>4261</v>
      </c>
      <c r="L494" s="4">
        <v>1544.037</v>
      </c>
      <c r="M494" s="4">
        <v>1544.037</v>
      </c>
      <c r="N494" s="4">
        <v>1544.037</v>
      </c>
      <c r="O494" s="4">
        <v>1544.037</v>
      </c>
      <c r="P494" s="4">
        <v>0</v>
      </c>
      <c r="Q494" s="3" t="s">
        <v>26</v>
      </c>
      <c r="R494" s="3">
        <v>0</v>
      </c>
      <c r="S494" s="3" t="s">
        <v>208</v>
      </c>
      <c r="T494" s="3" t="s">
        <v>541</v>
      </c>
      <c r="U494" s="3">
        <v>87</v>
      </c>
      <c r="V494" s="3">
        <v>88</v>
      </c>
      <c r="W494" s="3">
        <v>73</v>
      </c>
    </row>
    <row r="495" spans="1:23" ht="11.25" customHeight="1" x14ac:dyDescent="0.25">
      <c r="A495" s="3" t="s">
        <v>21</v>
      </c>
      <c r="B495" s="3" t="s">
        <v>33</v>
      </c>
      <c r="C495" s="3" t="s">
        <v>42</v>
      </c>
      <c r="D495" s="3" t="s">
        <v>40</v>
      </c>
      <c r="E495" s="3" t="s">
        <v>25</v>
      </c>
      <c r="F495" s="3" t="s">
        <v>25</v>
      </c>
      <c r="G495" s="3" t="s">
        <v>25</v>
      </c>
      <c r="H495" s="3" t="s">
        <v>36</v>
      </c>
      <c r="I495" s="6">
        <v>44470</v>
      </c>
      <c r="J495" s="4">
        <v>4264</v>
      </c>
      <c r="K495" s="4">
        <v>4264</v>
      </c>
      <c r="L495" s="4">
        <v>1557.8910000000001</v>
      </c>
      <c r="M495" s="4">
        <v>1557.8910000000001</v>
      </c>
      <c r="N495" s="4">
        <v>1557.8910000000001</v>
      </c>
      <c r="O495" s="4">
        <v>1557.8910000000001</v>
      </c>
      <c r="P495" s="4">
        <v>0</v>
      </c>
      <c r="Q495" s="3" t="s">
        <v>26</v>
      </c>
      <c r="R495" s="3">
        <v>0</v>
      </c>
      <c r="S495" s="3" t="s">
        <v>209</v>
      </c>
      <c r="T495" s="3" t="s">
        <v>542</v>
      </c>
      <c r="U495" s="3">
        <v>87</v>
      </c>
      <c r="V495" s="3">
        <v>88</v>
      </c>
      <c r="W495" s="3">
        <v>73</v>
      </c>
    </row>
    <row r="496" spans="1:23" ht="11.25" customHeight="1" x14ac:dyDescent="0.25">
      <c r="A496" s="3" t="s">
        <v>21</v>
      </c>
      <c r="B496" s="3" t="s">
        <v>33</v>
      </c>
      <c r="C496" s="3" t="s">
        <v>42</v>
      </c>
      <c r="D496" s="3" t="s">
        <v>40</v>
      </c>
      <c r="E496" s="3" t="s">
        <v>25</v>
      </c>
      <c r="F496" s="3" t="s">
        <v>25</v>
      </c>
      <c r="G496" s="3" t="s">
        <v>25</v>
      </c>
      <c r="H496" s="3" t="s">
        <v>36</v>
      </c>
      <c r="I496" s="6">
        <v>44501</v>
      </c>
      <c r="J496" s="4">
        <v>4228</v>
      </c>
      <c r="K496" s="4">
        <v>4228</v>
      </c>
      <c r="L496" s="4">
        <v>1300.816</v>
      </c>
      <c r="M496" s="4">
        <v>1300.816</v>
      </c>
      <c r="N496" s="4">
        <v>1300.816</v>
      </c>
      <c r="O496" s="4">
        <v>1300.816</v>
      </c>
      <c r="P496" s="4">
        <v>0</v>
      </c>
      <c r="Q496" s="3" t="s">
        <v>26</v>
      </c>
      <c r="R496" s="3">
        <v>0</v>
      </c>
      <c r="S496" s="3" t="s">
        <v>210</v>
      </c>
      <c r="T496" s="3" t="s">
        <v>543</v>
      </c>
      <c r="U496" s="3">
        <v>87</v>
      </c>
      <c r="V496" s="3">
        <v>88</v>
      </c>
      <c r="W496" s="3">
        <v>73</v>
      </c>
    </row>
    <row r="497" spans="1:23" ht="11.25" customHeight="1" x14ac:dyDescent="0.25">
      <c r="A497" s="3" t="s">
        <v>21</v>
      </c>
      <c r="B497" s="3" t="s">
        <v>33</v>
      </c>
      <c r="C497" s="3" t="s">
        <v>42</v>
      </c>
      <c r="D497" s="3" t="s">
        <v>40</v>
      </c>
      <c r="E497" s="3" t="s">
        <v>25</v>
      </c>
      <c r="F497" s="3" t="s">
        <v>25</v>
      </c>
      <c r="G497" s="3" t="s">
        <v>25</v>
      </c>
      <c r="H497" s="3" t="s">
        <v>36</v>
      </c>
      <c r="I497" s="6">
        <v>44531</v>
      </c>
      <c r="J497" s="4">
        <v>4294</v>
      </c>
      <c r="K497" s="4">
        <v>4294</v>
      </c>
      <c r="L497" s="4">
        <v>1602.269</v>
      </c>
      <c r="M497" s="4">
        <v>1602.269</v>
      </c>
      <c r="N497" s="4">
        <v>1602.269</v>
      </c>
      <c r="O497" s="4">
        <v>1602.269</v>
      </c>
      <c r="P497" s="4">
        <v>0</v>
      </c>
      <c r="Q497" s="3" t="s">
        <v>26</v>
      </c>
      <c r="R497" s="3">
        <v>0</v>
      </c>
      <c r="S497" s="3" t="s">
        <v>211</v>
      </c>
      <c r="T497" s="3" t="s">
        <v>544</v>
      </c>
      <c r="U497" s="3">
        <v>87</v>
      </c>
      <c r="V497" s="3">
        <v>88</v>
      </c>
      <c r="W497" s="3">
        <v>73</v>
      </c>
    </row>
    <row r="498" spans="1:23" ht="11.25" customHeight="1" x14ac:dyDescent="0.25">
      <c r="A498" s="3" t="s">
        <v>21</v>
      </c>
      <c r="B498" s="3" t="s">
        <v>33</v>
      </c>
      <c r="C498" s="3" t="s">
        <v>42</v>
      </c>
      <c r="D498" s="3" t="s">
        <v>40</v>
      </c>
      <c r="E498" s="3" t="s">
        <v>25</v>
      </c>
      <c r="F498" s="3" t="s">
        <v>25</v>
      </c>
      <c r="G498" s="3" t="s">
        <v>25</v>
      </c>
      <c r="H498" s="3" t="s">
        <v>36</v>
      </c>
      <c r="I498" s="6">
        <v>44562</v>
      </c>
      <c r="J498" s="4">
        <v>4255</v>
      </c>
      <c r="K498" s="4">
        <v>4255</v>
      </c>
      <c r="L498" s="4">
        <v>1529.8979999999999</v>
      </c>
      <c r="M498" s="4">
        <v>1529.8979999999999</v>
      </c>
      <c r="N498" s="4">
        <v>1529.8979999999999</v>
      </c>
      <c r="O498" s="4">
        <v>1529.8979999999999</v>
      </c>
      <c r="P498" s="4">
        <v>0</v>
      </c>
      <c r="Q498" s="3" t="s">
        <v>26</v>
      </c>
      <c r="R498" s="3">
        <v>0</v>
      </c>
      <c r="S498" s="3" t="s">
        <v>212</v>
      </c>
      <c r="T498" s="3" t="s">
        <v>545</v>
      </c>
      <c r="U498" s="3">
        <v>87</v>
      </c>
      <c r="V498" s="3">
        <v>88</v>
      </c>
      <c r="W498" s="3">
        <v>73</v>
      </c>
    </row>
    <row r="499" spans="1:23" ht="11.25" customHeight="1" x14ac:dyDescent="0.25">
      <c r="A499" s="3" t="s">
        <v>21</v>
      </c>
      <c r="B499" s="3" t="s">
        <v>33</v>
      </c>
      <c r="C499" s="3" t="s">
        <v>42</v>
      </c>
      <c r="D499" s="3" t="s">
        <v>40</v>
      </c>
      <c r="E499" s="3" t="s">
        <v>25</v>
      </c>
      <c r="F499" s="3" t="s">
        <v>25</v>
      </c>
      <c r="G499" s="3" t="s">
        <v>25</v>
      </c>
      <c r="H499" s="3" t="s">
        <v>36</v>
      </c>
      <c r="I499" s="6">
        <v>44593</v>
      </c>
      <c r="J499" s="4">
        <v>4207</v>
      </c>
      <c r="K499" s="4">
        <v>4207</v>
      </c>
      <c r="L499" s="4">
        <v>1412.491</v>
      </c>
      <c r="M499" s="4">
        <v>1412.491</v>
      </c>
      <c r="N499" s="4">
        <v>1412.491</v>
      </c>
      <c r="O499" s="4">
        <v>1412.491</v>
      </c>
      <c r="P499" s="4">
        <v>0</v>
      </c>
      <c r="Q499" s="3" t="s">
        <v>26</v>
      </c>
      <c r="R499" s="3">
        <v>0</v>
      </c>
      <c r="S499" s="3" t="s">
        <v>213</v>
      </c>
      <c r="T499" s="3" t="s">
        <v>546</v>
      </c>
      <c r="U499" s="3">
        <v>87</v>
      </c>
      <c r="V499" s="3">
        <v>88</v>
      </c>
      <c r="W499" s="3">
        <v>73</v>
      </c>
    </row>
    <row r="500" spans="1:23" ht="11.25" customHeight="1" x14ac:dyDescent="0.25">
      <c r="A500" s="3" t="s">
        <v>21</v>
      </c>
      <c r="B500" s="3" t="s">
        <v>33</v>
      </c>
      <c r="C500" s="3" t="s">
        <v>42</v>
      </c>
      <c r="D500" s="3" t="s">
        <v>40</v>
      </c>
      <c r="E500" s="3" t="s">
        <v>25</v>
      </c>
      <c r="F500" s="3" t="s">
        <v>25</v>
      </c>
      <c r="G500" s="3" t="s">
        <v>25</v>
      </c>
      <c r="H500" s="3" t="s">
        <v>36</v>
      </c>
      <c r="I500" s="6">
        <v>44621</v>
      </c>
      <c r="J500" s="4">
        <v>4211</v>
      </c>
      <c r="K500" s="4">
        <v>4211</v>
      </c>
      <c r="L500" s="4">
        <v>1638.9929999999999</v>
      </c>
      <c r="M500" s="4">
        <v>1638.9929999999999</v>
      </c>
      <c r="N500" s="4">
        <v>1638.9929999999999</v>
      </c>
      <c r="O500" s="4">
        <v>1638.9929999999999</v>
      </c>
      <c r="P500" s="4">
        <v>0</v>
      </c>
      <c r="Q500" s="3" t="s">
        <v>26</v>
      </c>
      <c r="R500" s="3">
        <v>0</v>
      </c>
      <c r="S500" s="3" t="s">
        <v>214</v>
      </c>
      <c r="T500" s="3" t="s">
        <v>547</v>
      </c>
      <c r="U500" s="3">
        <v>87</v>
      </c>
      <c r="V500" s="3">
        <v>88</v>
      </c>
      <c r="W500" s="3">
        <v>73</v>
      </c>
    </row>
    <row r="501" spans="1:23" ht="11.25" customHeight="1" x14ac:dyDescent="0.25">
      <c r="A501" s="3" t="s">
        <v>56</v>
      </c>
      <c r="B501" s="3" t="s">
        <v>33</v>
      </c>
      <c r="C501" s="3" t="s">
        <v>42</v>
      </c>
      <c r="D501" s="3" t="s">
        <v>40</v>
      </c>
      <c r="E501" s="3" t="s">
        <v>25</v>
      </c>
      <c r="F501" s="3" t="s">
        <v>25</v>
      </c>
      <c r="G501" s="3" t="s">
        <v>25</v>
      </c>
      <c r="H501" s="3" t="s">
        <v>36</v>
      </c>
      <c r="I501" s="6">
        <v>44652</v>
      </c>
      <c r="J501" s="4">
        <v>4211</v>
      </c>
      <c r="K501" s="4">
        <v>4211</v>
      </c>
      <c r="L501" s="4">
        <v>1638.9929999999999</v>
      </c>
      <c r="M501" s="4">
        <v>1638.9929999999999</v>
      </c>
      <c r="N501" s="4">
        <v>1638.9929999999999</v>
      </c>
      <c r="O501" s="4">
        <v>1638.9929999999999</v>
      </c>
      <c r="P501" s="4">
        <v>0</v>
      </c>
      <c r="Q501" s="3" t="s">
        <v>26</v>
      </c>
      <c r="R501" s="3">
        <v>0</v>
      </c>
      <c r="S501" s="3" t="s">
        <v>215</v>
      </c>
      <c r="T501" s="3" t="s">
        <v>548</v>
      </c>
      <c r="U501" s="3">
        <v>87</v>
      </c>
      <c r="V501" s="3">
        <v>88</v>
      </c>
      <c r="W501" s="3">
        <v>73</v>
      </c>
    </row>
    <row r="502" spans="1:23" ht="11.25" customHeight="1" x14ac:dyDescent="0.25">
      <c r="A502" s="3" t="s">
        <v>21</v>
      </c>
      <c r="B502" s="3" t="s">
        <v>33</v>
      </c>
      <c r="C502" s="3" t="s">
        <v>42</v>
      </c>
      <c r="D502" s="3" t="s">
        <v>40</v>
      </c>
      <c r="E502" s="3" t="s">
        <v>25</v>
      </c>
      <c r="F502" s="3" t="s">
        <v>25</v>
      </c>
      <c r="G502" s="3" t="s">
        <v>25</v>
      </c>
      <c r="H502" s="3" t="s">
        <v>35</v>
      </c>
      <c r="I502" s="6">
        <v>44317</v>
      </c>
      <c r="J502" s="4">
        <v>3175</v>
      </c>
      <c r="K502" s="4">
        <v>3175</v>
      </c>
      <c r="L502" s="4">
        <v>132.727</v>
      </c>
      <c r="M502" s="4">
        <v>132.727</v>
      </c>
      <c r="N502" s="4">
        <v>132.727</v>
      </c>
      <c r="O502" s="4">
        <v>132.727</v>
      </c>
      <c r="P502" s="4">
        <v>0</v>
      </c>
      <c r="Q502" s="3" t="s">
        <v>26</v>
      </c>
      <c r="R502" s="3">
        <v>0</v>
      </c>
      <c r="S502" s="3" t="s">
        <v>216</v>
      </c>
      <c r="T502" s="3" t="s">
        <v>549</v>
      </c>
      <c r="U502" s="3">
        <v>91</v>
      </c>
      <c r="V502" s="3">
        <v>88</v>
      </c>
      <c r="W502" s="3">
        <v>72</v>
      </c>
    </row>
    <row r="503" spans="1:23" ht="11.25" customHeight="1" x14ac:dyDescent="0.25">
      <c r="A503" s="3" t="s">
        <v>21</v>
      </c>
      <c r="B503" s="3" t="s">
        <v>33</v>
      </c>
      <c r="C503" s="3" t="s">
        <v>42</v>
      </c>
      <c r="D503" s="3" t="s">
        <v>40</v>
      </c>
      <c r="E503" s="3" t="s">
        <v>25</v>
      </c>
      <c r="F503" s="3" t="s">
        <v>25</v>
      </c>
      <c r="G503" s="3" t="s">
        <v>25</v>
      </c>
      <c r="H503" s="3" t="s">
        <v>35</v>
      </c>
      <c r="I503" s="6">
        <v>44348</v>
      </c>
      <c r="J503" s="4">
        <v>3087</v>
      </c>
      <c r="K503" s="4">
        <v>3087</v>
      </c>
      <c r="L503" s="4">
        <v>121.614</v>
      </c>
      <c r="M503" s="4">
        <v>121.614</v>
      </c>
      <c r="N503" s="4">
        <v>121.614</v>
      </c>
      <c r="O503" s="4">
        <v>121.614</v>
      </c>
      <c r="P503" s="4">
        <v>0</v>
      </c>
      <c r="Q503" s="3" t="s">
        <v>26</v>
      </c>
      <c r="R503" s="3">
        <v>0</v>
      </c>
      <c r="S503" s="3" t="s">
        <v>217</v>
      </c>
      <c r="T503" s="3" t="s">
        <v>550</v>
      </c>
      <c r="U503" s="3">
        <v>91</v>
      </c>
      <c r="V503" s="3">
        <v>88</v>
      </c>
      <c r="W503" s="3">
        <v>72</v>
      </c>
    </row>
    <row r="504" spans="1:23" ht="11.25" customHeight="1" x14ac:dyDescent="0.25">
      <c r="A504" s="3" t="s">
        <v>21</v>
      </c>
      <c r="B504" s="3" t="s">
        <v>33</v>
      </c>
      <c r="C504" s="3" t="s">
        <v>42</v>
      </c>
      <c r="D504" s="3" t="s">
        <v>40</v>
      </c>
      <c r="E504" s="3" t="s">
        <v>25</v>
      </c>
      <c r="F504" s="3" t="s">
        <v>25</v>
      </c>
      <c r="G504" s="3" t="s">
        <v>25</v>
      </c>
      <c r="H504" s="3" t="s">
        <v>35</v>
      </c>
      <c r="I504" s="6">
        <v>44378</v>
      </c>
      <c r="J504" s="4">
        <v>3380</v>
      </c>
      <c r="K504" s="4">
        <v>3380</v>
      </c>
      <c r="L504" s="4">
        <v>132.97300000000001</v>
      </c>
      <c r="M504" s="4">
        <v>132.97300000000001</v>
      </c>
      <c r="N504" s="4">
        <v>132.97300000000001</v>
      </c>
      <c r="O504" s="4">
        <v>132.97300000000001</v>
      </c>
      <c r="P504" s="4">
        <v>0</v>
      </c>
      <c r="Q504" s="3" t="s">
        <v>26</v>
      </c>
      <c r="R504" s="3">
        <v>0</v>
      </c>
      <c r="S504" s="3" t="s">
        <v>218</v>
      </c>
      <c r="T504" s="3" t="s">
        <v>551</v>
      </c>
      <c r="U504" s="3">
        <v>91</v>
      </c>
      <c r="V504" s="3">
        <v>88</v>
      </c>
      <c r="W504" s="3">
        <v>72</v>
      </c>
    </row>
    <row r="505" spans="1:23" ht="11.25" customHeight="1" x14ac:dyDescent="0.25">
      <c r="A505" s="3" t="s">
        <v>21</v>
      </c>
      <c r="B505" s="3" t="s">
        <v>33</v>
      </c>
      <c r="C505" s="3" t="s">
        <v>42</v>
      </c>
      <c r="D505" s="3" t="s">
        <v>40</v>
      </c>
      <c r="E505" s="3" t="s">
        <v>25</v>
      </c>
      <c r="F505" s="3" t="s">
        <v>25</v>
      </c>
      <c r="G505" s="3" t="s">
        <v>25</v>
      </c>
      <c r="H505" s="3" t="s">
        <v>35</v>
      </c>
      <c r="I505" s="6">
        <v>44409</v>
      </c>
      <c r="J505" s="4">
        <v>3368</v>
      </c>
      <c r="K505" s="4">
        <v>3368</v>
      </c>
      <c r="L505" s="4">
        <v>141.18899999999999</v>
      </c>
      <c r="M505" s="4">
        <v>141.18899999999999</v>
      </c>
      <c r="N505" s="4">
        <v>141.18899999999999</v>
      </c>
      <c r="O505" s="4">
        <v>141.18899999999999</v>
      </c>
      <c r="P505" s="4">
        <v>0</v>
      </c>
      <c r="Q505" s="3" t="s">
        <v>26</v>
      </c>
      <c r="R505" s="3">
        <v>0</v>
      </c>
      <c r="S505" s="3" t="s">
        <v>219</v>
      </c>
      <c r="T505" s="3" t="s">
        <v>552</v>
      </c>
      <c r="U505" s="3">
        <v>91</v>
      </c>
      <c r="V505" s="3">
        <v>88</v>
      </c>
      <c r="W505" s="3">
        <v>72</v>
      </c>
    </row>
    <row r="506" spans="1:23" ht="11.25" customHeight="1" x14ac:dyDescent="0.25">
      <c r="A506" s="3" t="s">
        <v>21</v>
      </c>
      <c r="B506" s="3" t="s">
        <v>33</v>
      </c>
      <c r="C506" s="3" t="s">
        <v>42</v>
      </c>
      <c r="D506" s="3" t="s">
        <v>40</v>
      </c>
      <c r="E506" s="3" t="s">
        <v>25</v>
      </c>
      <c r="F506" s="3" t="s">
        <v>25</v>
      </c>
      <c r="G506" s="3" t="s">
        <v>25</v>
      </c>
      <c r="H506" s="3" t="s">
        <v>35</v>
      </c>
      <c r="I506" s="6">
        <v>44440</v>
      </c>
      <c r="J506" s="4">
        <v>3365</v>
      </c>
      <c r="K506" s="4">
        <v>3365</v>
      </c>
      <c r="L506" s="4">
        <v>135.57</v>
      </c>
      <c r="M506" s="4">
        <v>135.57</v>
      </c>
      <c r="N506" s="4">
        <v>135.57</v>
      </c>
      <c r="O506" s="4">
        <v>135.57</v>
      </c>
      <c r="P506" s="4">
        <v>0</v>
      </c>
      <c r="Q506" s="3" t="s">
        <v>26</v>
      </c>
      <c r="R506" s="3">
        <v>0</v>
      </c>
      <c r="S506" s="3" t="s">
        <v>220</v>
      </c>
      <c r="T506" s="3" t="s">
        <v>553</v>
      </c>
      <c r="U506" s="3">
        <v>91</v>
      </c>
      <c r="V506" s="3">
        <v>88</v>
      </c>
      <c r="W506" s="3">
        <v>72</v>
      </c>
    </row>
    <row r="507" spans="1:23" ht="11.25" customHeight="1" x14ac:dyDescent="0.25">
      <c r="A507" s="3" t="s">
        <v>21</v>
      </c>
      <c r="B507" s="3" t="s">
        <v>33</v>
      </c>
      <c r="C507" s="3" t="s">
        <v>42</v>
      </c>
      <c r="D507" s="3" t="s">
        <v>40</v>
      </c>
      <c r="E507" s="3" t="s">
        <v>25</v>
      </c>
      <c r="F507" s="3" t="s">
        <v>25</v>
      </c>
      <c r="G507" s="3" t="s">
        <v>25</v>
      </c>
      <c r="H507" s="3" t="s">
        <v>35</v>
      </c>
      <c r="I507" s="6">
        <v>44470</v>
      </c>
      <c r="J507" s="4">
        <v>3373</v>
      </c>
      <c r="K507" s="4">
        <v>3373</v>
      </c>
      <c r="L507" s="4">
        <v>122.151</v>
      </c>
      <c r="M507" s="4">
        <v>122.151</v>
      </c>
      <c r="N507" s="4">
        <v>122.151</v>
      </c>
      <c r="O507" s="4">
        <v>122.151</v>
      </c>
      <c r="P507" s="4">
        <v>0</v>
      </c>
      <c r="Q507" s="3" t="s">
        <v>26</v>
      </c>
      <c r="R507" s="3">
        <v>0</v>
      </c>
      <c r="S507" s="3" t="s">
        <v>221</v>
      </c>
      <c r="T507" s="3" t="s">
        <v>554</v>
      </c>
      <c r="U507" s="3">
        <v>91</v>
      </c>
      <c r="V507" s="3">
        <v>88</v>
      </c>
      <c r="W507" s="3">
        <v>72</v>
      </c>
    </row>
    <row r="508" spans="1:23" ht="11.25" customHeight="1" x14ac:dyDescent="0.25">
      <c r="A508" s="3" t="s">
        <v>21</v>
      </c>
      <c r="B508" s="3" t="s">
        <v>33</v>
      </c>
      <c r="C508" s="3" t="s">
        <v>42</v>
      </c>
      <c r="D508" s="3" t="s">
        <v>40</v>
      </c>
      <c r="E508" s="3" t="s">
        <v>25</v>
      </c>
      <c r="F508" s="3" t="s">
        <v>25</v>
      </c>
      <c r="G508" s="3" t="s">
        <v>25</v>
      </c>
      <c r="H508" s="3" t="s">
        <v>35</v>
      </c>
      <c r="I508" s="6">
        <v>44501</v>
      </c>
      <c r="J508" s="4">
        <v>3367</v>
      </c>
      <c r="K508" s="4">
        <v>3367</v>
      </c>
      <c r="L508" s="4">
        <v>101.785</v>
      </c>
      <c r="M508" s="4">
        <v>101.785</v>
      </c>
      <c r="N508" s="4">
        <v>101.785</v>
      </c>
      <c r="O508" s="4">
        <v>101.785</v>
      </c>
      <c r="P508" s="4">
        <v>0</v>
      </c>
      <c r="Q508" s="3" t="s">
        <v>26</v>
      </c>
      <c r="R508" s="3">
        <v>0</v>
      </c>
      <c r="S508" s="3" t="s">
        <v>222</v>
      </c>
      <c r="T508" s="3" t="s">
        <v>555</v>
      </c>
      <c r="U508" s="3">
        <v>91</v>
      </c>
      <c r="V508" s="3">
        <v>88</v>
      </c>
      <c r="W508" s="3">
        <v>72</v>
      </c>
    </row>
    <row r="509" spans="1:23" ht="11.25" customHeight="1" x14ac:dyDescent="0.25">
      <c r="A509" s="3" t="s">
        <v>21</v>
      </c>
      <c r="B509" s="3" t="s">
        <v>33</v>
      </c>
      <c r="C509" s="3" t="s">
        <v>42</v>
      </c>
      <c r="D509" s="3" t="s">
        <v>40</v>
      </c>
      <c r="E509" s="3" t="s">
        <v>25</v>
      </c>
      <c r="F509" s="3" t="s">
        <v>25</v>
      </c>
      <c r="G509" s="3" t="s">
        <v>25</v>
      </c>
      <c r="H509" s="3" t="s">
        <v>35</v>
      </c>
      <c r="I509" s="6">
        <v>44531</v>
      </c>
      <c r="J509" s="4">
        <v>3405</v>
      </c>
      <c r="K509" s="4">
        <v>3405</v>
      </c>
      <c r="L509" s="4">
        <v>142.667</v>
      </c>
      <c r="M509" s="4">
        <v>142.667</v>
      </c>
      <c r="N509" s="4">
        <v>142.667</v>
      </c>
      <c r="O509" s="4">
        <v>142.667</v>
      </c>
      <c r="P509" s="4">
        <v>0</v>
      </c>
      <c r="Q509" s="3" t="s">
        <v>26</v>
      </c>
      <c r="R509" s="3">
        <v>0</v>
      </c>
      <c r="S509" s="3" t="s">
        <v>223</v>
      </c>
      <c r="T509" s="3" t="s">
        <v>556</v>
      </c>
      <c r="U509" s="3">
        <v>91</v>
      </c>
      <c r="V509" s="3">
        <v>88</v>
      </c>
      <c r="W509" s="3">
        <v>72</v>
      </c>
    </row>
    <row r="510" spans="1:23" ht="11.25" customHeight="1" x14ac:dyDescent="0.25">
      <c r="A510" s="3" t="s">
        <v>21</v>
      </c>
      <c r="B510" s="3" t="s">
        <v>33</v>
      </c>
      <c r="C510" s="3" t="s">
        <v>42</v>
      </c>
      <c r="D510" s="3" t="s">
        <v>40</v>
      </c>
      <c r="E510" s="3" t="s">
        <v>25</v>
      </c>
      <c r="F510" s="3" t="s">
        <v>25</v>
      </c>
      <c r="G510" s="3" t="s">
        <v>25</v>
      </c>
      <c r="H510" s="3" t="s">
        <v>35</v>
      </c>
      <c r="I510" s="6">
        <v>44562</v>
      </c>
      <c r="J510" s="4">
        <v>3365</v>
      </c>
      <c r="K510" s="4">
        <v>3365</v>
      </c>
      <c r="L510" s="4">
        <v>125.032</v>
      </c>
      <c r="M510" s="4">
        <v>125.032</v>
      </c>
      <c r="N510" s="4">
        <v>125.032</v>
      </c>
      <c r="O510" s="4">
        <v>125.032</v>
      </c>
      <c r="P510" s="4">
        <v>0</v>
      </c>
      <c r="Q510" s="3" t="s">
        <v>26</v>
      </c>
      <c r="R510" s="3">
        <v>0</v>
      </c>
      <c r="S510" s="3" t="s">
        <v>224</v>
      </c>
      <c r="T510" s="3" t="s">
        <v>557</v>
      </c>
      <c r="U510" s="3">
        <v>91</v>
      </c>
      <c r="V510" s="3">
        <v>88</v>
      </c>
      <c r="W510" s="3">
        <v>72</v>
      </c>
    </row>
    <row r="511" spans="1:23" ht="11.25" customHeight="1" x14ac:dyDescent="0.25">
      <c r="A511" s="3" t="s">
        <v>21</v>
      </c>
      <c r="B511" s="3" t="s">
        <v>33</v>
      </c>
      <c r="C511" s="3" t="s">
        <v>42</v>
      </c>
      <c r="D511" s="3" t="s">
        <v>40</v>
      </c>
      <c r="E511" s="3" t="s">
        <v>25</v>
      </c>
      <c r="F511" s="3" t="s">
        <v>25</v>
      </c>
      <c r="G511" s="3" t="s">
        <v>25</v>
      </c>
      <c r="H511" s="3" t="s">
        <v>35</v>
      </c>
      <c r="I511" s="6">
        <v>44593</v>
      </c>
      <c r="J511" s="4">
        <v>3330</v>
      </c>
      <c r="K511" s="4">
        <v>3330</v>
      </c>
      <c r="L511" s="4">
        <v>121.858</v>
      </c>
      <c r="M511" s="4">
        <v>121.858</v>
      </c>
      <c r="N511" s="4">
        <v>121.858</v>
      </c>
      <c r="O511" s="4">
        <v>121.858</v>
      </c>
      <c r="P511" s="4">
        <v>0</v>
      </c>
      <c r="Q511" s="3" t="s">
        <v>26</v>
      </c>
      <c r="R511" s="3">
        <v>0</v>
      </c>
      <c r="S511" s="3" t="s">
        <v>225</v>
      </c>
      <c r="T511" s="3" t="s">
        <v>558</v>
      </c>
      <c r="U511" s="3">
        <v>91</v>
      </c>
      <c r="V511" s="3">
        <v>88</v>
      </c>
      <c r="W511" s="3">
        <v>72</v>
      </c>
    </row>
    <row r="512" spans="1:23" ht="11.25" customHeight="1" x14ac:dyDescent="0.25">
      <c r="A512" s="3" t="s">
        <v>21</v>
      </c>
      <c r="B512" s="3" t="s">
        <v>33</v>
      </c>
      <c r="C512" s="3" t="s">
        <v>42</v>
      </c>
      <c r="D512" s="3" t="s">
        <v>40</v>
      </c>
      <c r="E512" s="3" t="s">
        <v>25</v>
      </c>
      <c r="F512" s="3" t="s">
        <v>25</v>
      </c>
      <c r="G512" s="3" t="s">
        <v>25</v>
      </c>
      <c r="H512" s="3" t="s">
        <v>35</v>
      </c>
      <c r="I512" s="6">
        <v>44621</v>
      </c>
      <c r="J512" s="4">
        <v>3325</v>
      </c>
      <c r="K512" s="4">
        <v>3325</v>
      </c>
      <c r="L512" s="4">
        <v>132.77099999999999</v>
      </c>
      <c r="M512" s="4">
        <v>132.77099999999999</v>
      </c>
      <c r="N512" s="4">
        <v>132.77099999999999</v>
      </c>
      <c r="O512" s="4">
        <v>132.77099999999999</v>
      </c>
      <c r="P512" s="4">
        <v>0</v>
      </c>
      <c r="Q512" s="3" t="s">
        <v>26</v>
      </c>
      <c r="R512" s="3">
        <v>0</v>
      </c>
      <c r="S512" s="3" t="s">
        <v>226</v>
      </c>
      <c r="T512" s="3" t="s">
        <v>559</v>
      </c>
      <c r="U512" s="3">
        <v>91</v>
      </c>
      <c r="V512" s="3">
        <v>88</v>
      </c>
      <c r="W512" s="3">
        <v>72</v>
      </c>
    </row>
    <row r="513" spans="1:23" ht="11.25" customHeight="1" x14ac:dyDescent="0.25">
      <c r="A513" s="3" t="s">
        <v>56</v>
      </c>
      <c r="B513" s="3" t="s">
        <v>33</v>
      </c>
      <c r="C513" s="3" t="s">
        <v>42</v>
      </c>
      <c r="D513" s="3" t="s">
        <v>40</v>
      </c>
      <c r="E513" s="3" t="s">
        <v>25</v>
      </c>
      <c r="F513" s="3" t="s">
        <v>25</v>
      </c>
      <c r="G513" s="3" t="s">
        <v>25</v>
      </c>
      <c r="H513" s="3" t="s">
        <v>35</v>
      </c>
      <c r="I513" s="6">
        <v>44652</v>
      </c>
      <c r="J513" s="4">
        <v>3325</v>
      </c>
      <c r="K513" s="4">
        <v>3325</v>
      </c>
      <c r="L513" s="4">
        <v>132.77099999999999</v>
      </c>
      <c r="M513" s="4">
        <v>132.77099999999999</v>
      </c>
      <c r="N513" s="4">
        <v>132.77099999999999</v>
      </c>
      <c r="O513" s="4">
        <v>132.77099999999999</v>
      </c>
      <c r="P513" s="4">
        <v>0</v>
      </c>
      <c r="Q513" s="3" t="s">
        <v>26</v>
      </c>
      <c r="R513" s="3">
        <v>0</v>
      </c>
      <c r="S513" s="3" t="s">
        <v>227</v>
      </c>
      <c r="T513" s="3" t="s">
        <v>560</v>
      </c>
      <c r="U513" s="3">
        <v>91</v>
      </c>
      <c r="V513" s="3">
        <v>88</v>
      </c>
      <c r="W513" s="3">
        <v>72</v>
      </c>
    </row>
    <row r="514" spans="1:23" ht="11.25" customHeight="1" x14ac:dyDescent="0.25">
      <c r="A514" s="3" t="s">
        <v>21</v>
      </c>
      <c r="B514" s="3" t="s">
        <v>33</v>
      </c>
      <c r="C514" s="3" t="s">
        <v>42</v>
      </c>
      <c r="D514" s="3" t="s">
        <v>46</v>
      </c>
      <c r="E514" s="3" t="s">
        <v>25</v>
      </c>
      <c r="F514" s="3" t="s">
        <v>25</v>
      </c>
      <c r="G514" s="3" t="s">
        <v>25</v>
      </c>
      <c r="H514" s="3" t="s">
        <v>36</v>
      </c>
      <c r="I514" s="6">
        <v>44317</v>
      </c>
      <c r="J514" s="4">
        <v>1088</v>
      </c>
      <c r="K514" s="4">
        <v>1088</v>
      </c>
      <c r="L514" s="4">
        <v>194.16499999999999</v>
      </c>
      <c r="M514" s="4">
        <v>194.16499999999999</v>
      </c>
      <c r="N514" s="4">
        <v>194.16499999999999</v>
      </c>
      <c r="O514" s="4">
        <v>194.16499999999999</v>
      </c>
      <c r="P514" s="4">
        <v>0</v>
      </c>
      <c r="Q514" s="3" t="s">
        <v>26</v>
      </c>
      <c r="R514" s="3">
        <v>0</v>
      </c>
      <c r="S514" s="3" t="s">
        <v>204</v>
      </c>
      <c r="T514" s="3" t="s">
        <v>537</v>
      </c>
      <c r="U514" s="3">
        <v>87</v>
      </c>
      <c r="V514" s="3">
        <v>88</v>
      </c>
      <c r="W514" s="3">
        <v>73</v>
      </c>
    </row>
    <row r="515" spans="1:23" ht="11.25" customHeight="1" x14ac:dyDescent="0.25">
      <c r="A515" s="3" t="s">
        <v>21</v>
      </c>
      <c r="B515" s="3" t="s">
        <v>33</v>
      </c>
      <c r="C515" s="3" t="s">
        <v>42</v>
      </c>
      <c r="D515" s="3" t="s">
        <v>46</v>
      </c>
      <c r="E515" s="3" t="s">
        <v>25</v>
      </c>
      <c r="F515" s="3" t="s">
        <v>25</v>
      </c>
      <c r="G515" s="3" t="s">
        <v>25</v>
      </c>
      <c r="H515" s="3" t="s">
        <v>36</v>
      </c>
      <c r="I515" s="6">
        <v>44348</v>
      </c>
      <c r="J515" s="4">
        <v>1088</v>
      </c>
      <c r="K515" s="4">
        <v>1088</v>
      </c>
      <c r="L515" s="4">
        <v>180.59</v>
      </c>
      <c r="M515" s="4">
        <v>180.59</v>
      </c>
      <c r="N515" s="4">
        <v>180.59</v>
      </c>
      <c r="O515" s="4">
        <v>180.59</v>
      </c>
      <c r="P515" s="4">
        <v>0</v>
      </c>
      <c r="Q515" s="3" t="s">
        <v>26</v>
      </c>
      <c r="R515" s="3">
        <v>0</v>
      </c>
      <c r="S515" s="3" t="s">
        <v>205</v>
      </c>
      <c r="T515" s="3" t="s">
        <v>538</v>
      </c>
      <c r="U515" s="3">
        <v>87</v>
      </c>
      <c r="V515" s="3">
        <v>88</v>
      </c>
      <c r="W515" s="3">
        <v>73</v>
      </c>
    </row>
    <row r="516" spans="1:23" ht="11.25" customHeight="1" x14ac:dyDescent="0.25">
      <c r="A516" s="3" t="s">
        <v>21</v>
      </c>
      <c r="B516" s="3" t="s">
        <v>33</v>
      </c>
      <c r="C516" s="3" t="s">
        <v>42</v>
      </c>
      <c r="D516" s="3" t="s">
        <v>46</v>
      </c>
      <c r="E516" s="3" t="s">
        <v>25</v>
      </c>
      <c r="F516" s="3" t="s">
        <v>25</v>
      </c>
      <c r="G516" s="3" t="s">
        <v>25</v>
      </c>
      <c r="H516" s="3" t="s">
        <v>36</v>
      </c>
      <c r="I516" s="6">
        <v>44378</v>
      </c>
      <c r="J516" s="4">
        <v>1088</v>
      </c>
      <c r="K516" s="4">
        <v>1088</v>
      </c>
      <c r="L516" s="4">
        <v>182.44</v>
      </c>
      <c r="M516" s="4">
        <v>182.44</v>
      </c>
      <c r="N516" s="4">
        <v>182.44</v>
      </c>
      <c r="O516" s="4">
        <v>182.44</v>
      </c>
      <c r="P516" s="4">
        <v>0</v>
      </c>
      <c r="Q516" s="3" t="s">
        <v>26</v>
      </c>
      <c r="R516" s="3">
        <v>0</v>
      </c>
      <c r="S516" s="3" t="s">
        <v>206</v>
      </c>
      <c r="T516" s="3" t="s">
        <v>539</v>
      </c>
      <c r="U516" s="3">
        <v>87</v>
      </c>
      <c r="V516" s="3">
        <v>88</v>
      </c>
      <c r="W516" s="3">
        <v>73</v>
      </c>
    </row>
    <row r="517" spans="1:23" ht="11.25" customHeight="1" x14ac:dyDescent="0.25">
      <c r="A517" s="3" t="s">
        <v>21</v>
      </c>
      <c r="B517" s="3" t="s">
        <v>33</v>
      </c>
      <c r="C517" s="3" t="s">
        <v>42</v>
      </c>
      <c r="D517" s="3" t="s">
        <v>46</v>
      </c>
      <c r="E517" s="3" t="s">
        <v>25</v>
      </c>
      <c r="F517" s="3" t="s">
        <v>25</v>
      </c>
      <c r="G517" s="3" t="s">
        <v>25</v>
      </c>
      <c r="H517" s="3" t="s">
        <v>36</v>
      </c>
      <c r="I517" s="6">
        <v>44409</v>
      </c>
      <c r="J517" s="4">
        <v>1088</v>
      </c>
      <c r="K517" s="4">
        <v>1088</v>
      </c>
      <c r="L517" s="4">
        <v>192.91</v>
      </c>
      <c r="M517" s="4">
        <v>192.91</v>
      </c>
      <c r="N517" s="4">
        <v>192.91</v>
      </c>
      <c r="O517" s="4">
        <v>192.91</v>
      </c>
      <c r="P517" s="4">
        <v>0</v>
      </c>
      <c r="Q517" s="3" t="s">
        <v>26</v>
      </c>
      <c r="R517" s="3">
        <v>0</v>
      </c>
      <c r="S517" s="3" t="s">
        <v>207</v>
      </c>
      <c r="T517" s="3" t="s">
        <v>540</v>
      </c>
      <c r="U517" s="3">
        <v>87</v>
      </c>
      <c r="V517" s="3">
        <v>88</v>
      </c>
      <c r="W517" s="3">
        <v>73</v>
      </c>
    </row>
    <row r="518" spans="1:23" ht="11.25" customHeight="1" x14ac:dyDescent="0.25">
      <c r="A518" s="3" t="s">
        <v>28</v>
      </c>
      <c r="B518" s="3" t="s">
        <v>33</v>
      </c>
      <c r="C518" s="3" t="s">
        <v>42</v>
      </c>
      <c r="D518" s="3" t="s">
        <v>46</v>
      </c>
      <c r="E518" s="3" t="s">
        <v>25</v>
      </c>
      <c r="F518" s="3" t="s">
        <v>25</v>
      </c>
      <c r="G518" s="3" t="s">
        <v>25</v>
      </c>
      <c r="H518" s="3" t="s">
        <v>36</v>
      </c>
      <c r="I518" s="6">
        <v>44409</v>
      </c>
      <c r="J518" s="4">
        <v>312</v>
      </c>
      <c r="K518" s="4">
        <v>312</v>
      </c>
      <c r="L518" s="4">
        <v>44.753</v>
      </c>
      <c r="M518" s="4">
        <v>44.753</v>
      </c>
      <c r="N518" s="4">
        <v>44.753</v>
      </c>
      <c r="O518" s="4">
        <v>44.753</v>
      </c>
      <c r="P518" s="4">
        <v>0</v>
      </c>
      <c r="Q518" s="3" t="s">
        <v>26</v>
      </c>
      <c r="R518" s="3">
        <v>0</v>
      </c>
      <c r="S518" s="3" t="s">
        <v>207</v>
      </c>
      <c r="T518" s="3" t="s">
        <v>540</v>
      </c>
      <c r="U518" s="3">
        <v>87</v>
      </c>
      <c r="V518" s="3">
        <v>88</v>
      </c>
      <c r="W518" s="3">
        <v>73</v>
      </c>
    </row>
    <row r="519" spans="1:23" ht="11.25" customHeight="1" x14ac:dyDescent="0.25">
      <c r="A519" s="3" t="s">
        <v>21</v>
      </c>
      <c r="B519" s="3" t="s">
        <v>33</v>
      </c>
      <c r="C519" s="3" t="s">
        <v>42</v>
      </c>
      <c r="D519" s="3" t="s">
        <v>46</v>
      </c>
      <c r="E519" s="3" t="s">
        <v>25</v>
      </c>
      <c r="F519" s="3" t="s">
        <v>25</v>
      </c>
      <c r="G519" s="3" t="s">
        <v>25</v>
      </c>
      <c r="H519" s="3" t="s">
        <v>36</v>
      </c>
      <c r="I519" s="6">
        <v>44440</v>
      </c>
      <c r="J519" s="4">
        <v>1088</v>
      </c>
      <c r="K519" s="4">
        <v>1088</v>
      </c>
      <c r="L519" s="4">
        <v>206.185</v>
      </c>
      <c r="M519" s="4">
        <v>206.185</v>
      </c>
      <c r="N519" s="4">
        <v>206.185</v>
      </c>
      <c r="O519" s="4">
        <v>206.185</v>
      </c>
      <c r="P519" s="4">
        <v>0</v>
      </c>
      <c r="Q519" s="3" t="s">
        <v>26</v>
      </c>
      <c r="R519" s="3">
        <v>0</v>
      </c>
      <c r="S519" s="3" t="s">
        <v>208</v>
      </c>
      <c r="T519" s="3" t="s">
        <v>541</v>
      </c>
      <c r="U519" s="3">
        <v>87</v>
      </c>
      <c r="V519" s="3">
        <v>88</v>
      </c>
      <c r="W519" s="3">
        <v>73</v>
      </c>
    </row>
    <row r="520" spans="1:23" ht="11.25" customHeight="1" x14ac:dyDescent="0.25">
      <c r="A520" s="3" t="s">
        <v>28</v>
      </c>
      <c r="B520" s="3" t="s">
        <v>33</v>
      </c>
      <c r="C520" s="3" t="s">
        <v>42</v>
      </c>
      <c r="D520" s="3" t="s">
        <v>46</v>
      </c>
      <c r="E520" s="3" t="s">
        <v>25</v>
      </c>
      <c r="F520" s="3" t="s">
        <v>25</v>
      </c>
      <c r="G520" s="3" t="s">
        <v>25</v>
      </c>
      <c r="H520" s="3" t="s">
        <v>36</v>
      </c>
      <c r="I520" s="6">
        <v>44440</v>
      </c>
      <c r="J520" s="4">
        <v>312</v>
      </c>
      <c r="K520" s="4">
        <v>312</v>
      </c>
      <c r="L520" s="4">
        <v>48.06</v>
      </c>
      <c r="M520" s="4">
        <v>48.06</v>
      </c>
      <c r="N520" s="4">
        <v>48.06</v>
      </c>
      <c r="O520" s="4">
        <v>48.06</v>
      </c>
      <c r="P520" s="4">
        <v>0</v>
      </c>
      <c r="Q520" s="3" t="s">
        <v>26</v>
      </c>
      <c r="R520" s="3">
        <v>0</v>
      </c>
      <c r="S520" s="3" t="s">
        <v>208</v>
      </c>
      <c r="T520" s="3" t="s">
        <v>541</v>
      </c>
      <c r="U520" s="3">
        <v>87</v>
      </c>
      <c r="V520" s="3">
        <v>88</v>
      </c>
      <c r="W520" s="3">
        <v>73</v>
      </c>
    </row>
    <row r="521" spans="1:23" ht="11.25" customHeight="1" x14ac:dyDescent="0.25">
      <c r="A521" s="3" t="s">
        <v>21</v>
      </c>
      <c r="B521" s="3" t="s">
        <v>33</v>
      </c>
      <c r="C521" s="3" t="s">
        <v>42</v>
      </c>
      <c r="D521" s="3" t="s">
        <v>46</v>
      </c>
      <c r="E521" s="3" t="s">
        <v>25</v>
      </c>
      <c r="F521" s="3" t="s">
        <v>25</v>
      </c>
      <c r="G521" s="3" t="s">
        <v>25</v>
      </c>
      <c r="H521" s="3" t="s">
        <v>36</v>
      </c>
      <c r="I521" s="6">
        <v>44470</v>
      </c>
      <c r="J521" s="4">
        <v>1095</v>
      </c>
      <c r="K521" s="4">
        <v>1095</v>
      </c>
      <c r="L521" s="4">
        <v>222.536</v>
      </c>
      <c r="M521" s="4">
        <v>222.536</v>
      </c>
      <c r="N521" s="4">
        <v>222.536</v>
      </c>
      <c r="O521" s="4">
        <v>222.536</v>
      </c>
      <c r="P521" s="4">
        <v>0</v>
      </c>
      <c r="Q521" s="3" t="s">
        <v>26</v>
      </c>
      <c r="R521" s="3">
        <v>0</v>
      </c>
      <c r="S521" s="3" t="s">
        <v>209</v>
      </c>
      <c r="T521" s="3" t="s">
        <v>542</v>
      </c>
      <c r="U521" s="3">
        <v>87</v>
      </c>
      <c r="V521" s="3">
        <v>88</v>
      </c>
      <c r="W521" s="3">
        <v>73</v>
      </c>
    </row>
    <row r="522" spans="1:23" ht="11.25" customHeight="1" x14ac:dyDescent="0.25">
      <c r="A522" s="3" t="s">
        <v>28</v>
      </c>
      <c r="B522" s="3" t="s">
        <v>33</v>
      </c>
      <c r="C522" s="3" t="s">
        <v>42</v>
      </c>
      <c r="D522" s="3" t="s">
        <v>46</v>
      </c>
      <c r="E522" s="3" t="s">
        <v>25</v>
      </c>
      <c r="F522" s="3" t="s">
        <v>25</v>
      </c>
      <c r="G522" s="3" t="s">
        <v>25</v>
      </c>
      <c r="H522" s="3" t="s">
        <v>36</v>
      </c>
      <c r="I522" s="6">
        <v>44470</v>
      </c>
      <c r="J522" s="4">
        <v>312</v>
      </c>
      <c r="K522" s="4">
        <v>312</v>
      </c>
      <c r="L522" s="4">
        <v>52.655000000000001</v>
      </c>
      <c r="M522" s="4">
        <v>52.655000000000001</v>
      </c>
      <c r="N522" s="4">
        <v>52.655000000000001</v>
      </c>
      <c r="O522" s="4">
        <v>52.655000000000001</v>
      </c>
      <c r="P522" s="4">
        <v>0</v>
      </c>
      <c r="Q522" s="3" t="s">
        <v>26</v>
      </c>
      <c r="R522" s="3">
        <v>0</v>
      </c>
      <c r="S522" s="3" t="s">
        <v>209</v>
      </c>
      <c r="T522" s="3" t="s">
        <v>542</v>
      </c>
      <c r="U522" s="3">
        <v>87</v>
      </c>
      <c r="V522" s="3">
        <v>88</v>
      </c>
      <c r="W522" s="3">
        <v>73</v>
      </c>
    </row>
    <row r="523" spans="1:23" ht="11.25" customHeight="1" x14ac:dyDescent="0.25">
      <c r="A523" s="3" t="s">
        <v>21</v>
      </c>
      <c r="B523" s="3" t="s">
        <v>33</v>
      </c>
      <c r="C523" s="3" t="s">
        <v>42</v>
      </c>
      <c r="D523" s="3" t="s">
        <v>46</v>
      </c>
      <c r="E523" s="3" t="s">
        <v>25</v>
      </c>
      <c r="F523" s="3" t="s">
        <v>25</v>
      </c>
      <c r="G523" s="3" t="s">
        <v>25</v>
      </c>
      <c r="H523" s="3" t="s">
        <v>36</v>
      </c>
      <c r="I523" s="6">
        <v>44501</v>
      </c>
      <c r="J523" s="4">
        <v>1094</v>
      </c>
      <c r="K523" s="4">
        <v>1094</v>
      </c>
      <c r="L523" s="4">
        <v>228.05699999999999</v>
      </c>
      <c r="M523" s="4">
        <v>228.05699999999999</v>
      </c>
      <c r="N523" s="4">
        <v>228.05699999999999</v>
      </c>
      <c r="O523" s="4">
        <v>228.05699999999999</v>
      </c>
      <c r="P523" s="4">
        <v>0</v>
      </c>
      <c r="Q523" s="3" t="s">
        <v>26</v>
      </c>
      <c r="R523" s="3">
        <v>0</v>
      </c>
      <c r="S523" s="3" t="s">
        <v>210</v>
      </c>
      <c r="T523" s="3" t="s">
        <v>543</v>
      </c>
      <c r="U523" s="3">
        <v>87</v>
      </c>
      <c r="V523" s="3">
        <v>88</v>
      </c>
      <c r="W523" s="3">
        <v>73</v>
      </c>
    </row>
    <row r="524" spans="1:23" ht="11.25" customHeight="1" x14ac:dyDescent="0.25">
      <c r="A524" s="3" t="s">
        <v>28</v>
      </c>
      <c r="B524" s="3" t="s">
        <v>33</v>
      </c>
      <c r="C524" s="3" t="s">
        <v>42</v>
      </c>
      <c r="D524" s="3" t="s">
        <v>46</v>
      </c>
      <c r="E524" s="3" t="s">
        <v>25</v>
      </c>
      <c r="F524" s="3" t="s">
        <v>25</v>
      </c>
      <c r="G524" s="3" t="s">
        <v>25</v>
      </c>
      <c r="H524" s="3" t="s">
        <v>36</v>
      </c>
      <c r="I524" s="6">
        <v>44501</v>
      </c>
      <c r="J524" s="4">
        <v>312</v>
      </c>
      <c r="K524" s="4">
        <v>312</v>
      </c>
      <c r="L524" s="4">
        <v>52.478000000000002</v>
      </c>
      <c r="M524" s="4">
        <v>52.478000000000002</v>
      </c>
      <c r="N524" s="4">
        <v>52.478000000000002</v>
      </c>
      <c r="O524" s="4">
        <v>52.478000000000002</v>
      </c>
      <c r="P524" s="4">
        <v>0</v>
      </c>
      <c r="Q524" s="3" t="s">
        <v>26</v>
      </c>
      <c r="R524" s="3">
        <v>0</v>
      </c>
      <c r="S524" s="3" t="s">
        <v>210</v>
      </c>
      <c r="T524" s="3" t="s">
        <v>543</v>
      </c>
      <c r="U524" s="3">
        <v>87</v>
      </c>
      <c r="V524" s="3">
        <v>88</v>
      </c>
      <c r="W524" s="3">
        <v>73</v>
      </c>
    </row>
    <row r="525" spans="1:23" ht="11.25" customHeight="1" x14ac:dyDescent="0.25">
      <c r="A525" s="3" t="s">
        <v>21</v>
      </c>
      <c r="B525" s="3" t="s">
        <v>33</v>
      </c>
      <c r="C525" s="3" t="s">
        <v>42</v>
      </c>
      <c r="D525" s="3" t="s">
        <v>46</v>
      </c>
      <c r="E525" s="3" t="s">
        <v>25</v>
      </c>
      <c r="F525" s="3" t="s">
        <v>25</v>
      </c>
      <c r="G525" s="3" t="s">
        <v>25</v>
      </c>
      <c r="H525" s="3" t="s">
        <v>36</v>
      </c>
      <c r="I525" s="6">
        <v>44531</v>
      </c>
      <c r="J525" s="4">
        <v>1097</v>
      </c>
      <c r="K525" s="4">
        <v>1097</v>
      </c>
      <c r="L525" s="4">
        <v>226.24</v>
      </c>
      <c r="M525" s="4">
        <v>226.24</v>
      </c>
      <c r="N525" s="4">
        <v>226.24</v>
      </c>
      <c r="O525" s="4">
        <v>226.24</v>
      </c>
      <c r="P525" s="4">
        <v>0</v>
      </c>
      <c r="Q525" s="3" t="s">
        <v>26</v>
      </c>
      <c r="R525" s="3">
        <v>0</v>
      </c>
      <c r="S525" s="3" t="s">
        <v>211</v>
      </c>
      <c r="T525" s="3" t="s">
        <v>544</v>
      </c>
      <c r="U525" s="3">
        <v>87</v>
      </c>
      <c r="V525" s="3">
        <v>88</v>
      </c>
      <c r="W525" s="3">
        <v>73</v>
      </c>
    </row>
    <row r="526" spans="1:23" ht="11.25" customHeight="1" x14ac:dyDescent="0.25">
      <c r="A526" s="3" t="s">
        <v>28</v>
      </c>
      <c r="B526" s="3" t="s">
        <v>33</v>
      </c>
      <c r="C526" s="3" t="s">
        <v>42</v>
      </c>
      <c r="D526" s="3" t="s">
        <v>46</v>
      </c>
      <c r="E526" s="3" t="s">
        <v>25</v>
      </c>
      <c r="F526" s="3" t="s">
        <v>25</v>
      </c>
      <c r="G526" s="3" t="s">
        <v>25</v>
      </c>
      <c r="H526" s="3" t="s">
        <v>36</v>
      </c>
      <c r="I526" s="6">
        <v>44531</v>
      </c>
      <c r="J526" s="4">
        <v>312</v>
      </c>
      <c r="K526" s="4">
        <v>312</v>
      </c>
      <c r="L526" s="4">
        <v>46.518000000000001</v>
      </c>
      <c r="M526" s="4">
        <v>46.518000000000001</v>
      </c>
      <c r="N526" s="4">
        <v>46.518000000000001</v>
      </c>
      <c r="O526" s="4">
        <v>46.518000000000001</v>
      </c>
      <c r="P526" s="4">
        <v>0</v>
      </c>
      <c r="Q526" s="3" t="s">
        <v>26</v>
      </c>
      <c r="R526" s="3">
        <v>0</v>
      </c>
      <c r="S526" s="3" t="s">
        <v>211</v>
      </c>
      <c r="T526" s="3" t="s">
        <v>544</v>
      </c>
      <c r="U526" s="3">
        <v>87</v>
      </c>
      <c r="V526" s="3">
        <v>88</v>
      </c>
      <c r="W526" s="3">
        <v>73</v>
      </c>
    </row>
    <row r="527" spans="1:23" ht="11.25" customHeight="1" x14ac:dyDescent="0.25">
      <c r="A527" s="3" t="s">
        <v>21</v>
      </c>
      <c r="B527" s="3" t="s">
        <v>33</v>
      </c>
      <c r="C527" s="3" t="s">
        <v>42</v>
      </c>
      <c r="D527" s="3" t="s">
        <v>46</v>
      </c>
      <c r="E527" s="3" t="s">
        <v>25</v>
      </c>
      <c r="F527" s="3" t="s">
        <v>25</v>
      </c>
      <c r="G527" s="3" t="s">
        <v>25</v>
      </c>
      <c r="H527" s="3" t="s">
        <v>36</v>
      </c>
      <c r="I527" s="6">
        <v>44562</v>
      </c>
      <c r="J527" s="4">
        <v>1091</v>
      </c>
      <c r="K527" s="4">
        <v>1091</v>
      </c>
      <c r="L527" s="4">
        <v>220.06399999999999</v>
      </c>
      <c r="M527" s="4">
        <v>220.06399999999999</v>
      </c>
      <c r="N527" s="4">
        <v>220.06399999999999</v>
      </c>
      <c r="O527" s="4">
        <v>220.06399999999999</v>
      </c>
      <c r="P527" s="4">
        <v>0</v>
      </c>
      <c r="Q527" s="3" t="s">
        <v>26</v>
      </c>
      <c r="R527" s="3">
        <v>0</v>
      </c>
      <c r="S527" s="3" t="s">
        <v>212</v>
      </c>
      <c r="T527" s="3" t="s">
        <v>545</v>
      </c>
      <c r="U527" s="3">
        <v>87</v>
      </c>
      <c r="V527" s="3">
        <v>88</v>
      </c>
      <c r="W527" s="3">
        <v>73</v>
      </c>
    </row>
    <row r="528" spans="1:23" ht="11.25" customHeight="1" x14ac:dyDescent="0.25">
      <c r="A528" s="3" t="s">
        <v>28</v>
      </c>
      <c r="B528" s="3" t="s">
        <v>33</v>
      </c>
      <c r="C528" s="3" t="s">
        <v>42</v>
      </c>
      <c r="D528" s="3" t="s">
        <v>46</v>
      </c>
      <c r="E528" s="3" t="s">
        <v>25</v>
      </c>
      <c r="F528" s="3" t="s">
        <v>25</v>
      </c>
      <c r="G528" s="3" t="s">
        <v>25</v>
      </c>
      <c r="H528" s="3" t="s">
        <v>36</v>
      </c>
      <c r="I528" s="6">
        <v>44562</v>
      </c>
      <c r="J528" s="4">
        <v>312</v>
      </c>
      <c r="K528" s="4">
        <v>312</v>
      </c>
      <c r="L528" s="4">
        <v>53.384</v>
      </c>
      <c r="M528" s="4">
        <v>53.384</v>
      </c>
      <c r="N528" s="4">
        <v>53.384</v>
      </c>
      <c r="O528" s="4">
        <v>53.384</v>
      </c>
      <c r="P528" s="4">
        <v>0</v>
      </c>
      <c r="Q528" s="3" t="s">
        <v>26</v>
      </c>
      <c r="R528" s="3">
        <v>0</v>
      </c>
      <c r="S528" s="3" t="s">
        <v>212</v>
      </c>
      <c r="T528" s="3" t="s">
        <v>545</v>
      </c>
      <c r="U528" s="3">
        <v>87</v>
      </c>
      <c r="V528" s="3">
        <v>88</v>
      </c>
      <c r="W528" s="3">
        <v>73</v>
      </c>
    </row>
    <row r="529" spans="1:23" ht="11.25" customHeight="1" x14ac:dyDescent="0.25">
      <c r="A529" s="3" t="s">
        <v>21</v>
      </c>
      <c r="B529" s="3" t="s">
        <v>33</v>
      </c>
      <c r="C529" s="3" t="s">
        <v>42</v>
      </c>
      <c r="D529" s="3" t="s">
        <v>46</v>
      </c>
      <c r="E529" s="3" t="s">
        <v>25</v>
      </c>
      <c r="F529" s="3" t="s">
        <v>25</v>
      </c>
      <c r="G529" s="3" t="s">
        <v>25</v>
      </c>
      <c r="H529" s="3" t="s">
        <v>36</v>
      </c>
      <c r="I529" s="6">
        <v>44593</v>
      </c>
      <c r="J529" s="4">
        <v>1095</v>
      </c>
      <c r="K529" s="4">
        <v>1095</v>
      </c>
      <c r="L529" s="4">
        <v>226.57499999999999</v>
      </c>
      <c r="M529" s="4">
        <v>226.57499999999999</v>
      </c>
      <c r="N529" s="4">
        <v>226.57499999999999</v>
      </c>
      <c r="O529" s="4">
        <v>226.57499999999999</v>
      </c>
      <c r="P529" s="4">
        <v>0</v>
      </c>
      <c r="Q529" s="3" t="s">
        <v>26</v>
      </c>
      <c r="R529" s="3">
        <v>0</v>
      </c>
      <c r="S529" s="3" t="s">
        <v>213</v>
      </c>
      <c r="T529" s="3" t="s">
        <v>546</v>
      </c>
      <c r="U529" s="3">
        <v>87</v>
      </c>
      <c r="V529" s="3">
        <v>88</v>
      </c>
      <c r="W529" s="3">
        <v>73</v>
      </c>
    </row>
    <row r="530" spans="1:23" ht="11.25" customHeight="1" x14ac:dyDescent="0.25">
      <c r="A530" s="3" t="s">
        <v>28</v>
      </c>
      <c r="B530" s="3" t="s">
        <v>33</v>
      </c>
      <c r="C530" s="3" t="s">
        <v>42</v>
      </c>
      <c r="D530" s="3" t="s">
        <v>46</v>
      </c>
      <c r="E530" s="3" t="s">
        <v>25</v>
      </c>
      <c r="F530" s="3" t="s">
        <v>25</v>
      </c>
      <c r="G530" s="3" t="s">
        <v>25</v>
      </c>
      <c r="H530" s="3" t="s">
        <v>36</v>
      </c>
      <c r="I530" s="6">
        <v>44593</v>
      </c>
      <c r="J530" s="4">
        <v>312</v>
      </c>
      <c r="K530" s="4">
        <v>312</v>
      </c>
      <c r="L530" s="4">
        <v>49.319000000000003</v>
      </c>
      <c r="M530" s="4">
        <v>49.319000000000003</v>
      </c>
      <c r="N530" s="4">
        <v>49.319000000000003</v>
      </c>
      <c r="O530" s="4">
        <v>49.319000000000003</v>
      </c>
      <c r="P530" s="4">
        <v>0</v>
      </c>
      <c r="Q530" s="3" t="s">
        <v>26</v>
      </c>
      <c r="R530" s="3">
        <v>0</v>
      </c>
      <c r="S530" s="3" t="s">
        <v>213</v>
      </c>
      <c r="T530" s="3" t="s">
        <v>546</v>
      </c>
      <c r="U530" s="3">
        <v>87</v>
      </c>
      <c r="V530" s="3">
        <v>88</v>
      </c>
      <c r="W530" s="3">
        <v>73</v>
      </c>
    </row>
    <row r="531" spans="1:23" ht="11.25" customHeight="1" x14ac:dyDescent="0.25">
      <c r="A531" s="3" t="s">
        <v>21</v>
      </c>
      <c r="B531" s="3" t="s">
        <v>33</v>
      </c>
      <c r="C531" s="3" t="s">
        <v>42</v>
      </c>
      <c r="D531" s="3" t="s">
        <v>46</v>
      </c>
      <c r="E531" s="3" t="s">
        <v>25</v>
      </c>
      <c r="F531" s="3" t="s">
        <v>25</v>
      </c>
      <c r="G531" s="3" t="s">
        <v>25</v>
      </c>
      <c r="H531" s="3" t="s">
        <v>36</v>
      </c>
      <c r="I531" s="6">
        <v>44621</v>
      </c>
      <c r="J531" s="4">
        <v>1104</v>
      </c>
      <c r="K531" s="4">
        <v>1104</v>
      </c>
      <c r="L531" s="4">
        <v>256.05900000000003</v>
      </c>
      <c r="M531" s="4">
        <v>256.05900000000003</v>
      </c>
      <c r="N531" s="4">
        <v>256.05900000000003</v>
      </c>
      <c r="O531" s="4">
        <v>256.05900000000003</v>
      </c>
      <c r="P531" s="4">
        <v>0</v>
      </c>
      <c r="Q531" s="3" t="s">
        <v>26</v>
      </c>
      <c r="R531" s="3">
        <v>0</v>
      </c>
      <c r="S531" s="3" t="s">
        <v>214</v>
      </c>
      <c r="T531" s="3" t="s">
        <v>547</v>
      </c>
      <c r="U531" s="3">
        <v>87</v>
      </c>
      <c r="V531" s="3">
        <v>88</v>
      </c>
      <c r="W531" s="3">
        <v>73</v>
      </c>
    </row>
    <row r="532" spans="1:23" ht="11.25" customHeight="1" x14ac:dyDescent="0.25">
      <c r="A532" s="3" t="s">
        <v>28</v>
      </c>
      <c r="B532" s="3" t="s">
        <v>33</v>
      </c>
      <c r="C532" s="3" t="s">
        <v>42</v>
      </c>
      <c r="D532" s="3" t="s">
        <v>46</v>
      </c>
      <c r="E532" s="3" t="s">
        <v>25</v>
      </c>
      <c r="F532" s="3" t="s">
        <v>25</v>
      </c>
      <c r="G532" s="3" t="s">
        <v>25</v>
      </c>
      <c r="H532" s="3" t="s">
        <v>36</v>
      </c>
      <c r="I532" s="6">
        <v>44621</v>
      </c>
      <c r="J532" s="4">
        <v>312</v>
      </c>
      <c r="K532" s="4">
        <v>312</v>
      </c>
      <c r="L532" s="4">
        <v>50.709000000000003</v>
      </c>
      <c r="M532" s="4">
        <v>50.709000000000003</v>
      </c>
      <c r="N532" s="4">
        <v>50.709000000000003</v>
      </c>
      <c r="O532" s="4">
        <v>50.709000000000003</v>
      </c>
      <c r="P532" s="4">
        <v>0</v>
      </c>
      <c r="Q532" s="3" t="s">
        <v>26</v>
      </c>
      <c r="R532" s="3">
        <v>0</v>
      </c>
      <c r="S532" s="3" t="s">
        <v>214</v>
      </c>
      <c r="T532" s="3" t="s">
        <v>547</v>
      </c>
      <c r="U532" s="3">
        <v>87</v>
      </c>
      <c r="V532" s="3">
        <v>88</v>
      </c>
      <c r="W532" s="3">
        <v>73</v>
      </c>
    </row>
    <row r="533" spans="1:23" ht="11.25" customHeight="1" x14ac:dyDescent="0.25">
      <c r="A533" s="3" t="s">
        <v>56</v>
      </c>
      <c r="B533" s="3" t="s">
        <v>33</v>
      </c>
      <c r="C533" s="3" t="s">
        <v>42</v>
      </c>
      <c r="D533" s="3" t="s">
        <v>46</v>
      </c>
      <c r="E533" s="3" t="s">
        <v>25</v>
      </c>
      <c r="F533" s="3" t="s">
        <v>25</v>
      </c>
      <c r="G533" s="3" t="s">
        <v>25</v>
      </c>
      <c r="H533" s="3" t="s">
        <v>36</v>
      </c>
      <c r="I533" s="6">
        <v>44652</v>
      </c>
      <c r="J533" s="4">
        <v>1104</v>
      </c>
      <c r="K533" s="4">
        <v>1104</v>
      </c>
      <c r="L533" s="4">
        <v>256.05900000000003</v>
      </c>
      <c r="M533" s="4">
        <v>256.05900000000003</v>
      </c>
      <c r="N533" s="4">
        <v>256.05900000000003</v>
      </c>
      <c r="O533" s="4">
        <v>256.05900000000003</v>
      </c>
      <c r="P533" s="4">
        <v>0</v>
      </c>
      <c r="Q533" s="3" t="s">
        <v>26</v>
      </c>
      <c r="R533" s="3">
        <v>0</v>
      </c>
      <c r="S533" s="3" t="s">
        <v>215</v>
      </c>
      <c r="T533" s="3" t="s">
        <v>548</v>
      </c>
      <c r="U533" s="3">
        <v>87</v>
      </c>
      <c r="V533" s="3">
        <v>88</v>
      </c>
      <c r="W533" s="3">
        <v>73</v>
      </c>
    </row>
    <row r="534" spans="1:23" ht="11.25" customHeight="1" x14ac:dyDescent="0.25">
      <c r="A534" s="3" t="s">
        <v>56</v>
      </c>
      <c r="B534" s="3" t="s">
        <v>33</v>
      </c>
      <c r="C534" s="3" t="s">
        <v>42</v>
      </c>
      <c r="D534" s="3" t="s">
        <v>46</v>
      </c>
      <c r="E534" s="3" t="s">
        <v>25</v>
      </c>
      <c r="F534" s="3" t="s">
        <v>25</v>
      </c>
      <c r="G534" s="3" t="s">
        <v>25</v>
      </c>
      <c r="H534" s="3" t="s">
        <v>36</v>
      </c>
      <c r="I534" s="6">
        <v>44652</v>
      </c>
      <c r="J534" s="4">
        <v>312</v>
      </c>
      <c r="K534" s="4">
        <v>312</v>
      </c>
      <c r="L534" s="4">
        <v>50.709000000000003</v>
      </c>
      <c r="M534" s="4">
        <v>50.709000000000003</v>
      </c>
      <c r="N534" s="4">
        <v>50.709000000000003</v>
      </c>
      <c r="O534" s="4">
        <v>50.709000000000003</v>
      </c>
      <c r="P534" s="4">
        <v>0</v>
      </c>
      <c r="Q534" s="3" t="s">
        <v>26</v>
      </c>
      <c r="R534" s="3">
        <v>0</v>
      </c>
      <c r="S534" s="3" t="s">
        <v>215</v>
      </c>
      <c r="T534" s="3" t="s">
        <v>548</v>
      </c>
      <c r="U534" s="3">
        <v>87</v>
      </c>
      <c r="V534" s="3">
        <v>88</v>
      </c>
      <c r="W534" s="3">
        <v>73</v>
      </c>
    </row>
    <row r="535" spans="1:23" ht="11.25" customHeight="1" x14ac:dyDescent="0.25">
      <c r="A535" s="3" t="s">
        <v>21</v>
      </c>
      <c r="B535" s="3" t="s">
        <v>33</v>
      </c>
      <c r="C535" s="3" t="s">
        <v>42</v>
      </c>
      <c r="D535" s="3" t="s">
        <v>46</v>
      </c>
      <c r="E535" s="3" t="s">
        <v>25</v>
      </c>
      <c r="F535" s="3" t="s">
        <v>25</v>
      </c>
      <c r="G535" s="3" t="s">
        <v>25</v>
      </c>
      <c r="H535" s="3" t="s">
        <v>35</v>
      </c>
      <c r="I535" s="6">
        <v>44317</v>
      </c>
      <c r="J535" s="4">
        <v>866</v>
      </c>
      <c r="K535" s="4">
        <v>866</v>
      </c>
      <c r="L535" s="4">
        <v>17.103999999999999</v>
      </c>
      <c r="M535" s="4">
        <v>17.103999999999999</v>
      </c>
      <c r="N535" s="4">
        <v>17.103999999999999</v>
      </c>
      <c r="O535" s="4">
        <v>17.103999999999999</v>
      </c>
      <c r="P535" s="4">
        <v>0</v>
      </c>
      <c r="Q535" s="3" t="s">
        <v>26</v>
      </c>
      <c r="R535" s="3">
        <v>0</v>
      </c>
      <c r="S535" s="3" t="s">
        <v>216</v>
      </c>
      <c r="T535" s="3" t="s">
        <v>549</v>
      </c>
      <c r="U535" s="3">
        <v>91</v>
      </c>
      <c r="V535" s="3">
        <v>88</v>
      </c>
      <c r="W535" s="3">
        <v>72</v>
      </c>
    </row>
    <row r="536" spans="1:23" ht="11.25" customHeight="1" x14ac:dyDescent="0.25">
      <c r="A536" s="3" t="s">
        <v>21</v>
      </c>
      <c r="B536" s="3" t="s">
        <v>33</v>
      </c>
      <c r="C536" s="3" t="s">
        <v>42</v>
      </c>
      <c r="D536" s="3" t="s">
        <v>46</v>
      </c>
      <c r="E536" s="3" t="s">
        <v>25</v>
      </c>
      <c r="F536" s="3" t="s">
        <v>25</v>
      </c>
      <c r="G536" s="3" t="s">
        <v>25</v>
      </c>
      <c r="H536" s="3" t="s">
        <v>35</v>
      </c>
      <c r="I536" s="6">
        <v>44348</v>
      </c>
      <c r="J536" s="4">
        <v>863</v>
      </c>
      <c r="K536" s="4">
        <v>863</v>
      </c>
      <c r="L536" s="4">
        <v>16.802</v>
      </c>
      <c r="M536" s="4">
        <v>16.802</v>
      </c>
      <c r="N536" s="4">
        <v>16.802</v>
      </c>
      <c r="O536" s="4">
        <v>16.802</v>
      </c>
      <c r="P536" s="4">
        <v>0</v>
      </c>
      <c r="Q536" s="3" t="s">
        <v>26</v>
      </c>
      <c r="R536" s="3">
        <v>0</v>
      </c>
      <c r="S536" s="3" t="s">
        <v>217</v>
      </c>
      <c r="T536" s="3" t="s">
        <v>550</v>
      </c>
      <c r="U536" s="3">
        <v>91</v>
      </c>
      <c r="V536" s="3">
        <v>88</v>
      </c>
      <c r="W536" s="3">
        <v>72</v>
      </c>
    </row>
    <row r="537" spans="1:23" ht="11.25" customHeight="1" x14ac:dyDescent="0.25">
      <c r="A537" s="3" t="s">
        <v>21</v>
      </c>
      <c r="B537" s="3" t="s">
        <v>33</v>
      </c>
      <c r="C537" s="3" t="s">
        <v>42</v>
      </c>
      <c r="D537" s="3" t="s">
        <v>46</v>
      </c>
      <c r="E537" s="3" t="s">
        <v>25</v>
      </c>
      <c r="F537" s="3" t="s">
        <v>25</v>
      </c>
      <c r="G537" s="3" t="s">
        <v>25</v>
      </c>
      <c r="H537" s="3" t="s">
        <v>35</v>
      </c>
      <c r="I537" s="6">
        <v>44378</v>
      </c>
      <c r="J537" s="4">
        <v>856</v>
      </c>
      <c r="K537" s="4">
        <v>856</v>
      </c>
      <c r="L537" s="4">
        <v>17.195</v>
      </c>
      <c r="M537" s="4">
        <v>17.195</v>
      </c>
      <c r="N537" s="4">
        <v>17.195</v>
      </c>
      <c r="O537" s="4">
        <v>17.195</v>
      </c>
      <c r="P537" s="4">
        <v>0</v>
      </c>
      <c r="Q537" s="3" t="s">
        <v>26</v>
      </c>
      <c r="R537" s="3">
        <v>0</v>
      </c>
      <c r="S537" s="3" t="s">
        <v>218</v>
      </c>
      <c r="T537" s="3" t="s">
        <v>551</v>
      </c>
      <c r="U537" s="3">
        <v>91</v>
      </c>
      <c r="V537" s="3">
        <v>88</v>
      </c>
      <c r="W537" s="3">
        <v>72</v>
      </c>
    </row>
    <row r="538" spans="1:23" ht="11.25" customHeight="1" x14ac:dyDescent="0.25">
      <c r="A538" s="3" t="s">
        <v>21</v>
      </c>
      <c r="B538" s="3" t="s">
        <v>33</v>
      </c>
      <c r="C538" s="3" t="s">
        <v>42</v>
      </c>
      <c r="D538" s="3" t="s">
        <v>46</v>
      </c>
      <c r="E538" s="3" t="s">
        <v>25</v>
      </c>
      <c r="F538" s="3" t="s">
        <v>25</v>
      </c>
      <c r="G538" s="3" t="s">
        <v>25</v>
      </c>
      <c r="H538" s="3" t="s">
        <v>35</v>
      </c>
      <c r="I538" s="6">
        <v>44409</v>
      </c>
      <c r="J538" s="4">
        <v>806</v>
      </c>
      <c r="K538" s="4">
        <v>806</v>
      </c>
      <c r="L538" s="4">
        <v>18.239999999999998</v>
      </c>
      <c r="M538" s="4">
        <v>18.239999999999998</v>
      </c>
      <c r="N538" s="4">
        <v>18.239999999999998</v>
      </c>
      <c r="O538" s="4">
        <v>18.239999999999998</v>
      </c>
      <c r="P538" s="4">
        <v>0</v>
      </c>
      <c r="Q538" s="3" t="s">
        <v>26</v>
      </c>
      <c r="R538" s="3">
        <v>0</v>
      </c>
      <c r="S538" s="3" t="s">
        <v>219</v>
      </c>
      <c r="T538" s="3" t="s">
        <v>552</v>
      </c>
      <c r="U538" s="3">
        <v>91</v>
      </c>
      <c r="V538" s="3">
        <v>88</v>
      </c>
      <c r="W538" s="3">
        <v>72</v>
      </c>
    </row>
    <row r="539" spans="1:23" ht="11.25" customHeight="1" x14ac:dyDescent="0.25">
      <c r="A539" s="3" t="s">
        <v>28</v>
      </c>
      <c r="B539" s="3" t="s">
        <v>33</v>
      </c>
      <c r="C539" s="3" t="s">
        <v>42</v>
      </c>
      <c r="D539" s="3" t="s">
        <v>46</v>
      </c>
      <c r="E539" s="3" t="s">
        <v>25</v>
      </c>
      <c r="F539" s="3" t="s">
        <v>25</v>
      </c>
      <c r="G539" s="3" t="s">
        <v>25</v>
      </c>
      <c r="H539" s="3" t="s">
        <v>35</v>
      </c>
      <c r="I539" s="6">
        <v>44409</v>
      </c>
      <c r="J539" s="4">
        <v>312</v>
      </c>
      <c r="K539" s="4">
        <v>312</v>
      </c>
      <c r="L539" s="4">
        <v>6.1740000000000004</v>
      </c>
      <c r="M539" s="4">
        <v>6.1740000000000004</v>
      </c>
      <c r="N539" s="4">
        <v>6.1740000000000004</v>
      </c>
      <c r="O539" s="4">
        <v>6.1740000000000004</v>
      </c>
      <c r="P539" s="4">
        <v>0</v>
      </c>
      <c r="Q539" s="3" t="s">
        <v>26</v>
      </c>
      <c r="R539" s="3">
        <v>0</v>
      </c>
      <c r="S539" s="3" t="s">
        <v>219</v>
      </c>
      <c r="T539" s="3" t="s">
        <v>552</v>
      </c>
      <c r="U539" s="3">
        <v>91</v>
      </c>
      <c r="V539" s="3">
        <v>88</v>
      </c>
      <c r="W539" s="3">
        <v>72</v>
      </c>
    </row>
    <row r="540" spans="1:23" ht="11.25" customHeight="1" x14ac:dyDescent="0.25">
      <c r="A540" s="3" t="s">
        <v>21</v>
      </c>
      <c r="B540" s="3" t="s">
        <v>33</v>
      </c>
      <c r="C540" s="3" t="s">
        <v>42</v>
      </c>
      <c r="D540" s="3" t="s">
        <v>46</v>
      </c>
      <c r="E540" s="3" t="s">
        <v>25</v>
      </c>
      <c r="F540" s="3" t="s">
        <v>25</v>
      </c>
      <c r="G540" s="3" t="s">
        <v>25</v>
      </c>
      <c r="H540" s="3" t="s">
        <v>35</v>
      </c>
      <c r="I540" s="6">
        <v>44440</v>
      </c>
      <c r="J540" s="4">
        <v>807</v>
      </c>
      <c r="K540" s="4">
        <v>807</v>
      </c>
      <c r="L540" s="4">
        <v>19.024999999999999</v>
      </c>
      <c r="M540" s="4">
        <v>19.024999999999999</v>
      </c>
      <c r="N540" s="4">
        <v>19.024999999999999</v>
      </c>
      <c r="O540" s="4">
        <v>19.024999999999999</v>
      </c>
      <c r="P540" s="4">
        <v>0</v>
      </c>
      <c r="Q540" s="3" t="s">
        <v>26</v>
      </c>
      <c r="R540" s="3">
        <v>0</v>
      </c>
      <c r="S540" s="3" t="s">
        <v>220</v>
      </c>
      <c r="T540" s="3" t="s">
        <v>553</v>
      </c>
      <c r="U540" s="3">
        <v>91</v>
      </c>
      <c r="V540" s="3">
        <v>88</v>
      </c>
      <c r="W540" s="3">
        <v>72</v>
      </c>
    </row>
    <row r="541" spans="1:23" ht="11.25" customHeight="1" x14ac:dyDescent="0.25">
      <c r="A541" s="3" t="s">
        <v>28</v>
      </c>
      <c r="B541" s="3" t="s">
        <v>33</v>
      </c>
      <c r="C541" s="3" t="s">
        <v>42</v>
      </c>
      <c r="D541" s="3" t="s">
        <v>46</v>
      </c>
      <c r="E541" s="3" t="s">
        <v>25</v>
      </c>
      <c r="F541" s="3" t="s">
        <v>25</v>
      </c>
      <c r="G541" s="3" t="s">
        <v>25</v>
      </c>
      <c r="H541" s="3" t="s">
        <v>35</v>
      </c>
      <c r="I541" s="6">
        <v>44440</v>
      </c>
      <c r="J541" s="4">
        <v>312</v>
      </c>
      <c r="K541" s="4">
        <v>312</v>
      </c>
      <c r="L541" s="4">
        <v>6.3449999999999998</v>
      </c>
      <c r="M541" s="4">
        <v>6.3449999999999998</v>
      </c>
      <c r="N541" s="4">
        <v>6.3449999999999998</v>
      </c>
      <c r="O541" s="4">
        <v>6.3449999999999998</v>
      </c>
      <c r="P541" s="4">
        <v>0</v>
      </c>
      <c r="Q541" s="3" t="s">
        <v>26</v>
      </c>
      <c r="R541" s="3">
        <v>0</v>
      </c>
      <c r="S541" s="3" t="s">
        <v>220</v>
      </c>
      <c r="T541" s="3" t="s">
        <v>553</v>
      </c>
      <c r="U541" s="3">
        <v>91</v>
      </c>
      <c r="V541" s="3">
        <v>88</v>
      </c>
      <c r="W541" s="3">
        <v>72</v>
      </c>
    </row>
    <row r="542" spans="1:23" ht="11.25" customHeight="1" x14ac:dyDescent="0.25">
      <c r="A542" s="3" t="s">
        <v>21</v>
      </c>
      <c r="B542" s="3" t="s">
        <v>33</v>
      </c>
      <c r="C542" s="3" t="s">
        <v>42</v>
      </c>
      <c r="D542" s="3" t="s">
        <v>46</v>
      </c>
      <c r="E542" s="3" t="s">
        <v>25</v>
      </c>
      <c r="F542" s="3" t="s">
        <v>25</v>
      </c>
      <c r="G542" s="3" t="s">
        <v>25</v>
      </c>
      <c r="H542" s="3" t="s">
        <v>35</v>
      </c>
      <c r="I542" s="6">
        <v>44470</v>
      </c>
      <c r="J542" s="4">
        <v>806</v>
      </c>
      <c r="K542" s="4">
        <v>806</v>
      </c>
      <c r="L542" s="4">
        <v>19.119</v>
      </c>
      <c r="M542" s="4">
        <v>19.119</v>
      </c>
      <c r="N542" s="4">
        <v>19.119</v>
      </c>
      <c r="O542" s="4">
        <v>19.119</v>
      </c>
      <c r="P542" s="4">
        <v>0</v>
      </c>
      <c r="Q542" s="3" t="s">
        <v>26</v>
      </c>
      <c r="R542" s="3">
        <v>0</v>
      </c>
      <c r="S542" s="3" t="s">
        <v>221</v>
      </c>
      <c r="T542" s="3" t="s">
        <v>554</v>
      </c>
      <c r="U542" s="3">
        <v>91</v>
      </c>
      <c r="V542" s="3">
        <v>88</v>
      </c>
      <c r="W542" s="3">
        <v>72</v>
      </c>
    </row>
    <row r="543" spans="1:23" ht="11.25" customHeight="1" x14ac:dyDescent="0.25">
      <c r="A543" s="3" t="s">
        <v>28</v>
      </c>
      <c r="B543" s="3" t="s">
        <v>33</v>
      </c>
      <c r="C543" s="3" t="s">
        <v>42</v>
      </c>
      <c r="D543" s="3" t="s">
        <v>46</v>
      </c>
      <c r="E543" s="3" t="s">
        <v>25</v>
      </c>
      <c r="F543" s="3" t="s">
        <v>25</v>
      </c>
      <c r="G543" s="3" t="s">
        <v>25</v>
      </c>
      <c r="H543" s="3" t="s">
        <v>35</v>
      </c>
      <c r="I543" s="6">
        <v>44470</v>
      </c>
      <c r="J543" s="4">
        <v>312</v>
      </c>
      <c r="K543" s="4">
        <v>312</v>
      </c>
      <c r="L543" s="4">
        <v>6.4</v>
      </c>
      <c r="M543" s="4">
        <v>6.4</v>
      </c>
      <c r="N543" s="4">
        <v>6.4</v>
      </c>
      <c r="O543" s="4">
        <v>6.4</v>
      </c>
      <c r="P543" s="4">
        <v>0</v>
      </c>
      <c r="Q543" s="3" t="s">
        <v>26</v>
      </c>
      <c r="R543" s="3">
        <v>0</v>
      </c>
      <c r="S543" s="3" t="s">
        <v>221</v>
      </c>
      <c r="T543" s="3" t="s">
        <v>554</v>
      </c>
      <c r="U543" s="3">
        <v>91</v>
      </c>
      <c r="V543" s="3">
        <v>88</v>
      </c>
      <c r="W543" s="3">
        <v>72</v>
      </c>
    </row>
    <row r="544" spans="1:23" ht="11.25" customHeight="1" x14ac:dyDescent="0.25">
      <c r="A544" s="3" t="s">
        <v>21</v>
      </c>
      <c r="B544" s="3" t="s">
        <v>33</v>
      </c>
      <c r="C544" s="3" t="s">
        <v>42</v>
      </c>
      <c r="D544" s="3" t="s">
        <v>46</v>
      </c>
      <c r="E544" s="3" t="s">
        <v>25</v>
      </c>
      <c r="F544" s="3" t="s">
        <v>25</v>
      </c>
      <c r="G544" s="3" t="s">
        <v>25</v>
      </c>
      <c r="H544" s="3" t="s">
        <v>35</v>
      </c>
      <c r="I544" s="6">
        <v>44501</v>
      </c>
      <c r="J544" s="4">
        <v>814</v>
      </c>
      <c r="K544" s="4">
        <v>814</v>
      </c>
      <c r="L544" s="4">
        <v>19.366</v>
      </c>
      <c r="M544" s="4">
        <v>19.366</v>
      </c>
      <c r="N544" s="4">
        <v>19.366</v>
      </c>
      <c r="O544" s="4">
        <v>19.366</v>
      </c>
      <c r="P544" s="4">
        <v>0</v>
      </c>
      <c r="Q544" s="3" t="s">
        <v>26</v>
      </c>
      <c r="R544" s="3">
        <v>0</v>
      </c>
      <c r="S544" s="3" t="s">
        <v>222</v>
      </c>
      <c r="T544" s="3" t="s">
        <v>555</v>
      </c>
      <c r="U544" s="3">
        <v>91</v>
      </c>
      <c r="V544" s="3">
        <v>88</v>
      </c>
      <c r="W544" s="3">
        <v>72</v>
      </c>
    </row>
    <row r="545" spans="1:23" ht="11.25" customHeight="1" x14ac:dyDescent="0.25">
      <c r="A545" s="3" t="s">
        <v>28</v>
      </c>
      <c r="B545" s="3" t="s">
        <v>33</v>
      </c>
      <c r="C545" s="3" t="s">
        <v>42</v>
      </c>
      <c r="D545" s="3" t="s">
        <v>46</v>
      </c>
      <c r="E545" s="3" t="s">
        <v>25</v>
      </c>
      <c r="F545" s="3" t="s">
        <v>25</v>
      </c>
      <c r="G545" s="3" t="s">
        <v>25</v>
      </c>
      <c r="H545" s="3" t="s">
        <v>35</v>
      </c>
      <c r="I545" s="6">
        <v>44501</v>
      </c>
      <c r="J545" s="4">
        <v>312</v>
      </c>
      <c r="K545" s="4">
        <v>312</v>
      </c>
      <c r="L545" s="4">
        <v>6.65</v>
      </c>
      <c r="M545" s="4">
        <v>6.65</v>
      </c>
      <c r="N545" s="4">
        <v>6.65</v>
      </c>
      <c r="O545" s="4">
        <v>6.65</v>
      </c>
      <c r="P545" s="4">
        <v>0</v>
      </c>
      <c r="Q545" s="3" t="s">
        <v>26</v>
      </c>
      <c r="R545" s="3">
        <v>0</v>
      </c>
      <c r="S545" s="3" t="s">
        <v>222</v>
      </c>
      <c r="T545" s="3" t="s">
        <v>555</v>
      </c>
      <c r="U545" s="3">
        <v>91</v>
      </c>
      <c r="V545" s="3">
        <v>88</v>
      </c>
      <c r="W545" s="3">
        <v>72</v>
      </c>
    </row>
    <row r="546" spans="1:23" ht="11.25" customHeight="1" x14ac:dyDescent="0.25">
      <c r="A546" s="3" t="s">
        <v>21</v>
      </c>
      <c r="B546" s="3" t="s">
        <v>33</v>
      </c>
      <c r="C546" s="3" t="s">
        <v>42</v>
      </c>
      <c r="D546" s="3" t="s">
        <v>46</v>
      </c>
      <c r="E546" s="3" t="s">
        <v>25</v>
      </c>
      <c r="F546" s="3" t="s">
        <v>25</v>
      </c>
      <c r="G546" s="3" t="s">
        <v>25</v>
      </c>
      <c r="H546" s="3" t="s">
        <v>35</v>
      </c>
      <c r="I546" s="6">
        <v>44531</v>
      </c>
      <c r="J546" s="4">
        <v>816</v>
      </c>
      <c r="K546" s="4">
        <v>816</v>
      </c>
      <c r="L546" s="4">
        <v>22.01</v>
      </c>
      <c r="M546" s="4">
        <v>22.01</v>
      </c>
      <c r="N546" s="4">
        <v>22.01</v>
      </c>
      <c r="O546" s="4">
        <v>22.01</v>
      </c>
      <c r="P546" s="4">
        <v>0</v>
      </c>
      <c r="Q546" s="3" t="s">
        <v>26</v>
      </c>
      <c r="R546" s="3">
        <v>0</v>
      </c>
      <c r="S546" s="3" t="s">
        <v>223</v>
      </c>
      <c r="T546" s="3" t="s">
        <v>556</v>
      </c>
      <c r="U546" s="3">
        <v>91</v>
      </c>
      <c r="V546" s="3">
        <v>88</v>
      </c>
      <c r="W546" s="3">
        <v>72</v>
      </c>
    </row>
    <row r="547" spans="1:23" ht="11.25" customHeight="1" x14ac:dyDescent="0.25">
      <c r="A547" s="3" t="s">
        <v>28</v>
      </c>
      <c r="B547" s="3" t="s">
        <v>33</v>
      </c>
      <c r="C547" s="3" t="s">
        <v>42</v>
      </c>
      <c r="D547" s="3" t="s">
        <v>46</v>
      </c>
      <c r="E547" s="3" t="s">
        <v>25</v>
      </c>
      <c r="F547" s="3" t="s">
        <v>25</v>
      </c>
      <c r="G547" s="3" t="s">
        <v>25</v>
      </c>
      <c r="H547" s="3" t="s">
        <v>35</v>
      </c>
      <c r="I547" s="6">
        <v>44531</v>
      </c>
      <c r="J547" s="4">
        <v>312</v>
      </c>
      <c r="K547" s="4">
        <v>312</v>
      </c>
      <c r="L547" s="4">
        <v>6.367</v>
      </c>
      <c r="M547" s="4">
        <v>6.367</v>
      </c>
      <c r="N547" s="4">
        <v>6.367</v>
      </c>
      <c r="O547" s="4">
        <v>6.367</v>
      </c>
      <c r="P547" s="4">
        <v>0</v>
      </c>
      <c r="Q547" s="3" t="s">
        <v>26</v>
      </c>
      <c r="R547" s="3">
        <v>0</v>
      </c>
      <c r="S547" s="3" t="s">
        <v>223</v>
      </c>
      <c r="T547" s="3" t="s">
        <v>556</v>
      </c>
      <c r="U547" s="3">
        <v>91</v>
      </c>
      <c r="V547" s="3">
        <v>88</v>
      </c>
      <c r="W547" s="3">
        <v>72</v>
      </c>
    </row>
    <row r="548" spans="1:23" ht="11.25" customHeight="1" x14ac:dyDescent="0.25">
      <c r="A548" s="3" t="s">
        <v>21</v>
      </c>
      <c r="B548" s="3" t="s">
        <v>33</v>
      </c>
      <c r="C548" s="3" t="s">
        <v>42</v>
      </c>
      <c r="D548" s="3" t="s">
        <v>46</v>
      </c>
      <c r="E548" s="3" t="s">
        <v>25</v>
      </c>
      <c r="F548" s="3" t="s">
        <v>25</v>
      </c>
      <c r="G548" s="3" t="s">
        <v>25</v>
      </c>
      <c r="H548" s="3" t="s">
        <v>35</v>
      </c>
      <c r="I548" s="6">
        <v>44562</v>
      </c>
      <c r="J548" s="4">
        <v>826</v>
      </c>
      <c r="K548" s="4">
        <v>826</v>
      </c>
      <c r="L548" s="4">
        <v>19.744</v>
      </c>
      <c r="M548" s="4">
        <v>19.744</v>
      </c>
      <c r="N548" s="4">
        <v>19.744</v>
      </c>
      <c r="O548" s="4">
        <v>19.744</v>
      </c>
      <c r="P548" s="4">
        <v>0</v>
      </c>
      <c r="Q548" s="3" t="s">
        <v>26</v>
      </c>
      <c r="R548" s="3">
        <v>0</v>
      </c>
      <c r="S548" s="3" t="s">
        <v>224</v>
      </c>
      <c r="T548" s="3" t="s">
        <v>557</v>
      </c>
      <c r="U548" s="3">
        <v>91</v>
      </c>
      <c r="V548" s="3">
        <v>88</v>
      </c>
      <c r="W548" s="3">
        <v>72</v>
      </c>
    </row>
    <row r="549" spans="1:23" ht="11.25" customHeight="1" x14ac:dyDescent="0.25">
      <c r="A549" s="3" t="s">
        <v>28</v>
      </c>
      <c r="B549" s="3" t="s">
        <v>33</v>
      </c>
      <c r="C549" s="3" t="s">
        <v>42</v>
      </c>
      <c r="D549" s="3" t="s">
        <v>46</v>
      </c>
      <c r="E549" s="3" t="s">
        <v>25</v>
      </c>
      <c r="F549" s="3" t="s">
        <v>25</v>
      </c>
      <c r="G549" s="3" t="s">
        <v>25</v>
      </c>
      <c r="H549" s="3" t="s">
        <v>35</v>
      </c>
      <c r="I549" s="6">
        <v>44562</v>
      </c>
      <c r="J549" s="4">
        <v>312</v>
      </c>
      <c r="K549" s="4">
        <v>312</v>
      </c>
      <c r="L549" s="4">
        <v>6.5380000000000003</v>
      </c>
      <c r="M549" s="4">
        <v>6.5380000000000003</v>
      </c>
      <c r="N549" s="4">
        <v>6.5380000000000003</v>
      </c>
      <c r="O549" s="4">
        <v>6.5380000000000003</v>
      </c>
      <c r="P549" s="4">
        <v>0</v>
      </c>
      <c r="Q549" s="3" t="s">
        <v>26</v>
      </c>
      <c r="R549" s="3">
        <v>0</v>
      </c>
      <c r="S549" s="3" t="s">
        <v>224</v>
      </c>
      <c r="T549" s="3" t="s">
        <v>557</v>
      </c>
      <c r="U549" s="3">
        <v>91</v>
      </c>
      <c r="V549" s="3">
        <v>88</v>
      </c>
      <c r="W549" s="3">
        <v>72</v>
      </c>
    </row>
    <row r="550" spans="1:23" ht="11.25" customHeight="1" x14ac:dyDescent="0.25">
      <c r="A550" s="3" t="s">
        <v>21</v>
      </c>
      <c r="B550" s="3" t="s">
        <v>33</v>
      </c>
      <c r="C550" s="3" t="s">
        <v>42</v>
      </c>
      <c r="D550" s="3" t="s">
        <v>46</v>
      </c>
      <c r="E550" s="3" t="s">
        <v>25</v>
      </c>
      <c r="F550" s="3" t="s">
        <v>25</v>
      </c>
      <c r="G550" s="3" t="s">
        <v>25</v>
      </c>
      <c r="H550" s="3" t="s">
        <v>35</v>
      </c>
      <c r="I550" s="6">
        <v>44593</v>
      </c>
      <c r="J550" s="4">
        <v>814</v>
      </c>
      <c r="K550" s="4">
        <v>814</v>
      </c>
      <c r="L550" s="4">
        <v>20.157</v>
      </c>
      <c r="M550" s="4">
        <v>20.157</v>
      </c>
      <c r="N550" s="4">
        <v>20.157</v>
      </c>
      <c r="O550" s="4">
        <v>20.157</v>
      </c>
      <c r="P550" s="4">
        <v>0</v>
      </c>
      <c r="Q550" s="3" t="s">
        <v>26</v>
      </c>
      <c r="R550" s="3">
        <v>0</v>
      </c>
      <c r="S550" s="3" t="s">
        <v>225</v>
      </c>
      <c r="T550" s="3" t="s">
        <v>558</v>
      </c>
      <c r="U550" s="3">
        <v>91</v>
      </c>
      <c r="V550" s="3">
        <v>88</v>
      </c>
      <c r="W550" s="3">
        <v>72</v>
      </c>
    </row>
    <row r="551" spans="1:23" ht="11.25" customHeight="1" x14ac:dyDescent="0.25">
      <c r="A551" s="3" t="s">
        <v>28</v>
      </c>
      <c r="B551" s="3" t="s">
        <v>33</v>
      </c>
      <c r="C551" s="3" t="s">
        <v>42</v>
      </c>
      <c r="D551" s="3" t="s">
        <v>46</v>
      </c>
      <c r="E551" s="3" t="s">
        <v>25</v>
      </c>
      <c r="F551" s="3" t="s">
        <v>25</v>
      </c>
      <c r="G551" s="3" t="s">
        <v>25</v>
      </c>
      <c r="H551" s="3" t="s">
        <v>35</v>
      </c>
      <c r="I551" s="6">
        <v>44593</v>
      </c>
      <c r="J551" s="4">
        <v>312</v>
      </c>
      <c r="K551" s="4">
        <v>312</v>
      </c>
      <c r="L551" s="4">
        <v>6.5170000000000003</v>
      </c>
      <c r="M551" s="4">
        <v>6.5170000000000003</v>
      </c>
      <c r="N551" s="4">
        <v>6.5170000000000003</v>
      </c>
      <c r="O551" s="4">
        <v>6.5170000000000003</v>
      </c>
      <c r="P551" s="4">
        <v>0</v>
      </c>
      <c r="Q551" s="3" t="s">
        <v>26</v>
      </c>
      <c r="R551" s="3">
        <v>0</v>
      </c>
      <c r="S551" s="3" t="s">
        <v>225</v>
      </c>
      <c r="T551" s="3" t="s">
        <v>558</v>
      </c>
      <c r="U551" s="3">
        <v>91</v>
      </c>
      <c r="V551" s="3">
        <v>88</v>
      </c>
      <c r="W551" s="3">
        <v>72</v>
      </c>
    </row>
    <row r="552" spans="1:23" ht="11.25" customHeight="1" x14ac:dyDescent="0.25">
      <c r="A552" s="3" t="s">
        <v>21</v>
      </c>
      <c r="B552" s="3" t="s">
        <v>33</v>
      </c>
      <c r="C552" s="3" t="s">
        <v>42</v>
      </c>
      <c r="D552" s="3" t="s">
        <v>46</v>
      </c>
      <c r="E552" s="3" t="s">
        <v>25</v>
      </c>
      <c r="F552" s="3" t="s">
        <v>25</v>
      </c>
      <c r="G552" s="3" t="s">
        <v>25</v>
      </c>
      <c r="H552" s="3" t="s">
        <v>35</v>
      </c>
      <c r="I552" s="6">
        <v>44621</v>
      </c>
      <c r="J552" s="4">
        <v>812</v>
      </c>
      <c r="K552" s="4">
        <v>812</v>
      </c>
      <c r="L552" s="4">
        <v>23.706</v>
      </c>
      <c r="M552" s="4">
        <v>23.706</v>
      </c>
      <c r="N552" s="4">
        <v>23.706</v>
      </c>
      <c r="O552" s="4">
        <v>23.706</v>
      </c>
      <c r="P552" s="4">
        <v>0</v>
      </c>
      <c r="Q552" s="3" t="s">
        <v>26</v>
      </c>
      <c r="R552" s="3">
        <v>0</v>
      </c>
      <c r="S552" s="3" t="s">
        <v>226</v>
      </c>
      <c r="T552" s="3" t="s">
        <v>559</v>
      </c>
      <c r="U552" s="3">
        <v>91</v>
      </c>
      <c r="V552" s="3">
        <v>88</v>
      </c>
      <c r="W552" s="3">
        <v>72</v>
      </c>
    </row>
    <row r="553" spans="1:23" ht="11.25" customHeight="1" x14ac:dyDescent="0.25">
      <c r="A553" s="3" t="s">
        <v>28</v>
      </c>
      <c r="B553" s="3" t="s">
        <v>33</v>
      </c>
      <c r="C553" s="3" t="s">
        <v>42</v>
      </c>
      <c r="D553" s="3" t="s">
        <v>46</v>
      </c>
      <c r="E553" s="3" t="s">
        <v>25</v>
      </c>
      <c r="F553" s="3" t="s">
        <v>25</v>
      </c>
      <c r="G553" s="3" t="s">
        <v>25</v>
      </c>
      <c r="H553" s="3" t="s">
        <v>35</v>
      </c>
      <c r="I553" s="6">
        <v>44621</v>
      </c>
      <c r="J553" s="4">
        <v>312</v>
      </c>
      <c r="K553" s="4">
        <v>312</v>
      </c>
      <c r="L553" s="4">
        <v>6.5090000000000003</v>
      </c>
      <c r="M553" s="4">
        <v>6.5090000000000003</v>
      </c>
      <c r="N553" s="4">
        <v>6.5090000000000003</v>
      </c>
      <c r="O553" s="4">
        <v>6.5090000000000003</v>
      </c>
      <c r="P553" s="4">
        <v>0</v>
      </c>
      <c r="Q553" s="3" t="s">
        <v>26</v>
      </c>
      <c r="R553" s="3">
        <v>0</v>
      </c>
      <c r="S553" s="3" t="s">
        <v>226</v>
      </c>
      <c r="T553" s="3" t="s">
        <v>559</v>
      </c>
      <c r="U553" s="3">
        <v>91</v>
      </c>
      <c r="V553" s="3">
        <v>88</v>
      </c>
      <c r="W553" s="3">
        <v>72</v>
      </c>
    </row>
    <row r="554" spans="1:23" ht="11.25" customHeight="1" x14ac:dyDescent="0.25">
      <c r="A554" s="3" t="s">
        <v>56</v>
      </c>
      <c r="B554" s="3" t="s">
        <v>33</v>
      </c>
      <c r="C554" s="3" t="s">
        <v>42</v>
      </c>
      <c r="D554" s="3" t="s">
        <v>46</v>
      </c>
      <c r="E554" s="3" t="s">
        <v>25</v>
      </c>
      <c r="F554" s="3" t="s">
        <v>25</v>
      </c>
      <c r="G554" s="3" t="s">
        <v>25</v>
      </c>
      <c r="H554" s="3" t="s">
        <v>35</v>
      </c>
      <c r="I554" s="6">
        <v>44652</v>
      </c>
      <c r="J554" s="4">
        <v>812</v>
      </c>
      <c r="K554" s="4">
        <v>812</v>
      </c>
      <c r="L554" s="4">
        <v>23.706</v>
      </c>
      <c r="M554" s="4">
        <v>23.706</v>
      </c>
      <c r="N554" s="4">
        <v>23.706</v>
      </c>
      <c r="O554" s="4">
        <v>23.706</v>
      </c>
      <c r="P554" s="4">
        <v>0</v>
      </c>
      <c r="Q554" s="3" t="s">
        <v>26</v>
      </c>
      <c r="R554" s="3">
        <v>0</v>
      </c>
      <c r="S554" s="3" t="s">
        <v>227</v>
      </c>
      <c r="T554" s="3" t="s">
        <v>560</v>
      </c>
      <c r="U554" s="3">
        <v>91</v>
      </c>
      <c r="V554" s="3">
        <v>88</v>
      </c>
      <c r="W554" s="3">
        <v>72</v>
      </c>
    </row>
    <row r="555" spans="1:23" ht="11.25" customHeight="1" x14ac:dyDescent="0.25">
      <c r="A555" s="3" t="s">
        <v>56</v>
      </c>
      <c r="B555" s="3" t="s">
        <v>33</v>
      </c>
      <c r="C555" s="3" t="s">
        <v>42</v>
      </c>
      <c r="D555" s="3" t="s">
        <v>46</v>
      </c>
      <c r="E555" s="3" t="s">
        <v>25</v>
      </c>
      <c r="F555" s="3" t="s">
        <v>25</v>
      </c>
      <c r="G555" s="3" t="s">
        <v>25</v>
      </c>
      <c r="H555" s="3" t="s">
        <v>35</v>
      </c>
      <c r="I555" s="6">
        <v>44652</v>
      </c>
      <c r="J555" s="4">
        <v>312</v>
      </c>
      <c r="K555" s="4">
        <v>312</v>
      </c>
      <c r="L555" s="4">
        <v>6.5090000000000003</v>
      </c>
      <c r="M555" s="4">
        <v>6.5090000000000003</v>
      </c>
      <c r="N555" s="4">
        <v>6.5090000000000003</v>
      </c>
      <c r="O555" s="4">
        <v>6.5090000000000003</v>
      </c>
      <c r="P555" s="4">
        <v>0</v>
      </c>
      <c r="Q555" s="3" t="s">
        <v>26</v>
      </c>
      <c r="R555" s="3">
        <v>0</v>
      </c>
      <c r="S555" s="3" t="s">
        <v>227</v>
      </c>
      <c r="T555" s="3" t="s">
        <v>560</v>
      </c>
      <c r="U555" s="3">
        <v>91</v>
      </c>
      <c r="V555" s="3">
        <v>88</v>
      </c>
      <c r="W555" s="3">
        <v>72</v>
      </c>
    </row>
    <row r="556" spans="1:23" ht="11.25" customHeight="1" x14ac:dyDescent="0.25">
      <c r="A556" s="3" t="s">
        <v>21</v>
      </c>
      <c r="B556" s="3" t="s">
        <v>33</v>
      </c>
      <c r="C556" s="3" t="s">
        <v>42</v>
      </c>
      <c r="D556" s="3" t="s">
        <v>50</v>
      </c>
      <c r="E556" s="3" t="s">
        <v>51</v>
      </c>
      <c r="F556" s="3" t="s">
        <v>25</v>
      </c>
      <c r="G556" s="3" t="s">
        <v>25</v>
      </c>
      <c r="H556" s="3" t="s">
        <v>36</v>
      </c>
      <c r="I556" s="6">
        <v>44317</v>
      </c>
      <c r="J556" s="4">
        <v>20470</v>
      </c>
      <c r="K556" s="4">
        <v>19241.8</v>
      </c>
      <c r="L556" s="4">
        <v>10577.843000000001</v>
      </c>
      <c r="M556" s="4">
        <v>9943.1724200000008</v>
      </c>
      <c r="N556" s="4">
        <v>10577.843000000001</v>
      </c>
      <c r="O556" s="4">
        <v>9943.1724200000008</v>
      </c>
      <c r="P556" s="4">
        <v>0</v>
      </c>
      <c r="Q556" s="3" t="s">
        <v>26</v>
      </c>
      <c r="R556" s="3">
        <v>0</v>
      </c>
      <c r="S556" s="3" t="s">
        <v>204</v>
      </c>
      <c r="T556" s="3" t="s">
        <v>537</v>
      </c>
      <c r="U556" s="3">
        <v>87</v>
      </c>
      <c r="V556" s="3">
        <v>88</v>
      </c>
      <c r="W556" s="3">
        <v>73</v>
      </c>
    </row>
    <row r="557" spans="1:23" ht="11.25" customHeight="1" x14ac:dyDescent="0.25">
      <c r="A557" s="3" t="s">
        <v>21</v>
      </c>
      <c r="B557" s="3" t="s">
        <v>33</v>
      </c>
      <c r="C557" s="3" t="s">
        <v>42</v>
      </c>
      <c r="D557" s="3" t="s">
        <v>50</v>
      </c>
      <c r="E557" s="3" t="s">
        <v>51</v>
      </c>
      <c r="F557" s="3" t="s">
        <v>25</v>
      </c>
      <c r="G557" s="3" t="s">
        <v>25</v>
      </c>
      <c r="H557" s="3" t="s">
        <v>36</v>
      </c>
      <c r="I557" s="6">
        <v>44348</v>
      </c>
      <c r="J557" s="4">
        <v>20341</v>
      </c>
      <c r="K557" s="4">
        <v>19120.54</v>
      </c>
      <c r="L557" s="4">
        <v>10061.18</v>
      </c>
      <c r="M557" s="4">
        <v>9457.5092000000004</v>
      </c>
      <c r="N557" s="4">
        <v>10061.18</v>
      </c>
      <c r="O557" s="4">
        <v>9457.5092000000004</v>
      </c>
      <c r="P557" s="4">
        <v>0</v>
      </c>
      <c r="Q557" s="3" t="s">
        <v>26</v>
      </c>
      <c r="R557" s="3">
        <v>0</v>
      </c>
      <c r="S557" s="3" t="s">
        <v>205</v>
      </c>
      <c r="T557" s="3" t="s">
        <v>538</v>
      </c>
      <c r="U557" s="3">
        <v>87</v>
      </c>
      <c r="V557" s="3">
        <v>88</v>
      </c>
      <c r="W557" s="3">
        <v>73</v>
      </c>
    </row>
    <row r="558" spans="1:23" ht="11.25" customHeight="1" x14ac:dyDescent="0.25">
      <c r="A558" s="3" t="s">
        <v>21</v>
      </c>
      <c r="B558" s="3" t="s">
        <v>33</v>
      </c>
      <c r="C558" s="3" t="s">
        <v>42</v>
      </c>
      <c r="D558" s="3" t="s">
        <v>50</v>
      </c>
      <c r="E558" s="3" t="s">
        <v>51</v>
      </c>
      <c r="F558" s="3" t="s">
        <v>25</v>
      </c>
      <c r="G558" s="3" t="s">
        <v>25</v>
      </c>
      <c r="H558" s="3" t="s">
        <v>36</v>
      </c>
      <c r="I558" s="6">
        <v>44378</v>
      </c>
      <c r="J558" s="4">
        <v>19650</v>
      </c>
      <c r="K558" s="4">
        <v>18471</v>
      </c>
      <c r="L558" s="4">
        <v>10526.98</v>
      </c>
      <c r="M558" s="4">
        <v>9895.3611999999994</v>
      </c>
      <c r="N558" s="4">
        <v>10526.98</v>
      </c>
      <c r="O558" s="4">
        <v>9895.3611999999994</v>
      </c>
      <c r="P558" s="4">
        <v>0</v>
      </c>
      <c r="Q558" s="3" t="s">
        <v>26</v>
      </c>
      <c r="R558" s="3">
        <v>0</v>
      </c>
      <c r="S558" s="3" t="s">
        <v>206</v>
      </c>
      <c r="T558" s="3" t="s">
        <v>539</v>
      </c>
      <c r="U558" s="3">
        <v>87</v>
      </c>
      <c r="V558" s="3">
        <v>88</v>
      </c>
      <c r="W558" s="3">
        <v>73</v>
      </c>
    </row>
    <row r="559" spans="1:23" ht="11.25" customHeight="1" x14ac:dyDescent="0.25">
      <c r="A559" s="3" t="s">
        <v>21</v>
      </c>
      <c r="B559" s="3" t="s">
        <v>33</v>
      </c>
      <c r="C559" s="3" t="s">
        <v>42</v>
      </c>
      <c r="D559" s="3" t="s">
        <v>50</v>
      </c>
      <c r="E559" s="3" t="s">
        <v>51</v>
      </c>
      <c r="F559" s="3" t="s">
        <v>25</v>
      </c>
      <c r="G559" s="3" t="s">
        <v>25</v>
      </c>
      <c r="H559" s="3" t="s">
        <v>36</v>
      </c>
      <c r="I559" s="6">
        <v>44409</v>
      </c>
      <c r="J559" s="4">
        <v>20326</v>
      </c>
      <c r="K559" s="4">
        <v>19106.439999999999</v>
      </c>
      <c r="L559" s="4">
        <v>10516.733</v>
      </c>
      <c r="M559" s="4">
        <v>9885.7290200000007</v>
      </c>
      <c r="N559" s="4">
        <v>10516.733</v>
      </c>
      <c r="O559" s="4">
        <v>9885.7290200000007</v>
      </c>
      <c r="P559" s="4">
        <v>0</v>
      </c>
      <c r="Q559" s="3" t="s">
        <v>26</v>
      </c>
      <c r="R559" s="3">
        <v>0</v>
      </c>
      <c r="S559" s="3" t="s">
        <v>207</v>
      </c>
      <c r="T559" s="3" t="s">
        <v>540</v>
      </c>
      <c r="U559" s="3">
        <v>87</v>
      </c>
      <c r="V559" s="3">
        <v>88</v>
      </c>
      <c r="W559" s="3">
        <v>73</v>
      </c>
    </row>
    <row r="560" spans="1:23" ht="11.25" customHeight="1" x14ac:dyDescent="0.25">
      <c r="A560" s="3" t="s">
        <v>21</v>
      </c>
      <c r="B560" s="3" t="s">
        <v>33</v>
      </c>
      <c r="C560" s="3" t="s">
        <v>42</v>
      </c>
      <c r="D560" s="3" t="s">
        <v>50</v>
      </c>
      <c r="E560" s="3" t="s">
        <v>51</v>
      </c>
      <c r="F560" s="3" t="s">
        <v>25</v>
      </c>
      <c r="G560" s="3" t="s">
        <v>25</v>
      </c>
      <c r="H560" s="3" t="s">
        <v>36</v>
      </c>
      <c r="I560" s="6">
        <v>44440</v>
      </c>
      <c r="J560" s="4">
        <v>20296</v>
      </c>
      <c r="K560" s="4">
        <v>19078.240000000002</v>
      </c>
      <c r="L560" s="4">
        <v>10032.277</v>
      </c>
      <c r="M560" s="4">
        <v>9430.3403799999996</v>
      </c>
      <c r="N560" s="4">
        <v>10032.277</v>
      </c>
      <c r="O560" s="4">
        <v>9430.3403799999996</v>
      </c>
      <c r="P560" s="4">
        <v>0</v>
      </c>
      <c r="Q560" s="3" t="s">
        <v>26</v>
      </c>
      <c r="R560" s="3">
        <v>0</v>
      </c>
      <c r="S560" s="3" t="s">
        <v>208</v>
      </c>
      <c r="T560" s="3" t="s">
        <v>541</v>
      </c>
      <c r="U560" s="3">
        <v>87</v>
      </c>
      <c r="V560" s="3">
        <v>88</v>
      </c>
      <c r="W560" s="3">
        <v>73</v>
      </c>
    </row>
    <row r="561" spans="1:23" ht="11.25" customHeight="1" x14ac:dyDescent="0.25">
      <c r="A561" s="3" t="s">
        <v>21</v>
      </c>
      <c r="B561" s="3" t="s">
        <v>33</v>
      </c>
      <c r="C561" s="3" t="s">
        <v>42</v>
      </c>
      <c r="D561" s="3" t="s">
        <v>50</v>
      </c>
      <c r="E561" s="3" t="s">
        <v>51</v>
      </c>
      <c r="F561" s="3" t="s">
        <v>25</v>
      </c>
      <c r="G561" s="3" t="s">
        <v>25</v>
      </c>
      <c r="H561" s="3" t="s">
        <v>36</v>
      </c>
      <c r="I561" s="6">
        <v>44470</v>
      </c>
      <c r="J561" s="4">
        <v>19387</v>
      </c>
      <c r="K561" s="4">
        <v>18223.78</v>
      </c>
      <c r="L561" s="4">
        <v>11187.18</v>
      </c>
      <c r="M561" s="4">
        <v>10515.949199999999</v>
      </c>
      <c r="N561" s="4">
        <v>11187.18</v>
      </c>
      <c r="O561" s="4">
        <v>10515.949199999999</v>
      </c>
      <c r="P561" s="4">
        <v>0</v>
      </c>
      <c r="Q561" s="3" t="s">
        <v>26</v>
      </c>
      <c r="R561" s="3">
        <v>0</v>
      </c>
      <c r="S561" s="3" t="s">
        <v>209</v>
      </c>
      <c r="T561" s="3" t="s">
        <v>542</v>
      </c>
      <c r="U561" s="3">
        <v>87</v>
      </c>
      <c r="V561" s="3">
        <v>88</v>
      </c>
      <c r="W561" s="3">
        <v>73</v>
      </c>
    </row>
    <row r="562" spans="1:23" ht="11.25" customHeight="1" x14ac:dyDescent="0.25">
      <c r="A562" s="3" t="s">
        <v>21</v>
      </c>
      <c r="B562" s="3" t="s">
        <v>33</v>
      </c>
      <c r="C562" s="3" t="s">
        <v>42</v>
      </c>
      <c r="D562" s="3" t="s">
        <v>50</v>
      </c>
      <c r="E562" s="3" t="s">
        <v>51</v>
      </c>
      <c r="F562" s="3" t="s">
        <v>25</v>
      </c>
      <c r="G562" s="3" t="s">
        <v>25</v>
      </c>
      <c r="H562" s="3" t="s">
        <v>36</v>
      </c>
      <c r="I562" s="6">
        <v>44501</v>
      </c>
      <c r="J562" s="4">
        <v>19732</v>
      </c>
      <c r="K562" s="4">
        <v>18548.080000000002</v>
      </c>
      <c r="L562" s="4">
        <v>10315.536</v>
      </c>
      <c r="M562" s="4">
        <v>9696.6038399999998</v>
      </c>
      <c r="N562" s="4">
        <v>10315.536</v>
      </c>
      <c r="O562" s="4">
        <v>9696.6038399999998</v>
      </c>
      <c r="P562" s="4">
        <v>0</v>
      </c>
      <c r="Q562" s="3" t="s">
        <v>26</v>
      </c>
      <c r="R562" s="3">
        <v>0</v>
      </c>
      <c r="S562" s="3" t="s">
        <v>210</v>
      </c>
      <c r="T562" s="3" t="s">
        <v>543</v>
      </c>
      <c r="U562" s="3">
        <v>87</v>
      </c>
      <c r="V562" s="3">
        <v>88</v>
      </c>
      <c r="W562" s="3">
        <v>73</v>
      </c>
    </row>
    <row r="563" spans="1:23" ht="11.25" customHeight="1" x14ac:dyDescent="0.25">
      <c r="A563" s="3" t="s">
        <v>21</v>
      </c>
      <c r="B563" s="3" t="s">
        <v>33</v>
      </c>
      <c r="C563" s="3" t="s">
        <v>42</v>
      </c>
      <c r="D563" s="3" t="s">
        <v>50</v>
      </c>
      <c r="E563" s="3" t="s">
        <v>51</v>
      </c>
      <c r="F563" s="3" t="s">
        <v>25</v>
      </c>
      <c r="G563" s="3" t="s">
        <v>25</v>
      </c>
      <c r="H563" s="3" t="s">
        <v>36</v>
      </c>
      <c r="I563" s="6">
        <v>44531</v>
      </c>
      <c r="J563" s="4">
        <v>19343</v>
      </c>
      <c r="K563" s="4">
        <v>18182.419999999998</v>
      </c>
      <c r="L563" s="4">
        <v>10367.769</v>
      </c>
      <c r="M563" s="4">
        <v>9745.7028599999994</v>
      </c>
      <c r="N563" s="4">
        <v>10367.769</v>
      </c>
      <c r="O563" s="4">
        <v>9745.7028599999994</v>
      </c>
      <c r="P563" s="4">
        <v>0</v>
      </c>
      <c r="Q563" s="3" t="s">
        <v>26</v>
      </c>
      <c r="R563" s="3">
        <v>0</v>
      </c>
      <c r="S563" s="3" t="s">
        <v>211</v>
      </c>
      <c r="T563" s="3" t="s">
        <v>544</v>
      </c>
      <c r="U563" s="3">
        <v>87</v>
      </c>
      <c r="V563" s="3">
        <v>88</v>
      </c>
      <c r="W563" s="3">
        <v>73</v>
      </c>
    </row>
    <row r="564" spans="1:23" ht="11.25" customHeight="1" x14ac:dyDescent="0.25">
      <c r="A564" s="3" t="s">
        <v>21</v>
      </c>
      <c r="B564" s="3" t="s">
        <v>33</v>
      </c>
      <c r="C564" s="3" t="s">
        <v>42</v>
      </c>
      <c r="D564" s="3" t="s">
        <v>50</v>
      </c>
      <c r="E564" s="3" t="s">
        <v>51</v>
      </c>
      <c r="F564" s="3" t="s">
        <v>25</v>
      </c>
      <c r="G564" s="3" t="s">
        <v>25</v>
      </c>
      <c r="H564" s="3" t="s">
        <v>36</v>
      </c>
      <c r="I564" s="6">
        <v>44562</v>
      </c>
      <c r="J564" s="4">
        <v>19310</v>
      </c>
      <c r="K564" s="4">
        <v>18151.400000000001</v>
      </c>
      <c r="L564" s="4">
        <v>10213.36</v>
      </c>
      <c r="M564" s="4">
        <v>9600.5583999999999</v>
      </c>
      <c r="N564" s="4">
        <v>10213.36</v>
      </c>
      <c r="O564" s="4">
        <v>9600.5583999999999</v>
      </c>
      <c r="P564" s="4">
        <v>0</v>
      </c>
      <c r="Q564" s="3" t="s">
        <v>26</v>
      </c>
      <c r="R564" s="3">
        <v>0</v>
      </c>
      <c r="S564" s="3" t="s">
        <v>212</v>
      </c>
      <c r="T564" s="3" t="s">
        <v>545</v>
      </c>
      <c r="U564" s="3">
        <v>87</v>
      </c>
      <c r="V564" s="3">
        <v>88</v>
      </c>
      <c r="W564" s="3">
        <v>73</v>
      </c>
    </row>
    <row r="565" spans="1:23" ht="11.25" customHeight="1" x14ac:dyDescent="0.25">
      <c r="A565" s="3" t="s">
        <v>21</v>
      </c>
      <c r="B565" s="3" t="s">
        <v>33</v>
      </c>
      <c r="C565" s="3" t="s">
        <v>42</v>
      </c>
      <c r="D565" s="3" t="s">
        <v>50</v>
      </c>
      <c r="E565" s="3" t="s">
        <v>51</v>
      </c>
      <c r="F565" s="3" t="s">
        <v>25</v>
      </c>
      <c r="G565" s="3" t="s">
        <v>25</v>
      </c>
      <c r="H565" s="3" t="s">
        <v>36</v>
      </c>
      <c r="I565" s="6">
        <v>44593</v>
      </c>
      <c r="J565" s="4">
        <v>19161</v>
      </c>
      <c r="K565" s="4">
        <v>18011.34</v>
      </c>
      <c r="L565" s="4">
        <v>8892.4869999999992</v>
      </c>
      <c r="M565" s="4">
        <v>8358.9377800000002</v>
      </c>
      <c r="N565" s="4">
        <v>8892.4869999999992</v>
      </c>
      <c r="O565" s="4">
        <v>8358.9377800000002</v>
      </c>
      <c r="P565" s="4">
        <v>0</v>
      </c>
      <c r="Q565" s="3" t="s">
        <v>26</v>
      </c>
      <c r="R565" s="3">
        <v>0</v>
      </c>
      <c r="S565" s="3" t="s">
        <v>213</v>
      </c>
      <c r="T565" s="3" t="s">
        <v>546</v>
      </c>
      <c r="U565" s="3">
        <v>87</v>
      </c>
      <c r="V565" s="3">
        <v>88</v>
      </c>
      <c r="W565" s="3">
        <v>73</v>
      </c>
    </row>
    <row r="566" spans="1:23" ht="11.25" customHeight="1" x14ac:dyDescent="0.25">
      <c r="A566" s="3" t="s">
        <v>21</v>
      </c>
      <c r="B566" s="3" t="s">
        <v>33</v>
      </c>
      <c r="C566" s="3" t="s">
        <v>42</v>
      </c>
      <c r="D566" s="3" t="s">
        <v>50</v>
      </c>
      <c r="E566" s="3" t="s">
        <v>51</v>
      </c>
      <c r="F566" s="3" t="s">
        <v>25</v>
      </c>
      <c r="G566" s="3" t="s">
        <v>25</v>
      </c>
      <c r="H566" s="3" t="s">
        <v>36</v>
      </c>
      <c r="I566" s="6">
        <v>44621</v>
      </c>
      <c r="J566" s="4">
        <v>19195</v>
      </c>
      <c r="K566" s="4">
        <v>18043.3</v>
      </c>
      <c r="L566" s="4">
        <v>10114.501</v>
      </c>
      <c r="M566" s="4">
        <v>9507.6309399999991</v>
      </c>
      <c r="N566" s="4">
        <v>10114.501</v>
      </c>
      <c r="O566" s="4">
        <v>9507.6309399999991</v>
      </c>
      <c r="P566" s="4">
        <v>0</v>
      </c>
      <c r="Q566" s="3" t="s">
        <v>26</v>
      </c>
      <c r="R566" s="3">
        <v>0</v>
      </c>
      <c r="S566" s="3" t="s">
        <v>214</v>
      </c>
      <c r="T566" s="3" t="s">
        <v>547</v>
      </c>
      <c r="U566" s="3">
        <v>87</v>
      </c>
      <c r="V566" s="3">
        <v>88</v>
      </c>
      <c r="W566" s="3">
        <v>73</v>
      </c>
    </row>
    <row r="567" spans="1:23" ht="11.25" customHeight="1" x14ac:dyDescent="0.25">
      <c r="A567" s="3" t="s">
        <v>56</v>
      </c>
      <c r="B567" s="3" t="s">
        <v>33</v>
      </c>
      <c r="C567" s="3" t="s">
        <v>42</v>
      </c>
      <c r="D567" s="3" t="s">
        <v>50</v>
      </c>
      <c r="E567" s="3" t="s">
        <v>51</v>
      </c>
      <c r="F567" s="3" t="s">
        <v>25</v>
      </c>
      <c r="G567" s="3" t="s">
        <v>25</v>
      </c>
      <c r="H567" s="3" t="s">
        <v>36</v>
      </c>
      <c r="I567" s="6">
        <v>44652</v>
      </c>
      <c r="J567" s="4">
        <v>19195</v>
      </c>
      <c r="K567" s="4">
        <v>18043.3</v>
      </c>
      <c r="L567" s="4">
        <v>10114.501</v>
      </c>
      <c r="M567" s="4">
        <v>9507.6309399999991</v>
      </c>
      <c r="N567" s="4">
        <v>10114.501</v>
      </c>
      <c r="O567" s="4">
        <v>9507.6309399999991</v>
      </c>
      <c r="P567" s="4">
        <v>0</v>
      </c>
      <c r="Q567" s="3" t="s">
        <v>26</v>
      </c>
      <c r="R567" s="3">
        <v>0</v>
      </c>
      <c r="S567" s="3" t="s">
        <v>215</v>
      </c>
      <c r="T567" s="3" t="s">
        <v>548</v>
      </c>
      <c r="U567" s="3">
        <v>87</v>
      </c>
      <c r="V567" s="3">
        <v>88</v>
      </c>
      <c r="W567" s="3">
        <v>73</v>
      </c>
    </row>
    <row r="568" spans="1:23" ht="11.25" customHeight="1" x14ac:dyDescent="0.25">
      <c r="A568" s="3" t="s">
        <v>21</v>
      </c>
      <c r="B568" s="3" t="s">
        <v>33</v>
      </c>
      <c r="C568" s="3" t="s">
        <v>42</v>
      </c>
      <c r="D568" s="3" t="s">
        <v>50</v>
      </c>
      <c r="E568" s="3" t="s">
        <v>51</v>
      </c>
      <c r="F568" s="3" t="s">
        <v>25</v>
      </c>
      <c r="G568" s="3" t="s">
        <v>25</v>
      </c>
      <c r="H568" s="3" t="s">
        <v>35</v>
      </c>
      <c r="I568" s="6">
        <v>44317</v>
      </c>
      <c r="J568" s="4">
        <v>19802</v>
      </c>
      <c r="K568" s="4">
        <v>18613.88</v>
      </c>
      <c r="L568" s="4">
        <v>938.35599999999999</v>
      </c>
      <c r="M568" s="4">
        <v>882.05463999999995</v>
      </c>
      <c r="N568" s="4">
        <v>938.35599999999999</v>
      </c>
      <c r="O568" s="4">
        <v>882.05463999999995</v>
      </c>
      <c r="P568" s="4">
        <v>0</v>
      </c>
      <c r="Q568" s="3" t="s">
        <v>26</v>
      </c>
      <c r="R568" s="3">
        <v>0</v>
      </c>
      <c r="S568" s="3" t="s">
        <v>216</v>
      </c>
      <c r="T568" s="3" t="s">
        <v>549</v>
      </c>
      <c r="U568" s="3">
        <v>91</v>
      </c>
      <c r="V568" s="3">
        <v>88</v>
      </c>
      <c r="W568" s="3">
        <v>72</v>
      </c>
    </row>
    <row r="569" spans="1:23" ht="11.25" customHeight="1" x14ac:dyDescent="0.25">
      <c r="A569" s="3" t="s">
        <v>21</v>
      </c>
      <c r="B569" s="3" t="s">
        <v>33</v>
      </c>
      <c r="C569" s="3" t="s">
        <v>42</v>
      </c>
      <c r="D569" s="3" t="s">
        <v>50</v>
      </c>
      <c r="E569" s="3" t="s">
        <v>51</v>
      </c>
      <c r="F569" s="3" t="s">
        <v>25</v>
      </c>
      <c r="G569" s="3" t="s">
        <v>25</v>
      </c>
      <c r="H569" s="3" t="s">
        <v>35</v>
      </c>
      <c r="I569" s="6">
        <v>44348</v>
      </c>
      <c r="J569" s="4">
        <v>19837</v>
      </c>
      <c r="K569" s="4">
        <v>18646.78</v>
      </c>
      <c r="L569" s="4">
        <v>924.98900000000003</v>
      </c>
      <c r="M569" s="4">
        <v>869.48965999999996</v>
      </c>
      <c r="N569" s="4">
        <v>924.98900000000003</v>
      </c>
      <c r="O569" s="4">
        <v>869.48965999999996</v>
      </c>
      <c r="P569" s="4">
        <v>0</v>
      </c>
      <c r="Q569" s="3" t="s">
        <v>26</v>
      </c>
      <c r="R569" s="3">
        <v>0</v>
      </c>
      <c r="S569" s="3" t="s">
        <v>217</v>
      </c>
      <c r="T569" s="3" t="s">
        <v>550</v>
      </c>
      <c r="U569" s="3">
        <v>91</v>
      </c>
      <c r="V569" s="3">
        <v>88</v>
      </c>
      <c r="W569" s="3">
        <v>72</v>
      </c>
    </row>
    <row r="570" spans="1:23" ht="11.25" customHeight="1" x14ac:dyDescent="0.25">
      <c r="A570" s="3" t="s">
        <v>21</v>
      </c>
      <c r="B570" s="3" t="s">
        <v>33</v>
      </c>
      <c r="C570" s="3" t="s">
        <v>42</v>
      </c>
      <c r="D570" s="3" t="s">
        <v>50</v>
      </c>
      <c r="E570" s="3" t="s">
        <v>51</v>
      </c>
      <c r="F570" s="3" t="s">
        <v>25</v>
      </c>
      <c r="G570" s="3" t="s">
        <v>25</v>
      </c>
      <c r="H570" s="3" t="s">
        <v>35</v>
      </c>
      <c r="I570" s="6">
        <v>44378</v>
      </c>
      <c r="J570" s="4">
        <v>19603</v>
      </c>
      <c r="K570" s="4">
        <v>18426.82</v>
      </c>
      <c r="L570" s="4">
        <v>995.70600000000002</v>
      </c>
      <c r="M570" s="4">
        <v>935.96364000000005</v>
      </c>
      <c r="N570" s="4">
        <v>995.70600000000002</v>
      </c>
      <c r="O570" s="4">
        <v>935.96364000000005</v>
      </c>
      <c r="P570" s="4">
        <v>0</v>
      </c>
      <c r="Q570" s="3" t="s">
        <v>26</v>
      </c>
      <c r="R570" s="3">
        <v>0</v>
      </c>
      <c r="S570" s="3" t="s">
        <v>218</v>
      </c>
      <c r="T570" s="3" t="s">
        <v>551</v>
      </c>
      <c r="U570" s="3">
        <v>91</v>
      </c>
      <c r="V570" s="3">
        <v>88</v>
      </c>
      <c r="W570" s="3">
        <v>72</v>
      </c>
    </row>
    <row r="571" spans="1:23" ht="11.25" customHeight="1" x14ac:dyDescent="0.25">
      <c r="A571" s="3" t="s">
        <v>21</v>
      </c>
      <c r="B571" s="3" t="s">
        <v>33</v>
      </c>
      <c r="C571" s="3" t="s">
        <v>42</v>
      </c>
      <c r="D571" s="3" t="s">
        <v>50</v>
      </c>
      <c r="E571" s="3" t="s">
        <v>51</v>
      </c>
      <c r="F571" s="3" t="s">
        <v>25</v>
      </c>
      <c r="G571" s="3" t="s">
        <v>25</v>
      </c>
      <c r="H571" s="3" t="s">
        <v>35</v>
      </c>
      <c r="I571" s="6">
        <v>44409</v>
      </c>
      <c r="J571" s="4">
        <v>20222</v>
      </c>
      <c r="K571" s="4">
        <v>19008.68</v>
      </c>
      <c r="L571" s="4">
        <v>996.13300000000004</v>
      </c>
      <c r="M571" s="4">
        <v>936.36501999999996</v>
      </c>
      <c r="N571" s="4">
        <v>996.13300000000004</v>
      </c>
      <c r="O571" s="4">
        <v>936.36501999999996</v>
      </c>
      <c r="P571" s="4">
        <v>0</v>
      </c>
      <c r="Q571" s="3" t="s">
        <v>26</v>
      </c>
      <c r="R571" s="3">
        <v>0</v>
      </c>
      <c r="S571" s="3" t="s">
        <v>219</v>
      </c>
      <c r="T571" s="3" t="s">
        <v>552</v>
      </c>
      <c r="U571" s="3">
        <v>91</v>
      </c>
      <c r="V571" s="3">
        <v>88</v>
      </c>
      <c r="W571" s="3">
        <v>72</v>
      </c>
    </row>
    <row r="572" spans="1:23" ht="11.25" customHeight="1" x14ac:dyDescent="0.25">
      <c r="A572" s="3" t="s">
        <v>21</v>
      </c>
      <c r="B572" s="3" t="s">
        <v>33</v>
      </c>
      <c r="C572" s="3" t="s">
        <v>42</v>
      </c>
      <c r="D572" s="3" t="s">
        <v>50</v>
      </c>
      <c r="E572" s="3" t="s">
        <v>51</v>
      </c>
      <c r="F572" s="3" t="s">
        <v>25</v>
      </c>
      <c r="G572" s="3" t="s">
        <v>25</v>
      </c>
      <c r="H572" s="3" t="s">
        <v>35</v>
      </c>
      <c r="I572" s="6">
        <v>44440</v>
      </c>
      <c r="J572" s="4">
        <v>20187</v>
      </c>
      <c r="K572" s="4">
        <v>18975.78</v>
      </c>
      <c r="L572" s="4">
        <v>962.42899999999997</v>
      </c>
      <c r="M572" s="4">
        <v>904.68326000000002</v>
      </c>
      <c r="N572" s="4">
        <v>962.42899999999997</v>
      </c>
      <c r="O572" s="4">
        <v>904.68326000000002</v>
      </c>
      <c r="P572" s="4">
        <v>0</v>
      </c>
      <c r="Q572" s="3" t="s">
        <v>26</v>
      </c>
      <c r="R572" s="3">
        <v>0</v>
      </c>
      <c r="S572" s="3" t="s">
        <v>220</v>
      </c>
      <c r="T572" s="3" t="s">
        <v>553</v>
      </c>
      <c r="U572" s="3">
        <v>91</v>
      </c>
      <c r="V572" s="3">
        <v>88</v>
      </c>
      <c r="W572" s="3">
        <v>72</v>
      </c>
    </row>
    <row r="573" spans="1:23" ht="11.25" customHeight="1" x14ac:dyDescent="0.25">
      <c r="A573" s="3" t="s">
        <v>21</v>
      </c>
      <c r="B573" s="3" t="s">
        <v>33</v>
      </c>
      <c r="C573" s="3" t="s">
        <v>42</v>
      </c>
      <c r="D573" s="3" t="s">
        <v>50</v>
      </c>
      <c r="E573" s="3" t="s">
        <v>51</v>
      </c>
      <c r="F573" s="3" t="s">
        <v>25</v>
      </c>
      <c r="G573" s="3" t="s">
        <v>25</v>
      </c>
      <c r="H573" s="3" t="s">
        <v>35</v>
      </c>
      <c r="I573" s="6">
        <v>44470</v>
      </c>
      <c r="J573" s="4">
        <v>19306</v>
      </c>
      <c r="K573" s="4">
        <v>18147.64</v>
      </c>
      <c r="L573" s="4">
        <v>996.08100000000002</v>
      </c>
      <c r="M573" s="4">
        <v>936.31614000000002</v>
      </c>
      <c r="N573" s="4">
        <v>996.08100000000002</v>
      </c>
      <c r="O573" s="4">
        <v>936.31614000000002</v>
      </c>
      <c r="P573" s="4">
        <v>0</v>
      </c>
      <c r="Q573" s="3" t="s">
        <v>26</v>
      </c>
      <c r="R573" s="3">
        <v>0</v>
      </c>
      <c r="S573" s="3" t="s">
        <v>221</v>
      </c>
      <c r="T573" s="3" t="s">
        <v>554</v>
      </c>
      <c r="U573" s="3">
        <v>91</v>
      </c>
      <c r="V573" s="3">
        <v>88</v>
      </c>
      <c r="W573" s="3">
        <v>72</v>
      </c>
    </row>
    <row r="574" spans="1:23" ht="11.25" customHeight="1" x14ac:dyDescent="0.25">
      <c r="A574" s="3" t="s">
        <v>21</v>
      </c>
      <c r="B574" s="3" t="s">
        <v>33</v>
      </c>
      <c r="C574" s="3" t="s">
        <v>42</v>
      </c>
      <c r="D574" s="3" t="s">
        <v>50</v>
      </c>
      <c r="E574" s="3" t="s">
        <v>51</v>
      </c>
      <c r="F574" s="3" t="s">
        <v>25</v>
      </c>
      <c r="G574" s="3" t="s">
        <v>25</v>
      </c>
      <c r="H574" s="3" t="s">
        <v>35</v>
      </c>
      <c r="I574" s="6">
        <v>44501</v>
      </c>
      <c r="J574" s="4">
        <v>19318</v>
      </c>
      <c r="K574" s="4">
        <v>18158.919999999998</v>
      </c>
      <c r="L574" s="4">
        <v>908.31200000000001</v>
      </c>
      <c r="M574" s="4">
        <v>853.81327999999996</v>
      </c>
      <c r="N574" s="4">
        <v>908.31200000000001</v>
      </c>
      <c r="O574" s="4">
        <v>853.81327999999996</v>
      </c>
      <c r="P574" s="4">
        <v>0</v>
      </c>
      <c r="Q574" s="3" t="s">
        <v>26</v>
      </c>
      <c r="R574" s="3">
        <v>0</v>
      </c>
      <c r="S574" s="3" t="s">
        <v>222</v>
      </c>
      <c r="T574" s="3" t="s">
        <v>555</v>
      </c>
      <c r="U574" s="3">
        <v>91</v>
      </c>
      <c r="V574" s="3">
        <v>88</v>
      </c>
      <c r="W574" s="3">
        <v>72</v>
      </c>
    </row>
    <row r="575" spans="1:23" ht="11.25" customHeight="1" x14ac:dyDescent="0.25">
      <c r="A575" s="3" t="s">
        <v>21</v>
      </c>
      <c r="B575" s="3" t="s">
        <v>33</v>
      </c>
      <c r="C575" s="3" t="s">
        <v>42</v>
      </c>
      <c r="D575" s="3" t="s">
        <v>50</v>
      </c>
      <c r="E575" s="3" t="s">
        <v>51</v>
      </c>
      <c r="F575" s="3" t="s">
        <v>25</v>
      </c>
      <c r="G575" s="3" t="s">
        <v>25</v>
      </c>
      <c r="H575" s="3" t="s">
        <v>35</v>
      </c>
      <c r="I575" s="6">
        <v>44531</v>
      </c>
      <c r="J575" s="4">
        <v>19424</v>
      </c>
      <c r="K575" s="4">
        <v>18258.560000000001</v>
      </c>
      <c r="L575" s="4">
        <v>1059.7370000000001</v>
      </c>
      <c r="M575" s="4">
        <v>996.15278000000001</v>
      </c>
      <c r="N575" s="4">
        <v>1059.7370000000001</v>
      </c>
      <c r="O575" s="4">
        <v>996.15278000000001</v>
      </c>
      <c r="P575" s="4">
        <v>0</v>
      </c>
      <c r="Q575" s="3" t="s">
        <v>26</v>
      </c>
      <c r="R575" s="3">
        <v>0</v>
      </c>
      <c r="S575" s="3" t="s">
        <v>223</v>
      </c>
      <c r="T575" s="3" t="s">
        <v>556</v>
      </c>
      <c r="U575" s="3">
        <v>91</v>
      </c>
      <c r="V575" s="3">
        <v>88</v>
      </c>
      <c r="W575" s="3">
        <v>72</v>
      </c>
    </row>
    <row r="576" spans="1:23" ht="11.25" customHeight="1" x14ac:dyDescent="0.25">
      <c r="A576" s="3" t="s">
        <v>21</v>
      </c>
      <c r="B576" s="3" t="s">
        <v>33</v>
      </c>
      <c r="C576" s="3" t="s">
        <v>42</v>
      </c>
      <c r="D576" s="3" t="s">
        <v>50</v>
      </c>
      <c r="E576" s="3" t="s">
        <v>51</v>
      </c>
      <c r="F576" s="3" t="s">
        <v>25</v>
      </c>
      <c r="G576" s="3" t="s">
        <v>25</v>
      </c>
      <c r="H576" s="3" t="s">
        <v>35</v>
      </c>
      <c r="I576" s="6">
        <v>44562</v>
      </c>
      <c r="J576" s="4">
        <v>19206</v>
      </c>
      <c r="K576" s="4">
        <v>18053.64</v>
      </c>
      <c r="L576" s="4">
        <v>944.80399999999997</v>
      </c>
      <c r="M576" s="4">
        <v>888.11576000000002</v>
      </c>
      <c r="N576" s="4">
        <v>944.80399999999997</v>
      </c>
      <c r="O576" s="4">
        <v>888.11576000000002</v>
      </c>
      <c r="P576" s="4">
        <v>0</v>
      </c>
      <c r="Q576" s="3" t="s">
        <v>26</v>
      </c>
      <c r="R576" s="3">
        <v>0</v>
      </c>
      <c r="S576" s="3" t="s">
        <v>224</v>
      </c>
      <c r="T576" s="3" t="s">
        <v>557</v>
      </c>
      <c r="U576" s="3">
        <v>91</v>
      </c>
      <c r="V576" s="3">
        <v>88</v>
      </c>
      <c r="W576" s="3">
        <v>72</v>
      </c>
    </row>
    <row r="577" spans="1:23" ht="11.25" customHeight="1" x14ac:dyDescent="0.25">
      <c r="A577" s="3" t="s">
        <v>21</v>
      </c>
      <c r="B577" s="3" t="s">
        <v>33</v>
      </c>
      <c r="C577" s="3" t="s">
        <v>42</v>
      </c>
      <c r="D577" s="3" t="s">
        <v>50</v>
      </c>
      <c r="E577" s="3" t="s">
        <v>51</v>
      </c>
      <c r="F577" s="3" t="s">
        <v>25</v>
      </c>
      <c r="G577" s="3" t="s">
        <v>25</v>
      </c>
      <c r="H577" s="3" t="s">
        <v>35</v>
      </c>
      <c r="I577" s="6">
        <v>44593</v>
      </c>
      <c r="J577" s="4">
        <v>19036</v>
      </c>
      <c r="K577" s="4">
        <v>17893.84</v>
      </c>
      <c r="L577" s="4">
        <v>854.39700000000005</v>
      </c>
      <c r="M577" s="4">
        <v>803.13318000000004</v>
      </c>
      <c r="N577" s="4">
        <v>854.39700000000005</v>
      </c>
      <c r="O577" s="4">
        <v>803.13318000000004</v>
      </c>
      <c r="P577" s="4">
        <v>0</v>
      </c>
      <c r="Q577" s="3" t="s">
        <v>26</v>
      </c>
      <c r="R577" s="3">
        <v>0</v>
      </c>
      <c r="S577" s="3" t="s">
        <v>225</v>
      </c>
      <c r="T577" s="3" t="s">
        <v>558</v>
      </c>
      <c r="U577" s="3">
        <v>91</v>
      </c>
      <c r="V577" s="3">
        <v>88</v>
      </c>
      <c r="W577" s="3">
        <v>72</v>
      </c>
    </row>
    <row r="578" spans="1:23" ht="11.25" customHeight="1" x14ac:dyDescent="0.25">
      <c r="A578" s="3" t="s">
        <v>21</v>
      </c>
      <c r="B578" s="3" t="s">
        <v>33</v>
      </c>
      <c r="C578" s="3" t="s">
        <v>42</v>
      </c>
      <c r="D578" s="3" t="s">
        <v>50</v>
      </c>
      <c r="E578" s="3" t="s">
        <v>51</v>
      </c>
      <c r="F578" s="3" t="s">
        <v>25</v>
      </c>
      <c r="G578" s="3" t="s">
        <v>25</v>
      </c>
      <c r="H578" s="3" t="s">
        <v>35</v>
      </c>
      <c r="I578" s="6">
        <v>44621</v>
      </c>
      <c r="J578" s="4">
        <v>19159</v>
      </c>
      <c r="K578" s="4">
        <v>18009.46</v>
      </c>
      <c r="L578" s="4">
        <v>969.45799999999997</v>
      </c>
      <c r="M578" s="4">
        <v>911.29052000000001</v>
      </c>
      <c r="N578" s="4">
        <v>969.45799999999997</v>
      </c>
      <c r="O578" s="4">
        <v>911.29052000000001</v>
      </c>
      <c r="P578" s="4">
        <v>0</v>
      </c>
      <c r="Q578" s="3" t="s">
        <v>26</v>
      </c>
      <c r="R578" s="3">
        <v>0</v>
      </c>
      <c r="S578" s="3" t="s">
        <v>226</v>
      </c>
      <c r="T578" s="3" t="s">
        <v>559</v>
      </c>
      <c r="U578" s="3">
        <v>91</v>
      </c>
      <c r="V578" s="3">
        <v>88</v>
      </c>
      <c r="W578" s="3">
        <v>72</v>
      </c>
    </row>
    <row r="579" spans="1:23" ht="11.25" customHeight="1" x14ac:dyDescent="0.25">
      <c r="A579" s="3" t="s">
        <v>56</v>
      </c>
      <c r="B579" s="3" t="s">
        <v>33</v>
      </c>
      <c r="C579" s="3" t="s">
        <v>42</v>
      </c>
      <c r="D579" s="3" t="s">
        <v>50</v>
      </c>
      <c r="E579" s="3" t="s">
        <v>51</v>
      </c>
      <c r="F579" s="3" t="s">
        <v>25</v>
      </c>
      <c r="G579" s="3" t="s">
        <v>25</v>
      </c>
      <c r="H579" s="3" t="s">
        <v>35</v>
      </c>
      <c r="I579" s="6">
        <v>44652</v>
      </c>
      <c r="J579" s="4">
        <v>19159</v>
      </c>
      <c r="K579" s="4">
        <v>18009.46</v>
      </c>
      <c r="L579" s="4">
        <v>969.45799999999997</v>
      </c>
      <c r="M579" s="4">
        <v>911.29052000000001</v>
      </c>
      <c r="N579" s="4">
        <v>969.45799999999997</v>
      </c>
      <c r="O579" s="4">
        <v>911.29052000000001</v>
      </c>
      <c r="P579" s="4">
        <v>0</v>
      </c>
      <c r="Q579" s="3" t="s">
        <v>26</v>
      </c>
      <c r="R579" s="3">
        <v>0</v>
      </c>
      <c r="S579" s="3" t="s">
        <v>227</v>
      </c>
      <c r="T579" s="3" t="s">
        <v>560</v>
      </c>
      <c r="U579" s="3">
        <v>91</v>
      </c>
      <c r="V579" s="3">
        <v>88</v>
      </c>
      <c r="W579" s="3">
        <v>72</v>
      </c>
    </row>
    <row r="580" spans="1:23" ht="11.25" customHeight="1" x14ac:dyDescent="0.25">
      <c r="A580" s="3" t="s">
        <v>21</v>
      </c>
      <c r="B580" s="3" t="s">
        <v>33</v>
      </c>
      <c r="C580" s="3" t="s">
        <v>61</v>
      </c>
      <c r="D580" s="3" t="s">
        <v>25</v>
      </c>
      <c r="E580" s="3" t="s">
        <v>25</v>
      </c>
      <c r="F580" s="3" t="s">
        <v>25</v>
      </c>
      <c r="G580" s="3" t="s">
        <v>62</v>
      </c>
      <c r="H580" s="3" t="s">
        <v>36</v>
      </c>
      <c r="I580" s="6">
        <v>44317</v>
      </c>
      <c r="J580" s="4">
        <v>600</v>
      </c>
      <c r="K580" s="4">
        <v>600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3" t="s">
        <v>63</v>
      </c>
      <c r="R580" s="3">
        <v>43</v>
      </c>
      <c r="S580" s="3" t="s">
        <v>240</v>
      </c>
      <c r="U580" s="3">
        <v>4</v>
      </c>
      <c r="V580" s="3">
        <v>0</v>
      </c>
      <c r="W580" s="3">
        <v>0</v>
      </c>
    </row>
    <row r="581" spans="1:23" ht="11.25" customHeight="1" x14ac:dyDescent="0.25">
      <c r="A581" s="3" t="s">
        <v>21</v>
      </c>
      <c r="B581" s="3" t="s">
        <v>33</v>
      </c>
      <c r="C581" s="3" t="s">
        <v>61</v>
      </c>
      <c r="D581" s="3" t="s">
        <v>25</v>
      </c>
      <c r="E581" s="3" t="s">
        <v>25</v>
      </c>
      <c r="F581" s="3" t="s">
        <v>25</v>
      </c>
      <c r="G581" s="3" t="s">
        <v>62</v>
      </c>
      <c r="H581" s="3" t="s">
        <v>36</v>
      </c>
      <c r="I581" s="6">
        <v>44348</v>
      </c>
      <c r="J581" s="4">
        <v>600</v>
      </c>
      <c r="K581" s="4">
        <v>600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3" t="s">
        <v>63</v>
      </c>
      <c r="R581" s="3">
        <v>43</v>
      </c>
      <c r="S581" s="3" t="s">
        <v>241</v>
      </c>
      <c r="U581" s="3">
        <v>4</v>
      </c>
      <c r="V581" s="3">
        <v>0</v>
      </c>
      <c r="W581" s="3">
        <v>0</v>
      </c>
    </row>
    <row r="582" spans="1:23" ht="11.25" customHeight="1" x14ac:dyDescent="0.25">
      <c r="A582" s="3" t="s">
        <v>21</v>
      </c>
      <c r="B582" s="3" t="s">
        <v>33</v>
      </c>
      <c r="C582" s="3" t="s">
        <v>61</v>
      </c>
      <c r="D582" s="3" t="s">
        <v>25</v>
      </c>
      <c r="E582" s="3" t="s">
        <v>25</v>
      </c>
      <c r="F582" s="3" t="s">
        <v>25</v>
      </c>
      <c r="G582" s="3" t="s">
        <v>62</v>
      </c>
      <c r="H582" s="3" t="s">
        <v>36</v>
      </c>
      <c r="I582" s="6">
        <v>44378</v>
      </c>
      <c r="J582" s="4">
        <v>1196</v>
      </c>
      <c r="K582" s="4">
        <v>1196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3" t="s">
        <v>63</v>
      </c>
      <c r="R582" s="3">
        <v>43</v>
      </c>
      <c r="S582" s="3" t="s">
        <v>242</v>
      </c>
      <c r="U582" s="3">
        <v>4</v>
      </c>
      <c r="V582" s="3">
        <v>0</v>
      </c>
      <c r="W582" s="3">
        <v>0</v>
      </c>
    </row>
    <row r="583" spans="1:23" ht="11.25" customHeight="1" x14ac:dyDescent="0.25">
      <c r="A583" s="3" t="s">
        <v>21</v>
      </c>
      <c r="B583" s="3" t="s">
        <v>33</v>
      </c>
      <c r="C583" s="3" t="s">
        <v>61</v>
      </c>
      <c r="D583" s="3" t="s">
        <v>25</v>
      </c>
      <c r="E583" s="3" t="s">
        <v>25</v>
      </c>
      <c r="F583" s="3" t="s">
        <v>25</v>
      </c>
      <c r="G583" s="3" t="s">
        <v>62</v>
      </c>
      <c r="H583" s="3" t="s">
        <v>36</v>
      </c>
      <c r="I583" s="6">
        <v>44409</v>
      </c>
      <c r="J583" s="4">
        <v>600</v>
      </c>
      <c r="K583" s="4">
        <v>600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3" t="s">
        <v>63</v>
      </c>
      <c r="R583" s="3">
        <v>43</v>
      </c>
      <c r="S583" s="3" t="s">
        <v>243</v>
      </c>
      <c r="U583" s="3">
        <v>4</v>
      </c>
      <c r="V583" s="3">
        <v>0</v>
      </c>
      <c r="W583" s="3">
        <v>0</v>
      </c>
    </row>
    <row r="584" spans="1:23" ht="11.25" customHeight="1" x14ac:dyDescent="0.25">
      <c r="A584" s="3" t="s">
        <v>21</v>
      </c>
      <c r="B584" s="3" t="s">
        <v>33</v>
      </c>
      <c r="C584" s="3" t="s">
        <v>61</v>
      </c>
      <c r="D584" s="3" t="s">
        <v>25</v>
      </c>
      <c r="E584" s="3" t="s">
        <v>25</v>
      </c>
      <c r="F584" s="3" t="s">
        <v>25</v>
      </c>
      <c r="G584" s="3" t="s">
        <v>62</v>
      </c>
      <c r="H584" s="3" t="s">
        <v>36</v>
      </c>
      <c r="I584" s="6">
        <v>44440</v>
      </c>
      <c r="J584" s="4">
        <v>600</v>
      </c>
      <c r="K584" s="4">
        <v>600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3" t="s">
        <v>63</v>
      </c>
      <c r="R584" s="3">
        <v>43</v>
      </c>
      <c r="S584" s="3" t="s">
        <v>244</v>
      </c>
      <c r="U584" s="3">
        <v>4</v>
      </c>
      <c r="V584" s="3">
        <v>0</v>
      </c>
      <c r="W584" s="3">
        <v>0</v>
      </c>
    </row>
    <row r="585" spans="1:23" ht="11.25" customHeight="1" x14ac:dyDescent="0.25">
      <c r="A585" s="3" t="s">
        <v>21</v>
      </c>
      <c r="B585" s="3" t="s">
        <v>33</v>
      </c>
      <c r="C585" s="3" t="s">
        <v>61</v>
      </c>
      <c r="D585" s="3" t="s">
        <v>25</v>
      </c>
      <c r="E585" s="3" t="s">
        <v>25</v>
      </c>
      <c r="F585" s="3" t="s">
        <v>25</v>
      </c>
      <c r="G585" s="3" t="s">
        <v>62</v>
      </c>
      <c r="H585" s="3" t="s">
        <v>36</v>
      </c>
      <c r="I585" s="6">
        <v>44470</v>
      </c>
      <c r="J585" s="4">
        <v>600</v>
      </c>
      <c r="K585" s="4">
        <v>600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3" t="s">
        <v>63</v>
      </c>
      <c r="R585" s="3">
        <v>43</v>
      </c>
      <c r="S585" s="3" t="s">
        <v>245</v>
      </c>
      <c r="U585" s="3">
        <v>4</v>
      </c>
      <c r="V585" s="3">
        <v>0</v>
      </c>
      <c r="W585" s="3">
        <v>0</v>
      </c>
    </row>
    <row r="586" spans="1:23" ht="11.25" customHeight="1" x14ac:dyDescent="0.25">
      <c r="A586" s="3" t="s">
        <v>21</v>
      </c>
      <c r="B586" s="3" t="s">
        <v>33</v>
      </c>
      <c r="C586" s="3" t="s">
        <v>61</v>
      </c>
      <c r="D586" s="3" t="s">
        <v>25</v>
      </c>
      <c r="E586" s="3" t="s">
        <v>25</v>
      </c>
      <c r="F586" s="3" t="s">
        <v>25</v>
      </c>
      <c r="G586" s="3" t="s">
        <v>62</v>
      </c>
      <c r="H586" s="3" t="s">
        <v>36</v>
      </c>
      <c r="I586" s="6">
        <v>44501</v>
      </c>
      <c r="J586" s="4">
        <v>600</v>
      </c>
      <c r="K586" s="4">
        <v>600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3" t="s">
        <v>63</v>
      </c>
      <c r="R586" s="3">
        <v>43</v>
      </c>
      <c r="S586" s="3" t="s">
        <v>246</v>
      </c>
      <c r="U586" s="3">
        <v>4</v>
      </c>
      <c r="V586" s="3">
        <v>0</v>
      </c>
      <c r="W586" s="3">
        <v>0</v>
      </c>
    </row>
    <row r="587" spans="1:23" ht="11.25" customHeight="1" x14ac:dyDescent="0.25">
      <c r="A587" s="3" t="s">
        <v>21</v>
      </c>
      <c r="B587" s="3" t="s">
        <v>33</v>
      </c>
      <c r="C587" s="3" t="s">
        <v>61</v>
      </c>
      <c r="D587" s="3" t="s">
        <v>25</v>
      </c>
      <c r="E587" s="3" t="s">
        <v>25</v>
      </c>
      <c r="F587" s="3" t="s">
        <v>25</v>
      </c>
      <c r="G587" s="3" t="s">
        <v>62</v>
      </c>
      <c r="H587" s="3" t="s">
        <v>36</v>
      </c>
      <c r="I587" s="6">
        <v>44531</v>
      </c>
      <c r="J587" s="4">
        <v>600</v>
      </c>
      <c r="K587" s="4">
        <v>600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3" t="s">
        <v>63</v>
      </c>
      <c r="R587" s="3">
        <v>43</v>
      </c>
      <c r="S587" s="3" t="s">
        <v>247</v>
      </c>
      <c r="U587" s="3">
        <v>4</v>
      </c>
      <c r="V587" s="3">
        <v>0</v>
      </c>
      <c r="W587" s="3">
        <v>0</v>
      </c>
    </row>
    <row r="588" spans="1:23" ht="11.25" customHeight="1" x14ac:dyDescent="0.25">
      <c r="A588" s="3" t="s">
        <v>21</v>
      </c>
      <c r="B588" s="3" t="s">
        <v>33</v>
      </c>
      <c r="C588" s="3" t="s">
        <v>61</v>
      </c>
      <c r="D588" s="3" t="s">
        <v>25</v>
      </c>
      <c r="E588" s="3" t="s">
        <v>25</v>
      </c>
      <c r="F588" s="3" t="s">
        <v>25</v>
      </c>
      <c r="G588" s="3" t="s">
        <v>62</v>
      </c>
      <c r="H588" s="3" t="s">
        <v>36</v>
      </c>
      <c r="I588" s="6">
        <v>44562</v>
      </c>
      <c r="J588" s="4">
        <v>600</v>
      </c>
      <c r="K588" s="4">
        <v>600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3" t="s">
        <v>63</v>
      </c>
      <c r="R588" s="3">
        <v>43</v>
      </c>
      <c r="S588" s="3" t="s">
        <v>248</v>
      </c>
      <c r="U588" s="3">
        <v>4</v>
      </c>
      <c r="V588" s="3">
        <v>0</v>
      </c>
      <c r="W588" s="3">
        <v>0</v>
      </c>
    </row>
    <row r="589" spans="1:23" ht="11.25" customHeight="1" x14ac:dyDescent="0.25">
      <c r="A589" s="3" t="s">
        <v>21</v>
      </c>
      <c r="B589" s="3" t="s">
        <v>33</v>
      </c>
      <c r="C589" s="3" t="s">
        <v>61</v>
      </c>
      <c r="D589" s="3" t="s">
        <v>25</v>
      </c>
      <c r="E589" s="3" t="s">
        <v>25</v>
      </c>
      <c r="F589" s="3" t="s">
        <v>25</v>
      </c>
      <c r="G589" s="3" t="s">
        <v>62</v>
      </c>
      <c r="H589" s="3" t="s">
        <v>36</v>
      </c>
      <c r="I589" s="6">
        <v>44593</v>
      </c>
      <c r="J589" s="4">
        <v>600</v>
      </c>
      <c r="K589" s="4">
        <v>600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3" t="s">
        <v>63</v>
      </c>
      <c r="R589" s="3">
        <v>43</v>
      </c>
      <c r="S589" s="3" t="s">
        <v>249</v>
      </c>
      <c r="U589" s="3">
        <v>4</v>
      </c>
      <c r="V589" s="3">
        <v>0</v>
      </c>
      <c r="W589" s="3">
        <v>0</v>
      </c>
    </row>
    <row r="590" spans="1:23" ht="11.25" customHeight="1" x14ac:dyDescent="0.25">
      <c r="A590" s="3" t="s">
        <v>21</v>
      </c>
      <c r="B590" s="3" t="s">
        <v>33</v>
      </c>
      <c r="C590" s="3" t="s">
        <v>61</v>
      </c>
      <c r="D590" s="3" t="s">
        <v>25</v>
      </c>
      <c r="E590" s="3" t="s">
        <v>25</v>
      </c>
      <c r="F590" s="3" t="s">
        <v>25</v>
      </c>
      <c r="G590" s="3" t="s">
        <v>62</v>
      </c>
      <c r="H590" s="3" t="s">
        <v>36</v>
      </c>
      <c r="I590" s="6">
        <v>44621</v>
      </c>
      <c r="J590" s="4">
        <v>600</v>
      </c>
      <c r="K590" s="4">
        <v>600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3" t="s">
        <v>63</v>
      </c>
      <c r="R590" s="3">
        <v>43</v>
      </c>
      <c r="S590" s="3" t="s">
        <v>250</v>
      </c>
      <c r="U590" s="3">
        <v>4</v>
      </c>
      <c r="V590" s="3">
        <v>0</v>
      </c>
      <c r="W590" s="3">
        <v>0</v>
      </c>
    </row>
    <row r="591" spans="1:23" ht="11.25" customHeight="1" x14ac:dyDescent="0.25">
      <c r="A591" s="3" t="s">
        <v>56</v>
      </c>
      <c r="B591" s="3" t="s">
        <v>33</v>
      </c>
      <c r="C591" s="3" t="s">
        <v>61</v>
      </c>
      <c r="D591" s="3" t="s">
        <v>25</v>
      </c>
      <c r="E591" s="3" t="s">
        <v>25</v>
      </c>
      <c r="F591" s="3" t="s">
        <v>25</v>
      </c>
      <c r="G591" s="3" t="s">
        <v>62</v>
      </c>
      <c r="H591" s="3" t="s">
        <v>36</v>
      </c>
      <c r="I591" s="6">
        <v>44652</v>
      </c>
      <c r="J591" s="4">
        <v>600</v>
      </c>
      <c r="K591" s="4">
        <v>600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3" t="s">
        <v>63</v>
      </c>
      <c r="R591" s="3">
        <v>43</v>
      </c>
      <c r="S591" s="3" t="s">
        <v>251</v>
      </c>
      <c r="U591" s="3">
        <v>4</v>
      </c>
      <c r="V591" s="3">
        <v>0</v>
      </c>
      <c r="W591" s="3">
        <v>0</v>
      </c>
    </row>
    <row r="592" spans="1:23" ht="11.25" customHeight="1" x14ac:dyDescent="0.25">
      <c r="A592" s="3" t="s">
        <v>21</v>
      </c>
      <c r="B592" s="3" t="s">
        <v>33</v>
      </c>
      <c r="C592" s="3" t="s">
        <v>61</v>
      </c>
      <c r="D592" s="3" t="s">
        <v>25</v>
      </c>
      <c r="E592" s="3" t="s">
        <v>25</v>
      </c>
      <c r="F592" s="3" t="s">
        <v>25</v>
      </c>
      <c r="G592" s="3" t="s">
        <v>62</v>
      </c>
      <c r="H592" s="3" t="s">
        <v>25</v>
      </c>
      <c r="I592" s="6">
        <v>44317</v>
      </c>
      <c r="J592" s="4">
        <v>0</v>
      </c>
      <c r="K592" s="4">
        <v>0</v>
      </c>
      <c r="L592" s="4">
        <v>237.31200000000001</v>
      </c>
      <c r="M592" s="4">
        <v>237.31200000000001</v>
      </c>
      <c r="N592" s="4">
        <v>0</v>
      </c>
      <c r="O592" s="4">
        <v>0</v>
      </c>
      <c r="P592" s="4">
        <v>0</v>
      </c>
      <c r="Q592" s="3" t="s">
        <v>63</v>
      </c>
      <c r="R592" s="3">
        <v>43</v>
      </c>
      <c r="S592" s="3" t="s">
        <v>252</v>
      </c>
      <c r="U592" s="3">
        <v>0</v>
      </c>
      <c r="V592" s="3">
        <v>5</v>
      </c>
      <c r="W592" s="3">
        <v>0</v>
      </c>
    </row>
    <row r="593" spans="1:23" ht="11.25" customHeight="1" x14ac:dyDescent="0.25">
      <c r="A593" s="3" t="s">
        <v>21</v>
      </c>
      <c r="B593" s="3" t="s">
        <v>33</v>
      </c>
      <c r="C593" s="3" t="s">
        <v>61</v>
      </c>
      <c r="D593" s="3" t="s">
        <v>25</v>
      </c>
      <c r="E593" s="3" t="s">
        <v>25</v>
      </c>
      <c r="F593" s="3" t="s">
        <v>25</v>
      </c>
      <c r="G593" s="3" t="s">
        <v>62</v>
      </c>
      <c r="H593" s="3" t="s">
        <v>25</v>
      </c>
      <c r="I593" s="6">
        <v>44348</v>
      </c>
      <c r="J593" s="4">
        <v>0</v>
      </c>
      <c r="K593" s="4">
        <v>0</v>
      </c>
      <c r="L593" s="4">
        <v>216.12200000000001</v>
      </c>
      <c r="M593" s="4">
        <v>216.12200000000001</v>
      </c>
      <c r="N593" s="4">
        <v>0</v>
      </c>
      <c r="O593" s="4">
        <v>0</v>
      </c>
      <c r="P593" s="4">
        <v>0</v>
      </c>
      <c r="Q593" s="3" t="s">
        <v>63</v>
      </c>
      <c r="R593" s="3">
        <v>43</v>
      </c>
      <c r="S593" s="3" t="s">
        <v>253</v>
      </c>
      <c r="U593" s="3">
        <v>0</v>
      </c>
      <c r="V593" s="3">
        <v>5</v>
      </c>
      <c r="W593" s="3">
        <v>0</v>
      </c>
    </row>
    <row r="594" spans="1:23" ht="11.25" customHeight="1" x14ac:dyDescent="0.25">
      <c r="A594" s="3" t="s">
        <v>21</v>
      </c>
      <c r="B594" s="3" t="s">
        <v>33</v>
      </c>
      <c r="C594" s="3" t="s">
        <v>61</v>
      </c>
      <c r="D594" s="3" t="s">
        <v>25</v>
      </c>
      <c r="E594" s="3" t="s">
        <v>25</v>
      </c>
      <c r="F594" s="3" t="s">
        <v>25</v>
      </c>
      <c r="G594" s="3" t="s">
        <v>62</v>
      </c>
      <c r="H594" s="3" t="s">
        <v>25</v>
      </c>
      <c r="I594" s="6">
        <v>44378</v>
      </c>
      <c r="J594" s="4">
        <v>0</v>
      </c>
      <c r="K594" s="4">
        <v>0</v>
      </c>
      <c r="L594" s="4">
        <v>221.47499999999999</v>
      </c>
      <c r="M594" s="4">
        <v>221.47499999999999</v>
      </c>
      <c r="N594" s="4">
        <v>0</v>
      </c>
      <c r="O594" s="4">
        <v>0</v>
      </c>
      <c r="P594" s="4">
        <v>0</v>
      </c>
      <c r="Q594" s="3" t="s">
        <v>63</v>
      </c>
      <c r="R594" s="3">
        <v>43</v>
      </c>
      <c r="S594" s="3" t="s">
        <v>254</v>
      </c>
      <c r="U594" s="3">
        <v>0</v>
      </c>
      <c r="V594" s="3">
        <v>5</v>
      </c>
      <c r="W594" s="3">
        <v>0</v>
      </c>
    </row>
    <row r="595" spans="1:23" ht="11.25" customHeight="1" x14ac:dyDescent="0.25">
      <c r="A595" s="3" t="s">
        <v>21</v>
      </c>
      <c r="B595" s="3" t="s">
        <v>33</v>
      </c>
      <c r="C595" s="3" t="s">
        <v>61</v>
      </c>
      <c r="D595" s="3" t="s">
        <v>25</v>
      </c>
      <c r="E595" s="3" t="s">
        <v>25</v>
      </c>
      <c r="F595" s="3" t="s">
        <v>25</v>
      </c>
      <c r="G595" s="3" t="s">
        <v>62</v>
      </c>
      <c r="H595" s="3" t="s">
        <v>25</v>
      </c>
      <c r="I595" s="6">
        <v>44409</v>
      </c>
      <c r="J595" s="4">
        <v>0</v>
      </c>
      <c r="K595" s="4">
        <v>0</v>
      </c>
      <c r="L595" s="4">
        <v>217.27799999999999</v>
      </c>
      <c r="M595" s="4">
        <v>217.27799999999999</v>
      </c>
      <c r="N595" s="4">
        <v>0</v>
      </c>
      <c r="O595" s="4">
        <v>0</v>
      </c>
      <c r="P595" s="4">
        <v>0</v>
      </c>
      <c r="Q595" s="3" t="s">
        <v>63</v>
      </c>
      <c r="R595" s="3">
        <v>43</v>
      </c>
      <c r="S595" s="3" t="s">
        <v>255</v>
      </c>
      <c r="U595" s="3">
        <v>0</v>
      </c>
      <c r="V595" s="3">
        <v>5</v>
      </c>
      <c r="W595" s="3">
        <v>0</v>
      </c>
    </row>
    <row r="596" spans="1:23" ht="11.25" customHeight="1" x14ac:dyDescent="0.25">
      <c r="A596" s="3" t="s">
        <v>21</v>
      </c>
      <c r="B596" s="3" t="s">
        <v>33</v>
      </c>
      <c r="C596" s="3" t="s">
        <v>61</v>
      </c>
      <c r="D596" s="3" t="s">
        <v>25</v>
      </c>
      <c r="E596" s="3" t="s">
        <v>25</v>
      </c>
      <c r="F596" s="3" t="s">
        <v>25</v>
      </c>
      <c r="G596" s="3" t="s">
        <v>62</v>
      </c>
      <c r="H596" s="3" t="s">
        <v>25</v>
      </c>
      <c r="I596" s="6">
        <v>44440</v>
      </c>
      <c r="J596" s="4">
        <v>0</v>
      </c>
      <c r="K596" s="4">
        <v>0</v>
      </c>
      <c r="L596" s="4">
        <v>219.21600000000001</v>
      </c>
      <c r="M596" s="4">
        <v>219.21600000000001</v>
      </c>
      <c r="N596" s="4">
        <v>0</v>
      </c>
      <c r="O596" s="4">
        <v>0</v>
      </c>
      <c r="P596" s="4">
        <v>0</v>
      </c>
      <c r="Q596" s="3" t="s">
        <v>63</v>
      </c>
      <c r="R596" s="3">
        <v>43</v>
      </c>
      <c r="S596" s="3" t="s">
        <v>256</v>
      </c>
      <c r="U596" s="3">
        <v>0</v>
      </c>
      <c r="V596" s="3">
        <v>5</v>
      </c>
      <c r="W596" s="3">
        <v>0</v>
      </c>
    </row>
    <row r="597" spans="1:23" ht="11.25" customHeight="1" x14ac:dyDescent="0.25">
      <c r="A597" s="3" t="s">
        <v>21</v>
      </c>
      <c r="B597" s="3" t="s">
        <v>33</v>
      </c>
      <c r="C597" s="3" t="s">
        <v>61</v>
      </c>
      <c r="D597" s="3" t="s">
        <v>25</v>
      </c>
      <c r="E597" s="3" t="s">
        <v>25</v>
      </c>
      <c r="F597" s="3" t="s">
        <v>25</v>
      </c>
      <c r="G597" s="3" t="s">
        <v>62</v>
      </c>
      <c r="H597" s="3" t="s">
        <v>25</v>
      </c>
      <c r="I597" s="6">
        <v>44470</v>
      </c>
      <c r="J597" s="4">
        <v>0</v>
      </c>
      <c r="K597" s="4">
        <v>0</v>
      </c>
      <c r="L597" s="4">
        <v>241.21199999999999</v>
      </c>
      <c r="M597" s="4">
        <v>241.21199999999999</v>
      </c>
      <c r="N597" s="4">
        <v>0</v>
      </c>
      <c r="O597" s="4">
        <v>0</v>
      </c>
      <c r="P597" s="4">
        <v>0</v>
      </c>
      <c r="Q597" s="3" t="s">
        <v>63</v>
      </c>
      <c r="R597" s="3">
        <v>43</v>
      </c>
      <c r="S597" s="3" t="s">
        <v>257</v>
      </c>
      <c r="U597" s="3">
        <v>0</v>
      </c>
      <c r="V597" s="3">
        <v>5</v>
      </c>
      <c r="W597" s="3">
        <v>0</v>
      </c>
    </row>
    <row r="598" spans="1:23" ht="11.25" customHeight="1" x14ac:dyDescent="0.25">
      <c r="A598" s="3" t="s">
        <v>21</v>
      </c>
      <c r="B598" s="3" t="s">
        <v>33</v>
      </c>
      <c r="C598" s="3" t="s">
        <v>61</v>
      </c>
      <c r="D598" s="3" t="s">
        <v>25</v>
      </c>
      <c r="E598" s="3" t="s">
        <v>25</v>
      </c>
      <c r="F598" s="3" t="s">
        <v>25</v>
      </c>
      <c r="G598" s="3" t="s">
        <v>62</v>
      </c>
      <c r="H598" s="3" t="s">
        <v>25</v>
      </c>
      <c r="I598" s="6">
        <v>44501</v>
      </c>
      <c r="J598" s="4">
        <v>0</v>
      </c>
      <c r="K598" s="4">
        <v>0</v>
      </c>
      <c r="L598" s="4">
        <v>250.42400000000001</v>
      </c>
      <c r="M598" s="4">
        <v>250.42400000000001</v>
      </c>
      <c r="N598" s="4">
        <v>0</v>
      </c>
      <c r="O598" s="4">
        <v>0</v>
      </c>
      <c r="P598" s="4">
        <v>0</v>
      </c>
      <c r="Q598" s="3" t="s">
        <v>63</v>
      </c>
      <c r="R598" s="3">
        <v>43</v>
      </c>
      <c r="S598" s="3" t="s">
        <v>258</v>
      </c>
      <c r="U598" s="3">
        <v>0</v>
      </c>
      <c r="V598" s="3">
        <v>5</v>
      </c>
      <c r="W598" s="3">
        <v>0</v>
      </c>
    </row>
    <row r="599" spans="1:23" ht="11.25" customHeight="1" x14ac:dyDescent="0.25">
      <c r="A599" s="3" t="s">
        <v>21</v>
      </c>
      <c r="B599" s="3" t="s">
        <v>33</v>
      </c>
      <c r="C599" s="3" t="s">
        <v>61</v>
      </c>
      <c r="D599" s="3" t="s">
        <v>25</v>
      </c>
      <c r="E599" s="3" t="s">
        <v>25</v>
      </c>
      <c r="F599" s="3" t="s">
        <v>25</v>
      </c>
      <c r="G599" s="3" t="s">
        <v>62</v>
      </c>
      <c r="H599" s="3" t="s">
        <v>25</v>
      </c>
      <c r="I599" s="6">
        <v>44531</v>
      </c>
      <c r="J599" s="4">
        <v>0</v>
      </c>
      <c r="K599" s="4">
        <v>0</v>
      </c>
      <c r="L599" s="4">
        <v>261.13099999999997</v>
      </c>
      <c r="M599" s="4">
        <v>261.13099999999997</v>
      </c>
      <c r="N599" s="4">
        <v>0</v>
      </c>
      <c r="O599" s="4">
        <v>0</v>
      </c>
      <c r="P599" s="4">
        <v>0</v>
      </c>
      <c r="Q599" s="3" t="s">
        <v>63</v>
      </c>
      <c r="R599" s="3">
        <v>43</v>
      </c>
      <c r="S599" s="3" t="s">
        <v>259</v>
      </c>
      <c r="U599" s="3">
        <v>0</v>
      </c>
      <c r="V599" s="3">
        <v>5</v>
      </c>
      <c r="W599" s="3">
        <v>0</v>
      </c>
    </row>
    <row r="600" spans="1:23" ht="11.25" customHeight="1" x14ac:dyDescent="0.25">
      <c r="A600" s="3" t="s">
        <v>21</v>
      </c>
      <c r="B600" s="3" t="s">
        <v>33</v>
      </c>
      <c r="C600" s="3" t="s">
        <v>61</v>
      </c>
      <c r="D600" s="3" t="s">
        <v>25</v>
      </c>
      <c r="E600" s="3" t="s">
        <v>25</v>
      </c>
      <c r="F600" s="3" t="s">
        <v>25</v>
      </c>
      <c r="G600" s="3" t="s">
        <v>62</v>
      </c>
      <c r="H600" s="3" t="s">
        <v>25</v>
      </c>
      <c r="I600" s="6">
        <v>44562</v>
      </c>
      <c r="J600" s="4">
        <v>0</v>
      </c>
      <c r="K600" s="4">
        <v>0</v>
      </c>
      <c r="L600" s="4">
        <v>253.48</v>
      </c>
      <c r="M600" s="4">
        <v>253.48</v>
      </c>
      <c r="N600" s="4">
        <v>0</v>
      </c>
      <c r="O600" s="4">
        <v>0</v>
      </c>
      <c r="P600" s="4">
        <v>0</v>
      </c>
      <c r="Q600" s="3" t="s">
        <v>63</v>
      </c>
      <c r="R600" s="3">
        <v>43</v>
      </c>
      <c r="S600" s="3" t="s">
        <v>260</v>
      </c>
      <c r="U600" s="3">
        <v>0</v>
      </c>
      <c r="V600" s="3">
        <v>5</v>
      </c>
      <c r="W600" s="3">
        <v>0</v>
      </c>
    </row>
    <row r="601" spans="1:23" ht="11.25" customHeight="1" x14ac:dyDescent="0.25">
      <c r="A601" s="3" t="s">
        <v>21</v>
      </c>
      <c r="B601" s="3" t="s">
        <v>33</v>
      </c>
      <c r="C601" s="3" t="s">
        <v>61</v>
      </c>
      <c r="D601" s="3" t="s">
        <v>25</v>
      </c>
      <c r="E601" s="3" t="s">
        <v>25</v>
      </c>
      <c r="F601" s="3" t="s">
        <v>25</v>
      </c>
      <c r="G601" s="3" t="s">
        <v>62</v>
      </c>
      <c r="H601" s="3" t="s">
        <v>25</v>
      </c>
      <c r="I601" s="6">
        <v>44593</v>
      </c>
      <c r="J601" s="4">
        <v>0</v>
      </c>
      <c r="K601" s="4">
        <v>0</v>
      </c>
      <c r="L601" s="4">
        <v>243.672</v>
      </c>
      <c r="M601" s="4">
        <v>243.672</v>
      </c>
      <c r="N601" s="4">
        <v>0</v>
      </c>
      <c r="O601" s="4">
        <v>0</v>
      </c>
      <c r="P601" s="4">
        <v>0</v>
      </c>
      <c r="Q601" s="3" t="s">
        <v>63</v>
      </c>
      <c r="R601" s="3">
        <v>43</v>
      </c>
      <c r="S601" s="3" t="s">
        <v>261</v>
      </c>
      <c r="U601" s="3">
        <v>0</v>
      </c>
      <c r="V601" s="3">
        <v>5</v>
      </c>
      <c r="W601" s="3">
        <v>0</v>
      </c>
    </row>
    <row r="602" spans="1:23" ht="11.25" customHeight="1" x14ac:dyDescent="0.25">
      <c r="A602" s="3" t="s">
        <v>21</v>
      </c>
      <c r="B602" s="3" t="s">
        <v>33</v>
      </c>
      <c r="C602" s="3" t="s">
        <v>61</v>
      </c>
      <c r="D602" s="3" t="s">
        <v>25</v>
      </c>
      <c r="E602" s="3" t="s">
        <v>25</v>
      </c>
      <c r="F602" s="3" t="s">
        <v>25</v>
      </c>
      <c r="G602" s="3" t="s">
        <v>62</v>
      </c>
      <c r="H602" s="3" t="s">
        <v>25</v>
      </c>
      <c r="I602" s="6">
        <v>44621</v>
      </c>
      <c r="J602" s="4">
        <v>0</v>
      </c>
      <c r="K602" s="4">
        <v>0</v>
      </c>
      <c r="L602" s="4">
        <v>259.66199999999998</v>
      </c>
      <c r="M602" s="4">
        <v>259.66199999999998</v>
      </c>
      <c r="N602" s="4">
        <v>0</v>
      </c>
      <c r="O602" s="4">
        <v>0</v>
      </c>
      <c r="P602" s="4">
        <v>0</v>
      </c>
      <c r="Q602" s="3" t="s">
        <v>63</v>
      </c>
      <c r="R602" s="3">
        <v>43</v>
      </c>
      <c r="S602" s="3" t="s">
        <v>262</v>
      </c>
      <c r="U602" s="3">
        <v>0</v>
      </c>
      <c r="V602" s="3">
        <v>5</v>
      </c>
      <c r="W602" s="3">
        <v>0</v>
      </c>
    </row>
    <row r="603" spans="1:23" ht="11.25" customHeight="1" x14ac:dyDescent="0.25">
      <c r="A603" s="3" t="s">
        <v>56</v>
      </c>
      <c r="B603" s="3" t="s">
        <v>33</v>
      </c>
      <c r="C603" s="3" t="s">
        <v>61</v>
      </c>
      <c r="D603" s="3" t="s">
        <v>25</v>
      </c>
      <c r="E603" s="3" t="s">
        <v>25</v>
      </c>
      <c r="F603" s="3" t="s">
        <v>25</v>
      </c>
      <c r="G603" s="3" t="s">
        <v>62</v>
      </c>
      <c r="H603" s="3" t="s">
        <v>25</v>
      </c>
      <c r="I603" s="6">
        <v>44652</v>
      </c>
      <c r="J603" s="4">
        <v>0</v>
      </c>
      <c r="K603" s="4">
        <v>0</v>
      </c>
      <c r="L603" s="4">
        <v>259.66199999999998</v>
      </c>
      <c r="M603" s="4">
        <v>259.66199999999998</v>
      </c>
      <c r="N603" s="4">
        <v>0</v>
      </c>
      <c r="O603" s="4">
        <v>0</v>
      </c>
      <c r="P603" s="4">
        <v>0</v>
      </c>
      <c r="Q603" s="3" t="s">
        <v>63</v>
      </c>
      <c r="R603" s="3">
        <v>43</v>
      </c>
      <c r="S603" s="3" t="s">
        <v>263</v>
      </c>
      <c r="U603" s="3">
        <v>0</v>
      </c>
      <c r="V603" s="3">
        <v>5</v>
      </c>
      <c r="W603" s="3">
        <v>0</v>
      </c>
    </row>
    <row r="604" spans="1:23" ht="11.25" customHeight="1" x14ac:dyDescent="0.25">
      <c r="A604" s="3" t="s">
        <v>21</v>
      </c>
      <c r="B604" s="3" t="s">
        <v>33</v>
      </c>
      <c r="C604" s="3" t="s">
        <v>61</v>
      </c>
      <c r="D604" s="3" t="s">
        <v>25</v>
      </c>
      <c r="E604" s="3" t="s">
        <v>25</v>
      </c>
      <c r="F604" s="3" t="s">
        <v>25</v>
      </c>
      <c r="G604" s="3" t="s">
        <v>62</v>
      </c>
      <c r="H604" s="3" t="s">
        <v>35</v>
      </c>
      <c r="I604" s="6">
        <v>44317</v>
      </c>
      <c r="J604" s="4">
        <v>470</v>
      </c>
      <c r="K604" s="4">
        <v>470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3" t="s">
        <v>63</v>
      </c>
      <c r="R604" s="3">
        <v>43</v>
      </c>
      <c r="S604" s="3" t="s">
        <v>264</v>
      </c>
      <c r="U604" s="3">
        <v>3</v>
      </c>
      <c r="V604" s="3">
        <v>0</v>
      </c>
      <c r="W604" s="3">
        <v>0</v>
      </c>
    </row>
    <row r="605" spans="1:23" ht="11.25" customHeight="1" x14ac:dyDescent="0.25">
      <c r="A605" s="3" t="s">
        <v>21</v>
      </c>
      <c r="B605" s="3" t="s">
        <v>33</v>
      </c>
      <c r="C605" s="3" t="s">
        <v>61</v>
      </c>
      <c r="D605" s="3" t="s">
        <v>25</v>
      </c>
      <c r="E605" s="3" t="s">
        <v>25</v>
      </c>
      <c r="F605" s="3" t="s">
        <v>25</v>
      </c>
      <c r="G605" s="3" t="s">
        <v>62</v>
      </c>
      <c r="H605" s="3" t="s">
        <v>35</v>
      </c>
      <c r="I605" s="6">
        <v>44348</v>
      </c>
      <c r="J605" s="4">
        <v>470</v>
      </c>
      <c r="K605" s="4">
        <v>470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3" t="s">
        <v>63</v>
      </c>
      <c r="R605" s="3">
        <v>43</v>
      </c>
      <c r="S605" s="3" t="s">
        <v>265</v>
      </c>
      <c r="U605" s="3">
        <v>3</v>
      </c>
      <c r="V605" s="3">
        <v>0</v>
      </c>
      <c r="W605" s="3">
        <v>0</v>
      </c>
    </row>
    <row r="606" spans="1:23" ht="11.25" customHeight="1" x14ac:dyDescent="0.25">
      <c r="A606" s="3" t="s">
        <v>21</v>
      </c>
      <c r="B606" s="3" t="s">
        <v>33</v>
      </c>
      <c r="C606" s="3" t="s">
        <v>61</v>
      </c>
      <c r="D606" s="3" t="s">
        <v>25</v>
      </c>
      <c r="E606" s="3" t="s">
        <v>25</v>
      </c>
      <c r="F606" s="3" t="s">
        <v>25</v>
      </c>
      <c r="G606" s="3" t="s">
        <v>62</v>
      </c>
      <c r="H606" s="3" t="s">
        <v>35</v>
      </c>
      <c r="I606" s="6">
        <v>44378</v>
      </c>
      <c r="J606" s="4">
        <v>470</v>
      </c>
      <c r="K606" s="4">
        <v>470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3" t="s">
        <v>63</v>
      </c>
      <c r="R606" s="3">
        <v>43</v>
      </c>
      <c r="S606" s="3" t="s">
        <v>266</v>
      </c>
      <c r="U606" s="3">
        <v>3</v>
      </c>
      <c r="V606" s="3">
        <v>0</v>
      </c>
      <c r="W606" s="3">
        <v>0</v>
      </c>
    </row>
    <row r="607" spans="1:23" ht="11.25" customHeight="1" x14ac:dyDescent="0.25">
      <c r="A607" s="3" t="s">
        <v>21</v>
      </c>
      <c r="B607" s="3" t="s">
        <v>33</v>
      </c>
      <c r="C607" s="3" t="s">
        <v>61</v>
      </c>
      <c r="D607" s="3" t="s">
        <v>25</v>
      </c>
      <c r="E607" s="3" t="s">
        <v>25</v>
      </c>
      <c r="F607" s="3" t="s">
        <v>25</v>
      </c>
      <c r="G607" s="3" t="s">
        <v>62</v>
      </c>
      <c r="H607" s="3" t="s">
        <v>35</v>
      </c>
      <c r="I607" s="6">
        <v>44409</v>
      </c>
      <c r="J607" s="4">
        <v>470</v>
      </c>
      <c r="K607" s="4">
        <v>470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3" t="s">
        <v>63</v>
      </c>
      <c r="R607" s="3">
        <v>43</v>
      </c>
      <c r="S607" s="3" t="s">
        <v>267</v>
      </c>
      <c r="U607" s="3">
        <v>3</v>
      </c>
      <c r="V607" s="3">
        <v>0</v>
      </c>
      <c r="W607" s="3">
        <v>0</v>
      </c>
    </row>
    <row r="608" spans="1:23" ht="11.25" customHeight="1" x14ac:dyDescent="0.25">
      <c r="A608" s="3" t="s">
        <v>21</v>
      </c>
      <c r="B608" s="3" t="s">
        <v>33</v>
      </c>
      <c r="C608" s="3" t="s">
        <v>61</v>
      </c>
      <c r="D608" s="3" t="s">
        <v>25</v>
      </c>
      <c r="E608" s="3" t="s">
        <v>25</v>
      </c>
      <c r="F608" s="3" t="s">
        <v>25</v>
      </c>
      <c r="G608" s="3" t="s">
        <v>62</v>
      </c>
      <c r="H608" s="3" t="s">
        <v>35</v>
      </c>
      <c r="I608" s="6">
        <v>44440</v>
      </c>
      <c r="J608" s="4">
        <v>470</v>
      </c>
      <c r="K608" s="4">
        <v>470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3" t="s">
        <v>63</v>
      </c>
      <c r="R608" s="3">
        <v>43</v>
      </c>
      <c r="S608" s="3" t="s">
        <v>268</v>
      </c>
      <c r="U608" s="3">
        <v>3</v>
      </c>
      <c r="V608" s="3">
        <v>0</v>
      </c>
      <c r="W608" s="3">
        <v>0</v>
      </c>
    </row>
    <row r="609" spans="1:23" ht="11.25" customHeight="1" x14ac:dyDescent="0.25">
      <c r="A609" s="3" t="s">
        <v>21</v>
      </c>
      <c r="B609" s="3" t="s">
        <v>33</v>
      </c>
      <c r="C609" s="3" t="s">
        <v>61</v>
      </c>
      <c r="D609" s="3" t="s">
        <v>25</v>
      </c>
      <c r="E609" s="3" t="s">
        <v>25</v>
      </c>
      <c r="F609" s="3" t="s">
        <v>25</v>
      </c>
      <c r="G609" s="3" t="s">
        <v>62</v>
      </c>
      <c r="H609" s="3" t="s">
        <v>35</v>
      </c>
      <c r="I609" s="6">
        <v>44470</v>
      </c>
      <c r="J609" s="4">
        <v>470</v>
      </c>
      <c r="K609" s="4">
        <v>470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3" t="s">
        <v>63</v>
      </c>
      <c r="R609" s="3">
        <v>43</v>
      </c>
      <c r="S609" s="3" t="s">
        <v>269</v>
      </c>
      <c r="U609" s="3">
        <v>3</v>
      </c>
      <c r="V609" s="3">
        <v>0</v>
      </c>
      <c r="W609" s="3">
        <v>0</v>
      </c>
    </row>
    <row r="610" spans="1:23" ht="11.25" customHeight="1" x14ac:dyDescent="0.25">
      <c r="A610" s="3" t="s">
        <v>21</v>
      </c>
      <c r="B610" s="3" t="s">
        <v>33</v>
      </c>
      <c r="C610" s="3" t="s">
        <v>61</v>
      </c>
      <c r="D610" s="3" t="s">
        <v>25</v>
      </c>
      <c r="E610" s="3" t="s">
        <v>25</v>
      </c>
      <c r="F610" s="3" t="s">
        <v>25</v>
      </c>
      <c r="G610" s="3" t="s">
        <v>62</v>
      </c>
      <c r="H610" s="3" t="s">
        <v>35</v>
      </c>
      <c r="I610" s="6">
        <v>44501</v>
      </c>
      <c r="J610" s="4">
        <v>470</v>
      </c>
      <c r="K610" s="4">
        <v>470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3" t="s">
        <v>63</v>
      </c>
      <c r="R610" s="3">
        <v>43</v>
      </c>
      <c r="S610" s="3" t="s">
        <v>270</v>
      </c>
      <c r="U610" s="3">
        <v>3</v>
      </c>
      <c r="V610" s="3">
        <v>0</v>
      </c>
      <c r="W610" s="3">
        <v>0</v>
      </c>
    </row>
    <row r="611" spans="1:23" ht="11.25" customHeight="1" x14ac:dyDescent="0.25">
      <c r="A611" s="3" t="s">
        <v>21</v>
      </c>
      <c r="B611" s="3" t="s">
        <v>33</v>
      </c>
      <c r="C611" s="3" t="s">
        <v>61</v>
      </c>
      <c r="D611" s="3" t="s">
        <v>25</v>
      </c>
      <c r="E611" s="3" t="s">
        <v>25</v>
      </c>
      <c r="F611" s="3" t="s">
        <v>25</v>
      </c>
      <c r="G611" s="3" t="s">
        <v>62</v>
      </c>
      <c r="H611" s="3" t="s">
        <v>35</v>
      </c>
      <c r="I611" s="6">
        <v>44531</v>
      </c>
      <c r="J611" s="4">
        <v>502</v>
      </c>
      <c r="K611" s="4">
        <v>502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3" t="s">
        <v>63</v>
      </c>
      <c r="R611" s="3">
        <v>43</v>
      </c>
      <c r="S611" s="3" t="s">
        <v>271</v>
      </c>
      <c r="U611" s="3">
        <v>3</v>
      </c>
      <c r="V611" s="3">
        <v>0</v>
      </c>
      <c r="W611" s="3">
        <v>0</v>
      </c>
    </row>
    <row r="612" spans="1:23" ht="11.25" customHeight="1" x14ac:dyDescent="0.25">
      <c r="A612" s="3" t="s">
        <v>21</v>
      </c>
      <c r="B612" s="3" t="s">
        <v>33</v>
      </c>
      <c r="C612" s="3" t="s">
        <v>61</v>
      </c>
      <c r="D612" s="3" t="s">
        <v>25</v>
      </c>
      <c r="E612" s="3" t="s">
        <v>25</v>
      </c>
      <c r="F612" s="3" t="s">
        <v>25</v>
      </c>
      <c r="G612" s="3" t="s">
        <v>62</v>
      </c>
      <c r="H612" s="3" t="s">
        <v>35</v>
      </c>
      <c r="I612" s="6">
        <v>44562</v>
      </c>
      <c r="J612" s="4">
        <v>470</v>
      </c>
      <c r="K612" s="4">
        <v>470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3" t="s">
        <v>63</v>
      </c>
      <c r="R612" s="3">
        <v>43</v>
      </c>
      <c r="S612" s="3" t="s">
        <v>272</v>
      </c>
      <c r="U612" s="3">
        <v>3</v>
      </c>
      <c r="V612" s="3">
        <v>0</v>
      </c>
      <c r="W612" s="3">
        <v>0</v>
      </c>
    </row>
    <row r="613" spans="1:23" ht="11.25" customHeight="1" x14ac:dyDescent="0.25">
      <c r="A613" s="3" t="s">
        <v>21</v>
      </c>
      <c r="B613" s="3" t="s">
        <v>33</v>
      </c>
      <c r="C613" s="3" t="s">
        <v>61</v>
      </c>
      <c r="D613" s="3" t="s">
        <v>25</v>
      </c>
      <c r="E613" s="3" t="s">
        <v>25</v>
      </c>
      <c r="F613" s="3" t="s">
        <v>25</v>
      </c>
      <c r="G613" s="3" t="s">
        <v>62</v>
      </c>
      <c r="H613" s="3" t="s">
        <v>35</v>
      </c>
      <c r="I613" s="6">
        <v>44593</v>
      </c>
      <c r="J613" s="4">
        <v>479</v>
      </c>
      <c r="K613" s="4">
        <v>479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3" t="s">
        <v>63</v>
      </c>
      <c r="R613" s="3">
        <v>43</v>
      </c>
      <c r="S613" s="3" t="s">
        <v>273</v>
      </c>
      <c r="U613" s="3">
        <v>3</v>
      </c>
      <c r="V613" s="3">
        <v>0</v>
      </c>
      <c r="W613" s="3">
        <v>0</v>
      </c>
    </row>
    <row r="614" spans="1:23" ht="11.25" customHeight="1" x14ac:dyDescent="0.25">
      <c r="A614" s="3" t="s">
        <v>21</v>
      </c>
      <c r="B614" s="3" t="s">
        <v>33</v>
      </c>
      <c r="C614" s="3" t="s">
        <v>61</v>
      </c>
      <c r="D614" s="3" t="s">
        <v>25</v>
      </c>
      <c r="E614" s="3" t="s">
        <v>25</v>
      </c>
      <c r="F614" s="3" t="s">
        <v>25</v>
      </c>
      <c r="G614" s="3" t="s">
        <v>62</v>
      </c>
      <c r="H614" s="3" t="s">
        <v>35</v>
      </c>
      <c r="I614" s="6">
        <v>44621</v>
      </c>
      <c r="J614" s="4">
        <v>475</v>
      </c>
      <c r="K614" s="4">
        <v>475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3" t="s">
        <v>63</v>
      </c>
      <c r="R614" s="3">
        <v>43</v>
      </c>
      <c r="S614" s="3" t="s">
        <v>274</v>
      </c>
      <c r="U614" s="3">
        <v>3</v>
      </c>
      <c r="V614" s="3">
        <v>0</v>
      </c>
      <c r="W614" s="3">
        <v>0</v>
      </c>
    </row>
    <row r="615" spans="1:23" ht="11.25" customHeight="1" x14ac:dyDescent="0.25">
      <c r="A615" s="3" t="s">
        <v>56</v>
      </c>
      <c r="B615" s="3" t="s">
        <v>33</v>
      </c>
      <c r="C615" s="3" t="s">
        <v>61</v>
      </c>
      <c r="D615" s="3" t="s">
        <v>25</v>
      </c>
      <c r="E615" s="3" t="s">
        <v>25</v>
      </c>
      <c r="F615" s="3" t="s">
        <v>25</v>
      </c>
      <c r="G615" s="3" t="s">
        <v>62</v>
      </c>
      <c r="H615" s="3" t="s">
        <v>35</v>
      </c>
      <c r="I615" s="6">
        <v>44652</v>
      </c>
      <c r="J615" s="4">
        <v>475</v>
      </c>
      <c r="K615" s="4">
        <v>475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3" t="s">
        <v>63</v>
      </c>
      <c r="R615" s="3">
        <v>43</v>
      </c>
      <c r="S615" s="3" t="s">
        <v>275</v>
      </c>
      <c r="U615" s="3">
        <v>3</v>
      </c>
      <c r="V615" s="3">
        <v>0</v>
      </c>
      <c r="W615" s="3">
        <v>0</v>
      </c>
    </row>
    <row r="616" spans="1:23" ht="11.25" customHeight="1" x14ac:dyDescent="0.25">
      <c r="A616" s="3" t="s">
        <v>21</v>
      </c>
      <c r="B616" s="3" t="s">
        <v>33</v>
      </c>
      <c r="C616" s="3" t="s">
        <v>64</v>
      </c>
      <c r="D616" s="3" t="s">
        <v>25</v>
      </c>
      <c r="E616" s="3" t="s">
        <v>25</v>
      </c>
      <c r="F616" s="3" t="s">
        <v>65</v>
      </c>
      <c r="G616" s="3" t="s">
        <v>68</v>
      </c>
      <c r="H616" s="3" t="s">
        <v>25</v>
      </c>
      <c r="I616" s="6">
        <v>44317</v>
      </c>
      <c r="J616" s="4">
        <v>2228</v>
      </c>
      <c r="K616" s="4">
        <v>1114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3" t="s">
        <v>67</v>
      </c>
      <c r="R616" s="3">
        <v>28543</v>
      </c>
      <c r="S616" s="3" t="s">
        <v>276</v>
      </c>
      <c r="U616" s="3">
        <v>6</v>
      </c>
      <c r="V616" s="3">
        <v>0</v>
      </c>
      <c r="W616" s="3">
        <v>0</v>
      </c>
    </row>
    <row r="617" spans="1:23" ht="11.25" customHeight="1" x14ac:dyDescent="0.25">
      <c r="A617" s="3" t="s">
        <v>21</v>
      </c>
      <c r="B617" s="3" t="s">
        <v>33</v>
      </c>
      <c r="C617" s="3" t="s">
        <v>64</v>
      </c>
      <c r="D617" s="3" t="s">
        <v>25</v>
      </c>
      <c r="E617" s="3" t="s">
        <v>25</v>
      </c>
      <c r="F617" s="3" t="s">
        <v>65</v>
      </c>
      <c r="G617" s="3" t="s">
        <v>68</v>
      </c>
      <c r="H617" s="3" t="s">
        <v>25</v>
      </c>
      <c r="I617" s="6">
        <v>44348</v>
      </c>
      <c r="J617" s="4">
        <v>2297</v>
      </c>
      <c r="K617" s="4">
        <v>1148.5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3" t="s">
        <v>67</v>
      </c>
      <c r="R617" s="3">
        <v>28543</v>
      </c>
      <c r="S617" s="3" t="s">
        <v>277</v>
      </c>
      <c r="U617" s="3">
        <v>6</v>
      </c>
      <c r="V617" s="3">
        <v>0</v>
      </c>
      <c r="W617" s="3">
        <v>0</v>
      </c>
    </row>
    <row r="618" spans="1:23" ht="11.25" customHeight="1" x14ac:dyDescent="0.25">
      <c r="A618" s="3" t="s">
        <v>21</v>
      </c>
      <c r="B618" s="3" t="s">
        <v>33</v>
      </c>
      <c r="C618" s="3" t="s">
        <v>64</v>
      </c>
      <c r="D618" s="3" t="s">
        <v>25</v>
      </c>
      <c r="E618" s="3" t="s">
        <v>25</v>
      </c>
      <c r="F618" s="3" t="s">
        <v>65</v>
      </c>
      <c r="G618" s="3" t="s">
        <v>68</v>
      </c>
      <c r="H618" s="3" t="s">
        <v>25</v>
      </c>
      <c r="I618" s="6">
        <v>44378</v>
      </c>
      <c r="J618" s="4">
        <v>2266</v>
      </c>
      <c r="K618" s="4">
        <v>1133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3" t="s">
        <v>67</v>
      </c>
      <c r="R618" s="3">
        <v>28543</v>
      </c>
      <c r="S618" s="3" t="s">
        <v>278</v>
      </c>
      <c r="U618" s="3">
        <v>6</v>
      </c>
      <c r="V618" s="3">
        <v>0</v>
      </c>
      <c r="W618" s="3">
        <v>0</v>
      </c>
    </row>
    <row r="619" spans="1:23" ht="11.25" customHeight="1" x14ac:dyDescent="0.25">
      <c r="A619" s="3" t="s">
        <v>21</v>
      </c>
      <c r="B619" s="3" t="s">
        <v>33</v>
      </c>
      <c r="C619" s="3" t="s">
        <v>64</v>
      </c>
      <c r="D619" s="3" t="s">
        <v>25</v>
      </c>
      <c r="E619" s="3" t="s">
        <v>25</v>
      </c>
      <c r="F619" s="3" t="s">
        <v>65</v>
      </c>
      <c r="G619" s="3" t="s">
        <v>68</v>
      </c>
      <c r="H619" s="3" t="s">
        <v>25</v>
      </c>
      <c r="I619" s="6">
        <v>44409</v>
      </c>
      <c r="J619" s="4">
        <v>2173</v>
      </c>
      <c r="K619" s="4">
        <v>1086.5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3" t="s">
        <v>67</v>
      </c>
      <c r="R619" s="3">
        <v>28543</v>
      </c>
      <c r="S619" s="3" t="s">
        <v>279</v>
      </c>
      <c r="U619" s="3">
        <v>6</v>
      </c>
      <c r="V619" s="3">
        <v>0</v>
      </c>
      <c r="W619" s="3">
        <v>0</v>
      </c>
    </row>
    <row r="620" spans="1:23" ht="11.25" customHeight="1" x14ac:dyDescent="0.25">
      <c r="A620" s="3" t="s">
        <v>21</v>
      </c>
      <c r="B620" s="3" t="s">
        <v>33</v>
      </c>
      <c r="C620" s="3" t="s">
        <v>64</v>
      </c>
      <c r="D620" s="3" t="s">
        <v>25</v>
      </c>
      <c r="E620" s="3" t="s">
        <v>25</v>
      </c>
      <c r="F620" s="3" t="s">
        <v>65</v>
      </c>
      <c r="G620" s="3" t="s">
        <v>68</v>
      </c>
      <c r="H620" s="3" t="s">
        <v>25</v>
      </c>
      <c r="I620" s="6">
        <v>44440</v>
      </c>
      <c r="J620" s="4">
        <v>3136</v>
      </c>
      <c r="K620" s="4">
        <v>1568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3" t="s">
        <v>67</v>
      </c>
      <c r="R620" s="3">
        <v>28543</v>
      </c>
      <c r="S620" s="3" t="s">
        <v>280</v>
      </c>
      <c r="U620" s="3">
        <v>6</v>
      </c>
      <c r="V620" s="3">
        <v>0</v>
      </c>
      <c r="W620" s="3">
        <v>0</v>
      </c>
    </row>
    <row r="621" spans="1:23" ht="11.25" customHeight="1" x14ac:dyDescent="0.25">
      <c r="A621" s="3" t="s">
        <v>21</v>
      </c>
      <c r="B621" s="3" t="s">
        <v>33</v>
      </c>
      <c r="C621" s="3" t="s">
        <v>64</v>
      </c>
      <c r="D621" s="3" t="s">
        <v>25</v>
      </c>
      <c r="E621" s="3" t="s">
        <v>25</v>
      </c>
      <c r="F621" s="3" t="s">
        <v>65</v>
      </c>
      <c r="G621" s="3" t="s">
        <v>68</v>
      </c>
      <c r="H621" s="3" t="s">
        <v>25</v>
      </c>
      <c r="I621" s="6">
        <v>44470</v>
      </c>
      <c r="J621" s="4">
        <v>2407</v>
      </c>
      <c r="K621" s="4">
        <v>1203.5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3" t="s">
        <v>67</v>
      </c>
      <c r="R621" s="3">
        <v>28543</v>
      </c>
      <c r="S621" s="3" t="s">
        <v>281</v>
      </c>
      <c r="U621" s="3">
        <v>6</v>
      </c>
      <c r="V621" s="3">
        <v>0</v>
      </c>
      <c r="W621" s="3">
        <v>0</v>
      </c>
    </row>
    <row r="622" spans="1:23" ht="11.25" customHeight="1" x14ac:dyDescent="0.25">
      <c r="A622" s="3" t="s">
        <v>21</v>
      </c>
      <c r="B622" s="3" t="s">
        <v>33</v>
      </c>
      <c r="C622" s="3" t="s">
        <v>64</v>
      </c>
      <c r="D622" s="3" t="s">
        <v>25</v>
      </c>
      <c r="E622" s="3" t="s">
        <v>25</v>
      </c>
      <c r="F622" s="3" t="s">
        <v>65</v>
      </c>
      <c r="G622" s="3" t="s">
        <v>68</v>
      </c>
      <c r="H622" s="3" t="s">
        <v>25</v>
      </c>
      <c r="I622" s="6">
        <v>44501</v>
      </c>
      <c r="J622" s="4">
        <v>2002</v>
      </c>
      <c r="K622" s="4">
        <v>1001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3" t="s">
        <v>67</v>
      </c>
      <c r="R622" s="3">
        <v>28543</v>
      </c>
      <c r="S622" s="3" t="s">
        <v>282</v>
      </c>
      <c r="U622" s="3">
        <v>6</v>
      </c>
      <c r="V622" s="3">
        <v>0</v>
      </c>
      <c r="W622" s="3">
        <v>0</v>
      </c>
    </row>
    <row r="623" spans="1:23" ht="11.25" customHeight="1" x14ac:dyDescent="0.25">
      <c r="A623" s="3" t="s">
        <v>21</v>
      </c>
      <c r="B623" s="3" t="s">
        <v>33</v>
      </c>
      <c r="C623" s="3" t="s">
        <v>64</v>
      </c>
      <c r="D623" s="3" t="s">
        <v>25</v>
      </c>
      <c r="E623" s="3" t="s">
        <v>25</v>
      </c>
      <c r="F623" s="3" t="s">
        <v>65</v>
      </c>
      <c r="G623" s="3" t="s">
        <v>68</v>
      </c>
      <c r="H623" s="3" t="s">
        <v>25</v>
      </c>
      <c r="I623" s="6">
        <v>44531</v>
      </c>
      <c r="J623" s="4">
        <v>2119</v>
      </c>
      <c r="K623" s="4">
        <v>1059.5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3" t="s">
        <v>67</v>
      </c>
      <c r="R623" s="3">
        <v>28543</v>
      </c>
      <c r="S623" s="3" t="s">
        <v>283</v>
      </c>
      <c r="U623" s="3">
        <v>6</v>
      </c>
      <c r="V623" s="3">
        <v>0</v>
      </c>
      <c r="W623" s="3">
        <v>0</v>
      </c>
    </row>
    <row r="624" spans="1:23" ht="11.25" customHeight="1" x14ac:dyDescent="0.25">
      <c r="A624" s="3" t="s">
        <v>21</v>
      </c>
      <c r="B624" s="3" t="s">
        <v>33</v>
      </c>
      <c r="C624" s="3" t="s">
        <v>64</v>
      </c>
      <c r="D624" s="3" t="s">
        <v>25</v>
      </c>
      <c r="E624" s="3" t="s">
        <v>25</v>
      </c>
      <c r="F624" s="3" t="s">
        <v>65</v>
      </c>
      <c r="G624" s="3" t="s">
        <v>68</v>
      </c>
      <c r="H624" s="3" t="s">
        <v>25</v>
      </c>
      <c r="I624" s="6">
        <v>44562</v>
      </c>
      <c r="J624" s="4">
        <v>2083</v>
      </c>
      <c r="K624" s="4">
        <v>1041.5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3" t="s">
        <v>67</v>
      </c>
      <c r="R624" s="3">
        <v>28543</v>
      </c>
      <c r="S624" s="3" t="s">
        <v>284</v>
      </c>
      <c r="U624" s="3">
        <v>6</v>
      </c>
      <c r="V624" s="3">
        <v>0</v>
      </c>
      <c r="W624" s="3">
        <v>0</v>
      </c>
    </row>
    <row r="625" spans="1:23" ht="11.25" customHeight="1" x14ac:dyDescent="0.25">
      <c r="A625" s="3" t="s">
        <v>21</v>
      </c>
      <c r="B625" s="3" t="s">
        <v>33</v>
      </c>
      <c r="C625" s="3" t="s">
        <v>64</v>
      </c>
      <c r="D625" s="3" t="s">
        <v>25</v>
      </c>
      <c r="E625" s="3" t="s">
        <v>25</v>
      </c>
      <c r="F625" s="3" t="s">
        <v>65</v>
      </c>
      <c r="G625" s="3" t="s">
        <v>68</v>
      </c>
      <c r="H625" s="3" t="s">
        <v>25</v>
      </c>
      <c r="I625" s="6">
        <v>44593</v>
      </c>
      <c r="J625" s="4">
        <v>1997</v>
      </c>
      <c r="K625" s="4">
        <v>998.5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3" t="s">
        <v>67</v>
      </c>
      <c r="R625" s="3">
        <v>28543</v>
      </c>
      <c r="S625" s="3" t="s">
        <v>285</v>
      </c>
      <c r="U625" s="3">
        <v>6</v>
      </c>
      <c r="V625" s="3">
        <v>0</v>
      </c>
      <c r="W625" s="3">
        <v>0</v>
      </c>
    </row>
    <row r="626" spans="1:23" ht="11.25" customHeight="1" x14ac:dyDescent="0.25">
      <c r="A626" s="3" t="s">
        <v>21</v>
      </c>
      <c r="B626" s="3" t="s">
        <v>33</v>
      </c>
      <c r="C626" s="3" t="s">
        <v>64</v>
      </c>
      <c r="D626" s="3" t="s">
        <v>25</v>
      </c>
      <c r="E626" s="3" t="s">
        <v>25</v>
      </c>
      <c r="F626" s="3" t="s">
        <v>65</v>
      </c>
      <c r="G626" s="3" t="s">
        <v>68</v>
      </c>
      <c r="H626" s="3" t="s">
        <v>25</v>
      </c>
      <c r="I626" s="6">
        <v>44621</v>
      </c>
      <c r="J626" s="4">
        <v>1963</v>
      </c>
      <c r="K626" s="4">
        <v>981.5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3" t="s">
        <v>67</v>
      </c>
      <c r="R626" s="3">
        <v>28543</v>
      </c>
      <c r="S626" s="3" t="s">
        <v>286</v>
      </c>
      <c r="U626" s="3">
        <v>6</v>
      </c>
      <c r="V626" s="3">
        <v>0</v>
      </c>
      <c r="W626" s="3">
        <v>0</v>
      </c>
    </row>
    <row r="627" spans="1:23" ht="11.25" customHeight="1" x14ac:dyDescent="0.25">
      <c r="A627" s="3" t="s">
        <v>56</v>
      </c>
      <c r="B627" s="3" t="s">
        <v>33</v>
      </c>
      <c r="C627" s="3" t="s">
        <v>64</v>
      </c>
      <c r="D627" s="3" t="s">
        <v>25</v>
      </c>
      <c r="E627" s="3" t="s">
        <v>25</v>
      </c>
      <c r="F627" s="3" t="s">
        <v>65</v>
      </c>
      <c r="G627" s="3" t="s">
        <v>68</v>
      </c>
      <c r="H627" s="3" t="s">
        <v>25</v>
      </c>
      <c r="I627" s="6">
        <v>44652</v>
      </c>
      <c r="J627" s="4">
        <v>1963</v>
      </c>
      <c r="K627" s="4">
        <v>981.5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3" t="s">
        <v>67</v>
      </c>
      <c r="R627" s="3">
        <v>28543</v>
      </c>
      <c r="S627" s="3" t="s">
        <v>287</v>
      </c>
      <c r="U627" s="3">
        <v>6</v>
      </c>
      <c r="V627" s="3">
        <v>0</v>
      </c>
      <c r="W627" s="3">
        <v>0</v>
      </c>
    </row>
    <row r="628" spans="1:23" ht="11.25" customHeight="1" x14ac:dyDescent="0.25">
      <c r="A628" s="3" t="s">
        <v>21</v>
      </c>
      <c r="B628" s="3" t="s">
        <v>33</v>
      </c>
      <c r="C628" s="3" t="s">
        <v>64</v>
      </c>
      <c r="D628" s="3" t="s">
        <v>25</v>
      </c>
      <c r="E628" s="3" t="s">
        <v>25</v>
      </c>
      <c r="F628" s="3" t="s">
        <v>25</v>
      </c>
      <c r="G628" s="3" t="s">
        <v>72</v>
      </c>
      <c r="H628" s="3" t="s">
        <v>25</v>
      </c>
      <c r="I628" s="6">
        <v>44317</v>
      </c>
      <c r="J628" s="4">
        <v>950</v>
      </c>
      <c r="K628" s="4">
        <v>475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3" t="s">
        <v>67</v>
      </c>
      <c r="R628" s="3">
        <v>30112</v>
      </c>
      <c r="S628" s="3" t="s">
        <v>276</v>
      </c>
      <c r="U628" s="3">
        <v>6</v>
      </c>
      <c r="V628" s="3">
        <v>0</v>
      </c>
      <c r="W628" s="3">
        <v>0</v>
      </c>
    </row>
    <row r="629" spans="1:23" ht="11.25" customHeight="1" x14ac:dyDescent="0.25">
      <c r="A629" s="3" t="s">
        <v>21</v>
      </c>
      <c r="B629" s="3" t="s">
        <v>33</v>
      </c>
      <c r="C629" s="3" t="s">
        <v>64</v>
      </c>
      <c r="D629" s="3" t="s">
        <v>25</v>
      </c>
      <c r="E629" s="3" t="s">
        <v>25</v>
      </c>
      <c r="F629" s="3" t="s">
        <v>25</v>
      </c>
      <c r="G629" s="3" t="s">
        <v>72</v>
      </c>
      <c r="H629" s="3" t="s">
        <v>25</v>
      </c>
      <c r="I629" s="6">
        <v>44348</v>
      </c>
      <c r="J629" s="4">
        <v>950</v>
      </c>
      <c r="K629" s="4">
        <v>475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3" t="s">
        <v>67</v>
      </c>
      <c r="R629" s="3">
        <v>30112</v>
      </c>
      <c r="S629" s="3" t="s">
        <v>277</v>
      </c>
      <c r="U629" s="3">
        <v>6</v>
      </c>
      <c r="V629" s="3">
        <v>0</v>
      </c>
      <c r="W629" s="3">
        <v>0</v>
      </c>
    </row>
    <row r="630" spans="1:23" ht="11.25" customHeight="1" x14ac:dyDescent="0.25">
      <c r="A630" s="3" t="s">
        <v>21</v>
      </c>
      <c r="B630" s="3" t="s">
        <v>33</v>
      </c>
      <c r="C630" s="3" t="s">
        <v>64</v>
      </c>
      <c r="D630" s="3" t="s">
        <v>25</v>
      </c>
      <c r="E630" s="3" t="s">
        <v>25</v>
      </c>
      <c r="F630" s="3" t="s">
        <v>25</v>
      </c>
      <c r="G630" s="3" t="s">
        <v>72</v>
      </c>
      <c r="H630" s="3" t="s">
        <v>25</v>
      </c>
      <c r="I630" s="6">
        <v>44378</v>
      </c>
      <c r="J630" s="4">
        <v>955</v>
      </c>
      <c r="K630" s="4">
        <v>477.5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3" t="s">
        <v>67</v>
      </c>
      <c r="R630" s="3">
        <v>30112</v>
      </c>
      <c r="S630" s="3" t="s">
        <v>278</v>
      </c>
      <c r="U630" s="3">
        <v>6</v>
      </c>
      <c r="V630" s="3">
        <v>0</v>
      </c>
      <c r="W630" s="3">
        <v>0</v>
      </c>
    </row>
    <row r="631" spans="1:23" ht="11.25" customHeight="1" x14ac:dyDescent="0.25">
      <c r="A631" s="3" t="s">
        <v>21</v>
      </c>
      <c r="B631" s="3" t="s">
        <v>33</v>
      </c>
      <c r="C631" s="3" t="s">
        <v>64</v>
      </c>
      <c r="D631" s="3" t="s">
        <v>25</v>
      </c>
      <c r="E631" s="3" t="s">
        <v>25</v>
      </c>
      <c r="F631" s="3" t="s">
        <v>25</v>
      </c>
      <c r="G631" s="3" t="s">
        <v>72</v>
      </c>
      <c r="H631" s="3" t="s">
        <v>25</v>
      </c>
      <c r="I631" s="6">
        <v>44409</v>
      </c>
      <c r="J631" s="4">
        <v>985</v>
      </c>
      <c r="K631" s="4">
        <v>492.5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3" t="s">
        <v>67</v>
      </c>
      <c r="R631" s="3">
        <v>30112</v>
      </c>
      <c r="S631" s="3" t="s">
        <v>279</v>
      </c>
      <c r="U631" s="3">
        <v>6</v>
      </c>
      <c r="V631" s="3">
        <v>0</v>
      </c>
      <c r="W631" s="3">
        <v>0</v>
      </c>
    </row>
    <row r="632" spans="1:23" ht="11.25" customHeight="1" x14ac:dyDescent="0.25">
      <c r="A632" s="3" t="s">
        <v>21</v>
      </c>
      <c r="B632" s="3" t="s">
        <v>33</v>
      </c>
      <c r="C632" s="3" t="s">
        <v>64</v>
      </c>
      <c r="D632" s="3" t="s">
        <v>25</v>
      </c>
      <c r="E632" s="3" t="s">
        <v>25</v>
      </c>
      <c r="F632" s="3" t="s">
        <v>25</v>
      </c>
      <c r="G632" s="3" t="s">
        <v>72</v>
      </c>
      <c r="H632" s="3" t="s">
        <v>25</v>
      </c>
      <c r="I632" s="6">
        <v>44440</v>
      </c>
      <c r="J632" s="4">
        <v>1010</v>
      </c>
      <c r="K632" s="4">
        <v>505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3" t="s">
        <v>67</v>
      </c>
      <c r="R632" s="3">
        <v>30112</v>
      </c>
      <c r="S632" s="3" t="s">
        <v>280</v>
      </c>
      <c r="U632" s="3">
        <v>6</v>
      </c>
      <c r="V632" s="3">
        <v>0</v>
      </c>
      <c r="W632" s="3">
        <v>0</v>
      </c>
    </row>
    <row r="633" spans="1:23" ht="11.25" customHeight="1" x14ac:dyDescent="0.25">
      <c r="A633" s="3" t="s">
        <v>21</v>
      </c>
      <c r="B633" s="3" t="s">
        <v>33</v>
      </c>
      <c r="C633" s="3" t="s">
        <v>64</v>
      </c>
      <c r="D633" s="3" t="s">
        <v>25</v>
      </c>
      <c r="E633" s="3" t="s">
        <v>25</v>
      </c>
      <c r="F633" s="3" t="s">
        <v>25</v>
      </c>
      <c r="G633" s="3" t="s">
        <v>72</v>
      </c>
      <c r="H633" s="3" t="s">
        <v>25</v>
      </c>
      <c r="I633" s="6">
        <v>44470</v>
      </c>
      <c r="J633" s="4">
        <v>1010</v>
      </c>
      <c r="K633" s="4">
        <v>505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3" t="s">
        <v>67</v>
      </c>
      <c r="R633" s="3">
        <v>30112</v>
      </c>
      <c r="S633" s="3" t="s">
        <v>281</v>
      </c>
      <c r="U633" s="3">
        <v>6</v>
      </c>
      <c r="V633" s="3">
        <v>0</v>
      </c>
      <c r="W633" s="3">
        <v>0</v>
      </c>
    </row>
    <row r="634" spans="1:23" ht="11.25" customHeight="1" x14ac:dyDescent="0.25">
      <c r="A634" s="3" t="s">
        <v>21</v>
      </c>
      <c r="B634" s="3" t="s">
        <v>33</v>
      </c>
      <c r="C634" s="3" t="s">
        <v>64</v>
      </c>
      <c r="D634" s="3" t="s">
        <v>25</v>
      </c>
      <c r="E634" s="3" t="s">
        <v>25</v>
      </c>
      <c r="F634" s="3" t="s">
        <v>25</v>
      </c>
      <c r="G634" s="3" t="s">
        <v>72</v>
      </c>
      <c r="H634" s="3" t="s">
        <v>25</v>
      </c>
      <c r="I634" s="6">
        <v>44501</v>
      </c>
      <c r="J634" s="4">
        <v>1010</v>
      </c>
      <c r="K634" s="4">
        <v>505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3" t="s">
        <v>67</v>
      </c>
      <c r="R634" s="3">
        <v>30112</v>
      </c>
      <c r="S634" s="3" t="s">
        <v>282</v>
      </c>
      <c r="U634" s="3">
        <v>6</v>
      </c>
      <c r="V634" s="3">
        <v>0</v>
      </c>
      <c r="W634" s="3">
        <v>0</v>
      </c>
    </row>
    <row r="635" spans="1:23" ht="11.25" customHeight="1" x14ac:dyDescent="0.25">
      <c r="A635" s="3" t="s">
        <v>21</v>
      </c>
      <c r="B635" s="3" t="s">
        <v>33</v>
      </c>
      <c r="C635" s="3" t="s">
        <v>64</v>
      </c>
      <c r="D635" s="3" t="s">
        <v>25</v>
      </c>
      <c r="E635" s="3" t="s">
        <v>25</v>
      </c>
      <c r="F635" s="3" t="s">
        <v>25</v>
      </c>
      <c r="G635" s="3" t="s">
        <v>72</v>
      </c>
      <c r="H635" s="3" t="s">
        <v>25</v>
      </c>
      <c r="I635" s="6">
        <v>44531</v>
      </c>
      <c r="J635" s="4">
        <v>1010</v>
      </c>
      <c r="K635" s="4">
        <v>505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3" t="s">
        <v>67</v>
      </c>
      <c r="R635" s="3">
        <v>30112</v>
      </c>
      <c r="S635" s="3" t="s">
        <v>283</v>
      </c>
      <c r="U635" s="3">
        <v>6</v>
      </c>
      <c r="V635" s="3">
        <v>0</v>
      </c>
      <c r="W635" s="3">
        <v>0</v>
      </c>
    </row>
    <row r="636" spans="1:23" ht="11.25" customHeight="1" x14ac:dyDescent="0.25">
      <c r="A636" s="3" t="s">
        <v>21</v>
      </c>
      <c r="B636" s="3" t="s">
        <v>33</v>
      </c>
      <c r="C636" s="3" t="s">
        <v>64</v>
      </c>
      <c r="D636" s="3" t="s">
        <v>25</v>
      </c>
      <c r="E636" s="3" t="s">
        <v>25</v>
      </c>
      <c r="F636" s="3" t="s">
        <v>25</v>
      </c>
      <c r="G636" s="3" t="s">
        <v>72</v>
      </c>
      <c r="H636" s="3" t="s">
        <v>25</v>
      </c>
      <c r="I636" s="6">
        <v>44562</v>
      </c>
      <c r="J636" s="4">
        <v>948</v>
      </c>
      <c r="K636" s="4">
        <v>474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3" t="s">
        <v>67</v>
      </c>
      <c r="R636" s="3">
        <v>30112</v>
      </c>
      <c r="S636" s="3" t="s">
        <v>284</v>
      </c>
      <c r="U636" s="3">
        <v>6</v>
      </c>
      <c r="V636" s="3">
        <v>0</v>
      </c>
      <c r="W636" s="3">
        <v>0</v>
      </c>
    </row>
    <row r="637" spans="1:23" ht="11.25" customHeight="1" x14ac:dyDescent="0.25">
      <c r="A637" s="3" t="s">
        <v>21</v>
      </c>
      <c r="B637" s="3" t="s">
        <v>33</v>
      </c>
      <c r="C637" s="3" t="s">
        <v>64</v>
      </c>
      <c r="D637" s="3" t="s">
        <v>25</v>
      </c>
      <c r="E637" s="3" t="s">
        <v>25</v>
      </c>
      <c r="F637" s="3" t="s">
        <v>25</v>
      </c>
      <c r="G637" s="3" t="s">
        <v>72</v>
      </c>
      <c r="H637" s="3" t="s">
        <v>25</v>
      </c>
      <c r="I637" s="6">
        <v>44593</v>
      </c>
      <c r="J637" s="4">
        <v>860</v>
      </c>
      <c r="K637" s="4">
        <v>430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3" t="s">
        <v>67</v>
      </c>
      <c r="R637" s="3">
        <v>30112</v>
      </c>
      <c r="S637" s="3" t="s">
        <v>285</v>
      </c>
      <c r="U637" s="3">
        <v>6</v>
      </c>
      <c r="V637" s="3">
        <v>0</v>
      </c>
      <c r="W637" s="3">
        <v>0</v>
      </c>
    </row>
    <row r="638" spans="1:23" ht="11.25" customHeight="1" x14ac:dyDescent="0.25">
      <c r="A638" s="3" t="s">
        <v>21</v>
      </c>
      <c r="B638" s="3" t="s">
        <v>33</v>
      </c>
      <c r="C638" s="3" t="s">
        <v>64</v>
      </c>
      <c r="D638" s="3" t="s">
        <v>25</v>
      </c>
      <c r="E638" s="3" t="s">
        <v>25</v>
      </c>
      <c r="F638" s="3" t="s">
        <v>25</v>
      </c>
      <c r="G638" s="3" t="s">
        <v>72</v>
      </c>
      <c r="H638" s="3" t="s">
        <v>25</v>
      </c>
      <c r="I638" s="6">
        <v>44621</v>
      </c>
      <c r="J638" s="4">
        <v>908</v>
      </c>
      <c r="K638" s="4">
        <v>454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3" t="s">
        <v>67</v>
      </c>
      <c r="R638" s="3">
        <v>30112</v>
      </c>
      <c r="S638" s="3" t="s">
        <v>286</v>
      </c>
      <c r="U638" s="3">
        <v>6</v>
      </c>
      <c r="V638" s="3">
        <v>0</v>
      </c>
      <c r="W638" s="3">
        <v>0</v>
      </c>
    </row>
    <row r="639" spans="1:23" ht="11.25" customHeight="1" x14ac:dyDescent="0.25">
      <c r="A639" s="3" t="s">
        <v>56</v>
      </c>
      <c r="B639" s="3" t="s">
        <v>33</v>
      </c>
      <c r="C639" s="3" t="s">
        <v>64</v>
      </c>
      <c r="D639" s="3" t="s">
        <v>25</v>
      </c>
      <c r="E639" s="3" t="s">
        <v>25</v>
      </c>
      <c r="F639" s="3" t="s">
        <v>25</v>
      </c>
      <c r="G639" s="3" t="s">
        <v>72</v>
      </c>
      <c r="H639" s="3" t="s">
        <v>25</v>
      </c>
      <c r="I639" s="6">
        <v>44652</v>
      </c>
      <c r="J639" s="4">
        <v>908</v>
      </c>
      <c r="K639" s="4">
        <v>454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3" t="s">
        <v>67</v>
      </c>
      <c r="R639" s="3">
        <v>30112</v>
      </c>
      <c r="S639" s="3" t="s">
        <v>287</v>
      </c>
      <c r="U639" s="3">
        <v>6</v>
      </c>
      <c r="V639" s="3">
        <v>0</v>
      </c>
      <c r="W639" s="3">
        <v>0</v>
      </c>
    </row>
    <row r="640" spans="1:23" ht="11.25" customHeight="1" x14ac:dyDescent="0.25">
      <c r="A640" s="3" t="s">
        <v>21</v>
      </c>
      <c r="B640" s="3" t="s">
        <v>33</v>
      </c>
      <c r="C640" s="3" t="s">
        <v>34</v>
      </c>
      <c r="D640" s="3" t="s">
        <v>43</v>
      </c>
      <c r="E640" s="3" t="s">
        <v>25</v>
      </c>
      <c r="F640" s="3" t="s">
        <v>25</v>
      </c>
      <c r="G640" s="3" t="s">
        <v>25</v>
      </c>
      <c r="H640" s="3" t="s">
        <v>36</v>
      </c>
      <c r="I640" s="6">
        <v>44317</v>
      </c>
      <c r="J640" s="4">
        <v>0</v>
      </c>
      <c r="K640" s="4">
        <v>0</v>
      </c>
      <c r="L640" s="4">
        <v>17912.308000000001</v>
      </c>
      <c r="M640" s="4">
        <v>17912.308000000001</v>
      </c>
      <c r="N640" s="4">
        <v>17912.308000000001</v>
      </c>
      <c r="O640" s="4">
        <v>17912.308000000001</v>
      </c>
      <c r="P640" s="4">
        <v>0</v>
      </c>
      <c r="Q640" s="3" t="s">
        <v>26</v>
      </c>
      <c r="R640" s="3">
        <v>0</v>
      </c>
      <c r="S640" s="3" t="s">
        <v>288</v>
      </c>
      <c r="T640" s="3" t="s">
        <v>537</v>
      </c>
      <c r="U640" s="3">
        <v>0</v>
      </c>
      <c r="V640" s="3">
        <v>29</v>
      </c>
      <c r="W640" s="3">
        <v>73</v>
      </c>
    </row>
    <row r="641" spans="1:23" ht="11.25" customHeight="1" x14ac:dyDescent="0.25">
      <c r="A641" s="3" t="s">
        <v>28</v>
      </c>
      <c r="B641" s="3" t="s">
        <v>33</v>
      </c>
      <c r="C641" s="3" t="s">
        <v>34</v>
      </c>
      <c r="D641" s="3" t="s">
        <v>43</v>
      </c>
      <c r="E641" s="3" t="s">
        <v>25</v>
      </c>
      <c r="F641" s="3" t="s">
        <v>25</v>
      </c>
      <c r="G641" s="3" t="s">
        <v>25</v>
      </c>
      <c r="H641" s="3" t="s">
        <v>36</v>
      </c>
      <c r="I641" s="6">
        <v>44317</v>
      </c>
      <c r="J641" s="4">
        <v>0</v>
      </c>
      <c r="K641" s="4">
        <v>0</v>
      </c>
      <c r="L641" s="4">
        <v>234.97</v>
      </c>
      <c r="M641" s="4">
        <v>234.97</v>
      </c>
      <c r="N641" s="4">
        <v>234.97</v>
      </c>
      <c r="O641" s="4">
        <v>234.97</v>
      </c>
      <c r="P641" s="4">
        <v>0</v>
      </c>
      <c r="Q641" s="3" t="s">
        <v>26</v>
      </c>
      <c r="R641" s="3">
        <v>0</v>
      </c>
      <c r="S641" s="3" t="s">
        <v>288</v>
      </c>
      <c r="T641" s="3" t="s">
        <v>537</v>
      </c>
      <c r="U641" s="3">
        <v>0</v>
      </c>
      <c r="V641" s="3">
        <v>29</v>
      </c>
      <c r="W641" s="3">
        <v>73</v>
      </c>
    </row>
    <row r="642" spans="1:23" ht="11.25" customHeight="1" x14ac:dyDescent="0.25">
      <c r="A642" s="3" t="s">
        <v>28</v>
      </c>
      <c r="B642" s="3" t="s">
        <v>33</v>
      </c>
      <c r="C642" s="3" t="s">
        <v>34</v>
      </c>
      <c r="D642" s="3" t="s">
        <v>43</v>
      </c>
      <c r="E642" s="3" t="s">
        <v>25</v>
      </c>
      <c r="F642" s="3" t="s">
        <v>25</v>
      </c>
      <c r="G642" s="3" t="s">
        <v>25</v>
      </c>
      <c r="H642" s="3" t="s">
        <v>36</v>
      </c>
      <c r="I642" s="6">
        <v>44317</v>
      </c>
      <c r="J642" s="4">
        <v>0</v>
      </c>
      <c r="K642" s="4">
        <v>0</v>
      </c>
      <c r="L642" s="4">
        <v>-13.118</v>
      </c>
      <c r="M642" s="4">
        <v>-13.118</v>
      </c>
      <c r="N642" s="4">
        <v>-13.118</v>
      </c>
      <c r="O642" s="4">
        <v>-13.118</v>
      </c>
      <c r="P642" s="4">
        <v>0</v>
      </c>
      <c r="Q642" s="3" t="s">
        <v>26</v>
      </c>
      <c r="R642" s="3">
        <v>0</v>
      </c>
      <c r="S642" s="3" t="s">
        <v>288</v>
      </c>
      <c r="T642" s="3" t="s">
        <v>537</v>
      </c>
      <c r="U642" s="3">
        <v>0</v>
      </c>
      <c r="V642" s="3">
        <v>29</v>
      </c>
      <c r="W642" s="3">
        <v>73</v>
      </c>
    </row>
    <row r="643" spans="1:23" ht="11.25" customHeight="1" x14ac:dyDescent="0.25">
      <c r="A643" s="3" t="s">
        <v>21</v>
      </c>
      <c r="B643" s="3" t="s">
        <v>33</v>
      </c>
      <c r="C643" s="3" t="s">
        <v>34</v>
      </c>
      <c r="D643" s="3" t="s">
        <v>43</v>
      </c>
      <c r="E643" s="3" t="s">
        <v>25</v>
      </c>
      <c r="F643" s="3" t="s">
        <v>25</v>
      </c>
      <c r="G643" s="3" t="s">
        <v>25</v>
      </c>
      <c r="H643" s="3" t="s">
        <v>36</v>
      </c>
      <c r="I643" s="6">
        <v>44348</v>
      </c>
      <c r="J643" s="4">
        <v>0</v>
      </c>
      <c r="K643" s="4">
        <v>0</v>
      </c>
      <c r="L643" s="4">
        <v>16130.38</v>
      </c>
      <c r="M643" s="4">
        <v>16130.38</v>
      </c>
      <c r="N643" s="4">
        <v>16130.38</v>
      </c>
      <c r="O643" s="4">
        <v>16130.38</v>
      </c>
      <c r="P643" s="4">
        <v>0</v>
      </c>
      <c r="Q643" s="3" t="s">
        <v>26</v>
      </c>
      <c r="R643" s="3">
        <v>0</v>
      </c>
      <c r="S643" s="3" t="s">
        <v>289</v>
      </c>
      <c r="T643" s="3" t="s">
        <v>538</v>
      </c>
      <c r="U643" s="3">
        <v>0</v>
      </c>
      <c r="V643" s="3">
        <v>29</v>
      </c>
      <c r="W643" s="3">
        <v>73</v>
      </c>
    </row>
    <row r="644" spans="1:23" ht="11.25" customHeight="1" x14ac:dyDescent="0.25">
      <c r="A644" s="3" t="s">
        <v>27</v>
      </c>
      <c r="B644" s="3" t="s">
        <v>33</v>
      </c>
      <c r="C644" s="3" t="s">
        <v>34</v>
      </c>
      <c r="D644" s="3" t="s">
        <v>43</v>
      </c>
      <c r="E644" s="3" t="s">
        <v>25</v>
      </c>
      <c r="F644" s="3" t="s">
        <v>25</v>
      </c>
      <c r="G644" s="3" t="s">
        <v>25</v>
      </c>
      <c r="H644" s="3" t="s">
        <v>36</v>
      </c>
      <c r="I644" s="6">
        <v>44348</v>
      </c>
      <c r="J644" s="4">
        <v>0</v>
      </c>
      <c r="K644" s="4">
        <v>0</v>
      </c>
      <c r="L644" s="4">
        <v>-117.631</v>
      </c>
      <c r="M644" s="4">
        <v>-117.631</v>
      </c>
      <c r="N644" s="4">
        <v>-117.631</v>
      </c>
      <c r="O644" s="4">
        <v>-117.631</v>
      </c>
      <c r="P644" s="4">
        <v>0</v>
      </c>
      <c r="Q644" s="3" t="s">
        <v>26</v>
      </c>
      <c r="R644" s="3">
        <v>0</v>
      </c>
      <c r="S644" s="3" t="s">
        <v>289</v>
      </c>
      <c r="T644" s="3" t="s">
        <v>538</v>
      </c>
      <c r="U644" s="3">
        <v>0</v>
      </c>
      <c r="V644" s="3">
        <v>29</v>
      </c>
      <c r="W644" s="3">
        <v>73</v>
      </c>
    </row>
    <row r="645" spans="1:23" ht="11.25" customHeight="1" x14ac:dyDescent="0.25">
      <c r="A645" s="3" t="s">
        <v>28</v>
      </c>
      <c r="B645" s="3" t="s">
        <v>33</v>
      </c>
      <c r="C645" s="3" t="s">
        <v>34</v>
      </c>
      <c r="D645" s="3" t="s">
        <v>43</v>
      </c>
      <c r="E645" s="3" t="s">
        <v>25</v>
      </c>
      <c r="F645" s="3" t="s">
        <v>25</v>
      </c>
      <c r="G645" s="3" t="s">
        <v>25</v>
      </c>
      <c r="H645" s="3" t="s">
        <v>36</v>
      </c>
      <c r="I645" s="6">
        <v>44348</v>
      </c>
      <c r="J645" s="4">
        <v>0</v>
      </c>
      <c r="K645" s="4">
        <v>0</v>
      </c>
      <c r="L645" s="4">
        <v>214.50399999999999</v>
      </c>
      <c r="M645" s="4">
        <v>214.50399999999999</v>
      </c>
      <c r="N645" s="4">
        <v>214.50399999999999</v>
      </c>
      <c r="O645" s="4">
        <v>214.50399999999999</v>
      </c>
      <c r="P645" s="4">
        <v>0</v>
      </c>
      <c r="Q645" s="3" t="s">
        <v>26</v>
      </c>
      <c r="R645" s="3">
        <v>0</v>
      </c>
      <c r="S645" s="3" t="s">
        <v>289</v>
      </c>
      <c r="T645" s="3" t="s">
        <v>538</v>
      </c>
      <c r="U645" s="3">
        <v>0</v>
      </c>
      <c r="V645" s="3">
        <v>29</v>
      </c>
      <c r="W645" s="3">
        <v>73</v>
      </c>
    </row>
    <row r="646" spans="1:23" ht="11.25" customHeight="1" x14ac:dyDescent="0.25">
      <c r="A646" s="3" t="s">
        <v>21</v>
      </c>
      <c r="B646" s="3" t="s">
        <v>33</v>
      </c>
      <c r="C646" s="3" t="s">
        <v>34</v>
      </c>
      <c r="D646" s="3" t="s">
        <v>43</v>
      </c>
      <c r="E646" s="3" t="s">
        <v>25</v>
      </c>
      <c r="F646" s="3" t="s">
        <v>25</v>
      </c>
      <c r="G646" s="3" t="s">
        <v>25</v>
      </c>
      <c r="H646" s="3" t="s">
        <v>36</v>
      </c>
      <c r="I646" s="6">
        <v>44378</v>
      </c>
      <c r="J646" s="4">
        <v>0</v>
      </c>
      <c r="K646" s="4">
        <v>0</v>
      </c>
      <c r="L646" s="4">
        <v>17105.807000000001</v>
      </c>
      <c r="M646" s="4">
        <v>17105.807000000001</v>
      </c>
      <c r="N646" s="4">
        <v>17105.807000000001</v>
      </c>
      <c r="O646" s="4">
        <v>17105.807000000001</v>
      </c>
      <c r="P646" s="4">
        <v>0</v>
      </c>
      <c r="Q646" s="3" t="s">
        <v>26</v>
      </c>
      <c r="R646" s="3">
        <v>0</v>
      </c>
      <c r="S646" s="3" t="s">
        <v>290</v>
      </c>
      <c r="T646" s="3" t="s">
        <v>539</v>
      </c>
      <c r="U646" s="3">
        <v>0</v>
      </c>
      <c r="V646" s="3">
        <v>29</v>
      </c>
      <c r="W646" s="3">
        <v>73</v>
      </c>
    </row>
    <row r="647" spans="1:23" ht="11.25" customHeight="1" x14ac:dyDescent="0.25">
      <c r="A647" s="3" t="s">
        <v>27</v>
      </c>
      <c r="B647" s="3" t="s">
        <v>33</v>
      </c>
      <c r="C647" s="3" t="s">
        <v>34</v>
      </c>
      <c r="D647" s="3" t="s">
        <v>43</v>
      </c>
      <c r="E647" s="3" t="s">
        <v>25</v>
      </c>
      <c r="F647" s="3" t="s">
        <v>25</v>
      </c>
      <c r="G647" s="3" t="s">
        <v>25</v>
      </c>
      <c r="H647" s="3" t="s">
        <v>36</v>
      </c>
      <c r="I647" s="6">
        <v>44378</v>
      </c>
      <c r="J647" s="4">
        <v>0</v>
      </c>
      <c r="K647" s="4">
        <v>0</v>
      </c>
      <c r="L647" s="4">
        <v>3.9929999999999999</v>
      </c>
      <c r="M647" s="4">
        <v>3.9929999999999999</v>
      </c>
      <c r="N647" s="4">
        <v>3.9929999999999999</v>
      </c>
      <c r="O647" s="4">
        <v>3.9929999999999999</v>
      </c>
      <c r="P647" s="4">
        <v>0</v>
      </c>
      <c r="Q647" s="3" t="s">
        <v>26</v>
      </c>
      <c r="R647" s="3">
        <v>0</v>
      </c>
      <c r="S647" s="3" t="s">
        <v>290</v>
      </c>
      <c r="T647" s="3" t="s">
        <v>539</v>
      </c>
      <c r="U647" s="3">
        <v>0</v>
      </c>
      <c r="V647" s="3">
        <v>29</v>
      </c>
      <c r="W647" s="3">
        <v>73</v>
      </c>
    </row>
    <row r="648" spans="1:23" ht="11.25" customHeight="1" x14ac:dyDescent="0.25">
      <c r="A648" s="3" t="s">
        <v>28</v>
      </c>
      <c r="B648" s="3" t="s">
        <v>33</v>
      </c>
      <c r="C648" s="3" t="s">
        <v>34</v>
      </c>
      <c r="D648" s="3" t="s">
        <v>43</v>
      </c>
      <c r="E648" s="3" t="s">
        <v>25</v>
      </c>
      <c r="F648" s="3" t="s">
        <v>25</v>
      </c>
      <c r="G648" s="3" t="s">
        <v>25</v>
      </c>
      <c r="H648" s="3" t="s">
        <v>36</v>
      </c>
      <c r="I648" s="6">
        <v>44378</v>
      </c>
      <c r="J648" s="4">
        <v>0</v>
      </c>
      <c r="K648" s="4">
        <v>0</v>
      </c>
      <c r="L648" s="4">
        <v>283.07100000000003</v>
      </c>
      <c r="M648" s="4">
        <v>283.07100000000003</v>
      </c>
      <c r="N648" s="4">
        <v>283.07100000000003</v>
      </c>
      <c r="O648" s="4">
        <v>283.07100000000003</v>
      </c>
      <c r="P648" s="4">
        <v>0</v>
      </c>
      <c r="Q648" s="3" t="s">
        <v>26</v>
      </c>
      <c r="R648" s="3">
        <v>0</v>
      </c>
      <c r="S648" s="3" t="s">
        <v>290</v>
      </c>
      <c r="T648" s="3" t="s">
        <v>539</v>
      </c>
      <c r="U648" s="3">
        <v>0</v>
      </c>
      <c r="V648" s="3">
        <v>29</v>
      </c>
      <c r="W648" s="3">
        <v>73</v>
      </c>
    </row>
    <row r="649" spans="1:23" ht="11.25" customHeight="1" x14ac:dyDescent="0.25">
      <c r="A649" s="3" t="s">
        <v>28</v>
      </c>
      <c r="B649" s="3" t="s">
        <v>33</v>
      </c>
      <c r="C649" s="3" t="s">
        <v>34</v>
      </c>
      <c r="D649" s="3" t="s">
        <v>43</v>
      </c>
      <c r="E649" s="3" t="s">
        <v>25</v>
      </c>
      <c r="F649" s="3" t="s">
        <v>25</v>
      </c>
      <c r="G649" s="3" t="s">
        <v>25</v>
      </c>
      <c r="H649" s="3" t="s">
        <v>36</v>
      </c>
      <c r="I649" s="6">
        <v>44378</v>
      </c>
      <c r="J649" s="4">
        <v>0</v>
      </c>
      <c r="K649" s="4">
        <v>0</v>
      </c>
      <c r="L649" s="4">
        <v>8.9990000000000006</v>
      </c>
      <c r="M649" s="4">
        <v>8.9990000000000006</v>
      </c>
      <c r="N649" s="4">
        <v>8.9990000000000006</v>
      </c>
      <c r="O649" s="4">
        <v>8.9990000000000006</v>
      </c>
      <c r="P649" s="4">
        <v>0</v>
      </c>
      <c r="Q649" s="3" t="s">
        <v>26</v>
      </c>
      <c r="R649" s="3">
        <v>0</v>
      </c>
      <c r="S649" s="3" t="s">
        <v>290</v>
      </c>
      <c r="T649" s="3" t="s">
        <v>539</v>
      </c>
      <c r="U649" s="3">
        <v>0</v>
      </c>
      <c r="V649" s="3">
        <v>29</v>
      </c>
      <c r="W649" s="3">
        <v>73</v>
      </c>
    </row>
    <row r="650" spans="1:23" ht="11.25" customHeight="1" x14ac:dyDescent="0.25">
      <c r="A650" s="3" t="s">
        <v>21</v>
      </c>
      <c r="B650" s="3" t="s">
        <v>33</v>
      </c>
      <c r="C650" s="3" t="s">
        <v>34</v>
      </c>
      <c r="D650" s="3" t="s">
        <v>43</v>
      </c>
      <c r="E650" s="3" t="s">
        <v>25</v>
      </c>
      <c r="F650" s="3" t="s">
        <v>25</v>
      </c>
      <c r="G650" s="3" t="s">
        <v>25</v>
      </c>
      <c r="H650" s="3" t="s">
        <v>36</v>
      </c>
      <c r="I650" s="6">
        <v>44409</v>
      </c>
      <c r="J650" s="4">
        <v>0</v>
      </c>
      <c r="K650" s="4">
        <v>0</v>
      </c>
      <c r="L650" s="4">
        <v>16842.151000000002</v>
      </c>
      <c r="M650" s="4">
        <v>16842.151000000002</v>
      </c>
      <c r="N650" s="4">
        <v>16842.151000000002</v>
      </c>
      <c r="O650" s="4">
        <v>16842.151000000002</v>
      </c>
      <c r="P650" s="4">
        <v>0</v>
      </c>
      <c r="Q650" s="3" t="s">
        <v>26</v>
      </c>
      <c r="R650" s="3">
        <v>0</v>
      </c>
      <c r="S650" s="3" t="s">
        <v>291</v>
      </c>
      <c r="T650" s="3" t="s">
        <v>540</v>
      </c>
      <c r="U650" s="3">
        <v>0</v>
      </c>
      <c r="V650" s="3">
        <v>29</v>
      </c>
      <c r="W650" s="3">
        <v>73</v>
      </c>
    </row>
    <row r="651" spans="1:23" ht="11.25" customHeight="1" x14ac:dyDescent="0.25">
      <c r="A651" s="3" t="s">
        <v>27</v>
      </c>
      <c r="B651" s="3" t="s">
        <v>33</v>
      </c>
      <c r="C651" s="3" t="s">
        <v>34</v>
      </c>
      <c r="D651" s="3" t="s">
        <v>43</v>
      </c>
      <c r="E651" s="3" t="s">
        <v>25</v>
      </c>
      <c r="F651" s="3" t="s">
        <v>25</v>
      </c>
      <c r="G651" s="3" t="s">
        <v>25</v>
      </c>
      <c r="H651" s="3" t="s">
        <v>36</v>
      </c>
      <c r="I651" s="6">
        <v>44409</v>
      </c>
      <c r="J651" s="4">
        <v>0</v>
      </c>
      <c r="K651" s="4">
        <v>0</v>
      </c>
      <c r="L651" s="4">
        <v>-62.997999999999998</v>
      </c>
      <c r="M651" s="4">
        <v>-62.997999999999998</v>
      </c>
      <c r="N651" s="4">
        <v>-62.997999999999998</v>
      </c>
      <c r="O651" s="4">
        <v>-62.997999999999998</v>
      </c>
      <c r="P651" s="4">
        <v>0</v>
      </c>
      <c r="Q651" s="3" t="s">
        <v>26</v>
      </c>
      <c r="R651" s="3">
        <v>0</v>
      </c>
      <c r="S651" s="3" t="s">
        <v>291</v>
      </c>
      <c r="T651" s="3" t="s">
        <v>540</v>
      </c>
      <c r="U651" s="3">
        <v>0</v>
      </c>
      <c r="V651" s="3">
        <v>29</v>
      </c>
      <c r="W651" s="3">
        <v>73</v>
      </c>
    </row>
    <row r="652" spans="1:23" ht="11.25" customHeight="1" x14ac:dyDescent="0.25">
      <c r="A652" s="3" t="s">
        <v>28</v>
      </c>
      <c r="B652" s="3" t="s">
        <v>33</v>
      </c>
      <c r="C652" s="3" t="s">
        <v>34</v>
      </c>
      <c r="D652" s="3" t="s">
        <v>43</v>
      </c>
      <c r="E652" s="3" t="s">
        <v>25</v>
      </c>
      <c r="F652" s="3" t="s">
        <v>25</v>
      </c>
      <c r="G652" s="3" t="s">
        <v>25</v>
      </c>
      <c r="H652" s="3" t="s">
        <v>36</v>
      </c>
      <c r="I652" s="6">
        <v>44409</v>
      </c>
      <c r="J652" s="4">
        <v>0</v>
      </c>
      <c r="K652" s="4">
        <v>0</v>
      </c>
      <c r="L652" s="4">
        <v>340.54</v>
      </c>
      <c r="M652" s="4">
        <v>340.54</v>
      </c>
      <c r="N652" s="4">
        <v>340.54</v>
      </c>
      <c r="O652" s="4">
        <v>340.54</v>
      </c>
      <c r="P652" s="4">
        <v>0</v>
      </c>
      <c r="Q652" s="3" t="s">
        <v>26</v>
      </c>
      <c r="R652" s="3">
        <v>0</v>
      </c>
      <c r="S652" s="3" t="s">
        <v>291</v>
      </c>
      <c r="T652" s="3" t="s">
        <v>540</v>
      </c>
      <c r="U652" s="3">
        <v>0</v>
      </c>
      <c r="V652" s="3">
        <v>29</v>
      </c>
      <c r="W652" s="3">
        <v>73</v>
      </c>
    </row>
    <row r="653" spans="1:23" ht="11.25" customHeight="1" x14ac:dyDescent="0.25">
      <c r="A653" s="3" t="s">
        <v>28</v>
      </c>
      <c r="B653" s="3" t="s">
        <v>33</v>
      </c>
      <c r="C653" s="3" t="s">
        <v>34</v>
      </c>
      <c r="D653" s="3" t="s">
        <v>43</v>
      </c>
      <c r="E653" s="3" t="s">
        <v>25</v>
      </c>
      <c r="F653" s="3" t="s">
        <v>25</v>
      </c>
      <c r="G653" s="3" t="s">
        <v>25</v>
      </c>
      <c r="H653" s="3" t="s">
        <v>36</v>
      </c>
      <c r="I653" s="6">
        <v>44409</v>
      </c>
      <c r="J653" s="4">
        <v>0</v>
      </c>
      <c r="K653" s="4">
        <v>0</v>
      </c>
      <c r="L653" s="4">
        <v>-12.396000000000001</v>
      </c>
      <c r="M653" s="4">
        <v>-12.396000000000001</v>
      </c>
      <c r="N653" s="4">
        <v>-12.396000000000001</v>
      </c>
      <c r="O653" s="4">
        <v>-12.396000000000001</v>
      </c>
      <c r="P653" s="4">
        <v>0</v>
      </c>
      <c r="Q653" s="3" t="s">
        <v>26</v>
      </c>
      <c r="R653" s="3">
        <v>0</v>
      </c>
      <c r="S653" s="3" t="s">
        <v>291</v>
      </c>
      <c r="T653" s="3" t="s">
        <v>540</v>
      </c>
      <c r="U653" s="3">
        <v>0</v>
      </c>
      <c r="V653" s="3">
        <v>29</v>
      </c>
      <c r="W653" s="3">
        <v>73</v>
      </c>
    </row>
    <row r="654" spans="1:23" ht="11.25" customHeight="1" x14ac:dyDescent="0.25">
      <c r="A654" s="3" t="s">
        <v>21</v>
      </c>
      <c r="B654" s="3" t="s">
        <v>33</v>
      </c>
      <c r="C654" s="3" t="s">
        <v>34</v>
      </c>
      <c r="D654" s="3" t="s">
        <v>43</v>
      </c>
      <c r="E654" s="3" t="s">
        <v>25</v>
      </c>
      <c r="F654" s="3" t="s">
        <v>25</v>
      </c>
      <c r="G654" s="3" t="s">
        <v>25</v>
      </c>
      <c r="H654" s="3" t="s">
        <v>36</v>
      </c>
      <c r="I654" s="6">
        <v>44440</v>
      </c>
      <c r="J654" s="4">
        <v>0</v>
      </c>
      <c r="K654" s="4">
        <v>0</v>
      </c>
      <c r="L654" s="4">
        <v>17968.821</v>
      </c>
      <c r="M654" s="4">
        <v>17968.821</v>
      </c>
      <c r="N654" s="4">
        <v>17968.821</v>
      </c>
      <c r="O654" s="4">
        <v>17968.821</v>
      </c>
      <c r="P654" s="4">
        <v>0</v>
      </c>
      <c r="Q654" s="3" t="s">
        <v>26</v>
      </c>
      <c r="R654" s="3">
        <v>0</v>
      </c>
      <c r="S654" s="3" t="s">
        <v>292</v>
      </c>
      <c r="T654" s="3" t="s">
        <v>541</v>
      </c>
      <c r="U654" s="3">
        <v>0</v>
      </c>
      <c r="V654" s="3">
        <v>29</v>
      </c>
      <c r="W654" s="3">
        <v>73</v>
      </c>
    </row>
    <row r="655" spans="1:23" ht="11.25" customHeight="1" x14ac:dyDescent="0.25">
      <c r="A655" s="3" t="s">
        <v>27</v>
      </c>
      <c r="B655" s="3" t="s">
        <v>33</v>
      </c>
      <c r="C655" s="3" t="s">
        <v>34</v>
      </c>
      <c r="D655" s="3" t="s">
        <v>43</v>
      </c>
      <c r="E655" s="3" t="s">
        <v>25</v>
      </c>
      <c r="F655" s="3" t="s">
        <v>25</v>
      </c>
      <c r="G655" s="3" t="s">
        <v>25</v>
      </c>
      <c r="H655" s="3" t="s">
        <v>36</v>
      </c>
      <c r="I655" s="6">
        <v>44440</v>
      </c>
      <c r="J655" s="4">
        <v>0</v>
      </c>
      <c r="K655" s="4">
        <v>0</v>
      </c>
      <c r="L655" s="4">
        <v>-27.638000000000002</v>
      </c>
      <c r="M655" s="4">
        <v>-27.638000000000002</v>
      </c>
      <c r="N655" s="4">
        <v>-27.638000000000002</v>
      </c>
      <c r="O655" s="4">
        <v>-27.638000000000002</v>
      </c>
      <c r="P655" s="4">
        <v>0</v>
      </c>
      <c r="Q655" s="3" t="s">
        <v>26</v>
      </c>
      <c r="R655" s="3">
        <v>0</v>
      </c>
      <c r="S655" s="3" t="s">
        <v>292</v>
      </c>
      <c r="T655" s="3" t="s">
        <v>541</v>
      </c>
      <c r="U655" s="3">
        <v>0</v>
      </c>
      <c r="V655" s="3">
        <v>29</v>
      </c>
      <c r="W655" s="3">
        <v>73</v>
      </c>
    </row>
    <row r="656" spans="1:23" ht="11.25" customHeight="1" x14ac:dyDescent="0.25">
      <c r="A656" s="3" t="s">
        <v>28</v>
      </c>
      <c r="B656" s="3" t="s">
        <v>33</v>
      </c>
      <c r="C656" s="3" t="s">
        <v>34</v>
      </c>
      <c r="D656" s="3" t="s">
        <v>43</v>
      </c>
      <c r="E656" s="3" t="s">
        <v>25</v>
      </c>
      <c r="F656" s="3" t="s">
        <v>25</v>
      </c>
      <c r="G656" s="3" t="s">
        <v>25</v>
      </c>
      <c r="H656" s="3" t="s">
        <v>36</v>
      </c>
      <c r="I656" s="6">
        <v>44440</v>
      </c>
      <c r="J656" s="4">
        <v>0</v>
      </c>
      <c r="K656" s="4">
        <v>0</v>
      </c>
      <c r="L656" s="4">
        <v>337.34100000000001</v>
      </c>
      <c r="M656" s="4">
        <v>337.34100000000001</v>
      </c>
      <c r="N656" s="4">
        <v>337.34100000000001</v>
      </c>
      <c r="O656" s="4">
        <v>337.34100000000001</v>
      </c>
      <c r="P656" s="4">
        <v>0</v>
      </c>
      <c r="Q656" s="3" t="s">
        <v>26</v>
      </c>
      <c r="R656" s="3">
        <v>0</v>
      </c>
      <c r="S656" s="3" t="s">
        <v>292</v>
      </c>
      <c r="T656" s="3" t="s">
        <v>541</v>
      </c>
      <c r="U656" s="3">
        <v>0</v>
      </c>
      <c r="V656" s="3">
        <v>29</v>
      </c>
      <c r="W656" s="3">
        <v>73</v>
      </c>
    </row>
    <row r="657" spans="1:23" ht="11.25" customHeight="1" x14ac:dyDescent="0.25">
      <c r="A657" s="3" t="s">
        <v>28</v>
      </c>
      <c r="B657" s="3" t="s">
        <v>33</v>
      </c>
      <c r="C657" s="3" t="s">
        <v>34</v>
      </c>
      <c r="D657" s="3" t="s">
        <v>43</v>
      </c>
      <c r="E657" s="3" t="s">
        <v>25</v>
      </c>
      <c r="F657" s="3" t="s">
        <v>25</v>
      </c>
      <c r="G657" s="3" t="s">
        <v>25</v>
      </c>
      <c r="H657" s="3" t="s">
        <v>36</v>
      </c>
      <c r="I657" s="6">
        <v>44440</v>
      </c>
      <c r="J657" s="4">
        <v>0</v>
      </c>
      <c r="K657" s="4">
        <v>0</v>
      </c>
      <c r="L657" s="4">
        <v>0.57199999999999995</v>
      </c>
      <c r="M657" s="4">
        <v>0.57199999999999995</v>
      </c>
      <c r="N657" s="4">
        <v>0.57199999999999995</v>
      </c>
      <c r="O657" s="4">
        <v>0.57199999999999995</v>
      </c>
      <c r="P657" s="4">
        <v>0</v>
      </c>
      <c r="Q657" s="3" t="s">
        <v>26</v>
      </c>
      <c r="R657" s="3">
        <v>0</v>
      </c>
      <c r="S657" s="3" t="s">
        <v>292</v>
      </c>
      <c r="T657" s="3" t="s">
        <v>541</v>
      </c>
      <c r="U657" s="3">
        <v>0</v>
      </c>
      <c r="V657" s="3">
        <v>29</v>
      </c>
      <c r="W657" s="3">
        <v>73</v>
      </c>
    </row>
    <row r="658" spans="1:23" ht="11.25" customHeight="1" x14ac:dyDescent="0.25">
      <c r="A658" s="3" t="s">
        <v>21</v>
      </c>
      <c r="B658" s="3" t="s">
        <v>33</v>
      </c>
      <c r="C658" s="3" t="s">
        <v>34</v>
      </c>
      <c r="D658" s="3" t="s">
        <v>43</v>
      </c>
      <c r="E658" s="3" t="s">
        <v>25</v>
      </c>
      <c r="F658" s="3" t="s">
        <v>25</v>
      </c>
      <c r="G658" s="3" t="s">
        <v>25</v>
      </c>
      <c r="H658" s="3" t="s">
        <v>36</v>
      </c>
      <c r="I658" s="6">
        <v>44470</v>
      </c>
      <c r="J658" s="4">
        <v>0</v>
      </c>
      <c r="K658" s="4">
        <v>0</v>
      </c>
      <c r="L658" s="4">
        <v>19749.526999999998</v>
      </c>
      <c r="M658" s="4">
        <v>19749.526999999998</v>
      </c>
      <c r="N658" s="4">
        <v>19749.526999999998</v>
      </c>
      <c r="O658" s="4">
        <v>19749.526999999998</v>
      </c>
      <c r="P658" s="4">
        <v>0</v>
      </c>
      <c r="Q658" s="3" t="s">
        <v>26</v>
      </c>
      <c r="R658" s="3">
        <v>0</v>
      </c>
      <c r="S658" s="3" t="s">
        <v>293</v>
      </c>
      <c r="T658" s="3" t="s">
        <v>542</v>
      </c>
      <c r="U658" s="3">
        <v>0</v>
      </c>
      <c r="V658" s="3">
        <v>29</v>
      </c>
      <c r="W658" s="3">
        <v>73</v>
      </c>
    </row>
    <row r="659" spans="1:23" ht="11.25" customHeight="1" x14ac:dyDescent="0.25">
      <c r="A659" s="3" t="s">
        <v>27</v>
      </c>
      <c r="B659" s="3" t="s">
        <v>33</v>
      </c>
      <c r="C659" s="3" t="s">
        <v>34</v>
      </c>
      <c r="D659" s="3" t="s">
        <v>43</v>
      </c>
      <c r="E659" s="3" t="s">
        <v>25</v>
      </c>
      <c r="F659" s="3" t="s">
        <v>25</v>
      </c>
      <c r="G659" s="3" t="s">
        <v>25</v>
      </c>
      <c r="H659" s="3" t="s">
        <v>36</v>
      </c>
      <c r="I659" s="6">
        <v>44470</v>
      </c>
      <c r="J659" s="4">
        <v>0</v>
      </c>
      <c r="K659" s="4">
        <v>0</v>
      </c>
      <c r="L659" s="4">
        <v>-847.28599999999994</v>
      </c>
      <c r="M659" s="4">
        <v>-847.28599999999994</v>
      </c>
      <c r="N659" s="4">
        <v>-847.28599999999994</v>
      </c>
      <c r="O659" s="4">
        <v>-847.28599999999994</v>
      </c>
      <c r="P659" s="4">
        <v>0</v>
      </c>
      <c r="Q659" s="3" t="s">
        <v>26</v>
      </c>
      <c r="R659" s="3">
        <v>0</v>
      </c>
      <c r="S659" s="3" t="s">
        <v>293</v>
      </c>
      <c r="T659" s="3" t="s">
        <v>542</v>
      </c>
      <c r="U659" s="3">
        <v>0</v>
      </c>
      <c r="V659" s="3">
        <v>29</v>
      </c>
      <c r="W659" s="3">
        <v>73</v>
      </c>
    </row>
    <row r="660" spans="1:23" ht="11.25" customHeight="1" x14ac:dyDescent="0.25">
      <c r="A660" s="3" t="s">
        <v>28</v>
      </c>
      <c r="B660" s="3" t="s">
        <v>33</v>
      </c>
      <c r="C660" s="3" t="s">
        <v>34</v>
      </c>
      <c r="D660" s="3" t="s">
        <v>43</v>
      </c>
      <c r="E660" s="3" t="s">
        <v>25</v>
      </c>
      <c r="F660" s="3" t="s">
        <v>25</v>
      </c>
      <c r="G660" s="3" t="s">
        <v>25</v>
      </c>
      <c r="H660" s="3" t="s">
        <v>36</v>
      </c>
      <c r="I660" s="6">
        <v>44470</v>
      </c>
      <c r="J660" s="4">
        <v>0</v>
      </c>
      <c r="K660" s="4">
        <v>0</v>
      </c>
      <c r="L660" s="4">
        <v>468.77100000000002</v>
      </c>
      <c r="M660" s="4">
        <v>468.77100000000002</v>
      </c>
      <c r="N660" s="4">
        <v>468.77100000000002</v>
      </c>
      <c r="O660" s="4">
        <v>468.77100000000002</v>
      </c>
      <c r="P660" s="4">
        <v>0</v>
      </c>
      <c r="Q660" s="3" t="s">
        <v>26</v>
      </c>
      <c r="R660" s="3">
        <v>0</v>
      </c>
      <c r="S660" s="3" t="s">
        <v>293</v>
      </c>
      <c r="T660" s="3" t="s">
        <v>542</v>
      </c>
      <c r="U660" s="3">
        <v>0</v>
      </c>
      <c r="V660" s="3">
        <v>29</v>
      </c>
      <c r="W660" s="3">
        <v>73</v>
      </c>
    </row>
    <row r="661" spans="1:23" ht="11.25" customHeight="1" x14ac:dyDescent="0.25">
      <c r="A661" s="3" t="s">
        <v>28</v>
      </c>
      <c r="B661" s="3" t="s">
        <v>33</v>
      </c>
      <c r="C661" s="3" t="s">
        <v>34</v>
      </c>
      <c r="D661" s="3" t="s">
        <v>43</v>
      </c>
      <c r="E661" s="3" t="s">
        <v>25</v>
      </c>
      <c r="F661" s="3" t="s">
        <v>25</v>
      </c>
      <c r="G661" s="3" t="s">
        <v>25</v>
      </c>
      <c r="H661" s="3" t="s">
        <v>36</v>
      </c>
      <c r="I661" s="6">
        <v>44470</v>
      </c>
      <c r="J661" s="4">
        <v>0</v>
      </c>
      <c r="K661" s="4">
        <v>0</v>
      </c>
      <c r="L661" s="4">
        <v>36.360999999999997</v>
      </c>
      <c r="M661" s="4">
        <v>36.360999999999997</v>
      </c>
      <c r="N661" s="4">
        <v>36.360999999999997</v>
      </c>
      <c r="O661" s="4">
        <v>36.360999999999997</v>
      </c>
      <c r="P661" s="4">
        <v>0</v>
      </c>
      <c r="Q661" s="3" t="s">
        <v>26</v>
      </c>
      <c r="R661" s="3">
        <v>0</v>
      </c>
      <c r="S661" s="3" t="s">
        <v>293</v>
      </c>
      <c r="T661" s="3" t="s">
        <v>542</v>
      </c>
      <c r="U661" s="3">
        <v>0</v>
      </c>
      <c r="V661" s="3">
        <v>29</v>
      </c>
      <c r="W661" s="3">
        <v>73</v>
      </c>
    </row>
    <row r="662" spans="1:23" ht="11.25" customHeight="1" x14ac:dyDescent="0.25">
      <c r="A662" s="3" t="s">
        <v>21</v>
      </c>
      <c r="B662" s="3" t="s">
        <v>33</v>
      </c>
      <c r="C662" s="3" t="s">
        <v>34</v>
      </c>
      <c r="D662" s="3" t="s">
        <v>43</v>
      </c>
      <c r="E662" s="3" t="s">
        <v>25</v>
      </c>
      <c r="F662" s="3" t="s">
        <v>25</v>
      </c>
      <c r="G662" s="3" t="s">
        <v>25</v>
      </c>
      <c r="H662" s="3" t="s">
        <v>36</v>
      </c>
      <c r="I662" s="6">
        <v>44501</v>
      </c>
      <c r="J662" s="4">
        <v>0</v>
      </c>
      <c r="K662" s="4">
        <v>0</v>
      </c>
      <c r="L662" s="4">
        <v>20164.677</v>
      </c>
      <c r="M662" s="4">
        <v>20164.677</v>
      </c>
      <c r="N662" s="4">
        <v>20164.677</v>
      </c>
      <c r="O662" s="4">
        <v>20164.677</v>
      </c>
      <c r="P662" s="4">
        <v>0</v>
      </c>
      <c r="Q662" s="3" t="s">
        <v>26</v>
      </c>
      <c r="R662" s="3">
        <v>0</v>
      </c>
      <c r="S662" s="3" t="s">
        <v>294</v>
      </c>
      <c r="T662" s="3" t="s">
        <v>543</v>
      </c>
      <c r="U662" s="3">
        <v>0</v>
      </c>
      <c r="V662" s="3">
        <v>29</v>
      </c>
      <c r="W662" s="3">
        <v>73</v>
      </c>
    </row>
    <row r="663" spans="1:23" ht="11.25" customHeight="1" x14ac:dyDescent="0.25">
      <c r="A663" s="3" t="s">
        <v>27</v>
      </c>
      <c r="B663" s="3" t="s">
        <v>33</v>
      </c>
      <c r="C663" s="3" t="s">
        <v>34</v>
      </c>
      <c r="D663" s="3" t="s">
        <v>43</v>
      </c>
      <c r="E663" s="3" t="s">
        <v>25</v>
      </c>
      <c r="F663" s="3" t="s">
        <v>25</v>
      </c>
      <c r="G663" s="3" t="s">
        <v>25</v>
      </c>
      <c r="H663" s="3" t="s">
        <v>36</v>
      </c>
      <c r="I663" s="6">
        <v>44501</v>
      </c>
      <c r="J663" s="4">
        <v>0</v>
      </c>
      <c r="K663" s="4">
        <v>0</v>
      </c>
      <c r="L663" s="4">
        <v>20.45</v>
      </c>
      <c r="M663" s="4">
        <v>20.45</v>
      </c>
      <c r="N663" s="4">
        <v>20.45</v>
      </c>
      <c r="O663" s="4">
        <v>20.45</v>
      </c>
      <c r="P663" s="4">
        <v>0</v>
      </c>
      <c r="Q663" s="3" t="s">
        <v>26</v>
      </c>
      <c r="R663" s="3">
        <v>0</v>
      </c>
      <c r="S663" s="3" t="s">
        <v>294</v>
      </c>
      <c r="T663" s="3" t="s">
        <v>543</v>
      </c>
      <c r="U663" s="3">
        <v>0</v>
      </c>
      <c r="V663" s="3">
        <v>29</v>
      </c>
      <c r="W663" s="3">
        <v>73</v>
      </c>
    </row>
    <row r="664" spans="1:23" ht="11.25" customHeight="1" x14ac:dyDescent="0.25">
      <c r="A664" s="3" t="s">
        <v>28</v>
      </c>
      <c r="B664" s="3" t="s">
        <v>33</v>
      </c>
      <c r="C664" s="3" t="s">
        <v>34</v>
      </c>
      <c r="D664" s="3" t="s">
        <v>43</v>
      </c>
      <c r="E664" s="3" t="s">
        <v>25</v>
      </c>
      <c r="F664" s="3" t="s">
        <v>25</v>
      </c>
      <c r="G664" s="3" t="s">
        <v>25</v>
      </c>
      <c r="H664" s="3" t="s">
        <v>36</v>
      </c>
      <c r="I664" s="6">
        <v>44501</v>
      </c>
      <c r="J664" s="4">
        <v>0</v>
      </c>
      <c r="K664" s="4">
        <v>0</v>
      </c>
      <c r="L664" s="4">
        <v>517.45699999999999</v>
      </c>
      <c r="M664" s="4">
        <v>517.45699999999999</v>
      </c>
      <c r="N664" s="4">
        <v>517.45699999999999</v>
      </c>
      <c r="O664" s="4">
        <v>517.45699999999999</v>
      </c>
      <c r="P664" s="4">
        <v>0</v>
      </c>
      <c r="Q664" s="3" t="s">
        <v>26</v>
      </c>
      <c r="R664" s="3">
        <v>0</v>
      </c>
      <c r="S664" s="3" t="s">
        <v>294</v>
      </c>
      <c r="T664" s="3" t="s">
        <v>543</v>
      </c>
      <c r="U664" s="3">
        <v>0</v>
      </c>
      <c r="V664" s="3">
        <v>29</v>
      </c>
      <c r="W664" s="3">
        <v>73</v>
      </c>
    </row>
    <row r="665" spans="1:23" ht="11.25" customHeight="1" x14ac:dyDescent="0.25">
      <c r="A665" s="3" t="s">
        <v>28</v>
      </c>
      <c r="B665" s="3" t="s">
        <v>33</v>
      </c>
      <c r="C665" s="3" t="s">
        <v>34</v>
      </c>
      <c r="D665" s="3" t="s">
        <v>43</v>
      </c>
      <c r="E665" s="3" t="s">
        <v>25</v>
      </c>
      <c r="F665" s="3" t="s">
        <v>25</v>
      </c>
      <c r="G665" s="3" t="s">
        <v>25</v>
      </c>
      <c r="H665" s="3" t="s">
        <v>36</v>
      </c>
      <c r="I665" s="6">
        <v>44501</v>
      </c>
      <c r="J665" s="4">
        <v>0</v>
      </c>
      <c r="K665" s="4">
        <v>0</v>
      </c>
      <c r="L665" s="4">
        <v>12.778</v>
      </c>
      <c r="M665" s="4">
        <v>12.778</v>
      </c>
      <c r="N665" s="4">
        <v>12.778</v>
      </c>
      <c r="O665" s="4">
        <v>12.778</v>
      </c>
      <c r="P665" s="4">
        <v>0</v>
      </c>
      <c r="Q665" s="3" t="s">
        <v>26</v>
      </c>
      <c r="R665" s="3">
        <v>0</v>
      </c>
      <c r="S665" s="3" t="s">
        <v>294</v>
      </c>
      <c r="T665" s="3" t="s">
        <v>543</v>
      </c>
      <c r="U665" s="3">
        <v>0</v>
      </c>
      <c r="V665" s="3">
        <v>29</v>
      </c>
      <c r="W665" s="3">
        <v>73</v>
      </c>
    </row>
    <row r="666" spans="1:23" ht="11.25" customHeight="1" x14ac:dyDescent="0.25">
      <c r="A666" s="3" t="s">
        <v>21</v>
      </c>
      <c r="B666" s="3" t="s">
        <v>33</v>
      </c>
      <c r="C666" s="3" t="s">
        <v>34</v>
      </c>
      <c r="D666" s="3" t="s">
        <v>43</v>
      </c>
      <c r="E666" s="3" t="s">
        <v>25</v>
      </c>
      <c r="F666" s="3" t="s">
        <v>25</v>
      </c>
      <c r="G666" s="3" t="s">
        <v>25</v>
      </c>
      <c r="H666" s="3" t="s">
        <v>36</v>
      </c>
      <c r="I666" s="6">
        <v>44531</v>
      </c>
      <c r="J666" s="4">
        <v>0</v>
      </c>
      <c r="K666" s="4">
        <v>0</v>
      </c>
      <c r="L666" s="4">
        <v>19778.853999999999</v>
      </c>
      <c r="M666" s="4">
        <v>19778.853999999999</v>
      </c>
      <c r="N666" s="4">
        <v>19778.853999999999</v>
      </c>
      <c r="O666" s="4">
        <v>19778.853999999999</v>
      </c>
      <c r="P666" s="4">
        <v>0</v>
      </c>
      <c r="Q666" s="3" t="s">
        <v>26</v>
      </c>
      <c r="R666" s="3">
        <v>0</v>
      </c>
      <c r="S666" s="3" t="s">
        <v>295</v>
      </c>
      <c r="T666" s="3" t="s">
        <v>544</v>
      </c>
      <c r="U666" s="3">
        <v>0</v>
      </c>
      <c r="V666" s="3">
        <v>29</v>
      </c>
      <c r="W666" s="3">
        <v>73</v>
      </c>
    </row>
    <row r="667" spans="1:23" ht="11.25" customHeight="1" x14ac:dyDescent="0.25">
      <c r="A667" s="3" t="s">
        <v>27</v>
      </c>
      <c r="B667" s="3" t="s">
        <v>33</v>
      </c>
      <c r="C667" s="3" t="s">
        <v>34</v>
      </c>
      <c r="D667" s="3" t="s">
        <v>43</v>
      </c>
      <c r="E667" s="3" t="s">
        <v>25</v>
      </c>
      <c r="F667" s="3" t="s">
        <v>25</v>
      </c>
      <c r="G667" s="3" t="s">
        <v>25</v>
      </c>
      <c r="H667" s="3" t="s">
        <v>36</v>
      </c>
      <c r="I667" s="6">
        <v>44531</v>
      </c>
      <c r="J667" s="4">
        <v>0</v>
      </c>
      <c r="K667" s="4">
        <v>0</v>
      </c>
      <c r="L667" s="4">
        <v>41.680999999999997</v>
      </c>
      <c r="M667" s="4">
        <v>41.680999999999997</v>
      </c>
      <c r="N667" s="4">
        <v>41.680999999999997</v>
      </c>
      <c r="O667" s="4">
        <v>41.680999999999997</v>
      </c>
      <c r="P667" s="4">
        <v>0</v>
      </c>
      <c r="Q667" s="3" t="s">
        <v>26</v>
      </c>
      <c r="R667" s="3">
        <v>0</v>
      </c>
      <c r="S667" s="3" t="s">
        <v>295</v>
      </c>
      <c r="T667" s="3" t="s">
        <v>544</v>
      </c>
      <c r="U667" s="3">
        <v>0</v>
      </c>
      <c r="V667" s="3">
        <v>29</v>
      </c>
      <c r="W667" s="3">
        <v>73</v>
      </c>
    </row>
    <row r="668" spans="1:23" ht="11.25" customHeight="1" x14ac:dyDescent="0.25">
      <c r="A668" s="3" t="s">
        <v>28</v>
      </c>
      <c r="B668" s="3" t="s">
        <v>33</v>
      </c>
      <c r="C668" s="3" t="s">
        <v>34</v>
      </c>
      <c r="D668" s="3" t="s">
        <v>43</v>
      </c>
      <c r="E668" s="3" t="s">
        <v>25</v>
      </c>
      <c r="F668" s="3" t="s">
        <v>25</v>
      </c>
      <c r="G668" s="3" t="s">
        <v>25</v>
      </c>
      <c r="H668" s="3" t="s">
        <v>36</v>
      </c>
      <c r="I668" s="6">
        <v>44531</v>
      </c>
      <c r="J668" s="4">
        <v>0</v>
      </c>
      <c r="K668" s="4">
        <v>0</v>
      </c>
      <c r="L668" s="4">
        <v>886.15499999999997</v>
      </c>
      <c r="M668" s="4">
        <v>886.15499999999997</v>
      </c>
      <c r="N668" s="4">
        <v>886.15499999999997</v>
      </c>
      <c r="O668" s="4">
        <v>886.15499999999997</v>
      </c>
      <c r="P668" s="4">
        <v>0</v>
      </c>
      <c r="Q668" s="3" t="s">
        <v>26</v>
      </c>
      <c r="R668" s="3">
        <v>0</v>
      </c>
      <c r="S668" s="3" t="s">
        <v>295</v>
      </c>
      <c r="T668" s="3" t="s">
        <v>544</v>
      </c>
      <c r="U668" s="3">
        <v>0</v>
      </c>
      <c r="V668" s="3">
        <v>29</v>
      </c>
      <c r="W668" s="3">
        <v>73</v>
      </c>
    </row>
    <row r="669" spans="1:23" ht="11.25" customHeight="1" x14ac:dyDescent="0.25">
      <c r="A669" s="3" t="s">
        <v>28</v>
      </c>
      <c r="B669" s="3" t="s">
        <v>33</v>
      </c>
      <c r="C669" s="3" t="s">
        <v>34</v>
      </c>
      <c r="D669" s="3" t="s">
        <v>43</v>
      </c>
      <c r="E669" s="3" t="s">
        <v>25</v>
      </c>
      <c r="F669" s="3" t="s">
        <v>25</v>
      </c>
      <c r="G669" s="3" t="s">
        <v>25</v>
      </c>
      <c r="H669" s="3" t="s">
        <v>36</v>
      </c>
      <c r="I669" s="6">
        <v>44531</v>
      </c>
      <c r="J669" s="4">
        <v>0</v>
      </c>
      <c r="K669" s="4">
        <v>0</v>
      </c>
      <c r="L669" s="4">
        <v>9.2219999999999995</v>
      </c>
      <c r="M669" s="4">
        <v>9.2219999999999995</v>
      </c>
      <c r="N669" s="4">
        <v>9.2219999999999995</v>
      </c>
      <c r="O669" s="4">
        <v>9.2219999999999995</v>
      </c>
      <c r="P669" s="4">
        <v>0</v>
      </c>
      <c r="Q669" s="3" t="s">
        <v>26</v>
      </c>
      <c r="R669" s="3">
        <v>0</v>
      </c>
      <c r="S669" s="3" t="s">
        <v>295</v>
      </c>
      <c r="T669" s="3" t="s">
        <v>544</v>
      </c>
      <c r="U669" s="3">
        <v>0</v>
      </c>
      <c r="V669" s="3">
        <v>29</v>
      </c>
      <c r="W669" s="3">
        <v>73</v>
      </c>
    </row>
    <row r="670" spans="1:23" ht="11.25" customHeight="1" x14ac:dyDescent="0.25">
      <c r="A670" s="3" t="s">
        <v>21</v>
      </c>
      <c r="B670" s="3" t="s">
        <v>33</v>
      </c>
      <c r="C670" s="3" t="s">
        <v>34</v>
      </c>
      <c r="D670" s="3" t="s">
        <v>43</v>
      </c>
      <c r="E670" s="3" t="s">
        <v>25</v>
      </c>
      <c r="F670" s="3" t="s">
        <v>25</v>
      </c>
      <c r="G670" s="3" t="s">
        <v>25</v>
      </c>
      <c r="H670" s="3" t="s">
        <v>36</v>
      </c>
      <c r="I670" s="6">
        <v>44562</v>
      </c>
      <c r="J670" s="4">
        <v>0</v>
      </c>
      <c r="K670" s="4">
        <v>0</v>
      </c>
      <c r="L670" s="4">
        <v>19695.589</v>
      </c>
      <c r="M670" s="4">
        <v>19695.589</v>
      </c>
      <c r="N670" s="4">
        <v>19695.589</v>
      </c>
      <c r="O670" s="4">
        <v>19695.589</v>
      </c>
      <c r="P670" s="4">
        <v>0</v>
      </c>
      <c r="Q670" s="3" t="s">
        <v>26</v>
      </c>
      <c r="R670" s="3">
        <v>0</v>
      </c>
      <c r="S670" s="3" t="s">
        <v>296</v>
      </c>
      <c r="T670" s="3" t="s">
        <v>545</v>
      </c>
      <c r="U670" s="3">
        <v>0</v>
      </c>
      <c r="V670" s="3">
        <v>29</v>
      </c>
      <c r="W670" s="3">
        <v>73</v>
      </c>
    </row>
    <row r="671" spans="1:23" ht="11.25" customHeight="1" x14ac:dyDescent="0.25">
      <c r="A671" s="3" t="s">
        <v>27</v>
      </c>
      <c r="B671" s="3" t="s">
        <v>33</v>
      </c>
      <c r="C671" s="3" t="s">
        <v>34</v>
      </c>
      <c r="D671" s="3" t="s">
        <v>43</v>
      </c>
      <c r="E671" s="3" t="s">
        <v>25</v>
      </c>
      <c r="F671" s="3" t="s">
        <v>25</v>
      </c>
      <c r="G671" s="3" t="s">
        <v>25</v>
      </c>
      <c r="H671" s="3" t="s">
        <v>36</v>
      </c>
      <c r="I671" s="6">
        <v>44562</v>
      </c>
      <c r="J671" s="4">
        <v>0</v>
      </c>
      <c r="K671" s="4">
        <v>0</v>
      </c>
      <c r="L671" s="4">
        <v>133.47</v>
      </c>
      <c r="M671" s="4">
        <v>133.47</v>
      </c>
      <c r="N671" s="4">
        <v>133.47</v>
      </c>
      <c r="O671" s="4">
        <v>133.47</v>
      </c>
      <c r="P671" s="4">
        <v>0</v>
      </c>
      <c r="Q671" s="3" t="s">
        <v>26</v>
      </c>
      <c r="R671" s="3">
        <v>0</v>
      </c>
      <c r="S671" s="3" t="s">
        <v>296</v>
      </c>
      <c r="T671" s="3" t="s">
        <v>545</v>
      </c>
      <c r="U671" s="3">
        <v>0</v>
      </c>
      <c r="V671" s="3">
        <v>29</v>
      </c>
      <c r="W671" s="3">
        <v>73</v>
      </c>
    </row>
    <row r="672" spans="1:23" ht="11.25" customHeight="1" x14ac:dyDescent="0.25">
      <c r="A672" s="3" t="s">
        <v>28</v>
      </c>
      <c r="B672" s="3" t="s">
        <v>33</v>
      </c>
      <c r="C672" s="3" t="s">
        <v>34</v>
      </c>
      <c r="D672" s="3" t="s">
        <v>43</v>
      </c>
      <c r="E672" s="3" t="s">
        <v>25</v>
      </c>
      <c r="F672" s="3" t="s">
        <v>25</v>
      </c>
      <c r="G672" s="3" t="s">
        <v>25</v>
      </c>
      <c r="H672" s="3" t="s">
        <v>36</v>
      </c>
      <c r="I672" s="6">
        <v>44562</v>
      </c>
      <c r="J672" s="4">
        <v>0</v>
      </c>
      <c r="K672" s="4">
        <v>0</v>
      </c>
      <c r="L672" s="4">
        <v>661.45299999999997</v>
      </c>
      <c r="M672" s="4">
        <v>661.45299999999997</v>
      </c>
      <c r="N672" s="4">
        <v>661.45299999999997</v>
      </c>
      <c r="O672" s="4">
        <v>661.45299999999997</v>
      </c>
      <c r="P672" s="4">
        <v>0</v>
      </c>
      <c r="Q672" s="3" t="s">
        <v>26</v>
      </c>
      <c r="R672" s="3">
        <v>0</v>
      </c>
      <c r="S672" s="3" t="s">
        <v>296</v>
      </c>
      <c r="T672" s="3" t="s">
        <v>545</v>
      </c>
      <c r="U672" s="3">
        <v>0</v>
      </c>
      <c r="V672" s="3">
        <v>29</v>
      </c>
      <c r="W672" s="3">
        <v>73</v>
      </c>
    </row>
    <row r="673" spans="1:23" ht="11.25" customHeight="1" x14ac:dyDescent="0.25">
      <c r="A673" s="3" t="s">
        <v>28</v>
      </c>
      <c r="B673" s="3" t="s">
        <v>33</v>
      </c>
      <c r="C673" s="3" t="s">
        <v>34</v>
      </c>
      <c r="D673" s="3" t="s">
        <v>43</v>
      </c>
      <c r="E673" s="3" t="s">
        <v>25</v>
      </c>
      <c r="F673" s="3" t="s">
        <v>25</v>
      </c>
      <c r="G673" s="3" t="s">
        <v>25</v>
      </c>
      <c r="H673" s="3" t="s">
        <v>36</v>
      </c>
      <c r="I673" s="6">
        <v>44562</v>
      </c>
      <c r="J673" s="4">
        <v>0</v>
      </c>
      <c r="K673" s="4">
        <v>0</v>
      </c>
      <c r="L673" s="4">
        <v>-6.1020000000000003</v>
      </c>
      <c r="M673" s="4">
        <v>-6.1020000000000003</v>
      </c>
      <c r="N673" s="4">
        <v>-6.1020000000000003</v>
      </c>
      <c r="O673" s="4">
        <v>-6.1020000000000003</v>
      </c>
      <c r="P673" s="4">
        <v>0</v>
      </c>
      <c r="Q673" s="3" t="s">
        <v>26</v>
      </c>
      <c r="R673" s="3">
        <v>0</v>
      </c>
      <c r="S673" s="3" t="s">
        <v>296</v>
      </c>
      <c r="T673" s="3" t="s">
        <v>545</v>
      </c>
      <c r="U673" s="3">
        <v>0</v>
      </c>
      <c r="V673" s="3">
        <v>29</v>
      </c>
      <c r="W673" s="3">
        <v>73</v>
      </c>
    </row>
    <row r="674" spans="1:23" ht="11.25" customHeight="1" x14ac:dyDescent="0.25">
      <c r="A674" s="3" t="s">
        <v>21</v>
      </c>
      <c r="B674" s="3" t="s">
        <v>33</v>
      </c>
      <c r="C674" s="3" t="s">
        <v>34</v>
      </c>
      <c r="D674" s="3" t="s">
        <v>43</v>
      </c>
      <c r="E674" s="3" t="s">
        <v>25</v>
      </c>
      <c r="F674" s="3" t="s">
        <v>25</v>
      </c>
      <c r="G674" s="3" t="s">
        <v>25</v>
      </c>
      <c r="H674" s="3" t="s">
        <v>36</v>
      </c>
      <c r="I674" s="6">
        <v>44593</v>
      </c>
      <c r="J674" s="4">
        <v>0</v>
      </c>
      <c r="K674" s="4">
        <v>0</v>
      </c>
      <c r="L674" s="4">
        <v>18745.844000000001</v>
      </c>
      <c r="M674" s="4">
        <v>18745.844000000001</v>
      </c>
      <c r="N674" s="4">
        <v>18745.844000000001</v>
      </c>
      <c r="O674" s="4">
        <v>18745.844000000001</v>
      </c>
      <c r="P674" s="4">
        <v>0</v>
      </c>
      <c r="Q674" s="3" t="s">
        <v>26</v>
      </c>
      <c r="R674" s="3">
        <v>0</v>
      </c>
      <c r="S674" s="3" t="s">
        <v>297</v>
      </c>
      <c r="T674" s="3" t="s">
        <v>546</v>
      </c>
      <c r="U674" s="3">
        <v>0</v>
      </c>
      <c r="V674" s="3">
        <v>29</v>
      </c>
      <c r="W674" s="3">
        <v>73</v>
      </c>
    </row>
    <row r="675" spans="1:23" ht="11.25" customHeight="1" x14ac:dyDescent="0.25">
      <c r="A675" s="3" t="s">
        <v>27</v>
      </c>
      <c r="B675" s="3" t="s">
        <v>33</v>
      </c>
      <c r="C675" s="3" t="s">
        <v>34</v>
      </c>
      <c r="D675" s="3" t="s">
        <v>43</v>
      </c>
      <c r="E675" s="3" t="s">
        <v>25</v>
      </c>
      <c r="F675" s="3" t="s">
        <v>25</v>
      </c>
      <c r="G675" s="3" t="s">
        <v>25</v>
      </c>
      <c r="H675" s="3" t="s">
        <v>36</v>
      </c>
      <c r="I675" s="6">
        <v>44593</v>
      </c>
      <c r="J675" s="4">
        <v>0</v>
      </c>
      <c r="K675" s="4">
        <v>0</v>
      </c>
      <c r="L675" s="4">
        <v>-2.4340000000000002</v>
      </c>
      <c r="M675" s="4">
        <v>-2.4340000000000002</v>
      </c>
      <c r="N675" s="4">
        <v>-2.4340000000000002</v>
      </c>
      <c r="O675" s="4">
        <v>-2.4340000000000002</v>
      </c>
      <c r="P675" s="4">
        <v>0</v>
      </c>
      <c r="Q675" s="3" t="s">
        <v>26</v>
      </c>
      <c r="R675" s="3">
        <v>0</v>
      </c>
      <c r="S675" s="3" t="s">
        <v>297</v>
      </c>
      <c r="T675" s="3" t="s">
        <v>546</v>
      </c>
      <c r="U675" s="3">
        <v>0</v>
      </c>
      <c r="V675" s="3">
        <v>29</v>
      </c>
      <c r="W675" s="3">
        <v>73</v>
      </c>
    </row>
    <row r="676" spans="1:23" ht="11.25" customHeight="1" x14ac:dyDescent="0.25">
      <c r="A676" s="3" t="s">
        <v>28</v>
      </c>
      <c r="B676" s="3" t="s">
        <v>33</v>
      </c>
      <c r="C676" s="3" t="s">
        <v>34</v>
      </c>
      <c r="D676" s="3" t="s">
        <v>43</v>
      </c>
      <c r="E676" s="3" t="s">
        <v>25</v>
      </c>
      <c r="F676" s="3" t="s">
        <v>25</v>
      </c>
      <c r="G676" s="3" t="s">
        <v>25</v>
      </c>
      <c r="H676" s="3" t="s">
        <v>36</v>
      </c>
      <c r="I676" s="6">
        <v>44593</v>
      </c>
      <c r="J676" s="4">
        <v>0</v>
      </c>
      <c r="K676" s="4">
        <v>0</v>
      </c>
      <c r="L676" s="4">
        <v>589.59299999999996</v>
      </c>
      <c r="M676" s="4">
        <v>589.59299999999996</v>
      </c>
      <c r="N676" s="4">
        <v>589.59299999999996</v>
      </c>
      <c r="O676" s="4">
        <v>589.59299999999996</v>
      </c>
      <c r="P676" s="4">
        <v>0</v>
      </c>
      <c r="Q676" s="3" t="s">
        <v>26</v>
      </c>
      <c r="R676" s="3">
        <v>0</v>
      </c>
      <c r="S676" s="3" t="s">
        <v>297</v>
      </c>
      <c r="T676" s="3" t="s">
        <v>546</v>
      </c>
      <c r="U676" s="3">
        <v>0</v>
      </c>
      <c r="V676" s="3">
        <v>29</v>
      </c>
      <c r="W676" s="3">
        <v>73</v>
      </c>
    </row>
    <row r="677" spans="1:23" ht="11.25" customHeight="1" x14ac:dyDescent="0.25">
      <c r="A677" s="3" t="s">
        <v>28</v>
      </c>
      <c r="B677" s="3" t="s">
        <v>33</v>
      </c>
      <c r="C677" s="3" t="s">
        <v>34</v>
      </c>
      <c r="D677" s="3" t="s">
        <v>43</v>
      </c>
      <c r="E677" s="3" t="s">
        <v>25</v>
      </c>
      <c r="F677" s="3" t="s">
        <v>25</v>
      </c>
      <c r="G677" s="3" t="s">
        <v>25</v>
      </c>
      <c r="H677" s="3" t="s">
        <v>36</v>
      </c>
      <c r="I677" s="6">
        <v>44593</v>
      </c>
      <c r="J677" s="4">
        <v>0</v>
      </c>
      <c r="K677" s="4">
        <v>0</v>
      </c>
      <c r="L677" s="4">
        <v>-5.3789999999999996</v>
      </c>
      <c r="M677" s="4">
        <v>-5.3789999999999996</v>
      </c>
      <c r="N677" s="4">
        <v>-5.3789999999999996</v>
      </c>
      <c r="O677" s="4">
        <v>-5.3789999999999996</v>
      </c>
      <c r="P677" s="4">
        <v>0</v>
      </c>
      <c r="Q677" s="3" t="s">
        <v>26</v>
      </c>
      <c r="R677" s="3">
        <v>0</v>
      </c>
      <c r="S677" s="3" t="s">
        <v>297</v>
      </c>
      <c r="T677" s="3" t="s">
        <v>546</v>
      </c>
      <c r="U677" s="3">
        <v>0</v>
      </c>
      <c r="V677" s="3">
        <v>29</v>
      </c>
      <c r="W677" s="3">
        <v>73</v>
      </c>
    </row>
    <row r="678" spans="1:23" ht="11.25" customHeight="1" x14ac:dyDescent="0.25">
      <c r="A678" s="3" t="s">
        <v>21</v>
      </c>
      <c r="B678" s="3" t="s">
        <v>33</v>
      </c>
      <c r="C678" s="3" t="s">
        <v>34</v>
      </c>
      <c r="D678" s="3" t="s">
        <v>43</v>
      </c>
      <c r="E678" s="3" t="s">
        <v>25</v>
      </c>
      <c r="F678" s="3" t="s">
        <v>25</v>
      </c>
      <c r="G678" s="3" t="s">
        <v>25</v>
      </c>
      <c r="H678" s="3" t="s">
        <v>36</v>
      </c>
      <c r="I678" s="6">
        <v>44621</v>
      </c>
      <c r="J678" s="4">
        <v>0</v>
      </c>
      <c r="K678" s="4">
        <v>0</v>
      </c>
      <c r="L678" s="4">
        <v>20167.039000000001</v>
      </c>
      <c r="M678" s="4">
        <v>20167.039000000001</v>
      </c>
      <c r="N678" s="4">
        <v>20167.039000000001</v>
      </c>
      <c r="O678" s="4">
        <v>20167.039000000001</v>
      </c>
      <c r="P678" s="4">
        <v>0</v>
      </c>
      <c r="Q678" s="3" t="s">
        <v>26</v>
      </c>
      <c r="R678" s="3">
        <v>0</v>
      </c>
      <c r="S678" s="3" t="s">
        <v>298</v>
      </c>
      <c r="T678" s="3" t="s">
        <v>547</v>
      </c>
      <c r="U678" s="3">
        <v>0</v>
      </c>
      <c r="V678" s="3">
        <v>29</v>
      </c>
      <c r="W678" s="3">
        <v>73</v>
      </c>
    </row>
    <row r="679" spans="1:23" ht="11.25" customHeight="1" x14ac:dyDescent="0.25">
      <c r="A679" s="3" t="s">
        <v>27</v>
      </c>
      <c r="B679" s="3" t="s">
        <v>33</v>
      </c>
      <c r="C679" s="3" t="s">
        <v>34</v>
      </c>
      <c r="D679" s="3" t="s">
        <v>43</v>
      </c>
      <c r="E679" s="3" t="s">
        <v>25</v>
      </c>
      <c r="F679" s="3" t="s">
        <v>25</v>
      </c>
      <c r="G679" s="3" t="s">
        <v>25</v>
      </c>
      <c r="H679" s="3" t="s">
        <v>36</v>
      </c>
      <c r="I679" s="6">
        <v>44621</v>
      </c>
      <c r="J679" s="4">
        <v>0</v>
      </c>
      <c r="K679" s="4">
        <v>0</v>
      </c>
      <c r="L679" s="4">
        <v>0.72899999999999998</v>
      </c>
      <c r="M679" s="4">
        <v>0.72899999999999998</v>
      </c>
      <c r="N679" s="4">
        <v>0.72899999999999998</v>
      </c>
      <c r="O679" s="4">
        <v>0.72899999999999998</v>
      </c>
      <c r="P679" s="4">
        <v>0</v>
      </c>
      <c r="Q679" s="3" t="s">
        <v>26</v>
      </c>
      <c r="R679" s="3">
        <v>0</v>
      </c>
      <c r="S679" s="3" t="s">
        <v>298</v>
      </c>
      <c r="T679" s="3" t="s">
        <v>547</v>
      </c>
      <c r="U679" s="3">
        <v>0</v>
      </c>
      <c r="V679" s="3">
        <v>29</v>
      </c>
      <c r="W679" s="3">
        <v>73</v>
      </c>
    </row>
    <row r="680" spans="1:23" ht="11.25" customHeight="1" x14ac:dyDescent="0.25">
      <c r="A680" s="3" t="s">
        <v>28</v>
      </c>
      <c r="B680" s="3" t="s">
        <v>33</v>
      </c>
      <c r="C680" s="3" t="s">
        <v>34</v>
      </c>
      <c r="D680" s="3" t="s">
        <v>43</v>
      </c>
      <c r="E680" s="3" t="s">
        <v>25</v>
      </c>
      <c r="F680" s="3" t="s">
        <v>25</v>
      </c>
      <c r="G680" s="3" t="s">
        <v>25</v>
      </c>
      <c r="H680" s="3" t="s">
        <v>36</v>
      </c>
      <c r="I680" s="6">
        <v>44621</v>
      </c>
      <c r="J680" s="4">
        <v>0</v>
      </c>
      <c r="K680" s="4">
        <v>0</v>
      </c>
      <c r="L680" s="4">
        <v>799.83299999999997</v>
      </c>
      <c r="M680" s="4">
        <v>799.83299999999997</v>
      </c>
      <c r="N680" s="4">
        <v>799.83299999999997</v>
      </c>
      <c r="O680" s="4">
        <v>799.83299999999997</v>
      </c>
      <c r="P680" s="4">
        <v>0</v>
      </c>
      <c r="Q680" s="3" t="s">
        <v>26</v>
      </c>
      <c r="R680" s="3">
        <v>0</v>
      </c>
      <c r="S680" s="3" t="s">
        <v>298</v>
      </c>
      <c r="T680" s="3" t="s">
        <v>547</v>
      </c>
      <c r="U680" s="3">
        <v>0</v>
      </c>
      <c r="V680" s="3">
        <v>29</v>
      </c>
      <c r="W680" s="3">
        <v>73</v>
      </c>
    </row>
    <row r="681" spans="1:23" ht="11.25" customHeight="1" x14ac:dyDescent="0.25">
      <c r="A681" s="3" t="s">
        <v>56</v>
      </c>
      <c r="B681" s="3" t="s">
        <v>33</v>
      </c>
      <c r="C681" s="3" t="s">
        <v>34</v>
      </c>
      <c r="D681" s="3" t="s">
        <v>43</v>
      </c>
      <c r="E681" s="3" t="s">
        <v>25</v>
      </c>
      <c r="F681" s="3" t="s">
        <v>25</v>
      </c>
      <c r="G681" s="3" t="s">
        <v>25</v>
      </c>
      <c r="H681" s="3" t="s">
        <v>36</v>
      </c>
      <c r="I681" s="6">
        <v>44652</v>
      </c>
      <c r="J681" s="4">
        <v>0</v>
      </c>
      <c r="K681" s="4">
        <v>0</v>
      </c>
      <c r="L681" s="4">
        <v>20167.039000000001</v>
      </c>
      <c r="M681" s="4">
        <v>20167.039000000001</v>
      </c>
      <c r="N681" s="4">
        <v>20167.039000000001</v>
      </c>
      <c r="O681" s="4">
        <v>20167.039000000001</v>
      </c>
      <c r="P681" s="4">
        <v>0</v>
      </c>
      <c r="Q681" s="3" t="s">
        <v>26</v>
      </c>
      <c r="R681" s="3">
        <v>0</v>
      </c>
      <c r="S681" s="3" t="s">
        <v>299</v>
      </c>
      <c r="T681" s="3" t="s">
        <v>548</v>
      </c>
      <c r="U681" s="3">
        <v>0</v>
      </c>
      <c r="V681" s="3">
        <v>29</v>
      </c>
      <c r="W681" s="3">
        <v>73</v>
      </c>
    </row>
    <row r="682" spans="1:23" ht="11.25" customHeight="1" x14ac:dyDescent="0.25">
      <c r="A682" s="3" t="s">
        <v>56</v>
      </c>
      <c r="B682" s="3" t="s">
        <v>33</v>
      </c>
      <c r="C682" s="3" t="s">
        <v>34</v>
      </c>
      <c r="D682" s="3" t="s">
        <v>43</v>
      </c>
      <c r="E682" s="3" t="s">
        <v>25</v>
      </c>
      <c r="F682" s="3" t="s">
        <v>25</v>
      </c>
      <c r="G682" s="3" t="s">
        <v>25</v>
      </c>
      <c r="H682" s="3" t="s">
        <v>36</v>
      </c>
      <c r="I682" s="6">
        <v>44652</v>
      </c>
      <c r="J682" s="4">
        <v>0</v>
      </c>
      <c r="K682" s="4">
        <v>0</v>
      </c>
      <c r="L682" s="4">
        <v>0.72899999999999998</v>
      </c>
      <c r="M682" s="4">
        <v>0.72899999999999998</v>
      </c>
      <c r="N682" s="4">
        <v>0.72899999999999998</v>
      </c>
      <c r="O682" s="4">
        <v>0.72899999999999998</v>
      </c>
      <c r="P682" s="4">
        <v>0</v>
      </c>
      <c r="Q682" s="3" t="s">
        <v>26</v>
      </c>
      <c r="R682" s="3">
        <v>0</v>
      </c>
      <c r="S682" s="3" t="s">
        <v>299</v>
      </c>
      <c r="T682" s="3" t="s">
        <v>548</v>
      </c>
      <c r="U682" s="3">
        <v>0</v>
      </c>
      <c r="V682" s="3">
        <v>29</v>
      </c>
      <c r="W682" s="3">
        <v>73</v>
      </c>
    </row>
    <row r="683" spans="1:23" ht="11.25" customHeight="1" x14ac:dyDescent="0.25">
      <c r="A683" s="3" t="s">
        <v>56</v>
      </c>
      <c r="B683" s="3" t="s">
        <v>33</v>
      </c>
      <c r="C683" s="3" t="s">
        <v>34</v>
      </c>
      <c r="D683" s="3" t="s">
        <v>43</v>
      </c>
      <c r="E683" s="3" t="s">
        <v>25</v>
      </c>
      <c r="F683" s="3" t="s">
        <v>25</v>
      </c>
      <c r="G683" s="3" t="s">
        <v>25</v>
      </c>
      <c r="H683" s="3" t="s">
        <v>36</v>
      </c>
      <c r="I683" s="6">
        <v>44652</v>
      </c>
      <c r="J683" s="4">
        <v>0</v>
      </c>
      <c r="K683" s="4">
        <v>0</v>
      </c>
      <c r="L683" s="4">
        <v>799.83299999999997</v>
      </c>
      <c r="M683" s="4">
        <v>799.83299999999997</v>
      </c>
      <c r="N683" s="4">
        <v>799.83299999999997</v>
      </c>
      <c r="O683" s="4">
        <v>799.83299999999997</v>
      </c>
      <c r="P683" s="4">
        <v>0</v>
      </c>
      <c r="Q683" s="3" t="s">
        <v>26</v>
      </c>
      <c r="R683" s="3">
        <v>0</v>
      </c>
      <c r="S683" s="3" t="s">
        <v>299</v>
      </c>
      <c r="T683" s="3" t="s">
        <v>548</v>
      </c>
      <c r="U683" s="3">
        <v>0</v>
      </c>
      <c r="V683" s="3">
        <v>29</v>
      </c>
      <c r="W683" s="3">
        <v>73</v>
      </c>
    </row>
    <row r="684" spans="1:23" ht="11.25" customHeight="1" x14ac:dyDescent="0.25">
      <c r="A684" s="3" t="s">
        <v>21</v>
      </c>
      <c r="B684" s="3" t="s">
        <v>33</v>
      </c>
      <c r="C684" s="3" t="s">
        <v>34</v>
      </c>
      <c r="D684" s="3" t="s">
        <v>43</v>
      </c>
      <c r="E684" s="3" t="s">
        <v>25</v>
      </c>
      <c r="F684" s="3" t="s">
        <v>25</v>
      </c>
      <c r="G684" s="3" t="s">
        <v>25</v>
      </c>
      <c r="H684" s="3" t="s">
        <v>25</v>
      </c>
      <c r="I684" s="6">
        <v>44317</v>
      </c>
      <c r="J684" s="4">
        <v>89832</v>
      </c>
      <c r="K684" s="4">
        <v>89832</v>
      </c>
      <c r="L684" s="4">
        <v>0</v>
      </c>
      <c r="M684" s="4">
        <v>0</v>
      </c>
      <c r="N684" s="4">
        <v>0</v>
      </c>
      <c r="O684" s="4">
        <v>0</v>
      </c>
      <c r="P684" s="4">
        <v>861</v>
      </c>
      <c r="Q684" s="3" t="s">
        <v>26</v>
      </c>
      <c r="R684" s="3">
        <v>0</v>
      </c>
      <c r="S684" s="3" t="s">
        <v>300</v>
      </c>
      <c r="U684" s="3">
        <v>7</v>
      </c>
      <c r="V684" s="3">
        <v>0</v>
      </c>
      <c r="W684" s="3">
        <v>0</v>
      </c>
    </row>
    <row r="685" spans="1:23" ht="11.25" customHeight="1" x14ac:dyDescent="0.25">
      <c r="A685" s="3" t="s">
        <v>28</v>
      </c>
      <c r="B685" s="3" t="s">
        <v>33</v>
      </c>
      <c r="C685" s="3" t="s">
        <v>34</v>
      </c>
      <c r="D685" s="3" t="s">
        <v>43</v>
      </c>
      <c r="E685" s="3" t="s">
        <v>25</v>
      </c>
      <c r="F685" s="3" t="s">
        <v>25</v>
      </c>
      <c r="G685" s="3" t="s">
        <v>25</v>
      </c>
      <c r="H685" s="3" t="s">
        <v>25</v>
      </c>
      <c r="I685" s="6">
        <v>44317</v>
      </c>
      <c r="J685" s="4">
        <v>4509</v>
      </c>
      <c r="K685" s="4">
        <v>4509</v>
      </c>
      <c r="L685" s="4">
        <v>0</v>
      </c>
      <c r="M685" s="4">
        <v>0</v>
      </c>
      <c r="N685" s="4">
        <v>0</v>
      </c>
      <c r="O685" s="4">
        <v>0</v>
      </c>
      <c r="P685" s="4">
        <v>24</v>
      </c>
      <c r="Q685" s="3" t="s">
        <v>26</v>
      </c>
      <c r="R685" s="3">
        <v>0</v>
      </c>
      <c r="S685" s="3" t="s">
        <v>300</v>
      </c>
      <c r="U685" s="3">
        <v>7</v>
      </c>
      <c r="V685" s="3">
        <v>0</v>
      </c>
      <c r="W685" s="3">
        <v>0</v>
      </c>
    </row>
    <row r="686" spans="1:23" ht="11.25" customHeight="1" x14ac:dyDescent="0.25">
      <c r="A686" s="3" t="s">
        <v>28</v>
      </c>
      <c r="B686" s="3" t="s">
        <v>33</v>
      </c>
      <c r="C686" s="3" t="s">
        <v>34</v>
      </c>
      <c r="D686" s="3" t="s">
        <v>43</v>
      </c>
      <c r="E686" s="3" t="s">
        <v>25</v>
      </c>
      <c r="F686" s="3" t="s">
        <v>25</v>
      </c>
      <c r="G686" s="3" t="s">
        <v>25</v>
      </c>
      <c r="H686" s="3" t="s">
        <v>25</v>
      </c>
      <c r="I686" s="6">
        <v>44317</v>
      </c>
      <c r="J686" s="4">
        <v>-60</v>
      </c>
      <c r="K686" s="4">
        <v>-60</v>
      </c>
      <c r="L686" s="4">
        <v>0</v>
      </c>
      <c r="M686" s="4">
        <v>0</v>
      </c>
      <c r="N686" s="4">
        <v>0</v>
      </c>
      <c r="O686" s="4">
        <v>0</v>
      </c>
      <c r="P686" s="4">
        <v>-2</v>
      </c>
      <c r="Q686" s="3" t="s">
        <v>26</v>
      </c>
      <c r="R686" s="3">
        <v>0</v>
      </c>
      <c r="S686" s="3" t="s">
        <v>300</v>
      </c>
      <c r="U686" s="3">
        <v>7</v>
      </c>
      <c r="V686" s="3">
        <v>0</v>
      </c>
      <c r="W686" s="3">
        <v>0</v>
      </c>
    </row>
    <row r="687" spans="1:23" ht="11.25" customHeight="1" x14ac:dyDescent="0.25">
      <c r="A687" s="3" t="s">
        <v>21</v>
      </c>
      <c r="B687" s="3" t="s">
        <v>33</v>
      </c>
      <c r="C687" s="3" t="s">
        <v>34</v>
      </c>
      <c r="D687" s="3" t="s">
        <v>43</v>
      </c>
      <c r="E687" s="3" t="s">
        <v>25</v>
      </c>
      <c r="F687" s="3" t="s">
        <v>25</v>
      </c>
      <c r="G687" s="3" t="s">
        <v>25</v>
      </c>
      <c r="H687" s="3" t="s">
        <v>25</v>
      </c>
      <c r="I687" s="6">
        <v>44348</v>
      </c>
      <c r="J687" s="4">
        <v>89730</v>
      </c>
      <c r="K687" s="4">
        <v>89730</v>
      </c>
      <c r="L687" s="4">
        <v>0</v>
      </c>
      <c r="M687" s="4">
        <v>0</v>
      </c>
      <c r="N687" s="4">
        <v>0</v>
      </c>
      <c r="O687" s="4">
        <v>0</v>
      </c>
      <c r="P687" s="4">
        <v>863</v>
      </c>
      <c r="Q687" s="3" t="s">
        <v>26</v>
      </c>
      <c r="R687" s="3">
        <v>0</v>
      </c>
      <c r="S687" s="3" t="s">
        <v>301</v>
      </c>
      <c r="U687" s="3">
        <v>7</v>
      </c>
      <c r="V687" s="3">
        <v>0</v>
      </c>
      <c r="W687" s="3">
        <v>0</v>
      </c>
    </row>
    <row r="688" spans="1:23" ht="11.25" customHeight="1" x14ac:dyDescent="0.25">
      <c r="A688" s="3" t="s">
        <v>27</v>
      </c>
      <c r="B688" s="3" t="s">
        <v>33</v>
      </c>
      <c r="C688" s="3" t="s">
        <v>34</v>
      </c>
      <c r="D688" s="3" t="s">
        <v>43</v>
      </c>
      <c r="E688" s="3" t="s">
        <v>25</v>
      </c>
      <c r="F688" s="3" t="s">
        <v>25</v>
      </c>
      <c r="G688" s="3" t="s">
        <v>25</v>
      </c>
      <c r="H688" s="3" t="s">
        <v>25</v>
      </c>
      <c r="I688" s="6">
        <v>44348</v>
      </c>
      <c r="J688" s="4">
        <v>-14</v>
      </c>
      <c r="K688" s="4">
        <v>-14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3" t="s">
        <v>26</v>
      </c>
      <c r="R688" s="3">
        <v>0</v>
      </c>
      <c r="S688" s="3" t="s">
        <v>301</v>
      </c>
      <c r="U688" s="3">
        <v>7</v>
      </c>
      <c r="V688" s="3">
        <v>0</v>
      </c>
      <c r="W688" s="3">
        <v>0</v>
      </c>
    </row>
    <row r="689" spans="1:23" ht="11.25" customHeight="1" x14ac:dyDescent="0.25">
      <c r="A689" s="3" t="s">
        <v>28</v>
      </c>
      <c r="B689" s="3" t="s">
        <v>33</v>
      </c>
      <c r="C689" s="3" t="s">
        <v>34</v>
      </c>
      <c r="D689" s="3" t="s">
        <v>43</v>
      </c>
      <c r="E689" s="3" t="s">
        <v>25</v>
      </c>
      <c r="F689" s="3" t="s">
        <v>25</v>
      </c>
      <c r="G689" s="3" t="s">
        <v>25</v>
      </c>
      <c r="H689" s="3" t="s">
        <v>25</v>
      </c>
      <c r="I689" s="6">
        <v>44348</v>
      </c>
      <c r="J689" s="4">
        <v>4527</v>
      </c>
      <c r="K689" s="4">
        <v>4527</v>
      </c>
      <c r="L689" s="4">
        <v>0</v>
      </c>
      <c r="M689" s="4">
        <v>0</v>
      </c>
      <c r="N689" s="4">
        <v>0</v>
      </c>
      <c r="O689" s="4">
        <v>0</v>
      </c>
      <c r="P689" s="4">
        <v>25</v>
      </c>
      <c r="Q689" s="3" t="s">
        <v>26</v>
      </c>
      <c r="R689" s="3">
        <v>0</v>
      </c>
      <c r="S689" s="3" t="s">
        <v>301</v>
      </c>
      <c r="U689" s="3">
        <v>7</v>
      </c>
      <c r="V689" s="3">
        <v>0</v>
      </c>
      <c r="W689" s="3">
        <v>0</v>
      </c>
    </row>
    <row r="690" spans="1:23" ht="11.25" customHeight="1" x14ac:dyDescent="0.25">
      <c r="A690" s="3" t="s">
        <v>21</v>
      </c>
      <c r="B690" s="3" t="s">
        <v>33</v>
      </c>
      <c r="C690" s="3" t="s">
        <v>34</v>
      </c>
      <c r="D690" s="3" t="s">
        <v>43</v>
      </c>
      <c r="E690" s="3" t="s">
        <v>25</v>
      </c>
      <c r="F690" s="3" t="s">
        <v>25</v>
      </c>
      <c r="G690" s="3" t="s">
        <v>25</v>
      </c>
      <c r="H690" s="3" t="s">
        <v>25</v>
      </c>
      <c r="I690" s="6">
        <v>44378</v>
      </c>
      <c r="J690" s="4">
        <v>88746</v>
      </c>
      <c r="K690" s="4">
        <v>88746</v>
      </c>
      <c r="L690" s="4">
        <v>0</v>
      </c>
      <c r="M690" s="4">
        <v>0</v>
      </c>
      <c r="N690" s="4">
        <v>0</v>
      </c>
      <c r="O690" s="4">
        <v>0</v>
      </c>
      <c r="P690" s="4">
        <v>861</v>
      </c>
      <c r="Q690" s="3" t="s">
        <v>26</v>
      </c>
      <c r="R690" s="3">
        <v>0</v>
      </c>
      <c r="S690" s="3" t="s">
        <v>302</v>
      </c>
      <c r="U690" s="3">
        <v>7</v>
      </c>
      <c r="V690" s="3">
        <v>0</v>
      </c>
      <c r="W690" s="3">
        <v>0</v>
      </c>
    </row>
    <row r="691" spans="1:23" ht="11.25" customHeight="1" x14ac:dyDescent="0.25">
      <c r="A691" s="3" t="s">
        <v>27</v>
      </c>
      <c r="B691" s="3" t="s">
        <v>33</v>
      </c>
      <c r="C691" s="3" t="s">
        <v>34</v>
      </c>
      <c r="D691" s="3" t="s">
        <v>43</v>
      </c>
      <c r="E691" s="3" t="s">
        <v>25</v>
      </c>
      <c r="F691" s="3" t="s">
        <v>25</v>
      </c>
      <c r="G691" s="3" t="s">
        <v>25</v>
      </c>
      <c r="H691" s="3" t="s">
        <v>25</v>
      </c>
      <c r="I691" s="6">
        <v>44378</v>
      </c>
      <c r="J691" s="4">
        <v>-920</v>
      </c>
      <c r="K691" s="4">
        <v>-920</v>
      </c>
      <c r="L691" s="4">
        <v>0</v>
      </c>
      <c r="M691" s="4">
        <v>0</v>
      </c>
      <c r="N691" s="4">
        <v>0</v>
      </c>
      <c r="O691" s="4">
        <v>0</v>
      </c>
      <c r="P691" s="4">
        <v>-4</v>
      </c>
      <c r="Q691" s="3" t="s">
        <v>26</v>
      </c>
      <c r="R691" s="3">
        <v>0</v>
      </c>
      <c r="S691" s="3" t="s">
        <v>302</v>
      </c>
      <c r="U691" s="3">
        <v>7</v>
      </c>
      <c r="V691" s="3">
        <v>0</v>
      </c>
      <c r="W691" s="3">
        <v>0</v>
      </c>
    </row>
    <row r="692" spans="1:23" ht="11.25" customHeight="1" x14ac:dyDescent="0.25">
      <c r="A692" s="3" t="s">
        <v>28</v>
      </c>
      <c r="B692" s="3" t="s">
        <v>33</v>
      </c>
      <c r="C692" s="3" t="s">
        <v>34</v>
      </c>
      <c r="D692" s="3" t="s">
        <v>43</v>
      </c>
      <c r="E692" s="3" t="s">
        <v>25</v>
      </c>
      <c r="F692" s="3" t="s">
        <v>25</v>
      </c>
      <c r="G692" s="3" t="s">
        <v>25</v>
      </c>
      <c r="H692" s="3" t="s">
        <v>25</v>
      </c>
      <c r="I692" s="6">
        <v>44378</v>
      </c>
      <c r="J692" s="4">
        <v>4950</v>
      </c>
      <c r="K692" s="4">
        <v>4950</v>
      </c>
      <c r="L692" s="4">
        <v>0</v>
      </c>
      <c r="M692" s="4">
        <v>0</v>
      </c>
      <c r="N692" s="4">
        <v>0</v>
      </c>
      <c r="O692" s="4">
        <v>0</v>
      </c>
      <c r="P692" s="4">
        <v>29</v>
      </c>
      <c r="Q692" s="3" t="s">
        <v>26</v>
      </c>
      <c r="R692" s="3">
        <v>0</v>
      </c>
      <c r="S692" s="3" t="s">
        <v>302</v>
      </c>
      <c r="U692" s="3">
        <v>7</v>
      </c>
      <c r="V692" s="3">
        <v>0</v>
      </c>
      <c r="W692" s="3">
        <v>0</v>
      </c>
    </row>
    <row r="693" spans="1:23" ht="11.25" customHeight="1" x14ac:dyDescent="0.25">
      <c r="A693" s="3" t="s">
        <v>28</v>
      </c>
      <c r="B693" s="3" t="s">
        <v>33</v>
      </c>
      <c r="C693" s="3" t="s">
        <v>34</v>
      </c>
      <c r="D693" s="3" t="s">
        <v>43</v>
      </c>
      <c r="E693" s="3" t="s">
        <v>25</v>
      </c>
      <c r="F693" s="3" t="s">
        <v>25</v>
      </c>
      <c r="G693" s="3" t="s">
        <v>25</v>
      </c>
      <c r="H693" s="3" t="s">
        <v>25</v>
      </c>
      <c r="I693" s="6">
        <v>44378</v>
      </c>
      <c r="J693" s="4">
        <v>120</v>
      </c>
      <c r="K693" s="4">
        <v>120</v>
      </c>
      <c r="L693" s="4">
        <v>0</v>
      </c>
      <c r="M693" s="4">
        <v>0</v>
      </c>
      <c r="N693" s="4">
        <v>0</v>
      </c>
      <c r="O693" s="4">
        <v>0</v>
      </c>
      <c r="P693" s="4">
        <v>1</v>
      </c>
      <c r="Q693" s="3" t="s">
        <v>26</v>
      </c>
      <c r="R693" s="3">
        <v>0</v>
      </c>
      <c r="S693" s="3" t="s">
        <v>302</v>
      </c>
      <c r="U693" s="3">
        <v>7</v>
      </c>
      <c r="V693" s="3">
        <v>0</v>
      </c>
      <c r="W693" s="3">
        <v>0</v>
      </c>
    </row>
    <row r="694" spans="1:23" ht="11.25" customHeight="1" x14ac:dyDescent="0.25">
      <c r="A694" s="3" t="s">
        <v>21</v>
      </c>
      <c r="B694" s="3" t="s">
        <v>33</v>
      </c>
      <c r="C694" s="3" t="s">
        <v>34</v>
      </c>
      <c r="D694" s="3" t="s">
        <v>43</v>
      </c>
      <c r="E694" s="3" t="s">
        <v>25</v>
      </c>
      <c r="F694" s="3" t="s">
        <v>25</v>
      </c>
      <c r="G694" s="3" t="s">
        <v>25</v>
      </c>
      <c r="H694" s="3" t="s">
        <v>25</v>
      </c>
      <c r="I694" s="6">
        <v>44409</v>
      </c>
      <c r="J694" s="4">
        <v>89390</v>
      </c>
      <c r="K694" s="4">
        <v>89390</v>
      </c>
      <c r="L694" s="4">
        <v>0</v>
      </c>
      <c r="M694" s="4">
        <v>0</v>
      </c>
      <c r="N694" s="4">
        <v>0</v>
      </c>
      <c r="O694" s="4">
        <v>0</v>
      </c>
      <c r="P694" s="4">
        <v>856</v>
      </c>
      <c r="Q694" s="3" t="s">
        <v>26</v>
      </c>
      <c r="R694" s="3">
        <v>0</v>
      </c>
      <c r="S694" s="3" t="s">
        <v>303</v>
      </c>
      <c r="U694" s="3">
        <v>7</v>
      </c>
      <c r="V694" s="3">
        <v>0</v>
      </c>
      <c r="W694" s="3">
        <v>0</v>
      </c>
    </row>
    <row r="695" spans="1:23" ht="11.25" customHeight="1" x14ac:dyDescent="0.25">
      <c r="A695" s="3" t="s">
        <v>27</v>
      </c>
      <c r="B695" s="3" t="s">
        <v>33</v>
      </c>
      <c r="C695" s="3" t="s">
        <v>34</v>
      </c>
      <c r="D695" s="3" t="s">
        <v>43</v>
      </c>
      <c r="E695" s="3" t="s">
        <v>25</v>
      </c>
      <c r="F695" s="3" t="s">
        <v>25</v>
      </c>
      <c r="G695" s="3" t="s">
        <v>25</v>
      </c>
      <c r="H695" s="3" t="s">
        <v>25</v>
      </c>
      <c r="I695" s="6">
        <v>44409</v>
      </c>
      <c r="J695" s="4">
        <v>30</v>
      </c>
      <c r="K695" s="4">
        <v>30</v>
      </c>
      <c r="L695" s="4">
        <v>0</v>
      </c>
      <c r="M695" s="4">
        <v>0</v>
      </c>
      <c r="N695" s="4">
        <v>0</v>
      </c>
      <c r="O695" s="4">
        <v>0</v>
      </c>
      <c r="P695" s="4">
        <v>1</v>
      </c>
      <c r="Q695" s="3" t="s">
        <v>26</v>
      </c>
      <c r="R695" s="3">
        <v>0</v>
      </c>
      <c r="S695" s="3" t="s">
        <v>303</v>
      </c>
      <c r="U695" s="3">
        <v>7</v>
      </c>
      <c r="V695" s="3">
        <v>0</v>
      </c>
      <c r="W695" s="3">
        <v>0</v>
      </c>
    </row>
    <row r="696" spans="1:23" ht="11.25" customHeight="1" x14ac:dyDescent="0.25">
      <c r="A696" s="3" t="s">
        <v>28</v>
      </c>
      <c r="B696" s="3" t="s">
        <v>33</v>
      </c>
      <c r="C696" s="3" t="s">
        <v>34</v>
      </c>
      <c r="D696" s="3" t="s">
        <v>43</v>
      </c>
      <c r="E696" s="3" t="s">
        <v>25</v>
      </c>
      <c r="F696" s="3" t="s">
        <v>25</v>
      </c>
      <c r="G696" s="3" t="s">
        <v>25</v>
      </c>
      <c r="H696" s="3" t="s">
        <v>25</v>
      </c>
      <c r="I696" s="6">
        <v>44409</v>
      </c>
      <c r="J696" s="4">
        <v>10971</v>
      </c>
      <c r="K696" s="4">
        <v>10971</v>
      </c>
      <c r="L696" s="4">
        <v>0</v>
      </c>
      <c r="M696" s="4">
        <v>0</v>
      </c>
      <c r="N696" s="4">
        <v>0</v>
      </c>
      <c r="O696" s="4">
        <v>0</v>
      </c>
      <c r="P696" s="4">
        <v>31</v>
      </c>
      <c r="Q696" s="3" t="s">
        <v>26</v>
      </c>
      <c r="R696" s="3">
        <v>0</v>
      </c>
      <c r="S696" s="3" t="s">
        <v>303</v>
      </c>
      <c r="U696" s="3">
        <v>7</v>
      </c>
      <c r="V696" s="3">
        <v>0</v>
      </c>
      <c r="W696" s="3">
        <v>0</v>
      </c>
    </row>
    <row r="697" spans="1:23" ht="11.25" customHeight="1" x14ac:dyDescent="0.25">
      <c r="A697" s="3" t="s">
        <v>28</v>
      </c>
      <c r="B697" s="3" t="s">
        <v>33</v>
      </c>
      <c r="C697" s="3" t="s">
        <v>34</v>
      </c>
      <c r="D697" s="3" t="s">
        <v>43</v>
      </c>
      <c r="E697" s="3" t="s">
        <v>25</v>
      </c>
      <c r="F697" s="3" t="s">
        <v>25</v>
      </c>
      <c r="G697" s="3" t="s">
        <v>25</v>
      </c>
      <c r="H697" s="3" t="s">
        <v>25</v>
      </c>
      <c r="I697" s="6">
        <v>44409</v>
      </c>
      <c r="J697" s="4">
        <v>-49</v>
      </c>
      <c r="K697" s="4">
        <v>-49</v>
      </c>
      <c r="L697" s="4">
        <v>0</v>
      </c>
      <c r="M697" s="4">
        <v>0</v>
      </c>
      <c r="N697" s="4">
        <v>0</v>
      </c>
      <c r="O697" s="4">
        <v>0</v>
      </c>
      <c r="P697" s="4">
        <v>-1</v>
      </c>
      <c r="Q697" s="3" t="s">
        <v>26</v>
      </c>
      <c r="R697" s="3">
        <v>0</v>
      </c>
      <c r="S697" s="3" t="s">
        <v>303</v>
      </c>
      <c r="U697" s="3">
        <v>7</v>
      </c>
      <c r="V697" s="3">
        <v>0</v>
      </c>
      <c r="W697" s="3">
        <v>0</v>
      </c>
    </row>
    <row r="698" spans="1:23" ht="11.25" customHeight="1" x14ac:dyDescent="0.25">
      <c r="A698" s="3" t="s">
        <v>21</v>
      </c>
      <c r="B698" s="3" t="s">
        <v>33</v>
      </c>
      <c r="C698" s="3" t="s">
        <v>34</v>
      </c>
      <c r="D698" s="3" t="s">
        <v>43</v>
      </c>
      <c r="E698" s="3" t="s">
        <v>25</v>
      </c>
      <c r="F698" s="3" t="s">
        <v>25</v>
      </c>
      <c r="G698" s="3" t="s">
        <v>25</v>
      </c>
      <c r="H698" s="3" t="s">
        <v>25</v>
      </c>
      <c r="I698" s="6">
        <v>44440</v>
      </c>
      <c r="J698" s="4">
        <v>89720</v>
      </c>
      <c r="K698" s="4">
        <v>89720</v>
      </c>
      <c r="L698" s="4">
        <v>0</v>
      </c>
      <c r="M698" s="4">
        <v>0</v>
      </c>
      <c r="N698" s="4">
        <v>0</v>
      </c>
      <c r="O698" s="4">
        <v>0</v>
      </c>
      <c r="P698" s="4">
        <v>847</v>
      </c>
      <c r="Q698" s="3" t="s">
        <v>26</v>
      </c>
      <c r="R698" s="3">
        <v>0</v>
      </c>
      <c r="S698" s="3" t="s">
        <v>304</v>
      </c>
      <c r="U698" s="3">
        <v>7</v>
      </c>
      <c r="V698" s="3">
        <v>0</v>
      </c>
      <c r="W698" s="3">
        <v>0</v>
      </c>
    </row>
    <row r="699" spans="1:23" ht="11.25" customHeight="1" x14ac:dyDescent="0.25">
      <c r="A699" s="3" t="s">
        <v>27</v>
      </c>
      <c r="B699" s="3" t="s">
        <v>33</v>
      </c>
      <c r="C699" s="3" t="s">
        <v>34</v>
      </c>
      <c r="D699" s="3" t="s">
        <v>43</v>
      </c>
      <c r="E699" s="3" t="s">
        <v>25</v>
      </c>
      <c r="F699" s="3" t="s">
        <v>25</v>
      </c>
      <c r="G699" s="3" t="s">
        <v>25</v>
      </c>
      <c r="H699" s="3" t="s">
        <v>25</v>
      </c>
      <c r="I699" s="6">
        <v>44440</v>
      </c>
      <c r="J699" s="4">
        <v>486</v>
      </c>
      <c r="K699" s="4">
        <v>486</v>
      </c>
      <c r="L699" s="4">
        <v>0</v>
      </c>
      <c r="M699" s="4">
        <v>0</v>
      </c>
      <c r="N699" s="4">
        <v>0</v>
      </c>
      <c r="O699" s="4">
        <v>0</v>
      </c>
      <c r="P699" s="4">
        <v>-1</v>
      </c>
      <c r="Q699" s="3" t="s">
        <v>26</v>
      </c>
      <c r="R699" s="3">
        <v>0</v>
      </c>
      <c r="S699" s="3" t="s">
        <v>304</v>
      </c>
      <c r="U699" s="3">
        <v>7</v>
      </c>
      <c r="V699" s="3">
        <v>0</v>
      </c>
      <c r="W699" s="3">
        <v>0</v>
      </c>
    </row>
    <row r="700" spans="1:23" ht="11.25" customHeight="1" x14ac:dyDescent="0.25">
      <c r="A700" s="3" t="s">
        <v>28</v>
      </c>
      <c r="B700" s="3" t="s">
        <v>33</v>
      </c>
      <c r="C700" s="3" t="s">
        <v>34</v>
      </c>
      <c r="D700" s="3" t="s">
        <v>43</v>
      </c>
      <c r="E700" s="3" t="s">
        <v>25</v>
      </c>
      <c r="F700" s="3" t="s">
        <v>25</v>
      </c>
      <c r="G700" s="3" t="s">
        <v>25</v>
      </c>
      <c r="H700" s="3" t="s">
        <v>25</v>
      </c>
      <c r="I700" s="6">
        <v>44440</v>
      </c>
      <c r="J700" s="4">
        <v>13292</v>
      </c>
      <c r="K700" s="4">
        <v>13292</v>
      </c>
      <c r="L700" s="4">
        <v>0</v>
      </c>
      <c r="M700" s="4">
        <v>0</v>
      </c>
      <c r="N700" s="4">
        <v>0</v>
      </c>
      <c r="O700" s="4">
        <v>0</v>
      </c>
      <c r="P700" s="4">
        <v>34</v>
      </c>
      <c r="Q700" s="3" t="s">
        <v>26</v>
      </c>
      <c r="R700" s="3">
        <v>0</v>
      </c>
      <c r="S700" s="3" t="s">
        <v>304</v>
      </c>
      <c r="U700" s="3">
        <v>7</v>
      </c>
      <c r="V700" s="3">
        <v>0</v>
      </c>
      <c r="W700" s="3">
        <v>0</v>
      </c>
    </row>
    <row r="701" spans="1:23" ht="11.25" customHeight="1" x14ac:dyDescent="0.25">
      <c r="A701" s="3" t="s">
        <v>28</v>
      </c>
      <c r="B701" s="3" t="s">
        <v>33</v>
      </c>
      <c r="C701" s="3" t="s">
        <v>34</v>
      </c>
      <c r="D701" s="3" t="s">
        <v>43</v>
      </c>
      <c r="E701" s="3" t="s">
        <v>25</v>
      </c>
      <c r="F701" s="3" t="s">
        <v>25</v>
      </c>
      <c r="G701" s="3" t="s">
        <v>25</v>
      </c>
      <c r="H701" s="3" t="s">
        <v>25</v>
      </c>
      <c r="I701" s="6">
        <v>44440</v>
      </c>
      <c r="J701" s="4">
        <v>-658</v>
      </c>
      <c r="K701" s="4">
        <v>-658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3" t="s">
        <v>26</v>
      </c>
      <c r="R701" s="3">
        <v>0</v>
      </c>
      <c r="S701" s="3" t="s">
        <v>304</v>
      </c>
      <c r="U701" s="3">
        <v>7</v>
      </c>
      <c r="V701" s="3">
        <v>0</v>
      </c>
      <c r="W701" s="3">
        <v>0</v>
      </c>
    </row>
    <row r="702" spans="1:23" ht="11.25" customHeight="1" x14ac:dyDescent="0.25">
      <c r="A702" s="3" t="s">
        <v>21</v>
      </c>
      <c r="B702" s="3" t="s">
        <v>33</v>
      </c>
      <c r="C702" s="3" t="s">
        <v>34</v>
      </c>
      <c r="D702" s="3" t="s">
        <v>43</v>
      </c>
      <c r="E702" s="3" t="s">
        <v>25</v>
      </c>
      <c r="F702" s="3" t="s">
        <v>25</v>
      </c>
      <c r="G702" s="3" t="s">
        <v>25</v>
      </c>
      <c r="H702" s="3" t="s">
        <v>25</v>
      </c>
      <c r="I702" s="6">
        <v>44470</v>
      </c>
      <c r="J702" s="4">
        <v>91016</v>
      </c>
      <c r="K702" s="4">
        <v>91016</v>
      </c>
      <c r="L702" s="4">
        <v>0</v>
      </c>
      <c r="M702" s="4">
        <v>0</v>
      </c>
      <c r="N702" s="4">
        <v>0</v>
      </c>
      <c r="O702" s="4">
        <v>0</v>
      </c>
      <c r="P702" s="4">
        <v>833</v>
      </c>
      <c r="Q702" s="3" t="s">
        <v>26</v>
      </c>
      <c r="R702" s="3">
        <v>0</v>
      </c>
      <c r="S702" s="3" t="s">
        <v>305</v>
      </c>
      <c r="U702" s="3">
        <v>7</v>
      </c>
      <c r="V702" s="3">
        <v>0</v>
      </c>
      <c r="W702" s="3">
        <v>0</v>
      </c>
    </row>
    <row r="703" spans="1:23" ht="11.25" customHeight="1" x14ac:dyDescent="0.25">
      <c r="A703" s="3" t="s">
        <v>27</v>
      </c>
      <c r="B703" s="3" t="s">
        <v>33</v>
      </c>
      <c r="C703" s="3" t="s">
        <v>34</v>
      </c>
      <c r="D703" s="3" t="s">
        <v>43</v>
      </c>
      <c r="E703" s="3" t="s">
        <v>25</v>
      </c>
      <c r="F703" s="3" t="s">
        <v>25</v>
      </c>
      <c r="G703" s="3" t="s">
        <v>25</v>
      </c>
      <c r="H703" s="3" t="s">
        <v>25</v>
      </c>
      <c r="I703" s="6">
        <v>44470</v>
      </c>
      <c r="J703" s="4">
        <v>-2350</v>
      </c>
      <c r="K703" s="4">
        <v>-2350</v>
      </c>
      <c r="L703" s="4">
        <v>0</v>
      </c>
      <c r="M703" s="4">
        <v>0</v>
      </c>
      <c r="N703" s="4">
        <v>0</v>
      </c>
      <c r="O703" s="4">
        <v>0</v>
      </c>
      <c r="P703" s="4">
        <v>-8</v>
      </c>
      <c r="Q703" s="3" t="s">
        <v>26</v>
      </c>
      <c r="R703" s="3">
        <v>0</v>
      </c>
      <c r="S703" s="3" t="s">
        <v>305</v>
      </c>
      <c r="U703" s="3">
        <v>7</v>
      </c>
      <c r="V703" s="3">
        <v>0</v>
      </c>
      <c r="W703" s="3">
        <v>0</v>
      </c>
    </row>
    <row r="704" spans="1:23" ht="11.25" customHeight="1" x14ac:dyDescent="0.25">
      <c r="A704" s="3" t="s">
        <v>28</v>
      </c>
      <c r="B704" s="3" t="s">
        <v>33</v>
      </c>
      <c r="C704" s="3" t="s">
        <v>34</v>
      </c>
      <c r="D704" s="3" t="s">
        <v>43</v>
      </c>
      <c r="E704" s="3" t="s">
        <v>25</v>
      </c>
      <c r="F704" s="3" t="s">
        <v>25</v>
      </c>
      <c r="G704" s="3" t="s">
        <v>25</v>
      </c>
      <c r="H704" s="3" t="s">
        <v>25</v>
      </c>
      <c r="I704" s="6">
        <v>44470</v>
      </c>
      <c r="J704" s="4">
        <v>14407</v>
      </c>
      <c r="K704" s="4">
        <v>14407</v>
      </c>
      <c r="L704" s="4">
        <v>0</v>
      </c>
      <c r="M704" s="4">
        <v>0</v>
      </c>
      <c r="N704" s="4">
        <v>0</v>
      </c>
      <c r="O704" s="4">
        <v>0</v>
      </c>
      <c r="P704" s="4">
        <v>40</v>
      </c>
      <c r="Q704" s="3" t="s">
        <v>26</v>
      </c>
      <c r="R704" s="3">
        <v>0</v>
      </c>
      <c r="S704" s="3" t="s">
        <v>305</v>
      </c>
      <c r="U704" s="3">
        <v>7</v>
      </c>
      <c r="V704" s="3">
        <v>0</v>
      </c>
      <c r="W704" s="3">
        <v>0</v>
      </c>
    </row>
    <row r="705" spans="1:23" ht="11.25" customHeight="1" x14ac:dyDescent="0.25">
      <c r="A705" s="3" t="s">
        <v>28</v>
      </c>
      <c r="B705" s="3" t="s">
        <v>33</v>
      </c>
      <c r="C705" s="3" t="s">
        <v>34</v>
      </c>
      <c r="D705" s="3" t="s">
        <v>43</v>
      </c>
      <c r="E705" s="3" t="s">
        <v>25</v>
      </c>
      <c r="F705" s="3" t="s">
        <v>25</v>
      </c>
      <c r="G705" s="3" t="s">
        <v>25</v>
      </c>
      <c r="H705" s="3" t="s">
        <v>25</v>
      </c>
      <c r="I705" s="6">
        <v>44470</v>
      </c>
      <c r="J705" s="4">
        <v>200</v>
      </c>
      <c r="K705" s="4">
        <v>200</v>
      </c>
      <c r="L705" s="4">
        <v>0</v>
      </c>
      <c r="M705" s="4">
        <v>0</v>
      </c>
      <c r="N705" s="4">
        <v>0</v>
      </c>
      <c r="O705" s="4">
        <v>0</v>
      </c>
      <c r="P705" s="4">
        <v>2</v>
      </c>
      <c r="Q705" s="3" t="s">
        <v>26</v>
      </c>
      <c r="R705" s="3">
        <v>0</v>
      </c>
      <c r="S705" s="3" t="s">
        <v>305</v>
      </c>
      <c r="U705" s="3">
        <v>7</v>
      </c>
      <c r="V705" s="3">
        <v>0</v>
      </c>
      <c r="W705" s="3">
        <v>0</v>
      </c>
    </row>
    <row r="706" spans="1:23" ht="11.25" customHeight="1" x14ac:dyDescent="0.25">
      <c r="A706" s="3" t="s">
        <v>21</v>
      </c>
      <c r="B706" s="3" t="s">
        <v>33</v>
      </c>
      <c r="C706" s="3" t="s">
        <v>34</v>
      </c>
      <c r="D706" s="3" t="s">
        <v>43</v>
      </c>
      <c r="E706" s="3" t="s">
        <v>25</v>
      </c>
      <c r="F706" s="3" t="s">
        <v>25</v>
      </c>
      <c r="G706" s="3" t="s">
        <v>25</v>
      </c>
      <c r="H706" s="3" t="s">
        <v>25</v>
      </c>
      <c r="I706" s="6">
        <v>44501</v>
      </c>
      <c r="J706" s="4">
        <v>90385</v>
      </c>
      <c r="K706" s="4">
        <v>90385</v>
      </c>
      <c r="L706" s="4">
        <v>0</v>
      </c>
      <c r="M706" s="4">
        <v>0</v>
      </c>
      <c r="N706" s="4">
        <v>0</v>
      </c>
      <c r="O706" s="4">
        <v>0</v>
      </c>
      <c r="P706" s="4">
        <v>825</v>
      </c>
      <c r="Q706" s="3" t="s">
        <v>26</v>
      </c>
      <c r="R706" s="3">
        <v>0</v>
      </c>
      <c r="S706" s="3" t="s">
        <v>306</v>
      </c>
      <c r="U706" s="3">
        <v>7</v>
      </c>
      <c r="V706" s="3">
        <v>0</v>
      </c>
      <c r="W706" s="3">
        <v>0</v>
      </c>
    </row>
    <row r="707" spans="1:23" ht="11.25" customHeight="1" x14ac:dyDescent="0.25">
      <c r="A707" s="3" t="s">
        <v>27</v>
      </c>
      <c r="B707" s="3" t="s">
        <v>33</v>
      </c>
      <c r="C707" s="3" t="s">
        <v>34</v>
      </c>
      <c r="D707" s="3" t="s">
        <v>43</v>
      </c>
      <c r="E707" s="3" t="s">
        <v>25</v>
      </c>
      <c r="F707" s="3" t="s">
        <v>25</v>
      </c>
      <c r="G707" s="3" t="s">
        <v>25</v>
      </c>
      <c r="H707" s="3" t="s">
        <v>25</v>
      </c>
      <c r="I707" s="6">
        <v>44501</v>
      </c>
      <c r="J707" s="4">
        <v>-751</v>
      </c>
      <c r="K707" s="4">
        <v>-751</v>
      </c>
      <c r="L707" s="4">
        <v>0</v>
      </c>
      <c r="M707" s="4">
        <v>0</v>
      </c>
      <c r="N707" s="4">
        <v>0</v>
      </c>
      <c r="O707" s="4">
        <v>0</v>
      </c>
      <c r="P707" s="4">
        <v>-2</v>
      </c>
      <c r="Q707" s="3" t="s">
        <v>26</v>
      </c>
      <c r="R707" s="3">
        <v>0</v>
      </c>
      <c r="S707" s="3" t="s">
        <v>306</v>
      </c>
      <c r="U707" s="3">
        <v>7</v>
      </c>
      <c r="V707" s="3">
        <v>0</v>
      </c>
      <c r="W707" s="3">
        <v>0</v>
      </c>
    </row>
    <row r="708" spans="1:23" ht="11.25" customHeight="1" x14ac:dyDescent="0.25">
      <c r="A708" s="3" t="s">
        <v>28</v>
      </c>
      <c r="B708" s="3" t="s">
        <v>33</v>
      </c>
      <c r="C708" s="3" t="s">
        <v>34</v>
      </c>
      <c r="D708" s="3" t="s">
        <v>43</v>
      </c>
      <c r="E708" s="3" t="s">
        <v>25</v>
      </c>
      <c r="F708" s="3" t="s">
        <v>25</v>
      </c>
      <c r="G708" s="3" t="s">
        <v>25</v>
      </c>
      <c r="H708" s="3" t="s">
        <v>25</v>
      </c>
      <c r="I708" s="6">
        <v>44501</v>
      </c>
      <c r="J708" s="4">
        <v>16209</v>
      </c>
      <c r="K708" s="4">
        <v>16209</v>
      </c>
      <c r="L708" s="4">
        <v>0</v>
      </c>
      <c r="M708" s="4">
        <v>0</v>
      </c>
      <c r="N708" s="4">
        <v>0</v>
      </c>
      <c r="O708" s="4">
        <v>0</v>
      </c>
      <c r="P708" s="4">
        <v>49</v>
      </c>
      <c r="Q708" s="3" t="s">
        <v>26</v>
      </c>
      <c r="R708" s="3">
        <v>0</v>
      </c>
      <c r="S708" s="3" t="s">
        <v>306</v>
      </c>
      <c r="U708" s="3">
        <v>7</v>
      </c>
      <c r="V708" s="3">
        <v>0</v>
      </c>
      <c r="W708" s="3">
        <v>0</v>
      </c>
    </row>
    <row r="709" spans="1:23" ht="11.25" customHeight="1" x14ac:dyDescent="0.25">
      <c r="A709" s="3" t="s">
        <v>28</v>
      </c>
      <c r="B709" s="3" t="s">
        <v>33</v>
      </c>
      <c r="C709" s="3" t="s">
        <v>34</v>
      </c>
      <c r="D709" s="3" t="s">
        <v>43</v>
      </c>
      <c r="E709" s="3" t="s">
        <v>25</v>
      </c>
      <c r="F709" s="3" t="s">
        <v>25</v>
      </c>
      <c r="G709" s="3" t="s">
        <v>25</v>
      </c>
      <c r="H709" s="3" t="s">
        <v>25</v>
      </c>
      <c r="I709" s="6">
        <v>44501</v>
      </c>
      <c r="J709" s="4">
        <v>67</v>
      </c>
      <c r="K709" s="4">
        <v>67</v>
      </c>
      <c r="L709" s="4">
        <v>0</v>
      </c>
      <c r="M709" s="4">
        <v>0</v>
      </c>
      <c r="N709" s="4">
        <v>0</v>
      </c>
      <c r="O709" s="4">
        <v>0</v>
      </c>
      <c r="P709" s="4">
        <v>1</v>
      </c>
      <c r="Q709" s="3" t="s">
        <v>26</v>
      </c>
      <c r="R709" s="3">
        <v>0</v>
      </c>
      <c r="S709" s="3" t="s">
        <v>306</v>
      </c>
      <c r="U709" s="3">
        <v>7</v>
      </c>
      <c r="V709" s="3">
        <v>0</v>
      </c>
      <c r="W709" s="3">
        <v>0</v>
      </c>
    </row>
    <row r="710" spans="1:23" ht="11.25" customHeight="1" x14ac:dyDescent="0.25">
      <c r="A710" s="3" t="s">
        <v>21</v>
      </c>
      <c r="B710" s="3" t="s">
        <v>33</v>
      </c>
      <c r="C710" s="3" t="s">
        <v>34</v>
      </c>
      <c r="D710" s="3" t="s">
        <v>43</v>
      </c>
      <c r="E710" s="3" t="s">
        <v>25</v>
      </c>
      <c r="F710" s="3" t="s">
        <v>25</v>
      </c>
      <c r="G710" s="3" t="s">
        <v>25</v>
      </c>
      <c r="H710" s="3" t="s">
        <v>25</v>
      </c>
      <c r="I710" s="6">
        <v>44531</v>
      </c>
      <c r="J710" s="4">
        <v>88673</v>
      </c>
      <c r="K710" s="4">
        <v>88673</v>
      </c>
      <c r="L710" s="4">
        <v>0</v>
      </c>
      <c r="M710" s="4">
        <v>0</v>
      </c>
      <c r="N710" s="4">
        <v>0</v>
      </c>
      <c r="O710" s="4">
        <v>0</v>
      </c>
      <c r="P710" s="4">
        <v>816</v>
      </c>
      <c r="Q710" s="3" t="s">
        <v>26</v>
      </c>
      <c r="R710" s="3">
        <v>0</v>
      </c>
      <c r="S710" s="3" t="s">
        <v>307</v>
      </c>
      <c r="U710" s="3">
        <v>7</v>
      </c>
      <c r="V710" s="3">
        <v>0</v>
      </c>
      <c r="W710" s="3">
        <v>0</v>
      </c>
    </row>
    <row r="711" spans="1:23" ht="11.25" customHeight="1" x14ac:dyDescent="0.25">
      <c r="A711" s="3" t="s">
        <v>27</v>
      </c>
      <c r="B711" s="3" t="s">
        <v>33</v>
      </c>
      <c r="C711" s="3" t="s">
        <v>34</v>
      </c>
      <c r="D711" s="3" t="s">
        <v>43</v>
      </c>
      <c r="E711" s="3" t="s">
        <v>25</v>
      </c>
      <c r="F711" s="3" t="s">
        <v>25</v>
      </c>
      <c r="G711" s="3" t="s">
        <v>25</v>
      </c>
      <c r="H711" s="3" t="s">
        <v>25</v>
      </c>
      <c r="I711" s="6">
        <v>44531</v>
      </c>
      <c r="J711" s="4">
        <v>-28</v>
      </c>
      <c r="K711" s="4">
        <v>-28</v>
      </c>
      <c r="L711" s="4">
        <v>0</v>
      </c>
      <c r="M711" s="4">
        <v>0</v>
      </c>
      <c r="N711" s="4">
        <v>0</v>
      </c>
      <c r="O711" s="4">
        <v>0</v>
      </c>
      <c r="P711" s="4">
        <v>1</v>
      </c>
      <c r="Q711" s="3" t="s">
        <v>26</v>
      </c>
      <c r="R711" s="3">
        <v>0</v>
      </c>
      <c r="S711" s="3" t="s">
        <v>307</v>
      </c>
      <c r="U711" s="3">
        <v>7</v>
      </c>
      <c r="V711" s="3">
        <v>0</v>
      </c>
      <c r="W711" s="3">
        <v>0</v>
      </c>
    </row>
    <row r="712" spans="1:23" ht="11.25" customHeight="1" x14ac:dyDescent="0.25">
      <c r="A712" s="3" t="s">
        <v>28</v>
      </c>
      <c r="B712" s="3" t="s">
        <v>33</v>
      </c>
      <c r="C712" s="3" t="s">
        <v>34</v>
      </c>
      <c r="D712" s="3" t="s">
        <v>43</v>
      </c>
      <c r="E712" s="3" t="s">
        <v>25</v>
      </c>
      <c r="F712" s="3" t="s">
        <v>25</v>
      </c>
      <c r="G712" s="3" t="s">
        <v>25</v>
      </c>
      <c r="H712" s="3" t="s">
        <v>25</v>
      </c>
      <c r="I712" s="6">
        <v>44531</v>
      </c>
      <c r="J712" s="4">
        <v>18141</v>
      </c>
      <c r="K712" s="4">
        <v>18141</v>
      </c>
      <c r="L712" s="4">
        <v>0</v>
      </c>
      <c r="M712" s="4">
        <v>0</v>
      </c>
      <c r="N712" s="4">
        <v>0</v>
      </c>
      <c r="O712" s="4">
        <v>0</v>
      </c>
      <c r="P712" s="4">
        <v>62</v>
      </c>
      <c r="Q712" s="3" t="s">
        <v>26</v>
      </c>
      <c r="R712" s="3">
        <v>0</v>
      </c>
      <c r="S712" s="3" t="s">
        <v>307</v>
      </c>
      <c r="U712" s="3">
        <v>7</v>
      </c>
      <c r="V712" s="3">
        <v>0</v>
      </c>
      <c r="W712" s="3">
        <v>0</v>
      </c>
    </row>
    <row r="713" spans="1:23" ht="11.25" customHeight="1" x14ac:dyDescent="0.25">
      <c r="A713" s="3" t="s">
        <v>28</v>
      </c>
      <c r="B713" s="3" t="s">
        <v>33</v>
      </c>
      <c r="C713" s="3" t="s">
        <v>34</v>
      </c>
      <c r="D713" s="3" t="s">
        <v>43</v>
      </c>
      <c r="E713" s="3" t="s">
        <v>25</v>
      </c>
      <c r="F713" s="3" t="s">
        <v>25</v>
      </c>
      <c r="G713" s="3" t="s">
        <v>25</v>
      </c>
      <c r="H713" s="3" t="s">
        <v>25</v>
      </c>
      <c r="I713" s="6">
        <v>44531</v>
      </c>
      <c r="J713" s="4">
        <v>66</v>
      </c>
      <c r="K713" s="4">
        <v>66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3" t="s">
        <v>26</v>
      </c>
      <c r="R713" s="3">
        <v>0</v>
      </c>
      <c r="S713" s="3" t="s">
        <v>307</v>
      </c>
      <c r="U713" s="3">
        <v>7</v>
      </c>
      <c r="V713" s="3">
        <v>0</v>
      </c>
      <c r="W713" s="3">
        <v>0</v>
      </c>
    </row>
    <row r="714" spans="1:23" ht="11.25" customHeight="1" x14ac:dyDescent="0.25">
      <c r="A714" s="3" t="s">
        <v>21</v>
      </c>
      <c r="B714" s="3" t="s">
        <v>33</v>
      </c>
      <c r="C714" s="3" t="s">
        <v>34</v>
      </c>
      <c r="D714" s="3" t="s">
        <v>43</v>
      </c>
      <c r="E714" s="3" t="s">
        <v>25</v>
      </c>
      <c r="F714" s="3" t="s">
        <v>25</v>
      </c>
      <c r="G714" s="3" t="s">
        <v>25</v>
      </c>
      <c r="H714" s="3" t="s">
        <v>25</v>
      </c>
      <c r="I714" s="6">
        <v>44562</v>
      </c>
      <c r="J714" s="4">
        <v>88453</v>
      </c>
      <c r="K714" s="4">
        <v>88453</v>
      </c>
      <c r="L714" s="4">
        <v>0</v>
      </c>
      <c r="M714" s="4">
        <v>0</v>
      </c>
      <c r="N714" s="4">
        <v>0</v>
      </c>
      <c r="O714" s="4">
        <v>0</v>
      </c>
      <c r="P714" s="4">
        <v>817</v>
      </c>
      <c r="Q714" s="3" t="s">
        <v>26</v>
      </c>
      <c r="R714" s="3">
        <v>0</v>
      </c>
      <c r="S714" s="3" t="s">
        <v>308</v>
      </c>
      <c r="U714" s="3">
        <v>7</v>
      </c>
      <c r="V714" s="3">
        <v>0</v>
      </c>
      <c r="W714" s="3">
        <v>0</v>
      </c>
    </row>
    <row r="715" spans="1:23" ht="11.25" customHeight="1" x14ac:dyDescent="0.25">
      <c r="A715" s="3" t="s">
        <v>27</v>
      </c>
      <c r="B715" s="3" t="s">
        <v>33</v>
      </c>
      <c r="C715" s="3" t="s">
        <v>34</v>
      </c>
      <c r="D715" s="3" t="s">
        <v>43</v>
      </c>
      <c r="E715" s="3" t="s">
        <v>25</v>
      </c>
      <c r="F715" s="3" t="s">
        <v>25</v>
      </c>
      <c r="G715" s="3" t="s">
        <v>25</v>
      </c>
      <c r="H715" s="3" t="s">
        <v>25</v>
      </c>
      <c r="I715" s="6">
        <v>44562</v>
      </c>
      <c r="J715" s="4">
        <v>235</v>
      </c>
      <c r="K715" s="4">
        <v>235</v>
      </c>
      <c r="L715" s="4">
        <v>0</v>
      </c>
      <c r="M715" s="4">
        <v>0</v>
      </c>
      <c r="N715" s="4">
        <v>0</v>
      </c>
      <c r="O715" s="4">
        <v>0</v>
      </c>
      <c r="P715" s="4">
        <v>6</v>
      </c>
      <c r="Q715" s="3" t="s">
        <v>26</v>
      </c>
      <c r="R715" s="3">
        <v>0</v>
      </c>
      <c r="S715" s="3" t="s">
        <v>308</v>
      </c>
      <c r="U715" s="3">
        <v>7</v>
      </c>
      <c r="V715" s="3">
        <v>0</v>
      </c>
      <c r="W715" s="3">
        <v>0</v>
      </c>
    </row>
    <row r="716" spans="1:23" ht="11.25" customHeight="1" x14ac:dyDescent="0.25">
      <c r="A716" s="3" t="s">
        <v>28</v>
      </c>
      <c r="B716" s="3" t="s">
        <v>33</v>
      </c>
      <c r="C716" s="3" t="s">
        <v>34</v>
      </c>
      <c r="D716" s="3" t="s">
        <v>43</v>
      </c>
      <c r="E716" s="3" t="s">
        <v>25</v>
      </c>
      <c r="F716" s="3" t="s">
        <v>25</v>
      </c>
      <c r="G716" s="3" t="s">
        <v>25</v>
      </c>
      <c r="H716" s="3" t="s">
        <v>25</v>
      </c>
      <c r="I716" s="6">
        <v>44562</v>
      </c>
      <c r="J716" s="4">
        <v>19207</v>
      </c>
      <c r="K716" s="4">
        <v>19207</v>
      </c>
      <c r="L716" s="4">
        <v>0</v>
      </c>
      <c r="M716" s="4">
        <v>0</v>
      </c>
      <c r="N716" s="4">
        <v>0</v>
      </c>
      <c r="O716" s="4">
        <v>0</v>
      </c>
      <c r="P716" s="4">
        <v>65</v>
      </c>
      <c r="Q716" s="3" t="s">
        <v>26</v>
      </c>
      <c r="R716" s="3">
        <v>0</v>
      </c>
      <c r="S716" s="3" t="s">
        <v>308</v>
      </c>
      <c r="U716" s="3">
        <v>7</v>
      </c>
      <c r="V716" s="3">
        <v>0</v>
      </c>
      <c r="W716" s="3">
        <v>0</v>
      </c>
    </row>
    <row r="717" spans="1:23" ht="11.25" customHeight="1" x14ac:dyDescent="0.25">
      <c r="A717" s="3" t="s">
        <v>21</v>
      </c>
      <c r="B717" s="3" t="s">
        <v>33</v>
      </c>
      <c r="C717" s="3" t="s">
        <v>34</v>
      </c>
      <c r="D717" s="3" t="s">
        <v>43</v>
      </c>
      <c r="E717" s="3" t="s">
        <v>25</v>
      </c>
      <c r="F717" s="3" t="s">
        <v>25</v>
      </c>
      <c r="G717" s="3" t="s">
        <v>25</v>
      </c>
      <c r="H717" s="3" t="s">
        <v>25</v>
      </c>
      <c r="I717" s="6">
        <v>44593</v>
      </c>
      <c r="J717" s="4">
        <v>89150</v>
      </c>
      <c r="K717" s="4">
        <v>89150</v>
      </c>
      <c r="L717" s="4">
        <v>0</v>
      </c>
      <c r="M717" s="4">
        <v>0</v>
      </c>
      <c r="N717" s="4">
        <v>0</v>
      </c>
      <c r="O717" s="4">
        <v>0</v>
      </c>
      <c r="P717" s="4">
        <v>819</v>
      </c>
      <c r="Q717" s="3" t="s">
        <v>26</v>
      </c>
      <c r="R717" s="3">
        <v>0</v>
      </c>
      <c r="S717" s="3" t="s">
        <v>309</v>
      </c>
      <c r="U717" s="3">
        <v>7</v>
      </c>
      <c r="V717" s="3">
        <v>0</v>
      </c>
      <c r="W717" s="3">
        <v>0</v>
      </c>
    </row>
    <row r="718" spans="1:23" ht="11.25" customHeight="1" x14ac:dyDescent="0.25">
      <c r="A718" s="3" t="s">
        <v>28</v>
      </c>
      <c r="B718" s="3" t="s">
        <v>33</v>
      </c>
      <c r="C718" s="3" t="s">
        <v>34</v>
      </c>
      <c r="D718" s="3" t="s">
        <v>43</v>
      </c>
      <c r="E718" s="3" t="s">
        <v>25</v>
      </c>
      <c r="F718" s="3" t="s">
        <v>25</v>
      </c>
      <c r="G718" s="3" t="s">
        <v>25</v>
      </c>
      <c r="H718" s="3" t="s">
        <v>25</v>
      </c>
      <c r="I718" s="6">
        <v>44593</v>
      </c>
      <c r="J718" s="4">
        <v>19487</v>
      </c>
      <c r="K718" s="4">
        <v>19487</v>
      </c>
      <c r="L718" s="4">
        <v>0</v>
      </c>
      <c r="M718" s="4">
        <v>0</v>
      </c>
      <c r="N718" s="4">
        <v>0</v>
      </c>
      <c r="O718" s="4">
        <v>0</v>
      </c>
      <c r="P718" s="4">
        <v>66</v>
      </c>
      <c r="Q718" s="3" t="s">
        <v>26</v>
      </c>
      <c r="R718" s="3">
        <v>0</v>
      </c>
      <c r="S718" s="3" t="s">
        <v>309</v>
      </c>
      <c r="U718" s="3">
        <v>7</v>
      </c>
      <c r="V718" s="3">
        <v>0</v>
      </c>
      <c r="W718" s="3">
        <v>0</v>
      </c>
    </row>
    <row r="719" spans="1:23" ht="11.25" customHeight="1" x14ac:dyDescent="0.25">
      <c r="A719" s="3" t="s">
        <v>21</v>
      </c>
      <c r="B719" s="3" t="s">
        <v>33</v>
      </c>
      <c r="C719" s="3" t="s">
        <v>34</v>
      </c>
      <c r="D719" s="3" t="s">
        <v>43</v>
      </c>
      <c r="E719" s="3" t="s">
        <v>25</v>
      </c>
      <c r="F719" s="3" t="s">
        <v>25</v>
      </c>
      <c r="G719" s="3" t="s">
        <v>25</v>
      </c>
      <c r="H719" s="3" t="s">
        <v>25</v>
      </c>
      <c r="I719" s="6">
        <v>44621</v>
      </c>
      <c r="J719" s="4">
        <v>89183</v>
      </c>
      <c r="K719" s="4">
        <v>89183</v>
      </c>
      <c r="L719" s="4">
        <v>0</v>
      </c>
      <c r="M719" s="4">
        <v>0</v>
      </c>
      <c r="N719" s="4">
        <v>0</v>
      </c>
      <c r="O719" s="4">
        <v>0</v>
      </c>
      <c r="P719" s="4">
        <v>824</v>
      </c>
      <c r="Q719" s="3" t="s">
        <v>26</v>
      </c>
      <c r="R719" s="3">
        <v>0</v>
      </c>
      <c r="S719" s="3" t="s">
        <v>310</v>
      </c>
      <c r="U719" s="3">
        <v>7</v>
      </c>
      <c r="V719" s="3">
        <v>0</v>
      </c>
      <c r="W719" s="3">
        <v>0</v>
      </c>
    </row>
    <row r="720" spans="1:23" ht="11.25" customHeight="1" x14ac:dyDescent="0.25">
      <c r="A720" s="3" t="s">
        <v>27</v>
      </c>
      <c r="B720" s="3" t="s">
        <v>33</v>
      </c>
      <c r="C720" s="3" t="s">
        <v>34</v>
      </c>
      <c r="D720" s="3" t="s">
        <v>43</v>
      </c>
      <c r="E720" s="3" t="s">
        <v>25</v>
      </c>
      <c r="F720" s="3" t="s">
        <v>25</v>
      </c>
      <c r="G720" s="3" t="s">
        <v>25</v>
      </c>
      <c r="H720" s="3" t="s">
        <v>25</v>
      </c>
      <c r="I720" s="6">
        <v>44621</v>
      </c>
      <c r="J720" s="4">
        <v>-290</v>
      </c>
      <c r="K720" s="4">
        <v>-290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3" t="s">
        <v>26</v>
      </c>
      <c r="R720" s="3">
        <v>0</v>
      </c>
      <c r="S720" s="3" t="s">
        <v>310</v>
      </c>
      <c r="U720" s="3">
        <v>7</v>
      </c>
      <c r="V720" s="3">
        <v>0</v>
      </c>
      <c r="W720" s="3">
        <v>0</v>
      </c>
    </row>
    <row r="721" spans="1:23" ht="11.25" customHeight="1" x14ac:dyDescent="0.25">
      <c r="A721" s="3" t="s">
        <v>28</v>
      </c>
      <c r="B721" s="3" t="s">
        <v>33</v>
      </c>
      <c r="C721" s="3" t="s">
        <v>34</v>
      </c>
      <c r="D721" s="3" t="s">
        <v>43</v>
      </c>
      <c r="E721" s="3" t="s">
        <v>25</v>
      </c>
      <c r="F721" s="3" t="s">
        <v>25</v>
      </c>
      <c r="G721" s="3" t="s">
        <v>25</v>
      </c>
      <c r="H721" s="3" t="s">
        <v>25</v>
      </c>
      <c r="I721" s="6">
        <v>44621</v>
      </c>
      <c r="J721" s="4">
        <v>19743</v>
      </c>
      <c r="K721" s="4">
        <v>19743</v>
      </c>
      <c r="L721" s="4">
        <v>0</v>
      </c>
      <c r="M721" s="4">
        <v>0</v>
      </c>
      <c r="N721" s="4">
        <v>0</v>
      </c>
      <c r="O721" s="4">
        <v>0</v>
      </c>
      <c r="P721" s="4">
        <v>67</v>
      </c>
      <c r="Q721" s="3" t="s">
        <v>26</v>
      </c>
      <c r="R721" s="3">
        <v>0</v>
      </c>
      <c r="S721" s="3" t="s">
        <v>310</v>
      </c>
      <c r="U721" s="3">
        <v>7</v>
      </c>
      <c r="V721" s="3">
        <v>0</v>
      </c>
      <c r="W721" s="3">
        <v>0</v>
      </c>
    </row>
    <row r="722" spans="1:23" ht="11.25" customHeight="1" x14ac:dyDescent="0.25">
      <c r="A722" s="3" t="s">
        <v>56</v>
      </c>
      <c r="B722" s="3" t="s">
        <v>33</v>
      </c>
      <c r="C722" s="3" t="s">
        <v>34</v>
      </c>
      <c r="D722" s="3" t="s">
        <v>43</v>
      </c>
      <c r="E722" s="3" t="s">
        <v>25</v>
      </c>
      <c r="F722" s="3" t="s">
        <v>25</v>
      </c>
      <c r="G722" s="3" t="s">
        <v>25</v>
      </c>
      <c r="H722" s="3" t="s">
        <v>25</v>
      </c>
      <c r="I722" s="6">
        <v>44652</v>
      </c>
      <c r="J722" s="4">
        <v>89183</v>
      </c>
      <c r="K722" s="4">
        <v>89183</v>
      </c>
      <c r="L722" s="4">
        <v>0</v>
      </c>
      <c r="M722" s="4">
        <v>0</v>
      </c>
      <c r="N722" s="4">
        <v>0</v>
      </c>
      <c r="O722" s="4">
        <v>0</v>
      </c>
      <c r="P722" s="4">
        <v>824</v>
      </c>
      <c r="Q722" s="3" t="s">
        <v>26</v>
      </c>
      <c r="R722" s="3">
        <v>0</v>
      </c>
      <c r="S722" s="3" t="s">
        <v>311</v>
      </c>
      <c r="U722" s="3">
        <v>7</v>
      </c>
      <c r="V722" s="3">
        <v>0</v>
      </c>
      <c r="W722" s="3">
        <v>0</v>
      </c>
    </row>
    <row r="723" spans="1:23" ht="11.25" customHeight="1" x14ac:dyDescent="0.25">
      <c r="A723" s="3" t="s">
        <v>56</v>
      </c>
      <c r="B723" s="3" t="s">
        <v>33</v>
      </c>
      <c r="C723" s="3" t="s">
        <v>34</v>
      </c>
      <c r="D723" s="3" t="s">
        <v>43</v>
      </c>
      <c r="E723" s="3" t="s">
        <v>25</v>
      </c>
      <c r="F723" s="3" t="s">
        <v>25</v>
      </c>
      <c r="G723" s="3" t="s">
        <v>25</v>
      </c>
      <c r="H723" s="3" t="s">
        <v>25</v>
      </c>
      <c r="I723" s="6">
        <v>44652</v>
      </c>
      <c r="J723" s="4">
        <v>-290</v>
      </c>
      <c r="K723" s="4">
        <v>-290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3" t="s">
        <v>26</v>
      </c>
      <c r="R723" s="3">
        <v>0</v>
      </c>
      <c r="S723" s="3" t="s">
        <v>311</v>
      </c>
      <c r="U723" s="3">
        <v>7</v>
      </c>
      <c r="V723" s="3">
        <v>0</v>
      </c>
      <c r="W723" s="3">
        <v>0</v>
      </c>
    </row>
    <row r="724" spans="1:23" ht="11.25" customHeight="1" x14ac:dyDescent="0.25">
      <c r="A724" s="3" t="s">
        <v>56</v>
      </c>
      <c r="B724" s="3" t="s">
        <v>33</v>
      </c>
      <c r="C724" s="3" t="s">
        <v>34</v>
      </c>
      <c r="D724" s="3" t="s">
        <v>43</v>
      </c>
      <c r="E724" s="3" t="s">
        <v>25</v>
      </c>
      <c r="F724" s="3" t="s">
        <v>25</v>
      </c>
      <c r="G724" s="3" t="s">
        <v>25</v>
      </c>
      <c r="H724" s="3" t="s">
        <v>25</v>
      </c>
      <c r="I724" s="6">
        <v>44652</v>
      </c>
      <c r="J724" s="4">
        <v>19743</v>
      </c>
      <c r="K724" s="4">
        <v>19743</v>
      </c>
      <c r="L724" s="4">
        <v>0</v>
      </c>
      <c r="M724" s="4">
        <v>0</v>
      </c>
      <c r="N724" s="4">
        <v>0</v>
      </c>
      <c r="O724" s="4">
        <v>0</v>
      </c>
      <c r="P724" s="4">
        <v>67</v>
      </c>
      <c r="Q724" s="3" t="s">
        <v>26</v>
      </c>
      <c r="R724" s="3">
        <v>0</v>
      </c>
      <c r="S724" s="3" t="s">
        <v>311</v>
      </c>
      <c r="U724" s="3">
        <v>7</v>
      </c>
      <c r="V724" s="3">
        <v>0</v>
      </c>
      <c r="W724" s="3">
        <v>0</v>
      </c>
    </row>
    <row r="725" spans="1:23" ht="11.25" customHeight="1" x14ac:dyDescent="0.25">
      <c r="A725" s="3" t="s">
        <v>21</v>
      </c>
      <c r="B725" s="3" t="s">
        <v>33</v>
      </c>
      <c r="C725" s="3" t="s">
        <v>34</v>
      </c>
      <c r="D725" s="3" t="s">
        <v>43</v>
      </c>
      <c r="E725" s="3" t="s">
        <v>25</v>
      </c>
      <c r="F725" s="3" t="s">
        <v>25</v>
      </c>
      <c r="G725" s="3" t="s">
        <v>25</v>
      </c>
      <c r="H725" s="3" t="s">
        <v>35</v>
      </c>
      <c r="I725" s="6">
        <v>44317</v>
      </c>
      <c r="J725" s="4">
        <v>0</v>
      </c>
      <c r="K725" s="4">
        <v>0</v>
      </c>
      <c r="L725" s="4">
        <v>1015.54</v>
      </c>
      <c r="M725" s="4">
        <v>1015.54</v>
      </c>
      <c r="N725" s="4">
        <v>1015.54</v>
      </c>
      <c r="O725" s="4">
        <v>1015.54</v>
      </c>
      <c r="P725" s="4">
        <v>0</v>
      </c>
      <c r="Q725" s="3" t="s">
        <v>26</v>
      </c>
      <c r="R725" s="3">
        <v>0</v>
      </c>
      <c r="S725" s="3" t="s">
        <v>312</v>
      </c>
      <c r="T725" s="3" t="s">
        <v>549</v>
      </c>
      <c r="U725" s="3">
        <v>0</v>
      </c>
      <c r="V725" s="3">
        <v>8</v>
      </c>
      <c r="W725" s="3">
        <v>72</v>
      </c>
    </row>
    <row r="726" spans="1:23" ht="11.25" customHeight="1" x14ac:dyDescent="0.25">
      <c r="A726" s="3" t="s">
        <v>28</v>
      </c>
      <c r="B726" s="3" t="s">
        <v>33</v>
      </c>
      <c r="C726" s="3" t="s">
        <v>34</v>
      </c>
      <c r="D726" s="3" t="s">
        <v>43</v>
      </c>
      <c r="E726" s="3" t="s">
        <v>25</v>
      </c>
      <c r="F726" s="3" t="s">
        <v>25</v>
      </c>
      <c r="G726" s="3" t="s">
        <v>25</v>
      </c>
      <c r="H726" s="3" t="s">
        <v>35</v>
      </c>
      <c r="I726" s="6">
        <v>44317</v>
      </c>
      <c r="J726" s="4">
        <v>0</v>
      </c>
      <c r="K726" s="4">
        <v>0</v>
      </c>
      <c r="L726" s="4">
        <v>24.323</v>
      </c>
      <c r="M726" s="4">
        <v>24.323</v>
      </c>
      <c r="N726" s="4">
        <v>24.323</v>
      </c>
      <c r="O726" s="4">
        <v>24.323</v>
      </c>
      <c r="P726" s="4">
        <v>0</v>
      </c>
      <c r="Q726" s="3" t="s">
        <v>26</v>
      </c>
      <c r="R726" s="3">
        <v>0</v>
      </c>
      <c r="S726" s="3" t="s">
        <v>312</v>
      </c>
      <c r="T726" s="3" t="s">
        <v>549</v>
      </c>
      <c r="U726" s="3">
        <v>0</v>
      </c>
      <c r="V726" s="3">
        <v>8</v>
      </c>
      <c r="W726" s="3">
        <v>72</v>
      </c>
    </row>
    <row r="727" spans="1:23" ht="11.25" customHeight="1" x14ac:dyDescent="0.25">
      <c r="A727" s="3" t="s">
        <v>28</v>
      </c>
      <c r="B727" s="3" t="s">
        <v>33</v>
      </c>
      <c r="C727" s="3" t="s">
        <v>34</v>
      </c>
      <c r="D727" s="3" t="s">
        <v>43</v>
      </c>
      <c r="E727" s="3" t="s">
        <v>25</v>
      </c>
      <c r="F727" s="3" t="s">
        <v>25</v>
      </c>
      <c r="G727" s="3" t="s">
        <v>25</v>
      </c>
      <c r="H727" s="3" t="s">
        <v>35</v>
      </c>
      <c r="I727" s="6">
        <v>44317</v>
      </c>
      <c r="J727" s="4">
        <v>0</v>
      </c>
      <c r="K727" s="4">
        <v>0</v>
      </c>
      <c r="L727" s="4">
        <v>-1.4179999999999999</v>
      </c>
      <c r="M727" s="4">
        <v>-1.4179999999999999</v>
      </c>
      <c r="N727" s="4">
        <v>-1.4179999999999999</v>
      </c>
      <c r="O727" s="4">
        <v>-1.4179999999999999</v>
      </c>
      <c r="P727" s="4">
        <v>0</v>
      </c>
      <c r="Q727" s="3" t="s">
        <v>26</v>
      </c>
      <c r="R727" s="3">
        <v>0</v>
      </c>
      <c r="S727" s="3" t="s">
        <v>312</v>
      </c>
      <c r="T727" s="3" t="s">
        <v>549</v>
      </c>
      <c r="U727" s="3">
        <v>0</v>
      </c>
      <c r="V727" s="3">
        <v>8</v>
      </c>
      <c r="W727" s="3">
        <v>72</v>
      </c>
    </row>
    <row r="728" spans="1:23" ht="11.25" customHeight="1" x14ac:dyDescent="0.25">
      <c r="A728" s="3" t="s">
        <v>21</v>
      </c>
      <c r="B728" s="3" t="s">
        <v>33</v>
      </c>
      <c r="C728" s="3" t="s">
        <v>34</v>
      </c>
      <c r="D728" s="3" t="s">
        <v>43</v>
      </c>
      <c r="E728" s="3" t="s">
        <v>25</v>
      </c>
      <c r="F728" s="3" t="s">
        <v>25</v>
      </c>
      <c r="G728" s="3" t="s">
        <v>25</v>
      </c>
      <c r="H728" s="3" t="s">
        <v>35</v>
      </c>
      <c r="I728" s="6">
        <v>44348</v>
      </c>
      <c r="J728" s="4">
        <v>0</v>
      </c>
      <c r="K728" s="4">
        <v>0</v>
      </c>
      <c r="L728" s="4">
        <v>920.05600000000004</v>
      </c>
      <c r="M728" s="4">
        <v>920.05600000000004</v>
      </c>
      <c r="N728" s="4">
        <v>920.05600000000004</v>
      </c>
      <c r="O728" s="4">
        <v>920.05600000000004</v>
      </c>
      <c r="P728" s="4">
        <v>0</v>
      </c>
      <c r="Q728" s="3" t="s">
        <v>26</v>
      </c>
      <c r="R728" s="3">
        <v>0</v>
      </c>
      <c r="S728" s="3" t="s">
        <v>313</v>
      </c>
      <c r="T728" s="3" t="s">
        <v>550</v>
      </c>
      <c r="U728" s="3">
        <v>0</v>
      </c>
      <c r="V728" s="3">
        <v>8</v>
      </c>
      <c r="W728" s="3">
        <v>72</v>
      </c>
    </row>
    <row r="729" spans="1:23" ht="11.25" customHeight="1" x14ac:dyDescent="0.25">
      <c r="A729" s="3" t="s">
        <v>27</v>
      </c>
      <c r="B729" s="3" t="s">
        <v>33</v>
      </c>
      <c r="C729" s="3" t="s">
        <v>34</v>
      </c>
      <c r="D729" s="3" t="s">
        <v>43</v>
      </c>
      <c r="E729" s="3" t="s">
        <v>25</v>
      </c>
      <c r="F729" s="3" t="s">
        <v>25</v>
      </c>
      <c r="G729" s="3" t="s">
        <v>25</v>
      </c>
      <c r="H729" s="3" t="s">
        <v>35</v>
      </c>
      <c r="I729" s="6">
        <v>44348</v>
      </c>
      <c r="J729" s="4">
        <v>0</v>
      </c>
      <c r="K729" s="4">
        <v>0</v>
      </c>
      <c r="L729" s="4">
        <v>-18.613</v>
      </c>
      <c r="M729" s="4">
        <v>-18.613</v>
      </c>
      <c r="N729" s="4">
        <v>-18.613</v>
      </c>
      <c r="O729" s="4">
        <v>-18.613</v>
      </c>
      <c r="P729" s="4">
        <v>0</v>
      </c>
      <c r="Q729" s="3" t="s">
        <v>26</v>
      </c>
      <c r="R729" s="3">
        <v>0</v>
      </c>
      <c r="S729" s="3" t="s">
        <v>313</v>
      </c>
      <c r="T729" s="3" t="s">
        <v>550</v>
      </c>
      <c r="U729" s="3">
        <v>0</v>
      </c>
      <c r="V729" s="3">
        <v>8</v>
      </c>
      <c r="W729" s="3">
        <v>72</v>
      </c>
    </row>
    <row r="730" spans="1:23" ht="11.25" customHeight="1" x14ac:dyDescent="0.25">
      <c r="A730" s="3" t="s">
        <v>28</v>
      </c>
      <c r="B730" s="3" t="s">
        <v>33</v>
      </c>
      <c r="C730" s="3" t="s">
        <v>34</v>
      </c>
      <c r="D730" s="3" t="s">
        <v>43</v>
      </c>
      <c r="E730" s="3" t="s">
        <v>25</v>
      </c>
      <c r="F730" s="3" t="s">
        <v>25</v>
      </c>
      <c r="G730" s="3" t="s">
        <v>25</v>
      </c>
      <c r="H730" s="3" t="s">
        <v>35</v>
      </c>
      <c r="I730" s="6">
        <v>44348</v>
      </c>
      <c r="J730" s="4">
        <v>0</v>
      </c>
      <c r="K730" s="4">
        <v>0</v>
      </c>
      <c r="L730" s="4">
        <v>23.039000000000001</v>
      </c>
      <c r="M730" s="4">
        <v>23.039000000000001</v>
      </c>
      <c r="N730" s="4">
        <v>23.039000000000001</v>
      </c>
      <c r="O730" s="4">
        <v>23.039000000000001</v>
      </c>
      <c r="P730" s="4">
        <v>0</v>
      </c>
      <c r="Q730" s="3" t="s">
        <v>26</v>
      </c>
      <c r="R730" s="3">
        <v>0</v>
      </c>
      <c r="S730" s="3" t="s">
        <v>313</v>
      </c>
      <c r="T730" s="3" t="s">
        <v>550</v>
      </c>
      <c r="U730" s="3">
        <v>0</v>
      </c>
      <c r="V730" s="3">
        <v>8</v>
      </c>
      <c r="W730" s="3">
        <v>72</v>
      </c>
    </row>
    <row r="731" spans="1:23" ht="11.25" customHeight="1" x14ac:dyDescent="0.25">
      <c r="A731" s="3" t="s">
        <v>21</v>
      </c>
      <c r="B731" s="3" t="s">
        <v>33</v>
      </c>
      <c r="C731" s="3" t="s">
        <v>34</v>
      </c>
      <c r="D731" s="3" t="s">
        <v>43</v>
      </c>
      <c r="E731" s="3" t="s">
        <v>25</v>
      </c>
      <c r="F731" s="3" t="s">
        <v>25</v>
      </c>
      <c r="G731" s="3" t="s">
        <v>25</v>
      </c>
      <c r="H731" s="3" t="s">
        <v>35</v>
      </c>
      <c r="I731" s="6">
        <v>44378</v>
      </c>
      <c r="J731" s="4">
        <v>0</v>
      </c>
      <c r="K731" s="4">
        <v>0</v>
      </c>
      <c r="L731" s="4">
        <v>1014.527</v>
      </c>
      <c r="M731" s="4">
        <v>1014.527</v>
      </c>
      <c r="N731" s="4">
        <v>1014.527</v>
      </c>
      <c r="O731" s="4">
        <v>1014.527</v>
      </c>
      <c r="P731" s="4">
        <v>0</v>
      </c>
      <c r="Q731" s="3" t="s">
        <v>26</v>
      </c>
      <c r="R731" s="3">
        <v>0</v>
      </c>
      <c r="S731" s="3" t="s">
        <v>314</v>
      </c>
      <c r="T731" s="3" t="s">
        <v>551</v>
      </c>
      <c r="U731" s="3">
        <v>0</v>
      </c>
      <c r="V731" s="3">
        <v>8</v>
      </c>
      <c r="W731" s="3">
        <v>72</v>
      </c>
    </row>
    <row r="732" spans="1:23" ht="11.25" customHeight="1" x14ac:dyDescent="0.25">
      <c r="A732" s="3" t="s">
        <v>27</v>
      </c>
      <c r="B732" s="3" t="s">
        <v>33</v>
      </c>
      <c r="C732" s="3" t="s">
        <v>34</v>
      </c>
      <c r="D732" s="3" t="s">
        <v>43</v>
      </c>
      <c r="E732" s="3" t="s">
        <v>25</v>
      </c>
      <c r="F732" s="3" t="s">
        <v>25</v>
      </c>
      <c r="G732" s="3" t="s">
        <v>25</v>
      </c>
      <c r="H732" s="3" t="s">
        <v>35</v>
      </c>
      <c r="I732" s="6">
        <v>44378</v>
      </c>
      <c r="J732" s="4">
        <v>0</v>
      </c>
      <c r="K732" s="4">
        <v>0</v>
      </c>
      <c r="L732" s="4">
        <v>-11.574999999999999</v>
      </c>
      <c r="M732" s="4">
        <v>-11.574999999999999</v>
      </c>
      <c r="N732" s="4">
        <v>-11.574999999999999</v>
      </c>
      <c r="O732" s="4">
        <v>-11.574999999999999</v>
      </c>
      <c r="P732" s="4">
        <v>0</v>
      </c>
      <c r="Q732" s="3" t="s">
        <v>26</v>
      </c>
      <c r="R732" s="3">
        <v>0</v>
      </c>
      <c r="S732" s="3" t="s">
        <v>314</v>
      </c>
      <c r="T732" s="3" t="s">
        <v>551</v>
      </c>
      <c r="U732" s="3">
        <v>0</v>
      </c>
      <c r="V732" s="3">
        <v>8</v>
      </c>
      <c r="W732" s="3">
        <v>72</v>
      </c>
    </row>
    <row r="733" spans="1:23" ht="11.25" customHeight="1" x14ac:dyDescent="0.25">
      <c r="A733" s="3" t="s">
        <v>28</v>
      </c>
      <c r="B733" s="3" t="s">
        <v>33</v>
      </c>
      <c r="C733" s="3" t="s">
        <v>34</v>
      </c>
      <c r="D733" s="3" t="s">
        <v>43</v>
      </c>
      <c r="E733" s="3" t="s">
        <v>25</v>
      </c>
      <c r="F733" s="3" t="s">
        <v>25</v>
      </c>
      <c r="G733" s="3" t="s">
        <v>25</v>
      </c>
      <c r="H733" s="3" t="s">
        <v>35</v>
      </c>
      <c r="I733" s="6">
        <v>44378</v>
      </c>
      <c r="J733" s="4">
        <v>0</v>
      </c>
      <c r="K733" s="4">
        <v>0</v>
      </c>
      <c r="L733" s="4">
        <v>28.103000000000002</v>
      </c>
      <c r="M733" s="4">
        <v>28.103000000000002</v>
      </c>
      <c r="N733" s="4">
        <v>28.103000000000002</v>
      </c>
      <c r="O733" s="4">
        <v>28.103000000000002</v>
      </c>
      <c r="P733" s="4">
        <v>0</v>
      </c>
      <c r="Q733" s="3" t="s">
        <v>26</v>
      </c>
      <c r="R733" s="3">
        <v>0</v>
      </c>
      <c r="S733" s="3" t="s">
        <v>314</v>
      </c>
      <c r="T733" s="3" t="s">
        <v>551</v>
      </c>
      <c r="U733" s="3">
        <v>0</v>
      </c>
      <c r="V733" s="3">
        <v>8</v>
      </c>
      <c r="W733" s="3">
        <v>72</v>
      </c>
    </row>
    <row r="734" spans="1:23" ht="11.25" customHeight="1" x14ac:dyDescent="0.25">
      <c r="A734" s="3" t="s">
        <v>28</v>
      </c>
      <c r="B734" s="3" t="s">
        <v>33</v>
      </c>
      <c r="C734" s="3" t="s">
        <v>34</v>
      </c>
      <c r="D734" s="3" t="s">
        <v>43</v>
      </c>
      <c r="E734" s="3" t="s">
        <v>25</v>
      </c>
      <c r="F734" s="3" t="s">
        <v>25</v>
      </c>
      <c r="G734" s="3" t="s">
        <v>25</v>
      </c>
      <c r="H734" s="3" t="s">
        <v>35</v>
      </c>
      <c r="I734" s="6">
        <v>44378</v>
      </c>
      <c r="J734" s="4">
        <v>0</v>
      </c>
      <c r="K734" s="4">
        <v>0</v>
      </c>
      <c r="L734" s="4">
        <v>1.3280000000000001</v>
      </c>
      <c r="M734" s="4">
        <v>1.3280000000000001</v>
      </c>
      <c r="N734" s="4">
        <v>1.3280000000000001</v>
      </c>
      <c r="O734" s="4">
        <v>1.3280000000000001</v>
      </c>
      <c r="P734" s="4">
        <v>0</v>
      </c>
      <c r="Q734" s="3" t="s">
        <v>26</v>
      </c>
      <c r="R734" s="3">
        <v>0</v>
      </c>
      <c r="S734" s="3" t="s">
        <v>314</v>
      </c>
      <c r="T734" s="3" t="s">
        <v>551</v>
      </c>
      <c r="U734" s="3">
        <v>0</v>
      </c>
      <c r="V734" s="3">
        <v>8</v>
      </c>
      <c r="W734" s="3">
        <v>72</v>
      </c>
    </row>
    <row r="735" spans="1:23" ht="11.25" customHeight="1" x14ac:dyDescent="0.25">
      <c r="A735" s="3" t="s">
        <v>21</v>
      </c>
      <c r="B735" s="3" t="s">
        <v>33</v>
      </c>
      <c r="C735" s="3" t="s">
        <v>34</v>
      </c>
      <c r="D735" s="3" t="s">
        <v>43</v>
      </c>
      <c r="E735" s="3" t="s">
        <v>25</v>
      </c>
      <c r="F735" s="3" t="s">
        <v>25</v>
      </c>
      <c r="G735" s="3" t="s">
        <v>25</v>
      </c>
      <c r="H735" s="3" t="s">
        <v>35</v>
      </c>
      <c r="I735" s="6">
        <v>44409</v>
      </c>
      <c r="J735" s="4">
        <v>0</v>
      </c>
      <c r="K735" s="4">
        <v>0</v>
      </c>
      <c r="L735" s="4">
        <v>1012.58</v>
      </c>
      <c r="M735" s="4">
        <v>1012.58</v>
      </c>
      <c r="N735" s="4">
        <v>1012.58</v>
      </c>
      <c r="O735" s="4">
        <v>1012.58</v>
      </c>
      <c r="P735" s="4">
        <v>0</v>
      </c>
      <c r="Q735" s="3" t="s">
        <v>26</v>
      </c>
      <c r="R735" s="3">
        <v>0</v>
      </c>
      <c r="S735" s="3" t="s">
        <v>315</v>
      </c>
      <c r="T735" s="3" t="s">
        <v>552</v>
      </c>
      <c r="U735" s="3">
        <v>0</v>
      </c>
      <c r="V735" s="3">
        <v>8</v>
      </c>
      <c r="W735" s="3">
        <v>72</v>
      </c>
    </row>
    <row r="736" spans="1:23" ht="11.25" customHeight="1" x14ac:dyDescent="0.25">
      <c r="A736" s="3" t="s">
        <v>27</v>
      </c>
      <c r="B736" s="3" t="s">
        <v>33</v>
      </c>
      <c r="C736" s="3" t="s">
        <v>34</v>
      </c>
      <c r="D736" s="3" t="s">
        <v>43</v>
      </c>
      <c r="E736" s="3" t="s">
        <v>25</v>
      </c>
      <c r="F736" s="3" t="s">
        <v>25</v>
      </c>
      <c r="G736" s="3" t="s">
        <v>25</v>
      </c>
      <c r="H736" s="3" t="s">
        <v>35</v>
      </c>
      <c r="I736" s="6">
        <v>44409</v>
      </c>
      <c r="J736" s="4">
        <v>0</v>
      </c>
      <c r="K736" s="4">
        <v>0</v>
      </c>
      <c r="L736" s="4">
        <v>-5.9820000000000002</v>
      </c>
      <c r="M736" s="4">
        <v>-5.9820000000000002</v>
      </c>
      <c r="N736" s="4">
        <v>-5.9820000000000002</v>
      </c>
      <c r="O736" s="4">
        <v>-5.9820000000000002</v>
      </c>
      <c r="P736" s="4">
        <v>0</v>
      </c>
      <c r="Q736" s="3" t="s">
        <v>26</v>
      </c>
      <c r="R736" s="3">
        <v>0</v>
      </c>
      <c r="S736" s="3" t="s">
        <v>315</v>
      </c>
      <c r="T736" s="3" t="s">
        <v>552</v>
      </c>
      <c r="U736" s="3">
        <v>0</v>
      </c>
      <c r="V736" s="3">
        <v>8</v>
      </c>
      <c r="W736" s="3">
        <v>72</v>
      </c>
    </row>
    <row r="737" spans="1:23" ht="11.25" customHeight="1" x14ac:dyDescent="0.25">
      <c r="A737" s="3" t="s">
        <v>28</v>
      </c>
      <c r="B737" s="3" t="s">
        <v>33</v>
      </c>
      <c r="C737" s="3" t="s">
        <v>34</v>
      </c>
      <c r="D737" s="3" t="s">
        <v>43</v>
      </c>
      <c r="E737" s="3" t="s">
        <v>25</v>
      </c>
      <c r="F737" s="3" t="s">
        <v>25</v>
      </c>
      <c r="G737" s="3" t="s">
        <v>25</v>
      </c>
      <c r="H737" s="3" t="s">
        <v>35</v>
      </c>
      <c r="I737" s="6">
        <v>44409</v>
      </c>
      <c r="J737" s="4">
        <v>0</v>
      </c>
      <c r="K737" s="4">
        <v>0</v>
      </c>
      <c r="L737" s="4">
        <v>31.321999999999999</v>
      </c>
      <c r="M737" s="4">
        <v>31.321999999999999</v>
      </c>
      <c r="N737" s="4">
        <v>31.321999999999999</v>
      </c>
      <c r="O737" s="4">
        <v>31.321999999999999</v>
      </c>
      <c r="P737" s="4">
        <v>0</v>
      </c>
      <c r="Q737" s="3" t="s">
        <v>26</v>
      </c>
      <c r="R737" s="3">
        <v>0</v>
      </c>
      <c r="S737" s="3" t="s">
        <v>315</v>
      </c>
      <c r="T737" s="3" t="s">
        <v>552</v>
      </c>
      <c r="U737" s="3">
        <v>0</v>
      </c>
      <c r="V737" s="3">
        <v>8</v>
      </c>
      <c r="W737" s="3">
        <v>72</v>
      </c>
    </row>
    <row r="738" spans="1:23" ht="11.25" customHeight="1" x14ac:dyDescent="0.25">
      <c r="A738" s="3" t="s">
        <v>28</v>
      </c>
      <c r="B738" s="3" t="s">
        <v>33</v>
      </c>
      <c r="C738" s="3" t="s">
        <v>34</v>
      </c>
      <c r="D738" s="3" t="s">
        <v>43</v>
      </c>
      <c r="E738" s="3" t="s">
        <v>25</v>
      </c>
      <c r="F738" s="3" t="s">
        <v>25</v>
      </c>
      <c r="G738" s="3" t="s">
        <v>25</v>
      </c>
      <c r="H738" s="3" t="s">
        <v>35</v>
      </c>
      <c r="I738" s="6">
        <v>44409</v>
      </c>
      <c r="J738" s="4">
        <v>0</v>
      </c>
      <c r="K738" s="4">
        <v>0</v>
      </c>
      <c r="L738" s="4">
        <v>-1.105</v>
      </c>
      <c r="M738" s="4">
        <v>-1.105</v>
      </c>
      <c r="N738" s="4">
        <v>-1.105</v>
      </c>
      <c r="O738" s="4">
        <v>-1.105</v>
      </c>
      <c r="P738" s="4">
        <v>0</v>
      </c>
      <c r="Q738" s="3" t="s">
        <v>26</v>
      </c>
      <c r="R738" s="3">
        <v>0</v>
      </c>
      <c r="S738" s="3" t="s">
        <v>315</v>
      </c>
      <c r="T738" s="3" t="s">
        <v>552</v>
      </c>
      <c r="U738" s="3">
        <v>0</v>
      </c>
      <c r="V738" s="3">
        <v>8</v>
      </c>
      <c r="W738" s="3">
        <v>72</v>
      </c>
    </row>
    <row r="739" spans="1:23" ht="11.25" customHeight="1" x14ac:dyDescent="0.25">
      <c r="A739" s="3" t="s">
        <v>21</v>
      </c>
      <c r="B739" s="3" t="s">
        <v>33</v>
      </c>
      <c r="C739" s="3" t="s">
        <v>34</v>
      </c>
      <c r="D739" s="3" t="s">
        <v>43</v>
      </c>
      <c r="E739" s="3" t="s">
        <v>25</v>
      </c>
      <c r="F739" s="3" t="s">
        <v>25</v>
      </c>
      <c r="G739" s="3" t="s">
        <v>25</v>
      </c>
      <c r="H739" s="3" t="s">
        <v>35</v>
      </c>
      <c r="I739" s="6">
        <v>44440</v>
      </c>
      <c r="J739" s="4">
        <v>0</v>
      </c>
      <c r="K739" s="4">
        <v>0</v>
      </c>
      <c r="L739" s="4">
        <v>1032.1990000000001</v>
      </c>
      <c r="M739" s="4">
        <v>1032.1990000000001</v>
      </c>
      <c r="N739" s="4">
        <v>1032.1990000000001</v>
      </c>
      <c r="O739" s="4">
        <v>1032.1990000000001</v>
      </c>
      <c r="P739" s="4">
        <v>0</v>
      </c>
      <c r="Q739" s="3" t="s">
        <v>26</v>
      </c>
      <c r="R739" s="3">
        <v>0</v>
      </c>
      <c r="S739" s="3" t="s">
        <v>316</v>
      </c>
      <c r="T739" s="3" t="s">
        <v>553</v>
      </c>
      <c r="U739" s="3">
        <v>0</v>
      </c>
      <c r="V739" s="3">
        <v>8</v>
      </c>
      <c r="W739" s="3">
        <v>72</v>
      </c>
    </row>
    <row r="740" spans="1:23" ht="11.25" customHeight="1" x14ac:dyDescent="0.25">
      <c r="A740" s="3" t="s">
        <v>27</v>
      </c>
      <c r="B740" s="3" t="s">
        <v>33</v>
      </c>
      <c r="C740" s="3" t="s">
        <v>34</v>
      </c>
      <c r="D740" s="3" t="s">
        <v>43</v>
      </c>
      <c r="E740" s="3" t="s">
        <v>25</v>
      </c>
      <c r="F740" s="3" t="s">
        <v>25</v>
      </c>
      <c r="G740" s="3" t="s">
        <v>25</v>
      </c>
      <c r="H740" s="3" t="s">
        <v>35</v>
      </c>
      <c r="I740" s="6">
        <v>44440</v>
      </c>
      <c r="J740" s="4">
        <v>0</v>
      </c>
      <c r="K740" s="4">
        <v>0</v>
      </c>
      <c r="L740" s="4">
        <v>-4.2060000000000004</v>
      </c>
      <c r="M740" s="4">
        <v>-4.2060000000000004</v>
      </c>
      <c r="N740" s="4">
        <v>-4.2060000000000004</v>
      </c>
      <c r="O740" s="4">
        <v>-4.2060000000000004</v>
      </c>
      <c r="P740" s="4">
        <v>0</v>
      </c>
      <c r="Q740" s="3" t="s">
        <v>26</v>
      </c>
      <c r="R740" s="3">
        <v>0</v>
      </c>
      <c r="S740" s="3" t="s">
        <v>316</v>
      </c>
      <c r="T740" s="3" t="s">
        <v>553</v>
      </c>
      <c r="U740" s="3">
        <v>0</v>
      </c>
      <c r="V740" s="3">
        <v>8</v>
      </c>
      <c r="W740" s="3">
        <v>72</v>
      </c>
    </row>
    <row r="741" spans="1:23" ht="11.25" customHeight="1" x14ac:dyDescent="0.25">
      <c r="A741" s="3" t="s">
        <v>28</v>
      </c>
      <c r="B741" s="3" t="s">
        <v>33</v>
      </c>
      <c r="C741" s="3" t="s">
        <v>34</v>
      </c>
      <c r="D741" s="3" t="s">
        <v>43</v>
      </c>
      <c r="E741" s="3" t="s">
        <v>25</v>
      </c>
      <c r="F741" s="3" t="s">
        <v>25</v>
      </c>
      <c r="G741" s="3" t="s">
        <v>25</v>
      </c>
      <c r="H741" s="3" t="s">
        <v>35</v>
      </c>
      <c r="I741" s="6">
        <v>44440</v>
      </c>
      <c r="J741" s="4">
        <v>0</v>
      </c>
      <c r="K741" s="4">
        <v>0</v>
      </c>
      <c r="L741" s="4">
        <v>31.878</v>
      </c>
      <c r="M741" s="4">
        <v>31.878</v>
      </c>
      <c r="N741" s="4">
        <v>31.878</v>
      </c>
      <c r="O741" s="4">
        <v>31.878</v>
      </c>
      <c r="P741" s="4">
        <v>0</v>
      </c>
      <c r="Q741" s="3" t="s">
        <v>26</v>
      </c>
      <c r="R741" s="3">
        <v>0</v>
      </c>
      <c r="S741" s="3" t="s">
        <v>316</v>
      </c>
      <c r="T741" s="3" t="s">
        <v>553</v>
      </c>
      <c r="U741" s="3">
        <v>0</v>
      </c>
      <c r="V741" s="3">
        <v>8</v>
      </c>
      <c r="W741" s="3">
        <v>72</v>
      </c>
    </row>
    <row r="742" spans="1:23" ht="11.25" customHeight="1" x14ac:dyDescent="0.25">
      <c r="A742" s="3" t="s">
        <v>28</v>
      </c>
      <c r="B742" s="3" t="s">
        <v>33</v>
      </c>
      <c r="C742" s="3" t="s">
        <v>34</v>
      </c>
      <c r="D742" s="3" t="s">
        <v>43</v>
      </c>
      <c r="E742" s="3" t="s">
        <v>25</v>
      </c>
      <c r="F742" s="3" t="s">
        <v>25</v>
      </c>
      <c r="G742" s="3" t="s">
        <v>25</v>
      </c>
      <c r="H742" s="3" t="s">
        <v>35</v>
      </c>
      <c r="I742" s="6">
        <v>44440</v>
      </c>
      <c r="J742" s="4">
        <v>0</v>
      </c>
      <c r="K742" s="4">
        <v>0</v>
      </c>
      <c r="L742" s="4">
        <v>5.3999999999999999E-2</v>
      </c>
      <c r="M742" s="4">
        <v>5.3999999999999999E-2</v>
      </c>
      <c r="N742" s="4">
        <v>5.3999999999999999E-2</v>
      </c>
      <c r="O742" s="4">
        <v>5.3999999999999999E-2</v>
      </c>
      <c r="P742" s="4">
        <v>0</v>
      </c>
      <c r="Q742" s="3" t="s">
        <v>26</v>
      </c>
      <c r="R742" s="3">
        <v>0</v>
      </c>
      <c r="S742" s="3" t="s">
        <v>316</v>
      </c>
      <c r="T742" s="3" t="s">
        <v>553</v>
      </c>
      <c r="U742" s="3">
        <v>0</v>
      </c>
      <c r="V742" s="3">
        <v>8</v>
      </c>
      <c r="W742" s="3">
        <v>72</v>
      </c>
    </row>
    <row r="743" spans="1:23" ht="11.25" customHeight="1" x14ac:dyDescent="0.25">
      <c r="A743" s="3" t="s">
        <v>21</v>
      </c>
      <c r="B743" s="3" t="s">
        <v>33</v>
      </c>
      <c r="C743" s="3" t="s">
        <v>34</v>
      </c>
      <c r="D743" s="3" t="s">
        <v>43</v>
      </c>
      <c r="E743" s="3" t="s">
        <v>25</v>
      </c>
      <c r="F743" s="3" t="s">
        <v>25</v>
      </c>
      <c r="G743" s="3" t="s">
        <v>25</v>
      </c>
      <c r="H743" s="3" t="s">
        <v>35</v>
      </c>
      <c r="I743" s="6">
        <v>44470</v>
      </c>
      <c r="J743" s="4">
        <v>0</v>
      </c>
      <c r="K743" s="4">
        <v>0</v>
      </c>
      <c r="L743" s="4">
        <v>1061.5319999999999</v>
      </c>
      <c r="M743" s="4">
        <v>1061.5319999999999</v>
      </c>
      <c r="N743" s="4">
        <v>1061.5319999999999</v>
      </c>
      <c r="O743" s="4">
        <v>1061.5319999999999</v>
      </c>
      <c r="P743" s="4">
        <v>0</v>
      </c>
      <c r="Q743" s="3" t="s">
        <v>26</v>
      </c>
      <c r="R743" s="3">
        <v>0</v>
      </c>
      <c r="S743" s="3" t="s">
        <v>317</v>
      </c>
      <c r="T743" s="3" t="s">
        <v>554</v>
      </c>
      <c r="U743" s="3">
        <v>0</v>
      </c>
      <c r="V743" s="3">
        <v>8</v>
      </c>
      <c r="W743" s="3">
        <v>72</v>
      </c>
    </row>
    <row r="744" spans="1:23" ht="11.25" customHeight="1" x14ac:dyDescent="0.25">
      <c r="A744" s="3" t="s">
        <v>27</v>
      </c>
      <c r="B744" s="3" t="s">
        <v>33</v>
      </c>
      <c r="C744" s="3" t="s">
        <v>34</v>
      </c>
      <c r="D744" s="3" t="s">
        <v>43</v>
      </c>
      <c r="E744" s="3" t="s">
        <v>25</v>
      </c>
      <c r="F744" s="3" t="s">
        <v>25</v>
      </c>
      <c r="G744" s="3" t="s">
        <v>25</v>
      </c>
      <c r="H744" s="3" t="s">
        <v>35</v>
      </c>
      <c r="I744" s="6">
        <v>44470</v>
      </c>
      <c r="J744" s="4">
        <v>0</v>
      </c>
      <c r="K744" s="4">
        <v>0</v>
      </c>
      <c r="L744" s="4">
        <v>-36.127000000000002</v>
      </c>
      <c r="M744" s="4">
        <v>-36.127000000000002</v>
      </c>
      <c r="N744" s="4">
        <v>-36.127000000000002</v>
      </c>
      <c r="O744" s="4">
        <v>-36.127000000000002</v>
      </c>
      <c r="P744" s="4">
        <v>0</v>
      </c>
      <c r="Q744" s="3" t="s">
        <v>26</v>
      </c>
      <c r="R744" s="3">
        <v>0</v>
      </c>
      <c r="S744" s="3" t="s">
        <v>317</v>
      </c>
      <c r="T744" s="3" t="s">
        <v>554</v>
      </c>
      <c r="U744" s="3">
        <v>0</v>
      </c>
      <c r="V744" s="3">
        <v>8</v>
      </c>
      <c r="W744" s="3">
        <v>72</v>
      </c>
    </row>
    <row r="745" spans="1:23" ht="11.25" customHeight="1" x14ac:dyDescent="0.25">
      <c r="A745" s="3" t="s">
        <v>28</v>
      </c>
      <c r="B745" s="3" t="s">
        <v>33</v>
      </c>
      <c r="C745" s="3" t="s">
        <v>34</v>
      </c>
      <c r="D745" s="3" t="s">
        <v>43</v>
      </c>
      <c r="E745" s="3" t="s">
        <v>25</v>
      </c>
      <c r="F745" s="3" t="s">
        <v>25</v>
      </c>
      <c r="G745" s="3" t="s">
        <v>25</v>
      </c>
      <c r="H745" s="3" t="s">
        <v>35</v>
      </c>
      <c r="I745" s="6">
        <v>44470</v>
      </c>
      <c r="J745" s="4">
        <v>0</v>
      </c>
      <c r="K745" s="4">
        <v>0</v>
      </c>
      <c r="L745" s="4">
        <v>39.451999999999998</v>
      </c>
      <c r="M745" s="4">
        <v>39.451999999999998</v>
      </c>
      <c r="N745" s="4">
        <v>39.451999999999998</v>
      </c>
      <c r="O745" s="4">
        <v>39.451999999999998</v>
      </c>
      <c r="P745" s="4">
        <v>0</v>
      </c>
      <c r="Q745" s="3" t="s">
        <v>26</v>
      </c>
      <c r="R745" s="3">
        <v>0</v>
      </c>
      <c r="S745" s="3" t="s">
        <v>317</v>
      </c>
      <c r="T745" s="3" t="s">
        <v>554</v>
      </c>
      <c r="U745" s="3">
        <v>0</v>
      </c>
      <c r="V745" s="3">
        <v>8</v>
      </c>
      <c r="W745" s="3">
        <v>72</v>
      </c>
    </row>
    <row r="746" spans="1:23" ht="11.25" customHeight="1" x14ac:dyDescent="0.25">
      <c r="A746" s="3" t="s">
        <v>28</v>
      </c>
      <c r="B746" s="3" t="s">
        <v>33</v>
      </c>
      <c r="C746" s="3" t="s">
        <v>34</v>
      </c>
      <c r="D746" s="3" t="s">
        <v>43</v>
      </c>
      <c r="E746" s="3" t="s">
        <v>25</v>
      </c>
      <c r="F746" s="3" t="s">
        <v>25</v>
      </c>
      <c r="G746" s="3" t="s">
        <v>25</v>
      </c>
      <c r="H746" s="3" t="s">
        <v>35</v>
      </c>
      <c r="I746" s="6">
        <v>44470</v>
      </c>
      <c r="J746" s="4">
        <v>0</v>
      </c>
      <c r="K746" s="4">
        <v>0</v>
      </c>
      <c r="L746" s="4">
        <v>5.3310000000000004</v>
      </c>
      <c r="M746" s="4">
        <v>5.3310000000000004</v>
      </c>
      <c r="N746" s="4">
        <v>5.3310000000000004</v>
      </c>
      <c r="O746" s="4">
        <v>5.3310000000000004</v>
      </c>
      <c r="P746" s="4">
        <v>0</v>
      </c>
      <c r="Q746" s="3" t="s">
        <v>26</v>
      </c>
      <c r="R746" s="3">
        <v>0</v>
      </c>
      <c r="S746" s="3" t="s">
        <v>317</v>
      </c>
      <c r="T746" s="3" t="s">
        <v>554</v>
      </c>
      <c r="U746" s="3">
        <v>0</v>
      </c>
      <c r="V746" s="3">
        <v>8</v>
      </c>
      <c r="W746" s="3">
        <v>72</v>
      </c>
    </row>
    <row r="747" spans="1:23" ht="11.25" customHeight="1" x14ac:dyDescent="0.25">
      <c r="A747" s="3" t="s">
        <v>21</v>
      </c>
      <c r="B747" s="3" t="s">
        <v>33</v>
      </c>
      <c r="C747" s="3" t="s">
        <v>34</v>
      </c>
      <c r="D747" s="3" t="s">
        <v>43</v>
      </c>
      <c r="E747" s="3" t="s">
        <v>25</v>
      </c>
      <c r="F747" s="3" t="s">
        <v>25</v>
      </c>
      <c r="G747" s="3" t="s">
        <v>25</v>
      </c>
      <c r="H747" s="3" t="s">
        <v>35</v>
      </c>
      <c r="I747" s="6">
        <v>44501</v>
      </c>
      <c r="J747" s="4">
        <v>0</v>
      </c>
      <c r="K747" s="4">
        <v>0</v>
      </c>
      <c r="L747" s="4">
        <v>1144.973</v>
      </c>
      <c r="M747" s="4">
        <v>1144.973</v>
      </c>
      <c r="N747" s="4">
        <v>1144.973</v>
      </c>
      <c r="O747" s="4">
        <v>1144.973</v>
      </c>
      <c r="P747" s="4">
        <v>0</v>
      </c>
      <c r="Q747" s="3" t="s">
        <v>26</v>
      </c>
      <c r="R747" s="3">
        <v>0</v>
      </c>
      <c r="S747" s="3" t="s">
        <v>318</v>
      </c>
      <c r="T747" s="3" t="s">
        <v>555</v>
      </c>
      <c r="U747" s="3">
        <v>0</v>
      </c>
      <c r="V747" s="3">
        <v>8</v>
      </c>
      <c r="W747" s="3">
        <v>72</v>
      </c>
    </row>
    <row r="748" spans="1:23" ht="11.25" customHeight="1" x14ac:dyDescent="0.25">
      <c r="A748" s="3" t="s">
        <v>27</v>
      </c>
      <c r="B748" s="3" t="s">
        <v>33</v>
      </c>
      <c r="C748" s="3" t="s">
        <v>34</v>
      </c>
      <c r="D748" s="3" t="s">
        <v>43</v>
      </c>
      <c r="E748" s="3" t="s">
        <v>25</v>
      </c>
      <c r="F748" s="3" t="s">
        <v>25</v>
      </c>
      <c r="G748" s="3" t="s">
        <v>25</v>
      </c>
      <c r="H748" s="3" t="s">
        <v>35</v>
      </c>
      <c r="I748" s="6">
        <v>44501</v>
      </c>
      <c r="J748" s="4">
        <v>0</v>
      </c>
      <c r="K748" s="4">
        <v>0</v>
      </c>
      <c r="L748" s="4">
        <v>-5.79</v>
      </c>
      <c r="M748" s="4">
        <v>-5.79</v>
      </c>
      <c r="N748" s="4">
        <v>-5.79</v>
      </c>
      <c r="O748" s="4">
        <v>-5.79</v>
      </c>
      <c r="P748" s="4">
        <v>0</v>
      </c>
      <c r="Q748" s="3" t="s">
        <v>26</v>
      </c>
      <c r="R748" s="3">
        <v>0</v>
      </c>
      <c r="S748" s="3" t="s">
        <v>318</v>
      </c>
      <c r="T748" s="3" t="s">
        <v>555</v>
      </c>
      <c r="U748" s="3">
        <v>0</v>
      </c>
      <c r="V748" s="3">
        <v>8</v>
      </c>
      <c r="W748" s="3">
        <v>72</v>
      </c>
    </row>
    <row r="749" spans="1:23" ht="11.25" customHeight="1" x14ac:dyDescent="0.25">
      <c r="A749" s="3" t="s">
        <v>28</v>
      </c>
      <c r="B749" s="3" t="s">
        <v>33</v>
      </c>
      <c r="C749" s="3" t="s">
        <v>34</v>
      </c>
      <c r="D749" s="3" t="s">
        <v>43</v>
      </c>
      <c r="E749" s="3" t="s">
        <v>25</v>
      </c>
      <c r="F749" s="3" t="s">
        <v>25</v>
      </c>
      <c r="G749" s="3" t="s">
        <v>25</v>
      </c>
      <c r="H749" s="3" t="s">
        <v>35</v>
      </c>
      <c r="I749" s="6">
        <v>44501</v>
      </c>
      <c r="J749" s="4">
        <v>0</v>
      </c>
      <c r="K749" s="4">
        <v>0</v>
      </c>
      <c r="L749" s="4">
        <v>47.838999999999999</v>
      </c>
      <c r="M749" s="4">
        <v>47.838999999999999</v>
      </c>
      <c r="N749" s="4">
        <v>47.838999999999999</v>
      </c>
      <c r="O749" s="4">
        <v>47.838999999999999</v>
      </c>
      <c r="P749" s="4">
        <v>0</v>
      </c>
      <c r="Q749" s="3" t="s">
        <v>26</v>
      </c>
      <c r="R749" s="3">
        <v>0</v>
      </c>
      <c r="S749" s="3" t="s">
        <v>318</v>
      </c>
      <c r="T749" s="3" t="s">
        <v>555</v>
      </c>
      <c r="U749" s="3">
        <v>0</v>
      </c>
      <c r="V749" s="3">
        <v>8</v>
      </c>
      <c r="W749" s="3">
        <v>72</v>
      </c>
    </row>
    <row r="750" spans="1:23" ht="11.25" customHeight="1" x14ac:dyDescent="0.25">
      <c r="A750" s="3" t="s">
        <v>28</v>
      </c>
      <c r="B750" s="3" t="s">
        <v>33</v>
      </c>
      <c r="C750" s="3" t="s">
        <v>34</v>
      </c>
      <c r="D750" s="3" t="s">
        <v>43</v>
      </c>
      <c r="E750" s="3" t="s">
        <v>25</v>
      </c>
      <c r="F750" s="3" t="s">
        <v>25</v>
      </c>
      <c r="G750" s="3" t="s">
        <v>25</v>
      </c>
      <c r="H750" s="3" t="s">
        <v>35</v>
      </c>
      <c r="I750" s="6">
        <v>44501</v>
      </c>
      <c r="J750" s="4">
        <v>0</v>
      </c>
      <c r="K750" s="4">
        <v>0</v>
      </c>
      <c r="L750" s="4">
        <v>2.891</v>
      </c>
      <c r="M750" s="4">
        <v>2.891</v>
      </c>
      <c r="N750" s="4">
        <v>2.891</v>
      </c>
      <c r="O750" s="4">
        <v>2.891</v>
      </c>
      <c r="P750" s="4">
        <v>0</v>
      </c>
      <c r="Q750" s="3" t="s">
        <v>26</v>
      </c>
      <c r="R750" s="3">
        <v>0</v>
      </c>
      <c r="S750" s="3" t="s">
        <v>318</v>
      </c>
      <c r="T750" s="3" t="s">
        <v>555</v>
      </c>
      <c r="U750" s="3">
        <v>0</v>
      </c>
      <c r="V750" s="3">
        <v>8</v>
      </c>
      <c r="W750" s="3">
        <v>72</v>
      </c>
    </row>
    <row r="751" spans="1:23" ht="11.25" customHeight="1" x14ac:dyDescent="0.25">
      <c r="A751" s="3" t="s">
        <v>21</v>
      </c>
      <c r="B751" s="3" t="s">
        <v>33</v>
      </c>
      <c r="C751" s="3" t="s">
        <v>34</v>
      </c>
      <c r="D751" s="3" t="s">
        <v>43</v>
      </c>
      <c r="E751" s="3" t="s">
        <v>25</v>
      </c>
      <c r="F751" s="3" t="s">
        <v>25</v>
      </c>
      <c r="G751" s="3" t="s">
        <v>25</v>
      </c>
      <c r="H751" s="3" t="s">
        <v>35</v>
      </c>
      <c r="I751" s="6">
        <v>44531</v>
      </c>
      <c r="J751" s="4">
        <v>0</v>
      </c>
      <c r="K751" s="4">
        <v>0</v>
      </c>
      <c r="L751" s="4">
        <v>1218.4459999999999</v>
      </c>
      <c r="M751" s="4">
        <v>1218.4459999999999</v>
      </c>
      <c r="N751" s="4">
        <v>1218.4459999999999</v>
      </c>
      <c r="O751" s="4">
        <v>1218.4459999999999</v>
      </c>
      <c r="P751" s="4">
        <v>0</v>
      </c>
      <c r="Q751" s="3" t="s">
        <v>26</v>
      </c>
      <c r="R751" s="3">
        <v>0</v>
      </c>
      <c r="S751" s="3" t="s">
        <v>319</v>
      </c>
      <c r="T751" s="3" t="s">
        <v>556</v>
      </c>
      <c r="U751" s="3">
        <v>0</v>
      </c>
      <c r="V751" s="3">
        <v>8</v>
      </c>
      <c r="W751" s="3">
        <v>72</v>
      </c>
    </row>
    <row r="752" spans="1:23" ht="11.25" customHeight="1" x14ac:dyDescent="0.25">
      <c r="A752" s="3" t="s">
        <v>27</v>
      </c>
      <c r="B752" s="3" t="s">
        <v>33</v>
      </c>
      <c r="C752" s="3" t="s">
        <v>34</v>
      </c>
      <c r="D752" s="3" t="s">
        <v>43</v>
      </c>
      <c r="E752" s="3" t="s">
        <v>25</v>
      </c>
      <c r="F752" s="3" t="s">
        <v>25</v>
      </c>
      <c r="G752" s="3" t="s">
        <v>25</v>
      </c>
      <c r="H752" s="3" t="s">
        <v>35</v>
      </c>
      <c r="I752" s="6">
        <v>44531</v>
      </c>
      <c r="J752" s="4">
        <v>0</v>
      </c>
      <c r="K752" s="4">
        <v>0</v>
      </c>
      <c r="L752" s="4">
        <v>0.27400000000000002</v>
      </c>
      <c r="M752" s="4">
        <v>0.27400000000000002</v>
      </c>
      <c r="N752" s="4">
        <v>0.27400000000000002</v>
      </c>
      <c r="O752" s="4">
        <v>0.27400000000000002</v>
      </c>
      <c r="P752" s="4">
        <v>0</v>
      </c>
      <c r="Q752" s="3" t="s">
        <v>26</v>
      </c>
      <c r="R752" s="3">
        <v>0</v>
      </c>
      <c r="S752" s="3" t="s">
        <v>319</v>
      </c>
      <c r="T752" s="3" t="s">
        <v>556</v>
      </c>
      <c r="U752" s="3">
        <v>0</v>
      </c>
      <c r="V752" s="3">
        <v>8</v>
      </c>
      <c r="W752" s="3">
        <v>72</v>
      </c>
    </row>
    <row r="753" spans="1:23" ht="11.25" customHeight="1" x14ac:dyDescent="0.25">
      <c r="A753" s="3" t="s">
        <v>28</v>
      </c>
      <c r="B753" s="3" t="s">
        <v>33</v>
      </c>
      <c r="C753" s="3" t="s">
        <v>34</v>
      </c>
      <c r="D753" s="3" t="s">
        <v>43</v>
      </c>
      <c r="E753" s="3" t="s">
        <v>25</v>
      </c>
      <c r="F753" s="3" t="s">
        <v>25</v>
      </c>
      <c r="G753" s="3" t="s">
        <v>25</v>
      </c>
      <c r="H753" s="3" t="s">
        <v>35</v>
      </c>
      <c r="I753" s="6">
        <v>44531</v>
      </c>
      <c r="J753" s="4">
        <v>0</v>
      </c>
      <c r="K753" s="4">
        <v>0</v>
      </c>
      <c r="L753" s="4">
        <v>90.766999999999996</v>
      </c>
      <c r="M753" s="4">
        <v>90.766999999999996</v>
      </c>
      <c r="N753" s="4">
        <v>90.766999999999996</v>
      </c>
      <c r="O753" s="4">
        <v>90.766999999999996</v>
      </c>
      <c r="P753" s="4">
        <v>0</v>
      </c>
      <c r="Q753" s="3" t="s">
        <v>26</v>
      </c>
      <c r="R753" s="3">
        <v>0</v>
      </c>
      <c r="S753" s="3" t="s">
        <v>319</v>
      </c>
      <c r="T753" s="3" t="s">
        <v>556</v>
      </c>
      <c r="U753" s="3">
        <v>0</v>
      </c>
      <c r="V753" s="3">
        <v>8</v>
      </c>
      <c r="W753" s="3">
        <v>72</v>
      </c>
    </row>
    <row r="754" spans="1:23" ht="11.25" customHeight="1" x14ac:dyDescent="0.25">
      <c r="A754" s="3" t="s">
        <v>28</v>
      </c>
      <c r="B754" s="3" t="s">
        <v>33</v>
      </c>
      <c r="C754" s="3" t="s">
        <v>34</v>
      </c>
      <c r="D754" s="3" t="s">
        <v>43</v>
      </c>
      <c r="E754" s="3" t="s">
        <v>25</v>
      </c>
      <c r="F754" s="3" t="s">
        <v>25</v>
      </c>
      <c r="G754" s="3" t="s">
        <v>25</v>
      </c>
      <c r="H754" s="3" t="s">
        <v>35</v>
      </c>
      <c r="I754" s="6">
        <v>44531</v>
      </c>
      <c r="J754" s="4">
        <v>0</v>
      </c>
      <c r="K754" s="4">
        <v>0</v>
      </c>
      <c r="L754" s="4">
        <v>-0.19400000000000001</v>
      </c>
      <c r="M754" s="4">
        <v>-0.19400000000000001</v>
      </c>
      <c r="N754" s="4">
        <v>-0.19400000000000001</v>
      </c>
      <c r="O754" s="4">
        <v>-0.19400000000000001</v>
      </c>
      <c r="P754" s="4">
        <v>0</v>
      </c>
      <c r="Q754" s="3" t="s">
        <v>26</v>
      </c>
      <c r="R754" s="3">
        <v>0</v>
      </c>
      <c r="S754" s="3" t="s">
        <v>319</v>
      </c>
      <c r="T754" s="3" t="s">
        <v>556</v>
      </c>
      <c r="U754" s="3">
        <v>0</v>
      </c>
      <c r="V754" s="3">
        <v>8</v>
      </c>
      <c r="W754" s="3">
        <v>72</v>
      </c>
    </row>
    <row r="755" spans="1:23" ht="11.25" customHeight="1" x14ac:dyDescent="0.25">
      <c r="A755" s="3" t="s">
        <v>21</v>
      </c>
      <c r="B755" s="3" t="s">
        <v>33</v>
      </c>
      <c r="C755" s="3" t="s">
        <v>34</v>
      </c>
      <c r="D755" s="3" t="s">
        <v>43</v>
      </c>
      <c r="E755" s="3" t="s">
        <v>25</v>
      </c>
      <c r="F755" s="3" t="s">
        <v>25</v>
      </c>
      <c r="G755" s="3" t="s">
        <v>25</v>
      </c>
      <c r="H755" s="3" t="s">
        <v>35</v>
      </c>
      <c r="I755" s="6">
        <v>44562</v>
      </c>
      <c r="J755" s="4">
        <v>0</v>
      </c>
      <c r="K755" s="4">
        <v>0</v>
      </c>
      <c r="L755" s="4">
        <v>1106.7950000000001</v>
      </c>
      <c r="M755" s="4">
        <v>1106.7950000000001</v>
      </c>
      <c r="N755" s="4">
        <v>1106.7950000000001</v>
      </c>
      <c r="O755" s="4">
        <v>1106.7950000000001</v>
      </c>
      <c r="P755" s="4">
        <v>0</v>
      </c>
      <c r="Q755" s="3" t="s">
        <v>26</v>
      </c>
      <c r="R755" s="3">
        <v>0</v>
      </c>
      <c r="S755" s="3" t="s">
        <v>320</v>
      </c>
      <c r="T755" s="3" t="s">
        <v>557</v>
      </c>
      <c r="U755" s="3">
        <v>0</v>
      </c>
      <c r="V755" s="3">
        <v>8</v>
      </c>
      <c r="W755" s="3">
        <v>72</v>
      </c>
    </row>
    <row r="756" spans="1:23" ht="11.25" customHeight="1" x14ac:dyDescent="0.25">
      <c r="A756" s="3" t="s">
        <v>27</v>
      </c>
      <c r="B756" s="3" t="s">
        <v>33</v>
      </c>
      <c r="C756" s="3" t="s">
        <v>34</v>
      </c>
      <c r="D756" s="3" t="s">
        <v>43</v>
      </c>
      <c r="E756" s="3" t="s">
        <v>25</v>
      </c>
      <c r="F756" s="3" t="s">
        <v>25</v>
      </c>
      <c r="G756" s="3" t="s">
        <v>25</v>
      </c>
      <c r="H756" s="3" t="s">
        <v>35</v>
      </c>
      <c r="I756" s="6">
        <v>44562</v>
      </c>
      <c r="J756" s="4">
        <v>0</v>
      </c>
      <c r="K756" s="4">
        <v>0</v>
      </c>
      <c r="L756" s="4">
        <v>13.108000000000001</v>
      </c>
      <c r="M756" s="4">
        <v>13.108000000000001</v>
      </c>
      <c r="N756" s="4">
        <v>13.108000000000001</v>
      </c>
      <c r="O756" s="4">
        <v>13.108000000000001</v>
      </c>
      <c r="P756" s="4">
        <v>0</v>
      </c>
      <c r="Q756" s="3" t="s">
        <v>26</v>
      </c>
      <c r="R756" s="3">
        <v>0</v>
      </c>
      <c r="S756" s="3" t="s">
        <v>320</v>
      </c>
      <c r="T756" s="3" t="s">
        <v>557</v>
      </c>
      <c r="U756" s="3">
        <v>0</v>
      </c>
      <c r="V756" s="3">
        <v>8</v>
      </c>
      <c r="W756" s="3">
        <v>72</v>
      </c>
    </row>
    <row r="757" spans="1:23" ht="11.25" customHeight="1" x14ac:dyDescent="0.25">
      <c r="A757" s="3" t="s">
        <v>28</v>
      </c>
      <c r="B757" s="3" t="s">
        <v>33</v>
      </c>
      <c r="C757" s="3" t="s">
        <v>34</v>
      </c>
      <c r="D757" s="3" t="s">
        <v>43</v>
      </c>
      <c r="E757" s="3" t="s">
        <v>25</v>
      </c>
      <c r="F757" s="3" t="s">
        <v>25</v>
      </c>
      <c r="G757" s="3" t="s">
        <v>25</v>
      </c>
      <c r="H757" s="3" t="s">
        <v>35</v>
      </c>
      <c r="I757" s="6">
        <v>44562</v>
      </c>
      <c r="J757" s="4">
        <v>0</v>
      </c>
      <c r="K757" s="4">
        <v>0</v>
      </c>
      <c r="L757" s="4">
        <v>61.405000000000001</v>
      </c>
      <c r="M757" s="4">
        <v>61.405000000000001</v>
      </c>
      <c r="N757" s="4">
        <v>61.405000000000001</v>
      </c>
      <c r="O757" s="4">
        <v>61.405000000000001</v>
      </c>
      <c r="P757" s="4">
        <v>0</v>
      </c>
      <c r="Q757" s="3" t="s">
        <v>26</v>
      </c>
      <c r="R757" s="3">
        <v>0</v>
      </c>
      <c r="S757" s="3" t="s">
        <v>320</v>
      </c>
      <c r="T757" s="3" t="s">
        <v>557</v>
      </c>
      <c r="U757" s="3">
        <v>0</v>
      </c>
      <c r="V757" s="3">
        <v>8</v>
      </c>
      <c r="W757" s="3">
        <v>72</v>
      </c>
    </row>
    <row r="758" spans="1:23" ht="11.25" customHeight="1" x14ac:dyDescent="0.25">
      <c r="A758" s="3" t="s">
        <v>28</v>
      </c>
      <c r="B758" s="3" t="s">
        <v>33</v>
      </c>
      <c r="C758" s="3" t="s">
        <v>34</v>
      </c>
      <c r="D758" s="3" t="s">
        <v>43</v>
      </c>
      <c r="E758" s="3" t="s">
        <v>25</v>
      </c>
      <c r="F758" s="3" t="s">
        <v>25</v>
      </c>
      <c r="G758" s="3" t="s">
        <v>25</v>
      </c>
      <c r="H758" s="3" t="s">
        <v>35</v>
      </c>
      <c r="I758" s="6">
        <v>44562</v>
      </c>
      <c r="J758" s="4">
        <v>0</v>
      </c>
      <c r="K758" s="4">
        <v>0</v>
      </c>
      <c r="L758" s="4">
        <v>-0.68600000000000005</v>
      </c>
      <c r="M758" s="4">
        <v>-0.68600000000000005</v>
      </c>
      <c r="N758" s="4">
        <v>-0.68600000000000005</v>
      </c>
      <c r="O758" s="4">
        <v>-0.68600000000000005</v>
      </c>
      <c r="P758" s="4">
        <v>0</v>
      </c>
      <c r="Q758" s="3" t="s">
        <v>26</v>
      </c>
      <c r="R758" s="3">
        <v>0</v>
      </c>
      <c r="S758" s="3" t="s">
        <v>320</v>
      </c>
      <c r="T758" s="3" t="s">
        <v>557</v>
      </c>
      <c r="U758" s="3">
        <v>0</v>
      </c>
      <c r="V758" s="3">
        <v>8</v>
      </c>
      <c r="W758" s="3">
        <v>72</v>
      </c>
    </row>
    <row r="759" spans="1:23" ht="11.25" customHeight="1" x14ac:dyDescent="0.25">
      <c r="A759" s="3" t="s">
        <v>21</v>
      </c>
      <c r="B759" s="3" t="s">
        <v>33</v>
      </c>
      <c r="C759" s="3" t="s">
        <v>34</v>
      </c>
      <c r="D759" s="3" t="s">
        <v>43</v>
      </c>
      <c r="E759" s="3" t="s">
        <v>25</v>
      </c>
      <c r="F759" s="3" t="s">
        <v>25</v>
      </c>
      <c r="G759" s="3" t="s">
        <v>25</v>
      </c>
      <c r="H759" s="3" t="s">
        <v>35</v>
      </c>
      <c r="I759" s="6">
        <v>44593</v>
      </c>
      <c r="J759" s="4">
        <v>0</v>
      </c>
      <c r="K759" s="4">
        <v>0</v>
      </c>
      <c r="L759" s="4">
        <v>1148.896</v>
      </c>
      <c r="M759" s="4">
        <v>1148.896</v>
      </c>
      <c r="N759" s="4">
        <v>1148.896</v>
      </c>
      <c r="O759" s="4">
        <v>1148.896</v>
      </c>
      <c r="P759" s="4">
        <v>0</v>
      </c>
      <c r="Q759" s="3" t="s">
        <v>26</v>
      </c>
      <c r="R759" s="3">
        <v>0</v>
      </c>
      <c r="S759" s="3" t="s">
        <v>321</v>
      </c>
      <c r="T759" s="3" t="s">
        <v>558</v>
      </c>
      <c r="U759" s="3">
        <v>0</v>
      </c>
      <c r="V759" s="3">
        <v>8</v>
      </c>
      <c r="W759" s="3">
        <v>72</v>
      </c>
    </row>
    <row r="760" spans="1:23" ht="11.25" customHeight="1" x14ac:dyDescent="0.25">
      <c r="A760" s="3" t="s">
        <v>27</v>
      </c>
      <c r="B760" s="3" t="s">
        <v>33</v>
      </c>
      <c r="C760" s="3" t="s">
        <v>34</v>
      </c>
      <c r="D760" s="3" t="s">
        <v>43</v>
      </c>
      <c r="E760" s="3" t="s">
        <v>25</v>
      </c>
      <c r="F760" s="3" t="s">
        <v>25</v>
      </c>
      <c r="G760" s="3" t="s">
        <v>25</v>
      </c>
      <c r="H760" s="3" t="s">
        <v>35</v>
      </c>
      <c r="I760" s="6">
        <v>44593</v>
      </c>
      <c r="J760" s="4">
        <v>0</v>
      </c>
      <c r="K760" s="4">
        <v>0</v>
      </c>
      <c r="L760" s="4">
        <v>-0.214</v>
      </c>
      <c r="M760" s="4">
        <v>-0.214</v>
      </c>
      <c r="N760" s="4">
        <v>-0.214</v>
      </c>
      <c r="O760" s="4">
        <v>-0.214</v>
      </c>
      <c r="P760" s="4">
        <v>0</v>
      </c>
      <c r="Q760" s="3" t="s">
        <v>26</v>
      </c>
      <c r="R760" s="3">
        <v>0</v>
      </c>
      <c r="S760" s="3" t="s">
        <v>321</v>
      </c>
      <c r="T760" s="3" t="s">
        <v>558</v>
      </c>
      <c r="U760" s="3">
        <v>0</v>
      </c>
      <c r="V760" s="3">
        <v>8</v>
      </c>
      <c r="W760" s="3">
        <v>72</v>
      </c>
    </row>
    <row r="761" spans="1:23" ht="11.25" customHeight="1" x14ac:dyDescent="0.25">
      <c r="A761" s="3" t="s">
        <v>28</v>
      </c>
      <c r="B761" s="3" t="s">
        <v>33</v>
      </c>
      <c r="C761" s="3" t="s">
        <v>34</v>
      </c>
      <c r="D761" s="3" t="s">
        <v>43</v>
      </c>
      <c r="E761" s="3" t="s">
        <v>25</v>
      </c>
      <c r="F761" s="3" t="s">
        <v>25</v>
      </c>
      <c r="G761" s="3" t="s">
        <v>25</v>
      </c>
      <c r="H761" s="3" t="s">
        <v>35</v>
      </c>
      <c r="I761" s="6">
        <v>44593</v>
      </c>
      <c r="J761" s="4">
        <v>0</v>
      </c>
      <c r="K761" s="4">
        <v>0</v>
      </c>
      <c r="L761" s="4">
        <v>59.631</v>
      </c>
      <c r="M761" s="4">
        <v>59.631</v>
      </c>
      <c r="N761" s="4">
        <v>59.631</v>
      </c>
      <c r="O761" s="4">
        <v>59.631</v>
      </c>
      <c r="P761" s="4">
        <v>0</v>
      </c>
      <c r="Q761" s="3" t="s">
        <v>26</v>
      </c>
      <c r="R761" s="3">
        <v>0</v>
      </c>
      <c r="S761" s="3" t="s">
        <v>321</v>
      </c>
      <c r="T761" s="3" t="s">
        <v>558</v>
      </c>
      <c r="U761" s="3">
        <v>0</v>
      </c>
      <c r="V761" s="3">
        <v>8</v>
      </c>
      <c r="W761" s="3">
        <v>72</v>
      </c>
    </row>
    <row r="762" spans="1:23" ht="11.25" customHeight="1" x14ac:dyDescent="0.25">
      <c r="A762" s="3" t="s">
        <v>28</v>
      </c>
      <c r="B762" s="3" t="s">
        <v>33</v>
      </c>
      <c r="C762" s="3" t="s">
        <v>34</v>
      </c>
      <c r="D762" s="3" t="s">
        <v>43</v>
      </c>
      <c r="E762" s="3" t="s">
        <v>25</v>
      </c>
      <c r="F762" s="3" t="s">
        <v>25</v>
      </c>
      <c r="G762" s="3" t="s">
        <v>25</v>
      </c>
      <c r="H762" s="3" t="s">
        <v>35</v>
      </c>
      <c r="I762" s="6">
        <v>44593</v>
      </c>
      <c r="J762" s="4">
        <v>0</v>
      </c>
      <c r="K762" s="4">
        <v>0</v>
      </c>
      <c r="L762" s="4">
        <v>-0.84799999999999998</v>
      </c>
      <c r="M762" s="4">
        <v>-0.84799999999999998</v>
      </c>
      <c r="N762" s="4">
        <v>-0.84799999999999998</v>
      </c>
      <c r="O762" s="4">
        <v>-0.84799999999999998</v>
      </c>
      <c r="P762" s="4">
        <v>0</v>
      </c>
      <c r="Q762" s="3" t="s">
        <v>26</v>
      </c>
      <c r="R762" s="3">
        <v>0</v>
      </c>
      <c r="S762" s="3" t="s">
        <v>321</v>
      </c>
      <c r="T762" s="3" t="s">
        <v>558</v>
      </c>
      <c r="U762" s="3">
        <v>0</v>
      </c>
      <c r="V762" s="3">
        <v>8</v>
      </c>
      <c r="W762" s="3">
        <v>72</v>
      </c>
    </row>
    <row r="763" spans="1:23" ht="11.25" customHeight="1" x14ac:dyDescent="0.25">
      <c r="A763" s="3" t="s">
        <v>21</v>
      </c>
      <c r="B763" s="3" t="s">
        <v>33</v>
      </c>
      <c r="C763" s="3" t="s">
        <v>34</v>
      </c>
      <c r="D763" s="3" t="s">
        <v>43</v>
      </c>
      <c r="E763" s="3" t="s">
        <v>25</v>
      </c>
      <c r="F763" s="3" t="s">
        <v>25</v>
      </c>
      <c r="G763" s="3" t="s">
        <v>25</v>
      </c>
      <c r="H763" s="3" t="s">
        <v>35</v>
      </c>
      <c r="I763" s="6">
        <v>44621</v>
      </c>
      <c r="J763" s="4">
        <v>0</v>
      </c>
      <c r="K763" s="4">
        <v>0</v>
      </c>
      <c r="L763" s="4">
        <v>1203.4059999999999</v>
      </c>
      <c r="M763" s="4">
        <v>1203.4059999999999</v>
      </c>
      <c r="N763" s="4">
        <v>1203.4059999999999</v>
      </c>
      <c r="O763" s="4">
        <v>1203.4059999999999</v>
      </c>
      <c r="P763" s="4">
        <v>0</v>
      </c>
      <c r="Q763" s="3" t="s">
        <v>26</v>
      </c>
      <c r="R763" s="3">
        <v>0</v>
      </c>
      <c r="S763" s="3" t="s">
        <v>322</v>
      </c>
      <c r="T763" s="3" t="s">
        <v>559</v>
      </c>
      <c r="U763" s="3">
        <v>0</v>
      </c>
      <c r="V763" s="3">
        <v>8</v>
      </c>
      <c r="W763" s="3">
        <v>72</v>
      </c>
    </row>
    <row r="764" spans="1:23" ht="11.25" customHeight="1" x14ac:dyDescent="0.25">
      <c r="A764" s="3" t="s">
        <v>27</v>
      </c>
      <c r="B764" s="3" t="s">
        <v>33</v>
      </c>
      <c r="C764" s="3" t="s">
        <v>34</v>
      </c>
      <c r="D764" s="3" t="s">
        <v>43</v>
      </c>
      <c r="E764" s="3" t="s">
        <v>25</v>
      </c>
      <c r="F764" s="3" t="s">
        <v>25</v>
      </c>
      <c r="G764" s="3" t="s">
        <v>25</v>
      </c>
      <c r="H764" s="3" t="s">
        <v>35</v>
      </c>
      <c r="I764" s="6">
        <v>44621</v>
      </c>
      <c r="J764" s="4">
        <v>0</v>
      </c>
      <c r="K764" s="4">
        <v>0</v>
      </c>
      <c r="L764" s="4">
        <v>0.11799999999999999</v>
      </c>
      <c r="M764" s="4">
        <v>0.11799999999999999</v>
      </c>
      <c r="N764" s="4">
        <v>0.11799999999999999</v>
      </c>
      <c r="O764" s="4">
        <v>0.11799999999999999</v>
      </c>
      <c r="P764" s="4">
        <v>0</v>
      </c>
      <c r="Q764" s="3" t="s">
        <v>26</v>
      </c>
      <c r="R764" s="3">
        <v>0</v>
      </c>
      <c r="S764" s="3" t="s">
        <v>322</v>
      </c>
      <c r="T764" s="3" t="s">
        <v>559</v>
      </c>
      <c r="U764" s="3">
        <v>0</v>
      </c>
      <c r="V764" s="3">
        <v>8</v>
      </c>
      <c r="W764" s="3">
        <v>72</v>
      </c>
    </row>
    <row r="765" spans="1:23" ht="11.25" customHeight="1" x14ac:dyDescent="0.25">
      <c r="A765" s="3" t="s">
        <v>28</v>
      </c>
      <c r="B765" s="3" t="s">
        <v>33</v>
      </c>
      <c r="C765" s="3" t="s">
        <v>34</v>
      </c>
      <c r="D765" s="3" t="s">
        <v>43</v>
      </c>
      <c r="E765" s="3" t="s">
        <v>25</v>
      </c>
      <c r="F765" s="3" t="s">
        <v>25</v>
      </c>
      <c r="G765" s="3" t="s">
        <v>25</v>
      </c>
      <c r="H765" s="3" t="s">
        <v>35</v>
      </c>
      <c r="I765" s="6">
        <v>44621</v>
      </c>
      <c r="J765" s="4">
        <v>0</v>
      </c>
      <c r="K765" s="4">
        <v>0</v>
      </c>
      <c r="L765" s="4">
        <v>81.072999999999993</v>
      </c>
      <c r="M765" s="4">
        <v>81.072999999999993</v>
      </c>
      <c r="N765" s="4">
        <v>81.072999999999993</v>
      </c>
      <c r="O765" s="4">
        <v>81.072999999999993</v>
      </c>
      <c r="P765" s="4">
        <v>0</v>
      </c>
      <c r="Q765" s="3" t="s">
        <v>26</v>
      </c>
      <c r="R765" s="3">
        <v>0</v>
      </c>
      <c r="S765" s="3" t="s">
        <v>322</v>
      </c>
      <c r="T765" s="3" t="s">
        <v>559</v>
      </c>
      <c r="U765" s="3">
        <v>0</v>
      </c>
      <c r="V765" s="3">
        <v>8</v>
      </c>
      <c r="W765" s="3">
        <v>72</v>
      </c>
    </row>
    <row r="766" spans="1:23" ht="11.25" customHeight="1" x14ac:dyDescent="0.25">
      <c r="A766" s="3" t="s">
        <v>56</v>
      </c>
      <c r="B766" s="3" t="s">
        <v>33</v>
      </c>
      <c r="C766" s="3" t="s">
        <v>34</v>
      </c>
      <c r="D766" s="3" t="s">
        <v>43</v>
      </c>
      <c r="E766" s="3" t="s">
        <v>25</v>
      </c>
      <c r="F766" s="3" t="s">
        <v>25</v>
      </c>
      <c r="G766" s="3" t="s">
        <v>25</v>
      </c>
      <c r="H766" s="3" t="s">
        <v>35</v>
      </c>
      <c r="I766" s="6">
        <v>44652</v>
      </c>
      <c r="J766" s="4">
        <v>0</v>
      </c>
      <c r="K766" s="4">
        <v>0</v>
      </c>
      <c r="L766" s="4">
        <v>1203.4059999999999</v>
      </c>
      <c r="M766" s="4">
        <v>1203.4059999999999</v>
      </c>
      <c r="N766" s="4">
        <v>1203.4059999999999</v>
      </c>
      <c r="O766" s="4">
        <v>1203.4059999999999</v>
      </c>
      <c r="P766" s="4">
        <v>0</v>
      </c>
      <c r="Q766" s="3" t="s">
        <v>26</v>
      </c>
      <c r="R766" s="3">
        <v>0</v>
      </c>
      <c r="S766" s="3" t="s">
        <v>323</v>
      </c>
      <c r="T766" s="3" t="s">
        <v>560</v>
      </c>
      <c r="U766" s="3">
        <v>0</v>
      </c>
      <c r="V766" s="3">
        <v>8</v>
      </c>
      <c r="W766" s="3">
        <v>72</v>
      </c>
    </row>
    <row r="767" spans="1:23" ht="11.25" customHeight="1" x14ac:dyDescent="0.25">
      <c r="A767" s="3" t="s">
        <v>56</v>
      </c>
      <c r="B767" s="3" t="s">
        <v>33</v>
      </c>
      <c r="C767" s="3" t="s">
        <v>34</v>
      </c>
      <c r="D767" s="3" t="s">
        <v>43</v>
      </c>
      <c r="E767" s="3" t="s">
        <v>25</v>
      </c>
      <c r="F767" s="3" t="s">
        <v>25</v>
      </c>
      <c r="G767" s="3" t="s">
        <v>25</v>
      </c>
      <c r="H767" s="3" t="s">
        <v>35</v>
      </c>
      <c r="I767" s="6">
        <v>44652</v>
      </c>
      <c r="J767" s="4">
        <v>0</v>
      </c>
      <c r="K767" s="4">
        <v>0</v>
      </c>
      <c r="L767" s="4">
        <v>0.11799999999999999</v>
      </c>
      <c r="M767" s="4">
        <v>0.11799999999999999</v>
      </c>
      <c r="N767" s="4">
        <v>0.11799999999999999</v>
      </c>
      <c r="O767" s="4">
        <v>0.11799999999999999</v>
      </c>
      <c r="P767" s="4">
        <v>0</v>
      </c>
      <c r="Q767" s="3" t="s">
        <v>26</v>
      </c>
      <c r="R767" s="3">
        <v>0</v>
      </c>
      <c r="S767" s="3" t="s">
        <v>323</v>
      </c>
      <c r="T767" s="3" t="s">
        <v>560</v>
      </c>
      <c r="U767" s="3">
        <v>0</v>
      </c>
      <c r="V767" s="3">
        <v>8</v>
      </c>
      <c r="W767" s="3">
        <v>72</v>
      </c>
    </row>
    <row r="768" spans="1:23" ht="11.25" customHeight="1" x14ac:dyDescent="0.25">
      <c r="A768" s="3" t="s">
        <v>56</v>
      </c>
      <c r="B768" s="3" t="s">
        <v>33</v>
      </c>
      <c r="C768" s="3" t="s">
        <v>34</v>
      </c>
      <c r="D768" s="3" t="s">
        <v>43</v>
      </c>
      <c r="E768" s="3" t="s">
        <v>25</v>
      </c>
      <c r="F768" s="3" t="s">
        <v>25</v>
      </c>
      <c r="G768" s="3" t="s">
        <v>25</v>
      </c>
      <c r="H768" s="3" t="s">
        <v>35</v>
      </c>
      <c r="I768" s="6">
        <v>44652</v>
      </c>
      <c r="J768" s="4">
        <v>0</v>
      </c>
      <c r="K768" s="4">
        <v>0</v>
      </c>
      <c r="L768" s="4">
        <v>81.072999999999993</v>
      </c>
      <c r="M768" s="4">
        <v>81.072999999999993</v>
      </c>
      <c r="N768" s="4">
        <v>81.072999999999993</v>
      </c>
      <c r="O768" s="4">
        <v>81.072999999999993</v>
      </c>
      <c r="P768" s="4">
        <v>0</v>
      </c>
      <c r="Q768" s="3" t="s">
        <v>26</v>
      </c>
      <c r="R768" s="3">
        <v>0</v>
      </c>
      <c r="S768" s="3" t="s">
        <v>323</v>
      </c>
      <c r="T768" s="3" t="s">
        <v>560</v>
      </c>
      <c r="U768" s="3">
        <v>0</v>
      </c>
      <c r="V768" s="3">
        <v>8</v>
      </c>
      <c r="W768" s="3">
        <v>72</v>
      </c>
    </row>
    <row r="769" spans="1:23" ht="11.25" customHeight="1" x14ac:dyDescent="0.25">
      <c r="A769" s="3" t="s">
        <v>21</v>
      </c>
      <c r="B769" s="3" t="s">
        <v>33</v>
      </c>
      <c r="C769" s="3" t="s">
        <v>34</v>
      </c>
      <c r="D769" s="3" t="s">
        <v>52</v>
      </c>
      <c r="E769" s="3" t="s">
        <v>25</v>
      </c>
      <c r="F769" s="3" t="s">
        <v>25</v>
      </c>
      <c r="G769" s="3" t="s">
        <v>25</v>
      </c>
      <c r="H769" s="3" t="s">
        <v>36</v>
      </c>
      <c r="I769" s="6">
        <v>44317</v>
      </c>
      <c r="J769" s="4">
        <v>0</v>
      </c>
      <c r="K769" s="4">
        <v>0</v>
      </c>
      <c r="L769" s="4">
        <v>92.692999999999998</v>
      </c>
      <c r="M769" s="4">
        <v>92.692999999999998</v>
      </c>
      <c r="N769" s="4">
        <v>92.692999999999998</v>
      </c>
      <c r="O769" s="4">
        <v>92.692999999999998</v>
      </c>
      <c r="P769" s="4">
        <v>0</v>
      </c>
      <c r="Q769" s="3" t="s">
        <v>26</v>
      </c>
      <c r="R769" s="3">
        <v>0</v>
      </c>
      <c r="S769" s="3" t="s">
        <v>288</v>
      </c>
      <c r="T769" s="3" t="s">
        <v>537</v>
      </c>
      <c r="U769" s="3">
        <v>0</v>
      </c>
      <c r="V769" s="3">
        <v>29</v>
      </c>
      <c r="W769" s="3">
        <v>73</v>
      </c>
    </row>
    <row r="770" spans="1:23" ht="11.25" customHeight="1" x14ac:dyDescent="0.25">
      <c r="A770" s="3" t="s">
        <v>21</v>
      </c>
      <c r="B770" s="3" t="s">
        <v>33</v>
      </c>
      <c r="C770" s="3" t="s">
        <v>34</v>
      </c>
      <c r="D770" s="3" t="s">
        <v>52</v>
      </c>
      <c r="E770" s="3" t="s">
        <v>25</v>
      </c>
      <c r="F770" s="3" t="s">
        <v>25</v>
      </c>
      <c r="G770" s="3" t="s">
        <v>25</v>
      </c>
      <c r="H770" s="3" t="s">
        <v>36</v>
      </c>
      <c r="I770" s="6">
        <v>44348</v>
      </c>
      <c r="J770" s="4">
        <v>0</v>
      </c>
      <c r="K770" s="4">
        <v>0</v>
      </c>
      <c r="L770" s="4">
        <v>81.92</v>
      </c>
      <c r="M770" s="4">
        <v>81.92</v>
      </c>
      <c r="N770" s="4">
        <v>81.92</v>
      </c>
      <c r="O770" s="4">
        <v>81.92</v>
      </c>
      <c r="P770" s="4">
        <v>0</v>
      </c>
      <c r="Q770" s="3" t="s">
        <v>26</v>
      </c>
      <c r="R770" s="3">
        <v>0</v>
      </c>
      <c r="S770" s="3" t="s">
        <v>289</v>
      </c>
      <c r="T770" s="3" t="s">
        <v>538</v>
      </c>
      <c r="U770" s="3">
        <v>0</v>
      </c>
      <c r="V770" s="3">
        <v>29</v>
      </c>
      <c r="W770" s="3">
        <v>73</v>
      </c>
    </row>
    <row r="771" spans="1:23" ht="11.25" customHeight="1" x14ac:dyDescent="0.25">
      <c r="A771" s="3" t="s">
        <v>21</v>
      </c>
      <c r="B771" s="3" t="s">
        <v>33</v>
      </c>
      <c r="C771" s="3" t="s">
        <v>34</v>
      </c>
      <c r="D771" s="3" t="s">
        <v>52</v>
      </c>
      <c r="E771" s="3" t="s">
        <v>25</v>
      </c>
      <c r="F771" s="3" t="s">
        <v>25</v>
      </c>
      <c r="G771" s="3" t="s">
        <v>25</v>
      </c>
      <c r="H771" s="3" t="s">
        <v>36</v>
      </c>
      <c r="I771" s="6">
        <v>44378</v>
      </c>
      <c r="J771" s="4">
        <v>0</v>
      </c>
      <c r="K771" s="4">
        <v>0</v>
      </c>
      <c r="L771" s="4">
        <v>84.775999999999996</v>
      </c>
      <c r="M771" s="4">
        <v>84.775999999999996</v>
      </c>
      <c r="N771" s="4">
        <v>84.775999999999996</v>
      </c>
      <c r="O771" s="4">
        <v>84.775999999999996</v>
      </c>
      <c r="P771" s="4">
        <v>0</v>
      </c>
      <c r="Q771" s="3" t="s">
        <v>26</v>
      </c>
      <c r="R771" s="3">
        <v>0</v>
      </c>
      <c r="S771" s="3" t="s">
        <v>290</v>
      </c>
      <c r="T771" s="3" t="s">
        <v>539</v>
      </c>
      <c r="U771" s="3">
        <v>0</v>
      </c>
      <c r="V771" s="3">
        <v>29</v>
      </c>
      <c r="W771" s="3">
        <v>73</v>
      </c>
    </row>
    <row r="772" spans="1:23" ht="11.25" customHeight="1" x14ac:dyDescent="0.25">
      <c r="A772" s="3" t="s">
        <v>21</v>
      </c>
      <c r="B772" s="3" t="s">
        <v>33</v>
      </c>
      <c r="C772" s="3" t="s">
        <v>34</v>
      </c>
      <c r="D772" s="3" t="s">
        <v>52</v>
      </c>
      <c r="E772" s="3" t="s">
        <v>25</v>
      </c>
      <c r="F772" s="3" t="s">
        <v>25</v>
      </c>
      <c r="G772" s="3" t="s">
        <v>25</v>
      </c>
      <c r="H772" s="3" t="s">
        <v>36</v>
      </c>
      <c r="I772" s="6">
        <v>44409</v>
      </c>
      <c r="J772" s="4">
        <v>0</v>
      </c>
      <c r="K772" s="4">
        <v>0</v>
      </c>
      <c r="L772" s="4">
        <v>79.311000000000007</v>
      </c>
      <c r="M772" s="4">
        <v>79.311000000000007</v>
      </c>
      <c r="N772" s="4">
        <v>79.311000000000007</v>
      </c>
      <c r="O772" s="4">
        <v>79.311000000000007</v>
      </c>
      <c r="P772" s="4">
        <v>0</v>
      </c>
      <c r="Q772" s="3" t="s">
        <v>26</v>
      </c>
      <c r="R772" s="3">
        <v>0</v>
      </c>
      <c r="S772" s="3" t="s">
        <v>291</v>
      </c>
      <c r="T772" s="3" t="s">
        <v>540</v>
      </c>
      <c r="U772" s="3">
        <v>0</v>
      </c>
      <c r="V772" s="3">
        <v>29</v>
      </c>
      <c r="W772" s="3">
        <v>73</v>
      </c>
    </row>
    <row r="773" spans="1:23" ht="11.25" customHeight="1" x14ac:dyDescent="0.25">
      <c r="A773" s="3" t="s">
        <v>21</v>
      </c>
      <c r="B773" s="3" t="s">
        <v>33</v>
      </c>
      <c r="C773" s="3" t="s">
        <v>34</v>
      </c>
      <c r="D773" s="3" t="s">
        <v>52</v>
      </c>
      <c r="E773" s="3" t="s">
        <v>25</v>
      </c>
      <c r="F773" s="3" t="s">
        <v>25</v>
      </c>
      <c r="G773" s="3" t="s">
        <v>25</v>
      </c>
      <c r="H773" s="3" t="s">
        <v>36</v>
      </c>
      <c r="I773" s="6">
        <v>44440</v>
      </c>
      <c r="J773" s="4">
        <v>0</v>
      </c>
      <c r="K773" s="4">
        <v>0</v>
      </c>
      <c r="L773" s="4">
        <v>87.94</v>
      </c>
      <c r="M773" s="4">
        <v>87.94</v>
      </c>
      <c r="N773" s="4">
        <v>87.94</v>
      </c>
      <c r="O773" s="4">
        <v>87.94</v>
      </c>
      <c r="P773" s="4">
        <v>0</v>
      </c>
      <c r="Q773" s="3" t="s">
        <v>26</v>
      </c>
      <c r="R773" s="3">
        <v>0</v>
      </c>
      <c r="S773" s="3" t="s">
        <v>292</v>
      </c>
      <c r="T773" s="3" t="s">
        <v>541</v>
      </c>
      <c r="U773" s="3">
        <v>0</v>
      </c>
      <c r="V773" s="3">
        <v>29</v>
      </c>
      <c r="W773" s="3">
        <v>73</v>
      </c>
    </row>
    <row r="774" spans="1:23" ht="11.25" customHeight="1" x14ac:dyDescent="0.25">
      <c r="A774" s="3" t="s">
        <v>21</v>
      </c>
      <c r="B774" s="3" t="s">
        <v>33</v>
      </c>
      <c r="C774" s="3" t="s">
        <v>34</v>
      </c>
      <c r="D774" s="3" t="s">
        <v>52</v>
      </c>
      <c r="E774" s="3" t="s">
        <v>25</v>
      </c>
      <c r="F774" s="3" t="s">
        <v>25</v>
      </c>
      <c r="G774" s="3" t="s">
        <v>25</v>
      </c>
      <c r="H774" s="3" t="s">
        <v>36</v>
      </c>
      <c r="I774" s="6">
        <v>44470</v>
      </c>
      <c r="J774" s="4">
        <v>0</v>
      </c>
      <c r="K774" s="4">
        <v>0</v>
      </c>
      <c r="L774" s="4">
        <v>105.855</v>
      </c>
      <c r="M774" s="4">
        <v>105.855</v>
      </c>
      <c r="N774" s="4">
        <v>105.855</v>
      </c>
      <c r="O774" s="4">
        <v>105.855</v>
      </c>
      <c r="P774" s="4">
        <v>0</v>
      </c>
      <c r="Q774" s="3" t="s">
        <v>26</v>
      </c>
      <c r="R774" s="3">
        <v>0</v>
      </c>
      <c r="S774" s="3" t="s">
        <v>293</v>
      </c>
      <c r="T774" s="3" t="s">
        <v>542</v>
      </c>
      <c r="U774" s="3">
        <v>0</v>
      </c>
      <c r="V774" s="3">
        <v>29</v>
      </c>
      <c r="W774" s="3">
        <v>73</v>
      </c>
    </row>
    <row r="775" spans="1:23" ht="11.25" customHeight="1" x14ac:dyDescent="0.25">
      <c r="A775" s="3" t="s">
        <v>21</v>
      </c>
      <c r="B775" s="3" t="s">
        <v>33</v>
      </c>
      <c r="C775" s="3" t="s">
        <v>34</v>
      </c>
      <c r="D775" s="3" t="s">
        <v>52</v>
      </c>
      <c r="E775" s="3" t="s">
        <v>25</v>
      </c>
      <c r="F775" s="3" t="s">
        <v>25</v>
      </c>
      <c r="G775" s="3" t="s">
        <v>25</v>
      </c>
      <c r="H775" s="3" t="s">
        <v>36</v>
      </c>
      <c r="I775" s="6">
        <v>44501</v>
      </c>
      <c r="J775" s="4">
        <v>0</v>
      </c>
      <c r="K775" s="4">
        <v>0</v>
      </c>
      <c r="L775" s="4">
        <v>112.215</v>
      </c>
      <c r="M775" s="4">
        <v>112.215</v>
      </c>
      <c r="N775" s="4">
        <v>112.215</v>
      </c>
      <c r="O775" s="4">
        <v>112.215</v>
      </c>
      <c r="P775" s="4">
        <v>0</v>
      </c>
      <c r="Q775" s="3" t="s">
        <v>26</v>
      </c>
      <c r="R775" s="3">
        <v>0</v>
      </c>
      <c r="S775" s="3" t="s">
        <v>294</v>
      </c>
      <c r="T775" s="3" t="s">
        <v>543</v>
      </c>
      <c r="U775" s="3">
        <v>0</v>
      </c>
      <c r="V775" s="3">
        <v>29</v>
      </c>
      <c r="W775" s="3">
        <v>73</v>
      </c>
    </row>
    <row r="776" spans="1:23" ht="11.25" customHeight="1" x14ac:dyDescent="0.25">
      <c r="A776" s="3" t="s">
        <v>21</v>
      </c>
      <c r="B776" s="3" t="s">
        <v>33</v>
      </c>
      <c r="C776" s="3" t="s">
        <v>34</v>
      </c>
      <c r="D776" s="3" t="s">
        <v>52</v>
      </c>
      <c r="E776" s="3" t="s">
        <v>25</v>
      </c>
      <c r="F776" s="3" t="s">
        <v>25</v>
      </c>
      <c r="G776" s="3" t="s">
        <v>25</v>
      </c>
      <c r="H776" s="3" t="s">
        <v>36</v>
      </c>
      <c r="I776" s="6">
        <v>44531</v>
      </c>
      <c r="J776" s="4">
        <v>0</v>
      </c>
      <c r="K776" s="4">
        <v>0</v>
      </c>
      <c r="L776" s="4">
        <v>117.105</v>
      </c>
      <c r="M776" s="4">
        <v>117.105</v>
      </c>
      <c r="N776" s="4">
        <v>117.105</v>
      </c>
      <c r="O776" s="4">
        <v>117.105</v>
      </c>
      <c r="P776" s="4">
        <v>0</v>
      </c>
      <c r="Q776" s="3" t="s">
        <v>26</v>
      </c>
      <c r="R776" s="3">
        <v>0</v>
      </c>
      <c r="S776" s="3" t="s">
        <v>295</v>
      </c>
      <c r="T776" s="3" t="s">
        <v>544</v>
      </c>
      <c r="U776" s="3">
        <v>0</v>
      </c>
      <c r="V776" s="3">
        <v>29</v>
      </c>
      <c r="W776" s="3">
        <v>73</v>
      </c>
    </row>
    <row r="777" spans="1:23" ht="11.25" customHeight="1" x14ac:dyDescent="0.25">
      <c r="A777" s="3" t="s">
        <v>21</v>
      </c>
      <c r="B777" s="3" t="s">
        <v>33</v>
      </c>
      <c r="C777" s="3" t="s">
        <v>34</v>
      </c>
      <c r="D777" s="3" t="s">
        <v>52</v>
      </c>
      <c r="E777" s="3" t="s">
        <v>25</v>
      </c>
      <c r="F777" s="3" t="s">
        <v>25</v>
      </c>
      <c r="G777" s="3" t="s">
        <v>25</v>
      </c>
      <c r="H777" s="3" t="s">
        <v>36</v>
      </c>
      <c r="I777" s="6">
        <v>44562</v>
      </c>
      <c r="J777" s="4">
        <v>0</v>
      </c>
      <c r="K777" s="4">
        <v>0</v>
      </c>
      <c r="L777" s="4">
        <v>116.616</v>
      </c>
      <c r="M777" s="4">
        <v>116.616</v>
      </c>
      <c r="N777" s="4">
        <v>116.616</v>
      </c>
      <c r="O777" s="4">
        <v>116.616</v>
      </c>
      <c r="P777" s="4">
        <v>0</v>
      </c>
      <c r="Q777" s="3" t="s">
        <v>26</v>
      </c>
      <c r="R777" s="3">
        <v>0</v>
      </c>
      <c r="S777" s="3" t="s">
        <v>296</v>
      </c>
      <c r="T777" s="3" t="s">
        <v>545</v>
      </c>
      <c r="U777" s="3">
        <v>0</v>
      </c>
      <c r="V777" s="3">
        <v>29</v>
      </c>
      <c r="W777" s="3">
        <v>73</v>
      </c>
    </row>
    <row r="778" spans="1:23" ht="11.25" customHeight="1" x14ac:dyDescent="0.25">
      <c r="A778" s="3" t="s">
        <v>21</v>
      </c>
      <c r="B778" s="3" t="s">
        <v>33</v>
      </c>
      <c r="C778" s="3" t="s">
        <v>34</v>
      </c>
      <c r="D778" s="3" t="s">
        <v>52</v>
      </c>
      <c r="E778" s="3" t="s">
        <v>25</v>
      </c>
      <c r="F778" s="3" t="s">
        <v>25</v>
      </c>
      <c r="G778" s="3" t="s">
        <v>25</v>
      </c>
      <c r="H778" s="3" t="s">
        <v>36</v>
      </c>
      <c r="I778" s="6">
        <v>44593</v>
      </c>
      <c r="J778" s="4">
        <v>0</v>
      </c>
      <c r="K778" s="4">
        <v>0</v>
      </c>
      <c r="L778" s="4">
        <v>108.259</v>
      </c>
      <c r="M778" s="4">
        <v>108.259</v>
      </c>
      <c r="N778" s="4">
        <v>108.259</v>
      </c>
      <c r="O778" s="4">
        <v>108.259</v>
      </c>
      <c r="P778" s="4">
        <v>0</v>
      </c>
      <c r="Q778" s="3" t="s">
        <v>26</v>
      </c>
      <c r="R778" s="3">
        <v>0</v>
      </c>
      <c r="S778" s="3" t="s">
        <v>297</v>
      </c>
      <c r="T778" s="3" t="s">
        <v>546</v>
      </c>
      <c r="U778" s="3">
        <v>0</v>
      </c>
      <c r="V778" s="3">
        <v>29</v>
      </c>
      <c r="W778" s="3">
        <v>73</v>
      </c>
    </row>
    <row r="779" spans="1:23" ht="11.25" customHeight="1" x14ac:dyDescent="0.25">
      <c r="A779" s="3" t="s">
        <v>21</v>
      </c>
      <c r="B779" s="3" t="s">
        <v>33</v>
      </c>
      <c r="C779" s="3" t="s">
        <v>34</v>
      </c>
      <c r="D779" s="3" t="s">
        <v>52</v>
      </c>
      <c r="E779" s="3" t="s">
        <v>25</v>
      </c>
      <c r="F779" s="3" t="s">
        <v>25</v>
      </c>
      <c r="G779" s="3" t="s">
        <v>25</v>
      </c>
      <c r="H779" s="3" t="s">
        <v>36</v>
      </c>
      <c r="I779" s="6">
        <v>44621</v>
      </c>
      <c r="J779" s="4">
        <v>0</v>
      </c>
      <c r="K779" s="4">
        <v>0</v>
      </c>
      <c r="L779" s="4">
        <v>117.348</v>
      </c>
      <c r="M779" s="4">
        <v>117.348</v>
      </c>
      <c r="N779" s="4">
        <v>117.348</v>
      </c>
      <c r="O779" s="4">
        <v>117.348</v>
      </c>
      <c r="P779" s="4">
        <v>0</v>
      </c>
      <c r="Q779" s="3" t="s">
        <v>26</v>
      </c>
      <c r="R779" s="3">
        <v>0</v>
      </c>
      <c r="S779" s="3" t="s">
        <v>298</v>
      </c>
      <c r="T779" s="3" t="s">
        <v>547</v>
      </c>
      <c r="U779" s="3">
        <v>0</v>
      </c>
      <c r="V779" s="3">
        <v>29</v>
      </c>
      <c r="W779" s="3">
        <v>73</v>
      </c>
    </row>
    <row r="780" spans="1:23" ht="11.25" customHeight="1" x14ac:dyDescent="0.25">
      <c r="A780" s="3" t="s">
        <v>56</v>
      </c>
      <c r="B780" s="3" t="s">
        <v>33</v>
      </c>
      <c r="C780" s="3" t="s">
        <v>34</v>
      </c>
      <c r="D780" s="3" t="s">
        <v>52</v>
      </c>
      <c r="E780" s="3" t="s">
        <v>25</v>
      </c>
      <c r="F780" s="3" t="s">
        <v>25</v>
      </c>
      <c r="G780" s="3" t="s">
        <v>25</v>
      </c>
      <c r="H780" s="3" t="s">
        <v>36</v>
      </c>
      <c r="I780" s="6">
        <v>44652</v>
      </c>
      <c r="J780" s="4">
        <v>0</v>
      </c>
      <c r="K780" s="4">
        <v>0</v>
      </c>
      <c r="L780" s="4">
        <v>117.348</v>
      </c>
      <c r="M780" s="4">
        <v>117.348</v>
      </c>
      <c r="N780" s="4">
        <v>117.348</v>
      </c>
      <c r="O780" s="4">
        <v>117.348</v>
      </c>
      <c r="P780" s="4">
        <v>0</v>
      </c>
      <c r="Q780" s="3" t="s">
        <v>26</v>
      </c>
      <c r="R780" s="3">
        <v>0</v>
      </c>
      <c r="S780" s="3" t="s">
        <v>299</v>
      </c>
      <c r="T780" s="3" t="s">
        <v>548</v>
      </c>
      <c r="U780" s="3">
        <v>0</v>
      </c>
      <c r="V780" s="3">
        <v>29</v>
      </c>
      <c r="W780" s="3">
        <v>73</v>
      </c>
    </row>
    <row r="781" spans="1:23" ht="11.25" customHeight="1" x14ac:dyDescent="0.25">
      <c r="A781" s="3" t="s">
        <v>21</v>
      </c>
      <c r="B781" s="3" t="s">
        <v>33</v>
      </c>
      <c r="C781" s="3" t="s">
        <v>34</v>
      </c>
      <c r="D781" s="3" t="s">
        <v>52</v>
      </c>
      <c r="E781" s="3" t="s">
        <v>25</v>
      </c>
      <c r="F781" s="3" t="s">
        <v>25</v>
      </c>
      <c r="G781" s="3" t="s">
        <v>25</v>
      </c>
      <c r="H781" s="3" t="s">
        <v>25</v>
      </c>
      <c r="I781" s="6">
        <v>44317</v>
      </c>
      <c r="J781" s="4">
        <v>538</v>
      </c>
      <c r="K781" s="4">
        <v>538</v>
      </c>
      <c r="L781" s="4">
        <v>0</v>
      </c>
      <c r="M781" s="4">
        <v>0</v>
      </c>
      <c r="N781" s="4">
        <v>0</v>
      </c>
      <c r="O781" s="4">
        <v>0</v>
      </c>
      <c r="P781" s="4">
        <v>5</v>
      </c>
      <c r="Q781" s="3" t="s">
        <v>26</v>
      </c>
      <c r="R781" s="3">
        <v>0</v>
      </c>
      <c r="S781" s="3" t="s">
        <v>300</v>
      </c>
      <c r="U781" s="3">
        <v>7</v>
      </c>
      <c r="V781" s="3">
        <v>0</v>
      </c>
      <c r="W781" s="3">
        <v>0</v>
      </c>
    </row>
    <row r="782" spans="1:23" ht="11.25" customHeight="1" x14ac:dyDescent="0.25">
      <c r="A782" s="3" t="s">
        <v>21</v>
      </c>
      <c r="B782" s="3" t="s">
        <v>33</v>
      </c>
      <c r="C782" s="3" t="s">
        <v>34</v>
      </c>
      <c r="D782" s="3" t="s">
        <v>52</v>
      </c>
      <c r="E782" s="3" t="s">
        <v>25</v>
      </c>
      <c r="F782" s="3" t="s">
        <v>25</v>
      </c>
      <c r="G782" s="3" t="s">
        <v>25</v>
      </c>
      <c r="H782" s="3" t="s">
        <v>25</v>
      </c>
      <c r="I782" s="6">
        <v>44348</v>
      </c>
      <c r="J782" s="4">
        <v>509</v>
      </c>
      <c r="K782" s="4">
        <v>509</v>
      </c>
      <c r="L782" s="4">
        <v>0</v>
      </c>
      <c r="M782" s="4">
        <v>0</v>
      </c>
      <c r="N782" s="4">
        <v>0</v>
      </c>
      <c r="O782" s="4">
        <v>0</v>
      </c>
      <c r="P782" s="4">
        <v>5</v>
      </c>
      <c r="Q782" s="3" t="s">
        <v>26</v>
      </c>
      <c r="R782" s="3">
        <v>0</v>
      </c>
      <c r="S782" s="3" t="s">
        <v>301</v>
      </c>
      <c r="U782" s="3">
        <v>7</v>
      </c>
      <c r="V782" s="3">
        <v>0</v>
      </c>
      <c r="W782" s="3">
        <v>0</v>
      </c>
    </row>
    <row r="783" spans="1:23" ht="11.25" customHeight="1" x14ac:dyDescent="0.25">
      <c r="A783" s="3" t="s">
        <v>21</v>
      </c>
      <c r="B783" s="3" t="s">
        <v>33</v>
      </c>
      <c r="C783" s="3" t="s">
        <v>34</v>
      </c>
      <c r="D783" s="3" t="s">
        <v>52</v>
      </c>
      <c r="E783" s="3" t="s">
        <v>25</v>
      </c>
      <c r="F783" s="3" t="s">
        <v>25</v>
      </c>
      <c r="G783" s="3" t="s">
        <v>25</v>
      </c>
      <c r="H783" s="3" t="s">
        <v>25</v>
      </c>
      <c r="I783" s="6">
        <v>44378</v>
      </c>
      <c r="J783" s="4">
        <v>525</v>
      </c>
      <c r="K783" s="4">
        <v>525</v>
      </c>
      <c r="L783" s="4">
        <v>0</v>
      </c>
      <c r="M783" s="4">
        <v>0</v>
      </c>
      <c r="N783" s="4">
        <v>0</v>
      </c>
      <c r="O783" s="4">
        <v>0</v>
      </c>
      <c r="P783" s="4">
        <v>5</v>
      </c>
      <c r="Q783" s="3" t="s">
        <v>26</v>
      </c>
      <c r="R783" s="3">
        <v>0</v>
      </c>
      <c r="S783" s="3" t="s">
        <v>302</v>
      </c>
      <c r="U783" s="3">
        <v>7</v>
      </c>
      <c r="V783" s="3">
        <v>0</v>
      </c>
      <c r="W783" s="3">
        <v>0</v>
      </c>
    </row>
    <row r="784" spans="1:23" ht="11.25" customHeight="1" x14ac:dyDescent="0.25">
      <c r="A784" s="3" t="s">
        <v>21</v>
      </c>
      <c r="B784" s="3" t="s">
        <v>33</v>
      </c>
      <c r="C784" s="3" t="s">
        <v>34</v>
      </c>
      <c r="D784" s="3" t="s">
        <v>52</v>
      </c>
      <c r="E784" s="3" t="s">
        <v>25</v>
      </c>
      <c r="F784" s="3" t="s">
        <v>25</v>
      </c>
      <c r="G784" s="3" t="s">
        <v>25</v>
      </c>
      <c r="H784" s="3" t="s">
        <v>25</v>
      </c>
      <c r="I784" s="6">
        <v>44409</v>
      </c>
      <c r="J784" s="4">
        <v>540</v>
      </c>
      <c r="K784" s="4">
        <v>540</v>
      </c>
      <c r="L784" s="4">
        <v>0</v>
      </c>
      <c r="M784" s="4">
        <v>0</v>
      </c>
      <c r="N784" s="4">
        <v>0</v>
      </c>
      <c r="O784" s="4">
        <v>0</v>
      </c>
      <c r="P784" s="4">
        <v>5</v>
      </c>
      <c r="Q784" s="3" t="s">
        <v>26</v>
      </c>
      <c r="R784" s="3">
        <v>0</v>
      </c>
      <c r="S784" s="3" t="s">
        <v>303</v>
      </c>
      <c r="U784" s="3">
        <v>7</v>
      </c>
      <c r="V784" s="3">
        <v>0</v>
      </c>
      <c r="W784" s="3">
        <v>0</v>
      </c>
    </row>
    <row r="785" spans="1:23" ht="11.25" customHeight="1" x14ac:dyDescent="0.25">
      <c r="A785" s="3" t="s">
        <v>21</v>
      </c>
      <c r="B785" s="3" t="s">
        <v>33</v>
      </c>
      <c r="C785" s="3" t="s">
        <v>34</v>
      </c>
      <c r="D785" s="3" t="s">
        <v>52</v>
      </c>
      <c r="E785" s="3" t="s">
        <v>25</v>
      </c>
      <c r="F785" s="3" t="s">
        <v>25</v>
      </c>
      <c r="G785" s="3" t="s">
        <v>25</v>
      </c>
      <c r="H785" s="3" t="s">
        <v>25</v>
      </c>
      <c r="I785" s="6">
        <v>44440</v>
      </c>
      <c r="J785" s="4">
        <v>790</v>
      </c>
      <c r="K785" s="4">
        <v>790</v>
      </c>
      <c r="L785" s="4">
        <v>0</v>
      </c>
      <c r="M785" s="4">
        <v>0</v>
      </c>
      <c r="N785" s="4">
        <v>0</v>
      </c>
      <c r="O785" s="4">
        <v>0</v>
      </c>
      <c r="P785" s="4">
        <v>5</v>
      </c>
      <c r="Q785" s="3" t="s">
        <v>26</v>
      </c>
      <c r="R785" s="3">
        <v>0</v>
      </c>
      <c r="S785" s="3" t="s">
        <v>304</v>
      </c>
      <c r="U785" s="3">
        <v>7</v>
      </c>
      <c r="V785" s="3">
        <v>0</v>
      </c>
      <c r="W785" s="3">
        <v>0</v>
      </c>
    </row>
    <row r="786" spans="1:23" ht="11.25" customHeight="1" x14ac:dyDescent="0.25">
      <c r="A786" s="3" t="s">
        <v>21</v>
      </c>
      <c r="B786" s="3" t="s">
        <v>33</v>
      </c>
      <c r="C786" s="3" t="s">
        <v>34</v>
      </c>
      <c r="D786" s="3" t="s">
        <v>52</v>
      </c>
      <c r="E786" s="3" t="s">
        <v>25</v>
      </c>
      <c r="F786" s="3" t="s">
        <v>25</v>
      </c>
      <c r="G786" s="3" t="s">
        <v>25</v>
      </c>
      <c r="H786" s="3" t="s">
        <v>25</v>
      </c>
      <c r="I786" s="6">
        <v>44470</v>
      </c>
      <c r="J786" s="4">
        <v>790</v>
      </c>
      <c r="K786" s="4">
        <v>790</v>
      </c>
      <c r="L786" s="4">
        <v>0</v>
      </c>
      <c r="M786" s="4">
        <v>0</v>
      </c>
      <c r="N786" s="4">
        <v>0</v>
      </c>
      <c r="O786" s="4">
        <v>0</v>
      </c>
      <c r="P786" s="4">
        <v>5</v>
      </c>
      <c r="Q786" s="3" t="s">
        <v>26</v>
      </c>
      <c r="R786" s="3">
        <v>0</v>
      </c>
      <c r="S786" s="3" t="s">
        <v>305</v>
      </c>
      <c r="U786" s="3">
        <v>7</v>
      </c>
      <c r="V786" s="3">
        <v>0</v>
      </c>
      <c r="W786" s="3">
        <v>0</v>
      </c>
    </row>
    <row r="787" spans="1:23" ht="11.25" customHeight="1" x14ac:dyDescent="0.25">
      <c r="A787" s="3" t="s">
        <v>21</v>
      </c>
      <c r="B787" s="3" t="s">
        <v>33</v>
      </c>
      <c r="C787" s="3" t="s">
        <v>34</v>
      </c>
      <c r="D787" s="3" t="s">
        <v>52</v>
      </c>
      <c r="E787" s="3" t="s">
        <v>25</v>
      </c>
      <c r="F787" s="3" t="s">
        <v>25</v>
      </c>
      <c r="G787" s="3" t="s">
        <v>25</v>
      </c>
      <c r="H787" s="3" t="s">
        <v>25</v>
      </c>
      <c r="I787" s="6">
        <v>44501</v>
      </c>
      <c r="J787" s="4">
        <v>790</v>
      </c>
      <c r="K787" s="4">
        <v>790</v>
      </c>
      <c r="L787" s="4">
        <v>0</v>
      </c>
      <c r="M787" s="4">
        <v>0</v>
      </c>
      <c r="N787" s="4">
        <v>0</v>
      </c>
      <c r="O787" s="4">
        <v>0</v>
      </c>
      <c r="P787" s="4">
        <v>5</v>
      </c>
      <c r="Q787" s="3" t="s">
        <v>26</v>
      </c>
      <c r="R787" s="3">
        <v>0</v>
      </c>
      <c r="S787" s="3" t="s">
        <v>306</v>
      </c>
      <c r="U787" s="3">
        <v>7</v>
      </c>
      <c r="V787" s="3">
        <v>0</v>
      </c>
      <c r="W787" s="3">
        <v>0</v>
      </c>
    </row>
    <row r="788" spans="1:23" ht="11.25" customHeight="1" x14ac:dyDescent="0.25">
      <c r="A788" s="3" t="s">
        <v>21</v>
      </c>
      <c r="B788" s="3" t="s">
        <v>33</v>
      </c>
      <c r="C788" s="3" t="s">
        <v>34</v>
      </c>
      <c r="D788" s="3" t="s">
        <v>52</v>
      </c>
      <c r="E788" s="3" t="s">
        <v>25</v>
      </c>
      <c r="F788" s="3" t="s">
        <v>25</v>
      </c>
      <c r="G788" s="3" t="s">
        <v>25</v>
      </c>
      <c r="H788" s="3" t="s">
        <v>25</v>
      </c>
      <c r="I788" s="6">
        <v>44531</v>
      </c>
      <c r="J788" s="4">
        <v>696</v>
      </c>
      <c r="K788" s="4">
        <v>696</v>
      </c>
      <c r="L788" s="4">
        <v>0</v>
      </c>
      <c r="M788" s="4">
        <v>0</v>
      </c>
      <c r="N788" s="4">
        <v>0</v>
      </c>
      <c r="O788" s="4">
        <v>0</v>
      </c>
      <c r="P788" s="4">
        <v>5</v>
      </c>
      <c r="Q788" s="3" t="s">
        <v>26</v>
      </c>
      <c r="R788" s="3">
        <v>0</v>
      </c>
      <c r="S788" s="3" t="s">
        <v>307</v>
      </c>
      <c r="U788" s="3">
        <v>7</v>
      </c>
      <c r="V788" s="3">
        <v>0</v>
      </c>
      <c r="W788" s="3">
        <v>0</v>
      </c>
    </row>
    <row r="789" spans="1:23" ht="11.25" customHeight="1" x14ac:dyDescent="0.25">
      <c r="A789" s="3" t="s">
        <v>21</v>
      </c>
      <c r="B789" s="3" t="s">
        <v>33</v>
      </c>
      <c r="C789" s="3" t="s">
        <v>34</v>
      </c>
      <c r="D789" s="3" t="s">
        <v>52</v>
      </c>
      <c r="E789" s="3" t="s">
        <v>25</v>
      </c>
      <c r="F789" s="3" t="s">
        <v>25</v>
      </c>
      <c r="G789" s="3" t="s">
        <v>25</v>
      </c>
      <c r="H789" s="3" t="s">
        <v>25</v>
      </c>
      <c r="I789" s="6">
        <v>44562</v>
      </c>
      <c r="J789" s="4">
        <v>556</v>
      </c>
      <c r="K789" s="4">
        <v>556</v>
      </c>
      <c r="L789" s="4">
        <v>0</v>
      </c>
      <c r="M789" s="4">
        <v>0</v>
      </c>
      <c r="N789" s="4">
        <v>0</v>
      </c>
      <c r="O789" s="4">
        <v>0</v>
      </c>
      <c r="P789" s="4">
        <v>5</v>
      </c>
      <c r="Q789" s="3" t="s">
        <v>26</v>
      </c>
      <c r="R789" s="3">
        <v>0</v>
      </c>
      <c r="S789" s="3" t="s">
        <v>308</v>
      </c>
      <c r="U789" s="3">
        <v>7</v>
      </c>
      <c r="V789" s="3">
        <v>0</v>
      </c>
      <c r="W789" s="3">
        <v>0</v>
      </c>
    </row>
    <row r="790" spans="1:23" ht="11.25" customHeight="1" x14ac:dyDescent="0.25">
      <c r="A790" s="3" t="s">
        <v>21</v>
      </c>
      <c r="B790" s="3" t="s">
        <v>33</v>
      </c>
      <c r="C790" s="3" t="s">
        <v>34</v>
      </c>
      <c r="D790" s="3" t="s">
        <v>52</v>
      </c>
      <c r="E790" s="3" t="s">
        <v>25</v>
      </c>
      <c r="F790" s="3" t="s">
        <v>25</v>
      </c>
      <c r="G790" s="3" t="s">
        <v>25</v>
      </c>
      <c r="H790" s="3" t="s">
        <v>25</v>
      </c>
      <c r="I790" s="6">
        <v>44593</v>
      </c>
      <c r="J790" s="4">
        <v>589</v>
      </c>
      <c r="K790" s="4">
        <v>589</v>
      </c>
      <c r="L790" s="4">
        <v>0</v>
      </c>
      <c r="M790" s="4">
        <v>0</v>
      </c>
      <c r="N790" s="4">
        <v>0</v>
      </c>
      <c r="O790" s="4">
        <v>0</v>
      </c>
      <c r="P790" s="4">
        <v>5</v>
      </c>
      <c r="Q790" s="3" t="s">
        <v>26</v>
      </c>
      <c r="R790" s="3">
        <v>0</v>
      </c>
      <c r="S790" s="3" t="s">
        <v>309</v>
      </c>
      <c r="U790" s="3">
        <v>7</v>
      </c>
      <c r="V790" s="3">
        <v>0</v>
      </c>
      <c r="W790" s="3">
        <v>0</v>
      </c>
    </row>
    <row r="791" spans="1:23" ht="11.25" customHeight="1" x14ac:dyDescent="0.25">
      <c r="A791" s="3" t="s">
        <v>21</v>
      </c>
      <c r="B791" s="3" t="s">
        <v>33</v>
      </c>
      <c r="C791" s="3" t="s">
        <v>34</v>
      </c>
      <c r="D791" s="3" t="s">
        <v>52</v>
      </c>
      <c r="E791" s="3" t="s">
        <v>25</v>
      </c>
      <c r="F791" s="3" t="s">
        <v>25</v>
      </c>
      <c r="G791" s="3" t="s">
        <v>25</v>
      </c>
      <c r="H791" s="3" t="s">
        <v>25</v>
      </c>
      <c r="I791" s="6">
        <v>44621</v>
      </c>
      <c r="J791" s="4">
        <v>601</v>
      </c>
      <c r="K791" s="4">
        <v>601</v>
      </c>
      <c r="L791" s="4">
        <v>0</v>
      </c>
      <c r="M791" s="4">
        <v>0</v>
      </c>
      <c r="N791" s="4">
        <v>0</v>
      </c>
      <c r="O791" s="4">
        <v>0</v>
      </c>
      <c r="P791" s="4">
        <v>5</v>
      </c>
      <c r="Q791" s="3" t="s">
        <v>26</v>
      </c>
      <c r="R791" s="3">
        <v>0</v>
      </c>
      <c r="S791" s="3" t="s">
        <v>310</v>
      </c>
      <c r="U791" s="3">
        <v>7</v>
      </c>
      <c r="V791" s="3">
        <v>0</v>
      </c>
      <c r="W791" s="3">
        <v>0</v>
      </c>
    </row>
    <row r="792" spans="1:23" ht="11.25" customHeight="1" x14ac:dyDescent="0.25">
      <c r="A792" s="3" t="s">
        <v>56</v>
      </c>
      <c r="B792" s="3" t="s">
        <v>33</v>
      </c>
      <c r="C792" s="3" t="s">
        <v>34</v>
      </c>
      <c r="D792" s="3" t="s">
        <v>52</v>
      </c>
      <c r="E792" s="3" t="s">
        <v>25</v>
      </c>
      <c r="F792" s="3" t="s">
        <v>25</v>
      </c>
      <c r="G792" s="3" t="s">
        <v>25</v>
      </c>
      <c r="H792" s="3" t="s">
        <v>25</v>
      </c>
      <c r="I792" s="6">
        <v>44652</v>
      </c>
      <c r="J792" s="4">
        <v>601</v>
      </c>
      <c r="K792" s="4">
        <v>601</v>
      </c>
      <c r="L792" s="4">
        <v>0</v>
      </c>
      <c r="M792" s="4">
        <v>0</v>
      </c>
      <c r="N792" s="4">
        <v>0</v>
      </c>
      <c r="O792" s="4">
        <v>0</v>
      </c>
      <c r="P792" s="4">
        <v>5</v>
      </c>
      <c r="Q792" s="3" t="s">
        <v>26</v>
      </c>
      <c r="R792" s="3">
        <v>0</v>
      </c>
      <c r="S792" s="3" t="s">
        <v>311</v>
      </c>
      <c r="U792" s="3">
        <v>7</v>
      </c>
      <c r="V792" s="3">
        <v>0</v>
      </c>
      <c r="W792" s="3">
        <v>0</v>
      </c>
    </row>
    <row r="793" spans="1:23" ht="11.25" customHeight="1" x14ac:dyDescent="0.25">
      <c r="A793" s="3" t="s">
        <v>21</v>
      </c>
      <c r="B793" s="3" t="s">
        <v>33</v>
      </c>
      <c r="C793" s="3" t="s">
        <v>34</v>
      </c>
      <c r="D793" s="3" t="s">
        <v>52</v>
      </c>
      <c r="E793" s="3" t="s">
        <v>25</v>
      </c>
      <c r="F793" s="3" t="s">
        <v>25</v>
      </c>
      <c r="G793" s="3" t="s">
        <v>25</v>
      </c>
      <c r="H793" s="3" t="s">
        <v>35</v>
      </c>
      <c r="I793" s="6">
        <v>44317</v>
      </c>
      <c r="J793" s="4">
        <v>0</v>
      </c>
      <c r="K793" s="4">
        <v>0</v>
      </c>
      <c r="L793" s="4">
        <v>7.52</v>
      </c>
      <c r="M793" s="4">
        <v>7.52</v>
      </c>
      <c r="N793" s="4">
        <v>7.52</v>
      </c>
      <c r="O793" s="4">
        <v>7.52</v>
      </c>
      <c r="P793" s="4">
        <v>0</v>
      </c>
      <c r="Q793" s="3" t="s">
        <v>26</v>
      </c>
      <c r="R793" s="3">
        <v>0</v>
      </c>
      <c r="S793" s="3" t="s">
        <v>312</v>
      </c>
      <c r="T793" s="3" t="s">
        <v>549</v>
      </c>
      <c r="U793" s="3">
        <v>0</v>
      </c>
      <c r="V793" s="3">
        <v>8</v>
      </c>
      <c r="W793" s="3">
        <v>72</v>
      </c>
    </row>
    <row r="794" spans="1:23" ht="11.25" customHeight="1" x14ac:dyDescent="0.25">
      <c r="A794" s="3" t="s">
        <v>21</v>
      </c>
      <c r="B794" s="3" t="s">
        <v>33</v>
      </c>
      <c r="C794" s="3" t="s">
        <v>34</v>
      </c>
      <c r="D794" s="3" t="s">
        <v>52</v>
      </c>
      <c r="E794" s="3" t="s">
        <v>25</v>
      </c>
      <c r="F794" s="3" t="s">
        <v>25</v>
      </c>
      <c r="G794" s="3" t="s">
        <v>25</v>
      </c>
      <c r="H794" s="3" t="s">
        <v>35</v>
      </c>
      <c r="I794" s="6">
        <v>44348</v>
      </c>
      <c r="J794" s="4">
        <v>0</v>
      </c>
      <c r="K794" s="4">
        <v>0</v>
      </c>
      <c r="L794" s="4">
        <v>7.4089999999999998</v>
      </c>
      <c r="M794" s="4">
        <v>7.4089999999999998</v>
      </c>
      <c r="N794" s="4">
        <v>7.4089999999999998</v>
      </c>
      <c r="O794" s="4">
        <v>7.4089999999999998</v>
      </c>
      <c r="P794" s="4">
        <v>0</v>
      </c>
      <c r="Q794" s="3" t="s">
        <v>26</v>
      </c>
      <c r="R794" s="3">
        <v>0</v>
      </c>
      <c r="S794" s="3" t="s">
        <v>313</v>
      </c>
      <c r="T794" s="3" t="s">
        <v>550</v>
      </c>
      <c r="U794" s="3">
        <v>0</v>
      </c>
      <c r="V794" s="3">
        <v>8</v>
      </c>
      <c r="W794" s="3">
        <v>72</v>
      </c>
    </row>
    <row r="795" spans="1:23" ht="11.25" customHeight="1" x14ac:dyDescent="0.25">
      <c r="A795" s="3" t="s">
        <v>21</v>
      </c>
      <c r="B795" s="3" t="s">
        <v>33</v>
      </c>
      <c r="C795" s="3" t="s">
        <v>34</v>
      </c>
      <c r="D795" s="3" t="s">
        <v>52</v>
      </c>
      <c r="E795" s="3" t="s">
        <v>25</v>
      </c>
      <c r="F795" s="3" t="s">
        <v>25</v>
      </c>
      <c r="G795" s="3" t="s">
        <v>25</v>
      </c>
      <c r="H795" s="3" t="s">
        <v>35</v>
      </c>
      <c r="I795" s="6">
        <v>44378</v>
      </c>
      <c r="J795" s="4">
        <v>0</v>
      </c>
      <c r="K795" s="4">
        <v>0</v>
      </c>
      <c r="L795" s="4">
        <v>7.6509999999999998</v>
      </c>
      <c r="M795" s="4">
        <v>7.6509999999999998</v>
      </c>
      <c r="N795" s="4">
        <v>7.6509999999999998</v>
      </c>
      <c r="O795" s="4">
        <v>7.6509999999999998</v>
      </c>
      <c r="P795" s="4">
        <v>0</v>
      </c>
      <c r="Q795" s="3" t="s">
        <v>26</v>
      </c>
      <c r="R795" s="3">
        <v>0</v>
      </c>
      <c r="S795" s="3" t="s">
        <v>314</v>
      </c>
      <c r="T795" s="3" t="s">
        <v>551</v>
      </c>
      <c r="U795" s="3">
        <v>0</v>
      </c>
      <c r="V795" s="3">
        <v>8</v>
      </c>
      <c r="W795" s="3">
        <v>72</v>
      </c>
    </row>
    <row r="796" spans="1:23" ht="11.25" customHeight="1" x14ac:dyDescent="0.25">
      <c r="A796" s="3" t="s">
        <v>21</v>
      </c>
      <c r="B796" s="3" t="s">
        <v>33</v>
      </c>
      <c r="C796" s="3" t="s">
        <v>34</v>
      </c>
      <c r="D796" s="3" t="s">
        <v>52</v>
      </c>
      <c r="E796" s="3" t="s">
        <v>25</v>
      </c>
      <c r="F796" s="3" t="s">
        <v>25</v>
      </c>
      <c r="G796" s="3" t="s">
        <v>25</v>
      </c>
      <c r="H796" s="3" t="s">
        <v>35</v>
      </c>
      <c r="I796" s="6">
        <v>44409</v>
      </c>
      <c r="J796" s="4">
        <v>0</v>
      </c>
      <c r="K796" s="4">
        <v>0</v>
      </c>
      <c r="L796" s="4">
        <v>6.8490000000000002</v>
      </c>
      <c r="M796" s="4">
        <v>6.8490000000000002</v>
      </c>
      <c r="N796" s="4">
        <v>6.8490000000000002</v>
      </c>
      <c r="O796" s="4">
        <v>6.8490000000000002</v>
      </c>
      <c r="P796" s="4">
        <v>0</v>
      </c>
      <c r="Q796" s="3" t="s">
        <v>26</v>
      </c>
      <c r="R796" s="3">
        <v>0</v>
      </c>
      <c r="S796" s="3" t="s">
        <v>315</v>
      </c>
      <c r="T796" s="3" t="s">
        <v>552</v>
      </c>
      <c r="U796" s="3">
        <v>0</v>
      </c>
      <c r="V796" s="3">
        <v>8</v>
      </c>
      <c r="W796" s="3">
        <v>72</v>
      </c>
    </row>
    <row r="797" spans="1:23" ht="11.25" customHeight="1" x14ac:dyDescent="0.25">
      <c r="A797" s="3" t="s">
        <v>21</v>
      </c>
      <c r="B797" s="3" t="s">
        <v>33</v>
      </c>
      <c r="C797" s="3" t="s">
        <v>34</v>
      </c>
      <c r="D797" s="3" t="s">
        <v>52</v>
      </c>
      <c r="E797" s="3" t="s">
        <v>25</v>
      </c>
      <c r="F797" s="3" t="s">
        <v>25</v>
      </c>
      <c r="G797" s="3" t="s">
        <v>25</v>
      </c>
      <c r="H797" s="3" t="s">
        <v>35</v>
      </c>
      <c r="I797" s="6">
        <v>44440</v>
      </c>
      <c r="J797" s="4">
        <v>0</v>
      </c>
      <c r="K797" s="4">
        <v>0</v>
      </c>
      <c r="L797" s="4">
        <v>7.3310000000000004</v>
      </c>
      <c r="M797" s="4">
        <v>7.3310000000000004</v>
      </c>
      <c r="N797" s="4">
        <v>7.3310000000000004</v>
      </c>
      <c r="O797" s="4">
        <v>7.3310000000000004</v>
      </c>
      <c r="P797" s="4">
        <v>0</v>
      </c>
      <c r="Q797" s="3" t="s">
        <v>26</v>
      </c>
      <c r="R797" s="3">
        <v>0</v>
      </c>
      <c r="S797" s="3" t="s">
        <v>316</v>
      </c>
      <c r="T797" s="3" t="s">
        <v>553</v>
      </c>
      <c r="U797" s="3">
        <v>0</v>
      </c>
      <c r="V797" s="3">
        <v>8</v>
      </c>
      <c r="W797" s="3">
        <v>72</v>
      </c>
    </row>
    <row r="798" spans="1:23" ht="11.25" customHeight="1" x14ac:dyDescent="0.25">
      <c r="A798" s="3" t="s">
        <v>21</v>
      </c>
      <c r="B798" s="3" t="s">
        <v>33</v>
      </c>
      <c r="C798" s="3" t="s">
        <v>34</v>
      </c>
      <c r="D798" s="3" t="s">
        <v>52</v>
      </c>
      <c r="E798" s="3" t="s">
        <v>25</v>
      </c>
      <c r="F798" s="3" t="s">
        <v>25</v>
      </c>
      <c r="G798" s="3" t="s">
        <v>25</v>
      </c>
      <c r="H798" s="3" t="s">
        <v>35</v>
      </c>
      <c r="I798" s="6">
        <v>44470</v>
      </c>
      <c r="J798" s="4">
        <v>0</v>
      </c>
      <c r="K798" s="4">
        <v>0</v>
      </c>
      <c r="L798" s="4">
        <v>8.4480000000000004</v>
      </c>
      <c r="M798" s="4">
        <v>8.4480000000000004</v>
      </c>
      <c r="N798" s="4">
        <v>8.4480000000000004</v>
      </c>
      <c r="O798" s="4">
        <v>8.4480000000000004</v>
      </c>
      <c r="P798" s="4">
        <v>0</v>
      </c>
      <c r="Q798" s="3" t="s">
        <v>26</v>
      </c>
      <c r="R798" s="3">
        <v>0</v>
      </c>
      <c r="S798" s="3" t="s">
        <v>317</v>
      </c>
      <c r="T798" s="3" t="s">
        <v>554</v>
      </c>
      <c r="U798" s="3">
        <v>0</v>
      </c>
      <c r="V798" s="3">
        <v>8</v>
      </c>
      <c r="W798" s="3">
        <v>72</v>
      </c>
    </row>
    <row r="799" spans="1:23" ht="11.25" customHeight="1" x14ac:dyDescent="0.25">
      <c r="A799" s="3" t="s">
        <v>21</v>
      </c>
      <c r="B799" s="3" t="s">
        <v>33</v>
      </c>
      <c r="C799" s="3" t="s">
        <v>34</v>
      </c>
      <c r="D799" s="3" t="s">
        <v>52</v>
      </c>
      <c r="E799" s="3" t="s">
        <v>25</v>
      </c>
      <c r="F799" s="3" t="s">
        <v>25</v>
      </c>
      <c r="G799" s="3" t="s">
        <v>25</v>
      </c>
      <c r="H799" s="3" t="s">
        <v>35</v>
      </c>
      <c r="I799" s="6">
        <v>44501</v>
      </c>
      <c r="J799" s="4">
        <v>0</v>
      </c>
      <c r="K799" s="4">
        <v>0</v>
      </c>
      <c r="L799" s="4">
        <v>8.9339999999999993</v>
      </c>
      <c r="M799" s="4">
        <v>8.9339999999999993</v>
      </c>
      <c r="N799" s="4">
        <v>8.9339999999999993</v>
      </c>
      <c r="O799" s="4">
        <v>8.9339999999999993</v>
      </c>
      <c r="P799" s="4">
        <v>0</v>
      </c>
      <c r="Q799" s="3" t="s">
        <v>26</v>
      </c>
      <c r="R799" s="3">
        <v>0</v>
      </c>
      <c r="S799" s="3" t="s">
        <v>318</v>
      </c>
      <c r="T799" s="3" t="s">
        <v>555</v>
      </c>
      <c r="U799" s="3">
        <v>0</v>
      </c>
      <c r="V799" s="3">
        <v>8</v>
      </c>
      <c r="W799" s="3">
        <v>72</v>
      </c>
    </row>
    <row r="800" spans="1:23" ht="11.25" customHeight="1" x14ac:dyDescent="0.25">
      <c r="A800" s="3" t="s">
        <v>21</v>
      </c>
      <c r="B800" s="3" t="s">
        <v>33</v>
      </c>
      <c r="C800" s="3" t="s">
        <v>34</v>
      </c>
      <c r="D800" s="3" t="s">
        <v>52</v>
      </c>
      <c r="E800" s="3" t="s">
        <v>25</v>
      </c>
      <c r="F800" s="3" t="s">
        <v>25</v>
      </c>
      <c r="G800" s="3" t="s">
        <v>25</v>
      </c>
      <c r="H800" s="3" t="s">
        <v>35</v>
      </c>
      <c r="I800" s="6">
        <v>44531</v>
      </c>
      <c r="J800" s="4">
        <v>0</v>
      </c>
      <c r="K800" s="4">
        <v>0</v>
      </c>
      <c r="L800" s="4">
        <v>9.9390000000000001</v>
      </c>
      <c r="M800" s="4">
        <v>9.9390000000000001</v>
      </c>
      <c r="N800" s="4">
        <v>9.9390000000000001</v>
      </c>
      <c r="O800" s="4">
        <v>9.9390000000000001</v>
      </c>
      <c r="P800" s="4">
        <v>0</v>
      </c>
      <c r="Q800" s="3" t="s">
        <v>26</v>
      </c>
      <c r="R800" s="3">
        <v>0</v>
      </c>
      <c r="S800" s="3" t="s">
        <v>319</v>
      </c>
      <c r="T800" s="3" t="s">
        <v>556</v>
      </c>
      <c r="U800" s="3">
        <v>0</v>
      </c>
      <c r="V800" s="3">
        <v>8</v>
      </c>
      <c r="W800" s="3">
        <v>72</v>
      </c>
    </row>
    <row r="801" spans="1:23" ht="11.25" customHeight="1" x14ac:dyDescent="0.25">
      <c r="A801" s="3" t="s">
        <v>21</v>
      </c>
      <c r="B801" s="3" t="s">
        <v>33</v>
      </c>
      <c r="C801" s="3" t="s">
        <v>34</v>
      </c>
      <c r="D801" s="3" t="s">
        <v>52</v>
      </c>
      <c r="E801" s="3" t="s">
        <v>25</v>
      </c>
      <c r="F801" s="3" t="s">
        <v>25</v>
      </c>
      <c r="G801" s="3" t="s">
        <v>25</v>
      </c>
      <c r="H801" s="3" t="s">
        <v>35</v>
      </c>
      <c r="I801" s="6">
        <v>44562</v>
      </c>
      <c r="J801" s="4">
        <v>0</v>
      </c>
      <c r="K801" s="4">
        <v>0</v>
      </c>
      <c r="L801" s="4">
        <v>9.1519999999999992</v>
      </c>
      <c r="M801" s="4">
        <v>9.1519999999999992</v>
      </c>
      <c r="N801" s="4">
        <v>9.1519999999999992</v>
      </c>
      <c r="O801" s="4">
        <v>9.1519999999999992</v>
      </c>
      <c r="P801" s="4">
        <v>0</v>
      </c>
      <c r="Q801" s="3" t="s">
        <v>26</v>
      </c>
      <c r="R801" s="3">
        <v>0</v>
      </c>
      <c r="S801" s="3" t="s">
        <v>320</v>
      </c>
      <c r="T801" s="3" t="s">
        <v>557</v>
      </c>
      <c r="U801" s="3">
        <v>0</v>
      </c>
      <c r="V801" s="3">
        <v>8</v>
      </c>
      <c r="W801" s="3">
        <v>72</v>
      </c>
    </row>
    <row r="802" spans="1:23" ht="11.25" customHeight="1" x14ac:dyDescent="0.25">
      <c r="A802" s="3" t="s">
        <v>21</v>
      </c>
      <c r="B802" s="3" t="s">
        <v>33</v>
      </c>
      <c r="C802" s="3" t="s">
        <v>34</v>
      </c>
      <c r="D802" s="3" t="s">
        <v>52</v>
      </c>
      <c r="E802" s="3" t="s">
        <v>25</v>
      </c>
      <c r="F802" s="3" t="s">
        <v>25</v>
      </c>
      <c r="G802" s="3" t="s">
        <v>25</v>
      </c>
      <c r="H802" s="3" t="s">
        <v>35</v>
      </c>
      <c r="I802" s="6">
        <v>44593</v>
      </c>
      <c r="J802" s="4">
        <v>0</v>
      </c>
      <c r="K802" s="4">
        <v>0</v>
      </c>
      <c r="L802" s="4">
        <v>8.7870000000000008</v>
      </c>
      <c r="M802" s="4">
        <v>8.7870000000000008</v>
      </c>
      <c r="N802" s="4">
        <v>8.7870000000000008</v>
      </c>
      <c r="O802" s="4">
        <v>8.7870000000000008</v>
      </c>
      <c r="P802" s="4">
        <v>0</v>
      </c>
      <c r="Q802" s="3" t="s">
        <v>26</v>
      </c>
      <c r="R802" s="3">
        <v>0</v>
      </c>
      <c r="S802" s="3" t="s">
        <v>321</v>
      </c>
      <c r="T802" s="3" t="s">
        <v>558</v>
      </c>
      <c r="U802" s="3">
        <v>0</v>
      </c>
      <c r="V802" s="3">
        <v>8</v>
      </c>
      <c r="W802" s="3">
        <v>72</v>
      </c>
    </row>
    <row r="803" spans="1:23" ht="11.25" customHeight="1" x14ac:dyDescent="0.25">
      <c r="A803" s="3" t="s">
        <v>21</v>
      </c>
      <c r="B803" s="3" t="s">
        <v>33</v>
      </c>
      <c r="C803" s="3" t="s">
        <v>34</v>
      </c>
      <c r="D803" s="3" t="s">
        <v>52</v>
      </c>
      <c r="E803" s="3" t="s">
        <v>25</v>
      </c>
      <c r="F803" s="3" t="s">
        <v>25</v>
      </c>
      <c r="G803" s="3" t="s">
        <v>25</v>
      </c>
      <c r="H803" s="3" t="s">
        <v>35</v>
      </c>
      <c r="I803" s="6">
        <v>44621</v>
      </c>
      <c r="J803" s="4">
        <v>0</v>
      </c>
      <c r="K803" s="4">
        <v>0</v>
      </c>
      <c r="L803" s="4">
        <v>9.6479999999999997</v>
      </c>
      <c r="M803" s="4">
        <v>9.6479999999999997</v>
      </c>
      <c r="N803" s="4">
        <v>9.6479999999999997</v>
      </c>
      <c r="O803" s="4">
        <v>9.6479999999999997</v>
      </c>
      <c r="P803" s="4">
        <v>0</v>
      </c>
      <c r="Q803" s="3" t="s">
        <v>26</v>
      </c>
      <c r="R803" s="3">
        <v>0</v>
      </c>
      <c r="S803" s="3" t="s">
        <v>322</v>
      </c>
      <c r="T803" s="3" t="s">
        <v>559</v>
      </c>
      <c r="U803" s="3">
        <v>0</v>
      </c>
      <c r="V803" s="3">
        <v>8</v>
      </c>
      <c r="W803" s="3">
        <v>72</v>
      </c>
    </row>
    <row r="804" spans="1:23" ht="11.25" customHeight="1" x14ac:dyDescent="0.25">
      <c r="A804" s="3" t="s">
        <v>56</v>
      </c>
      <c r="B804" s="3" t="s">
        <v>33</v>
      </c>
      <c r="C804" s="3" t="s">
        <v>34</v>
      </c>
      <c r="D804" s="3" t="s">
        <v>52</v>
      </c>
      <c r="E804" s="3" t="s">
        <v>25</v>
      </c>
      <c r="F804" s="3" t="s">
        <v>25</v>
      </c>
      <c r="G804" s="3" t="s">
        <v>25</v>
      </c>
      <c r="H804" s="3" t="s">
        <v>35</v>
      </c>
      <c r="I804" s="6">
        <v>44652</v>
      </c>
      <c r="J804" s="4">
        <v>0</v>
      </c>
      <c r="K804" s="4">
        <v>0</v>
      </c>
      <c r="L804" s="4">
        <v>9.6479999999999997</v>
      </c>
      <c r="M804" s="4">
        <v>9.6479999999999997</v>
      </c>
      <c r="N804" s="4">
        <v>9.6479999999999997</v>
      </c>
      <c r="O804" s="4">
        <v>9.6479999999999997</v>
      </c>
      <c r="P804" s="4">
        <v>0</v>
      </c>
      <c r="Q804" s="3" t="s">
        <v>26</v>
      </c>
      <c r="R804" s="3">
        <v>0</v>
      </c>
      <c r="S804" s="3" t="s">
        <v>323</v>
      </c>
      <c r="T804" s="3" t="s">
        <v>560</v>
      </c>
      <c r="U804" s="3">
        <v>0</v>
      </c>
      <c r="V804" s="3">
        <v>8</v>
      </c>
      <c r="W804" s="3">
        <v>72</v>
      </c>
    </row>
    <row r="805" spans="1:23" ht="11.25" customHeight="1" x14ac:dyDescent="0.25">
      <c r="A805" s="3" t="s">
        <v>21</v>
      </c>
      <c r="B805" s="3" t="s">
        <v>33</v>
      </c>
      <c r="C805" s="3" t="s">
        <v>34</v>
      </c>
      <c r="D805" s="3" t="s">
        <v>40</v>
      </c>
      <c r="E805" s="3" t="s">
        <v>25</v>
      </c>
      <c r="F805" s="3" t="s">
        <v>60</v>
      </c>
      <c r="G805" s="3" t="s">
        <v>25</v>
      </c>
      <c r="H805" s="3" t="s">
        <v>36</v>
      </c>
      <c r="I805" s="6">
        <v>44317</v>
      </c>
      <c r="J805" s="4">
        <v>0</v>
      </c>
      <c r="K805" s="4">
        <v>0</v>
      </c>
      <c r="L805" s="4">
        <v>15586.54</v>
      </c>
      <c r="M805" s="4">
        <v>15586.54</v>
      </c>
      <c r="N805" s="4">
        <v>0</v>
      </c>
      <c r="O805" s="4">
        <v>0</v>
      </c>
      <c r="P805" s="4">
        <v>0</v>
      </c>
      <c r="Q805" s="3" t="s">
        <v>57</v>
      </c>
      <c r="R805" s="3">
        <v>0</v>
      </c>
      <c r="S805" s="3" t="s">
        <v>288</v>
      </c>
      <c r="U805" s="3">
        <v>0</v>
      </c>
      <c r="V805" s="3">
        <v>29</v>
      </c>
      <c r="W805" s="3">
        <v>0</v>
      </c>
    </row>
    <row r="806" spans="1:23" ht="11.25" customHeight="1" x14ac:dyDescent="0.25">
      <c r="A806" s="3" t="s">
        <v>21</v>
      </c>
      <c r="B806" s="3" t="s">
        <v>33</v>
      </c>
      <c r="C806" s="3" t="s">
        <v>34</v>
      </c>
      <c r="D806" s="3" t="s">
        <v>40</v>
      </c>
      <c r="E806" s="3" t="s">
        <v>25</v>
      </c>
      <c r="F806" s="3" t="s">
        <v>60</v>
      </c>
      <c r="G806" s="3" t="s">
        <v>25</v>
      </c>
      <c r="H806" s="3" t="s">
        <v>36</v>
      </c>
      <c r="I806" s="6">
        <v>44348</v>
      </c>
      <c r="J806" s="4">
        <v>0</v>
      </c>
      <c r="K806" s="4">
        <v>0</v>
      </c>
      <c r="L806" s="4">
        <v>15347.862999999999</v>
      </c>
      <c r="M806" s="4">
        <v>15347.862999999999</v>
      </c>
      <c r="N806" s="4">
        <v>0</v>
      </c>
      <c r="O806" s="4">
        <v>0</v>
      </c>
      <c r="P806" s="4">
        <v>0</v>
      </c>
      <c r="Q806" s="3" t="s">
        <v>57</v>
      </c>
      <c r="R806" s="3">
        <v>0</v>
      </c>
      <c r="S806" s="3" t="s">
        <v>289</v>
      </c>
      <c r="U806" s="3">
        <v>0</v>
      </c>
      <c r="V806" s="3">
        <v>29</v>
      </c>
      <c r="W806" s="3">
        <v>0</v>
      </c>
    </row>
    <row r="807" spans="1:23" ht="11.25" customHeight="1" x14ac:dyDescent="0.25">
      <c r="A807" s="3" t="s">
        <v>21</v>
      </c>
      <c r="B807" s="3" t="s">
        <v>33</v>
      </c>
      <c r="C807" s="3" t="s">
        <v>34</v>
      </c>
      <c r="D807" s="3" t="s">
        <v>40</v>
      </c>
      <c r="E807" s="3" t="s">
        <v>25</v>
      </c>
      <c r="F807" s="3" t="s">
        <v>60</v>
      </c>
      <c r="G807" s="3" t="s">
        <v>25</v>
      </c>
      <c r="H807" s="3" t="s">
        <v>36</v>
      </c>
      <c r="I807" s="6">
        <v>44378</v>
      </c>
      <c r="J807" s="4">
        <v>0</v>
      </c>
      <c r="K807" s="4">
        <v>0</v>
      </c>
      <c r="L807" s="4">
        <v>15846.188</v>
      </c>
      <c r="M807" s="4">
        <v>15846.188</v>
      </c>
      <c r="N807" s="4">
        <v>0</v>
      </c>
      <c r="O807" s="4">
        <v>0</v>
      </c>
      <c r="P807" s="4">
        <v>0</v>
      </c>
      <c r="Q807" s="3" t="s">
        <v>57</v>
      </c>
      <c r="R807" s="3">
        <v>0</v>
      </c>
      <c r="S807" s="3" t="s">
        <v>290</v>
      </c>
      <c r="U807" s="3">
        <v>0</v>
      </c>
      <c r="V807" s="3">
        <v>29</v>
      </c>
      <c r="W807" s="3">
        <v>0</v>
      </c>
    </row>
    <row r="808" spans="1:23" ht="11.25" customHeight="1" x14ac:dyDescent="0.25">
      <c r="A808" s="3" t="s">
        <v>21</v>
      </c>
      <c r="B808" s="3" t="s">
        <v>33</v>
      </c>
      <c r="C808" s="3" t="s">
        <v>34</v>
      </c>
      <c r="D808" s="3" t="s">
        <v>40</v>
      </c>
      <c r="E808" s="3" t="s">
        <v>25</v>
      </c>
      <c r="F808" s="3" t="s">
        <v>60</v>
      </c>
      <c r="G808" s="3" t="s">
        <v>25</v>
      </c>
      <c r="H808" s="3" t="s">
        <v>36</v>
      </c>
      <c r="I808" s="6">
        <v>44409</v>
      </c>
      <c r="J808" s="4">
        <v>0</v>
      </c>
      <c r="K808" s="4">
        <v>0</v>
      </c>
      <c r="L808" s="4">
        <v>16030.883</v>
      </c>
      <c r="M808" s="4">
        <v>16030.883</v>
      </c>
      <c r="N808" s="4">
        <v>0</v>
      </c>
      <c r="O808" s="4">
        <v>0</v>
      </c>
      <c r="P808" s="4">
        <v>0</v>
      </c>
      <c r="Q808" s="3" t="s">
        <v>57</v>
      </c>
      <c r="R808" s="3">
        <v>0</v>
      </c>
      <c r="S808" s="3" t="s">
        <v>291</v>
      </c>
      <c r="U808" s="3">
        <v>0</v>
      </c>
      <c r="V808" s="3">
        <v>29</v>
      </c>
      <c r="W808" s="3">
        <v>0</v>
      </c>
    </row>
    <row r="809" spans="1:23" ht="11.25" customHeight="1" x14ac:dyDescent="0.25">
      <c r="A809" s="3" t="s">
        <v>21</v>
      </c>
      <c r="B809" s="3" t="s">
        <v>33</v>
      </c>
      <c r="C809" s="3" t="s">
        <v>34</v>
      </c>
      <c r="D809" s="3" t="s">
        <v>40</v>
      </c>
      <c r="E809" s="3" t="s">
        <v>25</v>
      </c>
      <c r="F809" s="3" t="s">
        <v>60</v>
      </c>
      <c r="G809" s="3" t="s">
        <v>25</v>
      </c>
      <c r="H809" s="3" t="s">
        <v>36</v>
      </c>
      <c r="I809" s="6">
        <v>44440</v>
      </c>
      <c r="J809" s="4">
        <v>0</v>
      </c>
      <c r="K809" s="4">
        <v>0</v>
      </c>
      <c r="L809" s="4">
        <v>15535.214</v>
      </c>
      <c r="M809" s="4">
        <v>15535.214</v>
      </c>
      <c r="N809" s="4">
        <v>0</v>
      </c>
      <c r="O809" s="4">
        <v>0</v>
      </c>
      <c r="P809" s="4">
        <v>0</v>
      </c>
      <c r="Q809" s="3" t="s">
        <v>57</v>
      </c>
      <c r="R809" s="3">
        <v>0</v>
      </c>
      <c r="S809" s="3" t="s">
        <v>292</v>
      </c>
      <c r="U809" s="3">
        <v>0</v>
      </c>
      <c r="V809" s="3">
        <v>29</v>
      </c>
      <c r="W809" s="3">
        <v>0</v>
      </c>
    </row>
    <row r="810" spans="1:23" ht="11.25" customHeight="1" x14ac:dyDescent="0.25">
      <c r="A810" s="3" t="s">
        <v>21</v>
      </c>
      <c r="B810" s="3" t="s">
        <v>33</v>
      </c>
      <c r="C810" s="3" t="s">
        <v>34</v>
      </c>
      <c r="D810" s="3" t="s">
        <v>40</v>
      </c>
      <c r="E810" s="3" t="s">
        <v>25</v>
      </c>
      <c r="F810" s="3" t="s">
        <v>60</v>
      </c>
      <c r="G810" s="3" t="s">
        <v>25</v>
      </c>
      <c r="H810" s="3" t="s">
        <v>36</v>
      </c>
      <c r="I810" s="6">
        <v>44470</v>
      </c>
      <c r="J810" s="4">
        <v>0</v>
      </c>
      <c r="K810" s="4">
        <v>0</v>
      </c>
      <c r="L810" s="4">
        <v>17306.638999999999</v>
      </c>
      <c r="M810" s="4">
        <v>17306.638999999999</v>
      </c>
      <c r="N810" s="4">
        <v>0</v>
      </c>
      <c r="O810" s="4">
        <v>0</v>
      </c>
      <c r="P810" s="4">
        <v>0</v>
      </c>
      <c r="Q810" s="3" t="s">
        <v>57</v>
      </c>
      <c r="R810" s="3">
        <v>0</v>
      </c>
      <c r="S810" s="3" t="s">
        <v>293</v>
      </c>
      <c r="U810" s="3">
        <v>0</v>
      </c>
      <c r="V810" s="3">
        <v>29</v>
      </c>
      <c r="W810" s="3">
        <v>0</v>
      </c>
    </row>
    <row r="811" spans="1:23" ht="11.25" customHeight="1" x14ac:dyDescent="0.25">
      <c r="A811" s="3" t="s">
        <v>21</v>
      </c>
      <c r="B811" s="3" t="s">
        <v>33</v>
      </c>
      <c r="C811" s="3" t="s">
        <v>34</v>
      </c>
      <c r="D811" s="3" t="s">
        <v>40</v>
      </c>
      <c r="E811" s="3" t="s">
        <v>25</v>
      </c>
      <c r="F811" s="3" t="s">
        <v>60</v>
      </c>
      <c r="G811" s="3" t="s">
        <v>25</v>
      </c>
      <c r="H811" s="3" t="s">
        <v>36</v>
      </c>
      <c r="I811" s="6">
        <v>44501</v>
      </c>
      <c r="J811" s="4">
        <v>0</v>
      </c>
      <c r="K811" s="4">
        <v>0</v>
      </c>
      <c r="L811" s="4">
        <v>18463.737000000001</v>
      </c>
      <c r="M811" s="4">
        <v>18463.737000000001</v>
      </c>
      <c r="N811" s="4">
        <v>0</v>
      </c>
      <c r="O811" s="4">
        <v>0</v>
      </c>
      <c r="P811" s="4">
        <v>0</v>
      </c>
      <c r="Q811" s="3" t="s">
        <v>57</v>
      </c>
      <c r="R811" s="3">
        <v>0</v>
      </c>
      <c r="S811" s="3" t="s">
        <v>294</v>
      </c>
      <c r="U811" s="3">
        <v>0</v>
      </c>
      <c r="V811" s="3">
        <v>29</v>
      </c>
      <c r="W811" s="3">
        <v>0</v>
      </c>
    </row>
    <row r="812" spans="1:23" ht="11.25" customHeight="1" x14ac:dyDescent="0.25">
      <c r="A812" s="3" t="s">
        <v>21</v>
      </c>
      <c r="B812" s="3" t="s">
        <v>33</v>
      </c>
      <c r="C812" s="3" t="s">
        <v>34</v>
      </c>
      <c r="D812" s="3" t="s">
        <v>40</v>
      </c>
      <c r="E812" s="3" t="s">
        <v>25</v>
      </c>
      <c r="F812" s="3" t="s">
        <v>60</v>
      </c>
      <c r="G812" s="3" t="s">
        <v>25</v>
      </c>
      <c r="H812" s="3" t="s">
        <v>36</v>
      </c>
      <c r="I812" s="6">
        <v>44531</v>
      </c>
      <c r="J812" s="4">
        <v>0</v>
      </c>
      <c r="K812" s="4">
        <v>0</v>
      </c>
      <c r="L812" s="4">
        <v>9772.5529999999999</v>
      </c>
      <c r="M812" s="4">
        <v>9772.5529999999999</v>
      </c>
      <c r="N812" s="4">
        <v>0</v>
      </c>
      <c r="O812" s="4">
        <v>0</v>
      </c>
      <c r="P812" s="4">
        <v>0</v>
      </c>
      <c r="Q812" s="3" t="s">
        <v>57</v>
      </c>
      <c r="R812" s="3">
        <v>0</v>
      </c>
      <c r="S812" s="3" t="s">
        <v>295</v>
      </c>
      <c r="U812" s="3">
        <v>0</v>
      </c>
      <c r="V812" s="3">
        <v>29</v>
      </c>
      <c r="W812" s="3">
        <v>0</v>
      </c>
    </row>
    <row r="813" spans="1:23" ht="11.25" customHeight="1" x14ac:dyDescent="0.25">
      <c r="A813" s="3" t="s">
        <v>21</v>
      </c>
      <c r="B813" s="3" t="s">
        <v>33</v>
      </c>
      <c r="C813" s="3" t="s">
        <v>34</v>
      </c>
      <c r="D813" s="3" t="s">
        <v>40</v>
      </c>
      <c r="E813" s="3" t="s">
        <v>25</v>
      </c>
      <c r="F813" s="3" t="s">
        <v>60</v>
      </c>
      <c r="G813" s="3" t="s">
        <v>25</v>
      </c>
      <c r="H813" s="3" t="s">
        <v>36</v>
      </c>
      <c r="I813" s="6">
        <v>44562</v>
      </c>
      <c r="J813" s="4">
        <v>0</v>
      </c>
      <c r="K813" s="4">
        <v>0</v>
      </c>
      <c r="L813" s="4">
        <v>14363.013999999999</v>
      </c>
      <c r="M813" s="4">
        <v>14363.013999999999</v>
      </c>
      <c r="N813" s="4">
        <v>0</v>
      </c>
      <c r="O813" s="4">
        <v>0</v>
      </c>
      <c r="P813" s="4">
        <v>0</v>
      </c>
      <c r="Q813" s="3" t="s">
        <v>57</v>
      </c>
      <c r="R813" s="3">
        <v>0</v>
      </c>
      <c r="S813" s="3" t="s">
        <v>296</v>
      </c>
      <c r="U813" s="3">
        <v>0</v>
      </c>
      <c r="V813" s="3">
        <v>29</v>
      </c>
      <c r="W813" s="3">
        <v>0</v>
      </c>
    </row>
    <row r="814" spans="1:23" ht="11.25" customHeight="1" x14ac:dyDescent="0.25">
      <c r="A814" s="3" t="s">
        <v>21</v>
      </c>
      <c r="B814" s="3" t="s">
        <v>33</v>
      </c>
      <c r="C814" s="3" t="s">
        <v>34</v>
      </c>
      <c r="D814" s="3" t="s">
        <v>40</v>
      </c>
      <c r="E814" s="3" t="s">
        <v>25</v>
      </c>
      <c r="F814" s="3" t="s">
        <v>60</v>
      </c>
      <c r="G814" s="3" t="s">
        <v>25</v>
      </c>
      <c r="H814" s="3" t="s">
        <v>36</v>
      </c>
      <c r="I814" s="6">
        <v>44593</v>
      </c>
      <c r="J814" s="4">
        <v>0</v>
      </c>
      <c r="K814" s="4">
        <v>0</v>
      </c>
      <c r="L814" s="4">
        <v>13550.341</v>
      </c>
      <c r="M814" s="4">
        <v>13550.341</v>
      </c>
      <c r="N814" s="4">
        <v>0</v>
      </c>
      <c r="O814" s="4">
        <v>0</v>
      </c>
      <c r="P814" s="4">
        <v>0</v>
      </c>
      <c r="Q814" s="3" t="s">
        <v>57</v>
      </c>
      <c r="R814" s="3">
        <v>0</v>
      </c>
      <c r="S814" s="3" t="s">
        <v>297</v>
      </c>
      <c r="U814" s="3">
        <v>0</v>
      </c>
      <c r="V814" s="3">
        <v>29</v>
      </c>
      <c r="W814" s="3">
        <v>0</v>
      </c>
    </row>
    <row r="815" spans="1:23" ht="11.25" customHeight="1" x14ac:dyDescent="0.25">
      <c r="A815" s="3" t="s">
        <v>21</v>
      </c>
      <c r="B815" s="3" t="s">
        <v>33</v>
      </c>
      <c r="C815" s="3" t="s">
        <v>34</v>
      </c>
      <c r="D815" s="3" t="s">
        <v>40</v>
      </c>
      <c r="E815" s="3" t="s">
        <v>25</v>
      </c>
      <c r="F815" s="3" t="s">
        <v>60</v>
      </c>
      <c r="G815" s="3" t="s">
        <v>25</v>
      </c>
      <c r="H815" s="3" t="s">
        <v>36</v>
      </c>
      <c r="I815" s="6">
        <v>44621</v>
      </c>
      <c r="J815" s="4">
        <v>0</v>
      </c>
      <c r="K815" s="4">
        <v>0</v>
      </c>
      <c r="L815" s="4">
        <v>14927.39</v>
      </c>
      <c r="M815" s="4">
        <v>14927.39</v>
      </c>
      <c r="N815" s="4">
        <v>0</v>
      </c>
      <c r="O815" s="4">
        <v>0</v>
      </c>
      <c r="P815" s="4">
        <v>0</v>
      </c>
      <c r="Q815" s="3" t="s">
        <v>57</v>
      </c>
      <c r="R815" s="3">
        <v>0</v>
      </c>
      <c r="S815" s="3" t="s">
        <v>298</v>
      </c>
      <c r="U815" s="3">
        <v>0</v>
      </c>
      <c r="V815" s="3">
        <v>29</v>
      </c>
      <c r="W815" s="3">
        <v>0</v>
      </c>
    </row>
    <row r="816" spans="1:23" ht="11.25" customHeight="1" x14ac:dyDescent="0.25">
      <c r="A816" s="3" t="s">
        <v>56</v>
      </c>
      <c r="B816" s="3" t="s">
        <v>33</v>
      </c>
      <c r="C816" s="3" t="s">
        <v>34</v>
      </c>
      <c r="D816" s="3" t="s">
        <v>40</v>
      </c>
      <c r="E816" s="3" t="s">
        <v>25</v>
      </c>
      <c r="F816" s="3" t="s">
        <v>60</v>
      </c>
      <c r="G816" s="3" t="s">
        <v>25</v>
      </c>
      <c r="H816" s="3" t="s">
        <v>36</v>
      </c>
      <c r="I816" s="6">
        <v>44652</v>
      </c>
      <c r="J816" s="4">
        <v>0</v>
      </c>
      <c r="K816" s="4">
        <v>0</v>
      </c>
      <c r="L816" s="4">
        <v>14927.39</v>
      </c>
      <c r="M816" s="4">
        <v>14927.39</v>
      </c>
      <c r="N816" s="4">
        <v>0</v>
      </c>
      <c r="O816" s="4">
        <v>0</v>
      </c>
      <c r="P816" s="4">
        <v>0</v>
      </c>
      <c r="Q816" s="3" t="s">
        <v>57</v>
      </c>
      <c r="R816" s="3">
        <v>0</v>
      </c>
      <c r="S816" s="3" t="s">
        <v>299</v>
      </c>
      <c r="U816" s="3">
        <v>0</v>
      </c>
      <c r="V816" s="3">
        <v>29</v>
      </c>
      <c r="W816" s="3">
        <v>0</v>
      </c>
    </row>
    <row r="817" spans="1:23" ht="11.25" customHeight="1" x14ac:dyDescent="0.25">
      <c r="A817" s="3" t="s">
        <v>21</v>
      </c>
      <c r="B817" s="3" t="s">
        <v>33</v>
      </c>
      <c r="C817" s="3" t="s">
        <v>34</v>
      </c>
      <c r="D817" s="3" t="s">
        <v>40</v>
      </c>
      <c r="E817" s="3" t="s">
        <v>25</v>
      </c>
      <c r="F817" s="3" t="s">
        <v>60</v>
      </c>
      <c r="G817" s="3" t="s">
        <v>25</v>
      </c>
      <c r="H817" s="3" t="s">
        <v>25</v>
      </c>
      <c r="I817" s="6">
        <v>44317</v>
      </c>
      <c r="J817" s="4">
        <v>49067</v>
      </c>
      <c r="K817" s="4">
        <v>20699.682339219999</v>
      </c>
      <c r="L817" s="4">
        <v>0</v>
      </c>
      <c r="M817" s="4">
        <v>0</v>
      </c>
      <c r="N817" s="4">
        <v>0</v>
      </c>
      <c r="O817" s="4">
        <v>0</v>
      </c>
      <c r="P817" s="4">
        <v>67</v>
      </c>
      <c r="Q817" s="3" t="s">
        <v>57</v>
      </c>
      <c r="R817" s="3">
        <v>0</v>
      </c>
      <c r="S817" s="3" t="s">
        <v>300</v>
      </c>
      <c r="U817" s="3">
        <v>7</v>
      </c>
      <c r="V817" s="3">
        <v>0</v>
      </c>
      <c r="W817" s="3">
        <v>0</v>
      </c>
    </row>
    <row r="818" spans="1:23" ht="11.25" customHeight="1" x14ac:dyDescent="0.25">
      <c r="A818" s="3" t="s">
        <v>21</v>
      </c>
      <c r="B818" s="3" t="s">
        <v>33</v>
      </c>
      <c r="C818" s="3" t="s">
        <v>34</v>
      </c>
      <c r="D818" s="3" t="s">
        <v>40</v>
      </c>
      <c r="E818" s="3" t="s">
        <v>25</v>
      </c>
      <c r="F818" s="3" t="s">
        <v>60</v>
      </c>
      <c r="G818" s="3" t="s">
        <v>25</v>
      </c>
      <c r="H818" s="3" t="s">
        <v>25</v>
      </c>
      <c r="I818" s="6">
        <v>44348</v>
      </c>
      <c r="J818" s="4">
        <v>50965</v>
      </c>
      <c r="K818" s="4">
        <v>22850.187309699999</v>
      </c>
      <c r="L818" s="4">
        <v>0</v>
      </c>
      <c r="M818" s="4">
        <v>0</v>
      </c>
      <c r="N818" s="4">
        <v>0</v>
      </c>
      <c r="O818" s="4">
        <v>0</v>
      </c>
      <c r="P818" s="4">
        <v>67</v>
      </c>
      <c r="Q818" s="3" t="s">
        <v>57</v>
      </c>
      <c r="R818" s="3">
        <v>0</v>
      </c>
      <c r="S818" s="3" t="s">
        <v>301</v>
      </c>
      <c r="U818" s="3">
        <v>7</v>
      </c>
      <c r="V818" s="3">
        <v>0</v>
      </c>
      <c r="W818" s="3">
        <v>0</v>
      </c>
    </row>
    <row r="819" spans="1:23" ht="11.25" customHeight="1" x14ac:dyDescent="0.25">
      <c r="A819" s="3" t="s">
        <v>21</v>
      </c>
      <c r="B819" s="3" t="s">
        <v>33</v>
      </c>
      <c r="C819" s="3" t="s">
        <v>34</v>
      </c>
      <c r="D819" s="3" t="s">
        <v>40</v>
      </c>
      <c r="E819" s="3" t="s">
        <v>25</v>
      </c>
      <c r="F819" s="3" t="s">
        <v>60</v>
      </c>
      <c r="G819" s="3" t="s">
        <v>25</v>
      </c>
      <c r="H819" s="3" t="s">
        <v>25</v>
      </c>
      <c r="I819" s="6">
        <v>44378</v>
      </c>
      <c r="J819" s="4">
        <v>49044</v>
      </c>
      <c r="K819" s="4">
        <v>21385.2585612</v>
      </c>
      <c r="L819" s="4">
        <v>0</v>
      </c>
      <c r="M819" s="4">
        <v>0</v>
      </c>
      <c r="N819" s="4">
        <v>0</v>
      </c>
      <c r="O819" s="4">
        <v>0</v>
      </c>
      <c r="P819" s="4">
        <v>67</v>
      </c>
      <c r="Q819" s="3" t="s">
        <v>57</v>
      </c>
      <c r="R819" s="3">
        <v>0</v>
      </c>
      <c r="S819" s="3" t="s">
        <v>302</v>
      </c>
      <c r="U819" s="3">
        <v>7</v>
      </c>
      <c r="V819" s="3">
        <v>0</v>
      </c>
      <c r="W819" s="3">
        <v>0</v>
      </c>
    </row>
    <row r="820" spans="1:23" ht="11.25" customHeight="1" x14ac:dyDescent="0.25">
      <c r="A820" s="3" t="s">
        <v>21</v>
      </c>
      <c r="B820" s="3" t="s">
        <v>33</v>
      </c>
      <c r="C820" s="3" t="s">
        <v>34</v>
      </c>
      <c r="D820" s="3" t="s">
        <v>40</v>
      </c>
      <c r="E820" s="3" t="s">
        <v>25</v>
      </c>
      <c r="F820" s="3" t="s">
        <v>60</v>
      </c>
      <c r="G820" s="3" t="s">
        <v>25</v>
      </c>
      <c r="H820" s="3" t="s">
        <v>25</v>
      </c>
      <c r="I820" s="6">
        <v>44409</v>
      </c>
      <c r="J820" s="4">
        <v>48218</v>
      </c>
      <c r="K820" s="4">
        <v>22244.500107659998</v>
      </c>
      <c r="L820" s="4">
        <v>0</v>
      </c>
      <c r="M820" s="4">
        <v>0</v>
      </c>
      <c r="N820" s="4">
        <v>0</v>
      </c>
      <c r="O820" s="4">
        <v>0</v>
      </c>
      <c r="P820" s="4">
        <v>69</v>
      </c>
      <c r="Q820" s="3" t="s">
        <v>57</v>
      </c>
      <c r="R820" s="3">
        <v>0</v>
      </c>
      <c r="S820" s="3" t="s">
        <v>303</v>
      </c>
      <c r="U820" s="3">
        <v>7</v>
      </c>
      <c r="V820" s="3">
        <v>0</v>
      </c>
      <c r="W820" s="3">
        <v>0</v>
      </c>
    </row>
    <row r="821" spans="1:23" ht="11.25" customHeight="1" x14ac:dyDescent="0.25">
      <c r="A821" s="3" t="s">
        <v>21</v>
      </c>
      <c r="B821" s="3" t="s">
        <v>33</v>
      </c>
      <c r="C821" s="3" t="s">
        <v>34</v>
      </c>
      <c r="D821" s="3" t="s">
        <v>40</v>
      </c>
      <c r="E821" s="3" t="s">
        <v>25</v>
      </c>
      <c r="F821" s="3" t="s">
        <v>60</v>
      </c>
      <c r="G821" s="3" t="s">
        <v>25</v>
      </c>
      <c r="H821" s="3" t="s">
        <v>25</v>
      </c>
      <c r="I821" s="6">
        <v>44440</v>
      </c>
      <c r="J821" s="4">
        <v>47981</v>
      </c>
      <c r="K821" s="4">
        <v>22125.615755660001</v>
      </c>
      <c r="L821" s="4">
        <v>0</v>
      </c>
      <c r="M821" s="4">
        <v>0</v>
      </c>
      <c r="N821" s="4">
        <v>0</v>
      </c>
      <c r="O821" s="4">
        <v>0</v>
      </c>
      <c r="P821" s="4">
        <v>71</v>
      </c>
      <c r="Q821" s="3" t="s">
        <v>57</v>
      </c>
      <c r="R821" s="3">
        <v>0</v>
      </c>
      <c r="S821" s="3" t="s">
        <v>304</v>
      </c>
      <c r="U821" s="3">
        <v>7</v>
      </c>
      <c r="V821" s="3">
        <v>0</v>
      </c>
      <c r="W821" s="3">
        <v>0</v>
      </c>
    </row>
    <row r="822" spans="1:23" ht="11.25" customHeight="1" x14ac:dyDescent="0.25">
      <c r="A822" s="3" t="s">
        <v>21</v>
      </c>
      <c r="B822" s="3" t="s">
        <v>33</v>
      </c>
      <c r="C822" s="3" t="s">
        <v>34</v>
      </c>
      <c r="D822" s="3" t="s">
        <v>40</v>
      </c>
      <c r="E822" s="3" t="s">
        <v>25</v>
      </c>
      <c r="F822" s="3" t="s">
        <v>60</v>
      </c>
      <c r="G822" s="3" t="s">
        <v>25</v>
      </c>
      <c r="H822" s="3" t="s">
        <v>25</v>
      </c>
      <c r="I822" s="6">
        <v>44470</v>
      </c>
      <c r="J822" s="4">
        <v>51474</v>
      </c>
      <c r="K822" s="4">
        <v>23885.087473380001</v>
      </c>
      <c r="L822" s="4">
        <v>0</v>
      </c>
      <c r="M822" s="4">
        <v>0</v>
      </c>
      <c r="N822" s="4">
        <v>0</v>
      </c>
      <c r="O822" s="4">
        <v>0</v>
      </c>
      <c r="P822" s="4">
        <v>72</v>
      </c>
      <c r="Q822" s="3" t="s">
        <v>57</v>
      </c>
      <c r="R822" s="3">
        <v>0</v>
      </c>
      <c r="S822" s="3" t="s">
        <v>305</v>
      </c>
      <c r="U822" s="3">
        <v>7</v>
      </c>
      <c r="V822" s="3">
        <v>0</v>
      </c>
      <c r="W822" s="3">
        <v>0</v>
      </c>
    </row>
    <row r="823" spans="1:23" ht="11.25" customHeight="1" x14ac:dyDescent="0.25">
      <c r="A823" s="3" t="s">
        <v>21</v>
      </c>
      <c r="B823" s="3" t="s">
        <v>33</v>
      </c>
      <c r="C823" s="3" t="s">
        <v>34</v>
      </c>
      <c r="D823" s="3" t="s">
        <v>40</v>
      </c>
      <c r="E823" s="3" t="s">
        <v>25</v>
      </c>
      <c r="F823" s="3" t="s">
        <v>60</v>
      </c>
      <c r="G823" s="3" t="s">
        <v>25</v>
      </c>
      <c r="H823" s="3" t="s">
        <v>25</v>
      </c>
      <c r="I823" s="6">
        <v>44501</v>
      </c>
      <c r="J823" s="4">
        <v>52635</v>
      </c>
      <c r="K823" s="4">
        <v>24452.999867999999</v>
      </c>
      <c r="L823" s="4">
        <v>0</v>
      </c>
      <c r="M823" s="4">
        <v>0</v>
      </c>
      <c r="N823" s="4">
        <v>0</v>
      </c>
      <c r="O823" s="4">
        <v>0</v>
      </c>
      <c r="P823" s="4">
        <v>77</v>
      </c>
      <c r="Q823" s="3" t="s">
        <v>57</v>
      </c>
      <c r="R823" s="3">
        <v>0</v>
      </c>
      <c r="S823" s="3" t="s">
        <v>306</v>
      </c>
      <c r="U823" s="3">
        <v>7</v>
      </c>
      <c r="V823" s="3">
        <v>0</v>
      </c>
      <c r="W823" s="3">
        <v>0</v>
      </c>
    </row>
    <row r="824" spans="1:23" ht="11.25" customHeight="1" x14ac:dyDescent="0.25">
      <c r="A824" s="3" t="s">
        <v>21</v>
      </c>
      <c r="B824" s="3" t="s">
        <v>33</v>
      </c>
      <c r="C824" s="3" t="s">
        <v>34</v>
      </c>
      <c r="D824" s="3" t="s">
        <v>40</v>
      </c>
      <c r="E824" s="3" t="s">
        <v>25</v>
      </c>
      <c r="F824" s="3" t="s">
        <v>60</v>
      </c>
      <c r="G824" s="3" t="s">
        <v>25</v>
      </c>
      <c r="H824" s="3" t="s">
        <v>25</v>
      </c>
      <c r="I824" s="6">
        <v>44531</v>
      </c>
      <c r="J824" s="4">
        <v>40712</v>
      </c>
      <c r="K824" s="4">
        <v>18287.499818560002</v>
      </c>
      <c r="L824" s="4">
        <v>0</v>
      </c>
      <c r="M824" s="4">
        <v>0</v>
      </c>
      <c r="N824" s="4">
        <v>0</v>
      </c>
      <c r="O824" s="4">
        <v>0</v>
      </c>
      <c r="P824" s="4">
        <v>82</v>
      </c>
      <c r="Q824" s="3" t="s">
        <v>57</v>
      </c>
      <c r="R824" s="3">
        <v>0</v>
      </c>
      <c r="S824" s="3" t="s">
        <v>307</v>
      </c>
      <c r="U824" s="3">
        <v>7</v>
      </c>
      <c r="V824" s="3">
        <v>0</v>
      </c>
      <c r="W824" s="3">
        <v>0</v>
      </c>
    </row>
    <row r="825" spans="1:23" ht="11.25" customHeight="1" x14ac:dyDescent="0.25">
      <c r="A825" s="3" t="s">
        <v>21</v>
      </c>
      <c r="B825" s="3" t="s">
        <v>33</v>
      </c>
      <c r="C825" s="3" t="s">
        <v>34</v>
      </c>
      <c r="D825" s="3" t="s">
        <v>40</v>
      </c>
      <c r="E825" s="3" t="s">
        <v>25</v>
      </c>
      <c r="F825" s="3" t="s">
        <v>60</v>
      </c>
      <c r="G825" s="3" t="s">
        <v>25</v>
      </c>
      <c r="H825" s="3" t="s">
        <v>25</v>
      </c>
      <c r="I825" s="6">
        <v>44562</v>
      </c>
      <c r="J825" s="4">
        <v>47400</v>
      </c>
      <c r="K825" s="4">
        <v>21628.500078000001</v>
      </c>
      <c r="L825" s="4">
        <v>0</v>
      </c>
      <c r="M825" s="4">
        <v>0</v>
      </c>
      <c r="N825" s="4">
        <v>0</v>
      </c>
      <c r="O825" s="4">
        <v>0</v>
      </c>
      <c r="P825" s="4">
        <v>80</v>
      </c>
      <c r="Q825" s="3" t="s">
        <v>57</v>
      </c>
      <c r="R825" s="3">
        <v>0</v>
      </c>
      <c r="S825" s="3" t="s">
        <v>308</v>
      </c>
      <c r="U825" s="3">
        <v>7</v>
      </c>
      <c r="V825" s="3">
        <v>0</v>
      </c>
      <c r="W825" s="3">
        <v>0</v>
      </c>
    </row>
    <row r="826" spans="1:23" ht="11.25" customHeight="1" x14ac:dyDescent="0.25">
      <c r="A826" s="3" t="s">
        <v>21</v>
      </c>
      <c r="B826" s="3" t="s">
        <v>33</v>
      </c>
      <c r="C826" s="3" t="s">
        <v>34</v>
      </c>
      <c r="D826" s="3" t="s">
        <v>40</v>
      </c>
      <c r="E826" s="3" t="s">
        <v>25</v>
      </c>
      <c r="F826" s="3" t="s">
        <v>60</v>
      </c>
      <c r="G826" s="3" t="s">
        <v>25</v>
      </c>
      <c r="H826" s="3" t="s">
        <v>25</v>
      </c>
      <c r="I826" s="6">
        <v>44593</v>
      </c>
      <c r="J826" s="4">
        <v>47541</v>
      </c>
      <c r="K826" s="4">
        <v>21905.743734029998</v>
      </c>
      <c r="L826" s="4">
        <v>0</v>
      </c>
      <c r="M826" s="4">
        <v>0</v>
      </c>
      <c r="N826" s="4">
        <v>0</v>
      </c>
      <c r="O826" s="4">
        <v>0</v>
      </c>
      <c r="P826" s="4">
        <v>79</v>
      </c>
      <c r="Q826" s="3" t="s">
        <v>57</v>
      </c>
      <c r="R826" s="3">
        <v>0</v>
      </c>
      <c r="S826" s="3" t="s">
        <v>309</v>
      </c>
      <c r="U826" s="3">
        <v>7</v>
      </c>
      <c r="V826" s="3">
        <v>0</v>
      </c>
      <c r="W826" s="3">
        <v>0</v>
      </c>
    </row>
    <row r="827" spans="1:23" ht="11.25" customHeight="1" x14ac:dyDescent="0.25">
      <c r="A827" s="3" t="s">
        <v>21</v>
      </c>
      <c r="B827" s="3" t="s">
        <v>33</v>
      </c>
      <c r="C827" s="3" t="s">
        <v>34</v>
      </c>
      <c r="D827" s="3" t="s">
        <v>40</v>
      </c>
      <c r="E827" s="3" t="s">
        <v>25</v>
      </c>
      <c r="F827" s="3" t="s">
        <v>60</v>
      </c>
      <c r="G827" s="3" t="s">
        <v>25</v>
      </c>
      <c r="H827" s="3" t="s">
        <v>25</v>
      </c>
      <c r="I827" s="6">
        <v>44621</v>
      </c>
      <c r="J827" s="4">
        <v>48504</v>
      </c>
      <c r="K827" s="4">
        <v>22445.500047599999</v>
      </c>
      <c r="L827" s="4">
        <v>0</v>
      </c>
      <c r="M827" s="4">
        <v>0</v>
      </c>
      <c r="N827" s="4">
        <v>0</v>
      </c>
      <c r="O827" s="4">
        <v>0</v>
      </c>
      <c r="P827" s="4">
        <v>82</v>
      </c>
      <c r="Q827" s="3" t="s">
        <v>57</v>
      </c>
      <c r="R827" s="3">
        <v>0</v>
      </c>
      <c r="S827" s="3" t="s">
        <v>310</v>
      </c>
      <c r="U827" s="3">
        <v>7</v>
      </c>
      <c r="V827" s="3">
        <v>0</v>
      </c>
      <c r="W827" s="3">
        <v>0</v>
      </c>
    </row>
    <row r="828" spans="1:23" ht="11.25" customHeight="1" x14ac:dyDescent="0.25">
      <c r="A828" s="3" t="s">
        <v>56</v>
      </c>
      <c r="B828" s="3" t="s">
        <v>33</v>
      </c>
      <c r="C828" s="3" t="s">
        <v>34</v>
      </c>
      <c r="D828" s="3" t="s">
        <v>40</v>
      </c>
      <c r="E828" s="3" t="s">
        <v>25</v>
      </c>
      <c r="F828" s="3" t="s">
        <v>60</v>
      </c>
      <c r="G828" s="3" t="s">
        <v>25</v>
      </c>
      <c r="H828" s="3" t="s">
        <v>25</v>
      </c>
      <c r="I828" s="6">
        <v>44652</v>
      </c>
      <c r="J828" s="4">
        <v>48504</v>
      </c>
      <c r="K828" s="4">
        <v>22445.500047599999</v>
      </c>
      <c r="L828" s="4">
        <v>0</v>
      </c>
      <c r="M828" s="4">
        <v>0</v>
      </c>
      <c r="N828" s="4">
        <v>0</v>
      </c>
      <c r="O828" s="4">
        <v>0</v>
      </c>
      <c r="P828" s="4">
        <v>82</v>
      </c>
      <c r="Q828" s="3" t="s">
        <v>57</v>
      </c>
      <c r="R828" s="3">
        <v>0</v>
      </c>
      <c r="S828" s="3" t="s">
        <v>311</v>
      </c>
      <c r="U828" s="3">
        <v>7</v>
      </c>
      <c r="V828" s="3">
        <v>0</v>
      </c>
      <c r="W828" s="3">
        <v>0</v>
      </c>
    </row>
    <row r="829" spans="1:23" ht="11.25" customHeight="1" x14ac:dyDescent="0.25">
      <c r="A829" s="3" t="s">
        <v>21</v>
      </c>
      <c r="B829" s="3" t="s">
        <v>33</v>
      </c>
      <c r="C829" s="3" t="s">
        <v>34</v>
      </c>
      <c r="D829" s="3" t="s">
        <v>40</v>
      </c>
      <c r="E829" s="3" t="s">
        <v>25</v>
      </c>
      <c r="F829" s="3" t="s">
        <v>60</v>
      </c>
      <c r="G829" s="3" t="s">
        <v>25</v>
      </c>
      <c r="H829" s="3" t="s">
        <v>35</v>
      </c>
      <c r="I829" s="6">
        <v>44317</v>
      </c>
      <c r="J829" s="4">
        <v>0</v>
      </c>
      <c r="K829" s="4">
        <v>0</v>
      </c>
      <c r="L829" s="4">
        <v>1570.7380000000001</v>
      </c>
      <c r="M829" s="4">
        <v>749.07661158122005</v>
      </c>
      <c r="N829" s="4">
        <v>0</v>
      </c>
      <c r="O829" s="4">
        <v>0</v>
      </c>
      <c r="P829" s="4">
        <v>0</v>
      </c>
      <c r="Q829" s="3" t="s">
        <v>57</v>
      </c>
      <c r="R829" s="3">
        <v>0</v>
      </c>
      <c r="S829" s="3" t="s">
        <v>312</v>
      </c>
      <c r="U829" s="3">
        <v>0</v>
      </c>
      <c r="V829" s="3">
        <v>8</v>
      </c>
      <c r="W829" s="3">
        <v>0</v>
      </c>
    </row>
    <row r="830" spans="1:23" ht="11.25" customHeight="1" x14ac:dyDescent="0.25">
      <c r="A830" s="3" t="s">
        <v>21</v>
      </c>
      <c r="B830" s="3" t="s">
        <v>33</v>
      </c>
      <c r="C830" s="3" t="s">
        <v>34</v>
      </c>
      <c r="D830" s="3" t="s">
        <v>40</v>
      </c>
      <c r="E830" s="3" t="s">
        <v>25</v>
      </c>
      <c r="F830" s="3" t="s">
        <v>60</v>
      </c>
      <c r="G830" s="3" t="s">
        <v>25</v>
      </c>
      <c r="H830" s="3" t="s">
        <v>35</v>
      </c>
      <c r="I830" s="6">
        <v>44348</v>
      </c>
      <c r="J830" s="4">
        <v>0</v>
      </c>
      <c r="K830" s="4">
        <v>0</v>
      </c>
      <c r="L830" s="4">
        <v>1541.66</v>
      </c>
      <c r="M830" s="4">
        <v>765.59737471100004</v>
      </c>
      <c r="N830" s="4">
        <v>0</v>
      </c>
      <c r="O830" s="4">
        <v>0</v>
      </c>
      <c r="P830" s="4">
        <v>0</v>
      </c>
      <c r="Q830" s="3" t="s">
        <v>57</v>
      </c>
      <c r="R830" s="3">
        <v>0</v>
      </c>
      <c r="S830" s="3" t="s">
        <v>313</v>
      </c>
      <c r="U830" s="3">
        <v>0</v>
      </c>
      <c r="V830" s="3">
        <v>8</v>
      </c>
      <c r="W830" s="3">
        <v>0</v>
      </c>
    </row>
    <row r="831" spans="1:23" ht="11.25" customHeight="1" x14ac:dyDescent="0.25">
      <c r="A831" s="3" t="s">
        <v>21</v>
      </c>
      <c r="B831" s="3" t="s">
        <v>33</v>
      </c>
      <c r="C831" s="3" t="s">
        <v>34</v>
      </c>
      <c r="D831" s="3" t="s">
        <v>40</v>
      </c>
      <c r="E831" s="3" t="s">
        <v>25</v>
      </c>
      <c r="F831" s="3" t="s">
        <v>60</v>
      </c>
      <c r="G831" s="3" t="s">
        <v>25</v>
      </c>
      <c r="H831" s="3" t="s">
        <v>35</v>
      </c>
      <c r="I831" s="6">
        <v>44378</v>
      </c>
      <c r="J831" s="4">
        <v>0</v>
      </c>
      <c r="K831" s="4">
        <v>0</v>
      </c>
      <c r="L831" s="4">
        <v>1634.53</v>
      </c>
      <c r="M831" s="4">
        <v>806.4250585648</v>
      </c>
      <c r="N831" s="4">
        <v>0</v>
      </c>
      <c r="O831" s="4">
        <v>0</v>
      </c>
      <c r="P831" s="4">
        <v>0</v>
      </c>
      <c r="Q831" s="3" t="s">
        <v>57</v>
      </c>
      <c r="R831" s="3">
        <v>0</v>
      </c>
      <c r="S831" s="3" t="s">
        <v>314</v>
      </c>
      <c r="U831" s="3">
        <v>0</v>
      </c>
      <c r="V831" s="3">
        <v>8</v>
      </c>
      <c r="W831" s="3">
        <v>0</v>
      </c>
    </row>
    <row r="832" spans="1:23" ht="11.25" customHeight="1" x14ac:dyDescent="0.25">
      <c r="A832" s="3" t="s">
        <v>21</v>
      </c>
      <c r="B832" s="3" t="s">
        <v>33</v>
      </c>
      <c r="C832" s="3" t="s">
        <v>34</v>
      </c>
      <c r="D832" s="3" t="s">
        <v>40</v>
      </c>
      <c r="E832" s="3" t="s">
        <v>25</v>
      </c>
      <c r="F832" s="3" t="s">
        <v>60</v>
      </c>
      <c r="G832" s="3" t="s">
        <v>25</v>
      </c>
      <c r="H832" s="3" t="s">
        <v>35</v>
      </c>
      <c r="I832" s="6">
        <v>44409</v>
      </c>
      <c r="J832" s="4">
        <v>0</v>
      </c>
      <c r="K832" s="4">
        <v>0</v>
      </c>
      <c r="L832" s="4">
        <v>1651.5540000000001</v>
      </c>
      <c r="M832" s="4">
        <v>837.55897153397996</v>
      </c>
      <c r="N832" s="4">
        <v>0</v>
      </c>
      <c r="O832" s="4">
        <v>0</v>
      </c>
      <c r="P832" s="4">
        <v>0</v>
      </c>
      <c r="Q832" s="3" t="s">
        <v>57</v>
      </c>
      <c r="R832" s="3">
        <v>0</v>
      </c>
      <c r="S832" s="3" t="s">
        <v>315</v>
      </c>
      <c r="U832" s="3">
        <v>0</v>
      </c>
      <c r="V832" s="3">
        <v>8</v>
      </c>
      <c r="W832" s="3">
        <v>0</v>
      </c>
    </row>
    <row r="833" spans="1:23" ht="11.25" customHeight="1" x14ac:dyDescent="0.25">
      <c r="A833" s="3" t="s">
        <v>21</v>
      </c>
      <c r="B833" s="3" t="s">
        <v>33</v>
      </c>
      <c r="C833" s="3" t="s">
        <v>34</v>
      </c>
      <c r="D833" s="3" t="s">
        <v>40</v>
      </c>
      <c r="E833" s="3" t="s">
        <v>25</v>
      </c>
      <c r="F833" s="3" t="s">
        <v>60</v>
      </c>
      <c r="G833" s="3" t="s">
        <v>25</v>
      </c>
      <c r="H833" s="3" t="s">
        <v>35</v>
      </c>
      <c r="I833" s="6">
        <v>44440</v>
      </c>
      <c r="J833" s="4">
        <v>0</v>
      </c>
      <c r="K833" s="4">
        <v>0</v>
      </c>
      <c r="L833" s="4">
        <v>1595.287</v>
      </c>
      <c r="M833" s="4">
        <v>821.04486072021996</v>
      </c>
      <c r="N833" s="4">
        <v>0</v>
      </c>
      <c r="O833" s="4">
        <v>0</v>
      </c>
      <c r="P833" s="4">
        <v>0</v>
      </c>
      <c r="Q833" s="3" t="s">
        <v>57</v>
      </c>
      <c r="R833" s="3">
        <v>0</v>
      </c>
      <c r="S833" s="3" t="s">
        <v>316</v>
      </c>
      <c r="U833" s="3">
        <v>0</v>
      </c>
      <c r="V833" s="3">
        <v>8</v>
      </c>
      <c r="W833" s="3">
        <v>0</v>
      </c>
    </row>
    <row r="834" spans="1:23" ht="11.25" customHeight="1" x14ac:dyDescent="0.25">
      <c r="A834" s="3" t="s">
        <v>21</v>
      </c>
      <c r="B834" s="3" t="s">
        <v>33</v>
      </c>
      <c r="C834" s="3" t="s">
        <v>34</v>
      </c>
      <c r="D834" s="3" t="s">
        <v>40</v>
      </c>
      <c r="E834" s="3" t="s">
        <v>25</v>
      </c>
      <c r="F834" s="3" t="s">
        <v>60</v>
      </c>
      <c r="G834" s="3" t="s">
        <v>25</v>
      </c>
      <c r="H834" s="3" t="s">
        <v>35</v>
      </c>
      <c r="I834" s="6">
        <v>44470</v>
      </c>
      <c r="J834" s="4">
        <v>0</v>
      </c>
      <c r="K834" s="4">
        <v>0</v>
      </c>
      <c r="L834" s="4">
        <v>1586.192</v>
      </c>
      <c r="M834" s="4">
        <v>799.17606427904002</v>
      </c>
      <c r="N834" s="4">
        <v>0</v>
      </c>
      <c r="O834" s="4">
        <v>0</v>
      </c>
      <c r="P834" s="4">
        <v>0</v>
      </c>
      <c r="Q834" s="3" t="s">
        <v>57</v>
      </c>
      <c r="R834" s="3">
        <v>0</v>
      </c>
      <c r="S834" s="3" t="s">
        <v>317</v>
      </c>
      <c r="U834" s="3">
        <v>0</v>
      </c>
      <c r="V834" s="3">
        <v>8</v>
      </c>
      <c r="W834" s="3">
        <v>0</v>
      </c>
    </row>
    <row r="835" spans="1:23" ht="11.25" customHeight="1" x14ac:dyDescent="0.25">
      <c r="A835" s="3" t="s">
        <v>21</v>
      </c>
      <c r="B835" s="3" t="s">
        <v>33</v>
      </c>
      <c r="C835" s="3" t="s">
        <v>34</v>
      </c>
      <c r="D835" s="3" t="s">
        <v>40</v>
      </c>
      <c r="E835" s="3" t="s">
        <v>25</v>
      </c>
      <c r="F835" s="3" t="s">
        <v>60</v>
      </c>
      <c r="G835" s="3" t="s">
        <v>25</v>
      </c>
      <c r="H835" s="3" t="s">
        <v>35</v>
      </c>
      <c r="I835" s="6">
        <v>44501</v>
      </c>
      <c r="J835" s="4">
        <v>0</v>
      </c>
      <c r="K835" s="4">
        <v>0</v>
      </c>
      <c r="L835" s="4">
        <v>1812.165</v>
      </c>
      <c r="M835" s="4">
        <v>924.22674769754997</v>
      </c>
      <c r="N835" s="4">
        <v>0</v>
      </c>
      <c r="O835" s="4">
        <v>0</v>
      </c>
      <c r="P835" s="4">
        <v>0</v>
      </c>
      <c r="Q835" s="3" t="s">
        <v>57</v>
      </c>
      <c r="R835" s="3">
        <v>0</v>
      </c>
      <c r="S835" s="3" t="s">
        <v>318</v>
      </c>
      <c r="U835" s="3">
        <v>0</v>
      </c>
      <c r="V835" s="3">
        <v>8</v>
      </c>
      <c r="W835" s="3">
        <v>0</v>
      </c>
    </row>
    <row r="836" spans="1:23" ht="11.25" customHeight="1" x14ac:dyDescent="0.25">
      <c r="A836" s="3" t="s">
        <v>21</v>
      </c>
      <c r="B836" s="3" t="s">
        <v>33</v>
      </c>
      <c r="C836" s="3" t="s">
        <v>34</v>
      </c>
      <c r="D836" s="3" t="s">
        <v>40</v>
      </c>
      <c r="E836" s="3" t="s">
        <v>25</v>
      </c>
      <c r="F836" s="3" t="s">
        <v>60</v>
      </c>
      <c r="G836" s="3" t="s">
        <v>25</v>
      </c>
      <c r="H836" s="3" t="s">
        <v>35</v>
      </c>
      <c r="I836" s="6">
        <v>44531</v>
      </c>
      <c r="J836" s="4">
        <v>0</v>
      </c>
      <c r="K836" s="4">
        <v>0</v>
      </c>
      <c r="L836" s="4">
        <v>1045.5999999999999</v>
      </c>
      <c r="M836" s="4">
        <v>508.25532758399999</v>
      </c>
      <c r="N836" s="4">
        <v>0</v>
      </c>
      <c r="O836" s="4">
        <v>0</v>
      </c>
      <c r="P836" s="4">
        <v>0</v>
      </c>
      <c r="Q836" s="3" t="s">
        <v>57</v>
      </c>
      <c r="R836" s="3">
        <v>0</v>
      </c>
      <c r="S836" s="3" t="s">
        <v>319</v>
      </c>
      <c r="U836" s="3">
        <v>0</v>
      </c>
      <c r="V836" s="3">
        <v>8</v>
      </c>
      <c r="W836" s="3">
        <v>0</v>
      </c>
    </row>
    <row r="837" spans="1:23" ht="11.25" customHeight="1" x14ac:dyDescent="0.25">
      <c r="A837" s="3" t="s">
        <v>21</v>
      </c>
      <c r="B837" s="3" t="s">
        <v>33</v>
      </c>
      <c r="C837" s="3" t="s">
        <v>34</v>
      </c>
      <c r="D837" s="3" t="s">
        <v>40</v>
      </c>
      <c r="E837" s="3" t="s">
        <v>25</v>
      </c>
      <c r="F837" s="3" t="s">
        <v>60</v>
      </c>
      <c r="G837" s="3" t="s">
        <v>25</v>
      </c>
      <c r="H837" s="3" t="s">
        <v>35</v>
      </c>
      <c r="I837" s="6">
        <v>44562</v>
      </c>
      <c r="J837" s="4">
        <v>0</v>
      </c>
      <c r="K837" s="4">
        <v>0</v>
      </c>
      <c r="L837" s="4">
        <v>1398.251</v>
      </c>
      <c r="M837" s="4">
        <v>707.36800787236996</v>
      </c>
      <c r="N837" s="4">
        <v>0</v>
      </c>
      <c r="O837" s="4">
        <v>0</v>
      </c>
      <c r="P837" s="4">
        <v>0</v>
      </c>
      <c r="Q837" s="3" t="s">
        <v>57</v>
      </c>
      <c r="R837" s="3">
        <v>0</v>
      </c>
      <c r="S837" s="3" t="s">
        <v>320</v>
      </c>
      <c r="U837" s="3">
        <v>0</v>
      </c>
      <c r="V837" s="3">
        <v>8</v>
      </c>
      <c r="W837" s="3">
        <v>0</v>
      </c>
    </row>
    <row r="838" spans="1:23" ht="11.25" customHeight="1" x14ac:dyDescent="0.25">
      <c r="A838" s="3" t="s">
        <v>21</v>
      </c>
      <c r="B838" s="3" t="s">
        <v>33</v>
      </c>
      <c r="C838" s="3" t="s">
        <v>34</v>
      </c>
      <c r="D838" s="3" t="s">
        <v>40</v>
      </c>
      <c r="E838" s="3" t="s">
        <v>25</v>
      </c>
      <c r="F838" s="3" t="s">
        <v>60</v>
      </c>
      <c r="G838" s="3" t="s">
        <v>25</v>
      </c>
      <c r="H838" s="3" t="s">
        <v>35</v>
      </c>
      <c r="I838" s="6">
        <v>44593</v>
      </c>
      <c r="J838" s="4">
        <v>0</v>
      </c>
      <c r="K838" s="4">
        <v>0</v>
      </c>
      <c r="L838" s="4">
        <v>1336.328</v>
      </c>
      <c r="M838" s="4">
        <v>671.57099496256001</v>
      </c>
      <c r="N838" s="4">
        <v>0</v>
      </c>
      <c r="O838" s="4">
        <v>0</v>
      </c>
      <c r="P838" s="4">
        <v>0</v>
      </c>
      <c r="Q838" s="3" t="s">
        <v>57</v>
      </c>
      <c r="R838" s="3">
        <v>0</v>
      </c>
      <c r="S838" s="3" t="s">
        <v>321</v>
      </c>
      <c r="U838" s="3">
        <v>0</v>
      </c>
      <c r="V838" s="3">
        <v>8</v>
      </c>
      <c r="W838" s="3">
        <v>0</v>
      </c>
    </row>
    <row r="839" spans="1:23" ht="11.25" customHeight="1" x14ac:dyDescent="0.25">
      <c r="A839" s="3" t="s">
        <v>21</v>
      </c>
      <c r="B839" s="3" t="s">
        <v>33</v>
      </c>
      <c r="C839" s="3" t="s">
        <v>34</v>
      </c>
      <c r="D839" s="3" t="s">
        <v>40</v>
      </c>
      <c r="E839" s="3" t="s">
        <v>25</v>
      </c>
      <c r="F839" s="3" t="s">
        <v>60</v>
      </c>
      <c r="G839" s="3" t="s">
        <v>25</v>
      </c>
      <c r="H839" s="3" t="s">
        <v>35</v>
      </c>
      <c r="I839" s="6">
        <v>44621</v>
      </c>
      <c r="J839" s="4">
        <v>0</v>
      </c>
      <c r="K839" s="4">
        <v>0</v>
      </c>
      <c r="L839" s="4">
        <v>1489.481</v>
      </c>
      <c r="M839" s="4">
        <v>746.58496900673003</v>
      </c>
      <c r="N839" s="4">
        <v>0</v>
      </c>
      <c r="O839" s="4">
        <v>0</v>
      </c>
      <c r="P839" s="4">
        <v>0</v>
      </c>
      <c r="Q839" s="3" t="s">
        <v>57</v>
      </c>
      <c r="R839" s="3">
        <v>0</v>
      </c>
      <c r="S839" s="3" t="s">
        <v>322</v>
      </c>
      <c r="U839" s="3">
        <v>0</v>
      </c>
      <c r="V839" s="3">
        <v>8</v>
      </c>
      <c r="W839" s="3">
        <v>0</v>
      </c>
    </row>
    <row r="840" spans="1:23" ht="11.25" customHeight="1" x14ac:dyDescent="0.25">
      <c r="A840" s="3" t="s">
        <v>56</v>
      </c>
      <c r="B840" s="3" t="s">
        <v>33</v>
      </c>
      <c r="C840" s="3" t="s">
        <v>34</v>
      </c>
      <c r="D840" s="3" t="s">
        <v>40</v>
      </c>
      <c r="E840" s="3" t="s">
        <v>25</v>
      </c>
      <c r="F840" s="3" t="s">
        <v>60</v>
      </c>
      <c r="G840" s="3" t="s">
        <v>25</v>
      </c>
      <c r="H840" s="3" t="s">
        <v>35</v>
      </c>
      <c r="I840" s="6">
        <v>44652</v>
      </c>
      <c r="J840" s="4">
        <v>0</v>
      </c>
      <c r="K840" s="4">
        <v>0</v>
      </c>
      <c r="L840" s="4">
        <v>1489.481</v>
      </c>
      <c r="M840" s="4">
        <v>746.58496900673003</v>
      </c>
      <c r="N840" s="4">
        <v>0</v>
      </c>
      <c r="O840" s="4">
        <v>0</v>
      </c>
      <c r="P840" s="4">
        <v>0</v>
      </c>
      <c r="Q840" s="3" t="s">
        <v>57</v>
      </c>
      <c r="R840" s="3">
        <v>0</v>
      </c>
      <c r="S840" s="3" t="s">
        <v>323</v>
      </c>
      <c r="U840" s="3">
        <v>0</v>
      </c>
      <c r="V840" s="3">
        <v>8</v>
      </c>
      <c r="W840" s="3">
        <v>0</v>
      </c>
    </row>
    <row r="841" spans="1:23" ht="11.25" customHeight="1" x14ac:dyDescent="0.25">
      <c r="A841" s="3" t="s">
        <v>21</v>
      </c>
      <c r="B841" s="3" t="s">
        <v>33</v>
      </c>
      <c r="C841" s="3" t="s">
        <v>34</v>
      </c>
      <c r="D841" s="3" t="s">
        <v>40</v>
      </c>
      <c r="E841" s="3" t="s">
        <v>25</v>
      </c>
      <c r="F841" s="3" t="s">
        <v>25</v>
      </c>
      <c r="G841" s="3" t="s">
        <v>25</v>
      </c>
      <c r="H841" s="3" t="s">
        <v>36</v>
      </c>
      <c r="I841" s="6">
        <v>44317</v>
      </c>
      <c r="J841" s="4">
        <v>0</v>
      </c>
      <c r="K841" s="4">
        <v>0</v>
      </c>
      <c r="L841" s="4">
        <v>6668.942</v>
      </c>
      <c r="M841" s="4">
        <v>6668.942</v>
      </c>
      <c r="N841" s="4">
        <v>6668.942</v>
      </c>
      <c r="O841" s="4">
        <v>6668.942</v>
      </c>
      <c r="P841" s="4">
        <v>0</v>
      </c>
      <c r="Q841" s="3" t="s">
        <v>26</v>
      </c>
      <c r="R841" s="3">
        <v>0</v>
      </c>
      <c r="S841" s="3" t="s">
        <v>288</v>
      </c>
      <c r="T841" s="3" t="s">
        <v>537</v>
      </c>
      <c r="U841" s="3">
        <v>0</v>
      </c>
      <c r="V841" s="3">
        <v>29</v>
      </c>
      <c r="W841" s="3">
        <v>73</v>
      </c>
    </row>
    <row r="842" spans="1:23" ht="11.25" customHeight="1" x14ac:dyDescent="0.25">
      <c r="A842" s="3" t="s">
        <v>28</v>
      </c>
      <c r="B842" s="3" t="s">
        <v>33</v>
      </c>
      <c r="C842" s="3" t="s">
        <v>34</v>
      </c>
      <c r="D842" s="3" t="s">
        <v>40</v>
      </c>
      <c r="E842" s="3" t="s">
        <v>25</v>
      </c>
      <c r="F842" s="3" t="s">
        <v>25</v>
      </c>
      <c r="G842" s="3" t="s">
        <v>25</v>
      </c>
      <c r="H842" s="3" t="s">
        <v>36</v>
      </c>
      <c r="I842" s="6">
        <v>44317</v>
      </c>
      <c r="J842" s="4">
        <v>0</v>
      </c>
      <c r="K842" s="4">
        <v>0</v>
      </c>
      <c r="L842" s="4">
        <v>273.01799999999997</v>
      </c>
      <c r="M842" s="4">
        <v>273.01799999999997</v>
      </c>
      <c r="N842" s="4">
        <v>273.01799999999997</v>
      </c>
      <c r="O842" s="4">
        <v>273.01799999999997</v>
      </c>
      <c r="P842" s="4">
        <v>0</v>
      </c>
      <c r="Q842" s="3" t="s">
        <v>26</v>
      </c>
      <c r="R842" s="3">
        <v>0</v>
      </c>
      <c r="S842" s="3" t="s">
        <v>288</v>
      </c>
      <c r="T842" s="3" t="s">
        <v>537</v>
      </c>
      <c r="U842" s="3">
        <v>0</v>
      </c>
      <c r="V842" s="3">
        <v>29</v>
      </c>
      <c r="W842" s="3">
        <v>73</v>
      </c>
    </row>
    <row r="843" spans="1:23" ht="11.25" customHeight="1" x14ac:dyDescent="0.25">
      <c r="A843" s="3" t="s">
        <v>21</v>
      </c>
      <c r="B843" s="3" t="s">
        <v>33</v>
      </c>
      <c r="C843" s="3" t="s">
        <v>34</v>
      </c>
      <c r="D843" s="3" t="s">
        <v>40</v>
      </c>
      <c r="E843" s="3" t="s">
        <v>25</v>
      </c>
      <c r="F843" s="3" t="s">
        <v>25</v>
      </c>
      <c r="G843" s="3" t="s">
        <v>25</v>
      </c>
      <c r="H843" s="3" t="s">
        <v>36</v>
      </c>
      <c r="I843" s="6">
        <v>44317</v>
      </c>
      <c r="J843" s="4">
        <v>0</v>
      </c>
      <c r="K843" s="4">
        <v>0</v>
      </c>
      <c r="L843" s="4">
        <v>836.86099999999999</v>
      </c>
      <c r="M843" s="4">
        <v>836.86099999999999</v>
      </c>
      <c r="N843" s="4">
        <v>0</v>
      </c>
      <c r="O843" s="4">
        <v>0</v>
      </c>
      <c r="P843" s="4">
        <v>0</v>
      </c>
      <c r="Q843" s="3" t="s">
        <v>57</v>
      </c>
      <c r="R843" s="3">
        <v>0</v>
      </c>
      <c r="S843" s="3" t="s">
        <v>288</v>
      </c>
      <c r="U843" s="3">
        <v>0</v>
      </c>
      <c r="V843" s="3">
        <v>29</v>
      </c>
      <c r="W843" s="3">
        <v>0</v>
      </c>
    </row>
    <row r="844" spans="1:23" ht="11.25" customHeight="1" x14ac:dyDescent="0.25">
      <c r="A844" s="3" t="s">
        <v>21</v>
      </c>
      <c r="B844" s="3" t="s">
        <v>33</v>
      </c>
      <c r="C844" s="3" t="s">
        <v>34</v>
      </c>
      <c r="D844" s="3" t="s">
        <v>40</v>
      </c>
      <c r="E844" s="3" t="s">
        <v>25</v>
      </c>
      <c r="F844" s="3" t="s">
        <v>25</v>
      </c>
      <c r="G844" s="3" t="s">
        <v>25</v>
      </c>
      <c r="H844" s="3" t="s">
        <v>36</v>
      </c>
      <c r="I844" s="6">
        <v>44348</v>
      </c>
      <c r="J844" s="4">
        <v>0</v>
      </c>
      <c r="K844" s="4">
        <v>0</v>
      </c>
      <c r="L844" s="4">
        <v>6259.94</v>
      </c>
      <c r="M844" s="4">
        <v>6259.94</v>
      </c>
      <c r="N844" s="4">
        <v>6259.94</v>
      </c>
      <c r="O844" s="4">
        <v>6259.94</v>
      </c>
      <c r="P844" s="4">
        <v>0</v>
      </c>
      <c r="Q844" s="3" t="s">
        <v>26</v>
      </c>
      <c r="R844" s="3">
        <v>0</v>
      </c>
      <c r="S844" s="3" t="s">
        <v>289</v>
      </c>
      <c r="T844" s="3" t="s">
        <v>538</v>
      </c>
      <c r="U844" s="3">
        <v>0</v>
      </c>
      <c r="V844" s="3">
        <v>29</v>
      </c>
      <c r="W844" s="3">
        <v>73</v>
      </c>
    </row>
    <row r="845" spans="1:23" ht="11.25" customHeight="1" x14ac:dyDescent="0.25">
      <c r="A845" s="3" t="s">
        <v>27</v>
      </c>
      <c r="B845" s="3" t="s">
        <v>33</v>
      </c>
      <c r="C845" s="3" t="s">
        <v>34</v>
      </c>
      <c r="D845" s="3" t="s">
        <v>40</v>
      </c>
      <c r="E845" s="3" t="s">
        <v>25</v>
      </c>
      <c r="F845" s="3" t="s">
        <v>25</v>
      </c>
      <c r="G845" s="3" t="s">
        <v>25</v>
      </c>
      <c r="H845" s="3" t="s">
        <v>36</v>
      </c>
      <c r="I845" s="6">
        <v>44348</v>
      </c>
      <c r="J845" s="4">
        <v>0</v>
      </c>
      <c r="K845" s="4">
        <v>0</v>
      </c>
      <c r="L845" s="4">
        <v>-191.215</v>
      </c>
      <c r="M845" s="4">
        <v>-191.215</v>
      </c>
      <c r="N845" s="4">
        <v>-191.215</v>
      </c>
      <c r="O845" s="4">
        <v>-191.215</v>
      </c>
      <c r="P845" s="4">
        <v>0</v>
      </c>
      <c r="Q845" s="3" t="s">
        <v>26</v>
      </c>
      <c r="R845" s="3">
        <v>0</v>
      </c>
      <c r="S845" s="3" t="s">
        <v>289</v>
      </c>
      <c r="T845" s="3" t="s">
        <v>538</v>
      </c>
      <c r="U845" s="3">
        <v>0</v>
      </c>
      <c r="V845" s="3">
        <v>29</v>
      </c>
      <c r="W845" s="3">
        <v>73</v>
      </c>
    </row>
    <row r="846" spans="1:23" ht="11.25" customHeight="1" x14ac:dyDescent="0.25">
      <c r="A846" s="3" t="s">
        <v>28</v>
      </c>
      <c r="B846" s="3" t="s">
        <v>33</v>
      </c>
      <c r="C846" s="3" t="s">
        <v>34</v>
      </c>
      <c r="D846" s="3" t="s">
        <v>40</v>
      </c>
      <c r="E846" s="3" t="s">
        <v>25</v>
      </c>
      <c r="F846" s="3" t="s">
        <v>25</v>
      </c>
      <c r="G846" s="3" t="s">
        <v>25</v>
      </c>
      <c r="H846" s="3" t="s">
        <v>36</v>
      </c>
      <c r="I846" s="6">
        <v>44348</v>
      </c>
      <c r="J846" s="4">
        <v>0</v>
      </c>
      <c r="K846" s="4">
        <v>0</v>
      </c>
      <c r="L846" s="4">
        <v>218.67699999999999</v>
      </c>
      <c r="M846" s="4">
        <v>218.67699999999999</v>
      </c>
      <c r="N846" s="4">
        <v>218.67699999999999</v>
      </c>
      <c r="O846" s="4">
        <v>218.67699999999999</v>
      </c>
      <c r="P846" s="4">
        <v>0</v>
      </c>
      <c r="Q846" s="3" t="s">
        <v>26</v>
      </c>
      <c r="R846" s="3">
        <v>0</v>
      </c>
      <c r="S846" s="3" t="s">
        <v>289</v>
      </c>
      <c r="T846" s="3" t="s">
        <v>538</v>
      </c>
      <c r="U846" s="3">
        <v>0</v>
      </c>
      <c r="V846" s="3">
        <v>29</v>
      </c>
      <c r="W846" s="3">
        <v>73</v>
      </c>
    </row>
    <row r="847" spans="1:23" ht="11.25" customHeight="1" x14ac:dyDescent="0.25">
      <c r="A847" s="3" t="s">
        <v>21</v>
      </c>
      <c r="B847" s="3" t="s">
        <v>33</v>
      </c>
      <c r="C847" s="3" t="s">
        <v>34</v>
      </c>
      <c r="D847" s="3" t="s">
        <v>40</v>
      </c>
      <c r="E847" s="3" t="s">
        <v>25</v>
      </c>
      <c r="F847" s="3" t="s">
        <v>25</v>
      </c>
      <c r="G847" s="3" t="s">
        <v>25</v>
      </c>
      <c r="H847" s="3" t="s">
        <v>36</v>
      </c>
      <c r="I847" s="6">
        <v>44348</v>
      </c>
      <c r="J847" s="4">
        <v>0</v>
      </c>
      <c r="K847" s="4">
        <v>0</v>
      </c>
      <c r="L847" s="4">
        <v>901.00699999999995</v>
      </c>
      <c r="M847" s="4">
        <v>901.00699999999995</v>
      </c>
      <c r="N847" s="4">
        <v>0</v>
      </c>
      <c r="O847" s="4">
        <v>0</v>
      </c>
      <c r="P847" s="4">
        <v>0</v>
      </c>
      <c r="Q847" s="3" t="s">
        <v>57</v>
      </c>
      <c r="R847" s="3">
        <v>0</v>
      </c>
      <c r="S847" s="3" t="s">
        <v>289</v>
      </c>
      <c r="U847" s="3">
        <v>0</v>
      </c>
      <c r="V847" s="3">
        <v>29</v>
      </c>
      <c r="W847" s="3">
        <v>0</v>
      </c>
    </row>
    <row r="848" spans="1:23" ht="11.25" customHeight="1" x14ac:dyDescent="0.25">
      <c r="A848" s="3" t="s">
        <v>21</v>
      </c>
      <c r="B848" s="3" t="s">
        <v>33</v>
      </c>
      <c r="C848" s="3" t="s">
        <v>34</v>
      </c>
      <c r="D848" s="3" t="s">
        <v>40</v>
      </c>
      <c r="E848" s="3" t="s">
        <v>25</v>
      </c>
      <c r="F848" s="3" t="s">
        <v>25</v>
      </c>
      <c r="G848" s="3" t="s">
        <v>25</v>
      </c>
      <c r="H848" s="3" t="s">
        <v>36</v>
      </c>
      <c r="I848" s="6">
        <v>44378</v>
      </c>
      <c r="J848" s="4">
        <v>0</v>
      </c>
      <c r="K848" s="4">
        <v>0</v>
      </c>
      <c r="L848" s="4">
        <v>6881.8490000000002</v>
      </c>
      <c r="M848" s="4">
        <v>6881.8490000000002</v>
      </c>
      <c r="N848" s="4">
        <v>6881.8490000000002</v>
      </c>
      <c r="O848" s="4">
        <v>6881.8490000000002</v>
      </c>
      <c r="P848" s="4">
        <v>0</v>
      </c>
      <c r="Q848" s="3" t="s">
        <v>26</v>
      </c>
      <c r="R848" s="3">
        <v>0</v>
      </c>
      <c r="S848" s="3" t="s">
        <v>290</v>
      </c>
      <c r="T848" s="3" t="s">
        <v>539</v>
      </c>
      <c r="U848" s="3">
        <v>0</v>
      </c>
      <c r="V848" s="3">
        <v>29</v>
      </c>
      <c r="W848" s="3">
        <v>73</v>
      </c>
    </row>
    <row r="849" spans="1:23" ht="11.25" customHeight="1" x14ac:dyDescent="0.25">
      <c r="A849" s="3" t="s">
        <v>27</v>
      </c>
      <c r="B849" s="3" t="s">
        <v>33</v>
      </c>
      <c r="C849" s="3" t="s">
        <v>34</v>
      </c>
      <c r="D849" s="3" t="s">
        <v>40</v>
      </c>
      <c r="E849" s="3" t="s">
        <v>25</v>
      </c>
      <c r="F849" s="3" t="s">
        <v>25</v>
      </c>
      <c r="G849" s="3" t="s">
        <v>25</v>
      </c>
      <c r="H849" s="3" t="s">
        <v>36</v>
      </c>
      <c r="I849" s="6">
        <v>44378</v>
      </c>
      <c r="J849" s="4">
        <v>0</v>
      </c>
      <c r="K849" s="4">
        <v>0</v>
      </c>
      <c r="L849" s="4">
        <v>-63.643999999999998</v>
      </c>
      <c r="M849" s="4">
        <v>-63.643999999999998</v>
      </c>
      <c r="N849" s="4">
        <v>-63.643999999999998</v>
      </c>
      <c r="O849" s="4">
        <v>-63.643999999999998</v>
      </c>
      <c r="P849" s="4">
        <v>0</v>
      </c>
      <c r="Q849" s="3" t="s">
        <v>26</v>
      </c>
      <c r="R849" s="3">
        <v>0</v>
      </c>
      <c r="S849" s="3" t="s">
        <v>290</v>
      </c>
      <c r="T849" s="3" t="s">
        <v>539</v>
      </c>
      <c r="U849" s="3">
        <v>0</v>
      </c>
      <c r="V849" s="3">
        <v>29</v>
      </c>
      <c r="W849" s="3">
        <v>73</v>
      </c>
    </row>
    <row r="850" spans="1:23" ht="11.25" customHeight="1" x14ac:dyDescent="0.25">
      <c r="A850" s="3" t="s">
        <v>28</v>
      </c>
      <c r="B850" s="3" t="s">
        <v>33</v>
      </c>
      <c r="C850" s="3" t="s">
        <v>34</v>
      </c>
      <c r="D850" s="3" t="s">
        <v>40</v>
      </c>
      <c r="E850" s="3" t="s">
        <v>25</v>
      </c>
      <c r="F850" s="3" t="s">
        <v>25</v>
      </c>
      <c r="G850" s="3" t="s">
        <v>25</v>
      </c>
      <c r="H850" s="3" t="s">
        <v>36</v>
      </c>
      <c r="I850" s="6">
        <v>44378</v>
      </c>
      <c r="J850" s="4">
        <v>0</v>
      </c>
      <c r="K850" s="4">
        <v>0</v>
      </c>
      <c r="L850" s="4">
        <v>265.16800000000001</v>
      </c>
      <c r="M850" s="4">
        <v>265.16800000000001</v>
      </c>
      <c r="N850" s="4">
        <v>265.16800000000001</v>
      </c>
      <c r="O850" s="4">
        <v>265.16800000000001</v>
      </c>
      <c r="P850" s="4">
        <v>0</v>
      </c>
      <c r="Q850" s="3" t="s">
        <v>26</v>
      </c>
      <c r="R850" s="3">
        <v>0</v>
      </c>
      <c r="S850" s="3" t="s">
        <v>290</v>
      </c>
      <c r="T850" s="3" t="s">
        <v>539</v>
      </c>
      <c r="U850" s="3">
        <v>0</v>
      </c>
      <c r="V850" s="3">
        <v>29</v>
      </c>
      <c r="W850" s="3">
        <v>73</v>
      </c>
    </row>
    <row r="851" spans="1:23" ht="11.25" customHeight="1" x14ac:dyDescent="0.25">
      <c r="A851" s="3" t="s">
        <v>21</v>
      </c>
      <c r="B851" s="3" t="s">
        <v>33</v>
      </c>
      <c r="C851" s="3" t="s">
        <v>34</v>
      </c>
      <c r="D851" s="3" t="s">
        <v>40</v>
      </c>
      <c r="E851" s="3" t="s">
        <v>25</v>
      </c>
      <c r="F851" s="3" t="s">
        <v>25</v>
      </c>
      <c r="G851" s="3" t="s">
        <v>25</v>
      </c>
      <c r="H851" s="3" t="s">
        <v>36</v>
      </c>
      <c r="I851" s="6">
        <v>44378</v>
      </c>
      <c r="J851" s="4">
        <v>0</v>
      </c>
      <c r="K851" s="4">
        <v>0</v>
      </c>
      <c r="L851" s="4">
        <v>853.875</v>
      </c>
      <c r="M851" s="4">
        <v>853.875</v>
      </c>
      <c r="N851" s="4">
        <v>0</v>
      </c>
      <c r="O851" s="4">
        <v>0</v>
      </c>
      <c r="P851" s="4">
        <v>0</v>
      </c>
      <c r="Q851" s="3" t="s">
        <v>57</v>
      </c>
      <c r="R851" s="3">
        <v>0</v>
      </c>
      <c r="S851" s="3" t="s">
        <v>290</v>
      </c>
      <c r="U851" s="3">
        <v>0</v>
      </c>
      <c r="V851" s="3">
        <v>29</v>
      </c>
      <c r="W851" s="3">
        <v>0</v>
      </c>
    </row>
    <row r="852" spans="1:23" ht="11.25" customHeight="1" x14ac:dyDescent="0.25">
      <c r="A852" s="3" t="s">
        <v>21</v>
      </c>
      <c r="B852" s="3" t="s">
        <v>33</v>
      </c>
      <c r="C852" s="3" t="s">
        <v>34</v>
      </c>
      <c r="D852" s="3" t="s">
        <v>40</v>
      </c>
      <c r="E852" s="3" t="s">
        <v>25</v>
      </c>
      <c r="F852" s="3" t="s">
        <v>25</v>
      </c>
      <c r="G852" s="3" t="s">
        <v>25</v>
      </c>
      <c r="H852" s="3" t="s">
        <v>36</v>
      </c>
      <c r="I852" s="6">
        <v>44409</v>
      </c>
      <c r="J852" s="4">
        <v>0</v>
      </c>
      <c r="K852" s="4">
        <v>0</v>
      </c>
      <c r="L852" s="4">
        <v>6675.6639999999998</v>
      </c>
      <c r="M852" s="4">
        <v>6675.6639999999998</v>
      </c>
      <c r="N852" s="4">
        <v>6675.6639999999998</v>
      </c>
      <c r="O852" s="4">
        <v>6675.6639999999998</v>
      </c>
      <c r="P852" s="4">
        <v>0</v>
      </c>
      <c r="Q852" s="3" t="s">
        <v>26</v>
      </c>
      <c r="R852" s="3">
        <v>0</v>
      </c>
      <c r="S852" s="3" t="s">
        <v>291</v>
      </c>
      <c r="T852" s="3" t="s">
        <v>540</v>
      </c>
      <c r="U852" s="3">
        <v>0</v>
      </c>
      <c r="V852" s="3">
        <v>29</v>
      </c>
      <c r="W852" s="3">
        <v>73</v>
      </c>
    </row>
    <row r="853" spans="1:23" ht="11.25" customHeight="1" x14ac:dyDescent="0.25">
      <c r="A853" s="3" t="s">
        <v>27</v>
      </c>
      <c r="B853" s="3" t="s">
        <v>33</v>
      </c>
      <c r="C853" s="3" t="s">
        <v>34</v>
      </c>
      <c r="D853" s="3" t="s">
        <v>40</v>
      </c>
      <c r="E853" s="3" t="s">
        <v>25</v>
      </c>
      <c r="F853" s="3" t="s">
        <v>25</v>
      </c>
      <c r="G853" s="3" t="s">
        <v>25</v>
      </c>
      <c r="H853" s="3" t="s">
        <v>36</v>
      </c>
      <c r="I853" s="6">
        <v>44409</v>
      </c>
      <c r="J853" s="4">
        <v>0</v>
      </c>
      <c r="K853" s="4">
        <v>0</v>
      </c>
      <c r="L853" s="4">
        <v>-6.976</v>
      </c>
      <c r="M853" s="4">
        <v>-6.976</v>
      </c>
      <c r="N853" s="4">
        <v>-6.976</v>
      </c>
      <c r="O853" s="4">
        <v>-6.976</v>
      </c>
      <c r="P853" s="4">
        <v>0</v>
      </c>
      <c r="Q853" s="3" t="s">
        <v>26</v>
      </c>
      <c r="R853" s="3">
        <v>0</v>
      </c>
      <c r="S853" s="3" t="s">
        <v>291</v>
      </c>
      <c r="T853" s="3" t="s">
        <v>540</v>
      </c>
      <c r="U853" s="3">
        <v>0</v>
      </c>
      <c r="V853" s="3">
        <v>29</v>
      </c>
      <c r="W853" s="3">
        <v>73</v>
      </c>
    </row>
    <row r="854" spans="1:23" ht="11.25" customHeight="1" x14ac:dyDescent="0.25">
      <c r="A854" s="3" t="s">
        <v>28</v>
      </c>
      <c r="B854" s="3" t="s">
        <v>33</v>
      </c>
      <c r="C854" s="3" t="s">
        <v>34</v>
      </c>
      <c r="D854" s="3" t="s">
        <v>40</v>
      </c>
      <c r="E854" s="3" t="s">
        <v>25</v>
      </c>
      <c r="F854" s="3" t="s">
        <v>25</v>
      </c>
      <c r="G854" s="3" t="s">
        <v>25</v>
      </c>
      <c r="H854" s="3" t="s">
        <v>36</v>
      </c>
      <c r="I854" s="6">
        <v>44409</v>
      </c>
      <c r="J854" s="4">
        <v>0</v>
      </c>
      <c r="K854" s="4">
        <v>0</v>
      </c>
      <c r="L854" s="4">
        <v>261.60899999999998</v>
      </c>
      <c r="M854" s="4">
        <v>261.60899999999998</v>
      </c>
      <c r="N854" s="4">
        <v>261.60899999999998</v>
      </c>
      <c r="O854" s="4">
        <v>261.60899999999998</v>
      </c>
      <c r="P854" s="4">
        <v>0</v>
      </c>
      <c r="Q854" s="3" t="s">
        <v>26</v>
      </c>
      <c r="R854" s="3">
        <v>0</v>
      </c>
      <c r="S854" s="3" t="s">
        <v>291</v>
      </c>
      <c r="T854" s="3" t="s">
        <v>540</v>
      </c>
      <c r="U854" s="3">
        <v>0</v>
      </c>
      <c r="V854" s="3">
        <v>29</v>
      </c>
      <c r="W854" s="3">
        <v>73</v>
      </c>
    </row>
    <row r="855" spans="1:23" ht="11.25" customHeight="1" x14ac:dyDescent="0.25">
      <c r="A855" s="3" t="s">
        <v>21</v>
      </c>
      <c r="B855" s="3" t="s">
        <v>33</v>
      </c>
      <c r="C855" s="3" t="s">
        <v>34</v>
      </c>
      <c r="D855" s="3" t="s">
        <v>40</v>
      </c>
      <c r="E855" s="3" t="s">
        <v>25</v>
      </c>
      <c r="F855" s="3" t="s">
        <v>25</v>
      </c>
      <c r="G855" s="3" t="s">
        <v>25</v>
      </c>
      <c r="H855" s="3" t="s">
        <v>36</v>
      </c>
      <c r="I855" s="6">
        <v>44409</v>
      </c>
      <c r="J855" s="4">
        <v>0</v>
      </c>
      <c r="K855" s="4">
        <v>0</v>
      </c>
      <c r="L855" s="4">
        <v>653.58500000000004</v>
      </c>
      <c r="M855" s="4">
        <v>653.58500000000004</v>
      </c>
      <c r="N855" s="4">
        <v>0</v>
      </c>
      <c r="O855" s="4">
        <v>0</v>
      </c>
      <c r="P855" s="4">
        <v>0</v>
      </c>
      <c r="Q855" s="3" t="s">
        <v>57</v>
      </c>
      <c r="R855" s="3">
        <v>0</v>
      </c>
      <c r="S855" s="3" t="s">
        <v>291</v>
      </c>
      <c r="U855" s="3">
        <v>0</v>
      </c>
      <c r="V855" s="3">
        <v>29</v>
      </c>
      <c r="W855" s="3">
        <v>0</v>
      </c>
    </row>
    <row r="856" spans="1:23" ht="11.25" customHeight="1" x14ac:dyDescent="0.25">
      <c r="A856" s="3" t="s">
        <v>21</v>
      </c>
      <c r="B856" s="3" t="s">
        <v>33</v>
      </c>
      <c r="C856" s="3" t="s">
        <v>34</v>
      </c>
      <c r="D856" s="3" t="s">
        <v>40</v>
      </c>
      <c r="E856" s="3" t="s">
        <v>25</v>
      </c>
      <c r="F856" s="3" t="s">
        <v>25</v>
      </c>
      <c r="G856" s="3" t="s">
        <v>25</v>
      </c>
      <c r="H856" s="3" t="s">
        <v>36</v>
      </c>
      <c r="I856" s="6">
        <v>44440</v>
      </c>
      <c r="J856" s="4">
        <v>0</v>
      </c>
      <c r="K856" s="4">
        <v>0</v>
      </c>
      <c r="L856" s="4">
        <v>6558.9889999999996</v>
      </c>
      <c r="M856" s="4">
        <v>6558.9889999999996</v>
      </c>
      <c r="N856" s="4">
        <v>6558.9889999999996</v>
      </c>
      <c r="O856" s="4">
        <v>6558.9889999999996</v>
      </c>
      <c r="P856" s="4">
        <v>0</v>
      </c>
      <c r="Q856" s="3" t="s">
        <v>26</v>
      </c>
      <c r="R856" s="3">
        <v>0</v>
      </c>
      <c r="S856" s="3" t="s">
        <v>292</v>
      </c>
      <c r="T856" s="3" t="s">
        <v>541</v>
      </c>
      <c r="U856" s="3">
        <v>0</v>
      </c>
      <c r="V856" s="3">
        <v>29</v>
      </c>
      <c r="W856" s="3">
        <v>73</v>
      </c>
    </row>
    <row r="857" spans="1:23" ht="11.25" customHeight="1" x14ac:dyDescent="0.25">
      <c r="A857" s="3" t="s">
        <v>27</v>
      </c>
      <c r="B857" s="3" t="s">
        <v>33</v>
      </c>
      <c r="C857" s="3" t="s">
        <v>34</v>
      </c>
      <c r="D857" s="3" t="s">
        <v>40</v>
      </c>
      <c r="E857" s="3" t="s">
        <v>25</v>
      </c>
      <c r="F857" s="3" t="s">
        <v>25</v>
      </c>
      <c r="G857" s="3" t="s">
        <v>25</v>
      </c>
      <c r="H857" s="3" t="s">
        <v>36</v>
      </c>
      <c r="I857" s="6">
        <v>44440</v>
      </c>
      <c r="J857" s="4">
        <v>0</v>
      </c>
      <c r="K857" s="4">
        <v>0</v>
      </c>
      <c r="L857" s="4">
        <v>0.442</v>
      </c>
      <c r="M857" s="4">
        <v>0.442</v>
      </c>
      <c r="N857" s="4">
        <v>0.442</v>
      </c>
      <c r="O857" s="4">
        <v>0.442</v>
      </c>
      <c r="P857" s="4">
        <v>0</v>
      </c>
      <c r="Q857" s="3" t="s">
        <v>26</v>
      </c>
      <c r="R857" s="3">
        <v>0</v>
      </c>
      <c r="S857" s="3" t="s">
        <v>292</v>
      </c>
      <c r="T857" s="3" t="s">
        <v>541</v>
      </c>
      <c r="U857" s="3">
        <v>0</v>
      </c>
      <c r="V857" s="3">
        <v>29</v>
      </c>
      <c r="W857" s="3">
        <v>73</v>
      </c>
    </row>
    <row r="858" spans="1:23" ht="11.25" customHeight="1" x14ac:dyDescent="0.25">
      <c r="A858" s="3" t="s">
        <v>28</v>
      </c>
      <c r="B858" s="3" t="s">
        <v>33</v>
      </c>
      <c r="C858" s="3" t="s">
        <v>34</v>
      </c>
      <c r="D858" s="3" t="s">
        <v>40</v>
      </c>
      <c r="E858" s="3" t="s">
        <v>25</v>
      </c>
      <c r="F858" s="3" t="s">
        <v>25</v>
      </c>
      <c r="G858" s="3" t="s">
        <v>25</v>
      </c>
      <c r="H858" s="3" t="s">
        <v>36</v>
      </c>
      <c r="I858" s="6">
        <v>44440</v>
      </c>
      <c r="J858" s="4">
        <v>0</v>
      </c>
      <c r="K858" s="4">
        <v>0</v>
      </c>
      <c r="L858" s="4">
        <v>235.155</v>
      </c>
      <c r="M858" s="4">
        <v>235.155</v>
      </c>
      <c r="N858" s="4">
        <v>235.155</v>
      </c>
      <c r="O858" s="4">
        <v>235.155</v>
      </c>
      <c r="P858" s="4">
        <v>0</v>
      </c>
      <c r="Q858" s="3" t="s">
        <v>26</v>
      </c>
      <c r="R858" s="3">
        <v>0</v>
      </c>
      <c r="S858" s="3" t="s">
        <v>292</v>
      </c>
      <c r="T858" s="3" t="s">
        <v>541</v>
      </c>
      <c r="U858" s="3">
        <v>0</v>
      </c>
      <c r="V858" s="3">
        <v>29</v>
      </c>
      <c r="W858" s="3">
        <v>73</v>
      </c>
    </row>
    <row r="859" spans="1:23" ht="11.25" customHeight="1" x14ac:dyDescent="0.25">
      <c r="A859" s="3" t="s">
        <v>21</v>
      </c>
      <c r="B859" s="3" t="s">
        <v>33</v>
      </c>
      <c r="C859" s="3" t="s">
        <v>34</v>
      </c>
      <c r="D859" s="3" t="s">
        <v>40</v>
      </c>
      <c r="E859" s="3" t="s">
        <v>25</v>
      </c>
      <c r="F859" s="3" t="s">
        <v>25</v>
      </c>
      <c r="G859" s="3" t="s">
        <v>25</v>
      </c>
      <c r="H859" s="3" t="s">
        <v>36</v>
      </c>
      <c r="I859" s="6">
        <v>44440</v>
      </c>
      <c r="J859" s="4">
        <v>0</v>
      </c>
      <c r="K859" s="4">
        <v>0</v>
      </c>
      <c r="L859" s="4">
        <v>772.10500000000002</v>
      </c>
      <c r="M859" s="4">
        <v>772.10500000000002</v>
      </c>
      <c r="N859" s="4">
        <v>0</v>
      </c>
      <c r="O859" s="4">
        <v>0</v>
      </c>
      <c r="P859" s="4">
        <v>0</v>
      </c>
      <c r="Q859" s="3" t="s">
        <v>57</v>
      </c>
      <c r="R859" s="3">
        <v>0</v>
      </c>
      <c r="S859" s="3" t="s">
        <v>292</v>
      </c>
      <c r="U859" s="3">
        <v>0</v>
      </c>
      <c r="V859" s="3">
        <v>29</v>
      </c>
      <c r="W859" s="3">
        <v>0</v>
      </c>
    </row>
    <row r="860" spans="1:23" ht="11.25" customHeight="1" x14ac:dyDescent="0.25">
      <c r="A860" s="3" t="s">
        <v>21</v>
      </c>
      <c r="B860" s="3" t="s">
        <v>33</v>
      </c>
      <c r="C860" s="3" t="s">
        <v>34</v>
      </c>
      <c r="D860" s="3" t="s">
        <v>40</v>
      </c>
      <c r="E860" s="3" t="s">
        <v>25</v>
      </c>
      <c r="F860" s="3" t="s">
        <v>25</v>
      </c>
      <c r="G860" s="3" t="s">
        <v>25</v>
      </c>
      <c r="H860" s="3" t="s">
        <v>36</v>
      </c>
      <c r="I860" s="6">
        <v>44470</v>
      </c>
      <c r="J860" s="4">
        <v>0</v>
      </c>
      <c r="K860" s="4">
        <v>0</v>
      </c>
      <c r="L860" s="4">
        <v>6469.0789999999997</v>
      </c>
      <c r="M860" s="4">
        <v>6469.0789999999997</v>
      </c>
      <c r="N860" s="4">
        <v>6469.0789999999997</v>
      </c>
      <c r="O860" s="4">
        <v>6469.0789999999997</v>
      </c>
      <c r="P860" s="4">
        <v>0</v>
      </c>
      <c r="Q860" s="3" t="s">
        <v>26</v>
      </c>
      <c r="R860" s="3">
        <v>0</v>
      </c>
      <c r="S860" s="3" t="s">
        <v>293</v>
      </c>
      <c r="T860" s="3" t="s">
        <v>542</v>
      </c>
      <c r="U860" s="3">
        <v>0</v>
      </c>
      <c r="V860" s="3">
        <v>29</v>
      </c>
      <c r="W860" s="3">
        <v>73</v>
      </c>
    </row>
    <row r="861" spans="1:23" ht="11.25" customHeight="1" x14ac:dyDescent="0.25">
      <c r="A861" s="3" t="s">
        <v>27</v>
      </c>
      <c r="B861" s="3" t="s">
        <v>33</v>
      </c>
      <c r="C861" s="3" t="s">
        <v>34</v>
      </c>
      <c r="D861" s="3" t="s">
        <v>40</v>
      </c>
      <c r="E861" s="3" t="s">
        <v>25</v>
      </c>
      <c r="F861" s="3" t="s">
        <v>25</v>
      </c>
      <c r="G861" s="3" t="s">
        <v>25</v>
      </c>
      <c r="H861" s="3" t="s">
        <v>36</v>
      </c>
      <c r="I861" s="6">
        <v>44470</v>
      </c>
      <c r="J861" s="4">
        <v>0</v>
      </c>
      <c r="K861" s="4">
        <v>0</v>
      </c>
      <c r="L861" s="4">
        <v>-102.871</v>
      </c>
      <c r="M861" s="4">
        <v>-102.871</v>
      </c>
      <c r="N861" s="4">
        <v>-102.871</v>
      </c>
      <c r="O861" s="4">
        <v>-102.871</v>
      </c>
      <c r="P861" s="4">
        <v>0</v>
      </c>
      <c r="Q861" s="3" t="s">
        <v>26</v>
      </c>
      <c r="R861" s="3">
        <v>0</v>
      </c>
      <c r="S861" s="3" t="s">
        <v>293</v>
      </c>
      <c r="T861" s="3" t="s">
        <v>542</v>
      </c>
      <c r="U861" s="3">
        <v>0</v>
      </c>
      <c r="V861" s="3">
        <v>29</v>
      </c>
      <c r="W861" s="3">
        <v>73</v>
      </c>
    </row>
    <row r="862" spans="1:23" ht="11.25" customHeight="1" x14ac:dyDescent="0.25">
      <c r="A862" s="3" t="s">
        <v>28</v>
      </c>
      <c r="B862" s="3" t="s">
        <v>33</v>
      </c>
      <c r="C862" s="3" t="s">
        <v>34</v>
      </c>
      <c r="D862" s="3" t="s">
        <v>40</v>
      </c>
      <c r="E862" s="3" t="s">
        <v>25</v>
      </c>
      <c r="F862" s="3" t="s">
        <v>25</v>
      </c>
      <c r="G862" s="3" t="s">
        <v>25</v>
      </c>
      <c r="H862" s="3" t="s">
        <v>36</v>
      </c>
      <c r="I862" s="6">
        <v>44470</v>
      </c>
      <c r="J862" s="4">
        <v>0</v>
      </c>
      <c r="K862" s="4">
        <v>0</v>
      </c>
      <c r="L862" s="4">
        <v>275.79399999999998</v>
      </c>
      <c r="M862" s="4">
        <v>275.79399999999998</v>
      </c>
      <c r="N862" s="4">
        <v>275.79399999999998</v>
      </c>
      <c r="O862" s="4">
        <v>275.79399999999998</v>
      </c>
      <c r="P862" s="4">
        <v>0</v>
      </c>
      <c r="Q862" s="3" t="s">
        <v>26</v>
      </c>
      <c r="R862" s="3">
        <v>0</v>
      </c>
      <c r="S862" s="3" t="s">
        <v>293</v>
      </c>
      <c r="T862" s="3" t="s">
        <v>542</v>
      </c>
      <c r="U862" s="3">
        <v>0</v>
      </c>
      <c r="V862" s="3">
        <v>29</v>
      </c>
      <c r="W862" s="3">
        <v>73</v>
      </c>
    </row>
    <row r="863" spans="1:23" ht="11.25" customHeight="1" x14ac:dyDescent="0.25">
      <c r="A863" s="3" t="s">
        <v>21</v>
      </c>
      <c r="B863" s="3" t="s">
        <v>33</v>
      </c>
      <c r="C863" s="3" t="s">
        <v>34</v>
      </c>
      <c r="D863" s="3" t="s">
        <v>40</v>
      </c>
      <c r="E863" s="3" t="s">
        <v>25</v>
      </c>
      <c r="F863" s="3" t="s">
        <v>25</v>
      </c>
      <c r="G863" s="3" t="s">
        <v>25</v>
      </c>
      <c r="H863" s="3" t="s">
        <v>36</v>
      </c>
      <c r="I863" s="6">
        <v>44470</v>
      </c>
      <c r="J863" s="4">
        <v>0</v>
      </c>
      <c r="K863" s="4">
        <v>0</v>
      </c>
      <c r="L863" s="4">
        <v>770.64200000000005</v>
      </c>
      <c r="M863" s="4">
        <v>770.64200000000005</v>
      </c>
      <c r="N863" s="4">
        <v>0</v>
      </c>
      <c r="O863" s="4">
        <v>0</v>
      </c>
      <c r="P863" s="4">
        <v>0</v>
      </c>
      <c r="Q863" s="3" t="s">
        <v>57</v>
      </c>
      <c r="R863" s="3">
        <v>0</v>
      </c>
      <c r="S863" s="3" t="s">
        <v>293</v>
      </c>
      <c r="U863" s="3">
        <v>0</v>
      </c>
      <c r="V863" s="3">
        <v>29</v>
      </c>
      <c r="W863" s="3">
        <v>0</v>
      </c>
    </row>
    <row r="864" spans="1:23" ht="11.25" customHeight="1" x14ac:dyDescent="0.25">
      <c r="A864" s="3" t="s">
        <v>21</v>
      </c>
      <c r="B864" s="3" t="s">
        <v>33</v>
      </c>
      <c r="C864" s="3" t="s">
        <v>34</v>
      </c>
      <c r="D864" s="3" t="s">
        <v>40</v>
      </c>
      <c r="E864" s="3" t="s">
        <v>25</v>
      </c>
      <c r="F864" s="3" t="s">
        <v>25</v>
      </c>
      <c r="G864" s="3" t="s">
        <v>25</v>
      </c>
      <c r="H864" s="3" t="s">
        <v>36</v>
      </c>
      <c r="I864" s="6">
        <v>44501</v>
      </c>
      <c r="J864" s="4">
        <v>0</v>
      </c>
      <c r="K864" s="4">
        <v>0</v>
      </c>
      <c r="L864" s="4">
        <v>6212.74</v>
      </c>
      <c r="M864" s="4">
        <v>6212.74</v>
      </c>
      <c r="N864" s="4">
        <v>6212.74</v>
      </c>
      <c r="O864" s="4">
        <v>6212.74</v>
      </c>
      <c r="P864" s="4">
        <v>0</v>
      </c>
      <c r="Q864" s="3" t="s">
        <v>26</v>
      </c>
      <c r="R864" s="3">
        <v>0</v>
      </c>
      <c r="S864" s="3" t="s">
        <v>294</v>
      </c>
      <c r="T864" s="3" t="s">
        <v>543</v>
      </c>
      <c r="U864" s="3">
        <v>0</v>
      </c>
      <c r="V864" s="3">
        <v>29</v>
      </c>
      <c r="W864" s="3">
        <v>73</v>
      </c>
    </row>
    <row r="865" spans="1:23" ht="11.25" customHeight="1" x14ac:dyDescent="0.25">
      <c r="A865" s="3" t="s">
        <v>27</v>
      </c>
      <c r="B865" s="3" t="s">
        <v>33</v>
      </c>
      <c r="C865" s="3" t="s">
        <v>34</v>
      </c>
      <c r="D865" s="3" t="s">
        <v>40</v>
      </c>
      <c r="E865" s="3" t="s">
        <v>25</v>
      </c>
      <c r="F865" s="3" t="s">
        <v>25</v>
      </c>
      <c r="G865" s="3" t="s">
        <v>25</v>
      </c>
      <c r="H865" s="3" t="s">
        <v>36</v>
      </c>
      <c r="I865" s="6">
        <v>44501</v>
      </c>
      <c r="J865" s="4">
        <v>0</v>
      </c>
      <c r="K865" s="4">
        <v>0</v>
      </c>
      <c r="L865" s="4">
        <v>168.077</v>
      </c>
      <c r="M865" s="4">
        <v>168.077</v>
      </c>
      <c r="N865" s="4">
        <v>168.077</v>
      </c>
      <c r="O865" s="4">
        <v>168.077</v>
      </c>
      <c r="P865" s="4">
        <v>0</v>
      </c>
      <c r="Q865" s="3" t="s">
        <v>26</v>
      </c>
      <c r="R865" s="3">
        <v>0</v>
      </c>
      <c r="S865" s="3" t="s">
        <v>294</v>
      </c>
      <c r="T865" s="3" t="s">
        <v>543</v>
      </c>
      <c r="U865" s="3">
        <v>0</v>
      </c>
      <c r="V865" s="3">
        <v>29</v>
      </c>
      <c r="W865" s="3">
        <v>73</v>
      </c>
    </row>
    <row r="866" spans="1:23" ht="11.25" customHeight="1" x14ac:dyDescent="0.25">
      <c r="A866" s="3" t="s">
        <v>28</v>
      </c>
      <c r="B866" s="3" t="s">
        <v>33</v>
      </c>
      <c r="C866" s="3" t="s">
        <v>34</v>
      </c>
      <c r="D866" s="3" t="s">
        <v>40</v>
      </c>
      <c r="E866" s="3" t="s">
        <v>25</v>
      </c>
      <c r="F866" s="3" t="s">
        <v>25</v>
      </c>
      <c r="G866" s="3" t="s">
        <v>25</v>
      </c>
      <c r="H866" s="3" t="s">
        <v>36</v>
      </c>
      <c r="I866" s="6">
        <v>44501</v>
      </c>
      <c r="J866" s="4">
        <v>0</v>
      </c>
      <c r="K866" s="4">
        <v>0</v>
      </c>
      <c r="L866" s="4">
        <v>271.42200000000003</v>
      </c>
      <c r="M866" s="4">
        <v>271.42200000000003</v>
      </c>
      <c r="N866" s="4">
        <v>271.42200000000003</v>
      </c>
      <c r="O866" s="4">
        <v>271.42200000000003</v>
      </c>
      <c r="P866" s="4">
        <v>0</v>
      </c>
      <c r="Q866" s="3" t="s">
        <v>26</v>
      </c>
      <c r="R866" s="3">
        <v>0</v>
      </c>
      <c r="S866" s="3" t="s">
        <v>294</v>
      </c>
      <c r="T866" s="3" t="s">
        <v>543</v>
      </c>
      <c r="U866" s="3">
        <v>0</v>
      </c>
      <c r="V866" s="3">
        <v>29</v>
      </c>
      <c r="W866" s="3">
        <v>73</v>
      </c>
    </row>
    <row r="867" spans="1:23" ht="11.25" customHeight="1" x14ac:dyDescent="0.25">
      <c r="A867" s="3" t="s">
        <v>21</v>
      </c>
      <c r="B867" s="3" t="s">
        <v>33</v>
      </c>
      <c r="C867" s="3" t="s">
        <v>34</v>
      </c>
      <c r="D867" s="3" t="s">
        <v>40</v>
      </c>
      <c r="E867" s="3" t="s">
        <v>25</v>
      </c>
      <c r="F867" s="3" t="s">
        <v>25</v>
      </c>
      <c r="G867" s="3" t="s">
        <v>25</v>
      </c>
      <c r="H867" s="3" t="s">
        <v>36</v>
      </c>
      <c r="I867" s="6">
        <v>44501</v>
      </c>
      <c r="J867" s="4">
        <v>0</v>
      </c>
      <c r="K867" s="4">
        <v>0</v>
      </c>
      <c r="L867" s="4">
        <v>691.57399999999996</v>
      </c>
      <c r="M867" s="4">
        <v>691.57399999999996</v>
      </c>
      <c r="N867" s="4">
        <v>0</v>
      </c>
      <c r="O867" s="4">
        <v>0</v>
      </c>
      <c r="P867" s="4">
        <v>0</v>
      </c>
      <c r="Q867" s="3" t="s">
        <v>57</v>
      </c>
      <c r="R867" s="3">
        <v>0</v>
      </c>
      <c r="S867" s="3" t="s">
        <v>294</v>
      </c>
      <c r="U867" s="3">
        <v>0</v>
      </c>
      <c r="V867" s="3">
        <v>29</v>
      </c>
      <c r="W867" s="3">
        <v>0</v>
      </c>
    </row>
    <row r="868" spans="1:23" ht="11.25" customHeight="1" x14ac:dyDescent="0.25">
      <c r="A868" s="3" t="s">
        <v>21</v>
      </c>
      <c r="B868" s="3" t="s">
        <v>33</v>
      </c>
      <c r="C868" s="3" t="s">
        <v>34</v>
      </c>
      <c r="D868" s="3" t="s">
        <v>40</v>
      </c>
      <c r="E868" s="3" t="s">
        <v>25</v>
      </c>
      <c r="F868" s="3" t="s">
        <v>25</v>
      </c>
      <c r="G868" s="3" t="s">
        <v>25</v>
      </c>
      <c r="H868" s="3" t="s">
        <v>36</v>
      </c>
      <c r="I868" s="6">
        <v>44531</v>
      </c>
      <c r="J868" s="4">
        <v>0</v>
      </c>
      <c r="K868" s="4">
        <v>0</v>
      </c>
      <c r="L868" s="4">
        <v>6346.5460000000003</v>
      </c>
      <c r="M868" s="4">
        <v>6346.5460000000003</v>
      </c>
      <c r="N868" s="4">
        <v>6346.5460000000003</v>
      </c>
      <c r="O868" s="4">
        <v>6346.5460000000003</v>
      </c>
      <c r="P868" s="4">
        <v>0</v>
      </c>
      <c r="Q868" s="3" t="s">
        <v>26</v>
      </c>
      <c r="R868" s="3">
        <v>0</v>
      </c>
      <c r="S868" s="3" t="s">
        <v>295</v>
      </c>
      <c r="T868" s="3" t="s">
        <v>544</v>
      </c>
      <c r="U868" s="3">
        <v>0</v>
      </c>
      <c r="V868" s="3">
        <v>29</v>
      </c>
      <c r="W868" s="3">
        <v>73</v>
      </c>
    </row>
    <row r="869" spans="1:23" ht="11.25" customHeight="1" x14ac:dyDescent="0.25">
      <c r="A869" s="3" t="s">
        <v>27</v>
      </c>
      <c r="B869" s="3" t="s">
        <v>33</v>
      </c>
      <c r="C869" s="3" t="s">
        <v>34</v>
      </c>
      <c r="D869" s="3" t="s">
        <v>40</v>
      </c>
      <c r="E869" s="3" t="s">
        <v>25</v>
      </c>
      <c r="F869" s="3" t="s">
        <v>25</v>
      </c>
      <c r="G869" s="3" t="s">
        <v>25</v>
      </c>
      <c r="H869" s="3" t="s">
        <v>36</v>
      </c>
      <c r="I869" s="6">
        <v>44531</v>
      </c>
      <c r="J869" s="4">
        <v>0</v>
      </c>
      <c r="K869" s="4">
        <v>0</v>
      </c>
      <c r="L869" s="4">
        <v>114.176</v>
      </c>
      <c r="M869" s="4">
        <v>114.176</v>
      </c>
      <c r="N869" s="4">
        <v>114.176</v>
      </c>
      <c r="O869" s="4">
        <v>114.176</v>
      </c>
      <c r="P869" s="4">
        <v>0</v>
      </c>
      <c r="Q869" s="3" t="s">
        <v>26</v>
      </c>
      <c r="R869" s="3">
        <v>0</v>
      </c>
      <c r="S869" s="3" t="s">
        <v>295</v>
      </c>
      <c r="T869" s="3" t="s">
        <v>544</v>
      </c>
      <c r="U869" s="3">
        <v>0</v>
      </c>
      <c r="V869" s="3">
        <v>29</v>
      </c>
      <c r="W869" s="3">
        <v>73</v>
      </c>
    </row>
    <row r="870" spans="1:23" ht="11.25" customHeight="1" x14ac:dyDescent="0.25">
      <c r="A870" s="3" t="s">
        <v>28</v>
      </c>
      <c r="B870" s="3" t="s">
        <v>33</v>
      </c>
      <c r="C870" s="3" t="s">
        <v>34</v>
      </c>
      <c r="D870" s="3" t="s">
        <v>40</v>
      </c>
      <c r="E870" s="3" t="s">
        <v>25</v>
      </c>
      <c r="F870" s="3" t="s">
        <v>25</v>
      </c>
      <c r="G870" s="3" t="s">
        <v>25</v>
      </c>
      <c r="H870" s="3" t="s">
        <v>36</v>
      </c>
      <c r="I870" s="6">
        <v>44531</v>
      </c>
      <c r="J870" s="4">
        <v>0</v>
      </c>
      <c r="K870" s="4">
        <v>0</v>
      </c>
      <c r="L870" s="4">
        <v>306.48899999999998</v>
      </c>
      <c r="M870" s="4">
        <v>306.48899999999998</v>
      </c>
      <c r="N870" s="4">
        <v>306.48899999999998</v>
      </c>
      <c r="O870" s="4">
        <v>306.48899999999998</v>
      </c>
      <c r="P870" s="4">
        <v>0</v>
      </c>
      <c r="Q870" s="3" t="s">
        <v>26</v>
      </c>
      <c r="R870" s="3">
        <v>0</v>
      </c>
      <c r="S870" s="3" t="s">
        <v>295</v>
      </c>
      <c r="T870" s="3" t="s">
        <v>544</v>
      </c>
      <c r="U870" s="3">
        <v>0</v>
      </c>
      <c r="V870" s="3">
        <v>29</v>
      </c>
      <c r="W870" s="3">
        <v>73</v>
      </c>
    </row>
    <row r="871" spans="1:23" ht="11.25" customHeight="1" x14ac:dyDescent="0.25">
      <c r="A871" s="3" t="s">
        <v>21</v>
      </c>
      <c r="B871" s="3" t="s">
        <v>33</v>
      </c>
      <c r="C871" s="3" t="s">
        <v>34</v>
      </c>
      <c r="D871" s="3" t="s">
        <v>40</v>
      </c>
      <c r="E871" s="3" t="s">
        <v>25</v>
      </c>
      <c r="F871" s="3" t="s">
        <v>25</v>
      </c>
      <c r="G871" s="3" t="s">
        <v>25</v>
      </c>
      <c r="H871" s="3" t="s">
        <v>36</v>
      </c>
      <c r="I871" s="6">
        <v>44531</v>
      </c>
      <c r="J871" s="4">
        <v>0</v>
      </c>
      <c r="K871" s="4">
        <v>0</v>
      </c>
      <c r="L871" s="4">
        <v>678.30600000000004</v>
      </c>
      <c r="M871" s="4">
        <v>678.30600000000004</v>
      </c>
      <c r="N871" s="4">
        <v>0</v>
      </c>
      <c r="O871" s="4">
        <v>0</v>
      </c>
      <c r="P871" s="4">
        <v>0</v>
      </c>
      <c r="Q871" s="3" t="s">
        <v>57</v>
      </c>
      <c r="R871" s="3">
        <v>0</v>
      </c>
      <c r="S871" s="3" t="s">
        <v>295</v>
      </c>
      <c r="U871" s="3">
        <v>0</v>
      </c>
      <c r="V871" s="3">
        <v>29</v>
      </c>
      <c r="W871" s="3">
        <v>0</v>
      </c>
    </row>
    <row r="872" spans="1:23" ht="11.25" customHeight="1" x14ac:dyDescent="0.25">
      <c r="A872" s="3" t="s">
        <v>21</v>
      </c>
      <c r="B872" s="3" t="s">
        <v>33</v>
      </c>
      <c r="C872" s="3" t="s">
        <v>34</v>
      </c>
      <c r="D872" s="3" t="s">
        <v>40</v>
      </c>
      <c r="E872" s="3" t="s">
        <v>25</v>
      </c>
      <c r="F872" s="3" t="s">
        <v>25</v>
      </c>
      <c r="G872" s="3" t="s">
        <v>25</v>
      </c>
      <c r="H872" s="3" t="s">
        <v>36</v>
      </c>
      <c r="I872" s="6">
        <v>44562</v>
      </c>
      <c r="J872" s="4">
        <v>0</v>
      </c>
      <c r="K872" s="4">
        <v>0</v>
      </c>
      <c r="L872" s="4">
        <v>6043.4610000000002</v>
      </c>
      <c r="M872" s="4">
        <v>6043.4610000000002</v>
      </c>
      <c r="N872" s="4">
        <v>6043.4610000000002</v>
      </c>
      <c r="O872" s="4">
        <v>6043.4610000000002</v>
      </c>
      <c r="P872" s="4">
        <v>0</v>
      </c>
      <c r="Q872" s="3" t="s">
        <v>26</v>
      </c>
      <c r="R872" s="3">
        <v>0</v>
      </c>
      <c r="S872" s="3" t="s">
        <v>296</v>
      </c>
      <c r="T872" s="3" t="s">
        <v>545</v>
      </c>
      <c r="U872" s="3">
        <v>0</v>
      </c>
      <c r="V872" s="3">
        <v>29</v>
      </c>
      <c r="W872" s="3">
        <v>73</v>
      </c>
    </row>
    <row r="873" spans="1:23" ht="11.25" customHeight="1" x14ac:dyDescent="0.25">
      <c r="A873" s="3" t="s">
        <v>27</v>
      </c>
      <c r="B873" s="3" t="s">
        <v>33</v>
      </c>
      <c r="C873" s="3" t="s">
        <v>34</v>
      </c>
      <c r="D873" s="3" t="s">
        <v>40</v>
      </c>
      <c r="E873" s="3" t="s">
        <v>25</v>
      </c>
      <c r="F873" s="3" t="s">
        <v>25</v>
      </c>
      <c r="G873" s="3" t="s">
        <v>25</v>
      </c>
      <c r="H873" s="3" t="s">
        <v>36</v>
      </c>
      <c r="I873" s="6">
        <v>44562</v>
      </c>
      <c r="J873" s="4">
        <v>0</v>
      </c>
      <c r="K873" s="4">
        <v>0</v>
      </c>
      <c r="L873" s="4">
        <v>50.11</v>
      </c>
      <c r="M873" s="4">
        <v>50.11</v>
      </c>
      <c r="N873" s="4">
        <v>50.11</v>
      </c>
      <c r="O873" s="4">
        <v>50.11</v>
      </c>
      <c r="P873" s="4">
        <v>0</v>
      </c>
      <c r="Q873" s="3" t="s">
        <v>26</v>
      </c>
      <c r="R873" s="3">
        <v>0</v>
      </c>
      <c r="S873" s="3" t="s">
        <v>296</v>
      </c>
      <c r="T873" s="3" t="s">
        <v>545</v>
      </c>
      <c r="U873" s="3">
        <v>0</v>
      </c>
      <c r="V873" s="3">
        <v>29</v>
      </c>
      <c r="W873" s="3">
        <v>73</v>
      </c>
    </row>
    <row r="874" spans="1:23" ht="11.25" customHeight="1" x14ac:dyDescent="0.25">
      <c r="A874" s="3" t="s">
        <v>28</v>
      </c>
      <c r="B874" s="3" t="s">
        <v>33</v>
      </c>
      <c r="C874" s="3" t="s">
        <v>34</v>
      </c>
      <c r="D874" s="3" t="s">
        <v>40</v>
      </c>
      <c r="E874" s="3" t="s">
        <v>25</v>
      </c>
      <c r="F874" s="3" t="s">
        <v>25</v>
      </c>
      <c r="G874" s="3" t="s">
        <v>25</v>
      </c>
      <c r="H874" s="3" t="s">
        <v>36</v>
      </c>
      <c r="I874" s="6">
        <v>44562</v>
      </c>
      <c r="J874" s="4">
        <v>0</v>
      </c>
      <c r="K874" s="4">
        <v>0</v>
      </c>
      <c r="L874" s="4">
        <v>270.80099999999999</v>
      </c>
      <c r="M874" s="4">
        <v>270.80099999999999</v>
      </c>
      <c r="N874" s="4">
        <v>270.80099999999999</v>
      </c>
      <c r="O874" s="4">
        <v>270.80099999999999</v>
      </c>
      <c r="P874" s="4">
        <v>0</v>
      </c>
      <c r="Q874" s="3" t="s">
        <v>26</v>
      </c>
      <c r="R874" s="3">
        <v>0</v>
      </c>
      <c r="S874" s="3" t="s">
        <v>296</v>
      </c>
      <c r="T874" s="3" t="s">
        <v>545</v>
      </c>
      <c r="U874" s="3">
        <v>0</v>
      </c>
      <c r="V874" s="3">
        <v>29</v>
      </c>
      <c r="W874" s="3">
        <v>73</v>
      </c>
    </row>
    <row r="875" spans="1:23" ht="11.25" customHeight="1" x14ac:dyDescent="0.25">
      <c r="A875" s="3" t="s">
        <v>21</v>
      </c>
      <c r="B875" s="3" t="s">
        <v>33</v>
      </c>
      <c r="C875" s="3" t="s">
        <v>34</v>
      </c>
      <c r="D875" s="3" t="s">
        <v>40</v>
      </c>
      <c r="E875" s="3" t="s">
        <v>25</v>
      </c>
      <c r="F875" s="3" t="s">
        <v>25</v>
      </c>
      <c r="G875" s="3" t="s">
        <v>25</v>
      </c>
      <c r="H875" s="3" t="s">
        <v>36</v>
      </c>
      <c r="I875" s="6">
        <v>44562</v>
      </c>
      <c r="J875" s="4">
        <v>0</v>
      </c>
      <c r="K875" s="4">
        <v>0</v>
      </c>
      <c r="L875" s="4">
        <v>767.82899999999995</v>
      </c>
      <c r="M875" s="4">
        <v>767.82899999999995</v>
      </c>
      <c r="N875" s="4">
        <v>0</v>
      </c>
      <c r="O875" s="4">
        <v>0</v>
      </c>
      <c r="P875" s="4">
        <v>0</v>
      </c>
      <c r="Q875" s="3" t="s">
        <v>57</v>
      </c>
      <c r="R875" s="3">
        <v>0</v>
      </c>
      <c r="S875" s="3" t="s">
        <v>296</v>
      </c>
      <c r="U875" s="3">
        <v>0</v>
      </c>
      <c r="V875" s="3">
        <v>29</v>
      </c>
      <c r="W875" s="3">
        <v>0</v>
      </c>
    </row>
    <row r="876" spans="1:23" ht="11.25" customHeight="1" x14ac:dyDescent="0.25">
      <c r="A876" s="3" t="s">
        <v>21</v>
      </c>
      <c r="B876" s="3" t="s">
        <v>33</v>
      </c>
      <c r="C876" s="3" t="s">
        <v>34</v>
      </c>
      <c r="D876" s="3" t="s">
        <v>40</v>
      </c>
      <c r="E876" s="3" t="s">
        <v>25</v>
      </c>
      <c r="F876" s="3" t="s">
        <v>25</v>
      </c>
      <c r="G876" s="3" t="s">
        <v>25</v>
      </c>
      <c r="H876" s="3" t="s">
        <v>36</v>
      </c>
      <c r="I876" s="6">
        <v>44593</v>
      </c>
      <c r="J876" s="4">
        <v>0</v>
      </c>
      <c r="K876" s="4">
        <v>0</v>
      </c>
      <c r="L876" s="4">
        <v>6074.5330000000004</v>
      </c>
      <c r="M876" s="4">
        <v>6074.5330000000004</v>
      </c>
      <c r="N876" s="4">
        <v>6074.5330000000004</v>
      </c>
      <c r="O876" s="4">
        <v>6074.5330000000004</v>
      </c>
      <c r="P876" s="4">
        <v>0</v>
      </c>
      <c r="Q876" s="3" t="s">
        <v>26</v>
      </c>
      <c r="R876" s="3">
        <v>0</v>
      </c>
      <c r="S876" s="3" t="s">
        <v>297</v>
      </c>
      <c r="T876" s="3" t="s">
        <v>546</v>
      </c>
      <c r="U876" s="3">
        <v>0</v>
      </c>
      <c r="V876" s="3">
        <v>29</v>
      </c>
      <c r="W876" s="3">
        <v>73</v>
      </c>
    </row>
    <row r="877" spans="1:23" ht="11.25" customHeight="1" x14ac:dyDescent="0.25">
      <c r="A877" s="3" t="s">
        <v>27</v>
      </c>
      <c r="B877" s="3" t="s">
        <v>33</v>
      </c>
      <c r="C877" s="3" t="s">
        <v>34</v>
      </c>
      <c r="D877" s="3" t="s">
        <v>40</v>
      </c>
      <c r="E877" s="3" t="s">
        <v>25</v>
      </c>
      <c r="F877" s="3" t="s">
        <v>25</v>
      </c>
      <c r="G877" s="3" t="s">
        <v>25</v>
      </c>
      <c r="H877" s="3" t="s">
        <v>36</v>
      </c>
      <c r="I877" s="6">
        <v>44593</v>
      </c>
      <c r="J877" s="4">
        <v>0</v>
      </c>
      <c r="K877" s="4">
        <v>0</v>
      </c>
      <c r="L877" s="4">
        <v>-36.698999999999998</v>
      </c>
      <c r="M877" s="4">
        <v>-36.698999999999998</v>
      </c>
      <c r="N877" s="4">
        <v>-36.698999999999998</v>
      </c>
      <c r="O877" s="4">
        <v>-36.698999999999998</v>
      </c>
      <c r="P877" s="4">
        <v>0</v>
      </c>
      <c r="Q877" s="3" t="s">
        <v>26</v>
      </c>
      <c r="R877" s="3">
        <v>0</v>
      </c>
      <c r="S877" s="3" t="s">
        <v>297</v>
      </c>
      <c r="T877" s="3" t="s">
        <v>546</v>
      </c>
      <c r="U877" s="3">
        <v>0</v>
      </c>
      <c r="V877" s="3">
        <v>29</v>
      </c>
      <c r="W877" s="3">
        <v>73</v>
      </c>
    </row>
    <row r="878" spans="1:23" ht="11.25" customHeight="1" x14ac:dyDescent="0.25">
      <c r="A878" s="3" t="s">
        <v>28</v>
      </c>
      <c r="B878" s="3" t="s">
        <v>33</v>
      </c>
      <c r="C878" s="3" t="s">
        <v>34</v>
      </c>
      <c r="D878" s="3" t="s">
        <v>40</v>
      </c>
      <c r="E878" s="3" t="s">
        <v>25</v>
      </c>
      <c r="F878" s="3" t="s">
        <v>25</v>
      </c>
      <c r="G878" s="3" t="s">
        <v>25</v>
      </c>
      <c r="H878" s="3" t="s">
        <v>36</v>
      </c>
      <c r="I878" s="6">
        <v>44593</v>
      </c>
      <c r="J878" s="4">
        <v>0</v>
      </c>
      <c r="K878" s="4">
        <v>0</v>
      </c>
      <c r="L878" s="4">
        <v>255.11099999999999</v>
      </c>
      <c r="M878" s="4">
        <v>255.11099999999999</v>
      </c>
      <c r="N878" s="4">
        <v>255.11099999999999</v>
      </c>
      <c r="O878" s="4">
        <v>255.11099999999999</v>
      </c>
      <c r="P878" s="4">
        <v>0</v>
      </c>
      <c r="Q878" s="3" t="s">
        <v>26</v>
      </c>
      <c r="R878" s="3">
        <v>0</v>
      </c>
      <c r="S878" s="3" t="s">
        <v>297</v>
      </c>
      <c r="T878" s="3" t="s">
        <v>546</v>
      </c>
      <c r="U878" s="3">
        <v>0</v>
      </c>
      <c r="V878" s="3">
        <v>29</v>
      </c>
      <c r="W878" s="3">
        <v>73</v>
      </c>
    </row>
    <row r="879" spans="1:23" ht="11.25" customHeight="1" x14ac:dyDescent="0.25">
      <c r="A879" s="3" t="s">
        <v>21</v>
      </c>
      <c r="B879" s="3" t="s">
        <v>33</v>
      </c>
      <c r="C879" s="3" t="s">
        <v>34</v>
      </c>
      <c r="D879" s="3" t="s">
        <v>40</v>
      </c>
      <c r="E879" s="3" t="s">
        <v>25</v>
      </c>
      <c r="F879" s="3" t="s">
        <v>25</v>
      </c>
      <c r="G879" s="3" t="s">
        <v>25</v>
      </c>
      <c r="H879" s="3" t="s">
        <v>36</v>
      </c>
      <c r="I879" s="6">
        <v>44593</v>
      </c>
      <c r="J879" s="4">
        <v>0</v>
      </c>
      <c r="K879" s="4">
        <v>0</v>
      </c>
      <c r="L879" s="4">
        <v>785.85</v>
      </c>
      <c r="M879" s="4">
        <v>785.85</v>
      </c>
      <c r="N879" s="4">
        <v>0</v>
      </c>
      <c r="O879" s="4">
        <v>0</v>
      </c>
      <c r="P879" s="4">
        <v>0</v>
      </c>
      <c r="Q879" s="3" t="s">
        <v>57</v>
      </c>
      <c r="R879" s="3">
        <v>0</v>
      </c>
      <c r="S879" s="3" t="s">
        <v>297</v>
      </c>
      <c r="U879" s="3">
        <v>0</v>
      </c>
      <c r="V879" s="3">
        <v>29</v>
      </c>
      <c r="W879" s="3">
        <v>0</v>
      </c>
    </row>
    <row r="880" spans="1:23" ht="11.25" customHeight="1" x14ac:dyDescent="0.25">
      <c r="A880" s="3" t="s">
        <v>21</v>
      </c>
      <c r="B880" s="3" t="s">
        <v>33</v>
      </c>
      <c r="C880" s="3" t="s">
        <v>34</v>
      </c>
      <c r="D880" s="3" t="s">
        <v>40</v>
      </c>
      <c r="E880" s="3" t="s">
        <v>25</v>
      </c>
      <c r="F880" s="3" t="s">
        <v>25</v>
      </c>
      <c r="G880" s="3" t="s">
        <v>25</v>
      </c>
      <c r="H880" s="3" t="s">
        <v>36</v>
      </c>
      <c r="I880" s="6">
        <v>44621</v>
      </c>
      <c r="J880" s="4">
        <v>0</v>
      </c>
      <c r="K880" s="4">
        <v>0</v>
      </c>
      <c r="L880" s="4">
        <v>6845.9409999999998</v>
      </c>
      <c r="M880" s="4">
        <v>6845.9409999999998</v>
      </c>
      <c r="N880" s="4">
        <v>6845.9409999999998</v>
      </c>
      <c r="O880" s="4">
        <v>6845.9409999999998</v>
      </c>
      <c r="P880" s="4">
        <v>0</v>
      </c>
      <c r="Q880" s="3" t="s">
        <v>26</v>
      </c>
      <c r="R880" s="3">
        <v>0</v>
      </c>
      <c r="S880" s="3" t="s">
        <v>298</v>
      </c>
      <c r="T880" s="3" t="s">
        <v>547</v>
      </c>
      <c r="U880" s="3">
        <v>0</v>
      </c>
      <c r="V880" s="3">
        <v>29</v>
      </c>
      <c r="W880" s="3">
        <v>73</v>
      </c>
    </row>
    <row r="881" spans="1:23" ht="11.25" customHeight="1" x14ac:dyDescent="0.25">
      <c r="A881" s="3" t="s">
        <v>28</v>
      </c>
      <c r="B881" s="3" t="s">
        <v>33</v>
      </c>
      <c r="C881" s="3" t="s">
        <v>34</v>
      </c>
      <c r="D881" s="3" t="s">
        <v>40</v>
      </c>
      <c r="E881" s="3" t="s">
        <v>25</v>
      </c>
      <c r="F881" s="3" t="s">
        <v>25</v>
      </c>
      <c r="G881" s="3" t="s">
        <v>25</v>
      </c>
      <c r="H881" s="3" t="s">
        <v>36</v>
      </c>
      <c r="I881" s="6">
        <v>44621</v>
      </c>
      <c r="J881" s="4">
        <v>0</v>
      </c>
      <c r="K881" s="4">
        <v>0</v>
      </c>
      <c r="L881" s="4">
        <v>388.113</v>
      </c>
      <c r="M881" s="4">
        <v>388.113</v>
      </c>
      <c r="N881" s="4">
        <v>388.113</v>
      </c>
      <c r="O881" s="4">
        <v>388.113</v>
      </c>
      <c r="P881" s="4">
        <v>0</v>
      </c>
      <c r="Q881" s="3" t="s">
        <v>26</v>
      </c>
      <c r="R881" s="3">
        <v>0</v>
      </c>
      <c r="S881" s="3" t="s">
        <v>298</v>
      </c>
      <c r="T881" s="3" t="s">
        <v>547</v>
      </c>
      <c r="U881" s="3">
        <v>0</v>
      </c>
      <c r="V881" s="3">
        <v>29</v>
      </c>
      <c r="W881" s="3">
        <v>73</v>
      </c>
    </row>
    <row r="882" spans="1:23" ht="11.25" customHeight="1" x14ac:dyDescent="0.25">
      <c r="A882" s="3" t="s">
        <v>21</v>
      </c>
      <c r="B882" s="3" t="s">
        <v>33</v>
      </c>
      <c r="C882" s="3" t="s">
        <v>34</v>
      </c>
      <c r="D882" s="3" t="s">
        <v>40</v>
      </c>
      <c r="E882" s="3" t="s">
        <v>25</v>
      </c>
      <c r="F882" s="3" t="s">
        <v>25</v>
      </c>
      <c r="G882" s="3" t="s">
        <v>25</v>
      </c>
      <c r="H882" s="3" t="s">
        <v>36</v>
      </c>
      <c r="I882" s="6">
        <v>44621</v>
      </c>
      <c r="J882" s="4">
        <v>0</v>
      </c>
      <c r="K882" s="4">
        <v>0</v>
      </c>
      <c r="L882" s="4">
        <v>846.55100000000004</v>
      </c>
      <c r="M882" s="4">
        <v>846.55100000000004</v>
      </c>
      <c r="N882" s="4">
        <v>0</v>
      </c>
      <c r="O882" s="4">
        <v>0</v>
      </c>
      <c r="P882" s="4">
        <v>0</v>
      </c>
      <c r="Q882" s="3" t="s">
        <v>57</v>
      </c>
      <c r="R882" s="3">
        <v>0</v>
      </c>
      <c r="S882" s="3" t="s">
        <v>298</v>
      </c>
      <c r="U882" s="3">
        <v>0</v>
      </c>
      <c r="V882" s="3">
        <v>29</v>
      </c>
      <c r="W882" s="3">
        <v>0</v>
      </c>
    </row>
    <row r="883" spans="1:23" ht="11.25" customHeight="1" x14ac:dyDescent="0.25">
      <c r="A883" s="3" t="s">
        <v>56</v>
      </c>
      <c r="B883" s="3" t="s">
        <v>33</v>
      </c>
      <c r="C883" s="3" t="s">
        <v>34</v>
      </c>
      <c r="D883" s="3" t="s">
        <v>40</v>
      </c>
      <c r="E883" s="3" t="s">
        <v>25</v>
      </c>
      <c r="F883" s="3" t="s">
        <v>25</v>
      </c>
      <c r="G883" s="3" t="s">
        <v>25</v>
      </c>
      <c r="H883" s="3" t="s">
        <v>36</v>
      </c>
      <c r="I883" s="6">
        <v>44652</v>
      </c>
      <c r="J883" s="4">
        <v>0</v>
      </c>
      <c r="K883" s="4">
        <v>0</v>
      </c>
      <c r="L883" s="4">
        <v>6845.9409999999998</v>
      </c>
      <c r="M883" s="4">
        <v>6845.9409999999998</v>
      </c>
      <c r="N883" s="4">
        <v>6845.9409999999998</v>
      </c>
      <c r="O883" s="4">
        <v>6845.9409999999998</v>
      </c>
      <c r="P883" s="4">
        <v>0</v>
      </c>
      <c r="Q883" s="3" t="s">
        <v>26</v>
      </c>
      <c r="R883" s="3">
        <v>0</v>
      </c>
      <c r="S883" s="3" t="s">
        <v>299</v>
      </c>
      <c r="T883" s="3" t="s">
        <v>548</v>
      </c>
      <c r="U883" s="3">
        <v>0</v>
      </c>
      <c r="V883" s="3">
        <v>29</v>
      </c>
      <c r="W883" s="3">
        <v>73</v>
      </c>
    </row>
    <row r="884" spans="1:23" ht="11.25" customHeight="1" x14ac:dyDescent="0.25">
      <c r="A884" s="3" t="s">
        <v>56</v>
      </c>
      <c r="B884" s="3" t="s">
        <v>33</v>
      </c>
      <c r="C884" s="3" t="s">
        <v>34</v>
      </c>
      <c r="D884" s="3" t="s">
        <v>40</v>
      </c>
      <c r="E884" s="3" t="s">
        <v>25</v>
      </c>
      <c r="F884" s="3" t="s">
        <v>25</v>
      </c>
      <c r="G884" s="3" t="s">
        <v>25</v>
      </c>
      <c r="H884" s="3" t="s">
        <v>36</v>
      </c>
      <c r="I884" s="6">
        <v>44652</v>
      </c>
      <c r="J884" s="4">
        <v>0</v>
      </c>
      <c r="K884" s="4">
        <v>0</v>
      </c>
      <c r="L884" s="4">
        <v>388.113</v>
      </c>
      <c r="M884" s="4">
        <v>388.113</v>
      </c>
      <c r="N884" s="4">
        <v>388.113</v>
      </c>
      <c r="O884" s="4">
        <v>388.113</v>
      </c>
      <c r="P884" s="4">
        <v>0</v>
      </c>
      <c r="Q884" s="3" t="s">
        <v>26</v>
      </c>
      <c r="R884" s="3">
        <v>0</v>
      </c>
      <c r="S884" s="3" t="s">
        <v>299</v>
      </c>
      <c r="T884" s="3" t="s">
        <v>548</v>
      </c>
      <c r="U884" s="3">
        <v>0</v>
      </c>
      <c r="V884" s="3">
        <v>29</v>
      </c>
      <c r="W884" s="3">
        <v>73</v>
      </c>
    </row>
    <row r="885" spans="1:23" ht="11.25" customHeight="1" x14ac:dyDescent="0.25">
      <c r="A885" s="3" t="s">
        <v>56</v>
      </c>
      <c r="B885" s="3" t="s">
        <v>33</v>
      </c>
      <c r="C885" s="3" t="s">
        <v>34</v>
      </c>
      <c r="D885" s="3" t="s">
        <v>40</v>
      </c>
      <c r="E885" s="3" t="s">
        <v>25</v>
      </c>
      <c r="F885" s="3" t="s">
        <v>25</v>
      </c>
      <c r="G885" s="3" t="s">
        <v>25</v>
      </c>
      <c r="H885" s="3" t="s">
        <v>36</v>
      </c>
      <c r="I885" s="6">
        <v>44652</v>
      </c>
      <c r="J885" s="4">
        <v>0</v>
      </c>
      <c r="K885" s="4">
        <v>0</v>
      </c>
      <c r="L885" s="4">
        <v>846.55100000000004</v>
      </c>
      <c r="M885" s="4">
        <v>846.55100000000004</v>
      </c>
      <c r="N885" s="4">
        <v>0</v>
      </c>
      <c r="O885" s="4">
        <v>0</v>
      </c>
      <c r="P885" s="4">
        <v>0</v>
      </c>
      <c r="Q885" s="3" t="s">
        <v>57</v>
      </c>
      <c r="R885" s="3">
        <v>0</v>
      </c>
      <c r="S885" s="3" t="s">
        <v>299</v>
      </c>
      <c r="U885" s="3">
        <v>0</v>
      </c>
      <c r="V885" s="3">
        <v>29</v>
      </c>
      <c r="W885" s="3">
        <v>0</v>
      </c>
    </row>
    <row r="886" spans="1:23" ht="11.25" customHeight="1" x14ac:dyDescent="0.25">
      <c r="A886" s="3" t="s">
        <v>21</v>
      </c>
      <c r="B886" s="3" t="s">
        <v>33</v>
      </c>
      <c r="C886" s="3" t="s">
        <v>34</v>
      </c>
      <c r="D886" s="3" t="s">
        <v>40</v>
      </c>
      <c r="E886" s="3" t="s">
        <v>25</v>
      </c>
      <c r="F886" s="3" t="s">
        <v>25</v>
      </c>
      <c r="G886" s="3" t="s">
        <v>25</v>
      </c>
      <c r="H886" s="3" t="s">
        <v>25</v>
      </c>
      <c r="I886" s="6">
        <v>44317</v>
      </c>
      <c r="J886" s="4">
        <v>41542</v>
      </c>
      <c r="K886" s="4">
        <v>41542</v>
      </c>
      <c r="L886" s="4">
        <v>0</v>
      </c>
      <c r="M886" s="4">
        <v>0</v>
      </c>
      <c r="N886" s="4">
        <v>0</v>
      </c>
      <c r="O886" s="4">
        <v>0</v>
      </c>
      <c r="P886" s="4">
        <v>239</v>
      </c>
      <c r="Q886" s="3" t="s">
        <v>26</v>
      </c>
      <c r="R886" s="3">
        <v>0</v>
      </c>
      <c r="S886" s="3" t="s">
        <v>300</v>
      </c>
      <c r="U886" s="3">
        <v>7</v>
      </c>
      <c r="V886" s="3">
        <v>0</v>
      </c>
      <c r="W886" s="3">
        <v>0</v>
      </c>
    </row>
    <row r="887" spans="1:23" ht="11.25" customHeight="1" x14ac:dyDescent="0.25">
      <c r="A887" s="3" t="s">
        <v>27</v>
      </c>
      <c r="B887" s="3" t="s">
        <v>33</v>
      </c>
      <c r="C887" s="3" t="s">
        <v>34</v>
      </c>
      <c r="D887" s="3" t="s">
        <v>40</v>
      </c>
      <c r="E887" s="3" t="s">
        <v>25</v>
      </c>
      <c r="F887" s="3" t="s">
        <v>25</v>
      </c>
      <c r="G887" s="3" t="s">
        <v>25</v>
      </c>
      <c r="H887" s="3" t="s">
        <v>25</v>
      </c>
      <c r="I887" s="6">
        <v>44317</v>
      </c>
      <c r="J887" s="4">
        <v>-34</v>
      </c>
      <c r="K887" s="4">
        <v>-34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3" t="s">
        <v>26</v>
      </c>
      <c r="R887" s="3">
        <v>0</v>
      </c>
      <c r="S887" s="3" t="s">
        <v>300</v>
      </c>
      <c r="U887" s="3">
        <v>7</v>
      </c>
      <c r="V887" s="3">
        <v>0</v>
      </c>
      <c r="W887" s="3">
        <v>0</v>
      </c>
    </row>
    <row r="888" spans="1:23" ht="11.25" customHeight="1" x14ac:dyDescent="0.25">
      <c r="A888" s="3" t="s">
        <v>28</v>
      </c>
      <c r="B888" s="3" t="s">
        <v>33</v>
      </c>
      <c r="C888" s="3" t="s">
        <v>34</v>
      </c>
      <c r="D888" s="3" t="s">
        <v>40</v>
      </c>
      <c r="E888" s="3" t="s">
        <v>25</v>
      </c>
      <c r="F888" s="3" t="s">
        <v>25</v>
      </c>
      <c r="G888" s="3" t="s">
        <v>25</v>
      </c>
      <c r="H888" s="3" t="s">
        <v>25</v>
      </c>
      <c r="I888" s="6">
        <v>44317</v>
      </c>
      <c r="J888" s="4">
        <v>1745</v>
      </c>
      <c r="K888" s="4">
        <v>1745</v>
      </c>
      <c r="L888" s="4">
        <v>0</v>
      </c>
      <c r="M888" s="4">
        <v>0</v>
      </c>
      <c r="N888" s="4">
        <v>0</v>
      </c>
      <c r="O888" s="4">
        <v>0</v>
      </c>
      <c r="P888" s="4">
        <v>10</v>
      </c>
      <c r="Q888" s="3" t="s">
        <v>26</v>
      </c>
      <c r="R888" s="3">
        <v>0</v>
      </c>
      <c r="S888" s="3" t="s">
        <v>300</v>
      </c>
      <c r="U888" s="3">
        <v>7</v>
      </c>
      <c r="V888" s="3">
        <v>0</v>
      </c>
      <c r="W888" s="3">
        <v>0</v>
      </c>
    </row>
    <row r="889" spans="1:23" ht="11.25" customHeight="1" x14ac:dyDescent="0.25">
      <c r="A889" s="3" t="s">
        <v>21</v>
      </c>
      <c r="B889" s="3" t="s">
        <v>33</v>
      </c>
      <c r="C889" s="3" t="s">
        <v>34</v>
      </c>
      <c r="D889" s="3" t="s">
        <v>40</v>
      </c>
      <c r="E889" s="3" t="s">
        <v>25</v>
      </c>
      <c r="F889" s="3" t="s">
        <v>25</v>
      </c>
      <c r="G889" s="3" t="s">
        <v>25</v>
      </c>
      <c r="H889" s="3" t="s">
        <v>25</v>
      </c>
      <c r="I889" s="6">
        <v>44317</v>
      </c>
      <c r="J889" s="4">
        <v>2500</v>
      </c>
      <c r="K889" s="4">
        <v>2500</v>
      </c>
      <c r="L889" s="4">
        <v>0</v>
      </c>
      <c r="M889" s="4">
        <v>0</v>
      </c>
      <c r="N889" s="4">
        <v>0</v>
      </c>
      <c r="O889" s="4">
        <v>0</v>
      </c>
      <c r="P889" s="4">
        <v>1</v>
      </c>
      <c r="Q889" s="3" t="s">
        <v>57</v>
      </c>
      <c r="R889" s="3">
        <v>0</v>
      </c>
      <c r="S889" s="3" t="s">
        <v>300</v>
      </c>
      <c r="U889" s="3">
        <v>7</v>
      </c>
      <c r="V889" s="3">
        <v>0</v>
      </c>
      <c r="W889" s="3">
        <v>0</v>
      </c>
    </row>
    <row r="890" spans="1:23" ht="11.25" customHeight="1" x14ac:dyDescent="0.25">
      <c r="A890" s="3" t="s">
        <v>21</v>
      </c>
      <c r="B890" s="3" t="s">
        <v>33</v>
      </c>
      <c r="C890" s="3" t="s">
        <v>34</v>
      </c>
      <c r="D890" s="3" t="s">
        <v>40</v>
      </c>
      <c r="E890" s="3" t="s">
        <v>25</v>
      </c>
      <c r="F890" s="3" t="s">
        <v>25</v>
      </c>
      <c r="G890" s="3" t="s">
        <v>25</v>
      </c>
      <c r="H890" s="3" t="s">
        <v>25</v>
      </c>
      <c r="I890" s="6">
        <v>44348</v>
      </c>
      <c r="J890" s="4">
        <v>41302</v>
      </c>
      <c r="K890" s="4">
        <v>41302</v>
      </c>
      <c r="L890" s="4">
        <v>0</v>
      </c>
      <c r="M890" s="4">
        <v>0</v>
      </c>
      <c r="N890" s="4">
        <v>0</v>
      </c>
      <c r="O890" s="4">
        <v>0</v>
      </c>
      <c r="P890" s="4">
        <v>238</v>
      </c>
      <c r="Q890" s="3" t="s">
        <v>26</v>
      </c>
      <c r="R890" s="3">
        <v>0</v>
      </c>
      <c r="S890" s="3" t="s">
        <v>301</v>
      </c>
      <c r="U890" s="3">
        <v>7</v>
      </c>
      <c r="V890" s="3">
        <v>0</v>
      </c>
      <c r="W890" s="3">
        <v>0</v>
      </c>
    </row>
    <row r="891" spans="1:23" ht="11.25" customHeight="1" x14ac:dyDescent="0.25">
      <c r="A891" s="3" t="s">
        <v>27</v>
      </c>
      <c r="B891" s="3" t="s">
        <v>33</v>
      </c>
      <c r="C891" s="3" t="s">
        <v>34</v>
      </c>
      <c r="D891" s="3" t="s">
        <v>40</v>
      </c>
      <c r="E891" s="3" t="s">
        <v>25</v>
      </c>
      <c r="F891" s="3" t="s">
        <v>25</v>
      </c>
      <c r="G891" s="3" t="s">
        <v>25</v>
      </c>
      <c r="H891" s="3" t="s">
        <v>25</v>
      </c>
      <c r="I891" s="6">
        <v>44348</v>
      </c>
      <c r="J891" s="4">
        <v>-1008</v>
      </c>
      <c r="K891" s="4">
        <v>-1008</v>
      </c>
      <c r="L891" s="4">
        <v>0</v>
      </c>
      <c r="M891" s="4">
        <v>0</v>
      </c>
      <c r="N891" s="4">
        <v>0</v>
      </c>
      <c r="O891" s="4">
        <v>0</v>
      </c>
      <c r="P891" s="4">
        <v>-3</v>
      </c>
      <c r="Q891" s="3" t="s">
        <v>26</v>
      </c>
      <c r="R891" s="3">
        <v>0</v>
      </c>
      <c r="S891" s="3" t="s">
        <v>301</v>
      </c>
      <c r="U891" s="3">
        <v>7</v>
      </c>
      <c r="V891" s="3">
        <v>0</v>
      </c>
      <c r="W891" s="3">
        <v>0</v>
      </c>
    </row>
    <row r="892" spans="1:23" ht="11.25" customHeight="1" x14ac:dyDescent="0.25">
      <c r="A892" s="3" t="s">
        <v>28</v>
      </c>
      <c r="B892" s="3" t="s">
        <v>33</v>
      </c>
      <c r="C892" s="3" t="s">
        <v>34</v>
      </c>
      <c r="D892" s="3" t="s">
        <v>40</v>
      </c>
      <c r="E892" s="3" t="s">
        <v>25</v>
      </c>
      <c r="F892" s="3" t="s">
        <v>25</v>
      </c>
      <c r="G892" s="3" t="s">
        <v>25</v>
      </c>
      <c r="H892" s="3" t="s">
        <v>25</v>
      </c>
      <c r="I892" s="6">
        <v>44348</v>
      </c>
      <c r="J892" s="4">
        <v>1736</v>
      </c>
      <c r="K892" s="4">
        <v>1736</v>
      </c>
      <c r="L892" s="4">
        <v>0</v>
      </c>
      <c r="M892" s="4">
        <v>0</v>
      </c>
      <c r="N892" s="4">
        <v>0</v>
      </c>
      <c r="O892" s="4">
        <v>0</v>
      </c>
      <c r="P892" s="4">
        <v>10</v>
      </c>
      <c r="Q892" s="3" t="s">
        <v>26</v>
      </c>
      <c r="R892" s="3">
        <v>0</v>
      </c>
      <c r="S892" s="3" t="s">
        <v>301</v>
      </c>
      <c r="U892" s="3">
        <v>7</v>
      </c>
      <c r="V892" s="3">
        <v>0</v>
      </c>
      <c r="W892" s="3">
        <v>0</v>
      </c>
    </row>
    <row r="893" spans="1:23" ht="11.25" customHeight="1" x14ac:dyDescent="0.25">
      <c r="A893" s="3" t="s">
        <v>21</v>
      </c>
      <c r="B893" s="3" t="s">
        <v>33</v>
      </c>
      <c r="C893" s="3" t="s">
        <v>34</v>
      </c>
      <c r="D893" s="3" t="s">
        <v>40</v>
      </c>
      <c r="E893" s="3" t="s">
        <v>25</v>
      </c>
      <c r="F893" s="3" t="s">
        <v>25</v>
      </c>
      <c r="G893" s="3" t="s">
        <v>25</v>
      </c>
      <c r="H893" s="3" t="s">
        <v>25</v>
      </c>
      <c r="I893" s="6">
        <v>44348</v>
      </c>
      <c r="J893" s="4">
        <v>2614</v>
      </c>
      <c r="K893" s="4">
        <v>2614</v>
      </c>
      <c r="L893" s="4">
        <v>0</v>
      </c>
      <c r="M893" s="4">
        <v>0</v>
      </c>
      <c r="N893" s="4">
        <v>0</v>
      </c>
      <c r="O893" s="4">
        <v>0</v>
      </c>
      <c r="P893" s="4">
        <v>1</v>
      </c>
      <c r="Q893" s="3" t="s">
        <v>57</v>
      </c>
      <c r="R893" s="3">
        <v>0</v>
      </c>
      <c r="S893" s="3" t="s">
        <v>301</v>
      </c>
      <c r="U893" s="3">
        <v>7</v>
      </c>
      <c r="V893" s="3">
        <v>0</v>
      </c>
      <c r="W893" s="3">
        <v>0</v>
      </c>
    </row>
    <row r="894" spans="1:23" ht="11.25" customHeight="1" x14ac:dyDescent="0.25">
      <c r="A894" s="3" t="s">
        <v>21</v>
      </c>
      <c r="B894" s="3" t="s">
        <v>33</v>
      </c>
      <c r="C894" s="3" t="s">
        <v>34</v>
      </c>
      <c r="D894" s="3" t="s">
        <v>40</v>
      </c>
      <c r="E894" s="3" t="s">
        <v>25</v>
      </c>
      <c r="F894" s="3" t="s">
        <v>25</v>
      </c>
      <c r="G894" s="3" t="s">
        <v>25</v>
      </c>
      <c r="H894" s="3" t="s">
        <v>25</v>
      </c>
      <c r="I894" s="6">
        <v>44378</v>
      </c>
      <c r="J894" s="4">
        <v>41821</v>
      </c>
      <c r="K894" s="4">
        <v>41821</v>
      </c>
      <c r="L894" s="4">
        <v>0</v>
      </c>
      <c r="M894" s="4">
        <v>0</v>
      </c>
      <c r="N894" s="4">
        <v>0</v>
      </c>
      <c r="O894" s="4">
        <v>0</v>
      </c>
      <c r="P894" s="4">
        <v>235</v>
      </c>
      <c r="Q894" s="3" t="s">
        <v>26</v>
      </c>
      <c r="R894" s="3">
        <v>0</v>
      </c>
      <c r="S894" s="3" t="s">
        <v>302</v>
      </c>
      <c r="U894" s="3">
        <v>7</v>
      </c>
      <c r="V894" s="3">
        <v>0</v>
      </c>
      <c r="W894" s="3">
        <v>0</v>
      </c>
    </row>
    <row r="895" spans="1:23" ht="11.25" customHeight="1" x14ac:dyDescent="0.25">
      <c r="A895" s="3" t="s">
        <v>28</v>
      </c>
      <c r="B895" s="3" t="s">
        <v>33</v>
      </c>
      <c r="C895" s="3" t="s">
        <v>34</v>
      </c>
      <c r="D895" s="3" t="s">
        <v>40</v>
      </c>
      <c r="E895" s="3" t="s">
        <v>25</v>
      </c>
      <c r="F895" s="3" t="s">
        <v>25</v>
      </c>
      <c r="G895" s="3" t="s">
        <v>25</v>
      </c>
      <c r="H895" s="3" t="s">
        <v>25</v>
      </c>
      <c r="I895" s="6">
        <v>44378</v>
      </c>
      <c r="J895" s="4">
        <v>2385</v>
      </c>
      <c r="K895" s="4">
        <v>2385</v>
      </c>
      <c r="L895" s="4">
        <v>0</v>
      </c>
      <c r="M895" s="4">
        <v>0</v>
      </c>
      <c r="N895" s="4">
        <v>0</v>
      </c>
      <c r="O895" s="4">
        <v>0</v>
      </c>
      <c r="P895" s="4">
        <v>12</v>
      </c>
      <c r="Q895" s="3" t="s">
        <v>26</v>
      </c>
      <c r="R895" s="3">
        <v>0</v>
      </c>
      <c r="S895" s="3" t="s">
        <v>302</v>
      </c>
      <c r="U895" s="3">
        <v>7</v>
      </c>
      <c r="V895" s="3">
        <v>0</v>
      </c>
      <c r="W895" s="3">
        <v>0</v>
      </c>
    </row>
    <row r="896" spans="1:23" ht="11.25" customHeight="1" x14ac:dyDescent="0.25">
      <c r="A896" s="3" t="s">
        <v>21</v>
      </c>
      <c r="B896" s="3" t="s">
        <v>33</v>
      </c>
      <c r="C896" s="3" t="s">
        <v>34</v>
      </c>
      <c r="D896" s="3" t="s">
        <v>40</v>
      </c>
      <c r="E896" s="3" t="s">
        <v>25</v>
      </c>
      <c r="F896" s="3" t="s">
        <v>25</v>
      </c>
      <c r="G896" s="3" t="s">
        <v>25</v>
      </c>
      <c r="H896" s="3" t="s">
        <v>25</v>
      </c>
      <c r="I896" s="6">
        <v>44378</v>
      </c>
      <c r="J896" s="4">
        <v>2667</v>
      </c>
      <c r="K896" s="4">
        <v>2667</v>
      </c>
      <c r="L896" s="4">
        <v>0</v>
      </c>
      <c r="M896" s="4">
        <v>0</v>
      </c>
      <c r="N896" s="4">
        <v>0</v>
      </c>
      <c r="O896" s="4">
        <v>0</v>
      </c>
      <c r="P896" s="4">
        <v>1</v>
      </c>
      <c r="Q896" s="3" t="s">
        <v>57</v>
      </c>
      <c r="R896" s="3">
        <v>0</v>
      </c>
      <c r="S896" s="3" t="s">
        <v>302</v>
      </c>
      <c r="U896" s="3">
        <v>7</v>
      </c>
      <c r="V896" s="3">
        <v>0</v>
      </c>
      <c r="W896" s="3">
        <v>0</v>
      </c>
    </row>
    <row r="897" spans="1:23" ht="11.25" customHeight="1" x14ac:dyDescent="0.25">
      <c r="A897" s="3" t="s">
        <v>21</v>
      </c>
      <c r="B897" s="3" t="s">
        <v>33</v>
      </c>
      <c r="C897" s="3" t="s">
        <v>34</v>
      </c>
      <c r="D897" s="3" t="s">
        <v>40</v>
      </c>
      <c r="E897" s="3" t="s">
        <v>25</v>
      </c>
      <c r="F897" s="3" t="s">
        <v>25</v>
      </c>
      <c r="G897" s="3" t="s">
        <v>25</v>
      </c>
      <c r="H897" s="3" t="s">
        <v>25</v>
      </c>
      <c r="I897" s="6">
        <v>44409</v>
      </c>
      <c r="J897" s="4">
        <v>42621</v>
      </c>
      <c r="K897" s="4">
        <v>42621</v>
      </c>
      <c r="L897" s="4">
        <v>0</v>
      </c>
      <c r="M897" s="4">
        <v>0</v>
      </c>
      <c r="N897" s="4">
        <v>0</v>
      </c>
      <c r="O897" s="4">
        <v>0</v>
      </c>
      <c r="P897" s="4">
        <v>227</v>
      </c>
      <c r="Q897" s="3" t="s">
        <v>26</v>
      </c>
      <c r="R897" s="3">
        <v>0</v>
      </c>
      <c r="S897" s="3" t="s">
        <v>303</v>
      </c>
      <c r="U897" s="3">
        <v>7</v>
      </c>
      <c r="V897" s="3">
        <v>0</v>
      </c>
      <c r="W897" s="3">
        <v>0</v>
      </c>
    </row>
    <row r="898" spans="1:23" ht="11.25" customHeight="1" x14ac:dyDescent="0.25">
      <c r="A898" s="3" t="s">
        <v>27</v>
      </c>
      <c r="B898" s="3" t="s">
        <v>33</v>
      </c>
      <c r="C898" s="3" t="s">
        <v>34</v>
      </c>
      <c r="D898" s="3" t="s">
        <v>40</v>
      </c>
      <c r="E898" s="3" t="s">
        <v>25</v>
      </c>
      <c r="F898" s="3" t="s">
        <v>25</v>
      </c>
      <c r="G898" s="3" t="s">
        <v>25</v>
      </c>
      <c r="H898" s="3" t="s">
        <v>25</v>
      </c>
      <c r="I898" s="6">
        <v>44409</v>
      </c>
      <c r="J898" s="4">
        <v>37</v>
      </c>
      <c r="K898" s="4">
        <v>37</v>
      </c>
      <c r="L898" s="4">
        <v>0</v>
      </c>
      <c r="M898" s="4">
        <v>0</v>
      </c>
      <c r="N898" s="4">
        <v>0</v>
      </c>
      <c r="O898" s="4">
        <v>0</v>
      </c>
      <c r="P898" s="4">
        <v>-1</v>
      </c>
      <c r="Q898" s="3" t="s">
        <v>26</v>
      </c>
      <c r="R898" s="3">
        <v>0</v>
      </c>
      <c r="S898" s="3" t="s">
        <v>303</v>
      </c>
      <c r="U898" s="3">
        <v>7</v>
      </c>
      <c r="V898" s="3">
        <v>0</v>
      </c>
      <c r="W898" s="3">
        <v>0</v>
      </c>
    </row>
    <row r="899" spans="1:23" ht="11.25" customHeight="1" x14ac:dyDescent="0.25">
      <c r="A899" s="3" t="s">
        <v>28</v>
      </c>
      <c r="B899" s="3" t="s">
        <v>33</v>
      </c>
      <c r="C899" s="3" t="s">
        <v>34</v>
      </c>
      <c r="D899" s="3" t="s">
        <v>40</v>
      </c>
      <c r="E899" s="3" t="s">
        <v>25</v>
      </c>
      <c r="F899" s="3" t="s">
        <v>25</v>
      </c>
      <c r="G899" s="3" t="s">
        <v>25</v>
      </c>
      <c r="H899" s="3" t="s">
        <v>25</v>
      </c>
      <c r="I899" s="6">
        <v>44409</v>
      </c>
      <c r="J899" s="4">
        <v>2565</v>
      </c>
      <c r="K899" s="4">
        <v>2565</v>
      </c>
      <c r="L899" s="4">
        <v>0</v>
      </c>
      <c r="M899" s="4">
        <v>0</v>
      </c>
      <c r="N899" s="4">
        <v>0</v>
      </c>
      <c r="O899" s="4">
        <v>0</v>
      </c>
      <c r="P899" s="4">
        <v>14</v>
      </c>
      <c r="Q899" s="3" t="s">
        <v>26</v>
      </c>
      <c r="R899" s="3">
        <v>0</v>
      </c>
      <c r="S899" s="3" t="s">
        <v>303</v>
      </c>
      <c r="U899" s="3">
        <v>7</v>
      </c>
      <c r="V899" s="3">
        <v>0</v>
      </c>
      <c r="W899" s="3">
        <v>0</v>
      </c>
    </row>
    <row r="900" spans="1:23" ht="11.25" customHeight="1" x14ac:dyDescent="0.25">
      <c r="A900" s="3" t="s">
        <v>21</v>
      </c>
      <c r="B900" s="3" t="s">
        <v>33</v>
      </c>
      <c r="C900" s="3" t="s">
        <v>34</v>
      </c>
      <c r="D900" s="3" t="s">
        <v>40</v>
      </c>
      <c r="E900" s="3" t="s">
        <v>25</v>
      </c>
      <c r="F900" s="3" t="s">
        <v>25</v>
      </c>
      <c r="G900" s="3" t="s">
        <v>25</v>
      </c>
      <c r="H900" s="3" t="s">
        <v>25</v>
      </c>
      <c r="I900" s="6">
        <v>44409</v>
      </c>
      <c r="J900" s="4">
        <v>2667</v>
      </c>
      <c r="K900" s="4">
        <v>2667</v>
      </c>
      <c r="L900" s="4">
        <v>0</v>
      </c>
      <c r="M900" s="4">
        <v>0</v>
      </c>
      <c r="N900" s="4">
        <v>0</v>
      </c>
      <c r="O900" s="4">
        <v>0</v>
      </c>
      <c r="P900" s="4">
        <v>1</v>
      </c>
      <c r="Q900" s="3" t="s">
        <v>57</v>
      </c>
      <c r="R900" s="3">
        <v>0</v>
      </c>
      <c r="S900" s="3" t="s">
        <v>303</v>
      </c>
      <c r="U900" s="3">
        <v>7</v>
      </c>
      <c r="V900" s="3">
        <v>0</v>
      </c>
      <c r="W900" s="3">
        <v>0</v>
      </c>
    </row>
    <row r="901" spans="1:23" ht="11.25" customHeight="1" x14ac:dyDescent="0.25">
      <c r="A901" s="3" t="s">
        <v>21</v>
      </c>
      <c r="B901" s="3" t="s">
        <v>33</v>
      </c>
      <c r="C901" s="3" t="s">
        <v>34</v>
      </c>
      <c r="D901" s="3" t="s">
        <v>40</v>
      </c>
      <c r="E901" s="3" t="s">
        <v>25</v>
      </c>
      <c r="F901" s="3" t="s">
        <v>25</v>
      </c>
      <c r="G901" s="3" t="s">
        <v>25</v>
      </c>
      <c r="H901" s="3" t="s">
        <v>25</v>
      </c>
      <c r="I901" s="6">
        <v>44440</v>
      </c>
      <c r="J901" s="4">
        <v>43420</v>
      </c>
      <c r="K901" s="4">
        <v>43420</v>
      </c>
      <c r="L901" s="4">
        <v>0</v>
      </c>
      <c r="M901" s="4">
        <v>0</v>
      </c>
      <c r="N901" s="4">
        <v>0</v>
      </c>
      <c r="O901" s="4">
        <v>0</v>
      </c>
      <c r="P901" s="4">
        <v>229</v>
      </c>
      <c r="Q901" s="3" t="s">
        <v>26</v>
      </c>
      <c r="R901" s="3">
        <v>0</v>
      </c>
      <c r="S901" s="3" t="s">
        <v>304</v>
      </c>
      <c r="U901" s="3">
        <v>7</v>
      </c>
      <c r="V901" s="3">
        <v>0</v>
      </c>
      <c r="W901" s="3">
        <v>0</v>
      </c>
    </row>
    <row r="902" spans="1:23" ht="11.25" customHeight="1" x14ac:dyDescent="0.25">
      <c r="A902" s="3" t="s">
        <v>27</v>
      </c>
      <c r="B902" s="3" t="s">
        <v>33</v>
      </c>
      <c r="C902" s="3" t="s">
        <v>34</v>
      </c>
      <c r="D902" s="3" t="s">
        <v>40</v>
      </c>
      <c r="E902" s="3" t="s">
        <v>25</v>
      </c>
      <c r="F902" s="3" t="s">
        <v>25</v>
      </c>
      <c r="G902" s="3" t="s">
        <v>25</v>
      </c>
      <c r="H902" s="3" t="s">
        <v>25</v>
      </c>
      <c r="I902" s="6">
        <v>44440</v>
      </c>
      <c r="J902" s="4">
        <v>-167</v>
      </c>
      <c r="K902" s="4">
        <v>-167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3" t="s">
        <v>26</v>
      </c>
      <c r="R902" s="3">
        <v>0</v>
      </c>
      <c r="S902" s="3" t="s">
        <v>304</v>
      </c>
      <c r="U902" s="3">
        <v>7</v>
      </c>
      <c r="V902" s="3">
        <v>0</v>
      </c>
      <c r="W902" s="3">
        <v>0</v>
      </c>
    </row>
    <row r="903" spans="1:23" ht="11.25" customHeight="1" x14ac:dyDescent="0.25">
      <c r="A903" s="3" t="s">
        <v>28</v>
      </c>
      <c r="B903" s="3" t="s">
        <v>33</v>
      </c>
      <c r="C903" s="3" t="s">
        <v>34</v>
      </c>
      <c r="D903" s="3" t="s">
        <v>40</v>
      </c>
      <c r="E903" s="3" t="s">
        <v>25</v>
      </c>
      <c r="F903" s="3" t="s">
        <v>25</v>
      </c>
      <c r="G903" s="3" t="s">
        <v>25</v>
      </c>
      <c r="H903" s="3" t="s">
        <v>25</v>
      </c>
      <c r="I903" s="6">
        <v>44440</v>
      </c>
      <c r="J903" s="4">
        <v>2505</v>
      </c>
      <c r="K903" s="4">
        <v>2505</v>
      </c>
      <c r="L903" s="4">
        <v>0</v>
      </c>
      <c r="M903" s="4">
        <v>0</v>
      </c>
      <c r="N903" s="4">
        <v>0</v>
      </c>
      <c r="O903" s="4">
        <v>0</v>
      </c>
      <c r="P903" s="4">
        <v>14</v>
      </c>
      <c r="Q903" s="3" t="s">
        <v>26</v>
      </c>
      <c r="R903" s="3">
        <v>0</v>
      </c>
      <c r="S903" s="3" t="s">
        <v>304</v>
      </c>
      <c r="U903" s="3">
        <v>7</v>
      </c>
      <c r="V903" s="3">
        <v>0</v>
      </c>
      <c r="W903" s="3">
        <v>0</v>
      </c>
    </row>
    <row r="904" spans="1:23" ht="11.25" customHeight="1" x14ac:dyDescent="0.25">
      <c r="A904" s="3" t="s">
        <v>21</v>
      </c>
      <c r="B904" s="3" t="s">
        <v>33</v>
      </c>
      <c r="C904" s="3" t="s">
        <v>34</v>
      </c>
      <c r="D904" s="3" t="s">
        <v>40</v>
      </c>
      <c r="E904" s="3" t="s">
        <v>25</v>
      </c>
      <c r="F904" s="3" t="s">
        <v>25</v>
      </c>
      <c r="G904" s="3" t="s">
        <v>25</v>
      </c>
      <c r="H904" s="3" t="s">
        <v>25</v>
      </c>
      <c r="I904" s="6">
        <v>44440</v>
      </c>
      <c r="J904" s="4">
        <v>2667</v>
      </c>
      <c r="K904" s="4">
        <v>2667</v>
      </c>
      <c r="L904" s="4">
        <v>0</v>
      </c>
      <c r="M904" s="4">
        <v>0</v>
      </c>
      <c r="N904" s="4">
        <v>0</v>
      </c>
      <c r="O904" s="4">
        <v>0</v>
      </c>
      <c r="P904" s="4">
        <v>1</v>
      </c>
      <c r="Q904" s="3" t="s">
        <v>57</v>
      </c>
      <c r="R904" s="3">
        <v>0</v>
      </c>
      <c r="S904" s="3" t="s">
        <v>304</v>
      </c>
      <c r="U904" s="3">
        <v>7</v>
      </c>
      <c r="V904" s="3">
        <v>0</v>
      </c>
      <c r="W904" s="3">
        <v>0</v>
      </c>
    </row>
    <row r="905" spans="1:23" ht="11.25" customHeight="1" x14ac:dyDescent="0.25">
      <c r="A905" s="3" t="s">
        <v>21</v>
      </c>
      <c r="B905" s="3" t="s">
        <v>33</v>
      </c>
      <c r="C905" s="3" t="s">
        <v>34</v>
      </c>
      <c r="D905" s="3" t="s">
        <v>40</v>
      </c>
      <c r="E905" s="3" t="s">
        <v>25</v>
      </c>
      <c r="F905" s="3" t="s">
        <v>25</v>
      </c>
      <c r="G905" s="3" t="s">
        <v>25</v>
      </c>
      <c r="H905" s="3" t="s">
        <v>25</v>
      </c>
      <c r="I905" s="6">
        <v>44470</v>
      </c>
      <c r="J905" s="4">
        <v>44244</v>
      </c>
      <c r="K905" s="4">
        <v>44244</v>
      </c>
      <c r="L905" s="4">
        <v>0</v>
      </c>
      <c r="M905" s="4">
        <v>0</v>
      </c>
      <c r="N905" s="4">
        <v>0</v>
      </c>
      <c r="O905" s="4">
        <v>0</v>
      </c>
      <c r="P905" s="4">
        <v>227</v>
      </c>
      <c r="Q905" s="3" t="s">
        <v>26</v>
      </c>
      <c r="R905" s="3">
        <v>0</v>
      </c>
      <c r="S905" s="3" t="s">
        <v>305</v>
      </c>
      <c r="U905" s="3">
        <v>7</v>
      </c>
      <c r="V905" s="3">
        <v>0</v>
      </c>
      <c r="W905" s="3">
        <v>0</v>
      </c>
    </row>
    <row r="906" spans="1:23" ht="11.25" customHeight="1" x14ac:dyDescent="0.25">
      <c r="A906" s="3" t="s">
        <v>27</v>
      </c>
      <c r="B906" s="3" t="s">
        <v>33</v>
      </c>
      <c r="C906" s="3" t="s">
        <v>34</v>
      </c>
      <c r="D906" s="3" t="s">
        <v>40</v>
      </c>
      <c r="E906" s="3" t="s">
        <v>25</v>
      </c>
      <c r="F906" s="3" t="s">
        <v>25</v>
      </c>
      <c r="G906" s="3" t="s">
        <v>25</v>
      </c>
      <c r="H906" s="3" t="s">
        <v>25</v>
      </c>
      <c r="I906" s="6">
        <v>44470</v>
      </c>
      <c r="J906" s="4">
        <v>-242</v>
      </c>
      <c r="K906" s="4">
        <v>-242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3" t="s">
        <v>26</v>
      </c>
      <c r="R906" s="3">
        <v>0</v>
      </c>
      <c r="S906" s="3" t="s">
        <v>305</v>
      </c>
      <c r="U906" s="3">
        <v>7</v>
      </c>
      <c r="V906" s="3">
        <v>0</v>
      </c>
      <c r="W906" s="3">
        <v>0</v>
      </c>
    </row>
    <row r="907" spans="1:23" ht="11.25" customHeight="1" x14ac:dyDescent="0.25">
      <c r="A907" s="3" t="s">
        <v>28</v>
      </c>
      <c r="B907" s="3" t="s">
        <v>33</v>
      </c>
      <c r="C907" s="3" t="s">
        <v>34</v>
      </c>
      <c r="D907" s="3" t="s">
        <v>40</v>
      </c>
      <c r="E907" s="3" t="s">
        <v>25</v>
      </c>
      <c r="F907" s="3" t="s">
        <v>25</v>
      </c>
      <c r="G907" s="3" t="s">
        <v>25</v>
      </c>
      <c r="H907" s="3" t="s">
        <v>25</v>
      </c>
      <c r="I907" s="6">
        <v>44470</v>
      </c>
      <c r="J907" s="4">
        <v>2535</v>
      </c>
      <c r="K907" s="4">
        <v>2535</v>
      </c>
      <c r="L907" s="4">
        <v>0</v>
      </c>
      <c r="M907" s="4">
        <v>0</v>
      </c>
      <c r="N907" s="4">
        <v>0</v>
      </c>
      <c r="O907" s="4">
        <v>0</v>
      </c>
      <c r="P907" s="4">
        <v>14</v>
      </c>
      <c r="Q907" s="3" t="s">
        <v>26</v>
      </c>
      <c r="R907" s="3">
        <v>0</v>
      </c>
      <c r="S907" s="3" t="s">
        <v>305</v>
      </c>
      <c r="U907" s="3">
        <v>7</v>
      </c>
      <c r="V907" s="3">
        <v>0</v>
      </c>
      <c r="W907" s="3">
        <v>0</v>
      </c>
    </row>
    <row r="908" spans="1:23" ht="11.25" customHeight="1" x14ac:dyDescent="0.25">
      <c r="A908" s="3" t="s">
        <v>21</v>
      </c>
      <c r="B908" s="3" t="s">
        <v>33</v>
      </c>
      <c r="C908" s="3" t="s">
        <v>34</v>
      </c>
      <c r="D908" s="3" t="s">
        <v>40</v>
      </c>
      <c r="E908" s="3" t="s">
        <v>25</v>
      </c>
      <c r="F908" s="3" t="s">
        <v>25</v>
      </c>
      <c r="G908" s="3" t="s">
        <v>25</v>
      </c>
      <c r="H908" s="3" t="s">
        <v>25</v>
      </c>
      <c r="I908" s="6">
        <v>44470</v>
      </c>
      <c r="J908" s="4">
        <v>2644</v>
      </c>
      <c r="K908" s="4">
        <v>2644</v>
      </c>
      <c r="L908" s="4">
        <v>0</v>
      </c>
      <c r="M908" s="4">
        <v>0</v>
      </c>
      <c r="N908" s="4">
        <v>0</v>
      </c>
      <c r="O908" s="4">
        <v>0</v>
      </c>
      <c r="P908" s="4">
        <v>1</v>
      </c>
      <c r="Q908" s="3" t="s">
        <v>57</v>
      </c>
      <c r="R908" s="3">
        <v>0</v>
      </c>
      <c r="S908" s="3" t="s">
        <v>305</v>
      </c>
      <c r="U908" s="3">
        <v>7</v>
      </c>
      <c r="V908" s="3">
        <v>0</v>
      </c>
      <c r="W908" s="3">
        <v>0</v>
      </c>
    </row>
    <row r="909" spans="1:23" ht="11.25" customHeight="1" x14ac:dyDescent="0.25">
      <c r="A909" s="3" t="s">
        <v>21</v>
      </c>
      <c r="B909" s="3" t="s">
        <v>33</v>
      </c>
      <c r="C909" s="3" t="s">
        <v>34</v>
      </c>
      <c r="D909" s="3" t="s">
        <v>40</v>
      </c>
      <c r="E909" s="3" t="s">
        <v>25</v>
      </c>
      <c r="F909" s="3" t="s">
        <v>25</v>
      </c>
      <c r="G909" s="3" t="s">
        <v>25</v>
      </c>
      <c r="H909" s="3" t="s">
        <v>25</v>
      </c>
      <c r="I909" s="6">
        <v>44501</v>
      </c>
      <c r="J909" s="4">
        <v>42706</v>
      </c>
      <c r="K909" s="4">
        <v>42706</v>
      </c>
      <c r="L909" s="4">
        <v>0</v>
      </c>
      <c r="M909" s="4">
        <v>0</v>
      </c>
      <c r="N909" s="4">
        <v>0</v>
      </c>
      <c r="O909" s="4">
        <v>0</v>
      </c>
      <c r="P909" s="4">
        <v>225</v>
      </c>
      <c r="Q909" s="3" t="s">
        <v>26</v>
      </c>
      <c r="R909" s="3">
        <v>0</v>
      </c>
      <c r="S909" s="3" t="s">
        <v>306</v>
      </c>
      <c r="U909" s="3">
        <v>7</v>
      </c>
      <c r="V909" s="3">
        <v>0</v>
      </c>
      <c r="W909" s="3">
        <v>0</v>
      </c>
    </row>
    <row r="910" spans="1:23" ht="11.25" customHeight="1" x14ac:dyDescent="0.25">
      <c r="A910" s="3" t="s">
        <v>27</v>
      </c>
      <c r="B910" s="3" t="s">
        <v>33</v>
      </c>
      <c r="C910" s="3" t="s">
        <v>34</v>
      </c>
      <c r="D910" s="3" t="s">
        <v>40</v>
      </c>
      <c r="E910" s="3" t="s">
        <v>25</v>
      </c>
      <c r="F910" s="3" t="s">
        <v>25</v>
      </c>
      <c r="G910" s="3" t="s">
        <v>25</v>
      </c>
      <c r="H910" s="3" t="s">
        <v>25</v>
      </c>
      <c r="I910" s="6">
        <v>44501</v>
      </c>
      <c r="J910" s="4">
        <v>624</v>
      </c>
      <c r="K910" s="4">
        <v>624</v>
      </c>
      <c r="L910" s="4">
        <v>0</v>
      </c>
      <c r="M910" s="4">
        <v>0</v>
      </c>
      <c r="N910" s="4">
        <v>0</v>
      </c>
      <c r="O910" s="4">
        <v>0</v>
      </c>
      <c r="P910" s="4">
        <v>2</v>
      </c>
      <c r="Q910" s="3" t="s">
        <v>26</v>
      </c>
      <c r="R910" s="3">
        <v>0</v>
      </c>
      <c r="S910" s="3" t="s">
        <v>306</v>
      </c>
      <c r="U910" s="3">
        <v>7</v>
      </c>
      <c r="V910" s="3">
        <v>0</v>
      </c>
      <c r="W910" s="3">
        <v>0</v>
      </c>
    </row>
    <row r="911" spans="1:23" ht="11.25" customHeight="1" x14ac:dyDescent="0.25">
      <c r="A911" s="3" t="s">
        <v>28</v>
      </c>
      <c r="B911" s="3" t="s">
        <v>33</v>
      </c>
      <c r="C911" s="3" t="s">
        <v>34</v>
      </c>
      <c r="D911" s="3" t="s">
        <v>40</v>
      </c>
      <c r="E911" s="3" t="s">
        <v>25</v>
      </c>
      <c r="F911" s="3" t="s">
        <v>25</v>
      </c>
      <c r="G911" s="3" t="s">
        <v>25</v>
      </c>
      <c r="H911" s="3" t="s">
        <v>25</v>
      </c>
      <c r="I911" s="6">
        <v>44501</v>
      </c>
      <c r="J911" s="4">
        <v>2528</v>
      </c>
      <c r="K911" s="4">
        <v>2528</v>
      </c>
      <c r="L911" s="4">
        <v>0</v>
      </c>
      <c r="M911" s="4">
        <v>0</v>
      </c>
      <c r="N911" s="4">
        <v>0</v>
      </c>
      <c r="O911" s="4">
        <v>0</v>
      </c>
      <c r="P911" s="4">
        <v>14</v>
      </c>
      <c r="Q911" s="3" t="s">
        <v>26</v>
      </c>
      <c r="R911" s="3">
        <v>0</v>
      </c>
      <c r="S911" s="3" t="s">
        <v>306</v>
      </c>
      <c r="U911" s="3">
        <v>7</v>
      </c>
      <c r="V911" s="3">
        <v>0</v>
      </c>
      <c r="W911" s="3">
        <v>0</v>
      </c>
    </row>
    <row r="912" spans="1:23" ht="11.25" customHeight="1" x14ac:dyDescent="0.25">
      <c r="A912" s="3" t="s">
        <v>21</v>
      </c>
      <c r="B912" s="3" t="s">
        <v>33</v>
      </c>
      <c r="C912" s="3" t="s">
        <v>34</v>
      </c>
      <c r="D912" s="3" t="s">
        <v>40</v>
      </c>
      <c r="E912" s="3" t="s">
        <v>25</v>
      </c>
      <c r="F912" s="3" t="s">
        <v>25</v>
      </c>
      <c r="G912" s="3" t="s">
        <v>25</v>
      </c>
      <c r="H912" s="3" t="s">
        <v>25</v>
      </c>
      <c r="I912" s="6">
        <v>44501</v>
      </c>
      <c r="J912" s="4">
        <v>2632</v>
      </c>
      <c r="K912" s="4">
        <v>2632</v>
      </c>
      <c r="L912" s="4">
        <v>0</v>
      </c>
      <c r="M912" s="4">
        <v>0</v>
      </c>
      <c r="N912" s="4">
        <v>0</v>
      </c>
      <c r="O912" s="4">
        <v>0</v>
      </c>
      <c r="P912" s="4">
        <v>1</v>
      </c>
      <c r="Q912" s="3" t="s">
        <v>57</v>
      </c>
      <c r="R912" s="3">
        <v>0</v>
      </c>
      <c r="S912" s="3" t="s">
        <v>306</v>
      </c>
      <c r="U912" s="3">
        <v>7</v>
      </c>
      <c r="V912" s="3">
        <v>0</v>
      </c>
      <c r="W912" s="3">
        <v>0</v>
      </c>
    </row>
    <row r="913" spans="1:23" ht="11.25" customHeight="1" x14ac:dyDescent="0.25">
      <c r="A913" s="3" t="s">
        <v>21</v>
      </c>
      <c r="B913" s="3" t="s">
        <v>33</v>
      </c>
      <c r="C913" s="3" t="s">
        <v>34</v>
      </c>
      <c r="D913" s="3" t="s">
        <v>40</v>
      </c>
      <c r="E913" s="3" t="s">
        <v>25</v>
      </c>
      <c r="F913" s="3" t="s">
        <v>25</v>
      </c>
      <c r="G913" s="3" t="s">
        <v>25</v>
      </c>
      <c r="H913" s="3" t="s">
        <v>25</v>
      </c>
      <c r="I913" s="6">
        <v>44531</v>
      </c>
      <c r="J913" s="4">
        <v>45467</v>
      </c>
      <c r="K913" s="4">
        <v>45467</v>
      </c>
      <c r="L913" s="4">
        <v>0</v>
      </c>
      <c r="M913" s="4">
        <v>0</v>
      </c>
      <c r="N913" s="4">
        <v>0</v>
      </c>
      <c r="O913" s="4">
        <v>0</v>
      </c>
      <c r="P913" s="4">
        <v>226</v>
      </c>
      <c r="Q913" s="3" t="s">
        <v>26</v>
      </c>
      <c r="R913" s="3">
        <v>0</v>
      </c>
      <c r="S913" s="3" t="s">
        <v>307</v>
      </c>
      <c r="U913" s="3">
        <v>7</v>
      </c>
      <c r="V913" s="3">
        <v>0</v>
      </c>
      <c r="W913" s="3">
        <v>0</v>
      </c>
    </row>
    <row r="914" spans="1:23" ht="11.25" customHeight="1" x14ac:dyDescent="0.25">
      <c r="A914" s="3" t="s">
        <v>27</v>
      </c>
      <c r="B914" s="3" t="s">
        <v>33</v>
      </c>
      <c r="C914" s="3" t="s">
        <v>34</v>
      </c>
      <c r="D914" s="3" t="s">
        <v>40</v>
      </c>
      <c r="E914" s="3" t="s">
        <v>25</v>
      </c>
      <c r="F914" s="3" t="s">
        <v>25</v>
      </c>
      <c r="G914" s="3" t="s">
        <v>25</v>
      </c>
      <c r="H914" s="3" t="s">
        <v>25</v>
      </c>
      <c r="I914" s="6">
        <v>44531</v>
      </c>
      <c r="J914" s="4">
        <v>274</v>
      </c>
      <c r="K914" s="4">
        <v>274</v>
      </c>
      <c r="L914" s="4">
        <v>0</v>
      </c>
      <c r="M914" s="4">
        <v>0</v>
      </c>
      <c r="N914" s="4">
        <v>0</v>
      </c>
      <c r="O914" s="4">
        <v>0</v>
      </c>
      <c r="P914" s="4">
        <v>1</v>
      </c>
      <c r="Q914" s="3" t="s">
        <v>26</v>
      </c>
      <c r="R914" s="3">
        <v>0</v>
      </c>
      <c r="S914" s="3" t="s">
        <v>307</v>
      </c>
      <c r="U914" s="3">
        <v>7</v>
      </c>
      <c r="V914" s="3">
        <v>0</v>
      </c>
      <c r="W914" s="3">
        <v>0</v>
      </c>
    </row>
    <row r="915" spans="1:23" ht="11.25" customHeight="1" x14ac:dyDescent="0.25">
      <c r="A915" s="3" t="s">
        <v>28</v>
      </c>
      <c r="B915" s="3" t="s">
        <v>33</v>
      </c>
      <c r="C915" s="3" t="s">
        <v>34</v>
      </c>
      <c r="D915" s="3" t="s">
        <v>40</v>
      </c>
      <c r="E915" s="3" t="s">
        <v>25</v>
      </c>
      <c r="F915" s="3" t="s">
        <v>25</v>
      </c>
      <c r="G915" s="3" t="s">
        <v>25</v>
      </c>
      <c r="H915" s="3" t="s">
        <v>25</v>
      </c>
      <c r="I915" s="6">
        <v>44531</v>
      </c>
      <c r="J915" s="4">
        <v>2803</v>
      </c>
      <c r="K915" s="4">
        <v>2803</v>
      </c>
      <c r="L915" s="4">
        <v>0</v>
      </c>
      <c r="M915" s="4">
        <v>0</v>
      </c>
      <c r="N915" s="4">
        <v>0</v>
      </c>
      <c r="O915" s="4">
        <v>0</v>
      </c>
      <c r="P915" s="4">
        <v>15</v>
      </c>
      <c r="Q915" s="3" t="s">
        <v>26</v>
      </c>
      <c r="R915" s="3">
        <v>0</v>
      </c>
      <c r="S915" s="3" t="s">
        <v>307</v>
      </c>
      <c r="U915" s="3">
        <v>7</v>
      </c>
      <c r="V915" s="3">
        <v>0</v>
      </c>
      <c r="W915" s="3">
        <v>0</v>
      </c>
    </row>
    <row r="916" spans="1:23" ht="11.25" customHeight="1" x14ac:dyDescent="0.25">
      <c r="A916" s="3" t="s">
        <v>21</v>
      </c>
      <c r="B916" s="3" t="s">
        <v>33</v>
      </c>
      <c r="C916" s="3" t="s">
        <v>34</v>
      </c>
      <c r="D916" s="3" t="s">
        <v>40</v>
      </c>
      <c r="E916" s="3" t="s">
        <v>25</v>
      </c>
      <c r="F916" s="3" t="s">
        <v>25</v>
      </c>
      <c r="G916" s="3" t="s">
        <v>25</v>
      </c>
      <c r="H916" s="3" t="s">
        <v>25</v>
      </c>
      <c r="I916" s="6">
        <v>44531</v>
      </c>
      <c r="J916" s="4">
        <v>2704</v>
      </c>
      <c r="K916" s="4">
        <v>2704</v>
      </c>
      <c r="L916" s="4">
        <v>0</v>
      </c>
      <c r="M916" s="4">
        <v>0</v>
      </c>
      <c r="N916" s="4">
        <v>0</v>
      </c>
      <c r="O916" s="4">
        <v>0</v>
      </c>
      <c r="P916" s="4">
        <v>1</v>
      </c>
      <c r="Q916" s="3" t="s">
        <v>57</v>
      </c>
      <c r="R916" s="3">
        <v>0</v>
      </c>
      <c r="S916" s="3" t="s">
        <v>307</v>
      </c>
      <c r="U916" s="3">
        <v>7</v>
      </c>
      <c r="V916" s="3">
        <v>0</v>
      </c>
      <c r="W916" s="3">
        <v>0</v>
      </c>
    </row>
    <row r="917" spans="1:23" ht="11.25" customHeight="1" x14ac:dyDescent="0.25">
      <c r="A917" s="3" t="s">
        <v>21</v>
      </c>
      <c r="B917" s="3" t="s">
        <v>33</v>
      </c>
      <c r="C917" s="3" t="s">
        <v>34</v>
      </c>
      <c r="D917" s="3" t="s">
        <v>40</v>
      </c>
      <c r="E917" s="3" t="s">
        <v>25</v>
      </c>
      <c r="F917" s="3" t="s">
        <v>25</v>
      </c>
      <c r="G917" s="3" t="s">
        <v>25</v>
      </c>
      <c r="H917" s="3" t="s">
        <v>25</v>
      </c>
      <c r="I917" s="6">
        <v>44562</v>
      </c>
      <c r="J917" s="4">
        <v>42528</v>
      </c>
      <c r="K917" s="4">
        <v>42528</v>
      </c>
      <c r="L917" s="4">
        <v>0</v>
      </c>
      <c r="M917" s="4">
        <v>0</v>
      </c>
      <c r="N917" s="4">
        <v>0</v>
      </c>
      <c r="O917" s="4">
        <v>0</v>
      </c>
      <c r="P917" s="4">
        <v>224</v>
      </c>
      <c r="Q917" s="3" t="s">
        <v>26</v>
      </c>
      <c r="R917" s="3">
        <v>0</v>
      </c>
      <c r="S917" s="3" t="s">
        <v>308</v>
      </c>
      <c r="U917" s="3">
        <v>7</v>
      </c>
      <c r="V917" s="3">
        <v>0</v>
      </c>
      <c r="W917" s="3">
        <v>0</v>
      </c>
    </row>
    <row r="918" spans="1:23" ht="11.25" customHeight="1" x14ac:dyDescent="0.25">
      <c r="A918" s="3" t="s">
        <v>27</v>
      </c>
      <c r="B918" s="3" t="s">
        <v>33</v>
      </c>
      <c r="C918" s="3" t="s">
        <v>34</v>
      </c>
      <c r="D918" s="3" t="s">
        <v>40</v>
      </c>
      <c r="E918" s="3" t="s">
        <v>25</v>
      </c>
      <c r="F918" s="3" t="s">
        <v>25</v>
      </c>
      <c r="G918" s="3" t="s">
        <v>25</v>
      </c>
      <c r="H918" s="3" t="s">
        <v>25</v>
      </c>
      <c r="I918" s="6">
        <v>44562</v>
      </c>
      <c r="J918" s="4">
        <v>-1556</v>
      </c>
      <c r="K918" s="4">
        <v>-1556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3" t="s">
        <v>26</v>
      </c>
      <c r="R918" s="3">
        <v>0</v>
      </c>
      <c r="S918" s="3" t="s">
        <v>308</v>
      </c>
      <c r="U918" s="3">
        <v>7</v>
      </c>
      <c r="V918" s="3">
        <v>0</v>
      </c>
      <c r="W918" s="3">
        <v>0</v>
      </c>
    </row>
    <row r="919" spans="1:23" ht="11.25" customHeight="1" x14ac:dyDescent="0.25">
      <c r="A919" s="3" t="s">
        <v>28</v>
      </c>
      <c r="B919" s="3" t="s">
        <v>33</v>
      </c>
      <c r="C919" s="3" t="s">
        <v>34</v>
      </c>
      <c r="D919" s="3" t="s">
        <v>40</v>
      </c>
      <c r="E919" s="3" t="s">
        <v>25</v>
      </c>
      <c r="F919" s="3" t="s">
        <v>25</v>
      </c>
      <c r="G919" s="3" t="s">
        <v>25</v>
      </c>
      <c r="H919" s="3" t="s">
        <v>25</v>
      </c>
      <c r="I919" s="6">
        <v>44562</v>
      </c>
      <c r="J919" s="4">
        <v>3009</v>
      </c>
      <c r="K919" s="4">
        <v>3009</v>
      </c>
      <c r="L919" s="4">
        <v>0</v>
      </c>
      <c r="M919" s="4">
        <v>0</v>
      </c>
      <c r="N919" s="4">
        <v>0</v>
      </c>
      <c r="O919" s="4">
        <v>0</v>
      </c>
      <c r="P919" s="4">
        <v>16</v>
      </c>
      <c r="Q919" s="3" t="s">
        <v>26</v>
      </c>
      <c r="R919" s="3">
        <v>0</v>
      </c>
      <c r="S919" s="3" t="s">
        <v>308</v>
      </c>
      <c r="U919" s="3">
        <v>7</v>
      </c>
      <c r="V919" s="3">
        <v>0</v>
      </c>
      <c r="W919" s="3">
        <v>0</v>
      </c>
    </row>
    <row r="920" spans="1:23" ht="11.25" customHeight="1" x14ac:dyDescent="0.25">
      <c r="A920" s="3" t="s">
        <v>21</v>
      </c>
      <c r="B920" s="3" t="s">
        <v>33</v>
      </c>
      <c r="C920" s="3" t="s">
        <v>34</v>
      </c>
      <c r="D920" s="3" t="s">
        <v>40</v>
      </c>
      <c r="E920" s="3" t="s">
        <v>25</v>
      </c>
      <c r="F920" s="3" t="s">
        <v>25</v>
      </c>
      <c r="G920" s="3" t="s">
        <v>25</v>
      </c>
      <c r="H920" s="3" t="s">
        <v>25</v>
      </c>
      <c r="I920" s="6">
        <v>44562</v>
      </c>
      <c r="J920" s="4">
        <v>2748</v>
      </c>
      <c r="K920" s="4">
        <v>2748</v>
      </c>
      <c r="L920" s="4">
        <v>0</v>
      </c>
      <c r="M920" s="4">
        <v>0</v>
      </c>
      <c r="N920" s="4">
        <v>0</v>
      </c>
      <c r="O920" s="4">
        <v>0</v>
      </c>
      <c r="P920" s="4">
        <v>1</v>
      </c>
      <c r="Q920" s="3" t="s">
        <v>57</v>
      </c>
      <c r="R920" s="3">
        <v>0</v>
      </c>
      <c r="S920" s="3" t="s">
        <v>308</v>
      </c>
      <c r="U920" s="3">
        <v>7</v>
      </c>
      <c r="V920" s="3">
        <v>0</v>
      </c>
      <c r="W920" s="3">
        <v>0</v>
      </c>
    </row>
    <row r="921" spans="1:23" ht="11.25" customHeight="1" x14ac:dyDescent="0.25">
      <c r="A921" s="3" t="s">
        <v>21</v>
      </c>
      <c r="B921" s="3" t="s">
        <v>33</v>
      </c>
      <c r="C921" s="3" t="s">
        <v>34</v>
      </c>
      <c r="D921" s="3" t="s">
        <v>40</v>
      </c>
      <c r="E921" s="3" t="s">
        <v>25</v>
      </c>
      <c r="F921" s="3" t="s">
        <v>25</v>
      </c>
      <c r="G921" s="3" t="s">
        <v>25</v>
      </c>
      <c r="H921" s="3" t="s">
        <v>25</v>
      </c>
      <c r="I921" s="6">
        <v>44593</v>
      </c>
      <c r="J921" s="4">
        <v>41882</v>
      </c>
      <c r="K921" s="4">
        <v>41882</v>
      </c>
      <c r="L921" s="4">
        <v>0</v>
      </c>
      <c r="M921" s="4">
        <v>0</v>
      </c>
      <c r="N921" s="4">
        <v>0</v>
      </c>
      <c r="O921" s="4">
        <v>0</v>
      </c>
      <c r="P921" s="4">
        <v>226</v>
      </c>
      <c r="Q921" s="3" t="s">
        <v>26</v>
      </c>
      <c r="R921" s="3">
        <v>0</v>
      </c>
      <c r="S921" s="3" t="s">
        <v>309</v>
      </c>
      <c r="U921" s="3">
        <v>7</v>
      </c>
      <c r="V921" s="3">
        <v>0</v>
      </c>
      <c r="W921" s="3">
        <v>0</v>
      </c>
    </row>
    <row r="922" spans="1:23" ht="11.25" customHeight="1" x14ac:dyDescent="0.25">
      <c r="A922" s="3" t="s">
        <v>27</v>
      </c>
      <c r="B922" s="3" t="s">
        <v>33</v>
      </c>
      <c r="C922" s="3" t="s">
        <v>34</v>
      </c>
      <c r="D922" s="3" t="s">
        <v>40</v>
      </c>
      <c r="E922" s="3" t="s">
        <v>25</v>
      </c>
      <c r="F922" s="3" t="s">
        <v>25</v>
      </c>
      <c r="G922" s="3" t="s">
        <v>25</v>
      </c>
      <c r="H922" s="3" t="s">
        <v>25</v>
      </c>
      <c r="I922" s="6">
        <v>44593</v>
      </c>
      <c r="J922" s="4">
        <v>-1826</v>
      </c>
      <c r="K922" s="4">
        <v>-1826</v>
      </c>
      <c r="L922" s="4">
        <v>0</v>
      </c>
      <c r="M922" s="4">
        <v>0</v>
      </c>
      <c r="N922" s="4">
        <v>0</v>
      </c>
      <c r="O922" s="4">
        <v>0</v>
      </c>
      <c r="P922" s="4">
        <v>-1</v>
      </c>
      <c r="Q922" s="3" t="s">
        <v>26</v>
      </c>
      <c r="R922" s="3">
        <v>0</v>
      </c>
      <c r="S922" s="3" t="s">
        <v>309</v>
      </c>
      <c r="U922" s="3">
        <v>7</v>
      </c>
      <c r="V922" s="3">
        <v>0</v>
      </c>
      <c r="W922" s="3">
        <v>0</v>
      </c>
    </row>
    <row r="923" spans="1:23" ht="11.25" customHeight="1" x14ac:dyDescent="0.25">
      <c r="A923" s="3" t="s">
        <v>28</v>
      </c>
      <c r="B923" s="3" t="s">
        <v>33</v>
      </c>
      <c r="C923" s="3" t="s">
        <v>34</v>
      </c>
      <c r="D923" s="3" t="s">
        <v>40</v>
      </c>
      <c r="E923" s="3" t="s">
        <v>25</v>
      </c>
      <c r="F923" s="3" t="s">
        <v>25</v>
      </c>
      <c r="G923" s="3" t="s">
        <v>25</v>
      </c>
      <c r="H923" s="3" t="s">
        <v>25</v>
      </c>
      <c r="I923" s="6">
        <v>44593</v>
      </c>
      <c r="J923" s="4">
        <v>3035</v>
      </c>
      <c r="K923" s="4">
        <v>3035</v>
      </c>
      <c r="L923" s="4">
        <v>0</v>
      </c>
      <c r="M923" s="4">
        <v>0</v>
      </c>
      <c r="N923" s="4">
        <v>0</v>
      </c>
      <c r="O923" s="4">
        <v>0</v>
      </c>
      <c r="P923" s="4">
        <v>16</v>
      </c>
      <c r="Q923" s="3" t="s">
        <v>26</v>
      </c>
      <c r="R923" s="3">
        <v>0</v>
      </c>
      <c r="S923" s="3" t="s">
        <v>309</v>
      </c>
      <c r="U923" s="3">
        <v>7</v>
      </c>
      <c r="V923" s="3">
        <v>0</v>
      </c>
      <c r="W923" s="3">
        <v>0</v>
      </c>
    </row>
    <row r="924" spans="1:23" ht="11.25" customHeight="1" x14ac:dyDescent="0.25">
      <c r="A924" s="3" t="s">
        <v>21</v>
      </c>
      <c r="B924" s="3" t="s">
        <v>33</v>
      </c>
      <c r="C924" s="3" t="s">
        <v>34</v>
      </c>
      <c r="D924" s="3" t="s">
        <v>40</v>
      </c>
      <c r="E924" s="3" t="s">
        <v>25</v>
      </c>
      <c r="F924" s="3" t="s">
        <v>25</v>
      </c>
      <c r="G924" s="3" t="s">
        <v>25</v>
      </c>
      <c r="H924" s="3" t="s">
        <v>25</v>
      </c>
      <c r="I924" s="6">
        <v>44593</v>
      </c>
      <c r="J924" s="4">
        <v>2639</v>
      </c>
      <c r="K924" s="4">
        <v>2639</v>
      </c>
      <c r="L924" s="4">
        <v>0</v>
      </c>
      <c r="M924" s="4">
        <v>0</v>
      </c>
      <c r="N924" s="4">
        <v>0</v>
      </c>
      <c r="O924" s="4">
        <v>0</v>
      </c>
      <c r="P924" s="4">
        <v>1</v>
      </c>
      <c r="Q924" s="3" t="s">
        <v>57</v>
      </c>
      <c r="R924" s="3">
        <v>0</v>
      </c>
      <c r="S924" s="3" t="s">
        <v>309</v>
      </c>
      <c r="U924" s="3">
        <v>7</v>
      </c>
      <c r="V924" s="3">
        <v>0</v>
      </c>
      <c r="W924" s="3">
        <v>0</v>
      </c>
    </row>
    <row r="925" spans="1:23" ht="11.25" customHeight="1" x14ac:dyDescent="0.25">
      <c r="A925" s="3" t="s">
        <v>21</v>
      </c>
      <c r="B925" s="3" t="s">
        <v>33</v>
      </c>
      <c r="C925" s="3" t="s">
        <v>34</v>
      </c>
      <c r="D925" s="3" t="s">
        <v>40</v>
      </c>
      <c r="E925" s="3" t="s">
        <v>25</v>
      </c>
      <c r="F925" s="3" t="s">
        <v>25</v>
      </c>
      <c r="G925" s="3" t="s">
        <v>25</v>
      </c>
      <c r="H925" s="3" t="s">
        <v>25</v>
      </c>
      <c r="I925" s="6">
        <v>44621</v>
      </c>
      <c r="J925" s="4">
        <v>40385</v>
      </c>
      <c r="K925" s="4">
        <v>40385</v>
      </c>
      <c r="L925" s="4">
        <v>0</v>
      </c>
      <c r="M925" s="4">
        <v>0</v>
      </c>
      <c r="N925" s="4">
        <v>0</v>
      </c>
      <c r="O925" s="4">
        <v>0</v>
      </c>
      <c r="P925" s="4">
        <v>223</v>
      </c>
      <c r="Q925" s="3" t="s">
        <v>26</v>
      </c>
      <c r="R925" s="3">
        <v>0</v>
      </c>
      <c r="S925" s="3" t="s">
        <v>310</v>
      </c>
      <c r="U925" s="3">
        <v>7</v>
      </c>
      <c r="V925" s="3">
        <v>0</v>
      </c>
      <c r="W925" s="3">
        <v>0</v>
      </c>
    </row>
    <row r="926" spans="1:23" ht="11.25" customHeight="1" x14ac:dyDescent="0.25">
      <c r="A926" s="3" t="s">
        <v>28</v>
      </c>
      <c r="B926" s="3" t="s">
        <v>33</v>
      </c>
      <c r="C926" s="3" t="s">
        <v>34</v>
      </c>
      <c r="D926" s="3" t="s">
        <v>40</v>
      </c>
      <c r="E926" s="3" t="s">
        <v>25</v>
      </c>
      <c r="F926" s="3" t="s">
        <v>25</v>
      </c>
      <c r="G926" s="3" t="s">
        <v>25</v>
      </c>
      <c r="H926" s="3" t="s">
        <v>25</v>
      </c>
      <c r="I926" s="6">
        <v>44621</v>
      </c>
      <c r="J926" s="4">
        <v>3505</v>
      </c>
      <c r="K926" s="4">
        <v>3505</v>
      </c>
      <c r="L926" s="4">
        <v>0</v>
      </c>
      <c r="M926" s="4">
        <v>0</v>
      </c>
      <c r="N926" s="4">
        <v>0</v>
      </c>
      <c r="O926" s="4">
        <v>0</v>
      </c>
      <c r="P926" s="4">
        <v>19</v>
      </c>
      <c r="Q926" s="3" t="s">
        <v>26</v>
      </c>
      <c r="R926" s="3">
        <v>0</v>
      </c>
      <c r="S926" s="3" t="s">
        <v>310</v>
      </c>
      <c r="U926" s="3">
        <v>7</v>
      </c>
      <c r="V926" s="3">
        <v>0</v>
      </c>
      <c r="W926" s="3">
        <v>0</v>
      </c>
    </row>
    <row r="927" spans="1:23" ht="11.25" customHeight="1" x14ac:dyDescent="0.25">
      <c r="A927" s="3" t="s">
        <v>21</v>
      </c>
      <c r="B927" s="3" t="s">
        <v>33</v>
      </c>
      <c r="C927" s="3" t="s">
        <v>34</v>
      </c>
      <c r="D927" s="3" t="s">
        <v>40</v>
      </c>
      <c r="E927" s="3" t="s">
        <v>25</v>
      </c>
      <c r="F927" s="3" t="s">
        <v>25</v>
      </c>
      <c r="G927" s="3" t="s">
        <v>25</v>
      </c>
      <c r="H927" s="3" t="s">
        <v>25</v>
      </c>
      <c r="I927" s="6">
        <v>44621</v>
      </c>
      <c r="J927" s="4">
        <v>2500</v>
      </c>
      <c r="K927" s="4">
        <v>2500</v>
      </c>
      <c r="L927" s="4">
        <v>0</v>
      </c>
      <c r="M927" s="4">
        <v>0</v>
      </c>
      <c r="N927" s="4">
        <v>0</v>
      </c>
      <c r="O927" s="4">
        <v>0</v>
      </c>
      <c r="P927" s="4">
        <v>1</v>
      </c>
      <c r="Q927" s="3" t="s">
        <v>57</v>
      </c>
      <c r="R927" s="3">
        <v>0</v>
      </c>
      <c r="S927" s="3" t="s">
        <v>310</v>
      </c>
      <c r="U927" s="3">
        <v>7</v>
      </c>
      <c r="V927" s="3">
        <v>0</v>
      </c>
      <c r="W927" s="3">
        <v>0</v>
      </c>
    </row>
    <row r="928" spans="1:23" ht="11.25" customHeight="1" x14ac:dyDescent="0.25">
      <c r="A928" s="3" t="s">
        <v>56</v>
      </c>
      <c r="B928" s="3" t="s">
        <v>33</v>
      </c>
      <c r="C928" s="3" t="s">
        <v>34</v>
      </c>
      <c r="D928" s="3" t="s">
        <v>40</v>
      </c>
      <c r="E928" s="3" t="s">
        <v>25</v>
      </c>
      <c r="F928" s="3" t="s">
        <v>25</v>
      </c>
      <c r="G928" s="3" t="s">
        <v>25</v>
      </c>
      <c r="H928" s="3" t="s">
        <v>25</v>
      </c>
      <c r="I928" s="6">
        <v>44652</v>
      </c>
      <c r="J928" s="4">
        <v>40385</v>
      </c>
      <c r="K928" s="4">
        <v>40385</v>
      </c>
      <c r="L928" s="4">
        <v>0</v>
      </c>
      <c r="M928" s="4">
        <v>0</v>
      </c>
      <c r="N928" s="4">
        <v>0</v>
      </c>
      <c r="O928" s="4">
        <v>0</v>
      </c>
      <c r="P928" s="4">
        <v>223</v>
      </c>
      <c r="Q928" s="3" t="s">
        <v>26</v>
      </c>
      <c r="R928" s="3">
        <v>0</v>
      </c>
      <c r="S928" s="3" t="s">
        <v>311</v>
      </c>
      <c r="U928" s="3">
        <v>7</v>
      </c>
      <c r="V928" s="3">
        <v>0</v>
      </c>
      <c r="W928" s="3">
        <v>0</v>
      </c>
    </row>
    <row r="929" spans="1:23" ht="11.25" customHeight="1" x14ac:dyDescent="0.25">
      <c r="A929" s="3" t="s">
        <v>56</v>
      </c>
      <c r="B929" s="3" t="s">
        <v>33</v>
      </c>
      <c r="C929" s="3" t="s">
        <v>34</v>
      </c>
      <c r="D929" s="3" t="s">
        <v>40</v>
      </c>
      <c r="E929" s="3" t="s">
        <v>25</v>
      </c>
      <c r="F929" s="3" t="s">
        <v>25</v>
      </c>
      <c r="G929" s="3" t="s">
        <v>25</v>
      </c>
      <c r="H929" s="3" t="s">
        <v>25</v>
      </c>
      <c r="I929" s="6">
        <v>44652</v>
      </c>
      <c r="J929" s="4">
        <v>3505</v>
      </c>
      <c r="K929" s="4">
        <v>3505</v>
      </c>
      <c r="L929" s="4">
        <v>0</v>
      </c>
      <c r="M929" s="4">
        <v>0</v>
      </c>
      <c r="N929" s="4">
        <v>0</v>
      </c>
      <c r="O929" s="4">
        <v>0</v>
      </c>
      <c r="P929" s="4">
        <v>19</v>
      </c>
      <c r="Q929" s="3" t="s">
        <v>26</v>
      </c>
      <c r="R929" s="3">
        <v>0</v>
      </c>
      <c r="S929" s="3" t="s">
        <v>311</v>
      </c>
      <c r="U929" s="3">
        <v>7</v>
      </c>
      <c r="V929" s="3">
        <v>0</v>
      </c>
      <c r="W929" s="3">
        <v>0</v>
      </c>
    </row>
    <row r="930" spans="1:23" ht="11.25" customHeight="1" x14ac:dyDescent="0.25">
      <c r="A930" s="3" t="s">
        <v>56</v>
      </c>
      <c r="B930" s="3" t="s">
        <v>33</v>
      </c>
      <c r="C930" s="3" t="s">
        <v>34</v>
      </c>
      <c r="D930" s="3" t="s">
        <v>40</v>
      </c>
      <c r="E930" s="3" t="s">
        <v>25</v>
      </c>
      <c r="F930" s="3" t="s">
        <v>25</v>
      </c>
      <c r="G930" s="3" t="s">
        <v>25</v>
      </c>
      <c r="H930" s="3" t="s">
        <v>25</v>
      </c>
      <c r="I930" s="6">
        <v>44652</v>
      </c>
      <c r="J930" s="4">
        <v>2500</v>
      </c>
      <c r="K930" s="4">
        <v>2500</v>
      </c>
      <c r="L930" s="4">
        <v>0</v>
      </c>
      <c r="M930" s="4">
        <v>0</v>
      </c>
      <c r="N930" s="4">
        <v>0</v>
      </c>
      <c r="O930" s="4">
        <v>0</v>
      </c>
      <c r="P930" s="4">
        <v>1</v>
      </c>
      <c r="Q930" s="3" t="s">
        <v>57</v>
      </c>
      <c r="R930" s="3">
        <v>0</v>
      </c>
      <c r="S930" s="3" t="s">
        <v>311</v>
      </c>
      <c r="U930" s="3">
        <v>7</v>
      </c>
      <c r="V930" s="3">
        <v>0</v>
      </c>
      <c r="W930" s="3">
        <v>0</v>
      </c>
    </row>
    <row r="931" spans="1:23" ht="11.25" customHeight="1" x14ac:dyDescent="0.25">
      <c r="A931" s="3" t="s">
        <v>21</v>
      </c>
      <c r="B931" s="3" t="s">
        <v>33</v>
      </c>
      <c r="C931" s="3" t="s">
        <v>34</v>
      </c>
      <c r="D931" s="3" t="s">
        <v>40</v>
      </c>
      <c r="E931" s="3" t="s">
        <v>25</v>
      </c>
      <c r="F931" s="3" t="s">
        <v>25</v>
      </c>
      <c r="G931" s="3" t="s">
        <v>25</v>
      </c>
      <c r="H931" s="3" t="s">
        <v>35</v>
      </c>
      <c r="I931" s="6">
        <v>44317</v>
      </c>
      <c r="J931" s="4">
        <v>0</v>
      </c>
      <c r="K931" s="4">
        <v>0</v>
      </c>
      <c r="L931" s="4">
        <v>315.51900000000001</v>
      </c>
      <c r="M931" s="4">
        <v>315.51900000000001</v>
      </c>
      <c r="N931" s="4">
        <v>315.51900000000001</v>
      </c>
      <c r="O931" s="4">
        <v>315.51900000000001</v>
      </c>
      <c r="P931" s="4">
        <v>0</v>
      </c>
      <c r="Q931" s="3" t="s">
        <v>26</v>
      </c>
      <c r="R931" s="3">
        <v>0</v>
      </c>
      <c r="S931" s="3" t="s">
        <v>312</v>
      </c>
      <c r="T931" s="3" t="s">
        <v>549</v>
      </c>
      <c r="U931" s="3">
        <v>0</v>
      </c>
      <c r="V931" s="3">
        <v>8</v>
      </c>
      <c r="W931" s="3">
        <v>72</v>
      </c>
    </row>
    <row r="932" spans="1:23" ht="11.25" customHeight="1" x14ac:dyDescent="0.25">
      <c r="A932" s="3" t="s">
        <v>28</v>
      </c>
      <c r="B932" s="3" t="s">
        <v>33</v>
      </c>
      <c r="C932" s="3" t="s">
        <v>34</v>
      </c>
      <c r="D932" s="3" t="s">
        <v>40</v>
      </c>
      <c r="E932" s="3" t="s">
        <v>25</v>
      </c>
      <c r="F932" s="3" t="s">
        <v>25</v>
      </c>
      <c r="G932" s="3" t="s">
        <v>25</v>
      </c>
      <c r="H932" s="3" t="s">
        <v>35</v>
      </c>
      <c r="I932" s="6">
        <v>44317</v>
      </c>
      <c r="J932" s="4">
        <v>0</v>
      </c>
      <c r="K932" s="4">
        <v>0</v>
      </c>
      <c r="L932" s="4">
        <v>10.651</v>
      </c>
      <c r="M932" s="4">
        <v>10.651</v>
      </c>
      <c r="N932" s="4">
        <v>10.651</v>
      </c>
      <c r="O932" s="4">
        <v>10.651</v>
      </c>
      <c r="P932" s="4">
        <v>0</v>
      </c>
      <c r="Q932" s="3" t="s">
        <v>26</v>
      </c>
      <c r="R932" s="3">
        <v>0</v>
      </c>
      <c r="S932" s="3" t="s">
        <v>312</v>
      </c>
      <c r="T932" s="3" t="s">
        <v>549</v>
      </c>
      <c r="U932" s="3">
        <v>0</v>
      </c>
      <c r="V932" s="3">
        <v>8</v>
      </c>
      <c r="W932" s="3">
        <v>72</v>
      </c>
    </row>
    <row r="933" spans="1:23" ht="11.25" customHeight="1" x14ac:dyDescent="0.25">
      <c r="A933" s="3" t="s">
        <v>21</v>
      </c>
      <c r="B933" s="3" t="s">
        <v>33</v>
      </c>
      <c r="C933" s="3" t="s">
        <v>34</v>
      </c>
      <c r="D933" s="3" t="s">
        <v>40</v>
      </c>
      <c r="E933" s="3" t="s">
        <v>25</v>
      </c>
      <c r="F933" s="3" t="s">
        <v>25</v>
      </c>
      <c r="G933" s="3" t="s">
        <v>25</v>
      </c>
      <c r="H933" s="3" t="s">
        <v>35</v>
      </c>
      <c r="I933" s="6">
        <v>44317</v>
      </c>
      <c r="J933" s="4">
        <v>0</v>
      </c>
      <c r="K933" s="4">
        <v>0</v>
      </c>
      <c r="L933" s="4">
        <v>12.628</v>
      </c>
      <c r="M933" s="4">
        <v>12.628</v>
      </c>
      <c r="N933" s="4">
        <v>0</v>
      </c>
      <c r="O933" s="4">
        <v>0</v>
      </c>
      <c r="P933" s="4">
        <v>0</v>
      </c>
      <c r="Q933" s="3" t="s">
        <v>57</v>
      </c>
      <c r="R933" s="3">
        <v>0</v>
      </c>
      <c r="S933" s="3" t="s">
        <v>312</v>
      </c>
      <c r="U933" s="3">
        <v>0</v>
      </c>
      <c r="V933" s="3">
        <v>8</v>
      </c>
      <c r="W933" s="3">
        <v>0</v>
      </c>
    </row>
    <row r="934" spans="1:23" ht="11.25" customHeight="1" x14ac:dyDescent="0.25">
      <c r="A934" s="3" t="s">
        <v>21</v>
      </c>
      <c r="B934" s="3" t="s">
        <v>33</v>
      </c>
      <c r="C934" s="3" t="s">
        <v>34</v>
      </c>
      <c r="D934" s="3" t="s">
        <v>40</v>
      </c>
      <c r="E934" s="3" t="s">
        <v>25</v>
      </c>
      <c r="F934" s="3" t="s">
        <v>25</v>
      </c>
      <c r="G934" s="3" t="s">
        <v>25</v>
      </c>
      <c r="H934" s="3" t="s">
        <v>35</v>
      </c>
      <c r="I934" s="6">
        <v>44348</v>
      </c>
      <c r="J934" s="4">
        <v>0</v>
      </c>
      <c r="K934" s="4">
        <v>0</v>
      </c>
      <c r="L934" s="4">
        <v>311.45600000000002</v>
      </c>
      <c r="M934" s="4">
        <v>311.45600000000002</v>
      </c>
      <c r="N934" s="4">
        <v>311.45600000000002</v>
      </c>
      <c r="O934" s="4">
        <v>311.45600000000002</v>
      </c>
      <c r="P934" s="4">
        <v>0</v>
      </c>
      <c r="Q934" s="3" t="s">
        <v>26</v>
      </c>
      <c r="R934" s="3">
        <v>0</v>
      </c>
      <c r="S934" s="3" t="s">
        <v>313</v>
      </c>
      <c r="T934" s="3" t="s">
        <v>550</v>
      </c>
      <c r="U934" s="3">
        <v>0</v>
      </c>
      <c r="V934" s="3">
        <v>8</v>
      </c>
      <c r="W934" s="3">
        <v>72</v>
      </c>
    </row>
    <row r="935" spans="1:23" ht="11.25" customHeight="1" x14ac:dyDescent="0.25">
      <c r="A935" s="3" t="s">
        <v>27</v>
      </c>
      <c r="B935" s="3" t="s">
        <v>33</v>
      </c>
      <c r="C935" s="3" t="s">
        <v>34</v>
      </c>
      <c r="D935" s="3" t="s">
        <v>40</v>
      </c>
      <c r="E935" s="3" t="s">
        <v>25</v>
      </c>
      <c r="F935" s="3" t="s">
        <v>25</v>
      </c>
      <c r="G935" s="3" t="s">
        <v>25</v>
      </c>
      <c r="H935" s="3" t="s">
        <v>35</v>
      </c>
      <c r="I935" s="6">
        <v>44348</v>
      </c>
      <c r="J935" s="4">
        <v>0</v>
      </c>
      <c r="K935" s="4">
        <v>0</v>
      </c>
      <c r="L935" s="4">
        <v>-3.46</v>
      </c>
      <c r="M935" s="4">
        <v>-3.46</v>
      </c>
      <c r="N935" s="4">
        <v>-3.46</v>
      </c>
      <c r="O935" s="4">
        <v>-3.46</v>
      </c>
      <c r="P935" s="4">
        <v>0</v>
      </c>
      <c r="Q935" s="3" t="s">
        <v>26</v>
      </c>
      <c r="R935" s="3">
        <v>0</v>
      </c>
      <c r="S935" s="3" t="s">
        <v>313</v>
      </c>
      <c r="T935" s="3" t="s">
        <v>550</v>
      </c>
      <c r="U935" s="3">
        <v>0</v>
      </c>
      <c r="V935" s="3">
        <v>8</v>
      </c>
      <c r="W935" s="3">
        <v>72</v>
      </c>
    </row>
    <row r="936" spans="1:23" ht="11.25" customHeight="1" x14ac:dyDescent="0.25">
      <c r="A936" s="3" t="s">
        <v>28</v>
      </c>
      <c r="B936" s="3" t="s">
        <v>33</v>
      </c>
      <c r="C936" s="3" t="s">
        <v>34</v>
      </c>
      <c r="D936" s="3" t="s">
        <v>40</v>
      </c>
      <c r="E936" s="3" t="s">
        <v>25</v>
      </c>
      <c r="F936" s="3" t="s">
        <v>25</v>
      </c>
      <c r="G936" s="3" t="s">
        <v>25</v>
      </c>
      <c r="H936" s="3" t="s">
        <v>35</v>
      </c>
      <c r="I936" s="6">
        <v>44348</v>
      </c>
      <c r="J936" s="4">
        <v>0</v>
      </c>
      <c r="K936" s="4">
        <v>0</v>
      </c>
      <c r="L936" s="4">
        <v>8.41</v>
      </c>
      <c r="M936" s="4">
        <v>8.41</v>
      </c>
      <c r="N936" s="4">
        <v>8.41</v>
      </c>
      <c r="O936" s="4">
        <v>8.41</v>
      </c>
      <c r="P936" s="4">
        <v>0</v>
      </c>
      <c r="Q936" s="3" t="s">
        <v>26</v>
      </c>
      <c r="R936" s="3">
        <v>0</v>
      </c>
      <c r="S936" s="3" t="s">
        <v>313</v>
      </c>
      <c r="T936" s="3" t="s">
        <v>550</v>
      </c>
      <c r="U936" s="3">
        <v>0</v>
      </c>
      <c r="V936" s="3">
        <v>8</v>
      </c>
      <c r="W936" s="3">
        <v>72</v>
      </c>
    </row>
    <row r="937" spans="1:23" ht="11.25" customHeight="1" x14ac:dyDescent="0.25">
      <c r="A937" s="3" t="s">
        <v>21</v>
      </c>
      <c r="B937" s="3" t="s">
        <v>33</v>
      </c>
      <c r="C937" s="3" t="s">
        <v>34</v>
      </c>
      <c r="D937" s="3" t="s">
        <v>40</v>
      </c>
      <c r="E937" s="3" t="s">
        <v>25</v>
      </c>
      <c r="F937" s="3" t="s">
        <v>25</v>
      </c>
      <c r="G937" s="3" t="s">
        <v>25</v>
      </c>
      <c r="H937" s="3" t="s">
        <v>35</v>
      </c>
      <c r="I937" s="6">
        <v>44348</v>
      </c>
      <c r="J937" s="4">
        <v>0</v>
      </c>
      <c r="K937" s="4">
        <v>0</v>
      </c>
      <c r="L937" s="4">
        <v>13.694000000000001</v>
      </c>
      <c r="M937" s="4">
        <v>13.694000000000001</v>
      </c>
      <c r="N937" s="4">
        <v>0</v>
      </c>
      <c r="O937" s="4">
        <v>0</v>
      </c>
      <c r="P937" s="4">
        <v>0</v>
      </c>
      <c r="Q937" s="3" t="s">
        <v>57</v>
      </c>
      <c r="R937" s="3">
        <v>0</v>
      </c>
      <c r="S937" s="3" t="s">
        <v>313</v>
      </c>
      <c r="U937" s="3">
        <v>0</v>
      </c>
      <c r="V937" s="3">
        <v>8</v>
      </c>
      <c r="W937" s="3">
        <v>0</v>
      </c>
    </row>
    <row r="938" spans="1:23" ht="11.25" customHeight="1" x14ac:dyDescent="0.25">
      <c r="A938" s="3" t="s">
        <v>21</v>
      </c>
      <c r="B938" s="3" t="s">
        <v>33</v>
      </c>
      <c r="C938" s="3" t="s">
        <v>34</v>
      </c>
      <c r="D938" s="3" t="s">
        <v>40</v>
      </c>
      <c r="E938" s="3" t="s">
        <v>25</v>
      </c>
      <c r="F938" s="3" t="s">
        <v>25</v>
      </c>
      <c r="G938" s="3" t="s">
        <v>25</v>
      </c>
      <c r="H938" s="3" t="s">
        <v>35</v>
      </c>
      <c r="I938" s="6">
        <v>44378</v>
      </c>
      <c r="J938" s="4">
        <v>0</v>
      </c>
      <c r="K938" s="4">
        <v>0</v>
      </c>
      <c r="L938" s="4">
        <v>340.82400000000001</v>
      </c>
      <c r="M938" s="4">
        <v>340.82400000000001</v>
      </c>
      <c r="N938" s="4">
        <v>340.82400000000001</v>
      </c>
      <c r="O938" s="4">
        <v>340.82400000000001</v>
      </c>
      <c r="P938" s="4">
        <v>0</v>
      </c>
      <c r="Q938" s="3" t="s">
        <v>26</v>
      </c>
      <c r="R938" s="3">
        <v>0</v>
      </c>
      <c r="S938" s="3" t="s">
        <v>314</v>
      </c>
      <c r="T938" s="3" t="s">
        <v>551</v>
      </c>
      <c r="U938" s="3">
        <v>0</v>
      </c>
      <c r="V938" s="3">
        <v>8</v>
      </c>
      <c r="W938" s="3">
        <v>72</v>
      </c>
    </row>
    <row r="939" spans="1:23" ht="11.25" customHeight="1" x14ac:dyDescent="0.25">
      <c r="A939" s="3" t="s">
        <v>27</v>
      </c>
      <c r="B939" s="3" t="s">
        <v>33</v>
      </c>
      <c r="C939" s="3" t="s">
        <v>34</v>
      </c>
      <c r="D939" s="3" t="s">
        <v>40</v>
      </c>
      <c r="E939" s="3" t="s">
        <v>25</v>
      </c>
      <c r="F939" s="3" t="s">
        <v>25</v>
      </c>
      <c r="G939" s="3" t="s">
        <v>25</v>
      </c>
      <c r="H939" s="3" t="s">
        <v>35</v>
      </c>
      <c r="I939" s="6">
        <v>44378</v>
      </c>
      <c r="J939" s="4">
        <v>0</v>
      </c>
      <c r="K939" s="4">
        <v>0</v>
      </c>
      <c r="L939" s="4">
        <v>-4.3929999999999998</v>
      </c>
      <c r="M939" s="4">
        <v>-4.3929999999999998</v>
      </c>
      <c r="N939" s="4">
        <v>-4.3929999999999998</v>
      </c>
      <c r="O939" s="4">
        <v>-4.3929999999999998</v>
      </c>
      <c r="P939" s="4">
        <v>0</v>
      </c>
      <c r="Q939" s="3" t="s">
        <v>26</v>
      </c>
      <c r="R939" s="3">
        <v>0</v>
      </c>
      <c r="S939" s="3" t="s">
        <v>314</v>
      </c>
      <c r="T939" s="3" t="s">
        <v>551</v>
      </c>
      <c r="U939" s="3">
        <v>0</v>
      </c>
      <c r="V939" s="3">
        <v>8</v>
      </c>
      <c r="W939" s="3">
        <v>72</v>
      </c>
    </row>
    <row r="940" spans="1:23" ht="11.25" customHeight="1" x14ac:dyDescent="0.25">
      <c r="A940" s="3" t="s">
        <v>28</v>
      </c>
      <c r="B940" s="3" t="s">
        <v>33</v>
      </c>
      <c r="C940" s="3" t="s">
        <v>34</v>
      </c>
      <c r="D940" s="3" t="s">
        <v>40</v>
      </c>
      <c r="E940" s="3" t="s">
        <v>25</v>
      </c>
      <c r="F940" s="3" t="s">
        <v>25</v>
      </c>
      <c r="G940" s="3" t="s">
        <v>25</v>
      </c>
      <c r="H940" s="3" t="s">
        <v>35</v>
      </c>
      <c r="I940" s="6">
        <v>44378</v>
      </c>
      <c r="J940" s="4">
        <v>0</v>
      </c>
      <c r="K940" s="4">
        <v>0</v>
      </c>
      <c r="L940" s="4">
        <v>18.43</v>
      </c>
      <c r="M940" s="4">
        <v>18.43</v>
      </c>
      <c r="N940" s="4">
        <v>18.43</v>
      </c>
      <c r="O940" s="4">
        <v>18.43</v>
      </c>
      <c r="P940" s="4">
        <v>0</v>
      </c>
      <c r="Q940" s="3" t="s">
        <v>26</v>
      </c>
      <c r="R940" s="3">
        <v>0</v>
      </c>
      <c r="S940" s="3" t="s">
        <v>314</v>
      </c>
      <c r="T940" s="3" t="s">
        <v>551</v>
      </c>
      <c r="U940" s="3">
        <v>0</v>
      </c>
      <c r="V940" s="3">
        <v>8</v>
      </c>
      <c r="W940" s="3">
        <v>72</v>
      </c>
    </row>
    <row r="941" spans="1:23" ht="11.25" customHeight="1" x14ac:dyDescent="0.25">
      <c r="A941" s="3" t="s">
        <v>21</v>
      </c>
      <c r="B941" s="3" t="s">
        <v>33</v>
      </c>
      <c r="C941" s="3" t="s">
        <v>34</v>
      </c>
      <c r="D941" s="3" t="s">
        <v>40</v>
      </c>
      <c r="E941" s="3" t="s">
        <v>25</v>
      </c>
      <c r="F941" s="3" t="s">
        <v>25</v>
      </c>
      <c r="G941" s="3" t="s">
        <v>25</v>
      </c>
      <c r="H941" s="3" t="s">
        <v>35</v>
      </c>
      <c r="I941" s="6">
        <v>44378</v>
      </c>
      <c r="J941" s="4">
        <v>0</v>
      </c>
      <c r="K941" s="4">
        <v>0</v>
      </c>
      <c r="L941" s="4">
        <v>11.613</v>
      </c>
      <c r="M941" s="4">
        <v>11.613</v>
      </c>
      <c r="N941" s="4">
        <v>0</v>
      </c>
      <c r="O941" s="4">
        <v>0</v>
      </c>
      <c r="P941" s="4">
        <v>0</v>
      </c>
      <c r="Q941" s="3" t="s">
        <v>57</v>
      </c>
      <c r="R941" s="3">
        <v>0</v>
      </c>
      <c r="S941" s="3" t="s">
        <v>314</v>
      </c>
      <c r="U941" s="3">
        <v>0</v>
      </c>
      <c r="V941" s="3">
        <v>8</v>
      </c>
      <c r="W941" s="3">
        <v>0</v>
      </c>
    </row>
    <row r="942" spans="1:23" ht="11.25" customHeight="1" x14ac:dyDescent="0.25">
      <c r="A942" s="3" t="s">
        <v>21</v>
      </c>
      <c r="B942" s="3" t="s">
        <v>33</v>
      </c>
      <c r="C942" s="3" t="s">
        <v>34</v>
      </c>
      <c r="D942" s="3" t="s">
        <v>40</v>
      </c>
      <c r="E942" s="3" t="s">
        <v>25</v>
      </c>
      <c r="F942" s="3" t="s">
        <v>25</v>
      </c>
      <c r="G942" s="3" t="s">
        <v>25</v>
      </c>
      <c r="H942" s="3" t="s">
        <v>35</v>
      </c>
      <c r="I942" s="6">
        <v>44409</v>
      </c>
      <c r="J942" s="4">
        <v>0</v>
      </c>
      <c r="K942" s="4">
        <v>0</v>
      </c>
      <c r="L942" s="4">
        <v>348.09100000000001</v>
      </c>
      <c r="M942" s="4">
        <v>348.09100000000001</v>
      </c>
      <c r="N942" s="4">
        <v>348.09100000000001</v>
      </c>
      <c r="O942" s="4">
        <v>348.09100000000001</v>
      </c>
      <c r="P942" s="4">
        <v>0</v>
      </c>
      <c r="Q942" s="3" t="s">
        <v>26</v>
      </c>
      <c r="R942" s="3">
        <v>0</v>
      </c>
      <c r="S942" s="3" t="s">
        <v>315</v>
      </c>
      <c r="T942" s="3" t="s">
        <v>552</v>
      </c>
      <c r="U942" s="3">
        <v>0</v>
      </c>
      <c r="V942" s="3">
        <v>8</v>
      </c>
      <c r="W942" s="3">
        <v>72</v>
      </c>
    </row>
    <row r="943" spans="1:23" ht="11.25" customHeight="1" x14ac:dyDescent="0.25">
      <c r="A943" s="3" t="s">
        <v>27</v>
      </c>
      <c r="B943" s="3" t="s">
        <v>33</v>
      </c>
      <c r="C943" s="3" t="s">
        <v>34</v>
      </c>
      <c r="D943" s="3" t="s">
        <v>40</v>
      </c>
      <c r="E943" s="3" t="s">
        <v>25</v>
      </c>
      <c r="F943" s="3" t="s">
        <v>25</v>
      </c>
      <c r="G943" s="3" t="s">
        <v>25</v>
      </c>
      <c r="H943" s="3" t="s">
        <v>35</v>
      </c>
      <c r="I943" s="6">
        <v>44409</v>
      </c>
      <c r="J943" s="4">
        <v>0</v>
      </c>
      <c r="K943" s="4">
        <v>0</v>
      </c>
      <c r="L943" s="4">
        <v>-2.008</v>
      </c>
      <c r="M943" s="4">
        <v>-2.008</v>
      </c>
      <c r="N943" s="4">
        <v>-2.008</v>
      </c>
      <c r="O943" s="4">
        <v>-2.008</v>
      </c>
      <c r="P943" s="4">
        <v>0</v>
      </c>
      <c r="Q943" s="3" t="s">
        <v>26</v>
      </c>
      <c r="R943" s="3">
        <v>0</v>
      </c>
      <c r="S943" s="3" t="s">
        <v>315</v>
      </c>
      <c r="T943" s="3" t="s">
        <v>552</v>
      </c>
      <c r="U943" s="3">
        <v>0</v>
      </c>
      <c r="V943" s="3">
        <v>8</v>
      </c>
      <c r="W943" s="3">
        <v>72</v>
      </c>
    </row>
    <row r="944" spans="1:23" ht="11.25" customHeight="1" x14ac:dyDescent="0.25">
      <c r="A944" s="3" t="s">
        <v>28</v>
      </c>
      <c r="B944" s="3" t="s">
        <v>33</v>
      </c>
      <c r="C944" s="3" t="s">
        <v>34</v>
      </c>
      <c r="D944" s="3" t="s">
        <v>40</v>
      </c>
      <c r="E944" s="3" t="s">
        <v>25</v>
      </c>
      <c r="F944" s="3" t="s">
        <v>25</v>
      </c>
      <c r="G944" s="3" t="s">
        <v>25</v>
      </c>
      <c r="H944" s="3" t="s">
        <v>35</v>
      </c>
      <c r="I944" s="6">
        <v>44409</v>
      </c>
      <c r="J944" s="4">
        <v>0</v>
      </c>
      <c r="K944" s="4">
        <v>0</v>
      </c>
      <c r="L944" s="4">
        <v>15.958</v>
      </c>
      <c r="M944" s="4">
        <v>15.958</v>
      </c>
      <c r="N944" s="4">
        <v>15.958</v>
      </c>
      <c r="O944" s="4">
        <v>15.958</v>
      </c>
      <c r="P944" s="4">
        <v>0</v>
      </c>
      <c r="Q944" s="3" t="s">
        <v>26</v>
      </c>
      <c r="R944" s="3">
        <v>0</v>
      </c>
      <c r="S944" s="3" t="s">
        <v>315</v>
      </c>
      <c r="T944" s="3" t="s">
        <v>552</v>
      </c>
      <c r="U944" s="3">
        <v>0</v>
      </c>
      <c r="V944" s="3">
        <v>8</v>
      </c>
      <c r="W944" s="3">
        <v>72</v>
      </c>
    </row>
    <row r="945" spans="1:23" ht="11.25" customHeight="1" x14ac:dyDescent="0.25">
      <c r="A945" s="3" t="s">
        <v>21</v>
      </c>
      <c r="B945" s="3" t="s">
        <v>33</v>
      </c>
      <c r="C945" s="3" t="s">
        <v>34</v>
      </c>
      <c r="D945" s="3" t="s">
        <v>40</v>
      </c>
      <c r="E945" s="3" t="s">
        <v>25</v>
      </c>
      <c r="F945" s="3" t="s">
        <v>25</v>
      </c>
      <c r="G945" s="3" t="s">
        <v>25</v>
      </c>
      <c r="H945" s="3" t="s">
        <v>35</v>
      </c>
      <c r="I945" s="6">
        <v>44409</v>
      </c>
      <c r="J945" s="4">
        <v>0</v>
      </c>
      <c r="K945" s="4">
        <v>0</v>
      </c>
      <c r="L945" s="4">
        <v>11.983000000000001</v>
      </c>
      <c r="M945" s="4">
        <v>11.983000000000001</v>
      </c>
      <c r="N945" s="4">
        <v>0</v>
      </c>
      <c r="O945" s="4">
        <v>0</v>
      </c>
      <c r="P945" s="4">
        <v>0</v>
      </c>
      <c r="Q945" s="3" t="s">
        <v>57</v>
      </c>
      <c r="R945" s="3">
        <v>0</v>
      </c>
      <c r="S945" s="3" t="s">
        <v>315</v>
      </c>
      <c r="U945" s="3">
        <v>0</v>
      </c>
      <c r="V945" s="3">
        <v>8</v>
      </c>
      <c r="W945" s="3">
        <v>0</v>
      </c>
    </row>
    <row r="946" spans="1:23" ht="11.25" customHeight="1" x14ac:dyDescent="0.25">
      <c r="A946" s="3" t="s">
        <v>21</v>
      </c>
      <c r="B946" s="3" t="s">
        <v>33</v>
      </c>
      <c r="C946" s="3" t="s">
        <v>34</v>
      </c>
      <c r="D946" s="3" t="s">
        <v>40</v>
      </c>
      <c r="E946" s="3" t="s">
        <v>25</v>
      </c>
      <c r="F946" s="3" t="s">
        <v>25</v>
      </c>
      <c r="G946" s="3" t="s">
        <v>25</v>
      </c>
      <c r="H946" s="3" t="s">
        <v>35</v>
      </c>
      <c r="I946" s="6">
        <v>44440</v>
      </c>
      <c r="J946" s="4">
        <v>0</v>
      </c>
      <c r="K946" s="4">
        <v>0</v>
      </c>
      <c r="L946" s="4">
        <v>300.65499999999997</v>
      </c>
      <c r="M946" s="4">
        <v>300.65499999999997</v>
      </c>
      <c r="N946" s="4">
        <v>300.65499999999997</v>
      </c>
      <c r="O946" s="4">
        <v>300.65499999999997</v>
      </c>
      <c r="P946" s="4">
        <v>0</v>
      </c>
      <c r="Q946" s="3" t="s">
        <v>26</v>
      </c>
      <c r="R946" s="3">
        <v>0</v>
      </c>
      <c r="S946" s="3" t="s">
        <v>316</v>
      </c>
      <c r="T946" s="3" t="s">
        <v>553</v>
      </c>
      <c r="U946" s="3">
        <v>0</v>
      </c>
      <c r="V946" s="3">
        <v>8</v>
      </c>
      <c r="W946" s="3">
        <v>72</v>
      </c>
    </row>
    <row r="947" spans="1:23" ht="11.25" customHeight="1" x14ac:dyDescent="0.25">
      <c r="A947" s="3" t="s">
        <v>27</v>
      </c>
      <c r="B947" s="3" t="s">
        <v>33</v>
      </c>
      <c r="C947" s="3" t="s">
        <v>34</v>
      </c>
      <c r="D947" s="3" t="s">
        <v>40</v>
      </c>
      <c r="E947" s="3" t="s">
        <v>25</v>
      </c>
      <c r="F947" s="3" t="s">
        <v>25</v>
      </c>
      <c r="G947" s="3" t="s">
        <v>25</v>
      </c>
      <c r="H947" s="3" t="s">
        <v>35</v>
      </c>
      <c r="I947" s="6">
        <v>44440</v>
      </c>
      <c r="J947" s="4">
        <v>0</v>
      </c>
      <c r="K947" s="4">
        <v>0</v>
      </c>
      <c r="L947" s="4">
        <v>-0.442</v>
      </c>
      <c r="M947" s="4">
        <v>-0.442</v>
      </c>
      <c r="N947" s="4">
        <v>-0.442</v>
      </c>
      <c r="O947" s="4">
        <v>-0.442</v>
      </c>
      <c r="P947" s="4">
        <v>0</v>
      </c>
      <c r="Q947" s="3" t="s">
        <v>26</v>
      </c>
      <c r="R947" s="3">
        <v>0</v>
      </c>
      <c r="S947" s="3" t="s">
        <v>316</v>
      </c>
      <c r="T947" s="3" t="s">
        <v>553</v>
      </c>
      <c r="U947" s="3">
        <v>0</v>
      </c>
      <c r="V947" s="3">
        <v>8</v>
      </c>
      <c r="W947" s="3">
        <v>72</v>
      </c>
    </row>
    <row r="948" spans="1:23" ht="11.25" customHeight="1" x14ac:dyDescent="0.25">
      <c r="A948" s="3" t="s">
        <v>28</v>
      </c>
      <c r="B948" s="3" t="s">
        <v>33</v>
      </c>
      <c r="C948" s="3" t="s">
        <v>34</v>
      </c>
      <c r="D948" s="3" t="s">
        <v>40</v>
      </c>
      <c r="E948" s="3" t="s">
        <v>25</v>
      </c>
      <c r="F948" s="3" t="s">
        <v>25</v>
      </c>
      <c r="G948" s="3" t="s">
        <v>25</v>
      </c>
      <c r="H948" s="3" t="s">
        <v>35</v>
      </c>
      <c r="I948" s="6">
        <v>44440</v>
      </c>
      <c r="J948" s="4">
        <v>0</v>
      </c>
      <c r="K948" s="4">
        <v>0</v>
      </c>
      <c r="L948" s="4">
        <v>13.962</v>
      </c>
      <c r="M948" s="4">
        <v>13.962</v>
      </c>
      <c r="N948" s="4">
        <v>13.962</v>
      </c>
      <c r="O948" s="4">
        <v>13.962</v>
      </c>
      <c r="P948" s="4">
        <v>0</v>
      </c>
      <c r="Q948" s="3" t="s">
        <v>26</v>
      </c>
      <c r="R948" s="3">
        <v>0</v>
      </c>
      <c r="S948" s="3" t="s">
        <v>316</v>
      </c>
      <c r="T948" s="3" t="s">
        <v>553</v>
      </c>
      <c r="U948" s="3">
        <v>0</v>
      </c>
      <c r="V948" s="3">
        <v>8</v>
      </c>
      <c r="W948" s="3">
        <v>72</v>
      </c>
    </row>
    <row r="949" spans="1:23" ht="11.25" customHeight="1" x14ac:dyDescent="0.25">
      <c r="A949" s="3" t="s">
        <v>21</v>
      </c>
      <c r="B949" s="3" t="s">
        <v>33</v>
      </c>
      <c r="C949" s="3" t="s">
        <v>34</v>
      </c>
      <c r="D949" s="3" t="s">
        <v>40</v>
      </c>
      <c r="E949" s="3" t="s">
        <v>25</v>
      </c>
      <c r="F949" s="3" t="s">
        <v>25</v>
      </c>
      <c r="G949" s="3" t="s">
        <v>25</v>
      </c>
      <c r="H949" s="3" t="s">
        <v>35</v>
      </c>
      <c r="I949" s="6">
        <v>44440</v>
      </c>
      <c r="J949" s="4">
        <v>0</v>
      </c>
      <c r="K949" s="4">
        <v>0</v>
      </c>
      <c r="L949" s="4">
        <v>11.271000000000001</v>
      </c>
      <c r="M949" s="4">
        <v>11.271000000000001</v>
      </c>
      <c r="N949" s="4">
        <v>0</v>
      </c>
      <c r="O949" s="4">
        <v>0</v>
      </c>
      <c r="P949" s="4">
        <v>0</v>
      </c>
      <c r="Q949" s="3" t="s">
        <v>57</v>
      </c>
      <c r="R949" s="3">
        <v>0</v>
      </c>
      <c r="S949" s="3" t="s">
        <v>316</v>
      </c>
      <c r="U949" s="3">
        <v>0</v>
      </c>
      <c r="V949" s="3">
        <v>8</v>
      </c>
      <c r="W949" s="3">
        <v>0</v>
      </c>
    </row>
    <row r="950" spans="1:23" ht="11.25" customHeight="1" x14ac:dyDescent="0.25">
      <c r="A950" s="3" t="s">
        <v>21</v>
      </c>
      <c r="B950" s="3" t="s">
        <v>33</v>
      </c>
      <c r="C950" s="3" t="s">
        <v>34</v>
      </c>
      <c r="D950" s="3" t="s">
        <v>40</v>
      </c>
      <c r="E950" s="3" t="s">
        <v>25</v>
      </c>
      <c r="F950" s="3" t="s">
        <v>25</v>
      </c>
      <c r="G950" s="3" t="s">
        <v>25</v>
      </c>
      <c r="H950" s="3" t="s">
        <v>35</v>
      </c>
      <c r="I950" s="6">
        <v>44470</v>
      </c>
      <c r="J950" s="4">
        <v>0</v>
      </c>
      <c r="K950" s="4">
        <v>0</v>
      </c>
      <c r="L950" s="4">
        <v>251.80099999999999</v>
      </c>
      <c r="M950" s="4">
        <v>251.80099999999999</v>
      </c>
      <c r="N950" s="4">
        <v>251.80099999999999</v>
      </c>
      <c r="O950" s="4">
        <v>251.80099999999999</v>
      </c>
      <c r="P950" s="4">
        <v>0</v>
      </c>
      <c r="Q950" s="3" t="s">
        <v>26</v>
      </c>
      <c r="R950" s="3">
        <v>0</v>
      </c>
      <c r="S950" s="3" t="s">
        <v>317</v>
      </c>
      <c r="T950" s="3" t="s">
        <v>554</v>
      </c>
      <c r="U950" s="3">
        <v>0</v>
      </c>
      <c r="V950" s="3">
        <v>8</v>
      </c>
      <c r="W950" s="3">
        <v>72</v>
      </c>
    </row>
    <row r="951" spans="1:23" ht="11.25" customHeight="1" x14ac:dyDescent="0.25">
      <c r="A951" s="3" t="s">
        <v>27</v>
      </c>
      <c r="B951" s="3" t="s">
        <v>33</v>
      </c>
      <c r="C951" s="3" t="s">
        <v>34</v>
      </c>
      <c r="D951" s="3" t="s">
        <v>40</v>
      </c>
      <c r="E951" s="3" t="s">
        <v>25</v>
      </c>
      <c r="F951" s="3" t="s">
        <v>25</v>
      </c>
      <c r="G951" s="3" t="s">
        <v>25</v>
      </c>
      <c r="H951" s="3" t="s">
        <v>35</v>
      </c>
      <c r="I951" s="6">
        <v>44470</v>
      </c>
      <c r="J951" s="4">
        <v>0</v>
      </c>
      <c r="K951" s="4">
        <v>0</v>
      </c>
      <c r="L951" s="4">
        <v>0.72699999999999998</v>
      </c>
      <c r="M951" s="4">
        <v>0.72699999999999998</v>
      </c>
      <c r="N951" s="4">
        <v>0.72699999999999998</v>
      </c>
      <c r="O951" s="4">
        <v>0.72699999999999998</v>
      </c>
      <c r="P951" s="4">
        <v>0</v>
      </c>
      <c r="Q951" s="3" t="s">
        <v>26</v>
      </c>
      <c r="R951" s="3">
        <v>0</v>
      </c>
      <c r="S951" s="3" t="s">
        <v>317</v>
      </c>
      <c r="T951" s="3" t="s">
        <v>554</v>
      </c>
      <c r="U951" s="3">
        <v>0</v>
      </c>
      <c r="V951" s="3">
        <v>8</v>
      </c>
      <c r="W951" s="3">
        <v>72</v>
      </c>
    </row>
    <row r="952" spans="1:23" ht="11.25" customHeight="1" x14ac:dyDescent="0.25">
      <c r="A952" s="3" t="s">
        <v>28</v>
      </c>
      <c r="B952" s="3" t="s">
        <v>33</v>
      </c>
      <c r="C952" s="3" t="s">
        <v>34</v>
      </c>
      <c r="D952" s="3" t="s">
        <v>40</v>
      </c>
      <c r="E952" s="3" t="s">
        <v>25</v>
      </c>
      <c r="F952" s="3" t="s">
        <v>25</v>
      </c>
      <c r="G952" s="3" t="s">
        <v>25</v>
      </c>
      <c r="H952" s="3" t="s">
        <v>35</v>
      </c>
      <c r="I952" s="6">
        <v>44470</v>
      </c>
      <c r="J952" s="4">
        <v>0</v>
      </c>
      <c r="K952" s="4">
        <v>0</v>
      </c>
      <c r="L952" s="4">
        <v>19.248000000000001</v>
      </c>
      <c r="M952" s="4">
        <v>19.248000000000001</v>
      </c>
      <c r="N952" s="4">
        <v>19.248000000000001</v>
      </c>
      <c r="O952" s="4">
        <v>19.248000000000001</v>
      </c>
      <c r="P952" s="4">
        <v>0</v>
      </c>
      <c r="Q952" s="3" t="s">
        <v>26</v>
      </c>
      <c r="R952" s="3">
        <v>0</v>
      </c>
      <c r="S952" s="3" t="s">
        <v>317</v>
      </c>
      <c r="T952" s="3" t="s">
        <v>554</v>
      </c>
      <c r="U952" s="3">
        <v>0</v>
      </c>
      <c r="V952" s="3">
        <v>8</v>
      </c>
      <c r="W952" s="3">
        <v>72</v>
      </c>
    </row>
    <row r="953" spans="1:23" ht="11.25" customHeight="1" x14ac:dyDescent="0.25">
      <c r="A953" s="3" t="s">
        <v>21</v>
      </c>
      <c r="B953" s="3" t="s">
        <v>33</v>
      </c>
      <c r="C953" s="3" t="s">
        <v>34</v>
      </c>
      <c r="D953" s="3" t="s">
        <v>40</v>
      </c>
      <c r="E953" s="3" t="s">
        <v>25</v>
      </c>
      <c r="F953" s="3" t="s">
        <v>25</v>
      </c>
      <c r="G953" s="3" t="s">
        <v>25</v>
      </c>
      <c r="H953" s="3" t="s">
        <v>35</v>
      </c>
      <c r="I953" s="6">
        <v>44470</v>
      </c>
      <c r="J953" s="4">
        <v>0</v>
      </c>
      <c r="K953" s="4">
        <v>0</v>
      </c>
      <c r="L953" s="4">
        <v>11.794</v>
      </c>
      <c r="M953" s="4">
        <v>11.794</v>
      </c>
      <c r="N953" s="4">
        <v>0</v>
      </c>
      <c r="O953" s="4">
        <v>0</v>
      </c>
      <c r="P953" s="4">
        <v>0</v>
      </c>
      <c r="Q953" s="3" t="s">
        <v>57</v>
      </c>
      <c r="R953" s="3">
        <v>0</v>
      </c>
      <c r="S953" s="3" t="s">
        <v>317</v>
      </c>
      <c r="U953" s="3">
        <v>0</v>
      </c>
      <c r="V953" s="3">
        <v>8</v>
      </c>
      <c r="W953" s="3">
        <v>0</v>
      </c>
    </row>
    <row r="954" spans="1:23" ht="11.25" customHeight="1" x14ac:dyDescent="0.25">
      <c r="A954" s="3" t="s">
        <v>21</v>
      </c>
      <c r="B954" s="3" t="s">
        <v>33</v>
      </c>
      <c r="C954" s="3" t="s">
        <v>34</v>
      </c>
      <c r="D954" s="3" t="s">
        <v>40</v>
      </c>
      <c r="E954" s="3" t="s">
        <v>25</v>
      </c>
      <c r="F954" s="3" t="s">
        <v>25</v>
      </c>
      <c r="G954" s="3" t="s">
        <v>25</v>
      </c>
      <c r="H954" s="3" t="s">
        <v>35</v>
      </c>
      <c r="I954" s="6">
        <v>44501</v>
      </c>
      <c r="J954" s="4">
        <v>0</v>
      </c>
      <c r="K954" s="4">
        <v>0</v>
      </c>
      <c r="L954" s="4">
        <v>283.90499999999997</v>
      </c>
      <c r="M954" s="4">
        <v>283.90499999999997</v>
      </c>
      <c r="N954" s="4">
        <v>283.90499999999997</v>
      </c>
      <c r="O954" s="4">
        <v>283.90499999999997</v>
      </c>
      <c r="P954" s="4">
        <v>0</v>
      </c>
      <c r="Q954" s="3" t="s">
        <v>26</v>
      </c>
      <c r="R954" s="3">
        <v>0</v>
      </c>
      <c r="S954" s="3" t="s">
        <v>318</v>
      </c>
      <c r="T954" s="3" t="s">
        <v>555</v>
      </c>
      <c r="U954" s="3">
        <v>0</v>
      </c>
      <c r="V954" s="3">
        <v>8</v>
      </c>
      <c r="W954" s="3">
        <v>72</v>
      </c>
    </row>
    <row r="955" spans="1:23" ht="11.25" customHeight="1" x14ac:dyDescent="0.25">
      <c r="A955" s="3" t="s">
        <v>27</v>
      </c>
      <c r="B955" s="3" t="s">
        <v>33</v>
      </c>
      <c r="C955" s="3" t="s">
        <v>34</v>
      </c>
      <c r="D955" s="3" t="s">
        <v>40</v>
      </c>
      <c r="E955" s="3" t="s">
        <v>25</v>
      </c>
      <c r="F955" s="3" t="s">
        <v>25</v>
      </c>
      <c r="G955" s="3" t="s">
        <v>25</v>
      </c>
      <c r="H955" s="3" t="s">
        <v>35</v>
      </c>
      <c r="I955" s="6">
        <v>44501</v>
      </c>
      <c r="J955" s="4">
        <v>0</v>
      </c>
      <c r="K955" s="4">
        <v>0</v>
      </c>
      <c r="L955" s="4">
        <v>11.946</v>
      </c>
      <c r="M955" s="4">
        <v>11.946</v>
      </c>
      <c r="N955" s="4">
        <v>11.946</v>
      </c>
      <c r="O955" s="4">
        <v>11.946</v>
      </c>
      <c r="P955" s="4">
        <v>0</v>
      </c>
      <c r="Q955" s="3" t="s">
        <v>26</v>
      </c>
      <c r="R955" s="3">
        <v>0</v>
      </c>
      <c r="S955" s="3" t="s">
        <v>318</v>
      </c>
      <c r="T955" s="3" t="s">
        <v>555</v>
      </c>
      <c r="U955" s="3">
        <v>0</v>
      </c>
      <c r="V955" s="3">
        <v>8</v>
      </c>
      <c r="W955" s="3">
        <v>72</v>
      </c>
    </row>
    <row r="956" spans="1:23" ht="11.25" customHeight="1" x14ac:dyDescent="0.25">
      <c r="A956" s="3" t="s">
        <v>28</v>
      </c>
      <c r="B956" s="3" t="s">
        <v>33</v>
      </c>
      <c r="C956" s="3" t="s">
        <v>34</v>
      </c>
      <c r="D956" s="3" t="s">
        <v>40</v>
      </c>
      <c r="E956" s="3" t="s">
        <v>25</v>
      </c>
      <c r="F956" s="3" t="s">
        <v>25</v>
      </c>
      <c r="G956" s="3" t="s">
        <v>25</v>
      </c>
      <c r="H956" s="3" t="s">
        <v>35</v>
      </c>
      <c r="I956" s="6">
        <v>44501</v>
      </c>
      <c r="J956" s="4">
        <v>0</v>
      </c>
      <c r="K956" s="4">
        <v>0</v>
      </c>
      <c r="L956" s="4">
        <v>16.329000000000001</v>
      </c>
      <c r="M956" s="4">
        <v>16.329000000000001</v>
      </c>
      <c r="N956" s="4">
        <v>16.329000000000001</v>
      </c>
      <c r="O956" s="4">
        <v>16.329000000000001</v>
      </c>
      <c r="P956" s="4">
        <v>0</v>
      </c>
      <c r="Q956" s="3" t="s">
        <v>26</v>
      </c>
      <c r="R956" s="3">
        <v>0</v>
      </c>
      <c r="S956" s="3" t="s">
        <v>318</v>
      </c>
      <c r="T956" s="3" t="s">
        <v>555</v>
      </c>
      <c r="U956" s="3">
        <v>0</v>
      </c>
      <c r="V956" s="3">
        <v>8</v>
      </c>
      <c r="W956" s="3">
        <v>72</v>
      </c>
    </row>
    <row r="957" spans="1:23" ht="11.25" customHeight="1" x14ac:dyDescent="0.25">
      <c r="A957" s="3" t="s">
        <v>21</v>
      </c>
      <c r="B957" s="3" t="s">
        <v>33</v>
      </c>
      <c r="C957" s="3" t="s">
        <v>34</v>
      </c>
      <c r="D957" s="3" t="s">
        <v>40</v>
      </c>
      <c r="E957" s="3" t="s">
        <v>25</v>
      </c>
      <c r="F957" s="3" t="s">
        <v>25</v>
      </c>
      <c r="G957" s="3" t="s">
        <v>25</v>
      </c>
      <c r="H957" s="3" t="s">
        <v>35</v>
      </c>
      <c r="I957" s="6">
        <v>44501</v>
      </c>
      <c r="J957" s="4">
        <v>0</v>
      </c>
      <c r="K957" s="4">
        <v>0</v>
      </c>
      <c r="L957" s="4">
        <v>12.33</v>
      </c>
      <c r="M957" s="4">
        <v>12.33</v>
      </c>
      <c r="N957" s="4">
        <v>0</v>
      </c>
      <c r="O957" s="4">
        <v>0</v>
      </c>
      <c r="P957" s="4">
        <v>0</v>
      </c>
      <c r="Q957" s="3" t="s">
        <v>57</v>
      </c>
      <c r="R957" s="3">
        <v>0</v>
      </c>
      <c r="S957" s="3" t="s">
        <v>318</v>
      </c>
      <c r="U957" s="3">
        <v>0</v>
      </c>
      <c r="V957" s="3">
        <v>8</v>
      </c>
      <c r="W957" s="3">
        <v>0</v>
      </c>
    </row>
    <row r="958" spans="1:23" ht="11.25" customHeight="1" x14ac:dyDescent="0.25">
      <c r="A958" s="3" t="s">
        <v>21</v>
      </c>
      <c r="B958" s="3" t="s">
        <v>33</v>
      </c>
      <c r="C958" s="3" t="s">
        <v>34</v>
      </c>
      <c r="D958" s="3" t="s">
        <v>40</v>
      </c>
      <c r="E958" s="3" t="s">
        <v>25</v>
      </c>
      <c r="F958" s="3" t="s">
        <v>25</v>
      </c>
      <c r="G958" s="3" t="s">
        <v>25</v>
      </c>
      <c r="H958" s="3" t="s">
        <v>35</v>
      </c>
      <c r="I958" s="6">
        <v>44531</v>
      </c>
      <c r="J958" s="4">
        <v>0</v>
      </c>
      <c r="K958" s="4">
        <v>0</v>
      </c>
      <c r="L958" s="4">
        <v>323.45699999999999</v>
      </c>
      <c r="M958" s="4">
        <v>323.45699999999999</v>
      </c>
      <c r="N958" s="4">
        <v>323.45699999999999</v>
      </c>
      <c r="O958" s="4">
        <v>323.45699999999999</v>
      </c>
      <c r="P958" s="4">
        <v>0</v>
      </c>
      <c r="Q958" s="3" t="s">
        <v>26</v>
      </c>
      <c r="R958" s="3">
        <v>0</v>
      </c>
      <c r="S958" s="3" t="s">
        <v>319</v>
      </c>
      <c r="T958" s="3" t="s">
        <v>556</v>
      </c>
      <c r="U958" s="3">
        <v>0</v>
      </c>
      <c r="V958" s="3">
        <v>8</v>
      </c>
      <c r="W958" s="3">
        <v>72</v>
      </c>
    </row>
    <row r="959" spans="1:23" ht="11.25" customHeight="1" x14ac:dyDescent="0.25">
      <c r="A959" s="3" t="s">
        <v>27</v>
      </c>
      <c r="B959" s="3" t="s">
        <v>33</v>
      </c>
      <c r="C959" s="3" t="s">
        <v>34</v>
      </c>
      <c r="D959" s="3" t="s">
        <v>40</v>
      </c>
      <c r="E959" s="3" t="s">
        <v>25</v>
      </c>
      <c r="F959" s="3" t="s">
        <v>25</v>
      </c>
      <c r="G959" s="3" t="s">
        <v>25</v>
      </c>
      <c r="H959" s="3" t="s">
        <v>35</v>
      </c>
      <c r="I959" s="6">
        <v>44531</v>
      </c>
      <c r="J959" s="4">
        <v>0</v>
      </c>
      <c r="K959" s="4">
        <v>0</v>
      </c>
      <c r="L959" s="4">
        <v>1.9159999999999999</v>
      </c>
      <c r="M959" s="4">
        <v>1.9159999999999999</v>
      </c>
      <c r="N959" s="4">
        <v>1.9159999999999999</v>
      </c>
      <c r="O959" s="4">
        <v>1.9159999999999999</v>
      </c>
      <c r="P959" s="4">
        <v>0</v>
      </c>
      <c r="Q959" s="3" t="s">
        <v>26</v>
      </c>
      <c r="R959" s="3">
        <v>0</v>
      </c>
      <c r="S959" s="3" t="s">
        <v>319</v>
      </c>
      <c r="T959" s="3" t="s">
        <v>556</v>
      </c>
      <c r="U959" s="3">
        <v>0</v>
      </c>
      <c r="V959" s="3">
        <v>8</v>
      </c>
      <c r="W959" s="3">
        <v>72</v>
      </c>
    </row>
    <row r="960" spans="1:23" ht="11.25" customHeight="1" x14ac:dyDescent="0.25">
      <c r="A960" s="3" t="s">
        <v>28</v>
      </c>
      <c r="B960" s="3" t="s">
        <v>33</v>
      </c>
      <c r="C960" s="3" t="s">
        <v>34</v>
      </c>
      <c r="D960" s="3" t="s">
        <v>40</v>
      </c>
      <c r="E960" s="3" t="s">
        <v>25</v>
      </c>
      <c r="F960" s="3" t="s">
        <v>25</v>
      </c>
      <c r="G960" s="3" t="s">
        <v>25</v>
      </c>
      <c r="H960" s="3" t="s">
        <v>35</v>
      </c>
      <c r="I960" s="6">
        <v>44531</v>
      </c>
      <c r="J960" s="4">
        <v>0</v>
      </c>
      <c r="K960" s="4">
        <v>0</v>
      </c>
      <c r="L960" s="4">
        <v>16.399999999999999</v>
      </c>
      <c r="M960" s="4">
        <v>16.399999999999999</v>
      </c>
      <c r="N960" s="4">
        <v>16.399999999999999</v>
      </c>
      <c r="O960" s="4">
        <v>16.399999999999999</v>
      </c>
      <c r="P960" s="4">
        <v>0</v>
      </c>
      <c r="Q960" s="3" t="s">
        <v>26</v>
      </c>
      <c r="R960" s="3">
        <v>0</v>
      </c>
      <c r="S960" s="3" t="s">
        <v>319</v>
      </c>
      <c r="T960" s="3" t="s">
        <v>556</v>
      </c>
      <c r="U960" s="3">
        <v>0</v>
      </c>
      <c r="V960" s="3">
        <v>8</v>
      </c>
      <c r="W960" s="3">
        <v>72</v>
      </c>
    </row>
    <row r="961" spans="1:23" ht="11.25" customHeight="1" x14ac:dyDescent="0.25">
      <c r="A961" s="3" t="s">
        <v>21</v>
      </c>
      <c r="B961" s="3" t="s">
        <v>33</v>
      </c>
      <c r="C961" s="3" t="s">
        <v>34</v>
      </c>
      <c r="D961" s="3" t="s">
        <v>40</v>
      </c>
      <c r="E961" s="3" t="s">
        <v>25</v>
      </c>
      <c r="F961" s="3" t="s">
        <v>25</v>
      </c>
      <c r="G961" s="3" t="s">
        <v>25</v>
      </c>
      <c r="H961" s="3" t="s">
        <v>35</v>
      </c>
      <c r="I961" s="6">
        <v>44531</v>
      </c>
      <c r="J961" s="4">
        <v>0</v>
      </c>
      <c r="K961" s="4">
        <v>0</v>
      </c>
      <c r="L961" s="4">
        <v>14.974</v>
      </c>
      <c r="M961" s="4">
        <v>14.974</v>
      </c>
      <c r="N961" s="4">
        <v>0</v>
      </c>
      <c r="O961" s="4">
        <v>0</v>
      </c>
      <c r="P961" s="4">
        <v>0</v>
      </c>
      <c r="Q961" s="3" t="s">
        <v>57</v>
      </c>
      <c r="R961" s="3">
        <v>0</v>
      </c>
      <c r="S961" s="3" t="s">
        <v>319</v>
      </c>
      <c r="U961" s="3">
        <v>0</v>
      </c>
      <c r="V961" s="3">
        <v>8</v>
      </c>
      <c r="W961" s="3">
        <v>0</v>
      </c>
    </row>
    <row r="962" spans="1:23" ht="11.25" customHeight="1" x14ac:dyDescent="0.25">
      <c r="A962" s="3" t="s">
        <v>21</v>
      </c>
      <c r="B962" s="3" t="s">
        <v>33</v>
      </c>
      <c r="C962" s="3" t="s">
        <v>34</v>
      </c>
      <c r="D962" s="3" t="s">
        <v>40</v>
      </c>
      <c r="E962" s="3" t="s">
        <v>25</v>
      </c>
      <c r="F962" s="3" t="s">
        <v>25</v>
      </c>
      <c r="G962" s="3" t="s">
        <v>25</v>
      </c>
      <c r="H962" s="3" t="s">
        <v>35</v>
      </c>
      <c r="I962" s="6">
        <v>44562</v>
      </c>
      <c r="J962" s="4">
        <v>0</v>
      </c>
      <c r="K962" s="4">
        <v>0</v>
      </c>
      <c r="L962" s="4">
        <v>285.62599999999998</v>
      </c>
      <c r="M962" s="4">
        <v>285.62599999999998</v>
      </c>
      <c r="N962" s="4">
        <v>285.62599999999998</v>
      </c>
      <c r="O962" s="4">
        <v>285.62599999999998</v>
      </c>
      <c r="P962" s="4">
        <v>0</v>
      </c>
      <c r="Q962" s="3" t="s">
        <v>26</v>
      </c>
      <c r="R962" s="3">
        <v>0</v>
      </c>
      <c r="S962" s="3" t="s">
        <v>320</v>
      </c>
      <c r="T962" s="3" t="s">
        <v>557</v>
      </c>
      <c r="U962" s="3">
        <v>0</v>
      </c>
      <c r="V962" s="3">
        <v>8</v>
      </c>
      <c r="W962" s="3">
        <v>72</v>
      </c>
    </row>
    <row r="963" spans="1:23" ht="11.25" customHeight="1" x14ac:dyDescent="0.25">
      <c r="A963" s="3" t="s">
        <v>27</v>
      </c>
      <c r="B963" s="3" t="s">
        <v>33</v>
      </c>
      <c r="C963" s="3" t="s">
        <v>34</v>
      </c>
      <c r="D963" s="3" t="s">
        <v>40</v>
      </c>
      <c r="E963" s="3" t="s">
        <v>25</v>
      </c>
      <c r="F963" s="3" t="s">
        <v>25</v>
      </c>
      <c r="G963" s="3" t="s">
        <v>25</v>
      </c>
      <c r="H963" s="3" t="s">
        <v>35</v>
      </c>
      <c r="I963" s="6">
        <v>44562</v>
      </c>
      <c r="J963" s="4">
        <v>0</v>
      </c>
      <c r="K963" s="4">
        <v>0</v>
      </c>
      <c r="L963" s="4">
        <v>0.51200000000000001</v>
      </c>
      <c r="M963" s="4">
        <v>0.51200000000000001</v>
      </c>
      <c r="N963" s="4">
        <v>0.51200000000000001</v>
      </c>
      <c r="O963" s="4">
        <v>0.51200000000000001</v>
      </c>
      <c r="P963" s="4">
        <v>0</v>
      </c>
      <c r="Q963" s="3" t="s">
        <v>26</v>
      </c>
      <c r="R963" s="3">
        <v>0</v>
      </c>
      <c r="S963" s="3" t="s">
        <v>320</v>
      </c>
      <c r="T963" s="3" t="s">
        <v>557</v>
      </c>
      <c r="U963" s="3">
        <v>0</v>
      </c>
      <c r="V963" s="3">
        <v>8</v>
      </c>
      <c r="W963" s="3">
        <v>72</v>
      </c>
    </row>
    <row r="964" spans="1:23" ht="11.25" customHeight="1" x14ac:dyDescent="0.25">
      <c r="A964" s="3" t="s">
        <v>28</v>
      </c>
      <c r="B964" s="3" t="s">
        <v>33</v>
      </c>
      <c r="C964" s="3" t="s">
        <v>34</v>
      </c>
      <c r="D964" s="3" t="s">
        <v>40</v>
      </c>
      <c r="E964" s="3" t="s">
        <v>25</v>
      </c>
      <c r="F964" s="3" t="s">
        <v>25</v>
      </c>
      <c r="G964" s="3" t="s">
        <v>25</v>
      </c>
      <c r="H964" s="3" t="s">
        <v>35</v>
      </c>
      <c r="I964" s="6">
        <v>44562</v>
      </c>
      <c r="J964" s="4">
        <v>0</v>
      </c>
      <c r="K964" s="4">
        <v>0</v>
      </c>
      <c r="L964" s="4">
        <v>16.004999999999999</v>
      </c>
      <c r="M964" s="4">
        <v>16.004999999999999</v>
      </c>
      <c r="N964" s="4">
        <v>16.004999999999999</v>
      </c>
      <c r="O964" s="4">
        <v>16.004999999999999</v>
      </c>
      <c r="P964" s="4">
        <v>0</v>
      </c>
      <c r="Q964" s="3" t="s">
        <v>26</v>
      </c>
      <c r="R964" s="3">
        <v>0</v>
      </c>
      <c r="S964" s="3" t="s">
        <v>320</v>
      </c>
      <c r="T964" s="3" t="s">
        <v>557</v>
      </c>
      <c r="U964" s="3">
        <v>0</v>
      </c>
      <c r="V964" s="3">
        <v>8</v>
      </c>
      <c r="W964" s="3">
        <v>72</v>
      </c>
    </row>
    <row r="965" spans="1:23" ht="11.25" customHeight="1" x14ac:dyDescent="0.25">
      <c r="A965" s="3" t="s">
        <v>21</v>
      </c>
      <c r="B965" s="3" t="s">
        <v>33</v>
      </c>
      <c r="C965" s="3" t="s">
        <v>34</v>
      </c>
      <c r="D965" s="3" t="s">
        <v>40</v>
      </c>
      <c r="E965" s="3" t="s">
        <v>25</v>
      </c>
      <c r="F965" s="3" t="s">
        <v>25</v>
      </c>
      <c r="G965" s="3" t="s">
        <v>25</v>
      </c>
      <c r="H965" s="3" t="s">
        <v>35</v>
      </c>
      <c r="I965" s="6">
        <v>44562</v>
      </c>
      <c r="J965" s="4">
        <v>0</v>
      </c>
      <c r="K965" s="4">
        <v>0</v>
      </c>
      <c r="L965" s="4">
        <v>13.278</v>
      </c>
      <c r="M965" s="4">
        <v>13.278</v>
      </c>
      <c r="N965" s="4">
        <v>0</v>
      </c>
      <c r="O965" s="4">
        <v>0</v>
      </c>
      <c r="P965" s="4">
        <v>0</v>
      </c>
      <c r="Q965" s="3" t="s">
        <v>57</v>
      </c>
      <c r="R965" s="3">
        <v>0</v>
      </c>
      <c r="S965" s="3" t="s">
        <v>320</v>
      </c>
      <c r="U965" s="3">
        <v>0</v>
      </c>
      <c r="V965" s="3">
        <v>8</v>
      </c>
      <c r="W965" s="3">
        <v>0</v>
      </c>
    </row>
    <row r="966" spans="1:23" ht="11.25" customHeight="1" x14ac:dyDescent="0.25">
      <c r="A966" s="3" t="s">
        <v>21</v>
      </c>
      <c r="B966" s="3" t="s">
        <v>33</v>
      </c>
      <c r="C966" s="3" t="s">
        <v>34</v>
      </c>
      <c r="D966" s="3" t="s">
        <v>40</v>
      </c>
      <c r="E966" s="3" t="s">
        <v>25</v>
      </c>
      <c r="F966" s="3" t="s">
        <v>25</v>
      </c>
      <c r="G966" s="3" t="s">
        <v>25</v>
      </c>
      <c r="H966" s="3" t="s">
        <v>35</v>
      </c>
      <c r="I966" s="6">
        <v>44593</v>
      </c>
      <c r="J966" s="4">
        <v>0</v>
      </c>
      <c r="K966" s="4">
        <v>0</v>
      </c>
      <c r="L966" s="4">
        <v>277.65800000000002</v>
      </c>
      <c r="M966" s="4">
        <v>277.65800000000002</v>
      </c>
      <c r="N966" s="4">
        <v>277.65800000000002</v>
      </c>
      <c r="O966" s="4">
        <v>277.65800000000002</v>
      </c>
      <c r="P966" s="4">
        <v>0</v>
      </c>
      <c r="Q966" s="3" t="s">
        <v>26</v>
      </c>
      <c r="R966" s="3">
        <v>0</v>
      </c>
      <c r="S966" s="3" t="s">
        <v>321</v>
      </c>
      <c r="T966" s="3" t="s">
        <v>558</v>
      </c>
      <c r="U966" s="3">
        <v>0</v>
      </c>
      <c r="V966" s="3">
        <v>8</v>
      </c>
      <c r="W966" s="3">
        <v>72</v>
      </c>
    </row>
    <row r="967" spans="1:23" ht="11.25" customHeight="1" x14ac:dyDescent="0.25">
      <c r="A967" s="3" t="s">
        <v>27</v>
      </c>
      <c r="B967" s="3" t="s">
        <v>33</v>
      </c>
      <c r="C967" s="3" t="s">
        <v>34</v>
      </c>
      <c r="D967" s="3" t="s">
        <v>40</v>
      </c>
      <c r="E967" s="3" t="s">
        <v>25</v>
      </c>
      <c r="F967" s="3" t="s">
        <v>25</v>
      </c>
      <c r="G967" s="3" t="s">
        <v>25</v>
      </c>
      <c r="H967" s="3" t="s">
        <v>35</v>
      </c>
      <c r="I967" s="6">
        <v>44593</v>
      </c>
      <c r="J967" s="4">
        <v>0</v>
      </c>
      <c r="K967" s="4">
        <v>0</v>
      </c>
      <c r="L967" s="4">
        <v>-11.135</v>
      </c>
      <c r="M967" s="4">
        <v>-11.135</v>
      </c>
      <c r="N967" s="4">
        <v>-11.135</v>
      </c>
      <c r="O967" s="4">
        <v>-11.135</v>
      </c>
      <c r="P967" s="4">
        <v>0</v>
      </c>
      <c r="Q967" s="3" t="s">
        <v>26</v>
      </c>
      <c r="R967" s="3">
        <v>0</v>
      </c>
      <c r="S967" s="3" t="s">
        <v>321</v>
      </c>
      <c r="T967" s="3" t="s">
        <v>558</v>
      </c>
      <c r="U967" s="3">
        <v>0</v>
      </c>
      <c r="V967" s="3">
        <v>8</v>
      </c>
      <c r="W967" s="3">
        <v>72</v>
      </c>
    </row>
    <row r="968" spans="1:23" ht="11.25" customHeight="1" x14ac:dyDescent="0.25">
      <c r="A968" s="3" t="s">
        <v>28</v>
      </c>
      <c r="B968" s="3" t="s">
        <v>33</v>
      </c>
      <c r="C968" s="3" t="s">
        <v>34</v>
      </c>
      <c r="D968" s="3" t="s">
        <v>40</v>
      </c>
      <c r="E968" s="3" t="s">
        <v>25</v>
      </c>
      <c r="F968" s="3" t="s">
        <v>25</v>
      </c>
      <c r="G968" s="3" t="s">
        <v>25</v>
      </c>
      <c r="H968" s="3" t="s">
        <v>35</v>
      </c>
      <c r="I968" s="6">
        <v>44593</v>
      </c>
      <c r="J968" s="4">
        <v>0</v>
      </c>
      <c r="K968" s="4">
        <v>0</v>
      </c>
      <c r="L968" s="4">
        <v>14.653</v>
      </c>
      <c r="M968" s="4">
        <v>14.653</v>
      </c>
      <c r="N968" s="4">
        <v>14.653</v>
      </c>
      <c r="O968" s="4">
        <v>14.653</v>
      </c>
      <c r="P968" s="4">
        <v>0</v>
      </c>
      <c r="Q968" s="3" t="s">
        <v>26</v>
      </c>
      <c r="R968" s="3">
        <v>0</v>
      </c>
      <c r="S968" s="3" t="s">
        <v>321</v>
      </c>
      <c r="T968" s="3" t="s">
        <v>558</v>
      </c>
      <c r="U968" s="3">
        <v>0</v>
      </c>
      <c r="V968" s="3">
        <v>8</v>
      </c>
      <c r="W968" s="3">
        <v>72</v>
      </c>
    </row>
    <row r="969" spans="1:23" ht="11.25" customHeight="1" x14ac:dyDescent="0.25">
      <c r="A969" s="3" t="s">
        <v>21</v>
      </c>
      <c r="B969" s="3" t="s">
        <v>33</v>
      </c>
      <c r="C969" s="3" t="s">
        <v>34</v>
      </c>
      <c r="D969" s="3" t="s">
        <v>40</v>
      </c>
      <c r="E969" s="3" t="s">
        <v>25</v>
      </c>
      <c r="F969" s="3" t="s">
        <v>25</v>
      </c>
      <c r="G969" s="3" t="s">
        <v>25</v>
      </c>
      <c r="H969" s="3" t="s">
        <v>35</v>
      </c>
      <c r="I969" s="6">
        <v>44593</v>
      </c>
      <c r="J969" s="4">
        <v>0</v>
      </c>
      <c r="K969" s="4">
        <v>0</v>
      </c>
      <c r="L969" s="4">
        <v>12.007</v>
      </c>
      <c r="M969" s="4">
        <v>12.007</v>
      </c>
      <c r="N969" s="4">
        <v>0</v>
      </c>
      <c r="O969" s="4">
        <v>0</v>
      </c>
      <c r="P969" s="4">
        <v>0</v>
      </c>
      <c r="Q969" s="3" t="s">
        <v>57</v>
      </c>
      <c r="R969" s="3">
        <v>0</v>
      </c>
      <c r="S969" s="3" t="s">
        <v>321</v>
      </c>
      <c r="U969" s="3">
        <v>0</v>
      </c>
      <c r="V969" s="3">
        <v>8</v>
      </c>
      <c r="W969" s="3">
        <v>0</v>
      </c>
    </row>
    <row r="970" spans="1:23" ht="11.25" customHeight="1" x14ac:dyDescent="0.25">
      <c r="A970" s="3" t="s">
        <v>21</v>
      </c>
      <c r="B970" s="3" t="s">
        <v>33</v>
      </c>
      <c r="C970" s="3" t="s">
        <v>34</v>
      </c>
      <c r="D970" s="3" t="s">
        <v>40</v>
      </c>
      <c r="E970" s="3" t="s">
        <v>25</v>
      </c>
      <c r="F970" s="3" t="s">
        <v>25</v>
      </c>
      <c r="G970" s="3" t="s">
        <v>25</v>
      </c>
      <c r="H970" s="3" t="s">
        <v>35</v>
      </c>
      <c r="I970" s="6">
        <v>44621</v>
      </c>
      <c r="J970" s="4">
        <v>0</v>
      </c>
      <c r="K970" s="4">
        <v>0</v>
      </c>
      <c r="L970" s="4">
        <v>355.42599999999999</v>
      </c>
      <c r="M970" s="4">
        <v>355.42599999999999</v>
      </c>
      <c r="N970" s="4">
        <v>355.42599999999999</v>
      </c>
      <c r="O970" s="4">
        <v>355.42599999999999</v>
      </c>
      <c r="P970" s="4">
        <v>0</v>
      </c>
      <c r="Q970" s="3" t="s">
        <v>26</v>
      </c>
      <c r="R970" s="3">
        <v>0</v>
      </c>
      <c r="S970" s="3" t="s">
        <v>322</v>
      </c>
      <c r="T970" s="3" t="s">
        <v>559</v>
      </c>
      <c r="U970" s="3">
        <v>0</v>
      </c>
      <c r="V970" s="3">
        <v>8</v>
      </c>
      <c r="W970" s="3">
        <v>72</v>
      </c>
    </row>
    <row r="971" spans="1:23" ht="11.25" customHeight="1" x14ac:dyDescent="0.25">
      <c r="A971" s="3" t="s">
        <v>28</v>
      </c>
      <c r="B971" s="3" t="s">
        <v>33</v>
      </c>
      <c r="C971" s="3" t="s">
        <v>34</v>
      </c>
      <c r="D971" s="3" t="s">
        <v>40</v>
      </c>
      <c r="E971" s="3" t="s">
        <v>25</v>
      </c>
      <c r="F971" s="3" t="s">
        <v>25</v>
      </c>
      <c r="G971" s="3" t="s">
        <v>25</v>
      </c>
      <c r="H971" s="3" t="s">
        <v>35</v>
      </c>
      <c r="I971" s="6">
        <v>44621</v>
      </c>
      <c r="J971" s="4">
        <v>0</v>
      </c>
      <c r="K971" s="4">
        <v>0</v>
      </c>
      <c r="L971" s="4">
        <v>21.291</v>
      </c>
      <c r="M971" s="4">
        <v>21.291</v>
      </c>
      <c r="N971" s="4">
        <v>21.291</v>
      </c>
      <c r="O971" s="4">
        <v>21.291</v>
      </c>
      <c r="P971" s="4">
        <v>0</v>
      </c>
      <c r="Q971" s="3" t="s">
        <v>26</v>
      </c>
      <c r="R971" s="3">
        <v>0</v>
      </c>
      <c r="S971" s="3" t="s">
        <v>322</v>
      </c>
      <c r="T971" s="3" t="s">
        <v>559</v>
      </c>
      <c r="U971" s="3">
        <v>0</v>
      </c>
      <c r="V971" s="3">
        <v>8</v>
      </c>
      <c r="W971" s="3">
        <v>72</v>
      </c>
    </row>
    <row r="972" spans="1:23" ht="11.25" customHeight="1" x14ac:dyDescent="0.25">
      <c r="A972" s="3" t="s">
        <v>21</v>
      </c>
      <c r="B972" s="3" t="s">
        <v>33</v>
      </c>
      <c r="C972" s="3" t="s">
        <v>34</v>
      </c>
      <c r="D972" s="3" t="s">
        <v>40</v>
      </c>
      <c r="E972" s="3" t="s">
        <v>25</v>
      </c>
      <c r="F972" s="3" t="s">
        <v>25</v>
      </c>
      <c r="G972" s="3" t="s">
        <v>25</v>
      </c>
      <c r="H972" s="3" t="s">
        <v>35</v>
      </c>
      <c r="I972" s="6">
        <v>44621</v>
      </c>
      <c r="J972" s="4">
        <v>0</v>
      </c>
      <c r="K972" s="4">
        <v>0</v>
      </c>
      <c r="L972" s="4">
        <v>13.933</v>
      </c>
      <c r="M972" s="4">
        <v>13.933</v>
      </c>
      <c r="N972" s="4">
        <v>0</v>
      </c>
      <c r="O972" s="4">
        <v>0</v>
      </c>
      <c r="P972" s="4">
        <v>0</v>
      </c>
      <c r="Q972" s="3" t="s">
        <v>57</v>
      </c>
      <c r="R972" s="3">
        <v>0</v>
      </c>
      <c r="S972" s="3" t="s">
        <v>322</v>
      </c>
      <c r="U972" s="3">
        <v>0</v>
      </c>
      <c r="V972" s="3">
        <v>8</v>
      </c>
      <c r="W972" s="3">
        <v>0</v>
      </c>
    </row>
    <row r="973" spans="1:23" ht="11.25" customHeight="1" x14ac:dyDescent="0.25">
      <c r="A973" s="3" t="s">
        <v>56</v>
      </c>
      <c r="B973" s="3" t="s">
        <v>33</v>
      </c>
      <c r="C973" s="3" t="s">
        <v>34</v>
      </c>
      <c r="D973" s="3" t="s">
        <v>40</v>
      </c>
      <c r="E973" s="3" t="s">
        <v>25</v>
      </c>
      <c r="F973" s="3" t="s">
        <v>25</v>
      </c>
      <c r="G973" s="3" t="s">
        <v>25</v>
      </c>
      <c r="H973" s="3" t="s">
        <v>35</v>
      </c>
      <c r="I973" s="6">
        <v>44652</v>
      </c>
      <c r="J973" s="4">
        <v>0</v>
      </c>
      <c r="K973" s="4">
        <v>0</v>
      </c>
      <c r="L973" s="4">
        <v>355.42599999999999</v>
      </c>
      <c r="M973" s="4">
        <v>355.42599999999999</v>
      </c>
      <c r="N973" s="4">
        <v>355.42599999999999</v>
      </c>
      <c r="O973" s="4">
        <v>355.42599999999999</v>
      </c>
      <c r="P973" s="4">
        <v>0</v>
      </c>
      <c r="Q973" s="3" t="s">
        <v>26</v>
      </c>
      <c r="R973" s="3">
        <v>0</v>
      </c>
      <c r="S973" s="3" t="s">
        <v>323</v>
      </c>
      <c r="T973" s="3" t="s">
        <v>560</v>
      </c>
      <c r="U973" s="3">
        <v>0</v>
      </c>
      <c r="V973" s="3">
        <v>8</v>
      </c>
      <c r="W973" s="3">
        <v>72</v>
      </c>
    </row>
    <row r="974" spans="1:23" ht="11.25" customHeight="1" x14ac:dyDescent="0.25">
      <c r="A974" s="3" t="s">
        <v>56</v>
      </c>
      <c r="B974" s="3" t="s">
        <v>33</v>
      </c>
      <c r="C974" s="3" t="s">
        <v>34</v>
      </c>
      <c r="D974" s="3" t="s">
        <v>40</v>
      </c>
      <c r="E974" s="3" t="s">
        <v>25</v>
      </c>
      <c r="F974" s="3" t="s">
        <v>25</v>
      </c>
      <c r="G974" s="3" t="s">
        <v>25</v>
      </c>
      <c r="H974" s="3" t="s">
        <v>35</v>
      </c>
      <c r="I974" s="6">
        <v>44652</v>
      </c>
      <c r="J974" s="4">
        <v>0</v>
      </c>
      <c r="K974" s="4">
        <v>0</v>
      </c>
      <c r="L974" s="4">
        <v>21.291</v>
      </c>
      <c r="M974" s="4">
        <v>21.291</v>
      </c>
      <c r="N974" s="4">
        <v>21.291</v>
      </c>
      <c r="O974" s="4">
        <v>21.291</v>
      </c>
      <c r="P974" s="4">
        <v>0</v>
      </c>
      <c r="Q974" s="3" t="s">
        <v>26</v>
      </c>
      <c r="R974" s="3">
        <v>0</v>
      </c>
      <c r="S974" s="3" t="s">
        <v>323</v>
      </c>
      <c r="T974" s="3" t="s">
        <v>560</v>
      </c>
      <c r="U974" s="3">
        <v>0</v>
      </c>
      <c r="V974" s="3">
        <v>8</v>
      </c>
      <c r="W974" s="3">
        <v>72</v>
      </c>
    </row>
    <row r="975" spans="1:23" ht="11.25" customHeight="1" x14ac:dyDescent="0.25">
      <c r="A975" s="3" t="s">
        <v>56</v>
      </c>
      <c r="B975" s="3" t="s">
        <v>33</v>
      </c>
      <c r="C975" s="3" t="s">
        <v>34</v>
      </c>
      <c r="D975" s="3" t="s">
        <v>40</v>
      </c>
      <c r="E975" s="3" t="s">
        <v>25</v>
      </c>
      <c r="F975" s="3" t="s">
        <v>25</v>
      </c>
      <c r="G975" s="3" t="s">
        <v>25</v>
      </c>
      <c r="H975" s="3" t="s">
        <v>35</v>
      </c>
      <c r="I975" s="6">
        <v>44652</v>
      </c>
      <c r="J975" s="4">
        <v>0</v>
      </c>
      <c r="K975" s="4">
        <v>0</v>
      </c>
      <c r="L975" s="4">
        <v>13.933</v>
      </c>
      <c r="M975" s="4">
        <v>13.933</v>
      </c>
      <c r="N975" s="4">
        <v>0</v>
      </c>
      <c r="O975" s="4">
        <v>0</v>
      </c>
      <c r="P975" s="4">
        <v>0</v>
      </c>
      <c r="Q975" s="3" t="s">
        <v>57</v>
      </c>
      <c r="R975" s="3">
        <v>0</v>
      </c>
      <c r="S975" s="3" t="s">
        <v>323</v>
      </c>
      <c r="U975" s="3">
        <v>0</v>
      </c>
      <c r="V975" s="3">
        <v>8</v>
      </c>
      <c r="W975" s="3">
        <v>0</v>
      </c>
    </row>
    <row r="976" spans="1:23" ht="11.25" customHeight="1" x14ac:dyDescent="0.25">
      <c r="A976" s="3" t="s">
        <v>21</v>
      </c>
      <c r="B976" s="3" t="s">
        <v>33</v>
      </c>
      <c r="C976" s="3" t="s">
        <v>34</v>
      </c>
      <c r="D976" s="3" t="s">
        <v>46</v>
      </c>
      <c r="E976" s="3" t="s">
        <v>25</v>
      </c>
      <c r="F976" s="3" t="s">
        <v>25</v>
      </c>
      <c r="G976" s="3" t="s">
        <v>25</v>
      </c>
      <c r="H976" s="3" t="s">
        <v>36</v>
      </c>
      <c r="I976" s="6">
        <v>44317</v>
      </c>
      <c r="J976" s="4">
        <v>0</v>
      </c>
      <c r="K976" s="4">
        <v>0</v>
      </c>
      <c r="L976" s="4">
        <v>5885.1880000000001</v>
      </c>
      <c r="M976" s="4">
        <v>5885.1880000000001</v>
      </c>
      <c r="N976" s="4">
        <v>5885.1880000000001</v>
      </c>
      <c r="O976" s="4">
        <v>5885.1880000000001</v>
      </c>
      <c r="P976" s="4">
        <v>0</v>
      </c>
      <c r="Q976" s="3" t="s">
        <v>26</v>
      </c>
      <c r="R976" s="3">
        <v>0</v>
      </c>
      <c r="S976" s="3" t="s">
        <v>288</v>
      </c>
      <c r="T976" s="3" t="s">
        <v>537</v>
      </c>
      <c r="U976" s="3">
        <v>0</v>
      </c>
      <c r="V976" s="3">
        <v>29</v>
      </c>
      <c r="W976" s="3">
        <v>73</v>
      </c>
    </row>
    <row r="977" spans="1:23" ht="11.25" customHeight="1" x14ac:dyDescent="0.25">
      <c r="A977" s="3" t="s">
        <v>27</v>
      </c>
      <c r="B977" s="3" t="s">
        <v>33</v>
      </c>
      <c r="C977" s="3" t="s">
        <v>34</v>
      </c>
      <c r="D977" s="3" t="s">
        <v>46</v>
      </c>
      <c r="E977" s="3" t="s">
        <v>25</v>
      </c>
      <c r="F977" s="3" t="s">
        <v>25</v>
      </c>
      <c r="G977" s="3" t="s">
        <v>25</v>
      </c>
      <c r="H977" s="3" t="s">
        <v>36</v>
      </c>
      <c r="I977" s="6">
        <v>44317</v>
      </c>
      <c r="J977" s="4">
        <v>0</v>
      </c>
      <c r="K977" s="4">
        <v>0</v>
      </c>
      <c r="L977" s="4">
        <v>9.9</v>
      </c>
      <c r="M977" s="4">
        <v>9.9</v>
      </c>
      <c r="N977" s="4">
        <v>9.9</v>
      </c>
      <c r="O977" s="4">
        <v>9.9</v>
      </c>
      <c r="P977" s="4">
        <v>0</v>
      </c>
      <c r="Q977" s="3" t="s">
        <v>26</v>
      </c>
      <c r="R977" s="3">
        <v>0</v>
      </c>
      <c r="S977" s="3" t="s">
        <v>288</v>
      </c>
      <c r="T977" s="3" t="s">
        <v>537</v>
      </c>
      <c r="U977" s="3">
        <v>0</v>
      </c>
      <c r="V977" s="3">
        <v>29</v>
      </c>
      <c r="W977" s="3">
        <v>73</v>
      </c>
    </row>
    <row r="978" spans="1:23" ht="11.25" customHeight="1" x14ac:dyDescent="0.25">
      <c r="A978" s="3" t="s">
        <v>28</v>
      </c>
      <c r="B978" s="3" t="s">
        <v>33</v>
      </c>
      <c r="C978" s="3" t="s">
        <v>34</v>
      </c>
      <c r="D978" s="3" t="s">
        <v>46</v>
      </c>
      <c r="E978" s="3" t="s">
        <v>25</v>
      </c>
      <c r="F978" s="3" t="s">
        <v>25</v>
      </c>
      <c r="G978" s="3" t="s">
        <v>25</v>
      </c>
      <c r="H978" s="3" t="s">
        <v>36</v>
      </c>
      <c r="I978" s="6">
        <v>44317</v>
      </c>
      <c r="J978" s="4">
        <v>0</v>
      </c>
      <c r="K978" s="4">
        <v>0</v>
      </c>
      <c r="L978" s="4">
        <v>126.834</v>
      </c>
      <c r="M978" s="4">
        <v>126.834</v>
      </c>
      <c r="N978" s="4">
        <v>126.834</v>
      </c>
      <c r="O978" s="4">
        <v>126.834</v>
      </c>
      <c r="P978" s="4">
        <v>0</v>
      </c>
      <c r="Q978" s="3" t="s">
        <v>26</v>
      </c>
      <c r="R978" s="3">
        <v>0</v>
      </c>
      <c r="S978" s="3" t="s">
        <v>288</v>
      </c>
      <c r="T978" s="3" t="s">
        <v>537</v>
      </c>
      <c r="U978" s="3">
        <v>0</v>
      </c>
      <c r="V978" s="3">
        <v>29</v>
      </c>
      <c r="W978" s="3">
        <v>73</v>
      </c>
    </row>
    <row r="979" spans="1:23" ht="11.25" customHeight="1" x14ac:dyDescent="0.25">
      <c r="A979" s="3" t="s">
        <v>21</v>
      </c>
      <c r="B979" s="3" t="s">
        <v>33</v>
      </c>
      <c r="C979" s="3" t="s">
        <v>34</v>
      </c>
      <c r="D979" s="3" t="s">
        <v>46</v>
      </c>
      <c r="E979" s="3" t="s">
        <v>25</v>
      </c>
      <c r="F979" s="3" t="s">
        <v>25</v>
      </c>
      <c r="G979" s="3" t="s">
        <v>25</v>
      </c>
      <c r="H979" s="3" t="s">
        <v>36</v>
      </c>
      <c r="I979" s="6">
        <v>44348</v>
      </c>
      <c r="J979" s="4">
        <v>0</v>
      </c>
      <c r="K979" s="4">
        <v>0</v>
      </c>
      <c r="L979" s="4">
        <v>5176.7579999999998</v>
      </c>
      <c r="M979" s="4">
        <v>5176.7579999999998</v>
      </c>
      <c r="N979" s="4">
        <v>5176.7579999999998</v>
      </c>
      <c r="O979" s="4">
        <v>5176.7579999999998</v>
      </c>
      <c r="P979" s="4">
        <v>0</v>
      </c>
      <c r="Q979" s="3" t="s">
        <v>26</v>
      </c>
      <c r="R979" s="3">
        <v>0</v>
      </c>
      <c r="S979" s="3" t="s">
        <v>289</v>
      </c>
      <c r="T979" s="3" t="s">
        <v>538</v>
      </c>
      <c r="U979" s="3">
        <v>0</v>
      </c>
      <c r="V979" s="3">
        <v>29</v>
      </c>
      <c r="W979" s="3">
        <v>73</v>
      </c>
    </row>
    <row r="980" spans="1:23" ht="11.25" customHeight="1" x14ac:dyDescent="0.25">
      <c r="A980" s="3" t="s">
        <v>27</v>
      </c>
      <c r="B980" s="3" t="s">
        <v>33</v>
      </c>
      <c r="C980" s="3" t="s">
        <v>34</v>
      </c>
      <c r="D980" s="3" t="s">
        <v>46</v>
      </c>
      <c r="E980" s="3" t="s">
        <v>25</v>
      </c>
      <c r="F980" s="3" t="s">
        <v>25</v>
      </c>
      <c r="G980" s="3" t="s">
        <v>25</v>
      </c>
      <c r="H980" s="3" t="s">
        <v>36</v>
      </c>
      <c r="I980" s="6">
        <v>44348</v>
      </c>
      <c r="J980" s="4">
        <v>0</v>
      </c>
      <c r="K980" s="4">
        <v>0</v>
      </c>
      <c r="L980" s="4">
        <v>2.8149999999999999</v>
      </c>
      <c r="M980" s="4">
        <v>2.8149999999999999</v>
      </c>
      <c r="N980" s="4">
        <v>2.8149999999999999</v>
      </c>
      <c r="O980" s="4">
        <v>2.8149999999999999</v>
      </c>
      <c r="P980" s="4">
        <v>0</v>
      </c>
      <c r="Q980" s="3" t="s">
        <v>26</v>
      </c>
      <c r="R980" s="3">
        <v>0</v>
      </c>
      <c r="S980" s="3" t="s">
        <v>289</v>
      </c>
      <c r="T980" s="3" t="s">
        <v>538</v>
      </c>
      <c r="U980" s="3">
        <v>0</v>
      </c>
      <c r="V980" s="3">
        <v>29</v>
      </c>
      <c r="W980" s="3">
        <v>73</v>
      </c>
    </row>
    <row r="981" spans="1:23" ht="11.25" customHeight="1" x14ac:dyDescent="0.25">
      <c r="A981" s="3" t="s">
        <v>28</v>
      </c>
      <c r="B981" s="3" t="s">
        <v>33</v>
      </c>
      <c r="C981" s="3" t="s">
        <v>34</v>
      </c>
      <c r="D981" s="3" t="s">
        <v>46</v>
      </c>
      <c r="E981" s="3" t="s">
        <v>25</v>
      </c>
      <c r="F981" s="3" t="s">
        <v>25</v>
      </c>
      <c r="G981" s="3" t="s">
        <v>25</v>
      </c>
      <c r="H981" s="3" t="s">
        <v>36</v>
      </c>
      <c r="I981" s="6">
        <v>44348</v>
      </c>
      <c r="J981" s="4">
        <v>0</v>
      </c>
      <c r="K981" s="4">
        <v>0</v>
      </c>
      <c r="L981" s="4">
        <v>119.673</v>
      </c>
      <c r="M981" s="4">
        <v>119.673</v>
      </c>
      <c r="N981" s="4">
        <v>119.673</v>
      </c>
      <c r="O981" s="4">
        <v>119.673</v>
      </c>
      <c r="P981" s="4">
        <v>0</v>
      </c>
      <c r="Q981" s="3" t="s">
        <v>26</v>
      </c>
      <c r="R981" s="3">
        <v>0</v>
      </c>
      <c r="S981" s="3" t="s">
        <v>289</v>
      </c>
      <c r="T981" s="3" t="s">
        <v>538</v>
      </c>
      <c r="U981" s="3">
        <v>0</v>
      </c>
      <c r="V981" s="3">
        <v>29</v>
      </c>
      <c r="W981" s="3">
        <v>73</v>
      </c>
    </row>
    <row r="982" spans="1:23" ht="11.25" customHeight="1" x14ac:dyDescent="0.25">
      <c r="A982" s="3" t="s">
        <v>21</v>
      </c>
      <c r="B982" s="3" t="s">
        <v>33</v>
      </c>
      <c r="C982" s="3" t="s">
        <v>34</v>
      </c>
      <c r="D982" s="3" t="s">
        <v>46</v>
      </c>
      <c r="E982" s="3" t="s">
        <v>25</v>
      </c>
      <c r="F982" s="3" t="s">
        <v>25</v>
      </c>
      <c r="G982" s="3" t="s">
        <v>25</v>
      </c>
      <c r="H982" s="3" t="s">
        <v>36</v>
      </c>
      <c r="I982" s="6">
        <v>44378</v>
      </c>
      <c r="J982" s="4">
        <v>0</v>
      </c>
      <c r="K982" s="4">
        <v>0</v>
      </c>
      <c r="L982" s="4">
        <v>5342.1360000000004</v>
      </c>
      <c r="M982" s="4">
        <v>5342.1360000000004</v>
      </c>
      <c r="N982" s="4">
        <v>5342.1360000000004</v>
      </c>
      <c r="O982" s="4">
        <v>5342.1360000000004</v>
      </c>
      <c r="P982" s="4">
        <v>0</v>
      </c>
      <c r="Q982" s="3" t="s">
        <v>26</v>
      </c>
      <c r="R982" s="3">
        <v>0</v>
      </c>
      <c r="S982" s="3" t="s">
        <v>290</v>
      </c>
      <c r="T982" s="3" t="s">
        <v>539</v>
      </c>
      <c r="U982" s="3">
        <v>0</v>
      </c>
      <c r="V982" s="3">
        <v>29</v>
      </c>
      <c r="W982" s="3">
        <v>73</v>
      </c>
    </row>
    <row r="983" spans="1:23" ht="11.25" customHeight="1" x14ac:dyDescent="0.25">
      <c r="A983" s="3" t="s">
        <v>28</v>
      </c>
      <c r="B983" s="3" t="s">
        <v>33</v>
      </c>
      <c r="C983" s="3" t="s">
        <v>34</v>
      </c>
      <c r="D983" s="3" t="s">
        <v>46</v>
      </c>
      <c r="E983" s="3" t="s">
        <v>25</v>
      </c>
      <c r="F983" s="3" t="s">
        <v>25</v>
      </c>
      <c r="G983" s="3" t="s">
        <v>25</v>
      </c>
      <c r="H983" s="3" t="s">
        <v>36</v>
      </c>
      <c r="I983" s="6">
        <v>44378</v>
      </c>
      <c r="J983" s="4">
        <v>0</v>
      </c>
      <c r="K983" s="4">
        <v>0</v>
      </c>
      <c r="L983" s="4">
        <v>125.057</v>
      </c>
      <c r="M983" s="4">
        <v>125.057</v>
      </c>
      <c r="N983" s="4">
        <v>125.057</v>
      </c>
      <c r="O983" s="4">
        <v>125.057</v>
      </c>
      <c r="P983" s="4">
        <v>0</v>
      </c>
      <c r="Q983" s="3" t="s">
        <v>26</v>
      </c>
      <c r="R983" s="3">
        <v>0</v>
      </c>
      <c r="S983" s="3" t="s">
        <v>290</v>
      </c>
      <c r="T983" s="3" t="s">
        <v>539</v>
      </c>
      <c r="U983" s="3">
        <v>0</v>
      </c>
      <c r="V983" s="3">
        <v>29</v>
      </c>
      <c r="W983" s="3">
        <v>73</v>
      </c>
    </row>
    <row r="984" spans="1:23" ht="11.25" customHeight="1" x14ac:dyDescent="0.25">
      <c r="A984" s="3" t="s">
        <v>21</v>
      </c>
      <c r="B984" s="3" t="s">
        <v>33</v>
      </c>
      <c r="C984" s="3" t="s">
        <v>34</v>
      </c>
      <c r="D984" s="3" t="s">
        <v>46</v>
      </c>
      <c r="E984" s="3" t="s">
        <v>25</v>
      </c>
      <c r="F984" s="3" t="s">
        <v>25</v>
      </c>
      <c r="G984" s="3" t="s">
        <v>25</v>
      </c>
      <c r="H984" s="3" t="s">
        <v>36</v>
      </c>
      <c r="I984" s="6">
        <v>44409</v>
      </c>
      <c r="J984" s="4">
        <v>0</v>
      </c>
      <c r="K984" s="4">
        <v>0</v>
      </c>
      <c r="L984" s="4">
        <v>5258.4970000000003</v>
      </c>
      <c r="M984" s="4">
        <v>5258.4970000000003</v>
      </c>
      <c r="N984" s="4">
        <v>5258.4970000000003</v>
      </c>
      <c r="O984" s="4">
        <v>5258.4970000000003</v>
      </c>
      <c r="P984" s="4">
        <v>0</v>
      </c>
      <c r="Q984" s="3" t="s">
        <v>26</v>
      </c>
      <c r="R984" s="3">
        <v>0</v>
      </c>
      <c r="S984" s="3" t="s">
        <v>291</v>
      </c>
      <c r="T984" s="3" t="s">
        <v>540</v>
      </c>
      <c r="U984" s="3">
        <v>0</v>
      </c>
      <c r="V984" s="3">
        <v>29</v>
      </c>
      <c r="W984" s="3">
        <v>73</v>
      </c>
    </row>
    <row r="985" spans="1:23" ht="11.25" customHeight="1" x14ac:dyDescent="0.25">
      <c r="A985" s="3" t="s">
        <v>27</v>
      </c>
      <c r="B985" s="3" t="s">
        <v>33</v>
      </c>
      <c r="C985" s="3" t="s">
        <v>34</v>
      </c>
      <c r="D985" s="3" t="s">
        <v>46</v>
      </c>
      <c r="E985" s="3" t="s">
        <v>25</v>
      </c>
      <c r="F985" s="3" t="s">
        <v>25</v>
      </c>
      <c r="G985" s="3" t="s">
        <v>25</v>
      </c>
      <c r="H985" s="3" t="s">
        <v>36</v>
      </c>
      <c r="I985" s="6">
        <v>44409</v>
      </c>
      <c r="J985" s="4">
        <v>0</v>
      </c>
      <c r="K985" s="4">
        <v>0</v>
      </c>
      <c r="L985" s="4">
        <v>-6.4829999999999997</v>
      </c>
      <c r="M985" s="4">
        <v>-6.4829999999999997</v>
      </c>
      <c r="N985" s="4">
        <v>-6.4829999999999997</v>
      </c>
      <c r="O985" s="4">
        <v>-6.4829999999999997</v>
      </c>
      <c r="P985" s="4">
        <v>0</v>
      </c>
      <c r="Q985" s="3" t="s">
        <v>26</v>
      </c>
      <c r="R985" s="3">
        <v>0</v>
      </c>
      <c r="S985" s="3" t="s">
        <v>291</v>
      </c>
      <c r="T985" s="3" t="s">
        <v>540</v>
      </c>
      <c r="U985" s="3">
        <v>0</v>
      </c>
      <c r="V985" s="3">
        <v>29</v>
      </c>
      <c r="W985" s="3">
        <v>73</v>
      </c>
    </row>
    <row r="986" spans="1:23" ht="11.25" customHeight="1" x14ac:dyDescent="0.25">
      <c r="A986" s="3" t="s">
        <v>28</v>
      </c>
      <c r="B986" s="3" t="s">
        <v>33</v>
      </c>
      <c r="C986" s="3" t="s">
        <v>34</v>
      </c>
      <c r="D986" s="3" t="s">
        <v>46</v>
      </c>
      <c r="E986" s="3" t="s">
        <v>25</v>
      </c>
      <c r="F986" s="3" t="s">
        <v>25</v>
      </c>
      <c r="G986" s="3" t="s">
        <v>25</v>
      </c>
      <c r="H986" s="3" t="s">
        <v>36</v>
      </c>
      <c r="I986" s="6">
        <v>44409</v>
      </c>
      <c r="J986" s="4">
        <v>0</v>
      </c>
      <c r="K986" s="4">
        <v>0</v>
      </c>
      <c r="L986" s="4">
        <v>148.446</v>
      </c>
      <c r="M986" s="4">
        <v>148.446</v>
      </c>
      <c r="N986" s="4">
        <v>148.446</v>
      </c>
      <c r="O986" s="4">
        <v>148.446</v>
      </c>
      <c r="P986" s="4">
        <v>0</v>
      </c>
      <c r="Q986" s="3" t="s">
        <v>26</v>
      </c>
      <c r="R986" s="3">
        <v>0</v>
      </c>
      <c r="S986" s="3" t="s">
        <v>291</v>
      </c>
      <c r="T986" s="3" t="s">
        <v>540</v>
      </c>
      <c r="U986" s="3">
        <v>0</v>
      </c>
      <c r="V986" s="3">
        <v>29</v>
      </c>
      <c r="W986" s="3">
        <v>73</v>
      </c>
    </row>
    <row r="987" spans="1:23" ht="11.25" customHeight="1" x14ac:dyDescent="0.25">
      <c r="A987" s="3" t="s">
        <v>21</v>
      </c>
      <c r="B987" s="3" t="s">
        <v>33</v>
      </c>
      <c r="C987" s="3" t="s">
        <v>34</v>
      </c>
      <c r="D987" s="3" t="s">
        <v>46</v>
      </c>
      <c r="E987" s="3" t="s">
        <v>25</v>
      </c>
      <c r="F987" s="3" t="s">
        <v>25</v>
      </c>
      <c r="G987" s="3" t="s">
        <v>25</v>
      </c>
      <c r="H987" s="3" t="s">
        <v>36</v>
      </c>
      <c r="I987" s="6">
        <v>44440</v>
      </c>
      <c r="J987" s="4">
        <v>0</v>
      </c>
      <c r="K987" s="4">
        <v>0</v>
      </c>
      <c r="L987" s="4">
        <v>5843.835</v>
      </c>
      <c r="M987" s="4">
        <v>5843.835</v>
      </c>
      <c r="N987" s="4">
        <v>5843.835</v>
      </c>
      <c r="O987" s="4">
        <v>5843.835</v>
      </c>
      <c r="P987" s="4">
        <v>0</v>
      </c>
      <c r="Q987" s="3" t="s">
        <v>26</v>
      </c>
      <c r="R987" s="3">
        <v>0</v>
      </c>
      <c r="S987" s="3" t="s">
        <v>292</v>
      </c>
      <c r="T987" s="3" t="s">
        <v>541</v>
      </c>
      <c r="U987" s="3">
        <v>0</v>
      </c>
      <c r="V987" s="3">
        <v>29</v>
      </c>
      <c r="W987" s="3">
        <v>73</v>
      </c>
    </row>
    <row r="988" spans="1:23" ht="11.25" customHeight="1" x14ac:dyDescent="0.25">
      <c r="A988" s="3" t="s">
        <v>28</v>
      </c>
      <c r="B988" s="3" t="s">
        <v>33</v>
      </c>
      <c r="C988" s="3" t="s">
        <v>34</v>
      </c>
      <c r="D988" s="3" t="s">
        <v>46</v>
      </c>
      <c r="E988" s="3" t="s">
        <v>25</v>
      </c>
      <c r="F988" s="3" t="s">
        <v>25</v>
      </c>
      <c r="G988" s="3" t="s">
        <v>25</v>
      </c>
      <c r="H988" s="3" t="s">
        <v>36</v>
      </c>
      <c r="I988" s="6">
        <v>44440</v>
      </c>
      <c r="J988" s="4">
        <v>0</v>
      </c>
      <c r="K988" s="4">
        <v>0</v>
      </c>
      <c r="L988" s="4">
        <v>159.05699999999999</v>
      </c>
      <c r="M988" s="4">
        <v>159.05699999999999</v>
      </c>
      <c r="N988" s="4">
        <v>159.05699999999999</v>
      </c>
      <c r="O988" s="4">
        <v>159.05699999999999</v>
      </c>
      <c r="P988" s="4">
        <v>0</v>
      </c>
      <c r="Q988" s="3" t="s">
        <v>26</v>
      </c>
      <c r="R988" s="3">
        <v>0</v>
      </c>
      <c r="S988" s="3" t="s">
        <v>292</v>
      </c>
      <c r="T988" s="3" t="s">
        <v>541</v>
      </c>
      <c r="U988" s="3">
        <v>0</v>
      </c>
      <c r="V988" s="3">
        <v>29</v>
      </c>
      <c r="W988" s="3">
        <v>73</v>
      </c>
    </row>
    <row r="989" spans="1:23" ht="11.25" customHeight="1" x14ac:dyDescent="0.25">
      <c r="A989" s="3" t="s">
        <v>21</v>
      </c>
      <c r="B989" s="3" t="s">
        <v>33</v>
      </c>
      <c r="C989" s="3" t="s">
        <v>34</v>
      </c>
      <c r="D989" s="3" t="s">
        <v>46</v>
      </c>
      <c r="E989" s="3" t="s">
        <v>25</v>
      </c>
      <c r="F989" s="3" t="s">
        <v>25</v>
      </c>
      <c r="G989" s="3" t="s">
        <v>25</v>
      </c>
      <c r="H989" s="3" t="s">
        <v>36</v>
      </c>
      <c r="I989" s="6">
        <v>44470</v>
      </c>
      <c r="J989" s="4">
        <v>0</v>
      </c>
      <c r="K989" s="4">
        <v>0</v>
      </c>
      <c r="L989" s="4">
        <v>6449.4030000000002</v>
      </c>
      <c r="M989" s="4">
        <v>6449.4030000000002</v>
      </c>
      <c r="N989" s="4">
        <v>6449.4030000000002</v>
      </c>
      <c r="O989" s="4">
        <v>6449.4030000000002</v>
      </c>
      <c r="P989" s="4">
        <v>0</v>
      </c>
      <c r="Q989" s="3" t="s">
        <v>26</v>
      </c>
      <c r="R989" s="3">
        <v>0</v>
      </c>
      <c r="S989" s="3" t="s">
        <v>293</v>
      </c>
      <c r="T989" s="3" t="s">
        <v>542</v>
      </c>
      <c r="U989" s="3">
        <v>0</v>
      </c>
      <c r="V989" s="3">
        <v>29</v>
      </c>
      <c r="W989" s="3">
        <v>73</v>
      </c>
    </row>
    <row r="990" spans="1:23" ht="11.25" customHeight="1" x14ac:dyDescent="0.25">
      <c r="A990" s="3" t="s">
        <v>27</v>
      </c>
      <c r="B990" s="3" t="s">
        <v>33</v>
      </c>
      <c r="C990" s="3" t="s">
        <v>34</v>
      </c>
      <c r="D990" s="3" t="s">
        <v>46</v>
      </c>
      <c r="E990" s="3" t="s">
        <v>25</v>
      </c>
      <c r="F990" s="3" t="s">
        <v>25</v>
      </c>
      <c r="G990" s="3" t="s">
        <v>25</v>
      </c>
      <c r="H990" s="3" t="s">
        <v>36</v>
      </c>
      <c r="I990" s="6">
        <v>44470</v>
      </c>
      <c r="J990" s="4">
        <v>0</v>
      </c>
      <c r="K990" s="4">
        <v>0</v>
      </c>
      <c r="L990" s="4">
        <v>6.6920000000000002</v>
      </c>
      <c r="M990" s="4">
        <v>6.6920000000000002</v>
      </c>
      <c r="N990" s="4">
        <v>6.6920000000000002</v>
      </c>
      <c r="O990" s="4">
        <v>6.6920000000000002</v>
      </c>
      <c r="P990" s="4">
        <v>0</v>
      </c>
      <c r="Q990" s="3" t="s">
        <v>26</v>
      </c>
      <c r="R990" s="3">
        <v>0</v>
      </c>
      <c r="S990" s="3" t="s">
        <v>293</v>
      </c>
      <c r="T990" s="3" t="s">
        <v>542</v>
      </c>
      <c r="U990" s="3">
        <v>0</v>
      </c>
      <c r="V990" s="3">
        <v>29</v>
      </c>
      <c r="W990" s="3">
        <v>73</v>
      </c>
    </row>
    <row r="991" spans="1:23" ht="11.25" customHeight="1" x14ac:dyDescent="0.25">
      <c r="A991" s="3" t="s">
        <v>28</v>
      </c>
      <c r="B991" s="3" t="s">
        <v>33</v>
      </c>
      <c r="C991" s="3" t="s">
        <v>34</v>
      </c>
      <c r="D991" s="3" t="s">
        <v>46</v>
      </c>
      <c r="E991" s="3" t="s">
        <v>25</v>
      </c>
      <c r="F991" s="3" t="s">
        <v>25</v>
      </c>
      <c r="G991" s="3" t="s">
        <v>25</v>
      </c>
      <c r="H991" s="3" t="s">
        <v>36</v>
      </c>
      <c r="I991" s="6">
        <v>44470</v>
      </c>
      <c r="J991" s="4">
        <v>0</v>
      </c>
      <c r="K991" s="4">
        <v>0</v>
      </c>
      <c r="L991" s="4">
        <v>171.828</v>
      </c>
      <c r="M991" s="4">
        <v>171.828</v>
      </c>
      <c r="N991" s="4">
        <v>171.828</v>
      </c>
      <c r="O991" s="4">
        <v>171.828</v>
      </c>
      <c r="P991" s="4">
        <v>0</v>
      </c>
      <c r="Q991" s="3" t="s">
        <v>26</v>
      </c>
      <c r="R991" s="3">
        <v>0</v>
      </c>
      <c r="S991" s="3" t="s">
        <v>293</v>
      </c>
      <c r="T991" s="3" t="s">
        <v>542</v>
      </c>
      <c r="U991" s="3">
        <v>0</v>
      </c>
      <c r="V991" s="3">
        <v>29</v>
      </c>
      <c r="W991" s="3">
        <v>73</v>
      </c>
    </row>
    <row r="992" spans="1:23" ht="11.25" customHeight="1" x14ac:dyDescent="0.25">
      <c r="A992" s="3" t="s">
        <v>21</v>
      </c>
      <c r="B992" s="3" t="s">
        <v>33</v>
      </c>
      <c r="C992" s="3" t="s">
        <v>34</v>
      </c>
      <c r="D992" s="3" t="s">
        <v>46</v>
      </c>
      <c r="E992" s="3" t="s">
        <v>25</v>
      </c>
      <c r="F992" s="3" t="s">
        <v>25</v>
      </c>
      <c r="G992" s="3" t="s">
        <v>25</v>
      </c>
      <c r="H992" s="3" t="s">
        <v>36</v>
      </c>
      <c r="I992" s="6">
        <v>44501</v>
      </c>
      <c r="J992" s="4">
        <v>0</v>
      </c>
      <c r="K992" s="4">
        <v>0</v>
      </c>
      <c r="L992" s="4">
        <v>7020.8819999999996</v>
      </c>
      <c r="M992" s="4">
        <v>7020.8819999999996</v>
      </c>
      <c r="N992" s="4">
        <v>7020.8819999999996</v>
      </c>
      <c r="O992" s="4">
        <v>7020.8819999999996</v>
      </c>
      <c r="P992" s="4">
        <v>0</v>
      </c>
      <c r="Q992" s="3" t="s">
        <v>26</v>
      </c>
      <c r="R992" s="3">
        <v>0</v>
      </c>
      <c r="S992" s="3" t="s">
        <v>294</v>
      </c>
      <c r="T992" s="3" t="s">
        <v>543</v>
      </c>
      <c r="U992" s="3">
        <v>0</v>
      </c>
      <c r="V992" s="3">
        <v>29</v>
      </c>
      <c r="W992" s="3">
        <v>73</v>
      </c>
    </row>
    <row r="993" spans="1:23" ht="11.25" customHeight="1" x14ac:dyDescent="0.25">
      <c r="A993" s="3" t="s">
        <v>28</v>
      </c>
      <c r="B993" s="3" t="s">
        <v>33</v>
      </c>
      <c r="C993" s="3" t="s">
        <v>34</v>
      </c>
      <c r="D993" s="3" t="s">
        <v>46</v>
      </c>
      <c r="E993" s="3" t="s">
        <v>25</v>
      </c>
      <c r="F993" s="3" t="s">
        <v>25</v>
      </c>
      <c r="G993" s="3" t="s">
        <v>25</v>
      </c>
      <c r="H993" s="3" t="s">
        <v>36</v>
      </c>
      <c r="I993" s="6">
        <v>44501</v>
      </c>
      <c r="J993" s="4">
        <v>0</v>
      </c>
      <c r="K993" s="4">
        <v>0</v>
      </c>
      <c r="L993" s="4">
        <v>198.953</v>
      </c>
      <c r="M993" s="4">
        <v>198.953</v>
      </c>
      <c r="N993" s="4">
        <v>198.953</v>
      </c>
      <c r="O993" s="4">
        <v>198.953</v>
      </c>
      <c r="P993" s="4">
        <v>0</v>
      </c>
      <c r="Q993" s="3" t="s">
        <v>26</v>
      </c>
      <c r="R993" s="3">
        <v>0</v>
      </c>
      <c r="S993" s="3" t="s">
        <v>294</v>
      </c>
      <c r="T993" s="3" t="s">
        <v>543</v>
      </c>
      <c r="U993" s="3">
        <v>0</v>
      </c>
      <c r="V993" s="3">
        <v>29</v>
      </c>
      <c r="W993" s="3">
        <v>73</v>
      </c>
    </row>
    <row r="994" spans="1:23" ht="11.25" customHeight="1" x14ac:dyDescent="0.25">
      <c r="A994" s="3" t="s">
        <v>21</v>
      </c>
      <c r="B994" s="3" t="s">
        <v>33</v>
      </c>
      <c r="C994" s="3" t="s">
        <v>34</v>
      </c>
      <c r="D994" s="3" t="s">
        <v>46</v>
      </c>
      <c r="E994" s="3" t="s">
        <v>25</v>
      </c>
      <c r="F994" s="3" t="s">
        <v>25</v>
      </c>
      <c r="G994" s="3" t="s">
        <v>25</v>
      </c>
      <c r="H994" s="3" t="s">
        <v>36</v>
      </c>
      <c r="I994" s="6">
        <v>44531</v>
      </c>
      <c r="J994" s="4">
        <v>0</v>
      </c>
      <c r="K994" s="4">
        <v>0</v>
      </c>
      <c r="L994" s="4">
        <v>6897.59</v>
      </c>
      <c r="M994" s="4">
        <v>6897.59</v>
      </c>
      <c r="N994" s="4">
        <v>6897.59</v>
      </c>
      <c r="O994" s="4">
        <v>6897.59</v>
      </c>
      <c r="P994" s="4">
        <v>0</v>
      </c>
      <c r="Q994" s="3" t="s">
        <v>26</v>
      </c>
      <c r="R994" s="3">
        <v>0</v>
      </c>
      <c r="S994" s="3" t="s">
        <v>295</v>
      </c>
      <c r="T994" s="3" t="s">
        <v>544</v>
      </c>
      <c r="U994" s="3">
        <v>0</v>
      </c>
      <c r="V994" s="3">
        <v>29</v>
      </c>
      <c r="W994" s="3">
        <v>73</v>
      </c>
    </row>
    <row r="995" spans="1:23" ht="11.25" customHeight="1" x14ac:dyDescent="0.25">
      <c r="A995" s="3" t="s">
        <v>28</v>
      </c>
      <c r="B995" s="3" t="s">
        <v>33</v>
      </c>
      <c r="C995" s="3" t="s">
        <v>34</v>
      </c>
      <c r="D995" s="3" t="s">
        <v>46</v>
      </c>
      <c r="E995" s="3" t="s">
        <v>25</v>
      </c>
      <c r="F995" s="3" t="s">
        <v>25</v>
      </c>
      <c r="G995" s="3" t="s">
        <v>25</v>
      </c>
      <c r="H995" s="3" t="s">
        <v>36</v>
      </c>
      <c r="I995" s="6">
        <v>44531</v>
      </c>
      <c r="J995" s="4">
        <v>0</v>
      </c>
      <c r="K995" s="4">
        <v>0</v>
      </c>
      <c r="L995" s="4">
        <v>159.155</v>
      </c>
      <c r="M995" s="4">
        <v>159.155</v>
      </c>
      <c r="N995" s="4">
        <v>159.155</v>
      </c>
      <c r="O995" s="4">
        <v>159.155</v>
      </c>
      <c r="P995" s="4">
        <v>0</v>
      </c>
      <c r="Q995" s="3" t="s">
        <v>26</v>
      </c>
      <c r="R995" s="3">
        <v>0</v>
      </c>
      <c r="S995" s="3" t="s">
        <v>295</v>
      </c>
      <c r="T995" s="3" t="s">
        <v>544</v>
      </c>
      <c r="U995" s="3">
        <v>0</v>
      </c>
      <c r="V995" s="3">
        <v>29</v>
      </c>
      <c r="W995" s="3">
        <v>73</v>
      </c>
    </row>
    <row r="996" spans="1:23" ht="11.25" customHeight="1" x14ac:dyDescent="0.25">
      <c r="A996" s="3" t="s">
        <v>21</v>
      </c>
      <c r="B996" s="3" t="s">
        <v>33</v>
      </c>
      <c r="C996" s="3" t="s">
        <v>34</v>
      </c>
      <c r="D996" s="3" t="s">
        <v>46</v>
      </c>
      <c r="E996" s="3" t="s">
        <v>25</v>
      </c>
      <c r="F996" s="3" t="s">
        <v>25</v>
      </c>
      <c r="G996" s="3" t="s">
        <v>25</v>
      </c>
      <c r="H996" s="3" t="s">
        <v>36</v>
      </c>
      <c r="I996" s="6">
        <v>44562</v>
      </c>
      <c r="J996" s="4">
        <v>0</v>
      </c>
      <c r="K996" s="4">
        <v>0</v>
      </c>
      <c r="L996" s="4">
        <v>6845.6949999999997</v>
      </c>
      <c r="M996" s="4">
        <v>6845.6949999999997</v>
      </c>
      <c r="N996" s="4">
        <v>6845.6949999999997</v>
      </c>
      <c r="O996" s="4">
        <v>6845.6949999999997</v>
      </c>
      <c r="P996" s="4">
        <v>0</v>
      </c>
      <c r="Q996" s="3" t="s">
        <v>26</v>
      </c>
      <c r="R996" s="3">
        <v>0</v>
      </c>
      <c r="S996" s="3" t="s">
        <v>296</v>
      </c>
      <c r="T996" s="3" t="s">
        <v>545</v>
      </c>
      <c r="U996" s="3">
        <v>0</v>
      </c>
      <c r="V996" s="3">
        <v>29</v>
      </c>
      <c r="W996" s="3">
        <v>73</v>
      </c>
    </row>
    <row r="997" spans="1:23" ht="11.25" customHeight="1" x14ac:dyDescent="0.25">
      <c r="A997" s="3" t="s">
        <v>28</v>
      </c>
      <c r="B997" s="3" t="s">
        <v>33</v>
      </c>
      <c r="C997" s="3" t="s">
        <v>34</v>
      </c>
      <c r="D997" s="3" t="s">
        <v>46</v>
      </c>
      <c r="E997" s="3" t="s">
        <v>25</v>
      </c>
      <c r="F997" s="3" t="s">
        <v>25</v>
      </c>
      <c r="G997" s="3" t="s">
        <v>25</v>
      </c>
      <c r="H997" s="3" t="s">
        <v>36</v>
      </c>
      <c r="I997" s="6">
        <v>44562</v>
      </c>
      <c r="J997" s="4">
        <v>0</v>
      </c>
      <c r="K997" s="4">
        <v>0</v>
      </c>
      <c r="L997" s="4">
        <v>170.70099999999999</v>
      </c>
      <c r="M997" s="4">
        <v>170.70099999999999</v>
      </c>
      <c r="N997" s="4">
        <v>170.70099999999999</v>
      </c>
      <c r="O997" s="4">
        <v>170.70099999999999</v>
      </c>
      <c r="P997" s="4">
        <v>0</v>
      </c>
      <c r="Q997" s="3" t="s">
        <v>26</v>
      </c>
      <c r="R997" s="3">
        <v>0</v>
      </c>
      <c r="S997" s="3" t="s">
        <v>296</v>
      </c>
      <c r="T997" s="3" t="s">
        <v>545</v>
      </c>
      <c r="U997" s="3">
        <v>0</v>
      </c>
      <c r="V997" s="3">
        <v>29</v>
      </c>
      <c r="W997" s="3">
        <v>73</v>
      </c>
    </row>
    <row r="998" spans="1:23" ht="11.25" customHeight="1" x14ac:dyDescent="0.25">
      <c r="A998" s="3" t="s">
        <v>21</v>
      </c>
      <c r="B998" s="3" t="s">
        <v>33</v>
      </c>
      <c r="C998" s="3" t="s">
        <v>34</v>
      </c>
      <c r="D998" s="3" t="s">
        <v>46</v>
      </c>
      <c r="E998" s="3" t="s">
        <v>25</v>
      </c>
      <c r="F998" s="3" t="s">
        <v>25</v>
      </c>
      <c r="G998" s="3" t="s">
        <v>25</v>
      </c>
      <c r="H998" s="3" t="s">
        <v>36</v>
      </c>
      <c r="I998" s="6">
        <v>44593</v>
      </c>
      <c r="J998" s="4">
        <v>0</v>
      </c>
      <c r="K998" s="4">
        <v>0</v>
      </c>
      <c r="L998" s="4">
        <v>6822.933</v>
      </c>
      <c r="M998" s="4">
        <v>6822.933</v>
      </c>
      <c r="N998" s="4">
        <v>6822.933</v>
      </c>
      <c r="O998" s="4">
        <v>6822.933</v>
      </c>
      <c r="P998" s="4">
        <v>0</v>
      </c>
      <c r="Q998" s="3" t="s">
        <v>26</v>
      </c>
      <c r="R998" s="3">
        <v>0</v>
      </c>
      <c r="S998" s="3" t="s">
        <v>297</v>
      </c>
      <c r="T998" s="3" t="s">
        <v>546</v>
      </c>
      <c r="U998" s="3">
        <v>0</v>
      </c>
      <c r="V998" s="3">
        <v>29</v>
      </c>
      <c r="W998" s="3">
        <v>73</v>
      </c>
    </row>
    <row r="999" spans="1:23" ht="11.25" customHeight="1" x14ac:dyDescent="0.25">
      <c r="A999" s="3" t="s">
        <v>28</v>
      </c>
      <c r="B999" s="3" t="s">
        <v>33</v>
      </c>
      <c r="C999" s="3" t="s">
        <v>34</v>
      </c>
      <c r="D999" s="3" t="s">
        <v>46</v>
      </c>
      <c r="E999" s="3" t="s">
        <v>25</v>
      </c>
      <c r="F999" s="3" t="s">
        <v>25</v>
      </c>
      <c r="G999" s="3" t="s">
        <v>25</v>
      </c>
      <c r="H999" s="3" t="s">
        <v>36</v>
      </c>
      <c r="I999" s="6">
        <v>44593</v>
      </c>
      <c r="J999" s="4">
        <v>0</v>
      </c>
      <c r="K999" s="4">
        <v>0</v>
      </c>
      <c r="L999" s="4">
        <v>182.28</v>
      </c>
      <c r="M999" s="4">
        <v>182.28</v>
      </c>
      <c r="N999" s="4">
        <v>182.28</v>
      </c>
      <c r="O999" s="4">
        <v>182.28</v>
      </c>
      <c r="P999" s="4">
        <v>0</v>
      </c>
      <c r="Q999" s="3" t="s">
        <v>26</v>
      </c>
      <c r="R999" s="3">
        <v>0</v>
      </c>
      <c r="S999" s="3" t="s">
        <v>297</v>
      </c>
      <c r="T999" s="3" t="s">
        <v>546</v>
      </c>
      <c r="U999" s="3">
        <v>0</v>
      </c>
      <c r="V999" s="3">
        <v>29</v>
      </c>
      <c r="W999" s="3">
        <v>73</v>
      </c>
    </row>
    <row r="1000" spans="1:23" ht="11.25" customHeight="1" x14ac:dyDescent="0.25">
      <c r="A1000" s="3" t="s">
        <v>21</v>
      </c>
      <c r="B1000" s="3" t="s">
        <v>33</v>
      </c>
      <c r="C1000" s="3" t="s">
        <v>34</v>
      </c>
      <c r="D1000" s="3" t="s">
        <v>46</v>
      </c>
      <c r="E1000" s="3" t="s">
        <v>25</v>
      </c>
      <c r="F1000" s="3" t="s">
        <v>25</v>
      </c>
      <c r="G1000" s="3" t="s">
        <v>25</v>
      </c>
      <c r="H1000" s="3" t="s">
        <v>36</v>
      </c>
      <c r="I1000" s="6">
        <v>44621</v>
      </c>
      <c r="J1000" s="4">
        <v>0</v>
      </c>
      <c r="K1000" s="4">
        <v>0</v>
      </c>
      <c r="L1000" s="4">
        <v>7494.7740000000003</v>
      </c>
      <c r="M1000" s="4">
        <v>7494.7740000000003</v>
      </c>
      <c r="N1000" s="4">
        <v>7494.7740000000003</v>
      </c>
      <c r="O1000" s="4">
        <v>7494.7740000000003</v>
      </c>
      <c r="P1000" s="4">
        <v>0</v>
      </c>
      <c r="Q1000" s="3" t="s">
        <v>26</v>
      </c>
      <c r="R1000" s="3">
        <v>0</v>
      </c>
      <c r="S1000" s="3" t="s">
        <v>298</v>
      </c>
      <c r="T1000" s="3" t="s">
        <v>547</v>
      </c>
      <c r="U1000" s="3">
        <v>0</v>
      </c>
      <c r="V1000" s="3">
        <v>29</v>
      </c>
      <c r="W1000" s="3">
        <v>73</v>
      </c>
    </row>
    <row r="1001" spans="1:23" ht="11.25" customHeight="1" x14ac:dyDescent="0.25">
      <c r="A1001" s="3" t="s">
        <v>28</v>
      </c>
      <c r="B1001" s="3" t="s">
        <v>33</v>
      </c>
      <c r="C1001" s="3" t="s">
        <v>34</v>
      </c>
      <c r="D1001" s="3" t="s">
        <v>46</v>
      </c>
      <c r="E1001" s="3" t="s">
        <v>25</v>
      </c>
      <c r="F1001" s="3" t="s">
        <v>25</v>
      </c>
      <c r="G1001" s="3" t="s">
        <v>25</v>
      </c>
      <c r="H1001" s="3" t="s">
        <v>36</v>
      </c>
      <c r="I1001" s="6">
        <v>44621</v>
      </c>
      <c r="J1001" s="4">
        <v>0</v>
      </c>
      <c r="K1001" s="4">
        <v>0</v>
      </c>
      <c r="L1001" s="4">
        <v>231.09200000000001</v>
      </c>
      <c r="M1001" s="4">
        <v>231.09200000000001</v>
      </c>
      <c r="N1001" s="4">
        <v>231.09200000000001</v>
      </c>
      <c r="O1001" s="4">
        <v>231.09200000000001</v>
      </c>
      <c r="P1001" s="4">
        <v>0</v>
      </c>
      <c r="Q1001" s="3" t="s">
        <v>26</v>
      </c>
      <c r="R1001" s="3">
        <v>0</v>
      </c>
      <c r="S1001" s="3" t="s">
        <v>298</v>
      </c>
      <c r="T1001" s="3" t="s">
        <v>547</v>
      </c>
      <c r="U1001" s="3">
        <v>0</v>
      </c>
      <c r="V1001" s="3">
        <v>29</v>
      </c>
      <c r="W1001" s="3">
        <v>73</v>
      </c>
    </row>
    <row r="1002" spans="1:23" ht="11.25" customHeight="1" x14ac:dyDescent="0.25">
      <c r="A1002" s="3" t="s">
        <v>56</v>
      </c>
      <c r="B1002" s="3" t="s">
        <v>33</v>
      </c>
      <c r="C1002" s="3" t="s">
        <v>34</v>
      </c>
      <c r="D1002" s="3" t="s">
        <v>46</v>
      </c>
      <c r="E1002" s="3" t="s">
        <v>25</v>
      </c>
      <c r="F1002" s="3" t="s">
        <v>25</v>
      </c>
      <c r="G1002" s="3" t="s">
        <v>25</v>
      </c>
      <c r="H1002" s="3" t="s">
        <v>36</v>
      </c>
      <c r="I1002" s="6">
        <v>44652</v>
      </c>
      <c r="J1002" s="4">
        <v>0</v>
      </c>
      <c r="K1002" s="4">
        <v>0</v>
      </c>
      <c r="L1002" s="4">
        <v>7494.7740000000003</v>
      </c>
      <c r="M1002" s="4">
        <v>7494.7740000000003</v>
      </c>
      <c r="N1002" s="4">
        <v>7494.7740000000003</v>
      </c>
      <c r="O1002" s="4">
        <v>7494.7740000000003</v>
      </c>
      <c r="P1002" s="4">
        <v>0</v>
      </c>
      <c r="Q1002" s="3" t="s">
        <v>26</v>
      </c>
      <c r="R1002" s="3">
        <v>0</v>
      </c>
      <c r="S1002" s="3" t="s">
        <v>299</v>
      </c>
      <c r="T1002" s="3" t="s">
        <v>548</v>
      </c>
      <c r="U1002" s="3">
        <v>0</v>
      </c>
      <c r="V1002" s="3">
        <v>29</v>
      </c>
      <c r="W1002" s="3">
        <v>73</v>
      </c>
    </row>
    <row r="1003" spans="1:23" ht="11.25" customHeight="1" x14ac:dyDescent="0.25">
      <c r="A1003" s="3" t="s">
        <v>56</v>
      </c>
      <c r="B1003" s="3" t="s">
        <v>33</v>
      </c>
      <c r="C1003" s="3" t="s">
        <v>34</v>
      </c>
      <c r="D1003" s="3" t="s">
        <v>46</v>
      </c>
      <c r="E1003" s="3" t="s">
        <v>25</v>
      </c>
      <c r="F1003" s="3" t="s">
        <v>25</v>
      </c>
      <c r="G1003" s="3" t="s">
        <v>25</v>
      </c>
      <c r="H1003" s="3" t="s">
        <v>36</v>
      </c>
      <c r="I1003" s="6">
        <v>44652</v>
      </c>
      <c r="J1003" s="4">
        <v>0</v>
      </c>
      <c r="K1003" s="4">
        <v>0</v>
      </c>
      <c r="L1003" s="4">
        <v>231.09200000000001</v>
      </c>
      <c r="M1003" s="4">
        <v>231.09200000000001</v>
      </c>
      <c r="N1003" s="4">
        <v>231.09200000000001</v>
      </c>
      <c r="O1003" s="4">
        <v>231.09200000000001</v>
      </c>
      <c r="P1003" s="4">
        <v>0</v>
      </c>
      <c r="Q1003" s="3" t="s">
        <v>26</v>
      </c>
      <c r="R1003" s="3">
        <v>0</v>
      </c>
      <c r="S1003" s="3" t="s">
        <v>299</v>
      </c>
      <c r="T1003" s="3" t="s">
        <v>548</v>
      </c>
      <c r="U1003" s="3">
        <v>0</v>
      </c>
      <c r="V1003" s="3">
        <v>29</v>
      </c>
      <c r="W1003" s="3">
        <v>73</v>
      </c>
    </row>
    <row r="1004" spans="1:23" ht="11.25" customHeight="1" x14ac:dyDescent="0.25">
      <c r="A1004" s="3" t="s">
        <v>21</v>
      </c>
      <c r="B1004" s="3" t="s">
        <v>33</v>
      </c>
      <c r="C1004" s="3" t="s">
        <v>34</v>
      </c>
      <c r="D1004" s="3" t="s">
        <v>46</v>
      </c>
      <c r="E1004" s="3" t="s">
        <v>25</v>
      </c>
      <c r="F1004" s="3" t="s">
        <v>25</v>
      </c>
      <c r="G1004" s="3" t="s">
        <v>25</v>
      </c>
      <c r="H1004" s="3" t="s">
        <v>25</v>
      </c>
      <c r="I1004" s="6">
        <v>44317</v>
      </c>
      <c r="J1004" s="4">
        <v>41587</v>
      </c>
      <c r="K1004" s="4">
        <v>41587</v>
      </c>
      <c r="L1004" s="4">
        <v>0</v>
      </c>
      <c r="M1004" s="4">
        <v>0</v>
      </c>
      <c r="N1004" s="4">
        <v>0</v>
      </c>
      <c r="O1004" s="4">
        <v>0</v>
      </c>
      <c r="P1004" s="4">
        <v>338</v>
      </c>
      <c r="Q1004" s="3" t="s">
        <v>26</v>
      </c>
      <c r="R1004" s="3">
        <v>0</v>
      </c>
      <c r="S1004" s="3" t="s">
        <v>300</v>
      </c>
      <c r="U1004" s="3">
        <v>7</v>
      </c>
      <c r="V1004" s="3">
        <v>0</v>
      </c>
      <c r="W1004" s="3">
        <v>0</v>
      </c>
    </row>
    <row r="1005" spans="1:23" ht="11.25" customHeight="1" x14ac:dyDescent="0.25">
      <c r="A1005" s="3" t="s">
        <v>27</v>
      </c>
      <c r="B1005" s="3" t="s">
        <v>33</v>
      </c>
      <c r="C1005" s="3" t="s">
        <v>34</v>
      </c>
      <c r="D1005" s="3" t="s">
        <v>46</v>
      </c>
      <c r="E1005" s="3" t="s">
        <v>25</v>
      </c>
      <c r="F1005" s="3" t="s">
        <v>25</v>
      </c>
      <c r="G1005" s="3" t="s">
        <v>25</v>
      </c>
      <c r="H1005" s="3" t="s">
        <v>25</v>
      </c>
      <c r="I1005" s="6">
        <v>44317</v>
      </c>
      <c r="J1005" s="4">
        <v>60</v>
      </c>
      <c r="K1005" s="4">
        <v>60</v>
      </c>
      <c r="L1005" s="4">
        <v>0</v>
      </c>
      <c r="M1005" s="4">
        <v>0</v>
      </c>
      <c r="N1005" s="4">
        <v>0</v>
      </c>
      <c r="O1005" s="4">
        <v>0</v>
      </c>
      <c r="P1005" s="4">
        <v>1</v>
      </c>
      <c r="Q1005" s="3" t="s">
        <v>26</v>
      </c>
      <c r="R1005" s="3">
        <v>0</v>
      </c>
      <c r="S1005" s="3" t="s">
        <v>300</v>
      </c>
      <c r="U1005" s="3">
        <v>7</v>
      </c>
      <c r="V1005" s="3">
        <v>0</v>
      </c>
      <c r="W1005" s="3">
        <v>0</v>
      </c>
    </row>
    <row r="1006" spans="1:23" ht="11.25" customHeight="1" x14ac:dyDescent="0.25">
      <c r="A1006" s="3" t="s">
        <v>28</v>
      </c>
      <c r="B1006" s="3" t="s">
        <v>33</v>
      </c>
      <c r="C1006" s="3" t="s">
        <v>34</v>
      </c>
      <c r="D1006" s="3" t="s">
        <v>46</v>
      </c>
      <c r="E1006" s="3" t="s">
        <v>25</v>
      </c>
      <c r="F1006" s="3" t="s">
        <v>25</v>
      </c>
      <c r="G1006" s="3" t="s">
        <v>25</v>
      </c>
      <c r="H1006" s="3" t="s">
        <v>25</v>
      </c>
      <c r="I1006" s="6">
        <v>44317</v>
      </c>
      <c r="J1006" s="4">
        <v>2186</v>
      </c>
      <c r="K1006" s="4">
        <v>2186</v>
      </c>
      <c r="L1006" s="4">
        <v>0</v>
      </c>
      <c r="M1006" s="4">
        <v>0</v>
      </c>
      <c r="N1006" s="4">
        <v>0</v>
      </c>
      <c r="O1006" s="4">
        <v>0</v>
      </c>
      <c r="P1006" s="4">
        <v>11</v>
      </c>
      <c r="Q1006" s="3" t="s">
        <v>26</v>
      </c>
      <c r="R1006" s="3">
        <v>0</v>
      </c>
      <c r="S1006" s="3" t="s">
        <v>300</v>
      </c>
      <c r="U1006" s="3">
        <v>7</v>
      </c>
      <c r="V1006" s="3">
        <v>0</v>
      </c>
      <c r="W1006" s="3">
        <v>0</v>
      </c>
    </row>
    <row r="1007" spans="1:23" ht="11.25" customHeight="1" x14ac:dyDescent="0.25">
      <c r="A1007" s="3" t="s">
        <v>21</v>
      </c>
      <c r="B1007" s="3" t="s">
        <v>33</v>
      </c>
      <c r="C1007" s="3" t="s">
        <v>34</v>
      </c>
      <c r="D1007" s="3" t="s">
        <v>46</v>
      </c>
      <c r="E1007" s="3" t="s">
        <v>25</v>
      </c>
      <c r="F1007" s="3" t="s">
        <v>25</v>
      </c>
      <c r="G1007" s="3" t="s">
        <v>25</v>
      </c>
      <c r="H1007" s="3" t="s">
        <v>25</v>
      </c>
      <c r="I1007" s="6">
        <v>44348</v>
      </c>
      <c r="J1007" s="4">
        <v>41497</v>
      </c>
      <c r="K1007" s="4">
        <v>41497</v>
      </c>
      <c r="L1007" s="4">
        <v>0</v>
      </c>
      <c r="M1007" s="4">
        <v>0</v>
      </c>
      <c r="N1007" s="4">
        <v>0</v>
      </c>
      <c r="O1007" s="4">
        <v>0</v>
      </c>
      <c r="P1007" s="4">
        <v>337</v>
      </c>
      <c r="Q1007" s="3" t="s">
        <v>26</v>
      </c>
      <c r="R1007" s="3">
        <v>0</v>
      </c>
      <c r="S1007" s="3" t="s">
        <v>301</v>
      </c>
      <c r="U1007" s="3">
        <v>7</v>
      </c>
      <c r="V1007" s="3">
        <v>0</v>
      </c>
      <c r="W1007" s="3">
        <v>0</v>
      </c>
    </row>
    <row r="1008" spans="1:23" ht="11.25" customHeight="1" x14ac:dyDescent="0.25">
      <c r="A1008" s="3" t="s">
        <v>28</v>
      </c>
      <c r="B1008" s="3" t="s">
        <v>33</v>
      </c>
      <c r="C1008" s="3" t="s">
        <v>34</v>
      </c>
      <c r="D1008" s="3" t="s">
        <v>46</v>
      </c>
      <c r="E1008" s="3" t="s">
        <v>25</v>
      </c>
      <c r="F1008" s="3" t="s">
        <v>25</v>
      </c>
      <c r="G1008" s="3" t="s">
        <v>25</v>
      </c>
      <c r="H1008" s="3" t="s">
        <v>25</v>
      </c>
      <c r="I1008" s="6">
        <v>44348</v>
      </c>
      <c r="J1008" s="4">
        <v>2186</v>
      </c>
      <c r="K1008" s="4">
        <v>2186</v>
      </c>
      <c r="L1008" s="4">
        <v>0</v>
      </c>
      <c r="M1008" s="4">
        <v>0</v>
      </c>
      <c r="N1008" s="4">
        <v>0</v>
      </c>
      <c r="O1008" s="4">
        <v>0</v>
      </c>
      <c r="P1008" s="4">
        <v>11</v>
      </c>
      <c r="Q1008" s="3" t="s">
        <v>26</v>
      </c>
      <c r="R1008" s="3">
        <v>0</v>
      </c>
      <c r="S1008" s="3" t="s">
        <v>301</v>
      </c>
      <c r="U1008" s="3">
        <v>7</v>
      </c>
      <c r="V1008" s="3">
        <v>0</v>
      </c>
      <c r="W1008" s="3">
        <v>0</v>
      </c>
    </row>
    <row r="1009" spans="1:23" ht="11.25" customHeight="1" x14ac:dyDescent="0.25">
      <c r="A1009" s="3" t="s">
        <v>21</v>
      </c>
      <c r="B1009" s="3" t="s">
        <v>33</v>
      </c>
      <c r="C1009" s="3" t="s">
        <v>34</v>
      </c>
      <c r="D1009" s="3" t="s">
        <v>46</v>
      </c>
      <c r="E1009" s="3" t="s">
        <v>25</v>
      </c>
      <c r="F1009" s="3" t="s">
        <v>25</v>
      </c>
      <c r="G1009" s="3" t="s">
        <v>25</v>
      </c>
      <c r="H1009" s="3" t="s">
        <v>25</v>
      </c>
      <c r="I1009" s="6">
        <v>44378</v>
      </c>
      <c r="J1009" s="4">
        <v>42097</v>
      </c>
      <c r="K1009" s="4">
        <v>42097</v>
      </c>
      <c r="L1009" s="4">
        <v>0</v>
      </c>
      <c r="M1009" s="4">
        <v>0</v>
      </c>
      <c r="N1009" s="4">
        <v>0</v>
      </c>
      <c r="O1009" s="4">
        <v>0</v>
      </c>
      <c r="P1009" s="4">
        <v>338</v>
      </c>
      <c r="Q1009" s="3" t="s">
        <v>26</v>
      </c>
      <c r="R1009" s="3">
        <v>0</v>
      </c>
      <c r="S1009" s="3" t="s">
        <v>302</v>
      </c>
      <c r="U1009" s="3">
        <v>7</v>
      </c>
      <c r="V1009" s="3">
        <v>0</v>
      </c>
      <c r="W1009" s="3">
        <v>0</v>
      </c>
    </row>
    <row r="1010" spans="1:23" ht="11.25" customHeight="1" x14ac:dyDescent="0.25">
      <c r="A1010" s="3" t="s">
        <v>27</v>
      </c>
      <c r="B1010" s="3" t="s">
        <v>33</v>
      </c>
      <c r="C1010" s="3" t="s">
        <v>34</v>
      </c>
      <c r="D1010" s="3" t="s">
        <v>46</v>
      </c>
      <c r="E1010" s="3" t="s">
        <v>25</v>
      </c>
      <c r="F1010" s="3" t="s">
        <v>25</v>
      </c>
      <c r="G1010" s="3" t="s">
        <v>25</v>
      </c>
      <c r="H1010" s="3" t="s">
        <v>25</v>
      </c>
      <c r="I1010" s="6">
        <v>44378</v>
      </c>
      <c r="J1010" s="4">
        <v>225</v>
      </c>
      <c r="K1010" s="4">
        <v>225</v>
      </c>
      <c r="L1010" s="4">
        <v>0</v>
      </c>
      <c r="M1010" s="4">
        <v>0</v>
      </c>
      <c r="N1010" s="4">
        <v>0</v>
      </c>
      <c r="O1010" s="4">
        <v>0</v>
      </c>
      <c r="P1010" s="4">
        <v>2</v>
      </c>
      <c r="Q1010" s="3" t="s">
        <v>26</v>
      </c>
      <c r="R1010" s="3">
        <v>0</v>
      </c>
      <c r="S1010" s="3" t="s">
        <v>302</v>
      </c>
      <c r="U1010" s="3">
        <v>7</v>
      </c>
      <c r="V1010" s="3">
        <v>0</v>
      </c>
      <c r="W1010" s="3">
        <v>0</v>
      </c>
    </row>
    <row r="1011" spans="1:23" ht="11.25" customHeight="1" x14ac:dyDescent="0.25">
      <c r="A1011" s="3" t="s">
        <v>28</v>
      </c>
      <c r="B1011" s="3" t="s">
        <v>33</v>
      </c>
      <c r="C1011" s="3" t="s">
        <v>34</v>
      </c>
      <c r="D1011" s="3" t="s">
        <v>46</v>
      </c>
      <c r="E1011" s="3" t="s">
        <v>25</v>
      </c>
      <c r="F1011" s="3" t="s">
        <v>25</v>
      </c>
      <c r="G1011" s="3" t="s">
        <v>25</v>
      </c>
      <c r="H1011" s="3" t="s">
        <v>25</v>
      </c>
      <c r="I1011" s="6">
        <v>44378</v>
      </c>
      <c r="J1011" s="4">
        <v>2186</v>
      </c>
      <c r="K1011" s="4">
        <v>2186</v>
      </c>
      <c r="L1011" s="4">
        <v>0</v>
      </c>
      <c r="M1011" s="4">
        <v>0</v>
      </c>
      <c r="N1011" s="4">
        <v>0</v>
      </c>
      <c r="O1011" s="4">
        <v>0</v>
      </c>
      <c r="P1011" s="4">
        <v>11</v>
      </c>
      <c r="Q1011" s="3" t="s">
        <v>26</v>
      </c>
      <c r="R1011" s="3">
        <v>0</v>
      </c>
      <c r="S1011" s="3" t="s">
        <v>302</v>
      </c>
      <c r="U1011" s="3">
        <v>7</v>
      </c>
      <c r="V1011" s="3">
        <v>0</v>
      </c>
      <c r="W1011" s="3">
        <v>0</v>
      </c>
    </row>
    <row r="1012" spans="1:23" ht="11.25" customHeight="1" x14ac:dyDescent="0.25">
      <c r="A1012" s="3" t="s">
        <v>21</v>
      </c>
      <c r="B1012" s="3" t="s">
        <v>33</v>
      </c>
      <c r="C1012" s="3" t="s">
        <v>34</v>
      </c>
      <c r="D1012" s="3" t="s">
        <v>46</v>
      </c>
      <c r="E1012" s="3" t="s">
        <v>25</v>
      </c>
      <c r="F1012" s="3" t="s">
        <v>25</v>
      </c>
      <c r="G1012" s="3" t="s">
        <v>25</v>
      </c>
      <c r="H1012" s="3" t="s">
        <v>25</v>
      </c>
      <c r="I1012" s="6">
        <v>44409</v>
      </c>
      <c r="J1012" s="4">
        <v>41884</v>
      </c>
      <c r="K1012" s="4">
        <v>41884</v>
      </c>
      <c r="L1012" s="4">
        <v>0</v>
      </c>
      <c r="M1012" s="4">
        <v>0</v>
      </c>
      <c r="N1012" s="4">
        <v>0</v>
      </c>
      <c r="O1012" s="4">
        <v>0</v>
      </c>
      <c r="P1012" s="4">
        <v>337</v>
      </c>
      <c r="Q1012" s="3" t="s">
        <v>26</v>
      </c>
      <c r="R1012" s="3">
        <v>0</v>
      </c>
      <c r="S1012" s="3" t="s">
        <v>303</v>
      </c>
      <c r="U1012" s="3">
        <v>7</v>
      </c>
      <c r="V1012" s="3">
        <v>0</v>
      </c>
      <c r="W1012" s="3">
        <v>0</v>
      </c>
    </row>
    <row r="1013" spans="1:23" ht="11.25" customHeight="1" x14ac:dyDescent="0.25">
      <c r="A1013" s="3" t="s">
        <v>28</v>
      </c>
      <c r="B1013" s="3" t="s">
        <v>33</v>
      </c>
      <c r="C1013" s="3" t="s">
        <v>34</v>
      </c>
      <c r="D1013" s="3" t="s">
        <v>46</v>
      </c>
      <c r="E1013" s="3" t="s">
        <v>25</v>
      </c>
      <c r="F1013" s="3" t="s">
        <v>25</v>
      </c>
      <c r="G1013" s="3" t="s">
        <v>25</v>
      </c>
      <c r="H1013" s="3" t="s">
        <v>25</v>
      </c>
      <c r="I1013" s="6">
        <v>44409</v>
      </c>
      <c r="J1013" s="4">
        <v>2476</v>
      </c>
      <c r="K1013" s="4">
        <v>2476</v>
      </c>
      <c r="L1013" s="4">
        <v>0</v>
      </c>
      <c r="M1013" s="4">
        <v>0</v>
      </c>
      <c r="N1013" s="4">
        <v>0</v>
      </c>
      <c r="O1013" s="4">
        <v>0</v>
      </c>
      <c r="P1013" s="4">
        <v>13</v>
      </c>
      <c r="Q1013" s="3" t="s">
        <v>26</v>
      </c>
      <c r="R1013" s="3">
        <v>0</v>
      </c>
      <c r="S1013" s="3" t="s">
        <v>303</v>
      </c>
      <c r="U1013" s="3">
        <v>7</v>
      </c>
      <c r="V1013" s="3">
        <v>0</v>
      </c>
      <c r="W1013" s="3">
        <v>0</v>
      </c>
    </row>
    <row r="1014" spans="1:23" ht="11.25" customHeight="1" x14ac:dyDescent="0.25">
      <c r="A1014" s="3" t="s">
        <v>21</v>
      </c>
      <c r="B1014" s="3" t="s">
        <v>33</v>
      </c>
      <c r="C1014" s="3" t="s">
        <v>34</v>
      </c>
      <c r="D1014" s="3" t="s">
        <v>46</v>
      </c>
      <c r="E1014" s="3" t="s">
        <v>25</v>
      </c>
      <c r="F1014" s="3" t="s">
        <v>25</v>
      </c>
      <c r="G1014" s="3" t="s">
        <v>25</v>
      </c>
      <c r="H1014" s="3" t="s">
        <v>25</v>
      </c>
      <c r="I1014" s="6">
        <v>44440</v>
      </c>
      <c r="J1014" s="4">
        <v>42255</v>
      </c>
      <c r="K1014" s="4">
        <v>42255</v>
      </c>
      <c r="L1014" s="4">
        <v>0</v>
      </c>
      <c r="M1014" s="4">
        <v>0</v>
      </c>
      <c r="N1014" s="4">
        <v>0</v>
      </c>
      <c r="O1014" s="4">
        <v>0</v>
      </c>
      <c r="P1014" s="4">
        <v>338</v>
      </c>
      <c r="Q1014" s="3" t="s">
        <v>26</v>
      </c>
      <c r="R1014" s="3">
        <v>0</v>
      </c>
      <c r="S1014" s="3" t="s">
        <v>304</v>
      </c>
      <c r="U1014" s="3">
        <v>7</v>
      </c>
      <c r="V1014" s="3">
        <v>0</v>
      </c>
      <c r="W1014" s="3">
        <v>0</v>
      </c>
    </row>
    <row r="1015" spans="1:23" ht="11.25" customHeight="1" x14ac:dyDescent="0.25">
      <c r="A1015" s="3" t="s">
        <v>28</v>
      </c>
      <c r="B1015" s="3" t="s">
        <v>33</v>
      </c>
      <c r="C1015" s="3" t="s">
        <v>34</v>
      </c>
      <c r="D1015" s="3" t="s">
        <v>46</v>
      </c>
      <c r="E1015" s="3" t="s">
        <v>25</v>
      </c>
      <c r="F1015" s="3" t="s">
        <v>25</v>
      </c>
      <c r="G1015" s="3" t="s">
        <v>25</v>
      </c>
      <c r="H1015" s="3" t="s">
        <v>25</v>
      </c>
      <c r="I1015" s="6">
        <v>44440</v>
      </c>
      <c r="J1015" s="4">
        <v>2476</v>
      </c>
      <c r="K1015" s="4">
        <v>2476</v>
      </c>
      <c r="L1015" s="4">
        <v>0</v>
      </c>
      <c r="M1015" s="4">
        <v>0</v>
      </c>
      <c r="N1015" s="4">
        <v>0</v>
      </c>
      <c r="O1015" s="4">
        <v>0</v>
      </c>
      <c r="P1015" s="4">
        <v>13</v>
      </c>
      <c r="Q1015" s="3" t="s">
        <v>26</v>
      </c>
      <c r="R1015" s="3">
        <v>0</v>
      </c>
      <c r="S1015" s="3" t="s">
        <v>304</v>
      </c>
      <c r="U1015" s="3">
        <v>7</v>
      </c>
      <c r="V1015" s="3">
        <v>0</v>
      </c>
      <c r="W1015" s="3">
        <v>0</v>
      </c>
    </row>
    <row r="1016" spans="1:23" ht="11.25" customHeight="1" x14ac:dyDescent="0.25">
      <c r="A1016" s="3" t="s">
        <v>21</v>
      </c>
      <c r="B1016" s="3" t="s">
        <v>33</v>
      </c>
      <c r="C1016" s="3" t="s">
        <v>34</v>
      </c>
      <c r="D1016" s="3" t="s">
        <v>46</v>
      </c>
      <c r="E1016" s="3" t="s">
        <v>25</v>
      </c>
      <c r="F1016" s="3" t="s">
        <v>25</v>
      </c>
      <c r="G1016" s="3" t="s">
        <v>25</v>
      </c>
      <c r="H1016" s="3" t="s">
        <v>25</v>
      </c>
      <c r="I1016" s="6">
        <v>44470</v>
      </c>
      <c r="J1016" s="4">
        <v>42309</v>
      </c>
      <c r="K1016" s="4">
        <v>42309</v>
      </c>
      <c r="L1016" s="4">
        <v>0</v>
      </c>
      <c r="M1016" s="4">
        <v>0</v>
      </c>
      <c r="N1016" s="4">
        <v>0</v>
      </c>
      <c r="O1016" s="4">
        <v>0</v>
      </c>
      <c r="P1016" s="4">
        <v>340</v>
      </c>
      <c r="Q1016" s="3" t="s">
        <v>26</v>
      </c>
      <c r="R1016" s="3">
        <v>0</v>
      </c>
      <c r="S1016" s="3" t="s">
        <v>305</v>
      </c>
      <c r="U1016" s="3">
        <v>7</v>
      </c>
      <c r="V1016" s="3">
        <v>0</v>
      </c>
      <c r="W1016" s="3">
        <v>0</v>
      </c>
    </row>
    <row r="1017" spans="1:23" ht="11.25" customHeight="1" x14ac:dyDescent="0.25">
      <c r="A1017" s="3" t="s">
        <v>27</v>
      </c>
      <c r="B1017" s="3" t="s">
        <v>33</v>
      </c>
      <c r="C1017" s="3" t="s">
        <v>34</v>
      </c>
      <c r="D1017" s="3" t="s">
        <v>46</v>
      </c>
      <c r="E1017" s="3" t="s">
        <v>25</v>
      </c>
      <c r="F1017" s="3" t="s">
        <v>25</v>
      </c>
      <c r="G1017" s="3" t="s">
        <v>25</v>
      </c>
      <c r="H1017" s="3" t="s">
        <v>25</v>
      </c>
      <c r="I1017" s="6">
        <v>44470</v>
      </c>
      <c r="J1017" s="4">
        <v>30</v>
      </c>
      <c r="K1017" s="4">
        <v>30</v>
      </c>
      <c r="L1017" s="4">
        <v>0</v>
      </c>
      <c r="M1017" s="4">
        <v>0</v>
      </c>
      <c r="N1017" s="4">
        <v>0</v>
      </c>
      <c r="O1017" s="4">
        <v>0</v>
      </c>
      <c r="P1017" s="4">
        <v>1</v>
      </c>
      <c r="Q1017" s="3" t="s">
        <v>26</v>
      </c>
      <c r="R1017" s="3">
        <v>0</v>
      </c>
      <c r="S1017" s="3" t="s">
        <v>305</v>
      </c>
      <c r="U1017" s="3">
        <v>7</v>
      </c>
      <c r="V1017" s="3">
        <v>0</v>
      </c>
      <c r="W1017" s="3">
        <v>0</v>
      </c>
    </row>
    <row r="1018" spans="1:23" ht="11.25" customHeight="1" x14ac:dyDescent="0.25">
      <c r="A1018" s="3" t="s">
        <v>28</v>
      </c>
      <c r="B1018" s="3" t="s">
        <v>33</v>
      </c>
      <c r="C1018" s="3" t="s">
        <v>34</v>
      </c>
      <c r="D1018" s="3" t="s">
        <v>46</v>
      </c>
      <c r="E1018" s="3" t="s">
        <v>25</v>
      </c>
      <c r="F1018" s="3" t="s">
        <v>25</v>
      </c>
      <c r="G1018" s="3" t="s">
        <v>25</v>
      </c>
      <c r="H1018" s="3" t="s">
        <v>25</v>
      </c>
      <c r="I1018" s="6">
        <v>44470</v>
      </c>
      <c r="J1018" s="4">
        <v>2483</v>
      </c>
      <c r="K1018" s="4">
        <v>2483</v>
      </c>
      <c r="L1018" s="4">
        <v>0</v>
      </c>
      <c r="M1018" s="4">
        <v>0</v>
      </c>
      <c r="N1018" s="4">
        <v>0</v>
      </c>
      <c r="O1018" s="4">
        <v>0</v>
      </c>
      <c r="P1018" s="4">
        <v>13</v>
      </c>
      <c r="Q1018" s="3" t="s">
        <v>26</v>
      </c>
      <c r="R1018" s="3">
        <v>0</v>
      </c>
      <c r="S1018" s="3" t="s">
        <v>305</v>
      </c>
      <c r="U1018" s="3">
        <v>7</v>
      </c>
      <c r="V1018" s="3">
        <v>0</v>
      </c>
      <c r="W1018" s="3">
        <v>0</v>
      </c>
    </row>
    <row r="1019" spans="1:23" ht="11.25" customHeight="1" x14ac:dyDescent="0.25">
      <c r="A1019" s="3" t="s">
        <v>21</v>
      </c>
      <c r="B1019" s="3" t="s">
        <v>33</v>
      </c>
      <c r="C1019" s="3" t="s">
        <v>34</v>
      </c>
      <c r="D1019" s="3" t="s">
        <v>46</v>
      </c>
      <c r="E1019" s="3" t="s">
        <v>25</v>
      </c>
      <c r="F1019" s="3" t="s">
        <v>25</v>
      </c>
      <c r="G1019" s="3" t="s">
        <v>25</v>
      </c>
      <c r="H1019" s="3" t="s">
        <v>25</v>
      </c>
      <c r="I1019" s="6">
        <v>44501</v>
      </c>
      <c r="J1019" s="4">
        <v>42923</v>
      </c>
      <c r="K1019" s="4">
        <v>42923</v>
      </c>
      <c r="L1019" s="4">
        <v>0</v>
      </c>
      <c r="M1019" s="4">
        <v>0</v>
      </c>
      <c r="N1019" s="4">
        <v>0</v>
      </c>
      <c r="O1019" s="4">
        <v>0</v>
      </c>
      <c r="P1019" s="4">
        <v>340</v>
      </c>
      <c r="Q1019" s="3" t="s">
        <v>26</v>
      </c>
      <c r="R1019" s="3">
        <v>0</v>
      </c>
      <c r="S1019" s="3" t="s">
        <v>306</v>
      </c>
      <c r="U1019" s="3">
        <v>7</v>
      </c>
      <c r="V1019" s="3">
        <v>0</v>
      </c>
      <c r="W1019" s="3">
        <v>0</v>
      </c>
    </row>
    <row r="1020" spans="1:23" ht="11.25" customHeight="1" x14ac:dyDescent="0.25">
      <c r="A1020" s="3" t="s">
        <v>27</v>
      </c>
      <c r="B1020" s="3" t="s">
        <v>33</v>
      </c>
      <c r="C1020" s="3" t="s">
        <v>34</v>
      </c>
      <c r="D1020" s="3" t="s">
        <v>46</v>
      </c>
      <c r="E1020" s="3" t="s">
        <v>25</v>
      </c>
      <c r="F1020" s="3" t="s">
        <v>25</v>
      </c>
      <c r="G1020" s="3" t="s">
        <v>25</v>
      </c>
      <c r="H1020" s="3" t="s">
        <v>25</v>
      </c>
      <c r="I1020" s="6">
        <v>44501</v>
      </c>
      <c r="J1020" s="4">
        <v>150</v>
      </c>
      <c r="K1020" s="4">
        <v>150</v>
      </c>
      <c r="L1020" s="4">
        <v>0</v>
      </c>
      <c r="M1020" s="4">
        <v>0</v>
      </c>
      <c r="N1020" s="4">
        <v>0</v>
      </c>
      <c r="O1020" s="4">
        <v>0</v>
      </c>
      <c r="P1020" s="4">
        <v>2</v>
      </c>
      <c r="Q1020" s="3" t="s">
        <v>26</v>
      </c>
      <c r="R1020" s="3">
        <v>0</v>
      </c>
      <c r="S1020" s="3" t="s">
        <v>306</v>
      </c>
      <c r="U1020" s="3">
        <v>7</v>
      </c>
      <c r="V1020" s="3">
        <v>0</v>
      </c>
      <c r="W1020" s="3">
        <v>0</v>
      </c>
    </row>
    <row r="1021" spans="1:23" ht="11.25" customHeight="1" x14ac:dyDescent="0.25">
      <c r="A1021" s="3" t="s">
        <v>28</v>
      </c>
      <c r="B1021" s="3" t="s">
        <v>33</v>
      </c>
      <c r="C1021" s="3" t="s">
        <v>34</v>
      </c>
      <c r="D1021" s="3" t="s">
        <v>46</v>
      </c>
      <c r="E1021" s="3" t="s">
        <v>25</v>
      </c>
      <c r="F1021" s="3" t="s">
        <v>25</v>
      </c>
      <c r="G1021" s="3" t="s">
        <v>25</v>
      </c>
      <c r="H1021" s="3" t="s">
        <v>25</v>
      </c>
      <c r="I1021" s="6">
        <v>44501</v>
      </c>
      <c r="J1021" s="4">
        <v>2496</v>
      </c>
      <c r="K1021" s="4">
        <v>2496</v>
      </c>
      <c r="L1021" s="4">
        <v>0</v>
      </c>
      <c r="M1021" s="4">
        <v>0</v>
      </c>
      <c r="N1021" s="4">
        <v>0</v>
      </c>
      <c r="O1021" s="4">
        <v>0</v>
      </c>
      <c r="P1021" s="4">
        <v>13</v>
      </c>
      <c r="Q1021" s="3" t="s">
        <v>26</v>
      </c>
      <c r="R1021" s="3">
        <v>0</v>
      </c>
      <c r="S1021" s="3" t="s">
        <v>306</v>
      </c>
      <c r="U1021" s="3">
        <v>7</v>
      </c>
      <c r="V1021" s="3">
        <v>0</v>
      </c>
      <c r="W1021" s="3">
        <v>0</v>
      </c>
    </row>
    <row r="1022" spans="1:23" ht="11.25" customHeight="1" x14ac:dyDescent="0.25">
      <c r="A1022" s="3" t="s">
        <v>21</v>
      </c>
      <c r="B1022" s="3" t="s">
        <v>33</v>
      </c>
      <c r="C1022" s="3" t="s">
        <v>34</v>
      </c>
      <c r="D1022" s="3" t="s">
        <v>46</v>
      </c>
      <c r="E1022" s="3" t="s">
        <v>25</v>
      </c>
      <c r="F1022" s="3" t="s">
        <v>25</v>
      </c>
      <c r="G1022" s="3" t="s">
        <v>25</v>
      </c>
      <c r="H1022" s="3" t="s">
        <v>25</v>
      </c>
      <c r="I1022" s="6">
        <v>44531</v>
      </c>
      <c r="J1022" s="4">
        <v>42175</v>
      </c>
      <c r="K1022" s="4">
        <v>42175</v>
      </c>
      <c r="L1022" s="4">
        <v>0</v>
      </c>
      <c r="M1022" s="4">
        <v>0</v>
      </c>
      <c r="N1022" s="4">
        <v>0</v>
      </c>
      <c r="O1022" s="4">
        <v>0</v>
      </c>
      <c r="P1022" s="4">
        <v>343</v>
      </c>
      <c r="Q1022" s="3" t="s">
        <v>26</v>
      </c>
      <c r="R1022" s="3">
        <v>0</v>
      </c>
      <c r="S1022" s="3" t="s">
        <v>307</v>
      </c>
      <c r="U1022" s="3">
        <v>7</v>
      </c>
      <c r="V1022" s="3">
        <v>0</v>
      </c>
      <c r="W1022" s="3">
        <v>0</v>
      </c>
    </row>
    <row r="1023" spans="1:23" ht="11.25" customHeight="1" x14ac:dyDescent="0.25">
      <c r="A1023" s="3" t="s">
        <v>28</v>
      </c>
      <c r="B1023" s="3" t="s">
        <v>33</v>
      </c>
      <c r="C1023" s="3" t="s">
        <v>34</v>
      </c>
      <c r="D1023" s="3" t="s">
        <v>46</v>
      </c>
      <c r="E1023" s="3" t="s">
        <v>25</v>
      </c>
      <c r="F1023" s="3" t="s">
        <v>25</v>
      </c>
      <c r="G1023" s="3" t="s">
        <v>25</v>
      </c>
      <c r="H1023" s="3" t="s">
        <v>25</v>
      </c>
      <c r="I1023" s="6">
        <v>44531</v>
      </c>
      <c r="J1023" s="4">
        <v>2429</v>
      </c>
      <c r="K1023" s="4">
        <v>2429</v>
      </c>
      <c r="L1023" s="4">
        <v>0</v>
      </c>
      <c r="M1023" s="4">
        <v>0</v>
      </c>
      <c r="N1023" s="4">
        <v>0</v>
      </c>
      <c r="O1023" s="4">
        <v>0</v>
      </c>
      <c r="P1023" s="4">
        <v>14</v>
      </c>
      <c r="Q1023" s="3" t="s">
        <v>26</v>
      </c>
      <c r="R1023" s="3">
        <v>0</v>
      </c>
      <c r="S1023" s="3" t="s">
        <v>307</v>
      </c>
      <c r="U1023" s="3">
        <v>7</v>
      </c>
      <c r="V1023" s="3">
        <v>0</v>
      </c>
      <c r="W1023" s="3">
        <v>0</v>
      </c>
    </row>
    <row r="1024" spans="1:23" ht="11.25" customHeight="1" x14ac:dyDescent="0.25">
      <c r="A1024" s="3" t="s">
        <v>21</v>
      </c>
      <c r="B1024" s="3" t="s">
        <v>33</v>
      </c>
      <c r="C1024" s="3" t="s">
        <v>34</v>
      </c>
      <c r="D1024" s="3" t="s">
        <v>46</v>
      </c>
      <c r="E1024" s="3" t="s">
        <v>25</v>
      </c>
      <c r="F1024" s="3" t="s">
        <v>25</v>
      </c>
      <c r="G1024" s="3" t="s">
        <v>25</v>
      </c>
      <c r="H1024" s="3" t="s">
        <v>25</v>
      </c>
      <c r="I1024" s="6">
        <v>44562</v>
      </c>
      <c r="J1024" s="4">
        <v>42569</v>
      </c>
      <c r="K1024" s="4">
        <v>42569</v>
      </c>
      <c r="L1024" s="4">
        <v>0</v>
      </c>
      <c r="M1024" s="4">
        <v>0</v>
      </c>
      <c r="N1024" s="4">
        <v>0</v>
      </c>
      <c r="O1024" s="4">
        <v>0</v>
      </c>
      <c r="P1024" s="4">
        <v>344</v>
      </c>
      <c r="Q1024" s="3" t="s">
        <v>26</v>
      </c>
      <c r="R1024" s="3">
        <v>0</v>
      </c>
      <c r="S1024" s="3" t="s">
        <v>308</v>
      </c>
      <c r="U1024" s="3">
        <v>7</v>
      </c>
      <c r="V1024" s="3">
        <v>0</v>
      </c>
      <c r="W1024" s="3">
        <v>0</v>
      </c>
    </row>
    <row r="1025" spans="1:23" ht="11.25" customHeight="1" x14ac:dyDescent="0.25">
      <c r="A1025" s="3" t="s">
        <v>28</v>
      </c>
      <c r="B1025" s="3" t="s">
        <v>33</v>
      </c>
      <c r="C1025" s="3" t="s">
        <v>34</v>
      </c>
      <c r="D1025" s="3" t="s">
        <v>46</v>
      </c>
      <c r="E1025" s="3" t="s">
        <v>25</v>
      </c>
      <c r="F1025" s="3" t="s">
        <v>25</v>
      </c>
      <c r="G1025" s="3" t="s">
        <v>25</v>
      </c>
      <c r="H1025" s="3" t="s">
        <v>25</v>
      </c>
      <c r="I1025" s="6">
        <v>44562</v>
      </c>
      <c r="J1025" s="4">
        <v>2433</v>
      </c>
      <c r="K1025" s="4">
        <v>2433</v>
      </c>
      <c r="L1025" s="4">
        <v>0</v>
      </c>
      <c r="M1025" s="4">
        <v>0</v>
      </c>
      <c r="N1025" s="4">
        <v>0</v>
      </c>
      <c r="O1025" s="4">
        <v>0</v>
      </c>
      <c r="P1025" s="4">
        <v>14</v>
      </c>
      <c r="Q1025" s="3" t="s">
        <v>26</v>
      </c>
      <c r="R1025" s="3">
        <v>0</v>
      </c>
      <c r="S1025" s="3" t="s">
        <v>308</v>
      </c>
      <c r="U1025" s="3">
        <v>7</v>
      </c>
      <c r="V1025" s="3">
        <v>0</v>
      </c>
      <c r="W1025" s="3">
        <v>0</v>
      </c>
    </row>
    <row r="1026" spans="1:23" ht="11.25" customHeight="1" x14ac:dyDescent="0.25">
      <c r="A1026" s="3" t="s">
        <v>21</v>
      </c>
      <c r="B1026" s="3" t="s">
        <v>33</v>
      </c>
      <c r="C1026" s="3" t="s">
        <v>34</v>
      </c>
      <c r="D1026" s="3" t="s">
        <v>46</v>
      </c>
      <c r="E1026" s="3" t="s">
        <v>25</v>
      </c>
      <c r="F1026" s="3" t="s">
        <v>25</v>
      </c>
      <c r="G1026" s="3" t="s">
        <v>25</v>
      </c>
      <c r="H1026" s="3" t="s">
        <v>25</v>
      </c>
      <c r="I1026" s="6">
        <v>44593</v>
      </c>
      <c r="J1026" s="4">
        <v>43672</v>
      </c>
      <c r="K1026" s="4">
        <v>43672</v>
      </c>
      <c r="L1026" s="4">
        <v>0</v>
      </c>
      <c r="M1026" s="4">
        <v>0</v>
      </c>
      <c r="N1026" s="4">
        <v>0</v>
      </c>
      <c r="O1026" s="4">
        <v>0</v>
      </c>
      <c r="P1026" s="4">
        <v>347</v>
      </c>
      <c r="Q1026" s="3" t="s">
        <v>26</v>
      </c>
      <c r="R1026" s="3">
        <v>0</v>
      </c>
      <c r="S1026" s="3" t="s">
        <v>309</v>
      </c>
      <c r="U1026" s="3">
        <v>7</v>
      </c>
      <c r="V1026" s="3">
        <v>0</v>
      </c>
      <c r="W1026" s="3">
        <v>0</v>
      </c>
    </row>
    <row r="1027" spans="1:23" ht="11.25" customHeight="1" x14ac:dyDescent="0.25">
      <c r="A1027" s="3" t="s">
        <v>28</v>
      </c>
      <c r="B1027" s="3" t="s">
        <v>33</v>
      </c>
      <c r="C1027" s="3" t="s">
        <v>34</v>
      </c>
      <c r="D1027" s="3" t="s">
        <v>46</v>
      </c>
      <c r="E1027" s="3" t="s">
        <v>25</v>
      </c>
      <c r="F1027" s="3" t="s">
        <v>25</v>
      </c>
      <c r="G1027" s="3" t="s">
        <v>25</v>
      </c>
      <c r="H1027" s="3" t="s">
        <v>25</v>
      </c>
      <c r="I1027" s="6">
        <v>44593</v>
      </c>
      <c r="J1027" s="4">
        <v>2426</v>
      </c>
      <c r="K1027" s="4">
        <v>2426</v>
      </c>
      <c r="L1027" s="4">
        <v>0</v>
      </c>
      <c r="M1027" s="4">
        <v>0</v>
      </c>
      <c r="N1027" s="4">
        <v>0</v>
      </c>
      <c r="O1027" s="4">
        <v>0</v>
      </c>
      <c r="P1027" s="4">
        <v>14</v>
      </c>
      <c r="Q1027" s="3" t="s">
        <v>26</v>
      </c>
      <c r="R1027" s="3">
        <v>0</v>
      </c>
      <c r="S1027" s="3" t="s">
        <v>309</v>
      </c>
      <c r="U1027" s="3">
        <v>7</v>
      </c>
      <c r="V1027" s="3">
        <v>0</v>
      </c>
      <c r="W1027" s="3">
        <v>0</v>
      </c>
    </row>
    <row r="1028" spans="1:23" ht="11.25" customHeight="1" x14ac:dyDescent="0.25">
      <c r="A1028" s="3" t="s">
        <v>21</v>
      </c>
      <c r="B1028" s="3" t="s">
        <v>33</v>
      </c>
      <c r="C1028" s="3" t="s">
        <v>34</v>
      </c>
      <c r="D1028" s="3" t="s">
        <v>46</v>
      </c>
      <c r="E1028" s="3" t="s">
        <v>25</v>
      </c>
      <c r="F1028" s="3" t="s">
        <v>25</v>
      </c>
      <c r="G1028" s="3" t="s">
        <v>25</v>
      </c>
      <c r="H1028" s="3" t="s">
        <v>25</v>
      </c>
      <c r="I1028" s="6">
        <v>44621</v>
      </c>
      <c r="J1028" s="4">
        <v>44016</v>
      </c>
      <c r="K1028" s="4">
        <v>44016</v>
      </c>
      <c r="L1028" s="4">
        <v>0</v>
      </c>
      <c r="M1028" s="4">
        <v>0</v>
      </c>
      <c r="N1028" s="4">
        <v>0</v>
      </c>
      <c r="O1028" s="4">
        <v>0</v>
      </c>
      <c r="P1028" s="4">
        <v>348</v>
      </c>
      <c r="Q1028" s="3" t="s">
        <v>26</v>
      </c>
      <c r="R1028" s="3">
        <v>0</v>
      </c>
      <c r="S1028" s="3" t="s">
        <v>310</v>
      </c>
      <c r="U1028" s="3">
        <v>7</v>
      </c>
      <c r="V1028" s="3">
        <v>0</v>
      </c>
      <c r="W1028" s="3">
        <v>0</v>
      </c>
    </row>
    <row r="1029" spans="1:23" ht="11.25" customHeight="1" x14ac:dyDescent="0.25">
      <c r="A1029" s="3" t="s">
        <v>28</v>
      </c>
      <c r="B1029" s="3" t="s">
        <v>33</v>
      </c>
      <c r="C1029" s="3" t="s">
        <v>34</v>
      </c>
      <c r="D1029" s="3" t="s">
        <v>46</v>
      </c>
      <c r="E1029" s="3" t="s">
        <v>25</v>
      </c>
      <c r="F1029" s="3" t="s">
        <v>25</v>
      </c>
      <c r="G1029" s="3" t="s">
        <v>25</v>
      </c>
      <c r="H1029" s="3" t="s">
        <v>25</v>
      </c>
      <c r="I1029" s="6">
        <v>44621</v>
      </c>
      <c r="J1029" s="4">
        <v>2426</v>
      </c>
      <c r="K1029" s="4">
        <v>2426</v>
      </c>
      <c r="L1029" s="4">
        <v>0</v>
      </c>
      <c r="M1029" s="4">
        <v>0</v>
      </c>
      <c r="N1029" s="4">
        <v>0</v>
      </c>
      <c r="O1029" s="4">
        <v>0</v>
      </c>
      <c r="P1029" s="4">
        <v>14</v>
      </c>
      <c r="Q1029" s="3" t="s">
        <v>26</v>
      </c>
      <c r="R1029" s="3">
        <v>0</v>
      </c>
      <c r="S1029" s="3" t="s">
        <v>310</v>
      </c>
      <c r="U1029" s="3">
        <v>7</v>
      </c>
      <c r="V1029" s="3">
        <v>0</v>
      </c>
      <c r="W1029" s="3">
        <v>0</v>
      </c>
    </row>
    <row r="1030" spans="1:23" ht="11.25" customHeight="1" x14ac:dyDescent="0.25">
      <c r="A1030" s="3" t="s">
        <v>56</v>
      </c>
      <c r="B1030" s="3" t="s">
        <v>33</v>
      </c>
      <c r="C1030" s="3" t="s">
        <v>34</v>
      </c>
      <c r="D1030" s="3" t="s">
        <v>46</v>
      </c>
      <c r="E1030" s="3" t="s">
        <v>25</v>
      </c>
      <c r="F1030" s="3" t="s">
        <v>25</v>
      </c>
      <c r="G1030" s="3" t="s">
        <v>25</v>
      </c>
      <c r="H1030" s="3" t="s">
        <v>25</v>
      </c>
      <c r="I1030" s="6">
        <v>44652</v>
      </c>
      <c r="J1030" s="4">
        <v>44016</v>
      </c>
      <c r="K1030" s="4">
        <v>44016</v>
      </c>
      <c r="L1030" s="4">
        <v>0</v>
      </c>
      <c r="M1030" s="4">
        <v>0</v>
      </c>
      <c r="N1030" s="4">
        <v>0</v>
      </c>
      <c r="O1030" s="4">
        <v>0</v>
      </c>
      <c r="P1030" s="4">
        <v>348</v>
      </c>
      <c r="Q1030" s="3" t="s">
        <v>26</v>
      </c>
      <c r="R1030" s="3">
        <v>0</v>
      </c>
      <c r="S1030" s="3" t="s">
        <v>311</v>
      </c>
      <c r="U1030" s="3">
        <v>7</v>
      </c>
      <c r="V1030" s="3">
        <v>0</v>
      </c>
      <c r="W1030" s="3">
        <v>0</v>
      </c>
    </row>
    <row r="1031" spans="1:23" ht="11.25" customHeight="1" x14ac:dyDescent="0.25">
      <c r="A1031" s="3" t="s">
        <v>56</v>
      </c>
      <c r="B1031" s="3" t="s">
        <v>33</v>
      </c>
      <c r="C1031" s="3" t="s">
        <v>34</v>
      </c>
      <c r="D1031" s="3" t="s">
        <v>46</v>
      </c>
      <c r="E1031" s="3" t="s">
        <v>25</v>
      </c>
      <c r="F1031" s="3" t="s">
        <v>25</v>
      </c>
      <c r="G1031" s="3" t="s">
        <v>25</v>
      </c>
      <c r="H1031" s="3" t="s">
        <v>25</v>
      </c>
      <c r="I1031" s="6">
        <v>44652</v>
      </c>
      <c r="J1031" s="4">
        <v>2426</v>
      </c>
      <c r="K1031" s="4">
        <v>2426</v>
      </c>
      <c r="L1031" s="4">
        <v>0</v>
      </c>
      <c r="M1031" s="4">
        <v>0</v>
      </c>
      <c r="N1031" s="4">
        <v>0</v>
      </c>
      <c r="O1031" s="4">
        <v>0</v>
      </c>
      <c r="P1031" s="4">
        <v>14</v>
      </c>
      <c r="Q1031" s="3" t="s">
        <v>26</v>
      </c>
      <c r="R1031" s="3">
        <v>0</v>
      </c>
      <c r="S1031" s="3" t="s">
        <v>311</v>
      </c>
      <c r="U1031" s="3">
        <v>7</v>
      </c>
      <c r="V1031" s="3">
        <v>0</v>
      </c>
      <c r="W1031" s="3">
        <v>0</v>
      </c>
    </row>
    <row r="1032" spans="1:23" ht="11.25" customHeight="1" x14ac:dyDescent="0.25">
      <c r="A1032" s="3" t="s">
        <v>21</v>
      </c>
      <c r="B1032" s="3" t="s">
        <v>33</v>
      </c>
      <c r="C1032" s="3" t="s">
        <v>34</v>
      </c>
      <c r="D1032" s="3" t="s">
        <v>46</v>
      </c>
      <c r="E1032" s="3" t="s">
        <v>25</v>
      </c>
      <c r="F1032" s="3" t="s">
        <v>25</v>
      </c>
      <c r="G1032" s="3" t="s">
        <v>25</v>
      </c>
      <c r="H1032" s="3" t="s">
        <v>35</v>
      </c>
      <c r="I1032" s="6">
        <v>44317</v>
      </c>
      <c r="J1032" s="4">
        <v>0</v>
      </c>
      <c r="K1032" s="4">
        <v>0</v>
      </c>
      <c r="L1032" s="4">
        <v>507.31200000000001</v>
      </c>
      <c r="M1032" s="4">
        <v>507.31200000000001</v>
      </c>
      <c r="N1032" s="4">
        <v>507.31200000000001</v>
      </c>
      <c r="O1032" s="4">
        <v>507.31200000000001</v>
      </c>
      <c r="P1032" s="4">
        <v>0</v>
      </c>
      <c r="Q1032" s="3" t="s">
        <v>26</v>
      </c>
      <c r="R1032" s="3">
        <v>0</v>
      </c>
      <c r="S1032" s="3" t="s">
        <v>312</v>
      </c>
      <c r="T1032" s="3" t="s">
        <v>549</v>
      </c>
      <c r="U1032" s="3">
        <v>0</v>
      </c>
      <c r="V1032" s="3">
        <v>8</v>
      </c>
      <c r="W1032" s="3">
        <v>72</v>
      </c>
    </row>
    <row r="1033" spans="1:23" ht="11.25" customHeight="1" x14ac:dyDescent="0.25">
      <c r="A1033" s="3" t="s">
        <v>27</v>
      </c>
      <c r="B1033" s="3" t="s">
        <v>33</v>
      </c>
      <c r="C1033" s="3" t="s">
        <v>34</v>
      </c>
      <c r="D1033" s="3" t="s">
        <v>46</v>
      </c>
      <c r="E1033" s="3" t="s">
        <v>25</v>
      </c>
      <c r="F1033" s="3" t="s">
        <v>25</v>
      </c>
      <c r="G1033" s="3" t="s">
        <v>25</v>
      </c>
      <c r="H1033" s="3" t="s">
        <v>35</v>
      </c>
      <c r="I1033" s="6">
        <v>44317</v>
      </c>
      <c r="J1033" s="4">
        <v>0</v>
      </c>
      <c r="K1033" s="4">
        <v>0</v>
      </c>
      <c r="L1033" s="4">
        <v>0.66900000000000004</v>
      </c>
      <c r="M1033" s="4">
        <v>0.66900000000000004</v>
      </c>
      <c r="N1033" s="4">
        <v>0.66900000000000004</v>
      </c>
      <c r="O1033" s="4">
        <v>0.66900000000000004</v>
      </c>
      <c r="P1033" s="4">
        <v>0</v>
      </c>
      <c r="Q1033" s="3" t="s">
        <v>26</v>
      </c>
      <c r="R1033" s="3">
        <v>0</v>
      </c>
      <c r="S1033" s="3" t="s">
        <v>312</v>
      </c>
      <c r="T1033" s="3" t="s">
        <v>549</v>
      </c>
      <c r="U1033" s="3">
        <v>0</v>
      </c>
      <c r="V1033" s="3">
        <v>8</v>
      </c>
      <c r="W1033" s="3">
        <v>72</v>
      </c>
    </row>
    <row r="1034" spans="1:23" ht="11.25" customHeight="1" x14ac:dyDescent="0.25">
      <c r="A1034" s="3" t="s">
        <v>28</v>
      </c>
      <c r="B1034" s="3" t="s">
        <v>33</v>
      </c>
      <c r="C1034" s="3" t="s">
        <v>34</v>
      </c>
      <c r="D1034" s="3" t="s">
        <v>46</v>
      </c>
      <c r="E1034" s="3" t="s">
        <v>25</v>
      </c>
      <c r="F1034" s="3" t="s">
        <v>25</v>
      </c>
      <c r="G1034" s="3" t="s">
        <v>25</v>
      </c>
      <c r="H1034" s="3" t="s">
        <v>35</v>
      </c>
      <c r="I1034" s="6">
        <v>44317</v>
      </c>
      <c r="J1034" s="4">
        <v>0</v>
      </c>
      <c r="K1034" s="4">
        <v>0</v>
      </c>
      <c r="L1034" s="4">
        <v>13.177</v>
      </c>
      <c r="M1034" s="4">
        <v>13.177</v>
      </c>
      <c r="N1034" s="4">
        <v>13.177</v>
      </c>
      <c r="O1034" s="4">
        <v>13.177</v>
      </c>
      <c r="P1034" s="4">
        <v>0</v>
      </c>
      <c r="Q1034" s="3" t="s">
        <v>26</v>
      </c>
      <c r="R1034" s="3">
        <v>0</v>
      </c>
      <c r="S1034" s="3" t="s">
        <v>312</v>
      </c>
      <c r="T1034" s="3" t="s">
        <v>549</v>
      </c>
      <c r="U1034" s="3">
        <v>0</v>
      </c>
      <c r="V1034" s="3">
        <v>8</v>
      </c>
      <c r="W1034" s="3">
        <v>72</v>
      </c>
    </row>
    <row r="1035" spans="1:23" ht="11.25" customHeight="1" x14ac:dyDescent="0.25">
      <c r="A1035" s="3" t="s">
        <v>21</v>
      </c>
      <c r="B1035" s="3" t="s">
        <v>33</v>
      </c>
      <c r="C1035" s="3" t="s">
        <v>34</v>
      </c>
      <c r="D1035" s="3" t="s">
        <v>46</v>
      </c>
      <c r="E1035" s="3" t="s">
        <v>25</v>
      </c>
      <c r="F1035" s="3" t="s">
        <v>25</v>
      </c>
      <c r="G1035" s="3" t="s">
        <v>25</v>
      </c>
      <c r="H1035" s="3" t="s">
        <v>35</v>
      </c>
      <c r="I1035" s="6">
        <v>44348</v>
      </c>
      <c r="J1035" s="4">
        <v>0</v>
      </c>
      <c r="K1035" s="4">
        <v>0</v>
      </c>
      <c r="L1035" s="4">
        <v>469.42500000000001</v>
      </c>
      <c r="M1035" s="4">
        <v>469.42500000000001</v>
      </c>
      <c r="N1035" s="4">
        <v>469.42500000000001</v>
      </c>
      <c r="O1035" s="4">
        <v>469.42500000000001</v>
      </c>
      <c r="P1035" s="4">
        <v>0</v>
      </c>
      <c r="Q1035" s="3" t="s">
        <v>26</v>
      </c>
      <c r="R1035" s="3">
        <v>0</v>
      </c>
      <c r="S1035" s="3" t="s">
        <v>313</v>
      </c>
      <c r="T1035" s="3" t="s">
        <v>550</v>
      </c>
      <c r="U1035" s="3">
        <v>0</v>
      </c>
      <c r="V1035" s="3">
        <v>8</v>
      </c>
      <c r="W1035" s="3">
        <v>72</v>
      </c>
    </row>
    <row r="1036" spans="1:23" ht="11.25" customHeight="1" x14ac:dyDescent="0.25">
      <c r="A1036" s="3" t="s">
        <v>27</v>
      </c>
      <c r="B1036" s="3" t="s">
        <v>33</v>
      </c>
      <c r="C1036" s="3" t="s">
        <v>34</v>
      </c>
      <c r="D1036" s="3" t="s">
        <v>46</v>
      </c>
      <c r="E1036" s="3" t="s">
        <v>25</v>
      </c>
      <c r="F1036" s="3" t="s">
        <v>25</v>
      </c>
      <c r="G1036" s="3" t="s">
        <v>25</v>
      </c>
      <c r="H1036" s="3" t="s">
        <v>35</v>
      </c>
      <c r="I1036" s="6">
        <v>44348</v>
      </c>
      <c r="J1036" s="4">
        <v>0</v>
      </c>
      <c r="K1036" s="4">
        <v>0</v>
      </c>
      <c r="L1036" s="4">
        <v>0.49</v>
      </c>
      <c r="M1036" s="4">
        <v>0.49</v>
      </c>
      <c r="N1036" s="4">
        <v>0.49</v>
      </c>
      <c r="O1036" s="4">
        <v>0.49</v>
      </c>
      <c r="P1036" s="4">
        <v>0</v>
      </c>
      <c r="Q1036" s="3" t="s">
        <v>26</v>
      </c>
      <c r="R1036" s="3">
        <v>0</v>
      </c>
      <c r="S1036" s="3" t="s">
        <v>313</v>
      </c>
      <c r="T1036" s="3" t="s">
        <v>550</v>
      </c>
      <c r="U1036" s="3">
        <v>0</v>
      </c>
      <c r="V1036" s="3">
        <v>8</v>
      </c>
      <c r="W1036" s="3">
        <v>72</v>
      </c>
    </row>
    <row r="1037" spans="1:23" ht="11.25" customHeight="1" x14ac:dyDescent="0.25">
      <c r="A1037" s="3" t="s">
        <v>28</v>
      </c>
      <c r="B1037" s="3" t="s">
        <v>33</v>
      </c>
      <c r="C1037" s="3" t="s">
        <v>34</v>
      </c>
      <c r="D1037" s="3" t="s">
        <v>46</v>
      </c>
      <c r="E1037" s="3" t="s">
        <v>25</v>
      </c>
      <c r="F1037" s="3" t="s">
        <v>25</v>
      </c>
      <c r="G1037" s="3" t="s">
        <v>25</v>
      </c>
      <c r="H1037" s="3" t="s">
        <v>35</v>
      </c>
      <c r="I1037" s="6">
        <v>44348</v>
      </c>
      <c r="J1037" s="4">
        <v>0</v>
      </c>
      <c r="K1037" s="4">
        <v>0</v>
      </c>
      <c r="L1037" s="4">
        <v>13.564</v>
      </c>
      <c r="M1037" s="4">
        <v>13.564</v>
      </c>
      <c r="N1037" s="4">
        <v>13.564</v>
      </c>
      <c r="O1037" s="4">
        <v>13.564</v>
      </c>
      <c r="P1037" s="4">
        <v>0</v>
      </c>
      <c r="Q1037" s="3" t="s">
        <v>26</v>
      </c>
      <c r="R1037" s="3">
        <v>0</v>
      </c>
      <c r="S1037" s="3" t="s">
        <v>313</v>
      </c>
      <c r="T1037" s="3" t="s">
        <v>550</v>
      </c>
      <c r="U1037" s="3">
        <v>0</v>
      </c>
      <c r="V1037" s="3">
        <v>8</v>
      </c>
      <c r="W1037" s="3">
        <v>72</v>
      </c>
    </row>
    <row r="1038" spans="1:23" ht="11.25" customHeight="1" x14ac:dyDescent="0.25">
      <c r="A1038" s="3" t="s">
        <v>21</v>
      </c>
      <c r="B1038" s="3" t="s">
        <v>33</v>
      </c>
      <c r="C1038" s="3" t="s">
        <v>34</v>
      </c>
      <c r="D1038" s="3" t="s">
        <v>46</v>
      </c>
      <c r="E1038" s="3" t="s">
        <v>25</v>
      </c>
      <c r="F1038" s="3" t="s">
        <v>25</v>
      </c>
      <c r="G1038" s="3" t="s">
        <v>25</v>
      </c>
      <c r="H1038" s="3" t="s">
        <v>35</v>
      </c>
      <c r="I1038" s="6">
        <v>44378</v>
      </c>
      <c r="J1038" s="4">
        <v>0</v>
      </c>
      <c r="K1038" s="4">
        <v>0</v>
      </c>
      <c r="L1038" s="4">
        <v>487.87200000000001</v>
      </c>
      <c r="M1038" s="4">
        <v>487.87200000000001</v>
      </c>
      <c r="N1038" s="4">
        <v>487.87200000000001</v>
      </c>
      <c r="O1038" s="4">
        <v>487.87200000000001</v>
      </c>
      <c r="P1038" s="4">
        <v>0</v>
      </c>
      <c r="Q1038" s="3" t="s">
        <v>26</v>
      </c>
      <c r="R1038" s="3">
        <v>0</v>
      </c>
      <c r="S1038" s="3" t="s">
        <v>314</v>
      </c>
      <c r="T1038" s="3" t="s">
        <v>551</v>
      </c>
      <c r="U1038" s="3">
        <v>0</v>
      </c>
      <c r="V1038" s="3">
        <v>8</v>
      </c>
      <c r="W1038" s="3">
        <v>72</v>
      </c>
    </row>
    <row r="1039" spans="1:23" ht="11.25" customHeight="1" x14ac:dyDescent="0.25">
      <c r="A1039" s="3" t="s">
        <v>28</v>
      </c>
      <c r="B1039" s="3" t="s">
        <v>33</v>
      </c>
      <c r="C1039" s="3" t="s">
        <v>34</v>
      </c>
      <c r="D1039" s="3" t="s">
        <v>46</v>
      </c>
      <c r="E1039" s="3" t="s">
        <v>25</v>
      </c>
      <c r="F1039" s="3" t="s">
        <v>25</v>
      </c>
      <c r="G1039" s="3" t="s">
        <v>25</v>
      </c>
      <c r="H1039" s="3" t="s">
        <v>35</v>
      </c>
      <c r="I1039" s="6">
        <v>44378</v>
      </c>
      <c r="J1039" s="4">
        <v>0</v>
      </c>
      <c r="K1039" s="4">
        <v>0</v>
      </c>
      <c r="L1039" s="4">
        <v>14.372999999999999</v>
      </c>
      <c r="M1039" s="4">
        <v>14.372999999999999</v>
      </c>
      <c r="N1039" s="4">
        <v>14.372999999999999</v>
      </c>
      <c r="O1039" s="4">
        <v>14.372999999999999</v>
      </c>
      <c r="P1039" s="4">
        <v>0</v>
      </c>
      <c r="Q1039" s="3" t="s">
        <v>26</v>
      </c>
      <c r="R1039" s="3">
        <v>0</v>
      </c>
      <c r="S1039" s="3" t="s">
        <v>314</v>
      </c>
      <c r="T1039" s="3" t="s">
        <v>551</v>
      </c>
      <c r="U1039" s="3">
        <v>0</v>
      </c>
      <c r="V1039" s="3">
        <v>8</v>
      </c>
      <c r="W1039" s="3">
        <v>72</v>
      </c>
    </row>
    <row r="1040" spans="1:23" ht="11.25" customHeight="1" x14ac:dyDescent="0.25">
      <c r="A1040" s="3" t="s">
        <v>21</v>
      </c>
      <c r="B1040" s="3" t="s">
        <v>33</v>
      </c>
      <c r="C1040" s="3" t="s">
        <v>34</v>
      </c>
      <c r="D1040" s="3" t="s">
        <v>46</v>
      </c>
      <c r="E1040" s="3" t="s">
        <v>25</v>
      </c>
      <c r="F1040" s="3" t="s">
        <v>25</v>
      </c>
      <c r="G1040" s="3" t="s">
        <v>25</v>
      </c>
      <c r="H1040" s="3" t="s">
        <v>35</v>
      </c>
      <c r="I1040" s="6">
        <v>44409</v>
      </c>
      <c r="J1040" s="4">
        <v>0</v>
      </c>
      <c r="K1040" s="4">
        <v>0</v>
      </c>
      <c r="L1040" s="4">
        <v>479.78899999999999</v>
      </c>
      <c r="M1040" s="4">
        <v>479.78899999999999</v>
      </c>
      <c r="N1040" s="4">
        <v>479.78899999999999</v>
      </c>
      <c r="O1040" s="4">
        <v>479.78899999999999</v>
      </c>
      <c r="P1040" s="4">
        <v>0</v>
      </c>
      <c r="Q1040" s="3" t="s">
        <v>26</v>
      </c>
      <c r="R1040" s="3">
        <v>0</v>
      </c>
      <c r="S1040" s="3" t="s">
        <v>315</v>
      </c>
      <c r="T1040" s="3" t="s">
        <v>552</v>
      </c>
      <c r="U1040" s="3">
        <v>0</v>
      </c>
      <c r="V1040" s="3">
        <v>8</v>
      </c>
      <c r="W1040" s="3">
        <v>72</v>
      </c>
    </row>
    <row r="1041" spans="1:23" ht="11.25" customHeight="1" x14ac:dyDescent="0.25">
      <c r="A1041" s="3" t="s">
        <v>27</v>
      </c>
      <c r="B1041" s="3" t="s">
        <v>33</v>
      </c>
      <c r="C1041" s="3" t="s">
        <v>34</v>
      </c>
      <c r="D1041" s="3" t="s">
        <v>46</v>
      </c>
      <c r="E1041" s="3" t="s">
        <v>25</v>
      </c>
      <c r="F1041" s="3" t="s">
        <v>25</v>
      </c>
      <c r="G1041" s="3" t="s">
        <v>25</v>
      </c>
      <c r="H1041" s="3" t="s">
        <v>35</v>
      </c>
      <c r="I1041" s="6">
        <v>44409</v>
      </c>
      <c r="J1041" s="4">
        <v>0</v>
      </c>
      <c r="K1041" s="4">
        <v>0</v>
      </c>
      <c r="L1041" s="4">
        <v>-0.11600000000000001</v>
      </c>
      <c r="M1041" s="4">
        <v>-0.11600000000000001</v>
      </c>
      <c r="N1041" s="4">
        <v>-0.11600000000000001</v>
      </c>
      <c r="O1041" s="4">
        <v>-0.11600000000000001</v>
      </c>
      <c r="P1041" s="4">
        <v>0</v>
      </c>
      <c r="Q1041" s="3" t="s">
        <v>26</v>
      </c>
      <c r="R1041" s="3">
        <v>0</v>
      </c>
      <c r="S1041" s="3" t="s">
        <v>315</v>
      </c>
      <c r="T1041" s="3" t="s">
        <v>552</v>
      </c>
      <c r="U1041" s="3">
        <v>0</v>
      </c>
      <c r="V1041" s="3">
        <v>8</v>
      </c>
      <c r="W1041" s="3">
        <v>72</v>
      </c>
    </row>
    <row r="1042" spans="1:23" ht="11.25" customHeight="1" x14ac:dyDescent="0.25">
      <c r="A1042" s="3" t="s">
        <v>28</v>
      </c>
      <c r="B1042" s="3" t="s">
        <v>33</v>
      </c>
      <c r="C1042" s="3" t="s">
        <v>34</v>
      </c>
      <c r="D1042" s="3" t="s">
        <v>46</v>
      </c>
      <c r="E1042" s="3" t="s">
        <v>25</v>
      </c>
      <c r="F1042" s="3" t="s">
        <v>25</v>
      </c>
      <c r="G1042" s="3" t="s">
        <v>25</v>
      </c>
      <c r="H1042" s="3" t="s">
        <v>35</v>
      </c>
      <c r="I1042" s="6">
        <v>44409</v>
      </c>
      <c r="J1042" s="4">
        <v>0</v>
      </c>
      <c r="K1042" s="4">
        <v>0</v>
      </c>
      <c r="L1042" s="4">
        <v>17.904</v>
      </c>
      <c r="M1042" s="4">
        <v>17.904</v>
      </c>
      <c r="N1042" s="4">
        <v>17.904</v>
      </c>
      <c r="O1042" s="4">
        <v>17.904</v>
      </c>
      <c r="P1042" s="4">
        <v>0</v>
      </c>
      <c r="Q1042" s="3" t="s">
        <v>26</v>
      </c>
      <c r="R1042" s="3">
        <v>0</v>
      </c>
      <c r="S1042" s="3" t="s">
        <v>315</v>
      </c>
      <c r="T1042" s="3" t="s">
        <v>552</v>
      </c>
      <c r="U1042" s="3">
        <v>0</v>
      </c>
      <c r="V1042" s="3">
        <v>8</v>
      </c>
      <c r="W1042" s="3">
        <v>72</v>
      </c>
    </row>
    <row r="1043" spans="1:23" ht="11.25" customHeight="1" x14ac:dyDescent="0.25">
      <c r="A1043" s="3" t="s">
        <v>21</v>
      </c>
      <c r="B1043" s="3" t="s">
        <v>33</v>
      </c>
      <c r="C1043" s="3" t="s">
        <v>34</v>
      </c>
      <c r="D1043" s="3" t="s">
        <v>46</v>
      </c>
      <c r="E1043" s="3" t="s">
        <v>25</v>
      </c>
      <c r="F1043" s="3" t="s">
        <v>25</v>
      </c>
      <c r="G1043" s="3" t="s">
        <v>25</v>
      </c>
      <c r="H1043" s="3" t="s">
        <v>35</v>
      </c>
      <c r="I1043" s="6">
        <v>44440</v>
      </c>
      <c r="J1043" s="4">
        <v>0</v>
      </c>
      <c r="K1043" s="4">
        <v>0</v>
      </c>
      <c r="L1043" s="4">
        <v>511.59399999999999</v>
      </c>
      <c r="M1043" s="4">
        <v>511.59399999999999</v>
      </c>
      <c r="N1043" s="4">
        <v>511.59399999999999</v>
      </c>
      <c r="O1043" s="4">
        <v>511.59399999999999</v>
      </c>
      <c r="P1043" s="4">
        <v>0</v>
      </c>
      <c r="Q1043" s="3" t="s">
        <v>26</v>
      </c>
      <c r="R1043" s="3">
        <v>0</v>
      </c>
      <c r="S1043" s="3" t="s">
        <v>316</v>
      </c>
      <c r="T1043" s="3" t="s">
        <v>553</v>
      </c>
      <c r="U1043" s="3">
        <v>0</v>
      </c>
      <c r="V1043" s="3">
        <v>8</v>
      </c>
      <c r="W1043" s="3">
        <v>72</v>
      </c>
    </row>
    <row r="1044" spans="1:23" ht="11.25" customHeight="1" x14ac:dyDescent="0.25">
      <c r="A1044" s="3" t="s">
        <v>28</v>
      </c>
      <c r="B1044" s="3" t="s">
        <v>33</v>
      </c>
      <c r="C1044" s="3" t="s">
        <v>34</v>
      </c>
      <c r="D1044" s="3" t="s">
        <v>46</v>
      </c>
      <c r="E1044" s="3" t="s">
        <v>25</v>
      </c>
      <c r="F1044" s="3" t="s">
        <v>25</v>
      </c>
      <c r="G1044" s="3" t="s">
        <v>25</v>
      </c>
      <c r="H1044" s="3" t="s">
        <v>35</v>
      </c>
      <c r="I1044" s="6">
        <v>44440</v>
      </c>
      <c r="J1044" s="4">
        <v>0</v>
      </c>
      <c r="K1044" s="4">
        <v>0</v>
      </c>
      <c r="L1044" s="4">
        <v>18.577999999999999</v>
      </c>
      <c r="M1044" s="4">
        <v>18.577999999999999</v>
      </c>
      <c r="N1044" s="4">
        <v>18.577999999999999</v>
      </c>
      <c r="O1044" s="4">
        <v>18.577999999999999</v>
      </c>
      <c r="P1044" s="4">
        <v>0</v>
      </c>
      <c r="Q1044" s="3" t="s">
        <v>26</v>
      </c>
      <c r="R1044" s="3">
        <v>0</v>
      </c>
      <c r="S1044" s="3" t="s">
        <v>316</v>
      </c>
      <c r="T1044" s="3" t="s">
        <v>553</v>
      </c>
      <c r="U1044" s="3">
        <v>0</v>
      </c>
      <c r="V1044" s="3">
        <v>8</v>
      </c>
      <c r="W1044" s="3">
        <v>72</v>
      </c>
    </row>
    <row r="1045" spans="1:23" ht="11.25" customHeight="1" x14ac:dyDescent="0.25">
      <c r="A1045" s="3" t="s">
        <v>21</v>
      </c>
      <c r="B1045" s="3" t="s">
        <v>33</v>
      </c>
      <c r="C1045" s="3" t="s">
        <v>34</v>
      </c>
      <c r="D1045" s="3" t="s">
        <v>46</v>
      </c>
      <c r="E1045" s="3" t="s">
        <v>25</v>
      </c>
      <c r="F1045" s="3" t="s">
        <v>25</v>
      </c>
      <c r="G1045" s="3" t="s">
        <v>25</v>
      </c>
      <c r="H1045" s="3" t="s">
        <v>35</v>
      </c>
      <c r="I1045" s="6">
        <v>44470</v>
      </c>
      <c r="J1045" s="4">
        <v>0</v>
      </c>
      <c r="K1045" s="4">
        <v>0</v>
      </c>
      <c r="L1045" s="4">
        <v>526.15800000000002</v>
      </c>
      <c r="M1045" s="4">
        <v>526.15800000000002</v>
      </c>
      <c r="N1045" s="4">
        <v>526.15800000000002</v>
      </c>
      <c r="O1045" s="4">
        <v>526.15800000000002</v>
      </c>
      <c r="P1045" s="4">
        <v>0</v>
      </c>
      <c r="Q1045" s="3" t="s">
        <v>26</v>
      </c>
      <c r="R1045" s="3">
        <v>0</v>
      </c>
      <c r="S1045" s="3" t="s">
        <v>317</v>
      </c>
      <c r="T1045" s="3" t="s">
        <v>554</v>
      </c>
      <c r="U1045" s="3">
        <v>0</v>
      </c>
      <c r="V1045" s="3">
        <v>8</v>
      </c>
      <c r="W1045" s="3">
        <v>72</v>
      </c>
    </row>
    <row r="1046" spans="1:23" ht="11.25" customHeight="1" x14ac:dyDescent="0.25">
      <c r="A1046" s="3" t="s">
        <v>27</v>
      </c>
      <c r="B1046" s="3" t="s">
        <v>33</v>
      </c>
      <c r="C1046" s="3" t="s">
        <v>34</v>
      </c>
      <c r="D1046" s="3" t="s">
        <v>46</v>
      </c>
      <c r="E1046" s="3" t="s">
        <v>25</v>
      </c>
      <c r="F1046" s="3" t="s">
        <v>25</v>
      </c>
      <c r="G1046" s="3" t="s">
        <v>25</v>
      </c>
      <c r="H1046" s="3" t="s">
        <v>35</v>
      </c>
      <c r="I1046" s="6">
        <v>44470</v>
      </c>
      <c r="J1046" s="4">
        <v>0</v>
      </c>
      <c r="K1046" s="4">
        <v>0</v>
      </c>
      <c r="L1046" s="4">
        <v>0.71199999999999997</v>
      </c>
      <c r="M1046" s="4">
        <v>0.71199999999999997</v>
      </c>
      <c r="N1046" s="4">
        <v>0.71199999999999997</v>
      </c>
      <c r="O1046" s="4">
        <v>0.71199999999999997</v>
      </c>
      <c r="P1046" s="4">
        <v>0</v>
      </c>
      <c r="Q1046" s="3" t="s">
        <v>26</v>
      </c>
      <c r="R1046" s="3">
        <v>0</v>
      </c>
      <c r="S1046" s="3" t="s">
        <v>317</v>
      </c>
      <c r="T1046" s="3" t="s">
        <v>554</v>
      </c>
      <c r="U1046" s="3">
        <v>0</v>
      </c>
      <c r="V1046" s="3">
        <v>8</v>
      </c>
      <c r="W1046" s="3">
        <v>72</v>
      </c>
    </row>
    <row r="1047" spans="1:23" ht="11.25" customHeight="1" x14ac:dyDescent="0.25">
      <c r="A1047" s="3" t="s">
        <v>28</v>
      </c>
      <c r="B1047" s="3" t="s">
        <v>33</v>
      </c>
      <c r="C1047" s="3" t="s">
        <v>34</v>
      </c>
      <c r="D1047" s="3" t="s">
        <v>46</v>
      </c>
      <c r="E1047" s="3" t="s">
        <v>25</v>
      </c>
      <c r="F1047" s="3" t="s">
        <v>25</v>
      </c>
      <c r="G1047" s="3" t="s">
        <v>25</v>
      </c>
      <c r="H1047" s="3" t="s">
        <v>35</v>
      </c>
      <c r="I1047" s="6">
        <v>44470</v>
      </c>
      <c r="J1047" s="4">
        <v>0</v>
      </c>
      <c r="K1047" s="4">
        <v>0</v>
      </c>
      <c r="L1047" s="4">
        <v>19.928999999999998</v>
      </c>
      <c r="M1047" s="4">
        <v>19.928999999999998</v>
      </c>
      <c r="N1047" s="4">
        <v>19.928999999999998</v>
      </c>
      <c r="O1047" s="4">
        <v>19.928999999999998</v>
      </c>
      <c r="P1047" s="4">
        <v>0</v>
      </c>
      <c r="Q1047" s="3" t="s">
        <v>26</v>
      </c>
      <c r="R1047" s="3">
        <v>0</v>
      </c>
      <c r="S1047" s="3" t="s">
        <v>317</v>
      </c>
      <c r="T1047" s="3" t="s">
        <v>554</v>
      </c>
      <c r="U1047" s="3">
        <v>0</v>
      </c>
      <c r="V1047" s="3">
        <v>8</v>
      </c>
      <c r="W1047" s="3">
        <v>72</v>
      </c>
    </row>
    <row r="1048" spans="1:23" ht="11.25" customHeight="1" x14ac:dyDescent="0.25">
      <c r="A1048" s="3" t="s">
        <v>21</v>
      </c>
      <c r="B1048" s="3" t="s">
        <v>33</v>
      </c>
      <c r="C1048" s="3" t="s">
        <v>34</v>
      </c>
      <c r="D1048" s="3" t="s">
        <v>46</v>
      </c>
      <c r="E1048" s="3" t="s">
        <v>25</v>
      </c>
      <c r="F1048" s="3" t="s">
        <v>25</v>
      </c>
      <c r="G1048" s="3" t="s">
        <v>25</v>
      </c>
      <c r="H1048" s="3" t="s">
        <v>35</v>
      </c>
      <c r="I1048" s="6">
        <v>44501</v>
      </c>
      <c r="J1048" s="4">
        <v>0</v>
      </c>
      <c r="K1048" s="4">
        <v>0</v>
      </c>
      <c r="L1048" s="4">
        <v>590.96100000000001</v>
      </c>
      <c r="M1048" s="4">
        <v>590.96100000000001</v>
      </c>
      <c r="N1048" s="4">
        <v>590.96100000000001</v>
      </c>
      <c r="O1048" s="4">
        <v>590.96100000000001</v>
      </c>
      <c r="P1048" s="4">
        <v>0</v>
      </c>
      <c r="Q1048" s="3" t="s">
        <v>26</v>
      </c>
      <c r="R1048" s="3">
        <v>0</v>
      </c>
      <c r="S1048" s="3" t="s">
        <v>318</v>
      </c>
      <c r="T1048" s="3" t="s">
        <v>555</v>
      </c>
      <c r="U1048" s="3">
        <v>0</v>
      </c>
      <c r="V1048" s="3">
        <v>8</v>
      </c>
      <c r="W1048" s="3">
        <v>72</v>
      </c>
    </row>
    <row r="1049" spans="1:23" ht="11.25" customHeight="1" x14ac:dyDescent="0.25">
      <c r="A1049" s="3" t="s">
        <v>28</v>
      </c>
      <c r="B1049" s="3" t="s">
        <v>33</v>
      </c>
      <c r="C1049" s="3" t="s">
        <v>34</v>
      </c>
      <c r="D1049" s="3" t="s">
        <v>46</v>
      </c>
      <c r="E1049" s="3" t="s">
        <v>25</v>
      </c>
      <c r="F1049" s="3" t="s">
        <v>25</v>
      </c>
      <c r="G1049" s="3" t="s">
        <v>25</v>
      </c>
      <c r="H1049" s="3" t="s">
        <v>35</v>
      </c>
      <c r="I1049" s="6">
        <v>44501</v>
      </c>
      <c r="J1049" s="4">
        <v>0</v>
      </c>
      <c r="K1049" s="4">
        <v>0</v>
      </c>
      <c r="L1049" s="4">
        <v>22.504999999999999</v>
      </c>
      <c r="M1049" s="4">
        <v>22.504999999999999</v>
      </c>
      <c r="N1049" s="4">
        <v>22.504999999999999</v>
      </c>
      <c r="O1049" s="4">
        <v>22.504999999999999</v>
      </c>
      <c r="P1049" s="4">
        <v>0</v>
      </c>
      <c r="Q1049" s="3" t="s">
        <v>26</v>
      </c>
      <c r="R1049" s="3">
        <v>0</v>
      </c>
      <c r="S1049" s="3" t="s">
        <v>318</v>
      </c>
      <c r="T1049" s="3" t="s">
        <v>555</v>
      </c>
      <c r="U1049" s="3">
        <v>0</v>
      </c>
      <c r="V1049" s="3">
        <v>8</v>
      </c>
      <c r="W1049" s="3">
        <v>72</v>
      </c>
    </row>
    <row r="1050" spans="1:23" ht="11.25" customHeight="1" x14ac:dyDescent="0.25">
      <c r="A1050" s="3" t="s">
        <v>21</v>
      </c>
      <c r="B1050" s="3" t="s">
        <v>33</v>
      </c>
      <c r="C1050" s="3" t="s">
        <v>34</v>
      </c>
      <c r="D1050" s="3" t="s">
        <v>46</v>
      </c>
      <c r="E1050" s="3" t="s">
        <v>25</v>
      </c>
      <c r="F1050" s="3" t="s">
        <v>25</v>
      </c>
      <c r="G1050" s="3" t="s">
        <v>25</v>
      </c>
      <c r="H1050" s="3" t="s">
        <v>35</v>
      </c>
      <c r="I1050" s="6">
        <v>44531</v>
      </c>
      <c r="J1050" s="4">
        <v>0</v>
      </c>
      <c r="K1050" s="4">
        <v>0</v>
      </c>
      <c r="L1050" s="4">
        <v>637.32899999999995</v>
      </c>
      <c r="M1050" s="4">
        <v>637.32899999999995</v>
      </c>
      <c r="N1050" s="4">
        <v>637.32899999999995</v>
      </c>
      <c r="O1050" s="4">
        <v>637.32899999999995</v>
      </c>
      <c r="P1050" s="4">
        <v>0</v>
      </c>
      <c r="Q1050" s="3" t="s">
        <v>26</v>
      </c>
      <c r="R1050" s="3">
        <v>0</v>
      </c>
      <c r="S1050" s="3" t="s">
        <v>319</v>
      </c>
      <c r="T1050" s="3" t="s">
        <v>556</v>
      </c>
      <c r="U1050" s="3">
        <v>0</v>
      </c>
      <c r="V1050" s="3">
        <v>8</v>
      </c>
      <c r="W1050" s="3">
        <v>72</v>
      </c>
    </row>
    <row r="1051" spans="1:23" ht="11.25" customHeight="1" x14ac:dyDescent="0.25">
      <c r="A1051" s="3" t="s">
        <v>28</v>
      </c>
      <c r="B1051" s="3" t="s">
        <v>33</v>
      </c>
      <c r="C1051" s="3" t="s">
        <v>34</v>
      </c>
      <c r="D1051" s="3" t="s">
        <v>46</v>
      </c>
      <c r="E1051" s="3" t="s">
        <v>25</v>
      </c>
      <c r="F1051" s="3" t="s">
        <v>25</v>
      </c>
      <c r="G1051" s="3" t="s">
        <v>25</v>
      </c>
      <c r="H1051" s="3" t="s">
        <v>35</v>
      </c>
      <c r="I1051" s="6">
        <v>44531</v>
      </c>
      <c r="J1051" s="4">
        <v>0</v>
      </c>
      <c r="K1051" s="4">
        <v>0</v>
      </c>
      <c r="L1051" s="4">
        <v>19.375</v>
      </c>
      <c r="M1051" s="4">
        <v>19.375</v>
      </c>
      <c r="N1051" s="4">
        <v>19.375</v>
      </c>
      <c r="O1051" s="4">
        <v>19.375</v>
      </c>
      <c r="P1051" s="4">
        <v>0</v>
      </c>
      <c r="Q1051" s="3" t="s">
        <v>26</v>
      </c>
      <c r="R1051" s="3">
        <v>0</v>
      </c>
      <c r="S1051" s="3" t="s">
        <v>319</v>
      </c>
      <c r="T1051" s="3" t="s">
        <v>556</v>
      </c>
      <c r="U1051" s="3">
        <v>0</v>
      </c>
      <c r="V1051" s="3">
        <v>8</v>
      </c>
      <c r="W1051" s="3">
        <v>72</v>
      </c>
    </row>
    <row r="1052" spans="1:23" ht="11.25" customHeight="1" x14ac:dyDescent="0.25">
      <c r="A1052" s="3" t="s">
        <v>21</v>
      </c>
      <c r="B1052" s="3" t="s">
        <v>33</v>
      </c>
      <c r="C1052" s="3" t="s">
        <v>34</v>
      </c>
      <c r="D1052" s="3" t="s">
        <v>46</v>
      </c>
      <c r="E1052" s="3" t="s">
        <v>25</v>
      </c>
      <c r="F1052" s="3" t="s">
        <v>25</v>
      </c>
      <c r="G1052" s="3" t="s">
        <v>25</v>
      </c>
      <c r="H1052" s="3" t="s">
        <v>35</v>
      </c>
      <c r="I1052" s="6">
        <v>44562</v>
      </c>
      <c r="J1052" s="4">
        <v>0</v>
      </c>
      <c r="K1052" s="4">
        <v>0</v>
      </c>
      <c r="L1052" s="4">
        <v>577.37599999999998</v>
      </c>
      <c r="M1052" s="4">
        <v>577.37599999999998</v>
      </c>
      <c r="N1052" s="4">
        <v>577.37599999999998</v>
      </c>
      <c r="O1052" s="4">
        <v>577.37599999999998</v>
      </c>
      <c r="P1052" s="4">
        <v>0</v>
      </c>
      <c r="Q1052" s="3" t="s">
        <v>26</v>
      </c>
      <c r="R1052" s="3">
        <v>0</v>
      </c>
      <c r="S1052" s="3" t="s">
        <v>320</v>
      </c>
      <c r="T1052" s="3" t="s">
        <v>557</v>
      </c>
      <c r="U1052" s="3">
        <v>0</v>
      </c>
      <c r="V1052" s="3">
        <v>8</v>
      </c>
      <c r="W1052" s="3">
        <v>72</v>
      </c>
    </row>
    <row r="1053" spans="1:23" ht="11.25" customHeight="1" x14ac:dyDescent="0.25">
      <c r="A1053" s="3" t="s">
        <v>28</v>
      </c>
      <c r="B1053" s="3" t="s">
        <v>33</v>
      </c>
      <c r="C1053" s="3" t="s">
        <v>34</v>
      </c>
      <c r="D1053" s="3" t="s">
        <v>46</v>
      </c>
      <c r="E1053" s="3" t="s">
        <v>25</v>
      </c>
      <c r="F1053" s="3" t="s">
        <v>25</v>
      </c>
      <c r="G1053" s="3" t="s">
        <v>25</v>
      </c>
      <c r="H1053" s="3" t="s">
        <v>35</v>
      </c>
      <c r="I1053" s="6">
        <v>44562</v>
      </c>
      <c r="J1053" s="4">
        <v>0</v>
      </c>
      <c r="K1053" s="4">
        <v>0</v>
      </c>
      <c r="L1053" s="4">
        <v>20.206</v>
      </c>
      <c r="M1053" s="4">
        <v>20.206</v>
      </c>
      <c r="N1053" s="4">
        <v>20.206</v>
      </c>
      <c r="O1053" s="4">
        <v>20.206</v>
      </c>
      <c r="P1053" s="4">
        <v>0</v>
      </c>
      <c r="Q1053" s="3" t="s">
        <v>26</v>
      </c>
      <c r="R1053" s="3">
        <v>0</v>
      </c>
      <c r="S1053" s="3" t="s">
        <v>320</v>
      </c>
      <c r="T1053" s="3" t="s">
        <v>557</v>
      </c>
      <c r="U1053" s="3">
        <v>0</v>
      </c>
      <c r="V1053" s="3">
        <v>8</v>
      </c>
      <c r="W1053" s="3">
        <v>72</v>
      </c>
    </row>
    <row r="1054" spans="1:23" ht="11.25" customHeight="1" x14ac:dyDescent="0.25">
      <c r="A1054" s="3" t="s">
        <v>21</v>
      </c>
      <c r="B1054" s="3" t="s">
        <v>33</v>
      </c>
      <c r="C1054" s="3" t="s">
        <v>34</v>
      </c>
      <c r="D1054" s="3" t="s">
        <v>46</v>
      </c>
      <c r="E1054" s="3" t="s">
        <v>25</v>
      </c>
      <c r="F1054" s="3" t="s">
        <v>25</v>
      </c>
      <c r="G1054" s="3" t="s">
        <v>25</v>
      </c>
      <c r="H1054" s="3" t="s">
        <v>35</v>
      </c>
      <c r="I1054" s="6">
        <v>44593</v>
      </c>
      <c r="J1054" s="4">
        <v>0</v>
      </c>
      <c r="K1054" s="4">
        <v>0</v>
      </c>
      <c r="L1054" s="4">
        <v>606.06299999999999</v>
      </c>
      <c r="M1054" s="4">
        <v>606.06299999999999</v>
      </c>
      <c r="N1054" s="4">
        <v>606.06299999999999</v>
      </c>
      <c r="O1054" s="4">
        <v>606.06299999999999</v>
      </c>
      <c r="P1054" s="4">
        <v>0</v>
      </c>
      <c r="Q1054" s="3" t="s">
        <v>26</v>
      </c>
      <c r="R1054" s="3">
        <v>0</v>
      </c>
      <c r="S1054" s="3" t="s">
        <v>321</v>
      </c>
      <c r="T1054" s="3" t="s">
        <v>558</v>
      </c>
      <c r="U1054" s="3">
        <v>0</v>
      </c>
      <c r="V1054" s="3">
        <v>8</v>
      </c>
      <c r="W1054" s="3">
        <v>72</v>
      </c>
    </row>
    <row r="1055" spans="1:23" ht="11.25" customHeight="1" x14ac:dyDescent="0.25">
      <c r="A1055" s="3" t="s">
        <v>28</v>
      </c>
      <c r="B1055" s="3" t="s">
        <v>33</v>
      </c>
      <c r="C1055" s="3" t="s">
        <v>34</v>
      </c>
      <c r="D1055" s="3" t="s">
        <v>46</v>
      </c>
      <c r="E1055" s="3" t="s">
        <v>25</v>
      </c>
      <c r="F1055" s="3" t="s">
        <v>25</v>
      </c>
      <c r="G1055" s="3" t="s">
        <v>25</v>
      </c>
      <c r="H1055" s="3" t="s">
        <v>35</v>
      </c>
      <c r="I1055" s="6">
        <v>44593</v>
      </c>
      <c r="J1055" s="4">
        <v>0</v>
      </c>
      <c r="K1055" s="4">
        <v>0</v>
      </c>
      <c r="L1055" s="4">
        <v>22.216000000000001</v>
      </c>
      <c r="M1055" s="4">
        <v>22.216000000000001</v>
      </c>
      <c r="N1055" s="4">
        <v>22.216000000000001</v>
      </c>
      <c r="O1055" s="4">
        <v>22.216000000000001</v>
      </c>
      <c r="P1055" s="4">
        <v>0</v>
      </c>
      <c r="Q1055" s="3" t="s">
        <v>26</v>
      </c>
      <c r="R1055" s="3">
        <v>0</v>
      </c>
      <c r="S1055" s="3" t="s">
        <v>321</v>
      </c>
      <c r="T1055" s="3" t="s">
        <v>558</v>
      </c>
      <c r="U1055" s="3">
        <v>0</v>
      </c>
      <c r="V1055" s="3">
        <v>8</v>
      </c>
      <c r="W1055" s="3">
        <v>72</v>
      </c>
    </row>
    <row r="1056" spans="1:23" ht="11.25" customHeight="1" x14ac:dyDescent="0.25">
      <c r="A1056" s="3" t="s">
        <v>21</v>
      </c>
      <c r="B1056" s="3" t="s">
        <v>33</v>
      </c>
      <c r="C1056" s="3" t="s">
        <v>34</v>
      </c>
      <c r="D1056" s="3" t="s">
        <v>46</v>
      </c>
      <c r="E1056" s="3" t="s">
        <v>25</v>
      </c>
      <c r="F1056" s="3" t="s">
        <v>25</v>
      </c>
      <c r="G1056" s="3" t="s">
        <v>25</v>
      </c>
      <c r="H1056" s="3" t="s">
        <v>35</v>
      </c>
      <c r="I1056" s="6">
        <v>44621</v>
      </c>
      <c r="J1056" s="4">
        <v>0</v>
      </c>
      <c r="K1056" s="4">
        <v>0</v>
      </c>
      <c r="L1056" s="4">
        <v>678.78800000000001</v>
      </c>
      <c r="M1056" s="4">
        <v>678.78800000000001</v>
      </c>
      <c r="N1056" s="4">
        <v>678.78800000000001</v>
      </c>
      <c r="O1056" s="4">
        <v>678.78800000000001</v>
      </c>
      <c r="P1056" s="4">
        <v>0</v>
      </c>
      <c r="Q1056" s="3" t="s">
        <v>26</v>
      </c>
      <c r="R1056" s="3">
        <v>0</v>
      </c>
      <c r="S1056" s="3" t="s">
        <v>322</v>
      </c>
      <c r="T1056" s="3" t="s">
        <v>559</v>
      </c>
      <c r="U1056" s="3">
        <v>0</v>
      </c>
      <c r="V1056" s="3">
        <v>8</v>
      </c>
      <c r="W1056" s="3">
        <v>72</v>
      </c>
    </row>
    <row r="1057" spans="1:23" ht="11.25" customHeight="1" x14ac:dyDescent="0.25">
      <c r="A1057" s="3" t="s">
        <v>28</v>
      </c>
      <c r="B1057" s="3" t="s">
        <v>33</v>
      </c>
      <c r="C1057" s="3" t="s">
        <v>34</v>
      </c>
      <c r="D1057" s="3" t="s">
        <v>46</v>
      </c>
      <c r="E1057" s="3" t="s">
        <v>25</v>
      </c>
      <c r="F1057" s="3" t="s">
        <v>25</v>
      </c>
      <c r="G1057" s="3" t="s">
        <v>25</v>
      </c>
      <c r="H1057" s="3" t="s">
        <v>35</v>
      </c>
      <c r="I1057" s="6">
        <v>44621</v>
      </c>
      <c r="J1057" s="4">
        <v>0</v>
      </c>
      <c r="K1057" s="4">
        <v>0</v>
      </c>
      <c r="L1057" s="4">
        <v>25.712</v>
      </c>
      <c r="M1057" s="4">
        <v>25.712</v>
      </c>
      <c r="N1057" s="4">
        <v>25.712</v>
      </c>
      <c r="O1057" s="4">
        <v>25.712</v>
      </c>
      <c r="P1057" s="4">
        <v>0</v>
      </c>
      <c r="Q1057" s="3" t="s">
        <v>26</v>
      </c>
      <c r="R1057" s="3">
        <v>0</v>
      </c>
      <c r="S1057" s="3" t="s">
        <v>322</v>
      </c>
      <c r="T1057" s="3" t="s">
        <v>559</v>
      </c>
      <c r="U1057" s="3">
        <v>0</v>
      </c>
      <c r="V1057" s="3">
        <v>8</v>
      </c>
      <c r="W1057" s="3">
        <v>72</v>
      </c>
    </row>
    <row r="1058" spans="1:23" ht="11.25" customHeight="1" x14ac:dyDescent="0.25">
      <c r="A1058" s="3" t="s">
        <v>56</v>
      </c>
      <c r="B1058" s="3" t="s">
        <v>33</v>
      </c>
      <c r="C1058" s="3" t="s">
        <v>34</v>
      </c>
      <c r="D1058" s="3" t="s">
        <v>46</v>
      </c>
      <c r="E1058" s="3" t="s">
        <v>25</v>
      </c>
      <c r="F1058" s="3" t="s">
        <v>25</v>
      </c>
      <c r="G1058" s="3" t="s">
        <v>25</v>
      </c>
      <c r="H1058" s="3" t="s">
        <v>35</v>
      </c>
      <c r="I1058" s="6">
        <v>44652</v>
      </c>
      <c r="J1058" s="4">
        <v>0</v>
      </c>
      <c r="K1058" s="4">
        <v>0</v>
      </c>
      <c r="L1058" s="4">
        <v>678.78800000000001</v>
      </c>
      <c r="M1058" s="4">
        <v>678.78800000000001</v>
      </c>
      <c r="N1058" s="4">
        <v>678.78800000000001</v>
      </c>
      <c r="O1058" s="4">
        <v>678.78800000000001</v>
      </c>
      <c r="P1058" s="4">
        <v>0</v>
      </c>
      <c r="Q1058" s="3" t="s">
        <v>26</v>
      </c>
      <c r="R1058" s="3">
        <v>0</v>
      </c>
      <c r="S1058" s="3" t="s">
        <v>323</v>
      </c>
      <c r="T1058" s="3" t="s">
        <v>560</v>
      </c>
      <c r="U1058" s="3">
        <v>0</v>
      </c>
      <c r="V1058" s="3">
        <v>8</v>
      </c>
      <c r="W1058" s="3">
        <v>72</v>
      </c>
    </row>
    <row r="1059" spans="1:23" ht="11.25" customHeight="1" x14ac:dyDescent="0.25">
      <c r="A1059" s="3" t="s">
        <v>56</v>
      </c>
      <c r="B1059" s="3" t="s">
        <v>33</v>
      </c>
      <c r="C1059" s="3" t="s">
        <v>34</v>
      </c>
      <c r="D1059" s="3" t="s">
        <v>46</v>
      </c>
      <c r="E1059" s="3" t="s">
        <v>25</v>
      </c>
      <c r="F1059" s="3" t="s">
        <v>25</v>
      </c>
      <c r="G1059" s="3" t="s">
        <v>25</v>
      </c>
      <c r="H1059" s="3" t="s">
        <v>35</v>
      </c>
      <c r="I1059" s="6">
        <v>44652</v>
      </c>
      <c r="J1059" s="4">
        <v>0</v>
      </c>
      <c r="K1059" s="4">
        <v>0</v>
      </c>
      <c r="L1059" s="4">
        <v>25.712</v>
      </c>
      <c r="M1059" s="4">
        <v>25.712</v>
      </c>
      <c r="N1059" s="4">
        <v>25.712</v>
      </c>
      <c r="O1059" s="4">
        <v>25.712</v>
      </c>
      <c r="P1059" s="4">
        <v>0</v>
      </c>
      <c r="Q1059" s="3" t="s">
        <v>26</v>
      </c>
      <c r="R1059" s="3">
        <v>0</v>
      </c>
      <c r="S1059" s="3" t="s">
        <v>323</v>
      </c>
      <c r="T1059" s="3" t="s">
        <v>560</v>
      </c>
      <c r="U1059" s="3">
        <v>0</v>
      </c>
      <c r="V1059" s="3">
        <v>8</v>
      </c>
      <c r="W1059" s="3">
        <v>72</v>
      </c>
    </row>
    <row r="1060" spans="1:23" ht="11.25" customHeight="1" x14ac:dyDescent="0.25">
      <c r="A1060" s="3" t="s">
        <v>21</v>
      </c>
      <c r="B1060" s="3" t="s">
        <v>33</v>
      </c>
      <c r="C1060" s="3" t="s">
        <v>34</v>
      </c>
      <c r="D1060" s="3" t="s">
        <v>24</v>
      </c>
      <c r="E1060" s="3" t="s">
        <v>24</v>
      </c>
      <c r="F1060" s="3" t="s">
        <v>25</v>
      </c>
      <c r="G1060" s="3" t="s">
        <v>25</v>
      </c>
      <c r="H1060" s="3" t="s">
        <v>36</v>
      </c>
      <c r="I1060" s="6">
        <v>44317</v>
      </c>
      <c r="J1060" s="4">
        <v>0</v>
      </c>
      <c r="K1060" s="4">
        <v>0</v>
      </c>
      <c r="L1060" s="4">
        <v>1.877</v>
      </c>
      <c r="M1060" s="4">
        <v>1.877</v>
      </c>
      <c r="N1060" s="4">
        <v>1.877</v>
      </c>
      <c r="O1060" s="4">
        <v>1.877</v>
      </c>
      <c r="P1060" s="4">
        <v>0</v>
      </c>
      <c r="Q1060" s="3" t="s">
        <v>26</v>
      </c>
      <c r="R1060" s="3">
        <v>0</v>
      </c>
      <c r="S1060" s="3" t="s">
        <v>288</v>
      </c>
      <c r="T1060" s="3" t="s">
        <v>537</v>
      </c>
      <c r="U1060" s="3">
        <v>0</v>
      </c>
      <c r="V1060" s="3">
        <v>29</v>
      </c>
      <c r="W1060" s="3">
        <v>73</v>
      </c>
    </row>
    <row r="1061" spans="1:23" ht="11.25" customHeight="1" x14ac:dyDescent="0.25">
      <c r="A1061" s="3" t="s">
        <v>21</v>
      </c>
      <c r="B1061" s="3" t="s">
        <v>33</v>
      </c>
      <c r="C1061" s="3" t="s">
        <v>34</v>
      </c>
      <c r="D1061" s="3" t="s">
        <v>24</v>
      </c>
      <c r="E1061" s="3" t="s">
        <v>24</v>
      </c>
      <c r="F1061" s="3" t="s">
        <v>25</v>
      </c>
      <c r="G1061" s="3" t="s">
        <v>25</v>
      </c>
      <c r="H1061" s="3" t="s">
        <v>36</v>
      </c>
      <c r="I1061" s="6">
        <v>44348</v>
      </c>
      <c r="J1061" s="4">
        <v>0</v>
      </c>
      <c r="K1061" s="4">
        <v>0</v>
      </c>
      <c r="L1061" s="4">
        <v>1.6839999999999999</v>
      </c>
      <c r="M1061" s="4">
        <v>1.6839999999999999</v>
      </c>
      <c r="N1061" s="4">
        <v>1.6839999999999999</v>
      </c>
      <c r="O1061" s="4">
        <v>1.6839999999999999</v>
      </c>
      <c r="P1061" s="4">
        <v>0</v>
      </c>
      <c r="Q1061" s="3" t="s">
        <v>26</v>
      </c>
      <c r="R1061" s="3">
        <v>0</v>
      </c>
      <c r="S1061" s="3" t="s">
        <v>289</v>
      </c>
      <c r="T1061" s="3" t="s">
        <v>538</v>
      </c>
      <c r="U1061" s="3">
        <v>0</v>
      </c>
      <c r="V1061" s="3">
        <v>29</v>
      </c>
      <c r="W1061" s="3">
        <v>73</v>
      </c>
    </row>
    <row r="1062" spans="1:23" ht="11.25" customHeight="1" x14ac:dyDescent="0.25">
      <c r="A1062" s="3" t="s">
        <v>21</v>
      </c>
      <c r="B1062" s="3" t="s">
        <v>33</v>
      </c>
      <c r="C1062" s="3" t="s">
        <v>34</v>
      </c>
      <c r="D1062" s="3" t="s">
        <v>24</v>
      </c>
      <c r="E1062" s="3" t="s">
        <v>24</v>
      </c>
      <c r="F1062" s="3" t="s">
        <v>25</v>
      </c>
      <c r="G1062" s="3" t="s">
        <v>25</v>
      </c>
      <c r="H1062" s="3" t="s">
        <v>36</v>
      </c>
      <c r="I1062" s="6">
        <v>44378</v>
      </c>
      <c r="J1062" s="4">
        <v>0</v>
      </c>
      <c r="K1062" s="4">
        <v>0</v>
      </c>
      <c r="L1062" s="4">
        <v>1.8420000000000001</v>
      </c>
      <c r="M1062" s="4">
        <v>1.8420000000000001</v>
      </c>
      <c r="N1062" s="4">
        <v>1.8420000000000001</v>
      </c>
      <c r="O1062" s="4">
        <v>1.8420000000000001</v>
      </c>
      <c r="P1062" s="4">
        <v>0</v>
      </c>
      <c r="Q1062" s="3" t="s">
        <v>26</v>
      </c>
      <c r="R1062" s="3">
        <v>0</v>
      </c>
      <c r="S1062" s="3" t="s">
        <v>290</v>
      </c>
      <c r="T1062" s="3" t="s">
        <v>539</v>
      </c>
      <c r="U1062" s="3">
        <v>0</v>
      </c>
      <c r="V1062" s="3">
        <v>29</v>
      </c>
      <c r="W1062" s="3">
        <v>73</v>
      </c>
    </row>
    <row r="1063" spans="1:23" ht="11.25" customHeight="1" x14ac:dyDescent="0.25">
      <c r="A1063" s="3" t="s">
        <v>21</v>
      </c>
      <c r="B1063" s="3" t="s">
        <v>33</v>
      </c>
      <c r="C1063" s="3" t="s">
        <v>34</v>
      </c>
      <c r="D1063" s="3" t="s">
        <v>24</v>
      </c>
      <c r="E1063" s="3" t="s">
        <v>24</v>
      </c>
      <c r="F1063" s="3" t="s">
        <v>25</v>
      </c>
      <c r="G1063" s="3" t="s">
        <v>25</v>
      </c>
      <c r="H1063" s="3" t="s">
        <v>36</v>
      </c>
      <c r="I1063" s="6">
        <v>44409</v>
      </c>
      <c r="J1063" s="4">
        <v>0</v>
      </c>
      <c r="K1063" s="4">
        <v>0</v>
      </c>
      <c r="L1063" s="4">
        <v>1.7969999999999999</v>
      </c>
      <c r="M1063" s="4">
        <v>1.7969999999999999</v>
      </c>
      <c r="N1063" s="4">
        <v>1.7969999999999999</v>
      </c>
      <c r="O1063" s="4">
        <v>1.7969999999999999</v>
      </c>
      <c r="P1063" s="4">
        <v>0</v>
      </c>
      <c r="Q1063" s="3" t="s">
        <v>26</v>
      </c>
      <c r="R1063" s="3">
        <v>0</v>
      </c>
      <c r="S1063" s="3" t="s">
        <v>291</v>
      </c>
      <c r="T1063" s="3" t="s">
        <v>540</v>
      </c>
      <c r="U1063" s="3">
        <v>0</v>
      </c>
      <c r="V1063" s="3">
        <v>29</v>
      </c>
      <c r="W1063" s="3">
        <v>73</v>
      </c>
    </row>
    <row r="1064" spans="1:23" ht="11.25" customHeight="1" x14ac:dyDescent="0.25">
      <c r="A1064" s="3" t="s">
        <v>21</v>
      </c>
      <c r="B1064" s="3" t="s">
        <v>33</v>
      </c>
      <c r="C1064" s="3" t="s">
        <v>34</v>
      </c>
      <c r="D1064" s="3" t="s">
        <v>24</v>
      </c>
      <c r="E1064" s="3" t="s">
        <v>24</v>
      </c>
      <c r="F1064" s="3" t="s">
        <v>25</v>
      </c>
      <c r="G1064" s="3" t="s">
        <v>25</v>
      </c>
      <c r="H1064" s="3" t="s">
        <v>36</v>
      </c>
      <c r="I1064" s="6">
        <v>44440</v>
      </c>
      <c r="J1064" s="4">
        <v>0</v>
      </c>
      <c r="K1064" s="4">
        <v>0</v>
      </c>
      <c r="L1064" s="4">
        <v>1.6839999999999999</v>
      </c>
      <c r="M1064" s="4">
        <v>1.6839999999999999</v>
      </c>
      <c r="N1064" s="4">
        <v>1.6839999999999999</v>
      </c>
      <c r="O1064" s="4">
        <v>1.6839999999999999</v>
      </c>
      <c r="P1064" s="4">
        <v>0</v>
      </c>
      <c r="Q1064" s="3" t="s">
        <v>26</v>
      </c>
      <c r="R1064" s="3">
        <v>0</v>
      </c>
      <c r="S1064" s="3" t="s">
        <v>292</v>
      </c>
      <c r="T1064" s="3" t="s">
        <v>541</v>
      </c>
      <c r="U1064" s="3">
        <v>0</v>
      </c>
      <c r="V1064" s="3">
        <v>29</v>
      </c>
      <c r="W1064" s="3">
        <v>73</v>
      </c>
    </row>
    <row r="1065" spans="1:23" ht="11.25" customHeight="1" x14ac:dyDescent="0.25">
      <c r="A1065" s="3" t="s">
        <v>21</v>
      </c>
      <c r="B1065" s="3" t="s">
        <v>33</v>
      </c>
      <c r="C1065" s="3" t="s">
        <v>34</v>
      </c>
      <c r="D1065" s="3" t="s">
        <v>24</v>
      </c>
      <c r="E1065" s="3" t="s">
        <v>24</v>
      </c>
      <c r="F1065" s="3" t="s">
        <v>25</v>
      </c>
      <c r="G1065" s="3" t="s">
        <v>25</v>
      </c>
      <c r="H1065" s="3" t="s">
        <v>36</v>
      </c>
      <c r="I1065" s="6">
        <v>44470</v>
      </c>
      <c r="J1065" s="4">
        <v>0</v>
      </c>
      <c r="K1065" s="4">
        <v>0</v>
      </c>
      <c r="L1065" s="4">
        <v>1.7889999999999999</v>
      </c>
      <c r="M1065" s="4">
        <v>1.7889999999999999</v>
      </c>
      <c r="N1065" s="4">
        <v>1.7889999999999999</v>
      </c>
      <c r="O1065" s="4">
        <v>1.7889999999999999</v>
      </c>
      <c r="P1065" s="4">
        <v>0</v>
      </c>
      <c r="Q1065" s="3" t="s">
        <v>26</v>
      </c>
      <c r="R1065" s="3">
        <v>0</v>
      </c>
      <c r="S1065" s="3" t="s">
        <v>293</v>
      </c>
      <c r="T1065" s="3" t="s">
        <v>542</v>
      </c>
      <c r="U1065" s="3">
        <v>0</v>
      </c>
      <c r="V1065" s="3">
        <v>29</v>
      </c>
      <c r="W1065" s="3">
        <v>73</v>
      </c>
    </row>
    <row r="1066" spans="1:23" ht="11.25" customHeight="1" x14ac:dyDescent="0.25">
      <c r="A1066" s="3" t="s">
        <v>21</v>
      </c>
      <c r="B1066" s="3" t="s">
        <v>33</v>
      </c>
      <c r="C1066" s="3" t="s">
        <v>34</v>
      </c>
      <c r="D1066" s="3" t="s">
        <v>24</v>
      </c>
      <c r="E1066" s="3" t="s">
        <v>24</v>
      </c>
      <c r="F1066" s="3" t="s">
        <v>25</v>
      </c>
      <c r="G1066" s="3" t="s">
        <v>25</v>
      </c>
      <c r="H1066" s="3" t="s">
        <v>36</v>
      </c>
      <c r="I1066" s="6">
        <v>44501</v>
      </c>
      <c r="J1066" s="4">
        <v>0</v>
      </c>
      <c r="K1066" s="4">
        <v>0</v>
      </c>
      <c r="L1066" s="4">
        <v>1.806</v>
      </c>
      <c r="M1066" s="4">
        <v>1.806</v>
      </c>
      <c r="N1066" s="4">
        <v>1.806</v>
      </c>
      <c r="O1066" s="4">
        <v>1.806</v>
      </c>
      <c r="P1066" s="4">
        <v>0</v>
      </c>
      <c r="Q1066" s="3" t="s">
        <v>26</v>
      </c>
      <c r="R1066" s="3">
        <v>0</v>
      </c>
      <c r="S1066" s="3" t="s">
        <v>294</v>
      </c>
      <c r="T1066" s="3" t="s">
        <v>543</v>
      </c>
      <c r="U1066" s="3">
        <v>0</v>
      </c>
      <c r="V1066" s="3">
        <v>29</v>
      </c>
      <c r="W1066" s="3">
        <v>73</v>
      </c>
    </row>
    <row r="1067" spans="1:23" ht="11.25" customHeight="1" x14ac:dyDescent="0.25">
      <c r="A1067" s="3" t="s">
        <v>21</v>
      </c>
      <c r="B1067" s="3" t="s">
        <v>33</v>
      </c>
      <c r="C1067" s="3" t="s">
        <v>34</v>
      </c>
      <c r="D1067" s="3" t="s">
        <v>24</v>
      </c>
      <c r="E1067" s="3" t="s">
        <v>24</v>
      </c>
      <c r="F1067" s="3" t="s">
        <v>25</v>
      </c>
      <c r="G1067" s="3" t="s">
        <v>25</v>
      </c>
      <c r="H1067" s="3" t="s">
        <v>36</v>
      </c>
      <c r="I1067" s="6">
        <v>44531</v>
      </c>
      <c r="J1067" s="4">
        <v>0</v>
      </c>
      <c r="K1067" s="4">
        <v>0</v>
      </c>
      <c r="L1067" s="4">
        <v>1.7749999999999999</v>
      </c>
      <c r="M1067" s="4">
        <v>1.7749999999999999</v>
      </c>
      <c r="N1067" s="4">
        <v>1.7749999999999999</v>
      </c>
      <c r="O1067" s="4">
        <v>1.7749999999999999</v>
      </c>
      <c r="P1067" s="4">
        <v>0</v>
      </c>
      <c r="Q1067" s="3" t="s">
        <v>26</v>
      </c>
      <c r="R1067" s="3">
        <v>0</v>
      </c>
      <c r="S1067" s="3" t="s">
        <v>295</v>
      </c>
      <c r="T1067" s="3" t="s">
        <v>544</v>
      </c>
      <c r="U1067" s="3">
        <v>0</v>
      </c>
      <c r="V1067" s="3">
        <v>29</v>
      </c>
      <c r="W1067" s="3">
        <v>73</v>
      </c>
    </row>
    <row r="1068" spans="1:23" ht="11.25" customHeight="1" x14ac:dyDescent="0.25">
      <c r="A1068" s="3" t="s">
        <v>21</v>
      </c>
      <c r="B1068" s="3" t="s">
        <v>33</v>
      </c>
      <c r="C1068" s="3" t="s">
        <v>34</v>
      </c>
      <c r="D1068" s="3" t="s">
        <v>24</v>
      </c>
      <c r="E1068" s="3" t="s">
        <v>24</v>
      </c>
      <c r="F1068" s="3" t="s">
        <v>25</v>
      </c>
      <c r="G1068" s="3" t="s">
        <v>25</v>
      </c>
      <c r="H1068" s="3" t="s">
        <v>36</v>
      </c>
      <c r="I1068" s="6">
        <v>44562</v>
      </c>
      <c r="J1068" s="4">
        <v>0</v>
      </c>
      <c r="K1068" s="4">
        <v>0</v>
      </c>
      <c r="L1068" s="4">
        <v>1.633</v>
      </c>
      <c r="M1068" s="4">
        <v>1.633</v>
      </c>
      <c r="N1068" s="4">
        <v>1.633</v>
      </c>
      <c r="O1068" s="4">
        <v>1.633</v>
      </c>
      <c r="P1068" s="4">
        <v>0</v>
      </c>
      <c r="Q1068" s="3" t="s">
        <v>26</v>
      </c>
      <c r="R1068" s="3">
        <v>0</v>
      </c>
      <c r="S1068" s="3" t="s">
        <v>296</v>
      </c>
      <c r="T1068" s="3" t="s">
        <v>545</v>
      </c>
      <c r="U1068" s="3">
        <v>0</v>
      </c>
      <c r="V1068" s="3">
        <v>29</v>
      </c>
      <c r="W1068" s="3">
        <v>73</v>
      </c>
    </row>
    <row r="1069" spans="1:23" ht="11.25" customHeight="1" x14ac:dyDescent="0.25">
      <c r="A1069" s="3" t="s">
        <v>28</v>
      </c>
      <c r="B1069" s="3" t="s">
        <v>33</v>
      </c>
      <c r="C1069" s="3" t="s">
        <v>34</v>
      </c>
      <c r="D1069" s="3" t="s">
        <v>24</v>
      </c>
      <c r="E1069" s="3" t="s">
        <v>24</v>
      </c>
      <c r="F1069" s="3" t="s">
        <v>25</v>
      </c>
      <c r="G1069" s="3" t="s">
        <v>25</v>
      </c>
      <c r="H1069" s="3" t="s">
        <v>36</v>
      </c>
      <c r="I1069" s="6">
        <v>44562</v>
      </c>
      <c r="J1069" s="4">
        <v>0</v>
      </c>
      <c r="K1069" s="4">
        <v>0</v>
      </c>
      <c r="L1069" s="4">
        <v>0.49399999999999999</v>
      </c>
      <c r="M1069" s="4">
        <v>0.49399999999999999</v>
      </c>
      <c r="N1069" s="4">
        <v>0.49399999999999999</v>
      </c>
      <c r="O1069" s="4">
        <v>0.49399999999999999</v>
      </c>
      <c r="P1069" s="4">
        <v>0</v>
      </c>
      <c r="Q1069" s="3" t="s">
        <v>26</v>
      </c>
      <c r="R1069" s="3">
        <v>0</v>
      </c>
      <c r="S1069" s="3" t="s">
        <v>296</v>
      </c>
      <c r="T1069" s="3" t="s">
        <v>545</v>
      </c>
      <c r="U1069" s="3">
        <v>0</v>
      </c>
      <c r="V1069" s="3">
        <v>29</v>
      </c>
      <c r="W1069" s="3">
        <v>73</v>
      </c>
    </row>
    <row r="1070" spans="1:23" ht="11.25" customHeight="1" x14ac:dyDescent="0.25">
      <c r="A1070" s="3" t="s">
        <v>21</v>
      </c>
      <c r="B1070" s="3" t="s">
        <v>33</v>
      </c>
      <c r="C1070" s="3" t="s">
        <v>34</v>
      </c>
      <c r="D1070" s="3" t="s">
        <v>24</v>
      </c>
      <c r="E1070" s="3" t="s">
        <v>24</v>
      </c>
      <c r="F1070" s="3" t="s">
        <v>25</v>
      </c>
      <c r="G1070" s="3" t="s">
        <v>25</v>
      </c>
      <c r="H1070" s="3" t="s">
        <v>36</v>
      </c>
      <c r="I1070" s="6">
        <v>44593</v>
      </c>
      <c r="J1070" s="4">
        <v>0</v>
      </c>
      <c r="K1070" s="4">
        <v>0</v>
      </c>
      <c r="L1070" s="4">
        <v>2.82</v>
      </c>
      <c r="M1070" s="4">
        <v>2.82</v>
      </c>
      <c r="N1070" s="4">
        <v>2.82</v>
      </c>
      <c r="O1070" s="4">
        <v>2.82</v>
      </c>
      <c r="P1070" s="4">
        <v>0</v>
      </c>
      <c r="Q1070" s="3" t="s">
        <v>26</v>
      </c>
      <c r="R1070" s="3">
        <v>0</v>
      </c>
      <c r="S1070" s="3" t="s">
        <v>297</v>
      </c>
      <c r="T1070" s="3" t="s">
        <v>546</v>
      </c>
      <c r="U1070" s="3">
        <v>0</v>
      </c>
      <c r="V1070" s="3">
        <v>29</v>
      </c>
      <c r="W1070" s="3">
        <v>73</v>
      </c>
    </row>
    <row r="1071" spans="1:23" ht="11.25" customHeight="1" x14ac:dyDescent="0.25">
      <c r="A1071" s="3" t="s">
        <v>28</v>
      </c>
      <c r="B1071" s="3" t="s">
        <v>33</v>
      </c>
      <c r="C1071" s="3" t="s">
        <v>34</v>
      </c>
      <c r="D1071" s="3" t="s">
        <v>24</v>
      </c>
      <c r="E1071" s="3" t="s">
        <v>24</v>
      </c>
      <c r="F1071" s="3" t="s">
        <v>25</v>
      </c>
      <c r="G1071" s="3" t="s">
        <v>25</v>
      </c>
      <c r="H1071" s="3" t="s">
        <v>36</v>
      </c>
      <c r="I1071" s="6">
        <v>44593</v>
      </c>
      <c r="J1071" s="4">
        <v>0</v>
      </c>
      <c r="K1071" s="4">
        <v>0</v>
      </c>
      <c r="L1071" s="4">
        <v>0.14199999999999999</v>
      </c>
      <c r="M1071" s="4">
        <v>0.14199999999999999</v>
      </c>
      <c r="N1071" s="4">
        <v>0.14199999999999999</v>
      </c>
      <c r="O1071" s="4">
        <v>0.14199999999999999</v>
      </c>
      <c r="P1071" s="4">
        <v>0</v>
      </c>
      <c r="Q1071" s="3" t="s">
        <v>26</v>
      </c>
      <c r="R1071" s="3">
        <v>0</v>
      </c>
      <c r="S1071" s="3" t="s">
        <v>297</v>
      </c>
      <c r="T1071" s="3" t="s">
        <v>546</v>
      </c>
      <c r="U1071" s="3">
        <v>0</v>
      </c>
      <c r="V1071" s="3">
        <v>29</v>
      </c>
      <c r="W1071" s="3">
        <v>73</v>
      </c>
    </row>
    <row r="1072" spans="1:23" ht="11.25" customHeight="1" x14ac:dyDescent="0.25">
      <c r="A1072" s="3" t="s">
        <v>21</v>
      </c>
      <c r="B1072" s="3" t="s">
        <v>33</v>
      </c>
      <c r="C1072" s="3" t="s">
        <v>34</v>
      </c>
      <c r="D1072" s="3" t="s">
        <v>24</v>
      </c>
      <c r="E1072" s="3" t="s">
        <v>24</v>
      </c>
      <c r="F1072" s="3" t="s">
        <v>25</v>
      </c>
      <c r="G1072" s="3" t="s">
        <v>25</v>
      </c>
      <c r="H1072" s="3" t="s">
        <v>36</v>
      </c>
      <c r="I1072" s="6">
        <v>44621</v>
      </c>
      <c r="J1072" s="4">
        <v>0</v>
      </c>
      <c r="K1072" s="4">
        <v>0</v>
      </c>
      <c r="L1072" s="4">
        <v>4.2889999999999997</v>
      </c>
      <c r="M1072" s="4">
        <v>4.2889999999999997</v>
      </c>
      <c r="N1072" s="4">
        <v>4.2889999999999997</v>
      </c>
      <c r="O1072" s="4">
        <v>4.2889999999999997</v>
      </c>
      <c r="P1072" s="4">
        <v>0</v>
      </c>
      <c r="Q1072" s="3" t="s">
        <v>26</v>
      </c>
      <c r="R1072" s="3">
        <v>0</v>
      </c>
      <c r="S1072" s="3" t="s">
        <v>298</v>
      </c>
      <c r="T1072" s="3" t="s">
        <v>547</v>
      </c>
      <c r="U1072" s="3">
        <v>0</v>
      </c>
      <c r="V1072" s="3">
        <v>29</v>
      </c>
      <c r="W1072" s="3">
        <v>73</v>
      </c>
    </row>
    <row r="1073" spans="1:23" ht="11.25" customHeight="1" x14ac:dyDescent="0.25">
      <c r="A1073" s="3" t="s">
        <v>28</v>
      </c>
      <c r="B1073" s="3" t="s">
        <v>33</v>
      </c>
      <c r="C1073" s="3" t="s">
        <v>34</v>
      </c>
      <c r="D1073" s="3" t="s">
        <v>24</v>
      </c>
      <c r="E1073" s="3" t="s">
        <v>24</v>
      </c>
      <c r="F1073" s="3" t="s">
        <v>25</v>
      </c>
      <c r="G1073" s="3" t="s">
        <v>25</v>
      </c>
      <c r="H1073" s="3" t="s">
        <v>36</v>
      </c>
      <c r="I1073" s="6">
        <v>44621</v>
      </c>
      <c r="J1073" s="4">
        <v>0</v>
      </c>
      <c r="K1073" s="4">
        <v>0</v>
      </c>
      <c r="L1073" s="4">
        <v>0.155</v>
      </c>
      <c r="M1073" s="4">
        <v>0.155</v>
      </c>
      <c r="N1073" s="4">
        <v>0.155</v>
      </c>
      <c r="O1073" s="4">
        <v>0.155</v>
      </c>
      <c r="P1073" s="4">
        <v>0</v>
      </c>
      <c r="Q1073" s="3" t="s">
        <v>26</v>
      </c>
      <c r="R1073" s="3">
        <v>0</v>
      </c>
      <c r="S1073" s="3" t="s">
        <v>298</v>
      </c>
      <c r="T1073" s="3" t="s">
        <v>547</v>
      </c>
      <c r="U1073" s="3">
        <v>0</v>
      </c>
      <c r="V1073" s="3">
        <v>29</v>
      </c>
      <c r="W1073" s="3">
        <v>73</v>
      </c>
    </row>
    <row r="1074" spans="1:23" ht="11.25" customHeight="1" x14ac:dyDescent="0.25">
      <c r="A1074" s="3" t="s">
        <v>56</v>
      </c>
      <c r="B1074" s="3" t="s">
        <v>33</v>
      </c>
      <c r="C1074" s="3" t="s">
        <v>34</v>
      </c>
      <c r="D1074" s="3" t="s">
        <v>24</v>
      </c>
      <c r="E1074" s="3" t="s">
        <v>24</v>
      </c>
      <c r="F1074" s="3" t="s">
        <v>25</v>
      </c>
      <c r="G1074" s="3" t="s">
        <v>25</v>
      </c>
      <c r="H1074" s="3" t="s">
        <v>36</v>
      </c>
      <c r="I1074" s="6">
        <v>44652</v>
      </c>
      <c r="J1074" s="4">
        <v>0</v>
      </c>
      <c r="K1074" s="4">
        <v>0</v>
      </c>
      <c r="L1074" s="4">
        <v>4.2889999999999997</v>
      </c>
      <c r="M1074" s="4">
        <v>4.2889999999999997</v>
      </c>
      <c r="N1074" s="4">
        <v>4.2889999999999997</v>
      </c>
      <c r="O1074" s="4">
        <v>4.2889999999999997</v>
      </c>
      <c r="P1074" s="4">
        <v>0</v>
      </c>
      <c r="Q1074" s="3" t="s">
        <v>26</v>
      </c>
      <c r="R1074" s="3">
        <v>0</v>
      </c>
      <c r="S1074" s="3" t="s">
        <v>299</v>
      </c>
      <c r="T1074" s="3" t="s">
        <v>548</v>
      </c>
      <c r="U1074" s="3">
        <v>0</v>
      </c>
      <c r="V1074" s="3">
        <v>29</v>
      </c>
      <c r="W1074" s="3">
        <v>73</v>
      </c>
    </row>
    <row r="1075" spans="1:23" ht="11.25" customHeight="1" x14ac:dyDescent="0.25">
      <c r="A1075" s="3" t="s">
        <v>56</v>
      </c>
      <c r="B1075" s="3" t="s">
        <v>33</v>
      </c>
      <c r="C1075" s="3" t="s">
        <v>34</v>
      </c>
      <c r="D1075" s="3" t="s">
        <v>24</v>
      </c>
      <c r="E1075" s="3" t="s">
        <v>24</v>
      </c>
      <c r="F1075" s="3" t="s">
        <v>25</v>
      </c>
      <c r="G1075" s="3" t="s">
        <v>25</v>
      </c>
      <c r="H1075" s="3" t="s">
        <v>36</v>
      </c>
      <c r="I1075" s="6">
        <v>44652</v>
      </c>
      <c r="J1075" s="4">
        <v>0</v>
      </c>
      <c r="K1075" s="4">
        <v>0</v>
      </c>
      <c r="L1075" s="4">
        <v>0.155</v>
      </c>
      <c r="M1075" s="4">
        <v>0.155</v>
      </c>
      <c r="N1075" s="4">
        <v>0.155</v>
      </c>
      <c r="O1075" s="4">
        <v>0.155</v>
      </c>
      <c r="P1075" s="4">
        <v>0</v>
      </c>
      <c r="Q1075" s="3" t="s">
        <v>26</v>
      </c>
      <c r="R1075" s="3">
        <v>0</v>
      </c>
      <c r="S1075" s="3" t="s">
        <v>299</v>
      </c>
      <c r="T1075" s="3" t="s">
        <v>548</v>
      </c>
      <c r="U1075" s="3">
        <v>0</v>
      </c>
      <c r="V1075" s="3">
        <v>29</v>
      </c>
      <c r="W1075" s="3">
        <v>73</v>
      </c>
    </row>
    <row r="1076" spans="1:23" ht="11.25" customHeight="1" x14ac:dyDescent="0.25">
      <c r="A1076" s="3" t="s">
        <v>21</v>
      </c>
      <c r="B1076" s="3" t="s">
        <v>33</v>
      </c>
      <c r="C1076" s="3" t="s">
        <v>34</v>
      </c>
      <c r="D1076" s="3" t="s">
        <v>24</v>
      </c>
      <c r="E1076" s="3" t="s">
        <v>24</v>
      </c>
      <c r="F1076" s="3" t="s">
        <v>25</v>
      </c>
      <c r="G1076" s="3" t="s">
        <v>25</v>
      </c>
      <c r="H1076" s="3" t="s">
        <v>25</v>
      </c>
      <c r="I1076" s="6">
        <v>44317</v>
      </c>
      <c r="J1076" s="4">
        <v>30</v>
      </c>
      <c r="K1076" s="4">
        <v>30</v>
      </c>
      <c r="L1076" s="4">
        <v>0</v>
      </c>
      <c r="M1076" s="4">
        <v>0</v>
      </c>
      <c r="N1076" s="4">
        <v>0</v>
      </c>
      <c r="O1076" s="4">
        <v>0</v>
      </c>
      <c r="P1076" s="4">
        <v>1</v>
      </c>
      <c r="Q1076" s="3" t="s">
        <v>26</v>
      </c>
      <c r="R1076" s="3">
        <v>0</v>
      </c>
      <c r="S1076" s="3" t="s">
        <v>300</v>
      </c>
      <c r="U1076" s="3">
        <v>7</v>
      </c>
      <c r="V1076" s="3">
        <v>0</v>
      </c>
      <c r="W1076" s="3">
        <v>0</v>
      </c>
    </row>
    <row r="1077" spans="1:23" ht="11.25" customHeight="1" x14ac:dyDescent="0.25">
      <c r="A1077" s="3" t="s">
        <v>21</v>
      </c>
      <c r="B1077" s="3" t="s">
        <v>33</v>
      </c>
      <c r="C1077" s="3" t="s">
        <v>34</v>
      </c>
      <c r="D1077" s="3" t="s">
        <v>24</v>
      </c>
      <c r="E1077" s="3" t="s">
        <v>24</v>
      </c>
      <c r="F1077" s="3" t="s">
        <v>25</v>
      </c>
      <c r="G1077" s="3" t="s">
        <v>25</v>
      </c>
      <c r="H1077" s="3" t="s">
        <v>25</v>
      </c>
      <c r="I1077" s="6">
        <v>44348</v>
      </c>
      <c r="J1077" s="4">
        <v>30</v>
      </c>
      <c r="K1077" s="4">
        <v>30</v>
      </c>
      <c r="L1077" s="4">
        <v>0</v>
      </c>
      <c r="M1077" s="4">
        <v>0</v>
      </c>
      <c r="N1077" s="4">
        <v>0</v>
      </c>
      <c r="O1077" s="4">
        <v>0</v>
      </c>
      <c r="P1077" s="4">
        <v>1</v>
      </c>
      <c r="Q1077" s="3" t="s">
        <v>26</v>
      </c>
      <c r="R1077" s="3">
        <v>0</v>
      </c>
      <c r="S1077" s="3" t="s">
        <v>301</v>
      </c>
      <c r="U1077" s="3">
        <v>7</v>
      </c>
      <c r="V1077" s="3">
        <v>0</v>
      </c>
      <c r="W1077" s="3">
        <v>0</v>
      </c>
    </row>
    <row r="1078" spans="1:23" ht="11.25" customHeight="1" x14ac:dyDescent="0.25">
      <c r="A1078" s="3" t="s">
        <v>21</v>
      </c>
      <c r="B1078" s="3" t="s">
        <v>33</v>
      </c>
      <c r="C1078" s="3" t="s">
        <v>34</v>
      </c>
      <c r="D1078" s="3" t="s">
        <v>24</v>
      </c>
      <c r="E1078" s="3" t="s">
        <v>24</v>
      </c>
      <c r="F1078" s="3" t="s">
        <v>25</v>
      </c>
      <c r="G1078" s="3" t="s">
        <v>25</v>
      </c>
      <c r="H1078" s="3" t="s">
        <v>25</v>
      </c>
      <c r="I1078" s="6">
        <v>44378</v>
      </c>
      <c r="J1078" s="4">
        <v>30</v>
      </c>
      <c r="K1078" s="4">
        <v>30</v>
      </c>
      <c r="L1078" s="4">
        <v>0</v>
      </c>
      <c r="M1078" s="4">
        <v>0</v>
      </c>
      <c r="N1078" s="4">
        <v>0</v>
      </c>
      <c r="O1078" s="4">
        <v>0</v>
      </c>
      <c r="P1078" s="4">
        <v>1</v>
      </c>
      <c r="Q1078" s="3" t="s">
        <v>26</v>
      </c>
      <c r="R1078" s="3">
        <v>0</v>
      </c>
      <c r="S1078" s="3" t="s">
        <v>302</v>
      </c>
      <c r="U1078" s="3">
        <v>7</v>
      </c>
      <c r="V1078" s="3">
        <v>0</v>
      </c>
      <c r="W1078" s="3">
        <v>0</v>
      </c>
    </row>
    <row r="1079" spans="1:23" ht="11.25" customHeight="1" x14ac:dyDescent="0.25">
      <c r="A1079" s="3" t="s">
        <v>21</v>
      </c>
      <c r="B1079" s="3" t="s">
        <v>33</v>
      </c>
      <c r="C1079" s="3" t="s">
        <v>34</v>
      </c>
      <c r="D1079" s="3" t="s">
        <v>24</v>
      </c>
      <c r="E1079" s="3" t="s">
        <v>24</v>
      </c>
      <c r="F1079" s="3" t="s">
        <v>25</v>
      </c>
      <c r="G1079" s="3" t="s">
        <v>25</v>
      </c>
      <c r="H1079" s="3" t="s">
        <v>25</v>
      </c>
      <c r="I1079" s="6">
        <v>44409</v>
      </c>
      <c r="J1079" s="4">
        <v>30</v>
      </c>
      <c r="K1079" s="4">
        <v>30</v>
      </c>
      <c r="L1079" s="4">
        <v>0</v>
      </c>
      <c r="M1079" s="4">
        <v>0</v>
      </c>
      <c r="N1079" s="4">
        <v>0</v>
      </c>
      <c r="O1079" s="4">
        <v>0</v>
      </c>
      <c r="P1079" s="4">
        <v>1</v>
      </c>
      <c r="Q1079" s="3" t="s">
        <v>26</v>
      </c>
      <c r="R1079" s="3">
        <v>0</v>
      </c>
      <c r="S1079" s="3" t="s">
        <v>303</v>
      </c>
      <c r="U1079" s="3">
        <v>7</v>
      </c>
      <c r="V1079" s="3">
        <v>0</v>
      </c>
      <c r="W1079" s="3">
        <v>0</v>
      </c>
    </row>
    <row r="1080" spans="1:23" ht="11.25" customHeight="1" x14ac:dyDescent="0.25">
      <c r="A1080" s="3" t="s">
        <v>21</v>
      </c>
      <c r="B1080" s="3" t="s">
        <v>33</v>
      </c>
      <c r="C1080" s="3" t="s">
        <v>34</v>
      </c>
      <c r="D1080" s="3" t="s">
        <v>24</v>
      </c>
      <c r="E1080" s="3" t="s">
        <v>24</v>
      </c>
      <c r="F1080" s="3" t="s">
        <v>25</v>
      </c>
      <c r="G1080" s="3" t="s">
        <v>25</v>
      </c>
      <c r="H1080" s="3" t="s">
        <v>25</v>
      </c>
      <c r="I1080" s="6">
        <v>44440</v>
      </c>
      <c r="J1080" s="4">
        <v>30</v>
      </c>
      <c r="K1080" s="4">
        <v>30</v>
      </c>
      <c r="L1080" s="4">
        <v>0</v>
      </c>
      <c r="M1080" s="4">
        <v>0</v>
      </c>
      <c r="N1080" s="4">
        <v>0</v>
      </c>
      <c r="O1080" s="4">
        <v>0</v>
      </c>
      <c r="P1080" s="4">
        <v>1</v>
      </c>
      <c r="Q1080" s="3" t="s">
        <v>26</v>
      </c>
      <c r="R1080" s="3">
        <v>0</v>
      </c>
      <c r="S1080" s="3" t="s">
        <v>304</v>
      </c>
      <c r="U1080" s="3">
        <v>7</v>
      </c>
      <c r="V1080" s="3">
        <v>0</v>
      </c>
      <c r="W1080" s="3">
        <v>0</v>
      </c>
    </row>
    <row r="1081" spans="1:23" ht="11.25" customHeight="1" x14ac:dyDescent="0.25">
      <c r="A1081" s="3" t="s">
        <v>21</v>
      </c>
      <c r="B1081" s="3" t="s">
        <v>33</v>
      </c>
      <c r="C1081" s="3" t="s">
        <v>34</v>
      </c>
      <c r="D1081" s="3" t="s">
        <v>24</v>
      </c>
      <c r="E1081" s="3" t="s">
        <v>24</v>
      </c>
      <c r="F1081" s="3" t="s">
        <v>25</v>
      </c>
      <c r="G1081" s="3" t="s">
        <v>25</v>
      </c>
      <c r="H1081" s="3" t="s">
        <v>25</v>
      </c>
      <c r="I1081" s="6">
        <v>44470</v>
      </c>
      <c r="J1081" s="4">
        <v>30</v>
      </c>
      <c r="K1081" s="4">
        <v>30</v>
      </c>
      <c r="L1081" s="4">
        <v>0</v>
      </c>
      <c r="M1081" s="4">
        <v>0</v>
      </c>
      <c r="N1081" s="4">
        <v>0</v>
      </c>
      <c r="O1081" s="4">
        <v>0</v>
      </c>
      <c r="P1081" s="4">
        <v>1</v>
      </c>
      <c r="Q1081" s="3" t="s">
        <v>26</v>
      </c>
      <c r="R1081" s="3">
        <v>0</v>
      </c>
      <c r="S1081" s="3" t="s">
        <v>305</v>
      </c>
      <c r="U1081" s="3">
        <v>7</v>
      </c>
      <c r="V1081" s="3">
        <v>0</v>
      </c>
      <c r="W1081" s="3">
        <v>0</v>
      </c>
    </row>
    <row r="1082" spans="1:23" ht="11.25" customHeight="1" x14ac:dyDescent="0.25">
      <c r="A1082" s="3" t="s">
        <v>21</v>
      </c>
      <c r="B1082" s="3" t="s">
        <v>33</v>
      </c>
      <c r="C1082" s="3" t="s">
        <v>34</v>
      </c>
      <c r="D1082" s="3" t="s">
        <v>24</v>
      </c>
      <c r="E1082" s="3" t="s">
        <v>24</v>
      </c>
      <c r="F1082" s="3" t="s">
        <v>25</v>
      </c>
      <c r="G1082" s="3" t="s">
        <v>25</v>
      </c>
      <c r="H1082" s="3" t="s">
        <v>25</v>
      </c>
      <c r="I1082" s="6">
        <v>44501</v>
      </c>
      <c r="J1082" s="4">
        <v>30</v>
      </c>
      <c r="K1082" s="4">
        <v>30</v>
      </c>
      <c r="L1082" s="4">
        <v>0</v>
      </c>
      <c r="M1082" s="4">
        <v>0</v>
      </c>
      <c r="N1082" s="4">
        <v>0</v>
      </c>
      <c r="O1082" s="4">
        <v>0</v>
      </c>
      <c r="P1082" s="4">
        <v>1</v>
      </c>
      <c r="Q1082" s="3" t="s">
        <v>26</v>
      </c>
      <c r="R1082" s="3">
        <v>0</v>
      </c>
      <c r="S1082" s="3" t="s">
        <v>306</v>
      </c>
      <c r="U1082" s="3">
        <v>7</v>
      </c>
      <c r="V1082" s="3">
        <v>0</v>
      </c>
      <c r="W1082" s="3">
        <v>0</v>
      </c>
    </row>
    <row r="1083" spans="1:23" ht="11.25" customHeight="1" x14ac:dyDescent="0.25">
      <c r="A1083" s="3" t="s">
        <v>21</v>
      </c>
      <c r="B1083" s="3" t="s">
        <v>33</v>
      </c>
      <c r="C1083" s="3" t="s">
        <v>34</v>
      </c>
      <c r="D1083" s="3" t="s">
        <v>24</v>
      </c>
      <c r="E1083" s="3" t="s">
        <v>24</v>
      </c>
      <c r="F1083" s="3" t="s">
        <v>25</v>
      </c>
      <c r="G1083" s="3" t="s">
        <v>25</v>
      </c>
      <c r="H1083" s="3" t="s">
        <v>25</v>
      </c>
      <c r="I1083" s="6">
        <v>44531</v>
      </c>
      <c r="J1083" s="4">
        <v>30</v>
      </c>
      <c r="K1083" s="4">
        <v>30</v>
      </c>
      <c r="L1083" s="4">
        <v>0</v>
      </c>
      <c r="M1083" s="4">
        <v>0</v>
      </c>
      <c r="N1083" s="4">
        <v>0</v>
      </c>
      <c r="O1083" s="4">
        <v>0</v>
      </c>
      <c r="P1083" s="4">
        <v>1</v>
      </c>
      <c r="Q1083" s="3" t="s">
        <v>26</v>
      </c>
      <c r="R1083" s="3">
        <v>0</v>
      </c>
      <c r="S1083" s="3" t="s">
        <v>307</v>
      </c>
      <c r="U1083" s="3">
        <v>7</v>
      </c>
      <c r="V1083" s="3">
        <v>0</v>
      </c>
      <c r="W1083" s="3">
        <v>0</v>
      </c>
    </row>
    <row r="1084" spans="1:23" ht="11.25" customHeight="1" x14ac:dyDescent="0.25">
      <c r="A1084" s="3" t="s">
        <v>21</v>
      </c>
      <c r="B1084" s="3" t="s">
        <v>33</v>
      </c>
      <c r="C1084" s="3" t="s">
        <v>34</v>
      </c>
      <c r="D1084" s="3" t="s">
        <v>24</v>
      </c>
      <c r="E1084" s="3" t="s">
        <v>24</v>
      </c>
      <c r="F1084" s="3" t="s">
        <v>25</v>
      </c>
      <c r="G1084" s="3" t="s">
        <v>25</v>
      </c>
      <c r="H1084" s="3" t="s">
        <v>25</v>
      </c>
      <c r="I1084" s="6">
        <v>44562</v>
      </c>
      <c r="J1084" s="4">
        <v>30</v>
      </c>
      <c r="K1084" s="4">
        <v>30</v>
      </c>
      <c r="L1084" s="4">
        <v>0</v>
      </c>
      <c r="M1084" s="4">
        <v>0</v>
      </c>
      <c r="N1084" s="4">
        <v>0</v>
      </c>
      <c r="O1084" s="4">
        <v>0</v>
      </c>
      <c r="P1084" s="4">
        <v>1</v>
      </c>
      <c r="Q1084" s="3" t="s">
        <v>26</v>
      </c>
      <c r="R1084" s="3">
        <v>0</v>
      </c>
      <c r="S1084" s="3" t="s">
        <v>308</v>
      </c>
      <c r="U1084" s="3">
        <v>7</v>
      </c>
      <c r="V1084" s="3">
        <v>0</v>
      </c>
      <c r="W1084" s="3">
        <v>0</v>
      </c>
    </row>
    <row r="1085" spans="1:23" ht="11.25" customHeight="1" x14ac:dyDescent="0.25">
      <c r="A1085" s="3" t="s">
        <v>28</v>
      </c>
      <c r="B1085" s="3" t="s">
        <v>33</v>
      </c>
      <c r="C1085" s="3" t="s">
        <v>34</v>
      </c>
      <c r="D1085" s="3" t="s">
        <v>24</v>
      </c>
      <c r="E1085" s="3" t="s">
        <v>24</v>
      </c>
      <c r="F1085" s="3" t="s">
        <v>25</v>
      </c>
      <c r="G1085" s="3" t="s">
        <v>25</v>
      </c>
      <c r="H1085" s="3" t="s">
        <v>25</v>
      </c>
      <c r="I1085" s="6">
        <v>44562</v>
      </c>
      <c r="J1085" s="4">
        <v>2</v>
      </c>
      <c r="K1085" s="4">
        <v>2</v>
      </c>
      <c r="L1085" s="4">
        <v>0</v>
      </c>
      <c r="M1085" s="4">
        <v>0</v>
      </c>
      <c r="N1085" s="4">
        <v>0</v>
      </c>
      <c r="O1085" s="4">
        <v>0</v>
      </c>
      <c r="P1085" s="4">
        <v>1</v>
      </c>
      <c r="Q1085" s="3" t="s">
        <v>26</v>
      </c>
      <c r="R1085" s="3">
        <v>0</v>
      </c>
      <c r="S1085" s="3" t="s">
        <v>308</v>
      </c>
      <c r="U1085" s="3">
        <v>7</v>
      </c>
      <c r="V1085" s="3">
        <v>0</v>
      </c>
      <c r="W1085" s="3">
        <v>0</v>
      </c>
    </row>
    <row r="1086" spans="1:23" ht="11.25" customHeight="1" x14ac:dyDescent="0.25">
      <c r="A1086" s="3" t="s">
        <v>21</v>
      </c>
      <c r="B1086" s="3" t="s">
        <v>33</v>
      </c>
      <c r="C1086" s="3" t="s">
        <v>34</v>
      </c>
      <c r="D1086" s="3" t="s">
        <v>24</v>
      </c>
      <c r="E1086" s="3" t="s">
        <v>24</v>
      </c>
      <c r="F1086" s="3" t="s">
        <v>25</v>
      </c>
      <c r="G1086" s="3" t="s">
        <v>25</v>
      </c>
      <c r="H1086" s="3" t="s">
        <v>25</v>
      </c>
      <c r="I1086" s="6">
        <v>44593</v>
      </c>
      <c r="J1086" s="4">
        <v>36</v>
      </c>
      <c r="K1086" s="4">
        <v>36</v>
      </c>
      <c r="L1086" s="4">
        <v>0</v>
      </c>
      <c r="M1086" s="4">
        <v>0</v>
      </c>
      <c r="N1086" s="4">
        <v>0</v>
      </c>
      <c r="O1086" s="4">
        <v>0</v>
      </c>
      <c r="P1086" s="4">
        <v>2</v>
      </c>
      <c r="Q1086" s="3" t="s">
        <v>26</v>
      </c>
      <c r="R1086" s="3">
        <v>0</v>
      </c>
      <c r="S1086" s="3" t="s">
        <v>309</v>
      </c>
      <c r="U1086" s="3">
        <v>7</v>
      </c>
      <c r="V1086" s="3">
        <v>0</v>
      </c>
      <c r="W1086" s="3">
        <v>0</v>
      </c>
    </row>
    <row r="1087" spans="1:23" ht="11.25" customHeight="1" x14ac:dyDescent="0.25">
      <c r="A1087" s="3" t="s">
        <v>28</v>
      </c>
      <c r="B1087" s="3" t="s">
        <v>33</v>
      </c>
      <c r="C1087" s="3" t="s">
        <v>34</v>
      </c>
      <c r="D1087" s="3" t="s">
        <v>24</v>
      </c>
      <c r="E1087" s="3" t="s">
        <v>24</v>
      </c>
      <c r="F1087" s="3" t="s">
        <v>25</v>
      </c>
      <c r="G1087" s="3" t="s">
        <v>25</v>
      </c>
      <c r="H1087" s="3" t="s">
        <v>25</v>
      </c>
      <c r="I1087" s="6">
        <v>44593</v>
      </c>
      <c r="J1087" s="4">
        <v>243</v>
      </c>
      <c r="K1087" s="4">
        <v>243</v>
      </c>
      <c r="L1087" s="4">
        <v>0</v>
      </c>
      <c r="M1087" s="4">
        <v>0</v>
      </c>
      <c r="N1087" s="4">
        <v>0</v>
      </c>
      <c r="O1087" s="4">
        <v>0</v>
      </c>
      <c r="P1087" s="4">
        <v>1</v>
      </c>
      <c r="Q1087" s="3" t="s">
        <v>26</v>
      </c>
      <c r="R1087" s="3">
        <v>0</v>
      </c>
      <c r="S1087" s="3" t="s">
        <v>309</v>
      </c>
      <c r="U1087" s="3">
        <v>7</v>
      </c>
      <c r="V1087" s="3">
        <v>0</v>
      </c>
      <c r="W1087" s="3">
        <v>0</v>
      </c>
    </row>
    <row r="1088" spans="1:23" ht="11.25" customHeight="1" x14ac:dyDescent="0.25">
      <c r="A1088" s="3" t="s">
        <v>21</v>
      </c>
      <c r="B1088" s="3" t="s">
        <v>33</v>
      </c>
      <c r="C1088" s="3" t="s">
        <v>34</v>
      </c>
      <c r="D1088" s="3" t="s">
        <v>24</v>
      </c>
      <c r="E1088" s="3" t="s">
        <v>24</v>
      </c>
      <c r="F1088" s="3" t="s">
        <v>25</v>
      </c>
      <c r="G1088" s="3" t="s">
        <v>25</v>
      </c>
      <c r="H1088" s="3" t="s">
        <v>25</v>
      </c>
      <c r="I1088" s="6">
        <v>44621</v>
      </c>
      <c r="J1088" s="4">
        <v>325</v>
      </c>
      <c r="K1088" s="4">
        <v>325</v>
      </c>
      <c r="L1088" s="4">
        <v>0</v>
      </c>
      <c r="M1088" s="4">
        <v>0</v>
      </c>
      <c r="N1088" s="4">
        <v>0</v>
      </c>
      <c r="O1088" s="4">
        <v>0</v>
      </c>
      <c r="P1088" s="4">
        <v>2</v>
      </c>
      <c r="Q1088" s="3" t="s">
        <v>26</v>
      </c>
      <c r="R1088" s="3">
        <v>0</v>
      </c>
      <c r="S1088" s="3" t="s">
        <v>310</v>
      </c>
      <c r="U1088" s="3">
        <v>7</v>
      </c>
      <c r="V1088" s="3">
        <v>0</v>
      </c>
      <c r="W1088" s="3">
        <v>0</v>
      </c>
    </row>
    <row r="1089" spans="1:23" ht="11.25" customHeight="1" x14ac:dyDescent="0.25">
      <c r="A1089" s="3" t="s">
        <v>28</v>
      </c>
      <c r="B1089" s="3" t="s">
        <v>33</v>
      </c>
      <c r="C1089" s="3" t="s">
        <v>34</v>
      </c>
      <c r="D1089" s="3" t="s">
        <v>24</v>
      </c>
      <c r="E1089" s="3" t="s">
        <v>24</v>
      </c>
      <c r="F1089" s="3" t="s">
        <v>25</v>
      </c>
      <c r="G1089" s="3" t="s">
        <v>25</v>
      </c>
      <c r="H1089" s="3" t="s">
        <v>25</v>
      </c>
      <c r="I1089" s="6">
        <v>44621</v>
      </c>
      <c r="J1089" s="4">
        <v>255</v>
      </c>
      <c r="K1089" s="4">
        <v>255</v>
      </c>
      <c r="L1089" s="4">
        <v>0</v>
      </c>
      <c r="M1089" s="4">
        <v>0</v>
      </c>
      <c r="N1089" s="4">
        <v>0</v>
      </c>
      <c r="O1089" s="4">
        <v>0</v>
      </c>
      <c r="P1089" s="4">
        <v>1</v>
      </c>
      <c r="Q1089" s="3" t="s">
        <v>26</v>
      </c>
      <c r="R1089" s="3">
        <v>0</v>
      </c>
      <c r="S1089" s="3" t="s">
        <v>310</v>
      </c>
      <c r="U1089" s="3">
        <v>7</v>
      </c>
      <c r="V1089" s="3">
        <v>0</v>
      </c>
      <c r="W1089" s="3">
        <v>0</v>
      </c>
    </row>
    <row r="1090" spans="1:23" ht="11.25" customHeight="1" x14ac:dyDescent="0.25">
      <c r="A1090" s="3" t="s">
        <v>56</v>
      </c>
      <c r="B1090" s="3" t="s">
        <v>33</v>
      </c>
      <c r="C1090" s="3" t="s">
        <v>34</v>
      </c>
      <c r="D1090" s="3" t="s">
        <v>24</v>
      </c>
      <c r="E1090" s="3" t="s">
        <v>24</v>
      </c>
      <c r="F1090" s="3" t="s">
        <v>25</v>
      </c>
      <c r="G1090" s="3" t="s">
        <v>25</v>
      </c>
      <c r="H1090" s="3" t="s">
        <v>25</v>
      </c>
      <c r="I1090" s="6">
        <v>44652</v>
      </c>
      <c r="J1090" s="4">
        <v>325</v>
      </c>
      <c r="K1090" s="4">
        <v>325</v>
      </c>
      <c r="L1090" s="4">
        <v>0</v>
      </c>
      <c r="M1090" s="4">
        <v>0</v>
      </c>
      <c r="N1090" s="4">
        <v>0</v>
      </c>
      <c r="O1090" s="4">
        <v>0</v>
      </c>
      <c r="P1090" s="4">
        <v>2</v>
      </c>
      <c r="Q1090" s="3" t="s">
        <v>26</v>
      </c>
      <c r="R1090" s="3">
        <v>0</v>
      </c>
      <c r="S1090" s="3" t="s">
        <v>311</v>
      </c>
      <c r="U1090" s="3">
        <v>7</v>
      </c>
      <c r="V1090" s="3">
        <v>0</v>
      </c>
      <c r="W1090" s="3">
        <v>0</v>
      </c>
    </row>
    <row r="1091" spans="1:23" ht="11.25" customHeight="1" x14ac:dyDescent="0.25">
      <c r="A1091" s="3" t="s">
        <v>56</v>
      </c>
      <c r="B1091" s="3" t="s">
        <v>33</v>
      </c>
      <c r="C1091" s="3" t="s">
        <v>34</v>
      </c>
      <c r="D1091" s="3" t="s">
        <v>24</v>
      </c>
      <c r="E1091" s="3" t="s">
        <v>24</v>
      </c>
      <c r="F1091" s="3" t="s">
        <v>25</v>
      </c>
      <c r="G1091" s="3" t="s">
        <v>25</v>
      </c>
      <c r="H1091" s="3" t="s">
        <v>25</v>
      </c>
      <c r="I1091" s="6">
        <v>44652</v>
      </c>
      <c r="J1091" s="4">
        <v>255</v>
      </c>
      <c r="K1091" s="4">
        <v>255</v>
      </c>
      <c r="L1091" s="4">
        <v>0</v>
      </c>
      <c r="M1091" s="4">
        <v>0</v>
      </c>
      <c r="N1091" s="4">
        <v>0</v>
      </c>
      <c r="O1091" s="4">
        <v>0</v>
      </c>
      <c r="P1091" s="4">
        <v>1</v>
      </c>
      <c r="Q1091" s="3" t="s">
        <v>26</v>
      </c>
      <c r="R1091" s="3">
        <v>0</v>
      </c>
      <c r="S1091" s="3" t="s">
        <v>311</v>
      </c>
      <c r="U1091" s="3">
        <v>7</v>
      </c>
      <c r="V1091" s="3">
        <v>0</v>
      </c>
      <c r="W1091" s="3">
        <v>0</v>
      </c>
    </row>
    <row r="1092" spans="1:23" ht="11.25" customHeight="1" x14ac:dyDescent="0.25">
      <c r="A1092" s="3" t="s">
        <v>21</v>
      </c>
      <c r="B1092" s="3" t="s">
        <v>33</v>
      </c>
      <c r="C1092" s="3" t="s">
        <v>34</v>
      </c>
      <c r="D1092" s="3" t="s">
        <v>24</v>
      </c>
      <c r="E1092" s="3" t="s">
        <v>24</v>
      </c>
      <c r="F1092" s="3" t="s">
        <v>25</v>
      </c>
      <c r="G1092" s="3" t="s">
        <v>25</v>
      </c>
      <c r="H1092" s="3" t="s">
        <v>35</v>
      </c>
      <c r="I1092" s="6">
        <v>44317</v>
      </c>
      <c r="J1092" s="4">
        <v>0</v>
      </c>
      <c r="K1092" s="4">
        <v>0</v>
      </c>
      <c r="L1092" s="4">
        <v>0.182</v>
      </c>
      <c r="M1092" s="4">
        <v>0.182</v>
      </c>
      <c r="N1092" s="4">
        <v>0.182</v>
      </c>
      <c r="O1092" s="4">
        <v>0.182</v>
      </c>
      <c r="P1092" s="4">
        <v>0</v>
      </c>
      <c r="Q1092" s="3" t="s">
        <v>26</v>
      </c>
      <c r="R1092" s="3">
        <v>0</v>
      </c>
      <c r="S1092" s="3" t="s">
        <v>312</v>
      </c>
      <c r="T1092" s="3" t="s">
        <v>549</v>
      </c>
      <c r="U1092" s="3">
        <v>0</v>
      </c>
      <c r="V1092" s="3">
        <v>8</v>
      </c>
      <c r="W1092" s="3">
        <v>72</v>
      </c>
    </row>
    <row r="1093" spans="1:23" ht="11.25" customHeight="1" x14ac:dyDescent="0.25">
      <c r="A1093" s="3" t="s">
        <v>21</v>
      </c>
      <c r="B1093" s="3" t="s">
        <v>33</v>
      </c>
      <c r="C1093" s="3" t="s">
        <v>34</v>
      </c>
      <c r="D1093" s="3" t="s">
        <v>24</v>
      </c>
      <c r="E1093" s="3" t="s">
        <v>24</v>
      </c>
      <c r="F1093" s="3" t="s">
        <v>25</v>
      </c>
      <c r="G1093" s="3" t="s">
        <v>25</v>
      </c>
      <c r="H1093" s="3" t="s">
        <v>35</v>
      </c>
      <c r="I1093" s="6">
        <v>44348</v>
      </c>
      <c r="J1093" s="4">
        <v>0</v>
      </c>
      <c r="K1093" s="4">
        <v>0</v>
      </c>
      <c r="L1093" s="4">
        <v>0.16400000000000001</v>
      </c>
      <c r="M1093" s="4">
        <v>0.16400000000000001</v>
      </c>
      <c r="N1093" s="4">
        <v>0.16400000000000001</v>
      </c>
      <c r="O1093" s="4">
        <v>0.16400000000000001</v>
      </c>
      <c r="P1093" s="4">
        <v>0</v>
      </c>
      <c r="Q1093" s="3" t="s">
        <v>26</v>
      </c>
      <c r="R1093" s="3">
        <v>0</v>
      </c>
      <c r="S1093" s="3" t="s">
        <v>313</v>
      </c>
      <c r="T1093" s="3" t="s">
        <v>550</v>
      </c>
      <c r="U1093" s="3">
        <v>0</v>
      </c>
      <c r="V1093" s="3">
        <v>8</v>
      </c>
      <c r="W1093" s="3">
        <v>72</v>
      </c>
    </row>
    <row r="1094" spans="1:23" ht="11.25" customHeight="1" x14ac:dyDescent="0.25">
      <c r="A1094" s="3" t="s">
        <v>21</v>
      </c>
      <c r="B1094" s="3" t="s">
        <v>33</v>
      </c>
      <c r="C1094" s="3" t="s">
        <v>34</v>
      </c>
      <c r="D1094" s="3" t="s">
        <v>24</v>
      </c>
      <c r="E1094" s="3" t="s">
        <v>24</v>
      </c>
      <c r="F1094" s="3" t="s">
        <v>25</v>
      </c>
      <c r="G1094" s="3" t="s">
        <v>25</v>
      </c>
      <c r="H1094" s="3" t="s">
        <v>35</v>
      </c>
      <c r="I1094" s="6">
        <v>44378</v>
      </c>
      <c r="J1094" s="4">
        <v>0</v>
      </c>
      <c r="K1094" s="4">
        <v>0</v>
      </c>
      <c r="L1094" s="4">
        <v>0.192</v>
      </c>
      <c r="M1094" s="4">
        <v>0.192</v>
      </c>
      <c r="N1094" s="4">
        <v>0.192</v>
      </c>
      <c r="O1094" s="4">
        <v>0.192</v>
      </c>
      <c r="P1094" s="4">
        <v>0</v>
      </c>
      <c r="Q1094" s="3" t="s">
        <v>26</v>
      </c>
      <c r="R1094" s="3">
        <v>0</v>
      </c>
      <c r="S1094" s="3" t="s">
        <v>314</v>
      </c>
      <c r="T1094" s="3" t="s">
        <v>551</v>
      </c>
      <c r="U1094" s="3">
        <v>0</v>
      </c>
      <c r="V1094" s="3">
        <v>8</v>
      </c>
      <c r="W1094" s="3">
        <v>72</v>
      </c>
    </row>
    <row r="1095" spans="1:23" ht="11.25" customHeight="1" x14ac:dyDescent="0.25">
      <c r="A1095" s="3" t="s">
        <v>21</v>
      </c>
      <c r="B1095" s="3" t="s">
        <v>33</v>
      </c>
      <c r="C1095" s="3" t="s">
        <v>34</v>
      </c>
      <c r="D1095" s="3" t="s">
        <v>24</v>
      </c>
      <c r="E1095" s="3" t="s">
        <v>24</v>
      </c>
      <c r="F1095" s="3" t="s">
        <v>25</v>
      </c>
      <c r="G1095" s="3" t="s">
        <v>25</v>
      </c>
      <c r="H1095" s="3" t="s">
        <v>35</v>
      </c>
      <c r="I1095" s="6">
        <v>44409</v>
      </c>
      <c r="J1095" s="4">
        <v>0</v>
      </c>
      <c r="K1095" s="4">
        <v>0</v>
      </c>
      <c r="L1095" s="4">
        <v>0.16700000000000001</v>
      </c>
      <c r="M1095" s="4">
        <v>0.16700000000000001</v>
      </c>
      <c r="N1095" s="4">
        <v>0.16700000000000001</v>
      </c>
      <c r="O1095" s="4">
        <v>0.16700000000000001</v>
      </c>
      <c r="P1095" s="4">
        <v>0</v>
      </c>
      <c r="Q1095" s="3" t="s">
        <v>26</v>
      </c>
      <c r="R1095" s="3">
        <v>0</v>
      </c>
      <c r="S1095" s="3" t="s">
        <v>315</v>
      </c>
      <c r="T1095" s="3" t="s">
        <v>552</v>
      </c>
      <c r="U1095" s="3">
        <v>0</v>
      </c>
      <c r="V1095" s="3">
        <v>8</v>
      </c>
      <c r="W1095" s="3">
        <v>72</v>
      </c>
    </row>
    <row r="1096" spans="1:23" ht="11.25" customHeight="1" x14ac:dyDescent="0.25">
      <c r="A1096" s="3" t="s">
        <v>21</v>
      </c>
      <c r="B1096" s="3" t="s">
        <v>33</v>
      </c>
      <c r="C1096" s="3" t="s">
        <v>34</v>
      </c>
      <c r="D1096" s="3" t="s">
        <v>24</v>
      </c>
      <c r="E1096" s="3" t="s">
        <v>24</v>
      </c>
      <c r="F1096" s="3" t="s">
        <v>25</v>
      </c>
      <c r="G1096" s="3" t="s">
        <v>25</v>
      </c>
      <c r="H1096" s="3" t="s">
        <v>35</v>
      </c>
      <c r="I1096" s="6">
        <v>44440</v>
      </c>
      <c r="J1096" s="4">
        <v>0</v>
      </c>
      <c r="K1096" s="4">
        <v>0</v>
      </c>
      <c r="L1096" s="4">
        <v>0.189</v>
      </c>
      <c r="M1096" s="4">
        <v>0.189</v>
      </c>
      <c r="N1096" s="4">
        <v>0.189</v>
      </c>
      <c r="O1096" s="4">
        <v>0.189</v>
      </c>
      <c r="P1096" s="4">
        <v>0</v>
      </c>
      <c r="Q1096" s="3" t="s">
        <v>26</v>
      </c>
      <c r="R1096" s="3">
        <v>0</v>
      </c>
      <c r="S1096" s="3" t="s">
        <v>316</v>
      </c>
      <c r="T1096" s="3" t="s">
        <v>553</v>
      </c>
      <c r="U1096" s="3">
        <v>0</v>
      </c>
      <c r="V1096" s="3">
        <v>8</v>
      </c>
      <c r="W1096" s="3">
        <v>72</v>
      </c>
    </row>
    <row r="1097" spans="1:23" ht="11.25" customHeight="1" x14ac:dyDescent="0.25">
      <c r="A1097" s="3" t="s">
        <v>21</v>
      </c>
      <c r="B1097" s="3" t="s">
        <v>33</v>
      </c>
      <c r="C1097" s="3" t="s">
        <v>34</v>
      </c>
      <c r="D1097" s="3" t="s">
        <v>24</v>
      </c>
      <c r="E1097" s="3" t="s">
        <v>24</v>
      </c>
      <c r="F1097" s="3" t="s">
        <v>25</v>
      </c>
      <c r="G1097" s="3" t="s">
        <v>25</v>
      </c>
      <c r="H1097" s="3" t="s">
        <v>35</v>
      </c>
      <c r="I1097" s="6">
        <v>44470</v>
      </c>
      <c r="J1097" s="4">
        <v>0</v>
      </c>
      <c r="K1097" s="4">
        <v>0</v>
      </c>
      <c r="L1097" s="4">
        <v>0.17799999999999999</v>
      </c>
      <c r="M1097" s="4">
        <v>0.17799999999999999</v>
      </c>
      <c r="N1097" s="4">
        <v>0.17799999999999999</v>
      </c>
      <c r="O1097" s="4">
        <v>0.17799999999999999</v>
      </c>
      <c r="P1097" s="4">
        <v>0</v>
      </c>
      <c r="Q1097" s="3" t="s">
        <v>26</v>
      </c>
      <c r="R1097" s="3">
        <v>0</v>
      </c>
      <c r="S1097" s="3" t="s">
        <v>317</v>
      </c>
      <c r="T1097" s="3" t="s">
        <v>554</v>
      </c>
      <c r="U1097" s="3">
        <v>0</v>
      </c>
      <c r="V1097" s="3">
        <v>8</v>
      </c>
      <c r="W1097" s="3">
        <v>72</v>
      </c>
    </row>
    <row r="1098" spans="1:23" ht="11.25" customHeight="1" x14ac:dyDescent="0.25">
      <c r="A1098" s="3" t="s">
        <v>21</v>
      </c>
      <c r="B1098" s="3" t="s">
        <v>33</v>
      </c>
      <c r="C1098" s="3" t="s">
        <v>34</v>
      </c>
      <c r="D1098" s="3" t="s">
        <v>24</v>
      </c>
      <c r="E1098" s="3" t="s">
        <v>24</v>
      </c>
      <c r="F1098" s="3" t="s">
        <v>25</v>
      </c>
      <c r="G1098" s="3" t="s">
        <v>25</v>
      </c>
      <c r="H1098" s="3" t="s">
        <v>35</v>
      </c>
      <c r="I1098" s="6">
        <v>44501</v>
      </c>
      <c r="J1098" s="4">
        <v>0</v>
      </c>
      <c r="K1098" s="4">
        <v>0</v>
      </c>
      <c r="L1098" s="4">
        <v>0.19800000000000001</v>
      </c>
      <c r="M1098" s="4">
        <v>0.19800000000000001</v>
      </c>
      <c r="N1098" s="4">
        <v>0.19800000000000001</v>
      </c>
      <c r="O1098" s="4">
        <v>0.19800000000000001</v>
      </c>
      <c r="P1098" s="4">
        <v>0</v>
      </c>
      <c r="Q1098" s="3" t="s">
        <v>26</v>
      </c>
      <c r="R1098" s="3">
        <v>0</v>
      </c>
      <c r="S1098" s="3" t="s">
        <v>318</v>
      </c>
      <c r="T1098" s="3" t="s">
        <v>555</v>
      </c>
      <c r="U1098" s="3">
        <v>0</v>
      </c>
      <c r="V1098" s="3">
        <v>8</v>
      </c>
      <c r="W1098" s="3">
        <v>72</v>
      </c>
    </row>
    <row r="1099" spans="1:23" ht="11.25" customHeight="1" x14ac:dyDescent="0.25">
      <c r="A1099" s="3" t="s">
        <v>21</v>
      </c>
      <c r="B1099" s="3" t="s">
        <v>33</v>
      </c>
      <c r="C1099" s="3" t="s">
        <v>34</v>
      </c>
      <c r="D1099" s="3" t="s">
        <v>24</v>
      </c>
      <c r="E1099" s="3" t="s">
        <v>24</v>
      </c>
      <c r="F1099" s="3" t="s">
        <v>25</v>
      </c>
      <c r="G1099" s="3" t="s">
        <v>25</v>
      </c>
      <c r="H1099" s="3" t="s">
        <v>35</v>
      </c>
      <c r="I1099" s="6">
        <v>44531</v>
      </c>
      <c r="J1099" s="4">
        <v>0</v>
      </c>
      <c r="K1099" s="4">
        <v>0</v>
      </c>
      <c r="L1099" s="4">
        <v>0.21</v>
      </c>
      <c r="M1099" s="4">
        <v>0.21</v>
      </c>
      <c r="N1099" s="4">
        <v>0.21</v>
      </c>
      <c r="O1099" s="4">
        <v>0.21</v>
      </c>
      <c r="P1099" s="4">
        <v>0</v>
      </c>
      <c r="Q1099" s="3" t="s">
        <v>26</v>
      </c>
      <c r="R1099" s="3">
        <v>0</v>
      </c>
      <c r="S1099" s="3" t="s">
        <v>319</v>
      </c>
      <c r="T1099" s="3" t="s">
        <v>556</v>
      </c>
      <c r="U1099" s="3">
        <v>0</v>
      </c>
      <c r="V1099" s="3">
        <v>8</v>
      </c>
      <c r="W1099" s="3">
        <v>72</v>
      </c>
    </row>
    <row r="1100" spans="1:23" ht="11.25" customHeight="1" x14ac:dyDescent="0.25">
      <c r="A1100" s="3" t="s">
        <v>21</v>
      </c>
      <c r="B1100" s="3" t="s">
        <v>33</v>
      </c>
      <c r="C1100" s="3" t="s">
        <v>34</v>
      </c>
      <c r="D1100" s="3" t="s">
        <v>24</v>
      </c>
      <c r="E1100" s="3" t="s">
        <v>24</v>
      </c>
      <c r="F1100" s="3" t="s">
        <v>25</v>
      </c>
      <c r="G1100" s="3" t="s">
        <v>25</v>
      </c>
      <c r="H1100" s="3" t="s">
        <v>35</v>
      </c>
      <c r="I1100" s="6">
        <v>44562</v>
      </c>
      <c r="J1100" s="4">
        <v>0</v>
      </c>
      <c r="K1100" s="4">
        <v>0</v>
      </c>
      <c r="L1100" s="4">
        <v>0.185</v>
      </c>
      <c r="M1100" s="4">
        <v>0.185</v>
      </c>
      <c r="N1100" s="4">
        <v>0.185</v>
      </c>
      <c r="O1100" s="4">
        <v>0.185</v>
      </c>
      <c r="P1100" s="4">
        <v>0</v>
      </c>
      <c r="Q1100" s="3" t="s">
        <v>26</v>
      </c>
      <c r="R1100" s="3">
        <v>0</v>
      </c>
      <c r="S1100" s="3" t="s">
        <v>320</v>
      </c>
      <c r="T1100" s="3" t="s">
        <v>557</v>
      </c>
      <c r="U1100" s="3">
        <v>0</v>
      </c>
      <c r="V1100" s="3">
        <v>8</v>
      </c>
      <c r="W1100" s="3">
        <v>72</v>
      </c>
    </row>
    <row r="1101" spans="1:23" ht="11.25" customHeight="1" x14ac:dyDescent="0.25">
      <c r="A1101" s="3" t="s">
        <v>28</v>
      </c>
      <c r="B1101" s="3" t="s">
        <v>33</v>
      </c>
      <c r="C1101" s="3" t="s">
        <v>34</v>
      </c>
      <c r="D1101" s="3" t="s">
        <v>24</v>
      </c>
      <c r="E1101" s="3" t="s">
        <v>24</v>
      </c>
      <c r="F1101" s="3" t="s">
        <v>25</v>
      </c>
      <c r="G1101" s="3" t="s">
        <v>25</v>
      </c>
      <c r="H1101" s="3" t="s">
        <v>35</v>
      </c>
      <c r="I1101" s="6">
        <v>44562</v>
      </c>
      <c r="J1101" s="4">
        <v>0</v>
      </c>
      <c r="K1101" s="4">
        <v>0</v>
      </c>
      <c r="L1101" s="4">
        <v>2.3E-2</v>
      </c>
      <c r="M1101" s="4">
        <v>2.3E-2</v>
      </c>
      <c r="N1101" s="4">
        <v>2.3E-2</v>
      </c>
      <c r="O1101" s="4">
        <v>2.3E-2</v>
      </c>
      <c r="P1101" s="4">
        <v>0</v>
      </c>
      <c r="Q1101" s="3" t="s">
        <v>26</v>
      </c>
      <c r="R1101" s="3">
        <v>0</v>
      </c>
      <c r="S1101" s="3" t="s">
        <v>320</v>
      </c>
      <c r="T1101" s="3" t="s">
        <v>557</v>
      </c>
      <c r="U1101" s="3">
        <v>0</v>
      </c>
      <c r="V1101" s="3">
        <v>8</v>
      </c>
      <c r="W1101" s="3">
        <v>72</v>
      </c>
    </row>
    <row r="1102" spans="1:23" ht="11.25" customHeight="1" x14ac:dyDescent="0.25">
      <c r="A1102" s="3" t="s">
        <v>21</v>
      </c>
      <c r="B1102" s="3" t="s">
        <v>33</v>
      </c>
      <c r="C1102" s="3" t="s">
        <v>34</v>
      </c>
      <c r="D1102" s="3" t="s">
        <v>24</v>
      </c>
      <c r="E1102" s="3" t="s">
        <v>24</v>
      </c>
      <c r="F1102" s="3" t="s">
        <v>25</v>
      </c>
      <c r="G1102" s="3" t="s">
        <v>25</v>
      </c>
      <c r="H1102" s="3" t="s">
        <v>35</v>
      </c>
      <c r="I1102" s="6">
        <v>44593</v>
      </c>
      <c r="J1102" s="4">
        <v>0</v>
      </c>
      <c r="K1102" s="4">
        <v>0</v>
      </c>
      <c r="L1102" s="4">
        <v>0.371</v>
      </c>
      <c r="M1102" s="4">
        <v>0.371</v>
      </c>
      <c r="N1102" s="4">
        <v>0.371</v>
      </c>
      <c r="O1102" s="4">
        <v>0.371</v>
      </c>
      <c r="P1102" s="4">
        <v>0</v>
      </c>
      <c r="Q1102" s="3" t="s">
        <v>26</v>
      </c>
      <c r="R1102" s="3">
        <v>0</v>
      </c>
      <c r="S1102" s="3" t="s">
        <v>321</v>
      </c>
      <c r="T1102" s="3" t="s">
        <v>558</v>
      </c>
      <c r="U1102" s="3">
        <v>0</v>
      </c>
      <c r="V1102" s="3">
        <v>8</v>
      </c>
      <c r="W1102" s="3">
        <v>72</v>
      </c>
    </row>
    <row r="1103" spans="1:23" ht="11.25" customHeight="1" x14ac:dyDescent="0.25">
      <c r="A1103" s="3" t="s">
        <v>28</v>
      </c>
      <c r="B1103" s="3" t="s">
        <v>33</v>
      </c>
      <c r="C1103" s="3" t="s">
        <v>34</v>
      </c>
      <c r="D1103" s="3" t="s">
        <v>24</v>
      </c>
      <c r="E1103" s="3" t="s">
        <v>24</v>
      </c>
      <c r="F1103" s="3" t="s">
        <v>25</v>
      </c>
      <c r="G1103" s="3" t="s">
        <v>25</v>
      </c>
      <c r="H1103" s="3" t="s">
        <v>35</v>
      </c>
      <c r="I1103" s="6">
        <v>44593</v>
      </c>
      <c r="J1103" s="4">
        <v>0</v>
      </c>
      <c r="K1103" s="4">
        <v>0</v>
      </c>
      <c r="L1103" s="4">
        <v>2.3E-2</v>
      </c>
      <c r="M1103" s="4">
        <v>2.3E-2</v>
      </c>
      <c r="N1103" s="4">
        <v>2.3E-2</v>
      </c>
      <c r="O1103" s="4">
        <v>2.3E-2</v>
      </c>
      <c r="P1103" s="4">
        <v>0</v>
      </c>
      <c r="Q1103" s="3" t="s">
        <v>26</v>
      </c>
      <c r="R1103" s="3">
        <v>0</v>
      </c>
      <c r="S1103" s="3" t="s">
        <v>321</v>
      </c>
      <c r="T1103" s="3" t="s">
        <v>558</v>
      </c>
      <c r="U1103" s="3">
        <v>0</v>
      </c>
      <c r="V1103" s="3">
        <v>8</v>
      </c>
      <c r="W1103" s="3">
        <v>72</v>
      </c>
    </row>
    <row r="1104" spans="1:23" ht="11.25" customHeight="1" x14ac:dyDescent="0.25">
      <c r="A1104" s="3" t="s">
        <v>21</v>
      </c>
      <c r="B1104" s="3" t="s">
        <v>33</v>
      </c>
      <c r="C1104" s="3" t="s">
        <v>34</v>
      </c>
      <c r="D1104" s="3" t="s">
        <v>24</v>
      </c>
      <c r="E1104" s="3" t="s">
        <v>24</v>
      </c>
      <c r="F1104" s="3" t="s">
        <v>25</v>
      </c>
      <c r="G1104" s="3" t="s">
        <v>25</v>
      </c>
      <c r="H1104" s="3" t="s">
        <v>35</v>
      </c>
      <c r="I1104" s="6">
        <v>44621</v>
      </c>
      <c r="J1104" s="4">
        <v>0</v>
      </c>
      <c r="K1104" s="4">
        <v>0</v>
      </c>
      <c r="L1104" s="4">
        <v>0.625</v>
      </c>
      <c r="M1104" s="4">
        <v>0.625</v>
      </c>
      <c r="N1104" s="4">
        <v>0.625</v>
      </c>
      <c r="O1104" s="4">
        <v>0.625</v>
      </c>
      <c r="P1104" s="4">
        <v>0</v>
      </c>
      <c r="Q1104" s="3" t="s">
        <v>26</v>
      </c>
      <c r="R1104" s="3">
        <v>0</v>
      </c>
      <c r="S1104" s="3" t="s">
        <v>322</v>
      </c>
      <c r="T1104" s="3" t="s">
        <v>559</v>
      </c>
      <c r="U1104" s="3">
        <v>0</v>
      </c>
      <c r="V1104" s="3">
        <v>8</v>
      </c>
      <c r="W1104" s="3">
        <v>72</v>
      </c>
    </row>
    <row r="1105" spans="1:23" ht="11.25" customHeight="1" x14ac:dyDescent="0.25">
      <c r="A1105" s="3" t="s">
        <v>28</v>
      </c>
      <c r="B1105" s="3" t="s">
        <v>33</v>
      </c>
      <c r="C1105" s="3" t="s">
        <v>34</v>
      </c>
      <c r="D1105" s="3" t="s">
        <v>24</v>
      </c>
      <c r="E1105" s="3" t="s">
        <v>24</v>
      </c>
      <c r="F1105" s="3" t="s">
        <v>25</v>
      </c>
      <c r="G1105" s="3" t="s">
        <v>25</v>
      </c>
      <c r="H1105" s="3" t="s">
        <v>35</v>
      </c>
      <c r="I1105" s="6">
        <v>44621</v>
      </c>
      <c r="J1105" s="4">
        <v>0</v>
      </c>
      <c r="K1105" s="4">
        <v>0</v>
      </c>
      <c r="L1105" s="4">
        <v>2.8000000000000001E-2</v>
      </c>
      <c r="M1105" s="4">
        <v>2.8000000000000001E-2</v>
      </c>
      <c r="N1105" s="4">
        <v>2.8000000000000001E-2</v>
      </c>
      <c r="O1105" s="4">
        <v>2.8000000000000001E-2</v>
      </c>
      <c r="P1105" s="4">
        <v>0</v>
      </c>
      <c r="Q1105" s="3" t="s">
        <v>26</v>
      </c>
      <c r="R1105" s="3">
        <v>0</v>
      </c>
      <c r="S1105" s="3" t="s">
        <v>322</v>
      </c>
      <c r="T1105" s="3" t="s">
        <v>559</v>
      </c>
      <c r="U1105" s="3">
        <v>0</v>
      </c>
      <c r="V1105" s="3">
        <v>8</v>
      </c>
      <c r="W1105" s="3">
        <v>72</v>
      </c>
    </row>
    <row r="1106" spans="1:23" ht="11.25" customHeight="1" x14ac:dyDescent="0.25">
      <c r="A1106" s="3" t="s">
        <v>56</v>
      </c>
      <c r="B1106" s="3" t="s">
        <v>33</v>
      </c>
      <c r="C1106" s="3" t="s">
        <v>34</v>
      </c>
      <c r="D1106" s="3" t="s">
        <v>24</v>
      </c>
      <c r="E1106" s="3" t="s">
        <v>24</v>
      </c>
      <c r="F1106" s="3" t="s">
        <v>25</v>
      </c>
      <c r="G1106" s="3" t="s">
        <v>25</v>
      </c>
      <c r="H1106" s="3" t="s">
        <v>35</v>
      </c>
      <c r="I1106" s="6">
        <v>44652</v>
      </c>
      <c r="J1106" s="4">
        <v>0</v>
      </c>
      <c r="K1106" s="4">
        <v>0</v>
      </c>
      <c r="L1106" s="4">
        <v>0.625</v>
      </c>
      <c r="M1106" s="4">
        <v>0.625</v>
      </c>
      <c r="N1106" s="4">
        <v>0.625</v>
      </c>
      <c r="O1106" s="4">
        <v>0.625</v>
      </c>
      <c r="P1106" s="4">
        <v>0</v>
      </c>
      <c r="Q1106" s="3" t="s">
        <v>26</v>
      </c>
      <c r="R1106" s="3">
        <v>0</v>
      </c>
      <c r="S1106" s="3" t="s">
        <v>323</v>
      </c>
      <c r="T1106" s="3" t="s">
        <v>560</v>
      </c>
      <c r="U1106" s="3">
        <v>0</v>
      </c>
      <c r="V1106" s="3">
        <v>8</v>
      </c>
      <c r="W1106" s="3">
        <v>72</v>
      </c>
    </row>
    <row r="1107" spans="1:23" ht="11.25" customHeight="1" x14ac:dyDescent="0.25">
      <c r="A1107" s="3" t="s">
        <v>56</v>
      </c>
      <c r="B1107" s="3" t="s">
        <v>33</v>
      </c>
      <c r="C1107" s="3" t="s">
        <v>34</v>
      </c>
      <c r="D1107" s="3" t="s">
        <v>24</v>
      </c>
      <c r="E1107" s="3" t="s">
        <v>24</v>
      </c>
      <c r="F1107" s="3" t="s">
        <v>25</v>
      </c>
      <c r="G1107" s="3" t="s">
        <v>25</v>
      </c>
      <c r="H1107" s="3" t="s">
        <v>35</v>
      </c>
      <c r="I1107" s="6">
        <v>44652</v>
      </c>
      <c r="J1107" s="4">
        <v>0</v>
      </c>
      <c r="K1107" s="4">
        <v>0</v>
      </c>
      <c r="L1107" s="4">
        <v>2.8000000000000001E-2</v>
      </c>
      <c r="M1107" s="4">
        <v>2.8000000000000001E-2</v>
      </c>
      <c r="N1107" s="4">
        <v>2.8000000000000001E-2</v>
      </c>
      <c r="O1107" s="4">
        <v>2.8000000000000001E-2</v>
      </c>
      <c r="P1107" s="4">
        <v>0</v>
      </c>
      <c r="Q1107" s="3" t="s">
        <v>26</v>
      </c>
      <c r="R1107" s="3">
        <v>0</v>
      </c>
      <c r="S1107" s="3" t="s">
        <v>323</v>
      </c>
      <c r="T1107" s="3" t="s">
        <v>560</v>
      </c>
      <c r="U1107" s="3">
        <v>0</v>
      </c>
      <c r="V1107" s="3">
        <v>8</v>
      </c>
      <c r="W1107" s="3">
        <v>72</v>
      </c>
    </row>
    <row r="1108" spans="1:23" ht="11.25" customHeight="1" x14ac:dyDescent="0.25">
      <c r="A1108" s="3" t="s">
        <v>21</v>
      </c>
      <c r="B1108" s="3" t="s">
        <v>33</v>
      </c>
      <c r="C1108" s="3" t="s">
        <v>34</v>
      </c>
      <c r="D1108" s="3" t="s">
        <v>45</v>
      </c>
      <c r="E1108" s="3" t="s">
        <v>53</v>
      </c>
      <c r="F1108" s="3" t="s">
        <v>55</v>
      </c>
      <c r="G1108" s="3" t="s">
        <v>25</v>
      </c>
      <c r="H1108" s="3" t="s">
        <v>36</v>
      </c>
      <c r="I1108" s="6">
        <v>44317</v>
      </c>
      <c r="J1108" s="4">
        <v>0</v>
      </c>
      <c r="K1108" s="4">
        <v>0</v>
      </c>
      <c r="L1108" s="4">
        <v>122.298</v>
      </c>
      <c r="M1108" s="4">
        <v>12.229799999999999</v>
      </c>
      <c r="N1108" s="4">
        <v>122.298</v>
      </c>
      <c r="O1108" s="4">
        <v>12.229799999999999</v>
      </c>
      <c r="P1108" s="4">
        <v>0</v>
      </c>
      <c r="Q1108" s="3" t="s">
        <v>26</v>
      </c>
      <c r="R1108" s="3">
        <v>0</v>
      </c>
      <c r="S1108" s="3" t="s">
        <v>288</v>
      </c>
      <c r="T1108" s="3" t="s">
        <v>537</v>
      </c>
      <c r="U1108" s="3">
        <v>0</v>
      </c>
      <c r="V1108" s="3">
        <v>29</v>
      </c>
      <c r="W1108" s="3">
        <v>73</v>
      </c>
    </row>
    <row r="1109" spans="1:23" ht="11.25" customHeight="1" x14ac:dyDescent="0.25">
      <c r="A1109" s="3" t="s">
        <v>21</v>
      </c>
      <c r="B1109" s="3" t="s">
        <v>33</v>
      </c>
      <c r="C1109" s="3" t="s">
        <v>34</v>
      </c>
      <c r="D1109" s="3" t="s">
        <v>45</v>
      </c>
      <c r="E1109" s="3" t="s">
        <v>53</v>
      </c>
      <c r="F1109" s="3" t="s">
        <v>55</v>
      </c>
      <c r="G1109" s="3" t="s">
        <v>25</v>
      </c>
      <c r="H1109" s="3" t="s">
        <v>36</v>
      </c>
      <c r="I1109" s="6">
        <v>44348</v>
      </c>
      <c r="J1109" s="4">
        <v>0</v>
      </c>
      <c r="K1109" s="4">
        <v>0</v>
      </c>
      <c r="L1109" s="4">
        <v>117.717</v>
      </c>
      <c r="M1109" s="4">
        <v>11.771699999999999</v>
      </c>
      <c r="N1109" s="4">
        <v>117.717</v>
      </c>
      <c r="O1109" s="4">
        <v>11.771699999999999</v>
      </c>
      <c r="P1109" s="4">
        <v>0</v>
      </c>
      <c r="Q1109" s="3" t="s">
        <v>26</v>
      </c>
      <c r="R1109" s="3">
        <v>0</v>
      </c>
      <c r="S1109" s="3" t="s">
        <v>289</v>
      </c>
      <c r="T1109" s="3" t="s">
        <v>538</v>
      </c>
      <c r="U1109" s="3">
        <v>0</v>
      </c>
      <c r="V1109" s="3">
        <v>29</v>
      </c>
      <c r="W1109" s="3">
        <v>73</v>
      </c>
    </row>
    <row r="1110" spans="1:23" ht="11.25" customHeight="1" x14ac:dyDescent="0.25">
      <c r="A1110" s="3" t="s">
        <v>27</v>
      </c>
      <c r="B1110" s="3" t="s">
        <v>33</v>
      </c>
      <c r="C1110" s="3" t="s">
        <v>34</v>
      </c>
      <c r="D1110" s="3" t="s">
        <v>45</v>
      </c>
      <c r="E1110" s="3" t="s">
        <v>53</v>
      </c>
      <c r="F1110" s="3" t="s">
        <v>55</v>
      </c>
      <c r="G1110" s="3" t="s">
        <v>25</v>
      </c>
      <c r="H1110" s="3" t="s">
        <v>36</v>
      </c>
      <c r="I1110" s="6">
        <v>44348</v>
      </c>
      <c r="J1110" s="4">
        <v>0</v>
      </c>
      <c r="K1110" s="4">
        <v>0</v>
      </c>
      <c r="L1110" s="4">
        <v>-61.277000000000001</v>
      </c>
      <c r="M1110" s="4">
        <v>-6.1276999999999999</v>
      </c>
      <c r="N1110" s="4">
        <v>-61.277000000000001</v>
      </c>
      <c r="O1110" s="4">
        <v>-6.1276999999999999</v>
      </c>
      <c r="P1110" s="4">
        <v>0</v>
      </c>
      <c r="Q1110" s="3" t="s">
        <v>26</v>
      </c>
      <c r="R1110" s="3">
        <v>0</v>
      </c>
      <c r="S1110" s="3" t="s">
        <v>289</v>
      </c>
      <c r="T1110" s="3" t="s">
        <v>538</v>
      </c>
      <c r="U1110" s="3">
        <v>0</v>
      </c>
      <c r="V1110" s="3">
        <v>29</v>
      </c>
      <c r="W1110" s="3">
        <v>73</v>
      </c>
    </row>
    <row r="1111" spans="1:23" ht="11.25" customHeight="1" x14ac:dyDescent="0.25">
      <c r="A1111" s="3" t="s">
        <v>21</v>
      </c>
      <c r="B1111" s="3" t="s">
        <v>33</v>
      </c>
      <c r="C1111" s="3" t="s">
        <v>34</v>
      </c>
      <c r="D1111" s="3" t="s">
        <v>45</v>
      </c>
      <c r="E1111" s="3" t="s">
        <v>53</v>
      </c>
      <c r="F1111" s="3" t="s">
        <v>55</v>
      </c>
      <c r="G1111" s="3" t="s">
        <v>25</v>
      </c>
      <c r="H1111" s="3" t="s">
        <v>36</v>
      </c>
      <c r="I1111" s="6">
        <v>44378</v>
      </c>
      <c r="J1111" s="4">
        <v>0</v>
      </c>
      <c r="K1111" s="4">
        <v>0</v>
      </c>
      <c r="L1111" s="4">
        <v>172.75399999999999</v>
      </c>
      <c r="M1111" s="4">
        <v>17.275400000000001</v>
      </c>
      <c r="N1111" s="4">
        <v>172.75399999999999</v>
      </c>
      <c r="O1111" s="4">
        <v>17.275400000000001</v>
      </c>
      <c r="P1111" s="4">
        <v>0</v>
      </c>
      <c r="Q1111" s="3" t="s">
        <v>26</v>
      </c>
      <c r="R1111" s="3">
        <v>0</v>
      </c>
      <c r="S1111" s="3" t="s">
        <v>290</v>
      </c>
      <c r="T1111" s="3" t="s">
        <v>539</v>
      </c>
      <c r="U1111" s="3">
        <v>0</v>
      </c>
      <c r="V1111" s="3">
        <v>29</v>
      </c>
      <c r="W1111" s="3">
        <v>73</v>
      </c>
    </row>
    <row r="1112" spans="1:23" ht="11.25" customHeight="1" x14ac:dyDescent="0.25">
      <c r="A1112" s="3" t="s">
        <v>27</v>
      </c>
      <c r="B1112" s="3" t="s">
        <v>33</v>
      </c>
      <c r="C1112" s="3" t="s">
        <v>34</v>
      </c>
      <c r="D1112" s="3" t="s">
        <v>45</v>
      </c>
      <c r="E1112" s="3" t="s">
        <v>53</v>
      </c>
      <c r="F1112" s="3" t="s">
        <v>55</v>
      </c>
      <c r="G1112" s="3" t="s">
        <v>25</v>
      </c>
      <c r="H1112" s="3" t="s">
        <v>36</v>
      </c>
      <c r="I1112" s="6">
        <v>44378</v>
      </c>
      <c r="J1112" s="4">
        <v>0</v>
      </c>
      <c r="K1112" s="4">
        <v>0</v>
      </c>
      <c r="L1112" s="4">
        <v>-54.831000000000003</v>
      </c>
      <c r="M1112" s="4">
        <v>-5.4831000000000003</v>
      </c>
      <c r="N1112" s="4">
        <v>-54.831000000000003</v>
      </c>
      <c r="O1112" s="4">
        <v>-5.4831000000000003</v>
      </c>
      <c r="P1112" s="4">
        <v>0</v>
      </c>
      <c r="Q1112" s="3" t="s">
        <v>26</v>
      </c>
      <c r="R1112" s="3">
        <v>0</v>
      </c>
      <c r="S1112" s="3" t="s">
        <v>290</v>
      </c>
      <c r="T1112" s="3" t="s">
        <v>539</v>
      </c>
      <c r="U1112" s="3">
        <v>0</v>
      </c>
      <c r="V1112" s="3">
        <v>29</v>
      </c>
      <c r="W1112" s="3">
        <v>73</v>
      </c>
    </row>
    <row r="1113" spans="1:23" ht="11.25" customHeight="1" x14ac:dyDescent="0.25">
      <c r="A1113" s="3" t="s">
        <v>21</v>
      </c>
      <c r="B1113" s="3" t="s">
        <v>33</v>
      </c>
      <c r="C1113" s="3" t="s">
        <v>34</v>
      </c>
      <c r="D1113" s="3" t="s">
        <v>45</v>
      </c>
      <c r="E1113" s="3" t="s">
        <v>53</v>
      </c>
      <c r="F1113" s="3" t="s">
        <v>55</v>
      </c>
      <c r="G1113" s="3" t="s">
        <v>25</v>
      </c>
      <c r="H1113" s="3" t="s">
        <v>36</v>
      </c>
      <c r="I1113" s="6">
        <v>44409</v>
      </c>
      <c r="J1113" s="4">
        <v>0</v>
      </c>
      <c r="K1113" s="4">
        <v>0</v>
      </c>
      <c r="L1113" s="4">
        <v>289.83300000000003</v>
      </c>
      <c r="M1113" s="4">
        <v>28.9833</v>
      </c>
      <c r="N1113" s="4">
        <v>289.83300000000003</v>
      </c>
      <c r="O1113" s="4">
        <v>28.9833</v>
      </c>
      <c r="P1113" s="4">
        <v>0</v>
      </c>
      <c r="Q1113" s="3" t="s">
        <v>26</v>
      </c>
      <c r="R1113" s="3">
        <v>0</v>
      </c>
      <c r="S1113" s="3" t="s">
        <v>291</v>
      </c>
      <c r="T1113" s="3" t="s">
        <v>540</v>
      </c>
      <c r="U1113" s="3">
        <v>0</v>
      </c>
      <c r="V1113" s="3">
        <v>29</v>
      </c>
      <c r="W1113" s="3">
        <v>73</v>
      </c>
    </row>
    <row r="1114" spans="1:23" ht="11.25" customHeight="1" x14ac:dyDescent="0.25">
      <c r="A1114" s="3" t="s">
        <v>27</v>
      </c>
      <c r="B1114" s="3" t="s">
        <v>33</v>
      </c>
      <c r="C1114" s="3" t="s">
        <v>34</v>
      </c>
      <c r="D1114" s="3" t="s">
        <v>45</v>
      </c>
      <c r="E1114" s="3" t="s">
        <v>53</v>
      </c>
      <c r="F1114" s="3" t="s">
        <v>55</v>
      </c>
      <c r="G1114" s="3" t="s">
        <v>25</v>
      </c>
      <c r="H1114" s="3" t="s">
        <v>36</v>
      </c>
      <c r="I1114" s="6">
        <v>44409</v>
      </c>
      <c r="J1114" s="4">
        <v>0</v>
      </c>
      <c r="K1114" s="4">
        <v>0</v>
      </c>
      <c r="L1114" s="4">
        <v>43.429000000000002</v>
      </c>
      <c r="M1114" s="4">
        <v>4.3429000000000002</v>
      </c>
      <c r="N1114" s="4">
        <v>43.429000000000002</v>
      </c>
      <c r="O1114" s="4">
        <v>4.3429000000000002</v>
      </c>
      <c r="P1114" s="4">
        <v>0</v>
      </c>
      <c r="Q1114" s="3" t="s">
        <v>26</v>
      </c>
      <c r="R1114" s="3">
        <v>0</v>
      </c>
      <c r="S1114" s="3" t="s">
        <v>291</v>
      </c>
      <c r="T1114" s="3" t="s">
        <v>540</v>
      </c>
      <c r="U1114" s="3">
        <v>0</v>
      </c>
      <c r="V1114" s="3">
        <v>29</v>
      </c>
      <c r="W1114" s="3">
        <v>73</v>
      </c>
    </row>
    <row r="1115" spans="1:23" ht="11.25" customHeight="1" x14ac:dyDescent="0.25">
      <c r="A1115" s="3" t="s">
        <v>21</v>
      </c>
      <c r="B1115" s="3" t="s">
        <v>33</v>
      </c>
      <c r="C1115" s="3" t="s">
        <v>34</v>
      </c>
      <c r="D1115" s="3" t="s">
        <v>45</v>
      </c>
      <c r="E1115" s="3" t="s">
        <v>53</v>
      </c>
      <c r="F1115" s="3" t="s">
        <v>55</v>
      </c>
      <c r="G1115" s="3" t="s">
        <v>25</v>
      </c>
      <c r="H1115" s="3" t="s">
        <v>36</v>
      </c>
      <c r="I1115" s="6">
        <v>44440</v>
      </c>
      <c r="J1115" s="4">
        <v>0</v>
      </c>
      <c r="K1115" s="4">
        <v>0</v>
      </c>
      <c r="L1115" s="4">
        <v>616.38</v>
      </c>
      <c r="M1115" s="4">
        <v>61.637999999999998</v>
      </c>
      <c r="N1115" s="4">
        <v>616.38</v>
      </c>
      <c r="O1115" s="4">
        <v>61.637999999999998</v>
      </c>
      <c r="P1115" s="4">
        <v>0</v>
      </c>
      <c r="Q1115" s="3" t="s">
        <v>26</v>
      </c>
      <c r="R1115" s="3">
        <v>0</v>
      </c>
      <c r="S1115" s="3" t="s">
        <v>292</v>
      </c>
      <c r="T1115" s="3" t="s">
        <v>541</v>
      </c>
      <c r="U1115" s="3">
        <v>0</v>
      </c>
      <c r="V1115" s="3">
        <v>29</v>
      </c>
      <c r="W1115" s="3">
        <v>73</v>
      </c>
    </row>
    <row r="1116" spans="1:23" ht="11.25" customHeight="1" x14ac:dyDescent="0.25">
      <c r="A1116" s="3" t="s">
        <v>27</v>
      </c>
      <c r="B1116" s="3" t="s">
        <v>33</v>
      </c>
      <c r="C1116" s="3" t="s">
        <v>34</v>
      </c>
      <c r="D1116" s="3" t="s">
        <v>45</v>
      </c>
      <c r="E1116" s="3" t="s">
        <v>53</v>
      </c>
      <c r="F1116" s="3" t="s">
        <v>55</v>
      </c>
      <c r="G1116" s="3" t="s">
        <v>25</v>
      </c>
      <c r="H1116" s="3" t="s">
        <v>36</v>
      </c>
      <c r="I1116" s="6">
        <v>44440</v>
      </c>
      <c r="J1116" s="4">
        <v>0</v>
      </c>
      <c r="K1116" s="4">
        <v>0</v>
      </c>
      <c r="L1116" s="4">
        <v>-85.463999999999999</v>
      </c>
      <c r="M1116" s="4">
        <v>-8.5464000000000002</v>
      </c>
      <c r="N1116" s="4">
        <v>-85.463999999999999</v>
      </c>
      <c r="O1116" s="4">
        <v>-8.5464000000000002</v>
      </c>
      <c r="P1116" s="4">
        <v>0</v>
      </c>
      <c r="Q1116" s="3" t="s">
        <v>26</v>
      </c>
      <c r="R1116" s="3">
        <v>0</v>
      </c>
      <c r="S1116" s="3" t="s">
        <v>292</v>
      </c>
      <c r="T1116" s="3" t="s">
        <v>541</v>
      </c>
      <c r="U1116" s="3">
        <v>0</v>
      </c>
      <c r="V1116" s="3">
        <v>29</v>
      </c>
      <c r="W1116" s="3">
        <v>73</v>
      </c>
    </row>
    <row r="1117" spans="1:23" ht="11.25" customHeight="1" x14ac:dyDescent="0.25">
      <c r="A1117" s="3" t="s">
        <v>21</v>
      </c>
      <c r="B1117" s="3" t="s">
        <v>33</v>
      </c>
      <c r="C1117" s="3" t="s">
        <v>34</v>
      </c>
      <c r="D1117" s="3" t="s">
        <v>45</v>
      </c>
      <c r="E1117" s="3" t="s">
        <v>53</v>
      </c>
      <c r="F1117" s="3" t="s">
        <v>55</v>
      </c>
      <c r="G1117" s="3" t="s">
        <v>25</v>
      </c>
      <c r="H1117" s="3" t="s">
        <v>36</v>
      </c>
      <c r="I1117" s="6">
        <v>44470</v>
      </c>
      <c r="J1117" s="4">
        <v>0</v>
      </c>
      <c r="K1117" s="4">
        <v>0</v>
      </c>
      <c r="L1117" s="4">
        <v>1721.6189999999999</v>
      </c>
      <c r="M1117" s="4">
        <v>172.1619</v>
      </c>
      <c r="N1117" s="4">
        <v>1721.6189999999999</v>
      </c>
      <c r="O1117" s="4">
        <v>172.1619</v>
      </c>
      <c r="P1117" s="4">
        <v>0</v>
      </c>
      <c r="Q1117" s="3" t="s">
        <v>26</v>
      </c>
      <c r="R1117" s="3">
        <v>0</v>
      </c>
      <c r="S1117" s="3" t="s">
        <v>293</v>
      </c>
      <c r="T1117" s="3" t="s">
        <v>542</v>
      </c>
      <c r="U1117" s="3">
        <v>0</v>
      </c>
      <c r="V1117" s="3">
        <v>29</v>
      </c>
      <c r="W1117" s="3">
        <v>73</v>
      </c>
    </row>
    <row r="1118" spans="1:23" ht="11.25" customHeight="1" x14ac:dyDescent="0.25">
      <c r="A1118" s="3" t="s">
        <v>21</v>
      </c>
      <c r="B1118" s="3" t="s">
        <v>33</v>
      </c>
      <c r="C1118" s="3" t="s">
        <v>34</v>
      </c>
      <c r="D1118" s="3" t="s">
        <v>45</v>
      </c>
      <c r="E1118" s="3" t="s">
        <v>53</v>
      </c>
      <c r="F1118" s="3" t="s">
        <v>55</v>
      </c>
      <c r="G1118" s="3" t="s">
        <v>25</v>
      </c>
      <c r="H1118" s="3" t="s">
        <v>36</v>
      </c>
      <c r="I1118" s="6">
        <v>44501</v>
      </c>
      <c r="J1118" s="4">
        <v>0</v>
      </c>
      <c r="K1118" s="4">
        <v>0</v>
      </c>
      <c r="L1118" s="4">
        <v>2664.7179999999998</v>
      </c>
      <c r="M1118" s="4">
        <v>266.47179999999997</v>
      </c>
      <c r="N1118" s="4">
        <v>2664.7179999999998</v>
      </c>
      <c r="O1118" s="4">
        <v>266.47179999999997</v>
      </c>
      <c r="P1118" s="4">
        <v>0</v>
      </c>
      <c r="Q1118" s="3" t="s">
        <v>26</v>
      </c>
      <c r="R1118" s="3">
        <v>0</v>
      </c>
      <c r="S1118" s="3" t="s">
        <v>294</v>
      </c>
      <c r="T1118" s="3" t="s">
        <v>543</v>
      </c>
      <c r="U1118" s="3">
        <v>0</v>
      </c>
      <c r="V1118" s="3">
        <v>29</v>
      </c>
      <c r="W1118" s="3">
        <v>73</v>
      </c>
    </row>
    <row r="1119" spans="1:23" ht="11.25" customHeight="1" x14ac:dyDescent="0.25">
      <c r="A1119" s="3" t="s">
        <v>21</v>
      </c>
      <c r="B1119" s="3" t="s">
        <v>33</v>
      </c>
      <c r="C1119" s="3" t="s">
        <v>34</v>
      </c>
      <c r="D1119" s="3" t="s">
        <v>45</v>
      </c>
      <c r="E1119" s="3" t="s">
        <v>53</v>
      </c>
      <c r="F1119" s="3" t="s">
        <v>55</v>
      </c>
      <c r="G1119" s="3" t="s">
        <v>25</v>
      </c>
      <c r="H1119" s="3" t="s">
        <v>36</v>
      </c>
      <c r="I1119" s="6">
        <v>44531</v>
      </c>
      <c r="J1119" s="4">
        <v>0</v>
      </c>
      <c r="K1119" s="4">
        <v>0</v>
      </c>
      <c r="L1119" s="4">
        <v>2411.5529999999999</v>
      </c>
      <c r="M1119" s="4">
        <v>241.15530000000001</v>
      </c>
      <c r="N1119" s="4">
        <v>2411.5529999999999</v>
      </c>
      <c r="O1119" s="4">
        <v>241.15530000000001</v>
      </c>
      <c r="P1119" s="4">
        <v>0</v>
      </c>
      <c r="Q1119" s="3" t="s">
        <v>26</v>
      </c>
      <c r="R1119" s="3">
        <v>0</v>
      </c>
      <c r="S1119" s="3" t="s">
        <v>295</v>
      </c>
      <c r="T1119" s="3" t="s">
        <v>544</v>
      </c>
      <c r="U1119" s="3">
        <v>0</v>
      </c>
      <c r="V1119" s="3">
        <v>29</v>
      </c>
      <c r="W1119" s="3">
        <v>73</v>
      </c>
    </row>
    <row r="1120" spans="1:23" ht="11.25" customHeight="1" x14ac:dyDescent="0.25">
      <c r="A1120" s="3" t="s">
        <v>21</v>
      </c>
      <c r="B1120" s="3" t="s">
        <v>33</v>
      </c>
      <c r="C1120" s="3" t="s">
        <v>34</v>
      </c>
      <c r="D1120" s="3" t="s">
        <v>45</v>
      </c>
      <c r="E1120" s="3" t="s">
        <v>53</v>
      </c>
      <c r="F1120" s="3" t="s">
        <v>55</v>
      </c>
      <c r="G1120" s="3" t="s">
        <v>25</v>
      </c>
      <c r="H1120" s="3" t="s">
        <v>36</v>
      </c>
      <c r="I1120" s="6">
        <v>44562</v>
      </c>
      <c r="J1120" s="4">
        <v>0</v>
      </c>
      <c r="K1120" s="4">
        <v>0</v>
      </c>
      <c r="L1120" s="4">
        <v>2089.877</v>
      </c>
      <c r="M1120" s="4">
        <v>208.98769999999999</v>
      </c>
      <c r="N1120" s="4">
        <v>2089.877</v>
      </c>
      <c r="O1120" s="4">
        <v>208.98769999999999</v>
      </c>
      <c r="P1120" s="4">
        <v>0</v>
      </c>
      <c r="Q1120" s="3" t="s">
        <v>26</v>
      </c>
      <c r="R1120" s="3">
        <v>0</v>
      </c>
      <c r="S1120" s="3" t="s">
        <v>296</v>
      </c>
      <c r="T1120" s="3" t="s">
        <v>545</v>
      </c>
      <c r="U1120" s="3">
        <v>0</v>
      </c>
      <c r="V1120" s="3">
        <v>29</v>
      </c>
      <c r="W1120" s="3">
        <v>73</v>
      </c>
    </row>
    <row r="1121" spans="1:23" ht="11.25" customHeight="1" x14ac:dyDescent="0.25">
      <c r="A1121" s="3" t="s">
        <v>27</v>
      </c>
      <c r="B1121" s="3" t="s">
        <v>33</v>
      </c>
      <c r="C1121" s="3" t="s">
        <v>34</v>
      </c>
      <c r="D1121" s="3" t="s">
        <v>45</v>
      </c>
      <c r="E1121" s="3" t="s">
        <v>53</v>
      </c>
      <c r="F1121" s="3" t="s">
        <v>55</v>
      </c>
      <c r="G1121" s="3" t="s">
        <v>25</v>
      </c>
      <c r="H1121" s="3" t="s">
        <v>36</v>
      </c>
      <c r="I1121" s="6">
        <v>44562</v>
      </c>
      <c r="J1121" s="4">
        <v>0</v>
      </c>
      <c r="K1121" s="4">
        <v>0</v>
      </c>
      <c r="L1121" s="4">
        <v>-73.459999999999994</v>
      </c>
      <c r="M1121" s="4">
        <v>-7.3460000000000001</v>
      </c>
      <c r="N1121" s="4">
        <v>-73.459999999999994</v>
      </c>
      <c r="O1121" s="4">
        <v>-7.3460000000000001</v>
      </c>
      <c r="P1121" s="4">
        <v>0</v>
      </c>
      <c r="Q1121" s="3" t="s">
        <v>26</v>
      </c>
      <c r="R1121" s="3">
        <v>0</v>
      </c>
      <c r="S1121" s="3" t="s">
        <v>296</v>
      </c>
      <c r="T1121" s="3" t="s">
        <v>545</v>
      </c>
      <c r="U1121" s="3">
        <v>0</v>
      </c>
      <c r="V1121" s="3">
        <v>29</v>
      </c>
      <c r="W1121" s="3">
        <v>73</v>
      </c>
    </row>
    <row r="1122" spans="1:23" ht="11.25" customHeight="1" x14ac:dyDescent="0.25">
      <c r="A1122" s="3" t="s">
        <v>21</v>
      </c>
      <c r="B1122" s="3" t="s">
        <v>33</v>
      </c>
      <c r="C1122" s="3" t="s">
        <v>34</v>
      </c>
      <c r="D1122" s="3" t="s">
        <v>45</v>
      </c>
      <c r="E1122" s="3" t="s">
        <v>53</v>
      </c>
      <c r="F1122" s="3" t="s">
        <v>55</v>
      </c>
      <c r="G1122" s="3" t="s">
        <v>25</v>
      </c>
      <c r="H1122" s="3" t="s">
        <v>36</v>
      </c>
      <c r="I1122" s="6">
        <v>44593</v>
      </c>
      <c r="J1122" s="4">
        <v>0</v>
      </c>
      <c r="K1122" s="4">
        <v>0</v>
      </c>
      <c r="L1122" s="4">
        <v>2718.4349999999999</v>
      </c>
      <c r="M1122" s="4">
        <v>271.84350000000001</v>
      </c>
      <c r="N1122" s="4">
        <v>2718.4349999999999</v>
      </c>
      <c r="O1122" s="4">
        <v>271.84350000000001</v>
      </c>
      <c r="P1122" s="4">
        <v>0</v>
      </c>
      <c r="Q1122" s="3" t="s">
        <v>26</v>
      </c>
      <c r="R1122" s="3">
        <v>0</v>
      </c>
      <c r="S1122" s="3" t="s">
        <v>297</v>
      </c>
      <c r="T1122" s="3" t="s">
        <v>546</v>
      </c>
      <c r="U1122" s="3">
        <v>0</v>
      </c>
      <c r="V1122" s="3">
        <v>29</v>
      </c>
      <c r="W1122" s="3">
        <v>73</v>
      </c>
    </row>
    <row r="1123" spans="1:23" ht="11.25" customHeight="1" x14ac:dyDescent="0.25">
      <c r="A1123" s="3" t="s">
        <v>21</v>
      </c>
      <c r="B1123" s="3" t="s">
        <v>33</v>
      </c>
      <c r="C1123" s="3" t="s">
        <v>34</v>
      </c>
      <c r="D1123" s="3" t="s">
        <v>45</v>
      </c>
      <c r="E1123" s="3" t="s">
        <v>53</v>
      </c>
      <c r="F1123" s="3" t="s">
        <v>55</v>
      </c>
      <c r="G1123" s="3" t="s">
        <v>25</v>
      </c>
      <c r="H1123" s="3" t="s">
        <v>36</v>
      </c>
      <c r="I1123" s="6">
        <v>44621</v>
      </c>
      <c r="J1123" s="4">
        <v>0</v>
      </c>
      <c r="K1123" s="4">
        <v>0</v>
      </c>
      <c r="L1123" s="4">
        <v>986.07399999999996</v>
      </c>
      <c r="M1123" s="4">
        <v>98.607399999999998</v>
      </c>
      <c r="N1123" s="4">
        <v>986.07399999999996</v>
      </c>
      <c r="O1123" s="4">
        <v>98.607399999999998</v>
      </c>
      <c r="P1123" s="4">
        <v>0</v>
      </c>
      <c r="Q1123" s="3" t="s">
        <v>26</v>
      </c>
      <c r="R1123" s="3">
        <v>0</v>
      </c>
      <c r="S1123" s="3" t="s">
        <v>298</v>
      </c>
      <c r="T1123" s="3" t="s">
        <v>547</v>
      </c>
      <c r="U1123" s="3">
        <v>0</v>
      </c>
      <c r="V1123" s="3">
        <v>29</v>
      </c>
      <c r="W1123" s="3">
        <v>73</v>
      </c>
    </row>
    <row r="1124" spans="1:23" ht="11.25" customHeight="1" x14ac:dyDescent="0.25">
      <c r="A1124" s="3" t="s">
        <v>27</v>
      </c>
      <c r="B1124" s="3" t="s">
        <v>33</v>
      </c>
      <c r="C1124" s="3" t="s">
        <v>34</v>
      </c>
      <c r="D1124" s="3" t="s">
        <v>45</v>
      </c>
      <c r="E1124" s="3" t="s">
        <v>53</v>
      </c>
      <c r="F1124" s="3" t="s">
        <v>55</v>
      </c>
      <c r="G1124" s="3" t="s">
        <v>25</v>
      </c>
      <c r="H1124" s="3" t="s">
        <v>36</v>
      </c>
      <c r="I1124" s="6">
        <v>44621</v>
      </c>
      <c r="J1124" s="4">
        <v>0</v>
      </c>
      <c r="K1124" s="4">
        <v>0</v>
      </c>
      <c r="L1124" s="4">
        <v>6.6920000000000002</v>
      </c>
      <c r="M1124" s="4">
        <v>0.66920000000000002</v>
      </c>
      <c r="N1124" s="4">
        <v>6.6920000000000002</v>
      </c>
      <c r="O1124" s="4">
        <v>0.66920000000000002</v>
      </c>
      <c r="P1124" s="4">
        <v>0</v>
      </c>
      <c r="Q1124" s="3" t="s">
        <v>26</v>
      </c>
      <c r="R1124" s="3">
        <v>0</v>
      </c>
      <c r="S1124" s="3" t="s">
        <v>298</v>
      </c>
      <c r="T1124" s="3" t="s">
        <v>547</v>
      </c>
      <c r="U1124" s="3">
        <v>0</v>
      </c>
      <c r="V1124" s="3">
        <v>29</v>
      </c>
      <c r="W1124" s="3">
        <v>73</v>
      </c>
    </row>
    <row r="1125" spans="1:23" ht="11.25" customHeight="1" x14ac:dyDescent="0.25">
      <c r="A1125" s="3" t="s">
        <v>56</v>
      </c>
      <c r="B1125" s="3" t="s">
        <v>33</v>
      </c>
      <c r="C1125" s="3" t="s">
        <v>34</v>
      </c>
      <c r="D1125" s="3" t="s">
        <v>45</v>
      </c>
      <c r="E1125" s="3" t="s">
        <v>53</v>
      </c>
      <c r="F1125" s="3" t="s">
        <v>55</v>
      </c>
      <c r="G1125" s="3" t="s">
        <v>25</v>
      </c>
      <c r="H1125" s="3" t="s">
        <v>36</v>
      </c>
      <c r="I1125" s="6">
        <v>44652</v>
      </c>
      <c r="J1125" s="4">
        <v>0</v>
      </c>
      <c r="K1125" s="4">
        <v>0</v>
      </c>
      <c r="L1125" s="4">
        <v>986.07399999999996</v>
      </c>
      <c r="M1125" s="4">
        <v>98.607399999999998</v>
      </c>
      <c r="N1125" s="4">
        <v>986.07399999999996</v>
      </c>
      <c r="O1125" s="4">
        <v>98.607399999999998</v>
      </c>
      <c r="P1125" s="4">
        <v>0</v>
      </c>
      <c r="Q1125" s="3" t="s">
        <v>26</v>
      </c>
      <c r="R1125" s="3">
        <v>0</v>
      </c>
      <c r="S1125" s="3" t="s">
        <v>299</v>
      </c>
      <c r="T1125" s="3" t="s">
        <v>548</v>
      </c>
      <c r="U1125" s="3">
        <v>0</v>
      </c>
      <c r="V1125" s="3">
        <v>29</v>
      </c>
      <c r="W1125" s="3">
        <v>73</v>
      </c>
    </row>
    <row r="1126" spans="1:23" ht="11.25" customHeight="1" x14ac:dyDescent="0.25">
      <c r="A1126" s="3" t="s">
        <v>56</v>
      </c>
      <c r="B1126" s="3" t="s">
        <v>33</v>
      </c>
      <c r="C1126" s="3" t="s">
        <v>34</v>
      </c>
      <c r="D1126" s="3" t="s">
        <v>45</v>
      </c>
      <c r="E1126" s="3" t="s">
        <v>53</v>
      </c>
      <c r="F1126" s="3" t="s">
        <v>55</v>
      </c>
      <c r="G1126" s="3" t="s">
        <v>25</v>
      </c>
      <c r="H1126" s="3" t="s">
        <v>36</v>
      </c>
      <c r="I1126" s="6">
        <v>44652</v>
      </c>
      <c r="J1126" s="4">
        <v>0</v>
      </c>
      <c r="K1126" s="4">
        <v>0</v>
      </c>
      <c r="L1126" s="4">
        <v>6.6920000000000002</v>
      </c>
      <c r="M1126" s="4">
        <v>0.66920000000000002</v>
      </c>
      <c r="N1126" s="4">
        <v>6.6920000000000002</v>
      </c>
      <c r="O1126" s="4">
        <v>0.66920000000000002</v>
      </c>
      <c r="P1126" s="4">
        <v>0</v>
      </c>
      <c r="Q1126" s="3" t="s">
        <v>26</v>
      </c>
      <c r="R1126" s="3">
        <v>0</v>
      </c>
      <c r="S1126" s="3" t="s">
        <v>299</v>
      </c>
      <c r="T1126" s="3" t="s">
        <v>548</v>
      </c>
      <c r="U1126" s="3">
        <v>0</v>
      </c>
      <c r="V1126" s="3">
        <v>29</v>
      </c>
      <c r="W1126" s="3">
        <v>73</v>
      </c>
    </row>
    <row r="1127" spans="1:23" ht="11.25" customHeight="1" x14ac:dyDescent="0.25">
      <c r="A1127" s="3" t="s">
        <v>21</v>
      </c>
      <c r="B1127" s="3" t="s">
        <v>33</v>
      </c>
      <c r="C1127" s="3" t="s">
        <v>34</v>
      </c>
      <c r="D1127" s="3" t="s">
        <v>45</v>
      </c>
      <c r="E1127" s="3" t="s">
        <v>53</v>
      </c>
      <c r="F1127" s="3" t="s">
        <v>25</v>
      </c>
      <c r="G1127" s="3" t="s">
        <v>25</v>
      </c>
      <c r="H1127" s="3" t="s">
        <v>36</v>
      </c>
      <c r="I1127" s="6">
        <v>44317</v>
      </c>
      <c r="J1127" s="4">
        <v>0</v>
      </c>
      <c r="K1127" s="4">
        <v>0</v>
      </c>
      <c r="L1127" s="4">
        <v>191.85300000000001</v>
      </c>
      <c r="M1127" s="4">
        <v>184.17887999999999</v>
      </c>
      <c r="N1127" s="4">
        <v>191.85300000000001</v>
      </c>
      <c r="O1127" s="4">
        <v>184.17887999999999</v>
      </c>
      <c r="P1127" s="4">
        <v>0</v>
      </c>
      <c r="Q1127" s="3" t="s">
        <v>26</v>
      </c>
      <c r="R1127" s="3">
        <v>0</v>
      </c>
      <c r="S1127" s="3" t="s">
        <v>288</v>
      </c>
      <c r="T1127" s="3" t="s">
        <v>537</v>
      </c>
      <c r="U1127" s="3">
        <v>0</v>
      </c>
      <c r="V1127" s="3">
        <v>29</v>
      </c>
      <c r="W1127" s="3">
        <v>73</v>
      </c>
    </row>
    <row r="1128" spans="1:23" ht="11.25" customHeight="1" x14ac:dyDescent="0.25">
      <c r="A1128" s="3" t="s">
        <v>21</v>
      </c>
      <c r="B1128" s="3" t="s">
        <v>33</v>
      </c>
      <c r="C1128" s="3" t="s">
        <v>34</v>
      </c>
      <c r="D1128" s="3" t="s">
        <v>45</v>
      </c>
      <c r="E1128" s="3" t="s">
        <v>53</v>
      </c>
      <c r="F1128" s="3" t="s">
        <v>25</v>
      </c>
      <c r="G1128" s="3" t="s">
        <v>25</v>
      </c>
      <c r="H1128" s="3" t="s">
        <v>36</v>
      </c>
      <c r="I1128" s="6">
        <v>44348</v>
      </c>
      <c r="J1128" s="4">
        <v>0</v>
      </c>
      <c r="K1128" s="4">
        <v>0</v>
      </c>
      <c r="L1128" s="4">
        <v>182.75399999999999</v>
      </c>
      <c r="M1128" s="4">
        <v>175.44383999999999</v>
      </c>
      <c r="N1128" s="4">
        <v>182.75399999999999</v>
      </c>
      <c r="O1128" s="4">
        <v>175.44383999999999</v>
      </c>
      <c r="P1128" s="4">
        <v>0</v>
      </c>
      <c r="Q1128" s="3" t="s">
        <v>26</v>
      </c>
      <c r="R1128" s="3">
        <v>0</v>
      </c>
      <c r="S1128" s="3" t="s">
        <v>289</v>
      </c>
      <c r="T1128" s="3" t="s">
        <v>538</v>
      </c>
      <c r="U1128" s="3">
        <v>0</v>
      </c>
      <c r="V1128" s="3">
        <v>29</v>
      </c>
      <c r="W1128" s="3">
        <v>73</v>
      </c>
    </row>
    <row r="1129" spans="1:23" ht="11.25" customHeight="1" x14ac:dyDescent="0.25">
      <c r="A1129" s="3" t="s">
        <v>27</v>
      </c>
      <c r="B1129" s="3" t="s">
        <v>33</v>
      </c>
      <c r="C1129" s="3" t="s">
        <v>34</v>
      </c>
      <c r="D1129" s="3" t="s">
        <v>45</v>
      </c>
      <c r="E1129" s="3" t="s">
        <v>53</v>
      </c>
      <c r="F1129" s="3" t="s">
        <v>25</v>
      </c>
      <c r="G1129" s="3" t="s">
        <v>25</v>
      </c>
      <c r="H1129" s="3" t="s">
        <v>36</v>
      </c>
      <c r="I1129" s="6">
        <v>44348</v>
      </c>
      <c r="J1129" s="4">
        <v>0</v>
      </c>
      <c r="K1129" s="4">
        <v>0</v>
      </c>
      <c r="L1129" s="4">
        <v>-100.434</v>
      </c>
      <c r="M1129" s="4">
        <v>-96.416640000000001</v>
      </c>
      <c r="N1129" s="4">
        <v>-100.434</v>
      </c>
      <c r="O1129" s="4">
        <v>-96.416640000000001</v>
      </c>
      <c r="P1129" s="4">
        <v>0</v>
      </c>
      <c r="Q1129" s="3" t="s">
        <v>26</v>
      </c>
      <c r="R1129" s="3">
        <v>0</v>
      </c>
      <c r="S1129" s="3" t="s">
        <v>289</v>
      </c>
      <c r="T1129" s="3" t="s">
        <v>538</v>
      </c>
      <c r="U1129" s="3">
        <v>0</v>
      </c>
      <c r="V1129" s="3">
        <v>29</v>
      </c>
      <c r="W1129" s="3">
        <v>73</v>
      </c>
    </row>
    <row r="1130" spans="1:23" ht="11.25" customHeight="1" x14ac:dyDescent="0.25">
      <c r="A1130" s="3" t="s">
        <v>21</v>
      </c>
      <c r="B1130" s="3" t="s">
        <v>33</v>
      </c>
      <c r="C1130" s="3" t="s">
        <v>34</v>
      </c>
      <c r="D1130" s="3" t="s">
        <v>45</v>
      </c>
      <c r="E1130" s="3" t="s">
        <v>53</v>
      </c>
      <c r="F1130" s="3" t="s">
        <v>25</v>
      </c>
      <c r="G1130" s="3" t="s">
        <v>25</v>
      </c>
      <c r="H1130" s="3" t="s">
        <v>36</v>
      </c>
      <c r="I1130" s="6">
        <v>44378</v>
      </c>
      <c r="J1130" s="4">
        <v>0</v>
      </c>
      <c r="K1130" s="4">
        <v>0</v>
      </c>
      <c r="L1130" s="4">
        <v>229.15899999999999</v>
      </c>
      <c r="M1130" s="4">
        <v>219.99263999999999</v>
      </c>
      <c r="N1130" s="4">
        <v>229.15899999999999</v>
      </c>
      <c r="O1130" s="4">
        <v>219.99263999999999</v>
      </c>
      <c r="P1130" s="4">
        <v>0</v>
      </c>
      <c r="Q1130" s="3" t="s">
        <v>26</v>
      </c>
      <c r="R1130" s="3">
        <v>0</v>
      </c>
      <c r="S1130" s="3" t="s">
        <v>290</v>
      </c>
      <c r="T1130" s="3" t="s">
        <v>539</v>
      </c>
      <c r="U1130" s="3">
        <v>0</v>
      </c>
      <c r="V1130" s="3">
        <v>29</v>
      </c>
      <c r="W1130" s="3">
        <v>73</v>
      </c>
    </row>
    <row r="1131" spans="1:23" ht="11.25" customHeight="1" x14ac:dyDescent="0.25">
      <c r="A1131" s="3" t="s">
        <v>27</v>
      </c>
      <c r="B1131" s="3" t="s">
        <v>33</v>
      </c>
      <c r="C1131" s="3" t="s">
        <v>34</v>
      </c>
      <c r="D1131" s="3" t="s">
        <v>45</v>
      </c>
      <c r="E1131" s="3" t="s">
        <v>53</v>
      </c>
      <c r="F1131" s="3" t="s">
        <v>25</v>
      </c>
      <c r="G1131" s="3" t="s">
        <v>25</v>
      </c>
      <c r="H1131" s="3" t="s">
        <v>36</v>
      </c>
      <c r="I1131" s="6">
        <v>44378</v>
      </c>
      <c r="J1131" s="4">
        <v>0</v>
      </c>
      <c r="K1131" s="4">
        <v>0</v>
      </c>
      <c r="L1131" s="4">
        <v>-11.388</v>
      </c>
      <c r="M1131" s="4">
        <v>-10.93248</v>
      </c>
      <c r="N1131" s="4">
        <v>-11.388</v>
      </c>
      <c r="O1131" s="4">
        <v>-10.93248</v>
      </c>
      <c r="P1131" s="4">
        <v>0</v>
      </c>
      <c r="Q1131" s="3" t="s">
        <v>26</v>
      </c>
      <c r="R1131" s="3">
        <v>0</v>
      </c>
      <c r="S1131" s="3" t="s">
        <v>290</v>
      </c>
      <c r="T1131" s="3" t="s">
        <v>539</v>
      </c>
      <c r="U1131" s="3">
        <v>0</v>
      </c>
      <c r="V1131" s="3">
        <v>29</v>
      </c>
      <c r="W1131" s="3">
        <v>73</v>
      </c>
    </row>
    <row r="1132" spans="1:23" ht="11.25" customHeight="1" x14ac:dyDescent="0.25">
      <c r="A1132" s="3" t="s">
        <v>21</v>
      </c>
      <c r="B1132" s="3" t="s">
        <v>33</v>
      </c>
      <c r="C1132" s="3" t="s">
        <v>34</v>
      </c>
      <c r="D1132" s="3" t="s">
        <v>45</v>
      </c>
      <c r="E1132" s="3" t="s">
        <v>53</v>
      </c>
      <c r="F1132" s="3" t="s">
        <v>25</v>
      </c>
      <c r="G1132" s="3" t="s">
        <v>25</v>
      </c>
      <c r="H1132" s="3" t="s">
        <v>36</v>
      </c>
      <c r="I1132" s="6">
        <v>44409</v>
      </c>
      <c r="J1132" s="4">
        <v>0</v>
      </c>
      <c r="K1132" s="4">
        <v>0</v>
      </c>
      <c r="L1132" s="4">
        <v>359.40800000000002</v>
      </c>
      <c r="M1132" s="4">
        <v>345.03167999999999</v>
      </c>
      <c r="N1132" s="4">
        <v>359.40800000000002</v>
      </c>
      <c r="O1132" s="4">
        <v>345.03167999999999</v>
      </c>
      <c r="P1132" s="4">
        <v>0</v>
      </c>
      <c r="Q1132" s="3" t="s">
        <v>26</v>
      </c>
      <c r="R1132" s="3">
        <v>0</v>
      </c>
      <c r="S1132" s="3" t="s">
        <v>291</v>
      </c>
      <c r="T1132" s="3" t="s">
        <v>540</v>
      </c>
      <c r="U1132" s="3">
        <v>0</v>
      </c>
      <c r="V1132" s="3">
        <v>29</v>
      </c>
      <c r="W1132" s="3">
        <v>73</v>
      </c>
    </row>
    <row r="1133" spans="1:23" ht="11.25" customHeight="1" x14ac:dyDescent="0.25">
      <c r="A1133" s="3" t="s">
        <v>27</v>
      </c>
      <c r="B1133" s="3" t="s">
        <v>33</v>
      </c>
      <c r="C1133" s="3" t="s">
        <v>34</v>
      </c>
      <c r="D1133" s="3" t="s">
        <v>45</v>
      </c>
      <c r="E1133" s="3" t="s">
        <v>53</v>
      </c>
      <c r="F1133" s="3" t="s">
        <v>25</v>
      </c>
      <c r="G1133" s="3" t="s">
        <v>25</v>
      </c>
      <c r="H1133" s="3" t="s">
        <v>36</v>
      </c>
      <c r="I1133" s="6">
        <v>44409</v>
      </c>
      <c r="J1133" s="4">
        <v>0</v>
      </c>
      <c r="K1133" s="4">
        <v>0</v>
      </c>
      <c r="L1133" s="4">
        <v>-36.177</v>
      </c>
      <c r="M1133" s="4">
        <v>-34.72992</v>
      </c>
      <c r="N1133" s="4">
        <v>-36.177</v>
      </c>
      <c r="O1133" s="4">
        <v>-34.72992</v>
      </c>
      <c r="P1133" s="4">
        <v>0</v>
      </c>
      <c r="Q1133" s="3" t="s">
        <v>26</v>
      </c>
      <c r="R1133" s="3">
        <v>0</v>
      </c>
      <c r="S1133" s="3" t="s">
        <v>291</v>
      </c>
      <c r="T1133" s="3" t="s">
        <v>540</v>
      </c>
      <c r="U1133" s="3">
        <v>0</v>
      </c>
      <c r="V1133" s="3">
        <v>29</v>
      </c>
      <c r="W1133" s="3">
        <v>73</v>
      </c>
    </row>
    <row r="1134" spans="1:23" ht="11.25" customHeight="1" x14ac:dyDescent="0.25">
      <c r="A1134" s="3" t="s">
        <v>21</v>
      </c>
      <c r="B1134" s="3" t="s">
        <v>33</v>
      </c>
      <c r="C1134" s="3" t="s">
        <v>34</v>
      </c>
      <c r="D1134" s="3" t="s">
        <v>45</v>
      </c>
      <c r="E1134" s="3" t="s">
        <v>53</v>
      </c>
      <c r="F1134" s="3" t="s">
        <v>25</v>
      </c>
      <c r="G1134" s="3" t="s">
        <v>25</v>
      </c>
      <c r="H1134" s="3" t="s">
        <v>36</v>
      </c>
      <c r="I1134" s="6">
        <v>44440</v>
      </c>
      <c r="J1134" s="4">
        <v>0</v>
      </c>
      <c r="K1134" s="4">
        <v>0</v>
      </c>
      <c r="L1134" s="4">
        <v>794.12800000000004</v>
      </c>
      <c r="M1134" s="4">
        <v>762.36288000000002</v>
      </c>
      <c r="N1134" s="4">
        <v>794.12800000000004</v>
      </c>
      <c r="O1134" s="4">
        <v>762.36288000000002</v>
      </c>
      <c r="P1134" s="4">
        <v>0</v>
      </c>
      <c r="Q1134" s="3" t="s">
        <v>26</v>
      </c>
      <c r="R1134" s="3">
        <v>0</v>
      </c>
      <c r="S1134" s="3" t="s">
        <v>292</v>
      </c>
      <c r="T1134" s="3" t="s">
        <v>541</v>
      </c>
      <c r="U1134" s="3">
        <v>0</v>
      </c>
      <c r="V1134" s="3">
        <v>29</v>
      </c>
      <c r="W1134" s="3">
        <v>73</v>
      </c>
    </row>
    <row r="1135" spans="1:23" ht="11.25" customHeight="1" x14ac:dyDescent="0.25">
      <c r="A1135" s="3" t="s">
        <v>21</v>
      </c>
      <c r="B1135" s="3" t="s">
        <v>33</v>
      </c>
      <c r="C1135" s="3" t="s">
        <v>34</v>
      </c>
      <c r="D1135" s="3" t="s">
        <v>45</v>
      </c>
      <c r="E1135" s="3" t="s">
        <v>53</v>
      </c>
      <c r="F1135" s="3" t="s">
        <v>25</v>
      </c>
      <c r="G1135" s="3" t="s">
        <v>25</v>
      </c>
      <c r="H1135" s="3" t="s">
        <v>36</v>
      </c>
      <c r="I1135" s="6">
        <v>44470</v>
      </c>
      <c r="J1135" s="4">
        <v>0</v>
      </c>
      <c r="K1135" s="4">
        <v>0</v>
      </c>
      <c r="L1135" s="4">
        <v>2048.826</v>
      </c>
      <c r="M1135" s="4">
        <v>1966.8729599999999</v>
      </c>
      <c r="N1135" s="4">
        <v>2048.826</v>
      </c>
      <c r="O1135" s="4">
        <v>1966.8729599999999</v>
      </c>
      <c r="P1135" s="4">
        <v>0</v>
      </c>
      <c r="Q1135" s="3" t="s">
        <v>26</v>
      </c>
      <c r="R1135" s="3">
        <v>0</v>
      </c>
      <c r="S1135" s="3" t="s">
        <v>293</v>
      </c>
      <c r="T1135" s="3" t="s">
        <v>542</v>
      </c>
      <c r="U1135" s="3">
        <v>0</v>
      </c>
      <c r="V1135" s="3">
        <v>29</v>
      </c>
      <c r="W1135" s="3">
        <v>73</v>
      </c>
    </row>
    <row r="1136" spans="1:23" ht="11.25" customHeight="1" x14ac:dyDescent="0.25">
      <c r="A1136" s="3" t="s">
        <v>21</v>
      </c>
      <c r="B1136" s="3" t="s">
        <v>33</v>
      </c>
      <c r="C1136" s="3" t="s">
        <v>34</v>
      </c>
      <c r="D1136" s="3" t="s">
        <v>45</v>
      </c>
      <c r="E1136" s="3" t="s">
        <v>53</v>
      </c>
      <c r="F1136" s="3" t="s">
        <v>25</v>
      </c>
      <c r="G1136" s="3" t="s">
        <v>25</v>
      </c>
      <c r="H1136" s="3" t="s">
        <v>36</v>
      </c>
      <c r="I1136" s="6">
        <v>44501</v>
      </c>
      <c r="J1136" s="4">
        <v>0</v>
      </c>
      <c r="K1136" s="4">
        <v>0</v>
      </c>
      <c r="L1136" s="4">
        <v>3389.585</v>
      </c>
      <c r="M1136" s="4">
        <v>3254.0016000000001</v>
      </c>
      <c r="N1136" s="4">
        <v>3389.585</v>
      </c>
      <c r="O1136" s="4">
        <v>3254.0016000000001</v>
      </c>
      <c r="P1136" s="4">
        <v>0</v>
      </c>
      <c r="Q1136" s="3" t="s">
        <v>26</v>
      </c>
      <c r="R1136" s="3">
        <v>0</v>
      </c>
      <c r="S1136" s="3" t="s">
        <v>294</v>
      </c>
      <c r="T1136" s="3" t="s">
        <v>543</v>
      </c>
      <c r="U1136" s="3">
        <v>0</v>
      </c>
      <c r="V1136" s="3">
        <v>29</v>
      </c>
      <c r="W1136" s="3">
        <v>73</v>
      </c>
    </row>
    <row r="1137" spans="1:23" ht="11.25" customHeight="1" x14ac:dyDescent="0.25">
      <c r="A1137" s="3" t="s">
        <v>21</v>
      </c>
      <c r="B1137" s="3" t="s">
        <v>33</v>
      </c>
      <c r="C1137" s="3" t="s">
        <v>34</v>
      </c>
      <c r="D1137" s="3" t="s">
        <v>45</v>
      </c>
      <c r="E1137" s="3" t="s">
        <v>53</v>
      </c>
      <c r="F1137" s="3" t="s">
        <v>25</v>
      </c>
      <c r="G1137" s="3" t="s">
        <v>25</v>
      </c>
      <c r="H1137" s="3" t="s">
        <v>36</v>
      </c>
      <c r="I1137" s="6">
        <v>44531</v>
      </c>
      <c r="J1137" s="4">
        <v>0</v>
      </c>
      <c r="K1137" s="4">
        <v>0</v>
      </c>
      <c r="L1137" s="4">
        <v>2984.8510000000001</v>
      </c>
      <c r="M1137" s="4">
        <v>2865.45696</v>
      </c>
      <c r="N1137" s="4">
        <v>2984.8510000000001</v>
      </c>
      <c r="O1137" s="4">
        <v>2865.45696</v>
      </c>
      <c r="P1137" s="4">
        <v>0</v>
      </c>
      <c r="Q1137" s="3" t="s">
        <v>26</v>
      </c>
      <c r="R1137" s="3">
        <v>0</v>
      </c>
      <c r="S1137" s="3" t="s">
        <v>295</v>
      </c>
      <c r="T1137" s="3" t="s">
        <v>544</v>
      </c>
      <c r="U1137" s="3">
        <v>0</v>
      </c>
      <c r="V1137" s="3">
        <v>29</v>
      </c>
      <c r="W1137" s="3">
        <v>73</v>
      </c>
    </row>
    <row r="1138" spans="1:23" ht="11.25" customHeight="1" x14ac:dyDescent="0.25">
      <c r="A1138" s="3" t="s">
        <v>21</v>
      </c>
      <c r="B1138" s="3" t="s">
        <v>33</v>
      </c>
      <c r="C1138" s="3" t="s">
        <v>34</v>
      </c>
      <c r="D1138" s="3" t="s">
        <v>45</v>
      </c>
      <c r="E1138" s="3" t="s">
        <v>53</v>
      </c>
      <c r="F1138" s="3" t="s">
        <v>25</v>
      </c>
      <c r="G1138" s="3" t="s">
        <v>25</v>
      </c>
      <c r="H1138" s="3" t="s">
        <v>36</v>
      </c>
      <c r="I1138" s="6">
        <v>44562</v>
      </c>
      <c r="J1138" s="4">
        <v>0</v>
      </c>
      <c r="K1138" s="4">
        <v>0</v>
      </c>
      <c r="L1138" s="4">
        <v>2603.8910000000001</v>
      </c>
      <c r="M1138" s="4">
        <v>2499.7353600000001</v>
      </c>
      <c r="N1138" s="4">
        <v>2603.8910000000001</v>
      </c>
      <c r="O1138" s="4">
        <v>2499.7353600000001</v>
      </c>
      <c r="P1138" s="4">
        <v>0</v>
      </c>
      <c r="Q1138" s="3" t="s">
        <v>26</v>
      </c>
      <c r="R1138" s="3">
        <v>0</v>
      </c>
      <c r="S1138" s="3" t="s">
        <v>296</v>
      </c>
      <c r="T1138" s="3" t="s">
        <v>545</v>
      </c>
      <c r="U1138" s="3">
        <v>0</v>
      </c>
      <c r="V1138" s="3">
        <v>29</v>
      </c>
      <c r="W1138" s="3">
        <v>73</v>
      </c>
    </row>
    <row r="1139" spans="1:23" ht="11.25" customHeight="1" x14ac:dyDescent="0.25">
      <c r="A1139" s="3" t="s">
        <v>27</v>
      </c>
      <c r="B1139" s="3" t="s">
        <v>33</v>
      </c>
      <c r="C1139" s="3" t="s">
        <v>34</v>
      </c>
      <c r="D1139" s="3" t="s">
        <v>45</v>
      </c>
      <c r="E1139" s="3" t="s">
        <v>53</v>
      </c>
      <c r="F1139" s="3" t="s">
        <v>25</v>
      </c>
      <c r="G1139" s="3" t="s">
        <v>25</v>
      </c>
      <c r="H1139" s="3" t="s">
        <v>36</v>
      </c>
      <c r="I1139" s="6">
        <v>44562</v>
      </c>
      <c r="J1139" s="4">
        <v>0</v>
      </c>
      <c r="K1139" s="4">
        <v>0</v>
      </c>
      <c r="L1139" s="4">
        <v>-14.539</v>
      </c>
      <c r="M1139" s="4">
        <v>-13.95744</v>
      </c>
      <c r="N1139" s="4">
        <v>-14.539</v>
      </c>
      <c r="O1139" s="4">
        <v>-13.95744</v>
      </c>
      <c r="P1139" s="4">
        <v>0</v>
      </c>
      <c r="Q1139" s="3" t="s">
        <v>26</v>
      </c>
      <c r="R1139" s="3">
        <v>0</v>
      </c>
      <c r="S1139" s="3" t="s">
        <v>296</v>
      </c>
      <c r="T1139" s="3" t="s">
        <v>545</v>
      </c>
      <c r="U1139" s="3">
        <v>0</v>
      </c>
      <c r="V1139" s="3">
        <v>29</v>
      </c>
      <c r="W1139" s="3">
        <v>73</v>
      </c>
    </row>
    <row r="1140" spans="1:23" ht="11.25" customHeight="1" x14ac:dyDescent="0.25">
      <c r="A1140" s="3" t="s">
        <v>21</v>
      </c>
      <c r="B1140" s="3" t="s">
        <v>33</v>
      </c>
      <c r="C1140" s="3" t="s">
        <v>34</v>
      </c>
      <c r="D1140" s="3" t="s">
        <v>45</v>
      </c>
      <c r="E1140" s="3" t="s">
        <v>53</v>
      </c>
      <c r="F1140" s="3" t="s">
        <v>25</v>
      </c>
      <c r="G1140" s="3" t="s">
        <v>25</v>
      </c>
      <c r="H1140" s="3" t="s">
        <v>36</v>
      </c>
      <c r="I1140" s="6">
        <v>44593</v>
      </c>
      <c r="J1140" s="4">
        <v>0</v>
      </c>
      <c r="K1140" s="4">
        <v>0</v>
      </c>
      <c r="L1140" s="4">
        <v>3362.259</v>
      </c>
      <c r="M1140" s="4">
        <v>3227.7686399999998</v>
      </c>
      <c r="N1140" s="4">
        <v>3362.259</v>
      </c>
      <c r="O1140" s="4">
        <v>3227.7686399999998</v>
      </c>
      <c r="P1140" s="4">
        <v>0</v>
      </c>
      <c r="Q1140" s="3" t="s">
        <v>26</v>
      </c>
      <c r="R1140" s="3">
        <v>0</v>
      </c>
      <c r="S1140" s="3" t="s">
        <v>297</v>
      </c>
      <c r="T1140" s="3" t="s">
        <v>546</v>
      </c>
      <c r="U1140" s="3">
        <v>0</v>
      </c>
      <c r="V1140" s="3">
        <v>29</v>
      </c>
      <c r="W1140" s="3">
        <v>73</v>
      </c>
    </row>
    <row r="1141" spans="1:23" ht="11.25" customHeight="1" x14ac:dyDescent="0.25">
      <c r="A1141" s="3" t="s">
        <v>21</v>
      </c>
      <c r="B1141" s="3" t="s">
        <v>33</v>
      </c>
      <c r="C1141" s="3" t="s">
        <v>34</v>
      </c>
      <c r="D1141" s="3" t="s">
        <v>45</v>
      </c>
      <c r="E1141" s="3" t="s">
        <v>53</v>
      </c>
      <c r="F1141" s="3" t="s">
        <v>25</v>
      </c>
      <c r="G1141" s="3" t="s">
        <v>25</v>
      </c>
      <c r="H1141" s="3" t="s">
        <v>36</v>
      </c>
      <c r="I1141" s="6">
        <v>44621</v>
      </c>
      <c r="J1141" s="4">
        <v>0</v>
      </c>
      <c r="K1141" s="4">
        <v>0</v>
      </c>
      <c r="L1141" s="4">
        <v>1077.0920000000001</v>
      </c>
      <c r="M1141" s="4">
        <v>1034.0083199999999</v>
      </c>
      <c r="N1141" s="4">
        <v>1077.0920000000001</v>
      </c>
      <c r="O1141" s="4">
        <v>1034.0083199999999</v>
      </c>
      <c r="P1141" s="4">
        <v>0</v>
      </c>
      <c r="Q1141" s="3" t="s">
        <v>26</v>
      </c>
      <c r="R1141" s="3">
        <v>0</v>
      </c>
      <c r="S1141" s="3" t="s">
        <v>298</v>
      </c>
      <c r="T1141" s="3" t="s">
        <v>547</v>
      </c>
      <c r="U1141" s="3">
        <v>0</v>
      </c>
      <c r="V1141" s="3">
        <v>29</v>
      </c>
      <c r="W1141" s="3">
        <v>73</v>
      </c>
    </row>
    <row r="1142" spans="1:23" ht="11.25" customHeight="1" x14ac:dyDescent="0.25">
      <c r="A1142" s="3" t="s">
        <v>27</v>
      </c>
      <c r="B1142" s="3" t="s">
        <v>33</v>
      </c>
      <c r="C1142" s="3" t="s">
        <v>34</v>
      </c>
      <c r="D1142" s="3" t="s">
        <v>45</v>
      </c>
      <c r="E1142" s="3" t="s">
        <v>53</v>
      </c>
      <c r="F1142" s="3" t="s">
        <v>25</v>
      </c>
      <c r="G1142" s="3" t="s">
        <v>25</v>
      </c>
      <c r="H1142" s="3" t="s">
        <v>36</v>
      </c>
      <c r="I1142" s="6">
        <v>44621</v>
      </c>
      <c r="J1142" s="4">
        <v>0</v>
      </c>
      <c r="K1142" s="4">
        <v>0</v>
      </c>
      <c r="L1142" s="4">
        <v>4.7569999999999997</v>
      </c>
      <c r="M1142" s="4">
        <v>4.5667200000000001</v>
      </c>
      <c r="N1142" s="4">
        <v>4.7569999999999997</v>
      </c>
      <c r="O1142" s="4">
        <v>4.5667200000000001</v>
      </c>
      <c r="P1142" s="4">
        <v>0</v>
      </c>
      <c r="Q1142" s="3" t="s">
        <v>26</v>
      </c>
      <c r="R1142" s="3">
        <v>0</v>
      </c>
      <c r="S1142" s="3" t="s">
        <v>298</v>
      </c>
      <c r="T1142" s="3" t="s">
        <v>547</v>
      </c>
      <c r="U1142" s="3">
        <v>0</v>
      </c>
      <c r="V1142" s="3">
        <v>29</v>
      </c>
      <c r="W1142" s="3">
        <v>73</v>
      </c>
    </row>
    <row r="1143" spans="1:23" ht="11.25" customHeight="1" x14ac:dyDescent="0.25">
      <c r="A1143" s="3" t="s">
        <v>56</v>
      </c>
      <c r="B1143" s="3" t="s">
        <v>33</v>
      </c>
      <c r="C1143" s="3" t="s">
        <v>34</v>
      </c>
      <c r="D1143" s="3" t="s">
        <v>45</v>
      </c>
      <c r="E1143" s="3" t="s">
        <v>53</v>
      </c>
      <c r="F1143" s="3" t="s">
        <v>25</v>
      </c>
      <c r="G1143" s="3" t="s">
        <v>25</v>
      </c>
      <c r="H1143" s="3" t="s">
        <v>36</v>
      </c>
      <c r="I1143" s="6">
        <v>44652</v>
      </c>
      <c r="J1143" s="4">
        <v>0</v>
      </c>
      <c r="K1143" s="4">
        <v>0</v>
      </c>
      <c r="L1143" s="4">
        <v>1077.0920000000001</v>
      </c>
      <c r="M1143" s="4">
        <v>1034.0083199999999</v>
      </c>
      <c r="N1143" s="4">
        <v>1077.0920000000001</v>
      </c>
      <c r="O1143" s="4">
        <v>1034.0083199999999</v>
      </c>
      <c r="P1143" s="4">
        <v>0</v>
      </c>
      <c r="Q1143" s="3" t="s">
        <v>26</v>
      </c>
      <c r="R1143" s="3">
        <v>0</v>
      </c>
      <c r="S1143" s="3" t="s">
        <v>299</v>
      </c>
      <c r="T1143" s="3" t="s">
        <v>548</v>
      </c>
      <c r="U1143" s="3">
        <v>0</v>
      </c>
      <c r="V1143" s="3">
        <v>29</v>
      </c>
      <c r="W1143" s="3">
        <v>73</v>
      </c>
    </row>
    <row r="1144" spans="1:23" ht="11.25" customHeight="1" x14ac:dyDescent="0.25">
      <c r="A1144" s="3" t="s">
        <v>56</v>
      </c>
      <c r="B1144" s="3" t="s">
        <v>33</v>
      </c>
      <c r="C1144" s="3" t="s">
        <v>34</v>
      </c>
      <c r="D1144" s="3" t="s">
        <v>45</v>
      </c>
      <c r="E1144" s="3" t="s">
        <v>53</v>
      </c>
      <c r="F1144" s="3" t="s">
        <v>25</v>
      </c>
      <c r="G1144" s="3" t="s">
        <v>25</v>
      </c>
      <c r="H1144" s="3" t="s">
        <v>36</v>
      </c>
      <c r="I1144" s="6">
        <v>44652</v>
      </c>
      <c r="J1144" s="4">
        <v>0</v>
      </c>
      <c r="K1144" s="4">
        <v>0</v>
      </c>
      <c r="L1144" s="4">
        <v>4.7569999999999997</v>
      </c>
      <c r="M1144" s="4">
        <v>4.5667200000000001</v>
      </c>
      <c r="N1144" s="4">
        <v>4.7569999999999997</v>
      </c>
      <c r="O1144" s="4">
        <v>4.5667200000000001</v>
      </c>
      <c r="P1144" s="4">
        <v>0</v>
      </c>
      <c r="Q1144" s="3" t="s">
        <v>26</v>
      </c>
      <c r="R1144" s="3">
        <v>0</v>
      </c>
      <c r="S1144" s="3" t="s">
        <v>299</v>
      </c>
      <c r="T1144" s="3" t="s">
        <v>548</v>
      </c>
      <c r="U1144" s="3">
        <v>0</v>
      </c>
      <c r="V1144" s="3">
        <v>29</v>
      </c>
      <c r="W1144" s="3">
        <v>73</v>
      </c>
    </row>
    <row r="1145" spans="1:23" ht="11.25" customHeight="1" x14ac:dyDescent="0.25">
      <c r="A1145" s="3" t="s">
        <v>21</v>
      </c>
      <c r="B1145" s="3" t="s">
        <v>33</v>
      </c>
      <c r="C1145" s="3" t="s">
        <v>34</v>
      </c>
      <c r="D1145" s="3" t="s">
        <v>45</v>
      </c>
      <c r="E1145" s="3" t="s">
        <v>53</v>
      </c>
      <c r="F1145" s="3" t="s">
        <v>25</v>
      </c>
      <c r="G1145" s="3" t="s">
        <v>25</v>
      </c>
      <c r="H1145" s="3" t="s">
        <v>25</v>
      </c>
      <c r="I1145" s="6">
        <v>44317</v>
      </c>
      <c r="J1145" s="4">
        <v>6226</v>
      </c>
      <c r="K1145" s="4">
        <v>5976.96</v>
      </c>
      <c r="L1145" s="4">
        <v>0</v>
      </c>
      <c r="M1145" s="4">
        <v>0</v>
      </c>
      <c r="N1145" s="4">
        <v>0</v>
      </c>
      <c r="O1145" s="4">
        <v>0</v>
      </c>
      <c r="P1145" s="4">
        <v>218</v>
      </c>
      <c r="Q1145" s="3" t="s">
        <v>26</v>
      </c>
      <c r="R1145" s="3">
        <v>0</v>
      </c>
      <c r="S1145" s="3" t="s">
        <v>300</v>
      </c>
      <c r="U1145" s="3">
        <v>7</v>
      </c>
      <c r="V1145" s="3">
        <v>0</v>
      </c>
      <c r="W1145" s="3">
        <v>0</v>
      </c>
    </row>
    <row r="1146" spans="1:23" ht="11.25" customHeight="1" x14ac:dyDescent="0.25">
      <c r="A1146" s="3" t="s">
        <v>28</v>
      </c>
      <c r="B1146" s="3" t="s">
        <v>33</v>
      </c>
      <c r="C1146" s="3" t="s">
        <v>34</v>
      </c>
      <c r="D1146" s="3" t="s">
        <v>45</v>
      </c>
      <c r="E1146" s="3" t="s">
        <v>53</v>
      </c>
      <c r="F1146" s="3" t="s">
        <v>25</v>
      </c>
      <c r="G1146" s="3" t="s">
        <v>25</v>
      </c>
      <c r="H1146" s="3" t="s">
        <v>25</v>
      </c>
      <c r="I1146" s="6">
        <v>44317</v>
      </c>
      <c r="J1146" s="4">
        <v>1096</v>
      </c>
      <c r="K1146" s="4">
        <v>1052.1600000000001</v>
      </c>
      <c r="L1146" s="4">
        <v>0</v>
      </c>
      <c r="M1146" s="4">
        <v>0</v>
      </c>
      <c r="N1146" s="4">
        <v>0</v>
      </c>
      <c r="O1146" s="4">
        <v>0</v>
      </c>
      <c r="P1146" s="4">
        <v>16</v>
      </c>
      <c r="Q1146" s="3" t="s">
        <v>26</v>
      </c>
      <c r="R1146" s="3">
        <v>0</v>
      </c>
      <c r="S1146" s="3" t="s">
        <v>300</v>
      </c>
      <c r="U1146" s="3">
        <v>7</v>
      </c>
      <c r="V1146" s="3">
        <v>0</v>
      </c>
      <c r="W1146" s="3">
        <v>0</v>
      </c>
    </row>
    <row r="1147" spans="1:23" ht="11.25" customHeight="1" x14ac:dyDescent="0.25">
      <c r="A1147" s="3" t="s">
        <v>21</v>
      </c>
      <c r="B1147" s="3" t="s">
        <v>33</v>
      </c>
      <c r="C1147" s="3" t="s">
        <v>34</v>
      </c>
      <c r="D1147" s="3" t="s">
        <v>45</v>
      </c>
      <c r="E1147" s="3" t="s">
        <v>53</v>
      </c>
      <c r="F1147" s="3" t="s">
        <v>25</v>
      </c>
      <c r="G1147" s="3" t="s">
        <v>25</v>
      </c>
      <c r="H1147" s="3" t="s">
        <v>25</v>
      </c>
      <c r="I1147" s="6">
        <v>44348</v>
      </c>
      <c r="J1147" s="4">
        <v>5221</v>
      </c>
      <c r="K1147" s="4">
        <v>5012.16</v>
      </c>
      <c r="L1147" s="4">
        <v>0</v>
      </c>
      <c r="M1147" s="4">
        <v>0</v>
      </c>
      <c r="N1147" s="4">
        <v>0</v>
      </c>
      <c r="O1147" s="4">
        <v>0</v>
      </c>
      <c r="P1147" s="4">
        <v>212</v>
      </c>
      <c r="Q1147" s="3" t="s">
        <v>26</v>
      </c>
      <c r="R1147" s="3">
        <v>0</v>
      </c>
      <c r="S1147" s="3" t="s">
        <v>301</v>
      </c>
      <c r="U1147" s="3">
        <v>7</v>
      </c>
      <c r="V1147" s="3">
        <v>0</v>
      </c>
      <c r="W1147" s="3">
        <v>0</v>
      </c>
    </row>
    <row r="1148" spans="1:23" ht="11.25" customHeight="1" x14ac:dyDescent="0.25">
      <c r="A1148" s="3" t="s">
        <v>27</v>
      </c>
      <c r="B1148" s="3" t="s">
        <v>33</v>
      </c>
      <c r="C1148" s="3" t="s">
        <v>34</v>
      </c>
      <c r="D1148" s="3" t="s">
        <v>45</v>
      </c>
      <c r="E1148" s="3" t="s">
        <v>53</v>
      </c>
      <c r="F1148" s="3" t="s">
        <v>25</v>
      </c>
      <c r="G1148" s="3" t="s">
        <v>25</v>
      </c>
      <c r="H1148" s="3" t="s">
        <v>25</v>
      </c>
      <c r="I1148" s="6">
        <v>44348</v>
      </c>
      <c r="J1148" s="4">
        <v>-596</v>
      </c>
      <c r="K1148" s="4">
        <v>-572.16</v>
      </c>
      <c r="L1148" s="4">
        <v>0</v>
      </c>
      <c r="M1148" s="4">
        <v>0</v>
      </c>
      <c r="N1148" s="4">
        <v>0</v>
      </c>
      <c r="O1148" s="4">
        <v>0</v>
      </c>
      <c r="P1148" s="4">
        <v>-1</v>
      </c>
      <c r="Q1148" s="3" t="s">
        <v>26</v>
      </c>
      <c r="R1148" s="3">
        <v>0</v>
      </c>
      <c r="S1148" s="3" t="s">
        <v>301</v>
      </c>
      <c r="U1148" s="3">
        <v>7</v>
      </c>
      <c r="V1148" s="3">
        <v>0</v>
      </c>
      <c r="W1148" s="3">
        <v>0</v>
      </c>
    </row>
    <row r="1149" spans="1:23" ht="11.25" customHeight="1" x14ac:dyDescent="0.25">
      <c r="A1149" s="3" t="s">
        <v>28</v>
      </c>
      <c r="B1149" s="3" t="s">
        <v>33</v>
      </c>
      <c r="C1149" s="3" t="s">
        <v>34</v>
      </c>
      <c r="D1149" s="3" t="s">
        <v>45</v>
      </c>
      <c r="E1149" s="3" t="s">
        <v>53</v>
      </c>
      <c r="F1149" s="3" t="s">
        <v>25</v>
      </c>
      <c r="G1149" s="3" t="s">
        <v>25</v>
      </c>
      <c r="H1149" s="3" t="s">
        <v>25</v>
      </c>
      <c r="I1149" s="6">
        <v>44348</v>
      </c>
      <c r="J1149" s="4">
        <v>441</v>
      </c>
      <c r="K1149" s="4">
        <v>423.36</v>
      </c>
      <c r="L1149" s="4">
        <v>0</v>
      </c>
      <c r="M1149" s="4">
        <v>0</v>
      </c>
      <c r="N1149" s="4">
        <v>0</v>
      </c>
      <c r="O1149" s="4">
        <v>0</v>
      </c>
      <c r="P1149" s="4">
        <v>14</v>
      </c>
      <c r="Q1149" s="3" t="s">
        <v>26</v>
      </c>
      <c r="R1149" s="3">
        <v>0</v>
      </c>
      <c r="S1149" s="3" t="s">
        <v>301</v>
      </c>
      <c r="U1149" s="3">
        <v>7</v>
      </c>
      <c r="V1149" s="3">
        <v>0</v>
      </c>
      <c r="W1149" s="3">
        <v>0</v>
      </c>
    </row>
    <row r="1150" spans="1:23" ht="11.25" customHeight="1" x14ac:dyDescent="0.25">
      <c r="A1150" s="3" t="s">
        <v>21</v>
      </c>
      <c r="B1150" s="3" t="s">
        <v>33</v>
      </c>
      <c r="C1150" s="3" t="s">
        <v>34</v>
      </c>
      <c r="D1150" s="3" t="s">
        <v>45</v>
      </c>
      <c r="E1150" s="3" t="s">
        <v>53</v>
      </c>
      <c r="F1150" s="3" t="s">
        <v>25</v>
      </c>
      <c r="G1150" s="3" t="s">
        <v>25</v>
      </c>
      <c r="H1150" s="3" t="s">
        <v>25</v>
      </c>
      <c r="I1150" s="6">
        <v>44378</v>
      </c>
      <c r="J1150" s="4">
        <v>4974</v>
      </c>
      <c r="K1150" s="4">
        <v>4775.04</v>
      </c>
      <c r="L1150" s="4">
        <v>0</v>
      </c>
      <c r="M1150" s="4">
        <v>0</v>
      </c>
      <c r="N1150" s="4">
        <v>0</v>
      </c>
      <c r="O1150" s="4">
        <v>0</v>
      </c>
      <c r="P1150" s="4">
        <v>213</v>
      </c>
      <c r="Q1150" s="3" t="s">
        <v>26</v>
      </c>
      <c r="R1150" s="3">
        <v>0</v>
      </c>
      <c r="S1150" s="3" t="s">
        <v>302</v>
      </c>
      <c r="U1150" s="3">
        <v>7</v>
      </c>
      <c r="V1150" s="3">
        <v>0</v>
      </c>
      <c r="W1150" s="3">
        <v>0</v>
      </c>
    </row>
    <row r="1151" spans="1:23" ht="11.25" customHeight="1" x14ac:dyDescent="0.25">
      <c r="A1151" s="3" t="s">
        <v>27</v>
      </c>
      <c r="B1151" s="3" t="s">
        <v>33</v>
      </c>
      <c r="C1151" s="3" t="s">
        <v>34</v>
      </c>
      <c r="D1151" s="3" t="s">
        <v>45</v>
      </c>
      <c r="E1151" s="3" t="s">
        <v>53</v>
      </c>
      <c r="F1151" s="3" t="s">
        <v>25</v>
      </c>
      <c r="G1151" s="3" t="s">
        <v>25</v>
      </c>
      <c r="H1151" s="3" t="s">
        <v>25</v>
      </c>
      <c r="I1151" s="6">
        <v>44378</v>
      </c>
      <c r="J1151" s="4">
        <v>-7695</v>
      </c>
      <c r="K1151" s="4">
        <v>-7387.2</v>
      </c>
      <c r="L1151" s="4">
        <v>0</v>
      </c>
      <c r="M1151" s="4">
        <v>0</v>
      </c>
      <c r="N1151" s="4">
        <v>0</v>
      </c>
      <c r="O1151" s="4">
        <v>0</v>
      </c>
      <c r="P1151" s="4">
        <v>-2</v>
      </c>
      <c r="Q1151" s="3" t="s">
        <v>26</v>
      </c>
      <c r="R1151" s="3">
        <v>0</v>
      </c>
      <c r="S1151" s="3" t="s">
        <v>302</v>
      </c>
      <c r="U1151" s="3">
        <v>7</v>
      </c>
      <c r="V1151" s="3">
        <v>0</v>
      </c>
      <c r="W1151" s="3">
        <v>0</v>
      </c>
    </row>
    <row r="1152" spans="1:23" ht="11.25" customHeight="1" x14ac:dyDescent="0.25">
      <c r="A1152" s="3" t="s">
        <v>28</v>
      </c>
      <c r="B1152" s="3" t="s">
        <v>33</v>
      </c>
      <c r="C1152" s="3" t="s">
        <v>34</v>
      </c>
      <c r="D1152" s="3" t="s">
        <v>45</v>
      </c>
      <c r="E1152" s="3" t="s">
        <v>53</v>
      </c>
      <c r="F1152" s="3" t="s">
        <v>25</v>
      </c>
      <c r="G1152" s="3" t="s">
        <v>25</v>
      </c>
      <c r="H1152" s="3" t="s">
        <v>25</v>
      </c>
      <c r="I1152" s="6">
        <v>44378</v>
      </c>
      <c r="J1152" s="4">
        <v>316</v>
      </c>
      <c r="K1152" s="4">
        <v>303.36</v>
      </c>
      <c r="L1152" s="4">
        <v>0</v>
      </c>
      <c r="M1152" s="4">
        <v>0</v>
      </c>
      <c r="N1152" s="4">
        <v>0</v>
      </c>
      <c r="O1152" s="4">
        <v>0</v>
      </c>
      <c r="P1152" s="4">
        <v>14</v>
      </c>
      <c r="Q1152" s="3" t="s">
        <v>26</v>
      </c>
      <c r="R1152" s="3">
        <v>0</v>
      </c>
      <c r="S1152" s="3" t="s">
        <v>302</v>
      </c>
      <c r="U1152" s="3">
        <v>7</v>
      </c>
      <c r="V1152" s="3">
        <v>0</v>
      </c>
      <c r="W1152" s="3">
        <v>0</v>
      </c>
    </row>
    <row r="1153" spans="1:23" ht="11.25" customHeight="1" x14ac:dyDescent="0.25">
      <c r="A1153" s="3" t="s">
        <v>21</v>
      </c>
      <c r="B1153" s="3" t="s">
        <v>33</v>
      </c>
      <c r="C1153" s="3" t="s">
        <v>34</v>
      </c>
      <c r="D1153" s="3" t="s">
        <v>45</v>
      </c>
      <c r="E1153" s="3" t="s">
        <v>53</v>
      </c>
      <c r="F1153" s="3" t="s">
        <v>25</v>
      </c>
      <c r="G1153" s="3" t="s">
        <v>25</v>
      </c>
      <c r="H1153" s="3" t="s">
        <v>25</v>
      </c>
      <c r="I1153" s="6">
        <v>44409</v>
      </c>
      <c r="J1153" s="4">
        <v>13775</v>
      </c>
      <c r="K1153" s="4">
        <v>13224</v>
      </c>
      <c r="L1153" s="4">
        <v>0</v>
      </c>
      <c r="M1153" s="4">
        <v>0</v>
      </c>
      <c r="N1153" s="4">
        <v>0</v>
      </c>
      <c r="O1153" s="4">
        <v>0</v>
      </c>
      <c r="P1153" s="4">
        <v>230</v>
      </c>
      <c r="Q1153" s="3" t="s">
        <v>26</v>
      </c>
      <c r="R1153" s="3">
        <v>0</v>
      </c>
      <c r="S1153" s="3" t="s">
        <v>303</v>
      </c>
      <c r="U1153" s="3">
        <v>7</v>
      </c>
      <c r="V1153" s="3">
        <v>0</v>
      </c>
      <c r="W1153" s="3">
        <v>0</v>
      </c>
    </row>
    <row r="1154" spans="1:23" ht="11.25" customHeight="1" x14ac:dyDescent="0.25">
      <c r="A1154" s="3" t="s">
        <v>27</v>
      </c>
      <c r="B1154" s="3" t="s">
        <v>33</v>
      </c>
      <c r="C1154" s="3" t="s">
        <v>34</v>
      </c>
      <c r="D1154" s="3" t="s">
        <v>45</v>
      </c>
      <c r="E1154" s="3" t="s">
        <v>53</v>
      </c>
      <c r="F1154" s="3" t="s">
        <v>25</v>
      </c>
      <c r="G1154" s="3" t="s">
        <v>25</v>
      </c>
      <c r="H1154" s="3" t="s">
        <v>25</v>
      </c>
      <c r="I1154" s="6">
        <v>44409</v>
      </c>
      <c r="J1154" s="4">
        <v>-57</v>
      </c>
      <c r="K1154" s="4">
        <v>-54.72</v>
      </c>
      <c r="L1154" s="4">
        <v>0</v>
      </c>
      <c r="M1154" s="4">
        <v>0</v>
      </c>
      <c r="N1154" s="4">
        <v>0</v>
      </c>
      <c r="O1154" s="4">
        <v>0</v>
      </c>
      <c r="P1154" s="4">
        <v>-5</v>
      </c>
      <c r="Q1154" s="3" t="s">
        <v>26</v>
      </c>
      <c r="R1154" s="3">
        <v>0</v>
      </c>
      <c r="S1154" s="3" t="s">
        <v>303</v>
      </c>
      <c r="U1154" s="3">
        <v>7</v>
      </c>
      <c r="V1154" s="3">
        <v>0</v>
      </c>
      <c r="W1154" s="3">
        <v>0</v>
      </c>
    </row>
    <row r="1155" spans="1:23" ht="11.25" customHeight="1" x14ac:dyDescent="0.25">
      <c r="A1155" s="3" t="s">
        <v>28</v>
      </c>
      <c r="B1155" s="3" t="s">
        <v>33</v>
      </c>
      <c r="C1155" s="3" t="s">
        <v>34</v>
      </c>
      <c r="D1155" s="3" t="s">
        <v>45</v>
      </c>
      <c r="E1155" s="3" t="s">
        <v>53</v>
      </c>
      <c r="F1155" s="3" t="s">
        <v>25</v>
      </c>
      <c r="G1155" s="3" t="s">
        <v>25</v>
      </c>
      <c r="H1155" s="3" t="s">
        <v>25</v>
      </c>
      <c r="I1155" s="6">
        <v>44409</v>
      </c>
      <c r="J1155" s="4">
        <v>528</v>
      </c>
      <c r="K1155" s="4">
        <v>506.88</v>
      </c>
      <c r="L1155" s="4">
        <v>0</v>
      </c>
      <c r="M1155" s="4">
        <v>0</v>
      </c>
      <c r="N1155" s="4">
        <v>0</v>
      </c>
      <c r="O1155" s="4">
        <v>0</v>
      </c>
      <c r="P1155" s="4">
        <v>13</v>
      </c>
      <c r="Q1155" s="3" t="s">
        <v>26</v>
      </c>
      <c r="R1155" s="3">
        <v>0</v>
      </c>
      <c r="S1155" s="3" t="s">
        <v>303</v>
      </c>
      <c r="U1155" s="3">
        <v>7</v>
      </c>
      <c r="V1155" s="3">
        <v>0</v>
      </c>
      <c r="W1155" s="3">
        <v>0</v>
      </c>
    </row>
    <row r="1156" spans="1:23" ht="11.25" customHeight="1" x14ac:dyDescent="0.25">
      <c r="A1156" s="3" t="s">
        <v>21</v>
      </c>
      <c r="B1156" s="3" t="s">
        <v>33</v>
      </c>
      <c r="C1156" s="3" t="s">
        <v>34</v>
      </c>
      <c r="D1156" s="3" t="s">
        <v>45</v>
      </c>
      <c r="E1156" s="3" t="s">
        <v>53</v>
      </c>
      <c r="F1156" s="3" t="s">
        <v>25</v>
      </c>
      <c r="G1156" s="3" t="s">
        <v>25</v>
      </c>
      <c r="H1156" s="3" t="s">
        <v>25</v>
      </c>
      <c r="I1156" s="6">
        <v>44440</v>
      </c>
      <c r="J1156" s="4">
        <v>18117</v>
      </c>
      <c r="K1156" s="4">
        <v>17392.32</v>
      </c>
      <c r="L1156" s="4">
        <v>0</v>
      </c>
      <c r="M1156" s="4">
        <v>0</v>
      </c>
      <c r="N1156" s="4">
        <v>0</v>
      </c>
      <c r="O1156" s="4">
        <v>0</v>
      </c>
      <c r="P1156" s="4">
        <v>230</v>
      </c>
      <c r="Q1156" s="3" t="s">
        <v>26</v>
      </c>
      <c r="R1156" s="3">
        <v>0</v>
      </c>
      <c r="S1156" s="3" t="s">
        <v>304</v>
      </c>
      <c r="U1156" s="3">
        <v>7</v>
      </c>
      <c r="V1156" s="3">
        <v>0</v>
      </c>
      <c r="W1156" s="3">
        <v>0</v>
      </c>
    </row>
    <row r="1157" spans="1:23" ht="11.25" customHeight="1" x14ac:dyDescent="0.25">
      <c r="A1157" s="3" t="s">
        <v>27</v>
      </c>
      <c r="B1157" s="3" t="s">
        <v>33</v>
      </c>
      <c r="C1157" s="3" t="s">
        <v>34</v>
      </c>
      <c r="D1157" s="3" t="s">
        <v>45</v>
      </c>
      <c r="E1157" s="3" t="s">
        <v>53</v>
      </c>
      <c r="F1157" s="3" t="s">
        <v>25</v>
      </c>
      <c r="G1157" s="3" t="s">
        <v>25</v>
      </c>
      <c r="H1157" s="3" t="s">
        <v>25</v>
      </c>
      <c r="I1157" s="6">
        <v>44440</v>
      </c>
      <c r="J1157" s="4">
        <v>-196</v>
      </c>
      <c r="K1157" s="4">
        <v>-188.16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3" t="s">
        <v>26</v>
      </c>
      <c r="R1157" s="3">
        <v>0</v>
      </c>
      <c r="S1157" s="3" t="s">
        <v>304</v>
      </c>
      <c r="U1157" s="3">
        <v>7</v>
      </c>
      <c r="V1157" s="3">
        <v>0</v>
      </c>
      <c r="W1157" s="3">
        <v>0</v>
      </c>
    </row>
    <row r="1158" spans="1:23" ht="11.25" customHeight="1" x14ac:dyDescent="0.25">
      <c r="A1158" s="3" t="s">
        <v>28</v>
      </c>
      <c r="B1158" s="3" t="s">
        <v>33</v>
      </c>
      <c r="C1158" s="3" t="s">
        <v>34</v>
      </c>
      <c r="D1158" s="3" t="s">
        <v>45</v>
      </c>
      <c r="E1158" s="3" t="s">
        <v>53</v>
      </c>
      <c r="F1158" s="3" t="s">
        <v>25</v>
      </c>
      <c r="G1158" s="3" t="s">
        <v>25</v>
      </c>
      <c r="H1158" s="3" t="s">
        <v>25</v>
      </c>
      <c r="I1158" s="6">
        <v>44440</v>
      </c>
      <c r="J1158" s="4">
        <v>1778</v>
      </c>
      <c r="K1158" s="4">
        <v>1706.88</v>
      </c>
      <c r="L1158" s="4">
        <v>0</v>
      </c>
      <c r="M1158" s="4">
        <v>0</v>
      </c>
      <c r="N1158" s="4">
        <v>0</v>
      </c>
      <c r="O1158" s="4">
        <v>0</v>
      </c>
      <c r="P1158" s="4">
        <v>14</v>
      </c>
      <c r="Q1158" s="3" t="s">
        <v>26</v>
      </c>
      <c r="R1158" s="3">
        <v>0</v>
      </c>
      <c r="S1158" s="3" t="s">
        <v>304</v>
      </c>
      <c r="U1158" s="3">
        <v>7</v>
      </c>
      <c r="V1158" s="3">
        <v>0</v>
      </c>
      <c r="W1158" s="3">
        <v>0</v>
      </c>
    </row>
    <row r="1159" spans="1:23" ht="11.25" customHeight="1" x14ac:dyDescent="0.25">
      <c r="A1159" s="3" t="s">
        <v>21</v>
      </c>
      <c r="B1159" s="3" t="s">
        <v>33</v>
      </c>
      <c r="C1159" s="3" t="s">
        <v>34</v>
      </c>
      <c r="D1159" s="3" t="s">
        <v>45</v>
      </c>
      <c r="E1159" s="3" t="s">
        <v>53</v>
      </c>
      <c r="F1159" s="3" t="s">
        <v>25</v>
      </c>
      <c r="G1159" s="3" t="s">
        <v>25</v>
      </c>
      <c r="H1159" s="3" t="s">
        <v>25</v>
      </c>
      <c r="I1159" s="6">
        <v>44470</v>
      </c>
      <c r="J1159" s="4">
        <v>23146</v>
      </c>
      <c r="K1159" s="4">
        <v>22220.16</v>
      </c>
      <c r="L1159" s="4">
        <v>0</v>
      </c>
      <c r="M1159" s="4">
        <v>0</v>
      </c>
      <c r="N1159" s="4">
        <v>0</v>
      </c>
      <c r="O1159" s="4">
        <v>0</v>
      </c>
      <c r="P1159" s="4">
        <v>242</v>
      </c>
      <c r="Q1159" s="3" t="s">
        <v>26</v>
      </c>
      <c r="R1159" s="3">
        <v>0</v>
      </c>
      <c r="S1159" s="3" t="s">
        <v>305</v>
      </c>
      <c r="U1159" s="3">
        <v>7</v>
      </c>
      <c r="V1159" s="3">
        <v>0</v>
      </c>
      <c r="W1159" s="3">
        <v>0</v>
      </c>
    </row>
    <row r="1160" spans="1:23" ht="11.25" customHeight="1" x14ac:dyDescent="0.25">
      <c r="A1160" s="3" t="s">
        <v>27</v>
      </c>
      <c r="B1160" s="3" t="s">
        <v>33</v>
      </c>
      <c r="C1160" s="3" t="s">
        <v>34</v>
      </c>
      <c r="D1160" s="3" t="s">
        <v>45</v>
      </c>
      <c r="E1160" s="3" t="s">
        <v>53</v>
      </c>
      <c r="F1160" s="3" t="s">
        <v>25</v>
      </c>
      <c r="G1160" s="3" t="s">
        <v>25</v>
      </c>
      <c r="H1160" s="3" t="s">
        <v>25</v>
      </c>
      <c r="I1160" s="6">
        <v>44470</v>
      </c>
      <c r="J1160" s="4">
        <v>-134</v>
      </c>
      <c r="K1160" s="4">
        <v>-128.63999999999999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3" t="s">
        <v>26</v>
      </c>
      <c r="R1160" s="3">
        <v>0</v>
      </c>
      <c r="S1160" s="3" t="s">
        <v>305</v>
      </c>
      <c r="U1160" s="3">
        <v>7</v>
      </c>
      <c r="V1160" s="3">
        <v>0</v>
      </c>
      <c r="W1160" s="3">
        <v>0</v>
      </c>
    </row>
    <row r="1161" spans="1:23" ht="11.25" customHeight="1" x14ac:dyDescent="0.25">
      <c r="A1161" s="3" t="s">
        <v>28</v>
      </c>
      <c r="B1161" s="3" t="s">
        <v>33</v>
      </c>
      <c r="C1161" s="3" t="s">
        <v>34</v>
      </c>
      <c r="D1161" s="3" t="s">
        <v>45</v>
      </c>
      <c r="E1161" s="3" t="s">
        <v>53</v>
      </c>
      <c r="F1161" s="3" t="s">
        <v>25</v>
      </c>
      <c r="G1161" s="3" t="s">
        <v>25</v>
      </c>
      <c r="H1161" s="3" t="s">
        <v>25</v>
      </c>
      <c r="I1161" s="6">
        <v>44470</v>
      </c>
      <c r="J1161" s="4">
        <v>2209</v>
      </c>
      <c r="K1161" s="4">
        <v>2120.64</v>
      </c>
      <c r="L1161" s="4">
        <v>0</v>
      </c>
      <c r="M1161" s="4">
        <v>0</v>
      </c>
      <c r="N1161" s="4">
        <v>0</v>
      </c>
      <c r="O1161" s="4">
        <v>0</v>
      </c>
      <c r="P1161" s="4">
        <v>14</v>
      </c>
      <c r="Q1161" s="3" t="s">
        <v>26</v>
      </c>
      <c r="R1161" s="3">
        <v>0</v>
      </c>
      <c r="S1161" s="3" t="s">
        <v>305</v>
      </c>
      <c r="U1161" s="3">
        <v>7</v>
      </c>
      <c r="V1161" s="3">
        <v>0</v>
      </c>
      <c r="W1161" s="3">
        <v>0</v>
      </c>
    </row>
    <row r="1162" spans="1:23" ht="11.25" customHeight="1" x14ac:dyDescent="0.25">
      <c r="A1162" s="3" t="s">
        <v>21</v>
      </c>
      <c r="B1162" s="3" t="s">
        <v>33</v>
      </c>
      <c r="C1162" s="3" t="s">
        <v>34</v>
      </c>
      <c r="D1162" s="3" t="s">
        <v>45</v>
      </c>
      <c r="E1162" s="3" t="s">
        <v>53</v>
      </c>
      <c r="F1162" s="3" t="s">
        <v>25</v>
      </c>
      <c r="G1162" s="3" t="s">
        <v>25</v>
      </c>
      <c r="H1162" s="3" t="s">
        <v>25</v>
      </c>
      <c r="I1162" s="6">
        <v>44501</v>
      </c>
      <c r="J1162" s="4">
        <v>25117</v>
      </c>
      <c r="K1162" s="4">
        <v>24112.32</v>
      </c>
      <c r="L1162" s="4">
        <v>0</v>
      </c>
      <c r="M1162" s="4">
        <v>0</v>
      </c>
      <c r="N1162" s="4">
        <v>0</v>
      </c>
      <c r="O1162" s="4">
        <v>0</v>
      </c>
      <c r="P1162" s="4">
        <v>225</v>
      </c>
      <c r="Q1162" s="3" t="s">
        <v>26</v>
      </c>
      <c r="R1162" s="3">
        <v>0</v>
      </c>
      <c r="S1162" s="3" t="s">
        <v>306</v>
      </c>
      <c r="U1162" s="3">
        <v>7</v>
      </c>
      <c r="V1162" s="3">
        <v>0</v>
      </c>
      <c r="W1162" s="3">
        <v>0</v>
      </c>
    </row>
    <row r="1163" spans="1:23" ht="11.25" customHeight="1" x14ac:dyDescent="0.25">
      <c r="A1163" s="3" t="s">
        <v>27</v>
      </c>
      <c r="B1163" s="3" t="s">
        <v>33</v>
      </c>
      <c r="C1163" s="3" t="s">
        <v>34</v>
      </c>
      <c r="D1163" s="3" t="s">
        <v>45</v>
      </c>
      <c r="E1163" s="3" t="s">
        <v>53</v>
      </c>
      <c r="F1163" s="3" t="s">
        <v>25</v>
      </c>
      <c r="G1163" s="3" t="s">
        <v>25</v>
      </c>
      <c r="H1163" s="3" t="s">
        <v>25</v>
      </c>
      <c r="I1163" s="6">
        <v>44501</v>
      </c>
      <c r="J1163" s="4">
        <v>-1366</v>
      </c>
      <c r="K1163" s="4">
        <v>-1311.36</v>
      </c>
      <c r="L1163" s="4">
        <v>0</v>
      </c>
      <c r="M1163" s="4">
        <v>0</v>
      </c>
      <c r="N1163" s="4">
        <v>0</v>
      </c>
      <c r="O1163" s="4">
        <v>0</v>
      </c>
      <c r="P1163" s="4">
        <v>-4</v>
      </c>
      <c r="Q1163" s="3" t="s">
        <v>26</v>
      </c>
      <c r="R1163" s="3">
        <v>0</v>
      </c>
      <c r="S1163" s="3" t="s">
        <v>306</v>
      </c>
      <c r="U1163" s="3">
        <v>7</v>
      </c>
      <c r="V1163" s="3">
        <v>0</v>
      </c>
      <c r="W1163" s="3">
        <v>0</v>
      </c>
    </row>
    <row r="1164" spans="1:23" ht="11.25" customHeight="1" x14ac:dyDescent="0.25">
      <c r="A1164" s="3" t="s">
        <v>28</v>
      </c>
      <c r="B1164" s="3" t="s">
        <v>33</v>
      </c>
      <c r="C1164" s="3" t="s">
        <v>34</v>
      </c>
      <c r="D1164" s="3" t="s">
        <v>45</v>
      </c>
      <c r="E1164" s="3" t="s">
        <v>53</v>
      </c>
      <c r="F1164" s="3" t="s">
        <v>25</v>
      </c>
      <c r="G1164" s="3" t="s">
        <v>25</v>
      </c>
      <c r="H1164" s="3" t="s">
        <v>25</v>
      </c>
      <c r="I1164" s="6">
        <v>44501</v>
      </c>
      <c r="J1164" s="4">
        <v>2179</v>
      </c>
      <c r="K1164" s="4">
        <v>2091.84</v>
      </c>
      <c r="L1164" s="4">
        <v>0</v>
      </c>
      <c r="M1164" s="4">
        <v>0</v>
      </c>
      <c r="N1164" s="4">
        <v>0</v>
      </c>
      <c r="O1164" s="4">
        <v>0</v>
      </c>
      <c r="P1164" s="4">
        <v>15</v>
      </c>
      <c r="Q1164" s="3" t="s">
        <v>26</v>
      </c>
      <c r="R1164" s="3">
        <v>0</v>
      </c>
      <c r="S1164" s="3" t="s">
        <v>306</v>
      </c>
      <c r="U1164" s="3">
        <v>7</v>
      </c>
      <c r="V1164" s="3">
        <v>0</v>
      </c>
      <c r="W1164" s="3">
        <v>0</v>
      </c>
    </row>
    <row r="1165" spans="1:23" ht="11.25" customHeight="1" x14ac:dyDescent="0.25">
      <c r="A1165" s="3" t="s">
        <v>21</v>
      </c>
      <c r="B1165" s="3" t="s">
        <v>33</v>
      </c>
      <c r="C1165" s="3" t="s">
        <v>34</v>
      </c>
      <c r="D1165" s="3" t="s">
        <v>45</v>
      </c>
      <c r="E1165" s="3" t="s">
        <v>53</v>
      </c>
      <c r="F1165" s="3" t="s">
        <v>25</v>
      </c>
      <c r="G1165" s="3" t="s">
        <v>25</v>
      </c>
      <c r="H1165" s="3" t="s">
        <v>25</v>
      </c>
      <c r="I1165" s="6">
        <v>44531</v>
      </c>
      <c r="J1165" s="4">
        <v>26254</v>
      </c>
      <c r="K1165" s="4">
        <v>25203.84</v>
      </c>
      <c r="L1165" s="4">
        <v>0</v>
      </c>
      <c r="M1165" s="4">
        <v>0</v>
      </c>
      <c r="N1165" s="4">
        <v>0</v>
      </c>
      <c r="O1165" s="4">
        <v>0</v>
      </c>
      <c r="P1165" s="4">
        <v>224</v>
      </c>
      <c r="Q1165" s="3" t="s">
        <v>26</v>
      </c>
      <c r="R1165" s="3">
        <v>0</v>
      </c>
      <c r="S1165" s="3" t="s">
        <v>307</v>
      </c>
      <c r="U1165" s="3">
        <v>7</v>
      </c>
      <c r="V1165" s="3">
        <v>0</v>
      </c>
      <c r="W1165" s="3">
        <v>0</v>
      </c>
    </row>
    <row r="1166" spans="1:23" ht="11.25" customHeight="1" x14ac:dyDescent="0.25">
      <c r="A1166" s="3" t="s">
        <v>28</v>
      </c>
      <c r="B1166" s="3" t="s">
        <v>33</v>
      </c>
      <c r="C1166" s="3" t="s">
        <v>34</v>
      </c>
      <c r="D1166" s="3" t="s">
        <v>45</v>
      </c>
      <c r="E1166" s="3" t="s">
        <v>53</v>
      </c>
      <c r="F1166" s="3" t="s">
        <v>25</v>
      </c>
      <c r="G1166" s="3" t="s">
        <v>25</v>
      </c>
      <c r="H1166" s="3" t="s">
        <v>25</v>
      </c>
      <c r="I1166" s="6">
        <v>44531</v>
      </c>
      <c r="J1166" s="4">
        <v>2390</v>
      </c>
      <c r="K1166" s="4">
        <v>2294.4</v>
      </c>
      <c r="L1166" s="4">
        <v>0</v>
      </c>
      <c r="M1166" s="4">
        <v>0</v>
      </c>
      <c r="N1166" s="4">
        <v>0</v>
      </c>
      <c r="O1166" s="4">
        <v>0</v>
      </c>
      <c r="P1166" s="4">
        <v>15</v>
      </c>
      <c r="Q1166" s="3" t="s">
        <v>26</v>
      </c>
      <c r="R1166" s="3">
        <v>0</v>
      </c>
      <c r="S1166" s="3" t="s">
        <v>307</v>
      </c>
      <c r="U1166" s="3">
        <v>7</v>
      </c>
      <c r="V1166" s="3">
        <v>0</v>
      </c>
      <c r="W1166" s="3">
        <v>0</v>
      </c>
    </row>
    <row r="1167" spans="1:23" ht="11.25" customHeight="1" x14ac:dyDescent="0.25">
      <c r="A1167" s="3" t="s">
        <v>21</v>
      </c>
      <c r="B1167" s="3" t="s">
        <v>33</v>
      </c>
      <c r="C1167" s="3" t="s">
        <v>34</v>
      </c>
      <c r="D1167" s="3" t="s">
        <v>45</v>
      </c>
      <c r="E1167" s="3" t="s">
        <v>53</v>
      </c>
      <c r="F1167" s="3" t="s">
        <v>25</v>
      </c>
      <c r="G1167" s="3" t="s">
        <v>25</v>
      </c>
      <c r="H1167" s="3" t="s">
        <v>25</v>
      </c>
      <c r="I1167" s="6">
        <v>44562</v>
      </c>
      <c r="J1167" s="4">
        <v>23879</v>
      </c>
      <c r="K1167" s="4">
        <v>22923.84</v>
      </c>
      <c r="L1167" s="4">
        <v>0</v>
      </c>
      <c r="M1167" s="4">
        <v>0</v>
      </c>
      <c r="N1167" s="4">
        <v>0</v>
      </c>
      <c r="O1167" s="4">
        <v>0</v>
      </c>
      <c r="P1167" s="4">
        <v>217</v>
      </c>
      <c r="Q1167" s="3" t="s">
        <v>26</v>
      </c>
      <c r="R1167" s="3">
        <v>0</v>
      </c>
      <c r="S1167" s="3" t="s">
        <v>308</v>
      </c>
      <c r="U1167" s="3">
        <v>7</v>
      </c>
      <c r="V1167" s="3">
        <v>0</v>
      </c>
      <c r="W1167" s="3">
        <v>0</v>
      </c>
    </row>
    <row r="1168" spans="1:23" ht="11.25" customHeight="1" x14ac:dyDescent="0.25">
      <c r="A1168" s="3" t="s">
        <v>27</v>
      </c>
      <c r="B1168" s="3" t="s">
        <v>33</v>
      </c>
      <c r="C1168" s="3" t="s">
        <v>34</v>
      </c>
      <c r="D1168" s="3" t="s">
        <v>45</v>
      </c>
      <c r="E1168" s="3" t="s">
        <v>53</v>
      </c>
      <c r="F1168" s="3" t="s">
        <v>25</v>
      </c>
      <c r="G1168" s="3" t="s">
        <v>25</v>
      </c>
      <c r="H1168" s="3" t="s">
        <v>25</v>
      </c>
      <c r="I1168" s="6">
        <v>44562</v>
      </c>
      <c r="J1168" s="4">
        <v>-37</v>
      </c>
      <c r="K1168" s="4">
        <v>-35.520000000000003</v>
      </c>
      <c r="L1168" s="4">
        <v>0</v>
      </c>
      <c r="M1168" s="4">
        <v>0</v>
      </c>
      <c r="N1168" s="4">
        <v>0</v>
      </c>
      <c r="O1168" s="4">
        <v>0</v>
      </c>
      <c r="P1168" s="4">
        <v>-1</v>
      </c>
      <c r="Q1168" s="3" t="s">
        <v>26</v>
      </c>
      <c r="R1168" s="3">
        <v>0</v>
      </c>
      <c r="S1168" s="3" t="s">
        <v>308</v>
      </c>
      <c r="U1168" s="3">
        <v>7</v>
      </c>
      <c r="V1168" s="3">
        <v>0</v>
      </c>
      <c r="W1168" s="3">
        <v>0</v>
      </c>
    </row>
    <row r="1169" spans="1:23" ht="11.25" customHeight="1" x14ac:dyDescent="0.25">
      <c r="A1169" s="3" t="s">
        <v>28</v>
      </c>
      <c r="B1169" s="3" t="s">
        <v>33</v>
      </c>
      <c r="C1169" s="3" t="s">
        <v>34</v>
      </c>
      <c r="D1169" s="3" t="s">
        <v>45</v>
      </c>
      <c r="E1169" s="3" t="s">
        <v>53</v>
      </c>
      <c r="F1169" s="3" t="s">
        <v>25</v>
      </c>
      <c r="G1169" s="3" t="s">
        <v>25</v>
      </c>
      <c r="H1169" s="3" t="s">
        <v>25</v>
      </c>
      <c r="I1169" s="6">
        <v>44562</v>
      </c>
      <c r="J1169" s="4">
        <v>2399</v>
      </c>
      <c r="K1169" s="4">
        <v>2303.04</v>
      </c>
      <c r="L1169" s="4">
        <v>0</v>
      </c>
      <c r="M1169" s="4">
        <v>0</v>
      </c>
      <c r="N1169" s="4">
        <v>0</v>
      </c>
      <c r="O1169" s="4">
        <v>0</v>
      </c>
      <c r="P1169" s="4">
        <v>16</v>
      </c>
      <c r="Q1169" s="3" t="s">
        <v>26</v>
      </c>
      <c r="R1169" s="3">
        <v>0</v>
      </c>
      <c r="S1169" s="3" t="s">
        <v>308</v>
      </c>
      <c r="U1169" s="3">
        <v>7</v>
      </c>
      <c r="V1169" s="3">
        <v>0</v>
      </c>
      <c r="W1169" s="3">
        <v>0</v>
      </c>
    </row>
    <row r="1170" spans="1:23" ht="11.25" customHeight="1" x14ac:dyDescent="0.25">
      <c r="A1170" s="3" t="s">
        <v>21</v>
      </c>
      <c r="B1170" s="3" t="s">
        <v>33</v>
      </c>
      <c r="C1170" s="3" t="s">
        <v>34</v>
      </c>
      <c r="D1170" s="3" t="s">
        <v>45</v>
      </c>
      <c r="E1170" s="3" t="s">
        <v>53</v>
      </c>
      <c r="F1170" s="3" t="s">
        <v>25</v>
      </c>
      <c r="G1170" s="3" t="s">
        <v>25</v>
      </c>
      <c r="H1170" s="3" t="s">
        <v>25</v>
      </c>
      <c r="I1170" s="6">
        <v>44593</v>
      </c>
      <c r="J1170" s="4">
        <v>25852</v>
      </c>
      <c r="K1170" s="4">
        <v>24817.919999999998</v>
      </c>
      <c r="L1170" s="4">
        <v>0</v>
      </c>
      <c r="M1170" s="4">
        <v>0</v>
      </c>
      <c r="N1170" s="4">
        <v>0</v>
      </c>
      <c r="O1170" s="4">
        <v>0</v>
      </c>
      <c r="P1170" s="4">
        <v>221</v>
      </c>
      <c r="Q1170" s="3" t="s">
        <v>26</v>
      </c>
      <c r="R1170" s="3">
        <v>0</v>
      </c>
      <c r="S1170" s="3" t="s">
        <v>309</v>
      </c>
      <c r="U1170" s="3">
        <v>7</v>
      </c>
      <c r="V1170" s="3">
        <v>0</v>
      </c>
      <c r="W1170" s="3">
        <v>0</v>
      </c>
    </row>
    <row r="1171" spans="1:23" ht="11.25" customHeight="1" x14ac:dyDescent="0.25">
      <c r="A1171" s="3" t="s">
        <v>28</v>
      </c>
      <c r="B1171" s="3" t="s">
        <v>33</v>
      </c>
      <c r="C1171" s="3" t="s">
        <v>34</v>
      </c>
      <c r="D1171" s="3" t="s">
        <v>45</v>
      </c>
      <c r="E1171" s="3" t="s">
        <v>53</v>
      </c>
      <c r="F1171" s="3" t="s">
        <v>25</v>
      </c>
      <c r="G1171" s="3" t="s">
        <v>25</v>
      </c>
      <c r="H1171" s="3" t="s">
        <v>25</v>
      </c>
      <c r="I1171" s="6">
        <v>44593</v>
      </c>
      <c r="J1171" s="4">
        <v>2388</v>
      </c>
      <c r="K1171" s="4">
        <v>2292.48</v>
      </c>
      <c r="L1171" s="4">
        <v>0</v>
      </c>
      <c r="M1171" s="4">
        <v>0</v>
      </c>
      <c r="N1171" s="4">
        <v>0</v>
      </c>
      <c r="O1171" s="4">
        <v>0</v>
      </c>
      <c r="P1171" s="4">
        <v>16</v>
      </c>
      <c r="Q1171" s="3" t="s">
        <v>26</v>
      </c>
      <c r="R1171" s="3">
        <v>0</v>
      </c>
      <c r="S1171" s="3" t="s">
        <v>309</v>
      </c>
      <c r="U1171" s="3">
        <v>7</v>
      </c>
      <c r="V1171" s="3">
        <v>0</v>
      </c>
      <c r="W1171" s="3">
        <v>0</v>
      </c>
    </row>
    <row r="1172" spans="1:23" ht="11.25" customHeight="1" x14ac:dyDescent="0.25">
      <c r="A1172" s="3" t="s">
        <v>21</v>
      </c>
      <c r="B1172" s="3" t="s">
        <v>33</v>
      </c>
      <c r="C1172" s="3" t="s">
        <v>34</v>
      </c>
      <c r="D1172" s="3" t="s">
        <v>45</v>
      </c>
      <c r="E1172" s="3" t="s">
        <v>53</v>
      </c>
      <c r="F1172" s="3" t="s">
        <v>25</v>
      </c>
      <c r="G1172" s="3" t="s">
        <v>25</v>
      </c>
      <c r="H1172" s="3" t="s">
        <v>25</v>
      </c>
      <c r="I1172" s="6">
        <v>44621</v>
      </c>
      <c r="J1172" s="4">
        <v>26284</v>
      </c>
      <c r="K1172" s="4">
        <v>25232.639999999999</v>
      </c>
      <c r="L1172" s="4">
        <v>0</v>
      </c>
      <c r="M1172" s="4">
        <v>0</v>
      </c>
      <c r="N1172" s="4">
        <v>0</v>
      </c>
      <c r="O1172" s="4">
        <v>0</v>
      </c>
      <c r="P1172" s="4">
        <v>216</v>
      </c>
      <c r="Q1172" s="3" t="s">
        <v>26</v>
      </c>
      <c r="R1172" s="3">
        <v>0</v>
      </c>
      <c r="S1172" s="3" t="s">
        <v>310</v>
      </c>
      <c r="U1172" s="3">
        <v>7</v>
      </c>
      <c r="V1172" s="3">
        <v>0</v>
      </c>
      <c r="W1172" s="3">
        <v>0</v>
      </c>
    </row>
    <row r="1173" spans="1:23" ht="11.25" customHeight="1" x14ac:dyDescent="0.25">
      <c r="A1173" s="3" t="s">
        <v>28</v>
      </c>
      <c r="B1173" s="3" t="s">
        <v>33</v>
      </c>
      <c r="C1173" s="3" t="s">
        <v>34</v>
      </c>
      <c r="D1173" s="3" t="s">
        <v>45</v>
      </c>
      <c r="E1173" s="3" t="s">
        <v>53</v>
      </c>
      <c r="F1173" s="3" t="s">
        <v>25</v>
      </c>
      <c r="G1173" s="3" t="s">
        <v>25</v>
      </c>
      <c r="H1173" s="3" t="s">
        <v>25</v>
      </c>
      <c r="I1173" s="6">
        <v>44621</v>
      </c>
      <c r="J1173" s="4">
        <v>2222</v>
      </c>
      <c r="K1173" s="4">
        <v>2133.12</v>
      </c>
      <c r="L1173" s="4">
        <v>0</v>
      </c>
      <c r="M1173" s="4">
        <v>0</v>
      </c>
      <c r="N1173" s="4">
        <v>0</v>
      </c>
      <c r="O1173" s="4">
        <v>0</v>
      </c>
      <c r="P1173" s="4">
        <v>16</v>
      </c>
      <c r="Q1173" s="3" t="s">
        <v>26</v>
      </c>
      <c r="R1173" s="3">
        <v>0</v>
      </c>
      <c r="S1173" s="3" t="s">
        <v>310</v>
      </c>
      <c r="U1173" s="3">
        <v>7</v>
      </c>
      <c r="V1173" s="3">
        <v>0</v>
      </c>
      <c r="W1173" s="3">
        <v>0</v>
      </c>
    </row>
    <row r="1174" spans="1:23" ht="11.25" customHeight="1" x14ac:dyDescent="0.25">
      <c r="A1174" s="3" t="s">
        <v>56</v>
      </c>
      <c r="B1174" s="3" t="s">
        <v>33</v>
      </c>
      <c r="C1174" s="3" t="s">
        <v>34</v>
      </c>
      <c r="D1174" s="3" t="s">
        <v>45</v>
      </c>
      <c r="E1174" s="3" t="s">
        <v>53</v>
      </c>
      <c r="F1174" s="3" t="s">
        <v>25</v>
      </c>
      <c r="G1174" s="3" t="s">
        <v>25</v>
      </c>
      <c r="H1174" s="3" t="s">
        <v>25</v>
      </c>
      <c r="I1174" s="6">
        <v>44652</v>
      </c>
      <c r="J1174" s="4">
        <v>26284</v>
      </c>
      <c r="K1174" s="4">
        <v>25232.639999999999</v>
      </c>
      <c r="L1174" s="4">
        <v>0</v>
      </c>
      <c r="M1174" s="4">
        <v>0</v>
      </c>
      <c r="N1174" s="4">
        <v>0</v>
      </c>
      <c r="O1174" s="4">
        <v>0</v>
      </c>
      <c r="P1174" s="4">
        <v>216</v>
      </c>
      <c r="Q1174" s="3" t="s">
        <v>26</v>
      </c>
      <c r="R1174" s="3">
        <v>0</v>
      </c>
      <c r="S1174" s="3" t="s">
        <v>311</v>
      </c>
      <c r="U1174" s="3">
        <v>7</v>
      </c>
      <c r="V1174" s="3">
        <v>0</v>
      </c>
      <c r="W1174" s="3">
        <v>0</v>
      </c>
    </row>
    <row r="1175" spans="1:23" ht="11.25" customHeight="1" x14ac:dyDescent="0.25">
      <c r="A1175" s="3" t="s">
        <v>56</v>
      </c>
      <c r="B1175" s="3" t="s">
        <v>33</v>
      </c>
      <c r="C1175" s="3" t="s">
        <v>34</v>
      </c>
      <c r="D1175" s="3" t="s">
        <v>45</v>
      </c>
      <c r="E1175" s="3" t="s">
        <v>53</v>
      </c>
      <c r="F1175" s="3" t="s">
        <v>25</v>
      </c>
      <c r="G1175" s="3" t="s">
        <v>25</v>
      </c>
      <c r="H1175" s="3" t="s">
        <v>25</v>
      </c>
      <c r="I1175" s="6">
        <v>44652</v>
      </c>
      <c r="J1175" s="4">
        <v>2222</v>
      </c>
      <c r="K1175" s="4">
        <v>2133.12</v>
      </c>
      <c r="L1175" s="4">
        <v>0</v>
      </c>
      <c r="M1175" s="4">
        <v>0</v>
      </c>
      <c r="N1175" s="4">
        <v>0</v>
      </c>
      <c r="O1175" s="4">
        <v>0</v>
      </c>
      <c r="P1175" s="4">
        <v>16</v>
      </c>
      <c r="Q1175" s="3" t="s">
        <v>26</v>
      </c>
      <c r="R1175" s="3">
        <v>0</v>
      </c>
      <c r="S1175" s="3" t="s">
        <v>311</v>
      </c>
      <c r="U1175" s="3">
        <v>7</v>
      </c>
      <c r="V1175" s="3">
        <v>0</v>
      </c>
      <c r="W1175" s="3">
        <v>0</v>
      </c>
    </row>
    <row r="1176" spans="1:23" ht="11.25" customHeight="1" x14ac:dyDescent="0.25">
      <c r="A1176" s="3" t="s">
        <v>21</v>
      </c>
      <c r="B1176" s="3" t="s">
        <v>33</v>
      </c>
      <c r="C1176" s="3" t="s">
        <v>34</v>
      </c>
      <c r="D1176" s="3" t="s">
        <v>45</v>
      </c>
      <c r="E1176" s="3" t="s">
        <v>53</v>
      </c>
      <c r="F1176" s="3" t="s">
        <v>25</v>
      </c>
      <c r="G1176" s="3" t="s">
        <v>25</v>
      </c>
      <c r="H1176" s="3" t="s">
        <v>35</v>
      </c>
      <c r="I1176" s="6">
        <v>44317</v>
      </c>
      <c r="J1176" s="4">
        <v>0</v>
      </c>
      <c r="K1176" s="4">
        <v>0</v>
      </c>
      <c r="L1176" s="4">
        <v>9.4350000000000005</v>
      </c>
      <c r="M1176" s="4">
        <v>9.0576000000000008</v>
      </c>
      <c r="N1176" s="4">
        <v>9.4350000000000005</v>
      </c>
      <c r="O1176" s="4">
        <v>9.0576000000000008</v>
      </c>
      <c r="P1176" s="4">
        <v>0</v>
      </c>
      <c r="Q1176" s="3" t="s">
        <v>26</v>
      </c>
      <c r="R1176" s="3">
        <v>0</v>
      </c>
      <c r="S1176" s="3" t="s">
        <v>312</v>
      </c>
      <c r="T1176" s="3" t="s">
        <v>549</v>
      </c>
      <c r="U1176" s="3">
        <v>0</v>
      </c>
      <c r="V1176" s="3">
        <v>8</v>
      </c>
      <c r="W1176" s="3">
        <v>72</v>
      </c>
    </row>
    <row r="1177" spans="1:23" ht="11.25" customHeight="1" x14ac:dyDescent="0.25">
      <c r="A1177" s="3" t="s">
        <v>21</v>
      </c>
      <c r="B1177" s="3" t="s">
        <v>33</v>
      </c>
      <c r="C1177" s="3" t="s">
        <v>34</v>
      </c>
      <c r="D1177" s="3" t="s">
        <v>45</v>
      </c>
      <c r="E1177" s="3" t="s">
        <v>53</v>
      </c>
      <c r="F1177" s="3" t="s">
        <v>25</v>
      </c>
      <c r="G1177" s="3" t="s">
        <v>25</v>
      </c>
      <c r="H1177" s="3" t="s">
        <v>35</v>
      </c>
      <c r="I1177" s="6">
        <v>44348</v>
      </c>
      <c r="J1177" s="4">
        <v>0</v>
      </c>
      <c r="K1177" s="4">
        <v>0</v>
      </c>
      <c r="L1177" s="4">
        <v>6.7779999999999996</v>
      </c>
      <c r="M1177" s="4">
        <v>6.5068799999999998</v>
      </c>
      <c r="N1177" s="4">
        <v>6.7779999999999996</v>
      </c>
      <c r="O1177" s="4">
        <v>6.5068799999999998</v>
      </c>
      <c r="P1177" s="4">
        <v>0</v>
      </c>
      <c r="Q1177" s="3" t="s">
        <v>26</v>
      </c>
      <c r="R1177" s="3">
        <v>0</v>
      </c>
      <c r="S1177" s="3" t="s">
        <v>313</v>
      </c>
      <c r="T1177" s="3" t="s">
        <v>550</v>
      </c>
      <c r="U1177" s="3">
        <v>0</v>
      </c>
      <c r="V1177" s="3">
        <v>8</v>
      </c>
      <c r="W1177" s="3">
        <v>72</v>
      </c>
    </row>
    <row r="1178" spans="1:23" ht="11.25" customHeight="1" x14ac:dyDescent="0.25">
      <c r="A1178" s="3" t="s">
        <v>27</v>
      </c>
      <c r="B1178" s="3" t="s">
        <v>33</v>
      </c>
      <c r="C1178" s="3" t="s">
        <v>34</v>
      </c>
      <c r="D1178" s="3" t="s">
        <v>45</v>
      </c>
      <c r="E1178" s="3" t="s">
        <v>53</v>
      </c>
      <c r="F1178" s="3" t="s">
        <v>25</v>
      </c>
      <c r="G1178" s="3" t="s">
        <v>25</v>
      </c>
      <c r="H1178" s="3" t="s">
        <v>35</v>
      </c>
      <c r="I1178" s="6">
        <v>44348</v>
      </c>
      <c r="J1178" s="4">
        <v>0</v>
      </c>
      <c r="K1178" s="4">
        <v>0</v>
      </c>
      <c r="L1178" s="4">
        <v>-2.3E-2</v>
      </c>
      <c r="M1178" s="4">
        <v>-2.2079999999999999E-2</v>
      </c>
      <c r="N1178" s="4">
        <v>-2.3E-2</v>
      </c>
      <c r="O1178" s="4">
        <v>-2.2079999999999999E-2</v>
      </c>
      <c r="P1178" s="4">
        <v>0</v>
      </c>
      <c r="Q1178" s="3" t="s">
        <v>26</v>
      </c>
      <c r="R1178" s="3">
        <v>0</v>
      </c>
      <c r="S1178" s="3" t="s">
        <v>313</v>
      </c>
      <c r="T1178" s="3" t="s">
        <v>550</v>
      </c>
      <c r="U1178" s="3">
        <v>0</v>
      </c>
      <c r="V1178" s="3">
        <v>8</v>
      </c>
      <c r="W1178" s="3">
        <v>72</v>
      </c>
    </row>
    <row r="1179" spans="1:23" ht="11.25" customHeight="1" x14ac:dyDescent="0.25">
      <c r="A1179" s="3" t="s">
        <v>21</v>
      </c>
      <c r="B1179" s="3" t="s">
        <v>33</v>
      </c>
      <c r="C1179" s="3" t="s">
        <v>34</v>
      </c>
      <c r="D1179" s="3" t="s">
        <v>45</v>
      </c>
      <c r="E1179" s="3" t="s">
        <v>53</v>
      </c>
      <c r="F1179" s="3" t="s">
        <v>25</v>
      </c>
      <c r="G1179" s="3" t="s">
        <v>25</v>
      </c>
      <c r="H1179" s="3" t="s">
        <v>35</v>
      </c>
      <c r="I1179" s="6">
        <v>44378</v>
      </c>
      <c r="J1179" s="4">
        <v>0</v>
      </c>
      <c r="K1179" s="4">
        <v>0</v>
      </c>
      <c r="L1179" s="4">
        <v>8.4969999999999999</v>
      </c>
      <c r="M1179" s="4">
        <v>8.1571200000000008</v>
      </c>
      <c r="N1179" s="4">
        <v>8.4969999999999999</v>
      </c>
      <c r="O1179" s="4">
        <v>8.1571200000000008</v>
      </c>
      <c r="P1179" s="4">
        <v>0</v>
      </c>
      <c r="Q1179" s="3" t="s">
        <v>26</v>
      </c>
      <c r="R1179" s="3">
        <v>0</v>
      </c>
      <c r="S1179" s="3" t="s">
        <v>314</v>
      </c>
      <c r="T1179" s="3" t="s">
        <v>551</v>
      </c>
      <c r="U1179" s="3">
        <v>0</v>
      </c>
      <c r="V1179" s="3">
        <v>8</v>
      </c>
      <c r="W1179" s="3">
        <v>72</v>
      </c>
    </row>
    <row r="1180" spans="1:23" ht="11.25" customHeight="1" x14ac:dyDescent="0.25">
      <c r="A1180" s="3" t="s">
        <v>27</v>
      </c>
      <c r="B1180" s="3" t="s">
        <v>33</v>
      </c>
      <c r="C1180" s="3" t="s">
        <v>34</v>
      </c>
      <c r="D1180" s="3" t="s">
        <v>45</v>
      </c>
      <c r="E1180" s="3" t="s">
        <v>53</v>
      </c>
      <c r="F1180" s="3" t="s">
        <v>25</v>
      </c>
      <c r="G1180" s="3" t="s">
        <v>25</v>
      </c>
      <c r="H1180" s="3" t="s">
        <v>35</v>
      </c>
      <c r="I1180" s="6">
        <v>44378</v>
      </c>
      <c r="J1180" s="4">
        <v>0</v>
      </c>
      <c r="K1180" s="4">
        <v>0</v>
      </c>
      <c r="L1180" s="4">
        <v>-5.5E-2</v>
      </c>
      <c r="M1180" s="4">
        <v>-5.28E-2</v>
      </c>
      <c r="N1180" s="4">
        <v>-5.5E-2</v>
      </c>
      <c r="O1180" s="4">
        <v>-5.28E-2</v>
      </c>
      <c r="P1180" s="4">
        <v>0</v>
      </c>
      <c r="Q1180" s="3" t="s">
        <v>26</v>
      </c>
      <c r="R1180" s="3">
        <v>0</v>
      </c>
      <c r="S1180" s="3" t="s">
        <v>314</v>
      </c>
      <c r="T1180" s="3" t="s">
        <v>551</v>
      </c>
      <c r="U1180" s="3">
        <v>0</v>
      </c>
      <c r="V1180" s="3">
        <v>8</v>
      </c>
      <c r="W1180" s="3">
        <v>72</v>
      </c>
    </row>
    <row r="1181" spans="1:23" ht="11.25" customHeight="1" x14ac:dyDescent="0.25">
      <c r="A1181" s="3" t="s">
        <v>21</v>
      </c>
      <c r="B1181" s="3" t="s">
        <v>33</v>
      </c>
      <c r="C1181" s="3" t="s">
        <v>34</v>
      </c>
      <c r="D1181" s="3" t="s">
        <v>45</v>
      </c>
      <c r="E1181" s="3" t="s">
        <v>53</v>
      </c>
      <c r="F1181" s="3" t="s">
        <v>25</v>
      </c>
      <c r="G1181" s="3" t="s">
        <v>25</v>
      </c>
      <c r="H1181" s="3" t="s">
        <v>35</v>
      </c>
      <c r="I1181" s="6">
        <v>44409</v>
      </c>
      <c r="J1181" s="4">
        <v>0</v>
      </c>
      <c r="K1181" s="4">
        <v>0</v>
      </c>
      <c r="L1181" s="4">
        <v>15.045999999999999</v>
      </c>
      <c r="M1181" s="4">
        <v>14.44416</v>
      </c>
      <c r="N1181" s="4">
        <v>15.045999999999999</v>
      </c>
      <c r="O1181" s="4">
        <v>14.44416</v>
      </c>
      <c r="P1181" s="4">
        <v>0</v>
      </c>
      <c r="Q1181" s="3" t="s">
        <v>26</v>
      </c>
      <c r="R1181" s="3">
        <v>0</v>
      </c>
      <c r="S1181" s="3" t="s">
        <v>315</v>
      </c>
      <c r="T1181" s="3" t="s">
        <v>552</v>
      </c>
      <c r="U1181" s="3">
        <v>0</v>
      </c>
      <c r="V1181" s="3">
        <v>8</v>
      </c>
      <c r="W1181" s="3">
        <v>72</v>
      </c>
    </row>
    <row r="1182" spans="1:23" ht="11.25" customHeight="1" x14ac:dyDescent="0.25">
      <c r="A1182" s="3" t="s">
        <v>27</v>
      </c>
      <c r="B1182" s="3" t="s">
        <v>33</v>
      </c>
      <c r="C1182" s="3" t="s">
        <v>34</v>
      </c>
      <c r="D1182" s="3" t="s">
        <v>45</v>
      </c>
      <c r="E1182" s="3" t="s">
        <v>53</v>
      </c>
      <c r="F1182" s="3" t="s">
        <v>25</v>
      </c>
      <c r="G1182" s="3" t="s">
        <v>25</v>
      </c>
      <c r="H1182" s="3" t="s">
        <v>35</v>
      </c>
      <c r="I1182" s="6">
        <v>44409</v>
      </c>
      <c r="J1182" s="4">
        <v>0</v>
      </c>
      <c r="K1182" s="4">
        <v>0</v>
      </c>
      <c r="L1182" s="4">
        <v>-0.93300000000000005</v>
      </c>
      <c r="M1182" s="4">
        <v>-0.89568000000000003</v>
      </c>
      <c r="N1182" s="4">
        <v>-0.93300000000000005</v>
      </c>
      <c r="O1182" s="4">
        <v>-0.89568000000000003</v>
      </c>
      <c r="P1182" s="4">
        <v>0</v>
      </c>
      <c r="Q1182" s="3" t="s">
        <v>26</v>
      </c>
      <c r="R1182" s="3">
        <v>0</v>
      </c>
      <c r="S1182" s="3" t="s">
        <v>315</v>
      </c>
      <c r="T1182" s="3" t="s">
        <v>552</v>
      </c>
      <c r="U1182" s="3">
        <v>0</v>
      </c>
      <c r="V1182" s="3">
        <v>8</v>
      </c>
      <c r="W1182" s="3">
        <v>72</v>
      </c>
    </row>
    <row r="1183" spans="1:23" ht="11.25" customHeight="1" x14ac:dyDescent="0.25">
      <c r="A1183" s="3" t="s">
        <v>21</v>
      </c>
      <c r="B1183" s="3" t="s">
        <v>33</v>
      </c>
      <c r="C1183" s="3" t="s">
        <v>34</v>
      </c>
      <c r="D1183" s="3" t="s">
        <v>45</v>
      </c>
      <c r="E1183" s="3" t="s">
        <v>53</v>
      </c>
      <c r="F1183" s="3" t="s">
        <v>25</v>
      </c>
      <c r="G1183" s="3" t="s">
        <v>25</v>
      </c>
      <c r="H1183" s="3" t="s">
        <v>35</v>
      </c>
      <c r="I1183" s="6">
        <v>44440</v>
      </c>
      <c r="J1183" s="4">
        <v>0</v>
      </c>
      <c r="K1183" s="4">
        <v>0</v>
      </c>
      <c r="L1183" s="4">
        <v>19.14</v>
      </c>
      <c r="M1183" s="4">
        <v>18.374400000000001</v>
      </c>
      <c r="N1183" s="4">
        <v>19.14</v>
      </c>
      <c r="O1183" s="4">
        <v>18.374400000000001</v>
      </c>
      <c r="P1183" s="4">
        <v>0</v>
      </c>
      <c r="Q1183" s="3" t="s">
        <v>26</v>
      </c>
      <c r="R1183" s="3">
        <v>0</v>
      </c>
      <c r="S1183" s="3" t="s">
        <v>316</v>
      </c>
      <c r="T1183" s="3" t="s">
        <v>553</v>
      </c>
      <c r="U1183" s="3">
        <v>0</v>
      </c>
      <c r="V1183" s="3">
        <v>8</v>
      </c>
      <c r="W1183" s="3">
        <v>72</v>
      </c>
    </row>
    <row r="1184" spans="1:23" ht="11.25" customHeight="1" x14ac:dyDescent="0.25">
      <c r="A1184" s="3" t="s">
        <v>21</v>
      </c>
      <c r="B1184" s="3" t="s">
        <v>33</v>
      </c>
      <c r="C1184" s="3" t="s">
        <v>34</v>
      </c>
      <c r="D1184" s="3" t="s">
        <v>45</v>
      </c>
      <c r="E1184" s="3" t="s">
        <v>53</v>
      </c>
      <c r="F1184" s="3" t="s">
        <v>25</v>
      </c>
      <c r="G1184" s="3" t="s">
        <v>25</v>
      </c>
      <c r="H1184" s="3" t="s">
        <v>35</v>
      </c>
      <c r="I1184" s="6">
        <v>44470</v>
      </c>
      <c r="J1184" s="4">
        <v>0</v>
      </c>
      <c r="K1184" s="4">
        <v>0</v>
      </c>
      <c r="L1184" s="4">
        <v>29.234999999999999</v>
      </c>
      <c r="M1184" s="4">
        <v>28.0656</v>
      </c>
      <c r="N1184" s="4">
        <v>29.234999999999999</v>
      </c>
      <c r="O1184" s="4">
        <v>28.0656</v>
      </c>
      <c r="P1184" s="4">
        <v>0</v>
      </c>
      <c r="Q1184" s="3" t="s">
        <v>26</v>
      </c>
      <c r="R1184" s="3">
        <v>0</v>
      </c>
      <c r="S1184" s="3" t="s">
        <v>317</v>
      </c>
      <c r="T1184" s="3" t="s">
        <v>554</v>
      </c>
      <c r="U1184" s="3">
        <v>0</v>
      </c>
      <c r="V1184" s="3">
        <v>8</v>
      </c>
      <c r="W1184" s="3">
        <v>72</v>
      </c>
    </row>
    <row r="1185" spans="1:23" ht="11.25" customHeight="1" x14ac:dyDescent="0.25">
      <c r="A1185" s="3" t="s">
        <v>21</v>
      </c>
      <c r="B1185" s="3" t="s">
        <v>33</v>
      </c>
      <c r="C1185" s="3" t="s">
        <v>34</v>
      </c>
      <c r="D1185" s="3" t="s">
        <v>45</v>
      </c>
      <c r="E1185" s="3" t="s">
        <v>53</v>
      </c>
      <c r="F1185" s="3" t="s">
        <v>25</v>
      </c>
      <c r="G1185" s="3" t="s">
        <v>25</v>
      </c>
      <c r="H1185" s="3" t="s">
        <v>35</v>
      </c>
      <c r="I1185" s="6">
        <v>44501</v>
      </c>
      <c r="J1185" s="4">
        <v>0</v>
      </c>
      <c r="K1185" s="4">
        <v>0</v>
      </c>
      <c r="L1185" s="4">
        <v>43.805999999999997</v>
      </c>
      <c r="M1185" s="4">
        <v>42.053759999999997</v>
      </c>
      <c r="N1185" s="4">
        <v>43.805999999999997</v>
      </c>
      <c r="O1185" s="4">
        <v>42.053759999999997</v>
      </c>
      <c r="P1185" s="4">
        <v>0</v>
      </c>
      <c r="Q1185" s="3" t="s">
        <v>26</v>
      </c>
      <c r="R1185" s="3">
        <v>0</v>
      </c>
      <c r="S1185" s="3" t="s">
        <v>318</v>
      </c>
      <c r="T1185" s="3" t="s">
        <v>555</v>
      </c>
      <c r="U1185" s="3">
        <v>0</v>
      </c>
      <c r="V1185" s="3">
        <v>8</v>
      </c>
      <c r="W1185" s="3">
        <v>72</v>
      </c>
    </row>
    <row r="1186" spans="1:23" ht="11.25" customHeight="1" x14ac:dyDescent="0.25">
      <c r="A1186" s="3" t="s">
        <v>21</v>
      </c>
      <c r="B1186" s="3" t="s">
        <v>33</v>
      </c>
      <c r="C1186" s="3" t="s">
        <v>34</v>
      </c>
      <c r="D1186" s="3" t="s">
        <v>45</v>
      </c>
      <c r="E1186" s="3" t="s">
        <v>53</v>
      </c>
      <c r="F1186" s="3" t="s">
        <v>25</v>
      </c>
      <c r="G1186" s="3" t="s">
        <v>25</v>
      </c>
      <c r="H1186" s="3" t="s">
        <v>35</v>
      </c>
      <c r="I1186" s="6">
        <v>44531</v>
      </c>
      <c r="J1186" s="4">
        <v>0</v>
      </c>
      <c r="K1186" s="4">
        <v>0</v>
      </c>
      <c r="L1186" s="4">
        <v>34.412999999999997</v>
      </c>
      <c r="M1186" s="4">
        <v>33.036479999999997</v>
      </c>
      <c r="N1186" s="4">
        <v>34.412999999999997</v>
      </c>
      <c r="O1186" s="4">
        <v>33.036479999999997</v>
      </c>
      <c r="P1186" s="4">
        <v>0</v>
      </c>
      <c r="Q1186" s="3" t="s">
        <v>26</v>
      </c>
      <c r="R1186" s="3">
        <v>0</v>
      </c>
      <c r="S1186" s="3" t="s">
        <v>319</v>
      </c>
      <c r="T1186" s="3" t="s">
        <v>556</v>
      </c>
      <c r="U1186" s="3">
        <v>0</v>
      </c>
      <c r="V1186" s="3">
        <v>8</v>
      </c>
      <c r="W1186" s="3">
        <v>72</v>
      </c>
    </row>
    <row r="1187" spans="1:23" ht="11.25" customHeight="1" x14ac:dyDescent="0.25">
      <c r="A1187" s="3" t="s">
        <v>21</v>
      </c>
      <c r="B1187" s="3" t="s">
        <v>33</v>
      </c>
      <c r="C1187" s="3" t="s">
        <v>34</v>
      </c>
      <c r="D1187" s="3" t="s">
        <v>45</v>
      </c>
      <c r="E1187" s="3" t="s">
        <v>53</v>
      </c>
      <c r="F1187" s="3" t="s">
        <v>25</v>
      </c>
      <c r="G1187" s="3" t="s">
        <v>25</v>
      </c>
      <c r="H1187" s="3" t="s">
        <v>35</v>
      </c>
      <c r="I1187" s="6">
        <v>44562</v>
      </c>
      <c r="J1187" s="4">
        <v>0</v>
      </c>
      <c r="K1187" s="4">
        <v>0</v>
      </c>
      <c r="L1187" s="4">
        <v>46.701999999999998</v>
      </c>
      <c r="M1187" s="4">
        <v>44.833919999999999</v>
      </c>
      <c r="N1187" s="4">
        <v>46.701999999999998</v>
      </c>
      <c r="O1187" s="4">
        <v>44.833919999999999</v>
      </c>
      <c r="P1187" s="4">
        <v>0</v>
      </c>
      <c r="Q1187" s="3" t="s">
        <v>26</v>
      </c>
      <c r="R1187" s="3">
        <v>0</v>
      </c>
      <c r="S1187" s="3" t="s">
        <v>320</v>
      </c>
      <c r="T1187" s="3" t="s">
        <v>557</v>
      </c>
      <c r="U1187" s="3">
        <v>0</v>
      </c>
      <c r="V1187" s="3">
        <v>8</v>
      </c>
      <c r="W1187" s="3">
        <v>72</v>
      </c>
    </row>
    <row r="1188" spans="1:23" ht="11.25" customHeight="1" x14ac:dyDescent="0.25">
      <c r="A1188" s="3" t="s">
        <v>21</v>
      </c>
      <c r="B1188" s="3" t="s">
        <v>33</v>
      </c>
      <c r="C1188" s="3" t="s">
        <v>34</v>
      </c>
      <c r="D1188" s="3" t="s">
        <v>45</v>
      </c>
      <c r="E1188" s="3" t="s">
        <v>53</v>
      </c>
      <c r="F1188" s="3" t="s">
        <v>25</v>
      </c>
      <c r="G1188" s="3" t="s">
        <v>25</v>
      </c>
      <c r="H1188" s="3" t="s">
        <v>35</v>
      </c>
      <c r="I1188" s="6">
        <v>44593</v>
      </c>
      <c r="J1188" s="4">
        <v>0</v>
      </c>
      <c r="K1188" s="4">
        <v>0</v>
      </c>
      <c r="L1188" s="4">
        <v>38.884999999999998</v>
      </c>
      <c r="M1188" s="4">
        <v>37.329599999999999</v>
      </c>
      <c r="N1188" s="4">
        <v>38.884999999999998</v>
      </c>
      <c r="O1188" s="4">
        <v>37.329599999999999</v>
      </c>
      <c r="P1188" s="4">
        <v>0</v>
      </c>
      <c r="Q1188" s="3" t="s">
        <v>26</v>
      </c>
      <c r="R1188" s="3">
        <v>0</v>
      </c>
      <c r="S1188" s="3" t="s">
        <v>321</v>
      </c>
      <c r="T1188" s="3" t="s">
        <v>558</v>
      </c>
      <c r="U1188" s="3">
        <v>0</v>
      </c>
      <c r="V1188" s="3">
        <v>8</v>
      </c>
      <c r="W1188" s="3">
        <v>72</v>
      </c>
    </row>
    <row r="1189" spans="1:23" ht="11.25" customHeight="1" x14ac:dyDescent="0.25">
      <c r="A1189" s="3" t="s">
        <v>21</v>
      </c>
      <c r="B1189" s="3" t="s">
        <v>33</v>
      </c>
      <c r="C1189" s="3" t="s">
        <v>34</v>
      </c>
      <c r="D1189" s="3" t="s">
        <v>45</v>
      </c>
      <c r="E1189" s="3" t="s">
        <v>53</v>
      </c>
      <c r="F1189" s="3" t="s">
        <v>25</v>
      </c>
      <c r="G1189" s="3" t="s">
        <v>25</v>
      </c>
      <c r="H1189" s="3" t="s">
        <v>35</v>
      </c>
      <c r="I1189" s="6">
        <v>44621</v>
      </c>
      <c r="J1189" s="4">
        <v>0</v>
      </c>
      <c r="K1189" s="4">
        <v>0</v>
      </c>
      <c r="L1189" s="4">
        <v>23.085000000000001</v>
      </c>
      <c r="M1189" s="4">
        <v>22.1616</v>
      </c>
      <c r="N1189" s="4">
        <v>23.085000000000001</v>
      </c>
      <c r="O1189" s="4">
        <v>22.1616</v>
      </c>
      <c r="P1189" s="4">
        <v>0</v>
      </c>
      <c r="Q1189" s="3" t="s">
        <v>26</v>
      </c>
      <c r="R1189" s="3">
        <v>0</v>
      </c>
      <c r="S1189" s="3" t="s">
        <v>322</v>
      </c>
      <c r="T1189" s="3" t="s">
        <v>559</v>
      </c>
      <c r="U1189" s="3">
        <v>0</v>
      </c>
      <c r="V1189" s="3">
        <v>8</v>
      </c>
      <c r="W1189" s="3">
        <v>72</v>
      </c>
    </row>
    <row r="1190" spans="1:23" ht="11.25" customHeight="1" x14ac:dyDescent="0.25">
      <c r="A1190" s="3" t="s">
        <v>27</v>
      </c>
      <c r="B1190" s="3" t="s">
        <v>33</v>
      </c>
      <c r="C1190" s="3" t="s">
        <v>34</v>
      </c>
      <c r="D1190" s="3" t="s">
        <v>45</v>
      </c>
      <c r="E1190" s="3" t="s">
        <v>53</v>
      </c>
      <c r="F1190" s="3" t="s">
        <v>25</v>
      </c>
      <c r="G1190" s="3" t="s">
        <v>25</v>
      </c>
      <c r="H1190" s="3" t="s">
        <v>35</v>
      </c>
      <c r="I1190" s="6">
        <v>44621</v>
      </c>
      <c r="J1190" s="4">
        <v>0</v>
      </c>
      <c r="K1190" s="4">
        <v>0</v>
      </c>
      <c r="L1190" s="4">
        <v>-11.449</v>
      </c>
      <c r="M1190" s="4">
        <v>-10.99104</v>
      </c>
      <c r="N1190" s="4">
        <v>-11.449</v>
      </c>
      <c r="O1190" s="4">
        <v>-10.99104</v>
      </c>
      <c r="P1190" s="4">
        <v>0</v>
      </c>
      <c r="Q1190" s="3" t="s">
        <v>26</v>
      </c>
      <c r="R1190" s="3">
        <v>0</v>
      </c>
      <c r="S1190" s="3" t="s">
        <v>322</v>
      </c>
      <c r="T1190" s="3" t="s">
        <v>559</v>
      </c>
      <c r="U1190" s="3">
        <v>0</v>
      </c>
      <c r="V1190" s="3">
        <v>8</v>
      </c>
      <c r="W1190" s="3">
        <v>72</v>
      </c>
    </row>
    <row r="1191" spans="1:23" ht="11.25" customHeight="1" x14ac:dyDescent="0.25">
      <c r="A1191" s="3" t="s">
        <v>56</v>
      </c>
      <c r="B1191" s="3" t="s">
        <v>33</v>
      </c>
      <c r="C1191" s="3" t="s">
        <v>34</v>
      </c>
      <c r="D1191" s="3" t="s">
        <v>45</v>
      </c>
      <c r="E1191" s="3" t="s">
        <v>53</v>
      </c>
      <c r="F1191" s="3" t="s">
        <v>25</v>
      </c>
      <c r="G1191" s="3" t="s">
        <v>25</v>
      </c>
      <c r="H1191" s="3" t="s">
        <v>35</v>
      </c>
      <c r="I1191" s="6">
        <v>44652</v>
      </c>
      <c r="J1191" s="4">
        <v>0</v>
      </c>
      <c r="K1191" s="4">
        <v>0</v>
      </c>
      <c r="L1191" s="4">
        <v>23.085000000000001</v>
      </c>
      <c r="M1191" s="4">
        <v>22.1616</v>
      </c>
      <c r="N1191" s="4">
        <v>23.085000000000001</v>
      </c>
      <c r="O1191" s="4">
        <v>22.1616</v>
      </c>
      <c r="P1191" s="4">
        <v>0</v>
      </c>
      <c r="Q1191" s="3" t="s">
        <v>26</v>
      </c>
      <c r="R1191" s="3">
        <v>0</v>
      </c>
      <c r="S1191" s="3" t="s">
        <v>323</v>
      </c>
      <c r="T1191" s="3" t="s">
        <v>560</v>
      </c>
      <c r="U1191" s="3">
        <v>0</v>
      </c>
      <c r="V1191" s="3">
        <v>8</v>
      </c>
      <c r="W1191" s="3">
        <v>72</v>
      </c>
    </row>
    <row r="1192" spans="1:23" ht="11.25" customHeight="1" x14ac:dyDescent="0.25">
      <c r="A1192" s="3" t="s">
        <v>56</v>
      </c>
      <c r="B1192" s="3" t="s">
        <v>33</v>
      </c>
      <c r="C1192" s="3" t="s">
        <v>34</v>
      </c>
      <c r="D1192" s="3" t="s">
        <v>45</v>
      </c>
      <c r="E1192" s="3" t="s">
        <v>53</v>
      </c>
      <c r="F1192" s="3" t="s">
        <v>25</v>
      </c>
      <c r="G1192" s="3" t="s">
        <v>25</v>
      </c>
      <c r="H1192" s="3" t="s">
        <v>35</v>
      </c>
      <c r="I1192" s="6">
        <v>44652</v>
      </c>
      <c r="J1192" s="4">
        <v>0</v>
      </c>
      <c r="K1192" s="4">
        <v>0</v>
      </c>
      <c r="L1192" s="4">
        <v>-11.449</v>
      </c>
      <c r="M1192" s="4">
        <v>-10.99104</v>
      </c>
      <c r="N1192" s="4">
        <v>-11.449</v>
      </c>
      <c r="O1192" s="4">
        <v>-10.99104</v>
      </c>
      <c r="P1192" s="4">
        <v>0</v>
      </c>
      <c r="Q1192" s="3" t="s">
        <v>26</v>
      </c>
      <c r="R1192" s="3">
        <v>0</v>
      </c>
      <c r="S1192" s="3" t="s">
        <v>323</v>
      </c>
      <c r="T1192" s="3" t="s">
        <v>560</v>
      </c>
      <c r="U1192" s="3">
        <v>0</v>
      </c>
      <c r="V1192" s="3">
        <v>8</v>
      </c>
      <c r="W1192" s="3">
        <v>72</v>
      </c>
    </row>
    <row r="1193" spans="1:23" ht="11.25" customHeight="1" x14ac:dyDescent="0.25">
      <c r="A1193" s="3" t="s">
        <v>21</v>
      </c>
      <c r="B1193" s="3" t="s">
        <v>33</v>
      </c>
      <c r="C1193" s="3" t="s">
        <v>34</v>
      </c>
      <c r="D1193" s="3" t="s">
        <v>45</v>
      </c>
      <c r="E1193" s="3" t="s">
        <v>25</v>
      </c>
      <c r="F1193" s="3" t="s">
        <v>25</v>
      </c>
      <c r="G1193" s="3" t="s">
        <v>25</v>
      </c>
      <c r="H1193" s="3" t="s">
        <v>36</v>
      </c>
      <c r="I1193" s="6">
        <v>44317</v>
      </c>
      <c r="J1193" s="4">
        <v>0</v>
      </c>
      <c r="K1193" s="4">
        <v>0</v>
      </c>
      <c r="L1193" s="4">
        <v>1020.134</v>
      </c>
      <c r="M1193" s="4">
        <v>979.32863999999995</v>
      </c>
      <c r="N1193" s="4">
        <v>1020.134</v>
      </c>
      <c r="O1193" s="4">
        <v>979.32863999999995</v>
      </c>
      <c r="P1193" s="4">
        <v>0</v>
      </c>
      <c r="Q1193" s="3" t="s">
        <v>26</v>
      </c>
      <c r="R1193" s="3">
        <v>0</v>
      </c>
      <c r="S1193" s="3" t="s">
        <v>288</v>
      </c>
      <c r="T1193" s="3" t="s">
        <v>537</v>
      </c>
      <c r="U1193" s="3">
        <v>0</v>
      </c>
      <c r="V1193" s="3">
        <v>29</v>
      </c>
      <c r="W1193" s="3">
        <v>73</v>
      </c>
    </row>
    <row r="1194" spans="1:23" ht="11.25" customHeight="1" x14ac:dyDescent="0.25">
      <c r="A1194" s="3" t="s">
        <v>28</v>
      </c>
      <c r="B1194" s="3" t="s">
        <v>33</v>
      </c>
      <c r="C1194" s="3" t="s">
        <v>34</v>
      </c>
      <c r="D1194" s="3" t="s">
        <v>45</v>
      </c>
      <c r="E1194" s="3" t="s">
        <v>25</v>
      </c>
      <c r="F1194" s="3" t="s">
        <v>25</v>
      </c>
      <c r="G1194" s="3" t="s">
        <v>25</v>
      </c>
      <c r="H1194" s="3" t="s">
        <v>36</v>
      </c>
      <c r="I1194" s="6">
        <v>44317</v>
      </c>
      <c r="J1194" s="4">
        <v>0</v>
      </c>
      <c r="K1194" s="4">
        <v>0</v>
      </c>
      <c r="L1194" s="4">
        <v>4.2039999999999997</v>
      </c>
      <c r="M1194" s="4">
        <v>4.0358400000000003</v>
      </c>
      <c r="N1194" s="4">
        <v>4.2039999999999997</v>
      </c>
      <c r="O1194" s="4">
        <v>4.0358400000000003</v>
      </c>
      <c r="P1194" s="4">
        <v>0</v>
      </c>
      <c r="Q1194" s="3" t="s">
        <v>26</v>
      </c>
      <c r="R1194" s="3">
        <v>0</v>
      </c>
      <c r="S1194" s="3" t="s">
        <v>288</v>
      </c>
      <c r="T1194" s="3" t="s">
        <v>537</v>
      </c>
      <c r="U1194" s="3">
        <v>0</v>
      </c>
      <c r="V1194" s="3">
        <v>29</v>
      </c>
      <c r="W1194" s="3">
        <v>73</v>
      </c>
    </row>
    <row r="1195" spans="1:23" ht="11.25" customHeight="1" x14ac:dyDescent="0.25">
      <c r="A1195" s="3" t="s">
        <v>21</v>
      </c>
      <c r="B1195" s="3" t="s">
        <v>33</v>
      </c>
      <c r="C1195" s="3" t="s">
        <v>34</v>
      </c>
      <c r="D1195" s="3" t="s">
        <v>45</v>
      </c>
      <c r="E1195" s="3" t="s">
        <v>25</v>
      </c>
      <c r="F1195" s="3" t="s">
        <v>25</v>
      </c>
      <c r="G1195" s="3" t="s">
        <v>25</v>
      </c>
      <c r="H1195" s="3" t="s">
        <v>36</v>
      </c>
      <c r="I1195" s="6">
        <v>44348</v>
      </c>
      <c r="J1195" s="4">
        <v>0</v>
      </c>
      <c r="K1195" s="4">
        <v>0</v>
      </c>
      <c r="L1195" s="4">
        <v>996.875</v>
      </c>
      <c r="M1195" s="4">
        <v>957</v>
      </c>
      <c r="N1195" s="4">
        <v>996.875</v>
      </c>
      <c r="O1195" s="4">
        <v>957</v>
      </c>
      <c r="P1195" s="4">
        <v>0</v>
      </c>
      <c r="Q1195" s="3" t="s">
        <v>26</v>
      </c>
      <c r="R1195" s="3">
        <v>0</v>
      </c>
      <c r="S1195" s="3" t="s">
        <v>289</v>
      </c>
      <c r="T1195" s="3" t="s">
        <v>538</v>
      </c>
      <c r="U1195" s="3">
        <v>0</v>
      </c>
      <c r="V1195" s="3">
        <v>29</v>
      </c>
      <c r="W1195" s="3">
        <v>73</v>
      </c>
    </row>
    <row r="1196" spans="1:23" ht="11.25" customHeight="1" x14ac:dyDescent="0.25">
      <c r="A1196" s="3" t="s">
        <v>28</v>
      </c>
      <c r="B1196" s="3" t="s">
        <v>33</v>
      </c>
      <c r="C1196" s="3" t="s">
        <v>34</v>
      </c>
      <c r="D1196" s="3" t="s">
        <v>45</v>
      </c>
      <c r="E1196" s="3" t="s">
        <v>25</v>
      </c>
      <c r="F1196" s="3" t="s">
        <v>25</v>
      </c>
      <c r="G1196" s="3" t="s">
        <v>25</v>
      </c>
      <c r="H1196" s="3" t="s">
        <v>36</v>
      </c>
      <c r="I1196" s="6">
        <v>44348</v>
      </c>
      <c r="J1196" s="4">
        <v>0</v>
      </c>
      <c r="K1196" s="4">
        <v>0</v>
      </c>
      <c r="L1196" s="4">
        <v>-5.6360000000000001</v>
      </c>
      <c r="M1196" s="4">
        <v>-5.4105600000000003</v>
      </c>
      <c r="N1196" s="4">
        <v>-5.6360000000000001</v>
      </c>
      <c r="O1196" s="4">
        <v>-5.4105600000000003</v>
      </c>
      <c r="P1196" s="4">
        <v>0</v>
      </c>
      <c r="Q1196" s="3" t="s">
        <v>26</v>
      </c>
      <c r="R1196" s="3">
        <v>0</v>
      </c>
      <c r="S1196" s="3" t="s">
        <v>289</v>
      </c>
      <c r="T1196" s="3" t="s">
        <v>538</v>
      </c>
      <c r="U1196" s="3">
        <v>0</v>
      </c>
      <c r="V1196" s="3">
        <v>29</v>
      </c>
      <c r="W1196" s="3">
        <v>73</v>
      </c>
    </row>
    <row r="1197" spans="1:23" ht="11.25" customHeight="1" x14ac:dyDescent="0.25">
      <c r="A1197" s="3" t="s">
        <v>21</v>
      </c>
      <c r="B1197" s="3" t="s">
        <v>33</v>
      </c>
      <c r="C1197" s="3" t="s">
        <v>34</v>
      </c>
      <c r="D1197" s="3" t="s">
        <v>45</v>
      </c>
      <c r="E1197" s="3" t="s">
        <v>25</v>
      </c>
      <c r="F1197" s="3" t="s">
        <v>25</v>
      </c>
      <c r="G1197" s="3" t="s">
        <v>25</v>
      </c>
      <c r="H1197" s="3" t="s">
        <v>36</v>
      </c>
      <c r="I1197" s="6">
        <v>44378</v>
      </c>
      <c r="J1197" s="4">
        <v>0</v>
      </c>
      <c r="K1197" s="4">
        <v>0</v>
      </c>
      <c r="L1197" s="4">
        <v>1004.29</v>
      </c>
      <c r="M1197" s="4">
        <v>964.11839999999995</v>
      </c>
      <c r="N1197" s="4">
        <v>1004.29</v>
      </c>
      <c r="O1197" s="4">
        <v>964.11839999999995</v>
      </c>
      <c r="P1197" s="4">
        <v>0</v>
      </c>
      <c r="Q1197" s="3" t="s">
        <v>26</v>
      </c>
      <c r="R1197" s="3">
        <v>0</v>
      </c>
      <c r="S1197" s="3" t="s">
        <v>290</v>
      </c>
      <c r="T1197" s="3" t="s">
        <v>539</v>
      </c>
      <c r="U1197" s="3">
        <v>0</v>
      </c>
      <c r="V1197" s="3">
        <v>29</v>
      </c>
      <c r="W1197" s="3">
        <v>73</v>
      </c>
    </row>
    <row r="1198" spans="1:23" ht="11.25" customHeight="1" x14ac:dyDescent="0.25">
      <c r="A1198" s="3" t="s">
        <v>28</v>
      </c>
      <c r="B1198" s="3" t="s">
        <v>33</v>
      </c>
      <c r="C1198" s="3" t="s">
        <v>34</v>
      </c>
      <c r="D1198" s="3" t="s">
        <v>45</v>
      </c>
      <c r="E1198" s="3" t="s">
        <v>25</v>
      </c>
      <c r="F1198" s="3" t="s">
        <v>25</v>
      </c>
      <c r="G1198" s="3" t="s">
        <v>25</v>
      </c>
      <c r="H1198" s="3" t="s">
        <v>36</v>
      </c>
      <c r="I1198" s="6">
        <v>44378</v>
      </c>
      <c r="J1198" s="4">
        <v>0</v>
      </c>
      <c r="K1198" s="4">
        <v>0</v>
      </c>
      <c r="L1198" s="4">
        <v>0.54</v>
      </c>
      <c r="M1198" s="4">
        <v>0.51839999999999997</v>
      </c>
      <c r="N1198" s="4">
        <v>0.54</v>
      </c>
      <c r="O1198" s="4">
        <v>0.51839999999999997</v>
      </c>
      <c r="P1198" s="4">
        <v>0</v>
      </c>
      <c r="Q1198" s="3" t="s">
        <v>26</v>
      </c>
      <c r="R1198" s="3">
        <v>0</v>
      </c>
      <c r="S1198" s="3" t="s">
        <v>290</v>
      </c>
      <c r="T1198" s="3" t="s">
        <v>539</v>
      </c>
      <c r="U1198" s="3">
        <v>0</v>
      </c>
      <c r="V1198" s="3">
        <v>29</v>
      </c>
      <c r="W1198" s="3">
        <v>73</v>
      </c>
    </row>
    <row r="1199" spans="1:23" ht="11.25" customHeight="1" x14ac:dyDescent="0.25">
      <c r="A1199" s="3" t="s">
        <v>21</v>
      </c>
      <c r="B1199" s="3" t="s">
        <v>33</v>
      </c>
      <c r="C1199" s="3" t="s">
        <v>34</v>
      </c>
      <c r="D1199" s="3" t="s">
        <v>45</v>
      </c>
      <c r="E1199" s="3" t="s">
        <v>25</v>
      </c>
      <c r="F1199" s="3" t="s">
        <v>25</v>
      </c>
      <c r="G1199" s="3" t="s">
        <v>25</v>
      </c>
      <c r="H1199" s="3" t="s">
        <v>36</v>
      </c>
      <c r="I1199" s="6">
        <v>44409</v>
      </c>
      <c r="J1199" s="4">
        <v>0</v>
      </c>
      <c r="K1199" s="4">
        <v>0</v>
      </c>
      <c r="L1199" s="4">
        <v>735.94899999999996</v>
      </c>
      <c r="M1199" s="4">
        <v>706.51103999999998</v>
      </c>
      <c r="N1199" s="4">
        <v>735.94899999999996</v>
      </c>
      <c r="O1199" s="4">
        <v>706.51103999999998</v>
      </c>
      <c r="P1199" s="4">
        <v>0</v>
      </c>
      <c r="Q1199" s="3" t="s">
        <v>26</v>
      </c>
      <c r="R1199" s="3">
        <v>0</v>
      </c>
      <c r="S1199" s="3" t="s">
        <v>291</v>
      </c>
      <c r="T1199" s="3" t="s">
        <v>540</v>
      </c>
      <c r="U1199" s="3">
        <v>0</v>
      </c>
      <c r="V1199" s="3">
        <v>29</v>
      </c>
      <c r="W1199" s="3">
        <v>73</v>
      </c>
    </row>
    <row r="1200" spans="1:23" ht="11.25" customHeight="1" x14ac:dyDescent="0.25">
      <c r="A1200" s="3" t="s">
        <v>28</v>
      </c>
      <c r="B1200" s="3" t="s">
        <v>33</v>
      </c>
      <c r="C1200" s="3" t="s">
        <v>34</v>
      </c>
      <c r="D1200" s="3" t="s">
        <v>45</v>
      </c>
      <c r="E1200" s="3" t="s">
        <v>25</v>
      </c>
      <c r="F1200" s="3" t="s">
        <v>25</v>
      </c>
      <c r="G1200" s="3" t="s">
        <v>25</v>
      </c>
      <c r="H1200" s="3" t="s">
        <v>36</v>
      </c>
      <c r="I1200" s="6">
        <v>44409</v>
      </c>
      <c r="J1200" s="4">
        <v>0</v>
      </c>
      <c r="K1200" s="4">
        <v>0</v>
      </c>
      <c r="L1200" s="4">
        <v>17.625</v>
      </c>
      <c r="M1200" s="4">
        <v>16.920000000000002</v>
      </c>
      <c r="N1200" s="4">
        <v>17.625</v>
      </c>
      <c r="O1200" s="4">
        <v>16.920000000000002</v>
      </c>
      <c r="P1200" s="4">
        <v>0</v>
      </c>
      <c r="Q1200" s="3" t="s">
        <v>26</v>
      </c>
      <c r="R1200" s="3">
        <v>0</v>
      </c>
      <c r="S1200" s="3" t="s">
        <v>291</v>
      </c>
      <c r="T1200" s="3" t="s">
        <v>540</v>
      </c>
      <c r="U1200" s="3">
        <v>0</v>
      </c>
      <c r="V1200" s="3">
        <v>29</v>
      </c>
      <c r="W1200" s="3">
        <v>73</v>
      </c>
    </row>
    <row r="1201" spans="1:23" ht="11.25" customHeight="1" x14ac:dyDescent="0.25">
      <c r="A1201" s="3" t="s">
        <v>21</v>
      </c>
      <c r="B1201" s="3" t="s">
        <v>33</v>
      </c>
      <c r="C1201" s="3" t="s">
        <v>34</v>
      </c>
      <c r="D1201" s="3" t="s">
        <v>45</v>
      </c>
      <c r="E1201" s="3" t="s">
        <v>25</v>
      </c>
      <c r="F1201" s="3" t="s">
        <v>25</v>
      </c>
      <c r="G1201" s="3" t="s">
        <v>25</v>
      </c>
      <c r="H1201" s="3" t="s">
        <v>36</v>
      </c>
      <c r="I1201" s="6">
        <v>44440</v>
      </c>
      <c r="J1201" s="4">
        <v>0</v>
      </c>
      <c r="K1201" s="4">
        <v>0</v>
      </c>
      <c r="L1201" s="4">
        <v>690.42499999999995</v>
      </c>
      <c r="M1201" s="4">
        <v>662.80799999999999</v>
      </c>
      <c r="N1201" s="4">
        <v>690.42499999999995</v>
      </c>
      <c r="O1201" s="4">
        <v>662.80799999999999</v>
      </c>
      <c r="P1201" s="4">
        <v>0</v>
      </c>
      <c r="Q1201" s="3" t="s">
        <v>26</v>
      </c>
      <c r="R1201" s="3">
        <v>0</v>
      </c>
      <c r="S1201" s="3" t="s">
        <v>292</v>
      </c>
      <c r="T1201" s="3" t="s">
        <v>541</v>
      </c>
      <c r="U1201" s="3">
        <v>0</v>
      </c>
      <c r="V1201" s="3">
        <v>29</v>
      </c>
      <c r="W1201" s="3">
        <v>73</v>
      </c>
    </row>
    <row r="1202" spans="1:23" ht="11.25" customHeight="1" x14ac:dyDescent="0.25">
      <c r="A1202" s="3" t="s">
        <v>28</v>
      </c>
      <c r="B1202" s="3" t="s">
        <v>33</v>
      </c>
      <c r="C1202" s="3" t="s">
        <v>34</v>
      </c>
      <c r="D1202" s="3" t="s">
        <v>45</v>
      </c>
      <c r="E1202" s="3" t="s">
        <v>25</v>
      </c>
      <c r="F1202" s="3" t="s">
        <v>25</v>
      </c>
      <c r="G1202" s="3" t="s">
        <v>25</v>
      </c>
      <c r="H1202" s="3" t="s">
        <v>36</v>
      </c>
      <c r="I1202" s="6">
        <v>44440</v>
      </c>
      <c r="J1202" s="4">
        <v>0</v>
      </c>
      <c r="K1202" s="4">
        <v>0</v>
      </c>
      <c r="L1202" s="4">
        <v>105.735</v>
      </c>
      <c r="M1202" s="4">
        <v>101.5056</v>
      </c>
      <c r="N1202" s="4">
        <v>105.735</v>
      </c>
      <c r="O1202" s="4">
        <v>101.5056</v>
      </c>
      <c r="P1202" s="4">
        <v>0</v>
      </c>
      <c r="Q1202" s="3" t="s">
        <v>26</v>
      </c>
      <c r="R1202" s="3">
        <v>0</v>
      </c>
      <c r="S1202" s="3" t="s">
        <v>292</v>
      </c>
      <c r="T1202" s="3" t="s">
        <v>541</v>
      </c>
      <c r="U1202" s="3">
        <v>0</v>
      </c>
      <c r="V1202" s="3">
        <v>29</v>
      </c>
      <c r="W1202" s="3">
        <v>73</v>
      </c>
    </row>
    <row r="1203" spans="1:23" ht="11.25" customHeight="1" x14ac:dyDescent="0.25">
      <c r="A1203" s="3" t="s">
        <v>21</v>
      </c>
      <c r="B1203" s="3" t="s">
        <v>33</v>
      </c>
      <c r="C1203" s="3" t="s">
        <v>34</v>
      </c>
      <c r="D1203" s="3" t="s">
        <v>45</v>
      </c>
      <c r="E1203" s="3" t="s">
        <v>25</v>
      </c>
      <c r="F1203" s="3" t="s">
        <v>25</v>
      </c>
      <c r="G1203" s="3" t="s">
        <v>25</v>
      </c>
      <c r="H1203" s="3" t="s">
        <v>36</v>
      </c>
      <c r="I1203" s="6">
        <v>44470</v>
      </c>
      <c r="J1203" s="4">
        <v>0</v>
      </c>
      <c r="K1203" s="4">
        <v>0</v>
      </c>
      <c r="L1203" s="4">
        <v>758.21699999999998</v>
      </c>
      <c r="M1203" s="4">
        <v>727.88832000000002</v>
      </c>
      <c r="N1203" s="4">
        <v>758.21699999999998</v>
      </c>
      <c r="O1203" s="4">
        <v>727.88832000000002</v>
      </c>
      <c r="P1203" s="4">
        <v>0</v>
      </c>
      <c r="Q1203" s="3" t="s">
        <v>26</v>
      </c>
      <c r="R1203" s="3">
        <v>0</v>
      </c>
      <c r="S1203" s="3" t="s">
        <v>293</v>
      </c>
      <c r="T1203" s="3" t="s">
        <v>542</v>
      </c>
      <c r="U1203" s="3">
        <v>0</v>
      </c>
      <c r="V1203" s="3">
        <v>29</v>
      </c>
      <c r="W1203" s="3">
        <v>73</v>
      </c>
    </row>
    <row r="1204" spans="1:23" ht="11.25" customHeight="1" x14ac:dyDescent="0.25">
      <c r="A1204" s="3" t="s">
        <v>28</v>
      </c>
      <c r="B1204" s="3" t="s">
        <v>33</v>
      </c>
      <c r="C1204" s="3" t="s">
        <v>34</v>
      </c>
      <c r="D1204" s="3" t="s">
        <v>45</v>
      </c>
      <c r="E1204" s="3" t="s">
        <v>25</v>
      </c>
      <c r="F1204" s="3" t="s">
        <v>25</v>
      </c>
      <c r="G1204" s="3" t="s">
        <v>25</v>
      </c>
      <c r="H1204" s="3" t="s">
        <v>36</v>
      </c>
      <c r="I1204" s="6">
        <v>44470</v>
      </c>
      <c r="J1204" s="4">
        <v>0</v>
      </c>
      <c r="K1204" s="4">
        <v>0</v>
      </c>
      <c r="L1204" s="4">
        <v>237.92599999999999</v>
      </c>
      <c r="M1204" s="4">
        <v>228.40896000000001</v>
      </c>
      <c r="N1204" s="4">
        <v>237.92599999999999</v>
      </c>
      <c r="O1204" s="4">
        <v>228.40896000000001</v>
      </c>
      <c r="P1204" s="4">
        <v>0</v>
      </c>
      <c r="Q1204" s="3" t="s">
        <v>26</v>
      </c>
      <c r="R1204" s="3">
        <v>0</v>
      </c>
      <c r="S1204" s="3" t="s">
        <v>293</v>
      </c>
      <c r="T1204" s="3" t="s">
        <v>542</v>
      </c>
      <c r="U1204" s="3">
        <v>0</v>
      </c>
      <c r="V1204" s="3">
        <v>29</v>
      </c>
      <c r="W1204" s="3">
        <v>73</v>
      </c>
    </row>
    <row r="1205" spans="1:23" ht="11.25" customHeight="1" x14ac:dyDescent="0.25">
      <c r="A1205" s="3" t="s">
        <v>21</v>
      </c>
      <c r="B1205" s="3" t="s">
        <v>33</v>
      </c>
      <c r="C1205" s="3" t="s">
        <v>34</v>
      </c>
      <c r="D1205" s="3" t="s">
        <v>45</v>
      </c>
      <c r="E1205" s="3" t="s">
        <v>25</v>
      </c>
      <c r="F1205" s="3" t="s">
        <v>25</v>
      </c>
      <c r="G1205" s="3" t="s">
        <v>25</v>
      </c>
      <c r="H1205" s="3" t="s">
        <v>36</v>
      </c>
      <c r="I1205" s="6">
        <v>44501</v>
      </c>
      <c r="J1205" s="4">
        <v>0</v>
      </c>
      <c r="K1205" s="4">
        <v>0</v>
      </c>
      <c r="L1205" s="4">
        <v>752.76700000000005</v>
      </c>
      <c r="M1205" s="4">
        <v>722.65632000000005</v>
      </c>
      <c r="N1205" s="4">
        <v>752.76700000000005</v>
      </c>
      <c r="O1205" s="4">
        <v>722.65632000000005</v>
      </c>
      <c r="P1205" s="4">
        <v>0</v>
      </c>
      <c r="Q1205" s="3" t="s">
        <v>26</v>
      </c>
      <c r="R1205" s="3">
        <v>0</v>
      </c>
      <c r="S1205" s="3" t="s">
        <v>294</v>
      </c>
      <c r="T1205" s="3" t="s">
        <v>543</v>
      </c>
      <c r="U1205" s="3">
        <v>0</v>
      </c>
      <c r="V1205" s="3">
        <v>29</v>
      </c>
      <c r="W1205" s="3">
        <v>73</v>
      </c>
    </row>
    <row r="1206" spans="1:23" ht="11.25" customHeight="1" x14ac:dyDescent="0.25">
      <c r="A1206" s="3" t="s">
        <v>28</v>
      </c>
      <c r="B1206" s="3" t="s">
        <v>33</v>
      </c>
      <c r="C1206" s="3" t="s">
        <v>34</v>
      </c>
      <c r="D1206" s="3" t="s">
        <v>45</v>
      </c>
      <c r="E1206" s="3" t="s">
        <v>25</v>
      </c>
      <c r="F1206" s="3" t="s">
        <v>25</v>
      </c>
      <c r="G1206" s="3" t="s">
        <v>25</v>
      </c>
      <c r="H1206" s="3" t="s">
        <v>36</v>
      </c>
      <c r="I1206" s="6">
        <v>44501</v>
      </c>
      <c r="J1206" s="4">
        <v>0</v>
      </c>
      <c r="K1206" s="4">
        <v>0</v>
      </c>
      <c r="L1206" s="4">
        <v>516.38599999999997</v>
      </c>
      <c r="M1206" s="4">
        <v>495.73056000000003</v>
      </c>
      <c r="N1206" s="4">
        <v>516.38599999999997</v>
      </c>
      <c r="O1206" s="4">
        <v>495.73056000000003</v>
      </c>
      <c r="P1206" s="4">
        <v>0</v>
      </c>
      <c r="Q1206" s="3" t="s">
        <v>26</v>
      </c>
      <c r="R1206" s="3">
        <v>0</v>
      </c>
      <c r="S1206" s="3" t="s">
        <v>294</v>
      </c>
      <c r="T1206" s="3" t="s">
        <v>543</v>
      </c>
      <c r="U1206" s="3">
        <v>0</v>
      </c>
      <c r="V1206" s="3">
        <v>29</v>
      </c>
      <c r="W1206" s="3">
        <v>73</v>
      </c>
    </row>
    <row r="1207" spans="1:23" ht="11.25" customHeight="1" x14ac:dyDescent="0.25">
      <c r="A1207" s="3" t="s">
        <v>21</v>
      </c>
      <c r="B1207" s="3" t="s">
        <v>33</v>
      </c>
      <c r="C1207" s="3" t="s">
        <v>34</v>
      </c>
      <c r="D1207" s="3" t="s">
        <v>45</v>
      </c>
      <c r="E1207" s="3" t="s">
        <v>25</v>
      </c>
      <c r="F1207" s="3" t="s">
        <v>25</v>
      </c>
      <c r="G1207" s="3" t="s">
        <v>25</v>
      </c>
      <c r="H1207" s="3" t="s">
        <v>36</v>
      </c>
      <c r="I1207" s="6">
        <v>44531</v>
      </c>
      <c r="J1207" s="4">
        <v>0</v>
      </c>
      <c r="K1207" s="4">
        <v>0</v>
      </c>
      <c r="L1207" s="4">
        <v>775.32399999999996</v>
      </c>
      <c r="M1207" s="4">
        <v>744.31104000000005</v>
      </c>
      <c r="N1207" s="4">
        <v>775.32399999999996</v>
      </c>
      <c r="O1207" s="4">
        <v>744.31104000000005</v>
      </c>
      <c r="P1207" s="4">
        <v>0</v>
      </c>
      <c r="Q1207" s="3" t="s">
        <v>26</v>
      </c>
      <c r="R1207" s="3">
        <v>0</v>
      </c>
      <c r="S1207" s="3" t="s">
        <v>295</v>
      </c>
      <c r="T1207" s="3" t="s">
        <v>544</v>
      </c>
      <c r="U1207" s="3">
        <v>0</v>
      </c>
      <c r="V1207" s="3">
        <v>29</v>
      </c>
      <c r="W1207" s="3">
        <v>73</v>
      </c>
    </row>
    <row r="1208" spans="1:23" ht="11.25" customHeight="1" x14ac:dyDescent="0.25">
      <c r="A1208" s="3" t="s">
        <v>28</v>
      </c>
      <c r="B1208" s="3" t="s">
        <v>33</v>
      </c>
      <c r="C1208" s="3" t="s">
        <v>34</v>
      </c>
      <c r="D1208" s="3" t="s">
        <v>45</v>
      </c>
      <c r="E1208" s="3" t="s">
        <v>25</v>
      </c>
      <c r="F1208" s="3" t="s">
        <v>25</v>
      </c>
      <c r="G1208" s="3" t="s">
        <v>25</v>
      </c>
      <c r="H1208" s="3" t="s">
        <v>36</v>
      </c>
      <c r="I1208" s="6">
        <v>44531</v>
      </c>
      <c r="J1208" s="4">
        <v>0</v>
      </c>
      <c r="K1208" s="4">
        <v>0</v>
      </c>
      <c r="L1208" s="4">
        <v>539.37</v>
      </c>
      <c r="M1208" s="4">
        <v>517.79520000000002</v>
      </c>
      <c r="N1208" s="4">
        <v>539.37</v>
      </c>
      <c r="O1208" s="4">
        <v>517.79520000000002</v>
      </c>
      <c r="P1208" s="4">
        <v>0</v>
      </c>
      <c r="Q1208" s="3" t="s">
        <v>26</v>
      </c>
      <c r="R1208" s="3">
        <v>0</v>
      </c>
      <c r="S1208" s="3" t="s">
        <v>295</v>
      </c>
      <c r="T1208" s="3" t="s">
        <v>544</v>
      </c>
      <c r="U1208" s="3">
        <v>0</v>
      </c>
      <c r="V1208" s="3">
        <v>29</v>
      </c>
      <c r="W1208" s="3">
        <v>73</v>
      </c>
    </row>
    <row r="1209" spans="1:23" ht="11.25" customHeight="1" x14ac:dyDescent="0.25">
      <c r="A1209" s="3" t="s">
        <v>21</v>
      </c>
      <c r="B1209" s="3" t="s">
        <v>33</v>
      </c>
      <c r="C1209" s="3" t="s">
        <v>34</v>
      </c>
      <c r="D1209" s="3" t="s">
        <v>45</v>
      </c>
      <c r="E1209" s="3" t="s">
        <v>25</v>
      </c>
      <c r="F1209" s="3" t="s">
        <v>25</v>
      </c>
      <c r="G1209" s="3" t="s">
        <v>25</v>
      </c>
      <c r="H1209" s="3" t="s">
        <v>36</v>
      </c>
      <c r="I1209" s="6">
        <v>44562</v>
      </c>
      <c r="J1209" s="4">
        <v>0</v>
      </c>
      <c r="K1209" s="4">
        <v>0</v>
      </c>
      <c r="L1209" s="4">
        <v>698.18299999999999</v>
      </c>
      <c r="M1209" s="4">
        <v>670.25567999999998</v>
      </c>
      <c r="N1209" s="4">
        <v>698.18299999999999</v>
      </c>
      <c r="O1209" s="4">
        <v>670.25567999999998</v>
      </c>
      <c r="P1209" s="4">
        <v>0</v>
      </c>
      <c r="Q1209" s="3" t="s">
        <v>26</v>
      </c>
      <c r="R1209" s="3">
        <v>0</v>
      </c>
      <c r="S1209" s="3" t="s">
        <v>296</v>
      </c>
      <c r="T1209" s="3" t="s">
        <v>545</v>
      </c>
      <c r="U1209" s="3">
        <v>0</v>
      </c>
      <c r="V1209" s="3">
        <v>29</v>
      </c>
      <c r="W1209" s="3">
        <v>73</v>
      </c>
    </row>
    <row r="1210" spans="1:23" ht="11.25" customHeight="1" x14ac:dyDescent="0.25">
      <c r="A1210" s="3" t="s">
        <v>28</v>
      </c>
      <c r="B1210" s="3" t="s">
        <v>33</v>
      </c>
      <c r="C1210" s="3" t="s">
        <v>34</v>
      </c>
      <c r="D1210" s="3" t="s">
        <v>45</v>
      </c>
      <c r="E1210" s="3" t="s">
        <v>25</v>
      </c>
      <c r="F1210" s="3" t="s">
        <v>25</v>
      </c>
      <c r="G1210" s="3" t="s">
        <v>25</v>
      </c>
      <c r="H1210" s="3" t="s">
        <v>36</v>
      </c>
      <c r="I1210" s="6">
        <v>44562</v>
      </c>
      <c r="J1210" s="4">
        <v>0</v>
      </c>
      <c r="K1210" s="4">
        <v>0</v>
      </c>
      <c r="L1210" s="4">
        <v>273.089</v>
      </c>
      <c r="M1210" s="4">
        <v>262.16543999999999</v>
      </c>
      <c r="N1210" s="4">
        <v>273.089</v>
      </c>
      <c r="O1210" s="4">
        <v>262.16543999999999</v>
      </c>
      <c r="P1210" s="4">
        <v>0</v>
      </c>
      <c r="Q1210" s="3" t="s">
        <v>26</v>
      </c>
      <c r="R1210" s="3">
        <v>0</v>
      </c>
      <c r="S1210" s="3" t="s">
        <v>296</v>
      </c>
      <c r="T1210" s="3" t="s">
        <v>545</v>
      </c>
      <c r="U1210" s="3">
        <v>0</v>
      </c>
      <c r="V1210" s="3">
        <v>29</v>
      </c>
      <c r="W1210" s="3">
        <v>73</v>
      </c>
    </row>
    <row r="1211" spans="1:23" ht="11.25" customHeight="1" x14ac:dyDescent="0.25">
      <c r="A1211" s="3" t="s">
        <v>21</v>
      </c>
      <c r="B1211" s="3" t="s">
        <v>33</v>
      </c>
      <c r="C1211" s="3" t="s">
        <v>34</v>
      </c>
      <c r="D1211" s="3" t="s">
        <v>45</v>
      </c>
      <c r="E1211" s="3" t="s">
        <v>25</v>
      </c>
      <c r="F1211" s="3" t="s">
        <v>25</v>
      </c>
      <c r="G1211" s="3" t="s">
        <v>25</v>
      </c>
      <c r="H1211" s="3" t="s">
        <v>36</v>
      </c>
      <c r="I1211" s="6">
        <v>44593</v>
      </c>
      <c r="J1211" s="4">
        <v>0</v>
      </c>
      <c r="K1211" s="4">
        <v>0</v>
      </c>
      <c r="L1211" s="4">
        <v>667.37599999999998</v>
      </c>
      <c r="M1211" s="4">
        <v>640.68096000000003</v>
      </c>
      <c r="N1211" s="4">
        <v>667.37599999999998</v>
      </c>
      <c r="O1211" s="4">
        <v>640.68096000000003</v>
      </c>
      <c r="P1211" s="4">
        <v>0</v>
      </c>
      <c r="Q1211" s="3" t="s">
        <v>26</v>
      </c>
      <c r="R1211" s="3">
        <v>0</v>
      </c>
      <c r="S1211" s="3" t="s">
        <v>297</v>
      </c>
      <c r="T1211" s="3" t="s">
        <v>546</v>
      </c>
      <c r="U1211" s="3">
        <v>0</v>
      </c>
      <c r="V1211" s="3">
        <v>29</v>
      </c>
      <c r="W1211" s="3">
        <v>73</v>
      </c>
    </row>
    <row r="1212" spans="1:23" ht="11.25" customHeight="1" x14ac:dyDescent="0.25">
      <c r="A1212" s="3" t="s">
        <v>28</v>
      </c>
      <c r="B1212" s="3" t="s">
        <v>33</v>
      </c>
      <c r="C1212" s="3" t="s">
        <v>34</v>
      </c>
      <c r="D1212" s="3" t="s">
        <v>45</v>
      </c>
      <c r="E1212" s="3" t="s">
        <v>25</v>
      </c>
      <c r="F1212" s="3" t="s">
        <v>25</v>
      </c>
      <c r="G1212" s="3" t="s">
        <v>25</v>
      </c>
      <c r="H1212" s="3" t="s">
        <v>36</v>
      </c>
      <c r="I1212" s="6">
        <v>44593</v>
      </c>
      <c r="J1212" s="4">
        <v>0</v>
      </c>
      <c r="K1212" s="4">
        <v>0</v>
      </c>
      <c r="L1212" s="4">
        <v>477.92899999999997</v>
      </c>
      <c r="M1212" s="4">
        <v>458.81184000000002</v>
      </c>
      <c r="N1212" s="4">
        <v>477.92899999999997</v>
      </c>
      <c r="O1212" s="4">
        <v>458.81184000000002</v>
      </c>
      <c r="P1212" s="4">
        <v>0</v>
      </c>
      <c r="Q1212" s="3" t="s">
        <v>26</v>
      </c>
      <c r="R1212" s="3">
        <v>0</v>
      </c>
      <c r="S1212" s="3" t="s">
        <v>297</v>
      </c>
      <c r="T1212" s="3" t="s">
        <v>546</v>
      </c>
      <c r="U1212" s="3">
        <v>0</v>
      </c>
      <c r="V1212" s="3">
        <v>29</v>
      </c>
      <c r="W1212" s="3">
        <v>73</v>
      </c>
    </row>
    <row r="1213" spans="1:23" ht="11.25" customHeight="1" x14ac:dyDescent="0.25">
      <c r="A1213" s="3" t="s">
        <v>21</v>
      </c>
      <c r="B1213" s="3" t="s">
        <v>33</v>
      </c>
      <c r="C1213" s="3" t="s">
        <v>34</v>
      </c>
      <c r="D1213" s="3" t="s">
        <v>45</v>
      </c>
      <c r="E1213" s="3" t="s">
        <v>25</v>
      </c>
      <c r="F1213" s="3" t="s">
        <v>25</v>
      </c>
      <c r="G1213" s="3" t="s">
        <v>25</v>
      </c>
      <c r="H1213" s="3" t="s">
        <v>36</v>
      </c>
      <c r="I1213" s="6">
        <v>44621</v>
      </c>
      <c r="J1213" s="4">
        <v>0</v>
      </c>
      <c r="K1213" s="4">
        <v>0</v>
      </c>
      <c r="L1213" s="4">
        <v>688.91700000000003</v>
      </c>
      <c r="M1213" s="4">
        <v>661.36032</v>
      </c>
      <c r="N1213" s="4">
        <v>688.91700000000003</v>
      </c>
      <c r="O1213" s="4">
        <v>661.36032</v>
      </c>
      <c r="P1213" s="4">
        <v>0</v>
      </c>
      <c r="Q1213" s="3" t="s">
        <v>26</v>
      </c>
      <c r="R1213" s="3">
        <v>0</v>
      </c>
      <c r="S1213" s="3" t="s">
        <v>298</v>
      </c>
      <c r="T1213" s="3" t="s">
        <v>547</v>
      </c>
      <c r="U1213" s="3">
        <v>0</v>
      </c>
      <c r="V1213" s="3">
        <v>29</v>
      </c>
      <c r="W1213" s="3">
        <v>73</v>
      </c>
    </row>
    <row r="1214" spans="1:23" ht="11.25" customHeight="1" x14ac:dyDescent="0.25">
      <c r="A1214" s="3" t="s">
        <v>28</v>
      </c>
      <c r="B1214" s="3" t="s">
        <v>33</v>
      </c>
      <c r="C1214" s="3" t="s">
        <v>34</v>
      </c>
      <c r="D1214" s="3" t="s">
        <v>45</v>
      </c>
      <c r="E1214" s="3" t="s">
        <v>25</v>
      </c>
      <c r="F1214" s="3" t="s">
        <v>25</v>
      </c>
      <c r="G1214" s="3" t="s">
        <v>25</v>
      </c>
      <c r="H1214" s="3" t="s">
        <v>36</v>
      </c>
      <c r="I1214" s="6">
        <v>44621</v>
      </c>
      <c r="J1214" s="4">
        <v>0</v>
      </c>
      <c r="K1214" s="4">
        <v>0</v>
      </c>
      <c r="L1214" s="4">
        <v>156.30500000000001</v>
      </c>
      <c r="M1214" s="4">
        <v>150.05279999999999</v>
      </c>
      <c r="N1214" s="4">
        <v>156.30500000000001</v>
      </c>
      <c r="O1214" s="4">
        <v>150.05279999999999</v>
      </c>
      <c r="P1214" s="4">
        <v>0</v>
      </c>
      <c r="Q1214" s="3" t="s">
        <v>26</v>
      </c>
      <c r="R1214" s="3">
        <v>0</v>
      </c>
      <c r="S1214" s="3" t="s">
        <v>298</v>
      </c>
      <c r="T1214" s="3" t="s">
        <v>547</v>
      </c>
      <c r="U1214" s="3">
        <v>0</v>
      </c>
      <c r="V1214" s="3">
        <v>29</v>
      </c>
      <c r="W1214" s="3">
        <v>73</v>
      </c>
    </row>
    <row r="1215" spans="1:23" ht="11.25" customHeight="1" x14ac:dyDescent="0.25">
      <c r="A1215" s="3" t="s">
        <v>56</v>
      </c>
      <c r="B1215" s="3" t="s">
        <v>33</v>
      </c>
      <c r="C1215" s="3" t="s">
        <v>34</v>
      </c>
      <c r="D1215" s="3" t="s">
        <v>45</v>
      </c>
      <c r="E1215" s="3" t="s">
        <v>25</v>
      </c>
      <c r="F1215" s="3" t="s">
        <v>25</v>
      </c>
      <c r="G1215" s="3" t="s">
        <v>25</v>
      </c>
      <c r="H1215" s="3" t="s">
        <v>36</v>
      </c>
      <c r="I1215" s="6">
        <v>44652</v>
      </c>
      <c r="J1215" s="4">
        <v>0</v>
      </c>
      <c r="K1215" s="4">
        <v>0</v>
      </c>
      <c r="L1215" s="4">
        <v>688.91700000000003</v>
      </c>
      <c r="M1215" s="4">
        <v>661.36032</v>
      </c>
      <c r="N1215" s="4">
        <v>688.91700000000003</v>
      </c>
      <c r="O1215" s="4">
        <v>661.36032</v>
      </c>
      <c r="P1215" s="4">
        <v>0</v>
      </c>
      <c r="Q1215" s="3" t="s">
        <v>26</v>
      </c>
      <c r="R1215" s="3">
        <v>0</v>
      </c>
      <c r="S1215" s="3" t="s">
        <v>299</v>
      </c>
      <c r="T1215" s="3" t="s">
        <v>548</v>
      </c>
      <c r="U1215" s="3">
        <v>0</v>
      </c>
      <c r="V1215" s="3">
        <v>29</v>
      </c>
      <c r="W1215" s="3">
        <v>73</v>
      </c>
    </row>
    <row r="1216" spans="1:23" ht="11.25" customHeight="1" x14ac:dyDescent="0.25">
      <c r="A1216" s="3" t="s">
        <v>56</v>
      </c>
      <c r="B1216" s="3" t="s">
        <v>33</v>
      </c>
      <c r="C1216" s="3" t="s">
        <v>34</v>
      </c>
      <c r="D1216" s="3" t="s">
        <v>45</v>
      </c>
      <c r="E1216" s="3" t="s">
        <v>25</v>
      </c>
      <c r="F1216" s="3" t="s">
        <v>25</v>
      </c>
      <c r="G1216" s="3" t="s">
        <v>25</v>
      </c>
      <c r="H1216" s="3" t="s">
        <v>36</v>
      </c>
      <c r="I1216" s="6">
        <v>44652</v>
      </c>
      <c r="J1216" s="4">
        <v>0</v>
      </c>
      <c r="K1216" s="4">
        <v>0</v>
      </c>
      <c r="L1216" s="4">
        <v>156.30500000000001</v>
      </c>
      <c r="M1216" s="4">
        <v>150.05279999999999</v>
      </c>
      <c r="N1216" s="4">
        <v>156.30500000000001</v>
      </c>
      <c r="O1216" s="4">
        <v>150.05279999999999</v>
      </c>
      <c r="P1216" s="4">
        <v>0</v>
      </c>
      <c r="Q1216" s="3" t="s">
        <v>26</v>
      </c>
      <c r="R1216" s="3">
        <v>0</v>
      </c>
      <c r="S1216" s="3" t="s">
        <v>299</v>
      </c>
      <c r="T1216" s="3" t="s">
        <v>548</v>
      </c>
      <c r="U1216" s="3">
        <v>0</v>
      </c>
      <c r="V1216" s="3">
        <v>29</v>
      </c>
      <c r="W1216" s="3">
        <v>73</v>
      </c>
    </row>
    <row r="1217" spans="1:23" ht="11.25" customHeight="1" x14ac:dyDescent="0.25">
      <c r="A1217" s="3" t="s">
        <v>21</v>
      </c>
      <c r="B1217" s="3" t="s">
        <v>33</v>
      </c>
      <c r="C1217" s="3" t="s">
        <v>34</v>
      </c>
      <c r="D1217" s="3" t="s">
        <v>45</v>
      </c>
      <c r="E1217" s="3" t="s">
        <v>25</v>
      </c>
      <c r="F1217" s="3" t="s">
        <v>25</v>
      </c>
      <c r="G1217" s="3" t="s">
        <v>25</v>
      </c>
      <c r="H1217" s="3" t="s">
        <v>25</v>
      </c>
      <c r="I1217" s="6">
        <v>44317</v>
      </c>
      <c r="J1217" s="4">
        <v>5550</v>
      </c>
      <c r="K1217" s="4">
        <v>5328</v>
      </c>
      <c r="L1217" s="4">
        <v>0</v>
      </c>
      <c r="M1217" s="4">
        <v>0</v>
      </c>
      <c r="N1217" s="4">
        <v>0</v>
      </c>
      <c r="O1217" s="4">
        <v>0</v>
      </c>
      <c r="P1217" s="4">
        <v>41</v>
      </c>
      <c r="Q1217" s="3" t="s">
        <v>26</v>
      </c>
      <c r="R1217" s="3">
        <v>0</v>
      </c>
      <c r="S1217" s="3" t="s">
        <v>300</v>
      </c>
      <c r="U1217" s="3">
        <v>7</v>
      </c>
      <c r="V1217" s="3">
        <v>0</v>
      </c>
      <c r="W1217" s="3">
        <v>0</v>
      </c>
    </row>
    <row r="1218" spans="1:23" ht="11.25" customHeight="1" x14ac:dyDescent="0.25">
      <c r="A1218" s="3" t="s">
        <v>28</v>
      </c>
      <c r="B1218" s="3" t="s">
        <v>33</v>
      </c>
      <c r="C1218" s="3" t="s">
        <v>34</v>
      </c>
      <c r="D1218" s="3" t="s">
        <v>45</v>
      </c>
      <c r="E1218" s="3" t="s">
        <v>25</v>
      </c>
      <c r="F1218" s="3" t="s">
        <v>25</v>
      </c>
      <c r="G1218" s="3" t="s">
        <v>25</v>
      </c>
      <c r="H1218" s="3" t="s">
        <v>25</v>
      </c>
      <c r="I1218" s="6">
        <v>44317</v>
      </c>
      <c r="J1218" s="4">
        <v>32</v>
      </c>
      <c r="K1218" s="4">
        <v>30.72</v>
      </c>
      <c r="L1218" s="4">
        <v>0</v>
      </c>
      <c r="M1218" s="4">
        <v>0</v>
      </c>
      <c r="N1218" s="4">
        <v>0</v>
      </c>
      <c r="O1218" s="4">
        <v>0</v>
      </c>
      <c r="P1218" s="4">
        <v>3</v>
      </c>
      <c r="Q1218" s="3" t="s">
        <v>26</v>
      </c>
      <c r="R1218" s="3">
        <v>0</v>
      </c>
      <c r="S1218" s="3" t="s">
        <v>300</v>
      </c>
      <c r="U1218" s="3">
        <v>7</v>
      </c>
      <c r="V1218" s="3">
        <v>0</v>
      </c>
      <c r="W1218" s="3">
        <v>0</v>
      </c>
    </row>
    <row r="1219" spans="1:23" ht="11.25" customHeight="1" x14ac:dyDescent="0.25">
      <c r="A1219" s="3" t="s">
        <v>21</v>
      </c>
      <c r="B1219" s="3" t="s">
        <v>33</v>
      </c>
      <c r="C1219" s="3" t="s">
        <v>34</v>
      </c>
      <c r="D1219" s="3" t="s">
        <v>45</v>
      </c>
      <c r="E1219" s="3" t="s">
        <v>25</v>
      </c>
      <c r="F1219" s="3" t="s">
        <v>25</v>
      </c>
      <c r="G1219" s="3" t="s">
        <v>25</v>
      </c>
      <c r="H1219" s="3" t="s">
        <v>25</v>
      </c>
      <c r="I1219" s="6">
        <v>44348</v>
      </c>
      <c r="J1219" s="4">
        <v>4018</v>
      </c>
      <c r="K1219" s="4">
        <v>3857.28</v>
      </c>
      <c r="L1219" s="4">
        <v>0</v>
      </c>
      <c r="M1219" s="4">
        <v>0</v>
      </c>
      <c r="N1219" s="4">
        <v>0</v>
      </c>
      <c r="O1219" s="4">
        <v>0</v>
      </c>
      <c r="P1219" s="4">
        <v>41</v>
      </c>
      <c r="Q1219" s="3" t="s">
        <v>26</v>
      </c>
      <c r="R1219" s="3">
        <v>0</v>
      </c>
      <c r="S1219" s="3" t="s">
        <v>301</v>
      </c>
      <c r="U1219" s="3">
        <v>7</v>
      </c>
      <c r="V1219" s="3">
        <v>0</v>
      </c>
      <c r="W1219" s="3">
        <v>0</v>
      </c>
    </row>
    <row r="1220" spans="1:23" ht="11.25" customHeight="1" x14ac:dyDescent="0.25">
      <c r="A1220" s="3" t="s">
        <v>28</v>
      </c>
      <c r="B1220" s="3" t="s">
        <v>33</v>
      </c>
      <c r="C1220" s="3" t="s">
        <v>34</v>
      </c>
      <c r="D1220" s="3" t="s">
        <v>45</v>
      </c>
      <c r="E1220" s="3" t="s">
        <v>25</v>
      </c>
      <c r="F1220" s="3" t="s">
        <v>25</v>
      </c>
      <c r="G1220" s="3" t="s">
        <v>25</v>
      </c>
      <c r="H1220" s="3" t="s">
        <v>25</v>
      </c>
      <c r="I1220" s="6">
        <v>44348</v>
      </c>
      <c r="J1220" s="4">
        <v>539</v>
      </c>
      <c r="K1220" s="4">
        <v>517.44000000000005</v>
      </c>
      <c r="L1220" s="4">
        <v>0</v>
      </c>
      <c r="M1220" s="4">
        <v>0</v>
      </c>
      <c r="N1220" s="4">
        <v>0</v>
      </c>
      <c r="O1220" s="4">
        <v>0</v>
      </c>
      <c r="P1220" s="4">
        <v>3</v>
      </c>
      <c r="Q1220" s="3" t="s">
        <v>26</v>
      </c>
      <c r="R1220" s="3">
        <v>0</v>
      </c>
      <c r="S1220" s="3" t="s">
        <v>301</v>
      </c>
      <c r="U1220" s="3">
        <v>7</v>
      </c>
      <c r="V1220" s="3">
        <v>0</v>
      </c>
      <c r="W1220" s="3">
        <v>0</v>
      </c>
    </row>
    <row r="1221" spans="1:23" ht="11.25" customHeight="1" x14ac:dyDescent="0.25">
      <c r="A1221" s="3" t="s">
        <v>21</v>
      </c>
      <c r="B1221" s="3" t="s">
        <v>33</v>
      </c>
      <c r="C1221" s="3" t="s">
        <v>34</v>
      </c>
      <c r="D1221" s="3" t="s">
        <v>45</v>
      </c>
      <c r="E1221" s="3" t="s">
        <v>25</v>
      </c>
      <c r="F1221" s="3" t="s">
        <v>25</v>
      </c>
      <c r="G1221" s="3" t="s">
        <v>25</v>
      </c>
      <c r="H1221" s="3" t="s">
        <v>25</v>
      </c>
      <c r="I1221" s="6">
        <v>44378</v>
      </c>
      <c r="J1221" s="4">
        <v>4255</v>
      </c>
      <c r="K1221" s="4">
        <v>4084.8</v>
      </c>
      <c r="L1221" s="4">
        <v>0</v>
      </c>
      <c r="M1221" s="4">
        <v>0</v>
      </c>
      <c r="N1221" s="4">
        <v>0</v>
      </c>
      <c r="O1221" s="4">
        <v>0</v>
      </c>
      <c r="P1221" s="4">
        <v>41</v>
      </c>
      <c r="Q1221" s="3" t="s">
        <v>26</v>
      </c>
      <c r="R1221" s="3">
        <v>0</v>
      </c>
      <c r="S1221" s="3" t="s">
        <v>302</v>
      </c>
      <c r="U1221" s="3">
        <v>7</v>
      </c>
      <c r="V1221" s="3">
        <v>0</v>
      </c>
      <c r="W1221" s="3">
        <v>0</v>
      </c>
    </row>
    <row r="1222" spans="1:23" ht="11.25" customHeight="1" x14ac:dyDescent="0.25">
      <c r="A1222" s="3" t="s">
        <v>28</v>
      </c>
      <c r="B1222" s="3" t="s">
        <v>33</v>
      </c>
      <c r="C1222" s="3" t="s">
        <v>34</v>
      </c>
      <c r="D1222" s="3" t="s">
        <v>45</v>
      </c>
      <c r="E1222" s="3" t="s">
        <v>25</v>
      </c>
      <c r="F1222" s="3" t="s">
        <v>25</v>
      </c>
      <c r="G1222" s="3" t="s">
        <v>25</v>
      </c>
      <c r="H1222" s="3" t="s">
        <v>25</v>
      </c>
      <c r="I1222" s="6">
        <v>44378</v>
      </c>
      <c r="J1222" s="4">
        <v>1</v>
      </c>
      <c r="K1222" s="4">
        <v>0.96</v>
      </c>
      <c r="L1222" s="4">
        <v>0</v>
      </c>
      <c r="M1222" s="4">
        <v>0</v>
      </c>
      <c r="N1222" s="4">
        <v>0</v>
      </c>
      <c r="O1222" s="4">
        <v>0</v>
      </c>
      <c r="P1222" s="4">
        <v>2</v>
      </c>
      <c r="Q1222" s="3" t="s">
        <v>26</v>
      </c>
      <c r="R1222" s="3">
        <v>0</v>
      </c>
      <c r="S1222" s="3" t="s">
        <v>302</v>
      </c>
      <c r="U1222" s="3">
        <v>7</v>
      </c>
      <c r="V1222" s="3">
        <v>0</v>
      </c>
      <c r="W1222" s="3">
        <v>0</v>
      </c>
    </row>
    <row r="1223" spans="1:23" ht="11.25" customHeight="1" x14ac:dyDescent="0.25">
      <c r="A1223" s="3" t="s">
        <v>21</v>
      </c>
      <c r="B1223" s="3" t="s">
        <v>33</v>
      </c>
      <c r="C1223" s="3" t="s">
        <v>34</v>
      </c>
      <c r="D1223" s="3" t="s">
        <v>45</v>
      </c>
      <c r="E1223" s="3" t="s">
        <v>25</v>
      </c>
      <c r="F1223" s="3" t="s">
        <v>25</v>
      </c>
      <c r="G1223" s="3" t="s">
        <v>25</v>
      </c>
      <c r="H1223" s="3" t="s">
        <v>25</v>
      </c>
      <c r="I1223" s="6">
        <v>44409</v>
      </c>
      <c r="J1223" s="4">
        <v>4170</v>
      </c>
      <c r="K1223" s="4">
        <v>4003.2</v>
      </c>
      <c r="L1223" s="4">
        <v>0</v>
      </c>
      <c r="M1223" s="4">
        <v>0</v>
      </c>
      <c r="N1223" s="4">
        <v>0</v>
      </c>
      <c r="O1223" s="4">
        <v>0</v>
      </c>
      <c r="P1223" s="4">
        <v>41</v>
      </c>
      <c r="Q1223" s="3" t="s">
        <v>26</v>
      </c>
      <c r="R1223" s="3">
        <v>0</v>
      </c>
      <c r="S1223" s="3" t="s">
        <v>303</v>
      </c>
      <c r="U1223" s="3">
        <v>7</v>
      </c>
      <c r="V1223" s="3">
        <v>0</v>
      </c>
      <c r="W1223" s="3">
        <v>0</v>
      </c>
    </row>
    <row r="1224" spans="1:23" ht="11.25" customHeight="1" x14ac:dyDescent="0.25">
      <c r="A1224" s="3" t="s">
        <v>28</v>
      </c>
      <c r="B1224" s="3" t="s">
        <v>33</v>
      </c>
      <c r="C1224" s="3" t="s">
        <v>34</v>
      </c>
      <c r="D1224" s="3" t="s">
        <v>45</v>
      </c>
      <c r="E1224" s="3" t="s">
        <v>25</v>
      </c>
      <c r="F1224" s="3" t="s">
        <v>25</v>
      </c>
      <c r="G1224" s="3" t="s">
        <v>25</v>
      </c>
      <c r="H1224" s="3" t="s">
        <v>25</v>
      </c>
      <c r="I1224" s="6">
        <v>44409</v>
      </c>
      <c r="J1224" s="4">
        <v>225</v>
      </c>
      <c r="K1224" s="4">
        <v>216</v>
      </c>
      <c r="L1224" s="4">
        <v>0</v>
      </c>
      <c r="M1224" s="4">
        <v>0</v>
      </c>
      <c r="N1224" s="4">
        <v>0</v>
      </c>
      <c r="O1224" s="4">
        <v>0</v>
      </c>
      <c r="P1224" s="4">
        <v>3</v>
      </c>
      <c r="Q1224" s="3" t="s">
        <v>26</v>
      </c>
      <c r="R1224" s="3">
        <v>0</v>
      </c>
      <c r="S1224" s="3" t="s">
        <v>303</v>
      </c>
      <c r="U1224" s="3">
        <v>7</v>
      </c>
      <c r="V1224" s="3">
        <v>0</v>
      </c>
      <c r="W1224" s="3">
        <v>0</v>
      </c>
    </row>
    <row r="1225" spans="1:23" ht="11.25" customHeight="1" x14ac:dyDescent="0.25">
      <c r="A1225" s="3" t="s">
        <v>21</v>
      </c>
      <c r="B1225" s="3" t="s">
        <v>33</v>
      </c>
      <c r="C1225" s="3" t="s">
        <v>34</v>
      </c>
      <c r="D1225" s="3" t="s">
        <v>45</v>
      </c>
      <c r="E1225" s="3" t="s">
        <v>25</v>
      </c>
      <c r="F1225" s="3" t="s">
        <v>25</v>
      </c>
      <c r="G1225" s="3" t="s">
        <v>25</v>
      </c>
      <c r="H1225" s="3" t="s">
        <v>25</v>
      </c>
      <c r="I1225" s="6">
        <v>44440</v>
      </c>
      <c r="J1225" s="4">
        <v>3013</v>
      </c>
      <c r="K1225" s="4">
        <v>2892.48</v>
      </c>
      <c r="L1225" s="4">
        <v>0</v>
      </c>
      <c r="M1225" s="4">
        <v>0</v>
      </c>
      <c r="N1225" s="4">
        <v>0</v>
      </c>
      <c r="O1225" s="4">
        <v>0</v>
      </c>
      <c r="P1225" s="4">
        <v>42</v>
      </c>
      <c r="Q1225" s="3" t="s">
        <v>26</v>
      </c>
      <c r="R1225" s="3">
        <v>0</v>
      </c>
      <c r="S1225" s="3" t="s">
        <v>304</v>
      </c>
      <c r="U1225" s="3">
        <v>7</v>
      </c>
      <c r="V1225" s="3">
        <v>0</v>
      </c>
      <c r="W1225" s="3">
        <v>0</v>
      </c>
    </row>
    <row r="1226" spans="1:23" ht="11.25" customHeight="1" x14ac:dyDescent="0.25">
      <c r="A1226" s="3" t="s">
        <v>28</v>
      </c>
      <c r="B1226" s="3" t="s">
        <v>33</v>
      </c>
      <c r="C1226" s="3" t="s">
        <v>34</v>
      </c>
      <c r="D1226" s="3" t="s">
        <v>45</v>
      </c>
      <c r="E1226" s="3" t="s">
        <v>25</v>
      </c>
      <c r="F1226" s="3" t="s">
        <v>25</v>
      </c>
      <c r="G1226" s="3" t="s">
        <v>25</v>
      </c>
      <c r="H1226" s="3" t="s">
        <v>25</v>
      </c>
      <c r="I1226" s="6">
        <v>44440</v>
      </c>
      <c r="J1226" s="4">
        <v>312</v>
      </c>
      <c r="K1226" s="4">
        <v>299.52</v>
      </c>
      <c r="L1226" s="4">
        <v>0</v>
      </c>
      <c r="M1226" s="4">
        <v>0</v>
      </c>
      <c r="N1226" s="4">
        <v>0</v>
      </c>
      <c r="O1226" s="4">
        <v>0</v>
      </c>
      <c r="P1226" s="4">
        <v>3</v>
      </c>
      <c r="Q1226" s="3" t="s">
        <v>26</v>
      </c>
      <c r="R1226" s="3">
        <v>0</v>
      </c>
      <c r="S1226" s="3" t="s">
        <v>304</v>
      </c>
      <c r="U1226" s="3">
        <v>7</v>
      </c>
      <c r="V1226" s="3">
        <v>0</v>
      </c>
      <c r="W1226" s="3">
        <v>0</v>
      </c>
    </row>
    <row r="1227" spans="1:23" ht="11.25" customHeight="1" x14ac:dyDescent="0.25">
      <c r="A1227" s="3" t="s">
        <v>21</v>
      </c>
      <c r="B1227" s="3" t="s">
        <v>33</v>
      </c>
      <c r="C1227" s="3" t="s">
        <v>34</v>
      </c>
      <c r="D1227" s="3" t="s">
        <v>45</v>
      </c>
      <c r="E1227" s="3" t="s">
        <v>25</v>
      </c>
      <c r="F1227" s="3" t="s">
        <v>25</v>
      </c>
      <c r="G1227" s="3" t="s">
        <v>25</v>
      </c>
      <c r="H1227" s="3" t="s">
        <v>25</v>
      </c>
      <c r="I1227" s="6">
        <v>44470</v>
      </c>
      <c r="J1227" s="4">
        <v>2672</v>
      </c>
      <c r="K1227" s="4">
        <v>2565.12</v>
      </c>
      <c r="L1227" s="4">
        <v>0</v>
      </c>
      <c r="M1227" s="4">
        <v>0</v>
      </c>
      <c r="N1227" s="4">
        <v>0</v>
      </c>
      <c r="O1227" s="4">
        <v>0</v>
      </c>
      <c r="P1227" s="4">
        <v>38</v>
      </c>
      <c r="Q1227" s="3" t="s">
        <v>26</v>
      </c>
      <c r="R1227" s="3">
        <v>0</v>
      </c>
      <c r="S1227" s="3" t="s">
        <v>305</v>
      </c>
      <c r="U1227" s="3">
        <v>7</v>
      </c>
      <c r="V1227" s="3">
        <v>0</v>
      </c>
      <c r="W1227" s="3">
        <v>0</v>
      </c>
    </row>
    <row r="1228" spans="1:23" ht="11.25" customHeight="1" x14ac:dyDescent="0.25">
      <c r="A1228" s="3" t="s">
        <v>28</v>
      </c>
      <c r="B1228" s="3" t="s">
        <v>33</v>
      </c>
      <c r="C1228" s="3" t="s">
        <v>34</v>
      </c>
      <c r="D1228" s="3" t="s">
        <v>45</v>
      </c>
      <c r="E1228" s="3" t="s">
        <v>25</v>
      </c>
      <c r="F1228" s="3" t="s">
        <v>25</v>
      </c>
      <c r="G1228" s="3" t="s">
        <v>25</v>
      </c>
      <c r="H1228" s="3" t="s">
        <v>25</v>
      </c>
      <c r="I1228" s="6">
        <v>44470</v>
      </c>
      <c r="J1228" s="4">
        <v>235</v>
      </c>
      <c r="K1228" s="4">
        <v>225.6</v>
      </c>
      <c r="L1228" s="4">
        <v>0</v>
      </c>
      <c r="M1228" s="4">
        <v>0</v>
      </c>
      <c r="N1228" s="4">
        <v>0</v>
      </c>
      <c r="O1228" s="4">
        <v>0</v>
      </c>
      <c r="P1228" s="4">
        <v>3</v>
      </c>
      <c r="Q1228" s="3" t="s">
        <v>26</v>
      </c>
      <c r="R1228" s="3">
        <v>0</v>
      </c>
      <c r="S1228" s="3" t="s">
        <v>305</v>
      </c>
      <c r="U1228" s="3">
        <v>7</v>
      </c>
      <c r="V1228" s="3">
        <v>0</v>
      </c>
      <c r="W1228" s="3">
        <v>0</v>
      </c>
    </row>
    <row r="1229" spans="1:23" ht="11.25" customHeight="1" x14ac:dyDescent="0.25">
      <c r="A1229" s="3" t="s">
        <v>21</v>
      </c>
      <c r="B1229" s="3" t="s">
        <v>33</v>
      </c>
      <c r="C1229" s="3" t="s">
        <v>34</v>
      </c>
      <c r="D1229" s="3" t="s">
        <v>45</v>
      </c>
      <c r="E1229" s="3" t="s">
        <v>25</v>
      </c>
      <c r="F1229" s="3" t="s">
        <v>25</v>
      </c>
      <c r="G1229" s="3" t="s">
        <v>25</v>
      </c>
      <c r="H1229" s="3" t="s">
        <v>25</v>
      </c>
      <c r="I1229" s="6">
        <v>44501</v>
      </c>
      <c r="J1229" s="4">
        <v>3283</v>
      </c>
      <c r="K1229" s="4">
        <v>3151.68</v>
      </c>
      <c r="L1229" s="4">
        <v>0</v>
      </c>
      <c r="M1229" s="4">
        <v>0</v>
      </c>
      <c r="N1229" s="4">
        <v>0</v>
      </c>
      <c r="O1229" s="4">
        <v>0</v>
      </c>
      <c r="P1229" s="4">
        <v>43</v>
      </c>
      <c r="Q1229" s="3" t="s">
        <v>26</v>
      </c>
      <c r="R1229" s="3">
        <v>0</v>
      </c>
      <c r="S1229" s="3" t="s">
        <v>306</v>
      </c>
      <c r="U1229" s="3">
        <v>7</v>
      </c>
      <c r="V1229" s="3">
        <v>0</v>
      </c>
      <c r="W1229" s="3">
        <v>0</v>
      </c>
    </row>
    <row r="1230" spans="1:23" ht="11.25" customHeight="1" x14ac:dyDescent="0.25">
      <c r="A1230" s="3" t="s">
        <v>28</v>
      </c>
      <c r="B1230" s="3" t="s">
        <v>33</v>
      </c>
      <c r="C1230" s="3" t="s">
        <v>34</v>
      </c>
      <c r="D1230" s="3" t="s">
        <v>45</v>
      </c>
      <c r="E1230" s="3" t="s">
        <v>25</v>
      </c>
      <c r="F1230" s="3" t="s">
        <v>25</v>
      </c>
      <c r="G1230" s="3" t="s">
        <v>25</v>
      </c>
      <c r="H1230" s="3" t="s">
        <v>25</v>
      </c>
      <c r="I1230" s="6">
        <v>44501</v>
      </c>
      <c r="J1230" s="4">
        <v>359</v>
      </c>
      <c r="K1230" s="4">
        <v>344.64</v>
      </c>
      <c r="L1230" s="4">
        <v>0</v>
      </c>
      <c r="M1230" s="4">
        <v>0</v>
      </c>
      <c r="N1230" s="4">
        <v>0</v>
      </c>
      <c r="O1230" s="4">
        <v>0</v>
      </c>
      <c r="P1230" s="4">
        <v>3</v>
      </c>
      <c r="Q1230" s="3" t="s">
        <v>26</v>
      </c>
      <c r="R1230" s="3">
        <v>0</v>
      </c>
      <c r="S1230" s="3" t="s">
        <v>306</v>
      </c>
      <c r="U1230" s="3">
        <v>7</v>
      </c>
      <c r="V1230" s="3">
        <v>0</v>
      </c>
      <c r="W1230" s="3">
        <v>0</v>
      </c>
    </row>
    <row r="1231" spans="1:23" ht="11.25" customHeight="1" x14ac:dyDescent="0.25">
      <c r="A1231" s="3" t="s">
        <v>21</v>
      </c>
      <c r="B1231" s="3" t="s">
        <v>33</v>
      </c>
      <c r="C1231" s="3" t="s">
        <v>34</v>
      </c>
      <c r="D1231" s="3" t="s">
        <v>45</v>
      </c>
      <c r="E1231" s="3" t="s">
        <v>25</v>
      </c>
      <c r="F1231" s="3" t="s">
        <v>25</v>
      </c>
      <c r="G1231" s="3" t="s">
        <v>25</v>
      </c>
      <c r="H1231" s="3" t="s">
        <v>25</v>
      </c>
      <c r="I1231" s="6">
        <v>44531</v>
      </c>
      <c r="J1231" s="4">
        <v>3104</v>
      </c>
      <c r="K1231" s="4">
        <v>2979.84</v>
      </c>
      <c r="L1231" s="4">
        <v>0</v>
      </c>
      <c r="M1231" s="4">
        <v>0</v>
      </c>
      <c r="N1231" s="4">
        <v>0</v>
      </c>
      <c r="O1231" s="4">
        <v>0</v>
      </c>
      <c r="P1231" s="4">
        <v>40</v>
      </c>
      <c r="Q1231" s="3" t="s">
        <v>26</v>
      </c>
      <c r="R1231" s="3">
        <v>0</v>
      </c>
      <c r="S1231" s="3" t="s">
        <v>307</v>
      </c>
      <c r="U1231" s="3">
        <v>7</v>
      </c>
      <c r="V1231" s="3">
        <v>0</v>
      </c>
      <c r="W1231" s="3">
        <v>0</v>
      </c>
    </row>
    <row r="1232" spans="1:23" ht="11.25" customHeight="1" x14ac:dyDescent="0.25">
      <c r="A1232" s="3" t="s">
        <v>28</v>
      </c>
      <c r="B1232" s="3" t="s">
        <v>33</v>
      </c>
      <c r="C1232" s="3" t="s">
        <v>34</v>
      </c>
      <c r="D1232" s="3" t="s">
        <v>45</v>
      </c>
      <c r="E1232" s="3" t="s">
        <v>25</v>
      </c>
      <c r="F1232" s="3" t="s">
        <v>25</v>
      </c>
      <c r="G1232" s="3" t="s">
        <v>25</v>
      </c>
      <c r="H1232" s="3" t="s">
        <v>25</v>
      </c>
      <c r="I1232" s="6">
        <v>44531</v>
      </c>
      <c r="J1232" s="4">
        <v>355</v>
      </c>
      <c r="K1232" s="4">
        <v>340.8</v>
      </c>
      <c r="L1232" s="4">
        <v>0</v>
      </c>
      <c r="M1232" s="4">
        <v>0</v>
      </c>
      <c r="N1232" s="4">
        <v>0</v>
      </c>
      <c r="O1232" s="4">
        <v>0</v>
      </c>
      <c r="P1232" s="4">
        <v>3</v>
      </c>
      <c r="Q1232" s="3" t="s">
        <v>26</v>
      </c>
      <c r="R1232" s="3">
        <v>0</v>
      </c>
      <c r="S1232" s="3" t="s">
        <v>307</v>
      </c>
      <c r="U1232" s="3">
        <v>7</v>
      </c>
      <c r="V1232" s="3">
        <v>0</v>
      </c>
      <c r="W1232" s="3">
        <v>0</v>
      </c>
    </row>
    <row r="1233" spans="1:23" ht="11.25" customHeight="1" x14ac:dyDescent="0.25">
      <c r="A1233" s="3" t="s">
        <v>21</v>
      </c>
      <c r="B1233" s="3" t="s">
        <v>33</v>
      </c>
      <c r="C1233" s="3" t="s">
        <v>34</v>
      </c>
      <c r="D1233" s="3" t="s">
        <v>45</v>
      </c>
      <c r="E1233" s="3" t="s">
        <v>25</v>
      </c>
      <c r="F1233" s="3" t="s">
        <v>25</v>
      </c>
      <c r="G1233" s="3" t="s">
        <v>25</v>
      </c>
      <c r="H1233" s="3" t="s">
        <v>25</v>
      </c>
      <c r="I1233" s="6">
        <v>44562</v>
      </c>
      <c r="J1233" s="4">
        <v>3706</v>
      </c>
      <c r="K1233" s="4">
        <v>3557.76</v>
      </c>
      <c r="L1233" s="4">
        <v>0</v>
      </c>
      <c r="M1233" s="4">
        <v>0</v>
      </c>
      <c r="N1233" s="4">
        <v>0</v>
      </c>
      <c r="O1233" s="4">
        <v>0</v>
      </c>
      <c r="P1233" s="4">
        <v>42</v>
      </c>
      <c r="Q1233" s="3" t="s">
        <v>26</v>
      </c>
      <c r="R1233" s="3">
        <v>0</v>
      </c>
      <c r="S1233" s="3" t="s">
        <v>308</v>
      </c>
      <c r="U1233" s="3">
        <v>7</v>
      </c>
      <c r="V1233" s="3">
        <v>0</v>
      </c>
      <c r="W1233" s="3">
        <v>0</v>
      </c>
    </row>
    <row r="1234" spans="1:23" ht="11.25" customHeight="1" x14ac:dyDescent="0.25">
      <c r="A1234" s="3" t="s">
        <v>28</v>
      </c>
      <c r="B1234" s="3" t="s">
        <v>33</v>
      </c>
      <c r="C1234" s="3" t="s">
        <v>34</v>
      </c>
      <c r="D1234" s="3" t="s">
        <v>45</v>
      </c>
      <c r="E1234" s="3" t="s">
        <v>25</v>
      </c>
      <c r="F1234" s="3" t="s">
        <v>25</v>
      </c>
      <c r="G1234" s="3" t="s">
        <v>25</v>
      </c>
      <c r="H1234" s="3" t="s">
        <v>25</v>
      </c>
      <c r="I1234" s="6">
        <v>44562</v>
      </c>
      <c r="J1234" s="4">
        <v>367</v>
      </c>
      <c r="K1234" s="4">
        <v>352.32</v>
      </c>
      <c r="L1234" s="4">
        <v>0</v>
      </c>
      <c r="M1234" s="4">
        <v>0</v>
      </c>
      <c r="N1234" s="4">
        <v>0</v>
      </c>
      <c r="O1234" s="4">
        <v>0</v>
      </c>
      <c r="P1234" s="4">
        <v>3</v>
      </c>
      <c r="Q1234" s="3" t="s">
        <v>26</v>
      </c>
      <c r="R1234" s="3">
        <v>0</v>
      </c>
      <c r="S1234" s="3" t="s">
        <v>308</v>
      </c>
      <c r="U1234" s="3">
        <v>7</v>
      </c>
      <c r="V1234" s="3">
        <v>0</v>
      </c>
      <c r="W1234" s="3">
        <v>0</v>
      </c>
    </row>
    <row r="1235" spans="1:23" ht="11.25" customHeight="1" x14ac:dyDescent="0.25">
      <c r="A1235" s="3" t="s">
        <v>21</v>
      </c>
      <c r="B1235" s="3" t="s">
        <v>33</v>
      </c>
      <c r="C1235" s="3" t="s">
        <v>34</v>
      </c>
      <c r="D1235" s="3" t="s">
        <v>45</v>
      </c>
      <c r="E1235" s="3" t="s">
        <v>25</v>
      </c>
      <c r="F1235" s="3" t="s">
        <v>25</v>
      </c>
      <c r="G1235" s="3" t="s">
        <v>25</v>
      </c>
      <c r="H1235" s="3" t="s">
        <v>25</v>
      </c>
      <c r="I1235" s="6">
        <v>44593</v>
      </c>
      <c r="J1235" s="4">
        <v>2629</v>
      </c>
      <c r="K1235" s="4">
        <v>2523.84</v>
      </c>
      <c r="L1235" s="4">
        <v>0</v>
      </c>
      <c r="M1235" s="4">
        <v>0</v>
      </c>
      <c r="N1235" s="4">
        <v>0</v>
      </c>
      <c r="O1235" s="4">
        <v>0</v>
      </c>
      <c r="P1235" s="4">
        <v>38</v>
      </c>
      <c r="Q1235" s="3" t="s">
        <v>26</v>
      </c>
      <c r="R1235" s="3">
        <v>0</v>
      </c>
      <c r="S1235" s="3" t="s">
        <v>309</v>
      </c>
      <c r="U1235" s="3">
        <v>7</v>
      </c>
      <c r="V1235" s="3">
        <v>0</v>
      </c>
      <c r="W1235" s="3">
        <v>0</v>
      </c>
    </row>
    <row r="1236" spans="1:23" ht="11.25" customHeight="1" x14ac:dyDescent="0.25">
      <c r="A1236" s="3" t="s">
        <v>28</v>
      </c>
      <c r="B1236" s="3" t="s">
        <v>33</v>
      </c>
      <c r="C1236" s="3" t="s">
        <v>34</v>
      </c>
      <c r="D1236" s="3" t="s">
        <v>45</v>
      </c>
      <c r="E1236" s="3" t="s">
        <v>25</v>
      </c>
      <c r="F1236" s="3" t="s">
        <v>25</v>
      </c>
      <c r="G1236" s="3" t="s">
        <v>25</v>
      </c>
      <c r="H1236" s="3" t="s">
        <v>25</v>
      </c>
      <c r="I1236" s="6">
        <v>44593</v>
      </c>
      <c r="J1236" s="4">
        <v>371</v>
      </c>
      <c r="K1236" s="4">
        <v>356.16</v>
      </c>
      <c r="L1236" s="4">
        <v>0</v>
      </c>
      <c r="M1236" s="4">
        <v>0</v>
      </c>
      <c r="N1236" s="4">
        <v>0</v>
      </c>
      <c r="O1236" s="4">
        <v>0</v>
      </c>
      <c r="P1236" s="4">
        <v>3</v>
      </c>
      <c r="Q1236" s="3" t="s">
        <v>26</v>
      </c>
      <c r="R1236" s="3">
        <v>0</v>
      </c>
      <c r="S1236" s="3" t="s">
        <v>309</v>
      </c>
      <c r="U1236" s="3">
        <v>7</v>
      </c>
      <c r="V1236" s="3">
        <v>0</v>
      </c>
      <c r="W1236" s="3">
        <v>0</v>
      </c>
    </row>
    <row r="1237" spans="1:23" ht="11.25" customHeight="1" x14ac:dyDescent="0.25">
      <c r="A1237" s="3" t="s">
        <v>21</v>
      </c>
      <c r="B1237" s="3" t="s">
        <v>33</v>
      </c>
      <c r="C1237" s="3" t="s">
        <v>34</v>
      </c>
      <c r="D1237" s="3" t="s">
        <v>45</v>
      </c>
      <c r="E1237" s="3" t="s">
        <v>25</v>
      </c>
      <c r="F1237" s="3" t="s">
        <v>25</v>
      </c>
      <c r="G1237" s="3" t="s">
        <v>25</v>
      </c>
      <c r="H1237" s="3" t="s">
        <v>25</v>
      </c>
      <c r="I1237" s="6">
        <v>44621</v>
      </c>
      <c r="J1237" s="4">
        <v>3744</v>
      </c>
      <c r="K1237" s="4">
        <v>3594.24</v>
      </c>
      <c r="L1237" s="4">
        <v>0</v>
      </c>
      <c r="M1237" s="4">
        <v>0</v>
      </c>
      <c r="N1237" s="4">
        <v>0</v>
      </c>
      <c r="O1237" s="4">
        <v>0</v>
      </c>
      <c r="P1237" s="4">
        <v>41</v>
      </c>
      <c r="Q1237" s="3" t="s">
        <v>26</v>
      </c>
      <c r="R1237" s="3">
        <v>0</v>
      </c>
      <c r="S1237" s="3" t="s">
        <v>310</v>
      </c>
      <c r="U1237" s="3">
        <v>7</v>
      </c>
      <c r="V1237" s="3">
        <v>0</v>
      </c>
      <c r="W1237" s="3">
        <v>0</v>
      </c>
    </row>
    <row r="1238" spans="1:23" ht="11.25" customHeight="1" x14ac:dyDescent="0.25">
      <c r="A1238" s="3" t="s">
        <v>28</v>
      </c>
      <c r="B1238" s="3" t="s">
        <v>33</v>
      </c>
      <c r="C1238" s="3" t="s">
        <v>34</v>
      </c>
      <c r="D1238" s="3" t="s">
        <v>45</v>
      </c>
      <c r="E1238" s="3" t="s">
        <v>25</v>
      </c>
      <c r="F1238" s="3" t="s">
        <v>25</v>
      </c>
      <c r="G1238" s="3" t="s">
        <v>25</v>
      </c>
      <c r="H1238" s="3" t="s">
        <v>25</v>
      </c>
      <c r="I1238" s="6">
        <v>44621</v>
      </c>
      <c r="J1238" s="4">
        <v>878</v>
      </c>
      <c r="K1238" s="4">
        <v>842.88</v>
      </c>
      <c r="L1238" s="4">
        <v>0</v>
      </c>
      <c r="M1238" s="4">
        <v>0</v>
      </c>
      <c r="N1238" s="4">
        <v>0</v>
      </c>
      <c r="O1238" s="4">
        <v>0</v>
      </c>
      <c r="P1238" s="4">
        <v>4</v>
      </c>
      <c r="Q1238" s="3" t="s">
        <v>26</v>
      </c>
      <c r="R1238" s="3">
        <v>0</v>
      </c>
      <c r="S1238" s="3" t="s">
        <v>310</v>
      </c>
      <c r="U1238" s="3">
        <v>7</v>
      </c>
      <c r="V1238" s="3">
        <v>0</v>
      </c>
      <c r="W1238" s="3">
        <v>0</v>
      </c>
    </row>
    <row r="1239" spans="1:23" ht="11.25" customHeight="1" x14ac:dyDescent="0.25">
      <c r="A1239" s="3" t="s">
        <v>56</v>
      </c>
      <c r="B1239" s="3" t="s">
        <v>33</v>
      </c>
      <c r="C1239" s="3" t="s">
        <v>34</v>
      </c>
      <c r="D1239" s="3" t="s">
        <v>45</v>
      </c>
      <c r="E1239" s="3" t="s">
        <v>25</v>
      </c>
      <c r="F1239" s="3" t="s">
        <v>25</v>
      </c>
      <c r="G1239" s="3" t="s">
        <v>25</v>
      </c>
      <c r="H1239" s="3" t="s">
        <v>25</v>
      </c>
      <c r="I1239" s="6">
        <v>44652</v>
      </c>
      <c r="J1239" s="4">
        <v>3744</v>
      </c>
      <c r="K1239" s="4">
        <v>3594.24</v>
      </c>
      <c r="L1239" s="4">
        <v>0</v>
      </c>
      <c r="M1239" s="4">
        <v>0</v>
      </c>
      <c r="N1239" s="4">
        <v>0</v>
      </c>
      <c r="O1239" s="4">
        <v>0</v>
      </c>
      <c r="P1239" s="4">
        <v>41</v>
      </c>
      <c r="Q1239" s="3" t="s">
        <v>26</v>
      </c>
      <c r="R1239" s="3">
        <v>0</v>
      </c>
      <c r="S1239" s="3" t="s">
        <v>311</v>
      </c>
      <c r="U1239" s="3">
        <v>7</v>
      </c>
      <c r="V1239" s="3">
        <v>0</v>
      </c>
      <c r="W1239" s="3">
        <v>0</v>
      </c>
    </row>
    <row r="1240" spans="1:23" ht="11.25" customHeight="1" x14ac:dyDescent="0.25">
      <c r="A1240" s="3" t="s">
        <v>56</v>
      </c>
      <c r="B1240" s="3" t="s">
        <v>33</v>
      </c>
      <c r="C1240" s="3" t="s">
        <v>34</v>
      </c>
      <c r="D1240" s="3" t="s">
        <v>45</v>
      </c>
      <c r="E1240" s="3" t="s">
        <v>25</v>
      </c>
      <c r="F1240" s="3" t="s">
        <v>25</v>
      </c>
      <c r="G1240" s="3" t="s">
        <v>25</v>
      </c>
      <c r="H1240" s="3" t="s">
        <v>25</v>
      </c>
      <c r="I1240" s="6">
        <v>44652</v>
      </c>
      <c r="J1240" s="4">
        <v>878</v>
      </c>
      <c r="K1240" s="4">
        <v>842.88</v>
      </c>
      <c r="L1240" s="4">
        <v>0</v>
      </c>
      <c r="M1240" s="4">
        <v>0</v>
      </c>
      <c r="N1240" s="4">
        <v>0</v>
      </c>
      <c r="O1240" s="4">
        <v>0</v>
      </c>
      <c r="P1240" s="4">
        <v>4</v>
      </c>
      <c r="Q1240" s="3" t="s">
        <v>26</v>
      </c>
      <c r="R1240" s="3">
        <v>0</v>
      </c>
      <c r="S1240" s="3" t="s">
        <v>311</v>
      </c>
      <c r="U1240" s="3">
        <v>7</v>
      </c>
      <c r="V1240" s="3">
        <v>0</v>
      </c>
      <c r="W1240" s="3">
        <v>0</v>
      </c>
    </row>
    <row r="1241" spans="1:23" ht="11.25" customHeight="1" x14ac:dyDescent="0.25">
      <c r="A1241" s="3" t="s">
        <v>21</v>
      </c>
      <c r="B1241" s="3" t="s">
        <v>33</v>
      </c>
      <c r="C1241" s="3" t="s">
        <v>34</v>
      </c>
      <c r="D1241" s="3" t="s">
        <v>45</v>
      </c>
      <c r="E1241" s="3" t="s">
        <v>25</v>
      </c>
      <c r="F1241" s="3" t="s">
        <v>25</v>
      </c>
      <c r="G1241" s="3" t="s">
        <v>25</v>
      </c>
      <c r="H1241" s="3" t="s">
        <v>35</v>
      </c>
      <c r="I1241" s="6">
        <v>44317</v>
      </c>
      <c r="J1241" s="4">
        <v>0</v>
      </c>
      <c r="K1241" s="4">
        <v>0</v>
      </c>
      <c r="L1241" s="4">
        <v>60.104999999999997</v>
      </c>
      <c r="M1241" s="4">
        <v>57.700800000000001</v>
      </c>
      <c r="N1241" s="4">
        <v>60.104999999999997</v>
      </c>
      <c r="O1241" s="4">
        <v>57.700800000000001</v>
      </c>
      <c r="P1241" s="4">
        <v>0</v>
      </c>
      <c r="Q1241" s="3" t="s">
        <v>26</v>
      </c>
      <c r="R1241" s="3">
        <v>0</v>
      </c>
      <c r="S1241" s="3" t="s">
        <v>312</v>
      </c>
      <c r="T1241" s="3" t="s">
        <v>549</v>
      </c>
      <c r="U1241" s="3">
        <v>0</v>
      </c>
      <c r="V1241" s="3">
        <v>8</v>
      </c>
      <c r="W1241" s="3">
        <v>72</v>
      </c>
    </row>
    <row r="1242" spans="1:23" ht="11.25" customHeight="1" x14ac:dyDescent="0.25">
      <c r="A1242" s="3" t="s">
        <v>28</v>
      </c>
      <c r="B1242" s="3" t="s">
        <v>33</v>
      </c>
      <c r="C1242" s="3" t="s">
        <v>34</v>
      </c>
      <c r="D1242" s="3" t="s">
        <v>45</v>
      </c>
      <c r="E1242" s="3" t="s">
        <v>25</v>
      </c>
      <c r="F1242" s="3" t="s">
        <v>25</v>
      </c>
      <c r="G1242" s="3" t="s">
        <v>25</v>
      </c>
      <c r="H1242" s="3" t="s">
        <v>35</v>
      </c>
      <c r="I1242" s="6">
        <v>44317</v>
      </c>
      <c r="J1242" s="4">
        <v>0</v>
      </c>
      <c r="K1242" s="4">
        <v>0</v>
      </c>
      <c r="L1242" s="4">
        <v>6.0999999999999999E-2</v>
      </c>
      <c r="M1242" s="4">
        <v>5.8560000000000001E-2</v>
      </c>
      <c r="N1242" s="4">
        <v>6.0999999999999999E-2</v>
      </c>
      <c r="O1242" s="4">
        <v>5.8560000000000001E-2</v>
      </c>
      <c r="P1242" s="4">
        <v>0</v>
      </c>
      <c r="Q1242" s="3" t="s">
        <v>26</v>
      </c>
      <c r="R1242" s="3">
        <v>0</v>
      </c>
      <c r="S1242" s="3" t="s">
        <v>312</v>
      </c>
      <c r="T1242" s="3" t="s">
        <v>549</v>
      </c>
      <c r="U1242" s="3">
        <v>0</v>
      </c>
      <c r="V1242" s="3">
        <v>8</v>
      </c>
      <c r="W1242" s="3">
        <v>72</v>
      </c>
    </row>
    <row r="1243" spans="1:23" ht="11.25" customHeight="1" x14ac:dyDescent="0.25">
      <c r="A1243" s="3" t="s">
        <v>21</v>
      </c>
      <c r="B1243" s="3" t="s">
        <v>33</v>
      </c>
      <c r="C1243" s="3" t="s">
        <v>34</v>
      </c>
      <c r="D1243" s="3" t="s">
        <v>45</v>
      </c>
      <c r="E1243" s="3" t="s">
        <v>25</v>
      </c>
      <c r="F1243" s="3" t="s">
        <v>25</v>
      </c>
      <c r="G1243" s="3" t="s">
        <v>25</v>
      </c>
      <c r="H1243" s="3" t="s">
        <v>35</v>
      </c>
      <c r="I1243" s="6">
        <v>44348</v>
      </c>
      <c r="J1243" s="4">
        <v>0</v>
      </c>
      <c r="K1243" s="4">
        <v>0</v>
      </c>
      <c r="L1243" s="4">
        <v>56.448999999999998</v>
      </c>
      <c r="M1243" s="4">
        <v>54.191040000000001</v>
      </c>
      <c r="N1243" s="4">
        <v>56.448999999999998</v>
      </c>
      <c r="O1243" s="4">
        <v>54.191040000000001</v>
      </c>
      <c r="P1243" s="4">
        <v>0</v>
      </c>
      <c r="Q1243" s="3" t="s">
        <v>26</v>
      </c>
      <c r="R1243" s="3">
        <v>0</v>
      </c>
      <c r="S1243" s="3" t="s">
        <v>313</v>
      </c>
      <c r="T1243" s="3" t="s">
        <v>550</v>
      </c>
      <c r="U1243" s="3">
        <v>0</v>
      </c>
      <c r="V1243" s="3">
        <v>8</v>
      </c>
      <c r="W1243" s="3">
        <v>72</v>
      </c>
    </row>
    <row r="1244" spans="1:23" ht="11.25" customHeight="1" x14ac:dyDescent="0.25">
      <c r="A1244" s="3" t="s">
        <v>28</v>
      </c>
      <c r="B1244" s="3" t="s">
        <v>33</v>
      </c>
      <c r="C1244" s="3" t="s">
        <v>34</v>
      </c>
      <c r="D1244" s="3" t="s">
        <v>45</v>
      </c>
      <c r="E1244" s="3" t="s">
        <v>25</v>
      </c>
      <c r="F1244" s="3" t="s">
        <v>25</v>
      </c>
      <c r="G1244" s="3" t="s">
        <v>25</v>
      </c>
      <c r="H1244" s="3" t="s">
        <v>35</v>
      </c>
      <c r="I1244" s="6">
        <v>44348</v>
      </c>
      <c r="J1244" s="4">
        <v>0</v>
      </c>
      <c r="K1244" s="4">
        <v>0</v>
      </c>
      <c r="L1244" s="4">
        <v>-1.0489999999999999</v>
      </c>
      <c r="M1244" s="4">
        <v>-1.0070399999999999</v>
      </c>
      <c r="N1244" s="4">
        <v>-1.0489999999999999</v>
      </c>
      <c r="O1244" s="4">
        <v>-1.0070399999999999</v>
      </c>
      <c r="P1244" s="4">
        <v>0</v>
      </c>
      <c r="Q1244" s="3" t="s">
        <v>26</v>
      </c>
      <c r="R1244" s="3">
        <v>0</v>
      </c>
      <c r="S1244" s="3" t="s">
        <v>313</v>
      </c>
      <c r="T1244" s="3" t="s">
        <v>550</v>
      </c>
      <c r="U1244" s="3">
        <v>0</v>
      </c>
      <c r="V1244" s="3">
        <v>8</v>
      </c>
      <c r="W1244" s="3">
        <v>72</v>
      </c>
    </row>
    <row r="1245" spans="1:23" ht="11.25" customHeight="1" x14ac:dyDescent="0.25">
      <c r="A1245" s="3" t="s">
        <v>21</v>
      </c>
      <c r="B1245" s="3" t="s">
        <v>33</v>
      </c>
      <c r="C1245" s="3" t="s">
        <v>34</v>
      </c>
      <c r="D1245" s="3" t="s">
        <v>45</v>
      </c>
      <c r="E1245" s="3" t="s">
        <v>25</v>
      </c>
      <c r="F1245" s="3" t="s">
        <v>25</v>
      </c>
      <c r="G1245" s="3" t="s">
        <v>25</v>
      </c>
      <c r="H1245" s="3" t="s">
        <v>35</v>
      </c>
      <c r="I1245" s="6">
        <v>44378</v>
      </c>
      <c r="J1245" s="4">
        <v>0</v>
      </c>
      <c r="K1245" s="4">
        <v>0</v>
      </c>
      <c r="L1245" s="4">
        <v>60.249000000000002</v>
      </c>
      <c r="M1245" s="4">
        <v>57.839039999999997</v>
      </c>
      <c r="N1245" s="4">
        <v>60.249000000000002</v>
      </c>
      <c r="O1245" s="4">
        <v>57.839039999999997</v>
      </c>
      <c r="P1245" s="4">
        <v>0</v>
      </c>
      <c r="Q1245" s="3" t="s">
        <v>26</v>
      </c>
      <c r="R1245" s="3">
        <v>0</v>
      </c>
      <c r="S1245" s="3" t="s">
        <v>314</v>
      </c>
      <c r="T1245" s="3" t="s">
        <v>551</v>
      </c>
      <c r="U1245" s="3">
        <v>0</v>
      </c>
      <c r="V1245" s="3">
        <v>8</v>
      </c>
      <c r="W1245" s="3">
        <v>72</v>
      </c>
    </row>
    <row r="1246" spans="1:23" ht="11.25" customHeight="1" x14ac:dyDescent="0.25">
      <c r="A1246" s="3" t="s">
        <v>28</v>
      </c>
      <c r="B1246" s="3" t="s">
        <v>33</v>
      </c>
      <c r="C1246" s="3" t="s">
        <v>34</v>
      </c>
      <c r="D1246" s="3" t="s">
        <v>45</v>
      </c>
      <c r="E1246" s="3" t="s">
        <v>25</v>
      </c>
      <c r="F1246" s="3" t="s">
        <v>25</v>
      </c>
      <c r="G1246" s="3" t="s">
        <v>25</v>
      </c>
      <c r="H1246" s="3" t="s">
        <v>35</v>
      </c>
      <c r="I1246" s="6">
        <v>44378</v>
      </c>
      <c r="J1246" s="4">
        <v>0</v>
      </c>
      <c r="K1246" s="4">
        <v>0</v>
      </c>
      <c r="L1246" s="4">
        <v>0.105</v>
      </c>
      <c r="M1246" s="4">
        <v>0.1008</v>
      </c>
      <c r="N1246" s="4">
        <v>0.105</v>
      </c>
      <c r="O1246" s="4">
        <v>0.1008</v>
      </c>
      <c r="P1246" s="4">
        <v>0</v>
      </c>
      <c r="Q1246" s="3" t="s">
        <v>26</v>
      </c>
      <c r="R1246" s="3">
        <v>0</v>
      </c>
      <c r="S1246" s="3" t="s">
        <v>314</v>
      </c>
      <c r="T1246" s="3" t="s">
        <v>551</v>
      </c>
      <c r="U1246" s="3">
        <v>0</v>
      </c>
      <c r="V1246" s="3">
        <v>8</v>
      </c>
      <c r="W1246" s="3">
        <v>72</v>
      </c>
    </row>
    <row r="1247" spans="1:23" ht="11.25" customHeight="1" x14ac:dyDescent="0.25">
      <c r="A1247" s="3" t="s">
        <v>21</v>
      </c>
      <c r="B1247" s="3" t="s">
        <v>33</v>
      </c>
      <c r="C1247" s="3" t="s">
        <v>34</v>
      </c>
      <c r="D1247" s="3" t="s">
        <v>45</v>
      </c>
      <c r="E1247" s="3" t="s">
        <v>25</v>
      </c>
      <c r="F1247" s="3" t="s">
        <v>25</v>
      </c>
      <c r="G1247" s="3" t="s">
        <v>25</v>
      </c>
      <c r="H1247" s="3" t="s">
        <v>35</v>
      </c>
      <c r="I1247" s="6">
        <v>44409</v>
      </c>
      <c r="J1247" s="4">
        <v>0</v>
      </c>
      <c r="K1247" s="4">
        <v>0</v>
      </c>
      <c r="L1247" s="4">
        <v>51.003999999999998</v>
      </c>
      <c r="M1247" s="4">
        <v>48.963839999999998</v>
      </c>
      <c r="N1247" s="4">
        <v>51.003999999999998</v>
      </c>
      <c r="O1247" s="4">
        <v>48.963839999999998</v>
      </c>
      <c r="P1247" s="4">
        <v>0</v>
      </c>
      <c r="Q1247" s="3" t="s">
        <v>26</v>
      </c>
      <c r="R1247" s="3">
        <v>0</v>
      </c>
      <c r="S1247" s="3" t="s">
        <v>315</v>
      </c>
      <c r="T1247" s="3" t="s">
        <v>552</v>
      </c>
      <c r="U1247" s="3">
        <v>0</v>
      </c>
      <c r="V1247" s="3">
        <v>8</v>
      </c>
      <c r="W1247" s="3">
        <v>72</v>
      </c>
    </row>
    <row r="1248" spans="1:23" ht="11.25" customHeight="1" x14ac:dyDescent="0.25">
      <c r="A1248" s="3" t="s">
        <v>28</v>
      </c>
      <c r="B1248" s="3" t="s">
        <v>33</v>
      </c>
      <c r="C1248" s="3" t="s">
        <v>34</v>
      </c>
      <c r="D1248" s="3" t="s">
        <v>45</v>
      </c>
      <c r="E1248" s="3" t="s">
        <v>25</v>
      </c>
      <c r="F1248" s="3" t="s">
        <v>25</v>
      </c>
      <c r="G1248" s="3" t="s">
        <v>25</v>
      </c>
      <c r="H1248" s="3" t="s">
        <v>35</v>
      </c>
      <c r="I1248" s="6">
        <v>44409</v>
      </c>
      <c r="J1248" s="4">
        <v>0</v>
      </c>
      <c r="K1248" s="4">
        <v>0</v>
      </c>
      <c r="L1248" s="4">
        <v>1.103</v>
      </c>
      <c r="M1248" s="4">
        <v>1.05888</v>
      </c>
      <c r="N1248" s="4">
        <v>1.103</v>
      </c>
      <c r="O1248" s="4">
        <v>1.05888</v>
      </c>
      <c r="P1248" s="4">
        <v>0</v>
      </c>
      <c r="Q1248" s="3" t="s">
        <v>26</v>
      </c>
      <c r="R1248" s="3">
        <v>0</v>
      </c>
      <c r="S1248" s="3" t="s">
        <v>315</v>
      </c>
      <c r="T1248" s="3" t="s">
        <v>552</v>
      </c>
      <c r="U1248" s="3">
        <v>0</v>
      </c>
      <c r="V1248" s="3">
        <v>8</v>
      </c>
      <c r="W1248" s="3">
        <v>72</v>
      </c>
    </row>
    <row r="1249" spans="1:23" ht="11.25" customHeight="1" x14ac:dyDescent="0.25">
      <c r="A1249" s="3" t="s">
        <v>21</v>
      </c>
      <c r="B1249" s="3" t="s">
        <v>33</v>
      </c>
      <c r="C1249" s="3" t="s">
        <v>34</v>
      </c>
      <c r="D1249" s="3" t="s">
        <v>45</v>
      </c>
      <c r="E1249" s="3" t="s">
        <v>25</v>
      </c>
      <c r="F1249" s="3" t="s">
        <v>25</v>
      </c>
      <c r="G1249" s="3" t="s">
        <v>25</v>
      </c>
      <c r="H1249" s="3" t="s">
        <v>35</v>
      </c>
      <c r="I1249" s="6">
        <v>44440</v>
      </c>
      <c r="J1249" s="4">
        <v>0</v>
      </c>
      <c r="K1249" s="4">
        <v>0</v>
      </c>
      <c r="L1249" s="4">
        <v>47.575000000000003</v>
      </c>
      <c r="M1249" s="4">
        <v>45.671999999999997</v>
      </c>
      <c r="N1249" s="4">
        <v>47.575000000000003</v>
      </c>
      <c r="O1249" s="4">
        <v>45.671999999999997</v>
      </c>
      <c r="P1249" s="4">
        <v>0</v>
      </c>
      <c r="Q1249" s="3" t="s">
        <v>26</v>
      </c>
      <c r="R1249" s="3">
        <v>0</v>
      </c>
      <c r="S1249" s="3" t="s">
        <v>316</v>
      </c>
      <c r="T1249" s="3" t="s">
        <v>553</v>
      </c>
      <c r="U1249" s="3">
        <v>0</v>
      </c>
      <c r="V1249" s="3">
        <v>8</v>
      </c>
      <c r="W1249" s="3">
        <v>72</v>
      </c>
    </row>
    <row r="1250" spans="1:23" ht="11.25" customHeight="1" x14ac:dyDescent="0.25">
      <c r="A1250" s="3" t="s">
        <v>28</v>
      </c>
      <c r="B1250" s="3" t="s">
        <v>33</v>
      </c>
      <c r="C1250" s="3" t="s">
        <v>34</v>
      </c>
      <c r="D1250" s="3" t="s">
        <v>45</v>
      </c>
      <c r="E1250" s="3" t="s">
        <v>25</v>
      </c>
      <c r="F1250" s="3" t="s">
        <v>25</v>
      </c>
      <c r="G1250" s="3" t="s">
        <v>25</v>
      </c>
      <c r="H1250" s="3" t="s">
        <v>35</v>
      </c>
      <c r="I1250" s="6">
        <v>44440</v>
      </c>
      <c r="J1250" s="4">
        <v>0</v>
      </c>
      <c r="K1250" s="4">
        <v>0</v>
      </c>
      <c r="L1250" s="4">
        <v>5.2469999999999999</v>
      </c>
      <c r="M1250" s="4">
        <v>5.0371199999999998</v>
      </c>
      <c r="N1250" s="4">
        <v>5.2469999999999999</v>
      </c>
      <c r="O1250" s="4">
        <v>5.0371199999999998</v>
      </c>
      <c r="P1250" s="4">
        <v>0</v>
      </c>
      <c r="Q1250" s="3" t="s">
        <v>26</v>
      </c>
      <c r="R1250" s="3">
        <v>0</v>
      </c>
      <c r="S1250" s="3" t="s">
        <v>316</v>
      </c>
      <c r="T1250" s="3" t="s">
        <v>553</v>
      </c>
      <c r="U1250" s="3">
        <v>0</v>
      </c>
      <c r="V1250" s="3">
        <v>8</v>
      </c>
      <c r="W1250" s="3">
        <v>72</v>
      </c>
    </row>
    <row r="1251" spans="1:23" ht="11.25" customHeight="1" x14ac:dyDescent="0.25">
      <c r="A1251" s="3" t="s">
        <v>21</v>
      </c>
      <c r="B1251" s="3" t="s">
        <v>33</v>
      </c>
      <c r="C1251" s="3" t="s">
        <v>34</v>
      </c>
      <c r="D1251" s="3" t="s">
        <v>45</v>
      </c>
      <c r="E1251" s="3" t="s">
        <v>25</v>
      </c>
      <c r="F1251" s="3" t="s">
        <v>25</v>
      </c>
      <c r="G1251" s="3" t="s">
        <v>25</v>
      </c>
      <c r="H1251" s="3" t="s">
        <v>35</v>
      </c>
      <c r="I1251" s="6">
        <v>44470</v>
      </c>
      <c r="J1251" s="4">
        <v>0</v>
      </c>
      <c r="K1251" s="4">
        <v>0</v>
      </c>
      <c r="L1251" s="4">
        <v>50.600999999999999</v>
      </c>
      <c r="M1251" s="4">
        <v>48.57696</v>
      </c>
      <c r="N1251" s="4">
        <v>50.600999999999999</v>
      </c>
      <c r="O1251" s="4">
        <v>48.57696</v>
      </c>
      <c r="P1251" s="4">
        <v>0</v>
      </c>
      <c r="Q1251" s="3" t="s">
        <v>26</v>
      </c>
      <c r="R1251" s="3">
        <v>0</v>
      </c>
      <c r="S1251" s="3" t="s">
        <v>317</v>
      </c>
      <c r="T1251" s="3" t="s">
        <v>554</v>
      </c>
      <c r="U1251" s="3">
        <v>0</v>
      </c>
      <c r="V1251" s="3">
        <v>8</v>
      </c>
      <c r="W1251" s="3">
        <v>72</v>
      </c>
    </row>
    <row r="1252" spans="1:23" ht="11.25" customHeight="1" x14ac:dyDescent="0.25">
      <c r="A1252" s="3" t="s">
        <v>28</v>
      </c>
      <c r="B1252" s="3" t="s">
        <v>33</v>
      </c>
      <c r="C1252" s="3" t="s">
        <v>34</v>
      </c>
      <c r="D1252" s="3" t="s">
        <v>45</v>
      </c>
      <c r="E1252" s="3" t="s">
        <v>25</v>
      </c>
      <c r="F1252" s="3" t="s">
        <v>25</v>
      </c>
      <c r="G1252" s="3" t="s">
        <v>25</v>
      </c>
      <c r="H1252" s="3" t="s">
        <v>35</v>
      </c>
      <c r="I1252" s="6">
        <v>44470</v>
      </c>
      <c r="J1252" s="4">
        <v>0</v>
      </c>
      <c r="K1252" s="4">
        <v>0</v>
      </c>
      <c r="L1252" s="4">
        <v>12.153</v>
      </c>
      <c r="M1252" s="4">
        <v>11.666880000000001</v>
      </c>
      <c r="N1252" s="4">
        <v>12.153</v>
      </c>
      <c r="O1252" s="4">
        <v>11.666880000000001</v>
      </c>
      <c r="P1252" s="4">
        <v>0</v>
      </c>
      <c r="Q1252" s="3" t="s">
        <v>26</v>
      </c>
      <c r="R1252" s="3">
        <v>0</v>
      </c>
      <c r="S1252" s="3" t="s">
        <v>317</v>
      </c>
      <c r="T1252" s="3" t="s">
        <v>554</v>
      </c>
      <c r="U1252" s="3">
        <v>0</v>
      </c>
      <c r="V1252" s="3">
        <v>8</v>
      </c>
      <c r="W1252" s="3">
        <v>72</v>
      </c>
    </row>
    <row r="1253" spans="1:23" ht="11.25" customHeight="1" x14ac:dyDescent="0.25">
      <c r="A1253" s="3" t="s">
        <v>21</v>
      </c>
      <c r="B1253" s="3" t="s">
        <v>33</v>
      </c>
      <c r="C1253" s="3" t="s">
        <v>34</v>
      </c>
      <c r="D1253" s="3" t="s">
        <v>45</v>
      </c>
      <c r="E1253" s="3" t="s">
        <v>25</v>
      </c>
      <c r="F1253" s="3" t="s">
        <v>25</v>
      </c>
      <c r="G1253" s="3" t="s">
        <v>25</v>
      </c>
      <c r="H1253" s="3" t="s">
        <v>35</v>
      </c>
      <c r="I1253" s="6">
        <v>44501</v>
      </c>
      <c r="J1253" s="4">
        <v>0</v>
      </c>
      <c r="K1253" s="4">
        <v>0</v>
      </c>
      <c r="L1253" s="4">
        <v>53.113999999999997</v>
      </c>
      <c r="M1253" s="4">
        <v>50.989440000000002</v>
      </c>
      <c r="N1253" s="4">
        <v>53.113999999999997</v>
      </c>
      <c r="O1253" s="4">
        <v>50.989440000000002</v>
      </c>
      <c r="P1253" s="4">
        <v>0</v>
      </c>
      <c r="Q1253" s="3" t="s">
        <v>26</v>
      </c>
      <c r="R1253" s="3">
        <v>0</v>
      </c>
      <c r="S1253" s="3" t="s">
        <v>318</v>
      </c>
      <c r="T1253" s="3" t="s">
        <v>555</v>
      </c>
      <c r="U1253" s="3">
        <v>0</v>
      </c>
      <c r="V1253" s="3">
        <v>8</v>
      </c>
      <c r="W1253" s="3">
        <v>72</v>
      </c>
    </row>
    <row r="1254" spans="1:23" ht="11.25" customHeight="1" x14ac:dyDescent="0.25">
      <c r="A1254" s="3" t="s">
        <v>28</v>
      </c>
      <c r="B1254" s="3" t="s">
        <v>33</v>
      </c>
      <c r="C1254" s="3" t="s">
        <v>34</v>
      </c>
      <c r="D1254" s="3" t="s">
        <v>45</v>
      </c>
      <c r="E1254" s="3" t="s">
        <v>25</v>
      </c>
      <c r="F1254" s="3" t="s">
        <v>25</v>
      </c>
      <c r="G1254" s="3" t="s">
        <v>25</v>
      </c>
      <c r="H1254" s="3" t="s">
        <v>35</v>
      </c>
      <c r="I1254" s="6">
        <v>44501</v>
      </c>
      <c r="J1254" s="4">
        <v>0</v>
      </c>
      <c r="K1254" s="4">
        <v>0</v>
      </c>
      <c r="L1254" s="4">
        <v>28.7</v>
      </c>
      <c r="M1254" s="4">
        <v>27.552</v>
      </c>
      <c r="N1254" s="4">
        <v>28.7</v>
      </c>
      <c r="O1254" s="4">
        <v>27.552</v>
      </c>
      <c r="P1254" s="4">
        <v>0</v>
      </c>
      <c r="Q1254" s="3" t="s">
        <v>26</v>
      </c>
      <c r="R1254" s="3">
        <v>0</v>
      </c>
      <c r="S1254" s="3" t="s">
        <v>318</v>
      </c>
      <c r="T1254" s="3" t="s">
        <v>555</v>
      </c>
      <c r="U1254" s="3">
        <v>0</v>
      </c>
      <c r="V1254" s="3">
        <v>8</v>
      </c>
      <c r="W1254" s="3">
        <v>72</v>
      </c>
    </row>
    <row r="1255" spans="1:23" ht="11.25" customHeight="1" x14ac:dyDescent="0.25">
      <c r="A1255" s="3" t="s">
        <v>21</v>
      </c>
      <c r="B1255" s="3" t="s">
        <v>33</v>
      </c>
      <c r="C1255" s="3" t="s">
        <v>34</v>
      </c>
      <c r="D1255" s="3" t="s">
        <v>45</v>
      </c>
      <c r="E1255" s="3" t="s">
        <v>25</v>
      </c>
      <c r="F1255" s="3" t="s">
        <v>25</v>
      </c>
      <c r="G1255" s="3" t="s">
        <v>25</v>
      </c>
      <c r="H1255" s="3" t="s">
        <v>35</v>
      </c>
      <c r="I1255" s="6">
        <v>44531</v>
      </c>
      <c r="J1255" s="4">
        <v>0</v>
      </c>
      <c r="K1255" s="4">
        <v>0</v>
      </c>
      <c r="L1255" s="4">
        <v>57.963000000000001</v>
      </c>
      <c r="M1255" s="4">
        <v>55.644480000000001</v>
      </c>
      <c r="N1255" s="4">
        <v>57.963000000000001</v>
      </c>
      <c r="O1255" s="4">
        <v>55.644480000000001</v>
      </c>
      <c r="P1255" s="4">
        <v>0</v>
      </c>
      <c r="Q1255" s="3" t="s">
        <v>26</v>
      </c>
      <c r="R1255" s="3">
        <v>0</v>
      </c>
      <c r="S1255" s="3" t="s">
        <v>319</v>
      </c>
      <c r="T1255" s="3" t="s">
        <v>556</v>
      </c>
      <c r="U1255" s="3">
        <v>0</v>
      </c>
      <c r="V1255" s="3">
        <v>8</v>
      </c>
      <c r="W1255" s="3">
        <v>72</v>
      </c>
    </row>
    <row r="1256" spans="1:23" ht="11.25" customHeight="1" x14ac:dyDescent="0.25">
      <c r="A1256" s="3" t="s">
        <v>28</v>
      </c>
      <c r="B1256" s="3" t="s">
        <v>33</v>
      </c>
      <c r="C1256" s="3" t="s">
        <v>34</v>
      </c>
      <c r="D1256" s="3" t="s">
        <v>45</v>
      </c>
      <c r="E1256" s="3" t="s">
        <v>25</v>
      </c>
      <c r="F1256" s="3" t="s">
        <v>25</v>
      </c>
      <c r="G1256" s="3" t="s">
        <v>25</v>
      </c>
      <c r="H1256" s="3" t="s">
        <v>35</v>
      </c>
      <c r="I1256" s="6">
        <v>44531</v>
      </c>
      <c r="J1256" s="4">
        <v>0</v>
      </c>
      <c r="K1256" s="4">
        <v>0</v>
      </c>
      <c r="L1256" s="4">
        <v>32.121000000000002</v>
      </c>
      <c r="M1256" s="4">
        <v>30.83616</v>
      </c>
      <c r="N1256" s="4">
        <v>32.121000000000002</v>
      </c>
      <c r="O1256" s="4">
        <v>30.83616</v>
      </c>
      <c r="P1256" s="4">
        <v>0</v>
      </c>
      <c r="Q1256" s="3" t="s">
        <v>26</v>
      </c>
      <c r="R1256" s="3">
        <v>0</v>
      </c>
      <c r="S1256" s="3" t="s">
        <v>319</v>
      </c>
      <c r="T1256" s="3" t="s">
        <v>556</v>
      </c>
      <c r="U1256" s="3">
        <v>0</v>
      </c>
      <c r="V1256" s="3">
        <v>8</v>
      </c>
      <c r="W1256" s="3">
        <v>72</v>
      </c>
    </row>
    <row r="1257" spans="1:23" ht="11.25" customHeight="1" x14ac:dyDescent="0.25">
      <c r="A1257" s="3" t="s">
        <v>21</v>
      </c>
      <c r="B1257" s="3" t="s">
        <v>33</v>
      </c>
      <c r="C1257" s="3" t="s">
        <v>34</v>
      </c>
      <c r="D1257" s="3" t="s">
        <v>45</v>
      </c>
      <c r="E1257" s="3" t="s">
        <v>25</v>
      </c>
      <c r="F1257" s="3" t="s">
        <v>25</v>
      </c>
      <c r="G1257" s="3" t="s">
        <v>25</v>
      </c>
      <c r="H1257" s="3" t="s">
        <v>35</v>
      </c>
      <c r="I1257" s="6">
        <v>44562</v>
      </c>
      <c r="J1257" s="4">
        <v>0</v>
      </c>
      <c r="K1257" s="4">
        <v>0</v>
      </c>
      <c r="L1257" s="4">
        <v>50.191000000000003</v>
      </c>
      <c r="M1257" s="4">
        <v>48.18336</v>
      </c>
      <c r="N1257" s="4">
        <v>50.191000000000003</v>
      </c>
      <c r="O1257" s="4">
        <v>48.18336</v>
      </c>
      <c r="P1257" s="4">
        <v>0</v>
      </c>
      <c r="Q1257" s="3" t="s">
        <v>26</v>
      </c>
      <c r="R1257" s="3">
        <v>0</v>
      </c>
      <c r="S1257" s="3" t="s">
        <v>320</v>
      </c>
      <c r="T1257" s="3" t="s">
        <v>557</v>
      </c>
      <c r="U1257" s="3">
        <v>0</v>
      </c>
      <c r="V1257" s="3">
        <v>8</v>
      </c>
      <c r="W1257" s="3">
        <v>72</v>
      </c>
    </row>
    <row r="1258" spans="1:23" ht="11.25" customHeight="1" x14ac:dyDescent="0.25">
      <c r="A1258" s="3" t="s">
        <v>28</v>
      </c>
      <c r="B1258" s="3" t="s">
        <v>33</v>
      </c>
      <c r="C1258" s="3" t="s">
        <v>34</v>
      </c>
      <c r="D1258" s="3" t="s">
        <v>45</v>
      </c>
      <c r="E1258" s="3" t="s">
        <v>25</v>
      </c>
      <c r="F1258" s="3" t="s">
        <v>25</v>
      </c>
      <c r="G1258" s="3" t="s">
        <v>25</v>
      </c>
      <c r="H1258" s="3" t="s">
        <v>35</v>
      </c>
      <c r="I1258" s="6">
        <v>44562</v>
      </c>
      <c r="J1258" s="4">
        <v>0</v>
      </c>
      <c r="K1258" s="4">
        <v>0</v>
      </c>
      <c r="L1258" s="4">
        <v>17.806999999999999</v>
      </c>
      <c r="M1258" s="4">
        <v>17.094719999999999</v>
      </c>
      <c r="N1258" s="4">
        <v>17.806999999999999</v>
      </c>
      <c r="O1258" s="4">
        <v>17.094719999999999</v>
      </c>
      <c r="P1258" s="4">
        <v>0</v>
      </c>
      <c r="Q1258" s="3" t="s">
        <v>26</v>
      </c>
      <c r="R1258" s="3">
        <v>0</v>
      </c>
      <c r="S1258" s="3" t="s">
        <v>320</v>
      </c>
      <c r="T1258" s="3" t="s">
        <v>557</v>
      </c>
      <c r="U1258" s="3">
        <v>0</v>
      </c>
      <c r="V1258" s="3">
        <v>8</v>
      </c>
      <c r="W1258" s="3">
        <v>72</v>
      </c>
    </row>
    <row r="1259" spans="1:23" ht="11.25" customHeight="1" x14ac:dyDescent="0.25">
      <c r="A1259" s="3" t="s">
        <v>21</v>
      </c>
      <c r="B1259" s="3" t="s">
        <v>33</v>
      </c>
      <c r="C1259" s="3" t="s">
        <v>34</v>
      </c>
      <c r="D1259" s="3" t="s">
        <v>45</v>
      </c>
      <c r="E1259" s="3" t="s">
        <v>25</v>
      </c>
      <c r="F1259" s="3" t="s">
        <v>25</v>
      </c>
      <c r="G1259" s="3" t="s">
        <v>25</v>
      </c>
      <c r="H1259" s="3" t="s">
        <v>35</v>
      </c>
      <c r="I1259" s="6">
        <v>44593</v>
      </c>
      <c r="J1259" s="4">
        <v>0</v>
      </c>
      <c r="K1259" s="4">
        <v>0</v>
      </c>
      <c r="L1259" s="4">
        <v>47.332000000000001</v>
      </c>
      <c r="M1259" s="4">
        <v>45.438720000000004</v>
      </c>
      <c r="N1259" s="4">
        <v>47.332000000000001</v>
      </c>
      <c r="O1259" s="4">
        <v>45.438720000000004</v>
      </c>
      <c r="P1259" s="4">
        <v>0</v>
      </c>
      <c r="Q1259" s="3" t="s">
        <v>26</v>
      </c>
      <c r="R1259" s="3">
        <v>0</v>
      </c>
      <c r="S1259" s="3" t="s">
        <v>321</v>
      </c>
      <c r="T1259" s="3" t="s">
        <v>558</v>
      </c>
      <c r="U1259" s="3">
        <v>0</v>
      </c>
      <c r="V1259" s="3">
        <v>8</v>
      </c>
      <c r="W1259" s="3">
        <v>72</v>
      </c>
    </row>
    <row r="1260" spans="1:23" ht="11.25" customHeight="1" x14ac:dyDescent="0.25">
      <c r="A1260" s="3" t="s">
        <v>28</v>
      </c>
      <c r="B1260" s="3" t="s">
        <v>33</v>
      </c>
      <c r="C1260" s="3" t="s">
        <v>34</v>
      </c>
      <c r="D1260" s="3" t="s">
        <v>45</v>
      </c>
      <c r="E1260" s="3" t="s">
        <v>25</v>
      </c>
      <c r="F1260" s="3" t="s">
        <v>25</v>
      </c>
      <c r="G1260" s="3" t="s">
        <v>25</v>
      </c>
      <c r="H1260" s="3" t="s">
        <v>35</v>
      </c>
      <c r="I1260" s="6">
        <v>44593</v>
      </c>
      <c r="J1260" s="4">
        <v>0</v>
      </c>
      <c r="K1260" s="4">
        <v>0</v>
      </c>
      <c r="L1260" s="4">
        <v>27.065000000000001</v>
      </c>
      <c r="M1260" s="4">
        <v>25.982399999999998</v>
      </c>
      <c r="N1260" s="4">
        <v>27.065000000000001</v>
      </c>
      <c r="O1260" s="4">
        <v>25.982399999999998</v>
      </c>
      <c r="P1260" s="4">
        <v>0</v>
      </c>
      <c r="Q1260" s="3" t="s">
        <v>26</v>
      </c>
      <c r="R1260" s="3">
        <v>0</v>
      </c>
      <c r="S1260" s="3" t="s">
        <v>321</v>
      </c>
      <c r="T1260" s="3" t="s">
        <v>558</v>
      </c>
      <c r="U1260" s="3">
        <v>0</v>
      </c>
      <c r="V1260" s="3">
        <v>8</v>
      </c>
      <c r="W1260" s="3">
        <v>72</v>
      </c>
    </row>
    <row r="1261" spans="1:23" ht="11.25" customHeight="1" x14ac:dyDescent="0.25">
      <c r="A1261" s="3" t="s">
        <v>21</v>
      </c>
      <c r="B1261" s="3" t="s">
        <v>33</v>
      </c>
      <c r="C1261" s="3" t="s">
        <v>34</v>
      </c>
      <c r="D1261" s="3" t="s">
        <v>45</v>
      </c>
      <c r="E1261" s="3" t="s">
        <v>25</v>
      </c>
      <c r="F1261" s="3" t="s">
        <v>25</v>
      </c>
      <c r="G1261" s="3" t="s">
        <v>25</v>
      </c>
      <c r="H1261" s="3" t="s">
        <v>35</v>
      </c>
      <c r="I1261" s="6">
        <v>44621</v>
      </c>
      <c r="J1261" s="4">
        <v>0</v>
      </c>
      <c r="K1261" s="4">
        <v>0</v>
      </c>
      <c r="L1261" s="4">
        <v>44.673999999999999</v>
      </c>
      <c r="M1261" s="4">
        <v>42.887039999999999</v>
      </c>
      <c r="N1261" s="4">
        <v>44.673999999999999</v>
      </c>
      <c r="O1261" s="4">
        <v>42.887039999999999</v>
      </c>
      <c r="P1261" s="4">
        <v>0</v>
      </c>
      <c r="Q1261" s="3" t="s">
        <v>26</v>
      </c>
      <c r="R1261" s="3">
        <v>0</v>
      </c>
      <c r="S1261" s="3" t="s">
        <v>322</v>
      </c>
      <c r="T1261" s="3" t="s">
        <v>559</v>
      </c>
      <c r="U1261" s="3">
        <v>0</v>
      </c>
      <c r="V1261" s="3">
        <v>8</v>
      </c>
      <c r="W1261" s="3">
        <v>72</v>
      </c>
    </row>
    <row r="1262" spans="1:23" ht="11.25" customHeight="1" x14ac:dyDescent="0.25">
      <c r="A1262" s="3" t="s">
        <v>28</v>
      </c>
      <c r="B1262" s="3" t="s">
        <v>33</v>
      </c>
      <c r="C1262" s="3" t="s">
        <v>34</v>
      </c>
      <c r="D1262" s="3" t="s">
        <v>45</v>
      </c>
      <c r="E1262" s="3" t="s">
        <v>25</v>
      </c>
      <c r="F1262" s="3" t="s">
        <v>25</v>
      </c>
      <c r="G1262" s="3" t="s">
        <v>25</v>
      </c>
      <c r="H1262" s="3" t="s">
        <v>35</v>
      </c>
      <c r="I1262" s="6">
        <v>44621</v>
      </c>
      <c r="J1262" s="4">
        <v>0</v>
      </c>
      <c r="K1262" s="4">
        <v>0</v>
      </c>
      <c r="L1262" s="4">
        <v>8.4009999999999998</v>
      </c>
      <c r="M1262" s="4">
        <v>8.0649599999999992</v>
      </c>
      <c r="N1262" s="4">
        <v>8.4009999999999998</v>
      </c>
      <c r="O1262" s="4">
        <v>8.0649599999999992</v>
      </c>
      <c r="P1262" s="4">
        <v>0</v>
      </c>
      <c r="Q1262" s="3" t="s">
        <v>26</v>
      </c>
      <c r="R1262" s="3">
        <v>0</v>
      </c>
      <c r="S1262" s="3" t="s">
        <v>322</v>
      </c>
      <c r="T1262" s="3" t="s">
        <v>559</v>
      </c>
      <c r="U1262" s="3">
        <v>0</v>
      </c>
      <c r="V1262" s="3">
        <v>8</v>
      </c>
      <c r="W1262" s="3">
        <v>72</v>
      </c>
    </row>
    <row r="1263" spans="1:23" ht="11.25" customHeight="1" x14ac:dyDescent="0.25">
      <c r="A1263" s="3" t="s">
        <v>56</v>
      </c>
      <c r="B1263" s="3" t="s">
        <v>33</v>
      </c>
      <c r="C1263" s="3" t="s">
        <v>34</v>
      </c>
      <c r="D1263" s="3" t="s">
        <v>45</v>
      </c>
      <c r="E1263" s="3" t="s">
        <v>25</v>
      </c>
      <c r="F1263" s="3" t="s">
        <v>25</v>
      </c>
      <c r="G1263" s="3" t="s">
        <v>25</v>
      </c>
      <c r="H1263" s="3" t="s">
        <v>35</v>
      </c>
      <c r="I1263" s="6">
        <v>44652</v>
      </c>
      <c r="J1263" s="4">
        <v>0</v>
      </c>
      <c r="K1263" s="4">
        <v>0</v>
      </c>
      <c r="L1263" s="4">
        <v>44.673999999999999</v>
      </c>
      <c r="M1263" s="4">
        <v>42.887039999999999</v>
      </c>
      <c r="N1263" s="4">
        <v>44.673999999999999</v>
      </c>
      <c r="O1263" s="4">
        <v>42.887039999999999</v>
      </c>
      <c r="P1263" s="4">
        <v>0</v>
      </c>
      <c r="Q1263" s="3" t="s">
        <v>26</v>
      </c>
      <c r="R1263" s="3">
        <v>0</v>
      </c>
      <c r="S1263" s="3" t="s">
        <v>323</v>
      </c>
      <c r="T1263" s="3" t="s">
        <v>560</v>
      </c>
      <c r="U1263" s="3">
        <v>0</v>
      </c>
      <c r="V1263" s="3">
        <v>8</v>
      </c>
      <c r="W1263" s="3">
        <v>72</v>
      </c>
    </row>
    <row r="1264" spans="1:23" ht="11.25" customHeight="1" x14ac:dyDescent="0.25">
      <c r="A1264" s="3" t="s">
        <v>56</v>
      </c>
      <c r="B1264" s="3" t="s">
        <v>33</v>
      </c>
      <c r="C1264" s="3" t="s">
        <v>34</v>
      </c>
      <c r="D1264" s="3" t="s">
        <v>45</v>
      </c>
      <c r="E1264" s="3" t="s">
        <v>25</v>
      </c>
      <c r="F1264" s="3" t="s">
        <v>25</v>
      </c>
      <c r="G1264" s="3" t="s">
        <v>25</v>
      </c>
      <c r="H1264" s="3" t="s">
        <v>35</v>
      </c>
      <c r="I1264" s="6">
        <v>44652</v>
      </c>
      <c r="J1264" s="4">
        <v>0</v>
      </c>
      <c r="K1264" s="4">
        <v>0</v>
      </c>
      <c r="L1264" s="4">
        <v>8.4009999999999998</v>
      </c>
      <c r="M1264" s="4">
        <v>8.0649599999999992</v>
      </c>
      <c r="N1264" s="4">
        <v>8.4009999999999998</v>
      </c>
      <c r="O1264" s="4">
        <v>8.0649599999999992</v>
      </c>
      <c r="P1264" s="4">
        <v>0</v>
      </c>
      <c r="Q1264" s="3" t="s">
        <v>26</v>
      </c>
      <c r="R1264" s="3">
        <v>0</v>
      </c>
      <c r="S1264" s="3" t="s">
        <v>323</v>
      </c>
      <c r="T1264" s="3" t="s">
        <v>560</v>
      </c>
      <c r="U1264" s="3">
        <v>0</v>
      </c>
      <c r="V1264" s="3">
        <v>8</v>
      </c>
      <c r="W1264" s="3">
        <v>72</v>
      </c>
    </row>
    <row r="1265" spans="1:23" ht="11.25" customHeight="1" x14ac:dyDescent="0.25">
      <c r="A1265" s="3" t="s">
        <v>21</v>
      </c>
      <c r="B1265" s="3" t="s">
        <v>33</v>
      </c>
      <c r="C1265" s="3" t="s">
        <v>34</v>
      </c>
      <c r="D1265" s="3" t="s">
        <v>50</v>
      </c>
      <c r="E1265" s="3" t="s">
        <v>51</v>
      </c>
      <c r="F1265" s="3" t="s">
        <v>25</v>
      </c>
      <c r="G1265" s="3" t="s">
        <v>25</v>
      </c>
      <c r="H1265" s="3" t="s">
        <v>36</v>
      </c>
      <c r="I1265" s="6">
        <v>44317</v>
      </c>
      <c r="J1265" s="4">
        <v>0</v>
      </c>
      <c r="K1265" s="4">
        <v>0</v>
      </c>
      <c r="L1265" s="4">
        <v>4641.6940000000004</v>
      </c>
      <c r="M1265" s="4">
        <v>4363.19236</v>
      </c>
      <c r="N1265" s="4">
        <v>4641.6940000000004</v>
      </c>
      <c r="O1265" s="4">
        <v>4363.19236</v>
      </c>
      <c r="P1265" s="4">
        <v>0</v>
      </c>
      <c r="Q1265" s="3" t="s">
        <v>26</v>
      </c>
      <c r="R1265" s="3">
        <v>0</v>
      </c>
      <c r="S1265" s="3" t="s">
        <v>288</v>
      </c>
      <c r="T1265" s="3" t="s">
        <v>537</v>
      </c>
      <c r="U1265" s="3">
        <v>0</v>
      </c>
      <c r="V1265" s="3">
        <v>29</v>
      </c>
      <c r="W1265" s="3">
        <v>73</v>
      </c>
    </row>
    <row r="1266" spans="1:23" ht="11.25" customHeight="1" x14ac:dyDescent="0.25">
      <c r="A1266" s="3" t="s">
        <v>21</v>
      </c>
      <c r="B1266" s="3" t="s">
        <v>33</v>
      </c>
      <c r="C1266" s="3" t="s">
        <v>34</v>
      </c>
      <c r="D1266" s="3" t="s">
        <v>50</v>
      </c>
      <c r="E1266" s="3" t="s">
        <v>51</v>
      </c>
      <c r="F1266" s="3" t="s">
        <v>25</v>
      </c>
      <c r="G1266" s="3" t="s">
        <v>25</v>
      </c>
      <c r="H1266" s="3" t="s">
        <v>36</v>
      </c>
      <c r="I1266" s="6">
        <v>44348</v>
      </c>
      <c r="J1266" s="4">
        <v>0</v>
      </c>
      <c r="K1266" s="4">
        <v>0</v>
      </c>
      <c r="L1266" s="4">
        <v>4329.7560000000003</v>
      </c>
      <c r="M1266" s="4">
        <v>4069.97064</v>
      </c>
      <c r="N1266" s="4">
        <v>4329.7560000000003</v>
      </c>
      <c r="O1266" s="4">
        <v>4069.97064</v>
      </c>
      <c r="P1266" s="4">
        <v>0</v>
      </c>
      <c r="Q1266" s="3" t="s">
        <v>26</v>
      </c>
      <c r="R1266" s="3">
        <v>0</v>
      </c>
      <c r="S1266" s="3" t="s">
        <v>289</v>
      </c>
      <c r="T1266" s="3" t="s">
        <v>538</v>
      </c>
      <c r="U1266" s="3">
        <v>0</v>
      </c>
      <c r="V1266" s="3">
        <v>29</v>
      </c>
      <c r="W1266" s="3">
        <v>73</v>
      </c>
    </row>
    <row r="1267" spans="1:23" ht="11.25" customHeight="1" x14ac:dyDescent="0.25">
      <c r="A1267" s="3" t="s">
        <v>28</v>
      </c>
      <c r="B1267" s="3" t="s">
        <v>33</v>
      </c>
      <c r="C1267" s="3" t="s">
        <v>34</v>
      </c>
      <c r="D1267" s="3" t="s">
        <v>50</v>
      </c>
      <c r="E1267" s="3" t="s">
        <v>51</v>
      </c>
      <c r="F1267" s="3" t="s">
        <v>25</v>
      </c>
      <c r="G1267" s="3" t="s">
        <v>25</v>
      </c>
      <c r="H1267" s="3" t="s">
        <v>36</v>
      </c>
      <c r="I1267" s="6">
        <v>44348</v>
      </c>
      <c r="J1267" s="4">
        <v>0</v>
      </c>
      <c r="K1267" s="4">
        <v>0</v>
      </c>
      <c r="L1267" s="4">
        <v>16.446999999999999</v>
      </c>
      <c r="M1267" s="4">
        <v>15.460179999999999</v>
      </c>
      <c r="N1267" s="4">
        <v>16.446999999999999</v>
      </c>
      <c r="O1267" s="4">
        <v>15.460179999999999</v>
      </c>
      <c r="P1267" s="4">
        <v>0</v>
      </c>
      <c r="Q1267" s="3" t="s">
        <v>26</v>
      </c>
      <c r="R1267" s="3">
        <v>0</v>
      </c>
      <c r="S1267" s="3" t="s">
        <v>289</v>
      </c>
      <c r="T1267" s="3" t="s">
        <v>538</v>
      </c>
      <c r="U1267" s="3">
        <v>0</v>
      </c>
      <c r="V1267" s="3">
        <v>29</v>
      </c>
      <c r="W1267" s="3">
        <v>73</v>
      </c>
    </row>
    <row r="1268" spans="1:23" ht="11.25" customHeight="1" x14ac:dyDescent="0.25">
      <c r="A1268" s="3" t="s">
        <v>21</v>
      </c>
      <c r="B1268" s="3" t="s">
        <v>33</v>
      </c>
      <c r="C1268" s="3" t="s">
        <v>34</v>
      </c>
      <c r="D1268" s="3" t="s">
        <v>50</v>
      </c>
      <c r="E1268" s="3" t="s">
        <v>51</v>
      </c>
      <c r="F1268" s="3" t="s">
        <v>25</v>
      </c>
      <c r="G1268" s="3" t="s">
        <v>25</v>
      </c>
      <c r="H1268" s="3" t="s">
        <v>36</v>
      </c>
      <c r="I1268" s="6">
        <v>44378</v>
      </c>
      <c r="J1268" s="4">
        <v>0</v>
      </c>
      <c r="K1268" s="4">
        <v>0</v>
      </c>
      <c r="L1268" s="4">
        <v>4514.2030000000004</v>
      </c>
      <c r="M1268" s="4">
        <v>4243.3508199999997</v>
      </c>
      <c r="N1268" s="4">
        <v>4514.2030000000004</v>
      </c>
      <c r="O1268" s="4">
        <v>4243.3508199999997</v>
      </c>
      <c r="P1268" s="4">
        <v>0</v>
      </c>
      <c r="Q1268" s="3" t="s">
        <v>26</v>
      </c>
      <c r="R1268" s="3">
        <v>0</v>
      </c>
      <c r="S1268" s="3" t="s">
        <v>290</v>
      </c>
      <c r="T1268" s="3" t="s">
        <v>539</v>
      </c>
      <c r="U1268" s="3">
        <v>0</v>
      </c>
      <c r="V1268" s="3">
        <v>29</v>
      </c>
      <c r="W1268" s="3">
        <v>73</v>
      </c>
    </row>
    <row r="1269" spans="1:23" ht="11.25" customHeight="1" x14ac:dyDescent="0.25">
      <c r="A1269" s="3" t="s">
        <v>28</v>
      </c>
      <c r="B1269" s="3" t="s">
        <v>33</v>
      </c>
      <c r="C1269" s="3" t="s">
        <v>34</v>
      </c>
      <c r="D1269" s="3" t="s">
        <v>50</v>
      </c>
      <c r="E1269" s="3" t="s">
        <v>51</v>
      </c>
      <c r="F1269" s="3" t="s">
        <v>25</v>
      </c>
      <c r="G1269" s="3" t="s">
        <v>25</v>
      </c>
      <c r="H1269" s="3" t="s">
        <v>36</v>
      </c>
      <c r="I1269" s="6">
        <v>44378</v>
      </c>
      <c r="J1269" s="4">
        <v>0</v>
      </c>
      <c r="K1269" s="4">
        <v>0</v>
      </c>
      <c r="L1269" s="4">
        <v>16.873000000000001</v>
      </c>
      <c r="M1269" s="4">
        <v>15.860620000000001</v>
      </c>
      <c r="N1269" s="4">
        <v>16.873000000000001</v>
      </c>
      <c r="O1269" s="4">
        <v>15.860620000000001</v>
      </c>
      <c r="P1269" s="4">
        <v>0</v>
      </c>
      <c r="Q1269" s="3" t="s">
        <v>26</v>
      </c>
      <c r="R1269" s="3">
        <v>0</v>
      </c>
      <c r="S1269" s="3" t="s">
        <v>290</v>
      </c>
      <c r="T1269" s="3" t="s">
        <v>539</v>
      </c>
      <c r="U1269" s="3">
        <v>0</v>
      </c>
      <c r="V1269" s="3">
        <v>29</v>
      </c>
      <c r="W1269" s="3">
        <v>73</v>
      </c>
    </row>
    <row r="1270" spans="1:23" ht="11.25" customHeight="1" x14ac:dyDescent="0.25">
      <c r="A1270" s="3" t="s">
        <v>21</v>
      </c>
      <c r="B1270" s="3" t="s">
        <v>33</v>
      </c>
      <c r="C1270" s="3" t="s">
        <v>34</v>
      </c>
      <c r="D1270" s="3" t="s">
        <v>50</v>
      </c>
      <c r="E1270" s="3" t="s">
        <v>51</v>
      </c>
      <c r="F1270" s="3" t="s">
        <v>25</v>
      </c>
      <c r="G1270" s="3" t="s">
        <v>25</v>
      </c>
      <c r="H1270" s="3" t="s">
        <v>36</v>
      </c>
      <c r="I1270" s="6">
        <v>44409</v>
      </c>
      <c r="J1270" s="4">
        <v>0</v>
      </c>
      <c r="K1270" s="4">
        <v>0</v>
      </c>
      <c r="L1270" s="4">
        <v>4537.826</v>
      </c>
      <c r="M1270" s="4">
        <v>4265.5564400000003</v>
      </c>
      <c r="N1270" s="4">
        <v>4537.826</v>
      </c>
      <c r="O1270" s="4">
        <v>4265.5564400000003</v>
      </c>
      <c r="P1270" s="4">
        <v>0</v>
      </c>
      <c r="Q1270" s="3" t="s">
        <v>26</v>
      </c>
      <c r="R1270" s="3">
        <v>0</v>
      </c>
      <c r="S1270" s="3" t="s">
        <v>291</v>
      </c>
      <c r="T1270" s="3" t="s">
        <v>540</v>
      </c>
      <c r="U1270" s="3">
        <v>0</v>
      </c>
      <c r="V1270" s="3">
        <v>29</v>
      </c>
      <c r="W1270" s="3">
        <v>73</v>
      </c>
    </row>
    <row r="1271" spans="1:23" ht="11.25" customHeight="1" x14ac:dyDescent="0.25">
      <c r="A1271" s="3" t="s">
        <v>28</v>
      </c>
      <c r="B1271" s="3" t="s">
        <v>33</v>
      </c>
      <c r="C1271" s="3" t="s">
        <v>34</v>
      </c>
      <c r="D1271" s="3" t="s">
        <v>50</v>
      </c>
      <c r="E1271" s="3" t="s">
        <v>51</v>
      </c>
      <c r="F1271" s="3" t="s">
        <v>25</v>
      </c>
      <c r="G1271" s="3" t="s">
        <v>25</v>
      </c>
      <c r="H1271" s="3" t="s">
        <v>36</v>
      </c>
      <c r="I1271" s="6">
        <v>44409</v>
      </c>
      <c r="J1271" s="4">
        <v>0</v>
      </c>
      <c r="K1271" s="4">
        <v>0</v>
      </c>
      <c r="L1271" s="4">
        <v>18.643999999999998</v>
      </c>
      <c r="M1271" s="4">
        <v>17.525359999999999</v>
      </c>
      <c r="N1271" s="4">
        <v>18.643999999999998</v>
      </c>
      <c r="O1271" s="4">
        <v>17.525359999999999</v>
      </c>
      <c r="P1271" s="4">
        <v>0</v>
      </c>
      <c r="Q1271" s="3" t="s">
        <v>26</v>
      </c>
      <c r="R1271" s="3">
        <v>0</v>
      </c>
      <c r="S1271" s="3" t="s">
        <v>291</v>
      </c>
      <c r="T1271" s="3" t="s">
        <v>540</v>
      </c>
      <c r="U1271" s="3">
        <v>0</v>
      </c>
      <c r="V1271" s="3">
        <v>29</v>
      </c>
      <c r="W1271" s="3">
        <v>73</v>
      </c>
    </row>
    <row r="1272" spans="1:23" ht="11.25" customHeight="1" x14ac:dyDescent="0.25">
      <c r="A1272" s="3" t="s">
        <v>21</v>
      </c>
      <c r="B1272" s="3" t="s">
        <v>33</v>
      </c>
      <c r="C1272" s="3" t="s">
        <v>34</v>
      </c>
      <c r="D1272" s="3" t="s">
        <v>50</v>
      </c>
      <c r="E1272" s="3" t="s">
        <v>51</v>
      </c>
      <c r="F1272" s="3" t="s">
        <v>25</v>
      </c>
      <c r="G1272" s="3" t="s">
        <v>25</v>
      </c>
      <c r="H1272" s="3" t="s">
        <v>36</v>
      </c>
      <c r="I1272" s="6">
        <v>44440</v>
      </c>
      <c r="J1272" s="4">
        <v>0</v>
      </c>
      <c r="K1272" s="4">
        <v>0</v>
      </c>
      <c r="L1272" s="4">
        <v>4334.0870000000004</v>
      </c>
      <c r="M1272" s="4">
        <v>4074.04178</v>
      </c>
      <c r="N1272" s="4">
        <v>4334.0870000000004</v>
      </c>
      <c r="O1272" s="4">
        <v>4074.04178</v>
      </c>
      <c r="P1272" s="4">
        <v>0</v>
      </c>
      <c r="Q1272" s="3" t="s">
        <v>26</v>
      </c>
      <c r="R1272" s="3">
        <v>0</v>
      </c>
      <c r="S1272" s="3" t="s">
        <v>292</v>
      </c>
      <c r="T1272" s="3" t="s">
        <v>541</v>
      </c>
      <c r="U1272" s="3">
        <v>0</v>
      </c>
      <c r="V1272" s="3">
        <v>29</v>
      </c>
      <c r="W1272" s="3">
        <v>73</v>
      </c>
    </row>
    <row r="1273" spans="1:23" ht="11.25" customHeight="1" x14ac:dyDescent="0.25">
      <c r="A1273" s="3" t="s">
        <v>28</v>
      </c>
      <c r="B1273" s="3" t="s">
        <v>33</v>
      </c>
      <c r="C1273" s="3" t="s">
        <v>34</v>
      </c>
      <c r="D1273" s="3" t="s">
        <v>50</v>
      </c>
      <c r="E1273" s="3" t="s">
        <v>51</v>
      </c>
      <c r="F1273" s="3" t="s">
        <v>25</v>
      </c>
      <c r="G1273" s="3" t="s">
        <v>25</v>
      </c>
      <c r="H1273" s="3" t="s">
        <v>36</v>
      </c>
      <c r="I1273" s="6">
        <v>44440</v>
      </c>
      <c r="J1273" s="4">
        <v>0</v>
      </c>
      <c r="K1273" s="4">
        <v>0</v>
      </c>
      <c r="L1273" s="4">
        <v>17.384</v>
      </c>
      <c r="M1273" s="4">
        <v>16.340959999999999</v>
      </c>
      <c r="N1273" s="4">
        <v>17.384</v>
      </c>
      <c r="O1273" s="4">
        <v>16.340959999999999</v>
      </c>
      <c r="P1273" s="4">
        <v>0</v>
      </c>
      <c r="Q1273" s="3" t="s">
        <v>26</v>
      </c>
      <c r="R1273" s="3">
        <v>0</v>
      </c>
      <c r="S1273" s="3" t="s">
        <v>292</v>
      </c>
      <c r="T1273" s="3" t="s">
        <v>541</v>
      </c>
      <c r="U1273" s="3">
        <v>0</v>
      </c>
      <c r="V1273" s="3">
        <v>29</v>
      </c>
      <c r="W1273" s="3">
        <v>73</v>
      </c>
    </row>
    <row r="1274" spans="1:23" ht="11.25" customHeight="1" x14ac:dyDescent="0.25">
      <c r="A1274" s="3" t="s">
        <v>21</v>
      </c>
      <c r="B1274" s="3" t="s">
        <v>33</v>
      </c>
      <c r="C1274" s="3" t="s">
        <v>34</v>
      </c>
      <c r="D1274" s="3" t="s">
        <v>50</v>
      </c>
      <c r="E1274" s="3" t="s">
        <v>51</v>
      </c>
      <c r="F1274" s="3" t="s">
        <v>25</v>
      </c>
      <c r="G1274" s="3" t="s">
        <v>25</v>
      </c>
      <c r="H1274" s="3" t="s">
        <v>36</v>
      </c>
      <c r="I1274" s="6">
        <v>44470</v>
      </c>
      <c r="J1274" s="4">
        <v>0</v>
      </c>
      <c r="K1274" s="4">
        <v>0</v>
      </c>
      <c r="L1274" s="4">
        <v>4657.0370000000003</v>
      </c>
      <c r="M1274" s="4">
        <v>4377.6147799999999</v>
      </c>
      <c r="N1274" s="4">
        <v>4657.0370000000003</v>
      </c>
      <c r="O1274" s="4">
        <v>4377.6147799999999</v>
      </c>
      <c r="P1274" s="4">
        <v>0</v>
      </c>
      <c r="Q1274" s="3" t="s">
        <v>26</v>
      </c>
      <c r="R1274" s="3">
        <v>0</v>
      </c>
      <c r="S1274" s="3" t="s">
        <v>293</v>
      </c>
      <c r="T1274" s="3" t="s">
        <v>542</v>
      </c>
      <c r="U1274" s="3">
        <v>0</v>
      </c>
      <c r="V1274" s="3">
        <v>29</v>
      </c>
      <c r="W1274" s="3">
        <v>73</v>
      </c>
    </row>
    <row r="1275" spans="1:23" ht="11.25" customHeight="1" x14ac:dyDescent="0.25">
      <c r="A1275" s="3" t="s">
        <v>28</v>
      </c>
      <c r="B1275" s="3" t="s">
        <v>33</v>
      </c>
      <c r="C1275" s="3" t="s">
        <v>34</v>
      </c>
      <c r="D1275" s="3" t="s">
        <v>50</v>
      </c>
      <c r="E1275" s="3" t="s">
        <v>51</v>
      </c>
      <c r="F1275" s="3" t="s">
        <v>25</v>
      </c>
      <c r="G1275" s="3" t="s">
        <v>25</v>
      </c>
      <c r="H1275" s="3" t="s">
        <v>36</v>
      </c>
      <c r="I1275" s="6">
        <v>44470</v>
      </c>
      <c r="J1275" s="4">
        <v>0</v>
      </c>
      <c r="K1275" s="4">
        <v>0</v>
      </c>
      <c r="L1275" s="4">
        <v>22.382999999999999</v>
      </c>
      <c r="M1275" s="4">
        <v>21.040019999999998</v>
      </c>
      <c r="N1275" s="4">
        <v>22.382999999999999</v>
      </c>
      <c r="O1275" s="4">
        <v>21.040019999999998</v>
      </c>
      <c r="P1275" s="4">
        <v>0</v>
      </c>
      <c r="Q1275" s="3" t="s">
        <v>26</v>
      </c>
      <c r="R1275" s="3">
        <v>0</v>
      </c>
      <c r="S1275" s="3" t="s">
        <v>293</v>
      </c>
      <c r="T1275" s="3" t="s">
        <v>542</v>
      </c>
      <c r="U1275" s="3">
        <v>0</v>
      </c>
      <c r="V1275" s="3">
        <v>29</v>
      </c>
      <c r="W1275" s="3">
        <v>73</v>
      </c>
    </row>
    <row r="1276" spans="1:23" ht="11.25" customHeight="1" x14ac:dyDescent="0.25">
      <c r="A1276" s="3" t="s">
        <v>21</v>
      </c>
      <c r="B1276" s="3" t="s">
        <v>33</v>
      </c>
      <c r="C1276" s="3" t="s">
        <v>34</v>
      </c>
      <c r="D1276" s="3" t="s">
        <v>50</v>
      </c>
      <c r="E1276" s="3" t="s">
        <v>51</v>
      </c>
      <c r="F1276" s="3" t="s">
        <v>25</v>
      </c>
      <c r="G1276" s="3" t="s">
        <v>25</v>
      </c>
      <c r="H1276" s="3" t="s">
        <v>36</v>
      </c>
      <c r="I1276" s="6">
        <v>44501</v>
      </c>
      <c r="J1276" s="4">
        <v>0</v>
      </c>
      <c r="K1276" s="4">
        <v>0</v>
      </c>
      <c r="L1276" s="4">
        <v>4427.6210000000001</v>
      </c>
      <c r="M1276" s="4">
        <v>4161.9637400000001</v>
      </c>
      <c r="N1276" s="4">
        <v>4427.6210000000001</v>
      </c>
      <c r="O1276" s="4">
        <v>4161.9637400000001</v>
      </c>
      <c r="P1276" s="4">
        <v>0</v>
      </c>
      <c r="Q1276" s="3" t="s">
        <v>26</v>
      </c>
      <c r="R1276" s="3">
        <v>0</v>
      </c>
      <c r="S1276" s="3" t="s">
        <v>294</v>
      </c>
      <c r="T1276" s="3" t="s">
        <v>543</v>
      </c>
      <c r="U1276" s="3">
        <v>0</v>
      </c>
      <c r="V1276" s="3">
        <v>29</v>
      </c>
      <c r="W1276" s="3">
        <v>73</v>
      </c>
    </row>
    <row r="1277" spans="1:23" ht="11.25" customHeight="1" x14ac:dyDescent="0.25">
      <c r="A1277" s="3" t="s">
        <v>27</v>
      </c>
      <c r="B1277" s="3" t="s">
        <v>33</v>
      </c>
      <c r="C1277" s="3" t="s">
        <v>34</v>
      </c>
      <c r="D1277" s="3" t="s">
        <v>50</v>
      </c>
      <c r="E1277" s="3" t="s">
        <v>51</v>
      </c>
      <c r="F1277" s="3" t="s">
        <v>25</v>
      </c>
      <c r="G1277" s="3" t="s">
        <v>25</v>
      </c>
      <c r="H1277" s="3" t="s">
        <v>36</v>
      </c>
      <c r="I1277" s="6">
        <v>44501</v>
      </c>
      <c r="J1277" s="4">
        <v>0</v>
      </c>
      <c r="K1277" s="4">
        <v>0</v>
      </c>
      <c r="L1277" s="4">
        <v>2.161</v>
      </c>
      <c r="M1277" s="4">
        <v>2.0313400000000001</v>
      </c>
      <c r="N1277" s="4">
        <v>2.161</v>
      </c>
      <c r="O1277" s="4">
        <v>2.0313400000000001</v>
      </c>
      <c r="P1277" s="4">
        <v>0</v>
      </c>
      <c r="Q1277" s="3" t="s">
        <v>26</v>
      </c>
      <c r="R1277" s="3">
        <v>0</v>
      </c>
      <c r="S1277" s="3" t="s">
        <v>294</v>
      </c>
      <c r="T1277" s="3" t="s">
        <v>543</v>
      </c>
      <c r="U1277" s="3">
        <v>0</v>
      </c>
      <c r="V1277" s="3">
        <v>29</v>
      </c>
      <c r="W1277" s="3">
        <v>73</v>
      </c>
    </row>
    <row r="1278" spans="1:23" ht="11.25" customHeight="1" x14ac:dyDescent="0.25">
      <c r="A1278" s="3" t="s">
        <v>28</v>
      </c>
      <c r="B1278" s="3" t="s">
        <v>33</v>
      </c>
      <c r="C1278" s="3" t="s">
        <v>34</v>
      </c>
      <c r="D1278" s="3" t="s">
        <v>50</v>
      </c>
      <c r="E1278" s="3" t="s">
        <v>51</v>
      </c>
      <c r="F1278" s="3" t="s">
        <v>25</v>
      </c>
      <c r="G1278" s="3" t="s">
        <v>25</v>
      </c>
      <c r="H1278" s="3" t="s">
        <v>36</v>
      </c>
      <c r="I1278" s="6">
        <v>44501</v>
      </c>
      <c r="J1278" s="4">
        <v>0</v>
      </c>
      <c r="K1278" s="4">
        <v>0</v>
      </c>
      <c r="L1278" s="4">
        <v>13.494999999999999</v>
      </c>
      <c r="M1278" s="4">
        <v>12.6853</v>
      </c>
      <c r="N1278" s="4">
        <v>13.494999999999999</v>
      </c>
      <c r="O1278" s="4">
        <v>12.6853</v>
      </c>
      <c r="P1278" s="4">
        <v>0</v>
      </c>
      <c r="Q1278" s="3" t="s">
        <v>26</v>
      </c>
      <c r="R1278" s="3">
        <v>0</v>
      </c>
      <c r="S1278" s="3" t="s">
        <v>294</v>
      </c>
      <c r="T1278" s="3" t="s">
        <v>543</v>
      </c>
      <c r="U1278" s="3">
        <v>0</v>
      </c>
      <c r="V1278" s="3">
        <v>29</v>
      </c>
      <c r="W1278" s="3">
        <v>73</v>
      </c>
    </row>
    <row r="1279" spans="1:23" ht="11.25" customHeight="1" x14ac:dyDescent="0.25">
      <c r="A1279" s="3" t="s">
        <v>21</v>
      </c>
      <c r="B1279" s="3" t="s">
        <v>33</v>
      </c>
      <c r="C1279" s="3" t="s">
        <v>34</v>
      </c>
      <c r="D1279" s="3" t="s">
        <v>50</v>
      </c>
      <c r="E1279" s="3" t="s">
        <v>51</v>
      </c>
      <c r="F1279" s="3" t="s">
        <v>25</v>
      </c>
      <c r="G1279" s="3" t="s">
        <v>25</v>
      </c>
      <c r="H1279" s="3" t="s">
        <v>36</v>
      </c>
      <c r="I1279" s="6">
        <v>44531</v>
      </c>
      <c r="J1279" s="4">
        <v>0</v>
      </c>
      <c r="K1279" s="4">
        <v>0</v>
      </c>
      <c r="L1279" s="4">
        <v>4464.2560000000003</v>
      </c>
      <c r="M1279" s="4">
        <v>4196.4006399999998</v>
      </c>
      <c r="N1279" s="4">
        <v>4464.2560000000003</v>
      </c>
      <c r="O1279" s="4">
        <v>4196.4006399999998</v>
      </c>
      <c r="P1279" s="4">
        <v>0</v>
      </c>
      <c r="Q1279" s="3" t="s">
        <v>26</v>
      </c>
      <c r="R1279" s="3">
        <v>0</v>
      </c>
      <c r="S1279" s="3" t="s">
        <v>295</v>
      </c>
      <c r="T1279" s="3" t="s">
        <v>544</v>
      </c>
      <c r="U1279" s="3">
        <v>0</v>
      </c>
      <c r="V1279" s="3">
        <v>29</v>
      </c>
      <c r="W1279" s="3">
        <v>73</v>
      </c>
    </row>
    <row r="1280" spans="1:23" ht="11.25" customHeight="1" x14ac:dyDescent="0.25">
      <c r="A1280" s="3" t="s">
        <v>27</v>
      </c>
      <c r="B1280" s="3" t="s">
        <v>33</v>
      </c>
      <c r="C1280" s="3" t="s">
        <v>34</v>
      </c>
      <c r="D1280" s="3" t="s">
        <v>50</v>
      </c>
      <c r="E1280" s="3" t="s">
        <v>51</v>
      </c>
      <c r="F1280" s="3" t="s">
        <v>25</v>
      </c>
      <c r="G1280" s="3" t="s">
        <v>25</v>
      </c>
      <c r="H1280" s="3" t="s">
        <v>36</v>
      </c>
      <c r="I1280" s="6">
        <v>44531</v>
      </c>
      <c r="J1280" s="4">
        <v>0</v>
      </c>
      <c r="K1280" s="4">
        <v>0</v>
      </c>
      <c r="L1280" s="4">
        <v>1.657</v>
      </c>
      <c r="M1280" s="4">
        <v>1.55758</v>
      </c>
      <c r="N1280" s="4">
        <v>1.657</v>
      </c>
      <c r="O1280" s="4">
        <v>1.55758</v>
      </c>
      <c r="P1280" s="4">
        <v>0</v>
      </c>
      <c r="Q1280" s="3" t="s">
        <v>26</v>
      </c>
      <c r="R1280" s="3">
        <v>0</v>
      </c>
      <c r="S1280" s="3" t="s">
        <v>295</v>
      </c>
      <c r="T1280" s="3" t="s">
        <v>544</v>
      </c>
      <c r="U1280" s="3">
        <v>0</v>
      </c>
      <c r="V1280" s="3">
        <v>29</v>
      </c>
      <c r="W1280" s="3">
        <v>73</v>
      </c>
    </row>
    <row r="1281" spans="1:23" ht="11.25" customHeight="1" x14ac:dyDescent="0.25">
      <c r="A1281" s="3" t="s">
        <v>28</v>
      </c>
      <c r="B1281" s="3" t="s">
        <v>33</v>
      </c>
      <c r="C1281" s="3" t="s">
        <v>34</v>
      </c>
      <c r="D1281" s="3" t="s">
        <v>50</v>
      </c>
      <c r="E1281" s="3" t="s">
        <v>51</v>
      </c>
      <c r="F1281" s="3" t="s">
        <v>25</v>
      </c>
      <c r="G1281" s="3" t="s">
        <v>25</v>
      </c>
      <c r="H1281" s="3" t="s">
        <v>36</v>
      </c>
      <c r="I1281" s="6">
        <v>44531</v>
      </c>
      <c r="J1281" s="4">
        <v>0</v>
      </c>
      <c r="K1281" s="4">
        <v>0</v>
      </c>
      <c r="L1281" s="4">
        <v>22.876999999999999</v>
      </c>
      <c r="M1281" s="4">
        <v>21.504380000000001</v>
      </c>
      <c r="N1281" s="4">
        <v>22.876999999999999</v>
      </c>
      <c r="O1281" s="4">
        <v>21.504380000000001</v>
      </c>
      <c r="P1281" s="4">
        <v>0</v>
      </c>
      <c r="Q1281" s="3" t="s">
        <v>26</v>
      </c>
      <c r="R1281" s="3">
        <v>0</v>
      </c>
      <c r="S1281" s="3" t="s">
        <v>295</v>
      </c>
      <c r="T1281" s="3" t="s">
        <v>544</v>
      </c>
      <c r="U1281" s="3">
        <v>0</v>
      </c>
      <c r="V1281" s="3">
        <v>29</v>
      </c>
      <c r="W1281" s="3">
        <v>73</v>
      </c>
    </row>
    <row r="1282" spans="1:23" ht="11.25" customHeight="1" x14ac:dyDescent="0.25">
      <c r="A1282" s="3" t="s">
        <v>21</v>
      </c>
      <c r="B1282" s="3" t="s">
        <v>33</v>
      </c>
      <c r="C1282" s="3" t="s">
        <v>34</v>
      </c>
      <c r="D1282" s="3" t="s">
        <v>50</v>
      </c>
      <c r="E1282" s="3" t="s">
        <v>51</v>
      </c>
      <c r="F1282" s="3" t="s">
        <v>25</v>
      </c>
      <c r="G1282" s="3" t="s">
        <v>25</v>
      </c>
      <c r="H1282" s="3" t="s">
        <v>36</v>
      </c>
      <c r="I1282" s="6">
        <v>44562</v>
      </c>
      <c r="J1282" s="4">
        <v>0</v>
      </c>
      <c r="K1282" s="4">
        <v>0</v>
      </c>
      <c r="L1282" s="4">
        <v>4503.6189999999997</v>
      </c>
      <c r="M1282" s="4">
        <v>4233.4018599999999</v>
      </c>
      <c r="N1282" s="4">
        <v>4503.6189999999997</v>
      </c>
      <c r="O1282" s="4">
        <v>4233.4018599999999</v>
      </c>
      <c r="P1282" s="4">
        <v>0</v>
      </c>
      <c r="Q1282" s="3" t="s">
        <v>26</v>
      </c>
      <c r="R1282" s="3">
        <v>0</v>
      </c>
      <c r="S1282" s="3" t="s">
        <v>296</v>
      </c>
      <c r="T1282" s="3" t="s">
        <v>545</v>
      </c>
      <c r="U1282" s="3">
        <v>0</v>
      </c>
      <c r="V1282" s="3">
        <v>29</v>
      </c>
      <c r="W1282" s="3">
        <v>73</v>
      </c>
    </row>
    <row r="1283" spans="1:23" ht="11.25" customHeight="1" x14ac:dyDescent="0.25">
      <c r="A1283" s="3" t="s">
        <v>28</v>
      </c>
      <c r="B1283" s="3" t="s">
        <v>33</v>
      </c>
      <c r="C1283" s="3" t="s">
        <v>34</v>
      </c>
      <c r="D1283" s="3" t="s">
        <v>50</v>
      </c>
      <c r="E1283" s="3" t="s">
        <v>51</v>
      </c>
      <c r="F1283" s="3" t="s">
        <v>25</v>
      </c>
      <c r="G1283" s="3" t="s">
        <v>25</v>
      </c>
      <c r="H1283" s="3" t="s">
        <v>36</v>
      </c>
      <c r="I1283" s="6">
        <v>44562</v>
      </c>
      <c r="J1283" s="4">
        <v>0</v>
      </c>
      <c r="K1283" s="4">
        <v>0</v>
      </c>
      <c r="L1283" s="4">
        <v>22.722000000000001</v>
      </c>
      <c r="M1283" s="4">
        <v>21.35868</v>
      </c>
      <c r="N1283" s="4">
        <v>22.722000000000001</v>
      </c>
      <c r="O1283" s="4">
        <v>21.35868</v>
      </c>
      <c r="P1283" s="4">
        <v>0</v>
      </c>
      <c r="Q1283" s="3" t="s">
        <v>26</v>
      </c>
      <c r="R1283" s="3">
        <v>0</v>
      </c>
      <c r="S1283" s="3" t="s">
        <v>296</v>
      </c>
      <c r="T1283" s="3" t="s">
        <v>545</v>
      </c>
      <c r="U1283" s="3">
        <v>0</v>
      </c>
      <c r="V1283" s="3">
        <v>29</v>
      </c>
      <c r="W1283" s="3">
        <v>73</v>
      </c>
    </row>
    <row r="1284" spans="1:23" ht="11.25" customHeight="1" x14ac:dyDescent="0.25">
      <c r="A1284" s="3" t="s">
        <v>21</v>
      </c>
      <c r="B1284" s="3" t="s">
        <v>33</v>
      </c>
      <c r="C1284" s="3" t="s">
        <v>34</v>
      </c>
      <c r="D1284" s="3" t="s">
        <v>50</v>
      </c>
      <c r="E1284" s="3" t="s">
        <v>51</v>
      </c>
      <c r="F1284" s="3" t="s">
        <v>25</v>
      </c>
      <c r="G1284" s="3" t="s">
        <v>25</v>
      </c>
      <c r="H1284" s="3" t="s">
        <v>36</v>
      </c>
      <c r="I1284" s="6">
        <v>44593</v>
      </c>
      <c r="J1284" s="4">
        <v>0</v>
      </c>
      <c r="K1284" s="4">
        <v>0</v>
      </c>
      <c r="L1284" s="4">
        <v>3935.6869999999999</v>
      </c>
      <c r="M1284" s="4">
        <v>3699.5457799999999</v>
      </c>
      <c r="N1284" s="4">
        <v>3935.6869999999999</v>
      </c>
      <c r="O1284" s="4">
        <v>3699.5457799999999</v>
      </c>
      <c r="P1284" s="4">
        <v>0</v>
      </c>
      <c r="Q1284" s="3" t="s">
        <v>26</v>
      </c>
      <c r="R1284" s="3">
        <v>0</v>
      </c>
      <c r="S1284" s="3" t="s">
        <v>297</v>
      </c>
      <c r="T1284" s="3" t="s">
        <v>546</v>
      </c>
      <c r="U1284" s="3">
        <v>0</v>
      </c>
      <c r="V1284" s="3">
        <v>29</v>
      </c>
      <c r="W1284" s="3">
        <v>73</v>
      </c>
    </row>
    <row r="1285" spans="1:23" ht="11.25" customHeight="1" x14ac:dyDescent="0.25">
      <c r="A1285" s="3" t="s">
        <v>28</v>
      </c>
      <c r="B1285" s="3" t="s">
        <v>33</v>
      </c>
      <c r="C1285" s="3" t="s">
        <v>34</v>
      </c>
      <c r="D1285" s="3" t="s">
        <v>50</v>
      </c>
      <c r="E1285" s="3" t="s">
        <v>51</v>
      </c>
      <c r="F1285" s="3" t="s">
        <v>25</v>
      </c>
      <c r="G1285" s="3" t="s">
        <v>25</v>
      </c>
      <c r="H1285" s="3" t="s">
        <v>36</v>
      </c>
      <c r="I1285" s="6">
        <v>44593</v>
      </c>
      <c r="J1285" s="4">
        <v>0</v>
      </c>
      <c r="K1285" s="4">
        <v>0</v>
      </c>
      <c r="L1285" s="4">
        <v>12.218</v>
      </c>
      <c r="M1285" s="4">
        <v>11.484920000000001</v>
      </c>
      <c r="N1285" s="4">
        <v>12.218</v>
      </c>
      <c r="O1285" s="4">
        <v>11.484920000000001</v>
      </c>
      <c r="P1285" s="4">
        <v>0</v>
      </c>
      <c r="Q1285" s="3" t="s">
        <v>26</v>
      </c>
      <c r="R1285" s="3">
        <v>0</v>
      </c>
      <c r="S1285" s="3" t="s">
        <v>297</v>
      </c>
      <c r="T1285" s="3" t="s">
        <v>546</v>
      </c>
      <c r="U1285" s="3">
        <v>0</v>
      </c>
      <c r="V1285" s="3">
        <v>29</v>
      </c>
      <c r="W1285" s="3">
        <v>73</v>
      </c>
    </row>
    <row r="1286" spans="1:23" ht="11.25" customHeight="1" x14ac:dyDescent="0.25">
      <c r="A1286" s="3" t="s">
        <v>21</v>
      </c>
      <c r="B1286" s="3" t="s">
        <v>33</v>
      </c>
      <c r="C1286" s="3" t="s">
        <v>34</v>
      </c>
      <c r="D1286" s="3" t="s">
        <v>50</v>
      </c>
      <c r="E1286" s="3" t="s">
        <v>51</v>
      </c>
      <c r="F1286" s="3" t="s">
        <v>25</v>
      </c>
      <c r="G1286" s="3" t="s">
        <v>25</v>
      </c>
      <c r="H1286" s="3" t="s">
        <v>36</v>
      </c>
      <c r="I1286" s="6">
        <v>44621</v>
      </c>
      <c r="J1286" s="4">
        <v>0</v>
      </c>
      <c r="K1286" s="4">
        <v>0</v>
      </c>
      <c r="L1286" s="4">
        <v>4499.54</v>
      </c>
      <c r="M1286" s="4">
        <v>4229.5676000000003</v>
      </c>
      <c r="N1286" s="4">
        <v>4499.54</v>
      </c>
      <c r="O1286" s="4">
        <v>4229.5676000000003</v>
      </c>
      <c r="P1286" s="4">
        <v>0</v>
      </c>
      <c r="Q1286" s="3" t="s">
        <v>26</v>
      </c>
      <c r="R1286" s="3">
        <v>0</v>
      </c>
      <c r="S1286" s="3" t="s">
        <v>298</v>
      </c>
      <c r="T1286" s="3" t="s">
        <v>547</v>
      </c>
      <c r="U1286" s="3">
        <v>0</v>
      </c>
      <c r="V1286" s="3">
        <v>29</v>
      </c>
      <c r="W1286" s="3">
        <v>73</v>
      </c>
    </row>
    <row r="1287" spans="1:23" ht="11.25" customHeight="1" x14ac:dyDescent="0.25">
      <c r="A1287" s="3" t="s">
        <v>28</v>
      </c>
      <c r="B1287" s="3" t="s">
        <v>33</v>
      </c>
      <c r="C1287" s="3" t="s">
        <v>34</v>
      </c>
      <c r="D1287" s="3" t="s">
        <v>50</v>
      </c>
      <c r="E1287" s="3" t="s">
        <v>51</v>
      </c>
      <c r="F1287" s="3" t="s">
        <v>25</v>
      </c>
      <c r="G1287" s="3" t="s">
        <v>25</v>
      </c>
      <c r="H1287" s="3" t="s">
        <v>36</v>
      </c>
      <c r="I1287" s="6">
        <v>44621</v>
      </c>
      <c r="J1287" s="4">
        <v>0</v>
      </c>
      <c r="K1287" s="4">
        <v>0</v>
      </c>
      <c r="L1287" s="4">
        <v>23.904</v>
      </c>
      <c r="M1287" s="4">
        <v>22.469760000000001</v>
      </c>
      <c r="N1287" s="4">
        <v>23.904</v>
      </c>
      <c r="O1287" s="4">
        <v>22.469760000000001</v>
      </c>
      <c r="P1287" s="4">
        <v>0</v>
      </c>
      <c r="Q1287" s="3" t="s">
        <v>26</v>
      </c>
      <c r="R1287" s="3">
        <v>0</v>
      </c>
      <c r="S1287" s="3" t="s">
        <v>298</v>
      </c>
      <c r="T1287" s="3" t="s">
        <v>547</v>
      </c>
      <c r="U1287" s="3">
        <v>0</v>
      </c>
      <c r="V1287" s="3">
        <v>29</v>
      </c>
      <c r="W1287" s="3">
        <v>73</v>
      </c>
    </row>
    <row r="1288" spans="1:23" ht="11.25" customHeight="1" x14ac:dyDescent="0.25">
      <c r="A1288" s="3" t="s">
        <v>56</v>
      </c>
      <c r="B1288" s="3" t="s">
        <v>33</v>
      </c>
      <c r="C1288" s="3" t="s">
        <v>34</v>
      </c>
      <c r="D1288" s="3" t="s">
        <v>50</v>
      </c>
      <c r="E1288" s="3" t="s">
        <v>51</v>
      </c>
      <c r="F1288" s="3" t="s">
        <v>25</v>
      </c>
      <c r="G1288" s="3" t="s">
        <v>25</v>
      </c>
      <c r="H1288" s="3" t="s">
        <v>36</v>
      </c>
      <c r="I1288" s="6">
        <v>44652</v>
      </c>
      <c r="J1288" s="4">
        <v>0</v>
      </c>
      <c r="K1288" s="4">
        <v>0</v>
      </c>
      <c r="L1288" s="4">
        <v>4499.54</v>
      </c>
      <c r="M1288" s="4">
        <v>4229.5676000000003</v>
      </c>
      <c r="N1288" s="4">
        <v>4499.54</v>
      </c>
      <c r="O1288" s="4">
        <v>4229.5676000000003</v>
      </c>
      <c r="P1288" s="4">
        <v>0</v>
      </c>
      <c r="Q1288" s="3" t="s">
        <v>26</v>
      </c>
      <c r="R1288" s="3">
        <v>0</v>
      </c>
      <c r="S1288" s="3" t="s">
        <v>299</v>
      </c>
      <c r="T1288" s="3" t="s">
        <v>548</v>
      </c>
      <c r="U1288" s="3">
        <v>0</v>
      </c>
      <c r="V1288" s="3">
        <v>29</v>
      </c>
      <c r="W1288" s="3">
        <v>73</v>
      </c>
    </row>
    <row r="1289" spans="1:23" ht="11.25" customHeight="1" x14ac:dyDescent="0.25">
      <c r="A1289" s="3" t="s">
        <v>56</v>
      </c>
      <c r="B1289" s="3" t="s">
        <v>33</v>
      </c>
      <c r="C1289" s="3" t="s">
        <v>34</v>
      </c>
      <c r="D1289" s="3" t="s">
        <v>50</v>
      </c>
      <c r="E1289" s="3" t="s">
        <v>51</v>
      </c>
      <c r="F1289" s="3" t="s">
        <v>25</v>
      </c>
      <c r="G1289" s="3" t="s">
        <v>25</v>
      </c>
      <c r="H1289" s="3" t="s">
        <v>36</v>
      </c>
      <c r="I1289" s="6">
        <v>44652</v>
      </c>
      <c r="J1289" s="4">
        <v>0</v>
      </c>
      <c r="K1289" s="4">
        <v>0</v>
      </c>
      <c r="L1289" s="4">
        <v>23.904</v>
      </c>
      <c r="M1289" s="4">
        <v>22.469760000000001</v>
      </c>
      <c r="N1289" s="4">
        <v>23.904</v>
      </c>
      <c r="O1289" s="4">
        <v>22.469760000000001</v>
      </c>
      <c r="P1289" s="4">
        <v>0</v>
      </c>
      <c r="Q1289" s="3" t="s">
        <v>26</v>
      </c>
      <c r="R1289" s="3">
        <v>0</v>
      </c>
      <c r="S1289" s="3" t="s">
        <v>299</v>
      </c>
      <c r="T1289" s="3" t="s">
        <v>548</v>
      </c>
      <c r="U1289" s="3">
        <v>0</v>
      </c>
      <c r="V1289" s="3">
        <v>29</v>
      </c>
      <c r="W1289" s="3">
        <v>73</v>
      </c>
    </row>
    <row r="1290" spans="1:23" ht="11.25" customHeight="1" x14ac:dyDescent="0.25">
      <c r="A1290" s="3" t="s">
        <v>21</v>
      </c>
      <c r="B1290" s="3" t="s">
        <v>33</v>
      </c>
      <c r="C1290" s="3" t="s">
        <v>34</v>
      </c>
      <c r="D1290" s="3" t="s">
        <v>50</v>
      </c>
      <c r="E1290" s="3" t="s">
        <v>51</v>
      </c>
      <c r="F1290" s="3" t="s">
        <v>25</v>
      </c>
      <c r="G1290" s="3" t="s">
        <v>25</v>
      </c>
      <c r="H1290" s="3" t="s">
        <v>25</v>
      </c>
      <c r="I1290" s="6">
        <v>44317</v>
      </c>
      <c r="J1290" s="4">
        <v>13518</v>
      </c>
      <c r="K1290" s="4">
        <v>12706.92</v>
      </c>
      <c r="L1290" s="4">
        <v>0</v>
      </c>
      <c r="M1290" s="4">
        <v>0</v>
      </c>
      <c r="N1290" s="4">
        <v>0</v>
      </c>
      <c r="O1290" s="4">
        <v>0</v>
      </c>
      <c r="P1290" s="4">
        <v>220</v>
      </c>
      <c r="Q1290" s="3" t="s">
        <v>26</v>
      </c>
      <c r="R1290" s="3">
        <v>0</v>
      </c>
      <c r="S1290" s="3" t="s">
        <v>300</v>
      </c>
      <c r="U1290" s="3">
        <v>7</v>
      </c>
      <c r="V1290" s="3">
        <v>0</v>
      </c>
      <c r="W1290" s="3">
        <v>0</v>
      </c>
    </row>
    <row r="1291" spans="1:23" ht="11.25" customHeight="1" x14ac:dyDescent="0.25">
      <c r="A1291" s="3" t="s">
        <v>21</v>
      </c>
      <c r="B1291" s="3" t="s">
        <v>33</v>
      </c>
      <c r="C1291" s="3" t="s">
        <v>34</v>
      </c>
      <c r="D1291" s="3" t="s">
        <v>50</v>
      </c>
      <c r="E1291" s="3" t="s">
        <v>51</v>
      </c>
      <c r="F1291" s="3" t="s">
        <v>25</v>
      </c>
      <c r="G1291" s="3" t="s">
        <v>25</v>
      </c>
      <c r="H1291" s="3" t="s">
        <v>25</v>
      </c>
      <c r="I1291" s="6">
        <v>44348</v>
      </c>
      <c r="J1291" s="4">
        <v>13284</v>
      </c>
      <c r="K1291" s="4">
        <v>12486.96</v>
      </c>
      <c r="L1291" s="4">
        <v>0</v>
      </c>
      <c r="M1291" s="4">
        <v>0</v>
      </c>
      <c r="N1291" s="4">
        <v>0</v>
      </c>
      <c r="O1291" s="4">
        <v>0</v>
      </c>
      <c r="P1291" s="4">
        <v>216</v>
      </c>
      <c r="Q1291" s="3" t="s">
        <v>26</v>
      </c>
      <c r="R1291" s="3">
        <v>0</v>
      </c>
      <c r="S1291" s="3" t="s">
        <v>301</v>
      </c>
      <c r="U1291" s="3">
        <v>7</v>
      </c>
      <c r="V1291" s="3">
        <v>0</v>
      </c>
      <c r="W1291" s="3">
        <v>0</v>
      </c>
    </row>
    <row r="1292" spans="1:23" ht="11.25" customHeight="1" x14ac:dyDescent="0.25">
      <c r="A1292" s="3" t="s">
        <v>28</v>
      </c>
      <c r="B1292" s="3" t="s">
        <v>33</v>
      </c>
      <c r="C1292" s="3" t="s">
        <v>34</v>
      </c>
      <c r="D1292" s="3" t="s">
        <v>50</v>
      </c>
      <c r="E1292" s="3" t="s">
        <v>51</v>
      </c>
      <c r="F1292" s="3" t="s">
        <v>25</v>
      </c>
      <c r="G1292" s="3" t="s">
        <v>25</v>
      </c>
      <c r="H1292" s="3" t="s">
        <v>25</v>
      </c>
      <c r="I1292" s="6">
        <v>44348</v>
      </c>
      <c r="J1292" s="4">
        <v>50</v>
      </c>
      <c r="K1292" s="4">
        <v>47</v>
      </c>
      <c r="L1292" s="4">
        <v>0</v>
      </c>
      <c r="M1292" s="4">
        <v>0</v>
      </c>
      <c r="N1292" s="4">
        <v>0</v>
      </c>
      <c r="O1292" s="4">
        <v>0</v>
      </c>
      <c r="P1292" s="4">
        <v>1</v>
      </c>
      <c r="Q1292" s="3" t="s">
        <v>26</v>
      </c>
      <c r="R1292" s="3">
        <v>0</v>
      </c>
      <c r="S1292" s="3" t="s">
        <v>301</v>
      </c>
      <c r="U1292" s="3">
        <v>7</v>
      </c>
      <c r="V1292" s="3">
        <v>0</v>
      </c>
      <c r="W1292" s="3">
        <v>0</v>
      </c>
    </row>
    <row r="1293" spans="1:23" ht="11.25" customHeight="1" x14ac:dyDescent="0.25">
      <c r="A1293" s="3" t="s">
        <v>21</v>
      </c>
      <c r="B1293" s="3" t="s">
        <v>33</v>
      </c>
      <c r="C1293" s="3" t="s">
        <v>34</v>
      </c>
      <c r="D1293" s="3" t="s">
        <v>50</v>
      </c>
      <c r="E1293" s="3" t="s">
        <v>51</v>
      </c>
      <c r="F1293" s="3" t="s">
        <v>25</v>
      </c>
      <c r="G1293" s="3" t="s">
        <v>25</v>
      </c>
      <c r="H1293" s="3" t="s">
        <v>25</v>
      </c>
      <c r="I1293" s="6">
        <v>44378</v>
      </c>
      <c r="J1293" s="4">
        <v>13127</v>
      </c>
      <c r="K1293" s="4">
        <v>12339.38</v>
      </c>
      <c r="L1293" s="4">
        <v>0</v>
      </c>
      <c r="M1293" s="4">
        <v>0</v>
      </c>
      <c r="N1293" s="4">
        <v>0</v>
      </c>
      <c r="O1293" s="4">
        <v>0</v>
      </c>
      <c r="P1293" s="4">
        <v>215</v>
      </c>
      <c r="Q1293" s="3" t="s">
        <v>26</v>
      </c>
      <c r="R1293" s="3">
        <v>0</v>
      </c>
      <c r="S1293" s="3" t="s">
        <v>302</v>
      </c>
      <c r="U1293" s="3">
        <v>7</v>
      </c>
      <c r="V1293" s="3">
        <v>0</v>
      </c>
      <c r="W1293" s="3">
        <v>0</v>
      </c>
    </row>
    <row r="1294" spans="1:23" ht="11.25" customHeight="1" x14ac:dyDescent="0.25">
      <c r="A1294" s="3" t="s">
        <v>28</v>
      </c>
      <c r="B1294" s="3" t="s">
        <v>33</v>
      </c>
      <c r="C1294" s="3" t="s">
        <v>34</v>
      </c>
      <c r="D1294" s="3" t="s">
        <v>50</v>
      </c>
      <c r="E1294" s="3" t="s">
        <v>51</v>
      </c>
      <c r="F1294" s="3" t="s">
        <v>25</v>
      </c>
      <c r="G1294" s="3" t="s">
        <v>25</v>
      </c>
      <c r="H1294" s="3" t="s">
        <v>25</v>
      </c>
      <c r="I1294" s="6">
        <v>44378</v>
      </c>
      <c r="J1294" s="4">
        <v>59</v>
      </c>
      <c r="K1294" s="4">
        <v>55.46</v>
      </c>
      <c r="L1294" s="4">
        <v>0</v>
      </c>
      <c r="M1294" s="4">
        <v>0</v>
      </c>
      <c r="N1294" s="4">
        <v>0</v>
      </c>
      <c r="O1294" s="4">
        <v>0</v>
      </c>
      <c r="P1294" s="4">
        <v>1</v>
      </c>
      <c r="Q1294" s="3" t="s">
        <v>26</v>
      </c>
      <c r="R1294" s="3">
        <v>0</v>
      </c>
      <c r="S1294" s="3" t="s">
        <v>302</v>
      </c>
      <c r="U1294" s="3">
        <v>7</v>
      </c>
      <c r="V1294" s="3">
        <v>0</v>
      </c>
      <c r="W1294" s="3">
        <v>0</v>
      </c>
    </row>
    <row r="1295" spans="1:23" ht="11.25" customHeight="1" x14ac:dyDescent="0.25">
      <c r="A1295" s="3" t="s">
        <v>21</v>
      </c>
      <c r="B1295" s="3" t="s">
        <v>33</v>
      </c>
      <c r="C1295" s="3" t="s">
        <v>34</v>
      </c>
      <c r="D1295" s="3" t="s">
        <v>50</v>
      </c>
      <c r="E1295" s="3" t="s">
        <v>51</v>
      </c>
      <c r="F1295" s="3" t="s">
        <v>25</v>
      </c>
      <c r="G1295" s="3" t="s">
        <v>25</v>
      </c>
      <c r="H1295" s="3" t="s">
        <v>25</v>
      </c>
      <c r="I1295" s="6">
        <v>44409</v>
      </c>
      <c r="J1295" s="4">
        <v>13536</v>
      </c>
      <c r="K1295" s="4">
        <v>12723.84</v>
      </c>
      <c r="L1295" s="4">
        <v>0</v>
      </c>
      <c r="M1295" s="4">
        <v>0</v>
      </c>
      <c r="N1295" s="4">
        <v>0</v>
      </c>
      <c r="O1295" s="4">
        <v>0</v>
      </c>
      <c r="P1295" s="4">
        <v>215</v>
      </c>
      <c r="Q1295" s="3" t="s">
        <v>26</v>
      </c>
      <c r="R1295" s="3">
        <v>0</v>
      </c>
      <c r="S1295" s="3" t="s">
        <v>303</v>
      </c>
      <c r="U1295" s="3">
        <v>7</v>
      </c>
      <c r="V1295" s="3">
        <v>0</v>
      </c>
      <c r="W1295" s="3">
        <v>0</v>
      </c>
    </row>
    <row r="1296" spans="1:23" ht="11.25" customHeight="1" x14ac:dyDescent="0.25">
      <c r="A1296" s="3" t="s">
        <v>28</v>
      </c>
      <c r="B1296" s="3" t="s">
        <v>33</v>
      </c>
      <c r="C1296" s="3" t="s">
        <v>34</v>
      </c>
      <c r="D1296" s="3" t="s">
        <v>50</v>
      </c>
      <c r="E1296" s="3" t="s">
        <v>51</v>
      </c>
      <c r="F1296" s="3" t="s">
        <v>25</v>
      </c>
      <c r="G1296" s="3" t="s">
        <v>25</v>
      </c>
      <c r="H1296" s="3" t="s">
        <v>25</v>
      </c>
      <c r="I1296" s="6">
        <v>44409</v>
      </c>
      <c r="J1296" s="4">
        <v>57</v>
      </c>
      <c r="K1296" s="4">
        <v>53.58</v>
      </c>
      <c r="L1296" s="4">
        <v>0</v>
      </c>
      <c r="M1296" s="4">
        <v>0</v>
      </c>
      <c r="N1296" s="4">
        <v>0</v>
      </c>
      <c r="O1296" s="4">
        <v>0</v>
      </c>
      <c r="P1296" s="4">
        <v>1</v>
      </c>
      <c r="Q1296" s="3" t="s">
        <v>26</v>
      </c>
      <c r="R1296" s="3">
        <v>0</v>
      </c>
      <c r="S1296" s="3" t="s">
        <v>303</v>
      </c>
      <c r="U1296" s="3">
        <v>7</v>
      </c>
      <c r="V1296" s="3">
        <v>0</v>
      </c>
      <c r="W1296" s="3">
        <v>0</v>
      </c>
    </row>
    <row r="1297" spans="1:23" ht="11.25" customHeight="1" x14ac:dyDescent="0.25">
      <c r="A1297" s="3" t="s">
        <v>21</v>
      </c>
      <c r="B1297" s="3" t="s">
        <v>33</v>
      </c>
      <c r="C1297" s="3" t="s">
        <v>34</v>
      </c>
      <c r="D1297" s="3" t="s">
        <v>50</v>
      </c>
      <c r="E1297" s="3" t="s">
        <v>51</v>
      </c>
      <c r="F1297" s="3" t="s">
        <v>25</v>
      </c>
      <c r="G1297" s="3" t="s">
        <v>25</v>
      </c>
      <c r="H1297" s="3" t="s">
        <v>25</v>
      </c>
      <c r="I1297" s="6">
        <v>44440</v>
      </c>
      <c r="J1297" s="4">
        <v>13015</v>
      </c>
      <c r="K1297" s="4">
        <v>12234.1</v>
      </c>
      <c r="L1297" s="4">
        <v>0</v>
      </c>
      <c r="M1297" s="4">
        <v>0</v>
      </c>
      <c r="N1297" s="4">
        <v>0</v>
      </c>
      <c r="O1297" s="4">
        <v>0</v>
      </c>
      <c r="P1297" s="4">
        <v>217</v>
      </c>
      <c r="Q1297" s="3" t="s">
        <v>26</v>
      </c>
      <c r="R1297" s="3">
        <v>0</v>
      </c>
      <c r="S1297" s="3" t="s">
        <v>304</v>
      </c>
      <c r="U1297" s="3">
        <v>7</v>
      </c>
      <c r="V1297" s="3">
        <v>0</v>
      </c>
      <c r="W1297" s="3">
        <v>0</v>
      </c>
    </row>
    <row r="1298" spans="1:23" ht="11.25" customHeight="1" x14ac:dyDescent="0.25">
      <c r="A1298" s="3" t="s">
        <v>28</v>
      </c>
      <c r="B1298" s="3" t="s">
        <v>33</v>
      </c>
      <c r="C1298" s="3" t="s">
        <v>34</v>
      </c>
      <c r="D1298" s="3" t="s">
        <v>50</v>
      </c>
      <c r="E1298" s="3" t="s">
        <v>51</v>
      </c>
      <c r="F1298" s="3" t="s">
        <v>25</v>
      </c>
      <c r="G1298" s="3" t="s">
        <v>25</v>
      </c>
      <c r="H1298" s="3" t="s">
        <v>25</v>
      </c>
      <c r="I1298" s="6">
        <v>44440</v>
      </c>
      <c r="J1298" s="4">
        <v>65</v>
      </c>
      <c r="K1298" s="4">
        <v>61.1</v>
      </c>
      <c r="L1298" s="4">
        <v>0</v>
      </c>
      <c r="M1298" s="4">
        <v>0</v>
      </c>
      <c r="N1298" s="4">
        <v>0</v>
      </c>
      <c r="O1298" s="4">
        <v>0</v>
      </c>
      <c r="P1298" s="4">
        <v>1</v>
      </c>
      <c r="Q1298" s="3" t="s">
        <v>26</v>
      </c>
      <c r="R1298" s="3">
        <v>0</v>
      </c>
      <c r="S1298" s="3" t="s">
        <v>304</v>
      </c>
      <c r="U1298" s="3">
        <v>7</v>
      </c>
      <c r="V1298" s="3">
        <v>0</v>
      </c>
      <c r="W1298" s="3">
        <v>0</v>
      </c>
    </row>
    <row r="1299" spans="1:23" ht="11.25" customHeight="1" x14ac:dyDescent="0.25">
      <c r="A1299" s="3" t="s">
        <v>21</v>
      </c>
      <c r="B1299" s="3" t="s">
        <v>33</v>
      </c>
      <c r="C1299" s="3" t="s">
        <v>34</v>
      </c>
      <c r="D1299" s="3" t="s">
        <v>50</v>
      </c>
      <c r="E1299" s="3" t="s">
        <v>51</v>
      </c>
      <c r="F1299" s="3" t="s">
        <v>25</v>
      </c>
      <c r="G1299" s="3" t="s">
        <v>25</v>
      </c>
      <c r="H1299" s="3" t="s">
        <v>25</v>
      </c>
      <c r="I1299" s="6">
        <v>44470</v>
      </c>
      <c r="J1299" s="4">
        <v>14089</v>
      </c>
      <c r="K1299" s="4">
        <v>13243.66</v>
      </c>
      <c r="L1299" s="4">
        <v>0</v>
      </c>
      <c r="M1299" s="4">
        <v>0</v>
      </c>
      <c r="N1299" s="4">
        <v>0</v>
      </c>
      <c r="O1299" s="4">
        <v>0</v>
      </c>
      <c r="P1299" s="4">
        <v>206</v>
      </c>
      <c r="Q1299" s="3" t="s">
        <v>26</v>
      </c>
      <c r="R1299" s="3">
        <v>0</v>
      </c>
      <c r="S1299" s="3" t="s">
        <v>305</v>
      </c>
      <c r="U1299" s="3">
        <v>7</v>
      </c>
      <c r="V1299" s="3">
        <v>0</v>
      </c>
      <c r="W1299" s="3">
        <v>0</v>
      </c>
    </row>
    <row r="1300" spans="1:23" ht="11.25" customHeight="1" x14ac:dyDescent="0.25">
      <c r="A1300" s="3" t="s">
        <v>28</v>
      </c>
      <c r="B1300" s="3" t="s">
        <v>33</v>
      </c>
      <c r="C1300" s="3" t="s">
        <v>34</v>
      </c>
      <c r="D1300" s="3" t="s">
        <v>50</v>
      </c>
      <c r="E1300" s="3" t="s">
        <v>51</v>
      </c>
      <c r="F1300" s="3" t="s">
        <v>25</v>
      </c>
      <c r="G1300" s="3" t="s">
        <v>25</v>
      </c>
      <c r="H1300" s="3" t="s">
        <v>25</v>
      </c>
      <c r="I1300" s="6">
        <v>44470</v>
      </c>
      <c r="J1300" s="4">
        <v>61</v>
      </c>
      <c r="K1300" s="4">
        <v>57.34</v>
      </c>
      <c r="L1300" s="4">
        <v>0</v>
      </c>
      <c r="M1300" s="4">
        <v>0</v>
      </c>
      <c r="N1300" s="4">
        <v>0</v>
      </c>
      <c r="O1300" s="4">
        <v>0</v>
      </c>
      <c r="P1300" s="4">
        <v>1</v>
      </c>
      <c r="Q1300" s="3" t="s">
        <v>26</v>
      </c>
      <c r="R1300" s="3">
        <v>0</v>
      </c>
      <c r="S1300" s="3" t="s">
        <v>305</v>
      </c>
      <c r="U1300" s="3">
        <v>7</v>
      </c>
      <c r="V1300" s="3">
        <v>0</v>
      </c>
      <c r="W1300" s="3">
        <v>0</v>
      </c>
    </row>
    <row r="1301" spans="1:23" ht="11.25" customHeight="1" x14ac:dyDescent="0.25">
      <c r="A1301" s="3" t="s">
        <v>21</v>
      </c>
      <c r="B1301" s="3" t="s">
        <v>33</v>
      </c>
      <c r="C1301" s="3" t="s">
        <v>34</v>
      </c>
      <c r="D1301" s="3" t="s">
        <v>50</v>
      </c>
      <c r="E1301" s="3" t="s">
        <v>51</v>
      </c>
      <c r="F1301" s="3" t="s">
        <v>25</v>
      </c>
      <c r="G1301" s="3" t="s">
        <v>25</v>
      </c>
      <c r="H1301" s="3" t="s">
        <v>25</v>
      </c>
      <c r="I1301" s="6">
        <v>44501</v>
      </c>
      <c r="J1301" s="4">
        <v>14911</v>
      </c>
      <c r="K1301" s="4">
        <v>14016.34</v>
      </c>
      <c r="L1301" s="4">
        <v>0</v>
      </c>
      <c r="M1301" s="4">
        <v>0</v>
      </c>
      <c r="N1301" s="4">
        <v>0</v>
      </c>
      <c r="O1301" s="4">
        <v>0</v>
      </c>
      <c r="P1301" s="4">
        <v>207</v>
      </c>
      <c r="Q1301" s="3" t="s">
        <v>26</v>
      </c>
      <c r="R1301" s="3">
        <v>0</v>
      </c>
      <c r="S1301" s="3" t="s">
        <v>306</v>
      </c>
      <c r="U1301" s="3">
        <v>7</v>
      </c>
      <c r="V1301" s="3">
        <v>0</v>
      </c>
      <c r="W1301" s="3">
        <v>0</v>
      </c>
    </row>
    <row r="1302" spans="1:23" ht="11.25" customHeight="1" x14ac:dyDescent="0.25">
      <c r="A1302" s="3" t="s">
        <v>27</v>
      </c>
      <c r="B1302" s="3" t="s">
        <v>33</v>
      </c>
      <c r="C1302" s="3" t="s">
        <v>34</v>
      </c>
      <c r="D1302" s="3" t="s">
        <v>50</v>
      </c>
      <c r="E1302" s="3" t="s">
        <v>51</v>
      </c>
      <c r="F1302" s="3" t="s">
        <v>25</v>
      </c>
      <c r="G1302" s="3" t="s">
        <v>25</v>
      </c>
      <c r="H1302" s="3" t="s">
        <v>25</v>
      </c>
      <c r="I1302" s="6">
        <v>44501</v>
      </c>
      <c r="J1302" s="4">
        <v>91</v>
      </c>
      <c r="K1302" s="4">
        <v>85.54</v>
      </c>
      <c r="L1302" s="4">
        <v>0</v>
      </c>
      <c r="M1302" s="4">
        <v>0</v>
      </c>
      <c r="N1302" s="4">
        <v>0</v>
      </c>
      <c r="O1302" s="4">
        <v>0</v>
      </c>
      <c r="P1302" s="4">
        <v>1</v>
      </c>
      <c r="Q1302" s="3" t="s">
        <v>26</v>
      </c>
      <c r="R1302" s="3">
        <v>0</v>
      </c>
      <c r="S1302" s="3" t="s">
        <v>306</v>
      </c>
      <c r="U1302" s="3">
        <v>7</v>
      </c>
      <c r="V1302" s="3">
        <v>0</v>
      </c>
      <c r="W1302" s="3">
        <v>0</v>
      </c>
    </row>
    <row r="1303" spans="1:23" ht="11.25" customHeight="1" x14ac:dyDescent="0.25">
      <c r="A1303" s="3" t="s">
        <v>28</v>
      </c>
      <c r="B1303" s="3" t="s">
        <v>33</v>
      </c>
      <c r="C1303" s="3" t="s">
        <v>34</v>
      </c>
      <c r="D1303" s="3" t="s">
        <v>50</v>
      </c>
      <c r="E1303" s="3" t="s">
        <v>51</v>
      </c>
      <c r="F1303" s="3" t="s">
        <v>25</v>
      </c>
      <c r="G1303" s="3" t="s">
        <v>25</v>
      </c>
      <c r="H1303" s="3" t="s">
        <v>25</v>
      </c>
      <c r="I1303" s="6">
        <v>44501</v>
      </c>
      <c r="J1303" s="4">
        <v>60</v>
      </c>
      <c r="K1303" s="4">
        <v>56.4</v>
      </c>
      <c r="L1303" s="4">
        <v>0</v>
      </c>
      <c r="M1303" s="4">
        <v>0</v>
      </c>
      <c r="N1303" s="4">
        <v>0</v>
      </c>
      <c r="O1303" s="4">
        <v>0</v>
      </c>
      <c r="P1303" s="4">
        <v>1</v>
      </c>
      <c r="Q1303" s="3" t="s">
        <v>26</v>
      </c>
      <c r="R1303" s="3">
        <v>0</v>
      </c>
      <c r="S1303" s="3" t="s">
        <v>306</v>
      </c>
      <c r="U1303" s="3">
        <v>7</v>
      </c>
      <c r="V1303" s="3">
        <v>0</v>
      </c>
      <c r="W1303" s="3">
        <v>0</v>
      </c>
    </row>
    <row r="1304" spans="1:23" ht="11.25" customHeight="1" x14ac:dyDescent="0.25">
      <c r="A1304" s="3" t="s">
        <v>21</v>
      </c>
      <c r="B1304" s="3" t="s">
        <v>33</v>
      </c>
      <c r="C1304" s="3" t="s">
        <v>34</v>
      </c>
      <c r="D1304" s="3" t="s">
        <v>50</v>
      </c>
      <c r="E1304" s="3" t="s">
        <v>51</v>
      </c>
      <c r="F1304" s="3" t="s">
        <v>25</v>
      </c>
      <c r="G1304" s="3" t="s">
        <v>25</v>
      </c>
      <c r="H1304" s="3" t="s">
        <v>25</v>
      </c>
      <c r="I1304" s="6">
        <v>44531</v>
      </c>
      <c r="J1304" s="4">
        <v>15382</v>
      </c>
      <c r="K1304" s="4">
        <v>14459.08</v>
      </c>
      <c r="L1304" s="4">
        <v>0</v>
      </c>
      <c r="M1304" s="4">
        <v>0</v>
      </c>
      <c r="N1304" s="4">
        <v>0</v>
      </c>
      <c r="O1304" s="4">
        <v>0</v>
      </c>
      <c r="P1304" s="4">
        <v>207</v>
      </c>
      <c r="Q1304" s="3" t="s">
        <v>26</v>
      </c>
      <c r="R1304" s="3">
        <v>0</v>
      </c>
      <c r="S1304" s="3" t="s">
        <v>307</v>
      </c>
      <c r="U1304" s="3">
        <v>7</v>
      </c>
      <c r="V1304" s="3">
        <v>0</v>
      </c>
      <c r="W1304" s="3">
        <v>0</v>
      </c>
    </row>
    <row r="1305" spans="1:23" ht="11.25" customHeight="1" x14ac:dyDescent="0.25">
      <c r="A1305" s="3" t="s">
        <v>27</v>
      </c>
      <c r="B1305" s="3" t="s">
        <v>33</v>
      </c>
      <c r="C1305" s="3" t="s">
        <v>34</v>
      </c>
      <c r="D1305" s="3" t="s">
        <v>50</v>
      </c>
      <c r="E1305" s="3" t="s">
        <v>51</v>
      </c>
      <c r="F1305" s="3" t="s">
        <v>25</v>
      </c>
      <c r="G1305" s="3" t="s">
        <v>25</v>
      </c>
      <c r="H1305" s="3" t="s">
        <v>25</v>
      </c>
      <c r="I1305" s="6">
        <v>44531</v>
      </c>
      <c r="J1305" s="4">
        <v>70</v>
      </c>
      <c r="K1305" s="4">
        <v>65.8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3" t="s">
        <v>26</v>
      </c>
      <c r="R1305" s="3">
        <v>0</v>
      </c>
      <c r="S1305" s="3" t="s">
        <v>307</v>
      </c>
      <c r="U1305" s="3">
        <v>7</v>
      </c>
      <c r="V1305" s="3">
        <v>0</v>
      </c>
      <c r="W1305" s="3">
        <v>0</v>
      </c>
    </row>
    <row r="1306" spans="1:23" ht="11.25" customHeight="1" x14ac:dyDescent="0.25">
      <c r="A1306" s="3" t="s">
        <v>28</v>
      </c>
      <c r="B1306" s="3" t="s">
        <v>33</v>
      </c>
      <c r="C1306" s="3" t="s">
        <v>34</v>
      </c>
      <c r="D1306" s="3" t="s">
        <v>50</v>
      </c>
      <c r="E1306" s="3" t="s">
        <v>51</v>
      </c>
      <c r="F1306" s="3" t="s">
        <v>25</v>
      </c>
      <c r="G1306" s="3" t="s">
        <v>25</v>
      </c>
      <c r="H1306" s="3" t="s">
        <v>25</v>
      </c>
      <c r="I1306" s="6">
        <v>44531</v>
      </c>
      <c r="J1306" s="4">
        <v>60</v>
      </c>
      <c r="K1306" s="4">
        <v>56.4</v>
      </c>
      <c r="L1306" s="4">
        <v>0</v>
      </c>
      <c r="M1306" s="4">
        <v>0</v>
      </c>
      <c r="N1306" s="4">
        <v>0</v>
      </c>
      <c r="O1306" s="4">
        <v>0</v>
      </c>
      <c r="P1306" s="4">
        <v>1</v>
      </c>
      <c r="Q1306" s="3" t="s">
        <v>26</v>
      </c>
      <c r="R1306" s="3">
        <v>0</v>
      </c>
      <c r="S1306" s="3" t="s">
        <v>307</v>
      </c>
      <c r="U1306" s="3">
        <v>7</v>
      </c>
      <c r="V1306" s="3">
        <v>0</v>
      </c>
      <c r="W1306" s="3">
        <v>0</v>
      </c>
    </row>
    <row r="1307" spans="1:23" ht="11.25" customHeight="1" x14ac:dyDescent="0.25">
      <c r="A1307" s="3" t="s">
        <v>21</v>
      </c>
      <c r="B1307" s="3" t="s">
        <v>33</v>
      </c>
      <c r="C1307" s="3" t="s">
        <v>34</v>
      </c>
      <c r="D1307" s="3" t="s">
        <v>50</v>
      </c>
      <c r="E1307" s="3" t="s">
        <v>51</v>
      </c>
      <c r="F1307" s="3" t="s">
        <v>25</v>
      </c>
      <c r="G1307" s="3" t="s">
        <v>25</v>
      </c>
      <c r="H1307" s="3" t="s">
        <v>25</v>
      </c>
      <c r="I1307" s="6">
        <v>44562</v>
      </c>
      <c r="J1307" s="4">
        <v>15474</v>
      </c>
      <c r="K1307" s="4">
        <v>14545.56</v>
      </c>
      <c r="L1307" s="4">
        <v>0</v>
      </c>
      <c r="M1307" s="4">
        <v>0</v>
      </c>
      <c r="N1307" s="4">
        <v>0</v>
      </c>
      <c r="O1307" s="4">
        <v>0</v>
      </c>
      <c r="P1307" s="4">
        <v>207</v>
      </c>
      <c r="Q1307" s="3" t="s">
        <v>26</v>
      </c>
      <c r="R1307" s="3">
        <v>0</v>
      </c>
      <c r="S1307" s="3" t="s">
        <v>308</v>
      </c>
      <c r="U1307" s="3">
        <v>7</v>
      </c>
      <c r="V1307" s="3">
        <v>0</v>
      </c>
      <c r="W1307" s="3">
        <v>0</v>
      </c>
    </row>
    <row r="1308" spans="1:23" ht="11.25" customHeight="1" x14ac:dyDescent="0.25">
      <c r="A1308" s="3" t="s">
        <v>28</v>
      </c>
      <c r="B1308" s="3" t="s">
        <v>33</v>
      </c>
      <c r="C1308" s="3" t="s">
        <v>34</v>
      </c>
      <c r="D1308" s="3" t="s">
        <v>50</v>
      </c>
      <c r="E1308" s="3" t="s">
        <v>51</v>
      </c>
      <c r="F1308" s="3" t="s">
        <v>25</v>
      </c>
      <c r="G1308" s="3" t="s">
        <v>25</v>
      </c>
      <c r="H1308" s="3" t="s">
        <v>25</v>
      </c>
      <c r="I1308" s="6">
        <v>44562</v>
      </c>
      <c r="J1308" s="4">
        <v>57</v>
      </c>
      <c r="K1308" s="4">
        <v>53.58</v>
      </c>
      <c r="L1308" s="4">
        <v>0</v>
      </c>
      <c r="M1308" s="4">
        <v>0</v>
      </c>
      <c r="N1308" s="4">
        <v>0</v>
      </c>
      <c r="O1308" s="4">
        <v>0</v>
      </c>
      <c r="P1308" s="4">
        <v>1</v>
      </c>
      <c r="Q1308" s="3" t="s">
        <v>26</v>
      </c>
      <c r="R1308" s="3">
        <v>0</v>
      </c>
      <c r="S1308" s="3" t="s">
        <v>308</v>
      </c>
      <c r="U1308" s="3">
        <v>7</v>
      </c>
      <c r="V1308" s="3">
        <v>0</v>
      </c>
      <c r="W1308" s="3">
        <v>0</v>
      </c>
    </row>
    <row r="1309" spans="1:23" ht="11.25" customHeight="1" x14ac:dyDescent="0.25">
      <c r="A1309" s="3" t="s">
        <v>21</v>
      </c>
      <c r="B1309" s="3" t="s">
        <v>33</v>
      </c>
      <c r="C1309" s="3" t="s">
        <v>34</v>
      </c>
      <c r="D1309" s="3" t="s">
        <v>50</v>
      </c>
      <c r="E1309" s="3" t="s">
        <v>51</v>
      </c>
      <c r="F1309" s="3" t="s">
        <v>25</v>
      </c>
      <c r="G1309" s="3" t="s">
        <v>25</v>
      </c>
      <c r="H1309" s="3" t="s">
        <v>25</v>
      </c>
      <c r="I1309" s="6">
        <v>44593</v>
      </c>
      <c r="J1309" s="4">
        <v>15164</v>
      </c>
      <c r="K1309" s="4">
        <v>14254.16</v>
      </c>
      <c r="L1309" s="4">
        <v>0</v>
      </c>
      <c r="M1309" s="4">
        <v>0</v>
      </c>
      <c r="N1309" s="4">
        <v>0</v>
      </c>
      <c r="O1309" s="4">
        <v>0</v>
      </c>
      <c r="P1309" s="4">
        <v>207</v>
      </c>
      <c r="Q1309" s="3" t="s">
        <v>26</v>
      </c>
      <c r="R1309" s="3">
        <v>0</v>
      </c>
      <c r="S1309" s="3" t="s">
        <v>309</v>
      </c>
      <c r="U1309" s="3">
        <v>7</v>
      </c>
      <c r="V1309" s="3">
        <v>0</v>
      </c>
      <c r="W1309" s="3">
        <v>0</v>
      </c>
    </row>
    <row r="1310" spans="1:23" ht="11.25" customHeight="1" x14ac:dyDescent="0.25">
      <c r="A1310" s="3" t="s">
        <v>28</v>
      </c>
      <c r="B1310" s="3" t="s">
        <v>33</v>
      </c>
      <c r="C1310" s="3" t="s">
        <v>34</v>
      </c>
      <c r="D1310" s="3" t="s">
        <v>50</v>
      </c>
      <c r="E1310" s="3" t="s">
        <v>51</v>
      </c>
      <c r="F1310" s="3" t="s">
        <v>25</v>
      </c>
      <c r="G1310" s="3" t="s">
        <v>25</v>
      </c>
      <c r="H1310" s="3" t="s">
        <v>25</v>
      </c>
      <c r="I1310" s="6">
        <v>44593</v>
      </c>
      <c r="J1310" s="4">
        <v>59</v>
      </c>
      <c r="K1310" s="4">
        <v>55.46</v>
      </c>
      <c r="L1310" s="4">
        <v>0</v>
      </c>
      <c r="M1310" s="4">
        <v>0</v>
      </c>
      <c r="N1310" s="4">
        <v>0</v>
      </c>
      <c r="O1310" s="4">
        <v>0</v>
      </c>
      <c r="P1310" s="4">
        <v>1</v>
      </c>
      <c r="Q1310" s="3" t="s">
        <v>26</v>
      </c>
      <c r="R1310" s="3">
        <v>0</v>
      </c>
      <c r="S1310" s="3" t="s">
        <v>309</v>
      </c>
      <c r="U1310" s="3">
        <v>7</v>
      </c>
      <c r="V1310" s="3">
        <v>0</v>
      </c>
      <c r="W1310" s="3">
        <v>0</v>
      </c>
    </row>
    <row r="1311" spans="1:23" ht="11.25" customHeight="1" x14ac:dyDescent="0.25">
      <c r="A1311" s="3" t="s">
        <v>21</v>
      </c>
      <c r="B1311" s="3" t="s">
        <v>33</v>
      </c>
      <c r="C1311" s="3" t="s">
        <v>34</v>
      </c>
      <c r="D1311" s="3" t="s">
        <v>50</v>
      </c>
      <c r="E1311" s="3" t="s">
        <v>51</v>
      </c>
      <c r="F1311" s="3" t="s">
        <v>25</v>
      </c>
      <c r="G1311" s="3" t="s">
        <v>25</v>
      </c>
      <c r="H1311" s="3" t="s">
        <v>25</v>
      </c>
      <c r="I1311" s="6">
        <v>44621</v>
      </c>
      <c r="J1311" s="4">
        <v>15309</v>
      </c>
      <c r="K1311" s="4">
        <v>14390.46</v>
      </c>
      <c r="L1311" s="4">
        <v>0</v>
      </c>
      <c r="M1311" s="4">
        <v>0</v>
      </c>
      <c r="N1311" s="4">
        <v>0</v>
      </c>
      <c r="O1311" s="4">
        <v>0</v>
      </c>
      <c r="P1311" s="4">
        <v>207</v>
      </c>
      <c r="Q1311" s="3" t="s">
        <v>26</v>
      </c>
      <c r="R1311" s="3">
        <v>0</v>
      </c>
      <c r="S1311" s="3" t="s">
        <v>310</v>
      </c>
      <c r="U1311" s="3">
        <v>7</v>
      </c>
      <c r="V1311" s="3">
        <v>0</v>
      </c>
      <c r="W1311" s="3">
        <v>0</v>
      </c>
    </row>
    <row r="1312" spans="1:23" ht="11.25" customHeight="1" x14ac:dyDescent="0.25">
      <c r="A1312" s="3" t="s">
        <v>28</v>
      </c>
      <c r="B1312" s="3" t="s">
        <v>33</v>
      </c>
      <c r="C1312" s="3" t="s">
        <v>34</v>
      </c>
      <c r="D1312" s="3" t="s">
        <v>50</v>
      </c>
      <c r="E1312" s="3" t="s">
        <v>51</v>
      </c>
      <c r="F1312" s="3" t="s">
        <v>25</v>
      </c>
      <c r="G1312" s="3" t="s">
        <v>25</v>
      </c>
      <c r="H1312" s="3" t="s">
        <v>25</v>
      </c>
      <c r="I1312" s="6">
        <v>44621</v>
      </c>
      <c r="J1312" s="4">
        <v>59</v>
      </c>
      <c r="K1312" s="4">
        <v>55.46</v>
      </c>
      <c r="L1312" s="4">
        <v>0</v>
      </c>
      <c r="M1312" s="4">
        <v>0</v>
      </c>
      <c r="N1312" s="4">
        <v>0</v>
      </c>
      <c r="O1312" s="4">
        <v>0</v>
      </c>
      <c r="P1312" s="4">
        <v>1</v>
      </c>
      <c r="Q1312" s="3" t="s">
        <v>26</v>
      </c>
      <c r="R1312" s="3">
        <v>0</v>
      </c>
      <c r="S1312" s="3" t="s">
        <v>310</v>
      </c>
      <c r="U1312" s="3">
        <v>7</v>
      </c>
      <c r="V1312" s="3">
        <v>0</v>
      </c>
      <c r="W1312" s="3">
        <v>0</v>
      </c>
    </row>
    <row r="1313" spans="1:23" ht="11.25" customHeight="1" x14ac:dyDescent="0.25">
      <c r="A1313" s="3" t="s">
        <v>56</v>
      </c>
      <c r="B1313" s="3" t="s">
        <v>33</v>
      </c>
      <c r="C1313" s="3" t="s">
        <v>34</v>
      </c>
      <c r="D1313" s="3" t="s">
        <v>50</v>
      </c>
      <c r="E1313" s="3" t="s">
        <v>51</v>
      </c>
      <c r="F1313" s="3" t="s">
        <v>25</v>
      </c>
      <c r="G1313" s="3" t="s">
        <v>25</v>
      </c>
      <c r="H1313" s="3" t="s">
        <v>25</v>
      </c>
      <c r="I1313" s="6">
        <v>44652</v>
      </c>
      <c r="J1313" s="4">
        <v>15309</v>
      </c>
      <c r="K1313" s="4">
        <v>14390.46</v>
      </c>
      <c r="L1313" s="4">
        <v>0</v>
      </c>
      <c r="M1313" s="4">
        <v>0</v>
      </c>
      <c r="N1313" s="4">
        <v>0</v>
      </c>
      <c r="O1313" s="4">
        <v>0</v>
      </c>
      <c r="P1313" s="4">
        <v>207</v>
      </c>
      <c r="Q1313" s="3" t="s">
        <v>26</v>
      </c>
      <c r="R1313" s="3">
        <v>0</v>
      </c>
      <c r="S1313" s="3" t="s">
        <v>311</v>
      </c>
      <c r="U1313" s="3">
        <v>7</v>
      </c>
      <c r="V1313" s="3">
        <v>0</v>
      </c>
      <c r="W1313" s="3">
        <v>0</v>
      </c>
    </row>
    <row r="1314" spans="1:23" ht="11.25" customHeight="1" x14ac:dyDescent="0.25">
      <c r="A1314" s="3" t="s">
        <v>56</v>
      </c>
      <c r="B1314" s="3" t="s">
        <v>33</v>
      </c>
      <c r="C1314" s="3" t="s">
        <v>34</v>
      </c>
      <c r="D1314" s="3" t="s">
        <v>50</v>
      </c>
      <c r="E1314" s="3" t="s">
        <v>51</v>
      </c>
      <c r="F1314" s="3" t="s">
        <v>25</v>
      </c>
      <c r="G1314" s="3" t="s">
        <v>25</v>
      </c>
      <c r="H1314" s="3" t="s">
        <v>25</v>
      </c>
      <c r="I1314" s="6">
        <v>44652</v>
      </c>
      <c r="J1314" s="4">
        <v>59</v>
      </c>
      <c r="K1314" s="4">
        <v>55.46</v>
      </c>
      <c r="L1314" s="4">
        <v>0</v>
      </c>
      <c r="M1314" s="4">
        <v>0</v>
      </c>
      <c r="N1314" s="4">
        <v>0</v>
      </c>
      <c r="O1314" s="4">
        <v>0</v>
      </c>
      <c r="P1314" s="4">
        <v>1</v>
      </c>
      <c r="Q1314" s="3" t="s">
        <v>26</v>
      </c>
      <c r="R1314" s="3">
        <v>0</v>
      </c>
      <c r="S1314" s="3" t="s">
        <v>311</v>
      </c>
      <c r="U1314" s="3">
        <v>7</v>
      </c>
      <c r="V1314" s="3">
        <v>0</v>
      </c>
      <c r="W1314" s="3">
        <v>0</v>
      </c>
    </row>
    <row r="1315" spans="1:23" ht="11.25" customHeight="1" x14ac:dyDescent="0.25">
      <c r="A1315" s="3" t="s">
        <v>21</v>
      </c>
      <c r="B1315" s="3" t="s">
        <v>33</v>
      </c>
      <c r="C1315" s="3" t="s">
        <v>34</v>
      </c>
      <c r="D1315" s="3" t="s">
        <v>50</v>
      </c>
      <c r="E1315" s="3" t="s">
        <v>51</v>
      </c>
      <c r="F1315" s="3" t="s">
        <v>25</v>
      </c>
      <c r="G1315" s="3" t="s">
        <v>25</v>
      </c>
      <c r="H1315" s="3" t="s">
        <v>35</v>
      </c>
      <c r="I1315" s="6">
        <v>44317</v>
      </c>
      <c r="J1315" s="4">
        <v>0</v>
      </c>
      <c r="K1315" s="4">
        <v>0</v>
      </c>
      <c r="L1315" s="4">
        <v>429.45600000000002</v>
      </c>
      <c r="M1315" s="4">
        <v>403.68864000000002</v>
      </c>
      <c r="N1315" s="4">
        <v>429.45600000000002</v>
      </c>
      <c r="O1315" s="4">
        <v>403.68864000000002</v>
      </c>
      <c r="P1315" s="4">
        <v>0</v>
      </c>
      <c r="Q1315" s="3" t="s">
        <v>26</v>
      </c>
      <c r="R1315" s="3">
        <v>0</v>
      </c>
      <c r="S1315" s="3" t="s">
        <v>312</v>
      </c>
      <c r="T1315" s="3" t="s">
        <v>549</v>
      </c>
      <c r="U1315" s="3">
        <v>0</v>
      </c>
      <c r="V1315" s="3">
        <v>8</v>
      </c>
      <c r="W1315" s="3">
        <v>72</v>
      </c>
    </row>
    <row r="1316" spans="1:23" ht="11.25" customHeight="1" x14ac:dyDescent="0.25">
      <c r="A1316" s="3" t="s">
        <v>21</v>
      </c>
      <c r="B1316" s="3" t="s">
        <v>33</v>
      </c>
      <c r="C1316" s="3" t="s">
        <v>34</v>
      </c>
      <c r="D1316" s="3" t="s">
        <v>50</v>
      </c>
      <c r="E1316" s="3" t="s">
        <v>51</v>
      </c>
      <c r="F1316" s="3" t="s">
        <v>25</v>
      </c>
      <c r="G1316" s="3" t="s">
        <v>25</v>
      </c>
      <c r="H1316" s="3" t="s">
        <v>35</v>
      </c>
      <c r="I1316" s="6">
        <v>44348</v>
      </c>
      <c r="J1316" s="4">
        <v>0</v>
      </c>
      <c r="K1316" s="4">
        <v>0</v>
      </c>
      <c r="L1316" s="4">
        <v>406.90600000000001</v>
      </c>
      <c r="M1316" s="4">
        <v>382.49164000000002</v>
      </c>
      <c r="N1316" s="4">
        <v>406.90600000000001</v>
      </c>
      <c r="O1316" s="4">
        <v>382.49164000000002</v>
      </c>
      <c r="P1316" s="4">
        <v>0</v>
      </c>
      <c r="Q1316" s="3" t="s">
        <v>26</v>
      </c>
      <c r="R1316" s="3">
        <v>0</v>
      </c>
      <c r="S1316" s="3" t="s">
        <v>313</v>
      </c>
      <c r="T1316" s="3" t="s">
        <v>550</v>
      </c>
      <c r="U1316" s="3">
        <v>0</v>
      </c>
      <c r="V1316" s="3">
        <v>8</v>
      </c>
      <c r="W1316" s="3">
        <v>72</v>
      </c>
    </row>
    <row r="1317" spans="1:23" ht="11.25" customHeight="1" x14ac:dyDescent="0.25">
      <c r="A1317" s="3" t="s">
        <v>28</v>
      </c>
      <c r="B1317" s="3" t="s">
        <v>33</v>
      </c>
      <c r="C1317" s="3" t="s">
        <v>34</v>
      </c>
      <c r="D1317" s="3" t="s">
        <v>50</v>
      </c>
      <c r="E1317" s="3" t="s">
        <v>51</v>
      </c>
      <c r="F1317" s="3" t="s">
        <v>25</v>
      </c>
      <c r="G1317" s="3" t="s">
        <v>25</v>
      </c>
      <c r="H1317" s="3" t="s">
        <v>35</v>
      </c>
      <c r="I1317" s="6">
        <v>44348</v>
      </c>
      <c r="J1317" s="4">
        <v>0</v>
      </c>
      <c r="K1317" s="4">
        <v>0</v>
      </c>
      <c r="L1317" s="4">
        <v>2.1840000000000002</v>
      </c>
      <c r="M1317" s="4">
        <v>2.0529600000000001</v>
      </c>
      <c r="N1317" s="4">
        <v>2.1840000000000002</v>
      </c>
      <c r="O1317" s="4">
        <v>2.0529600000000001</v>
      </c>
      <c r="P1317" s="4">
        <v>0</v>
      </c>
      <c r="Q1317" s="3" t="s">
        <v>26</v>
      </c>
      <c r="R1317" s="3">
        <v>0</v>
      </c>
      <c r="S1317" s="3" t="s">
        <v>313</v>
      </c>
      <c r="T1317" s="3" t="s">
        <v>550</v>
      </c>
      <c r="U1317" s="3">
        <v>0</v>
      </c>
      <c r="V1317" s="3">
        <v>8</v>
      </c>
      <c r="W1317" s="3">
        <v>72</v>
      </c>
    </row>
    <row r="1318" spans="1:23" ht="11.25" customHeight="1" x14ac:dyDescent="0.25">
      <c r="A1318" s="3" t="s">
        <v>21</v>
      </c>
      <c r="B1318" s="3" t="s">
        <v>33</v>
      </c>
      <c r="C1318" s="3" t="s">
        <v>34</v>
      </c>
      <c r="D1318" s="3" t="s">
        <v>50</v>
      </c>
      <c r="E1318" s="3" t="s">
        <v>51</v>
      </c>
      <c r="F1318" s="3" t="s">
        <v>25</v>
      </c>
      <c r="G1318" s="3" t="s">
        <v>25</v>
      </c>
      <c r="H1318" s="3" t="s">
        <v>35</v>
      </c>
      <c r="I1318" s="6">
        <v>44378</v>
      </c>
      <c r="J1318" s="4">
        <v>0</v>
      </c>
      <c r="K1318" s="4">
        <v>0</v>
      </c>
      <c r="L1318" s="4">
        <v>426.63900000000001</v>
      </c>
      <c r="M1318" s="4">
        <v>401.04066</v>
      </c>
      <c r="N1318" s="4">
        <v>426.63900000000001</v>
      </c>
      <c r="O1318" s="4">
        <v>401.04066</v>
      </c>
      <c r="P1318" s="4">
        <v>0</v>
      </c>
      <c r="Q1318" s="3" t="s">
        <v>26</v>
      </c>
      <c r="R1318" s="3">
        <v>0</v>
      </c>
      <c r="S1318" s="3" t="s">
        <v>314</v>
      </c>
      <c r="T1318" s="3" t="s">
        <v>551</v>
      </c>
      <c r="U1318" s="3">
        <v>0</v>
      </c>
      <c r="V1318" s="3">
        <v>8</v>
      </c>
      <c r="W1318" s="3">
        <v>72</v>
      </c>
    </row>
    <row r="1319" spans="1:23" ht="11.25" customHeight="1" x14ac:dyDescent="0.25">
      <c r="A1319" s="3" t="s">
        <v>28</v>
      </c>
      <c r="B1319" s="3" t="s">
        <v>33</v>
      </c>
      <c r="C1319" s="3" t="s">
        <v>34</v>
      </c>
      <c r="D1319" s="3" t="s">
        <v>50</v>
      </c>
      <c r="E1319" s="3" t="s">
        <v>51</v>
      </c>
      <c r="F1319" s="3" t="s">
        <v>25</v>
      </c>
      <c r="G1319" s="3" t="s">
        <v>25</v>
      </c>
      <c r="H1319" s="3" t="s">
        <v>35</v>
      </c>
      <c r="I1319" s="6">
        <v>44378</v>
      </c>
      <c r="J1319" s="4">
        <v>0</v>
      </c>
      <c r="K1319" s="4">
        <v>0</v>
      </c>
      <c r="L1319" s="4">
        <v>2.6219999999999999</v>
      </c>
      <c r="M1319" s="4">
        <v>2.46468</v>
      </c>
      <c r="N1319" s="4">
        <v>2.6219999999999999</v>
      </c>
      <c r="O1319" s="4">
        <v>2.46468</v>
      </c>
      <c r="P1319" s="4">
        <v>0</v>
      </c>
      <c r="Q1319" s="3" t="s">
        <v>26</v>
      </c>
      <c r="R1319" s="3">
        <v>0</v>
      </c>
      <c r="S1319" s="3" t="s">
        <v>314</v>
      </c>
      <c r="T1319" s="3" t="s">
        <v>551</v>
      </c>
      <c r="U1319" s="3">
        <v>0</v>
      </c>
      <c r="V1319" s="3">
        <v>8</v>
      </c>
      <c r="W1319" s="3">
        <v>72</v>
      </c>
    </row>
    <row r="1320" spans="1:23" ht="11.25" customHeight="1" x14ac:dyDescent="0.25">
      <c r="A1320" s="3" t="s">
        <v>21</v>
      </c>
      <c r="B1320" s="3" t="s">
        <v>33</v>
      </c>
      <c r="C1320" s="3" t="s">
        <v>34</v>
      </c>
      <c r="D1320" s="3" t="s">
        <v>50</v>
      </c>
      <c r="E1320" s="3" t="s">
        <v>51</v>
      </c>
      <c r="F1320" s="3" t="s">
        <v>25</v>
      </c>
      <c r="G1320" s="3" t="s">
        <v>25</v>
      </c>
      <c r="H1320" s="3" t="s">
        <v>35</v>
      </c>
      <c r="I1320" s="6">
        <v>44409</v>
      </c>
      <c r="J1320" s="4">
        <v>0</v>
      </c>
      <c r="K1320" s="4">
        <v>0</v>
      </c>
      <c r="L1320" s="4">
        <v>435.65199999999999</v>
      </c>
      <c r="M1320" s="4">
        <v>409.51288</v>
      </c>
      <c r="N1320" s="4">
        <v>435.65199999999999</v>
      </c>
      <c r="O1320" s="4">
        <v>409.51288</v>
      </c>
      <c r="P1320" s="4">
        <v>0</v>
      </c>
      <c r="Q1320" s="3" t="s">
        <v>26</v>
      </c>
      <c r="R1320" s="3">
        <v>0</v>
      </c>
      <c r="S1320" s="3" t="s">
        <v>315</v>
      </c>
      <c r="T1320" s="3" t="s">
        <v>552</v>
      </c>
      <c r="U1320" s="3">
        <v>0</v>
      </c>
      <c r="V1320" s="3">
        <v>8</v>
      </c>
      <c r="W1320" s="3">
        <v>72</v>
      </c>
    </row>
    <row r="1321" spans="1:23" ht="11.25" customHeight="1" x14ac:dyDescent="0.25">
      <c r="A1321" s="3" t="s">
        <v>28</v>
      </c>
      <c r="B1321" s="3" t="s">
        <v>33</v>
      </c>
      <c r="C1321" s="3" t="s">
        <v>34</v>
      </c>
      <c r="D1321" s="3" t="s">
        <v>50</v>
      </c>
      <c r="E1321" s="3" t="s">
        <v>51</v>
      </c>
      <c r="F1321" s="3" t="s">
        <v>25</v>
      </c>
      <c r="G1321" s="3" t="s">
        <v>25</v>
      </c>
      <c r="H1321" s="3" t="s">
        <v>35</v>
      </c>
      <c r="I1321" s="6">
        <v>44409</v>
      </c>
      <c r="J1321" s="4">
        <v>0</v>
      </c>
      <c r="K1321" s="4">
        <v>0</v>
      </c>
      <c r="L1321" s="4">
        <v>2.7410000000000001</v>
      </c>
      <c r="M1321" s="4">
        <v>2.5765400000000001</v>
      </c>
      <c r="N1321" s="4">
        <v>2.7410000000000001</v>
      </c>
      <c r="O1321" s="4">
        <v>2.5765400000000001</v>
      </c>
      <c r="P1321" s="4">
        <v>0</v>
      </c>
      <c r="Q1321" s="3" t="s">
        <v>26</v>
      </c>
      <c r="R1321" s="3">
        <v>0</v>
      </c>
      <c r="S1321" s="3" t="s">
        <v>315</v>
      </c>
      <c r="T1321" s="3" t="s">
        <v>552</v>
      </c>
      <c r="U1321" s="3">
        <v>0</v>
      </c>
      <c r="V1321" s="3">
        <v>8</v>
      </c>
      <c r="W1321" s="3">
        <v>72</v>
      </c>
    </row>
    <row r="1322" spans="1:23" ht="11.25" customHeight="1" x14ac:dyDescent="0.25">
      <c r="A1322" s="3" t="s">
        <v>21</v>
      </c>
      <c r="B1322" s="3" t="s">
        <v>33</v>
      </c>
      <c r="C1322" s="3" t="s">
        <v>34</v>
      </c>
      <c r="D1322" s="3" t="s">
        <v>50</v>
      </c>
      <c r="E1322" s="3" t="s">
        <v>51</v>
      </c>
      <c r="F1322" s="3" t="s">
        <v>25</v>
      </c>
      <c r="G1322" s="3" t="s">
        <v>25</v>
      </c>
      <c r="H1322" s="3" t="s">
        <v>35</v>
      </c>
      <c r="I1322" s="6">
        <v>44440</v>
      </c>
      <c r="J1322" s="4">
        <v>0</v>
      </c>
      <c r="K1322" s="4">
        <v>0</v>
      </c>
      <c r="L1322" s="4">
        <v>408.01</v>
      </c>
      <c r="M1322" s="4">
        <v>383.52940000000001</v>
      </c>
      <c r="N1322" s="4">
        <v>408.01</v>
      </c>
      <c r="O1322" s="4">
        <v>383.52940000000001</v>
      </c>
      <c r="P1322" s="4">
        <v>0</v>
      </c>
      <c r="Q1322" s="3" t="s">
        <v>26</v>
      </c>
      <c r="R1322" s="3">
        <v>0</v>
      </c>
      <c r="S1322" s="3" t="s">
        <v>316</v>
      </c>
      <c r="T1322" s="3" t="s">
        <v>553</v>
      </c>
      <c r="U1322" s="3">
        <v>0</v>
      </c>
      <c r="V1322" s="3">
        <v>8</v>
      </c>
      <c r="W1322" s="3">
        <v>72</v>
      </c>
    </row>
    <row r="1323" spans="1:23" ht="11.25" customHeight="1" x14ac:dyDescent="0.25">
      <c r="A1323" s="3" t="s">
        <v>28</v>
      </c>
      <c r="B1323" s="3" t="s">
        <v>33</v>
      </c>
      <c r="C1323" s="3" t="s">
        <v>34</v>
      </c>
      <c r="D1323" s="3" t="s">
        <v>50</v>
      </c>
      <c r="E1323" s="3" t="s">
        <v>51</v>
      </c>
      <c r="F1323" s="3" t="s">
        <v>25</v>
      </c>
      <c r="G1323" s="3" t="s">
        <v>25</v>
      </c>
      <c r="H1323" s="3" t="s">
        <v>35</v>
      </c>
      <c r="I1323" s="6">
        <v>44440</v>
      </c>
      <c r="J1323" s="4">
        <v>0</v>
      </c>
      <c r="K1323" s="4">
        <v>0</v>
      </c>
      <c r="L1323" s="4">
        <v>2.5739999999999998</v>
      </c>
      <c r="M1323" s="4">
        <v>2.4195600000000002</v>
      </c>
      <c r="N1323" s="4">
        <v>2.5739999999999998</v>
      </c>
      <c r="O1323" s="4">
        <v>2.4195600000000002</v>
      </c>
      <c r="P1323" s="4">
        <v>0</v>
      </c>
      <c r="Q1323" s="3" t="s">
        <v>26</v>
      </c>
      <c r="R1323" s="3">
        <v>0</v>
      </c>
      <c r="S1323" s="3" t="s">
        <v>316</v>
      </c>
      <c r="T1323" s="3" t="s">
        <v>553</v>
      </c>
      <c r="U1323" s="3">
        <v>0</v>
      </c>
      <c r="V1323" s="3">
        <v>8</v>
      </c>
      <c r="W1323" s="3">
        <v>72</v>
      </c>
    </row>
    <row r="1324" spans="1:23" ht="11.25" customHeight="1" x14ac:dyDescent="0.25">
      <c r="A1324" s="3" t="s">
        <v>21</v>
      </c>
      <c r="B1324" s="3" t="s">
        <v>33</v>
      </c>
      <c r="C1324" s="3" t="s">
        <v>34</v>
      </c>
      <c r="D1324" s="3" t="s">
        <v>50</v>
      </c>
      <c r="E1324" s="3" t="s">
        <v>51</v>
      </c>
      <c r="F1324" s="3" t="s">
        <v>25</v>
      </c>
      <c r="G1324" s="3" t="s">
        <v>25</v>
      </c>
      <c r="H1324" s="3" t="s">
        <v>35</v>
      </c>
      <c r="I1324" s="6">
        <v>44470</v>
      </c>
      <c r="J1324" s="4">
        <v>0</v>
      </c>
      <c r="K1324" s="4">
        <v>0</v>
      </c>
      <c r="L1324" s="4">
        <v>397.70100000000002</v>
      </c>
      <c r="M1324" s="4">
        <v>373.83893999999998</v>
      </c>
      <c r="N1324" s="4">
        <v>397.70100000000002</v>
      </c>
      <c r="O1324" s="4">
        <v>373.83893999999998</v>
      </c>
      <c r="P1324" s="4">
        <v>0</v>
      </c>
      <c r="Q1324" s="3" t="s">
        <v>26</v>
      </c>
      <c r="R1324" s="3">
        <v>0</v>
      </c>
      <c r="S1324" s="3" t="s">
        <v>317</v>
      </c>
      <c r="T1324" s="3" t="s">
        <v>554</v>
      </c>
      <c r="U1324" s="3">
        <v>0</v>
      </c>
      <c r="V1324" s="3">
        <v>8</v>
      </c>
      <c r="W1324" s="3">
        <v>72</v>
      </c>
    </row>
    <row r="1325" spans="1:23" ht="11.25" customHeight="1" x14ac:dyDescent="0.25">
      <c r="A1325" s="3" t="s">
        <v>28</v>
      </c>
      <c r="B1325" s="3" t="s">
        <v>33</v>
      </c>
      <c r="C1325" s="3" t="s">
        <v>34</v>
      </c>
      <c r="D1325" s="3" t="s">
        <v>50</v>
      </c>
      <c r="E1325" s="3" t="s">
        <v>51</v>
      </c>
      <c r="F1325" s="3" t="s">
        <v>25</v>
      </c>
      <c r="G1325" s="3" t="s">
        <v>25</v>
      </c>
      <c r="H1325" s="3" t="s">
        <v>35</v>
      </c>
      <c r="I1325" s="6">
        <v>44470</v>
      </c>
      <c r="J1325" s="4">
        <v>0</v>
      </c>
      <c r="K1325" s="4">
        <v>0</v>
      </c>
      <c r="L1325" s="4">
        <v>2.9830000000000001</v>
      </c>
      <c r="M1325" s="4">
        <v>2.80402</v>
      </c>
      <c r="N1325" s="4">
        <v>2.9830000000000001</v>
      </c>
      <c r="O1325" s="4">
        <v>2.80402</v>
      </c>
      <c r="P1325" s="4">
        <v>0</v>
      </c>
      <c r="Q1325" s="3" t="s">
        <v>26</v>
      </c>
      <c r="R1325" s="3">
        <v>0</v>
      </c>
      <c r="S1325" s="3" t="s">
        <v>317</v>
      </c>
      <c r="T1325" s="3" t="s">
        <v>554</v>
      </c>
      <c r="U1325" s="3">
        <v>0</v>
      </c>
      <c r="V1325" s="3">
        <v>8</v>
      </c>
      <c r="W1325" s="3">
        <v>72</v>
      </c>
    </row>
    <row r="1326" spans="1:23" ht="11.25" customHeight="1" x14ac:dyDescent="0.25">
      <c r="A1326" s="3" t="s">
        <v>21</v>
      </c>
      <c r="B1326" s="3" t="s">
        <v>33</v>
      </c>
      <c r="C1326" s="3" t="s">
        <v>34</v>
      </c>
      <c r="D1326" s="3" t="s">
        <v>50</v>
      </c>
      <c r="E1326" s="3" t="s">
        <v>51</v>
      </c>
      <c r="F1326" s="3" t="s">
        <v>25</v>
      </c>
      <c r="G1326" s="3" t="s">
        <v>25</v>
      </c>
      <c r="H1326" s="3" t="s">
        <v>35</v>
      </c>
      <c r="I1326" s="6">
        <v>44501</v>
      </c>
      <c r="J1326" s="4">
        <v>0</v>
      </c>
      <c r="K1326" s="4">
        <v>0</v>
      </c>
      <c r="L1326" s="4">
        <v>385.101</v>
      </c>
      <c r="M1326" s="4">
        <v>361.99493999999999</v>
      </c>
      <c r="N1326" s="4">
        <v>385.101</v>
      </c>
      <c r="O1326" s="4">
        <v>361.99493999999999</v>
      </c>
      <c r="P1326" s="4">
        <v>0</v>
      </c>
      <c r="Q1326" s="3" t="s">
        <v>26</v>
      </c>
      <c r="R1326" s="3">
        <v>0</v>
      </c>
      <c r="S1326" s="3" t="s">
        <v>318</v>
      </c>
      <c r="T1326" s="3" t="s">
        <v>555</v>
      </c>
      <c r="U1326" s="3">
        <v>0</v>
      </c>
      <c r="V1326" s="3">
        <v>8</v>
      </c>
      <c r="W1326" s="3">
        <v>72</v>
      </c>
    </row>
    <row r="1327" spans="1:23" ht="11.25" customHeight="1" x14ac:dyDescent="0.25">
      <c r="A1327" s="3" t="s">
        <v>27</v>
      </c>
      <c r="B1327" s="3" t="s">
        <v>33</v>
      </c>
      <c r="C1327" s="3" t="s">
        <v>34</v>
      </c>
      <c r="D1327" s="3" t="s">
        <v>50</v>
      </c>
      <c r="E1327" s="3" t="s">
        <v>51</v>
      </c>
      <c r="F1327" s="3" t="s">
        <v>25</v>
      </c>
      <c r="G1327" s="3" t="s">
        <v>25</v>
      </c>
      <c r="H1327" s="3" t="s">
        <v>35</v>
      </c>
      <c r="I1327" s="6">
        <v>44501</v>
      </c>
      <c r="J1327" s="4">
        <v>0</v>
      </c>
      <c r="K1327" s="4">
        <v>0</v>
      </c>
      <c r="L1327" s="4">
        <v>0.19</v>
      </c>
      <c r="M1327" s="4">
        <v>0.17860000000000001</v>
      </c>
      <c r="N1327" s="4">
        <v>0.19</v>
      </c>
      <c r="O1327" s="4">
        <v>0.17860000000000001</v>
      </c>
      <c r="P1327" s="4">
        <v>0</v>
      </c>
      <c r="Q1327" s="3" t="s">
        <v>26</v>
      </c>
      <c r="R1327" s="3">
        <v>0</v>
      </c>
      <c r="S1327" s="3" t="s">
        <v>318</v>
      </c>
      <c r="T1327" s="3" t="s">
        <v>555</v>
      </c>
      <c r="U1327" s="3">
        <v>0</v>
      </c>
      <c r="V1327" s="3">
        <v>8</v>
      </c>
      <c r="W1327" s="3">
        <v>72</v>
      </c>
    </row>
    <row r="1328" spans="1:23" ht="11.25" customHeight="1" x14ac:dyDescent="0.25">
      <c r="A1328" s="3" t="s">
        <v>28</v>
      </c>
      <c r="B1328" s="3" t="s">
        <v>33</v>
      </c>
      <c r="C1328" s="3" t="s">
        <v>34</v>
      </c>
      <c r="D1328" s="3" t="s">
        <v>50</v>
      </c>
      <c r="E1328" s="3" t="s">
        <v>51</v>
      </c>
      <c r="F1328" s="3" t="s">
        <v>25</v>
      </c>
      <c r="G1328" s="3" t="s">
        <v>25</v>
      </c>
      <c r="H1328" s="3" t="s">
        <v>35</v>
      </c>
      <c r="I1328" s="6">
        <v>44501</v>
      </c>
      <c r="J1328" s="4">
        <v>0</v>
      </c>
      <c r="K1328" s="4">
        <v>0</v>
      </c>
      <c r="L1328" s="4">
        <v>2.0249999999999999</v>
      </c>
      <c r="M1328" s="4">
        <v>1.9035</v>
      </c>
      <c r="N1328" s="4">
        <v>2.0249999999999999</v>
      </c>
      <c r="O1328" s="4">
        <v>1.9035</v>
      </c>
      <c r="P1328" s="4">
        <v>0</v>
      </c>
      <c r="Q1328" s="3" t="s">
        <v>26</v>
      </c>
      <c r="R1328" s="3">
        <v>0</v>
      </c>
      <c r="S1328" s="3" t="s">
        <v>318</v>
      </c>
      <c r="T1328" s="3" t="s">
        <v>555</v>
      </c>
      <c r="U1328" s="3">
        <v>0</v>
      </c>
      <c r="V1328" s="3">
        <v>8</v>
      </c>
      <c r="W1328" s="3">
        <v>72</v>
      </c>
    </row>
    <row r="1329" spans="1:23" ht="11.25" customHeight="1" x14ac:dyDescent="0.25">
      <c r="A1329" s="3" t="s">
        <v>21</v>
      </c>
      <c r="B1329" s="3" t="s">
        <v>33</v>
      </c>
      <c r="C1329" s="3" t="s">
        <v>34</v>
      </c>
      <c r="D1329" s="3" t="s">
        <v>50</v>
      </c>
      <c r="E1329" s="3" t="s">
        <v>51</v>
      </c>
      <c r="F1329" s="3" t="s">
        <v>25</v>
      </c>
      <c r="G1329" s="3" t="s">
        <v>25</v>
      </c>
      <c r="H1329" s="3" t="s">
        <v>35</v>
      </c>
      <c r="I1329" s="6">
        <v>44531</v>
      </c>
      <c r="J1329" s="4">
        <v>0</v>
      </c>
      <c r="K1329" s="4">
        <v>0</v>
      </c>
      <c r="L1329" s="4">
        <v>442.82</v>
      </c>
      <c r="M1329" s="4">
        <v>416.25080000000003</v>
      </c>
      <c r="N1329" s="4">
        <v>442.82</v>
      </c>
      <c r="O1329" s="4">
        <v>416.25080000000003</v>
      </c>
      <c r="P1329" s="4">
        <v>0</v>
      </c>
      <c r="Q1329" s="3" t="s">
        <v>26</v>
      </c>
      <c r="R1329" s="3">
        <v>0</v>
      </c>
      <c r="S1329" s="3" t="s">
        <v>319</v>
      </c>
      <c r="T1329" s="3" t="s">
        <v>556</v>
      </c>
      <c r="U1329" s="3">
        <v>0</v>
      </c>
      <c r="V1329" s="3">
        <v>8</v>
      </c>
      <c r="W1329" s="3">
        <v>72</v>
      </c>
    </row>
    <row r="1330" spans="1:23" ht="11.25" customHeight="1" x14ac:dyDescent="0.25">
      <c r="A1330" s="3" t="s">
        <v>27</v>
      </c>
      <c r="B1330" s="3" t="s">
        <v>33</v>
      </c>
      <c r="C1330" s="3" t="s">
        <v>34</v>
      </c>
      <c r="D1330" s="3" t="s">
        <v>50</v>
      </c>
      <c r="E1330" s="3" t="s">
        <v>51</v>
      </c>
      <c r="F1330" s="3" t="s">
        <v>25</v>
      </c>
      <c r="G1330" s="3" t="s">
        <v>25</v>
      </c>
      <c r="H1330" s="3" t="s">
        <v>35</v>
      </c>
      <c r="I1330" s="6">
        <v>44531</v>
      </c>
      <c r="J1330" s="4">
        <v>0</v>
      </c>
      <c r="K1330" s="4">
        <v>0</v>
      </c>
      <c r="L1330" s="4">
        <v>8.7999999999999995E-2</v>
      </c>
      <c r="M1330" s="4">
        <v>8.2720000000000002E-2</v>
      </c>
      <c r="N1330" s="4">
        <v>8.7999999999999995E-2</v>
      </c>
      <c r="O1330" s="4">
        <v>8.2720000000000002E-2</v>
      </c>
      <c r="P1330" s="4">
        <v>0</v>
      </c>
      <c r="Q1330" s="3" t="s">
        <v>26</v>
      </c>
      <c r="R1330" s="3">
        <v>0</v>
      </c>
      <c r="S1330" s="3" t="s">
        <v>319</v>
      </c>
      <c r="T1330" s="3" t="s">
        <v>556</v>
      </c>
      <c r="U1330" s="3">
        <v>0</v>
      </c>
      <c r="V1330" s="3">
        <v>8</v>
      </c>
      <c r="W1330" s="3">
        <v>72</v>
      </c>
    </row>
    <row r="1331" spans="1:23" ht="11.25" customHeight="1" x14ac:dyDescent="0.25">
      <c r="A1331" s="3" t="s">
        <v>28</v>
      </c>
      <c r="B1331" s="3" t="s">
        <v>33</v>
      </c>
      <c r="C1331" s="3" t="s">
        <v>34</v>
      </c>
      <c r="D1331" s="3" t="s">
        <v>50</v>
      </c>
      <c r="E1331" s="3" t="s">
        <v>51</v>
      </c>
      <c r="F1331" s="3" t="s">
        <v>25</v>
      </c>
      <c r="G1331" s="3" t="s">
        <v>25</v>
      </c>
      <c r="H1331" s="3" t="s">
        <v>35</v>
      </c>
      <c r="I1331" s="6">
        <v>44531</v>
      </c>
      <c r="J1331" s="4">
        <v>0</v>
      </c>
      <c r="K1331" s="4">
        <v>0</v>
      </c>
      <c r="L1331" s="4">
        <v>3.5739999999999998</v>
      </c>
      <c r="M1331" s="4">
        <v>3.3595600000000001</v>
      </c>
      <c r="N1331" s="4">
        <v>3.5739999999999998</v>
      </c>
      <c r="O1331" s="4">
        <v>3.3595600000000001</v>
      </c>
      <c r="P1331" s="4">
        <v>0</v>
      </c>
      <c r="Q1331" s="3" t="s">
        <v>26</v>
      </c>
      <c r="R1331" s="3">
        <v>0</v>
      </c>
      <c r="S1331" s="3" t="s">
        <v>319</v>
      </c>
      <c r="T1331" s="3" t="s">
        <v>556</v>
      </c>
      <c r="U1331" s="3">
        <v>0</v>
      </c>
      <c r="V1331" s="3">
        <v>8</v>
      </c>
      <c r="W1331" s="3">
        <v>72</v>
      </c>
    </row>
    <row r="1332" spans="1:23" ht="11.25" customHeight="1" x14ac:dyDescent="0.25">
      <c r="A1332" s="3" t="s">
        <v>21</v>
      </c>
      <c r="B1332" s="3" t="s">
        <v>33</v>
      </c>
      <c r="C1332" s="3" t="s">
        <v>34</v>
      </c>
      <c r="D1332" s="3" t="s">
        <v>50</v>
      </c>
      <c r="E1332" s="3" t="s">
        <v>51</v>
      </c>
      <c r="F1332" s="3" t="s">
        <v>25</v>
      </c>
      <c r="G1332" s="3" t="s">
        <v>25</v>
      </c>
      <c r="H1332" s="3" t="s">
        <v>35</v>
      </c>
      <c r="I1332" s="6">
        <v>44562</v>
      </c>
      <c r="J1332" s="4">
        <v>0</v>
      </c>
      <c r="K1332" s="4">
        <v>0</v>
      </c>
      <c r="L1332" s="4">
        <v>402.59899999999999</v>
      </c>
      <c r="M1332" s="4">
        <v>378.44306</v>
      </c>
      <c r="N1332" s="4">
        <v>402.59899999999999</v>
      </c>
      <c r="O1332" s="4">
        <v>378.44306</v>
      </c>
      <c r="P1332" s="4">
        <v>0</v>
      </c>
      <c r="Q1332" s="3" t="s">
        <v>26</v>
      </c>
      <c r="R1332" s="3">
        <v>0</v>
      </c>
      <c r="S1332" s="3" t="s">
        <v>320</v>
      </c>
      <c r="T1332" s="3" t="s">
        <v>557</v>
      </c>
      <c r="U1332" s="3">
        <v>0</v>
      </c>
      <c r="V1332" s="3">
        <v>8</v>
      </c>
      <c r="W1332" s="3">
        <v>72</v>
      </c>
    </row>
    <row r="1333" spans="1:23" ht="11.25" customHeight="1" x14ac:dyDescent="0.25">
      <c r="A1333" s="3" t="s">
        <v>28</v>
      </c>
      <c r="B1333" s="3" t="s">
        <v>33</v>
      </c>
      <c r="C1333" s="3" t="s">
        <v>34</v>
      </c>
      <c r="D1333" s="3" t="s">
        <v>50</v>
      </c>
      <c r="E1333" s="3" t="s">
        <v>51</v>
      </c>
      <c r="F1333" s="3" t="s">
        <v>25</v>
      </c>
      <c r="G1333" s="3" t="s">
        <v>25</v>
      </c>
      <c r="H1333" s="3" t="s">
        <v>35</v>
      </c>
      <c r="I1333" s="6">
        <v>44562</v>
      </c>
      <c r="J1333" s="4">
        <v>0</v>
      </c>
      <c r="K1333" s="4">
        <v>0</v>
      </c>
      <c r="L1333" s="4">
        <v>3.2610000000000001</v>
      </c>
      <c r="M1333" s="4">
        <v>3.06534</v>
      </c>
      <c r="N1333" s="4">
        <v>3.2610000000000001</v>
      </c>
      <c r="O1333" s="4">
        <v>3.06534</v>
      </c>
      <c r="P1333" s="4">
        <v>0</v>
      </c>
      <c r="Q1333" s="3" t="s">
        <v>26</v>
      </c>
      <c r="R1333" s="3">
        <v>0</v>
      </c>
      <c r="S1333" s="3" t="s">
        <v>320</v>
      </c>
      <c r="T1333" s="3" t="s">
        <v>557</v>
      </c>
      <c r="U1333" s="3">
        <v>0</v>
      </c>
      <c r="V1333" s="3">
        <v>8</v>
      </c>
      <c r="W1333" s="3">
        <v>72</v>
      </c>
    </row>
    <row r="1334" spans="1:23" ht="11.25" customHeight="1" x14ac:dyDescent="0.25">
      <c r="A1334" s="3" t="s">
        <v>21</v>
      </c>
      <c r="B1334" s="3" t="s">
        <v>33</v>
      </c>
      <c r="C1334" s="3" t="s">
        <v>34</v>
      </c>
      <c r="D1334" s="3" t="s">
        <v>50</v>
      </c>
      <c r="E1334" s="3" t="s">
        <v>51</v>
      </c>
      <c r="F1334" s="3" t="s">
        <v>25</v>
      </c>
      <c r="G1334" s="3" t="s">
        <v>25</v>
      </c>
      <c r="H1334" s="3" t="s">
        <v>35</v>
      </c>
      <c r="I1334" s="6">
        <v>44593</v>
      </c>
      <c r="J1334" s="4">
        <v>0</v>
      </c>
      <c r="K1334" s="4">
        <v>0</v>
      </c>
      <c r="L1334" s="4">
        <v>375.17599999999999</v>
      </c>
      <c r="M1334" s="4">
        <v>352.66543999999999</v>
      </c>
      <c r="N1334" s="4">
        <v>375.17599999999999</v>
      </c>
      <c r="O1334" s="4">
        <v>352.66543999999999</v>
      </c>
      <c r="P1334" s="4">
        <v>0</v>
      </c>
      <c r="Q1334" s="3" t="s">
        <v>26</v>
      </c>
      <c r="R1334" s="3">
        <v>0</v>
      </c>
      <c r="S1334" s="3" t="s">
        <v>321</v>
      </c>
      <c r="T1334" s="3" t="s">
        <v>558</v>
      </c>
      <c r="U1334" s="3">
        <v>0</v>
      </c>
      <c r="V1334" s="3">
        <v>8</v>
      </c>
      <c r="W1334" s="3">
        <v>72</v>
      </c>
    </row>
    <row r="1335" spans="1:23" ht="11.25" customHeight="1" x14ac:dyDescent="0.25">
      <c r="A1335" s="3" t="s">
        <v>28</v>
      </c>
      <c r="B1335" s="3" t="s">
        <v>33</v>
      </c>
      <c r="C1335" s="3" t="s">
        <v>34</v>
      </c>
      <c r="D1335" s="3" t="s">
        <v>50</v>
      </c>
      <c r="E1335" s="3" t="s">
        <v>51</v>
      </c>
      <c r="F1335" s="3" t="s">
        <v>25</v>
      </c>
      <c r="G1335" s="3" t="s">
        <v>25</v>
      </c>
      <c r="H1335" s="3" t="s">
        <v>35</v>
      </c>
      <c r="I1335" s="6">
        <v>44593</v>
      </c>
      <c r="J1335" s="4">
        <v>0</v>
      </c>
      <c r="K1335" s="4">
        <v>0</v>
      </c>
      <c r="L1335" s="4">
        <v>1.9770000000000001</v>
      </c>
      <c r="M1335" s="4">
        <v>1.8583799999999999</v>
      </c>
      <c r="N1335" s="4">
        <v>1.9770000000000001</v>
      </c>
      <c r="O1335" s="4">
        <v>1.8583799999999999</v>
      </c>
      <c r="P1335" s="4">
        <v>0</v>
      </c>
      <c r="Q1335" s="3" t="s">
        <v>26</v>
      </c>
      <c r="R1335" s="3">
        <v>0</v>
      </c>
      <c r="S1335" s="3" t="s">
        <v>321</v>
      </c>
      <c r="T1335" s="3" t="s">
        <v>558</v>
      </c>
      <c r="U1335" s="3">
        <v>0</v>
      </c>
      <c r="V1335" s="3">
        <v>8</v>
      </c>
      <c r="W1335" s="3">
        <v>72</v>
      </c>
    </row>
    <row r="1336" spans="1:23" ht="11.25" customHeight="1" x14ac:dyDescent="0.25">
      <c r="A1336" s="3" t="s">
        <v>21</v>
      </c>
      <c r="B1336" s="3" t="s">
        <v>33</v>
      </c>
      <c r="C1336" s="3" t="s">
        <v>34</v>
      </c>
      <c r="D1336" s="3" t="s">
        <v>50</v>
      </c>
      <c r="E1336" s="3" t="s">
        <v>51</v>
      </c>
      <c r="F1336" s="3" t="s">
        <v>25</v>
      </c>
      <c r="G1336" s="3" t="s">
        <v>25</v>
      </c>
      <c r="H1336" s="3" t="s">
        <v>35</v>
      </c>
      <c r="I1336" s="6">
        <v>44621</v>
      </c>
      <c r="J1336" s="4">
        <v>0</v>
      </c>
      <c r="K1336" s="4">
        <v>0</v>
      </c>
      <c r="L1336" s="4">
        <v>440.09699999999998</v>
      </c>
      <c r="M1336" s="4">
        <v>413.69117999999997</v>
      </c>
      <c r="N1336" s="4">
        <v>440.09699999999998</v>
      </c>
      <c r="O1336" s="4">
        <v>413.69117999999997</v>
      </c>
      <c r="P1336" s="4">
        <v>0</v>
      </c>
      <c r="Q1336" s="3" t="s">
        <v>26</v>
      </c>
      <c r="R1336" s="3">
        <v>0</v>
      </c>
      <c r="S1336" s="3" t="s">
        <v>322</v>
      </c>
      <c r="T1336" s="3" t="s">
        <v>559</v>
      </c>
      <c r="U1336" s="3">
        <v>0</v>
      </c>
      <c r="V1336" s="3">
        <v>8</v>
      </c>
      <c r="W1336" s="3">
        <v>72</v>
      </c>
    </row>
    <row r="1337" spans="1:23" ht="11.25" customHeight="1" x14ac:dyDescent="0.25">
      <c r="A1337" s="3" t="s">
        <v>28</v>
      </c>
      <c r="B1337" s="3" t="s">
        <v>33</v>
      </c>
      <c r="C1337" s="3" t="s">
        <v>34</v>
      </c>
      <c r="D1337" s="3" t="s">
        <v>50</v>
      </c>
      <c r="E1337" s="3" t="s">
        <v>51</v>
      </c>
      <c r="F1337" s="3" t="s">
        <v>25</v>
      </c>
      <c r="G1337" s="3" t="s">
        <v>25</v>
      </c>
      <c r="H1337" s="3" t="s">
        <v>35</v>
      </c>
      <c r="I1337" s="6">
        <v>44621</v>
      </c>
      <c r="J1337" s="4">
        <v>0</v>
      </c>
      <c r="K1337" s="4">
        <v>0</v>
      </c>
      <c r="L1337" s="4">
        <v>3.238</v>
      </c>
      <c r="M1337" s="4">
        <v>3.04372</v>
      </c>
      <c r="N1337" s="4">
        <v>3.238</v>
      </c>
      <c r="O1337" s="4">
        <v>3.04372</v>
      </c>
      <c r="P1337" s="4">
        <v>0</v>
      </c>
      <c r="Q1337" s="3" t="s">
        <v>26</v>
      </c>
      <c r="R1337" s="3">
        <v>0</v>
      </c>
      <c r="S1337" s="3" t="s">
        <v>322</v>
      </c>
      <c r="T1337" s="3" t="s">
        <v>559</v>
      </c>
      <c r="U1337" s="3">
        <v>0</v>
      </c>
      <c r="V1337" s="3">
        <v>8</v>
      </c>
      <c r="W1337" s="3">
        <v>72</v>
      </c>
    </row>
    <row r="1338" spans="1:23" ht="11.25" customHeight="1" x14ac:dyDescent="0.25">
      <c r="A1338" s="3" t="s">
        <v>56</v>
      </c>
      <c r="B1338" s="3" t="s">
        <v>33</v>
      </c>
      <c r="C1338" s="3" t="s">
        <v>34</v>
      </c>
      <c r="D1338" s="3" t="s">
        <v>50</v>
      </c>
      <c r="E1338" s="3" t="s">
        <v>51</v>
      </c>
      <c r="F1338" s="3" t="s">
        <v>25</v>
      </c>
      <c r="G1338" s="3" t="s">
        <v>25</v>
      </c>
      <c r="H1338" s="3" t="s">
        <v>35</v>
      </c>
      <c r="I1338" s="6">
        <v>44652</v>
      </c>
      <c r="J1338" s="4">
        <v>0</v>
      </c>
      <c r="K1338" s="4">
        <v>0</v>
      </c>
      <c r="L1338" s="4">
        <v>440.09699999999998</v>
      </c>
      <c r="M1338" s="4">
        <v>413.69117999999997</v>
      </c>
      <c r="N1338" s="4">
        <v>440.09699999999998</v>
      </c>
      <c r="O1338" s="4">
        <v>413.69117999999997</v>
      </c>
      <c r="P1338" s="4">
        <v>0</v>
      </c>
      <c r="Q1338" s="3" t="s">
        <v>26</v>
      </c>
      <c r="R1338" s="3">
        <v>0</v>
      </c>
      <c r="S1338" s="3" t="s">
        <v>323</v>
      </c>
      <c r="T1338" s="3" t="s">
        <v>560</v>
      </c>
      <c r="U1338" s="3">
        <v>0</v>
      </c>
      <c r="V1338" s="3">
        <v>8</v>
      </c>
      <c r="W1338" s="3">
        <v>72</v>
      </c>
    </row>
    <row r="1339" spans="1:23" ht="11.25" customHeight="1" x14ac:dyDescent="0.25">
      <c r="A1339" s="3" t="s">
        <v>56</v>
      </c>
      <c r="B1339" s="3" t="s">
        <v>33</v>
      </c>
      <c r="C1339" s="3" t="s">
        <v>34</v>
      </c>
      <c r="D1339" s="3" t="s">
        <v>50</v>
      </c>
      <c r="E1339" s="3" t="s">
        <v>51</v>
      </c>
      <c r="F1339" s="3" t="s">
        <v>25</v>
      </c>
      <c r="G1339" s="3" t="s">
        <v>25</v>
      </c>
      <c r="H1339" s="3" t="s">
        <v>35</v>
      </c>
      <c r="I1339" s="6">
        <v>44652</v>
      </c>
      <c r="J1339" s="4">
        <v>0</v>
      </c>
      <c r="K1339" s="4">
        <v>0</v>
      </c>
      <c r="L1339" s="4">
        <v>3.238</v>
      </c>
      <c r="M1339" s="4">
        <v>3.04372</v>
      </c>
      <c r="N1339" s="4">
        <v>3.238</v>
      </c>
      <c r="O1339" s="4">
        <v>3.04372</v>
      </c>
      <c r="P1339" s="4">
        <v>0</v>
      </c>
      <c r="Q1339" s="3" t="s">
        <v>26</v>
      </c>
      <c r="R1339" s="3">
        <v>0</v>
      </c>
      <c r="S1339" s="3" t="s">
        <v>323</v>
      </c>
      <c r="T1339" s="3" t="s">
        <v>560</v>
      </c>
      <c r="U1339" s="3">
        <v>0</v>
      </c>
      <c r="V1339" s="3">
        <v>8</v>
      </c>
      <c r="W1339" s="3">
        <v>72</v>
      </c>
    </row>
    <row r="1340" spans="1:23" ht="11.25" customHeight="1" x14ac:dyDescent="0.25">
      <c r="A1340" s="3" t="s">
        <v>21</v>
      </c>
      <c r="B1340" s="3" t="s">
        <v>22</v>
      </c>
      <c r="C1340" s="3" t="s">
        <v>37</v>
      </c>
      <c r="D1340" s="3" t="s">
        <v>24</v>
      </c>
      <c r="E1340" s="3" t="s">
        <v>24</v>
      </c>
      <c r="F1340" s="3" t="s">
        <v>25</v>
      </c>
      <c r="G1340" s="3" t="s">
        <v>25</v>
      </c>
      <c r="H1340" s="3" t="s">
        <v>36</v>
      </c>
      <c r="I1340" s="6">
        <v>44317</v>
      </c>
      <c r="J1340" s="4">
        <v>0</v>
      </c>
      <c r="K1340" s="4">
        <v>0</v>
      </c>
      <c r="L1340" s="4">
        <v>63.302</v>
      </c>
      <c r="M1340" s="4">
        <v>63.302</v>
      </c>
      <c r="N1340" s="4">
        <v>63.302</v>
      </c>
      <c r="O1340" s="4">
        <v>63.302</v>
      </c>
      <c r="P1340" s="4">
        <v>0</v>
      </c>
      <c r="Q1340" s="3" t="s">
        <v>26</v>
      </c>
      <c r="R1340" s="3">
        <v>0</v>
      </c>
      <c r="S1340" s="3" t="s">
        <v>324</v>
      </c>
      <c r="T1340" s="3" t="s">
        <v>565</v>
      </c>
      <c r="U1340" s="3">
        <v>0</v>
      </c>
      <c r="V1340" s="3">
        <v>12</v>
      </c>
      <c r="W1340" s="3">
        <v>52</v>
      </c>
    </row>
    <row r="1341" spans="1:23" ht="11.25" customHeight="1" x14ac:dyDescent="0.25">
      <c r="A1341" s="3" t="s">
        <v>28</v>
      </c>
      <c r="B1341" s="3" t="s">
        <v>22</v>
      </c>
      <c r="C1341" s="3" t="s">
        <v>37</v>
      </c>
      <c r="D1341" s="3" t="s">
        <v>24</v>
      </c>
      <c r="E1341" s="3" t="s">
        <v>24</v>
      </c>
      <c r="F1341" s="3" t="s">
        <v>25</v>
      </c>
      <c r="G1341" s="3" t="s">
        <v>25</v>
      </c>
      <c r="H1341" s="3" t="s">
        <v>36</v>
      </c>
      <c r="I1341" s="6">
        <v>44317</v>
      </c>
      <c r="J1341" s="4">
        <v>0</v>
      </c>
      <c r="K1341" s="4">
        <v>0</v>
      </c>
      <c r="L1341" s="4">
        <v>0.182</v>
      </c>
      <c r="M1341" s="4">
        <v>0.182</v>
      </c>
      <c r="N1341" s="4">
        <v>0.182</v>
      </c>
      <c r="O1341" s="4">
        <v>0.182</v>
      </c>
      <c r="P1341" s="4">
        <v>0</v>
      </c>
      <c r="Q1341" s="3" t="s">
        <v>26</v>
      </c>
      <c r="R1341" s="3">
        <v>0</v>
      </c>
      <c r="S1341" s="3" t="s">
        <v>324</v>
      </c>
      <c r="T1341" s="3" t="s">
        <v>565</v>
      </c>
      <c r="U1341" s="3">
        <v>0</v>
      </c>
      <c r="V1341" s="3">
        <v>12</v>
      </c>
      <c r="W1341" s="3">
        <v>52</v>
      </c>
    </row>
    <row r="1342" spans="1:23" ht="11.25" customHeight="1" x14ac:dyDescent="0.25">
      <c r="A1342" s="3" t="s">
        <v>21</v>
      </c>
      <c r="B1342" s="3" t="s">
        <v>22</v>
      </c>
      <c r="C1342" s="3" t="s">
        <v>37</v>
      </c>
      <c r="D1342" s="3" t="s">
        <v>24</v>
      </c>
      <c r="E1342" s="3" t="s">
        <v>24</v>
      </c>
      <c r="F1342" s="3" t="s">
        <v>25</v>
      </c>
      <c r="G1342" s="3" t="s">
        <v>25</v>
      </c>
      <c r="H1342" s="3" t="s">
        <v>36</v>
      </c>
      <c r="I1342" s="6">
        <v>44348</v>
      </c>
      <c r="J1342" s="4">
        <v>0</v>
      </c>
      <c r="K1342" s="4">
        <v>0</v>
      </c>
      <c r="L1342" s="4">
        <v>55.173000000000002</v>
      </c>
      <c r="M1342" s="4">
        <v>55.173000000000002</v>
      </c>
      <c r="N1342" s="4">
        <v>55.173000000000002</v>
      </c>
      <c r="O1342" s="4">
        <v>55.173000000000002</v>
      </c>
      <c r="P1342" s="4">
        <v>0</v>
      </c>
      <c r="Q1342" s="3" t="s">
        <v>26</v>
      </c>
      <c r="R1342" s="3">
        <v>0</v>
      </c>
      <c r="S1342" s="3" t="s">
        <v>325</v>
      </c>
      <c r="T1342" s="3" t="s">
        <v>566</v>
      </c>
      <c r="U1342" s="3">
        <v>0</v>
      </c>
      <c r="V1342" s="3">
        <v>12</v>
      </c>
      <c r="W1342" s="3">
        <v>52</v>
      </c>
    </row>
    <row r="1343" spans="1:23" ht="11.25" customHeight="1" x14ac:dyDescent="0.25">
      <c r="A1343" s="3" t="s">
        <v>27</v>
      </c>
      <c r="B1343" s="3" t="s">
        <v>22</v>
      </c>
      <c r="C1343" s="3" t="s">
        <v>37</v>
      </c>
      <c r="D1343" s="3" t="s">
        <v>24</v>
      </c>
      <c r="E1343" s="3" t="s">
        <v>24</v>
      </c>
      <c r="F1343" s="3" t="s">
        <v>25</v>
      </c>
      <c r="G1343" s="3" t="s">
        <v>25</v>
      </c>
      <c r="H1343" s="3" t="s">
        <v>36</v>
      </c>
      <c r="I1343" s="6">
        <v>44348</v>
      </c>
      <c r="J1343" s="4">
        <v>0</v>
      </c>
      <c r="K1343" s="4">
        <v>0</v>
      </c>
      <c r="L1343" s="4">
        <v>-0.879</v>
      </c>
      <c r="M1343" s="4">
        <v>-0.879</v>
      </c>
      <c r="N1343" s="4">
        <v>-0.879</v>
      </c>
      <c r="O1343" s="4">
        <v>-0.879</v>
      </c>
      <c r="P1343" s="4">
        <v>0</v>
      </c>
      <c r="Q1343" s="3" t="s">
        <v>26</v>
      </c>
      <c r="R1343" s="3">
        <v>0</v>
      </c>
      <c r="S1343" s="3" t="s">
        <v>325</v>
      </c>
      <c r="T1343" s="3" t="s">
        <v>566</v>
      </c>
      <c r="U1343" s="3">
        <v>0</v>
      </c>
      <c r="V1343" s="3">
        <v>12</v>
      </c>
      <c r="W1343" s="3">
        <v>52</v>
      </c>
    </row>
    <row r="1344" spans="1:23" ht="11.25" customHeight="1" x14ac:dyDescent="0.25">
      <c r="A1344" s="3" t="s">
        <v>28</v>
      </c>
      <c r="B1344" s="3" t="s">
        <v>22</v>
      </c>
      <c r="C1344" s="3" t="s">
        <v>37</v>
      </c>
      <c r="D1344" s="3" t="s">
        <v>24</v>
      </c>
      <c r="E1344" s="3" t="s">
        <v>24</v>
      </c>
      <c r="F1344" s="3" t="s">
        <v>25</v>
      </c>
      <c r="G1344" s="3" t="s">
        <v>25</v>
      </c>
      <c r="H1344" s="3" t="s">
        <v>36</v>
      </c>
      <c r="I1344" s="6">
        <v>44348</v>
      </c>
      <c r="J1344" s="4">
        <v>0</v>
      </c>
      <c r="K1344" s="4">
        <v>0</v>
      </c>
      <c r="L1344" s="4">
        <v>3.5999999999999997E-2</v>
      </c>
      <c r="M1344" s="4">
        <v>3.5999999999999997E-2</v>
      </c>
      <c r="N1344" s="4">
        <v>3.5999999999999997E-2</v>
      </c>
      <c r="O1344" s="4">
        <v>3.5999999999999997E-2</v>
      </c>
      <c r="P1344" s="4">
        <v>0</v>
      </c>
      <c r="Q1344" s="3" t="s">
        <v>26</v>
      </c>
      <c r="R1344" s="3">
        <v>0</v>
      </c>
      <c r="S1344" s="3" t="s">
        <v>325</v>
      </c>
      <c r="T1344" s="3" t="s">
        <v>566</v>
      </c>
      <c r="U1344" s="3">
        <v>0</v>
      </c>
      <c r="V1344" s="3">
        <v>12</v>
      </c>
      <c r="W1344" s="3">
        <v>52</v>
      </c>
    </row>
    <row r="1345" spans="1:23" ht="11.25" customHeight="1" x14ac:dyDescent="0.25">
      <c r="A1345" s="3" t="s">
        <v>21</v>
      </c>
      <c r="B1345" s="3" t="s">
        <v>22</v>
      </c>
      <c r="C1345" s="3" t="s">
        <v>37</v>
      </c>
      <c r="D1345" s="3" t="s">
        <v>24</v>
      </c>
      <c r="E1345" s="3" t="s">
        <v>24</v>
      </c>
      <c r="F1345" s="3" t="s">
        <v>25</v>
      </c>
      <c r="G1345" s="3" t="s">
        <v>25</v>
      </c>
      <c r="H1345" s="3" t="s">
        <v>36</v>
      </c>
      <c r="I1345" s="6">
        <v>44378</v>
      </c>
      <c r="J1345" s="4">
        <v>0</v>
      </c>
      <c r="K1345" s="4">
        <v>0</v>
      </c>
      <c r="L1345" s="4">
        <v>49.68</v>
      </c>
      <c r="M1345" s="4">
        <v>49.68</v>
      </c>
      <c r="N1345" s="4">
        <v>49.68</v>
      </c>
      <c r="O1345" s="4">
        <v>49.68</v>
      </c>
      <c r="P1345" s="4">
        <v>0</v>
      </c>
      <c r="Q1345" s="3" t="s">
        <v>26</v>
      </c>
      <c r="R1345" s="3">
        <v>0</v>
      </c>
      <c r="S1345" s="3" t="s">
        <v>326</v>
      </c>
      <c r="T1345" s="3" t="s">
        <v>567</v>
      </c>
      <c r="U1345" s="3">
        <v>0</v>
      </c>
      <c r="V1345" s="3">
        <v>12</v>
      </c>
      <c r="W1345" s="3">
        <v>52</v>
      </c>
    </row>
    <row r="1346" spans="1:23" ht="11.25" customHeight="1" x14ac:dyDescent="0.25">
      <c r="A1346" s="3" t="s">
        <v>27</v>
      </c>
      <c r="B1346" s="3" t="s">
        <v>22</v>
      </c>
      <c r="C1346" s="3" t="s">
        <v>37</v>
      </c>
      <c r="D1346" s="3" t="s">
        <v>24</v>
      </c>
      <c r="E1346" s="3" t="s">
        <v>24</v>
      </c>
      <c r="F1346" s="3" t="s">
        <v>25</v>
      </c>
      <c r="G1346" s="3" t="s">
        <v>25</v>
      </c>
      <c r="H1346" s="3" t="s">
        <v>36</v>
      </c>
      <c r="I1346" s="6">
        <v>44378</v>
      </c>
      <c r="J1346" s="4">
        <v>0</v>
      </c>
      <c r="K1346" s="4">
        <v>0</v>
      </c>
      <c r="L1346" s="4">
        <v>-0.13900000000000001</v>
      </c>
      <c r="M1346" s="4">
        <v>-0.13900000000000001</v>
      </c>
      <c r="N1346" s="4">
        <v>-0.13900000000000001</v>
      </c>
      <c r="O1346" s="4">
        <v>-0.13900000000000001</v>
      </c>
      <c r="P1346" s="4">
        <v>0</v>
      </c>
      <c r="Q1346" s="3" t="s">
        <v>26</v>
      </c>
      <c r="R1346" s="3">
        <v>0</v>
      </c>
      <c r="S1346" s="3" t="s">
        <v>326</v>
      </c>
      <c r="T1346" s="3" t="s">
        <v>567</v>
      </c>
      <c r="U1346" s="3">
        <v>0</v>
      </c>
      <c r="V1346" s="3">
        <v>12</v>
      </c>
      <c r="W1346" s="3">
        <v>52</v>
      </c>
    </row>
    <row r="1347" spans="1:23" ht="11.25" customHeight="1" x14ac:dyDescent="0.25">
      <c r="A1347" s="3" t="s">
        <v>28</v>
      </c>
      <c r="B1347" s="3" t="s">
        <v>22</v>
      </c>
      <c r="C1347" s="3" t="s">
        <v>37</v>
      </c>
      <c r="D1347" s="3" t="s">
        <v>24</v>
      </c>
      <c r="E1347" s="3" t="s">
        <v>24</v>
      </c>
      <c r="F1347" s="3" t="s">
        <v>25</v>
      </c>
      <c r="G1347" s="3" t="s">
        <v>25</v>
      </c>
      <c r="H1347" s="3" t="s">
        <v>36</v>
      </c>
      <c r="I1347" s="6">
        <v>44378</v>
      </c>
      <c r="J1347" s="4">
        <v>0</v>
      </c>
      <c r="K1347" s="4">
        <v>0</v>
      </c>
      <c r="L1347" s="4">
        <v>0.442</v>
      </c>
      <c r="M1347" s="4">
        <v>0.442</v>
      </c>
      <c r="N1347" s="4">
        <v>0.442</v>
      </c>
      <c r="O1347" s="4">
        <v>0.442</v>
      </c>
      <c r="P1347" s="4">
        <v>0</v>
      </c>
      <c r="Q1347" s="3" t="s">
        <v>26</v>
      </c>
      <c r="R1347" s="3">
        <v>0</v>
      </c>
      <c r="S1347" s="3" t="s">
        <v>326</v>
      </c>
      <c r="T1347" s="3" t="s">
        <v>567</v>
      </c>
      <c r="U1347" s="3">
        <v>0</v>
      </c>
      <c r="V1347" s="3">
        <v>12</v>
      </c>
      <c r="W1347" s="3">
        <v>52</v>
      </c>
    </row>
    <row r="1348" spans="1:23" ht="11.25" customHeight="1" x14ac:dyDescent="0.25">
      <c r="A1348" s="3" t="s">
        <v>21</v>
      </c>
      <c r="B1348" s="3" t="s">
        <v>22</v>
      </c>
      <c r="C1348" s="3" t="s">
        <v>37</v>
      </c>
      <c r="D1348" s="3" t="s">
        <v>24</v>
      </c>
      <c r="E1348" s="3" t="s">
        <v>24</v>
      </c>
      <c r="F1348" s="3" t="s">
        <v>25</v>
      </c>
      <c r="G1348" s="3" t="s">
        <v>25</v>
      </c>
      <c r="H1348" s="3" t="s">
        <v>36</v>
      </c>
      <c r="I1348" s="6">
        <v>44409</v>
      </c>
      <c r="J1348" s="4">
        <v>0</v>
      </c>
      <c r="K1348" s="4">
        <v>0</v>
      </c>
      <c r="L1348" s="4">
        <v>47.259</v>
      </c>
      <c r="M1348" s="4">
        <v>47.259</v>
      </c>
      <c r="N1348" s="4">
        <v>47.259</v>
      </c>
      <c r="O1348" s="4">
        <v>47.259</v>
      </c>
      <c r="P1348" s="4">
        <v>0</v>
      </c>
      <c r="Q1348" s="3" t="s">
        <v>26</v>
      </c>
      <c r="R1348" s="3">
        <v>0</v>
      </c>
      <c r="S1348" s="3" t="s">
        <v>327</v>
      </c>
      <c r="T1348" s="3" t="s">
        <v>568</v>
      </c>
      <c r="U1348" s="3">
        <v>0</v>
      </c>
      <c r="V1348" s="3">
        <v>12</v>
      </c>
      <c r="W1348" s="3">
        <v>52</v>
      </c>
    </row>
    <row r="1349" spans="1:23" ht="11.25" customHeight="1" x14ac:dyDescent="0.25">
      <c r="A1349" s="3" t="s">
        <v>27</v>
      </c>
      <c r="B1349" s="3" t="s">
        <v>22</v>
      </c>
      <c r="C1349" s="3" t="s">
        <v>37</v>
      </c>
      <c r="D1349" s="3" t="s">
        <v>24</v>
      </c>
      <c r="E1349" s="3" t="s">
        <v>24</v>
      </c>
      <c r="F1349" s="3" t="s">
        <v>25</v>
      </c>
      <c r="G1349" s="3" t="s">
        <v>25</v>
      </c>
      <c r="H1349" s="3" t="s">
        <v>36</v>
      </c>
      <c r="I1349" s="6">
        <v>44409</v>
      </c>
      <c r="J1349" s="4">
        <v>0</v>
      </c>
      <c r="K1349" s="4">
        <v>0</v>
      </c>
      <c r="L1349" s="4">
        <v>0.191</v>
      </c>
      <c r="M1349" s="4">
        <v>0.191</v>
      </c>
      <c r="N1349" s="4">
        <v>0.191</v>
      </c>
      <c r="O1349" s="4">
        <v>0.191</v>
      </c>
      <c r="P1349" s="4">
        <v>0</v>
      </c>
      <c r="Q1349" s="3" t="s">
        <v>26</v>
      </c>
      <c r="R1349" s="3">
        <v>0</v>
      </c>
      <c r="S1349" s="3" t="s">
        <v>327</v>
      </c>
      <c r="T1349" s="3" t="s">
        <v>568</v>
      </c>
      <c r="U1349" s="3">
        <v>0</v>
      </c>
      <c r="V1349" s="3">
        <v>12</v>
      </c>
      <c r="W1349" s="3">
        <v>52</v>
      </c>
    </row>
    <row r="1350" spans="1:23" ht="11.25" customHeight="1" x14ac:dyDescent="0.25">
      <c r="A1350" s="3" t="s">
        <v>21</v>
      </c>
      <c r="B1350" s="3" t="s">
        <v>22</v>
      </c>
      <c r="C1350" s="3" t="s">
        <v>37</v>
      </c>
      <c r="D1350" s="3" t="s">
        <v>24</v>
      </c>
      <c r="E1350" s="3" t="s">
        <v>24</v>
      </c>
      <c r="F1350" s="3" t="s">
        <v>25</v>
      </c>
      <c r="G1350" s="3" t="s">
        <v>25</v>
      </c>
      <c r="H1350" s="3" t="s">
        <v>36</v>
      </c>
      <c r="I1350" s="6">
        <v>44440</v>
      </c>
      <c r="J1350" s="4">
        <v>0</v>
      </c>
      <c r="K1350" s="4">
        <v>0</v>
      </c>
      <c r="L1350" s="4">
        <v>52.165999999999997</v>
      </c>
      <c r="M1350" s="4">
        <v>52.165999999999997</v>
      </c>
      <c r="N1350" s="4">
        <v>52.165999999999997</v>
      </c>
      <c r="O1350" s="4">
        <v>52.165999999999997</v>
      </c>
      <c r="P1350" s="4">
        <v>0</v>
      </c>
      <c r="Q1350" s="3" t="s">
        <v>26</v>
      </c>
      <c r="R1350" s="3">
        <v>0</v>
      </c>
      <c r="S1350" s="3" t="s">
        <v>328</v>
      </c>
      <c r="T1350" s="3" t="s">
        <v>569</v>
      </c>
      <c r="U1350" s="3">
        <v>0</v>
      </c>
      <c r="V1350" s="3">
        <v>12</v>
      </c>
      <c r="W1350" s="3">
        <v>52</v>
      </c>
    </row>
    <row r="1351" spans="1:23" ht="11.25" customHeight="1" x14ac:dyDescent="0.25">
      <c r="A1351" s="3" t="s">
        <v>28</v>
      </c>
      <c r="B1351" s="3" t="s">
        <v>22</v>
      </c>
      <c r="C1351" s="3" t="s">
        <v>37</v>
      </c>
      <c r="D1351" s="3" t="s">
        <v>24</v>
      </c>
      <c r="E1351" s="3" t="s">
        <v>24</v>
      </c>
      <c r="F1351" s="3" t="s">
        <v>25</v>
      </c>
      <c r="G1351" s="3" t="s">
        <v>25</v>
      </c>
      <c r="H1351" s="3" t="s">
        <v>36</v>
      </c>
      <c r="I1351" s="6">
        <v>44440</v>
      </c>
      <c r="J1351" s="4">
        <v>0</v>
      </c>
      <c r="K1351" s="4">
        <v>0</v>
      </c>
      <c r="L1351" s="4">
        <v>4.9000000000000002E-2</v>
      </c>
      <c r="M1351" s="4">
        <v>4.9000000000000002E-2</v>
      </c>
      <c r="N1351" s="4">
        <v>4.9000000000000002E-2</v>
      </c>
      <c r="O1351" s="4">
        <v>4.9000000000000002E-2</v>
      </c>
      <c r="P1351" s="4">
        <v>0</v>
      </c>
      <c r="Q1351" s="3" t="s">
        <v>26</v>
      </c>
      <c r="R1351" s="3">
        <v>0</v>
      </c>
      <c r="S1351" s="3" t="s">
        <v>328</v>
      </c>
      <c r="T1351" s="3" t="s">
        <v>569</v>
      </c>
      <c r="U1351" s="3">
        <v>0</v>
      </c>
      <c r="V1351" s="3">
        <v>12</v>
      </c>
      <c r="W1351" s="3">
        <v>52</v>
      </c>
    </row>
    <row r="1352" spans="1:23" ht="11.25" customHeight="1" x14ac:dyDescent="0.25">
      <c r="A1352" s="3" t="s">
        <v>21</v>
      </c>
      <c r="B1352" s="3" t="s">
        <v>22</v>
      </c>
      <c r="C1352" s="3" t="s">
        <v>37</v>
      </c>
      <c r="D1352" s="3" t="s">
        <v>24</v>
      </c>
      <c r="E1352" s="3" t="s">
        <v>24</v>
      </c>
      <c r="F1352" s="3" t="s">
        <v>25</v>
      </c>
      <c r="G1352" s="3" t="s">
        <v>25</v>
      </c>
      <c r="H1352" s="3" t="s">
        <v>36</v>
      </c>
      <c r="I1352" s="6">
        <v>44470</v>
      </c>
      <c r="J1352" s="4">
        <v>0</v>
      </c>
      <c r="K1352" s="4">
        <v>0</v>
      </c>
      <c r="L1352" s="4">
        <v>55.752000000000002</v>
      </c>
      <c r="M1352" s="4">
        <v>55.752000000000002</v>
      </c>
      <c r="N1352" s="4">
        <v>55.752000000000002</v>
      </c>
      <c r="O1352" s="4">
        <v>55.752000000000002</v>
      </c>
      <c r="P1352" s="4">
        <v>0</v>
      </c>
      <c r="Q1352" s="3" t="s">
        <v>26</v>
      </c>
      <c r="R1352" s="3">
        <v>0</v>
      </c>
      <c r="S1352" s="3" t="s">
        <v>329</v>
      </c>
      <c r="T1352" s="3" t="s">
        <v>570</v>
      </c>
      <c r="U1352" s="3">
        <v>0</v>
      </c>
      <c r="V1352" s="3">
        <v>12</v>
      </c>
      <c r="W1352" s="3">
        <v>52</v>
      </c>
    </row>
    <row r="1353" spans="1:23" ht="11.25" customHeight="1" x14ac:dyDescent="0.25">
      <c r="A1353" s="3" t="s">
        <v>28</v>
      </c>
      <c r="B1353" s="3" t="s">
        <v>22</v>
      </c>
      <c r="C1353" s="3" t="s">
        <v>37</v>
      </c>
      <c r="D1353" s="3" t="s">
        <v>24</v>
      </c>
      <c r="E1353" s="3" t="s">
        <v>24</v>
      </c>
      <c r="F1353" s="3" t="s">
        <v>25</v>
      </c>
      <c r="G1353" s="3" t="s">
        <v>25</v>
      </c>
      <c r="H1353" s="3" t="s">
        <v>36</v>
      </c>
      <c r="I1353" s="6">
        <v>44470</v>
      </c>
      <c r="J1353" s="4">
        <v>0</v>
      </c>
      <c r="K1353" s="4">
        <v>0</v>
      </c>
      <c r="L1353" s="4">
        <v>2.5999999999999999E-2</v>
      </c>
      <c r="M1353" s="4">
        <v>2.5999999999999999E-2</v>
      </c>
      <c r="N1353" s="4">
        <v>2.5999999999999999E-2</v>
      </c>
      <c r="O1353" s="4">
        <v>2.5999999999999999E-2</v>
      </c>
      <c r="P1353" s="4">
        <v>0</v>
      </c>
      <c r="Q1353" s="3" t="s">
        <v>26</v>
      </c>
      <c r="R1353" s="3">
        <v>0</v>
      </c>
      <c r="S1353" s="3" t="s">
        <v>329</v>
      </c>
      <c r="T1353" s="3" t="s">
        <v>570</v>
      </c>
      <c r="U1353" s="3">
        <v>0</v>
      </c>
      <c r="V1353" s="3">
        <v>12</v>
      </c>
      <c r="W1353" s="3">
        <v>52</v>
      </c>
    </row>
    <row r="1354" spans="1:23" ht="11.25" customHeight="1" x14ac:dyDescent="0.25">
      <c r="A1354" s="3" t="s">
        <v>21</v>
      </c>
      <c r="B1354" s="3" t="s">
        <v>22</v>
      </c>
      <c r="C1354" s="3" t="s">
        <v>37</v>
      </c>
      <c r="D1354" s="3" t="s">
        <v>24</v>
      </c>
      <c r="E1354" s="3" t="s">
        <v>24</v>
      </c>
      <c r="F1354" s="3" t="s">
        <v>25</v>
      </c>
      <c r="G1354" s="3" t="s">
        <v>25</v>
      </c>
      <c r="H1354" s="3" t="s">
        <v>36</v>
      </c>
      <c r="I1354" s="6">
        <v>44501</v>
      </c>
      <c r="J1354" s="4">
        <v>0</v>
      </c>
      <c r="K1354" s="4">
        <v>0</v>
      </c>
      <c r="L1354" s="4">
        <v>58.466999999999999</v>
      </c>
      <c r="M1354" s="4">
        <v>58.466999999999999</v>
      </c>
      <c r="N1354" s="4">
        <v>58.466999999999999</v>
      </c>
      <c r="O1354" s="4">
        <v>58.466999999999999</v>
      </c>
      <c r="P1354" s="4">
        <v>0</v>
      </c>
      <c r="Q1354" s="3" t="s">
        <v>26</v>
      </c>
      <c r="R1354" s="3">
        <v>0</v>
      </c>
      <c r="S1354" s="3" t="s">
        <v>330</v>
      </c>
      <c r="T1354" s="3" t="s">
        <v>571</v>
      </c>
      <c r="U1354" s="3">
        <v>0</v>
      </c>
      <c r="V1354" s="3">
        <v>12</v>
      </c>
      <c r="W1354" s="3">
        <v>52</v>
      </c>
    </row>
    <row r="1355" spans="1:23" ht="11.25" customHeight="1" x14ac:dyDescent="0.25">
      <c r="A1355" s="3" t="s">
        <v>27</v>
      </c>
      <c r="B1355" s="3" t="s">
        <v>22</v>
      </c>
      <c r="C1355" s="3" t="s">
        <v>37</v>
      </c>
      <c r="D1355" s="3" t="s">
        <v>24</v>
      </c>
      <c r="E1355" s="3" t="s">
        <v>24</v>
      </c>
      <c r="F1355" s="3" t="s">
        <v>25</v>
      </c>
      <c r="G1355" s="3" t="s">
        <v>25</v>
      </c>
      <c r="H1355" s="3" t="s">
        <v>36</v>
      </c>
      <c r="I1355" s="6">
        <v>44501</v>
      </c>
      <c r="J1355" s="4">
        <v>0</v>
      </c>
      <c r="K1355" s="4">
        <v>0</v>
      </c>
      <c r="L1355" s="4">
        <v>-0.255</v>
      </c>
      <c r="M1355" s="4">
        <v>-0.255</v>
      </c>
      <c r="N1355" s="4">
        <v>-0.255</v>
      </c>
      <c r="O1355" s="4">
        <v>-0.255</v>
      </c>
      <c r="P1355" s="4">
        <v>0</v>
      </c>
      <c r="Q1355" s="3" t="s">
        <v>26</v>
      </c>
      <c r="R1355" s="3">
        <v>0</v>
      </c>
      <c r="S1355" s="3" t="s">
        <v>330</v>
      </c>
      <c r="T1355" s="3" t="s">
        <v>571</v>
      </c>
      <c r="U1355" s="3">
        <v>0</v>
      </c>
      <c r="V1355" s="3">
        <v>12</v>
      </c>
      <c r="W1355" s="3">
        <v>52</v>
      </c>
    </row>
    <row r="1356" spans="1:23" ht="11.25" customHeight="1" x14ac:dyDescent="0.25">
      <c r="A1356" s="3" t="s">
        <v>28</v>
      </c>
      <c r="B1356" s="3" t="s">
        <v>22</v>
      </c>
      <c r="C1356" s="3" t="s">
        <v>37</v>
      </c>
      <c r="D1356" s="3" t="s">
        <v>24</v>
      </c>
      <c r="E1356" s="3" t="s">
        <v>24</v>
      </c>
      <c r="F1356" s="3" t="s">
        <v>25</v>
      </c>
      <c r="G1356" s="3" t="s">
        <v>25</v>
      </c>
      <c r="H1356" s="3" t="s">
        <v>36</v>
      </c>
      <c r="I1356" s="6">
        <v>44501</v>
      </c>
      <c r="J1356" s="4">
        <v>0</v>
      </c>
      <c r="K1356" s="4">
        <v>0</v>
      </c>
      <c r="L1356" s="4">
        <v>0.107</v>
      </c>
      <c r="M1356" s="4">
        <v>0.107</v>
      </c>
      <c r="N1356" s="4">
        <v>0.107</v>
      </c>
      <c r="O1356" s="4">
        <v>0.107</v>
      </c>
      <c r="P1356" s="4">
        <v>0</v>
      </c>
      <c r="Q1356" s="3" t="s">
        <v>26</v>
      </c>
      <c r="R1356" s="3">
        <v>0</v>
      </c>
      <c r="S1356" s="3" t="s">
        <v>330</v>
      </c>
      <c r="T1356" s="3" t="s">
        <v>571</v>
      </c>
      <c r="U1356" s="3">
        <v>0</v>
      </c>
      <c r="V1356" s="3">
        <v>12</v>
      </c>
      <c r="W1356" s="3">
        <v>52</v>
      </c>
    </row>
    <row r="1357" spans="1:23" ht="11.25" customHeight="1" x14ac:dyDescent="0.25">
      <c r="A1357" s="3" t="s">
        <v>21</v>
      </c>
      <c r="B1357" s="3" t="s">
        <v>22</v>
      </c>
      <c r="C1357" s="3" t="s">
        <v>37</v>
      </c>
      <c r="D1357" s="3" t="s">
        <v>24</v>
      </c>
      <c r="E1357" s="3" t="s">
        <v>24</v>
      </c>
      <c r="F1357" s="3" t="s">
        <v>25</v>
      </c>
      <c r="G1357" s="3" t="s">
        <v>25</v>
      </c>
      <c r="H1357" s="3" t="s">
        <v>36</v>
      </c>
      <c r="I1357" s="6">
        <v>44531</v>
      </c>
      <c r="J1357" s="4">
        <v>0</v>
      </c>
      <c r="K1357" s="4">
        <v>0</v>
      </c>
      <c r="L1357" s="4">
        <v>61.220999999999997</v>
      </c>
      <c r="M1357" s="4">
        <v>61.220999999999997</v>
      </c>
      <c r="N1357" s="4">
        <v>61.220999999999997</v>
      </c>
      <c r="O1357" s="4">
        <v>61.220999999999997</v>
      </c>
      <c r="P1357" s="4">
        <v>0</v>
      </c>
      <c r="Q1357" s="3" t="s">
        <v>26</v>
      </c>
      <c r="R1357" s="3">
        <v>0</v>
      </c>
      <c r="S1357" s="3" t="s">
        <v>331</v>
      </c>
      <c r="T1357" s="3" t="s">
        <v>572</v>
      </c>
      <c r="U1357" s="3">
        <v>0</v>
      </c>
      <c r="V1357" s="3">
        <v>12</v>
      </c>
      <c r="W1357" s="3">
        <v>52</v>
      </c>
    </row>
    <row r="1358" spans="1:23" ht="11.25" customHeight="1" x14ac:dyDescent="0.25">
      <c r="A1358" s="3" t="s">
        <v>27</v>
      </c>
      <c r="B1358" s="3" t="s">
        <v>22</v>
      </c>
      <c r="C1358" s="3" t="s">
        <v>37</v>
      </c>
      <c r="D1358" s="3" t="s">
        <v>24</v>
      </c>
      <c r="E1358" s="3" t="s">
        <v>24</v>
      </c>
      <c r="F1358" s="3" t="s">
        <v>25</v>
      </c>
      <c r="G1358" s="3" t="s">
        <v>25</v>
      </c>
      <c r="H1358" s="3" t="s">
        <v>36</v>
      </c>
      <c r="I1358" s="6">
        <v>44531</v>
      </c>
      <c r="J1358" s="4">
        <v>0</v>
      </c>
      <c r="K1358" s="4">
        <v>0</v>
      </c>
      <c r="L1358" s="4">
        <v>-0.14499999999999999</v>
      </c>
      <c r="M1358" s="4">
        <v>-0.14499999999999999</v>
      </c>
      <c r="N1358" s="4">
        <v>-0.14499999999999999</v>
      </c>
      <c r="O1358" s="4">
        <v>-0.14499999999999999</v>
      </c>
      <c r="P1358" s="4">
        <v>0</v>
      </c>
      <c r="Q1358" s="3" t="s">
        <v>26</v>
      </c>
      <c r="R1358" s="3">
        <v>0</v>
      </c>
      <c r="S1358" s="3" t="s">
        <v>331</v>
      </c>
      <c r="T1358" s="3" t="s">
        <v>572</v>
      </c>
      <c r="U1358" s="3">
        <v>0</v>
      </c>
      <c r="V1358" s="3">
        <v>12</v>
      </c>
      <c r="W1358" s="3">
        <v>52</v>
      </c>
    </row>
    <row r="1359" spans="1:23" ht="11.25" customHeight="1" x14ac:dyDescent="0.25">
      <c r="A1359" s="3" t="s">
        <v>28</v>
      </c>
      <c r="B1359" s="3" t="s">
        <v>22</v>
      </c>
      <c r="C1359" s="3" t="s">
        <v>37</v>
      </c>
      <c r="D1359" s="3" t="s">
        <v>24</v>
      </c>
      <c r="E1359" s="3" t="s">
        <v>24</v>
      </c>
      <c r="F1359" s="3" t="s">
        <v>25</v>
      </c>
      <c r="G1359" s="3" t="s">
        <v>25</v>
      </c>
      <c r="H1359" s="3" t="s">
        <v>36</v>
      </c>
      <c r="I1359" s="6">
        <v>44531</v>
      </c>
      <c r="J1359" s="4">
        <v>0</v>
      </c>
      <c r="K1359" s="4">
        <v>0</v>
      </c>
      <c r="L1359" s="4">
        <v>0.152</v>
      </c>
      <c r="M1359" s="4">
        <v>0.152</v>
      </c>
      <c r="N1359" s="4">
        <v>0.152</v>
      </c>
      <c r="O1359" s="4">
        <v>0.152</v>
      </c>
      <c r="P1359" s="4">
        <v>0</v>
      </c>
      <c r="Q1359" s="3" t="s">
        <v>26</v>
      </c>
      <c r="R1359" s="3">
        <v>0</v>
      </c>
      <c r="S1359" s="3" t="s">
        <v>331</v>
      </c>
      <c r="T1359" s="3" t="s">
        <v>572</v>
      </c>
      <c r="U1359" s="3">
        <v>0</v>
      </c>
      <c r="V1359" s="3">
        <v>12</v>
      </c>
      <c r="W1359" s="3">
        <v>52</v>
      </c>
    </row>
    <row r="1360" spans="1:23" ht="11.25" customHeight="1" x14ac:dyDescent="0.25">
      <c r="A1360" s="3" t="s">
        <v>21</v>
      </c>
      <c r="B1360" s="3" t="s">
        <v>22</v>
      </c>
      <c r="C1360" s="3" t="s">
        <v>37</v>
      </c>
      <c r="D1360" s="3" t="s">
        <v>24</v>
      </c>
      <c r="E1360" s="3" t="s">
        <v>24</v>
      </c>
      <c r="F1360" s="3" t="s">
        <v>25</v>
      </c>
      <c r="G1360" s="3" t="s">
        <v>25</v>
      </c>
      <c r="H1360" s="3" t="s">
        <v>36</v>
      </c>
      <c r="I1360" s="6">
        <v>44562</v>
      </c>
      <c r="J1360" s="4">
        <v>0</v>
      </c>
      <c r="K1360" s="4">
        <v>0</v>
      </c>
      <c r="L1360" s="4">
        <v>56.481000000000002</v>
      </c>
      <c r="M1360" s="4">
        <v>56.481000000000002</v>
      </c>
      <c r="N1360" s="4">
        <v>56.481000000000002</v>
      </c>
      <c r="O1360" s="4">
        <v>56.481000000000002</v>
      </c>
      <c r="P1360" s="4">
        <v>0</v>
      </c>
      <c r="Q1360" s="3" t="s">
        <v>26</v>
      </c>
      <c r="R1360" s="3">
        <v>0</v>
      </c>
      <c r="S1360" s="3" t="s">
        <v>332</v>
      </c>
      <c r="T1360" s="3" t="s">
        <v>573</v>
      </c>
      <c r="U1360" s="3">
        <v>0</v>
      </c>
      <c r="V1360" s="3">
        <v>12</v>
      </c>
      <c r="W1360" s="3">
        <v>52</v>
      </c>
    </row>
    <row r="1361" spans="1:23" ht="11.25" customHeight="1" x14ac:dyDescent="0.25">
      <c r="A1361" s="3" t="s">
        <v>28</v>
      </c>
      <c r="B1361" s="3" t="s">
        <v>22</v>
      </c>
      <c r="C1361" s="3" t="s">
        <v>37</v>
      </c>
      <c r="D1361" s="3" t="s">
        <v>24</v>
      </c>
      <c r="E1361" s="3" t="s">
        <v>24</v>
      </c>
      <c r="F1361" s="3" t="s">
        <v>25</v>
      </c>
      <c r="G1361" s="3" t="s">
        <v>25</v>
      </c>
      <c r="H1361" s="3" t="s">
        <v>36</v>
      </c>
      <c r="I1361" s="6">
        <v>44562</v>
      </c>
      <c r="J1361" s="4">
        <v>0</v>
      </c>
      <c r="K1361" s="4">
        <v>0</v>
      </c>
      <c r="L1361" s="4">
        <v>0.16400000000000001</v>
      </c>
      <c r="M1361" s="4">
        <v>0.16400000000000001</v>
      </c>
      <c r="N1361" s="4">
        <v>0.16400000000000001</v>
      </c>
      <c r="O1361" s="4">
        <v>0.16400000000000001</v>
      </c>
      <c r="P1361" s="4">
        <v>0</v>
      </c>
      <c r="Q1361" s="3" t="s">
        <v>26</v>
      </c>
      <c r="R1361" s="3">
        <v>0</v>
      </c>
      <c r="S1361" s="3" t="s">
        <v>332</v>
      </c>
      <c r="T1361" s="3" t="s">
        <v>573</v>
      </c>
      <c r="U1361" s="3">
        <v>0</v>
      </c>
      <c r="V1361" s="3">
        <v>12</v>
      </c>
      <c r="W1361" s="3">
        <v>52</v>
      </c>
    </row>
    <row r="1362" spans="1:23" ht="11.25" customHeight="1" x14ac:dyDescent="0.25">
      <c r="A1362" s="3" t="s">
        <v>21</v>
      </c>
      <c r="B1362" s="3" t="s">
        <v>22</v>
      </c>
      <c r="C1362" s="3" t="s">
        <v>37</v>
      </c>
      <c r="D1362" s="3" t="s">
        <v>24</v>
      </c>
      <c r="E1362" s="3" t="s">
        <v>24</v>
      </c>
      <c r="F1362" s="3" t="s">
        <v>25</v>
      </c>
      <c r="G1362" s="3" t="s">
        <v>25</v>
      </c>
      <c r="H1362" s="3" t="s">
        <v>36</v>
      </c>
      <c r="I1362" s="6">
        <v>44593</v>
      </c>
      <c r="J1362" s="4">
        <v>0</v>
      </c>
      <c r="K1362" s="4">
        <v>0</v>
      </c>
      <c r="L1362" s="4">
        <v>56.331000000000003</v>
      </c>
      <c r="M1362" s="4">
        <v>56.331000000000003</v>
      </c>
      <c r="N1362" s="4">
        <v>56.331000000000003</v>
      </c>
      <c r="O1362" s="4">
        <v>56.331000000000003</v>
      </c>
      <c r="P1362" s="4">
        <v>0</v>
      </c>
      <c r="Q1362" s="3" t="s">
        <v>26</v>
      </c>
      <c r="R1362" s="3">
        <v>0</v>
      </c>
      <c r="S1362" s="3" t="s">
        <v>333</v>
      </c>
      <c r="T1362" s="3" t="s">
        <v>574</v>
      </c>
      <c r="U1362" s="3">
        <v>0</v>
      </c>
      <c r="V1362" s="3">
        <v>12</v>
      </c>
      <c r="W1362" s="3">
        <v>52</v>
      </c>
    </row>
    <row r="1363" spans="1:23" ht="11.25" customHeight="1" x14ac:dyDescent="0.25">
      <c r="A1363" s="3" t="s">
        <v>28</v>
      </c>
      <c r="B1363" s="3" t="s">
        <v>22</v>
      </c>
      <c r="C1363" s="3" t="s">
        <v>37</v>
      </c>
      <c r="D1363" s="3" t="s">
        <v>24</v>
      </c>
      <c r="E1363" s="3" t="s">
        <v>24</v>
      </c>
      <c r="F1363" s="3" t="s">
        <v>25</v>
      </c>
      <c r="G1363" s="3" t="s">
        <v>25</v>
      </c>
      <c r="H1363" s="3" t="s">
        <v>36</v>
      </c>
      <c r="I1363" s="6">
        <v>44593</v>
      </c>
      <c r="J1363" s="4">
        <v>0</v>
      </c>
      <c r="K1363" s="4">
        <v>0</v>
      </c>
      <c r="L1363" s="4">
        <v>0.13800000000000001</v>
      </c>
      <c r="M1363" s="4">
        <v>0.13800000000000001</v>
      </c>
      <c r="N1363" s="4">
        <v>0.13800000000000001</v>
      </c>
      <c r="O1363" s="4">
        <v>0.13800000000000001</v>
      </c>
      <c r="P1363" s="4">
        <v>0</v>
      </c>
      <c r="Q1363" s="3" t="s">
        <v>26</v>
      </c>
      <c r="R1363" s="3">
        <v>0</v>
      </c>
      <c r="S1363" s="3" t="s">
        <v>333</v>
      </c>
      <c r="T1363" s="3" t="s">
        <v>574</v>
      </c>
      <c r="U1363" s="3">
        <v>0</v>
      </c>
      <c r="V1363" s="3">
        <v>12</v>
      </c>
      <c r="W1363" s="3">
        <v>52</v>
      </c>
    </row>
    <row r="1364" spans="1:23" ht="11.25" customHeight="1" x14ac:dyDescent="0.25">
      <c r="A1364" s="3" t="s">
        <v>21</v>
      </c>
      <c r="B1364" s="3" t="s">
        <v>22</v>
      </c>
      <c r="C1364" s="3" t="s">
        <v>37</v>
      </c>
      <c r="D1364" s="3" t="s">
        <v>24</v>
      </c>
      <c r="E1364" s="3" t="s">
        <v>24</v>
      </c>
      <c r="F1364" s="3" t="s">
        <v>25</v>
      </c>
      <c r="G1364" s="3" t="s">
        <v>25</v>
      </c>
      <c r="H1364" s="3" t="s">
        <v>36</v>
      </c>
      <c r="I1364" s="6">
        <v>44621</v>
      </c>
      <c r="J1364" s="4">
        <v>0</v>
      </c>
      <c r="K1364" s="4">
        <v>0</v>
      </c>
      <c r="L1364" s="4">
        <v>60.597999999999999</v>
      </c>
      <c r="M1364" s="4">
        <v>60.597999999999999</v>
      </c>
      <c r="N1364" s="4">
        <v>60.597999999999999</v>
      </c>
      <c r="O1364" s="4">
        <v>60.597999999999999</v>
      </c>
      <c r="P1364" s="4">
        <v>0</v>
      </c>
      <c r="Q1364" s="3" t="s">
        <v>26</v>
      </c>
      <c r="R1364" s="3">
        <v>0</v>
      </c>
      <c r="S1364" s="3" t="s">
        <v>334</v>
      </c>
      <c r="T1364" s="3" t="s">
        <v>575</v>
      </c>
      <c r="U1364" s="3">
        <v>0</v>
      </c>
      <c r="V1364" s="3">
        <v>12</v>
      </c>
      <c r="W1364" s="3">
        <v>52</v>
      </c>
    </row>
    <row r="1365" spans="1:23" ht="11.25" customHeight="1" x14ac:dyDescent="0.25">
      <c r="A1365" s="3" t="s">
        <v>28</v>
      </c>
      <c r="B1365" s="3" t="s">
        <v>22</v>
      </c>
      <c r="C1365" s="3" t="s">
        <v>37</v>
      </c>
      <c r="D1365" s="3" t="s">
        <v>24</v>
      </c>
      <c r="E1365" s="3" t="s">
        <v>24</v>
      </c>
      <c r="F1365" s="3" t="s">
        <v>25</v>
      </c>
      <c r="G1365" s="3" t="s">
        <v>25</v>
      </c>
      <c r="H1365" s="3" t="s">
        <v>36</v>
      </c>
      <c r="I1365" s="6">
        <v>44621</v>
      </c>
      <c r="J1365" s="4">
        <v>0</v>
      </c>
      <c r="K1365" s="4">
        <v>0</v>
      </c>
      <c r="L1365" s="4">
        <v>0.159</v>
      </c>
      <c r="M1365" s="4">
        <v>0.159</v>
      </c>
      <c r="N1365" s="4">
        <v>0.159</v>
      </c>
      <c r="O1365" s="4">
        <v>0.159</v>
      </c>
      <c r="P1365" s="4">
        <v>0</v>
      </c>
      <c r="Q1365" s="3" t="s">
        <v>26</v>
      </c>
      <c r="R1365" s="3">
        <v>0</v>
      </c>
      <c r="S1365" s="3" t="s">
        <v>334</v>
      </c>
      <c r="T1365" s="3" t="s">
        <v>575</v>
      </c>
      <c r="U1365" s="3">
        <v>0</v>
      </c>
      <c r="V1365" s="3">
        <v>12</v>
      </c>
      <c r="W1365" s="3">
        <v>52</v>
      </c>
    </row>
    <row r="1366" spans="1:23" ht="11.25" customHeight="1" x14ac:dyDescent="0.25">
      <c r="A1366" s="3" t="s">
        <v>56</v>
      </c>
      <c r="B1366" s="3" t="s">
        <v>22</v>
      </c>
      <c r="C1366" s="3" t="s">
        <v>37</v>
      </c>
      <c r="D1366" s="3" t="s">
        <v>24</v>
      </c>
      <c r="E1366" s="3" t="s">
        <v>24</v>
      </c>
      <c r="F1366" s="3" t="s">
        <v>25</v>
      </c>
      <c r="G1366" s="3" t="s">
        <v>25</v>
      </c>
      <c r="H1366" s="3" t="s">
        <v>36</v>
      </c>
      <c r="I1366" s="6">
        <v>44652</v>
      </c>
      <c r="J1366" s="4">
        <v>0</v>
      </c>
      <c r="K1366" s="4">
        <v>0</v>
      </c>
      <c r="L1366" s="4">
        <v>60.597999999999999</v>
      </c>
      <c r="M1366" s="4">
        <v>60.597999999999999</v>
      </c>
      <c r="N1366" s="4">
        <v>60.597999999999999</v>
      </c>
      <c r="O1366" s="4">
        <v>60.597999999999999</v>
      </c>
      <c r="P1366" s="4">
        <v>0</v>
      </c>
      <c r="Q1366" s="3" t="s">
        <v>26</v>
      </c>
      <c r="R1366" s="3">
        <v>0</v>
      </c>
      <c r="S1366" s="3" t="s">
        <v>335</v>
      </c>
      <c r="T1366" s="3" t="s">
        <v>576</v>
      </c>
      <c r="U1366" s="3">
        <v>0</v>
      </c>
      <c r="V1366" s="3">
        <v>12</v>
      </c>
      <c r="W1366" s="3">
        <v>52</v>
      </c>
    </row>
    <row r="1367" spans="1:23" ht="11.25" customHeight="1" x14ac:dyDescent="0.25">
      <c r="A1367" s="3" t="s">
        <v>56</v>
      </c>
      <c r="B1367" s="3" t="s">
        <v>22</v>
      </c>
      <c r="C1367" s="3" t="s">
        <v>37</v>
      </c>
      <c r="D1367" s="3" t="s">
        <v>24</v>
      </c>
      <c r="E1367" s="3" t="s">
        <v>24</v>
      </c>
      <c r="F1367" s="3" t="s">
        <v>25</v>
      </c>
      <c r="G1367" s="3" t="s">
        <v>25</v>
      </c>
      <c r="H1367" s="3" t="s">
        <v>36</v>
      </c>
      <c r="I1367" s="6">
        <v>44652</v>
      </c>
      <c r="J1367" s="4">
        <v>0</v>
      </c>
      <c r="K1367" s="4">
        <v>0</v>
      </c>
      <c r="L1367" s="4">
        <v>0.159</v>
      </c>
      <c r="M1367" s="4">
        <v>0.159</v>
      </c>
      <c r="N1367" s="4">
        <v>0.159</v>
      </c>
      <c r="O1367" s="4">
        <v>0.159</v>
      </c>
      <c r="P1367" s="4">
        <v>0</v>
      </c>
      <c r="Q1367" s="3" t="s">
        <v>26</v>
      </c>
      <c r="R1367" s="3">
        <v>0</v>
      </c>
      <c r="S1367" s="3" t="s">
        <v>335</v>
      </c>
      <c r="T1367" s="3" t="s">
        <v>576</v>
      </c>
      <c r="U1367" s="3">
        <v>0</v>
      </c>
      <c r="V1367" s="3">
        <v>12</v>
      </c>
      <c r="W1367" s="3">
        <v>52</v>
      </c>
    </row>
    <row r="1368" spans="1:23" ht="11.25" customHeight="1" x14ac:dyDescent="0.25">
      <c r="A1368" s="3" t="s">
        <v>21</v>
      </c>
      <c r="B1368" s="3" t="s">
        <v>22</v>
      </c>
      <c r="C1368" s="3" t="s">
        <v>37</v>
      </c>
      <c r="D1368" s="3" t="s">
        <v>24</v>
      </c>
      <c r="E1368" s="3" t="s">
        <v>24</v>
      </c>
      <c r="F1368" s="3" t="s">
        <v>25</v>
      </c>
      <c r="G1368" s="3" t="s">
        <v>25</v>
      </c>
      <c r="H1368" s="3" t="s">
        <v>38</v>
      </c>
      <c r="I1368" s="6">
        <v>44317</v>
      </c>
      <c r="J1368" s="4">
        <v>0</v>
      </c>
      <c r="K1368" s="4">
        <v>0</v>
      </c>
      <c r="L1368" s="4">
        <v>3.3980000000000001</v>
      </c>
      <c r="M1368" s="4">
        <v>3.3980000000000001</v>
      </c>
      <c r="N1368" s="4">
        <v>3.3980000000000001</v>
      </c>
      <c r="O1368" s="4">
        <v>3.3980000000000001</v>
      </c>
      <c r="P1368" s="4">
        <v>0</v>
      </c>
      <c r="Q1368" s="3" t="s">
        <v>26</v>
      </c>
      <c r="R1368" s="3">
        <v>0</v>
      </c>
      <c r="S1368" s="3" t="s">
        <v>336</v>
      </c>
      <c r="T1368" s="3" t="s">
        <v>577</v>
      </c>
      <c r="U1368" s="3">
        <v>0</v>
      </c>
      <c r="V1368" s="3">
        <v>32</v>
      </c>
      <c r="W1368" s="3">
        <v>51</v>
      </c>
    </row>
    <row r="1369" spans="1:23" ht="11.25" customHeight="1" x14ac:dyDescent="0.25">
      <c r="A1369" s="3" t="s">
        <v>28</v>
      </c>
      <c r="B1369" s="3" t="s">
        <v>22</v>
      </c>
      <c r="C1369" s="3" t="s">
        <v>37</v>
      </c>
      <c r="D1369" s="3" t="s">
        <v>24</v>
      </c>
      <c r="E1369" s="3" t="s">
        <v>24</v>
      </c>
      <c r="F1369" s="3" t="s">
        <v>25</v>
      </c>
      <c r="G1369" s="3" t="s">
        <v>25</v>
      </c>
      <c r="H1369" s="3" t="s">
        <v>38</v>
      </c>
      <c r="I1369" s="6">
        <v>44317</v>
      </c>
      <c r="J1369" s="4">
        <v>0</v>
      </c>
      <c r="K1369" s="4">
        <v>0</v>
      </c>
      <c r="L1369" s="4">
        <v>7.0000000000000001E-3</v>
      </c>
      <c r="M1369" s="4">
        <v>7.0000000000000001E-3</v>
      </c>
      <c r="N1369" s="4">
        <v>7.0000000000000001E-3</v>
      </c>
      <c r="O1369" s="4">
        <v>7.0000000000000001E-3</v>
      </c>
      <c r="P1369" s="4">
        <v>0</v>
      </c>
      <c r="Q1369" s="3" t="s">
        <v>26</v>
      </c>
      <c r="R1369" s="3">
        <v>0</v>
      </c>
      <c r="S1369" s="3" t="s">
        <v>336</v>
      </c>
      <c r="T1369" s="3" t="s">
        <v>577</v>
      </c>
      <c r="U1369" s="3">
        <v>0</v>
      </c>
      <c r="V1369" s="3">
        <v>32</v>
      </c>
      <c r="W1369" s="3">
        <v>51</v>
      </c>
    </row>
    <row r="1370" spans="1:23" ht="11.25" customHeight="1" x14ac:dyDescent="0.25">
      <c r="A1370" s="3" t="s">
        <v>21</v>
      </c>
      <c r="B1370" s="3" t="s">
        <v>22</v>
      </c>
      <c r="C1370" s="3" t="s">
        <v>37</v>
      </c>
      <c r="D1370" s="3" t="s">
        <v>24</v>
      </c>
      <c r="E1370" s="3" t="s">
        <v>24</v>
      </c>
      <c r="F1370" s="3" t="s">
        <v>25</v>
      </c>
      <c r="G1370" s="3" t="s">
        <v>25</v>
      </c>
      <c r="H1370" s="3" t="s">
        <v>38</v>
      </c>
      <c r="I1370" s="6">
        <v>44348</v>
      </c>
      <c r="J1370" s="4">
        <v>0</v>
      </c>
      <c r="K1370" s="4">
        <v>0</v>
      </c>
      <c r="L1370" s="4">
        <v>3.12</v>
      </c>
      <c r="M1370" s="4">
        <v>3.12</v>
      </c>
      <c r="N1370" s="4">
        <v>3.12</v>
      </c>
      <c r="O1370" s="4">
        <v>3.12</v>
      </c>
      <c r="P1370" s="4">
        <v>0</v>
      </c>
      <c r="Q1370" s="3" t="s">
        <v>26</v>
      </c>
      <c r="R1370" s="3">
        <v>0</v>
      </c>
      <c r="S1370" s="3" t="s">
        <v>337</v>
      </c>
      <c r="T1370" s="3" t="s">
        <v>578</v>
      </c>
      <c r="U1370" s="3">
        <v>0</v>
      </c>
      <c r="V1370" s="3">
        <v>32</v>
      </c>
      <c r="W1370" s="3">
        <v>51</v>
      </c>
    </row>
    <row r="1371" spans="1:23" ht="11.25" customHeight="1" x14ac:dyDescent="0.25">
      <c r="A1371" s="3" t="s">
        <v>27</v>
      </c>
      <c r="B1371" s="3" t="s">
        <v>22</v>
      </c>
      <c r="C1371" s="3" t="s">
        <v>37</v>
      </c>
      <c r="D1371" s="3" t="s">
        <v>24</v>
      </c>
      <c r="E1371" s="3" t="s">
        <v>24</v>
      </c>
      <c r="F1371" s="3" t="s">
        <v>25</v>
      </c>
      <c r="G1371" s="3" t="s">
        <v>25</v>
      </c>
      <c r="H1371" s="3" t="s">
        <v>38</v>
      </c>
      <c r="I1371" s="6">
        <v>44348</v>
      </c>
      <c r="J1371" s="4">
        <v>0</v>
      </c>
      <c r="K1371" s="4">
        <v>0</v>
      </c>
      <c r="L1371" s="4">
        <v>-4.9000000000000002E-2</v>
      </c>
      <c r="M1371" s="4">
        <v>-4.9000000000000002E-2</v>
      </c>
      <c r="N1371" s="4">
        <v>-4.9000000000000002E-2</v>
      </c>
      <c r="O1371" s="4">
        <v>-4.9000000000000002E-2</v>
      </c>
      <c r="P1371" s="4">
        <v>0</v>
      </c>
      <c r="Q1371" s="3" t="s">
        <v>26</v>
      </c>
      <c r="R1371" s="3">
        <v>0</v>
      </c>
      <c r="S1371" s="3" t="s">
        <v>337</v>
      </c>
      <c r="T1371" s="3" t="s">
        <v>578</v>
      </c>
      <c r="U1371" s="3">
        <v>0</v>
      </c>
      <c r="V1371" s="3">
        <v>32</v>
      </c>
      <c r="W1371" s="3">
        <v>51</v>
      </c>
    </row>
    <row r="1372" spans="1:23" ht="11.25" customHeight="1" x14ac:dyDescent="0.25">
      <c r="A1372" s="3" t="s">
        <v>21</v>
      </c>
      <c r="B1372" s="3" t="s">
        <v>22</v>
      </c>
      <c r="C1372" s="3" t="s">
        <v>37</v>
      </c>
      <c r="D1372" s="3" t="s">
        <v>24</v>
      </c>
      <c r="E1372" s="3" t="s">
        <v>24</v>
      </c>
      <c r="F1372" s="3" t="s">
        <v>25</v>
      </c>
      <c r="G1372" s="3" t="s">
        <v>25</v>
      </c>
      <c r="H1372" s="3" t="s">
        <v>38</v>
      </c>
      <c r="I1372" s="6">
        <v>44378</v>
      </c>
      <c r="J1372" s="4">
        <v>0</v>
      </c>
      <c r="K1372" s="4">
        <v>0</v>
      </c>
      <c r="L1372" s="4">
        <v>2.746</v>
      </c>
      <c r="M1372" s="4">
        <v>2.746</v>
      </c>
      <c r="N1372" s="4">
        <v>2.746</v>
      </c>
      <c r="O1372" s="4">
        <v>2.746</v>
      </c>
      <c r="P1372" s="4">
        <v>0</v>
      </c>
      <c r="Q1372" s="3" t="s">
        <v>26</v>
      </c>
      <c r="R1372" s="3">
        <v>0</v>
      </c>
      <c r="S1372" s="3" t="s">
        <v>338</v>
      </c>
      <c r="T1372" s="3" t="s">
        <v>579</v>
      </c>
      <c r="U1372" s="3">
        <v>0</v>
      </c>
      <c r="V1372" s="3">
        <v>32</v>
      </c>
      <c r="W1372" s="3">
        <v>51</v>
      </c>
    </row>
    <row r="1373" spans="1:23" ht="11.25" customHeight="1" x14ac:dyDescent="0.25">
      <c r="A1373" s="3" t="s">
        <v>21</v>
      </c>
      <c r="B1373" s="3" t="s">
        <v>22</v>
      </c>
      <c r="C1373" s="3" t="s">
        <v>37</v>
      </c>
      <c r="D1373" s="3" t="s">
        <v>24</v>
      </c>
      <c r="E1373" s="3" t="s">
        <v>24</v>
      </c>
      <c r="F1373" s="3" t="s">
        <v>25</v>
      </c>
      <c r="G1373" s="3" t="s">
        <v>25</v>
      </c>
      <c r="H1373" s="3" t="s">
        <v>38</v>
      </c>
      <c r="I1373" s="6">
        <v>44409</v>
      </c>
      <c r="J1373" s="4">
        <v>0</v>
      </c>
      <c r="K1373" s="4">
        <v>0</v>
      </c>
      <c r="L1373" s="4">
        <v>2.6850000000000001</v>
      </c>
      <c r="M1373" s="4">
        <v>2.6850000000000001</v>
      </c>
      <c r="N1373" s="4">
        <v>2.6850000000000001</v>
      </c>
      <c r="O1373" s="4">
        <v>2.6850000000000001</v>
      </c>
      <c r="P1373" s="4">
        <v>0</v>
      </c>
      <c r="Q1373" s="3" t="s">
        <v>26</v>
      </c>
      <c r="R1373" s="3">
        <v>0</v>
      </c>
      <c r="S1373" s="3" t="s">
        <v>339</v>
      </c>
      <c r="T1373" s="3" t="s">
        <v>580</v>
      </c>
      <c r="U1373" s="3">
        <v>0</v>
      </c>
      <c r="V1373" s="3">
        <v>32</v>
      </c>
      <c r="W1373" s="3">
        <v>51</v>
      </c>
    </row>
    <row r="1374" spans="1:23" ht="11.25" customHeight="1" x14ac:dyDescent="0.25">
      <c r="A1374" s="3" t="s">
        <v>21</v>
      </c>
      <c r="B1374" s="3" t="s">
        <v>22</v>
      </c>
      <c r="C1374" s="3" t="s">
        <v>37</v>
      </c>
      <c r="D1374" s="3" t="s">
        <v>24</v>
      </c>
      <c r="E1374" s="3" t="s">
        <v>24</v>
      </c>
      <c r="F1374" s="3" t="s">
        <v>25</v>
      </c>
      <c r="G1374" s="3" t="s">
        <v>25</v>
      </c>
      <c r="H1374" s="3" t="s">
        <v>38</v>
      </c>
      <c r="I1374" s="6">
        <v>44440</v>
      </c>
      <c r="J1374" s="4">
        <v>0</v>
      </c>
      <c r="K1374" s="4">
        <v>0</v>
      </c>
      <c r="L1374" s="4">
        <v>2.6389999999999998</v>
      </c>
      <c r="M1374" s="4">
        <v>2.6389999999999998</v>
      </c>
      <c r="N1374" s="4">
        <v>2.6389999999999998</v>
      </c>
      <c r="O1374" s="4">
        <v>2.6389999999999998</v>
      </c>
      <c r="P1374" s="4">
        <v>0</v>
      </c>
      <c r="Q1374" s="3" t="s">
        <v>26</v>
      </c>
      <c r="R1374" s="3">
        <v>0</v>
      </c>
      <c r="S1374" s="3" t="s">
        <v>340</v>
      </c>
      <c r="T1374" s="3" t="s">
        <v>581</v>
      </c>
      <c r="U1374" s="3">
        <v>0</v>
      </c>
      <c r="V1374" s="3">
        <v>32</v>
      </c>
      <c r="W1374" s="3">
        <v>51</v>
      </c>
    </row>
    <row r="1375" spans="1:23" ht="11.25" customHeight="1" x14ac:dyDescent="0.25">
      <c r="A1375" s="3" t="s">
        <v>28</v>
      </c>
      <c r="B1375" s="3" t="s">
        <v>22</v>
      </c>
      <c r="C1375" s="3" t="s">
        <v>37</v>
      </c>
      <c r="D1375" s="3" t="s">
        <v>24</v>
      </c>
      <c r="E1375" s="3" t="s">
        <v>24</v>
      </c>
      <c r="F1375" s="3" t="s">
        <v>25</v>
      </c>
      <c r="G1375" s="3" t="s">
        <v>25</v>
      </c>
      <c r="H1375" s="3" t="s">
        <v>38</v>
      </c>
      <c r="I1375" s="6">
        <v>44440</v>
      </c>
      <c r="J1375" s="4">
        <v>0</v>
      </c>
      <c r="K1375" s="4">
        <v>0</v>
      </c>
      <c r="L1375" s="4">
        <v>2E-3</v>
      </c>
      <c r="M1375" s="4">
        <v>2E-3</v>
      </c>
      <c r="N1375" s="4">
        <v>2E-3</v>
      </c>
      <c r="O1375" s="4">
        <v>2E-3</v>
      </c>
      <c r="P1375" s="4">
        <v>0</v>
      </c>
      <c r="Q1375" s="3" t="s">
        <v>26</v>
      </c>
      <c r="R1375" s="3">
        <v>0</v>
      </c>
      <c r="S1375" s="3" t="s">
        <v>340</v>
      </c>
      <c r="T1375" s="3" t="s">
        <v>581</v>
      </c>
      <c r="U1375" s="3">
        <v>0</v>
      </c>
      <c r="V1375" s="3">
        <v>32</v>
      </c>
      <c r="W1375" s="3">
        <v>51</v>
      </c>
    </row>
    <row r="1376" spans="1:23" ht="11.25" customHeight="1" x14ac:dyDescent="0.25">
      <c r="A1376" s="3" t="s">
        <v>21</v>
      </c>
      <c r="B1376" s="3" t="s">
        <v>22</v>
      </c>
      <c r="C1376" s="3" t="s">
        <v>37</v>
      </c>
      <c r="D1376" s="3" t="s">
        <v>24</v>
      </c>
      <c r="E1376" s="3" t="s">
        <v>24</v>
      </c>
      <c r="F1376" s="3" t="s">
        <v>25</v>
      </c>
      <c r="G1376" s="3" t="s">
        <v>25</v>
      </c>
      <c r="H1376" s="3" t="s">
        <v>38</v>
      </c>
      <c r="I1376" s="6">
        <v>44470</v>
      </c>
      <c r="J1376" s="4">
        <v>0</v>
      </c>
      <c r="K1376" s="4">
        <v>0</v>
      </c>
      <c r="L1376" s="4">
        <v>3.2970000000000002</v>
      </c>
      <c r="M1376" s="4">
        <v>3.2970000000000002</v>
      </c>
      <c r="N1376" s="4">
        <v>3.2970000000000002</v>
      </c>
      <c r="O1376" s="4">
        <v>3.2970000000000002</v>
      </c>
      <c r="P1376" s="4">
        <v>0</v>
      </c>
      <c r="Q1376" s="3" t="s">
        <v>26</v>
      </c>
      <c r="R1376" s="3">
        <v>0</v>
      </c>
      <c r="S1376" s="3" t="s">
        <v>341</v>
      </c>
      <c r="T1376" s="3" t="s">
        <v>582</v>
      </c>
      <c r="U1376" s="3">
        <v>0</v>
      </c>
      <c r="V1376" s="3">
        <v>32</v>
      </c>
      <c r="W1376" s="3">
        <v>51</v>
      </c>
    </row>
    <row r="1377" spans="1:23" ht="11.25" customHeight="1" x14ac:dyDescent="0.25">
      <c r="A1377" s="3" t="s">
        <v>28</v>
      </c>
      <c r="B1377" s="3" t="s">
        <v>22</v>
      </c>
      <c r="C1377" s="3" t="s">
        <v>37</v>
      </c>
      <c r="D1377" s="3" t="s">
        <v>24</v>
      </c>
      <c r="E1377" s="3" t="s">
        <v>24</v>
      </c>
      <c r="F1377" s="3" t="s">
        <v>25</v>
      </c>
      <c r="G1377" s="3" t="s">
        <v>25</v>
      </c>
      <c r="H1377" s="3" t="s">
        <v>38</v>
      </c>
      <c r="I1377" s="6">
        <v>44470</v>
      </c>
      <c r="J1377" s="4">
        <v>0</v>
      </c>
      <c r="K1377" s="4">
        <v>0</v>
      </c>
      <c r="L1377" s="4">
        <v>1E-3</v>
      </c>
      <c r="M1377" s="4">
        <v>1E-3</v>
      </c>
      <c r="N1377" s="4">
        <v>1E-3</v>
      </c>
      <c r="O1377" s="4">
        <v>1E-3</v>
      </c>
      <c r="P1377" s="4">
        <v>0</v>
      </c>
      <c r="Q1377" s="3" t="s">
        <v>26</v>
      </c>
      <c r="R1377" s="3">
        <v>0</v>
      </c>
      <c r="S1377" s="3" t="s">
        <v>341</v>
      </c>
      <c r="T1377" s="3" t="s">
        <v>582</v>
      </c>
      <c r="U1377" s="3">
        <v>0</v>
      </c>
      <c r="V1377" s="3">
        <v>32</v>
      </c>
      <c r="W1377" s="3">
        <v>51</v>
      </c>
    </row>
    <row r="1378" spans="1:23" ht="11.25" customHeight="1" x14ac:dyDescent="0.25">
      <c r="A1378" s="3" t="s">
        <v>21</v>
      </c>
      <c r="B1378" s="3" t="s">
        <v>22</v>
      </c>
      <c r="C1378" s="3" t="s">
        <v>37</v>
      </c>
      <c r="D1378" s="3" t="s">
        <v>24</v>
      </c>
      <c r="E1378" s="3" t="s">
        <v>24</v>
      </c>
      <c r="F1378" s="3" t="s">
        <v>25</v>
      </c>
      <c r="G1378" s="3" t="s">
        <v>25</v>
      </c>
      <c r="H1378" s="3" t="s">
        <v>38</v>
      </c>
      <c r="I1378" s="6">
        <v>44501</v>
      </c>
      <c r="J1378" s="4">
        <v>0</v>
      </c>
      <c r="K1378" s="4">
        <v>0</v>
      </c>
      <c r="L1378" s="4">
        <v>2.6629999999999998</v>
      </c>
      <c r="M1378" s="4">
        <v>2.6629999999999998</v>
      </c>
      <c r="N1378" s="4">
        <v>2.6629999999999998</v>
      </c>
      <c r="O1378" s="4">
        <v>2.6629999999999998</v>
      </c>
      <c r="P1378" s="4">
        <v>0</v>
      </c>
      <c r="Q1378" s="3" t="s">
        <v>26</v>
      </c>
      <c r="R1378" s="3">
        <v>0</v>
      </c>
      <c r="S1378" s="3" t="s">
        <v>342</v>
      </c>
      <c r="T1378" s="3" t="s">
        <v>583</v>
      </c>
      <c r="U1378" s="3">
        <v>0</v>
      </c>
      <c r="V1378" s="3">
        <v>32</v>
      </c>
      <c r="W1378" s="3">
        <v>51</v>
      </c>
    </row>
    <row r="1379" spans="1:23" ht="11.25" customHeight="1" x14ac:dyDescent="0.25">
      <c r="A1379" s="3" t="s">
        <v>27</v>
      </c>
      <c r="B1379" s="3" t="s">
        <v>22</v>
      </c>
      <c r="C1379" s="3" t="s">
        <v>37</v>
      </c>
      <c r="D1379" s="3" t="s">
        <v>24</v>
      </c>
      <c r="E1379" s="3" t="s">
        <v>24</v>
      </c>
      <c r="F1379" s="3" t="s">
        <v>25</v>
      </c>
      <c r="G1379" s="3" t="s">
        <v>25</v>
      </c>
      <c r="H1379" s="3" t="s">
        <v>38</v>
      </c>
      <c r="I1379" s="6">
        <v>44501</v>
      </c>
      <c r="J1379" s="4">
        <v>0</v>
      </c>
      <c r="K1379" s="4">
        <v>0</v>
      </c>
      <c r="L1379" s="4">
        <v>-0.52300000000000002</v>
      </c>
      <c r="M1379" s="4">
        <v>-0.52300000000000002</v>
      </c>
      <c r="N1379" s="4">
        <v>-0.52300000000000002</v>
      </c>
      <c r="O1379" s="4">
        <v>-0.52300000000000002</v>
      </c>
      <c r="P1379" s="4">
        <v>0</v>
      </c>
      <c r="Q1379" s="3" t="s">
        <v>26</v>
      </c>
      <c r="R1379" s="3">
        <v>0</v>
      </c>
      <c r="S1379" s="3" t="s">
        <v>342</v>
      </c>
      <c r="T1379" s="3" t="s">
        <v>583</v>
      </c>
      <c r="U1379" s="3">
        <v>0</v>
      </c>
      <c r="V1379" s="3">
        <v>32</v>
      </c>
      <c r="W1379" s="3">
        <v>51</v>
      </c>
    </row>
    <row r="1380" spans="1:23" ht="11.25" customHeight="1" x14ac:dyDescent="0.25">
      <c r="A1380" s="3" t="s">
        <v>28</v>
      </c>
      <c r="B1380" s="3" t="s">
        <v>22</v>
      </c>
      <c r="C1380" s="3" t="s">
        <v>37</v>
      </c>
      <c r="D1380" s="3" t="s">
        <v>24</v>
      </c>
      <c r="E1380" s="3" t="s">
        <v>24</v>
      </c>
      <c r="F1380" s="3" t="s">
        <v>25</v>
      </c>
      <c r="G1380" s="3" t="s">
        <v>25</v>
      </c>
      <c r="H1380" s="3" t="s">
        <v>38</v>
      </c>
      <c r="I1380" s="6">
        <v>44501</v>
      </c>
      <c r="J1380" s="4">
        <v>0</v>
      </c>
      <c r="K1380" s="4">
        <v>0</v>
      </c>
      <c r="L1380" s="4">
        <v>5.0000000000000001E-3</v>
      </c>
      <c r="M1380" s="4">
        <v>5.0000000000000001E-3</v>
      </c>
      <c r="N1380" s="4">
        <v>5.0000000000000001E-3</v>
      </c>
      <c r="O1380" s="4">
        <v>5.0000000000000001E-3</v>
      </c>
      <c r="P1380" s="4">
        <v>0</v>
      </c>
      <c r="Q1380" s="3" t="s">
        <v>26</v>
      </c>
      <c r="R1380" s="3">
        <v>0</v>
      </c>
      <c r="S1380" s="3" t="s">
        <v>342</v>
      </c>
      <c r="T1380" s="3" t="s">
        <v>583</v>
      </c>
      <c r="U1380" s="3">
        <v>0</v>
      </c>
      <c r="V1380" s="3">
        <v>32</v>
      </c>
      <c r="W1380" s="3">
        <v>51</v>
      </c>
    </row>
    <row r="1381" spans="1:23" ht="11.25" customHeight="1" x14ac:dyDescent="0.25">
      <c r="A1381" s="3" t="s">
        <v>21</v>
      </c>
      <c r="B1381" s="3" t="s">
        <v>22</v>
      </c>
      <c r="C1381" s="3" t="s">
        <v>37</v>
      </c>
      <c r="D1381" s="3" t="s">
        <v>24</v>
      </c>
      <c r="E1381" s="3" t="s">
        <v>24</v>
      </c>
      <c r="F1381" s="3" t="s">
        <v>25</v>
      </c>
      <c r="G1381" s="3" t="s">
        <v>25</v>
      </c>
      <c r="H1381" s="3" t="s">
        <v>38</v>
      </c>
      <c r="I1381" s="6">
        <v>44531</v>
      </c>
      <c r="J1381" s="4">
        <v>0</v>
      </c>
      <c r="K1381" s="4">
        <v>0</v>
      </c>
      <c r="L1381" s="4">
        <v>2.9780000000000002</v>
      </c>
      <c r="M1381" s="4">
        <v>2.9780000000000002</v>
      </c>
      <c r="N1381" s="4">
        <v>2.9780000000000002</v>
      </c>
      <c r="O1381" s="4">
        <v>2.9780000000000002</v>
      </c>
      <c r="P1381" s="4">
        <v>0</v>
      </c>
      <c r="Q1381" s="3" t="s">
        <v>26</v>
      </c>
      <c r="R1381" s="3">
        <v>0</v>
      </c>
      <c r="S1381" s="3" t="s">
        <v>343</v>
      </c>
      <c r="T1381" s="3" t="s">
        <v>584</v>
      </c>
      <c r="U1381" s="3">
        <v>0</v>
      </c>
      <c r="V1381" s="3">
        <v>32</v>
      </c>
      <c r="W1381" s="3">
        <v>51</v>
      </c>
    </row>
    <row r="1382" spans="1:23" ht="11.25" customHeight="1" x14ac:dyDescent="0.25">
      <c r="A1382" s="3" t="s">
        <v>27</v>
      </c>
      <c r="B1382" s="3" t="s">
        <v>22</v>
      </c>
      <c r="C1382" s="3" t="s">
        <v>37</v>
      </c>
      <c r="D1382" s="3" t="s">
        <v>24</v>
      </c>
      <c r="E1382" s="3" t="s">
        <v>24</v>
      </c>
      <c r="F1382" s="3" t="s">
        <v>25</v>
      </c>
      <c r="G1382" s="3" t="s">
        <v>25</v>
      </c>
      <c r="H1382" s="3" t="s">
        <v>38</v>
      </c>
      <c r="I1382" s="6">
        <v>44531</v>
      </c>
      <c r="J1382" s="4">
        <v>0</v>
      </c>
      <c r="K1382" s="4">
        <v>0</v>
      </c>
      <c r="L1382" s="4">
        <v>-6.0000000000000001E-3</v>
      </c>
      <c r="M1382" s="4">
        <v>-6.0000000000000001E-3</v>
      </c>
      <c r="N1382" s="4">
        <v>-6.0000000000000001E-3</v>
      </c>
      <c r="O1382" s="4">
        <v>-6.0000000000000001E-3</v>
      </c>
      <c r="P1382" s="4">
        <v>0</v>
      </c>
      <c r="Q1382" s="3" t="s">
        <v>26</v>
      </c>
      <c r="R1382" s="3">
        <v>0</v>
      </c>
      <c r="S1382" s="3" t="s">
        <v>343</v>
      </c>
      <c r="T1382" s="3" t="s">
        <v>584</v>
      </c>
      <c r="U1382" s="3">
        <v>0</v>
      </c>
      <c r="V1382" s="3">
        <v>32</v>
      </c>
      <c r="W1382" s="3">
        <v>51</v>
      </c>
    </row>
    <row r="1383" spans="1:23" ht="11.25" customHeight="1" x14ac:dyDescent="0.25">
      <c r="A1383" s="3" t="s">
        <v>28</v>
      </c>
      <c r="B1383" s="3" t="s">
        <v>22</v>
      </c>
      <c r="C1383" s="3" t="s">
        <v>37</v>
      </c>
      <c r="D1383" s="3" t="s">
        <v>24</v>
      </c>
      <c r="E1383" s="3" t="s">
        <v>24</v>
      </c>
      <c r="F1383" s="3" t="s">
        <v>25</v>
      </c>
      <c r="G1383" s="3" t="s">
        <v>25</v>
      </c>
      <c r="H1383" s="3" t="s">
        <v>38</v>
      </c>
      <c r="I1383" s="6">
        <v>44531</v>
      </c>
      <c r="J1383" s="4">
        <v>0</v>
      </c>
      <c r="K1383" s="4">
        <v>0</v>
      </c>
      <c r="L1383" s="4">
        <v>7.0000000000000001E-3</v>
      </c>
      <c r="M1383" s="4">
        <v>7.0000000000000001E-3</v>
      </c>
      <c r="N1383" s="4">
        <v>7.0000000000000001E-3</v>
      </c>
      <c r="O1383" s="4">
        <v>7.0000000000000001E-3</v>
      </c>
      <c r="P1383" s="4">
        <v>0</v>
      </c>
      <c r="Q1383" s="3" t="s">
        <v>26</v>
      </c>
      <c r="R1383" s="3">
        <v>0</v>
      </c>
      <c r="S1383" s="3" t="s">
        <v>343</v>
      </c>
      <c r="T1383" s="3" t="s">
        <v>584</v>
      </c>
      <c r="U1383" s="3">
        <v>0</v>
      </c>
      <c r="V1383" s="3">
        <v>32</v>
      </c>
      <c r="W1383" s="3">
        <v>51</v>
      </c>
    </row>
    <row r="1384" spans="1:23" ht="11.25" customHeight="1" x14ac:dyDescent="0.25">
      <c r="A1384" s="3" t="s">
        <v>21</v>
      </c>
      <c r="B1384" s="3" t="s">
        <v>22</v>
      </c>
      <c r="C1384" s="3" t="s">
        <v>37</v>
      </c>
      <c r="D1384" s="3" t="s">
        <v>24</v>
      </c>
      <c r="E1384" s="3" t="s">
        <v>24</v>
      </c>
      <c r="F1384" s="3" t="s">
        <v>25</v>
      </c>
      <c r="G1384" s="3" t="s">
        <v>25</v>
      </c>
      <c r="H1384" s="3" t="s">
        <v>38</v>
      </c>
      <c r="I1384" s="6">
        <v>44562</v>
      </c>
      <c r="J1384" s="4">
        <v>0</v>
      </c>
      <c r="K1384" s="4">
        <v>0</v>
      </c>
      <c r="L1384" s="4">
        <v>3.0219999999999998</v>
      </c>
      <c r="M1384" s="4">
        <v>3.0219999999999998</v>
      </c>
      <c r="N1384" s="4">
        <v>3.0219999999999998</v>
      </c>
      <c r="O1384" s="4">
        <v>3.0219999999999998</v>
      </c>
      <c r="P1384" s="4">
        <v>0</v>
      </c>
      <c r="Q1384" s="3" t="s">
        <v>26</v>
      </c>
      <c r="R1384" s="3">
        <v>0</v>
      </c>
      <c r="S1384" s="3" t="s">
        <v>344</v>
      </c>
      <c r="T1384" s="3" t="s">
        <v>585</v>
      </c>
      <c r="U1384" s="3">
        <v>0</v>
      </c>
      <c r="V1384" s="3">
        <v>32</v>
      </c>
      <c r="W1384" s="3">
        <v>51</v>
      </c>
    </row>
    <row r="1385" spans="1:23" ht="11.25" customHeight="1" x14ac:dyDescent="0.25">
      <c r="A1385" s="3" t="s">
        <v>28</v>
      </c>
      <c r="B1385" s="3" t="s">
        <v>22</v>
      </c>
      <c r="C1385" s="3" t="s">
        <v>37</v>
      </c>
      <c r="D1385" s="3" t="s">
        <v>24</v>
      </c>
      <c r="E1385" s="3" t="s">
        <v>24</v>
      </c>
      <c r="F1385" s="3" t="s">
        <v>25</v>
      </c>
      <c r="G1385" s="3" t="s">
        <v>25</v>
      </c>
      <c r="H1385" s="3" t="s">
        <v>38</v>
      </c>
      <c r="I1385" s="6">
        <v>44562</v>
      </c>
      <c r="J1385" s="4">
        <v>0</v>
      </c>
      <c r="K1385" s="4">
        <v>0</v>
      </c>
      <c r="L1385" s="4">
        <v>8.0000000000000002E-3</v>
      </c>
      <c r="M1385" s="4">
        <v>8.0000000000000002E-3</v>
      </c>
      <c r="N1385" s="4">
        <v>8.0000000000000002E-3</v>
      </c>
      <c r="O1385" s="4">
        <v>8.0000000000000002E-3</v>
      </c>
      <c r="P1385" s="4">
        <v>0</v>
      </c>
      <c r="Q1385" s="3" t="s">
        <v>26</v>
      </c>
      <c r="R1385" s="3">
        <v>0</v>
      </c>
      <c r="S1385" s="3" t="s">
        <v>344</v>
      </c>
      <c r="T1385" s="3" t="s">
        <v>585</v>
      </c>
      <c r="U1385" s="3">
        <v>0</v>
      </c>
      <c r="V1385" s="3">
        <v>32</v>
      </c>
      <c r="W1385" s="3">
        <v>51</v>
      </c>
    </row>
    <row r="1386" spans="1:23" ht="11.25" customHeight="1" x14ac:dyDescent="0.25">
      <c r="A1386" s="3" t="s">
        <v>21</v>
      </c>
      <c r="B1386" s="3" t="s">
        <v>22</v>
      </c>
      <c r="C1386" s="3" t="s">
        <v>37</v>
      </c>
      <c r="D1386" s="3" t="s">
        <v>24</v>
      </c>
      <c r="E1386" s="3" t="s">
        <v>24</v>
      </c>
      <c r="F1386" s="3" t="s">
        <v>25</v>
      </c>
      <c r="G1386" s="3" t="s">
        <v>25</v>
      </c>
      <c r="H1386" s="3" t="s">
        <v>38</v>
      </c>
      <c r="I1386" s="6">
        <v>44593</v>
      </c>
      <c r="J1386" s="4">
        <v>0</v>
      </c>
      <c r="K1386" s="4">
        <v>0</v>
      </c>
      <c r="L1386" s="4">
        <v>2.831</v>
      </c>
      <c r="M1386" s="4">
        <v>2.831</v>
      </c>
      <c r="N1386" s="4">
        <v>2.831</v>
      </c>
      <c r="O1386" s="4">
        <v>2.831</v>
      </c>
      <c r="P1386" s="4">
        <v>0</v>
      </c>
      <c r="Q1386" s="3" t="s">
        <v>26</v>
      </c>
      <c r="R1386" s="3">
        <v>0</v>
      </c>
      <c r="S1386" s="3" t="s">
        <v>345</v>
      </c>
      <c r="T1386" s="3" t="s">
        <v>586</v>
      </c>
      <c r="U1386" s="3">
        <v>0</v>
      </c>
      <c r="V1386" s="3">
        <v>32</v>
      </c>
      <c r="W1386" s="3">
        <v>51</v>
      </c>
    </row>
    <row r="1387" spans="1:23" ht="11.25" customHeight="1" x14ac:dyDescent="0.25">
      <c r="A1387" s="3" t="s">
        <v>28</v>
      </c>
      <c r="B1387" s="3" t="s">
        <v>22</v>
      </c>
      <c r="C1387" s="3" t="s">
        <v>37</v>
      </c>
      <c r="D1387" s="3" t="s">
        <v>24</v>
      </c>
      <c r="E1387" s="3" t="s">
        <v>24</v>
      </c>
      <c r="F1387" s="3" t="s">
        <v>25</v>
      </c>
      <c r="G1387" s="3" t="s">
        <v>25</v>
      </c>
      <c r="H1387" s="3" t="s">
        <v>38</v>
      </c>
      <c r="I1387" s="6">
        <v>44593</v>
      </c>
      <c r="J1387" s="4">
        <v>0</v>
      </c>
      <c r="K1387" s="4">
        <v>0</v>
      </c>
      <c r="L1387" s="4">
        <v>5.0000000000000001E-3</v>
      </c>
      <c r="M1387" s="4">
        <v>5.0000000000000001E-3</v>
      </c>
      <c r="N1387" s="4">
        <v>5.0000000000000001E-3</v>
      </c>
      <c r="O1387" s="4">
        <v>5.0000000000000001E-3</v>
      </c>
      <c r="P1387" s="4">
        <v>0</v>
      </c>
      <c r="Q1387" s="3" t="s">
        <v>26</v>
      </c>
      <c r="R1387" s="3">
        <v>0</v>
      </c>
      <c r="S1387" s="3" t="s">
        <v>345</v>
      </c>
      <c r="T1387" s="3" t="s">
        <v>586</v>
      </c>
      <c r="U1387" s="3">
        <v>0</v>
      </c>
      <c r="V1387" s="3">
        <v>32</v>
      </c>
      <c r="W1387" s="3">
        <v>51</v>
      </c>
    </row>
    <row r="1388" spans="1:23" ht="11.25" customHeight="1" x14ac:dyDescent="0.25">
      <c r="A1388" s="3" t="s">
        <v>21</v>
      </c>
      <c r="B1388" s="3" t="s">
        <v>22</v>
      </c>
      <c r="C1388" s="3" t="s">
        <v>37</v>
      </c>
      <c r="D1388" s="3" t="s">
        <v>24</v>
      </c>
      <c r="E1388" s="3" t="s">
        <v>24</v>
      </c>
      <c r="F1388" s="3" t="s">
        <v>25</v>
      </c>
      <c r="G1388" s="3" t="s">
        <v>25</v>
      </c>
      <c r="H1388" s="3" t="s">
        <v>38</v>
      </c>
      <c r="I1388" s="6">
        <v>44621</v>
      </c>
      <c r="J1388" s="4">
        <v>0</v>
      </c>
      <c r="K1388" s="4">
        <v>0</v>
      </c>
      <c r="L1388" s="4">
        <v>2.9950000000000001</v>
      </c>
      <c r="M1388" s="4">
        <v>2.9950000000000001</v>
      </c>
      <c r="N1388" s="4">
        <v>2.9950000000000001</v>
      </c>
      <c r="O1388" s="4">
        <v>2.9950000000000001</v>
      </c>
      <c r="P1388" s="4">
        <v>0</v>
      </c>
      <c r="Q1388" s="3" t="s">
        <v>26</v>
      </c>
      <c r="R1388" s="3">
        <v>0</v>
      </c>
      <c r="S1388" s="3" t="s">
        <v>346</v>
      </c>
      <c r="T1388" s="3" t="s">
        <v>587</v>
      </c>
      <c r="U1388" s="3">
        <v>0</v>
      </c>
      <c r="V1388" s="3">
        <v>32</v>
      </c>
      <c r="W1388" s="3">
        <v>51</v>
      </c>
    </row>
    <row r="1389" spans="1:23" ht="11.25" customHeight="1" x14ac:dyDescent="0.25">
      <c r="A1389" s="3" t="s">
        <v>28</v>
      </c>
      <c r="B1389" s="3" t="s">
        <v>22</v>
      </c>
      <c r="C1389" s="3" t="s">
        <v>37</v>
      </c>
      <c r="D1389" s="3" t="s">
        <v>24</v>
      </c>
      <c r="E1389" s="3" t="s">
        <v>24</v>
      </c>
      <c r="F1389" s="3" t="s">
        <v>25</v>
      </c>
      <c r="G1389" s="3" t="s">
        <v>25</v>
      </c>
      <c r="H1389" s="3" t="s">
        <v>38</v>
      </c>
      <c r="I1389" s="6">
        <v>44621</v>
      </c>
      <c r="J1389" s="4">
        <v>0</v>
      </c>
      <c r="K1389" s="4">
        <v>0</v>
      </c>
      <c r="L1389" s="4">
        <v>7.0000000000000001E-3</v>
      </c>
      <c r="M1389" s="4">
        <v>7.0000000000000001E-3</v>
      </c>
      <c r="N1389" s="4">
        <v>7.0000000000000001E-3</v>
      </c>
      <c r="O1389" s="4">
        <v>7.0000000000000001E-3</v>
      </c>
      <c r="P1389" s="4">
        <v>0</v>
      </c>
      <c r="Q1389" s="3" t="s">
        <v>26</v>
      </c>
      <c r="R1389" s="3">
        <v>0</v>
      </c>
      <c r="S1389" s="3" t="s">
        <v>346</v>
      </c>
      <c r="T1389" s="3" t="s">
        <v>587</v>
      </c>
      <c r="U1389" s="3">
        <v>0</v>
      </c>
      <c r="V1389" s="3">
        <v>32</v>
      </c>
      <c r="W1389" s="3">
        <v>51</v>
      </c>
    </row>
    <row r="1390" spans="1:23" ht="11.25" customHeight="1" x14ac:dyDescent="0.25">
      <c r="A1390" s="3" t="s">
        <v>56</v>
      </c>
      <c r="B1390" s="3" t="s">
        <v>22</v>
      </c>
      <c r="C1390" s="3" t="s">
        <v>37</v>
      </c>
      <c r="D1390" s="3" t="s">
        <v>24</v>
      </c>
      <c r="E1390" s="3" t="s">
        <v>24</v>
      </c>
      <c r="F1390" s="3" t="s">
        <v>25</v>
      </c>
      <c r="G1390" s="3" t="s">
        <v>25</v>
      </c>
      <c r="H1390" s="3" t="s">
        <v>38</v>
      </c>
      <c r="I1390" s="6">
        <v>44652</v>
      </c>
      <c r="J1390" s="4">
        <v>0</v>
      </c>
      <c r="K1390" s="4">
        <v>0</v>
      </c>
      <c r="L1390" s="4">
        <v>2.9950000000000001</v>
      </c>
      <c r="M1390" s="4">
        <v>2.9950000000000001</v>
      </c>
      <c r="N1390" s="4">
        <v>2.9950000000000001</v>
      </c>
      <c r="O1390" s="4">
        <v>2.9950000000000001</v>
      </c>
      <c r="P1390" s="4">
        <v>0</v>
      </c>
      <c r="Q1390" s="3" t="s">
        <v>26</v>
      </c>
      <c r="R1390" s="3">
        <v>0</v>
      </c>
      <c r="S1390" s="3" t="s">
        <v>347</v>
      </c>
      <c r="T1390" s="3" t="s">
        <v>588</v>
      </c>
      <c r="U1390" s="3">
        <v>0</v>
      </c>
      <c r="V1390" s="3">
        <v>32</v>
      </c>
      <c r="W1390" s="3">
        <v>51</v>
      </c>
    </row>
    <row r="1391" spans="1:23" ht="11.25" customHeight="1" x14ac:dyDescent="0.25">
      <c r="A1391" s="3" t="s">
        <v>56</v>
      </c>
      <c r="B1391" s="3" t="s">
        <v>22</v>
      </c>
      <c r="C1391" s="3" t="s">
        <v>37</v>
      </c>
      <c r="D1391" s="3" t="s">
        <v>24</v>
      </c>
      <c r="E1391" s="3" t="s">
        <v>24</v>
      </c>
      <c r="F1391" s="3" t="s">
        <v>25</v>
      </c>
      <c r="G1391" s="3" t="s">
        <v>25</v>
      </c>
      <c r="H1391" s="3" t="s">
        <v>38</v>
      </c>
      <c r="I1391" s="6">
        <v>44652</v>
      </c>
      <c r="J1391" s="4">
        <v>0</v>
      </c>
      <c r="K1391" s="4">
        <v>0</v>
      </c>
      <c r="L1391" s="4">
        <v>7.0000000000000001E-3</v>
      </c>
      <c r="M1391" s="4">
        <v>7.0000000000000001E-3</v>
      </c>
      <c r="N1391" s="4">
        <v>7.0000000000000001E-3</v>
      </c>
      <c r="O1391" s="4">
        <v>7.0000000000000001E-3</v>
      </c>
      <c r="P1391" s="4">
        <v>0</v>
      </c>
      <c r="Q1391" s="3" t="s">
        <v>26</v>
      </c>
      <c r="R1391" s="3">
        <v>0</v>
      </c>
      <c r="S1391" s="3" t="s">
        <v>347</v>
      </c>
      <c r="T1391" s="3" t="s">
        <v>588</v>
      </c>
      <c r="U1391" s="3">
        <v>0</v>
      </c>
      <c r="V1391" s="3">
        <v>32</v>
      </c>
      <c r="W1391" s="3">
        <v>51</v>
      </c>
    </row>
    <row r="1392" spans="1:23" ht="11.25" customHeight="1" x14ac:dyDescent="0.25">
      <c r="A1392" s="3" t="s">
        <v>21</v>
      </c>
      <c r="B1392" s="3" t="s">
        <v>22</v>
      </c>
      <c r="C1392" s="3" t="s">
        <v>37</v>
      </c>
      <c r="D1392" s="3" t="s">
        <v>24</v>
      </c>
      <c r="E1392" s="3" t="s">
        <v>24</v>
      </c>
      <c r="F1392" s="3" t="s">
        <v>25</v>
      </c>
      <c r="G1392" s="3" t="s">
        <v>25</v>
      </c>
      <c r="H1392" s="3" t="s">
        <v>35</v>
      </c>
      <c r="I1392" s="6">
        <v>44317</v>
      </c>
      <c r="J1392" s="4">
        <v>0</v>
      </c>
      <c r="K1392" s="4">
        <v>0</v>
      </c>
      <c r="L1392" s="4">
        <v>4.7320000000000002</v>
      </c>
      <c r="M1392" s="4">
        <v>4.7320000000000002</v>
      </c>
      <c r="N1392" s="4">
        <v>4.7320000000000002</v>
      </c>
      <c r="O1392" s="4">
        <v>4.7320000000000002</v>
      </c>
      <c r="P1392" s="4">
        <v>0</v>
      </c>
      <c r="Q1392" s="3" t="s">
        <v>26</v>
      </c>
      <c r="R1392" s="3">
        <v>0</v>
      </c>
      <c r="S1392" s="3" t="s">
        <v>348</v>
      </c>
      <c r="T1392" s="3" t="s">
        <v>589</v>
      </c>
      <c r="U1392" s="3">
        <v>0</v>
      </c>
      <c r="V1392" s="3">
        <v>31</v>
      </c>
      <c r="W1392" s="3">
        <v>50</v>
      </c>
    </row>
    <row r="1393" spans="1:23" ht="11.25" customHeight="1" x14ac:dyDescent="0.25">
      <c r="A1393" s="3" t="s">
        <v>28</v>
      </c>
      <c r="B1393" s="3" t="s">
        <v>22</v>
      </c>
      <c r="C1393" s="3" t="s">
        <v>37</v>
      </c>
      <c r="D1393" s="3" t="s">
        <v>24</v>
      </c>
      <c r="E1393" s="3" t="s">
        <v>24</v>
      </c>
      <c r="F1393" s="3" t="s">
        <v>25</v>
      </c>
      <c r="G1393" s="3" t="s">
        <v>25</v>
      </c>
      <c r="H1393" s="3" t="s">
        <v>35</v>
      </c>
      <c r="I1393" s="6">
        <v>44317</v>
      </c>
      <c r="J1393" s="4">
        <v>0</v>
      </c>
      <c r="K1393" s="4">
        <v>0</v>
      </c>
      <c r="L1393" s="4">
        <v>0.01</v>
      </c>
      <c r="M1393" s="4">
        <v>0.01</v>
      </c>
      <c r="N1393" s="4">
        <v>0.01</v>
      </c>
      <c r="O1393" s="4">
        <v>0.01</v>
      </c>
      <c r="P1393" s="4">
        <v>0</v>
      </c>
      <c r="Q1393" s="3" t="s">
        <v>26</v>
      </c>
      <c r="R1393" s="3">
        <v>0</v>
      </c>
      <c r="S1393" s="3" t="s">
        <v>348</v>
      </c>
      <c r="T1393" s="3" t="s">
        <v>589</v>
      </c>
      <c r="U1393" s="3">
        <v>0</v>
      </c>
      <c r="V1393" s="3">
        <v>31</v>
      </c>
      <c r="W1393" s="3">
        <v>50</v>
      </c>
    </row>
    <row r="1394" spans="1:23" ht="11.25" customHeight="1" x14ac:dyDescent="0.25">
      <c r="A1394" s="3" t="s">
        <v>21</v>
      </c>
      <c r="B1394" s="3" t="s">
        <v>22</v>
      </c>
      <c r="C1394" s="3" t="s">
        <v>37</v>
      </c>
      <c r="D1394" s="3" t="s">
        <v>24</v>
      </c>
      <c r="E1394" s="3" t="s">
        <v>24</v>
      </c>
      <c r="F1394" s="3" t="s">
        <v>25</v>
      </c>
      <c r="G1394" s="3" t="s">
        <v>25</v>
      </c>
      <c r="H1394" s="3" t="s">
        <v>35</v>
      </c>
      <c r="I1394" s="6">
        <v>44348</v>
      </c>
      <c r="J1394" s="4">
        <v>0</v>
      </c>
      <c r="K1394" s="4">
        <v>0</v>
      </c>
      <c r="L1394" s="4">
        <v>4.4550000000000001</v>
      </c>
      <c r="M1394" s="4">
        <v>4.4550000000000001</v>
      </c>
      <c r="N1394" s="4">
        <v>4.4550000000000001</v>
      </c>
      <c r="O1394" s="4">
        <v>4.4550000000000001</v>
      </c>
      <c r="P1394" s="4">
        <v>0</v>
      </c>
      <c r="Q1394" s="3" t="s">
        <v>26</v>
      </c>
      <c r="R1394" s="3">
        <v>0</v>
      </c>
      <c r="S1394" s="3" t="s">
        <v>349</v>
      </c>
      <c r="T1394" s="3" t="s">
        <v>590</v>
      </c>
      <c r="U1394" s="3">
        <v>0</v>
      </c>
      <c r="V1394" s="3">
        <v>31</v>
      </c>
      <c r="W1394" s="3">
        <v>50</v>
      </c>
    </row>
    <row r="1395" spans="1:23" ht="11.25" customHeight="1" x14ac:dyDescent="0.25">
      <c r="A1395" s="3" t="s">
        <v>27</v>
      </c>
      <c r="B1395" s="3" t="s">
        <v>22</v>
      </c>
      <c r="C1395" s="3" t="s">
        <v>37</v>
      </c>
      <c r="D1395" s="3" t="s">
        <v>24</v>
      </c>
      <c r="E1395" s="3" t="s">
        <v>24</v>
      </c>
      <c r="F1395" s="3" t="s">
        <v>25</v>
      </c>
      <c r="G1395" s="3" t="s">
        <v>25</v>
      </c>
      <c r="H1395" s="3" t="s">
        <v>35</v>
      </c>
      <c r="I1395" s="6">
        <v>44348</v>
      </c>
      <c r="J1395" s="4">
        <v>0</v>
      </c>
      <c r="K1395" s="4">
        <v>0</v>
      </c>
      <c r="L1395" s="4">
        <v>-1.2999999999999999E-2</v>
      </c>
      <c r="M1395" s="4">
        <v>-1.2999999999999999E-2</v>
      </c>
      <c r="N1395" s="4">
        <v>-1.2999999999999999E-2</v>
      </c>
      <c r="O1395" s="4">
        <v>-1.2999999999999999E-2</v>
      </c>
      <c r="P1395" s="4">
        <v>0</v>
      </c>
      <c r="Q1395" s="3" t="s">
        <v>26</v>
      </c>
      <c r="R1395" s="3">
        <v>0</v>
      </c>
      <c r="S1395" s="3" t="s">
        <v>349</v>
      </c>
      <c r="T1395" s="3" t="s">
        <v>590</v>
      </c>
      <c r="U1395" s="3">
        <v>0</v>
      </c>
      <c r="V1395" s="3">
        <v>31</v>
      </c>
      <c r="W1395" s="3">
        <v>50</v>
      </c>
    </row>
    <row r="1396" spans="1:23" ht="11.25" customHeight="1" x14ac:dyDescent="0.25">
      <c r="A1396" s="3" t="s">
        <v>21</v>
      </c>
      <c r="B1396" s="3" t="s">
        <v>22</v>
      </c>
      <c r="C1396" s="3" t="s">
        <v>37</v>
      </c>
      <c r="D1396" s="3" t="s">
        <v>24</v>
      </c>
      <c r="E1396" s="3" t="s">
        <v>24</v>
      </c>
      <c r="F1396" s="3" t="s">
        <v>25</v>
      </c>
      <c r="G1396" s="3" t="s">
        <v>25</v>
      </c>
      <c r="H1396" s="3" t="s">
        <v>35</v>
      </c>
      <c r="I1396" s="6">
        <v>44378</v>
      </c>
      <c r="J1396" s="4">
        <v>0</v>
      </c>
      <c r="K1396" s="4">
        <v>0</v>
      </c>
      <c r="L1396" s="4">
        <v>4.0510000000000002</v>
      </c>
      <c r="M1396" s="4">
        <v>4.0510000000000002</v>
      </c>
      <c r="N1396" s="4">
        <v>4.0510000000000002</v>
      </c>
      <c r="O1396" s="4">
        <v>4.0510000000000002</v>
      </c>
      <c r="P1396" s="4">
        <v>0</v>
      </c>
      <c r="Q1396" s="3" t="s">
        <v>26</v>
      </c>
      <c r="R1396" s="3">
        <v>0</v>
      </c>
      <c r="S1396" s="3" t="s">
        <v>350</v>
      </c>
      <c r="T1396" s="3" t="s">
        <v>591</v>
      </c>
      <c r="U1396" s="3">
        <v>0</v>
      </c>
      <c r="V1396" s="3">
        <v>31</v>
      </c>
      <c r="W1396" s="3">
        <v>50</v>
      </c>
    </row>
    <row r="1397" spans="1:23" ht="11.25" customHeight="1" x14ac:dyDescent="0.25">
      <c r="A1397" s="3" t="s">
        <v>21</v>
      </c>
      <c r="B1397" s="3" t="s">
        <v>22</v>
      </c>
      <c r="C1397" s="3" t="s">
        <v>37</v>
      </c>
      <c r="D1397" s="3" t="s">
        <v>24</v>
      </c>
      <c r="E1397" s="3" t="s">
        <v>24</v>
      </c>
      <c r="F1397" s="3" t="s">
        <v>25</v>
      </c>
      <c r="G1397" s="3" t="s">
        <v>25</v>
      </c>
      <c r="H1397" s="3" t="s">
        <v>35</v>
      </c>
      <c r="I1397" s="6">
        <v>44409</v>
      </c>
      <c r="J1397" s="4">
        <v>0</v>
      </c>
      <c r="K1397" s="4">
        <v>0</v>
      </c>
      <c r="L1397" s="4">
        <v>4.141</v>
      </c>
      <c r="M1397" s="4">
        <v>4.141</v>
      </c>
      <c r="N1397" s="4">
        <v>4.141</v>
      </c>
      <c r="O1397" s="4">
        <v>4.141</v>
      </c>
      <c r="P1397" s="4">
        <v>0</v>
      </c>
      <c r="Q1397" s="3" t="s">
        <v>26</v>
      </c>
      <c r="R1397" s="3">
        <v>0</v>
      </c>
      <c r="S1397" s="3" t="s">
        <v>351</v>
      </c>
      <c r="T1397" s="3" t="s">
        <v>592</v>
      </c>
      <c r="U1397" s="3">
        <v>0</v>
      </c>
      <c r="V1397" s="3">
        <v>31</v>
      </c>
      <c r="W1397" s="3">
        <v>50</v>
      </c>
    </row>
    <row r="1398" spans="1:23" ht="11.25" customHeight="1" x14ac:dyDescent="0.25">
      <c r="A1398" s="3" t="s">
        <v>21</v>
      </c>
      <c r="B1398" s="3" t="s">
        <v>22</v>
      </c>
      <c r="C1398" s="3" t="s">
        <v>37</v>
      </c>
      <c r="D1398" s="3" t="s">
        <v>24</v>
      </c>
      <c r="E1398" s="3" t="s">
        <v>24</v>
      </c>
      <c r="F1398" s="3" t="s">
        <v>25</v>
      </c>
      <c r="G1398" s="3" t="s">
        <v>25</v>
      </c>
      <c r="H1398" s="3" t="s">
        <v>35</v>
      </c>
      <c r="I1398" s="6">
        <v>44440</v>
      </c>
      <c r="J1398" s="4">
        <v>0</v>
      </c>
      <c r="K1398" s="4">
        <v>0</v>
      </c>
      <c r="L1398" s="4">
        <v>3.9369999999999998</v>
      </c>
      <c r="M1398" s="4">
        <v>3.9369999999999998</v>
      </c>
      <c r="N1398" s="4">
        <v>3.9369999999999998</v>
      </c>
      <c r="O1398" s="4">
        <v>3.9369999999999998</v>
      </c>
      <c r="P1398" s="4">
        <v>0</v>
      </c>
      <c r="Q1398" s="3" t="s">
        <v>26</v>
      </c>
      <c r="R1398" s="3">
        <v>0</v>
      </c>
      <c r="S1398" s="3" t="s">
        <v>352</v>
      </c>
      <c r="T1398" s="3" t="s">
        <v>593</v>
      </c>
      <c r="U1398" s="3">
        <v>0</v>
      </c>
      <c r="V1398" s="3">
        <v>31</v>
      </c>
      <c r="W1398" s="3">
        <v>50</v>
      </c>
    </row>
    <row r="1399" spans="1:23" ht="11.25" customHeight="1" x14ac:dyDescent="0.25">
      <c r="A1399" s="3" t="s">
        <v>28</v>
      </c>
      <c r="B1399" s="3" t="s">
        <v>22</v>
      </c>
      <c r="C1399" s="3" t="s">
        <v>37</v>
      </c>
      <c r="D1399" s="3" t="s">
        <v>24</v>
      </c>
      <c r="E1399" s="3" t="s">
        <v>24</v>
      </c>
      <c r="F1399" s="3" t="s">
        <v>25</v>
      </c>
      <c r="G1399" s="3" t="s">
        <v>25</v>
      </c>
      <c r="H1399" s="3" t="s">
        <v>35</v>
      </c>
      <c r="I1399" s="6">
        <v>44440</v>
      </c>
      <c r="J1399" s="4">
        <v>0</v>
      </c>
      <c r="K1399" s="4">
        <v>0</v>
      </c>
      <c r="L1399" s="4">
        <v>2E-3</v>
      </c>
      <c r="M1399" s="4">
        <v>2E-3</v>
      </c>
      <c r="N1399" s="4">
        <v>2E-3</v>
      </c>
      <c r="O1399" s="4">
        <v>2E-3</v>
      </c>
      <c r="P1399" s="4">
        <v>0</v>
      </c>
      <c r="Q1399" s="3" t="s">
        <v>26</v>
      </c>
      <c r="R1399" s="3">
        <v>0</v>
      </c>
      <c r="S1399" s="3" t="s">
        <v>352</v>
      </c>
      <c r="T1399" s="3" t="s">
        <v>593</v>
      </c>
      <c r="U1399" s="3">
        <v>0</v>
      </c>
      <c r="V1399" s="3">
        <v>31</v>
      </c>
      <c r="W1399" s="3">
        <v>50</v>
      </c>
    </row>
    <row r="1400" spans="1:23" ht="11.25" customHeight="1" x14ac:dyDescent="0.25">
      <c r="A1400" s="3" t="s">
        <v>21</v>
      </c>
      <c r="B1400" s="3" t="s">
        <v>22</v>
      </c>
      <c r="C1400" s="3" t="s">
        <v>37</v>
      </c>
      <c r="D1400" s="3" t="s">
        <v>24</v>
      </c>
      <c r="E1400" s="3" t="s">
        <v>24</v>
      </c>
      <c r="F1400" s="3" t="s">
        <v>25</v>
      </c>
      <c r="G1400" s="3" t="s">
        <v>25</v>
      </c>
      <c r="H1400" s="3" t="s">
        <v>35</v>
      </c>
      <c r="I1400" s="6">
        <v>44470</v>
      </c>
      <c r="J1400" s="4">
        <v>0</v>
      </c>
      <c r="K1400" s="4">
        <v>0</v>
      </c>
      <c r="L1400" s="4">
        <v>4.4210000000000003</v>
      </c>
      <c r="M1400" s="4">
        <v>4.4210000000000003</v>
      </c>
      <c r="N1400" s="4">
        <v>4.4210000000000003</v>
      </c>
      <c r="O1400" s="4">
        <v>4.4210000000000003</v>
      </c>
      <c r="P1400" s="4">
        <v>0</v>
      </c>
      <c r="Q1400" s="3" t="s">
        <v>26</v>
      </c>
      <c r="R1400" s="3">
        <v>0</v>
      </c>
      <c r="S1400" s="3" t="s">
        <v>353</v>
      </c>
      <c r="T1400" s="3" t="s">
        <v>594</v>
      </c>
      <c r="U1400" s="3">
        <v>0</v>
      </c>
      <c r="V1400" s="3">
        <v>31</v>
      </c>
      <c r="W1400" s="3">
        <v>50</v>
      </c>
    </row>
    <row r="1401" spans="1:23" ht="11.25" customHeight="1" x14ac:dyDescent="0.25">
      <c r="A1401" s="3" t="s">
        <v>27</v>
      </c>
      <c r="B1401" s="3" t="s">
        <v>22</v>
      </c>
      <c r="C1401" s="3" t="s">
        <v>37</v>
      </c>
      <c r="D1401" s="3" t="s">
        <v>24</v>
      </c>
      <c r="E1401" s="3" t="s">
        <v>24</v>
      </c>
      <c r="F1401" s="3" t="s">
        <v>25</v>
      </c>
      <c r="G1401" s="3" t="s">
        <v>25</v>
      </c>
      <c r="H1401" s="3" t="s">
        <v>35</v>
      </c>
      <c r="I1401" s="6">
        <v>44470</v>
      </c>
      <c r="J1401" s="4">
        <v>0</v>
      </c>
      <c r="K1401" s="4">
        <v>0</v>
      </c>
      <c r="L1401" s="4">
        <v>-0.15</v>
      </c>
      <c r="M1401" s="4">
        <v>-0.15</v>
      </c>
      <c r="N1401" s="4">
        <v>-0.15</v>
      </c>
      <c r="O1401" s="4">
        <v>-0.15</v>
      </c>
      <c r="P1401" s="4">
        <v>0</v>
      </c>
      <c r="Q1401" s="3" t="s">
        <v>26</v>
      </c>
      <c r="R1401" s="3">
        <v>0</v>
      </c>
      <c r="S1401" s="3" t="s">
        <v>353</v>
      </c>
      <c r="T1401" s="3" t="s">
        <v>594</v>
      </c>
      <c r="U1401" s="3">
        <v>0</v>
      </c>
      <c r="V1401" s="3">
        <v>31</v>
      </c>
      <c r="W1401" s="3">
        <v>50</v>
      </c>
    </row>
    <row r="1402" spans="1:23" ht="11.25" customHeight="1" x14ac:dyDescent="0.25">
      <c r="A1402" s="3" t="s">
        <v>28</v>
      </c>
      <c r="B1402" s="3" t="s">
        <v>22</v>
      </c>
      <c r="C1402" s="3" t="s">
        <v>37</v>
      </c>
      <c r="D1402" s="3" t="s">
        <v>24</v>
      </c>
      <c r="E1402" s="3" t="s">
        <v>24</v>
      </c>
      <c r="F1402" s="3" t="s">
        <v>25</v>
      </c>
      <c r="G1402" s="3" t="s">
        <v>25</v>
      </c>
      <c r="H1402" s="3" t="s">
        <v>35</v>
      </c>
      <c r="I1402" s="6">
        <v>44470</v>
      </c>
      <c r="J1402" s="4">
        <v>0</v>
      </c>
      <c r="K1402" s="4">
        <v>0</v>
      </c>
      <c r="L1402" s="4">
        <v>2E-3</v>
      </c>
      <c r="M1402" s="4">
        <v>2E-3</v>
      </c>
      <c r="N1402" s="4">
        <v>2E-3</v>
      </c>
      <c r="O1402" s="4">
        <v>2E-3</v>
      </c>
      <c r="P1402" s="4">
        <v>0</v>
      </c>
      <c r="Q1402" s="3" t="s">
        <v>26</v>
      </c>
      <c r="R1402" s="3">
        <v>0</v>
      </c>
      <c r="S1402" s="3" t="s">
        <v>353</v>
      </c>
      <c r="T1402" s="3" t="s">
        <v>594</v>
      </c>
      <c r="U1402" s="3">
        <v>0</v>
      </c>
      <c r="V1402" s="3">
        <v>31</v>
      </c>
      <c r="W1402" s="3">
        <v>50</v>
      </c>
    </row>
    <row r="1403" spans="1:23" ht="11.25" customHeight="1" x14ac:dyDescent="0.25">
      <c r="A1403" s="3" t="s">
        <v>21</v>
      </c>
      <c r="B1403" s="3" t="s">
        <v>22</v>
      </c>
      <c r="C1403" s="3" t="s">
        <v>37</v>
      </c>
      <c r="D1403" s="3" t="s">
        <v>24</v>
      </c>
      <c r="E1403" s="3" t="s">
        <v>24</v>
      </c>
      <c r="F1403" s="3" t="s">
        <v>25</v>
      </c>
      <c r="G1403" s="3" t="s">
        <v>25</v>
      </c>
      <c r="H1403" s="3" t="s">
        <v>35</v>
      </c>
      <c r="I1403" s="6">
        <v>44501</v>
      </c>
      <c r="J1403" s="4">
        <v>0</v>
      </c>
      <c r="K1403" s="4">
        <v>0</v>
      </c>
      <c r="L1403" s="4">
        <v>3.84</v>
      </c>
      <c r="M1403" s="4">
        <v>3.84</v>
      </c>
      <c r="N1403" s="4">
        <v>3.84</v>
      </c>
      <c r="O1403" s="4">
        <v>3.84</v>
      </c>
      <c r="P1403" s="4">
        <v>0</v>
      </c>
      <c r="Q1403" s="3" t="s">
        <v>26</v>
      </c>
      <c r="R1403" s="3">
        <v>0</v>
      </c>
      <c r="S1403" s="3" t="s">
        <v>354</v>
      </c>
      <c r="T1403" s="3" t="s">
        <v>595</v>
      </c>
      <c r="U1403" s="3">
        <v>0</v>
      </c>
      <c r="V1403" s="3">
        <v>31</v>
      </c>
      <c r="W1403" s="3">
        <v>50</v>
      </c>
    </row>
    <row r="1404" spans="1:23" ht="11.25" customHeight="1" x14ac:dyDescent="0.25">
      <c r="A1404" s="3" t="s">
        <v>27</v>
      </c>
      <c r="B1404" s="3" t="s">
        <v>22</v>
      </c>
      <c r="C1404" s="3" t="s">
        <v>37</v>
      </c>
      <c r="D1404" s="3" t="s">
        <v>24</v>
      </c>
      <c r="E1404" s="3" t="s">
        <v>24</v>
      </c>
      <c r="F1404" s="3" t="s">
        <v>25</v>
      </c>
      <c r="G1404" s="3" t="s">
        <v>25</v>
      </c>
      <c r="H1404" s="3" t="s">
        <v>35</v>
      </c>
      <c r="I1404" s="6">
        <v>44501</v>
      </c>
      <c r="J1404" s="4">
        <v>0</v>
      </c>
      <c r="K1404" s="4">
        <v>0</v>
      </c>
      <c r="L1404" s="4">
        <v>-0.31</v>
      </c>
      <c r="M1404" s="4">
        <v>-0.31</v>
      </c>
      <c r="N1404" s="4">
        <v>-0.31</v>
      </c>
      <c r="O1404" s="4">
        <v>-0.31</v>
      </c>
      <c r="P1404" s="4">
        <v>0</v>
      </c>
      <c r="Q1404" s="3" t="s">
        <v>26</v>
      </c>
      <c r="R1404" s="3">
        <v>0</v>
      </c>
      <c r="S1404" s="3" t="s">
        <v>354</v>
      </c>
      <c r="T1404" s="3" t="s">
        <v>595</v>
      </c>
      <c r="U1404" s="3">
        <v>0</v>
      </c>
      <c r="V1404" s="3">
        <v>31</v>
      </c>
      <c r="W1404" s="3">
        <v>50</v>
      </c>
    </row>
    <row r="1405" spans="1:23" ht="11.25" customHeight="1" x14ac:dyDescent="0.25">
      <c r="A1405" s="3" t="s">
        <v>28</v>
      </c>
      <c r="B1405" s="3" t="s">
        <v>22</v>
      </c>
      <c r="C1405" s="3" t="s">
        <v>37</v>
      </c>
      <c r="D1405" s="3" t="s">
        <v>24</v>
      </c>
      <c r="E1405" s="3" t="s">
        <v>24</v>
      </c>
      <c r="F1405" s="3" t="s">
        <v>25</v>
      </c>
      <c r="G1405" s="3" t="s">
        <v>25</v>
      </c>
      <c r="H1405" s="3" t="s">
        <v>35</v>
      </c>
      <c r="I1405" s="6">
        <v>44501</v>
      </c>
      <c r="J1405" s="4">
        <v>0</v>
      </c>
      <c r="K1405" s="4">
        <v>0</v>
      </c>
      <c r="L1405" s="4">
        <v>6.0000000000000001E-3</v>
      </c>
      <c r="M1405" s="4">
        <v>6.0000000000000001E-3</v>
      </c>
      <c r="N1405" s="4">
        <v>6.0000000000000001E-3</v>
      </c>
      <c r="O1405" s="4">
        <v>6.0000000000000001E-3</v>
      </c>
      <c r="P1405" s="4">
        <v>0</v>
      </c>
      <c r="Q1405" s="3" t="s">
        <v>26</v>
      </c>
      <c r="R1405" s="3">
        <v>0</v>
      </c>
      <c r="S1405" s="3" t="s">
        <v>354</v>
      </c>
      <c r="T1405" s="3" t="s">
        <v>595</v>
      </c>
      <c r="U1405" s="3">
        <v>0</v>
      </c>
      <c r="V1405" s="3">
        <v>31</v>
      </c>
      <c r="W1405" s="3">
        <v>50</v>
      </c>
    </row>
    <row r="1406" spans="1:23" ht="11.25" customHeight="1" x14ac:dyDescent="0.25">
      <c r="A1406" s="3" t="s">
        <v>21</v>
      </c>
      <c r="B1406" s="3" t="s">
        <v>22</v>
      </c>
      <c r="C1406" s="3" t="s">
        <v>37</v>
      </c>
      <c r="D1406" s="3" t="s">
        <v>24</v>
      </c>
      <c r="E1406" s="3" t="s">
        <v>24</v>
      </c>
      <c r="F1406" s="3" t="s">
        <v>25</v>
      </c>
      <c r="G1406" s="3" t="s">
        <v>25</v>
      </c>
      <c r="H1406" s="3" t="s">
        <v>35</v>
      </c>
      <c r="I1406" s="6">
        <v>44531</v>
      </c>
      <c r="J1406" s="4">
        <v>0</v>
      </c>
      <c r="K1406" s="4">
        <v>0</v>
      </c>
      <c r="L1406" s="4">
        <v>4.3099999999999996</v>
      </c>
      <c r="M1406" s="4">
        <v>4.3099999999999996</v>
      </c>
      <c r="N1406" s="4">
        <v>4.3099999999999996</v>
      </c>
      <c r="O1406" s="4">
        <v>4.3099999999999996</v>
      </c>
      <c r="P1406" s="4">
        <v>0</v>
      </c>
      <c r="Q1406" s="3" t="s">
        <v>26</v>
      </c>
      <c r="R1406" s="3">
        <v>0</v>
      </c>
      <c r="S1406" s="3" t="s">
        <v>355</v>
      </c>
      <c r="T1406" s="3" t="s">
        <v>596</v>
      </c>
      <c r="U1406" s="3">
        <v>0</v>
      </c>
      <c r="V1406" s="3">
        <v>31</v>
      </c>
      <c r="W1406" s="3">
        <v>50</v>
      </c>
    </row>
    <row r="1407" spans="1:23" ht="11.25" customHeight="1" x14ac:dyDescent="0.25">
      <c r="A1407" s="3" t="s">
        <v>27</v>
      </c>
      <c r="B1407" s="3" t="s">
        <v>22</v>
      </c>
      <c r="C1407" s="3" t="s">
        <v>37</v>
      </c>
      <c r="D1407" s="3" t="s">
        <v>24</v>
      </c>
      <c r="E1407" s="3" t="s">
        <v>24</v>
      </c>
      <c r="F1407" s="3" t="s">
        <v>25</v>
      </c>
      <c r="G1407" s="3" t="s">
        <v>25</v>
      </c>
      <c r="H1407" s="3" t="s">
        <v>35</v>
      </c>
      <c r="I1407" s="6">
        <v>44531</v>
      </c>
      <c r="J1407" s="4">
        <v>0</v>
      </c>
      <c r="K1407" s="4">
        <v>0</v>
      </c>
      <c r="L1407" s="4">
        <v>-8.0000000000000002E-3</v>
      </c>
      <c r="M1407" s="4">
        <v>-8.0000000000000002E-3</v>
      </c>
      <c r="N1407" s="4">
        <v>-8.0000000000000002E-3</v>
      </c>
      <c r="O1407" s="4">
        <v>-8.0000000000000002E-3</v>
      </c>
      <c r="P1407" s="4">
        <v>0</v>
      </c>
      <c r="Q1407" s="3" t="s">
        <v>26</v>
      </c>
      <c r="R1407" s="3">
        <v>0</v>
      </c>
      <c r="S1407" s="3" t="s">
        <v>355</v>
      </c>
      <c r="T1407" s="3" t="s">
        <v>596</v>
      </c>
      <c r="U1407" s="3">
        <v>0</v>
      </c>
      <c r="V1407" s="3">
        <v>31</v>
      </c>
      <c r="W1407" s="3">
        <v>50</v>
      </c>
    </row>
    <row r="1408" spans="1:23" ht="11.25" customHeight="1" x14ac:dyDescent="0.25">
      <c r="A1408" s="3" t="s">
        <v>28</v>
      </c>
      <c r="B1408" s="3" t="s">
        <v>22</v>
      </c>
      <c r="C1408" s="3" t="s">
        <v>37</v>
      </c>
      <c r="D1408" s="3" t="s">
        <v>24</v>
      </c>
      <c r="E1408" s="3" t="s">
        <v>24</v>
      </c>
      <c r="F1408" s="3" t="s">
        <v>25</v>
      </c>
      <c r="G1408" s="3" t="s">
        <v>25</v>
      </c>
      <c r="H1408" s="3" t="s">
        <v>35</v>
      </c>
      <c r="I1408" s="6">
        <v>44531</v>
      </c>
      <c r="J1408" s="4">
        <v>0</v>
      </c>
      <c r="K1408" s="4">
        <v>0</v>
      </c>
      <c r="L1408" s="4">
        <v>8.0000000000000002E-3</v>
      </c>
      <c r="M1408" s="4">
        <v>8.0000000000000002E-3</v>
      </c>
      <c r="N1408" s="4">
        <v>8.0000000000000002E-3</v>
      </c>
      <c r="O1408" s="4">
        <v>8.0000000000000002E-3</v>
      </c>
      <c r="P1408" s="4">
        <v>0</v>
      </c>
      <c r="Q1408" s="3" t="s">
        <v>26</v>
      </c>
      <c r="R1408" s="3">
        <v>0</v>
      </c>
      <c r="S1408" s="3" t="s">
        <v>355</v>
      </c>
      <c r="T1408" s="3" t="s">
        <v>596</v>
      </c>
      <c r="U1408" s="3">
        <v>0</v>
      </c>
      <c r="V1408" s="3">
        <v>31</v>
      </c>
      <c r="W1408" s="3">
        <v>50</v>
      </c>
    </row>
    <row r="1409" spans="1:23" ht="11.25" customHeight="1" x14ac:dyDescent="0.25">
      <c r="A1409" s="3" t="s">
        <v>21</v>
      </c>
      <c r="B1409" s="3" t="s">
        <v>22</v>
      </c>
      <c r="C1409" s="3" t="s">
        <v>37</v>
      </c>
      <c r="D1409" s="3" t="s">
        <v>24</v>
      </c>
      <c r="E1409" s="3" t="s">
        <v>24</v>
      </c>
      <c r="F1409" s="3" t="s">
        <v>25</v>
      </c>
      <c r="G1409" s="3" t="s">
        <v>25</v>
      </c>
      <c r="H1409" s="3" t="s">
        <v>35</v>
      </c>
      <c r="I1409" s="6">
        <v>44562</v>
      </c>
      <c r="J1409" s="4">
        <v>0</v>
      </c>
      <c r="K1409" s="4">
        <v>0</v>
      </c>
      <c r="L1409" s="4">
        <v>4.2809999999999997</v>
      </c>
      <c r="M1409" s="4">
        <v>4.2809999999999997</v>
      </c>
      <c r="N1409" s="4">
        <v>4.2809999999999997</v>
      </c>
      <c r="O1409" s="4">
        <v>4.2809999999999997</v>
      </c>
      <c r="P1409" s="4">
        <v>0</v>
      </c>
      <c r="Q1409" s="3" t="s">
        <v>26</v>
      </c>
      <c r="R1409" s="3">
        <v>0</v>
      </c>
      <c r="S1409" s="3" t="s">
        <v>356</v>
      </c>
      <c r="T1409" s="3" t="s">
        <v>597</v>
      </c>
      <c r="U1409" s="3">
        <v>0</v>
      </c>
      <c r="V1409" s="3">
        <v>31</v>
      </c>
      <c r="W1409" s="3">
        <v>50</v>
      </c>
    </row>
    <row r="1410" spans="1:23" ht="11.25" customHeight="1" x14ac:dyDescent="0.25">
      <c r="A1410" s="3" t="s">
        <v>28</v>
      </c>
      <c r="B1410" s="3" t="s">
        <v>22</v>
      </c>
      <c r="C1410" s="3" t="s">
        <v>37</v>
      </c>
      <c r="D1410" s="3" t="s">
        <v>24</v>
      </c>
      <c r="E1410" s="3" t="s">
        <v>24</v>
      </c>
      <c r="F1410" s="3" t="s">
        <v>25</v>
      </c>
      <c r="G1410" s="3" t="s">
        <v>25</v>
      </c>
      <c r="H1410" s="3" t="s">
        <v>35</v>
      </c>
      <c r="I1410" s="6">
        <v>44562</v>
      </c>
      <c r="J1410" s="4">
        <v>0</v>
      </c>
      <c r="K1410" s="4">
        <v>0</v>
      </c>
      <c r="L1410" s="4">
        <v>0.01</v>
      </c>
      <c r="M1410" s="4">
        <v>0.01</v>
      </c>
      <c r="N1410" s="4">
        <v>0.01</v>
      </c>
      <c r="O1410" s="4">
        <v>0.01</v>
      </c>
      <c r="P1410" s="4">
        <v>0</v>
      </c>
      <c r="Q1410" s="3" t="s">
        <v>26</v>
      </c>
      <c r="R1410" s="3">
        <v>0</v>
      </c>
      <c r="S1410" s="3" t="s">
        <v>356</v>
      </c>
      <c r="T1410" s="3" t="s">
        <v>597</v>
      </c>
      <c r="U1410" s="3">
        <v>0</v>
      </c>
      <c r="V1410" s="3">
        <v>31</v>
      </c>
      <c r="W1410" s="3">
        <v>50</v>
      </c>
    </row>
    <row r="1411" spans="1:23" ht="11.25" customHeight="1" x14ac:dyDescent="0.25">
      <c r="A1411" s="3" t="s">
        <v>21</v>
      </c>
      <c r="B1411" s="3" t="s">
        <v>22</v>
      </c>
      <c r="C1411" s="3" t="s">
        <v>37</v>
      </c>
      <c r="D1411" s="3" t="s">
        <v>24</v>
      </c>
      <c r="E1411" s="3" t="s">
        <v>24</v>
      </c>
      <c r="F1411" s="3" t="s">
        <v>25</v>
      </c>
      <c r="G1411" s="3" t="s">
        <v>25</v>
      </c>
      <c r="H1411" s="3" t="s">
        <v>35</v>
      </c>
      <c r="I1411" s="6">
        <v>44593</v>
      </c>
      <c r="J1411" s="4">
        <v>0</v>
      </c>
      <c r="K1411" s="4">
        <v>0</v>
      </c>
      <c r="L1411" s="4">
        <v>3.915</v>
      </c>
      <c r="M1411" s="4">
        <v>3.915</v>
      </c>
      <c r="N1411" s="4">
        <v>3.915</v>
      </c>
      <c r="O1411" s="4">
        <v>3.915</v>
      </c>
      <c r="P1411" s="4">
        <v>0</v>
      </c>
      <c r="Q1411" s="3" t="s">
        <v>26</v>
      </c>
      <c r="R1411" s="3">
        <v>0</v>
      </c>
      <c r="S1411" s="3" t="s">
        <v>357</v>
      </c>
      <c r="T1411" s="3" t="s">
        <v>598</v>
      </c>
      <c r="U1411" s="3">
        <v>0</v>
      </c>
      <c r="V1411" s="3">
        <v>31</v>
      </c>
      <c r="W1411" s="3">
        <v>50</v>
      </c>
    </row>
    <row r="1412" spans="1:23" ht="11.25" customHeight="1" x14ac:dyDescent="0.25">
      <c r="A1412" s="3" t="s">
        <v>28</v>
      </c>
      <c r="B1412" s="3" t="s">
        <v>22</v>
      </c>
      <c r="C1412" s="3" t="s">
        <v>37</v>
      </c>
      <c r="D1412" s="3" t="s">
        <v>24</v>
      </c>
      <c r="E1412" s="3" t="s">
        <v>24</v>
      </c>
      <c r="F1412" s="3" t="s">
        <v>25</v>
      </c>
      <c r="G1412" s="3" t="s">
        <v>25</v>
      </c>
      <c r="H1412" s="3" t="s">
        <v>35</v>
      </c>
      <c r="I1412" s="6">
        <v>44593</v>
      </c>
      <c r="J1412" s="4">
        <v>0</v>
      </c>
      <c r="K1412" s="4">
        <v>0</v>
      </c>
      <c r="L1412" s="4">
        <v>8.0000000000000002E-3</v>
      </c>
      <c r="M1412" s="4">
        <v>8.0000000000000002E-3</v>
      </c>
      <c r="N1412" s="4">
        <v>8.0000000000000002E-3</v>
      </c>
      <c r="O1412" s="4">
        <v>8.0000000000000002E-3</v>
      </c>
      <c r="P1412" s="4">
        <v>0</v>
      </c>
      <c r="Q1412" s="3" t="s">
        <v>26</v>
      </c>
      <c r="R1412" s="3">
        <v>0</v>
      </c>
      <c r="S1412" s="3" t="s">
        <v>357</v>
      </c>
      <c r="T1412" s="3" t="s">
        <v>598</v>
      </c>
      <c r="U1412" s="3">
        <v>0</v>
      </c>
      <c r="V1412" s="3">
        <v>31</v>
      </c>
      <c r="W1412" s="3">
        <v>50</v>
      </c>
    </row>
    <row r="1413" spans="1:23" ht="11.25" customHeight="1" x14ac:dyDescent="0.25">
      <c r="A1413" s="3" t="s">
        <v>21</v>
      </c>
      <c r="B1413" s="3" t="s">
        <v>22</v>
      </c>
      <c r="C1413" s="3" t="s">
        <v>37</v>
      </c>
      <c r="D1413" s="3" t="s">
        <v>24</v>
      </c>
      <c r="E1413" s="3" t="s">
        <v>24</v>
      </c>
      <c r="F1413" s="3" t="s">
        <v>25</v>
      </c>
      <c r="G1413" s="3" t="s">
        <v>25</v>
      </c>
      <c r="H1413" s="3" t="s">
        <v>35</v>
      </c>
      <c r="I1413" s="6">
        <v>44621</v>
      </c>
      <c r="J1413" s="4">
        <v>0</v>
      </c>
      <c r="K1413" s="4">
        <v>0</v>
      </c>
      <c r="L1413" s="4">
        <v>4.3780000000000001</v>
      </c>
      <c r="M1413" s="4">
        <v>4.3780000000000001</v>
      </c>
      <c r="N1413" s="4">
        <v>4.3780000000000001</v>
      </c>
      <c r="O1413" s="4">
        <v>4.3780000000000001</v>
      </c>
      <c r="P1413" s="4">
        <v>0</v>
      </c>
      <c r="Q1413" s="3" t="s">
        <v>26</v>
      </c>
      <c r="R1413" s="3">
        <v>0</v>
      </c>
      <c r="S1413" s="3" t="s">
        <v>358</v>
      </c>
      <c r="T1413" s="3" t="s">
        <v>599</v>
      </c>
      <c r="U1413" s="3">
        <v>0</v>
      </c>
      <c r="V1413" s="3">
        <v>31</v>
      </c>
      <c r="W1413" s="3">
        <v>50</v>
      </c>
    </row>
    <row r="1414" spans="1:23" ht="11.25" customHeight="1" x14ac:dyDescent="0.25">
      <c r="A1414" s="3" t="s">
        <v>28</v>
      </c>
      <c r="B1414" s="3" t="s">
        <v>22</v>
      </c>
      <c r="C1414" s="3" t="s">
        <v>37</v>
      </c>
      <c r="D1414" s="3" t="s">
        <v>24</v>
      </c>
      <c r="E1414" s="3" t="s">
        <v>24</v>
      </c>
      <c r="F1414" s="3" t="s">
        <v>25</v>
      </c>
      <c r="G1414" s="3" t="s">
        <v>25</v>
      </c>
      <c r="H1414" s="3" t="s">
        <v>35</v>
      </c>
      <c r="I1414" s="6">
        <v>44621</v>
      </c>
      <c r="J1414" s="4">
        <v>0</v>
      </c>
      <c r="K1414" s="4">
        <v>0</v>
      </c>
      <c r="L1414" s="4">
        <v>8.0000000000000002E-3</v>
      </c>
      <c r="M1414" s="4">
        <v>8.0000000000000002E-3</v>
      </c>
      <c r="N1414" s="4">
        <v>8.0000000000000002E-3</v>
      </c>
      <c r="O1414" s="4">
        <v>8.0000000000000002E-3</v>
      </c>
      <c r="P1414" s="4">
        <v>0</v>
      </c>
      <c r="Q1414" s="3" t="s">
        <v>26</v>
      </c>
      <c r="R1414" s="3">
        <v>0</v>
      </c>
      <c r="S1414" s="3" t="s">
        <v>358</v>
      </c>
      <c r="T1414" s="3" t="s">
        <v>599</v>
      </c>
      <c r="U1414" s="3">
        <v>0</v>
      </c>
      <c r="V1414" s="3">
        <v>31</v>
      </c>
      <c r="W1414" s="3">
        <v>50</v>
      </c>
    </row>
    <row r="1415" spans="1:23" ht="11.25" customHeight="1" x14ac:dyDescent="0.25">
      <c r="A1415" s="3" t="s">
        <v>56</v>
      </c>
      <c r="B1415" s="3" t="s">
        <v>22</v>
      </c>
      <c r="C1415" s="3" t="s">
        <v>37</v>
      </c>
      <c r="D1415" s="3" t="s">
        <v>24</v>
      </c>
      <c r="E1415" s="3" t="s">
        <v>24</v>
      </c>
      <c r="F1415" s="3" t="s">
        <v>25</v>
      </c>
      <c r="G1415" s="3" t="s">
        <v>25</v>
      </c>
      <c r="H1415" s="3" t="s">
        <v>35</v>
      </c>
      <c r="I1415" s="6">
        <v>44652</v>
      </c>
      <c r="J1415" s="4">
        <v>0</v>
      </c>
      <c r="K1415" s="4">
        <v>0</v>
      </c>
      <c r="L1415" s="4">
        <v>4.3780000000000001</v>
      </c>
      <c r="M1415" s="4">
        <v>4.3780000000000001</v>
      </c>
      <c r="N1415" s="4">
        <v>4.3780000000000001</v>
      </c>
      <c r="O1415" s="4">
        <v>4.3780000000000001</v>
      </c>
      <c r="P1415" s="4">
        <v>0</v>
      </c>
      <c r="Q1415" s="3" t="s">
        <v>26</v>
      </c>
      <c r="R1415" s="3">
        <v>0</v>
      </c>
      <c r="S1415" s="3" t="s">
        <v>359</v>
      </c>
      <c r="T1415" s="3" t="s">
        <v>600</v>
      </c>
      <c r="U1415" s="3">
        <v>0</v>
      </c>
      <c r="V1415" s="3">
        <v>31</v>
      </c>
      <c r="W1415" s="3">
        <v>50</v>
      </c>
    </row>
    <row r="1416" spans="1:23" ht="11.25" customHeight="1" x14ac:dyDescent="0.25">
      <c r="A1416" s="3" t="s">
        <v>56</v>
      </c>
      <c r="B1416" s="3" t="s">
        <v>22</v>
      </c>
      <c r="C1416" s="3" t="s">
        <v>37</v>
      </c>
      <c r="D1416" s="3" t="s">
        <v>24</v>
      </c>
      <c r="E1416" s="3" t="s">
        <v>24</v>
      </c>
      <c r="F1416" s="3" t="s">
        <v>25</v>
      </c>
      <c r="G1416" s="3" t="s">
        <v>25</v>
      </c>
      <c r="H1416" s="3" t="s">
        <v>35</v>
      </c>
      <c r="I1416" s="6">
        <v>44652</v>
      </c>
      <c r="J1416" s="4">
        <v>0</v>
      </c>
      <c r="K1416" s="4">
        <v>0</v>
      </c>
      <c r="L1416" s="4">
        <v>8.0000000000000002E-3</v>
      </c>
      <c r="M1416" s="4">
        <v>8.0000000000000002E-3</v>
      </c>
      <c r="N1416" s="4">
        <v>8.0000000000000002E-3</v>
      </c>
      <c r="O1416" s="4">
        <v>8.0000000000000002E-3</v>
      </c>
      <c r="P1416" s="4">
        <v>0</v>
      </c>
      <c r="Q1416" s="3" t="s">
        <v>26</v>
      </c>
      <c r="R1416" s="3">
        <v>0</v>
      </c>
      <c r="S1416" s="3" t="s">
        <v>359</v>
      </c>
      <c r="T1416" s="3" t="s">
        <v>600</v>
      </c>
      <c r="U1416" s="3">
        <v>0</v>
      </c>
      <c r="V1416" s="3">
        <v>31</v>
      </c>
      <c r="W1416" s="3">
        <v>50</v>
      </c>
    </row>
    <row r="1417" spans="1:23" ht="11.25" customHeight="1" x14ac:dyDescent="0.25">
      <c r="A1417" s="3" t="s">
        <v>21</v>
      </c>
      <c r="B1417" s="3" t="s">
        <v>22</v>
      </c>
      <c r="C1417" s="3" t="s">
        <v>23</v>
      </c>
      <c r="D1417" s="3" t="s">
        <v>24</v>
      </c>
      <c r="E1417" s="3" t="s">
        <v>24</v>
      </c>
      <c r="F1417" s="3" t="s">
        <v>25</v>
      </c>
      <c r="G1417" s="3" t="s">
        <v>25</v>
      </c>
      <c r="H1417" s="3" t="s">
        <v>25</v>
      </c>
      <c r="I1417" s="6">
        <v>44317</v>
      </c>
      <c r="J1417" s="4">
        <v>0</v>
      </c>
      <c r="K1417" s="4">
        <v>0</v>
      </c>
      <c r="L1417" s="4">
        <v>99925.642999999996</v>
      </c>
      <c r="M1417" s="4">
        <v>99925.642999999996</v>
      </c>
      <c r="N1417" s="4">
        <v>99925.642999999996</v>
      </c>
      <c r="O1417" s="4">
        <v>99925.642999999996</v>
      </c>
      <c r="P1417" s="4">
        <v>720359</v>
      </c>
      <c r="Q1417" s="3" t="s">
        <v>26</v>
      </c>
      <c r="R1417" s="3">
        <v>0</v>
      </c>
      <c r="S1417" s="3" t="s">
        <v>360</v>
      </c>
      <c r="T1417" s="3" t="s">
        <v>601</v>
      </c>
      <c r="U1417" s="3">
        <v>0</v>
      </c>
      <c r="V1417" s="3">
        <v>13</v>
      </c>
      <c r="W1417" s="3">
        <v>53</v>
      </c>
    </row>
    <row r="1418" spans="1:23" ht="11.25" customHeight="1" x14ac:dyDescent="0.25">
      <c r="A1418" s="3" t="s">
        <v>27</v>
      </c>
      <c r="B1418" s="3" t="s">
        <v>22</v>
      </c>
      <c r="C1418" s="3" t="s">
        <v>23</v>
      </c>
      <c r="D1418" s="3" t="s">
        <v>24</v>
      </c>
      <c r="E1418" s="3" t="s">
        <v>24</v>
      </c>
      <c r="F1418" s="3" t="s">
        <v>25</v>
      </c>
      <c r="G1418" s="3" t="s">
        <v>25</v>
      </c>
      <c r="H1418" s="3" t="s">
        <v>25</v>
      </c>
      <c r="I1418" s="6">
        <v>44317</v>
      </c>
      <c r="J1418" s="4">
        <v>0</v>
      </c>
      <c r="K1418" s="4">
        <v>0</v>
      </c>
      <c r="L1418" s="4">
        <v>-804.37300000000005</v>
      </c>
      <c r="M1418" s="4">
        <v>-804.37300000000005</v>
      </c>
      <c r="N1418" s="4">
        <v>-804.37300000000005</v>
      </c>
      <c r="O1418" s="4">
        <v>-804.37300000000005</v>
      </c>
      <c r="P1418" s="4">
        <v>-6484</v>
      </c>
      <c r="Q1418" s="3" t="s">
        <v>26</v>
      </c>
      <c r="R1418" s="3">
        <v>0</v>
      </c>
      <c r="S1418" s="3" t="s">
        <v>360</v>
      </c>
      <c r="T1418" s="3" t="s">
        <v>601</v>
      </c>
      <c r="U1418" s="3">
        <v>0</v>
      </c>
      <c r="V1418" s="3">
        <v>13</v>
      </c>
      <c r="W1418" s="3">
        <v>53</v>
      </c>
    </row>
    <row r="1419" spans="1:23" ht="11.25" customHeight="1" x14ac:dyDescent="0.25">
      <c r="A1419" s="3" t="s">
        <v>28</v>
      </c>
      <c r="B1419" s="3" t="s">
        <v>22</v>
      </c>
      <c r="C1419" s="3" t="s">
        <v>23</v>
      </c>
      <c r="D1419" s="3" t="s">
        <v>24</v>
      </c>
      <c r="E1419" s="3" t="s">
        <v>24</v>
      </c>
      <c r="F1419" s="3" t="s">
        <v>25</v>
      </c>
      <c r="G1419" s="3" t="s">
        <v>25</v>
      </c>
      <c r="H1419" s="3" t="s">
        <v>25</v>
      </c>
      <c r="I1419" s="6">
        <v>44317</v>
      </c>
      <c r="J1419" s="4">
        <v>0</v>
      </c>
      <c r="K1419" s="4">
        <v>0</v>
      </c>
      <c r="L1419" s="4">
        <v>610.88499999999999</v>
      </c>
      <c r="M1419" s="4">
        <v>610.88499999999999</v>
      </c>
      <c r="N1419" s="4">
        <v>610.88499999999999</v>
      </c>
      <c r="O1419" s="4">
        <v>610.88499999999999</v>
      </c>
      <c r="P1419" s="4">
        <v>3758</v>
      </c>
      <c r="Q1419" s="3" t="s">
        <v>26</v>
      </c>
      <c r="R1419" s="3">
        <v>0</v>
      </c>
      <c r="S1419" s="3" t="s">
        <v>360</v>
      </c>
      <c r="T1419" s="3" t="s">
        <v>601</v>
      </c>
      <c r="U1419" s="3">
        <v>0</v>
      </c>
      <c r="V1419" s="3">
        <v>13</v>
      </c>
      <c r="W1419" s="3">
        <v>53</v>
      </c>
    </row>
    <row r="1420" spans="1:23" ht="11.25" customHeight="1" x14ac:dyDescent="0.25">
      <c r="A1420" s="3" t="s">
        <v>28</v>
      </c>
      <c r="B1420" s="3" t="s">
        <v>22</v>
      </c>
      <c r="C1420" s="3" t="s">
        <v>23</v>
      </c>
      <c r="D1420" s="3" t="s">
        <v>24</v>
      </c>
      <c r="E1420" s="3" t="s">
        <v>24</v>
      </c>
      <c r="F1420" s="3" t="s">
        <v>25</v>
      </c>
      <c r="G1420" s="3" t="s">
        <v>25</v>
      </c>
      <c r="H1420" s="3" t="s">
        <v>25</v>
      </c>
      <c r="I1420" s="6">
        <v>44317</v>
      </c>
      <c r="J1420" s="4">
        <v>0</v>
      </c>
      <c r="K1420" s="4">
        <v>0</v>
      </c>
      <c r="L1420" s="4">
        <v>5.5380000000000003</v>
      </c>
      <c r="M1420" s="4">
        <v>5.5380000000000003</v>
      </c>
      <c r="N1420" s="4">
        <v>5.5380000000000003</v>
      </c>
      <c r="O1420" s="4">
        <v>5.5380000000000003</v>
      </c>
      <c r="P1420" s="4">
        <v>14</v>
      </c>
      <c r="Q1420" s="3" t="s">
        <v>26</v>
      </c>
      <c r="R1420" s="3">
        <v>0</v>
      </c>
      <c r="S1420" s="3" t="s">
        <v>360</v>
      </c>
      <c r="T1420" s="3" t="s">
        <v>601</v>
      </c>
      <c r="U1420" s="3">
        <v>0</v>
      </c>
      <c r="V1420" s="3">
        <v>13</v>
      </c>
      <c r="W1420" s="3">
        <v>53</v>
      </c>
    </row>
    <row r="1421" spans="1:23" ht="11.25" customHeight="1" x14ac:dyDescent="0.25">
      <c r="A1421" s="3" t="s">
        <v>21</v>
      </c>
      <c r="B1421" s="3" t="s">
        <v>22</v>
      </c>
      <c r="C1421" s="3" t="s">
        <v>23</v>
      </c>
      <c r="D1421" s="3" t="s">
        <v>24</v>
      </c>
      <c r="E1421" s="3" t="s">
        <v>24</v>
      </c>
      <c r="F1421" s="3" t="s">
        <v>25</v>
      </c>
      <c r="G1421" s="3" t="s">
        <v>25</v>
      </c>
      <c r="H1421" s="3" t="s">
        <v>25</v>
      </c>
      <c r="I1421" s="6">
        <v>44348</v>
      </c>
      <c r="J1421" s="4">
        <v>0</v>
      </c>
      <c r="K1421" s="4">
        <v>0</v>
      </c>
      <c r="L1421" s="4">
        <v>93674.627999999997</v>
      </c>
      <c r="M1421" s="4">
        <v>93674.627999999997</v>
      </c>
      <c r="N1421" s="4">
        <v>93674.627999999997</v>
      </c>
      <c r="O1421" s="4">
        <v>93674.627999999997</v>
      </c>
      <c r="P1421" s="4">
        <v>714113</v>
      </c>
      <c r="Q1421" s="3" t="s">
        <v>26</v>
      </c>
      <c r="R1421" s="3">
        <v>0</v>
      </c>
      <c r="S1421" s="3" t="s">
        <v>361</v>
      </c>
      <c r="T1421" s="3" t="s">
        <v>602</v>
      </c>
      <c r="U1421" s="3">
        <v>0</v>
      </c>
      <c r="V1421" s="3">
        <v>13</v>
      </c>
      <c r="W1421" s="3">
        <v>53</v>
      </c>
    </row>
    <row r="1422" spans="1:23" ht="11.25" customHeight="1" x14ac:dyDescent="0.25">
      <c r="A1422" s="3" t="s">
        <v>27</v>
      </c>
      <c r="B1422" s="3" t="s">
        <v>22</v>
      </c>
      <c r="C1422" s="3" t="s">
        <v>23</v>
      </c>
      <c r="D1422" s="3" t="s">
        <v>24</v>
      </c>
      <c r="E1422" s="3" t="s">
        <v>24</v>
      </c>
      <c r="F1422" s="3" t="s">
        <v>25</v>
      </c>
      <c r="G1422" s="3" t="s">
        <v>25</v>
      </c>
      <c r="H1422" s="3" t="s">
        <v>25</v>
      </c>
      <c r="I1422" s="6">
        <v>44348</v>
      </c>
      <c r="J1422" s="4">
        <v>0</v>
      </c>
      <c r="K1422" s="4">
        <v>0</v>
      </c>
      <c r="L1422" s="4">
        <v>-830.81299999999999</v>
      </c>
      <c r="M1422" s="4">
        <v>-830.81299999999999</v>
      </c>
      <c r="N1422" s="4">
        <v>-830.81299999999999</v>
      </c>
      <c r="O1422" s="4">
        <v>-830.81299999999999</v>
      </c>
      <c r="P1422" s="4">
        <v>-12795</v>
      </c>
      <c r="Q1422" s="3" t="s">
        <v>26</v>
      </c>
      <c r="R1422" s="3">
        <v>0</v>
      </c>
      <c r="S1422" s="3" t="s">
        <v>361</v>
      </c>
      <c r="T1422" s="3" t="s">
        <v>602</v>
      </c>
      <c r="U1422" s="3">
        <v>0</v>
      </c>
      <c r="V1422" s="3">
        <v>13</v>
      </c>
      <c r="W1422" s="3">
        <v>53</v>
      </c>
    </row>
    <row r="1423" spans="1:23" ht="11.25" customHeight="1" x14ac:dyDescent="0.25">
      <c r="A1423" s="3" t="s">
        <v>28</v>
      </c>
      <c r="B1423" s="3" t="s">
        <v>22</v>
      </c>
      <c r="C1423" s="3" t="s">
        <v>23</v>
      </c>
      <c r="D1423" s="3" t="s">
        <v>24</v>
      </c>
      <c r="E1423" s="3" t="s">
        <v>24</v>
      </c>
      <c r="F1423" s="3" t="s">
        <v>25</v>
      </c>
      <c r="G1423" s="3" t="s">
        <v>25</v>
      </c>
      <c r="H1423" s="3" t="s">
        <v>25</v>
      </c>
      <c r="I1423" s="6">
        <v>44348</v>
      </c>
      <c r="J1423" s="4">
        <v>0</v>
      </c>
      <c r="K1423" s="4">
        <v>0</v>
      </c>
      <c r="L1423" s="4">
        <v>693.68600000000004</v>
      </c>
      <c r="M1423" s="4">
        <v>693.68600000000004</v>
      </c>
      <c r="N1423" s="4">
        <v>693.68600000000004</v>
      </c>
      <c r="O1423" s="4">
        <v>693.68600000000004</v>
      </c>
      <c r="P1423" s="4">
        <v>4151</v>
      </c>
      <c r="Q1423" s="3" t="s">
        <v>26</v>
      </c>
      <c r="R1423" s="3">
        <v>0</v>
      </c>
      <c r="S1423" s="3" t="s">
        <v>361</v>
      </c>
      <c r="T1423" s="3" t="s">
        <v>602</v>
      </c>
      <c r="U1423" s="3">
        <v>0</v>
      </c>
      <c r="V1423" s="3">
        <v>13</v>
      </c>
      <c r="W1423" s="3">
        <v>53</v>
      </c>
    </row>
    <row r="1424" spans="1:23" ht="11.25" customHeight="1" x14ac:dyDescent="0.25">
      <c r="A1424" s="3" t="s">
        <v>28</v>
      </c>
      <c r="B1424" s="3" t="s">
        <v>22</v>
      </c>
      <c r="C1424" s="3" t="s">
        <v>23</v>
      </c>
      <c r="D1424" s="3" t="s">
        <v>24</v>
      </c>
      <c r="E1424" s="3" t="s">
        <v>24</v>
      </c>
      <c r="F1424" s="3" t="s">
        <v>25</v>
      </c>
      <c r="G1424" s="3" t="s">
        <v>25</v>
      </c>
      <c r="H1424" s="3" t="s">
        <v>25</v>
      </c>
      <c r="I1424" s="6">
        <v>44348</v>
      </c>
      <c r="J1424" s="4">
        <v>0</v>
      </c>
      <c r="K1424" s="4">
        <v>0</v>
      </c>
      <c r="L1424" s="4">
        <v>8.8379999999999992</v>
      </c>
      <c r="M1424" s="4">
        <v>8.8379999999999992</v>
      </c>
      <c r="N1424" s="4">
        <v>8.8379999999999992</v>
      </c>
      <c r="O1424" s="4">
        <v>8.8379999999999992</v>
      </c>
      <c r="P1424" s="4">
        <v>10</v>
      </c>
      <c r="Q1424" s="3" t="s">
        <v>26</v>
      </c>
      <c r="R1424" s="3">
        <v>0</v>
      </c>
      <c r="S1424" s="3" t="s">
        <v>361</v>
      </c>
      <c r="T1424" s="3" t="s">
        <v>602</v>
      </c>
      <c r="U1424" s="3">
        <v>0</v>
      </c>
      <c r="V1424" s="3">
        <v>13</v>
      </c>
      <c r="W1424" s="3">
        <v>53</v>
      </c>
    </row>
    <row r="1425" spans="1:23" ht="11.25" customHeight="1" x14ac:dyDescent="0.25">
      <c r="A1425" s="3" t="s">
        <v>21</v>
      </c>
      <c r="B1425" s="3" t="s">
        <v>22</v>
      </c>
      <c r="C1425" s="3" t="s">
        <v>23</v>
      </c>
      <c r="D1425" s="3" t="s">
        <v>24</v>
      </c>
      <c r="E1425" s="3" t="s">
        <v>24</v>
      </c>
      <c r="F1425" s="3" t="s">
        <v>25</v>
      </c>
      <c r="G1425" s="3" t="s">
        <v>25</v>
      </c>
      <c r="H1425" s="3" t="s">
        <v>25</v>
      </c>
      <c r="I1425" s="6">
        <v>44378</v>
      </c>
      <c r="J1425" s="4">
        <v>0</v>
      </c>
      <c r="K1425" s="4">
        <v>0</v>
      </c>
      <c r="L1425" s="4">
        <v>87243.097999999998</v>
      </c>
      <c r="M1425" s="4">
        <v>87243.097999999998</v>
      </c>
      <c r="N1425" s="4">
        <v>87243.097999999998</v>
      </c>
      <c r="O1425" s="4">
        <v>87243.097999999998</v>
      </c>
      <c r="P1425" s="4">
        <v>714088</v>
      </c>
      <c r="Q1425" s="3" t="s">
        <v>26</v>
      </c>
      <c r="R1425" s="3">
        <v>0</v>
      </c>
      <c r="S1425" s="3" t="s">
        <v>362</v>
      </c>
      <c r="T1425" s="3" t="s">
        <v>603</v>
      </c>
      <c r="U1425" s="3">
        <v>0</v>
      </c>
      <c r="V1425" s="3">
        <v>13</v>
      </c>
      <c r="W1425" s="3">
        <v>53</v>
      </c>
    </row>
    <row r="1426" spans="1:23" ht="11.25" customHeight="1" x14ac:dyDescent="0.25">
      <c r="A1426" s="3" t="s">
        <v>27</v>
      </c>
      <c r="B1426" s="3" t="s">
        <v>22</v>
      </c>
      <c r="C1426" s="3" t="s">
        <v>23</v>
      </c>
      <c r="D1426" s="3" t="s">
        <v>24</v>
      </c>
      <c r="E1426" s="3" t="s">
        <v>24</v>
      </c>
      <c r="F1426" s="3" t="s">
        <v>25</v>
      </c>
      <c r="G1426" s="3" t="s">
        <v>25</v>
      </c>
      <c r="H1426" s="3" t="s">
        <v>25</v>
      </c>
      <c r="I1426" s="6">
        <v>44378</v>
      </c>
      <c r="J1426" s="4">
        <v>0</v>
      </c>
      <c r="K1426" s="4">
        <v>0</v>
      </c>
      <c r="L1426" s="4">
        <v>-697.83299999999997</v>
      </c>
      <c r="M1426" s="4">
        <v>-697.83299999999997</v>
      </c>
      <c r="N1426" s="4">
        <v>-697.83299999999997</v>
      </c>
      <c r="O1426" s="4">
        <v>-697.83299999999997</v>
      </c>
      <c r="P1426" s="4">
        <v>-9418</v>
      </c>
      <c r="Q1426" s="3" t="s">
        <v>26</v>
      </c>
      <c r="R1426" s="3">
        <v>0</v>
      </c>
      <c r="S1426" s="3" t="s">
        <v>362</v>
      </c>
      <c r="T1426" s="3" t="s">
        <v>603</v>
      </c>
      <c r="U1426" s="3">
        <v>0</v>
      </c>
      <c r="V1426" s="3">
        <v>13</v>
      </c>
      <c r="W1426" s="3">
        <v>53</v>
      </c>
    </row>
    <row r="1427" spans="1:23" ht="11.25" customHeight="1" x14ac:dyDescent="0.25">
      <c r="A1427" s="3" t="s">
        <v>28</v>
      </c>
      <c r="B1427" s="3" t="s">
        <v>22</v>
      </c>
      <c r="C1427" s="3" t="s">
        <v>23</v>
      </c>
      <c r="D1427" s="3" t="s">
        <v>24</v>
      </c>
      <c r="E1427" s="3" t="s">
        <v>24</v>
      </c>
      <c r="F1427" s="3" t="s">
        <v>25</v>
      </c>
      <c r="G1427" s="3" t="s">
        <v>25</v>
      </c>
      <c r="H1427" s="3" t="s">
        <v>25</v>
      </c>
      <c r="I1427" s="6">
        <v>44378</v>
      </c>
      <c r="J1427" s="4">
        <v>0</v>
      </c>
      <c r="K1427" s="4">
        <v>0</v>
      </c>
      <c r="L1427" s="4">
        <v>686.67399999999998</v>
      </c>
      <c r="M1427" s="4">
        <v>686.67399999999998</v>
      </c>
      <c r="N1427" s="4">
        <v>686.67399999999998</v>
      </c>
      <c r="O1427" s="4">
        <v>686.67399999999998</v>
      </c>
      <c r="P1427" s="4">
        <v>4499</v>
      </c>
      <c r="Q1427" s="3" t="s">
        <v>26</v>
      </c>
      <c r="R1427" s="3">
        <v>0</v>
      </c>
      <c r="S1427" s="3" t="s">
        <v>362</v>
      </c>
      <c r="T1427" s="3" t="s">
        <v>603</v>
      </c>
      <c r="U1427" s="3">
        <v>0</v>
      </c>
      <c r="V1427" s="3">
        <v>13</v>
      </c>
      <c r="W1427" s="3">
        <v>53</v>
      </c>
    </row>
    <row r="1428" spans="1:23" ht="11.25" customHeight="1" x14ac:dyDescent="0.25">
      <c r="A1428" s="3" t="s">
        <v>28</v>
      </c>
      <c r="B1428" s="3" t="s">
        <v>22</v>
      </c>
      <c r="C1428" s="3" t="s">
        <v>23</v>
      </c>
      <c r="D1428" s="3" t="s">
        <v>24</v>
      </c>
      <c r="E1428" s="3" t="s">
        <v>24</v>
      </c>
      <c r="F1428" s="3" t="s">
        <v>25</v>
      </c>
      <c r="G1428" s="3" t="s">
        <v>25</v>
      </c>
      <c r="H1428" s="3" t="s">
        <v>25</v>
      </c>
      <c r="I1428" s="6">
        <v>44378</v>
      </c>
      <c r="J1428" s="4">
        <v>0</v>
      </c>
      <c r="K1428" s="4">
        <v>0</v>
      </c>
      <c r="L1428" s="4">
        <v>4.2999999999999997E-2</v>
      </c>
      <c r="M1428" s="4">
        <v>4.2999999999999997E-2</v>
      </c>
      <c r="N1428" s="4">
        <v>4.2999999999999997E-2</v>
      </c>
      <c r="O1428" s="4">
        <v>4.2999999999999997E-2</v>
      </c>
      <c r="P1428" s="4">
        <v>10</v>
      </c>
      <c r="Q1428" s="3" t="s">
        <v>26</v>
      </c>
      <c r="R1428" s="3">
        <v>0</v>
      </c>
      <c r="S1428" s="3" t="s">
        <v>362</v>
      </c>
      <c r="T1428" s="3" t="s">
        <v>603</v>
      </c>
      <c r="U1428" s="3">
        <v>0</v>
      </c>
      <c r="V1428" s="3">
        <v>13</v>
      </c>
      <c r="W1428" s="3">
        <v>53</v>
      </c>
    </row>
    <row r="1429" spans="1:23" ht="11.25" customHeight="1" x14ac:dyDescent="0.25">
      <c r="A1429" s="3" t="s">
        <v>21</v>
      </c>
      <c r="B1429" s="3" t="s">
        <v>22</v>
      </c>
      <c r="C1429" s="3" t="s">
        <v>23</v>
      </c>
      <c r="D1429" s="3" t="s">
        <v>24</v>
      </c>
      <c r="E1429" s="3" t="s">
        <v>24</v>
      </c>
      <c r="F1429" s="3" t="s">
        <v>25</v>
      </c>
      <c r="G1429" s="3" t="s">
        <v>25</v>
      </c>
      <c r="H1429" s="3" t="s">
        <v>25</v>
      </c>
      <c r="I1429" s="6">
        <v>44409</v>
      </c>
      <c r="J1429" s="4">
        <v>0</v>
      </c>
      <c r="K1429" s="4">
        <v>0</v>
      </c>
      <c r="L1429" s="4">
        <v>84965.644</v>
      </c>
      <c r="M1429" s="4">
        <v>84965.644</v>
      </c>
      <c r="N1429" s="4">
        <v>84965.644</v>
      </c>
      <c r="O1429" s="4">
        <v>84965.644</v>
      </c>
      <c r="P1429" s="4">
        <v>710526</v>
      </c>
      <c r="Q1429" s="3" t="s">
        <v>26</v>
      </c>
      <c r="R1429" s="3">
        <v>0</v>
      </c>
      <c r="S1429" s="3" t="s">
        <v>363</v>
      </c>
      <c r="T1429" s="3" t="s">
        <v>604</v>
      </c>
      <c r="U1429" s="3">
        <v>0</v>
      </c>
      <c r="V1429" s="3">
        <v>13</v>
      </c>
      <c r="W1429" s="3">
        <v>53</v>
      </c>
    </row>
    <row r="1430" spans="1:23" ht="11.25" customHeight="1" x14ac:dyDescent="0.25">
      <c r="A1430" s="3" t="s">
        <v>27</v>
      </c>
      <c r="B1430" s="3" t="s">
        <v>22</v>
      </c>
      <c r="C1430" s="3" t="s">
        <v>23</v>
      </c>
      <c r="D1430" s="3" t="s">
        <v>24</v>
      </c>
      <c r="E1430" s="3" t="s">
        <v>24</v>
      </c>
      <c r="F1430" s="3" t="s">
        <v>25</v>
      </c>
      <c r="G1430" s="3" t="s">
        <v>25</v>
      </c>
      <c r="H1430" s="3" t="s">
        <v>25</v>
      </c>
      <c r="I1430" s="6">
        <v>44409</v>
      </c>
      <c r="J1430" s="4">
        <v>0</v>
      </c>
      <c r="K1430" s="4">
        <v>0</v>
      </c>
      <c r="L1430" s="4">
        <v>-588.06500000000005</v>
      </c>
      <c r="M1430" s="4">
        <v>-588.06500000000005</v>
      </c>
      <c r="N1430" s="4">
        <v>-588.06500000000005</v>
      </c>
      <c r="O1430" s="4">
        <v>-588.06500000000005</v>
      </c>
      <c r="P1430" s="4">
        <v>-5115</v>
      </c>
      <c r="Q1430" s="3" t="s">
        <v>26</v>
      </c>
      <c r="R1430" s="3">
        <v>0</v>
      </c>
      <c r="S1430" s="3" t="s">
        <v>363</v>
      </c>
      <c r="T1430" s="3" t="s">
        <v>604</v>
      </c>
      <c r="U1430" s="3">
        <v>0</v>
      </c>
      <c r="V1430" s="3">
        <v>13</v>
      </c>
      <c r="W1430" s="3">
        <v>53</v>
      </c>
    </row>
    <row r="1431" spans="1:23" ht="11.25" customHeight="1" x14ac:dyDescent="0.25">
      <c r="A1431" s="3" t="s">
        <v>28</v>
      </c>
      <c r="B1431" s="3" t="s">
        <v>22</v>
      </c>
      <c r="C1431" s="3" t="s">
        <v>23</v>
      </c>
      <c r="D1431" s="3" t="s">
        <v>24</v>
      </c>
      <c r="E1431" s="3" t="s">
        <v>24</v>
      </c>
      <c r="F1431" s="3" t="s">
        <v>25</v>
      </c>
      <c r="G1431" s="3" t="s">
        <v>25</v>
      </c>
      <c r="H1431" s="3" t="s">
        <v>25</v>
      </c>
      <c r="I1431" s="6">
        <v>44409</v>
      </c>
      <c r="J1431" s="4">
        <v>0</v>
      </c>
      <c r="K1431" s="4">
        <v>0</v>
      </c>
      <c r="L1431" s="4">
        <v>715.93700000000001</v>
      </c>
      <c r="M1431" s="4">
        <v>715.93700000000001</v>
      </c>
      <c r="N1431" s="4">
        <v>715.93700000000001</v>
      </c>
      <c r="O1431" s="4">
        <v>715.93700000000001</v>
      </c>
      <c r="P1431" s="4">
        <v>4968</v>
      </c>
      <c r="Q1431" s="3" t="s">
        <v>26</v>
      </c>
      <c r="R1431" s="3">
        <v>0</v>
      </c>
      <c r="S1431" s="3" t="s">
        <v>363</v>
      </c>
      <c r="T1431" s="3" t="s">
        <v>604</v>
      </c>
      <c r="U1431" s="3">
        <v>0</v>
      </c>
      <c r="V1431" s="3">
        <v>13</v>
      </c>
      <c r="W1431" s="3">
        <v>53</v>
      </c>
    </row>
    <row r="1432" spans="1:23" ht="11.25" customHeight="1" x14ac:dyDescent="0.25">
      <c r="A1432" s="3" t="s">
        <v>28</v>
      </c>
      <c r="B1432" s="3" t="s">
        <v>22</v>
      </c>
      <c r="C1432" s="3" t="s">
        <v>23</v>
      </c>
      <c r="D1432" s="3" t="s">
        <v>24</v>
      </c>
      <c r="E1432" s="3" t="s">
        <v>24</v>
      </c>
      <c r="F1432" s="3" t="s">
        <v>25</v>
      </c>
      <c r="G1432" s="3" t="s">
        <v>25</v>
      </c>
      <c r="H1432" s="3" t="s">
        <v>25</v>
      </c>
      <c r="I1432" s="6">
        <v>44409</v>
      </c>
      <c r="J1432" s="4">
        <v>0</v>
      </c>
      <c r="K1432" s="4">
        <v>0</v>
      </c>
      <c r="L1432" s="4">
        <v>-18.384</v>
      </c>
      <c r="M1432" s="4">
        <v>-18.384</v>
      </c>
      <c r="N1432" s="4">
        <v>-18.384</v>
      </c>
      <c r="O1432" s="4">
        <v>-18.384</v>
      </c>
      <c r="P1432" s="4">
        <v>0</v>
      </c>
      <c r="Q1432" s="3" t="s">
        <v>26</v>
      </c>
      <c r="R1432" s="3">
        <v>0</v>
      </c>
      <c r="S1432" s="3" t="s">
        <v>363</v>
      </c>
      <c r="T1432" s="3" t="s">
        <v>604</v>
      </c>
      <c r="U1432" s="3">
        <v>0</v>
      </c>
      <c r="V1432" s="3">
        <v>13</v>
      </c>
      <c r="W1432" s="3">
        <v>53</v>
      </c>
    </row>
    <row r="1433" spans="1:23" ht="11.25" customHeight="1" x14ac:dyDescent="0.25">
      <c r="A1433" s="3" t="s">
        <v>21</v>
      </c>
      <c r="B1433" s="3" t="s">
        <v>22</v>
      </c>
      <c r="C1433" s="3" t="s">
        <v>23</v>
      </c>
      <c r="D1433" s="3" t="s">
        <v>24</v>
      </c>
      <c r="E1433" s="3" t="s">
        <v>24</v>
      </c>
      <c r="F1433" s="3" t="s">
        <v>25</v>
      </c>
      <c r="G1433" s="3" t="s">
        <v>25</v>
      </c>
      <c r="H1433" s="3" t="s">
        <v>25</v>
      </c>
      <c r="I1433" s="6">
        <v>44440</v>
      </c>
      <c r="J1433" s="4">
        <v>0</v>
      </c>
      <c r="K1433" s="4">
        <v>0</v>
      </c>
      <c r="L1433" s="4">
        <v>89958.422000000006</v>
      </c>
      <c r="M1433" s="4">
        <v>89958.422000000006</v>
      </c>
      <c r="N1433" s="4">
        <v>89958.422000000006</v>
      </c>
      <c r="O1433" s="4">
        <v>89958.422000000006</v>
      </c>
      <c r="P1433" s="4">
        <v>709464</v>
      </c>
      <c r="Q1433" s="3" t="s">
        <v>26</v>
      </c>
      <c r="R1433" s="3">
        <v>0</v>
      </c>
      <c r="S1433" s="3" t="s">
        <v>364</v>
      </c>
      <c r="T1433" s="3" t="s">
        <v>605</v>
      </c>
      <c r="U1433" s="3">
        <v>0</v>
      </c>
      <c r="V1433" s="3">
        <v>13</v>
      </c>
      <c r="W1433" s="3">
        <v>53</v>
      </c>
    </row>
    <row r="1434" spans="1:23" ht="11.25" customHeight="1" x14ac:dyDescent="0.25">
      <c r="A1434" s="3" t="s">
        <v>27</v>
      </c>
      <c r="B1434" s="3" t="s">
        <v>22</v>
      </c>
      <c r="C1434" s="3" t="s">
        <v>23</v>
      </c>
      <c r="D1434" s="3" t="s">
        <v>24</v>
      </c>
      <c r="E1434" s="3" t="s">
        <v>24</v>
      </c>
      <c r="F1434" s="3" t="s">
        <v>25</v>
      </c>
      <c r="G1434" s="3" t="s">
        <v>25</v>
      </c>
      <c r="H1434" s="3" t="s">
        <v>25</v>
      </c>
      <c r="I1434" s="6">
        <v>44440</v>
      </c>
      <c r="J1434" s="4">
        <v>0</v>
      </c>
      <c r="K1434" s="4">
        <v>0</v>
      </c>
      <c r="L1434" s="4">
        <v>-523.68399999999997</v>
      </c>
      <c r="M1434" s="4">
        <v>-523.68399999999997</v>
      </c>
      <c r="N1434" s="4">
        <v>-523.68399999999997</v>
      </c>
      <c r="O1434" s="4">
        <v>-523.68399999999997</v>
      </c>
      <c r="P1434" s="4">
        <v>-6051</v>
      </c>
      <c r="Q1434" s="3" t="s">
        <v>26</v>
      </c>
      <c r="R1434" s="3">
        <v>0</v>
      </c>
      <c r="S1434" s="3" t="s">
        <v>364</v>
      </c>
      <c r="T1434" s="3" t="s">
        <v>605</v>
      </c>
      <c r="U1434" s="3">
        <v>0</v>
      </c>
      <c r="V1434" s="3">
        <v>13</v>
      </c>
      <c r="W1434" s="3">
        <v>53</v>
      </c>
    </row>
    <row r="1435" spans="1:23" ht="11.25" customHeight="1" x14ac:dyDescent="0.25">
      <c r="A1435" s="3" t="s">
        <v>28</v>
      </c>
      <c r="B1435" s="3" t="s">
        <v>22</v>
      </c>
      <c r="C1435" s="3" t="s">
        <v>23</v>
      </c>
      <c r="D1435" s="3" t="s">
        <v>24</v>
      </c>
      <c r="E1435" s="3" t="s">
        <v>24</v>
      </c>
      <c r="F1435" s="3" t="s">
        <v>25</v>
      </c>
      <c r="G1435" s="3" t="s">
        <v>25</v>
      </c>
      <c r="H1435" s="3" t="s">
        <v>25</v>
      </c>
      <c r="I1435" s="6">
        <v>44440</v>
      </c>
      <c r="J1435" s="4">
        <v>0</v>
      </c>
      <c r="K1435" s="4">
        <v>0</v>
      </c>
      <c r="L1435" s="4">
        <v>766.30899999999997</v>
      </c>
      <c r="M1435" s="4">
        <v>766.30899999999997</v>
      </c>
      <c r="N1435" s="4">
        <v>766.30899999999997</v>
      </c>
      <c r="O1435" s="4">
        <v>766.30899999999997</v>
      </c>
      <c r="P1435" s="4">
        <v>5411</v>
      </c>
      <c r="Q1435" s="3" t="s">
        <v>26</v>
      </c>
      <c r="R1435" s="3">
        <v>0</v>
      </c>
      <c r="S1435" s="3" t="s">
        <v>364</v>
      </c>
      <c r="T1435" s="3" t="s">
        <v>605</v>
      </c>
      <c r="U1435" s="3">
        <v>0</v>
      </c>
      <c r="V1435" s="3">
        <v>13</v>
      </c>
      <c r="W1435" s="3">
        <v>53</v>
      </c>
    </row>
    <row r="1436" spans="1:23" ht="11.25" customHeight="1" x14ac:dyDescent="0.25">
      <c r="A1436" s="3" t="s">
        <v>28</v>
      </c>
      <c r="B1436" s="3" t="s">
        <v>22</v>
      </c>
      <c r="C1436" s="3" t="s">
        <v>23</v>
      </c>
      <c r="D1436" s="3" t="s">
        <v>24</v>
      </c>
      <c r="E1436" s="3" t="s">
        <v>24</v>
      </c>
      <c r="F1436" s="3" t="s">
        <v>25</v>
      </c>
      <c r="G1436" s="3" t="s">
        <v>25</v>
      </c>
      <c r="H1436" s="3" t="s">
        <v>25</v>
      </c>
      <c r="I1436" s="6">
        <v>44440</v>
      </c>
      <c r="J1436" s="4">
        <v>0</v>
      </c>
      <c r="K1436" s="4">
        <v>0</v>
      </c>
      <c r="L1436" s="4">
        <v>-1.863</v>
      </c>
      <c r="M1436" s="4">
        <v>-1.863</v>
      </c>
      <c r="N1436" s="4">
        <v>-1.863</v>
      </c>
      <c r="O1436" s="4">
        <v>-1.863</v>
      </c>
      <c r="P1436" s="4">
        <v>3</v>
      </c>
      <c r="Q1436" s="3" t="s">
        <v>26</v>
      </c>
      <c r="R1436" s="3">
        <v>0</v>
      </c>
      <c r="S1436" s="3" t="s">
        <v>364</v>
      </c>
      <c r="T1436" s="3" t="s">
        <v>605</v>
      </c>
      <c r="U1436" s="3">
        <v>0</v>
      </c>
      <c r="V1436" s="3">
        <v>13</v>
      </c>
      <c r="W1436" s="3">
        <v>53</v>
      </c>
    </row>
    <row r="1437" spans="1:23" ht="11.25" customHeight="1" x14ac:dyDescent="0.25">
      <c r="A1437" s="3" t="s">
        <v>21</v>
      </c>
      <c r="B1437" s="3" t="s">
        <v>22</v>
      </c>
      <c r="C1437" s="3" t="s">
        <v>23</v>
      </c>
      <c r="D1437" s="3" t="s">
        <v>24</v>
      </c>
      <c r="E1437" s="3" t="s">
        <v>24</v>
      </c>
      <c r="F1437" s="3" t="s">
        <v>25</v>
      </c>
      <c r="G1437" s="3" t="s">
        <v>25</v>
      </c>
      <c r="H1437" s="3" t="s">
        <v>25</v>
      </c>
      <c r="I1437" s="6">
        <v>44470</v>
      </c>
      <c r="J1437" s="4">
        <v>0</v>
      </c>
      <c r="K1437" s="4">
        <v>0</v>
      </c>
      <c r="L1437" s="4">
        <v>96018.323000000004</v>
      </c>
      <c r="M1437" s="4">
        <v>96018.323000000004</v>
      </c>
      <c r="N1437" s="4">
        <v>96018.323000000004</v>
      </c>
      <c r="O1437" s="4">
        <v>96018.323000000004</v>
      </c>
      <c r="P1437" s="4">
        <v>712020</v>
      </c>
      <c r="Q1437" s="3" t="s">
        <v>26</v>
      </c>
      <c r="R1437" s="3">
        <v>0</v>
      </c>
      <c r="S1437" s="3" t="s">
        <v>365</v>
      </c>
      <c r="T1437" s="3" t="s">
        <v>606</v>
      </c>
      <c r="U1437" s="3">
        <v>0</v>
      </c>
      <c r="V1437" s="3">
        <v>13</v>
      </c>
      <c r="W1437" s="3">
        <v>53</v>
      </c>
    </row>
    <row r="1438" spans="1:23" ht="11.25" customHeight="1" x14ac:dyDescent="0.25">
      <c r="A1438" s="3" t="s">
        <v>27</v>
      </c>
      <c r="B1438" s="3" t="s">
        <v>22</v>
      </c>
      <c r="C1438" s="3" t="s">
        <v>23</v>
      </c>
      <c r="D1438" s="3" t="s">
        <v>24</v>
      </c>
      <c r="E1438" s="3" t="s">
        <v>24</v>
      </c>
      <c r="F1438" s="3" t="s">
        <v>25</v>
      </c>
      <c r="G1438" s="3" t="s">
        <v>25</v>
      </c>
      <c r="H1438" s="3" t="s">
        <v>25</v>
      </c>
      <c r="I1438" s="6">
        <v>44470</v>
      </c>
      <c r="J1438" s="4">
        <v>0</v>
      </c>
      <c r="K1438" s="4">
        <v>0</v>
      </c>
      <c r="L1438" s="4">
        <v>-706.54600000000005</v>
      </c>
      <c r="M1438" s="4">
        <v>-706.54600000000005</v>
      </c>
      <c r="N1438" s="4">
        <v>-706.54600000000005</v>
      </c>
      <c r="O1438" s="4">
        <v>-706.54600000000005</v>
      </c>
      <c r="P1438" s="4">
        <v>-5161</v>
      </c>
      <c r="Q1438" s="3" t="s">
        <v>26</v>
      </c>
      <c r="R1438" s="3">
        <v>0</v>
      </c>
      <c r="S1438" s="3" t="s">
        <v>365</v>
      </c>
      <c r="T1438" s="3" t="s">
        <v>606</v>
      </c>
      <c r="U1438" s="3">
        <v>0</v>
      </c>
      <c r="V1438" s="3">
        <v>13</v>
      </c>
      <c r="W1438" s="3">
        <v>53</v>
      </c>
    </row>
    <row r="1439" spans="1:23" ht="11.25" customHeight="1" x14ac:dyDescent="0.25">
      <c r="A1439" s="3" t="s">
        <v>28</v>
      </c>
      <c r="B1439" s="3" t="s">
        <v>22</v>
      </c>
      <c r="C1439" s="3" t="s">
        <v>23</v>
      </c>
      <c r="D1439" s="3" t="s">
        <v>24</v>
      </c>
      <c r="E1439" s="3" t="s">
        <v>24</v>
      </c>
      <c r="F1439" s="3" t="s">
        <v>25</v>
      </c>
      <c r="G1439" s="3" t="s">
        <v>25</v>
      </c>
      <c r="H1439" s="3" t="s">
        <v>25</v>
      </c>
      <c r="I1439" s="6">
        <v>44470</v>
      </c>
      <c r="J1439" s="4">
        <v>0</v>
      </c>
      <c r="K1439" s="4">
        <v>0</v>
      </c>
      <c r="L1439" s="4">
        <v>825.02700000000004</v>
      </c>
      <c r="M1439" s="4">
        <v>825.02700000000004</v>
      </c>
      <c r="N1439" s="4">
        <v>825.02700000000004</v>
      </c>
      <c r="O1439" s="4">
        <v>825.02700000000004</v>
      </c>
      <c r="P1439" s="4">
        <v>5933</v>
      </c>
      <c r="Q1439" s="3" t="s">
        <v>26</v>
      </c>
      <c r="R1439" s="3">
        <v>0</v>
      </c>
      <c r="S1439" s="3" t="s">
        <v>365</v>
      </c>
      <c r="T1439" s="3" t="s">
        <v>606</v>
      </c>
      <c r="U1439" s="3">
        <v>0</v>
      </c>
      <c r="V1439" s="3">
        <v>13</v>
      </c>
      <c r="W1439" s="3">
        <v>53</v>
      </c>
    </row>
    <row r="1440" spans="1:23" ht="11.25" customHeight="1" x14ac:dyDescent="0.25">
      <c r="A1440" s="3" t="s">
        <v>28</v>
      </c>
      <c r="B1440" s="3" t="s">
        <v>22</v>
      </c>
      <c r="C1440" s="3" t="s">
        <v>23</v>
      </c>
      <c r="D1440" s="3" t="s">
        <v>24</v>
      </c>
      <c r="E1440" s="3" t="s">
        <v>24</v>
      </c>
      <c r="F1440" s="3" t="s">
        <v>25</v>
      </c>
      <c r="G1440" s="3" t="s">
        <v>25</v>
      </c>
      <c r="H1440" s="3" t="s">
        <v>25</v>
      </c>
      <c r="I1440" s="6">
        <v>44470</v>
      </c>
      <c r="J1440" s="4">
        <v>0</v>
      </c>
      <c r="K1440" s="4">
        <v>0</v>
      </c>
      <c r="L1440" s="4">
        <v>-34.710999999999999</v>
      </c>
      <c r="M1440" s="4">
        <v>-34.710999999999999</v>
      </c>
      <c r="N1440" s="4">
        <v>-34.710999999999999</v>
      </c>
      <c r="O1440" s="4">
        <v>-34.710999999999999</v>
      </c>
      <c r="P1440" s="4">
        <v>-16</v>
      </c>
      <c r="Q1440" s="3" t="s">
        <v>26</v>
      </c>
      <c r="R1440" s="3">
        <v>0</v>
      </c>
      <c r="S1440" s="3" t="s">
        <v>365</v>
      </c>
      <c r="T1440" s="3" t="s">
        <v>606</v>
      </c>
      <c r="U1440" s="3">
        <v>0</v>
      </c>
      <c r="V1440" s="3">
        <v>13</v>
      </c>
      <c r="W1440" s="3">
        <v>53</v>
      </c>
    </row>
    <row r="1441" spans="1:23" ht="11.25" customHeight="1" x14ac:dyDescent="0.25">
      <c r="A1441" s="3" t="s">
        <v>21</v>
      </c>
      <c r="B1441" s="3" t="s">
        <v>22</v>
      </c>
      <c r="C1441" s="3" t="s">
        <v>23</v>
      </c>
      <c r="D1441" s="3" t="s">
        <v>24</v>
      </c>
      <c r="E1441" s="3" t="s">
        <v>24</v>
      </c>
      <c r="F1441" s="3" t="s">
        <v>25</v>
      </c>
      <c r="G1441" s="3" t="s">
        <v>25</v>
      </c>
      <c r="H1441" s="3" t="s">
        <v>25</v>
      </c>
      <c r="I1441" s="6">
        <v>44501</v>
      </c>
      <c r="J1441" s="4">
        <v>0</v>
      </c>
      <c r="K1441" s="4">
        <v>0</v>
      </c>
      <c r="L1441" s="4">
        <v>101314.617</v>
      </c>
      <c r="M1441" s="4">
        <v>101314.617</v>
      </c>
      <c r="N1441" s="4">
        <v>101314.617</v>
      </c>
      <c r="O1441" s="4">
        <v>101314.617</v>
      </c>
      <c r="P1441" s="4">
        <v>711178</v>
      </c>
      <c r="Q1441" s="3" t="s">
        <v>26</v>
      </c>
      <c r="R1441" s="3">
        <v>0</v>
      </c>
      <c r="S1441" s="3" t="s">
        <v>366</v>
      </c>
      <c r="T1441" s="3" t="s">
        <v>607</v>
      </c>
      <c r="U1441" s="3">
        <v>0</v>
      </c>
      <c r="V1441" s="3">
        <v>13</v>
      </c>
      <c r="W1441" s="3">
        <v>53</v>
      </c>
    </row>
    <row r="1442" spans="1:23" ht="11.25" customHeight="1" x14ac:dyDescent="0.25">
      <c r="A1442" s="3" t="s">
        <v>27</v>
      </c>
      <c r="B1442" s="3" t="s">
        <v>22</v>
      </c>
      <c r="C1442" s="3" t="s">
        <v>23</v>
      </c>
      <c r="D1442" s="3" t="s">
        <v>24</v>
      </c>
      <c r="E1442" s="3" t="s">
        <v>24</v>
      </c>
      <c r="F1442" s="3" t="s">
        <v>25</v>
      </c>
      <c r="G1442" s="3" t="s">
        <v>25</v>
      </c>
      <c r="H1442" s="3" t="s">
        <v>25</v>
      </c>
      <c r="I1442" s="6">
        <v>44501</v>
      </c>
      <c r="J1442" s="4">
        <v>0</v>
      </c>
      <c r="K1442" s="4">
        <v>0</v>
      </c>
      <c r="L1442" s="4">
        <v>-413.678</v>
      </c>
      <c r="M1442" s="4">
        <v>-413.678</v>
      </c>
      <c r="N1442" s="4">
        <v>-413.678</v>
      </c>
      <c r="O1442" s="4">
        <v>-413.678</v>
      </c>
      <c r="P1442" s="4">
        <v>-2942</v>
      </c>
      <c r="Q1442" s="3" t="s">
        <v>26</v>
      </c>
      <c r="R1442" s="3">
        <v>0</v>
      </c>
      <c r="S1442" s="3" t="s">
        <v>366</v>
      </c>
      <c r="T1442" s="3" t="s">
        <v>607</v>
      </c>
      <c r="U1442" s="3">
        <v>0</v>
      </c>
      <c r="V1442" s="3">
        <v>13</v>
      </c>
      <c r="W1442" s="3">
        <v>53</v>
      </c>
    </row>
    <row r="1443" spans="1:23" ht="11.25" customHeight="1" x14ac:dyDescent="0.25">
      <c r="A1443" s="3" t="s">
        <v>28</v>
      </c>
      <c r="B1443" s="3" t="s">
        <v>22</v>
      </c>
      <c r="C1443" s="3" t="s">
        <v>23</v>
      </c>
      <c r="D1443" s="3" t="s">
        <v>24</v>
      </c>
      <c r="E1443" s="3" t="s">
        <v>24</v>
      </c>
      <c r="F1443" s="3" t="s">
        <v>25</v>
      </c>
      <c r="G1443" s="3" t="s">
        <v>25</v>
      </c>
      <c r="H1443" s="3" t="s">
        <v>25</v>
      </c>
      <c r="I1443" s="6">
        <v>44501</v>
      </c>
      <c r="J1443" s="4">
        <v>0</v>
      </c>
      <c r="K1443" s="4">
        <v>0</v>
      </c>
      <c r="L1443" s="4">
        <v>867.30100000000004</v>
      </c>
      <c r="M1443" s="4">
        <v>867.30100000000004</v>
      </c>
      <c r="N1443" s="4">
        <v>867.30100000000004</v>
      </c>
      <c r="O1443" s="4">
        <v>867.30100000000004</v>
      </c>
      <c r="P1443" s="4">
        <v>6299</v>
      </c>
      <c r="Q1443" s="3" t="s">
        <v>26</v>
      </c>
      <c r="R1443" s="3">
        <v>0</v>
      </c>
      <c r="S1443" s="3" t="s">
        <v>366</v>
      </c>
      <c r="T1443" s="3" t="s">
        <v>607</v>
      </c>
      <c r="U1443" s="3">
        <v>0</v>
      </c>
      <c r="V1443" s="3">
        <v>13</v>
      </c>
      <c r="W1443" s="3">
        <v>53</v>
      </c>
    </row>
    <row r="1444" spans="1:23" ht="11.25" customHeight="1" x14ac:dyDescent="0.25">
      <c r="A1444" s="3" t="s">
        <v>28</v>
      </c>
      <c r="B1444" s="3" t="s">
        <v>22</v>
      </c>
      <c r="C1444" s="3" t="s">
        <v>23</v>
      </c>
      <c r="D1444" s="3" t="s">
        <v>24</v>
      </c>
      <c r="E1444" s="3" t="s">
        <v>24</v>
      </c>
      <c r="F1444" s="3" t="s">
        <v>25</v>
      </c>
      <c r="G1444" s="3" t="s">
        <v>25</v>
      </c>
      <c r="H1444" s="3" t="s">
        <v>25</v>
      </c>
      <c r="I1444" s="6">
        <v>44501</v>
      </c>
      <c r="J1444" s="4">
        <v>0</v>
      </c>
      <c r="K1444" s="4">
        <v>0</v>
      </c>
      <c r="L1444" s="4">
        <v>1.9810000000000001</v>
      </c>
      <c r="M1444" s="4">
        <v>1.9810000000000001</v>
      </c>
      <c r="N1444" s="4">
        <v>1.9810000000000001</v>
      </c>
      <c r="O1444" s="4">
        <v>1.9810000000000001</v>
      </c>
      <c r="P1444" s="4">
        <v>12</v>
      </c>
      <c r="Q1444" s="3" t="s">
        <v>26</v>
      </c>
      <c r="R1444" s="3">
        <v>0</v>
      </c>
      <c r="S1444" s="3" t="s">
        <v>366</v>
      </c>
      <c r="T1444" s="3" t="s">
        <v>607</v>
      </c>
      <c r="U1444" s="3">
        <v>0</v>
      </c>
      <c r="V1444" s="3">
        <v>13</v>
      </c>
      <c r="W1444" s="3">
        <v>53</v>
      </c>
    </row>
    <row r="1445" spans="1:23" ht="11.25" customHeight="1" x14ac:dyDescent="0.25">
      <c r="A1445" s="3" t="s">
        <v>21</v>
      </c>
      <c r="B1445" s="3" t="s">
        <v>22</v>
      </c>
      <c r="C1445" s="3" t="s">
        <v>23</v>
      </c>
      <c r="D1445" s="3" t="s">
        <v>24</v>
      </c>
      <c r="E1445" s="3" t="s">
        <v>24</v>
      </c>
      <c r="F1445" s="3" t="s">
        <v>25</v>
      </c>
      <c r="G1445" s="3" t="s">
        <v>25</v>
      </c>
      <c r="H1445" s="3" t="s">
        <v>25</v>
      </c>
      <c r="I1445" s="6">
        <v>44531</v>
      </c>
      <c r="J1445" s="4">
        <v>0</v>
      </c>
      <c r="K1445" s="4">
        <v>0</v>
      </c>
      <c r="L1445" s="4">
        <v>103451.139</v>
      </c>
      <c r="M1445" s="4">
        <v>103451.139</v>
      </c>
      <c r="N1445" s="4">
        <v>103451.139</v>
      </c>
      <c r="O1445" s="4">
        <v>103451.139</v>
      </c>
      <c r="P1445" s="4">
        <v>699786</v>
      </c>
      <c r="Q1445" s="3" t="s">
        <v>26</v>
      </c>
      <c r="R1445" s="3">
        <v>0</v>
      </c>
      <c r="S1445" s="3" t="s">
        <v>367</v>
      </c>
      <c r="T1445" s="3" t="s">
        <v>608</v>
      </c>
      <c r="U1445" s="3">
        <v>0</v>
      </c>
      <c r="V1445" s="3">
        <v>13</v>
      </c>
      <c r="W1445" s="3">
        <v>53</v>
      </c>
    </row>
    <row r="1446" spans="1:23" ht="11.25" customHeight="1" x14ac:dyDescent="0.25">
      <c r="A1446" s="3" t="s">
        <v>27</v>
      </c>
      <c r="B1446" s="3" t="s">
        <v>22</v>
      </c>
      <c r="C1446" s="3" t="s">
        <v>23</v>
      </c>
      <c r="D1446" s="3" t="s">
        <v>24</v>
      </c>
      <c r="E1446" s="3" t="s">
        <v>24</v>
      </c>
      <c r="F1446" s="3" t="s">
        <v>25</v>
      </c>
      <c r="G1446" s="3" t="s">
        <v>25</v>
      </c>
      <c r="H1446" s="3" t="s">
        <v>25</v>
      </c>
      <c r="I1446" s="6">
        <v>44531</v>
      </c>
      <c r="J1446" s="4">
        <v>0</v>
      </c>
      <c r="K1446" s="4">
        <v>0</v>
      </c>
      <c r="L1446" s="4">
        <v>-390.34500000000003</v>
      </c>
      <c r="M1446" s="4">
        <v>-390.34500000000003</v>
      </c>
      <c r="N1446" s="4">
        <v>-390.34500000000003</v>
      </c>
      <c r="O1446" s="4">
        <v>-390.34500000000003</v>
      </c>
      <c r="P1446" s="4">
        <v>-3158</v>
      </c>
      <c r="Q1446" s="3" t="s">
        <v>26</v>
      </c>
      <c r="R1446" s="3">
        <v>0</v>
      </c>
      <c r="S1446" s="3" t="s">
        <v>367</v>
      </c>
      <c r="T1446" s="3" t="s">
        <v>608</v>
      </c>
      <c r="U1446" s="3">
        <v>0</v>
      </c>
      <c r="V1446" s="3">
        <v>13</v>
      </c>
      <c r="W1446" s="3">
        <v>53</v>
      </c>
    </row>
    <row r="1447" spans="1:23" ht="11.25" customHeight="1" x14ac:dyDescent="0.25">
      <c r="A1447" s="3" t="s">
        <v>28</v>
      </c>
      <c r="B1447" s="3" t="s">
        <v>22</v>
      </c>
      <c r="C1447" s="3" t="s">
        <v>23</v>
      </c>
      <c r="D1447" s="3" t="s">
        <v>24</v>
      </c>
      <c r="E1447" s="3" t="s">
        <v>24</v>
      </c>
      <c r="F1447" s="3" t="s">
        <v>25</v>
      </c>
      <c r="G1447" s="3" t="s">
        <v>25</v>
      </c>
      <c r="H1447" s="3" t="s">
        <v>25</v>
      </c>
      <c r="I1447" s="6">
        <v>44531</v>
      </c>
      <c r="J1447" s="4">
        <v>0</v>
      </c>
      <c r="K1447" s="4">
        <v>0</v>
      </c>
      <c r="L1447" s="4">
        <v>1065.6189999999999</v>
      </c>
      <c r="M1447" s="4">
        <v>1065.6189999999999</v>
      </c>
      <c r="N1447" s="4">
        <v>1065.6189999999999</v>
      </c>
      <c r="O1447" s="4">
        <v>1065.6189999999999</v>
      </c>
      <c r="P1447" s="4">
        <v>6880</v>
      </c>
      <c r="Q1447" s="3" t="s">
        <v>26</v>
      </c>
      <c r="R1447" s="3">
        <v>0</v>
      </c>
      <c r="S1447" s="3" t="s">
        <v>367</v>
      </c>
      <c r="T1447" s="3" t="s">
        <v>608</v>
      </c>
      <c r="U1447" s="3">
        <v>0</v>
      </c>
      <c r="V1447" s="3">
        <v>13</v>
      </c>
      <c r="W1447" s="3">
        <v>53</v>
      </c>
    </row>
    <row r="1448" spans="1:23" ht="11.25" customHeight="1" x14ac:dyDescent="0.25">
      <c r="A1448" s="3" t="s">
        <v>28</v>
      </c>
      <c r="B1448" s="3" t="s">
        <v>22</v>
      </c>
      <c r="C1448" s="3" t="s">
        <v>23</v>
      </c>
      <c r="D1448" s="3" t="s">
        <v>24</v>
      </c>
      <c r="E1448" s="3" t="s">
        <v>24</v>
      </c>
      <c r="F1448" s="3" t="s">
        <v>25</v>
      </c>
      <c r="G1448" s="3" t="s">
        <v>25</v>
      </c>
      <c r="H1448" s="3" t="s">
        <v>25</v>
      </c>
      <c r="I1448" s="6">
        <v>44531</v>
      </c>
      <c r="J1448" s="4">
        <v>0</v>
      </c>
      <c r="K1448" s="4">
        <v>0</v>
      </c>
      <c r="L1448" s="4">
        <v>-20.568999999999999</v>
      </c>
      <c r="M1448" s="4">
        <v>-20.568999999999999</v>
      </c>
      <c r="N1448" s="4">
        <v>-20.568999999999999</v>
      </c>
      <c r="O1448" s="4">
        <v>-20.568999999999999</v>
      </c>
      <c r="P1448" s="4">
        <v>1</v>
      </c>
      <c r="Q1448" s="3" t="s">
        <v>26</v>
      </c>
      <c r="R1448" s="3">
        <v>0</v>
      </c>
      <c r="S1448" s="3" t="s">
        <v>367</v>
      </c>
      <c r="T1448" s="3" t="s">
        <v>608</v>
      </c>
      <c r="U1448" s="3">
        <v>0</v>
      </c>
      <c r="V1448" s="3">
        <v>13</v>
      </c>
      <c r="W1448" s="3">
        <v>53</v>
      </c>
    </row>
    <row r="1449" spans="1:23" ht="11.25" customHeight="1" x14ac:dyDescent="0.25">
      <c r="A1449" s="3" t="s">
        <v>21</v>
      </c>
      <c r="B1449" s="3" t="s">
        <v>22</v>
      </c>
      <c r="C1449" s="3" t="s">
        <v>23</v>
      </c>
      <c r="D1449" s="3" t="s">
        <v>24</v>
      </c>
      <c r="E1449" s="3" t="s">
        <v>24</v>
      </c>
      <c r="F1449" s="3" t="s">
        <v>25</v>
      </c>
      <c r="G1449" s="3" t="s">
        <v>25</v>
      </c>
      <c r="H1449" s="3" t="s">
        <v>25</v>
      </c>
      <c r="I1449" s="6">
        <v>44562</v>
      </c>
      <c r="J1449" s="4">
        <v>0</v>
      </c>
      <c r="K1449" s="4">
        <v>0</v>
      </c>
      <c r="L1449" s="4">
        <v>100424.65700000001</v>
      </c>
      <c r="M1449" s="4">
        <v>100424.65700000001</v>
      </c>
      <c r="N1449" s="4">
        <v>100424.65700000001</v>
      </c>
      <c r="O1449" s="4">
        <v>100424.65700000001</v>
      </c>
      <c r="P1449" s="4">
        <v>685430</v>
      </c>
      <c r="Q1449" s="3" t="s">
        <v>26</v>
      </c>
      <c r="R1449" s="3">
        <v>0</v>
      </c>
      <c r="S1449" s="3" t="s">
        <v>368</v>
      </c>
      <c r="T1449" s="3" t="s">
        <v>609</v>
      </c>
      <c r="U1449" s="3">
        <v>0</v>
      </c>
      <c r="V1449" s="3">
        <v>13</v>
      </c>
      <c r="W1449" s="3">
        <v>53</v>
      </c>
    </row>
    <row r="1450" spans="1:23" ht="11.25" customHeight="1" x14ac:dyDescent="0.25">
      <c r="A1450" s="3" t="s">
        <v>27</v>
      </c>
      <c r="B1450" s="3" t="s">
        <v>22</v>
      </c>
      <c r="C1450" s="3" t="s">
        <v>23</v>
      </c>
      <c r="D1450" s="3" t="s">
        <v>24</v>
      </c>
      <c r="E1450" s="3" t="s">
        <v>24</v>
      </c>
      <c r="F1450" s="3" t="s">
        <v>25</v>
      </c>
      <c r="G1450" s="3" t="s">
        <v>25</v>
      </c>
      <c r="H1450" s="3" t="s">
        <v>25</v>
      </c>
      <c r="I1450" s="6">
        <v>44562</v>
      </c>
      <c r="J1450" s="4">
        <v>0</v>
      </c>
      <c r="K1450" s="4">
        <v>0</v>
      </c>
      <c r="L1450" s="4">
        <v>-816.92899999999997</v>
      </c>
      <c r="M1450" s="4">
        <v>-816.92899999999997</v>
      </c>
      <c r="N1450" s="4">
        <v>-816.92899999999997</v>
      </c>
      <c r="O1450" s="4">
        <v>-816.92899999999997</v>
      </c>
      <c r="P1450" s="4">
        <v>-5225</v>
      </c>
      <c r="Q1450" s="3" t="s">
        <v>26</v>
      </c>
      <c r="R1450" s="3">
        <v>0</v>
      </c>
      <c r="S1450" s="3" t="s">
        <v>368</v>
      </c>
      <c r="T1450" s="3" t="s">
        <v>609</v>
      </c>
      <c r="U1450" s="3">
        <v>0</v>
      </c>
      <c r="V1450" s="3">
        <v>13</v>
      </c>
      <c r="W1450" s="3">
        <v>53</v>
      </c>
    </row>
    <row r="1451" spans="1:23" ht="11.25" customHeight="1" x14ac:dyDescent="0.25">
      <c r="A1451" s="3" t="s">
        <v>28</v>
      </c>
      <c r="B1451" s="3" t="s">
        <v>22</v>
      </c>
      <c r="C1451" s="3" t="s">
        <v>23</v>
      </c>
      <c r="D1451" s="3" t="s">
        <v>24</v>
      </c>
      <c r="E1451" s="3" t="s">
        <v>24</v>
      </c>
      <c r="F1451" s="3" t="s">
        <v>25</v>
      </c>
      <c r="G1451" s="3" t="s">
        <v>25</v>
      </c>
      <c r="H1451" s="3" t="s">
        <v>25</v>
      </c>
      <c r="I1451" s="6">
        <v>44562</v>
      </c>
      <c r="J1451" s="4">
        <v>0</v>
      </c>
      <c r="K1451" s="4">
        <v>0</v>
      </c>
      <c r="L1451" s="4">
        <v>1161.79</v>
      </c>
      <c r="M1451" s="4">
        <v>1161.79</v>
      </c>
      <c r="N1451" s="4">
        <v>1161.79</v>
      </c>
      <c r="O1451" s="4">
        <v>1161.79</v>
      </c>
      <c r="P1451" s="4">
        <v>7465</v>
      </c>
      <c r="Q1451" s="3" t="s">
        <v>26</v>
      </c>
      <c r="R1451" s="3">
        <v>0</v>
      </c>
      <c r="S1451" s="3" t="s">
        <v>368</v>
      </c>
      <c r="T1451" s="3" t="s">
        <v>609</v>
      </c>
      <c r="U1451" s="3">
        <v>0</v>
      </c>
      <c r="V1451" s="3">
        <v>13</v>
      </c>
      <c r="W1451" s="3">
        <v>53</v>
      </c>
    </row>
    <row r="1452" spans="1:23" ht="11.25" customHeight="1" x14ac:dyDescent="0.25">
      <c r="A1452" s="3" t="s">
        <v>28</v>
      </c>
      <c r="B1452" s="3" t="s">
        <v>22</v>
      </c>
      <c r="C1452" s="3" t="s">
        <v>23</v>
      </c>
      <c r="D1452" s="3" t="s">
        <v>24</v>
      </c>
      <c r="E1452" s="3" t="s">
        <v>24</v>
      </c>
      <c r="F1452" s="3" t="s">
        <v>25</v>
      </c>
      <c r="G1452" s="3" t="s">
        <v>25</v>
      </c>
      <c r="H1452" s="3" t="s">
        <v>25</v>
      </c>
      <c r="I1452" s="6">
        <v>44562</v>
      </c>
      <c r="J1452" s="4">
        <v>0</v>
      </c>
      <c r="K1452" s="4">
        <v>0</v>
      </c>
      <c r="L1452" s="4">
        <v>-2.2850000000000001</v>
      </c>
      <c r="M1452" s="4">
        <v>-2.2850000000000001</v>
      </c>
      <c r="N1452" s="4">
        <v>-2.2850000000000001</v>
      </c>
      <c r="O1452" s="4">
        <v>-2.2850000000000001</v>
      </c>
      <c r="P1452" s="4">
        <v>1</v>
      </c>
      <c r="Q1452" s="3" t="s">
        <v>26</v>
      </c>
      <c r="R1452" s="3">
        <v>0</v>
      </c>
      <c r="S1452" s="3" t="s">
        <v>368</v>
      </c>
      <c r="T1452" s="3" t="s">
        <v>609</v>
      </c>
      <c r="U1452" s="3">
        <v>0</v>
      </c>
      <c r="V1452" s="3">
        <v>13</v>
      </c>
      <c r="W1452" s="3">
        <v>53</v>
      </c>
    </row>
    <row r="1453" spans="1:23" ht="11.25" customHeight="1" x14ac:dyDescent="0.25">
      <c r="A1453" s="3" t="s">
        <v>21</v>
      </c>
      <c r="B1453" s="3" t="s">
        <v>22</v>
      </c>
      <c r="C1453" s="3" t="s">
        <v>23</v>
      </c>
      <c r="D1453" s="3" t="s">
        <v>24</v>
      </c>
      <c r="E1453" s="3" t="s">
        <v>24</v>
      </c>
      <c r="F1453" s="3" t="s">
        <v>25</v>
      </c>
      <c r="G1453" s="3" t="s">
        <v>25</v>
      </c>
      <c r="H1453" s="3" t="s">
        <v>25</v>
      </c>
      <c r="I1453" s="6">
        <v>44593</v>
      </c>
      <c r="J1453" s="4">
        <v>0</v>
      </c>
      <c r="K1453" s="4">
        <v>0</v>
      </c>
      <c r="L1453" s="4">
        <v>97867.597999999998</v>
      </c>
      <c r="M1453" s="4">
        <v>97867.597999999998</v>
      </c>
      <c r="N1453" s="4">
        <v>97867.597999999998</v>
      </c>
      <c r="O1453" s="4">
        <v>97867.597999999998</v>
      </c>
      <c r="P1453" s="4">
        <v>681080</v>
      </c>
      <c r="Q1453" s="3" t="s">
        <v>26</v>
      </c>
      <c r="R1453" s="3">
        <v>0</v>
      </c>
      <c r="S1453" s="3" t="s">
        <v>369</v>
      </c>
      <c r="T1453" s="3" t="s">
        <v>610</v>
      </c>
      <c r="U1453" s="3">
        <v>0</v>
      </c>
      <c r="V1453" s="3">
        <v>13</v>
      </c>
      <c r="W1453" s="3">
        <v>53</v>
      </c>
    </row>
    <row r="1454" spans="1:23" ht="11.25" customHeight="1" x14ac:dyDescent="0.25">
      <c r="A1454" s="3" t="s">
        <v>27</v>
      </c>
      <c r="B1454" s="3" t="s">
        <v>22</v>
      </c>
      <c r="C1454" s="3" t="s">
        <v>23</v>
      </c>
      <c r="D1454" s="3" t="s">
        <v>24</v>
      </c>
      <c r="E1454" s="3" t="s">
        <v>24</v>
      </c>
      <c r="F1454" s="3" t="s">
        <v>25</v>
      </c>
      <c r="G1454" s="3" t="s">
        <v>25</v>
      </c>
      <c r="H1454" s="3" t="s">
        <v>25</v>
      </c>
      <c r="I1454" s="6">
        <v>44593</v>
      </c>
      <c r="J1454" s="4">
        <v>0</v>
      </c>
      <c r="K1454" s="4">
        <v>0</v>
      </c>
      <c r="L1454" s="4">
        <v>-1709.421</v>
      </c>
      <c r="M1454" s="4">
        <v>-1709.421</v>
      </c>
      <c r="N1454" s="4">
        <v>-1709.421</v>
      </c>
      <c r="O1454" s="4">
        <v>-1709.421</v>
      </c>
      <c r="P1454" s="4">
        <v>-4678</v>
      </c>
      <c r="Q1454" s="3" t="s">
        <v>26</v>
      </c>
      <c r="R1454" s="3">
        <v>0</v>
      </c>
      <c r="S1454" s="3" t="s">
        <v>369</v>
      </c>
      <c r="T1454" s="3" t="s">
        <v>610</v>
      </c>
      <c r="U1454" s="3">
        <v>0</v>
      </c>
      <c r="V1454" s="3">
        <v>13</v>
      </c>
      <c r="W1454" s="3">
        <v>53</v>
      </c>
    </row>
    <row r="1455" spans="1:23" ht="11.25" customHeight="1" x14ac:dyDescent="0.25">
      <c r="A1455" s="3" t="s">
        <v>28</v>
      </c>
      <c r="B1455" s="3" t="s">
        <v>22</v>
      </c>
      <c r="C1455" s="3" t="s">
        <v>23</v>
      </c>
      <c r="D1455" s="3" t="s">
        <v>24</v>
      </c>
      <c r="E1455" s="3" t="s">
        <v>24</v>
      </c>
      <c r="F1455" s="3" t="s">
        <v>25</v>
      </c>
      <c r="G1455" s="3" t="s">
        <v>25</v>
      </c>
      <c r="H1455" s="3" t="s">
        <v>25</v>
      </c>
      <c r="I1455" s="6">
        <v>44593</v>
      </c>
      <c r="J1455" s="4">
        <v>0</v>
      </c>
      <c r="K1455" s="4">
        <v>0</v>
      </c>
      <c r="L1455" s="4">
        <v>1193.732</v>
      </c>
      <c r="M1455" s="4">
        <v>1193.732</v>
      </c>
      <c r="N1455" s="4">
        <v>1193.732</v>
      </c>
      <c r="O1455" s="4">
        <v>1193.732</v>
      </c>
      <c r="P1455" s="4">
        <v>8143</v>
      </c>
      <c r="Q1455" s="3" t="s">
        <v>26</v>
      </c>
      <c r="R1455" s="3">
        <v>0</v>
      </c>
      <c r="S1455" s="3" t="s">
        <v>369</v>
      </c>
      <c r="T1455" s="3" t="s">
        <v>610</v>
      </c>
      <c r="U1455" s="3">
        <v>0</v>
      </c>
      <c r="V1455" s="3">
        <v>13</v>
      </c>
      <c r="W1455" s="3">
        <v>53</v>
      </c>
    </row>
    <row r="1456" spans="1:23" ht="11.25" customHeight="1" x14ac:dyDescent="0.25">
      <c r="A1456" s="3" t="s">
        <v>28</v>
      </c>
      <c r="B1456" s="3" t="s">
        <v>22</v>
      </c>
      <c r="C1456" s="3" t="s">
        <v>23</v>
      </c>
      <c r="D1456" s="3" t="s">
        <v>24</v>
      </c>
      <c r="E1456" s="3" t="s">
        <v>24</v>
      </c>
      <c r="F1456" s="3" t="s">
        <v>25</v>
      </c>
      <c r="G1456" s="3" t="s">
        <v>25</v>
      </c>
      <c r="H1456" s="3" t="s">
        <v>25</v>
      </c>
      <c r="I1456" s="6">
        <v>44593</v>
      </c>
      <c r="J1456" s="4">
        <v>0</v>
      </c>
      <c r="K1456" s="4">
        <v>0</v>
      </c>
      <c r="L1456" s="4">
        <v>-5.9450000000000003</v>
      </c>
      <c r="M1456" s="4">
        <v>-5.9450000000000003</v>
      </c>
      <c r="N1456" s="4">
        <v>-5.9450000000000003</v>
      </c>
      <c r="O1456" s="4">
        <v>-5.9450000000000003</v>
      </c>
      <c r="P1456" s="4">
        <v>-1</v>
      </c>
      <c r="Q1456" s="3" t="s">
        <v>26</v>
      </c>
      <c r="R1456" s="3">
        <v>0</v>
      </c>
      <c r="S1456" s="3" t="s">
        <v>369</v>
      </c>
      <c r="T1456" s="3" t="s">
        <v>610</v>
      </c>
      <c r="U1456" s="3">
        <v>0</v>
      </c>
      <c r="V1456" s="3">
        <v>13</v>
      </c>
      <c r="W1456" s="3">
        <v>53</v>
      </c>
    </row>
    <row r="1457" spans="1:23" ht="11.25" customHeight="1" x14ac:dyDescent="0.25">
      <c r="A1457" s="3" t="s">
        <v>21</v>
      </c>
      <c r="B1457" s="3" t="s">
        <v>22</v>
      </c>
      <c r="C1457" s="3" t="s">
        <v>23</v>
      </c>
      <c r="D1457" s="3" t="s">
        <v>24</v>
      </c>
      <c r="E1457" s="3" t="s">
        <v>24</v>
      </c>
      <c r="F1457" s="3" t="s">
        <v>25</v>
      </c>
      <c r="G1457" s="3" t="s">
        <v>25</v>
      </c>
      <c r="H1457" s="3" t="s">
        <v>25</v>
      </c>
      <c r="I1457" s="6">
        <v>44621</v>
      </c>
      <c r="J1457" s="4">
        <v>0</v>
      </c>
      <c r="K1457" s="4">
        <v>0</v>
      </c>
      <c r="L1457" s="4">
        <v>103690.25900000001</v>
      </c>
      <c r="M1457" s="4">
        <v>103690.25900000001</v>
      </c>
      <c r="N1457" s="4">
        <v>103690.25900000001</v>
      </c>
      <c r="O1457" s="4">
        <v>103690.25900000001</v>
      </c>
      <c r="P1457" s="4">
        <v>676678</v>
      </c>
      <c r="Q1457" s="3" t="s">
        <v>26</v>
      </c>
      <c r="R1457" s="3">
        <v>0</v>
      </c>
      <c r="S1457" s="3" t="s">
        <v>370</v>
      </c>
      <c r="T1457" s="3" t="s">
        <v>611</v>
      </c>
      <c r="U1457" s="3">
        <v>0</v>
      </c>
      <c r="V1457" s="3">
        <v>13</v>
      </c>
      <c r="W1457" s="3">
        <v>53</v>
      </c>
    </row>
    <row r="1458" spans="1:23" ht="11.25" customHeight="1" x14ac:dyDescent="0.25">
      <c r="A1458" s="3" t="s">
        <v>27</v>
      </c>
      <c r="B1458" s="3" t="s">
        <v>22</v>
      </c>
      <c r="C1458" s="3" t="s">
        <v>23</v>
      </c>
      <c r="D1458" s="3" t="s">
        <v>24</v>
      </c>
      <c r="E1458" s="3" t="s">
        <v>24</v>
      </c>
      <c r="F1458" s="3" t="s">
        <v>25</v>
      </c>
      <c r="G1458" s="3" t="s">
        <v>25</v>
      </c>
      <c r="H1458" s="3" t="s">
        <v>25</v>
      </c>
      <c r="I1458" s="6">
        <v>44621</v>
      </c>
      <c r="J1458" s="4">
        <v>0</v>
      </c>
      <c r="K1458" s="4">
        <v>0</v>
      </c>
      <c r="L1458" s="4">
        <v>-557.851</v>
      </c>
      <c r="M1458" s="4">
        <v>-557.851</v>
      </c>
      <c r="N1458" s="4">
        <v>-557.851</v>
      </c>
      <c r="O1458" s="4">
        <v>-557.851</v>
      </c>
      <c r="P1458" s="4">
        <v>-1881</v>
      </c>
      <c r="Q1458" s="3" t="s">
        <v>26</v>
      </c>
      <c r="R1458" s="3">
        <v>0</v>
      </c>
      <c r="S1458" s="3" t="s">
        <v>370</v>
      </c>
      <c r="T1458" s="3" t="s">
        <v>611</v>
      </c>
      <c r="U1458" s="3">
        <v>0</v>
      </c>
      <c r="V1458" s="3">
        <v>13</v>
      </c>
      <c r="W1458" s="3">
        <v>53</v>
      </c>
    </row>
    <row r="1459" spans="1:23" ht="11.25" customHeight="1" x14ac:dyDescent="0.25">
      <c r="A1459" s="3" t="s">
        <v>28</v>
      </c>
      <c r="B1459" s="3" t="s">
        <v>22</v>
      </c>
      <c r="C1459" s="3" t="s">
        <v>23</v>
      </c>
      <c r="D1459" s="3" t="s">
        <v>24</v>
      </c>
      <c r="E1459" s="3" t="s">
        <v>24</v>
      </c>
      <c r="F1459" s="3" t="s">
        <v>25</v>
      </c>
      <c r="G1459" s="3" t="s">
        <v>25</v>
      </c>
      <c r="H1459" s="3" t="s">
        <v>25</v>
      </c>
      <c r="I1459" s="6">
        <v>44621</v>
      </c>
      <c r="J1459" s="4">
        <v>0</v>
      </c>
      <c r="K1459" s="4">
        <v>0</v>
      </c>
      <c r="L1459" s="4">
        <v>1438.873</v>
      </c>
      <c r="M1459" s="4">
        <v>1438.873</v>
      </c>
      <c r="N1459" s="4">
        <v>1438.873</v>
      </c>
      <c r="O1459" s="4">
        <v>1438.873</v>
      </c>
      <c r="P1459" s="4">
        <v>8974</v>
      </c>
      <c r="Q1459" s="3" t="s">
        <v>26</v>
      </c>
      <c r="R1459" s="3">
        <v>0</v>
      </c>
      <c r="S1459" s="3" t="s">
        <v>370</v>
      </c>
      <c r="T1459" s="3" t="s">
        <v>611</v>
      </c>
      <c r="U1459" s="3">
        <v>0</v>
      </c>
      <c r="V1459" s="3">
        <v>13</v>
      </c>
      <c r="W1459" s="3">
        <v>53</v>
      </c>
    </row>
    <row r="1460" spans="1:23" ht="11.25" customHeight="1" x14ac:dyDescent="0.25">
      <c r="A1460" s="3" t="s">
        <v>28</v>
      </c>
      <c r="B1460" s="3" t="s">
        <v>22</v>
      </c>
      <c r="C1460" s="3" t="s">
        <v>23</v>
      </c>
      <c r="D1460" s="3" t="s">
        <v>24</v>
      </c>
      <c r="E1460" s="3" t="s">
        <v>24</v>
      </c>
      <c r="F1460" s="3" t="s">
        <v>25</v>
      </c>
      <c r="G1460" s="3" t="s">
        <v>25</v>
      </c>
      <c r="H1460" s="3" t="s">
        <v>25</v>
      </c>
      <c r="I1460" s="6">
        <v>44621</v>
      </c>
      <c r="J1460" s="4">
        <v>0</v>
      </c>
      <c r="K1460" s="4">
        <v>0</v>
      </c>
      <c r="L1460" s="4">
        <v>-8.7859999999999996</v>
      </c>
      <c r="M1460" s="4">
        <v>-8.7859999999999996</v>
      </c>
      <c r="N1460" s="4">
        <v>-8.7859999999999996</v>
      </c>
      <c r="O1460" s="4">
        <v>-8.7859999999999996</v>
      </c>
      <c r="P1460" s="4">
        <v>4</v>
      </c>
      <c r="Q1460" s="3" t="s">
        <v>26</v>
      </c>
      <c r="R1460" s="3">
        <v>0</v>
      </c>
      <c r="S1460" s="3" t="s">
        <v>370</v>
      </c>
      <c r="T1460" s="3" t="s">
        <v>611</v>
      </c>
      <c r="U1460" s="3">
        <v>0</v>
      </c>
      <c r="V1460" s="3">
        <v>13</v>
      </c>
      <c r="W1460" s="3">
        <v>53</v>
      </c>
    </row>
    <row r="1461" spans="1:23" ht="11.25" customHeight="1" x14ac:dyDescent="0.25">
      <c r="A1461" s="3" t="s">
        <v>56</v>
      </c>
      <c r="B1461" s="3" t="s">
        <v>22</v>
      </c>
      <c r="C1461" s="3" t="s">
        <v>23</v>
      </c>
      <c r="D1461" s="3" t="s">
        <v>24</v>
      </c>
      <c r="E1461" s="3" t="s">
        <v>24</v>
      </c>
      <c r="F1461" s="3" t="s">
        <v>25</v>
      </c>
      <c r="G1461" s="3" t="s">
        <v>25</v>
      </c>
      <c r="H1461" s="3" t="s">
        <v>25</v>
      </c>
      <c r="I1461" s="6">
        <v>44652</v>
      </c>
      <c r="J1461" s="4">
        <v>0</v>
      </c>
      <c r="K1461" s="4">
        <v>0</v>
      </c>
      <c r="L1461" s="4">
        <v>103690.25900000001</v>
      </c>
      <c r="M1461" s="4">
        <v>103690.25900000001</v>
      </c>
      <c r="N1461" s="4">
        <v>103690.25900000001</v>
      </c>
      <c r="O1461" s="4">
        <v>103690.25900000001</v>
      </c>
      <c r="P1461" s="4">
        <v>676678</v>
      </c>
      <c r="Q1461" s="3" t="s">
        <v>26</v>
      </c>
      <c r="R1461" s="3">
        <v>0</v>
      </c>
      <c r="S1461" s="3" t="s">
        <v>371</v>
      </c>
      <c r="T1461" s="3" t="s">
        <v>612</v>
      </c>
      <c r="U1461" s="3">
        <v>0</v>
      </c>
      <c r="V1461" s="3">
        <v>13</v>
      </c>
      <c r="W1461" s="3">
        <v>53</v>
      </c>
    </row>
    <row r="1462" spans="1:23" ht="11.25" customHeight="1" x14ac:dyDescent="0.25">
      <c r="A1462" s="3" t="s">
        <v>56</v>
      </c>
      <c r="B1462" s="3" t="s">
        <v>22</v>
      </c>
      <c r="C1462" s="3" t="s">
        <v>23</v>
      </c>
      <c r="D1462" s="3" t="s">
        <v>24</v>
      </c>
      <c r="E1462" s="3" t="s">
        <v>24</v>
      </c>
      <c r="F1462" s="3" t="s">
        <v>25</v>
      </c>
      <c r="G1462" s="3" t="s">
        <v>25</v>
      </c>
      <c r="H1462" s="3" t="s">
        <v>25</v>
      </c>
      <c r="I1462" s="6">
        <v>44652</v>
      </c>
      <c r="J1462" s="4">
        <v>0</v>
      </c>
      <c r="K1462" s="4">
        <v>0</v>
      </c>
      <c r="L1462" s="4">
        <v>-557.851</v>
      </c>
      <c r="M1462" s="4">
        <v>-557.851</v>
      </c>
      <c r="N1462" s="4">
        <v>-557.851</v>
      </c>
      <c r="O1462" s="4">
        <v>-557.851</v>
      </c>
      <c r="P1462" s="4">
        <v>-1881</v>
      </c>
      <c r="Q1462" s="3" t="s">
        <v>26</v>
      </c>
      <c r="R1462" s="3">
        <v>0</v>
      </c>
      <c r="S1462" s="3" t="s">
        <v>371</v>
      </c>
      <c r="T1462" s="3" t="s">
        <v>612</v>
      </c>
      <c r="U1462" s="3">
        <v>0</v>
      </c>
      <c r="V1462" s="3">
        <v>13</v>
      </c>
      <c r="W1462" s="3">
        <v>53</v>
      </c>
    </row>
    <row r="1463" spans="1:23" ht="11.25" customHeight="1" x14ac:dyDescent="0.25">
      <c r="A1463" s="3" t="s">
        <v>56</v>
      </c>
      <c r="B1463" s="3" t="s">
        <v>22</v>
      </c>
      <c r="C1463" s="3" t="s">
        <v>23</v>
      </c>
      <c r="D1463" s="3" t="s">
        <v>24</v>
      </c>
      <c r="E1463" s="3" t="s">
        <v>24</v>
      </c>
      <c r="F1463" s="3" t="s">
        <v>25</v>
      </c>
      <c r="G1463" s="3" t="s">
        <v>25</v>
      </c>
      <c r="H1463" s="3" t="s">
        <v>25</v>
      </c>
      <c r="I1463" s="6">
        <v>44652</v>
      </c>
      <c r="J1463" s="4">
        <v>0</v>
      </c>
      <c r="K1463" s="4">
        <v>0</v>
      </c>
      <c r="L1463" s="4">
        <v>1438.873</v>
      </c>
      <c r="M1463" s="4">
        <v>1438.873</v>
      </c>
      <c r="N1463" s="4">
        <v>1438.873</v>
      </c>
      <c r="O1463" s="4">
        <v>1438.873</v>
      </c>
      <c r="P1463" s="4">
        <v>8974</v>
      </c>
      <c r="Q1463" s="3" t="s">
        <v>26</v>
      </c>
      <c r="R1463" s="3">
        <v>0</v>
      </c>
      <c r="S1463" s="3" t="s">
        <v>371</v>
      </c>
      <c r="T1463" s="3" t="s">
        <v>612</v>
      </c>
      <c r="U1463" s="3">
        <v>0</v>
      </c>
      <c r="V1463" s="3">
        <v>13</v>
      </c>
      <c r="W1463" s="3">
        <v>53</v>
      </c>
    </row>
    <row r="1464" spans="1:23" ht="11.25" customHeight="1" x14ac:dyDescent="0.25">
      <c r="A1464" s="3" t="s">
        <v>56</v>
      </c>
      <c r="B1464" s="3" t="s">
        <v>22</v>
      </c>
      <c r="C1464" s="3" t="s">
        <v>23</v>
      </c>
      <c r="D1464" s="3" t="s">
        <v>24</v>
      </c>
      <c r="E1464" s="3" t="s">
        <v>24</v>
      </c>
      <c r="F1464" s="3" t="s">
        <v>25</v>
      </c>
      <c r="G1464" s="3" t="s">
        <v>25</v>
      </c>
      <c r="H1464" s="3" t="s">
        <v>25</v>
      </c>
      <c r="I1464" s="6">
        <v>44652</v>
      </c>
      <c r="J1464" s="4">
        <v>0</v>
      </c>
      <c r="K1464" s="4">
        <v>0</v>
      </c>
      <c r="L1464" s="4">
        <v>-8.7859999999999996</v>
      </c>
      <c r="M1464" s="4">
        <v>-8.7859999999999996</v>
      </c>
      <c r="N1464" s="4">
        <v>-8.7859999999999996</v>
      </c>
      <c r="O1464" s="4">
        <v>-8.7859999999999996</v>
      </c>
      <c r="P1464" s="4">
        <v>4</v>
      </c>
      <c r="Q1464" s="3" t="s">
        <v>26</v>
      </c>
      <c r="R1464" s="3">
        <v>0</v>
      </c>
      <c r="S1464" s="3" t="s">
        <v>371</v>
      </c>
      <c r="T1464" s="3" t="s">
        <v>612</v>
      </c>
      <c r="U1464" s="3">
        <v>0</v>
      </c>
      <c r="V1464" s="3">
        <v>13</v>
      </c>
      <c r="W1464" s="3">
        <v>53</v>
      </c>
    </row>
    <row r="1465" spans="1:23" ht="11.25" customHeight="1" x14ac:dyDescent="0.25">
      <c r="A1465" s="3" t="s">
        <v>21</v>
      </c>
      <c r="B1465" s="3" t="s">
        <v>22</v>
      </c>
      <c r="C1465" s="3" t="s">
        <v>23</v>
      </c>
      <c r="D1465" s="3" t="s">
        <v>24</v>
      </c>
      <c r="E1465" s="3" t="s">
        <v>29</v>
      </c>
      <c r="F1465" s="3" t="s">
        <v>25</v>
      </c>
      <c r="G1465" s="3" t="s">
        <v>25</v>
      </c>
      <c r="H1465" s="3" t="s">
        <v>25</v>
      </c>
      <c r="I1465" s="6">
        <v>44317</v>
      </c>
      <c r="J1465" s="4">
        <v>0</v>
      </c>
      <c r="K1465" s="4">
        <v>0</v>
      </c>
      <c r="L1465" s="4">
        <v>10455.143</v>
      </c>
      <c r="M1465" s="4">
        <v>10455.143</v>
      </c>
      <c r="N1465" s="4">
        <v>10455.143</v>
      </c>
      <c r="O1465" s="4">
        <v>10455.143</v>
      </c>
      <c r="P1465" s="4">
        <v>44935</v>
      </c>
      <c r="Q1465" s="3" t="s">
        <v>26</v>
      </c>
      <c r="R1465" s="3">
        <v>0</v>
      </c>
      <c r="S1465" s="3" t="s">
        <v>372</v>
      </c>
      <c r="T1465" s="3" t="s">
        <v>613</v>
      </c>
      <c r="U1465" s="3">
        <v>0</v>
      </c>
      <c r="V1465" s="3">
        <v>14</v>
      </c>
      <c r="W1465" s="3">
        <v>74</v>
      </c>
    </row>
    <row r="1466" spans="1:23" ht="11.25" customHeight="1" x14ac:dyDescent="0.25">
      <c r="A1466" s="3" t="s">
        <v>21</v>
      </c>
      <c r="B1466" s="3" t="s">
        <v>22</v>
      </c>
      <c r="C1466" s="3" t="s">
        <v>23</v>
      </c>
      <c r="D1466" s="3" t="s">
        <v>24</v>
      </c>
      <c r="E1466" s="3" t="s">
        <v>29</v>
      </c>
      <c r="F1466" s="3" t="s">
        <v>25</v>
      </c>
      <c r="G1466" s="3" t="s">
        <v>25</v>
      </c>
      <c r="H1466" s="3" t="s">
        <v>25</v>
      </c>
      <c r="I1466" s="6">
        <v>44348</v>
      </c>
      <c r="J1466" s="4">
        <v>0</v>
      </c>
      <c r="K1466" s="4">
        <v>0</v>
      </c>
      <c r="L1466" s="4">
        <v>10561.165999999999</v>
      </c>
      <c r="M1466" s="4">
        <v>10561.165999999999</v>
      </c>
      <c r="N1466" s="4">
        <v>10561.165999999999</v>
      </c>
      <c r="O1466" s="4">
        <v>10561.165999999999</v>
      </c>
      <c r="P1466" s="4">
        <v>47300</v>
      </c>
      <c r="Q1466" s="3" t="s">
        <v>26</v>
      </c>
      <c r="R1466" s="3">
        <v>0</v>
      </c>
      <c r="S1466" s="3" t="s">
        <v>373</v>
      </c>
      <c r="T1466" s="3" t="s">
        <v>614</v>
      </c>
      <c r="U1466" s="3">
        <v>0</v>
      </c>
      <c r="V1466" s="3">
        <v>14</v>
      </c>
      <c r="W1466" s="3">
        <v>74</v>
      </c>
    </row>
    <row r="1467" spans="1:23" ht="11.25" customHeight="1" x14ac:dyDescent="0.25">
      <c r="A1467" s="3" t="s">
        <v>21</v>
      </c>
      <c r="B1467" s="3" t="s">
        <v>22</v>
      </c>
      <c r="C1467" s="3" t="s">
        <v>23</v>
      </c>
      <c r="D1467" s="3" t="s">
        <v>24</v>
      </c>
      <c r="E1467" s="3" t="s">
        <v>29</v>
      </c>
      <c r="F1467" s="3" t="s">
        <v>25</v>
      </c>
      <c r="G1467" s="3" t="s">
        <v>25</v>
      </c>
      <c r="H1467" s="3" t="s">
        <v>25</v>
      </c>
      <c r="I1467" s="6">
        <v>44378</v>
      </c>
      <c r="J1467" s="4">
        <v>0</v>
      </c>
      <c r="K1467" s="4">
        <v>0</v>
      </c>
      <c r="L1467" s="4">
        <v>10647.829</v>
      </c>
      <c r="M1467" s="4">
        <v>10647.829</v>
      </c>
      <c r="N1467" s="4">
        <v>10647.829</v>
      </c>
      <c r="O1467" s="4">
        <v>10647.829</v>
      </c>
      <c r="P1467" s="4">
        <v>49835</v>
      </c>
      <c r="Q1467" s="3" t="s">
        <v>26</v>
      </c>
      <c r="R1467" s="3">
        <v>0</v>
      </c>
      <c r="S1467" s="3" t="s">
        <v>374</v>
      </c>
      <c r="T1467" s="3" t="s">
        <v>615</v>
      </c>
      <c r="U1467" s="3">
        <v>0</v>
      </c>
      <c r="V1467" s="3">
        <v>14</v>
      </c>
      <c r="W1467" s="3">
        <v>74</v>
      </c>
    </row>
    <row r="1468" spans="1:23" ht="11.25" customHeight="1" x14ac:dyDescent="0.25">
      <c r="A1468" s="3" t="s">
        <v>21</v>
      </c>
      <c r="B1468" s="3" t="s">
        <v>22</v>
      </c>
      <c r="C1468" s="3" t="s">
        <v>23</v>
      </c>
      <c r="D1468" s="3" t="s">
        <v>24</v>
      </c>
      <c r="E1468" s="3" t="s">
        <v>29</v>
      </c>
      <c r="F1468" s="3" t="s">
        <v>25</v>
      </c>
      <c r="G1468" s="3" t="s">
        <v>25</v>
      </c>
      <c r="H1468" s="3" t="s">
        <v>25</v>
      </c>
      <c r="I1468" s="6">
        <v>44409</v>
      </c>
      <c r="J1468" s="4">
        <v>0</v>
      </c>
      <c r="K1468" s="4">
        <v>0</v>
      </c>
      <c r="L1468" s="4">
        <v>10783.445</v>
      </c>
      <c r="M1468" s="4">
        <v>10783.445</v>
      </c>
      <c r="N1468" s="4">
        <v>10783.445</v>
      </c>
      <c r="O1468" s="4">
        <v>10783.445</v>
      </c>
      <c r="P1468" s="4">
        <v>51526</v>
      </c>
      <c r="Q1468" s="3" t="s">
        <v>26</v>
      </c>
      <c r="R1468" s="3">
        <v>0</v>
      </c>
      <c r="S1468" s="3" t="s">
        <v>375</v>
      </c>
      <c r="T1468" s="3" t="s">
        <v>616</v>
      </c>
      <c r="U1468" s="3">
        <v>0</v>
      </c>
      <c r="V1468" s="3">
        <v>14</v>
      </c>
      <c r="W1468" s="3">
        <v>74</v>
      </c>
    </row>
    <row r="1469" spans="1:23" ht="11.25" customHeight="1" x14ac:dyDescent="0.25">
      <c r="A1469" s="3" t="s">
        <v>21</v>
      </c>
      <c r="B1469" s="3" t="s">
        <v>22</v>
      </c>
      <c r="C1469" s="3" t="s">
        <v>23</v>
      </c>
      <c r="D1469" s="3" t="s">
        <v>24</v>
      </c>
      <c r="E1469" s="3" t="s">
        <v>29</v>
      </c>
      <c r="F1469" s="3" t="s">
        <v>25</v>
      </c>
      <c r="G1469" s="3" t="s">
        <v>25</v>
      </c>
      <c r="H1469" s="3" t="s">
        <v>25</v>
      </c>
      <c r="I1469" s="6">
        <v>44440</v>
      </c>
      <c r="J1469" s="4">
        <v>0</v>
      </c>
      <c r="K1469" s="4">
        <v>0</v>
      </c>
      <c r="L1469" s="4">
        <v>10870.652</v>
      </c>
      <c r="M1469" s="4">
        <v>10870.652</v>
      </c>
      <c r="N1469" s="4">
        <v>10870.652</v>
      </c>
      <c r="O1469" s="4">
        <v>10870.652</v>
      </c>
      <c r="P1469" s="4">
        <v>50080</v>
      </c>
      <c r="Q1469" s="3" t="s">
        <v>26</v>
      </c>
      <c r="R1469" s="3">
        <v>0</v>
      </c>
      <c r="S1469" s="3" t="s">
        <v>376</v>
      </c>
      <c r="T1469" s="3" t="s">
        <v>617</v>
      </c>
      <c r="U1469" s="3">
        <v>0</v>
      </c>
      <c r="V1469" s="3">
        <v>14</v>
      </c>
      <c r="W1469" s="3">
        <v>74</v>
      </c>
    </row>
    <row r="1470" spans="1:23" ht="11.25" customHeight="1" x14ac:dyDescent="0.25">
      <c r="A1470" s="3" t="s">
        <v>21</v>
      </c>
      <c r="B1470" s="3" t="s">
        <v>22</v>
      </c>
      <c r="C1470" s="3" t="s">
        <v>23</v>
      </c>
      <c r="D1470" s="3" t="s">
        <v>24</v>
      </c>
      <c r="E1470" s="3" t="s">
        <v>29</v>
      </c>
      <c r="F1470" s="3" t="s">
        <v>25</v>
      </c>
      <c r="G1470" s="3" t="s">
        <v>25</v>
      </c>
      <c r="H1470" s="3" t="s">
        <v>25</v>
      </c>
      <c r="I1470" s="6">
        <v>44470</v>
      </c>
      <c r="J1470" s="4">
        <v>0</v>
      </c>
      <c r="K1470" s="4">
        <v>0</v>
      </c>
      <c r="L1470" s="4">
        <v>10861.496999999999</v>
      </c>
      <c r="M1470" s="4">
        <v>10861.496999999999</v>
      </c>
      <c r="N1470" s="4">
        <v>10861.496999999999</v>
      </c>
      <c r="O1470" s="4">
        <v>10861.496999999999</v>
      </c>
      <c r="P1470" s="4">
        <v>47881</v>
      </c>
      <c r="Q1470" s="3" t="s">
        <v>26</v>
      </c>
      <c r="R1470" s="3">
        <v>0</v>
      </c>
      <c r="S1470" s="3" t="s">
        <v>377</v>
      </c>
      <c r="T1470" s="3" t="s">
        <v>618</v>
      </c>
      <c r="U1470" s="3">
        <v>0</v>
      </c>
      <c r="V1470" s="3">
        <v>14</v>
      </c>
      <c r="W1470" s="3">
        <v>74</v>
      </c>
    </row>
    <row r="1471" spans="1:23" ht="11.25" customHeight="1" x14ac:dyDescent="0.25">
      <c r="A1471" s="3" t="s">
        <v>21</v>
      </c>
      <c r="B1471" s="3" t="s">
        <v>22</v>
      </c>
      <c r="C1471" s="3" t="s">
        <v>23</v>
      </c>
      <c r="D1471" s="3" t="s">
        <v>24</v>
      </c>
      <c r="E1471" s="3" t="s">
        <v>29</v>
      </c>
      <c r="F1471" s="3" t="s">
        <v>25</v>
      </c>
      <c r="G1471" s="3" t="s">
        <v>25</v>
      </c>
      <c r="H1471" s="3" t="s">
        <v>25</v>
      </c>
      <c r="I1471" s="6">
        <v>44501</v>
      </c>
      <c r="J1471" s="4">
        <v>0</v>
      </c>
      <c r="K1471" s="4">
        <v>0</v>
      </c>
      <c r="L1471" s="4">
        <v>10916.983</v>
      </c>
      <c r="M1471" s="4">
        <v>10916.983</v>
      </c>
      <c r="N1471" s="4">
        <v>10916.983</v>
      </c>
      <c r="O1471" s="4">
        <v>10916.983</v>
      </c>
      <c r="P1471" s="4">
        <v>46469</v>
      </c>
      <c r="Q1471" s="3" t="s">
        <v>26</v>
      </c>
      <c r="R1471" s="3">
        <v>0</v>
      </c>
      <c r="S1471" s="3" t="s">
        <v>378</v>
      </c>
      <c r="T1471" s="3" t="s">
        <v>619</v>
      </c>
      <c r="U1471" s="3">
        <v>0</v>
      </c>
      <c r="V1471" s="3">
        <v>14</v>
      </c>
      <c r="W1471" s="3">
        <v>74</v>
      </c>
    </row>
    <row r="1472" spans="1:23" ht="11.25" customHeight="1" x14ac:dyDescent="0.25">
      <c r="A1472" s="3" t="s">
        <v>21</v>
      </c>
      <c r="B1472" s="3" t="s">
        <v>22</v>
      </c>
      <c r="C1472" s="3" t="s">
        <v>23</v>
      </c>
      <c r="D1472" s="3" t="s">
        <v>24</v>
      </c>
      <c r="E1472" s="3" t="s">
        <v>29</v>
      </c>
      <c r="F1472" s="3" t="s">
        <v>25</v>
      </c>
      <c r="G1472" s="3" t="s">
        <v>25</v>
      </c>
      <c r="H1472" s="3" t="s">
        <v>25</v>
      </c>
      <c r="I1472" s="6">
        <v>44531</v>
      </c>
      <c r="J1472" s="4">
        <v>0</v>
      </c>
      <c r="K1472" s="4">
        <v>0</v>
      </c>
      <c r="L1472" s="4">
        <v>11470.518</v>
      </c>
      <c r="M1472" s="4">
        <v>11470.518</v>
      </c>
      <c r="N1472" s="4">
        <v>11470.518</v>
      </c>
      <c r="O1472" s="4">
        <v>11470.518</v>
      </c>
      <c r="P1472" s="4">
        <v>47685</v>
      </c>
      <c r="Q1472" s="3" t="s">
        <v>26</v>
      </c>
      <c r="R1472" s="3">
        <v>0</v>
      </c>
      <c r="S1472" s="3" t="s">
        <v>379</v>
      </c>
      <c r="T1472" s="3" t="s">
        <v>620</v>
      </c>
      <c r="U1472" s="3">
        <v>0</v>
      </c>
      <c r="V1472" s="3">
        <v>14</v>
      </c>
      <c r="W1472" s="3">
        <v>74</v>
      </c>
    </row>
    <row r="1473" spans="1:23" ht="11.25" customHeight="1" x14ac:dyDescent="0.25">
      <c r="A1473" s="3" t="s">
        <v>21</v>
      </c>
      <c r="B1473" s="3" t="s">
        <v>22</v>
      </c>
      <c r="C1473" s="3" t="s">
        <v>23</v>
      </c>
      <c r="D1473" s="3" t="s">
        <v>24</v>
      </c>
      <c r="E1473" s="3" t="s">
        <v>29</v>
      </c>
      <c r="F1473" s="3" t="s">
        <v>25</v>
      </c>
      <c r="G1473" s="3" t="s">
        <v>25</v>
      </c>
      <c r="H1473" s="3" t="s">
        <v>25</v>
      </c>
      <c r="I1473" s="6">
        <v>44562</v>
      </c>
      <c r="J1473" s="4">
        <v>0</v>
      </c>
      <c r="K1473" s="4">
        <v>0</v>
      </c>
      <c r="L1473" s="4">
        <v>12009.77</v>
      </c>
      <c r="M1473" s="4">
        <v>12009.77</v>
      </c>
      <c r="N1473" s="4">
        <v>12009.77</v>
      </c>
      <c r="O1473" s="4">
        <v>12009.77</v>
      </c>
      <c r="P1473" s="4">
        <v>51375</v>
      </c>
      <c r="Q1473" s="3" t="s">
        <v>26</v>
      </c>
      <c r="R1473" s="3">
        <v>0</v>
      </c>
      <c r="S1473" s="3" t="s">
        <v>380</v>
      </c>
      <c r="T1473" s="3" t="s">
        <v>621</v>
      </c>
      <c r="U1473" s="3">
        <v>0</v>
      </c>
      <c r="V1473" s="3">
        <v>14</v>
      </c>
      <c r="W1473" s="3">
        <v>74</v>
      </c>
    </row>
    <row r="1474" spans="1:23" ht="11.25" customHeight="1" x14ac:dyDescent="0.25">
      <c r="A1474" s="3" t="s">
        <v>21</v>
      </c>
      <c r="B1474" s="3" t="s">
        <v>22</v>
      </c>
      <c r="C1474" s="3" t="s">
        <v>23</v>
      </c>
      <c r="D1474" s="3" t="s">
        <v>24</v>
      </c>
      <c r="E1474" s="3" t="s">
        <v>29</v>
      </c>
      <c r="F1474" s="3" t="s">
        <v>25</v>
      </c>
      <c r="G1474" s="3" t="s">
        <v>25</v>
      </c>
      <c r="H1474" s="3" t="s">
        <v>25</v>
      </c>
      <c r="I1474" s="6">
        <v>44593</v>
      </c>
      <c r="J1474" s="4">
        <v>0</v>
      </c>
      <c r="K1474" s="4">
        <v>0</v>
      </c>
      <c r="L1474" s="4">
        <v>11899.406999999999</v>
      </c>
      <c r="M1474" s="4">
        <v>11899.406999999999</v>
      </c>
      <c r="N1474" s="4">
        <v>11899.406999999999</v>
      </c>
      <c r="O1474" s="4">
        <v>11899.406999999999</v>
      </c>
      <c r="P1474" s="4">
        <v>51716</v>
      </c>
      <c r="Q1474" s="3" t="s">
        <v>26</v>
      </c>
      <c r="R1474" s="3">
        <v>0</v>
      </c>
      <c r="S1474" s="3" t="s">
        <v>381</v>
      </c>
      <c r="T1474" s="3" t="s">
        <v>622</v>
      </c>
      <c r="U1474" s="3">
        <v>0</v>
      </c>
      <c r="V1474" s="3">
        <v>14</v>
      </c>
      <c r="W1474" s="3">
        <v>74</v>
      </c>
    </row>
    <row r="1475" spans="1:23" ht="11.25" customHeight="1" x14ac:dyDescent="0.25">
      <c r="A1475" s="3" t="s">
        <v>21</v>
      </c>
      <c r="B1475" s="3" t="s">
        <v>22</v>
      </c>
      <c r="C1475" s="3" t="s">
        <v>23</v>
      </c>
      <c r="D1475" s="3" t="s">
        <v>24</v>
      </c>
      <c r="E1475" s="3" t="s">
        <v>29</v>
      </c>
      <c r="F1475" s="3" t="s">
        <v>25</v>
      </c>
      <c r="G1475" s="3" t="s">
        <v>25</v>
      </c>
      <c r="H1475" s="3" t="s">
        <v>25</v>
      </c>
      <c r="I1475" s="6">
        <v>44621</v>
      </c>
      <c r="J1475" s="4">
        <v>0</v>
      </c>
      <c r="K1475" s="4">
        <v>0</v>
      </c>
      <c r="L1475" s="4">
        <v>11920.166999999999</v>
      </c>
      <c r="M1475" s="4">
        <v>11920.166999999999</v>
      </c>
      <c r="N1475" s="4">
        <v>11920.166999999999</v>
      </c>
      <c r="O1475" s="4">
        <v>11920.166999999999</v>
      </c>
      <c r="P1475" s="4">
        <v>48796</v>
      </c>
      <c r="Q1475" s="3" t="s">
        <v>26</v>
      </c>
      <c r="R1475" s="3">
        <v>0</v>
      </c>
      <c r="S1475" s="3" t="s">
        <v>382</v>
      </c>
      <c r="T1475" s="3" t="s">
        <v>623</v>
      </c>
      <c r="U1475" s="3">
        <v>0</v>
      </c>
      <c r="V1475" s="3">
        <v>14</v>
      </c>
      <c r="W1475" s="3">
        <v>74</v>
      </c>
    </row>
    <row r="1476" spans="1:23" ht="11.25" customHeight="1" x14ac:dyDescent="0.25">
      <c r="A1476" s="3" t="s">
        <v>56</v>
      </c>
      <c r="B1476" s="3" t="s">
        <v>22</v>
      </c>
      <c r="C1476" s="3" t="s">
        <v>23</v>
      </c>
      <c r="D1476" s="3" t="s">
        <v>24</v>
      </c>
      <c r="E1476" s="3" t="s">
        <v>29</v>
      </c>
      <c r="F1476" s="3" t="s">
        <v>25</v>
      </c>
      <c r="G1476" s="3" t="s">
        <v>25</v>
      </c>
      <c r="H1476" s="3" t="s">
        <v>25</v>
      </c>
      <c r="I1476" s="6">
        <v>44652</v>
      </c>
      <c r="J1476" s="4">
        <v>0</v>
      </c>
      <c r="K1476" s="4">
        <v>0</v>
      </c>
      <c r="L1476" s="4">
        <v>11920.166999999999</v>
      </c>
      <c r="M1476" s="4">
        <v>11920.166999999999</v>
      </c>
      <c r="N1476" s="4">
        <v>11920.166999999999</v>
      </c>
      <c r="O1476" s="4">
        <v>11920.166999999999</v>
      </c>
      <c r="P1476" s="4">
        <v>48796</v>
      </c>
      <c r="Q1476" s="3" t="s">
        <v>26</v>
      </c>
      <c r="R1476" s="3">
        <v>0</v>
      </c>
      <c r="S1476" s="3" t="s">
        <v>383</v>
      </c>
      <c r="T1476" s="3" t="s">
        <v>624</v>
      </c>
      <c r="U1476" s="3">
        <v>0</v>
      </c>
      <c r="V1476" s="3">
        <v>14</v>
      </c>
      <c r="W1476" s="3">
        <v>74</v>
      </c>
    </row>
    <row r="1477" spans="1:23" ht="11.25" customHeight="1" x14ac:dyDescent="0.25">
      <c r="A1477" s="3" t="s">
        <v>21</v>
      </c>
      <c r="B1477" s="3" t="s">
        <v>22</v>
      </c>
      <c r="C1477" s="3" t="s">
        <v>23</v>
      </c>
      <c r="D1477" s="3" t="s">
        <v>24</v>
      </c>
      <c r="E1477" s="3" t="s">
        <v>30</v>
      </c>
      <c r="F1477" s="3" t="s">
        <v>25</v>
      </c>
      <c r="G1477" s="3" t="s">
        <v>25</v>
      </c>
      <c r="H1477" s="3" t="s">
        <v>25</v>
      </c>
      <c r="I1477" s="6">
        <v>44317</v>
      </c>
      <c r="J1477" s="4">
        <v>0</v>
      </c>
      <c r="K1477" s="4">
        <v>0</v>
      </c>
      <c r="L1477" s="4">
        <v>16077.365</v>
      </c>
      <c r="M1477" s="4">
        <v>16077.365</v>
      </c>
      <c r="N1477" s="4">
        <v>16077.365</v>
      </c>
      <c r="O1477" s="4">
        <v>16077.365</v>
      </c>
      <c r="P1477" s="4">
        <v>170033</v>
      </c>
      <c r="Q1477" s="3" t="s">
        <v>26</v>
      </c>
      <c r="R1477" s="3">
        <v>0</v>
      </c>
      <c r="S1477" s="3" t="s">
        <v>384</v>
      </c>
      <c r="T1477" s="3" t="s">
        <v>625</v>
      </c>
      <c r="U1477" s="3">
        <v>0</v>
      </c>
      <c r="V1477" s="3">
        <v>15</v>
      </c>
      <c r="W1477" s="3">
        <v>75</v>
      </c>
    </row>
    <row r="1478" spans="1:23" ht="11.25" customHeight="1" x14ac:dyDescent="0.25">
      <c r="A1478" s="3" t="s">
        <v>21</v>
      </c>
      <c r="B1478" s="3" t="s">
        <v>22</v>
      </c>
      <c r="C1478" s="3" t="s">
        <v>23</v>
      </c>
      <c r="D1478" s="3" t="s">
        <v>24</v>
      </c>
      <c r="E1478" s="3" t="s">
        <v>30</v>
      </c>
      <c r="F1478" s="3" t="s">
        <v>25</v>
      </c>
      <c r="G1478" s="3" t="s">
        <v>25</v>
      </c>
      <c r="H1478" s="3" t="s">
        <v>25</v>
      </c>
      <c r="I1478" s="6">
        <v>44348</v>
      </c>
      <c r="J1478" s="4">
        <v>0</v>
      </c>
      <c r="K1478" s="4">
        <v>0</v>
      </c>
      <c r="L1478" s="4">
        <v>15612.285</v>
      </c>
      <c r="M1478" s="4">
        <v>15612.285</v>
      </c>
      <c r="N1478" s="4">
        <v>15612.285</v>
      </c>
      <c r="O1478" s="4">
        <v>15612.285</v>
      </c>
      <c r="P1478" s="4">
        <v>181675</v>
      </c>
      <c r="Q1478" s="3" t="s">
        <v>26</v>
      </c>
      <c r="R1478" s="3">
        <v>0</v>
      </c>
      <c r="S1478" s="3" t="s">
        <v>385</v>
      </c>
      <c r="T1478" s="3" t="s">
        <v>626</v>
      </c>
      <c r="U1478" s="3">
        <v>0</v>
      </c>
      <c r="V1478" s="3">
        <v>15</v>
      </c>
      <c r="W1478" s="3">
        <v>75</v>
      </c>
    </row>
    <row r="1479" spans="1:23" ht="11.25" customHeight="1" x14ac:dyDescent="0.25">
      <c r="A1479" s="3" t="s">
        <v>21</v>
      </c>
      <c r="B1479" s="3" t="s">
        <v>22</v>
      </c>
      <c r="C1479" s="3" t="s">
        <v>23</v>
      </c>
      <c r="D1479" s="3" t="s">
        <v>24</v>
      </c>
      <c r="E1479" s="3" t="s">
        <v>30</v>
      </c>
      <c r="F1479" s="3" t="s">
        <v>25</v>
      </c>
      <c r="G1479" s="3" t="s">
        <v>25</v>
      </c>
      <c r="H1479" s="3" t="s">
        <v>25</v>
      </c>
      <c r="I1479" s="6">
        <v>44378</v>
      </c>
      <c r="J1479" s="4">
        <v>0</v>
      </c>
      <c r="K1479" s="4">
        <v>0</v>
      </c>
      <c r="L1479" s="4">
        <v>14934.215</v>
      </c>
      <c r="M1479" s="4">
        <v>14934.215</v>
      </c>
      <c r="N1479" s="4">
        <v>14934.215</v>
      </c>
      <c r="O1479" s="4">
        <v>14934.215</v>
      </c>
      <c r="P1479" s="4">
        <v>197966</v>
      </c>
      <c r="Q1479" s="3" t="s">
        <v>26</v>
      </c>
      <c r="R1479" s="3">
        <v>0</v>
      </c>
      <c r="S1479" s="3" t="s">
        <v>386</v>
      </c>
      <c r="T1479" s="3" t="s">
        <v>627</v>
      </c>
      <c r="U1479" s="3">
        <v>0</v>
      </c>
      <c r="V1479" s="3">
        <v>15</v>
      </c>
      <c r="W1479" s="3">
        <v>75</v>
      </c>
    </row>
    <row r="1480" spans="1:23" ht="11.25" customHeight="1" x14ac:dyDescent="0.25">
      <c r="A1480" s="3" t="s">
        <v>21</v>
      </c>
      <c r="B1480" s="3" t="s">
        <v>22</v>
      </c>
      <c r="C1480" s="3" t="s">
        <v>23</v>
      </c>
      <c r="D1480" s="3" t="s">
        <v>24</v>
      </c>
      <c r="E1480" s="3" t="s">
        <v>30</v>
      </c>
      <c r="F1480" s="3" t="s">
        <v>25</v>
      </c>
      <c r="G1480" s="3" t="s">
        <v>25</v>
      </c>
      <c r="H1480" s="3" t="s">
        <v>25</v>
      </c>
      <c r="I1480" s="6">
        <v>44409</v>
      </c>
      <c r="J1480" s="4">
        <v>0</v>
      </c>
      <c r="K1480" s="4">
        <v>0</v>
      </c>
      <c r="L1480" s="4">
        <v>14767.232</v>
      </c>
      <c r="M1480" s="4">
        <v>14767.232</v>
      </c>
      <c r="N1480" s="4">
        <v>14767.232</v>
      </c>
      <c r="O1480" s="4">
        <v>14767.232</v>
      </c>
      <c r="P1480" s="4">
        <v>205798</v>
      </c>
      <c r="Q1480" s="3" t="s">
        <v>26</v>
      </c>
      <c r="R1480" s="3">
        <v>0</v>
      </c>
      <c r="S1480" s="3" t="s">
        <v>387</v>
      </c>
      <c r="T1480" s="3" t="s">
        <v>628</v>
      </c>
      <c r="U1480" s="3">
        <v>0</v>
      </c>
      <c r="V1480" s="3">
        <v>15</v>
      </c>
      <c r="W1480" s="3">
        <v>75</v>
      </c>
    </row>
    <row r="1481" spans="1:23" ht="11.25" customHeight="1" x14ac:dyDescent="0.25">
      <c r="A1481" s="3" t="s">
        <v>21</v>
      </c>
      <c r="B1481" s="3" t="s">
        <v>22</v>
      </c>
      <c r="C1481" s="3" t="s">
        <v>23</v>
      </c>
      <c r="D1481" s="3" t="s">
        <v>24</v>
      </c>
      <c r="E1481" s="3" t="s">
        <v>30</v>
      </c>
      <c r="F1481" s="3" t="s">
        <v>25</v>
      </c>
      <c r="G1481" s="3" t="s">
        <v>25</v>
      </c>
      <c r="H1481" s="3" t="s">
        <v>25</v>
      </c>
      <c r="I1481" s="6">
        <v>44440</v>
      </c>
      <c r="J1481" s="4">
        <v>0</v>
      </c>
      <c r="K1481" s="4">
        <v>0</v>
      </c>
      <c r="L1481" s="4">
        <v>15543.1</v>
      </c>
      <c r="M1481" s="4">
        <v>15543.1</v>
      </c>
      <c r="N1481" s="4">
        <v>15543.1</v>
      </c>
      <c r="O1481" s="4">
        <v>15543.1</v>
      </c>
      <c r="P1481" s="4">
        <v>197336</v>
      </c>
      <c r="Q1481" s="3" t="s">
        <v>26</v>
      </c>
      <c r="R1481" s="3">
        <v>0</v>
      </c>
      <c r="S1481" s="3" t="s">
        <v>388</v>
      </c>
      <c r="T1481" s="3" t="s">
        <v>629</v>
      </c>
      <c r="U1481" s="3">
        <v>0</v>
      </c>
      <c r="V1481" s="3">
        <v>15</v>
      </c>
      <c r="W1481" s="3">
        <v>75</v>
      </c>
    </row>
    <row r="1482" spans="1:23" ht="11.25" customHeight="1" x14ac:dyDescent="0.25">
      <c r="A1482" s="3" t="s">
        <v>21</v>
      </c>
      <c r="B1482" s="3" t="s">
        <v>22</v>
      </c>
      <c r="C1482" s="3" t="s">
        <v>23</v>
      </c>
      <c r="D1482" s="3" t="s">
        <v>24</v>
      </c>
      <c r="E1482" s="3" t="s">
        <v>30</v>
      </c>
      <c r="F1482" s="3" t="s">
        <v>25</v>
      </c>
      <c r="G1482" s="3" t="s">
        <v>25</v>
      </c>
      <c r="H1482" s="3" t="s">
        <v>25</v>
      </c>
      <c r="I1482" s="6">
        <v>44470</v>
      </c>
      <c r="J1482" s="4">
        <v>0</v>
      </c>
      <c r="K1482" s="4">
        <v>0</v>
      </c>
      <c r="L1482" s="4">
        <v>16294.031000000001</v>
      </c>
      <c r="M1482" s="4">
        <v>16294.031000000001</v>
      </c>
      <c r="N1482" s="4">
        <v>16294.031000000001</v>
      </c>
      <c r="O1482" s="4">
        <v>16294.031000000001</v>
      </c>
      <c r="P1482" s="4">
        <v>184733</v>
      </c>
      <c r="Q1482" s="3" t="s">
        <v>26</v>
      </c>
      <c r="R1482" s="3">
        <v>0</v>
      </c>
      <c r="S1482" s="3" t="s">
        <v>389</v>
      </c>
      <c r="T1482" s="3" t="s">
        <v>630</v>
      </c>
      <c r="U1482" s="3">
        <v>0</v>
      </c>
      <c r="V1482" s="3">
        <v>15</v>
      </c>
      <c r="W1482" s="3">
        <v>75</v>
      </c>
    </row>
    <row r="1483" spans="1:23" ht="11.25" customHeight="1" x14ac:dyDescent="0.25">
      <c r="A1483" s="3" t="s">
        <v>21</v>
      </c>
      <c r="B1483" s="3" t="s">
        <v>22</v>
      </c>
      <c r="C1483" s="3" t="s">
        <v>23</v>
      </c>
      <c r="D1483" s="3" t="s">
        <v>24</v>
      </c>
      <c r="E1483" s="3" t="s">
        <v>30</v>
      </c>
      <c r="F1483" s="3" t="s">
        <v>25</v>
      </c>
      <c r="G1483" s="3" t="s">
        <v>25</v>
      </c>
      <c r="H1483" s="3" t="s">
        <v>25</v>
      </c>
      <c r="I1483" s="6">
        <v>44501</v>
      </c>
      <c r="J1483" s="4">
        <v>0</v>
      </c>
      <c r="K1483" s="4">
        <v>0</v>
      </c>
      <c r="L1483" s="4">
        <v>17100.547999999999</v>
      </c>
      <c r="M1483" s="4">
        <v>17100.547999999999</v>
      </c>
      <c r="N1483" s="4">
        <v>17100.547999999999</v>
      </c>
      <c r="O1483" s="4">
        <v>17100.547999999999</v>
      </c>
      <c r="P1483" s="4">
        <v>172211</v>
      </c>
      <c r="Q1483" s="3" t="s">
        <v>26</v>
      </c>
      <c r="R1483" s="3">
        <v>0</v>
      </c>
      <c r="S1483" s="3" t="s">
        <v>390</v>
      </c>
      <c r="T1483" s="3" t="s">
        <v>631</v>
      </c>
      <c r="U1483" s="3">
        <v>0</v>
      </c>
      <c r="V1483" s="3">
        <v>15</v>
      </c>
      <c r="W1483" s="3">
        <v>75</v>
      </c>
    </row>
    <row r="1484" spans="1:23" ht="11.25" customHeight="1" x14ac:dyDescent="0.25">
      <c r="A1484" s="3" t="s">
        <v>21</v>
      </c>
      <c r="B1484" s="3" t="s">
        <v>22</v>
      </c>
      <c r="C1484" s="3" t="s">
        <v>23</v>
      </c>
      <c r="D1484" s="3" t="s">
        <v>24</v>
      </c>
      <c r="E1484" s="3" t="s">
        <v>30</v>
      </c>
      <c r="F1484" s="3" t="s">
        <v>25</v>
      </c>
      <c r="G1484" s="3" t="s">
        <v>25</v>
      </c>
      <c r="H1484" s="3" t="s">
        <v>25</v>
      </c>
      <c r="I1484" s="6">
        <v>44531</v>
      </c>
      <c r="J1484" s="4">
        <v>0</v>
      </c>
      <c r="K1484" s="4">
        <v>0</v>
      </c>
      <c r="L1484" s="4">
        <v>18353.892</v>
      </c>
      <c r="M1484" s="4">
        <v>18353.892</v>
      </c>
      <c r="N1484" s="4">
        <v>18353.892</v>
      </c>
      <c r="O1484" s="4">
        <v>18353.892</v>
      </c>
      <c r="P1484" s="4">
        <v>173327</v>
      </c>
      <c r="Q1484" s="3" t="s">
        <v>26</v>
      </c>
      <c r="R1484" s="3">
        <v>0</v>
      </c>
      <c r="S1484" s="3" t="s">
        <v>391</v>
      </c>
      <c r="T1484" s="3" t="s">
        <v>632</v>
      </c>
      <c r="U1484" s="3">
        <v>0</v>
      </c>
      <c r="V1484" s="3">
        <v>15</v>
      </c>
      <c r="W1484" s="3">
        <v>75</v>
      </c>
    </row>
    <row r="1485" spans="1:23" ht="11.25" customHeight="1" x14ac:dyDescent="0.25">
      <c r="A1485" s="3" t="s">
        <v>21</v>
      </c>
      <c r="B1485" s="3" t="s">
        <v>22</v>
      </c>
      <c r="C1485" s="3" t="s">
        <v>23</v>
      </c>
      <c r="D1485" s="3" t="s">
        <v>24</v>
      </c>
      <c r="E1485" s="3" t="s">
        <v>30</v>
      </c>
      <c r="F1485" s="3" t="s">
        <v>25</v>
      </c>
      <c r="G1485" s="3" t="s">
        <v>25</v>
      </c>
      <c r="H1485" s="3" t="s">
        <v>25</v>
      </c>
      <c r="I1485" s="6">
        <v>44562</v>
      </c>
      <c r="J1485" s="4">
        <v>0</v>
      </c>
      <c r="K1485" s="4">
        <v>0</v>
      </c>
      <c r="L1485" s="4">
        <v>18870.63</v>
      </c>
      <c r="M1485" s="4">
        <v>18870.63</v>
      </c>
      <c r="N1485" s="4">
        <v>18870.63</v>
      </c>
      <c r="O1485" s="4">
        <v>18870.63</v>
      </c>
      <c r="P1485" s="4">
        <v>186656</v>
      </c>
      <c r="Q1485" s="3" t="s">
        <v>26</v>
      </c>
      <c r="R1485" s="3">
        <v>0</v>
      </c>
      <c r="S1485" s="3" t="s">
        <v>392</v>
      </c>
      <c r="T1485" s="3" t="s">
        <v>633</v>
      </c>
      <c r="U1485" s="3">
        <v>0</v>
      </c>
      <c r="V1485" s="3">
        <v>15</v>
      </c>
      <c r="W1485" s="3">
        <v>75</v>
      </c>
    </row>
    <row r="1486" spans="1:23" ht="11.25" customHeight="1" x14ac:dyDescent="0.25">
      <c r="A1486" s="3" t="s">
        <v>21</v>
      </c>
      <c r="B1486" s="3" t="s">
        <v>22</v>
      </c>
      <c r="C1486" s="3" t="s">
        <v>23</v>
      </c>
      <c r="D1486" s="3" t="s">
        <v>24</v>
      </c>
      <c r="E1486" s="3" t="s">
        <v>30</v>
      </c>
      <c r="F1486" s="3" t="s">
        <v>25</v>
      </c>
      <c r="G1486" s="3" t="s">
        <v>25</v>
      </c>
      <c r="H1486" s="3" t="s">
        <v>25</v>
      </c>
      <c r="I1486" s="6">
        <v>44593</v>
      </c>
      <c r="J1486" s="4">
        <v>0</v>
      </c>
      <c r="K1486" s="4">
        <v>0</v>
      </c>
      <c r="L1486" s="4">
        <v>19059.675999999999</v>
      </c>
      <c r="M1486" s="4">
        <v>19059.675999999999</v>
      </c>
      <c r="N1486" s="4">
        <v>19059.675999999999</v>
      </c>
      <c r="O1486" s="4">
        <v>19059.675999999999</v>
      </c>
      <c r="P1486" s="4">
        <v>193424</v>
      </c>
      <c r="Q1486" s="3" t="s">
        <v>26</v>
      </c>
      <c r="R1486" s="3">
        <v>0</v>
      </c>
      <c r="S1486" s="3" t="s">
        <v>393</v>
      </c>
      <c r="T1486" s="3" t="s">
        <v>634</v>
      </c>
      <c r="U1486" s="3">
        <v>0</v>
      </c>
      <c r="V1486" s="3">
        <v>15</v>
      </c>
      <c r="W1486" s="3">
        <v>75</v>
      </c>
    </row>
    <row r="1487" spans="1:23" ht="11.25" customHeight="1" x14ac:dyDescent="0.25">
      <c r="A1487" s="3" t="s">
        <v>21</v>
      </c>
      <c r="B1487" s="3" t="s">
        <v>22</v>
      </c>
      <c r="C1487" s="3" t="s">
        <v>23</v>
      </c>
      <c r="D1487" s="3" t="s">
        <v>24</v>
      </c>
      <c r="E1487" s="3" t="s">
        <v>30</v>
      </c>
      <c r="F1487" s="3" t="s">
        <v>25</v>
      </c>
      <c r="G1487" s="3" t="s">
        <v>25</v>
      </c>
      <c r="H1487" s="3" t="s">
        <v>25</v>
      </c>
      <c r="I1487" s="6">
        <v>44621</v>
      </c>
      <c r="J1487" s="4">
        <v>0</v>
      </c>
      <c r="K1487" s="4">
        <v>0</v>
      </c>
      <c r="L1487" s="4">
        <v>20407.688999999998</v>
      </c>
      <c r="M1487" s="4">
        <v>20407.688999999998</v>
      </c>
      <c r="N1487" s="4">
        <v>20407.688999999998</v>
      </c>
      <c r="O1487" s="4">
        <v>20407.688999999998</v>
      </c>
      <c r="P1487" s="4">
        <v>177677</v>
      </c>
      <c r="Q1487" s="3" t="s">
        <v>26</v>
      </c>
      <c r="R1487" s="3">
        <v>0</v>
      </c>
      <c r="S1487" s="3" t="s">
        <v>394</v>
      </c>
      <c r="T1487" s="3" t="s">
        <v>635</v>
      </c>
      <c r="U1487" s="3">
        <v>0</v>
      </c>
      <c r="V1487" s="3">
        <v>15</v>
      </c>
      <c r="W1487" s="3">
        <v>75</v>
      </c>
    </row>
    <row r="1488" spans="1:23" ht="11.25" customHeight="1" x14ac:dyDescent="0.25">
      <c r="A1488" s="3" t="s">
        <v>56</v>
      </c>
      <c r="B1488" s="3" t="s">
        <v>22</v>
      </c>
      <c r="C1488" s="3" t="s">
        <v>23</v>
      </c>
      <c r="D1488" s="3" t="s">
        <v>24</v>
      </c>
      <c r="E1488" s="3" t="s">
        <v>30</v>
      </c>
      <c r="F1488" s="3" t="s">
        <v>25</v>
      </c>
      <c r="G1488" s="3" t="s">
        <v>25</v>
      </c>
      <c r="H1488" s="3" t="s">
        <v>25</v>
      </c>
      <c r="I1488" s="6">
        <v>44652</v>
      </c>
      <c r="J1488" s="4">
        <v>0</v>
      </c>
      <c r="K1488" s="4">
        <v>0</v>
      </c>
      <c r="L1488" s="4">
        <v>20407.688999999998</v>
      </c>
      <c r="M1488" s="4">
        <v>20407.688999999998</v>
      </c>
      <c r="N1488" s="4">
        <v>20407.688999999998</v>
      </c>
      <c r="O1488" s="4">
        <v>20407.688999999998</v>
      </c>
      <c r="P1488" s="4">
        <v>177677</v>
      </c>
      <c r="Q1488" s="3" t="s">
        <v>26</v>
      </c>
      <c r="R1488" s="3">
        <v>0</v>
      </c>
      <c r="S1488" s="3" t="s">
        <v>395</v>
      </c>
      <c r="T1488" s="3" t="s">
        <v>636</v>
      </c>
      <c r="U1488" s="3">
        <v>0</v>
      </c>
      <c r="V1488" s="3">
        <v>15</v>
      </c>
      <c r="W1488" s="3">
        <v>75</v>
      </c>
    </row>
    <row r="1489" spans="1:23" ht="11.25" customHeight="1" x14ac:dyDescent="0.25">
      <c r="A1489" s="3" t="s">
        <v>21</v>
      </c>
      <c r="B1489" s="3" t="s">
        <v>22</v>
      </c>
      <c r="C1489" s="3" t="s">
        <v>23</v>
      </c>
      <c r="D1489" s="3" t="s">
        <v>24</v>
      </c>
      <c r="E1489" s="3" t="s">
        <v>31</v>
      </c>
      <c r="F1489" s="3" t="s">
        <v>25</v>
      </c>
      <c r="G1489" s="3" t="s">
        <v>25</v>
      </c>
      <c r="H1489" s="3" t="s">
        <v>25</v>
      </c>
      <c r="I1489" s="6">
        <v>44317</v>
      </c>
      <c r="J1489" s="4">
        <v>0</v>
      </c>
      <c r="K1489" s="4">
        <v>0</v>
      </c>
      <c r="L1489" s="4">
        <v>6241.5249999999996</v>
      </c>
      <c r="M1489" s="4">
        <v>6241.5249999999996</v>
      </c>
      <c r="N1489" s="4">
        <v>6241.5249999999996</v>
      </c>
      <c r="O1489" s="4">
        <v>6241.5249999999996</v>
      </c>
      <c r="P1489" s="4">
        <v>120572</v>
      </c>
      <c r="Q1489" s="3" t="s">
        <v>26</v>
      </c>
      <c r="R1489" s="3">
        <v>0</v>
      </c>
      <c r="S1489" s="3" t="s">
        <v>396</v>
      </c>
      <c r="T1489" s="3" t="s">
        <v>637</v>
      </c>
      <c r="U1489" s="3">
        <v>0</v>
      </c>
      <c r="V1489" s="3">
        <v>33</v>
      </c>
      <c r="W1489" s="3">
        <v>54</v>
      </c>
    </row>
    <row r="1490" spans="1:23" ht="11.25" customHeight="1" x14ac:dyDescent="0.25">
      <c r="A1490" s="3" t="s">
        <v>21</v>
      </c>
      <c r="B1490" s="3" t="s">
        <v>22</v>
      </c>
      <c r="C1490" s="3" t="s">
        <v>23</v>
      </c>
      <c r="D1490" s="3" t="s">
        <v>24</v>
      </c>
      <c r="E1490" s="3" t="s">
        <v>31</v>
      </c>
      <c r="F1490" s="3" t="s">
        <v>25</v>
      </c>
      <c r="G1490" s="3" t="s">
        <v>25</v>
      </c>
      <c r="H1490" s="3" t="s">
        <v>25</v>
      </c>
      <c r="I1490" s="6">
        <v>44348</v>
      </c>
      <c r="J1490" s="4">
        <v>0</v>
      </c>
      <c r="K1490" s="4">
        <v>0</v>
      </c>
      <c r="L1490" s="4">
        <v>5574.6679999999997</v>
      </c>
      <c r="M1490" s="4">
        <v>5574.6679999999997</v>
      </c>
      <c r="N1490" s="4">
        <v>5574.6679999999997</v>
      </c>
      <c r="O1490" s="4">
        <v>5574.6679999999997</v>
      </c>
      <c r="P1490" s="4">
        <v>112012</v>
      </c>
      <c r="Q1490" s="3" t="s">
        <v>26</v>
      </c>
      <c r="R1490" s="3">
        <v>0</v>
      </c>
      <c r="S1490" s="3" t="s">
        <v>397</v>
      </c>
      <c r="T1490" s="3" t="s">
        <v>638</v>
      </c>
      <c r="U1490" s="3">
        <v>0</v>
      </c>
      <c r="V1490" s="3">
        <v>33</v>
      </c>
      <c r="W1490" s="3">
        <v>54</v>
      </c>
    </row>
    <row r="1491" spans="1:23" ht="11.25" customHeight="1" x14ac:dyDescent="0.25">
      <c r="A1491" s="3" t="s">
        <v>21</v>
      </c>
      <c r="B1491" s="3" t="s">
        <v>22</v>
      </c>
      <c r="C1491" s="3" t="s">
        <v>23</v>
      </c>
      <c r="D1491" s="3" t="s">
        <v>24</v>
      </c>
      <c r="E1491" s="3" t="s">
        <v>31</v>
      </c>
      <c r="F1491" s="3" t="s">
        <v>25</v>
      </c>
      <c r="G1491" s="3" t="s">
        <v>25</v>
      </c>
      <c r="H1491" s="3" t="s">
        <v>25</v>
      </c>
      <c r="I1491" s="6">
        <v>44378</v>
      </c>
      <c r="J1491" s="4">
        <v>0</v>
      </c>
      <c r="K1491" s="4">
        <v>0</v>
      </c>
      <c r="L1491" s="4">
        <v>4570.7780000000002</v>
      </c>
      <c r="M1491" s="4">
        <v>4570.7780000000002</v>
      </c>
      <c r="N1491" s="4">
        <v>4570.7780000000002</v>
      </c>
      <c r="O1491" s="4">
        <v>4570.7780000000002</v>
      </c>
      <c r="P1491" s="4">
        <v>98967</v>
      </c>
      <c r="Q1491" s="3" t="s">
        <v>26</v>
      </c>
      <c r="R1491" s="3">
        <v>0</v>
      </c>
      <c r="S1491" s="3" t="s">
        <v>398</v>
      </c>
      <c r="T1491" s="3" t="s">
        <v>639</v>
      </c>
      <c r="U1491" s="3">
        <v>0</v>
      </c>
      <c r="V1491" s="3">
        <v>33</v>
      </c>
      <c r="W1491" s="3">
        <v>54</v>
      </c>
    </row>
    <row r="1492" spans="1:23" ht="11.25" customHeight="1" x14ac:dyDescent="0.25">
      <c r="A1492" s="3" t="s">
        <v>21</v>
      </c>
      <c r="B1492" s="3" t="s">
        <v>22</v>
      </c>
      <c r="C1492" s="3" t="s">
        <v>23</v>
      </c>
      <c r="D1492" s="3" t="s">
        <v>24</v>
      </c>
      <c r="E1492" s="3" t="s">
        <v>31</v>
      </c>
      <c r="F1492" s="3" t="s">
        <v>25</v>
      </c>
      <c r="G1492" s="3" t="s">
        <v>25</v>
      </c>
      <c r="H1492" s="3" t="s">
        <v>25</v>
      </c>
      <c r="I1492" s="6">
        <v>44409</v>
      </c>
      <c r="J1492" s="4">
        <v>0</v>
      </c>
      <c r="K1492" s="4">
        <v>0</v>
      </c>
      <c r="L1492" s="4">
        <v>4280.3370000000004</v>
      </c>
      <c r="M1492" s="4">
        <v>4280.3370000000004</v>
      </c>
      <c r="N1492" s="4">
        <v>4280.3370000000004</v>
      </c>
      <c r="O1492" s="4">
        <v>4280.3370000000004</v>
      </c>
      <c r="P1492" s="4">
        <v>94626</v>
      </c>
      <c r="Q1492" s="3" t="s">
        <v>26</v>
      </c>
      <c r="R1492" s="3">
        <v>0</v>
      </c>
      <c r="S1492" s="3" t="s">
        <v>399</v>
      </c>
      <c r="T1492" s="3" t="s">
        <v>640</v>
      </c>
      <c r="U1492" s="3">
        <v>0</v>
      </c>
      <c r="V1492" s="3">
        <v>33</v>
      </c>
      <c r="W1492" s="3">
        <v>54</v>
      </c>
    </row>
    <row r="1493" spans="1:23" ht="11.25" customHeight="1" x14ac:dyDescent="0.25">
      <c r="A1493" s="3" t="s">
        <v>21</v>
      </c>
      <c r="B1493" s="3" t="s">
        <v>22</v>
      </c>
      <c r="C1493" s="3" t="s">
        <v>23</v>
      </c>
      <c r="D1493" s="3" t="s">
        <v>24</v>
      </c>
      <c r="E1493" s="3" t="s">
        <v>31</v>
      </c>
      <c r="F1493" s="3" t="s">
        <v>25</v>
      </c>
      <c r="G1493" s="3" t="s">
        <v>25</v>
      </c>
      <c r="H1493" s="3" t="s">
        <v>25</v>
      </c>
      <c r="I1493" s="6">
        <v>44440</v>
      </c>
      <c r="J1493" s="4">
        <v>0</v>
      </c>
      <c r="K1493" s="4">
        <v>0</v>
      </c>
      <c r="L1493" s="4">
        <v>4982.7870000000003</v>
      </c>
      <c r="M1493" s="4">
        <v>4982.7870000000003</v>
      </c>
      <c r="N1493" s="4">
        <v>4982.7870000000003</v>
      </c>
      <c r="O1493" s="4">
        <v>4982.7870000000003</v>
      </c>
      <c r="P1493" s="4">
        <v>105531</v>
      </c>
      <c r="Q1493" s="3" t="s">
        <v>26</v>
      </c>
      <c r="R1493" s="3">
        <v>0</v>
      </c>
      <c r="S1493" s="3" t="s">
        <v>400</v>
      </c>
      <c r="T1493" s="3" t="s">
        <v>641</v>
      </c>
      <c r="U1493" s="3">
        <v>0</v>
      </c>
      <c r="V1493" s="3">
        <v>33</v>
      </c>
      <c r="W1493" s="3">
        <v>54</v>
      </c>
    </row>
    <row r="1494" spans="1:23" ht="11.25" customHeight="1" x14ac:dyDescent="0.25">
      <c r="A1494" s="3" t="s">
        <v>21</v>
      </c>
      <c r="B1494" s="3" t="s">
        <v>22</v>
      </c>
      <c r="C1494" s="3" t="s">
        <v>23</v>
      </c>
      <c r="D1494" s="3" t="s">
        <v>24</v>
      </c>
      <c r="E1494" s="3" t="s">
        <v>31</v>
      </c>
      <c r="F1494" s="3" t="s">
        <v>25</v>
      </c>
      <c r="G1494" s="3" t="s">
        <v>25</v>
      </c>
      <c r="H1494" s="3" t="s">
        <v>25</v>
      </c>
      <c r="I1494" s="6">
        <v>44470</v>
      </c>
      <c r="J1494" s="4">
        <v>0</v>
      </c>
      <c r="K1494" s="4">
        <v>0</v>
      </c>
      <c r="L1494" s="4">
        <v>5808.45</v>
      </c>
      <c r="M1494" s="4">
        <v>5808.45</v>
      </c>
      <c r="N1494" s="4">
        <v>5808.45</v>
      </c>
      <c r="O1494" s="4">
        <v>5808.45</v>
      </c>
      <c r="P1494" s="4">
        <v>117808</v>
      </c>
      <c r="Q1494" s="3" t="s">
        <v>26</v>
      </c>
      <c r="R1494" s="3">
        <v>0</v>
      </c>
      <c r="S1494" s="3" t="s">
        <v>401</v>
      </c>
      <c r="T1494" s="3" t="s">
        <v>642</v>
      </c>
      <c r="U1494" s="3">
        <v>0</v>
      </c>
      <c r="V1494" s="3">
        <v>33</v>
      </c>
      <c r="W1494" s="3">
        <v>54</v>
      </c>
    </row>
    <row r="1495" spans="1:23" ht="11.25" customHeight="1" x14ac:dyDescent="0.25">
      <c r="A1495" s="3" t="s">
        <v>21</v>
      </c>
      <c r="B1495" s="3" t="s">
        <v>22</v>
      </c>
      <c r="C1495" s="3" t="s">
        <v>23</v>
      </c>
      <c r="D1495" s="3" t="s">
        <v>24</v>
      </c>
      <c r="E1495" s="3" t="s">
        <v>31</v>
      </c>
      <c r="F1495" s="3" t="s">
        <v>25</v>
      </c>
      <c r="G1495" s="3" t="s">
        <v>25</v>
      </c>
      <c r="H1495" s="3" t="s">
        <v>25</v>
      </c>
      <c r="I1495" s="6">
        <v>44501</v>
      </c>
      <c r="J1495" s="4">
        <v>0</v>
      </c>
      <c r="K1495" s="4">
        <v>0</v>
      </c>
      <c r="L1495" s="4">
        <v>6793.5389999999998</v>
      </c>
      <c r="M1495" s="4">
        <v>6793.5389999999998</v>
      </c>
      <c r="N1495" s="4">
        <v>6793.5389999999998</v>
      </c>
      <c r="O1495" s="4">
        <v>6793.5389999999998</v>
      </c>
      <c r="P1495" s="4">
        <v>130909</v>
      </c>
      <c r="Q1495" s="3" t="s">
        <v>26</v>
      </c>
      <c r="R1495" s="3">
        <v>0</v>
      </c>
      <c r="S1495" s="3" t="s">
        <v>402</v>
      </c>
      <c r="T1495" s="3" t="s">
        <v>643</v>
      </c>
      <c r="U1495" s="3">
        <v>0</v>
      </c>
      <c r="V1495" s="3">
        <v>33</v>
      </c>
      <c r="W1495" s="3">
        <v>54</v>
      </c>
    </row>
    <row r="1496" spans="1:23" ht="11.25" customHeight="1" x14ac:dyDescent="0.25">
      <c r="A1496" s="3" t="s">
        <v>21</v>
      </c>
      <c r="B1496" s="3" t="s">
        <v>22</v>
      </c>
      <c r="C1496" s="3" t="s">
        <v>23</v>
      </c>
      <c r="D1496" s="3" t="s">
        <v>24</v>
      </c>
      <c r="E1496" s="3" t="s">
        <v>31</v>
      </c>
      <c r="F1496" s="3" t="s">
        <v>25</v>
      </c>
      <c r="G1496" s="3" t="s">
        <v>25</v>
      </c>
      <c r="H1496" s="3" t="s">
        <v>25</v>
      </c>
      <c r="I1496" s="6">
        <v>44531</v>
      </c>
      <c r="J1496" s="4">
        <v>0</v>
      </c>
      <c r="K1496" s="4">
        <v>0</v>
      </c>
      <c r="L1496" s="4">
        <v>7819.826</v>
      </c>
      <c r="M1496" s="4">
        <v>7819.826</v>
      </c>
      <c r="N1496" s="4">
        <v>7819.826</v>
      </c>
      <c r="O1496" s="4">
        <v>7819.826</v>
      </c>
      <c r="P1496" s="4">
        <v>143851</v>
      </c>
      <c r="Q1496" s="3" t="s">
        <v>26</v>
      </c>
      <c r="R1496" s="3">
        <v>0</v>
      </c>
      <c r="S1496" s="3" t="s">
        <v>403</v>
      </c>
      <c r="T1496" s="3" t="s">
        <v>644</v>
      </c>
      <c r="U1496" s="3">
        <v>0</v>
      </c>
      <c r="V1496" s="3">
        <v>33</v>
      </c>
      <c r="W1496" s="3">
        <v>54</v>
      </c>
    </row>
    <row r="1497" spans="1:23" ht="11.25" customHeight="1" x14ac:dyDescent="0.25">
      <c r="A1497" s="3" t="s">
        <v>21</v>
      </c>
      <c r="B1497" s="3" t="s">
        <v>22</v>
      </c>
      <c r="C1497" s="3" t="s">
        <v>23</v>
      </c>
      <c r="D1497" s="3" t="s">
        <v>24</v>
      </c>
      <c r="E1497" s="3" t="s">
        <v>31</v>
      </c>
      <c r="F1497" s="3" t="s">
        <v>25</v>
      </c>
      <c r="G1497" s="3" t="s">
        <v>25</v>
      </c>
      <c r="H1497" s="3" t="s">
        <v>25</v>
      </c>
      <c r="I1497" s="6">
        <v>44562</v>
      </c>
      <c r="J1497" s="4">
        <v>0</v>
      </c>
      <c r="K1497" s="4">
        <v>0</v>
      </c>
      <c r="L1497" s="4">
        <v>7863.6009999999997</v>
      </c>
      <c r="M1497" s="4">
        <v>7863.6009999999997</v>
      </c>
      <c r="N1497" s="4">
        <v>7863.6009999999997</v>
      </c>
      <c r="O1497" s="4">
        <v>7863.6009999999997</v>
      </c>
      <c r="P1497" s="4">
        <v>144783</v>
      </c>
      <c r="Q1497" s="3" t="s">
        <v>26</v>
      </c>
      <c r="R1497" s="3">
        <v>0</v>
      </c>
      <c r="S1497" s="3" t="s">
        <v>404</v>
      </c>
      <c r="T1497" s="3" t="s">
        <v>645</v>
      </c>
      <c r="U1497" s="3">
        <v>0</v>
      </c>
      <c r="V1497" s="3">
        <v>33</v>
      </c>
      <c r="W1497" s="3">
        <v>54</v>
      </c>
    </row>
    <row r="1498" spans="1:23" ht="11.25" customHeight="1" x14ac:dyDescent="0.25">
      <c r="A1498" s="3" t="s">
        <v>21</v>
      </c>
      <c r="B1498" s="3" t="s">
        <v>22</v>
      </c>
      <c r="C1498" s="3" t="s">
        <v>23</v>
      </c>
      <c r="D1498" s="3" t="s">
        <v>24</v>
      </c>
      <c r="E1498" s="3" t="s">
        <v>31</v>
      </c>
      <c r="F1498" s="3" t="s">
        <v>25</v>
      </c>
      <c r="G1498" s="3" t="s">
        <v>25</v>
      </c>
      <c r="H1498" s="3" t="s">
        <v>25</v>
      </c>
      <c r="I1498" s="6">
        <v>44593</v>
      </c>
      <c r="J1498" s="4">
        <v>0</v>
      </c>
      <c r="K1498" s="4">
        <v>0</v>
      </c>
      <c r="L1498" s="4">
        <v>7866.2489999999998</v>
      </c>
      <c r="M1498" s="4">
        <v>7866.2489999999998</v>
      </c>
      <c r="N1498" s="4">
        <v>7866.2489999999998</v>
      </c>
      <c r="O1498" s="4">
        <v>7866.2489999999998</v>
      </c>
      <c r="P1498" s="4">
        <v>143765</v>
      </c>
      <c r="Q1498" s="3" t="s">
        <v>26</v>
      </c>
      <c r="R1498" s="3">
        <v>0</v>
      </c>
      <c r="S1498" s="3" t="s">
        <v>405</v>
      </c>
      <c r="T1498" s="3" t="s">
        <v>646</v>
      </c>
      <c r="U1498" s="3">
        <v>0</v>
      </c>
      <c r="V1498" s="3">
        <v>33</v>
      </c>
      <c r="W1498" s="3">
        <v>54</v>
      </c>
    </row>
    <row r="1499" spans="1:23" ht="11.25" customHeight="1" x14ac:dyDescent="0.25">
      <c r="A1499" s="3" t="s">
        <v>21</v>
      </c>
      <c r="B1499" s="3" t="s">
        <v>22</v>
      </c>
      <c r="C1499" s="3" t="s">
        <v>23</v>
      </c>
      <c r="D1499" s="3" t="s">
        <v>24</v>
      </c>
      <c r="E1499" s="3" t="s">
        <v>31</v>
      </c>
      <c r="F1499" s="3" t="s">
        <v>25</v>
      </c>
      <c r="G1499" s="3" t="s">
        <v>25</v>
      </c>
      <c r="H1499" s="3" t="s">
        <v>25</v>
      </c>
      <c r="I1499" s="6">
        <v>44621</v>
      </c>
      <c r="J1499" s="4">
        <v>0</v>
      </c>
      <c r="K1499" s="4">
        <v>0</v>
      </c>
      <c r="L1499" s="4">
        <v>9757.3469999999998</v>
      </c>
      <c r="M1499" s="4">
        <v>9757.3469999999998</v>
      </c>
      <c r="N1499" s="4">
        <v>9757.3469999999998</v>
      </c>
      <c r="O1499" s="4">
        <v>9757.3469999999998</v>
      </c>
      <c r="P1499" s="4">
        <v>163822</v>
      </c>
      <c r="Q1499" s="3" t="s">
        <v>26</v>
      </c>
      <c r="R1499" s="3">
        <v>0</v>
      </c>
      <c r="S1499" s="3" t="s">
        <v>406</v>
      </c>
      <c r="T1499" s="3" t="s">
        <v>647</v>
      </c>
      <c r="U1499" s="3">
        <v>0</v>
      </c>
      <c r="V1499" s="3">
        <v>33</v>
      </c>
      <c r="W1499" s="3">
        <v>54</v>
      </c>
    </row>
    <row r="1500" spans="1:23" ht="11.25" customHeight="1" x14ac:dyDescent="0.25">
      <c r="A1500" s="3" t="s">
        <v>56</v>
      </c>
      <c r="B1500" s="3" t="s">
        <v>22</v>
      </c>
      <c r="C1500" s="3" t="s">
        <v>23</v>
      </c>
      <c r="D1500" s="3" t="s">
        <v>24</v>
      </c>
      <c r="E1500" s="3" t="s">
        <v>31</v>
      </c>
      <c r="F1500" s="3" t="s">
        <v>25</v>
      </c>
      <c r="G1500" s="3" t="s">
        <v>25</v>
      </c>
      <c r="H1500" s="3" t="s">
        <v>25</v>
      </c>
      <c r="I1500" s="6">
        <v>44652</v>
      </c>
      <c r="J1500" s="4">
        <v>0</v>
      </c>
      <c r="K1500" s="4">
        <v>0</v>
      </c>
      <c r="L1500" s="4">
        <v>9757.3469999999998</v>
      </c>
      <c r="M1500" s="4">
        <v>9757.3469999999998</v>
      </c>
      <c r="N1500" s="4">
        <v>9757.3469999999998</v>
      </c>
      <c r="O1500" s="4">
        <v>9757.3469999999998</v>
      </c>
      <c r="P1500" s="4">
        <v>163822</v>
      </c>
      <c r="Q1500" s="3" t="s">
        <v>26</v>
      </c>
      <c r="R1500" s="3">
        <v>0</v>
      </c>
      <c r="S1500" s="3" t="s">
        <v>407</v>
      </c>
      <c r="T1500" s="3" t="s">
        <v>648</v>
      </c>
      <c r="U1500" s="3">
        <v>0</v>
      </c>
      <c r="V1500" s="3">
        <v>33</v>
      </c>
      <c r="W1500" s="3">
        <v>54</v>
      </c>
    </row>
    <row r="1501" spans="1:23" ht="11.25" customHeight="1" x14ac:dyDescent="0.25">
      <c r="A1501" s="3" t="s">
        <v>21</v>
      </c>
      <c r="B1501" s="3" t="s">
        <v>22</v>
      </c>
      <c r="C1501" s="3" t="s">
        <v>23</v>
      </c>
      <c r="D1501" s="3" t="s">
        <v>24</v>
      </c>
      <c r="E1501" s="3" t="s">
        <v>32</v>
      </c>
      <c r="F1501" s="3" t="s">
        <v>25</v>
      </c>
      <c r="G1501" s="3" t="s">
        <v>25</v>
      </c>
      <c r="H1501" s="3" t="s">
        <v>25</v>
      </c>
      <c r="I1501" s="6">
        <v>44317</v>
      </c>
      <c r="J1501" s="4">
        <v>0</v>
      </c>
      <c r="K1501" s="4">
        <v>0</v>
      </c>
      <c r="L1501" s="4">
        <v>1251.383</v>
      </c>
      <c r="M1501" s="4">
        <v>1251.383</v>
      </c>
      <c r="N1501" s="4">
        <v>1251.383</v>
      </c>
      <c r="O1501" s="4">
        <v>1251.383</v>
      </c>
      <c r="P1501" s="4">
        <v>13300</v>
      </c>
      <c r="Q1501" s="3" t="s">
        <v>26</v>
      </c>
      <c r="R1501" s="3">
        <v>0</v>
      </c>
      <c r="S1501" s="3" t="s">
        <v>408</v>
      </c>
      <c r="T1501" s="3" t="s">
        <v>649</v>
      </c>
      <c r="U1501" s="3">
        <v>0</v>
      </c>
      <c r="V1501" s="3">
        <v>34</v>
      </c>
      <c r="W1501" s="3">
        <v>55</v>
      </c>
    </row>
    <row r="1502" spans="1:23" ht="11.25" customHeight="1" x14ac:dyDescent="0.25">
      <c r="A1502" s="3" t="s">
        <v>21</v>
      </c>
      <c r="B1502" s="3" t="s">
        <v>22</v>
      </c>
      <c r="C1502" s="3" t="s">
        <v>23</v>
      </c>
      <c r="D1502" s="3" t="s">
        <v>24</v>
      </c>
      <c r="E1502" s="3" t="s">
        <v>32</v>
      </c>
      <c r="F1502" s="3" t="s">
        <v>25</v>
      </c>
      <c r="G1502" s="3" t="s">
        <v>25</v>
      </c>
      <c r="H1502" s="3" t="s">
        <v>25</v>
      </c>
      <c r="I1502" s="6">
        <v>44348</v>
      </c>
      <c r="J1502" s="4">
        <v>0</v>
      </c>
      <c r="K1502" s="4">
        <v>0</v>
      </c>
      <c r="L1502" s="4">
        <v>1007.394</v>
      </c>
      <c r="M1502" s="4">
        <v>1007.394</v>
      </c>
      <c r="N1502" s="4">
        <v>1007.394</v>
      </c>
      <c r="O1502" s="4">
        <v>1007.394</v>
      </c>
      <c r="P1502" s="4">
        <v>11410</v>
      </c>
      <c r="Q1502" s="3" t="s">
        <v>26</v>
      </c>
      <c r="R1502" s="3">
        <v>0</v>
      </c>
      <c r="S1502" s="3" t="s">
        <v>409</v>
      </c>
      <c r="T1502" s="3" t="s">
        <v>650</v>
      </c>
      <c r="U1502" s="3">
        <v>0</v>
      </c>
      <c r="V1502" s="3">
        <v>34</v>
      </c>
      <c r="W1502" s="3">
        <v>55</v>
      </c>
    </row>
    <row r="1503" spans="1:23" ht="11.25" customHeight="1" x14ac:dyDescent="0.25">
      <c r="A1503" s="3" t="s">
        <v>21</v>
      </c>
      <c r="B1503" s="3" t="s">
        <v>22</v>
      </c>
      <c r="C1503" s="3" t="s">
        <v>23</v>
      </c>
      <c r="D1503" s="3" t="s">
        <v>24</v>
      </c>
      <c r="E1503" s="3" t="s">
        <v>32</v>
      </c>
      <c r="F1503" s="3" t="s">
        <v>25</v>
      </c>
      <c r="G1503" s="3" t="s">
        <v>25</v>
      </c>
      <c r="H1503" s="3" t="s">
        <v>25</v>
      </c>
      <c r="I1503" s="6">
        <v>44378</v>
      </c>
      <c r="J1503" s="4">
        <v>0</v>
      </c>
      <c r="K1503" s="4">
        <v>0</v>
      </c>
      <c r="L1503" s="4">
        <v>777.51199999999994</v>
      </c>
      <c r="M1503" s="4">
        <v>777.51199999999994</v>
      </c>
      <c r="N1503" s="4">
        <v>777.51199999999994</v>
      </c>
      <c r="O1503" s="4">
        <v>777.51199999999994</v>
      </c>
      <c r="P1503" s="4">
        <v>8641</v>
      </c>
      <c r="Q1503" s="3" t="s">
        <v>26</v>
      </c>
      <c r="R1503" s="3">
        <v>0</v>
      </c>
      <c r="S1503" s="3" t="s">
        <v>410</v>
      </c>
      <c r="T1503" s="3" t="s">
        <v>651</v>
      </c>
      <c r="U1503" s="3">
        <v>0</v>
      </c>
      <c r="V1503" s="3">
        <v>34</v>
      </c>
      <c r="W1503" s="3">
        <v>55</v>
      </c>
    </row>
    <row r="1504" spans="1:23" ht="11.25" customHeight="1" x14ac:dyDescent="0.25">
      <c r="A1504" s="3" t="s">
        <v>27</v>
      </c>
      <c r="B1504" s="3" t="s">
        <v>22</v>
      </c>
      <c r="C1504" s="3" t="s">
        <v>23</v>
      </c>
      <c r="D1504" s="3" t="s">
        <v>24</v>
      </c>
      <c r="E1504" s="3" t="s">
        <v>32</v>
      </c>
      <c r="F1504" s="3" t="s">
        <v>25</v>
      </c>
      <c r="G1504" s="3" t="s">
        <v>25</v>
      </c>
      <c r="H1504" s="3" t="s">
        <v>25</v>
      </c>
      <c r="I1504" s="6">
        <v>44378</v>
      </c>
      <c r="J1504" s="4">
        <v>0</v>
      </c>
      <c r="K1504" s="4">
        <v>0</v>
      </c>
      <c r="L1504" s="4">
        <v>-1012.818</v>
      </c>
      <c r="M1504" s="4">
        <v>-1012.818</v>
      </c>
      <c r="N1504" s="4">
        <v>-1012.818</v>
      </c>
      <c r="O1504" s="4">
        <v>-1012.818</v>
      </c>
      <c r="P1504" s="4">
        <v>-41</v>
      </c>
      <c r="Q1504" s="3" t="s">
        <v>26</v>
      </c>
      <c r="R1504" s="3">
        <v>0</v>
      </c>
      <c r="S1504" s="3" t="s">
        <v>410</v>
      </c>
      <c r="T1504" s="3" t="s">
        <v>651</v>
      </c>
      <c r="U1504" s="3">
        <v>0</v>
      </c>
      <c r="V1504" s="3">
        <v>34</v>
      </c>
      <c r="W1504" s="3">
        <v>55</v>
      </c>
    </row>
    <row r="1505" spans="1:23" ht="11.25" customHeight="1" x14ac:dyDescent="0.25">
      <c r="A1505" s="3" t="s">
        <v>21</v>
      </c>
      <c r="B1505" s="3" t="s">
        <v>22</v>
      </c>
      <c r="C1505" s="3" t="s">
        <v>23</v>
      </c>
      <c r="D1505" s="3" t="s">
        <v>24</v>
      </c>
      <c r="E1505" s="3" t="s">
        <v>32</v>
      </c>
      <c r="F1505" s="3" t="s">
        <v>25</v>
      </c>
      <c r="G1505" s="3" t="s">
        <v>25</v>
      </c>
      <c r="H1505" s="3" t="s">
        <v>25</v>
      </c>
      <c r="I1505" s="6">
        <v>44409</v>
      </c>
      <c r="J1505" s="4">
        <v>0</v>
      </c>
      <c r="K1505" s="4">
        <v>0</v>
      </c>
      <c r="L1505" s="4">
        <v>721.98299999999995</v>
      </c>
      <c r="M1505" s="4">
        <v>721.98299999999995</v>
      </c>
      <c r="N1505" s="4">
        <v>721.98299999999995</v>
      </c>
      <c r="O1505" s="4">
        <v>721.98299999999995</v>
      </c>
      <c r="P1505" s="4">
        <v>7999</v>
      </c>
      <c r="Q1505" s="3" t="s">
        <v>26</v>
      </c>
      <c r="R1505" s="3">
        <v>0</v>
      </c>
      <c r="S1505" s="3" t="s">
        <v>411</v>
      </c>
      <c r="T1505" s="3" t="s">
        <v>652</v>
      </c>
      <c r="U1505" s="3">
        <v>0</v>
      </c>
      <c r="V1505" s="3">
        <v>34</v>
      </c>
      <c r="W1505" s="3">
        <v>55</v>
      </c>
    </row>
    <row r="1506" spans="1:23" ht="11.25" customHeight="1" x14ac:dyDescent="0.25">
      <c r="A1506" s="3" t="s">
        <v>21</v>
      </c>
      <c r="B1506" s="3" t="s">
        <v>22</v>
      </c>
      <c r="C1506" s="3" t="s">
        <v>23</v>
      </c>
      <c r="D1506" s="3" t="s">
        <v>24</v>
      </c>
      <c r="E1506" s="3" t="s">
        <v>32</v>
      </c>
      <c r="F1506" s="3" t="s">
        <v>25</v>
      </c>
      <c r="G1506" s="3" t="s">
        <v>25</v>
      </c>
      <c r="H1506" s="3" t="s">
        <v>25</v>
      </c>
      <c r="I1506" s="6">
        <v>44440</v>
      </c>
      <c r="J1506" s="4">
        <v>0</v>
      </c>
      <c r="K1506" s="4">
        <v>0</v>
      </c>
      <c r="L1506" s="4">
        <v>886.71199999999999</v>
      </c>
      <c r="M1506" s="4">
        <v>886.71199999999999</v>
      </c>
      <c r="N1506" s="4">
        <v>886.71199999999999</v>
      </c>
      <c r="O1506" s="4">
        <v>886.71199999999999</v>
      </c>
      <c r="P1506" s="4">
        <v>9854</v>
      </c>
      <c r="Q1506" s="3" t="s">
        <v>26</v>
      </c>
      <c r="R1506" s="3">
        <v>0</v>
      </c>
      <c r="S1506" s="3" t="s">
        <v>412</v>
      </c>
      <c r="T1506" s="3" t="s">
        <v>653</v>
      </c>
      <c r="U1506" s="3">
        <v>0</v>
      </c>
      <c r="V1506" s="3">
        <v>34</v>
      </c>
      <c r="W1506" s="3">
        <v>55</v>
      </c>
    </row>
    <row r="1507" spans="1:23" ht="11.25" customHeight="1" x14ac:dyDescent="0.25">
      <c r="A1507" s="3" t="s">
        <v>21</v>
      </c>
      <c r="B1507" s="3" t="s">
        <v>22</v>
      </c>
      <c r="C1507" s="3" t="s">
        <v>23</v>
      </c>
      <c r="D1507" s="3" t="s">
        <v>24</v>
      </c>
      <c r="E1507" s="3" t="s">
        <v>32</v>
      </c>
      <c r="F1507" s="3" t="s">
        <v>25</v>
      </c>
      <c r="G1507" s="3" t="s">
        <v>25</v>
      </c>
      <c r="H1507" s="3" t="s">
        <v>25</v>
      </c>
      <c r="I1507" s="6">
        <v>44470</v>
      </c>
      <c r="J1507" s="4">
        <v>0</v>
      </c>
      <c r="K1507" s="4">
        <v>0</v>
      </c>
      <c r="L1507" s="4">
        <v>1087.183</v>
      </c>
      <c r="M1507" s="4">
        <v>1087.183</v>
      </c>
      <c r="N1507" s="4">
        <v>1087.183</v>
      </c>
      <c r="O1507" s="4">
        <v>1087.183</v>
      </c>
      <c r="P1507" s="4">
        <v>12032</v>
      </c>
      <c r="Q1507" s="3" t="s">
        <v>26</v>
      </c>
      <c r="R1507" s="3">
        <v>0</v>
      </c>
      <c r="S1507" s="3" t="s">
        <v>413</v>
      </c>
      <c r="T1507" s="3" t="s">
        <v>654</v>
      </c>
      <c r="U1507" s="3">
        <v>0</v>
      </c>
      <c r="V1507" s="3">
        <v>34</v>
      </c>
      <c r="W1507" s="3">
        <v>55</v>
      </c>
    </row>
    <row r="1508" spans="1:23" ht="11.25" customHeight="1" x14ac:dyDescent="0.25">
      <c r="A1508" s="3" t="s">
        <v>21</v>
      </c>
      <c r="B1508" s="3" t="s">
        <v>22</v>
      </c>
      <c r="C1508" s="3" t="s">
        <v>23</v>
      </c>
      <c r="D1508" s="3" t="s">
        <v>24</v>
      </c>
      <c r="E1508" s="3" t="s">
        <v>32</v>
      </c>
      <c r="F1508" s="3" t="s">
        <v>25</v>
      </c>
      <c r="G1508" s="3" t="s">
        <v>25</v>
      </c>
      <c r="H1508" s="3" t="s">
        <v>25</v>
      </c>
      <c r="I1508" s="6">
        <v>44501</v>
      </c>
      <c r="J1508" s="4">
        <v>0</v>
      </c>
      <c r="K1508" s="4">
        <v>0</v>
      </c>
      <c r="L1508" s="4">
        <v>1353.7639999999999</v>
      </c>
      <c r="M1508" s="4">
        <v>1353.7639999999999</v>
      </c>
      <c r="N1508" s="4">
        <v>1353.7639999999999</v>
      </c>
      <c r="O1508" s="4">
        <v>1353.7639999999999</v>
      </c>
      <c r="P1508" s="4">
        <v>14736</v>
      </c>
      <c r="Q1508" s="3" t="s">
        <v>26</v>
      </c>
      <c r="R1508" s="3">
        <v>0</v>
      </c>
      <c r="S1508" s="3" t="s">
        <v>414</v>
      </c>
      <c r="T1508" s="3" t="s">
        <v>655</v>
      </c>
      <c r="U1508" s="3">
        <v>0</v>
      </c>
      <c r="V1508" s="3">
        <v>34</v>
      </c>
      <c r="W1508" s="3">
        <v>55</v>
      </c>
    </row>
    <row r="1509" spans="1:23" ht="11.25" customHeight="1" x14ac:dyDescent="0.25">
      <c r="A1509" s="3" t="s">
        <v>21</v>
      </c>
      <c r="B1509" s="3" t="s">
        <v>22</v>
      </c>
      <c r="C1509" s="3" t="s">
        <v>23</v>
      </c>
      <c r="D1509" s="3" t="s">
        <v>24</v>
      </c>
      <c r="E1509" s="3" t="s">
        <v>32</v>
      </c>
      <c r="F1509" s="3" t="s">
        <v>25</v>
      </c>
      <c r="G1509" s="3" t="s">
        <v>25</v>
      </c>
      <c r="H1509" s="3" t="s">
        <v>25</v>
      </c>
      <c r="I1509" s="6">
        <v>44531</v>
      </c>
      <c r="J1509" s="4">
        <v>0</v>
      </c>
      <c r="K1509" s="4">
        <v>0</v>
      </c>
      <c r="L1509" s="4">
        <v>1757.1959999999999</v>
      </c>
      <c r="M1509" s="4">
        <v>1757.1959999999999</v>
      </c>
      <c r="N1509" s="4">
        <v>1757.1959999999999</v>
      </c>
      <c r="O1509" s="4">
        <v>1757.1959999999999</v>
      </c>
      <c r="P1509" s="4">
        <v>17963</v>
      </c>
      <c r="Q1509" s="3" t="s">
        <v>26</v>
      </c>
      <c r="R1509" s="3">
        <v>0</v>
      </c>
      <c r="S1509" s="3" t="s">
        <v>415</v>
      </c>
      <c r="T1509" s="3" t="s">
        <v>656</v>
      </c>
      <c r="U1509" s="3">
        <v>0</v>
      </c>
      <c r="V1509" s="3">
        <v>34</v>
      </c>
      <c r="W1509" s="3">
        <v>55</v>
      </c>
    </row>
    <row r="1510" spans="1:23" ht="11.25" customHeight="1" x14ac:dyDescent="0.25">
      <c r="A1510" s="3" t="s">
        <v>21</v>
      </c>
      <c r="B1510" s="3" t="s">
        <v>22</v>
      </c>
      <c r="C1510" s="3" t="s">
        <v>23</v>
      </c>
      <c r="D1510" s="3" t="s">
        <v>24</v>
      </c>
      <c r="E1510" s="3" t="s">
        <v>32</v>
      </c>
      <c r="F1510" s="3" t="s">
        <v>25</v>
      </c>
      <c r="G1510" s="3" t="s">
        <v>25</v>
      </c>
      <c r="H1510" s="3" t="s">
        <v>25</v>
      </c>
      <c r="I1510" s="6">
        <v>44562</v>
      </c>
      <c r="J1510" s="4">
        <v>0</v>
      </c>
      <c r="K1510" s="4">
        <v>0</v>
      </c>
      <c r="L1510" s="4">
        <v>1811.5360000000001</v>
      </c>
      <c r="M1510" s="4">
        <v>1811.5360000000001</v>
      </c>
      <c r="N1510" s="4">
        <v>1811.5360000000001</v>
      </c>
      <c r="O1510" s="4">
        <v>1811.5360000000001</v>
      </c>
      <c r="P1510" s="4">
        <v>18068</v>
      </c>
      <c r="Q1510" s="3" t="s">
        <v>26</v>
      </c>
      <c r="R1510" s="3">
        <v>0</v>
      </c>
      <c r="S1510" s="3" t="s">
        <v>416</v>
      </c>
      <c r="T1510" s="3" t="s">
        <v>657</v>
      </c>
      <c r="U1510" s="3">
        <v>0</v>
      </c>
      <c r="V1510" s="3">
        <v>34</v>
      </c>
      <c r="W1510" s="3">
        <v>55</v>
      </c>
    </row>
    <row r="1511" spans="1:23" ht="11.25" customHeight="1" x14ac:dyDescent="0.25">
      <c r="A1511" s="3" t="s">
        <v>21</v>
      </c>
      <c r="B1511" s="3" t="s">
        <v>22</v>
      </c>
      <c r="C1511" s="3" t="s">
        <v>23</v>
      </c>
      <c r="D1511" s="3" t="s">
        <v>24</v>
      </c>
      <c r="E1511" s="3" t="s">
        <v>32</v>
      </c>
      <c r="F1511" s="3" t="s">
        <v>25</v>
      </c>
      <c r="G1511" s="3" t="s">
        <v>25</v>
      </c>
      <c r="H1511" s="3" t="s">
        <v>25</v>
      </c>
      <c r="I1511" s="6">
        <v>44593</v>
      </c>
      <c r="J1511" s="4">
        <v>0</v>
      </c>
      <c r="K1511" s="4">
        <v>0</v>
      </c>
      <c r="L1511" s="4">
        <v>1773.5150000000001</v>
      </c>
      <c r="M1511" s="4">
        <v>1773.5150000000001</v>
      </c>
      <c r="N1511" s="4">
        <v>1773.5150000000001</v>
      </c>
      <c r="O1511" s="4">
        <v>1773.5150000000001</v>
      </c>
      <c r="P1511" s="4">
        <v>17479</v>
      </c>
      <c r="Q1511" s="3" t="s">
        <v>26</v>
      </c>
      <c r="R1511" s="3">
        <v>0</v>
      </c>
      <c r="S1511" s="3" t="s">
        <v>417</v>
      </c>
      <c r="T1511" s="3" t="s">
        <v>658</v>
      </c>
      <c r="U1511" s="3">
        <v>0</v>
      </c>
      <c r="V1511" s="3">
        <v>34</v>
      </c>
      <c r="W1511" s="3">
        <v>55</v>
      </c>
    </row>
    <row r="1512" spans="1:23" ht="11.25" customHeight="1" x14ac:dyDescent="0.25">
      <c r="A1512" s="3" t="s">
        <v>21</v>
      </c>
      <c r="B1512" s="3" t="s">
        <v>22</v>
      </c>
      <c r="C1512" s="3" t="s">
        <v>23</v>
      </c>
      <c r="D1512" s="3" t="s">
        <v>24</v>
      </c>
      <c r="E1512" s="3" t="s">
        <v>32</v>
      </c>
      <c r="F1512" s="3" t="s">
        <v>25</v>
      </c>
      <c r="G1512" s="3" t="s">
        <v>25</v>
      </c>
      <c r="H1512" s="3" t="s">
        <v>25</v>
      </c>
      <c r="I1512" s="6">
        <v>44621</v>
      </c>
      <c r="J1512" s="4">
        <v>0</v>
      </c>
      <c r="K1512" s="4">
        <v>0</v>
      </c>
      <c r="L1512" s="4">
        <v>2266.096</v>
      </c>
      <c r="M1512" s="4">
        <v>2266.096</v>
      </c>
      <c r="N1512" s="4">
        <v>2266.096</v>
      </c>
      <c r="O1512" s="4">
        <v>2266.096</v>
      </c>
      <c r="P1512" s="4">
        <v>23101</v>
      </c>
      <c r="Q1512" s="3" t="s">
        <v>26</v>
      </c>
      <c r="R1512" s="3">
        <v>0</v>
      </c>
      <c r="S1512" s="3" t="s">
        <v>418</v>
      </c>
      <c r="T1512" s="3" t="s">
        <v>659</v>
      </c>
      <c r="U1512" s="3">
        <v>0</v>
      </c>
      <c r="V1512" s="3">
        <v>34</v>
      </c>
      <c r="W1512" s="3">
        <v>55</v>
      </c>
    </row>
    <row r="1513" spans="1:23" ht="11.25" customHeight="1" x14ac:dyDescent="0.25">
      <c r="A1513" s="3" t="s">
        <v>56</v>
      </c>
      <c r="B1513" s="3" t="s">
        <v>22</v>
      </c>
      <c r="C1513" s="3" t="s">
        <v>23</v>
      </c>
      <c r="D1513" s="3" t="s">
        <v>24</v>
      </c>
      <c r="E1513" s="3" t="s">
        <v>32</v>
      </c>
      <c r="F1513" s="3" t="s">
        <v>25</v>
      </c>
      <c r="G1513" s="3" t="s">
        <v>25</v>
      </c>
      <c r="H1513" s="3" t="s">
        <v>25</v>
      </c>
      <c r="I1513" s="6">
        <v>44652</v>
      </c>
      <c r="J1513" s="4">
        <v>0</v>
      </c>
      <c r="K1513" s="4">
        <v>0</v>
      </c>
      <c r="L1513" s="4">
        <v>2266.096</v>
      </c>
      <c r="M1513" s="4">
        <v>2266.096</v>
      </c>
      <c r="N1513" s="4">
        <v>2266.096</v>
      </c>
      <c r="O1513" s="4">
        <v>2266.096</v>
      </c>
      <c r="P1513" s="4">
        <v>23101</v>
      </c>
      <c r="Q1513" s="3" t="s">
        <v>26</v>
      </c>
      <c r="R1513" s="3">
        <v>0</v>
      </c>
      <c r="S1513" s="3" t="s">
        <v>419</v>
      </c>
      <c r="T1513" s="3" t="s">
        <v>660</v>
      </c>
      <c r="U1513" s="3">
        <v>0</v>
      </c>
      <c r="V1513" s="3">
        <v>34</v>
      </c>
      <c r="W1513" s="3">
        <v>55</v>
      </c>
    </row>
    <row r="1514" spans="1:23" ht="11.25" customHeight="1" x14ac:dyDescent="0.25">
      <c r="A1514" s="3" t="s">
        <v>21</v>
      </c>
      <c r="B1514" s="3" t="s">
        <v>44</v>
      </c>
      <c r="C1514" s="3" t="s">
        <v>37</v>
      </c>
      <c r="D1514" s="3" t="s">
        <v>45</v>
      </c>
      <c r="E1514" s="3" t="s">
        <v>25</v>
      </c>
      <c r="F1514" s="3" t="s">
        <v>25</v>
      </c>
      <c r="G1514" s="3" t="s">
        <v>25</v>
      </c>
      <c r="H1514" s="3" t="s">
        <v>36</v>
      </c>
      <c r="I1514" s="6">
        <v>44317</v>
      </c>
      <c r="J1514" s="4">
        <v>0</v>
      </c>
      <c r="K1514" s="4">
        <v>0</v>
      </c>
      <c r="L1514" s="4">
        <v>1.2929999999999999</v>
      </c>
      <c r="M1514" s="4">
        <v>1.2929999999999999</v>
      </c>
      <c r="N1514" s="4">
        <v>1.2929999999999999</v>
      </c>
      <c r="O1514" s="4">
        <v>1.2929999999999999</v>
      </c>
      <c r="P1514" s="4">
        <v>0</v>
      </c>
      <c r="Q1514" s="3" t="s">
        <v>26</v>
      </c>
      <c r="R1514" s="3">
        <v>0</v>
      </c>
      <c r="S1514" s="3" t="s">
        <v>420</v>
      </c>
      <c r="T1514" s="3" t="s">
        <v>661</v>
      </c>
      <c r="U1514" s="3">
        <v>0</v>
      </c>
      <c r="V1514" s="3">
        <v>21</v>
      </c>
      <c r="W1514" s="3">
        <v>61</v>
      </c>
    </row>
    <row r="1515" spans="1:23" ht="11.25" customHeight="1" x14ac:dyDescent="0.25">
      <c r="A1515" s="3" t="s">
        <v>21</v>
      </c>
      <c r="B1515" s="3" t="s">
        <v>44</v>
      </c>
      <c r="C1515" s="3" t="s">
        <v>37</v>
      </c>
      <c r="D1515" s="3" t="s">
        <v>45</v>
      </c>
      <c r="E1515" s="3" t="s">
        <v>25</v>
      </c>
      <c r="F1515" s="3" t="s">
        <v>25</v>
      </c>
      <c r="G1515" s="3" t="s">
        <v>25</v>
      </c>
      <c r="H1515" s="3" t="s">
        <v>36</v>
      </c>
      <c r="I1515" s="6">
        <v>44348</v>
      </c>
      <c r="J1515" s="4">
        <v>0</v>
      </c>
      <c r="K1515" s="4">
        <v>0</v>
      </c>
      <c r="L1515" s="4">
        <v>0.1</v>
      </c>
      <c r="M1515" s="4">
        <v>0.1</v>
      </c>
      <c r="N1515" s="4">
        <v>0.1</v>
      </c>
      <c r="O1515" s="4">
        <v>0.1</v>
      </c>
      <c r="P1515" s="4">
        <v>0</v>
      </c>
      <c r="Q1515" s="3" t="s">
        <v>26</v>
      </c>
      <c r="R1515" s="3">
        <v>0</v>
      </c>
      <c r="S1515" s="3" t="s">
        <v>421</v>
      </c>
      <c r="T1515" s="3" t="s">
        <v>662</v>
      </c>
      <c r="U1515" s="3">
        <v>0</v>
      </c>
      <c r="V1515" s="3">
        <v>21</v>
      </c>
      <c r="W1515" s="3">
        <v>61</v>
      </c>
    </row>
    <row r="1516" spans="1:23" ht="11.25" customHeight="1" x14ac:dyDescent="0.25">
      <c r="A1516" s="3" t="s">
        <v>21</v>
      </c>
      <c r="B1516" s="3" t="s">
        <v>44</v>
      </c>
      <c r="C1516" s="3" t="s">
        <v>37</v>
      </c>
      <c r="D1516" s="3" t="s">
        <v>45</v>
      </c>
      <c r="E1516" s="3" t="s">
        <v>25</v>
      </c>
      <c r="F1516" s="3" t="s">
        <v>25</v>
      </c>
      <c r="G1516" s="3" t="s">
        <v>25</v>
      </c>
      <c r="H1516" s="3" t="s">
        <v>36</v>
      </c>
      <c r="I1516" s="6">
        <v>44378</v>
      </c>
      <c r="J1516" s="4">
        <v>0</v>
      </c>
      <c r="K1516" s="4">
        <v>0</v>
      </c>
      <c r="L1516" s="4">
        <v>0.1</v>
      </c>
      <c r="M1516" s="4">
        <v>0.1</v>
      </c>
      <c r="N1516" s="4">
        <v>0.1</v>
      </c>
      <c r="O1516" s="4">
        <v>0.1</v>
      </c>
      <c r="P1516" s="4">
        <v>0</v>
      </c>
      <c r="Q1516" s="3" t="s">
        <v>26</v>
      </c>
      <c r="R1516" s="3">
        <v>0</v>
      </c>
      <c r="S1516" s="3" t="s">
        <v>422</v>
      </c>
      <c r="T1516" s="3" t="s">
        <v>663</v>
      </c>
      <c r="U1516" s="3">
        <v>0</v>
      </c>
      <c r="V1516" s="3">
        <v>21</v>
      </c>
      <c r="W1516" s="3">
        <v>61</v>
      </c>
    </row>
    <row r="1517" spans="1:23" ht="11.25" customHeight="1" x14ac:dyDescent="0.25">
      <c r="A1517" s="3" t="s">
        <v>21</v>
      </c>
      <c r="B1517" s="3" t="s">
        <v>44</v>
      </c>
      <c r="C1517" s="3" t="s">
        <v>37</v>
      </c>
      <c r="D1517" s="3" t="s">
        <v>45</v>
      </c>
      <c r="E1517" s="3" t="s">
        <v>25</v>
      </c>
      <c r="F1517" s="3" t="s">
        <v>25</v>
      </c>
      <c r="G1517" s="3" t="s">
        <v>25</v>
      </c>
      <c r="H1517" s="3" t="s">
        <v>36</v>
      </c>
      <c r="I1517" s="6">
        <v>44409</v>
      </c>
      <c r="J1517" s="4">
        <v>0</v>
      </c>
      <c r="K1517" s="4">
        <v>0</v>
      </c>
      <c r="L1517" s="4">
        <v>0.1</v>
      </c>
      <c r="M1517" s="4">
        <v>0.1</v>
      </c>
      <c r="N1517" s="4">
        <v>0.1</v>
      </c>
      <c r="O1517" s="4">
        <v>0.1</v>
      </c>
      <c r="P1517" s="4">
        <v>0</v>
      </c>
      <c r="Q1517" s="3" t="s">
        <v>26</v>
      </c>
      <c r="R1517" s="3">
        <v>0</v>
      </c>
      <c r="S1517" s="3" t="s">
        <v>423</v>
      </c>
      <c r="T1517" s="3" t="s">
        <v>664</v>
      </c>
      <c r="U1517" s="3">
        <v>0</v>
      </c>
      <c r="V1517" s="3">
        <v>21</v>
      </c>
      <c r="W1517" s="3">
        <v>61</v>
      </c>
    </row>
    <row r="1518" spans="1:23" ht="11.25" customHeight="1" x14ac:dyDescent="0.25">
      <c r="A1518" s="3" t="s">
        <v>21</v>
      </c>
      <c r="B1518" s="3" t="s">
        <v>44</v>
      </c>
      <c r="C1518" s="3" t="s">
        <v>37</v>
      </c>
      <c r="D1518" s="3" t="s">
        <v>45</v>
      </c>
      <c r="E1518" s="3" t="s">
        <v>25</v>
      </c>
      <c r="F1518" s="3" t="s">
        <v>25</v>
      </c>
      <c r="G1518" s="3" t="s">
        <v>25</v>
      </c>
      <c r="H1518" s="3" t="s">
        <v>36</v>
      </c>
      <c r="I1518" s="6">
        <v>44470</v>
      </c>
      <c r="J1518" s="4">
        <v>0</v>
      </c>
      <c r="K1518" s="4">
        <v>0</v>
      </c>
      <c r="L1518" s="4">
        <v>1.0640000000000001</v>
      </c>
      <c r="M1518" s="4">
        <v>1.0640000000000001</v>
      </c>
      <c r="N1518" s="4">
        <v>1.0640000000000001</v>
      </c>
      <c r="O1518" s="4">
        <v>1.0640000000000001</v>
      </c>
      <c r="P1518" s="4">
        <v>0</v>
      </c>
      <c r="Q1518" s="3" t="s">
        <v>26</v>
      </c>
      <c r="R1518" s="3">
        <v>0</v>
      </c>
      <c r="S1518" s="3" t="s">
        <v>424</v>
      </c>
      <c r="T1518" s="3" t="s">
        <v>665</v>
      </c>
      <c r="U1518" s="3">
        <v>0</v>
      </c>
      <c r="V1518" s="3">
        <v>21</v>
      </c>
      <c r="W1518" s="3">
        <v>61</v>
      </c>
    </row>
    <row r="1519" spans="1:23" ht="11.25" customHeight="1" x14ac:dyDescent="0.25">
      <c r="A1519" s="3" t="s">
        <v>21</v>
      </c>
      <c r="B1519" s="3" t="s">
        <v>44</v>
      </c>
      <c r="C1519" s="3" t="s">
        <v>37</v>
      </c>
      <c r="D1519" s="3" t="s">
        <v>45</v>
      </c>
      <c r="E1519" s="3" t="s">
        <v>25</v>
      </c>
      <c r="F1519" s="3" t="s">
        <v>25</v>
      </c>
      <c r="G1519" s="3" t="s">
        <v>25</v>
      </c>
      <c r="H1519" s="3" t="s">
        <v>36</v>
      </c>
      <c r="I1519" s="6">
        <v>44501</v>
      </c>
      <c r="J1519" s="4">
        <v>0</v>
      </c>
      <c r="K1519" s="4">
        <v>0</v>
      </c>
      <c r="L1519" s="4">
        <v>1.5489999999999999</v>
      </c>
      <c r="M1519" s="4">
        <v>1.5489999999999999</v>
      </c>
      <c r="N1519" s="4">
        <v>1.5489999999999999</v>
      </c>
      <c r="O1519" s="4">
        <v>1.5489999999999999</v>
      </c>
      <c r="P1519" s="4">
        <v>0</v>
      </c>
      <c r="Q1519" s="3" t="s">
        <v>26</v>
      </c>
      <c r="R1519" s="3">
        <v>0</v>
      </c>
      <c r="S1519" s="3" t="s">
        <v>425</v>
      </c>
      <c r="T1519" s="3" t="s">
        <v>666</v>
      </c>
      <c r="U1519" s="3">
        <v>0</v>
      </c>
      <c r="V1519" s="3">
        <v>21</v>
      </c>
      <c r="W1519" s="3">
        <v>61</v>
      </c>
    </row>
    <row r="1520" spans="1:23" ht="11.25" customHeight="1" x14ac:dyDescent="0.25">
      <c r="A1520" s="3" t="s">
        <v>21</v>
      </c>
      <c r="B1520" s="3" t="s">
        <v>44</v>
      </c>
      <c r="C1520" s="3" t="s">
        <v>37</v>
      </c>
      <c r="D1520" s="3" t="s">
        <v>45</v>
      </c>
      <c r="E1520" s="3" t="s">
        <v>25</v>
      </c>
      <c r="F1520" s="3" t="s">
        <v>25</v>
      </c>
      <c r="G1520" s="3" t="s">
        <v>25</v>
      </c>
      <c r="H1520" s="3" t="s">
        <v>36</v>
      </c>
      <c r="I1520" s="6">
        <v>44531</v>
      </c>
      <c r="J1520" s="4">
        <v>0</v>
      </c>
      <c r="K1520" s="4">
        <v>0</v>
      </c>
      <c r="L1520" s="4">
        <v>1.798</v>
      </c>
      <c r="M1520" s="4">
        <v>1.798</v>
      </c>
      <c r="N1520" s="4">
        <v>1.798</v>
      </c>
      <c r="O1520" s="4">
        <v>1.798</v>
      </c>
      <c r="P1520" s="4">
        <v>0</v>
      </c>
      <c r="Q1520" s="3" t="s">
        <v>26</v>
      </c>
      <c r="R1520" s="3">
        <v>0</v>
      </c>
      <c r="S1520" s="3" t="s">
        <v>426</v>
      </c>
      <c r="T1520" s="3" t="s">
        <v>667</v>
      </c>
      <c r="U1520" s="3">
        <v>0</v>
      </c>
      <c r="V1520" s="3">
        <v>21</v>
      </c>
      <c r="W1520" s="3">
        <v>61</v>
      </c>
    </row>
    <row r="1521" spans="1:23" ht="11.25" customHeight="1" x14ac:dyDescent="0.25">
      <c r="A1521" s="3" t="s">
        <v>21</v>
      </c>
      <c r="B1521" s="3" t="s">
        <v>44</v>
      </c>
      <c r="C1521" s="3" t="s">
        <v>37</v>
      </c>
      <c r="D1521" s="3" t="s">
        <v>45</v>
      </c>
      <c r="E1521" s="3" t="s">
        <v>25</v>
      </c>
      <c r="F1521" s="3" t="s">
        <v>25</v>
      </c>
      <c r="G1521" s="3" t="s">
        <v>25</v>
      </c>
      <c r="H1521" s="3" t="s">
        <v>36</v>
      </c>
      <c r="I1521" s="6">
        <v>44562</v>
      </c>
      <c r="J1521" s="4">
        <v>0</v>
      </c>
      <c r="K1521" s="4">
        <v>0</v>
      </c>
      <c r="L1521" s="4">
        <v>0.55000000000000004</v>
      </c>
      <c r="M1521" s="4">
        <v>0.55000000000000004</v>
      </c>
      <c r="N1521" s="4">
        <v>0.55000000000000004</v>
      </c>
      <c r="O1521" s="4">
        <v>0.55000000000000004</v>
      </c>
      <c r="P1521" s="4">
        <v>0</v>
      </c>
      <c r="Q1521" s="3" t="s">
        <v>26</v>
      </c>
      <c r="R1521" s="3">
        <v>0</v>
      </c>
      <c r="S1521" s="3" t="s">
        <v>427</v>
      </c>
      <c r="T1521" s="3" t="s">
        <v>668</v>
      </c>
      <c r="U1521" s="3">
        <v>0</v>
      </c>
      <c r="V1521" s="3">
        <v>21</v>
      </c>
      <c r="W1521" s="3">
        <v>61</v>
      </c>
    </row>
    <row r="1522" spans="1:23" ht="11.25" customHeight="1" x14ac:dyDescent="0.25">
      <c r="A1522" s="3" t="s">
        <v>21</v>
      </c>
      <c r="B1522" s="3" t="s">
        <v>44</v>
      </c>
      <c r="C1522" s="3" t="s">
        <v>37</v>
      </c>
      <c r="D1522" s="3" t="s">
        <v>45</v>
      </c>
      <c r="E1522" s="3" t="s">
        <v>25</v>
      </c>
      <c r="F1522" s="3" t="s">
        <v>25</v>
      </c>
      <c r="G1522" s="3" t="s">
        <v>25</v>
      </c>
      <c r="H1522" s="3" t="s">
        <v>36</v>
      </c>
      <c r="I1522" s="6">
        <v>44593</v>
      </c>
      <c r="J1522" s="4">
        <v>0</v>
      </c>
      <c r="K1522" s="4">
        <v>0</v>
      </c>
      <c r="L1522" s="4">
        <v>0.38300000000000001</v>
      </c>
      <c r="M1522" s="4">
        <v>0.38300000000000001</v>
      </c>
      <c r="N1522" s="4">
        <v>0.38300000000000001</v>
      </c>
      <c r="O1522" s="4">
        <v>0.38300000000000001</v>
      </c>
      <c r="P1522" s="4">
        <v>0</v>
      </c>
      <c r="Q1522" s="3" t="s">
        <v>26</v>
      </c>
      <c r="R1522" s="3">
        <v>0</v>
      </c>
      <c r="S1522" s="3" t="s">
        <v>428</v>
      </c>
      <c r="T1522" s="3" t="s">
        <v>669</v>
      </c>
      <c r="U1522" s="3">
        <v>0</v>
      </c>
      <c r="V1522" s="3">
        <v>21</v>
      </c>
      <c r="W1522" s="3">
        <v>61</v>
      </c>
    </row>
    <row r="1523" spans="1:23" ht="11.25" customHeight="1" x14ac:dyDescent="0.25">
      <c r="A1523" s="3" t="s">
        <v>21</v>
      </c>
      <c r="B1523" s="3" t="s">
        <v>44</v>
      </c>
      <c r="C1523" s="3" t="s">
        <v>37</v>
      </c>
      <c r="D1523" s="3" t="s">
        <v>45</v>
      </c>
      <c r="E1523" s="3" t="s">
        <v>25</v>
      </c>
      <c r="F1523" s="3" t="s">
        <v>25</v>
      </c>
      <c r="G1523" s="3" t="s">
        <v>25</v>
      </c>
      <c r="H1523" s="3" t="s">
        <v>36</v>
      </c>
      <c r="I1523" s="6">
        <v>44621</v>
      </c>
      <c r="J1523" s="4">
        <v>0</v>
      </c>
      <c r="K1523" s="4">
        <v>0</v>
      </c>
      <c r="L1523" s="4">
        <v>1.01</v>
      </c>
      <c r="M1523" s="4">
        <v>1.01</v>
      </c>
      <c r="N1523" s="4">
        <v>1.01</v>
      </c>
      <c r="O1523" s="4">
        <v>1.01</v>
      </c>
      <c r="P1523" s="4">
        <v>0</v>
      </c>
      <c r="Q1523" s="3" t="s">
        <v>26</v>
      </c>
      <c r="R1523" s="3">
        <v>0</v>
      </c>
      <c r="S1523" s="3" t="s">
        <v>429</v>
      </c>
      <c r="T1523" s="3" t="s">
        <v>670</v>
      </c>
      <c r="U1523" s="3">
        <v>0</v>
      </c>
      <c r="V1523" s="3">
        <v>21</v>
      </c>
      <c r="W1523" s="3">
        <v>61</v>
      </c>
    </row>
    <row r="1524" spans="1:23" ht="11.25" customHeight="1" x14ac:dyDescent="0.25">
      <c r="A1524" s="3" t="s">
        <v>56</v>
      </c>
      <c r="B1524" s="3" t="s">
        <v>44</v>
      </c>
      <c r="C1524" s="3" t="s">
        <v>37</v>
      </c>
      <c r="D1524" s="3" t="s">
        <v>45</v>
      </c>
      <c r="E1524" s="3" t="s">
        <v>25</v>
      </c>
      <c r="F1524" s="3" t="s">
        <v>25</v>
      </c>
      <c r="G1524" s="3" t="s">
        <v>25</v>
      </c>
      <c r="H1524" s="3" t="s">
        <v>36</v>
      </c>
      <c r="I1524" s="6">
        <v>44652</v>
      </c>
      <c r="J1524" s="4">
        <v>0</v>
      </c>
      <c r="K1524" s="4">
        <v>0</v>
      </c>
      <c r="L1524" s="4">
        <v>1.01</v>
      </c>
      <c r="M1524" s="4">
        <v>1.01</v>
      </c>
      <c r="N1524" s="4">
        <v>1.01</v>
      </c>
      <c r="O1524" s="4">
        <v>1.01</v>
      </c>
      <c r="P1524" s="4">
        <v>0</v>
      </c>
      <c r="Q1524" s="3" t="s">
        <v>26</v>
      </c>
      <c r="R1524" s="3">
        <v>0</v>
      </c>
      <c r="S1524" s="3" t="s">
        <v>430</v>
      </c>
      <c r="T1524" s="3" t="s">
        <v>671</v>
      </c>
      <c r="U1524" s="3">
        <v>0</v>
      </c>
      <c r="V1524" s="3">
        <v>21</v>
      </c>
      <c r="W1524" s="3">
        <v>61</v>
      </c>
    </row>
    <row r="1525" spans="1:23" ht="11.25" customHeight="1" x14ac:dyDescent="0.25">
      <c r="A1525" s="3" t="s">
        <v>21</v>
      </c>
      <c r="B1525" s="3" t="s">
        <v>44</v>
      </c>
      <c r="C1525" s="3" t="s">
        <v>37</v>
      </c>
      <c r="D1525" s="3" t="s">
        <v>45</v>
      </c>
      <c r="E1525" s="3" t="s">
        <v>25</v>
      </c>
      <c r="F1525" s="3" t="s">
        <v>25</v>
      </c>
      <c r="G1525" s="3" t="s">
        <v>25</v>
      </c>
      <c r="H1525" s="3" t="s">
        <v>38</v>
      </c>
      <c r="I1525" s="6">
        <v>44317</v>
      </c>
      <c r="J1525" s="4">
        <v>0</v>
      </c>
      <c r="K1525" s="4">
        <v>0</v>
      </c>
      <c r="L1525" s="4">
        <v>6.0000000000000001E-3</v>
      </c>
      <c r="M1525" s="4">
        <v>6.0000000000000001E-3</v>
      </c>
      <c r="N1525" s="4">
        <v>6.0000000000000001E-3</v>
      </c>
      <c r="O1525" s="4">
        <v>6.0000000000000001E-3</v>
      </c>
      <c r="P1525" s="4">
        <v>0</v>
      </c>
      <c r="Q1525" s="3" t="s">
        <v>26</v>
      </c>
      <c r="R1525" s="3">
        <v>0</v>
      </c>
      <c r="S1525" s="3" t="s">
        <v>431</v>
      </c>
      <c r="T1525" s="3" t="s">
        <v>672</v>
      </c>
      <c r="U1525" s="3">
        <v>0</v>
      </c>
      <c r="V1525" s="3">
        <v>20</v>
      </c>
      <c r="W1525" s="3">
        <v>60</v>
      </c>
    </row>
    <row r="1526" spans="1:23" ht="11.25" customHeight="1" x14ac:dyDescent="0.25">
      <c r="A1526" s="3" t="s">
        <v>21</v>
      </c>
      <c r="B1526" s="3" t="s">
        <v>44</v>
      </c>
      <c r="C1526" s="3" t="s">
        <v>37</v>
      </c>
      <c r="D1526" s="3" t="s">
        <v>45</v>
      </c>
      <c r="E1526" s="3" t="s">
        <v>25</v>
      </c>
      <c r="F1526" s="3" t="s">
        <v>25</v>
      </c>
      <c r="G1526" s="3" t="s">
        <v>25</v>
      </c>
      <c r="H1526" s="3" t="s">
        <v>38</v>
      </c>
      <c r="I1526" s="6">
        <v>44470</v>
      </c>
      <c r="J1526" s="4">
        <v>0</v>
      </c>
      <c r="K1526" s="4">
        <v>0</v>
      </c>
      <c r="L1526" s="4">
        <v>4.0000000000000001E-3</v>
      </c>
      <c r="M1526" s="4">
        <v>4.0000000000000001E-3</v>
      </c>
      <c r="N1526" s="4">
        <v>4.0000000000000001E-3</v>
      </c>
      <c r="O1526" s="4">
        <v>4.0000000000000001E-3</v>
      </c>
      <c r="P1526" s="4">
        <v>0</v>
      </c>
      <c r="Q1526" s="3" t="s">
        <v>26</v>
      </c>
      <c r="R1526" s="3">
        <v>0</v>
      </c>
      <c r="S1526" s="3" t="s">
        <v>432</v>
      </c>
      <c r="T1526" s="3" t="s">
        <v>673</v>
      </c>
      <c r="U1526" s="3">
        <v>0</v>
      </c>
      <c r="V1526" s="3">
        <v>20</v>
      </c>
      <c r="W1526" s="3">
        <v>60</v>
      </c>
    </row>
    <row r="1527" spans="1:23" ht="11.25" customHeight="1" x14ac:dyDescent="0.25">
      <c r="A1527" s="3" t="s">
        <v>21</v>
      </c>
      <c r="B1527" s="3" t="s">
        <v>44</v>
      </c>
      <c r="C1527" s="3" t="s">
        <v>37</v>
      </c>
      <c r="D1527" s="3" t="s">
        <v>45</v>
      </c>
      <c r="E1527" s="3" t="s">
        <v>25</v>
      </c>
      <c r="F1527" s="3" t="s">
        <v>25</v>
      </c>
      <c r="G1527" s="3" t="s">
        <v>25</v>
      </c>
      <c r="H1527" s="3" t="s">
        <v>38</v>
      </c>
      <c r="I1527" s="6">
        <v>44501</v>
      </c>
      <c r="J1527" s="4">
        <v>0</v>
      </c>
      <c r="K1527" s="4">
        <v>0</v>
      </c>
      <c r="L1527" s="4">
        <v>1.2999999999999999E-2</v>
      </c>
      <c r="M1527" s="4">
        <v>1.2999999999999999E-2</v>
      </c>
      <c r="N1527" s="4">
        <v>1.2999999999999999E-2</v>
      </c>
      <c r="O1527" s="4">
        <v>1.2999999999999999E-2</v>
      </c>
      <c r="P1527" s="4">
        <v>0</v>
      </c>
      <c r="Q1527" s="3" t="s">
        <v>26</v>
      </c>
      <c r="R1527" s="3">
        <v>0</v>
      </c>
      <c r="S1527" s="3" t="s">
        <v>433</v>
      </c>
      <c r="T1527" s="3" t="s">
        <v>674</v>
      </c>
      <c r="U1527" s="3">
        <v>0</v>
      </c>
      <c r="V1527" s="3">
        <v>20</v>
      </c>
      <c r="W1527" s="3">
        <v>60</v>
      </c>
    </row>
    <row r="1528" spans="1:23" ht="11.25" customHeight="1" x14ac:dyDescent="0.25">
      <c r="A1528" s="3" t="s">
        <v>21</v>
      </c>
      <c r="B1528" s="3" t="s">
        <v>44</v>
      </c>
      <c r="C1528" s="3" t="s">
        <v>37</v>
      </c>
      <c r="D1528" s="3" t="s">
        <v>45</v>
      </c>
      <c r="E1528" s="3" t="s">
        <v>25</v>
      </c>
      <c r="F1528" s="3" t="s">
        <v>25</v>
      </c>
      <c r="G1528" s="3" t="s">
        <v>25</v>
      </c>
      <c r="H1528" s="3" t="s">
        <v>38</v>
      </c>
      <c r="I1528" s="6">
        <v>44531</v>
      </c>
      <c r="J1528" s="4">
        <v>0</v>
      </c>
      <c r="K1528" s="4">
        <v>0</v>
      </c>
      <c r="L1528" s="4">
        <v>6.0000000000000001E-3</v>
      </c>
      <c r="M1528" s="4">
        <v>6.0000000000000001E-3</v>
      </c>
      <c r="N1528" s="4">
        <v>6.0000000000000001E-3</v>
      </c>
      <c r="O1528" s="4">
        <v>6.0000000000000001E-3</v>
      </c>
      <c r="P1528" s="4">
        <v>0</v>
      </c>
      <c r="Q1528" s="3" t="s">
        <v>26</v>
      </c>
      <c r="R1528" s="3">
        <v>0</v>
      </c>
      <c r="S1528" s="3" t="s">
        <v>434</v>
      </c>
      <c r="T1528" s="3" t="s">
        <v>675</v>
      </c>
      <c r="U1528" s="3">
        <v>0</v>
      </c>
      <c r="V1528" s="3">
        <v>20</v>
      </c>
      <c r="W1528" s="3">
        <v>60</v>
      </c>
    </row>
    <row r="1529" spans="1:23" ht="11.25" customHeight="1" x14ac:dyDescent="0.25">
      <c r="A1529" s="3" t="s">
        <v>21</v>
      </c>
      <c r="B1529" s="3" t="s">
        <v>44</v>
      </c>
      <c r="C1529" s="3" t="s">
        <v>37</v>
      </c>
      <c r="D1529" s="3" t="s">
        <v>45</v>
      </c>
      <c r="E1529" s="3" t="s">
        <v>25</v>
      </c>
      <c r="F1529" s="3" t="s">
        <v>25</v>
      </c>
      <c r="G1529" s="3" t="s">
        <v>25</v>
      </c>
      <c r="H1529" s="3" t="s">
        <v>38</v>
      </c>
      <c r="I1529" s="6">
        <v>44621</v>
      </c>
      <c r="J1529" s="4">
        <v>0</v>
      </c>
      <c r="K1529" s="4">
        <v>0</v>
      </c>
      <c r="L1529" s="4">
        <v>1E-3</v>
      </c>
      <c r="M1529" s="4">
        <v>1E-3</v>
      </c>
      <c r="N1529" s="4">
        <v>1E-3</v>
      </c>
      <c r="O1529" s="4">
        <v>1E-3</v>
      </c>
      <c r="P1529" s="4">
        <v>0</v>
      </c>
      <c r="Q1529" s="3" t="s">
        <v>26</v>
      </c>
      <c r="R1529" s="3">
        <v>0</v>
      </c>
      <c r="S1529" s="3" t="s">
        <v>435</v>
      </c>
      <c r="T1529" s="3" t="s">
        <v>676</v>
      </c>
      <c r="U1529" s="3">
        <v>0</v>
      </c>
      <c r="V1529" s="3">
        <v>20</v>
      </c>
      <c r="W1529" s="3">
        <v>60</v>
      </c>
    </row>
    <row r="1530" spans="1:23" ht="11.25" customHeight="1" x14ac:dyDescent="0.25">
      <c r="A1530" s="3" t="s">
        <v>56</v>
      </c>
      <c r="B1530" s="3" t="s">
        <v>44</v>
      </c>
      <c r="C1530" s="3" t="s">
        <v>37</v>
      </c>
      <c r="D1530" s="3" t="s">
        <v>45</v>
      </c>
      <c r="E1530" s="3" t="s">
        <v>25</v>
      </c>
      <c r="F1530" s="3" t="s">
        <v>25</v>
      </c>
      <c r="G1530" s="3" t="s">
        <v>25</v>
      </c>
      <c r="H1530" s="3" t="s">
        <v>38</v>
      </c>
      <c r="I1530" s="6">
        <v>44652</v>
      </c>
      <c r="J1530" s="4">
        <v>0</v>
      </c>
      <c r="K1530" s="4">
        <v>0</v>
      </c>
      <c r="L1530" s="4">
        <v>1E-3</v>
      </c>
      <c r="M1530" s="4">
        <v>1E-3</v>
      </c>
      <c r="N1530" s="4">
        <v>1E-3</v>
      </c>
      <c r="O1530" s="4">
        <v>1E-3</v>
      </c>
      <c r="P1530" s="4">
        <v>0</v>
      </c>
      <c r="Q1530" s="3" t="s">
        <v>26</v>
      </c>
      <c r="R1530" s="3">
        <v>0</v>
      </c>
      <c r="S1530" s="3" t="s">
        <v>436</v>
      </c>
      <c r="T1530" s="3" t="s">
        <v>677</v>
      </c>
      <c r="U1530" s="3">
        <v>0</v>
      </c>
      <c r="V1530" s="3">
        <v>20</v>
      </c>
      <c r="W1530" s="3">
        <v>60</v>
      </c>
    </row>
    <row r="1531" spans="1:23" ht="11.25" customHeight="1" x14ac:dyDescent="0.25">
      <c r="A1531" s="3" t="s">
        <v>21</v>
      </c>
      <c r="B1531" s="3" t="s">
        <v>44</v>
      </c>
      <c r="C1531" s="3" t="s">
        <v>37</v>
      </c>
      <c r="D1531" s="3" t="s">
        <v>45</v>
      </c>
      <c r="E1531" s="3" t="s">
        <v>25</v>
      </c>
      <c r="F1531" s="3" t="s">
        <v>25</v>
      </c>
      <c r="G1531" s="3" t="s">
        <v>25</v>
      </c>
      <c r="H1531" s="3" t="s">
        <v>35</v>
      </c>
      <c r="I1531" s="6">
        <v>44470</v>
      </c>
      <c r="J1531" s="4">
        <v>0</v>
      </c>
      <c r="K1531" s="4">
        <v>0</v>
      </c>
      <c r="L1531" s="4">
        <v>1E-3</v>
      </c>
      <c r="M1531" s="4">
        <v>1E-3</v>
      </c>
      <c r="N1531" s="4">
        <v>1E-3</v>
      </c>
      <c r="O1531" s="4">
        <v>1E-3</v>
      </c>
      <c r="P1531" s="4">
        <v>0</v>
      </c>
      <c r="Q1531" s="3" t="s">
        <v>26</v>
      </c>
      <c r="R1531" s="3">
        <v>0</v>
      </c>
      <c r="S1531" s="3" t="s">
        <v>437</v>
      </c>
      <c r="T1531" s="3" t="s">
        <v>678</v>
      </c>
      <c r="U1531" s="3">
        <v>0</v>
      </c>
      <c r="V1531" s="3">
        <v>19</v>
      </c>
      <c r="W1531" s="3">
        <v>59</v>
      </c>
    </row>
    <row r="1532" spans="1:23" ht="11.25" customHeight="1" x14ac:dyDescent="0.25">
      <c r="A1532" s="3" t="s">
        <v>21</v>
      </c>
      <c r="B1532" s="3" t="s">
        <v>44</v>
      </c>
      <c r="C1532" s="3" t="s">
        <v>37</v>
      </c>
      <c r="D1532" s="3" t="s">
        <v>45</v>
      </c>
      <c r="E1532" s="3" t="s">
        <v>25</v>
      </c>
      <c r="F1532" s="3" t="s">
        <v>25</v>
      </c>
      <c r="G1532" s="3" t="s">
        <v>25</v>
      </c>
      <c r="H1532" s="3" t="s">
        <v>35</v>
      </c>
      <c r="I1532" s="6">
        <v>44501</v>
      </c>
      <c r="J1532" s="4">
        <v>0</v>
      </c>
      <c r="K1532" s="4">
        <v>0</v>
      </c>
      <c r="L1532" s="4">
        <v>1E-3</v>
      </c>
      <c r="M1532" s="4">
        <v>1E-3</v>
      </c>
      <c r="N1532" s="4">
        <v>1E-3</v>
      </c>
      <c r="O1532" s="4">
        <v>1E-3</v>
      </c>
      <c r="P1532" s="4">
        <v>0</v>
      </c>
      <c r="Q1532" s="3" t="s">
        <v>26</v>
      </c>
      <c r="R1532" s="3">
        <v>0</v>
      </c>
      <c r="S1532" s="3" t="s">
        <v>438</v>
      </c>
      <c r="T1532" s="3" t="s">
        <v>679</v>
      </c>
      <c r="U1532" s="3">
        <v>0</v>
      </c>
      <c r="V1532" s="3">
        <v>19</v>
      </c>
      <c r="W1532" s="3">
        <v>59</v>
      </c>
    </row>
    <row r="1533" spans="1:23" ht="11.25" customHeight="1" x14ac:dyDescent="0.25">
      <c r="A1533" s="3" t="s">
        <v>21</v>
      </c>
      <c r="B1533" s="3" t="s">
        <v>44</v>
      </c>
      <c r="C1533" s="3" t="s">
        <v>37</v>
      </c>
      <c r="D1533" s="3" t="s">
        <v>45</v>
      </c>
      <c r="E1533" s="3" t="s">
        <v>25</v>
      </c>
      <c r="F1533" s="3" t="s">
        <v>25</v>
      </c>
      <c r="G1533" s="3" t="s">
        <v>25</v>
      </c>
      <c r="H1533" s="3" t="s">
        <v>35</v>
      </c>
      <c r="I1533" s="6">
        <v>44531</v>
      </c>
      <c r="J1533" s="4">
        <v>0</v>
      </c>
      <c r="K1533" s="4">
        <v>0</v>
      </c>
      <c r="L1533" s="4">
        <v>1E-3</v>
      </c>
      <c r="M1533" s="4">
        <v>1E-3</v>
      </c>
      <c r="N1533" s="4">
        <v>1E-3</v>
      </c>
      <c r="O1533" s="4">
        <v>1E-3</v>
      </c>
      <c r="P1533" s="4">
        <v>0</v>
      </c>
      <c r="Q1533" s="3" t="s">
        <v>26</v>
      </c>
      <c r="R1533" s="3">
        <v>0</v>
      </c>
      <c r="S1533" s="3" t="s">
        <v>439</v>
      </c>
      <c r="T1533" s="3" t="s">
        <v>680</v>
      </c>
      <c r="U1533" s="3">
        <v>0</v>
      </c>
      <c r="V1533" s="3">
        <v>19</v>
      </c>
      <c r="W1533" s="3">
        <v>59</v>
      </c>
    </row>
    <row r="1534" spans="1:23" ht="11.25" customHeight="1" x14ac:dyDescent="0.25">
      <c r="A1534" s="3" t="s">
        <v>21</v>
      </c>
      <c r="B1534" s="3" t="s">
        <v>44</v>
      </c>
      <c r="C1534" s="3" t="s">
        <v>23</v>
      </c>
      <c r="D1534" s="3" t="s">
        <v>45</v>
      </c>
      <c r="E1534" s="3" t="s">
        <v>53</v>
      </c>
      <c r="F1534" s="3" t="s">
        <v>54</v>
      </c>
      <c r="G1534" s="3" t="s">
        <v>25</v>
      </c>
      <c r="H1534" s="3" t="s">
        <v>25</v>
      </c>
      <c r="I1534" s="6">
        <v>44317</v>
      </c>
      <c r="J1534" s="4">
        <v>0</v>
      </c>
      <c r="K1534" s="4">
        <v>0</v>
      </c>
      <c r="L1534" s="4">
        <v>15.4</v>
      </c>
      <c r="M1534" s="4">
        <v>15.4</v>
      </c>
      <c r="N1534" s="4">
        <v>15.4</v>
      </c>
      <c r="O1534" s="4">
        <v>15.4</v>
      </c>
      <c r="P1534" s="4">
        <v>0</v>
      </c>
      <c r="Q1534" s="3" t="s">
        <v>26</v>
      </c>
      <c r="R1534" s="3">
        <v>0</v>
      </c>
      <c r="S1534" s="3" t="s">
        <v>440</v>
      </c>
      <c r="T1534" s="3" t="s">
        <v>681</v>
      </c>
      <c r="U1534" s="3">
        <v>0</v>
      </c>
      <c r="V1534" s="3">
        <v>24</v>
      </c>
      <c r="W1534" s="3">
        <v>78</v>
      </c>
    </row>
    <row r="1535" spans="1:23" ht="11.25" customHeight="1" x14ac:dyDescent="0.25">
      <c r="A1535" s="3" t="s">
        <v>21</v>
      </c>
      <c r="B1535" s="3" t="s">
        <v>44</v>
      </c>
      <c r="C1535" s="3" t="s">
        <v>23</v>
      </c>
      <c r="D1535" s="3" t="s">
        <v>45</v>
      </c>
      <c r="E1535" s="3" t="s">
        <v>53</v>
      </c>
      <c r="F1535" s="3" t="s">
        <v>54</v>
      </c>
      <c r="G1535" s="3" t="s">
        <v>25</v>
      </c>
      <c r="H1535" s="3" t="s">
        <v>25</v>
      </c>
      <c r="I1535" s="6">
        <v>44348</v>
      </c>
      <c r="J1535" s="4">
        <v>0</v>
      </c>
      <c r="K1535" s="4">
        <v>0</v>
      </c>
      <c r="L1535" s="4">
        <v>17.745000000000001</v>
      </c>
      <c r="M1535" s="4">
        <v>17.745000000000001</v>
      </c>
      <c r="N1535" s="4">
        <v>17.745000000000001</v>
      </c>
      <c r="O1535" s="4">
        <v>17.745000000000001</v>
      </c>
      <c r="P1535" s="4">
        <v>0</v>
      </c>
      <c r="Q1535" s="3" t="s">
        <v>26</v>
      </c>
      <c r="R1535" s="3">
        <v>0</v>
      </c>
      <c r="S1535" s="3" t="s">
        <v>441</v>
      </c>
      <c r="T1535" s="3" t="s">
        <v>682</v>
      </c>
      <c r="U1535" s="3">
        <v>0</v>
      </c>
      <c r="V1535" s="3">
        <v>24</v>
      </c>
      <c r="W1535" s="3">
        <v>78</v>
      </c>
    </row>
    <row r="1536" spans="1:23" ht="11.25" customHeight="1" x14ac:dyDescent="0.25">
      <c r="A1536" s="3" t="s">
        <v>27</v>
      </c>
      <c r="B1536" s="3" t="s">
        <v>44</v>
      </c>
      <c r="C1536" s="3" t="s">
        <v>23</v>
      </c>
      <c r="D1536" s="3" t="s">
        <v>45</v>
      </c>
      <c r="E1536" s="3" t="s">
        <v>53</v>
      </c>
      <c r="F1536" s="3" t="s">
        <v>54</v>
      </c>
      <c r="G1536" s="3" t="s">
        <v>25</v>
      </c>
      <c r="H1536" s="3" t="s">
        <v>25</v>
      </c>
      <c r="I1536" s="6">
        <v>44348</v>
      </c>
      <c r="J1536" s="4">
        <v>0</v>
      </c>
      <c r="K1536" s="4">
        <v>0</v>
      </c>
      <c r="L1536" s="4">
        <v>-19.623999999999999</v>
      </c>
      <c r="M1536" s="4">
        <v>-19.623999999999999</v>
      </c>
      <c r="N1536" s="4">
        <v>-19.623999999999999</v>
      </c>
      <c r="O1536" s="4">
        <v>-19.623999999999999</v>
      </c>
      <c r="P1536" s="4">
        <v>0</v>
      </c>
      <c r="Q1536" s="3" t="s">
        <v>26</v>
      </c>
      <c r="R1536" s="3">
        <v>0</v>
      </c>
      <c r="S1536" s="3" t="s">
        <v>441</v>
      </c>
      <c r="T1536" s="3" t="s">
        <v>682</v>
      </c>
      <c r="U1536" s="3">
        <v>0</v>
      </c>
      <c r="V1536" s="3">
        <v>24</v>
      </c>
      <c r="W1536" s="3">
        <v>78</v>
      </c>
    </row>
    <row r="1537" spans="1:23" ht="11.25" customHeight="1" x14ac:dyDescent="0.25">
      <c r="A1537" s="3" t="s">
        <v>21</v>
      </c>
      <c r="B1537" s="3" t="s">
        <v>44</v>
      </c>
      <c r="C1537" s="3" t="s">
        <v>23</v>
      </c>
      <c r="D1537" s="3" t="s">
        <v>45</v>
      </c>
      <c r="E1537" s="3" t="s">
        <v>53</v>
      </c>
      <c r="F1537" s="3" t="s">
        <v>54</v>
      </c>
      <c r="G1537" s="3" t="s">
        <v>25</v>
      </c>
      <c r="H1537" s="3" t="s">
        <v>25</v>
      </c>
      <c r="I1537" s="6">
        <v>44378</v>
      </c>
      <c r="J1537" s="4">
        <v>0</v>
      </c>
      <c r="K1537" s="4">
        <v>0</v>
      </c>
      <c r="L1537" s="4">
        <v>22.635999999999999</v>
      </c>
      <c r="M1537" s="4">
        <v>22.635999999999999</v>
      </c>
      <c r="N1537" s="4">
        <v>22.635999999999999</v>
      </c>
      <c r="O1537" s="4">
        <v>22.635999999999999</v>
      </c>
      <c r="P1537" s="4">
        <v>0</v>
      </c>
      <c r="Q1537" s="3" t="s">
        <v>26</v>
      </c>
      <c r="R1537" s="3">
        <v>0</v>
      </c>
      <c r="S1537" s="3" t="s">
        <v>442</v>
      </c>
      <c r="T1537" s="3" t="s">
        <v>683</v>
      </c>
      <c r="U1537" s="3">
        <v>0</v>
      </c>
      <c r="V1537" s="3">
        <v>24</v>
      </c>
      <c r="W1537" s="3">
        <v>78</v>
      </c>
    </row>
    <row r="1538" spans="1:23" ht="11.25" customHeight="1" x14ac:dyDescent="0.25">
      <c r="A1538" s="3" t="s">
        <v>27</v>
      </c>
      <c r="B1538" s="3" t="s">
        <v>44</v>
      </c>
      <c r="C1538" s="3" t="s">
        <v>23</v>
      </c>
      <c r="D1538" s="3" t="s">
        <v>45</v>
      </c>
      <c r="E1538" s="3" t="s">
        <v>53</v>
      </c>
      <c r="F1538" s="3" t="s">
        <v>54</v>
      </c>
      <c r="G1538" s="3" t="s">
        <v>25</v>
      </c>
      <c r="H1538" s="3" t="s">
        <v>25</v>
      </c>
      <c r="I1538" s="6">
        <v>44378</v>
      </c>
      <c r="J1538" s="4">
        <v>0</v>
      </c>
      <c r="K1538" s="4">
        <v>0</v>
      </c>
      <c r="L1538" s="4">
        <v>-0.39600000000000002</v>
      </c>
      <c r="M1538" s="4">
        <v>-0.39600000000000002</v>
      </c>
      <c r="N1538" s="4">
        <v>-0.39600000000000002</v>
      </c>
      <c r="O1538" s="4">
        <v>-0.39600000000000002</v>
      </c>
      <c r="P1538" s="4">
        <v>0</v>
      </c>
      <c r="Q1538" s="3" t="s">
        <v>26</v>
      </c>
      <c r="R1538" s="3">
        <v>0</v>
      </c>
      <c r="S1538" s="3" t="s">
        <v>442</v>
      </c>
      <c r="T1538" s="3" t="s">
        <v>683</v>
      </c>
      <c r="U1538" s="3">
        <v>0</v>
      </c>
      <c r="V1538" s="3">
        <v>24</v>
      </c>
      <c r="W1538" s="3">
        <v>78</v>
      </c>
    </row>
    <row r="1539" spans="1:23" ht="11.25" customHeight="1" x14ac:dyDescent="0.25">
      <c r="A1539" s="3" t="s">
        <v>21</v>
      </c>
      <c r="B1539" s="3" t="s">
        <v>44</v>
      </c>
      <c r="C1539" s="3" t="s">
        <v>23</v>
      </c>
      <c r="D1539" s="3" t="s">
        <v>45</v>
      </c>
      <c r="E1539" s="3" t="s">
        <v>53</v>
      </c>
      <c r="F1539" s="3" t="s">
        <v>54</v>
      </c>
      <c r="G1539" s="3" t="s">
        <v>25</v>
      </c>
      <c r="H1539" s="3" t="s">
        <v>25</v>
      </c>
      <c r="I1539" s="6">
        <v>44409</v>
      </c>
      <c r="J1539" s="4">
        <v>0</v>
      </c>
      <c r="K1539" s="4">
        <v>0</v>
      </c>
      <c r="L1539" s="4">
        <v>19.344999999999999</v>
      </c>
      <c r="M1539" s="4">
        <v>19.344999999999999</v>
      </c>
      <c r="N1539" s="4">
        <v>19.344999999999999</v>
      </c>
      <c r="O1539" s="4">
        <v>19.344999999999999</v>
      </c>
      <c r="P1539" s="4">
        <v>0</v>
      </c>
      <c r="Q1539" s="3" t="s">
        <v>26</v>
      </c>
      <c r="R1539" s="3">
        <v>0</v>
      </c>
      <c r="S1539" s="3" t="s">
        <v>443</v>
      </c>
      <c r="T1539" s="3" t="s">
        <v>684</v>
      </c>
      <c r="U1539" s="3">
        <v>0</v>
      </c>
      <c r="V1539" s="3">
        <v>24</v>
      </c>
      <c r="W1539" s="3">
        <v>78</v>
      </c>
    </row>
    <row r="1540" spans="1:23" ht="11.25" customHeight="1" x14ac:dyDescent="0.25">
      <c r="A1540" s="3" t="s">
        <v>27</v>
      </c>
      <c r="B1540" s="3" t="s">
        <v>44</v>
      </c>
      <c r="C1540" s="3" t="s">
        <v>23</v>
      </c>
      <c r="D1540" s="3" t="s">
        <v>45</v>
      </c>
      <c r="E1540" s="3" t="s">
        <v>53</v>
      </c>
      <c r="F1540" s="3" t="s">
        <v>54</v>
      </c>
      <c r="G1540" s="3" t="s">
        <v>25</v>
      </c>
      <c r="H1540" s="3" t="s">
        <v>25</v>
      </c>
      <c r="I1540" s="6">
        <v>44409</v>
      </c>
      <c r="J1540" s="4">
        <v>0</v>
      </c>
      <c r="K1540" s="4">
        <v>0</v>
      </c>
      <c r="L1540" s="4">
        <v>-0.14099999999999999</v>
      </c>
      <c r="M1540" s="4">
        <v>-0.14099999999999999</v>
      </c>
      <c r="N1540" s="4">
        <v>-0.14099999999999999</v>
      </c>
      <c r="O1540" s="4">
        <v>-0.14099999999999999</v>
      </c>
      <c r="P1540" s="4">
        <v>0</v>
      </c>
      <c r="Q1540" s="3" t="s">
        <v>26</v>
      </c>
      <c r="R1540" s="3">
        <v>0</v>
      </c>
      <c r="S1540" s="3" t="s">
        <v>443</v>
      </c>
      <c r="T1540" s="3" t="s">
        <v>684</v>
      </c>
      <c r="U1540" s="3">
        <v>0</v>
      </c>
      <c r="V1540" s="3">
        <v>24</v>
      </c>
      <c r="W1540" s="3">
        <v>78</v>
      </c>
    </row>
    <row r="1541" spans="1:23" ht="11.25" customHeight="1" x14ac:dyDescent="0.25">
      <c r="A1541" s="3" t="s">
        <v>21</v>
      </c>
      <c r="B1541" s="3" t="s">
        <v>44</v>
      </c>
      <c r="C1541" s="3" t="s">
        <v>23</v>
      </c>
      <c r="D1541" s="3" t="s">
        <v>45</v>
      </c>
      <c r="E1541" s="3" t="s">
        <v>53</v>
      </c>
      <c r="F1541" s="3" t="s">
        <v>54</v>
      </c>
      <c r="G1541" s="3" t="s">
        <v>25</v>
      </c>
      <c r="H1541" s="3" t="s">
        <v>25</v>
      </c>
      <c r="I1541" s="6">
        <v>44440</v>
      </c>
      <c r="J1541" s="4">
        <v>0</v>
      </c>
      <c r="K1541" s="4">
        <v>0</v>
      </c>
      <c r="L1541" s="4">
        <v>32.347000000000001</v>
      </c>
      <c r="M1541" s="4">
        <v>32.347000000000001</v>
      </c>
      <c r="N1541" s="4">
        <v>32.347000000000001</v>
      </c>
      <c r="O1541" s="4">
        <v>32.347000000000001</v>
      </c>
      <c r="P1541" s="4">
        <v>0</v>
      </c>
      <c r="Q1541" s="3" t="s">
        <v>26</v>
      </c>
      <c r="R1541" s="3">
        <v>0</v>
      </c>
      <c r="S1541" s="3" t="s">
        <v>444</v>
      </c>
      <c r="T1541" s="3" t="s">
        <v>685</v>
      </c>
      <c r="U1541" s="3">
        <v>0</v>
      </c>
      <c r="V1541" s="3">
        <v>24</v>
      </c>
      <c r="W1541" s="3">
        <v>78</v>
      </c>
    </row>
    <row r="1542" spans="1:23" ht="11.25" customHeight="1" x14ac:dyDescent="0.25">
      <c r="A1542" s="3" t="s">
        <v>27</v>
      </c>
      <c r="B1542" s="3" t="s">
        <v>44</v>
      </c>
      <c r="C1542" s="3" t="s">
        <v>23</v>
      </c>
      <c r="D1542" s="3" t="s">
        <v>45</v>
      </c>
      <c r="E1542" s="3" t="s">
        <v>53</v>
      </c>
      <c r="F1542" s="3" t="s">
        <v>54</v>
      </c>
      <c r="G1542" s="3" t="s">
        <v>25</v>
      </c>
      <c r="H1542" s="3" t="s">
        <v>25</v>
      </c>
      <c r="I1542" s="6">
        <v>44440</v>
      </c>
      <c r="J1542" s="4">
        <v>0</v>
      </c>
      <c r="K1542" s="4">
        <v>0</v>
      </c>
      <c r="L1542" s="4">
        <v>-3.976</v>
      </c>
      <c r="M1542" s="4">
        <v>-3.976</v>
      </c>
      <c r="N1542" s="4">
        <v>-3.976</v>
      </c>
      <c r="O1542" s="4">
        <v>-3.976</v>
      </c>
      <c r="P1542" s="4">
        <v>0</v>
      </c>
      <c r="Q1542" s="3" t="s">
        <v>26</v>
      </c>
      <c r="R1542" s="3">
        <v>0</v>
      </c>
      <c r="S1542" s="3" t="s">
        <v>444</v>
      </c>
      <c r="T1542" s="3" t="s">
        <v>685</v>
      </c>
      <c r="U1542" s="3">
        <v>0</v>
      </c>
      <c r="V1542" s="3">
        <v>24</v>
      </c>
      <c r="W1542" s="3">
        <v>78</v>
      </c>
    </row>
    <row r="1543" spans="1:23" ht="11.25" customHeight="1" x14ac:dyDescent="0.25">
      <c r="A1543" s="3" t="s">
        <v>21</v>
      </c>
      <c r="B1543" s="3" t="s">
        <v>44</v>
      </c>
      <c r="C1543" s="3" t="s">
        <v>23</v>
      </c>
      <c r="D1543" s="3" t="s">
        <v>45</v>
      </c>
      <c r="E1543" s="3" t="s">
        <v>53</v>
      </c>
      <c r="F1543" s="3" t="s">
        <v>54</v>
      </c>
      <c r="G1543" s="3" t="s">
        <v>25</v>
      </c>
      <c r="H1543" s="3" t="s">
        <v>25</v>
      </c>
      <c r="I1543" s="6">
        <v>44470</v>
      </c>
      <c r="J1543" s="4">
        <v>0</v>
      </c>
      <c r="K1543" s="4">
        <v>0</v>
      </c>
      <c r="L1543" s="4">
        <v>48.305999999999997</v>
      </c>
      <c r="M1543" s="4">
        <v>48.305999999999997</v>
      </c>
      <c r="N1543" s="4">
        <v>48.305999999999997</v>
      </c>
      <c r="O1543" s="4">
        <v>48.305999999999997</v>
      </c>
      <c r="P1543" s="4">
        <v>0</v>
      </c>
      <c r="Q1543" s="3" t="s">
        <v>26</v>
      </c>
      <c r="R1543" s="3">
        <v>0</v>
      </c>
      <c r="S1543" s="3" t="s">
        <v>445</v>
      </c>
      <c r="T1543" s="3" t="s">
        <v>686</v>
      </c>
      <c r="U1543" s="3">
        <v>0</v>
      </c>
      <c r="V1543" s="3">
        <v>24</v>
      </c>
      <c r="W1543" s="3">
        <v>78</v>
      </c>
    </row>
    <row r="1544" spans="1:23" ht="11.25" customHeight="1" x14ac:dyDescent="0.25">
      <c r="A1544" s="3" t="s">
        <v>27</v>
      </c>
      <c r="B1544" s="3" t="s">
        <v>44</v>
      </c>
      <c r="C1544" s="3" t="s">
        <v>23</v>
      </c>
      <c r="D1544" s="3" t="s">
        <v>45</v>
      </c>
      <c r="E1544" s="3" t="s">
        <v>53</v>
      </c>
      <c r="F1544" s="3" t="s">
        <v>54</v>
      </c>
      <c r="G1544" s="3" t="s">
        <v>25</v>
      </c>
      <c r="H1544" s="3" t="s">
        <v>25</v>
      </c>
      <c r="I1544" s="6">
        <v>44470</v>
      </c>
      <c r="J1544" s="4">
        <v>0</v>
      </c>
      <c r="K1544" s="4">
        <v>0</v>
      </c>
      <c r="L1544" s="4">
        <v>-1.3149999999999999</v>
      </c>
      <c r="M1544" s="4">
        <v>-1.3149999999999999</v>
      </c>
      <c r="N1544" s="4">
        <v>-1.3149999999999999</v>
      </c>
      <c r="O1544" s="4">
        <v>-1.3149999999999999</v>
      </c>
      <c r="P1544" s="4">
        <v>0</v>
      </c>
      <c r="Q1544" s="3" t="s">
        <v>26</v>
      </c>
      <c r="R1544" s="3">
        <v>0</v>
      </c>
      <c r="S1544" s="3" t="s">
        <v>445</v>
      </c>
      <c r="T1544" s="3" t="s">
        <v>686</v>
      </c>
      <c r="U1544" s="3">
        <v>0</v>
      </c>
      <c r="V1544" s="3">
        <v>24</v>
      </c>
      <c r="W1544" s="3">
        <v>78</v>
      </c>
    </row>
    <row r="1545" spans="1:23" ht="11.25" customHeight="1" x14ac:dyDescent="0.25">
      <c r="A1545" s="3" t="s">
        <v>21</v>
      </c>
      <c r="B1545" s="3" t="s">
        <v>44</v>
      </c>
      <c r="C1545" s="3" t="s">
        <v>23</v>
      </c>
      <c r="D1545" s="3" t="s">
        <v>45</v>
      </c>
      <c r="E1545" s="3" t="s">
        <v>53</v>
      </c>
      <c r="F1545" s="3" t="s">
        <v>54</v>
      </c>
      <c r="G1545" s="3" t="s">
        <v>25</v>
      </c>
      <c r="H1545" s="3" t="s">
        <v>25</v>
      </c>
      <c r="I1545" s="6">
        <v>44501</v>
      </c>
      <c r="J1545" s="4">
        <v>0</v>
      </c>
      <c r="K1545" s="4">
        <v>0</v>
      </c>
      <c r="L1545" s="4">
        <v>61.534999999999997</v>
      </c>
      <c r="M1545" s="4">
        <v>61.534999999999997</v>
      </c>
      <c r="N1545" s="4">
        <v>61.534999999999997</v>
      </c>
      <c r="O1545" s="4">
        <v>61.534999999999997</v>
      </c>
      <c r="P1545" s="4">
        <v>0</v>
      </c>
      <c r="Q1545" s="3" t="s">
        <v>26</v>
      </c>
      <c r="R1545" s="3">
        <v>0</v>
      </c>
      <c r="S1545" s="3" t="s">
        <v>446</v>
      </c>
      <c r="T1545" s="3" t="s">
        <v>687</v>
      </c>
      <c r="U1545" s="3">
        <v>0</v>
      </c>
      <c r="V1545" s="3">
        <v>24</v>
      </c>
      <c r="W1545" s="3">
        <v>78</v>
      </c>
    </row>
    <row r="1546" spans="1:23" ht="11.25" customHeight="1" x14ac:dyDescent="0.25">
      <c r="A1546" s="3" t="s">
        <v>21</v>
      </c>
      <c r="B1546" s="3" t="s">
        <v>44</v>
      </c>
      <c r="C1546" s="3" t="s">
        <v>23</v>
      </c>
      <c r="D1546" s="3" t="s">
        <v>45</v>
      </c>
      <c r="E1546" s="3" t="s">
        <v>53</v>
      </c>
      <c r="F1546" s="3" t="s">
        <v>54</v>
      </c>
      <c r="G1546" s="3" t="s">
        <v>25</v>
      </c>
      <c r="H1546" s="3" t="s">
        <v>25</v>
      </c>
      <c r="I1546" s="6">
        <v>44531</v>
      </c>
      <c r="J1546" s="4">
        <v>0</v>
      </c>
      <c r="K1546" s="4">
        <v>0</v>
      </c>
      <c r="L1546" s="4">
        <v>61.465000000000003</v>
      </c>
      <c r="M1546" s="4">
        <v>61.465000000000003</v>
      </c>
      <c r="N1546" s="4">
        <v>61.465000000000003</v>
      </c>
      <c r="O1546" s="4">
        <v>61.465000000000003</v>
      </c>
      <c r="P1546" s="4">
        <v>0</v>
      </c>
      <c r="Q1546" s="3" t="s">
        <v>26</v>
      </c>
      <c r="R1546" s="3">
        <v>0</v>
      </c>
      <c r="S1546" s="3" t="s">
        <v>447</v>
      </c>
      <c r="T1546" s="3" t="s">
        <v>688</v>
      </c>
      <c r="U1546" s="3">
        <v>0</v>
      </c>
      <c r="V1546" s="3">
        <v>24</v>
      </c>
      <c r="W1546" s="3">
        <v>78</v>
      </c>
    </row>
    <row r="1547" spans="1:23" ht="11.25" customHeight="1" x14ac:dyDescent="0.25">
      <c r="A1547" s="3" t="s">
        <v>21</v>
      </c>
      <c r="B1547" s="3" t="s">
        <v>44</v>
      </c>
      <c r="C1547" s="3" t="s">
        <v>23</v>
      </c>
      <c r="D1547" s="3" t="s">
        <v>45</v>
      </c>
      <c r="E1547" s="3" t="s">
        <v>53</v>
      </c>
      <c r="F1547" s="3" t="s">
        <v>54</v>
      </c>
      <c r="G1547" s="3" t="s">
        <v>25</v>
      </c>
      <c r="H1547" s="3" t="s">
        <v>25</v>
      </c>
      <c r="I1547" s="6">
        <v>44562</v>
      </c>
      <c r="J1547" s="4">
        <v>0</v>
      </c>
      <c r="K1547" s="4">
        <v>0</v>
      </c>
      <c r="L1547" s="4">
        <v>54.213000000000001</v>
      </c>
      <c r="M1547" s="4">
        <v>54.213000000000001</v>
      </c>
      <c r="N1547" s="4">
        <v>54.213000000000001</v>
      </c>
      <c r="O1547" s="4">
        <v>54.213000000000001</v>
      </c>
      <c r="P1547" s="4">
        <v>0</v>
      </c>
      <c r="Q1547" s="3" t="s">
        <v>26</v>
      </c>
      <c r="R1547" s="3">
        <v>0</v>
      </c>
      <c r="S1547" s="3" t="s">
        <v>448</v>
      </c>
      <c r="T1547" s="3" t="s">
        <v>689</v>
      </c>
      <c r="U1547" s="3">
        <v>0</v>
      </c>
      <c r="V1547" s="3">
        <v>24</v>
      </c>
      <c r="W1547" s="3">
        <v>78</v>
      </c>
    </row>
    <row r="1548" spans="1:23" ht="11.25" customHeight="1" x14ac:dyDescent="0.25">
      <c r="A1548" s="3" t="s">
        <v>21</v>
      </c>
      <c r="B1548" s="3" t="s">
        <v>44</v>
      </c>
      <c r="C1548" s="3" t="s">
        <v>23</v>
      </c>
      <c r="D1548" s="3" t="s">
        <v>45</v>
      </c>
      <c r="E1548" s="3" t="s">
        <v>53</v>
      </c>
      <c r="F1548" s="3" t="s">
        <v>54</v>
      </c>
      <c r="G1548" s="3" t="s">
        <v>25</v>
      </c>
      <c r="H1548" s="3" t="s">
        <v>25</v>
      </c>
      <c r="I1548" s="6">
        <v>44593</v>
      </c>
      <c r="J1548" s="4">
        <v>0</v>
      </c>
      <c r="K1548" s="4">
        <v>0</v>
      </c>
      <c r="L1548" s="4">
        <v>52.506999999999998</v>
      </c>
      <c r="M1548" s="4">
        <v>52.506999999999998</v>
      </c>
      <c r="N1548" s="4">
        <v>52.506999999999998</v>
      </c>
      <c r="O1548" s="4">
        <v>52.506999999999998</v>
      </c>
      <c r="P1548" s="4">
        <v>0</v>
      </c>
      <c r="Q1548" s="3" t="s">
        <v>26</v>
      </c>
      <c r="R1548" s="3">
        <v>0</v>
      </c>
      <c r="S1548" s="3" t="s">
        <v>449</v>
      </c>
      <c r="T1548" s="3" t="s">
        <v>690</v>
      </c>
      <c r="U1548" s="3">
        <v>0</v>
      </c>
      <c r="V1548" s="3">
        <v>24</v>
      </c>
      <c r="W1548" s="3">
        <v>78</v>
      </c>
    </row>
    <row r="1549" spans="1:23" ht="11.25" customHeight="1" x14ac:dyDescent="0.25">
      <c r="A1549" s="3" t="s">
        <v>27</v>
      </c>
      <c r="B1549" s="3" t="s">
        <v>44</v>
      </c>
      <c r="C1549" s="3" t="s">
        <v>23</v>
      </c>
      <c r="D1549" s="3" t="s">
        <v>45</v>
      </c>
      <c r="E1549" s="3" t="s">
        <v>53</v>
      </c>
      <c r="F1549" s="3" t="s">
        <v>54</v>
      </c>
      <c r="G1549" s="3" t="s">
        <v>25</v>
      </c>
      <c r="H1549" s="3" t="s">
        <v>25</v>
      </c>
      <c r="I1549" s="6">
        <v>44593</v>
      </c>
      <c r="J1549" s="4">
        <v>0</v>
      </c>
      <c r="K1549" s="4">
        <v>0</v>
      </c>
      <c r="L1549" s="4">
        <v>0.23499999999999999</v>
      </c>
      <c r="M1549" s="4">
        <v>0.23499999999999999</v>
      </c>
      <c r="N1549" s="4">
        <v>0.23499999999999999</v>
      </c>
      <c r="O1549" s="4">
        <v>0.23499999999999999</v>
      </c>
      <c r="P1549" s="4">
        <v>0</v>
      </c>
      <c r="Q1549" s="3" t="s">
        <v>26</v>
      </c>
      <c r="R1549" s="3">
        <v>0</v>
      </c>
      <c r="S1549" s="3" t="s">
        <v>449</v>
      </c>
      <c r="T1549" s="3" t="s">
        <v>690</v>
      </c>
      <c r="U1549" s="3">
        <v>0</v>
      </c>
      <c r="V1549" s="3">
        <v>24</v>
      </c>
      <c r="W1549" s="3">
        <v>78</v>
      </c>
    </row>
    <row r="1550" spans="1:23" ht="11.25" customHeight="1" x14ac:dyDescent="0.25">
      <c r="A1550" s="3" t="s">
        <v>21</v>
      </c>
      <c r="B1550" s="3" t="s">
        <v>44</v>
      </c>
      <c r="C1550" s="3" t="s">
        <v>23</v>
      </c>
      <c r="D1550" s="3" t="s">
        <v>45</v>
      </c>
      <c r="E1550" s="3" t="s">
        <v>53</v>
      </c>
      <c r="F1550" s="3" t="s">
        <v>54</v>
      </c>
      <c r="G1550" s="3" t="s">
        <v>25</v>
      </c>
      <c r="H1550" s="3" t="s">
        <v>25</v>
      </c>
      <c r="I1550" s="6">
        <v>44621</v>
      </c>
      <c r="J1550" s="4">
        <v>0</v>
      </c>
      <c r="K1550" s="4">
        <v>0</v>
      </c>
      <c r="L1550" s="4">
        <v>37.521000000000001</v>
      </c>
      <c r="M1550" s="4">
        <v>37.521000000000001</v>
      </c>
      <c r="N1550" s="4">
        <v>37.521000000000001</v>
      </c>
      <c r="O1550" s="4">
        <v>37.521000000000001</v>
      </c>
      <c r="P1550" s="4">
        <v>0</v>
      </c>
      <c r="Q1550" s="3" t="s">
        <v>26</v>
      </c>
      <c r="R1550" s="3">
        <v>0</v>
      </c>
      <c r="S1550" s="3" t="s">
        <v>450</v>
      </c>
      <c r="T1550" s="3" t="s">
        <v>691</v>
      </c>
      <c r="U1550" s="3">
        <v>0</v>
      </c>
      <c r="V1550" s="3">
        <v>24</v>
      </c>
      <c r="W1550" s="3">
        <v>78</v>
      </c>
    </row>
    <row r="1551" spans="1:23" ht="11.25" customHeight="1" x14ac:dyDescent="0.25">
      <c r="A1551" s="3" t="s">
        <v>56</v>
      </c>
      <c r="B1551" s="3" t="s">
        <v>44</v>
      </c>
      <c r="C1551" s="3" t="s">
        <v>23</v>
      </c>
      <c r="D1551" s="3" t="s">
        <v>45</v>
      </c>
      <c r="E1551" s="3" t="s">
        <v>53</v>
      </c>
      <c r="F1551" s="3" t="s">
        <v>54</v>
      </c>
      <c r="G1551" s="3" t="s">
        <v>25</v>
      </c>
      <c r="H1551" s="3" t="s">
        <v>25</v>
      </c>
      <c r="I1551" s="6">
        <v>44652</v>
      </c>
      <c r="J1551" s="4">
        <v>0</v>
      </c>
      <c r="K1551" s="4">
        <v>0</v>
      </c>
      <c r="L1551" s="4">
        <v>37.521000000000001</v>
      </c>
      <c r="M1551" s="4">
        <v>37.521000000000001</v>
      </c>
      <c r="N1551" s="4">
        <v>37.521000000000001</v>
      </c>
      <c r="O1551" s="4">
        <v>37.521000000000001</v>
      </c>
      <c r="P1551" s="4">
        <v>0</v>
      </c>
      <c r="Q1551" s="3" t="s">
        <v>26</v>
      </c>
      <c r="R1551" s="3">
        <v>0</v>
      </c>
      <c r="S1551" s="3" t="s">
        <v>451</v>
      </c>
      <c r="T1551" s="3" t="s">
        <v>692</v>
      </c>
      <c r="U1551" s="3">
        <v>0</v>
      </c>
      <c r="V1551" s="3">
        <v>24</v>
      </c>
      <c r="W1551" s="3">
        <v>78</v>
      </c>
    </row>
    <row r="1552" spans="1:23" ht="11.25" customHeight="1" x14ac:dyDescent="0.25">
      <c r="A1552" s="3" t="s">
        <v>21</v>
      </c>
      <c r="B1552" s="3" t="s">
        <v>44</v>
      </c>
      <c r="C1552" s="3" t="s">
        <v>23</v>
      </c>
      <c r="D1552" s="3" t="s">
        <v>45</v>
      </c>
      <c r="E1552" s="3" t="s">
        <v>53</v>
      </c>
      <c r="F1552" s="3" t="s">
        <v>55</v>
      </c>
      <c r="G1552" s="3" t="s">
        <v>25</v>
      </c>
      <c r="H1552" s="3" t="s">
        <v>25</v>
      </c>
      <c r="I1552" s="6">
        <v>44317</v>
      </c>
      <c r="J1552" s="4">
        <v>0</v>
      </c>
      <c r="K1552" s="4">
        <v>0</v>
      </c>
      <c r="L1552" s="4">
        <v>23.552</v>
      </c>
      <c r="M1552" s="4">
        <v>6.3590400000000002</v>
      </c>
      <c r="N1552" s="4">
        <v>23.552</v>
      </c>
      <c r="O1552" s="4">
        <v>6.3590400000000002</v>
      </c>
      <c r="P1552" s="4">
        <v>0</v>
      </c>
      <c r="Q1552" s="3" t="s">
        <v>26</v>
      </c>
      <c r="R1552" s="3">
        <v>0</v>
      </c>
      <c r="S1552" s="3" t="s">
        <v>440</v>
      </c>
      <c r="T1552" s="3" t="s">
        <v>681</v>
      </c>
      <c r="U1552" s="3">
        <v>0</v>
      </c>
      <c r="V1552" s="3">
        <v>24</v>
      </c>
      <c r="W1552" s="3">
        <v>78</v>
      </c>
    </row>
    <row r="1553" spans="1:23" ht="11.25" customHeight="1" x14ac:dyDescent="0.25">
      <c r="A1553" s="3" t="s">
        <v>21</v>
      </c>
      <c r="B1553" s="3" t="s">
        <v>44</v>
      </c>
      <c r="C1553" s="3" t="s">
        <v>23</v>
      </c>
      <c r="D1553" s="3" t="s">
        <v>45</v>
      </c>
      <c r="E1553" s="3" t="s">
        <v>53</v>
      </c>
      <c r="F1553" s="3" t="s">
        <v>55</v>
      </c>
      <c r="G1553" s="3" t="s">
        <v>25</v>
      </c>
      <c r="H1553" s="3" t="s">
        <v>25</v>
      </c>
      <c r="I1553" s="6">
        <v>44348</v>
      </c>
      <c r="J1553" s="4">
        <v>0</v>
      </c>
      <c r="K1553" s="4">
        <v>0</v>
      </c>
      <c r="L1553" s="4">
        <v>30.077999999999999</v>
      </c>
      <c r="M1553" s="4">
        <v>8.1210599999999999</v>
      </c>
      <c r="N1553" s="4">
        <v>30.077999999999999</v>
      </c>
      <c r="O1553" s="4">
        <v>8.1210599999999999</v>
      </c>
      <c r="P1553" s="4">
        <v>0</v>
      </c>
      <c r="Q1553" s="3" t="s">
        <v>26</v>
      </c>
      <c r="R1553" s="3">
        <v>0</v>
      </c>
      <c r="S1553" s="3" t="s">
        <v>441</v>
      </c>
      <c r="T1553" s="3" t="s">
        <v>682</v>
      </c>
      <c r="U1553" s="3">
        <v>0</v>
      </c>
      <c r="V1553" s="3">
        <v>24</v>
      </c>
      <c r="W1553" s="3">
        <v>78</v>
      </c>
    </row>
    <row r="1554" spans="1:23" ht="11.25" customHeight="1" x14ac:dyDescent="0.25">
      <c r="A1554" s="3" t="s">
        <v>27</v>
      </c>
      <c r="B1554" s="3" t="s">
        <v>44</v>
      </c>
      <c r="C1554" s="3" t="s">
        <v>23</v>
      </c>
      <c r="D1554" s="3" t="s">
        <v>45</v>
      </c>
      <c r="E1554" s="3" t="s">
        <v>53</v>
      </c>
      <c r="F1554" s="3" t="s">
        <v>55</v>
      </c>
      <c r="G1554" s="3" t="s">
        <v>25</v>
      </c>
      <c r="H1554" s="3" t="s">
        <v>25</v>
      </c>
      <c r="I1554" s="6">
        <v>44348</v>
      </c>
      <c r="J1554" s="4">
        <v>0</v>
      </c>
      <c r="K1554" s="4">
        <v>0</v>
      </c>
      <c r="L1554" s="4">
        <v>20.071000000000002</v>
      </c>
      <c r="M1554" s="4">
        <v>5.4191700000000003</v>
      </c>
      <c r="N1554" s="4">
        <v>20.071000000000002</v>
      </c>
      <c r="O1554" s="4">
        <v>5.4191700000000003</v>
      </c>
      <c r="P1554" s="4">
        <v>0</v>
      </c>
      <c r="Q1554" s="3" t="s">
        <v>26</v>
      </c>
      <c r="R1554" s="3">
        <v>0</v>
      </c>
      <c r="S1554" s="3" t="s">
        <v>441</v>
      </c>
      <c r="T1554" s="3" t="s">
        <v>682</v>
      </c>
      <c r="U1554" s="3">
        <v>0</v>
      </c>
      <c r="V1554" s="3">
        <v>24</v>
      </c>
      <c r="W1554" s="3">
        <v>78</v>
      </c>
    </row>
    <row r="1555" spans="1:23" ht="11.25" customHeight="1" x14ac:dyDescent="0.25">
      <c r="A1555" s="3" t="s">
        <v>21</v>
      </c>
      <c r="B1555" s="3" t="s">
        <v>44</v>
      </c>
      <c r="C1555" s="3" t="s">
        <v>23</v>
      </c>
      <c r="D1555" s="3" t="s">
        <v>45</v>
      </c>
      <c r="E1555" s="3" t="s">
        <v>53</v>
      </c>
      <c r="F1555" s="3" t="s">
        <v>55</v>
      </c>
      <c r="G1555" s="3" t="s">
        <v>25</v>
      </c>
      <c r="H1555" s="3" t="s">
        <v>25</v>
      </c>
      <c r="I1555" s="6">
        <v>44378</v>
      </c>
      <c r="J1555" s="4">
        <v>0</v>
      </c>
      <c r="K1555" s="4">
        <v>0</v>
      </c>
      <c r="L1555" s="4">
        <v>30.792999999999999</v>
      </c>
      <c r="M1555" s="4">
        <v>8.3141099999999994</v>
      </c>
      <c r="N1555" s="4">
        <v>30.792999999999999</v>
      </c>
      <c r="O1555" s="4">
        <v>8.3141099999999994</v>
      </c>
      <c r="P1555" s="4">
        <v>0</v>
      </c>
      <c r="Q1555" s="3" t="s">
        <v>26</v>
      </c>
      <c r="R1555" s="3">
        <v>0</v>
      </c>
      <c r="S1555" s="3" t="s">
        <v>442</v>
      </c>
      <c r="T1555" s="3" t="s">
        <v>683</v>
      </c>
      <c r="U1555" s="3">
        <v>0</v>
      </c>
      <c r="V1555" s="3">
        <v>24</v>
      </c>
      <c r="W1555" s="3">
        <v>78</v>
      </c>
    </row>
    <row r="1556" spans="1:23" ht="11.25" customHeight="1" x14ac:dyDescent="0.25">
      <c r="A1556" s="3" t="s">
        <v>27</v>
      </c>
      <c r="B1556" s="3" t="s">
        <v>44</v>
      </c>
      <c r="C1556" s="3" t="s">
        <v>23</v>
      </c>
      <c r="D1556" s="3" t="s">
        <v>45</v>
      </c>
      <c r="E1556" s="3" t="s">
        <v>53</v>
      </c>
      <c r="F1556" s="3" t="s">
        <v>55</v>
      </c>
      <c r="G1556" s="3" t="s">
        <v>25</v>
      </c>
      <c r="H1556" s="3" t="s">
        <v>25</v>
      </c>
      <c r="I1556" s="6">
        <v>44378</v>
      </c>
      <c r="J1556" s="4">
        <v>0</v>
      </c>
      <c r="K1556" s="4">
        <v>0</v>
      </c>
      <c r="L1556" s="4">
        <v>-0.95299999999999996</v>
      </c>
      <c r="M1556" s="4">
        <v>-0.25730999999999998</v>
      </c>
      <c r="N1556" s="4">
        <v>-0.95299999999999996</v>
      </c>
      <c r="O1556" s="4">
        <v>-0.25730999999999998</v>
      </c>
      <c r="P1556" s="4">
        <v>0</v>
      </c>
      <c r="Q1556" s="3" t="s">
        <v>26</v>
      </c>
      <c r="R1556" s="3">
        <v>0</v>
      </c>
      <c r="S1556" s="3" t="s">
        <v>442</v>
      </c>
      <c r="T1556" s="3" t="s">
        <v>683</v>
      </c>
      <c r="U1556" s="3">
        <v>0</v>
      </c>
      <c r="V1556" s="3">
        <v>24</v>
      </c>
      <c r="W1556" s="3">
        <v>78</v>
      </c>
    </row>
    <row r="1557" spans="1:23" ht="11.25" customHeight="1" x14ac:dyDescent="0.25">
      <c r="A1557" s="3" t="s">
        <v>21</v>
      </c>
      <c r="B1557" s="3" t="s">
        <v>44</v>
      </c>
      <c r="C1557" s="3" t="s">
        <v>23</v>
      </c>
      <c r="D1557" s="3" t="s">
        <v>45</v>
      </c>
      <c r="E1557" s="3" t="s">
        <v>53</v>
      </c>
      <c r="F1557" s="3" t="s">
        <v>55</v>
      </c>
      <c r="G1557" s="3" t="s">
        <v>25</v>
      </c>
      <c r="H1557" s="3" t="s">
        <v>25</v>
      </c>
      <c r="I1557" s="6">
        <v>44409</v>
      </c>
      <c r="J1557" s="4">
        <v>0</v>
      </c>
      <c r="K1557" s="4">
        <v>0</v>
      </c>
      <c r="L1557" s="4">
        <v>31.149000000000001</v>
      </c>
      <c r="M1557" s="4">
        <v>8.4102300000000003</v>
      </c>
      <c r="N1557" s="4">
        <v>31.149000000000001</v>
      </c>
      <c r="O1557" s="4">
        <v>8.4102300000000003</v>
      </c>
      <c r="P1557" s="4">
        <v>0</v>
      </c>
      <c r="Q1557" s="3" t="s">
        <v>26</v>
      </c>
      <c r="R1557" s="3">
        <v>0</v>
      </c>
      <c r="S1557" s="3" t="s">
        <v>443</v>
      </c>
      <c r="T1557" s="3" t="s">
        <v>684</v>
      </c>
      <c r="U1557" s="3">
        <v>0</v>
      </c>
      <c r="V1557" s="3">
        <v>24</v>
      </c>
      <c r="W1557" s="3">
        <v>78</v>
      </c>
    </row>
    <row r="1558" spans="1:23" ht="11.25" customHeight="1" x14ac:dyDescent="0.25">
      <c r="A1558" s="3" t="s">
        <v>27</v>
      </c>
      <c r="B1558" s="3" t="s">
        <v>44</v>
      </c>
      <c r="C1558" s="3" t="s">
        <v>23</v>
      </c>
      <c r="D1558" s="3" t="s">
        <v>45</v>
      </c>
      <c r="E1558" s="3" t="s">
        <v>53</v>
      </c>
      <c r="F1558" s="3" t="s">
        <v>55</v>
      </c>
      <c r="G1558" s="3" t="s">
        <v>25</v>
      </c>
      <c r="H1558" s="3" t="s">
        <v>25</v>
      </c>
      <c r="I1558" s="6">
        <v>44409</v>
      </c>
      <c r="J1558" s="4">
        <v>0</v>
      </c>
      <c r="K1558" s="4">
        <v>0</v>
      </c>
      <c r="L1558" s="4">
        <v>-2.5870000000000002</v>
      </c>
      <c r="M1558" s="4">
        <v>-0.69849000000000006</v>
      </c>
      <c r="N1558" s="4">
        <v>-2.5870000000000002</v>
      </c>
      <c r="O1558" s="4">
        <v>-0.69849000000000006</v>
      </c>
      <c r="P1558" s="4">
        <v>0</v>
      </c>
      <c r="Q1558" s="3" t="s">
        <v>26</v>
      </c>
      <c r="R1558" s="3">
        <v>0</v>
      </c>
      <c r="S1558" s="3" t="s">
        <v>443</v>
      </c>
      <c r="T1558" s="3" t="s">
        <v>684</v>
      </c>
      <c r="U1558" s="3">
        <v>0</v>
      </c>
      <c r="V1558" s="3">
        <v>24</v>
      </c>
      <c r="W1558" s="3">
        <v>78</v>
      </c>
    </row>
    <row r="1559" spans="1:23" ht="11.25" customHeight="1" x14ac:dyDescent="0.25">
      <c r="A1559" s="3" t="s">
        <v>21</v>
      </c>
      <c r="B1559" s="3" t="s">
        <v>44</v>
      </c>
      <c r="C1559" s="3" t="s">
        <v>23</v>
      </c>
      <c r="D1559" s="3" t="s">
        <v>45</v>
      </c>
      <c r="E1559" s="3" t="s">
        <v>53</v>
      </c>
      <c r="F1559" s="3" t="s">
        <v>55</v>
      </c>
      <c r="G1559" s="3" t="s">
        <v>25</v>
      </c>
      <c r="H1559" s="3" t="s">
        <v>25</v>
      </c>
      <c r="I1559" s="6">
        <v>44440</v>
      </c>
      <c r="J1559" s="4">
        <v>0</v>
      </c>
      <c r="K1559" s="4">
        <v>0</v>
      </c>
      <c r="L1559" s="4">
        <v>65.122</v>
      </c>
      <c r="M1559" s="4">
        <v>17.582940000000001</v>
      </c>
      <c r="N1559" s="4">
        <v>65.122</v>
      </c>
      <c r="O1559" s="4">
        <v>17.582940000000001</v>
      </c>
      <c r="P1559" s="4">
        <v>0</v>
      </c>
      <c r="Q1559" s="3" t="s">
        <v>26</v>
      </c>
      <c r="R1559" s="3">
        <v>0</v>
      </c>
      <c r="S1559" s="3" t="s">
        <v>444</v>
      </c>
      <c r="T1559" s="3" t="s">
        <v>685</v>
      </c>
      <c r="U1559" s="3">
        <v>0</v>
      </c>
      <c r="V1559" s="3">
        <v>24</v>
      </c>
      <c r="W1559" s="3">
        <v>78</v>
      </c>
    </row>
    <row r="1560" spans="1:23" ht="11.25" customHeight="1" x14ac:dyDescent="0.25">
      <c r="A1560" s="3" t="s">
        <v>27</v>
      </c>
      <c r="B1560" s="3" t="s">
        <v>44</v>
      </c>
      <c r="C1560" s="3" t="s">
        <v>23</v>
      </c>
      <c r="D1560" s="3" t="s">
        <v>45</v>
      </c>
      <c r="E1560" s="3" t="s">
        <v>53</v>
      </c>
      <c r="F1560" s="3" t="s">
        <v>55</v>
      </c>
      <c r="G1560" s="3" t="s">
        <v>25</v>
      </c>
      <c r="H1560" s="3" t="s">
        <v>25</v>
      </c>
      <c r="I1560" s="6">
        <v>44440</v>
      </c>
      <c r="J1560" s="4">
        <v>0</v>
      </c>
      <c r="K1560" s="4">
        <v>0</v>
      </c>
      <c r="L1560" s="4">
        <v>-7.5190000000000001</v>
      </c>
      <c r="M1560" s="4">
        <v>-2.0301300000000002</v>
      </c>
      <c r="N1560" s="4">
        <v>-7.5190000000000001</v>
      </c>
      <c r="O1560" s="4">
        <v>-2.0301300000000002</v>
      </c>
      <c r="P1560" s="4">
        <v>0</v>
      </c>
      <c r="Q1560" s="3" t="s">
        <v>26</v>
      </c>
      <c r="R1560" s="3">
        <v>0</v>
      </c>
      <c r="S1560" s="3" t="s">
        <v>444</v>
      </c>
      <c r="T1560" s="3" t="s">
        <v>685</v>
      </c>
      <c r="U1560" s="3">
        <v>0</v>
      </c>
      <c r="V1560" s="3">
        <v>24</v>
      </c>
      <c r="W1560" s="3">
        <v>78</v>
      </c>
    </row>
    <row r="1561" spans="1:23" ht="11.25" customHeight="1" x14ac:dyDescent="0.25">
      <c r="A1561" s="3" t="s">
        <v>21</v>
      </c>
      <c r="B1561" s="3" t="s">
        <v>44</v>
      </c>
      <c r="C1561" s="3" t="s">
        <v>23</v>
      </c>
      <c r="D1561" s="3" t="s">
        <v>45</v>
      </c>
      <c r="E1561" s="3" t="s">
        <v>53</v>
      </c>
      <c r="F1561" s="3" t="s">
        <v>55</v>
      </c>
      <c r="G1561" s="3" t="s">
        <v>25</v>
      </c>
      <c r="H1561" s="3" t="s">
        <v>25</v>
      </c>
      <c r="I1561" s="6">
        <v>44470</v>
      </c>
      <c r="J1561" s="4">
        <v>0</v>
      </c>
      <c r="K1561" s="4">
        <v>0</v>
      </c>
      <c r="L1561" s="4">
        <v>79.238</v>
      </c>
      <c r="M1561" s="4">
        <v>21.394259999999999</v>
      </c>
      <c r="N1561" s="4">
        <v>79.238</v>
      </c>
      <c r="O1561" s="4">
        <v>21.394259999999999</v>
      </c>
      <c r="P1561" s="4">
        <v>0</v>
      </c>
      <c r="Q1561" s="3" t="s">
        <v>26</v>
      </c>
      <c r="R1561" s="3">
        <v>0</v>
      </c>
      <c r="S1561" s="3" t="s">
        <v>445</v>
      </c>
      <c r="T1561" s="3" t="s">
        <v>686</v>
      </c>
      <c r="U1561" s="3">
        <v>0</v>
      </c>
      <c r="V1561" s="3">
        <v>24</v>
      </c>
      <c r="W1561" s="3">
        <v>78</v>
      </c>
    </row>
    <row r="1562" spans="1:23" ht="11.25" customHeight="1" x14ac:dyDescent="0.25">
      <c r="A1562" s="3" t="s">
        <v>27</v>
      </c>
      <c r="B1562" s="3" t="s">
        <v>44</v>
      </c>
      <c r="C1562" s="3" t="s">
        <v>23</v>
      </c>
      <c r="D1562" s="3" t="s">
        <v>45</v>
      </c>
      <c r="E1562" s="3" t="s">
        <v>53</v>
      </c>
      <c r="F1562" s="3" t="s">
        <v>55</v>
      </c>
      <c r="G1562" s="3" t="s">
        <v>25</v>
      </c>
      <c r="H1562" s="3" t="s">
        <v>25</v>
      </c>
      <c r="I1562" s="6">
        <v>44470</v>
      </c>
      <c r="J1562" s="4">
        <v>0</v>
      </c>
      <c r="K1562" s="4">
        <v>0</v>
      </c>
      <c r="L1562" s="4">
        <v>-0.97299999999999998</v>
      </c>
      <c r="M1562" s="4">
        <v>-0.26271</v>
      </c>
      <c r="N1562" s="4">
        <v>-0.97299999999999998</v>
      </c>
      <c r="O1562" s="4">
        <v>-0.26271</v>
      </c>
      <c r="P1562" s="4">
        <v>0</v>
      </c>
      <c r="Q1562" s="3" t="s">
        <v>26</v>
      </c>
      <c r="R1562" s="3">
        <v>0</v>
      </c>
      <c r="S1562" s="3" t="s">
        <v>445</v>
      </c>
      <c r="T1562" s="3" t="s">
        <v>686</v>
      </c>
      <c r="U1562" s="3">
        <v>0</v>
      </c>
      <c r="V1562" s="3">
        <v>24</v>
      </c>
      <c r="W1562" s="3">
        <v>78</v>
      </c>
    </row>
    <row r="1563" spans="1:23" ht="11.25" customHeight="1" x14ac:dyDescent="0.25">
      <c r="A1563" s="3" t="s">
        <v>21</v>
      </c>
      <c r="B1563" s="3" t="s">
        <v>44</v>
      </c>
      <c r="C1563" s="3" t="s">
        <v>23</v>
      </c>
      <c r="D1563" s="3" t="s">
        <v>45</v>
      </c>
      <c r="E1563" s="3" t="s">
        <v>53</v>
      </c>
      <c r="F1563" s="3" t="s">
        <v>55</v>
      </c>
      <c r="G1563" s="3" t="s">
        <v>25</v>
      </c>
      <c r="H1563" s="3" t="s">
        <v>25</v>
      </c>
      <c r="I1563" s="6">
        <v>44501</v>
      </c>
      <c r="J1563" s="4">
        <v>0</v>
      </c>
      <c r="K1563" s="4">
        <v>0</v>
      </c>
      <c r="L1563" s="4">
        <v>123.11499999999999</v>
      </c>
      <c r="M1563" s="4">
        <v>33.241050000000001</v>
      </c>
      <c r="N1563" s="4">
        <v>123.11499999999999</v>
      </c>
      <c r="O1563" s="4">
        <v>33.241050000000001</v>
      </c>
      <c r="P1563" s="4">
        <v>0</v>
      </c>
      <c r="Q1563" s="3" t="s">
        <v>26</v>
      </c>
      <c r="R1563" s="3">
        <v>0</v>
      </c>
      <c r="S1563" s="3" t="s">
        <v>446</v>
      </c>
      <c r="T1563" s="3" t="s">
        <v>687</v>
      </c>
      <c r="U1563" s="3">
        <v>0</v>
      </c>
      <c r="V1563" s="3">
        <v>24</v>
      </c>
      <c r="W1563" s="3">
        <v>78</v>
      </c>
    </row>
    <row r="1564" spans="1:23" ht="11.25" customHeight="1" x14ac:dyDescent="0.25">
      <c r="A1564" s="3" t="s">
        <v>27</v>
      </c>
      <c r="B1564" s="3" t="s">
        <v>44</v>
      </c>
      <c r="C1564" s="3" t="s">
        <v>23</v>
      </c>
      <c r="D1564" s="3" t="s">
        <v>45</v>
      </c>
      <c r="E1564" s="3" t="s">
        <v>53</v>
      </c>
      <c r="F1564" s="3" t="s">
        <v>55</v>
      </c>
      <c r="G1564" s="3" t="s">
        <v>25</v>
      </c>
      <c r="H1564" s="3" t="s">
        <v>25</v>
      </c>
      <c r="I1564" s="6">
        <v>44501</v>
      </c>
      <c r="J1564" s="4">
        <v>0</v>
      </c>
      <c r="K1564" s="4">
        <v>0</v>
      </c>
      <c r="L1564" s="4">
        <v>-0.2</v>
      </c>
      <c r="M1564" s="4">
        <v>-5.3999999999999999E-2</v>
      </c>
      <c r="N1564" s="4">
        <v>-0.2</v>
      </c>
      <c r="O1564" s="4">
        <v>-5.3999999999999999E-2</v>
      </c>
      <c r="P1564" s="4">
        <v>0</v>
      </c>
      <c r="Q1564" s="3" t="s">
        <v>26</v>
      </c>
      <c r="R1564" s="3">
        <v>0</v>
      </c>
      <c r="S1564" s="3" t="s">
        <v>446</v>
      </c>
      <c r="T1564" s="3" t="s">
        <v>687</v>
      </c>
      <c r="U1564" s="3">
        <v>0</v>
      </c>
      <c r="V1564" s="3">
        <v>24</v>
      </c>
      <c r="W1564" s="3">
        <v>78</v>
      </c>
    </row>
    <row r="1565" spans="1:23" ht="11.25" customHeight="1" x14ac:dyDescent="0.25">
      <c r="A1565" s="3" t="s">
        <v>21</v>
      </c>
      <c r="B1565" s="3" t="s">
        <v>44</v>
      </c>
      <c r="C1565" s="3" t="s">
        <v>23</v>
      </c>
      <c r="D1565" s="3" t="s">
        <v>45</v>
      </c>
      <c r="E1565" s="3" t="s">
        <v>53</v>
      </c>
      <c r="F1565" s="3" t="s">
        <v>55</v>
      </c>
      <c r="G1565" s="3" t="s">
        <v>25</v>
      </c>
      <c r="H1565" s="3" t="s">
        <v>25</v>
      </c>
      <c r="I1565" s="6">
        <v>44531</v>
      </c>
      <c r="J1565" s="4">
        <v>0</v>
      </c>
      <c r="K1565" s="4">
        <v>0</v>
      </c>
      <c r="L1565" s="4">
        <v>125.746</v>
      </c>
      <c r="M1565" s="4">
        <v>33.951419999999999</v>
      </c>
      <c r="N1565" s="4">
        <v>125.746</v>
      </c>
      <c r="O1565" s="4">
        <v>33.951419999999999</v>
      </c>
      <c r="P1565" s="4">
        <v>0</v>
      </c>
      <c r="Q1565" s="3" t="s">
        <v>26</v>
      </c>
      <c r="R1565" s="3">
        <v>0</v>
      </c>
      <c r="S1565" s="3" t="s">
        <v>447</v>
      </c>
      <c r="T1565" s="3" t="s">
        <v>688</v>
      </c>
      <c r="U1565" s="3">
        <v>0</v>
      </c>
      <c r="V1565" s="3">
        <v>24</v>
      </c>
      <c r="W1565" s="3">
        <v>78</v>
      </c>
    </row>
    <row r="1566" spans="1:23" ht="11.25" customHeight="1" x14ac:dyDescent="0.25">
      <c r="A1566" s="3" t="s">
        <v>21</v>
      </c>
      <c r="B1566" s="3" t="s">
        <v>44</v>
      </c>
      <c r="C1566" s="3" t="s">
        <v>23</v>
      </c>
      <c r="D1566" s="3" t="s">
        <v>45</v>
      </c>
      <c r="E1566" s="3" t="s">
        <v>53</v>
      </c>
      <c r="F1566" s="3" t="s">
        <v>55</v>
      </c>
      <c r="G1566" s="3" t="s">
        <v>25</v>
      </c>
      <c r="H1566" s="3" t="s">
        <v>25</v>
      </c>
      <c r="I1566" s="6">
        <v>44562</v>
      </c>
      <c r="J1566" s="4">
        <v>0</v>
      </c>
      <c r="K1566" s="4">
        <v>0</v>
      </c>
      <c r="L1566" s="4">
        <v>89.790999999999997</v>
      </c>
      <c r="M1566" s="4">
        <v>24.243569999999998</v>
      </c>
      <c r="N1566" s="4">
        <v>89.790999999999997</v>
      </c>
      <c r="O1566" s="4">
        <v>24.243569999999998</v>
      </c>
      <c r="P1566" s="4">
        <v>0</v>
      </c>
      <c r="Q1566" s="3" t="s">
        <v>26</v>
      </c>
      <c r="R1566" s="3">
        <v>0</v>
      </c>
      <c r="S1566" s="3" t="s">
        <v>448</v>
      </c>
      <c r="T1566" s="3" t="s">
        <v>689</v>
      </c>
      <c r="U1566" s="3">
        <v>0</v>
      </c>
      <c r="V1566" s="3">
        <v>24</v>
      </c>
      <c r="W1566" s="3">
        <v>78</v>
      </c>
    </row>
    <row r="1567" spans="1:23" ht="11.25" customHeight="1" x14ac:dyDescent="0.25">
      <c r="A1567" s="3" t="s">
        <v>21</v>
      </c>
      <c r="B1567" s="3" t="s">
        <v>44</v>
      </c>
      <c r="C1567" s="3" t="s">
        <v>23</v>
      </c>
      <c r="D1567" s="3" t="s">
        <v>45</v>
      </c>
      <c r="E1567" s="3" t="s">
        <v>53</v>
      </c>
      <c r="F1567" s="3" t="s">
        <v>55</v>
      </c>
      <c r="G1567" s="3" t="s">
        <v>25</v>
      </c>
      <c r="H1567" s="3" t="s">
        <v>25</v>
      </c>
      <c r="I1567" s="6">
        <v>44593</v>
      </c>
      <c r="J1567" s="4">
        <v>0</v>
      </c>
      <c r="K1567" s="4">
        <v>0</v>
      </c>
      <c r="L1567" s="4">
        <v>103.61199999999999</v>
      </c>
      <c r="M1567" s="4">
        <v>27.975239999999999</v>
      </c>
      <c r="N1567" s="4">
        <v>103.61199999999999</v>
      </c>
      <c r="O1567" s="4">
        <v>27.975239999999999</v>
      </c>
      <c r="P1567" s="4">
        <v>0</v>
      </c>
      <c r="Q1567" s="3" t="s">
        <v>26</v>
      </c>
      <c r="R1567" s="3">
        <v>0</v>
      </c>
      <c r="S1567" s="3" t="s">
        <v>449</v>
      </c>
      <c r="T1567" s="3" t="s">
        <v>690</v>
      </c>
      <c r="U1567" s="3">
        <v>0</v>
      </c>
      <c r="V1567" s="3">
        <v>24</v>
      </c>
      <c r="W1567" s="3">
        <v>78</v>
      </c>
    </row>
    <row r="1568" spans="1:23" ht="11.25" customHeight="1" x14ac:dyDescent="0.25">
      <c r="A1568" s="3" t="s">
        <v>27</v>
      </c>
      <c r="B1568" s="3" t="s">
        <v>44</v>
      </c>
      <c r="C1568" s="3" t="s">
        <v>23</v>
      </c>
      <c r="D1568" s="3" t="s">
        <v>45</v>
      </c>
      <c r="E1568" s="3" t="s">
        <v>53</v>
      </c>
      <c r="F1568" s="3" t="s">
        <v>55</v>
      </c>
      <c r="G1568" s="3" t="s">
        <v>25</v>
      </c>
      <c r="H1568" s="3" t="s">
        <v>25</v>
      </c>
      <c r="I1568" s="6">
        <v>44593</v>
      </c>
      <c r="J1568" s="4">
        <v>0</v>
      </c>
      <c r="K1568" s="4">
        <v>0</v>
      </c>
      <c r="L1568" s="4">
        <v>0.1</v>
      </c>
      <c r="M1568" s="4">
        <v>2.7E-2</v>
      </c>
      <c r="N1568" s="4">
        <v>0.1</v>
      </c>
      <c r="O1568" s="4">
        <v>2.7E-2</v>
      </c>
      <c r="P1568" s="4">
        <v>0</v>
      </c>
      <c r="Q1568" s="3" t="s">
        <v>26</v>
      </c>
      <c r="R1568" s="3">
        <v>0</v>
      </c>
      <c r="S1568" s="3" t="s">
        <v>449</v>
      </c>
      <c r="T1568" s="3" t="s">
        <v>690</v>
      </c>
      <c r="U1568" s="3">
        <v>0</v>
      </c>
      <c r="V1568" s="3">
        <v>24</v>
      </c>
      <c r="W1568" s="3">
        <v>78</v>
      </c>
    </row>
    <row r="1569" spans="1:23" ht="11.25" customHeight="1" x14ac:dyDescent="0.25">
      <c r="A1569" s="3" t="s">
        <v>21</v>
      </c>
      <c r="B1569" s="3" t="s">
        <v>44</v>
      </c>
      <c r="C1569" s="3" t="s">
        <v>23</v>
      </c>
      <c r="D1569" s="3" t="s">
        <v>45</v>
      </c>
      <c r="E1569" s="3" t="s">
        <v>53</v>
      </c>
      <c r="F1569" s="3" t="s">
        <v>55</v>
      </c>
      <c r="G1569" s="3" t="s">
        <v>25</v>
      </c>
      <c r="H1569" s="3" t="s">
        <v>25</v>
      </c>
      <c r="I1569" s="6">
        <v>44621</v>
      </c>
      <c r="J1569" s="4">
        <v>0</v>
      </c>
      <c r="K1569" s="4">
        <v>0</v>
      </c>
      <c r="L1569" s="4">
        <v>85.393000000000001</v>
      </c>
      <c r="M1569" s="4">
        <v>23.05611</v>
      </c>
      <c r="N1569" s="4">
        <v>85.393000000000001</v>
      </c>
      <c r="O1569" s="4">
        <v>23.05611</v>
      </c>
      <c r="P1569" s="4">
        <v>0</v>
      </c>
      <c r="Q1569" s="3" t="s">
        <v>26</v>
      </c>
      <c r="R1569" s="3">
        <v>0</v>
      </c>
      <c r="S1569" s="3" t="s">
        <v>450</v>
      </c>
      <c r="T1569" s="3" t="s">
        <v>691</v>
      </c>
      <c r="U1569" s="3">
        <v>0</v>
      </c>
      <c r="V1569" s="3">
        <v>24</v>
      </c>
      <c r="W1569" s="3">
        <v>78</v>
      </c>
    </row>
    <row r="1570" spans="1:23" ht="11.25" customHeight="1" x14ac:dyDescent="0.25">
      <c r="A1570" s="3" t="s">
        <v>56</v>
      </c>
      <c r="B1570" s="3" t="s">
        <v>44</v>
      </c>
      <c r="C1570" s="3" t="s">
        <v>23</v>
      </c>
      <c r="D1570" s="3" t="s">
        <v>45</v>
      </c>
      <c r="E1570" s="3" t="s">
        <v>53</v>
      </c>
      <c r="F1570" s="3" t="s">
        <v>55</v>
      </c>
      <c r="G1570" s="3" t="s">
        <v>25</v>
      </c>
      <c r="H1570" s="3" t="s">
        <v>25</v>
      </c>
      <c r="I1570" s="6">
        <v>44652</v>
      </c>
      <c r="J1570" s="4">
        <v>0</v>
      </c>
      <c r="K1570" s="4">
        <v>0</v>
      </c>
      <c r="L1570" s="4">
        <v>85.393000000000001</v>
      </c>
      <c r="M1570" s="4">
        <v>23.05611</v>
      </c>
      <c r="N1570" s="4">
        <v>85.393000000000001</v>
      </c>
      <c r="O1570" s="4">
        <v>23.05611</v>
      </c>
      <c r="P1570" s="4">
        <v>0</v>
      </c>
      <c r="Q1570" s="3" t="s">
        <v>26</v>
      </c>
      <c r="R1570" s="3">
        <v>0</v>
      </c>
      <c r="S1570" s="3" t="s">
        <v>451</v>
      </c>
      <c r="T1570" s="3" t="s">
        <v>692</v>
      </c>
      <c r="U1570" s="3">
        <v>0</v>
      </c>
      <c r="V1570" s="3">
        <v>24</v>
      </c>
      <c r="W1570" s="3">
        <v>78</v>
      </c>
    </row>
    <row r="1571" spans="1:23" ht="11.25" customHeight="1" x14ac:dyDescent="0.25">
      <c r="A1571" s="3" t="s">
        <v>21</v>
      </c>
      <c r="B1571" s="3" t="s">
        <v>44</v>
      </c>
      <c r="C1571" s="3" t="s">
        <v>23</v>
      </c>
      <c r="D1571" s="3" t="s">
        <v>45</v>
      </c>
      <c r="E1571" s="3" t="s">
        <v>25</v>
      </c>
      <c r="F1571" s="3" t="s">
        <v>25</v>
      </c>
      <c r="G1571" s="3" t="s">
        <v>25</v>
      </c>
      <c r="H1571" s="3" t="s">
        <v>25</v>
      </c>
      <c r="I1571" s="6">
        <v>44317</v>
      </c>
      <c r="J1571" s="4">
        <v>0</v>
      </c>
      <c r="K1571" s="4">
        <v>0</v>
      </c>
      <c r="L1571" s="4">
        <v>5510.0290000000005</v>
      </c>
      <c r="M1571" s="4">
        <v>5510.0290000000005</v>
      </c>
      <c r="N1571" s="4">
        <v>5510.0290000000005</v>
      </c>
      <c r="O1571" s="4">
        <v>5510.0290000000005</v>
      </c>
      <c r="P1571" s="4">
        <v>33405</v>
      </c>
      <c r="Q1571" s="3" t="s">
        <v>26</v>
      </c>
      <c r="R1571" s="3">
        <v>0</v>
      </c>
      <c r="S1571" s="3" t="s">
        <v>440</v>
      </c>
      <c r="T1571" s="3" t="s">
        <v>681</v>
      </c>
      <c r="U1571" s="3">
        <v>0</v>
      </c>
      <c r="V1571" s="3">
        <v>37</v>
      </c>
      <c r="W1571" s="3">
        <v>78</v>
      </c>
    </row>
    <row r="1572" spans="1:23" ht="11.25" customHeight="1" x14ac:dyDescent="0.25">
      <c r="A1572" s="3" t="s">
        <v>27</v>
      </c>
      <c r="B1572" s="3" t="s">
        <v>44</v>
      </c>
      <c r="C1572" s="3" t="s">
        <v>23</v>
      </c>
      <c r="D1572" s="3" t="s">
        <v>45</v>
      </c>
      <c r="E1572" s="3" t="s">
        <v>25</v>
      </c>
      <c r="F1572" s="3" t="s">
        <v>25</v>
      </c>
      <c r="G1572" s="3" t="s">
        <v>25</v>
      </c>
      <c r="H1572" s="3" t="s">
        <v>25</v>
      </c>
      <c r="I1572" s="6">
        <v>44317</v>
      </c>
      <c r="J1572" s="4">
        <v>0</v>
      </c>
      <c r="K1572" s="4">
        <v>0</v>
      </c>
      <c r="L1572" s="4">
        <v>147.43600000000001</v>
      </c>
      <c r="M1572" s="4">
        <v>147.43600000000001</v>
      </c>
      <c r="N1572" s="4">
        <v>147.43600000000001</v>
      </c>
      <c r="O1572" s="4">
        <v>147.43600000000001</v>
      </c>
      <c r="P1572" s="4">
        <v>-141</v>
      </c>
      <c r="Q1572" s="3" t="s">
        <v>26</v>
      </c>
      <c r="R1572" s="3">
        <v>0</v>
      </c>
      <c r="S1572" s="3" t="s">
        <v>440</v>
      </c>
      <c r="T1572" s="3" t="s">
        <v>681</v>
      </c>
      <c r="U1572" s="3">
        <v>0</v>
      </c>
      <c r="V1572" s="3">
        <v>37</v>
      </c>
      <c r="W1572" s="3">
        <v>78</v>
      </c>
    </row>
    <row r="1573" spans="1:23" ht="11.25" customHeight="1" x14ac:dyDescent="0.25">
      <c r="A1573" s="3" t="s">
        <v>28</v>
      </c>
      <c r="B1573" s="3" t="s">
        <v>44</v>
      </c>
      <c r="C1573" s="3" t="s">
        <v>23</v>
      </c>
      <c r="D1573" s="3" t="s">
        <v>45</v>
      </c>
      <c r="E1573" s="3" t="s">
        <v>25</v>
      </c>
      <c r="F1573" s="3" t="s">
        <v>25</v>
      </c>
      <c r="G1573" s="3" t="s">
        <v>25</v>
      </c>
      <c r="H1573" s="3" t="s">
        <v>25</v>
      </c>
      <c r="I1573" s="6">
        <v>44317</v>
      </c>
      <c r="J1573" s="4">
        <v>0</v>
      </c>
      <c r="K1573" s="4">
        <v>0</v>
      </c>
      <c r="L1573" s="4">
        <v>65.212999999999994</v>
      </c>
      <c r="M1573" s="4">
        <v>65.212999999999994</v>
      </c>
      <c r="N1573" s="4">
        <v>65.212999999999994</v>
      </c>
      <c r="O1573" s="4">
        <v>65.212999999999994</v>
      </c>
      <c r="P1573" s="4">
        <v>145</v>
      </c>
      <c r="Q1573" s="3" t="s">
        <v>26</v>
      </c>
      <c r="R1573" s="3">
        <v>0</v>
      </c>
      <c r="S1573" s="3" t="s">
        <v>440</v>
      </c>
      <c r="T1573" s="3" t="s">
        <v>681</v>
      </c>
      <c r="U1573" s="3">
        <v>0</v>
      </c>
      <c r="V1573" s="3">
        <v>37</v>
      </c>
      <c r="W1573" s="3">
        <v>78</v>
      </c>
    </row>
    <row r="1574" spans="1:23" ht="11.25" customHeight="1" x14ac:dyDescent="0.25">
      <c r="A1574" s="3" t="s">
        <v>21</v>
      </c>
      <c r="B1574" s="3" t="s">
        <v>44</v>
      </c>
      <c r="C1574" s="3" t="s">
        <v>23</v>
      </c>
      <c r="D1574" s="3" t="s">
        <v>45</v>
      </c>
      <c r="E1574" s="3" t="s">
        <v>25</v>
      </c>
      <c r="F1574" s="3" t="s">
        <v>25</v>
      </c>
      <c r="G1574" s="3" t="s">
        <v>25</v>
      </c>
      <c r="H1574" s="3" t="s">
        <v>25</v>
      </c>
      <c r="I1574" s="6">
        <v>44348</v>
      </c>
      <c r="J1574" s="4">
        <v>0</v>
      </c>
      <c r="K1574" s="4">
        <v>0</v>
      </c>
      <c r="L1574" s="4">
        <v>4772.8140000000003</v>
      </c>
      <c r="M1574" s="4">
        <v>4772.8140000000003</v>
      </c>
      <c r="N1574" s="4">
        <v>4772.8140000000003</v>
      </c>
      <c r="O1574" s="4">
        <v>4772.8140000000003</v>
      </c>
      <c r="P1574" s="4">
        <v>34326</v>
      </c>
      <c r="Q1574" s="3" t="s">
        <v>26</v>
      </c>
      <c r="R1574" s="3">
        <v>0</v>
      </c>
      <c r="S1574" s="3" t="s">
        <v>441</v>
      </c>
      <c r="T1574" s="3" t="s">
        <v>682</v>
      </c>
      <c r="U1574" s="3">
        <v>0</v>
      </c>
      <c r="V1574" s="3">
        <v>37</v>
      </c>
      <c r="W1574" s="3">
        <v>78</v>
      </c>
    </row>
    <row r="1575" spans="1:23" ht="11.25" customHeight="1" x14ac:dyDescent="0.25">
      <c r="A1575" s="3" t="s">
        <v>27</v>
      </c>
      <c r="B1575" s="3" t="s">
        <v>44</v>
      </c>
      <c r="C1575" s="3" t="s">
        <v>23</v>
      </c>
      <c r="D1575" s="3" t="s">
        <v>45</v>
      </c>
      <c r="E1575" s="3" t="s">
        <v>25</v>
      </c>
      <c r="F1575" s="3" t="s">
        <v>25</v>
      </c>
      <c r="G1575" s="3" t="s">
        <v>25</v>
      </c>
      <c r="H1575" s="3" t="s">
        <v>25</v>
      </c>
      <c r="I1575" s="6">
        <v>44348</v>
      </c>
      <c r="J1575" s="4">
        <v>0</v>
      </c>
      <c r="K1575" s="4">
        <v>0</v>
      </c>
      <c r="L1575" s="4">
        <v>-671.23400000000004</v>
      </c>
      <c r="M1575" s="4">
        <v>-671.23400000000004</v>
      </c>
      <c r="N1575" s="4">
        <v>-671.23400000000004</v>
      </c>
      <c r="O1575" s="4">
        <v>-671.23400000000004</v>
      </c>
      <c r="P1575" s="4">
        <v>-265</v>
      </c>
      <c r="Q1575" s="3" t="s">
        <v>26</v>
      </c>
      <c r="R1575" s="3">
        <v>0</v>
      </c>
      <c r="S1575" s="3" t="s">
        <v>441</v>
      </c>
      <c r="T1575" s="3" t="s">
        <v>682</v>
      </c>
      <c r="U1575" s="3">
        <v>0</v>
      </c>
      <c r="V1575" s="3">
        <v>37</v>
      </c>
      <c r="W1575" s="3">
        <v>78</v>
      </c>
    </row>
    <row r="1576" spans="1:23" ht="11.25" customHeight="1" x14ac:dyDescent="0.25">
      <c r="A1576" s="3" t="s">
        <v>28</v>
      </c>
      <c r="B1576" s="3" t="s">
        <v>44</v>
      </c>
      <c r="C1576" s="3" t="s">
        <v>23</v>
      </c>
      <c r="D1576" s="3" t="s">
        <v>45</v>
      </c>
      <c r="E1576" s="3" t="s">
        <v>25</v>
      </c>
      <c r="F1576" s="3" t="s">
        <v>25</v>
      </c>
      <c r="G1576" s="3" t="s">
        <v>25</v>
      </c>
      <c r="H1576" s="3" t="s">
        <v>25</v>
      </c>
      <c r="I1576" s="6">
        <v>44348</v>
      </c>
      <c r="J1576" s="4">
        <v>0</v>
      </c>
      <c r="K1576" s="4">
        <v>0</v>
      </c>
      <c r="L1576" s="4">
        <v>66.16</v>
      </c>
      <c r="M1576" s="4">
        <v>66.16</v>
      </c>
      <c r="N1576" s="4">
        <v>66.16</v>
      </c>
      <c r="O1576" s="4">
        <v>66.16</v>
      </c>
      <c r="P1576" s="4">
        <v>153</v>
      </c>
      <c r="Q1576" s="3" t="s">
        <v>26</v>
      </c>
      <c r="R1576" s="3">
        <v>0</v>
      </c>
      <c r="S1576" s="3" t="s">
        <v>441</v>
      </c>
      <c r="T1576" s="3" t="s">
        <v>682</v>
      </c>
      <c r="U1576" s="3">
        <v>0</v>
      </c>
      <c r="V1576" s="3">
        <v>37</v>
      </c>
      <c r="W1576" s="3">
        <v>78</v>
      </c>
    </row>
    <row r="1577" spans="1:23" ht="11.25" customHeight="1" x14ac:dyDescent="0.25">
      <c r="A1577" s="3" t="s">
        <v>21</v>
      </c>
      <c r="B1577" s="3" t="s">
        <v>44</v>
      </c>
      <c r="C1577" s="3" t="s">
        <v>23</v>
      </c>
      <c r="D1577" s="3" t="s">
        <v>45</v>
      </c>
      <c r="E1577" s="3" t="s">
        <v>25</v>
      </c>
      <c r="F1577" s="3" t="s">
        <v>25</v>
      </c>
      <c r="G1577" s="3" t="s">
        <v>25</v>
      </c>
      <c r="H1577" s="3" t="s">
        <v>25</v>
      </c>
      <c r="I1577" s="6">
        <v>44378</v>
      </c>
      <c r="J1577" s="4">
        <v>0</v>
      </c>
      <c r="K1577" s="4">
        <v>0</v>
      </c>
      <c r="L1577" s="4">
        <v>4605.8450000000003</v>
      </c>
      <c r="M1577" s="4">
        <v>4605.8450000000003</v>
      </c>
      <c r="N1577" s="4">
        <v>4605.8450000000003</v>
      </c>
      <c r="O1577" s="4">
        <v>4605.8450000000003</v>
      </c>
      <c r="P1577" s="4">
        <v>34905</v>
      </c>
      <c r="Q1577" s="3" t="s">
        <v>26</v>
      </c>
      <c r="R1577" s="3">
        <v>0</v>
      </c>
      <c r="S1577" s="3" t="s">
        <v>442</v>
      </c>
      <c r="T1577" s="3" t="s">
        <v>683</v>
      </c>
      <c r="U1577" s="3">
        <v>0</v>
      </c>
      <c r="V1577" s="3">
        <v>37</v>
      </c>
      <c r="W1577" s="3">
        <v>78</v>
      </c>
    </row>
    <row r="1578" spans="1:23" ht="11.25" customHeight="1" x14ac:dyDescent="0.25">
      <c r="A1578" s="3" t="s">
        <v>27</v>
      </c>
      <c r="B1578" s="3" t="s">
        <v>44</v>
      </c>
      <c r="C1578" s="3" t="s">
        <v>23</v>
      </c>
      <c r="D1578" s="3" t="s">
        <v>45</v>
      </c>
      <c r="E1578" s="3" t="s">
        <v>25</v>
      </c>
      <c r="F1578" s="3" t="s">
        <v>25</v>
      </c>
      <c r="G1578" s="3" t="s">
        <v>25</v>
      </c>
      <c r="H1578" s="3" t="s">
        <v>25</v>
      </c>
      <c r="I1578" s="6">
        <v>44378</v>
      </c>
      <c r="J1578" s="4">
        <v>0</v>
      </c>
      <c r="K1578" s="4">
        <v>0</v>
      </c>
      <c r="L1578" s="4">
        <v>-78.144000000000005</v>
      </c>
      <c r="M1578" s="4">
        <v>-78.144000000000005</v>
      </c>
      <c r="N1578" s="4">
        <v>-78.144000000000005</v>
      </c>
      <c r="O1578" s="4">
        <v>-78.144000000000005</v>
      </c>
      <c r="P1578" s="4">
        <v>-106</v>
      </c>
      <c r="Q1578" s="3" t="s">
        <v>26</v>
      </c>
      <c r="R1578" s="3">
        <v>0</v>
      </c>
      <c r="S1578" s="3" t="s">
        <v>442</v>
      </c>
      <c r="T1578" s="3" t="s">
        <v>683</v>
      </c>
      <c r="U1578" s="3">
        <v>0</v>
      </c>
      <c r="V1578" s="3">
        <v>37</v>
      </c>
      <c r="W1578" s="3">
        <v>78</v>
      </c>
    </row>
    <row r="1579" spans="1:23" ht="11.25" customHeight="1" x14ac:dyDescent="0.25">
      <c r="A1579" s="3" t="s">
        <v>28</v>
      </c>
      <c r="B1579" s="3" t="s">
        <v>44</v>
      </c>
      <c r="C1579" s="3" t="s">
        <v>23</v>
      </c>
      <c r="D1579" s="3" t="s">
        <v>45</v>
      </c>
      <c r="E1579" s="3" t="s">
        <v>25</v>
      </c>
      <c r="F1579" s="3" t="s">
        <v>25</v>
      </c>
      <c r="G1579" s="3" t="s">
        <v>25</v>
      </c>
      <c r="H1579" s="3" t="s">
        <v>25</v>
      </c>
      <c r="I1579" s="6">
        <v>44378</v>
      </c>
      <c r="J1579" s="4">
        <v>0</v>
      </c>
      <c r="K1579" s="4">
        <v>0</v>
      </c>
      <c r="L1579" s="4">
        <v>59.048999999999999</v>
      </c>
      <c r="M1579" s="4">
        <v>59.048999999999999</v>
      </c>
      <c r="N1579" s="4">
        <v>59.048999999999999</v>
      </c>
      <c r="O1579" s="4">
        <v>59.048999999999999</v>
      </c>
      <c r="P1579" s="4">
        <v>163</v>
      </c>
      <c r="Q1579" s="3" t="s">
        <v>26</v>
      </c>
      <c r="R1579" s="3">
        <v>0</v>
      </c>
      <c r="S1579" s="3" t="s">
        <v>442</v>
      </c>
      <c r="T1579" s="3" t="s">
        <v>683</v>
      </c>
      <c r="U1579" s="3">
        <v>0</v>
      </c>
      <c r="V1579" s="3">
        <v>37</v>
      </c>
      <c r="W1579" s="3">
        <v>78</v>
      </c>
    </row>
    <row r="1580" spans="1:23" ht="11.25" customHeight="1" x14ac:dyDescent="0.25">
      <c r="A1580" s="3" t="s">
        <v>28</v>
      </c>
      <c r="B1580" s="3" t="s">
        <v>44</v>
      </c>
      <c r="C1580" s="3" t="s">
        <v>23</v>
      </c>
      <c r="D1580" s="3" t="s">
        <v>45</v>
      </c>
      <c r="E1580" s="3" t="s">
        <v>25</v>
      </c>
      <c r="F1580" s="3" t="s">
        <v>25</v>
      </c>
      <c r="G1580" s="3" t="s">
        <v>25</v>
      </c>
      <c r="H1580" s="3" t="s">
        <v>25</v>
      </c>
      <c r="I1580" s="6">
        <v>44378</v>
      </c>
      <c r="J1580" s="4">
        <v>0</v>
      </c>
      <c r="K1580" s="4">
        <v>0</v>
      </c>
      <c r="L1580" s="4">
        <v>1.486</v>
      </c>
      <c r="M1580" s="4">
        <v>1.486</v>
      </c>
      <c r="N1580" s="4">
        <v>1.486</v>
      </c>
      <c r="O1580" s="4">
        <v>1.486</v>
      </c>
      <c r="P1580" s="4">
        <v>4</v>
      </c>
      <c r="Q1580" s="3" t="s">
        <v>26</v>
      </c>
      <c r="R1580" s="3">
        <v>0</v>
      </c>
      <c r="S1580" s="3" t="s">
        <v>442</v>
      </c>
      <c r="T1580" s="3" t="s">
        <v>683</v>
      </c>
      <c r="U1580" s="3">
        <v>0</v>
      </c>
      <c r="V1580" s="3">
        <v>37</v>
      </c>
      <c r="W1580" s="3">
        <v>78</v>
      </c>
    </row>
    <row r="1581" spans="1:23" ht="11.25" customHeight="1" x14ac:dyDescent="0.25">
      <c r="A1581" s="3" t="s">
        <v>21</v>
      </c>
      <c r="B1581" s="3" t="s">
        <v>44</v>
      </c>
      <c r="C1581" s="3" t="s">
        <v>23</v>
      </c>
      <c r="D1581" s="3" t="s">
        <v>45</v>
      </c>
      <c r="E1581" s="3" t="s">
        <v>25</v>
      </c>
      <c r="F1581" s="3" t="s">
        <v>25</v>
      </c>
      <c r="G1581" s="3" t="s">
        <v>25</v>
      </c>
      <c r="H1581" s="3" t="s">
        <v>25</v>
      </c>
      <c r="I1581" s="6">
        <v>44409</v>
      </c>
      <c r="J1581" s="4">
        <v>0</v>
      </c>
      <c r="K1581" s="4">
        <v>0</v>
      </c>
      <c r="L1581" s="4">
        <v>4522.3689999999997</v>
      </c>
      <c r="M1581" s="4">
        <v>4522.3689999999997</v>
      </c>
      <c r="N1581" s="4">
        <v>4522.3689999999997</v>
      </c>
      <c r="O1581" s="4">
        <v>4522.3689999999997</v>
      </c>
      <c r="P1581" s="4">
        <v>35161</v>
      </c>
      <c r="Q1581" s="3" t="s">
        <v>26</v>
      </c>
      <c r="R1581" s="3">
        <v>0</v>
      </c>
      <c r="S1581" s="3" t="s">
        <v>443</v>
      </c>
      <c r="T1581" s="3" t="s">
        <v>684</v>
      </c>
      <c r="U1581" s="3">
        <v>0</v>
      </c>
      <c r="V1581" s="3">
        <v>37</v>
      </c>
      <c r="W1581" s="3">
        <v>78</v>
      </c>
    </row>
    <row r="1582" spans="1:23" ht="11.25" customHeight="1" x14ac:dyDescent="0.25">
      <c r="A1582" s="3" t="s">
        <v>27</v>
      </c>
      <c r="B1582" s="3" t="s">
        <v>44</v>
      </c>
      <c r="C1582" s="3" t="s">
        <v>23</v>
      </c>
      <c r="D1582" s="3" t="s">
        <v>45</v>
      </c>
      <c r="E1582" s="3" t="s">
        <v>25</v>
      </c>
      <c r="F1582" s="3" t="s">
        <v>25</v>
      </c>
      <c r="G1582" s="3" t="s">
        <v>25</v>
      </c>
      <c r="H1582" s="3" t="s">
        <v>25</v>
      </c>
      <c r="I1582" s="6">
        <v>44409</v>
      </c>
      <c r="J1582" s="4">
        <v>0</v>
      </c>
      <c r="K1582" s="4">
        <v>0</v>
      </c>
      <c r="L1582" s="4">
        <v>-36.036000000000001</v>
      </c>
      <c r="M1582" s="4">
        <v>-36.036000000000001</v>
      </c>
      <c r="N1582" s="4">
        <v>-36.036000000000001</v>
      </c>
      <c r="O1582" s="4">
        <v>-36.036000000000001</v>
      </c>
      <c r="P1582" s="4">
        <v>-171</v>
      </c>
      <c r="Q1582" s="3" t="s">
        <v>26</v>
      </c>
      <c r="R1582" s="3">
        <v>0</v>
      </c>
      <c r="S1582" s="3" t="s">
        <v>443</v>
      </c>
      <c r="T1582" s="3" t="s">
        <v>684</v>
      </c>
      <c r="U1582" s="3">
        <v>0</v>
      </c>
      <c r="V1582" s="3">
        <v>37</v>
      </c>
      <c r="W1582" s="3">
        <v>78</v>
      </c>
    </row>
    <row r="1583" spans="1:23" ht="11.25" customHeight="1" x14ac:dyDescent="0.25">
      <c r="A1583" s="3" t="s">
        <v>28</v>
      </c>
      <c r="B1583" s="3" t="s">
        <v>44</v>
      </c>
      <c r="C1583" s="3" t="s">
        <v>23</v>
      </c>
      <c r="D1583" s="3" t="s">
        <v>45</v>
      </c>
      <c r="E1583" s="3" t="s">
        <v>25</v>
      </c>
      <c r="F1583" s="3" t="s">
        <v>25</v>
      </c>
      <c r="G1583" s="3" t="s">
        <v>25</v>
      </c>
      <c r="H1583" s="3" t="s">
        <v>25</v>
      </c>
      <c r="I1583" s="6">
        <v>44409</v>
      </c>
      <c r="J1583" s="4">
        <v>0</v>
      </c>
      <c r="K1583" s="4">
        <v>0</v>
      </c>
      <c r="L1583" s="4">
        <v>56.956000000000003</v>
      </c>
      <c r="M1583" s="4">
        <v>56.956000000000003</v>
      </c>
      <c r="N1583" s="4">
        <v>56.956000000000003</v>
      </c>
      <c r="O1583" s="4">
        <v>56.956000000000003</v>
      </c>
      <c r="P1583" s="4">
        <v>176</v>
      </c>
      <c r="Q1583" s="3" t="s">
        <v>26</v>
      </c>
      <c r="R1583" s="3">
        <v>0</v>
      </c>
      <c r="S1583" s="3" t="s">
        <v>443</v>
      </c>
      <c r="T1583" s="3" t="s">
        <v>684</v>
      </c>
      <c r="U1583" s="3">
        <v>0</v>
      </c>
      <c r="V1583" s="3">
        <v>37</v>
      </c>
      <c r="W1583" s="3">
        <v>78</v>
      </c>
    </row>
    <row r="1584" spans="1:23" ht="11.25" customHeight="1" x14ac:dyDescent="0.25">
      <c r="A1584" s="3" t="s">
        <v>21</v>
      </c>
      <c r="B1584" s="3" t="s">
        <v>44</v>
      </c>
      <c r="C1584" s="3" t="s">
        <v>23</v>
      </c>
      <c r="D1584" s="3" t="s">
        <v>45</v>
      </c>
      <c r="E1584" s="3" t="s">
        <v>25</v>
      </c>
      <c r="F1584" s="3" t="s">
        <v>25</v>
      </c>
      <c r="G1584" s="3" t="s">
        <v>25</v>
      </c>
      <c r="H1584" s="3" t="s">
        <v>25</v>
      </c>
      <c r="I1584" s="6">
        <v>44440</v>
      </c>
      <c r="J1584" s="4">
        <v>0</v>
      </c>
      <c r="K1584" s="4">
        <v>0</v>
      </c>
      <c r="L1584" s="4">
        <v>4763.1229999999996</v>
      </c>
      <c r="M1584" s="4">
        <v>4763.1229999999996</v>
      </c>
      <c r="N1584" s="4">
        <v>4763.1229999999996</v>
      </c>
      <c r="O1584" s="4">
        <v>4763.1229999999996</v>
      </c>
      <c r="P1584" s="4">
        <v>34970</v>
      </c>
      <c r="Q1584" s="3" t="s">
        <v>26</v>
      </c>
      <c r="R1584" s="3">
        <v>0</v>
      </c>
      <c r="S1584" s="3" t="s">
        <v>444</v>
      </c>
      <c r="T1584" s="3" t="s">
        <v>685</v>
      </c>
      <c r="U1584" s="3">
        <v>0</v>
      </c>
      <c r="V1584" s="3">
        <v>37</v>
      </c>
      <c r="W1584" s="3">
        <v>78</v>
      </c>
    </row>
    <row r="1585" spans="1:23" ht="11.25" customHeight="1" x14ac:dyDescent="0.25">
      <c r="A1585" s="3" t="s">
        <v>27</v>
      </c>
      <c r="B1585" s="3" t="s">
        <v>44</v>
      </c>
      <c r="C1585" s="3" t="s">
        <v>23</v>
      </c>
      <c r="D1585" s="3" t="s">
        <v>45</v>
      </c>
      <c r="E1585" s="3" t="s">
        <v>25</v>
      </c>
      <c r="F1585" s="3" t="s">
        <v>25</v>
      </c>
      <c r="G1585" s="3" t="s">
        <v>25</v>
      </c>
      <c r="H1585" s="3" t="s">
        <v>25</v>
      </c>
      <c r="I1585" s="6">
        <v>44440</v>
      </c>
      <c r="J1585" s="4">
        <v>0</v>
      </c>
      <c r="K1585" s="4">
        <v>0</v>
      </c>
      <c r="L1585" s="4">
        <v>-9.7279999999999998</v>
      </c>
      <c r="M1585" s="4">
        <v>-9.7279999999999998</v>
      </c>
      <c r="N1585" s="4">
        <v>-9.7279999999999998</v>
      </c>
      <c r="O1585" s="4">
        <v>-9.7279999999999998</v>
      </c>
      <c r="P1585" s="4">
        <v>-113</v>
      </c>
      <c r="Q1585" s="3" t="s">
        <v>26</v>
      </c>
      <c r="R1585" s="3">
        <v>0</v>
      </c>
      <c r="S1585" s="3" t="s">
        <v>444</v>
      </c>
      <c r="T1585" s="3" t="s">
        <v>685</v>
      </c>
      <c r="U1585" s="3">
        <v>0</v>
      </c>
      <c r="V1585" s="3">
        <v>37</v>
      </c>
      <c r="W1585" s="3">
        <v>78</v>
      </c>
    </row>
    <row r="1586" spans="1:23" ht="11.25" customHeight="1" x14ac:dyDescent="0.25">
      <c r="A1586" s="3" t="s">
        <v>28</v>
      </c>
      <c r="B1586" s="3" t="s">
        <v>44</v>
      </c>
      <c r="C1586" s="3" t="s">
        <v>23</v>
      </c>
      <c r="D1586" s="3" t="s">
        <v>45</v>
      </c>
      <c r="E1586" s="3" t="s">
        <v>25</v>
      </c>
      <c r="F1586" s="3" t="s">
        <v>25</v>
      </c>
      <c r="G1586" s="3" t="s">
        <v>25</v>
      </c>
      <c r="H1586" s="3" t="s">
        <v>25</v>
      </c>
      <c r="I1586" s="6">
        <v>44440</v>
      </c>
      <c r="J1586" s="4">
        <v>0</v>
      </c>
      <c r="K1586" s="4">
        <v>0</v>
      </c>
      <c r="L1586" s="4">
        <v>98.608000000000004</v>
      </c>
      <c r="M1586" s="4">
        <v>98.608000000000004</v>
      </c>
      <c r="N1586" s="4">
        <v>98.608000000000004</v>
      </c>
      <c r="O1586" s="4">
        <v>98.608000000000004</v>
      </c>
      <c r="P1586" s="4">
        <v>189</v>
      </c>
      <c r="Q1586" s="3" t="s">
        <v>26</v>
      </c>
      <c r="R1586" s="3">
        <v>0</v>
      </c>
      <c r="S1586" s="3" t="s">
        <v>444</v>
      </c>
      <c r="T1586" s="3" t="s">
        <v>685</v>
      </c>
      <c r="U1586" s="3">
        <v>0</v>
      </c>
      <c r="V1586" s="3">
        <v>37</v>
      </c>
      <c r="W1586" s="3">
        <v>78</v>
      </c>
    </row>
    <row r="1587" spans="1:23" ht="11.25" customHeight="1" x14ac:dyDescent="0.25">
      <c r="A1587" s="3" t="s">
        <v>28</v>
      </c>
      <c r="B1587" s="3" t="s">
        <v>44</v>
      </c>
      <c r="C1587" s="3" t="s">
        <v>23</v>
      </c>
      <c r="D1587" s="3" t="s">
        <v>45</v>
      </c>
      <c r="E1587" s="3" t="s">
        <v>25</v>
      </c>
      <c r="F1587" s="3" t="s">
        <v>25</v>
      </c>
      <c r="G1587" s="3" t="s">
        <v>25</v>
      </c>
      <c r="H1587" s="3" t="s">
        <v>25</v>
      </c>
      <c r="I1587" s="6">
        <v>44440</v>
      </c>
      <c r="J1587" s="4">
        <v>0</v>
      </c>
      <c r="K1587" s="4">
        <v>0</v>
      </c>
      <c r="L1587" s="4">
        <v>1.9890000000000001</v>
      </c>
      <c r="M1587" s="4">
        <v>1.9890000000000001</v>
      </c>
      <c r="N1587" s="4">
        <v>1.9890000000000001</v>
      </c>
      <c r="O1587" s="4">
        <v>1.9890000000000001</v>
      </c>
      <c r="P1587" s="4">
        <v>0</v>
      </c>
      <c r="Q1587" s="3" t="s">
        <v>26</v>
      </c>
      <c r="R1587" s="3">
        <v>0</v>
      </c>
      <c r="S1587" s="3" t="s">
        <v>444</v>
      </c>
      <c r="T1587" s="3" t="s">
        <v>685</v>
      </c>
      <c r="U1587" s="3">
        <v>0</v>
      </c>
      <c r="V1587" s="3">
        <v>37</v>
      </c>
      <c r="W1587" s="3">
        <v>78</v>
      </c>
    </row>
    <row r="1588" spans="1:23" ht="11.25" customHeight="1" x14ac:dyDescent="0.25">
      <c r="A1588" s="3" t="s">
        <v>21</v>
      </c>
      <c r="B1588" s="3" t="s">
        <v>44</v>
      </c>
      <c r="C1588" s="3" t="s">
        <v>23</v>
      </c>
      <c r="D1588" s="3" t="s">
        <v>45</v>
      </c>
      <c r="E1588" s="3" t="s">
        <v>25</v>
      </c>
      <c r="F1588" s="3" t="s">
        <v>25</v>
      </c>
      <c r="G1588" s="3" t="s">
        <v>25</v>
      </c>
      <c r="H1588" s="3" t="s">
        <v>25</v>
      </c>
      <c r="I1588" s="6">
        <v>44470</v>
      </c>
      <c r="J1588" s="4">
        <v>0</v>
      </c>
      <c r="K1588" s="4">
        <v>0</v>
      </c>
      <c r="L1588" s="4">
        <v>5162.3419999999996</v>
      </c>
      <c r="M1588" s="4">
        <v>5162.3419999999996</v>
      </c>
      <c r="N1588" s="4">
        <v>5162.3419999999996</v>
      </c>
      <c r="O1588" s="4">
        <v>5162.3419999999996</v>
      </c>
      <c r="P1588" s="4">
        <v>35908</v>
      </c>
      <c r="Q1588" s="3" t="s">
        <v>26</v>
      </c>
      <c r="R1588" s="3">
        <v>0</v>
      </c>
      <c r="S1588" s="3" t="s">
        <v>445</v>
      </c>
      <c r="T1588" s="3" t="s">
        <v>686</v>
      </c>
      <c r="U1588" s="3">
        <v>0</v>
      </c>
      <c r="V1588" s="3">
        <v>37</v>
      </c>
      <c r="W1588" s="3">
        <v>78</v>
      </c>
    </row>
    <row r="1589" spans="1:23" ht="11.25" customHeight="1" x14ac:dyDescent="0.25">
      <c r="A1589" s="3" t="s">
        <v>27</v>
      </c>
      <c r="B1589" s="3" t="s">
        <v>44</v>
      </c>
      <c r="C1589" s="3" t="s">
        <v>23</v>
      </c>
      <c r="D1589" s="3" t="s">
        <v>45</v>
      </c>
      <c r="E1589" s="3" t="s">
        <v>25</v>
      </c>
      <c r="F1589" s="3" t="s">
        <v>25</v>
      </c>
      <c r="G1589" s="3" t="s">
        <v>25</v>
      </c>
      <c r="H1589" s="3" t="s">
        <v>25</v>
      </c>
      <c r="I1589" s="6">
        <v>44470</v>
      </c>
      <c r="J1589" s="4">
        <v>0</v>
      </c>
      <c r="K1589" s="4">
        <v>0</v>
      </c>
      <c r="L1589" s="4">
        <v>-13.669</v>
      </c>
      <c r="M1589" s="4">
        <v>-13.669</v>
      </c>
      <c r="N1589" s="4">
        <v>-13.669</v>
      </c>
      <c r="O1589" s="4">
        <v>-13.669</v>
      </c>
      <c r="P1589" s="4">
        <v>-133</v>
      </c>
      <c r="Q1589" s="3" t="s">
        <v>26</v>
      </c>
      <c r="R1589" s="3">
        <v>0</v>
      </c>
      <c r="S1589" s="3" t="s">
        <v>445</v>
      </c>
      <c r="T1589" s="3" t="s">
        <v>686</v>
      </c>
      <c r="U1589" s="3">
        <v>0</v>
      </c>
      <c r="V1589" s="3">
        <v>37</v>
      </c>
      <c r="W1589" s="3">
        <v>78</v>
      </c>
    </row>
    <row r="1590" spans="1:23" ht="11.25" customHeight="1" x14ac:dyDescent="0.25">
      <c r="A1590" s="3" t="s">
        <v>28</v>
      </c>
      <c r="B1590" s="3" t="s">
        <v>44</v>
      </c>
      <c r="C1590" s="3" t="s">
        <v>23</v>
      </c>
      <c r="D1590" s="3" t="s">
        <v>45</v>
      </c>
      <c r="E1590" s="3" t="s">
        <v>25</v>
      </c>
      <c r="F1590" s="3" t="s">
        <v>25</v>
      </c>
      <c r="G1590" s="3" t="s">
        <v>25</v>
      </c>
      <c r="H1590" s="3" t="s">
        <v>25</v>
      </c>
      <c r="I1590" s="6">
        <v>44470</v>
      </c>
      <c r="J1590" s="4">
        <v>0</v>
      </c>
      <c r="K1590" s="4">
        <v>0</v>
      </c>
      <c r="L1590" s="4">
        <v>118</v>
      </c>
      <c r="M1590" s="4">
        <v>118</v>
      </c>
      <c r="N1590" s="4">
        <v>118</v>
      </c>
      <c r="O1590" s="4">
        <v>118</v>
      </c>
      <c r="P1590" s="4">
        <v>206</v>
      </c>
      <c r="Q1590" s="3" t="s">
        <v>26</v>
      </c>
      <c r="R1590" s="3">
        <v>0</v>
      </c>
      <c r="S1590" s="3" t="s">
        <v>445</v>
      </c>
      <c r="T1590" s="3" t="s">
        <v>686</v>
      </c>
      <c r="U1590" s="3">
        <v>0</v>
      </c>
      <c r="V1590" s="3">
        <v>37</v>
      </c>
      <c r="W1590" s="3">
        <v>78</v>
      </c>
    </row>
    <row r="1591" spans="1:23" ht="11.25" customHeight="1" x14ac:dyDescent="0.25">
      <c r="A1591" s="3" t="s">
        <v>28</v>
      </c>
      <c r="B1591" s="3" t="s">
        <v>44</v>
      </c>
      <c r="C1591" s="3" t="s">
        <v>23</v>
      </c>
      <c r="D1591" s="3" t="s">
        <v>45</v>
      </c>
      <c r="E1591" s="3" t="s">
        <v>25</v>
      </c>
      <c r="F1591" s="3" t="s">
        <v>25</v>
      </c>
      <c r="G1591" s="3" t="s">
        <v>25</v>
      </c>
      <c r="H1591" s="3" t="s">
        <v>25</v>
      </c>
      <c r="I1591" s="6">
        <v>44470</v>
      </c>
      <c r="J1591" s="4">
        <v>0</v>
      </c>
      <c r="K1591" s="4">
        <v>0</v>
      </c>
      <c r="L1591" s="4">
        <v>-1.65</v>
      </c>
      <c r="M1591" s="4">
        <v>-1.65</v>
      </c>
      <c r="N1591" s="4">
        <v>-1.65</v>
      </c>
      <c r="O1591" s="4">
        <v>-1.65</v>
      </c>
      <c r="P1591" s="4">
        <v>-9</v>
      </c>
      <c r="Q1591" s="3" t="s">
        <v>26</v>
      </c>
      <c r="R1591" s="3">
        <v>0</v>
      </c>
      <c r="S1591" s="3" t="s">
        <v>445</v>
      </c>
      <c r="T1591" s="3" t="s">
        <v>686</v>
      </c>
      <c r="U1591" s="3">
        <v>0</v>
      </c>
      <c r="V1591" s="3">
        <v>37</v>
      </c>
      <c r="W1591" s="3">
        <v>78</v>
      </c>
    </row>
    <row r="1592" spans="1:23" ht="11.25" customHeight="1" x14ac:dyDescent="0.25">
      <c r="A1592" s="3" t="s">
        <v>21</v>
      </c>
      <c r="B1592" s="3" t="s">
        <v>44</v>
      </c>
      <c r="C1592" s="3" t="s">
        <v>23</v>
      </c>
      <c r="D1592" s="3" t="s">
        <v>45</v>
      </c>
      <c r="E1592" s="3" t="s">
        <v>25</v>
      </c>
      <c r="F1592" s="3" t="s">
        <v>25</v>
      </c>
      <c r="G1592" s="3" t="s">
        <v>25</v>
      </c>
      <c r="H1592" s="3" t="s">
        <v>25</v>
      </c>
      <c r="I1592" s="6">
        <v>44501</v>
      </c>
      <c r="J1592" s="4">
        <v>0</v>
      </c>
      <c r="K1592" s="4">
        <v>0</v>
      </c>
      <c r="L1592" s="4">
        <v>5692.7060000000001</v>
      </c>
      <c r="M1592" s="4">
        <v>5692.7060000000001</v>
      </c>
      <c r="N1592" s="4">
        <v>5692.7060000000001</v>
      </c>
      <c r="O1592" s="4">
        <v>5692.7060000000001</v>
      </c>
      <c r="P1592" s="4">
        <v>36116</v>
      </c>
      <c r="Q1592" s="3" t="s">
        <v>26</v>
      </c>
      <c r="R1592" s="3">
        <v>0</v>
      </c>
      <c r="S1592" s="3" t="s">
        <v>446</v>
      </c>
      <c r="T1592" s="3" t="s">
        <v>687</v>
      </c>
      <c r="U1592" s="3">
        <v>0</v>
      </c>
      <c r="V1592" s="3">
        <v>37</v>
      </c>
      <c r="W1592" s="3">
        <v>78</v>
      </c>
    </row>
    <row r="1593" spans="1:23" ht="11.25" customHeight="1" x14ac:dyDescent="0.25">
      <c r="A1593" s="3" t="s">
        <v>27</v>
      </c>
      <c r="B1593" s="3" t="s">
        <v>44</v>
      </c>
      <c r="C1593" s="3" t="s">
        <v>23</v>
      </c>
      <c r="D1593" s="3" t="s">
        <v>45</v>
      </c>
      <c r="E1593" s="3" t="s">
        <v>25</v>
      </c>
      <c r="F1593" s="3" t="s">
        <v>25</v>
      </c>
      <c r="G1593" s="3" t="s">
        <v>25</v>
      </c>
      <c r="H1593" s="3" t="s">
        <v>25</v>
      </c>
      <c r="I1593" s="6">
        <v>44501</v>
      </c>
      <c r="J1593" s="4">
        <v>0</v>
      </c>
      <c r="K1593" s="4">
        <v>0</v>
      </c>
      <c r="L1593" s="4">
        <v>-17.8</v>
      </c>
      <c r="M1593" s="4">
        <v>-17.8</v>
      </c>
      <c r="N1593" s="4">
        <v>-17.8</v>
      </c>
      <c r="O1593" s="4">
        <v>-17.8</v>
      </c>
      <c r="P1593" s="4">
        <v>-176</v>
      </c>
      <c r="Q1593" s="3" t="s">
        <v>26</v>
      </c>
      <c r="R1593" s="3">
        <v>0</v>
      </c>
      <c r="S1593" s="3" t="s">
        <v>446</v>
      </c>
      <c r="T1593" s="3" t="s">
        <v>687</v>
      </c>
      <c r="U1593" s="3">
        <v>0</v>
      </c>
      <c r="V1593" s="3">
        <v>37</v>
      </c>
      <c r="W1593" s="3">
        <v>78</v>
      </c>
    </row>
    <row r="1594" spans="1:23" ht="11.25" customHeight="1" x14ac:dyDescent="0.25">
      <c r="A1594" s="3" t="s">
        <v>28</v>
      </c>
      <c r="B1594" s="3" t="s">
        <v>44</v>
      </c>
      <c r="C1594" s="3" t="s">
        <v>23</v>
      </c>
      <c r="D1594" s="3" t="s">
        <v>45</v>
      </c>
      <c r="E1594" s="3" t="s">
        <v>25</v>
      </c>
      <c r="F1594" s="3" t="s">
        <v>25</v>
      </c>
      <c r="G1594" s="3" t="s">
        <v>25</v>
      </c>
      <c r="H1594" s="3" t="s">
        <v>25</v>
      </c>
      <c r="I1594" s="6">
        <v>44501</v>
      </c>
      <c r="J1594" s="4">
        <v>0</v>
      </c>
      <c r="K1594" s="4">
        <v>0</v>
      </c>
      <c r="L1594" s="4">
        <v>110.271</v>
      </c>
      <c r="M1594" s="4">
        <v>110.271</v>
      </c>
      <c r="N1594" s="4">
        <v>110.271</v>
      </c>
      <c r="O1594" s="4">
        <v>110.271</v>
      </c>
      <c r="P1594" s="4">
        <v>212</v>
      </c>
      <c r="Q1594" s="3" t="s">
        <v>26</v>
      </c>
      <c r="R1594" s="3">
        <v>0</v>
      </c>
      <c r="S1594" s="3" t="s">
        <v>446</v>
      </c>
      <c r="T1594" s="3" t="s">
        <v>687</v>
      </c>
      <c r="U1594" s="3">
        <v>0</v>
      </c>
      <c r="V1594" s="3">
        <v>37</v>
      </c>
      <c r="W1594" s="3">
        <v>78</v>
      </c>
    </row>
    <row r="1595" spans="1:23" ht="11.25" customHeight="1" x14ac:dyDescent="0.25">
      <c r="A1595" s="3" t="s">
        <v>28</v>
      </c>
      <c r="B1595" s="3" t="s">
        <v>44</v>
      </c>
      <c r="C1595" s="3" t="s">
        <v>23</v>
      </c>
      <c r="D1595" s="3" t="s">
        <v>45</v>
      </c>
      <c r="E1595" s="3" t="s">
        <v>25</v>
      </c>
      <c r="F1595" s="3" t="s">
        <v>25</v>
      </c>
      <c r="G1595" s="3" t="s">
        <v>25</v>
      </c>
      <c r="H1595" s="3" t="s">
        <v>25</v>
      </c>
      <c r="I1595" s="6">
        <v>44501</v>
      </c>
      <c r="J1595" s="4">
        <v>0</v>
      </c>
      <c r="K1595" s="4">
        <v>0</v>
      </c>
      <c r="L1595" s="4">
        <v>0.49</v>
      </c>
      <c r="M1595" s="4">
        <v>0.49</v>
      </c>
      <c r="N1595" s="4">
        <v>0.49</v>
      </c>
      <c r="O1595" s="4">
        <v>0.49</v>
      </c>
      <c r="P1595" s="4">
        <v>0</v>
      </c>
      <c r="Q1595" s="3" t="s">
        <v>26</v>
      </c>
      <c r="R1595" s="3">
        <v>0</v>
      </c>
      <c r="S1595" s="3" t="s">
        <v>446</v>
      </c>
      <c r="T1595" s="3" t="s">
        <v>687</v>
      </c>
      <c r="U1595" s="3">
        <v>0</v>
      </c>
      <c r="V1595" s="3">
        <v>37</v>
      </c>
      <c r="W1595" s="3">
        <v>78</v>
      </c>
    </row>
    <row r="1596" spans="1:23" ht="11.25" customHeight="1" x14ac:dyDescent="0.25">
      <c r="A1596" s="3" t="s">
        <v>21</v>
      </c>
      <c r="B1596" s="3" t="s">
        <v>44</v>
      </c>
      <c r="C1596" s="3" t="s">
        <v>23</v>
      </c>
      <c r="D1596" s="3" t="s">
        <v>45</v>
      </c>
      <c r="E1596" s="3" t="s">
        <v>25</v>
      </c>
      <c r="F1596" s="3" t="s">
        <v>25</v>
      </c>
      <c r="G1596" s="3" t="s">
        <v>25</v>
      </c>
      <c r="H1596" s="3" t="s">
        <v>25</v>
      </c>
      <c r="I1596" s="6">
        <v>44531</v>
      </c>
      <c r="J1596" s="4">
        <v>0</v>
      </c>
      <c r="K1596" s="4">
        <v>0</v>
      </c>
      <c r="L1596" s="4">
        <v>5372.299</v>
      </c>
      <c r="M1596" s="4">
        <v>5372.299</v>
      </c>
      <c r="N1596" s="4">
        <v>5372.299</v>
      </c>
      <c r="O1596" s="4">
        <v>5372.299</v>
      </c>
      <c r="P1596" s="4">
        <v>33159</v>
      </c>
      <c r="Q1596" s="3" t="s">
        <v>26</v>
      </c>
      <c r="R1596" s="3">
        <v>0</v>
      </c>
      <c r="S1596" s="3" t="s">
        <v>447</v>
      </c>
      <c r="T1596" s="3" t="s">
        <v>688</v>
      </c>
      <c r="U1596" s="3">
        <v>0</v>
      </c>
      <c r="V1596" s="3">
        <v>37</v>
      </c>
      <c r="W1596" s="3">
        <v>78</v>
      </c>
    </row>
    <row r="1597" spans="1:23" ht="11.25" customHeight="1" x14ac:dyDescent="0.25">
      <c r="A1597" s="3" t="s">
        <v>27</v>
      </c>
      <c r="B1597" s="3" t="s">
        <v>44</v>
      </c>
      <c r="C1597" s="3" t="s">
        <v>23</v>
      </c>
      <c r="D1597" s="3" t="s">
        <v>45</v>
      </c>
      <c r="E1597" s="3" t="s">
        <v>25</v>
      </c>
      <c r="F1597" s="3" t="s">
        <v>25</v>
      </c>
      <c r="G1597" s="3" t="s">
        <v>25</v>
      </c>
      <c r="H1597" s="3" t="s">
        <v>25</v>
      </c>
      <c r="I1597" s="6">
        <v>44531</v>
      </c>
      <c r="J1597" s="4">
        <v>0</v>
      </c>
      <c r="K1597" s="4">
        <v>0</v>
      </c>
      <c r="L1597" s="4">
        <v>-19.481000000000002</v>
      </c>
      <c r="M1597" s="4">
        <v>-19.481000000000002</v>
      </c>
      <c r="N1597" s="4">
        <v>-19.481000000000002</v>
      </c>
      <c r="O1597" s="4">
        <v>-19.481000000000002</v>
      </c>
      <c r="P1597" s="4">
        <v>-106</v>
      </c>
      <c r="Q1597" s="3" t="s">
        <v>26</v>
      </c>
      <c r="R1597" s="3">
        <v>0</v>
      </c>
      <c r="S1597" s="3" t="s">
        <v>447</v>
      </c>
      <c r="T1597" s="3" t="s">
        <v>688</v>
      </c>
      <c r="U1597" s="3">
        <v>0</v>
      </c>
      <c r="V1597" s="3">
        <v>37</v>
      </c>
      <c r="W1597" s="3">
        <v>78</v>
      </c>
    </row>
    <row r="1598" spans="1:23" ht="11.25" customHeight="1" x14ac:dyDescent="0.25">
      <c r="A1598" s="3" t="s">
        <v>28</v>
      </c>
      <c r="B1598" s="3" t="s">
        <v>44</v>
      </c>
      <c r="C1598" s="3" t="s">
        <v>23</v>
      </c>
      <c r="D1598" s="3" t="s">
        <v>45</v>
      </c>
      <c r="E1598" s="3" t="s">
        <v>25</v>
      </c>
      <c r="F1598" s="3" t="s">
        <v>25</v>
      </c>
      <c r="G1598" s="3" t="s">
        <v>25</v>
      </c>
      <c r="H1598" s="3" t="s">
        <v>25</v>
      </c>
      <c r="I1598" s="6">
        <v>44531</v>
      </c>
      <c r="J1598" s="4">
        <v>0</v>
      </c>
      <c r="K1598" s="4">
        <v>0</v>
      </c>
      <c r="L1598" s="4">
        <v>118.617</v>
      </c>
      <c r="M1598" s="4">
        <v>118.617</v>
      </c>
      <c r="N1598" s="4">
        <v>118.617</v>
      </c>
      <c r="O1598" s="4">
        <v>118.617</v>
      </c>
      <c r="P1598" s="4">
        <v>226</v>
      </c>
      <c r="Q1598" s="3" t="s">
        <v>26</v>
      </c>
      <c r="R1598" s="3">
        <v>0</v>
      </c>
      <c r="S1598" s="3" t="s">
        <v>447</v>
      </c>
      <c r="T1598" s="3" t="s">
        <v>688</v>
      </c>
      <c r="U1598" s="3">
        <v>0</v>
      </c>
      <c r="V1598" s="3">
        <v>37</v>
      </c>
      <c r="W1598" s="3">
        <v>78</v>
      </c>
    </row>
    <row r="1599" spans="1:23" ht="11.25" customHeight="1" x14ac:dyDescent="0.25">
      <c r="A1599" s="3" t="s">
        <v>21</v>
      </c>
      <c r="B1599" s="3" t="s">
        <v>44</v>
      </c>
      <c r="C1599" s="3" t="s">
        <v>23</v>
      </c>
      <c r="D1599" s="3" t="s">
        <v>45</v>
      </c>
      <c r="E1599" s="3" t="s">
        <v>25</v>
      </c>
      <c r="F1599" s="3" t="s">
        <v>25</v>
      </c>
      <c r="G1599" s="3" t="s">
        <v>25</v>
      </c>
      <c r="H1599" s="3" t="s">
        <v>25</v>
      </c>
      <c r="I1599" s="6">
        <v>44562</v>
      </c>
      <c r="J1599" s="4">
        <v>0</v>
      </c>
      <c r="K1599" s="4">
        <v>0</v>
      </c>
      <c r="L1599" s="4">
        <v>4777.3860000000004</v>
      </c>
      <c r="M1599" s="4">
        <v>4777.3860000000004</v>
      </c>
      <c r="N1599" s="4">
        <v>4777.3860000000004</v>
      </c>
      <c r="O1599" s="4">
        <v>4777.3860000000004</v>
      </c>
      <c r="P1599" s="4">
        <v>30763</v>
      </c>
      <c r="Q1599" s="3" t="s">
        <v>26</v>
      </c>
      <c r="R1599" s="3">
        <v>0</v>
      </c>
      <c r="S1599" s="3" t="s">
        <v>448</v>
      </c>
      <c r="T1599" s="3" t="s">
        <v>689</v>
      </c>
      <c r="U1599" s="3">
        <v>0</v>
      </c>
      <c r="V1599" s="3">
        <v>37</v>
      </c>
      <c r="W1599" s="3">
        <v>78</v>
      </c>
    </row>
    <row r="1600" spans="1:23" ht="11.25" customHeight="1" x14ac:dyDescent="0.25">
      <c r="A1600" s="3" t="s">
        <v>27</v>
      </c>
      <c r="B1600" s="3" t="s">
        <v>44</v>
      </c>
      <c r="C1600" s="3" t="s">
        <v>23</v>
      </c>
      <c r="D1600" s="3" t="s">
        <v>45</v>
      </c>
      <c r="E1600" s="3" t="s">
        <v>25</v>
      </c>
      <c r="F1600" s="3" t="s">
        <v>25</v>
      </c>
      <c r="G1600" s="3" t="s">
        <v>25</v>
      </c>
      <c r="H1600" s="3" t="s">
        <v>25</v>
      </c>
      <c r="I1600" s="6">
        <v>44562</v>
      </c>
      <c r="J1600" s="4">
        <v>0</v>
      </c>
      <c r="K1600" s="4">
        <v>0</v>
      </c>
      <c r="L1600" s="4">
        <v>-21.193999999999999</v>
      </c>
      <c r="M1600" s="4">
        <v>-21.193999999999999</v>
      </c>
      <c r="N1600" s="4">
        <v>-21.193999999999999</v>
      </c>
      <c r="O1600" s="4">
        <v>-21.193999999999999</v>
      </c>
      <c r="P1600" s="4">
        <v>-179</v>
      </c>
      <c r="Q1600" s="3" t="s">
        <v>26</v>
      </c>
      <c r="R1600" s="3">
        <v>0</v>
      </c>
      <c r="S1600" s="3" t="s">
        <v>448</v>
      </c>
      <c r="T1600" s="3" t="s">
        <v>689</v>
      </c>
      <c r="U1600" s="3">
        <v>0</v>
      </c>
      <c r="V1600" s="3">
        <v>37</v>
      </c>
      <c r="W1600" s="3">
        <v>78</v>
      </c>
    </row>
    <row r="1601" spans="1:23" ht="11.25" customHeight="1" x14ac:dyDescent="0.25">
      <c r="A1601" s="3" t="s">
        <v>28</v>
      </c>
      <c r="B1601" s="3" t="s">
        <v>44</v>
      </c>
      <c r="C1601" s="3" t="s">
        <v>23</v>
      </c>
      <c r="D1601" s="3" t="s">
        <v>45</v>
      </c>
      <c r="E1601" s="3" t="s">
        <v>25</v>
      </c>
      <c r="F1601" s="3" t="s">
        <v>25</v>
      </c>
      <c r="G1601" s="3" t="s">
        <v>25</v>
      </c>
      <c r="H1601" s="3" t="s">
        <v>25</v>
      </c>
      <c r="I1601" s="6">
        <v>44562</v>
      </c>
      <c r="J1601" s="4">
        <v>0</v>
      </c>
      <c r="K1601" s="4">
        <v>0</v>
      </c>
      <c r="L1601" s="4">
        <v>107.86</v>
      </c>
      <c r="M1601" s="4">
        <v>107.86</v>
      </c>
      <c r="N1601" s="4">
        <v>107.86</v>
      </c>
      <c r="O1601" s="4">
        <v>107.86</v>
      </c>
      <c r="P1601" s="4">
        <v>241</v>
      </c>
      <c r="Q1601" s="3" t="s">
        <v>26</v>
      </c>
      <c r="R1601" s="3">
        <v>0</v>
      </c>
      <c r="S1601" s="3" t="s">
        <v>448</v>
      </c>
      <c r="T1601" s="3" t="s">
        <v>689</v>
      </c>
      <c r="U1601" s="3">
        <v>0</v>
      </c>
      <c r="V1601" s="3">
        <v>37</v>
      </c>
      <c r="W1601" s="3">
        <v>78</v>
      </c>
    </row>
    <row r="1602" spans="1:23" ht="11.25" customHeight="1" x14ac:dyDescent="0.25">
      <c r="A1602" s="3" t="s">
        <v>21</v>
      </c>
      <c r="B1602" s="3" t="s">
        <v>44</v>
      </c>
      <c r="C1602" s="3" t="s">
        <v>23</v>
      </c>
      <c r="D1602" s="3" t="s">
        <v>45</v>
      </c>
      <c r="E1602" s="3" t="s">
        <v>25</v>
      </c>
      <c r="F1602" s="3" t="s">
        <v>25</v>
      </c>
      <c r="G1602" s="3" t="s">
        <v>25</v>
      </c>
      <c r="H1602" s="3" t="s">
        <v>25</v>
      </c>
      <c r="I1602" s="6">
        <v>44593</v>
      </c>
      <c r="J1602" s="4">
        <v>0</v>
      </c>
      <c r="K1602" s="4">
        <v>0</v>
      </c>
      <c r="L1602" s="4">
        <v>4650.3680000000004</v>
      </c>
      <c r="M1602" s="4">
        <v>4650.3680000000004</v>
      </c>
      <c r="N1602" s="4">
        <v>4650.3680000000004</v>
      </c>
      <c r="O1602" s="4">
        <v>4650.3680000000004</v>
      </c>
      <c r="P1602" s="4">
        <v>30365</v>
      </c>
      <c r="Q1602" s="3" t="s">
        <v>26</v>
      </c>
      <c r="R1602" s="3">
        <v>0</v>
      </c>
      <c r="S1602" s="3" t="s">
        <v>449</v>
      </c>
      <c r="T1602" s="3" t="s">
        <v>690</v>
      </c>
      <c r="U1602" s="3">
        <v>0</v>
      </c>
      <c r="V1602" s="3">
        <v>37</v>
      </c>
      <c r="W1602" s="3">
        <v>78</v>
      </c>
    </row>
    <row r="1603" spans="1:23" ht="11.25" customHeight="1" x14ac:dyDescent="0.25">
      <c r="A1603" s="3" t="s">
        <v>27</v>
      </c>
      <c r="B1603" s="3" t="s">
        <v>44</v>
      </c>
      <c r="C1603" s="3" t="s">
        <v>23</v>
      </c>
      <c r="D1603" s="3" t="s">
        <v>45</v>
      </c>
      <c r="E1603" s="3" t="s">
        <v>25</v>
      </c>
      <c r="F1603" s="3" t="s">
        <v>25</v>
      </c>
      <c r="G1603" s="3" t="s">
        <v>25</v>
      </c>
      <c r="H1603" s="3" t="s">
        <v>25</v>
      </c>
      <c r="I1603" s="6">
        <v>44593</v>
      </c>
      <c r="J1603" s="4">
        <v>0</v>
      </c>
      <c r="K1603" s="4">
        <v>0</v>
      </c>
      <c r="L1603" s="4">
        <v>-13.035</v>
      </c>
      <c r="M1603" s="4">
        <v>-13.035</v>
      </c>
      <c r="N1603" s="4">
        <v>-13.035</v>
      </c>
      <c r="O1603" s="4">
        <v>-13.035</v>
      </c>
      <c r="P1603" s="4">
        <v>-129</v>
      </c>
      <c r="Q1603" s="3" t="s">
        <v>26</v>
      </c>
      <c r="R1603" s="3">
        <v>0</v>
      </c>
      <c r="S1603" s="3" t="s">
        <v>449</v>
      </c>
      <c r="T1603" s="3" t="s">
        <v>690</v>
      </c>
      <c r="U1603" s="3">
        <v>0</v>
      </c>
      <c r="V1603" s="3">
        <v>37</v>
      </c>
      <c r="W1603" s="3">
        <v>78</v>
      </c>
    </row>
    <row r="1604" spans="1:23" ht="11.25" customHeight="1" x14ac:dyDescent="0.25">
      <c r="A1604" s="3" t="s">
        <v>28</v>
      </c>
      <c r="B1604" s="3" t="s">
        <v>44</v>
      </c>
      <c r="C1604" s="3" t="s">
        <v>23</v>
      </c>
      <c r="D1604" s="3" t="s">
        <v>45</v>
      </c>
      <c r="E1604" s="3" t="s">
        <v>25</v>
      </c>
      <c r="F1604" s="3" t="s">
        <v>25</v>
      </c>
      <c r="G1604" s="3" t="s">
        <v>25</v>
      </c>
      <c r="H1604" s="3" t="s">
        <v>25</v>
      </c>
      <c r="I1604" s="6">
        <v>44593</v>
      </c>
      <c r="J1604" s="4">
        <v>0</v>
      </c>
      <c r="K1604" s="4">
        <v>0</v>
      </c>
      <c r="L1604" s="4">
        <v>105.203</v>
      </c>
      <c r="M1604" s="4">
        <v>105.203</v>
      </c>
      <c r="N1604" s="4">
        <v>105.203</v>
      </c>
      <c r="O1604" s="4">
        <v>105.203</v>
      </c>
      <c r="P1604" s="4">
        <v>256</v>
      </c>
      <c r="Q1604" s="3" t="s">
        <v>26</v>
      </c>
      <c r="R1604" s="3">
        <v>0</v>
      </c>
      <c r="S1604" s="3" t="s">
        <v>449</v>
      </c>
      <c r="T1604" s="3" t="s">
        <v>690</v>
      </c>
      <c r="U1604" s="3">
        <v>0</v>
      </c>
      <c r="V1604" s="3">
        <v>37</v>
      </c>
      <c r="W1604" s="3">
        <v>78</v>
      </c>
    </row>
    <row r="1605" spans="1:23" ht="11.25" customHeight="1" x14ac:dyDescent="0.25">
      <c r="A1605" s="3" t="s">
        <v>21</v>
      </c>
      <c r="B1605" s="3" t="s">
        <v>44</v>
      </c>
      <c r="C1605" s="3" t="s">
        <v>23</v>
      </c>
      <c r="D1605" s="3" t="s">
        <v>45</v>
      </c>
      <c r="E1605" s="3" t="s">
        <v>25</v>
      </c>
      <c r="F1605" s="3" t="s">
        <v>25</v>
      </c>
      <c r="G1605" s="3" t="s">
        <v>25</v>
      </c>
      <c r="H1605" s="3" t="s">
        <v>25</v>
      </c>
      <c r="I1605" s="6">
        <v>44621</v>
      </c>
      <c r="J1605" s="4">
        <v>0</v>
      </c>
      <c r="K1605" s="4">
        <v>0</v>
      </c>
      <c r="L1605" s="4">
        <v>4715.38</v>
      </c>
      <c r="M1605" s="4">
        <v>4715.38</v>
      </c>
      <c r="N1605" s="4">
        <v>4715.38</v>
      </c>
      <c r="O1605" s="4">
        <v>4715.38</v>
      </c>
      <c r="P1605" s="4">
        <v>29947</v>
      </c>
      <c r="Q1605" s="3" t="s">
        <v>26</v>
      </c>
      <c r="R1605" s="3">
        <v>0</v>
      </c>
      <c r="S1605" s="3" t="s">
        <v>450</v>
      </c>
      <c r="T1605" s="3" t="s">
        <v>691</v>
      </c>
      <c r="U1605" s="3">
        <v>0</v>
      </c>
      <c r="V1605" s="3">
        <v>37</v>
      </c>
      <c r="W1605" s="3">
        <v>78</v>
      </c>
    </row>
    <row r="1606" spans="1:23" ht="11.25" customHeight="1" x14ac:dyDescent="0.25">
      <c r="A1606" s="3" t="s">
        <v>27</v>
      </c>
      <c r="B1606" s="3" t="s">
        <v>44</v>
      </c>
      <c r="C1606" s="3" t="s">
        <v>23</v>
      </c>
      <c r="D1606" s="3" t="s">
        <v>45</v>
      </c>
      <c r="E1606" s="3" t="s">
        <v>25</v>
      </c>
      <c r="F1606" s="3" t="s">
        <v>25</v>
      </c>
      <c r="G1606" s="3" t="s">
        <v>25</v>
      </c>
      <c r="H1606" s="3" t="s">
        <v>25</v>
      </c>
      <c r="I1606" s="6">
        <v>44621</v>
      </c>
      <c r="J1606" s="4">
        <v>0</v>
      </c>
      <c r="K1606" s="4">
        <v>0</v>
      </c>
      <c r="L1606" s="4">
        <v>-43.738</v>
      </c>
      <c r="M1606" s="4">
        <v>-43.738</v>
      </c>
      <c r="N1606" s="4">
        <v>-43.738</v>
      </c>
      <c r="O1606" s="4">
        <v>-43.738</v>
      </c>
      <c r="P1606" s="4">
        <v>-8</v>
      </c>
      <c r="Q1606" s="3" t="s">
        <v>26</v>
      </c>
      <c r="R1606" s="3">
        <v>0</v>
      </c>
      <c r="S1606" s="3" t="s">
        <v>450</v>
      </c>
      <c r="T1606" s="3" t="s">
        <v>691</v>
      </c>
      <c r="U1606" s="3">
        <v>0</v>
      </c>
      <c r="V1606" s="3">
        <v>37</v>
      </c>
      <c r="W1606" s="3">
        <v>78</v>
      </c>
    </row>
    <row r="1607" spans="1:23" ht="11.25" customHeight="1" x14ac:dyDescent="0.25">
      <c r="A1607" s="3" t="s">
        <v>28</v>
      </c>
      <c r="B1607" s="3" t="s">
        <v>44</v>
      </c>
      <c r="C1607" s="3" t="s">
        <v>23</v>
      </c>
      <c r="D1607" s="3" t="s">
        <v>45</v>
      </c>
      <c r="E1607" s="3" t="s">
        <v>25</v>
      </c>
      <c r="F1607" s="3" t="s">
        <v>25</v>
      </c>
      <c r="G1607" s="3" t="s">
        <v>25</v>
      </c>
      <c r="H1607" s="3" t="s">
        <v>25</v>
      </c>
      <c r="I1607" s="6">
        <v>44621</v>
      </c>
      <c r="J1607" s="4">
        <v>0</v>
      </c>
      <c r="K1607" s="4">
        <v>0</v>
      </c>
      <c r="L1607" s="4">
        <v>113.006</v>
      </c>
      <c r="M1607" s="4">
        <v>113.006</v>
      </c>
      <c r="N1607" s="4">
        <v>113.006</v>
      </c>
      <c r="O1607" s="4">
        <v>113.006</v>
      </c>
      <c r="P1607" s="4">
        <v>282</v>
      </c>
      <c r="Q1607" s="3" t="s">
        <v>26</v>
      </c>
      <c r="R1607" s="3">
        <v>0</v>
      </c>
      <c r="S1607" s="3" t="s">
        <v>450</v>
      </c>
      <c r="T1607" s="3" t="s">
        <v>691</v>
      </c>
      <c r="U1607" s="3">
        <v>0</v>
      </c>
      <c r="V1607" s="3">
        <v>37</v>
      </c>
      <c r="W1607" s="3">
        <v>78</v>
      </c>
    </row>
    <row r="1608" spans="1:23" ht="11.25" customHeight="1" x14ac:dyDescent="0.25">
      <c r="A1608" s="3" t="s">
        <v>28</v>
      </c>
      <c r="B1608" s="3" t="s">
        <v>44</v>
      </c>
      <c r="C1608" s="3" t="s">
        <v>23</v>
      </c>
      <c r="D1608" s="3" t="s">
        <v>45</v>
      </c>
      <c r="E1608" s="3" t="s">
        <v>25</v>
      </c>
      <c r="F1608" s="3" t="s">
        <v>25</v>
      </c>
      <c r="G1608" s="3" t="s">
        <v>25</v>
      </c>
      <c r="H1608" s="3" t="s">
        <v>25</v>
      </c>
      <c r="I1608" s="6">
        <v>44621</v>
      </c>
      <c r="J1608" s="4">
        <v>0</v>
      </c>
      <c r="K1608" s="4">
        <v>0</v>
      </c>
      <c r="L1608" s="4">
        <v>7.0640000000000001</v>
      </c>
      <c r="M1608" s="4">
        <v>7.0640000000000001</v>
      </c>
      <c r="N1608" s="4">
        <v>7.0640000000000001</v>
      </c>
      <c r="O1608" s="4">
        <v>7.0640000000000001</v>
      </c>
      <c r="P1608" s="4">
        <v>2</v>
      </c>
      <c r="Q1608" s="3" t="s">
        <v>26</v>
      </c>
      <c r="R1608" s="3">
        <v>0</v>
      </c>
      <c r="S1608" s="3" t="s">
        <v>450</v>
      </c>
      <c r="T1608" s="3" t="s">
        <v>691</v>
      </c>
      <c r="U1608" s="3">
        <v>0</v>
      </c>
      <c r="V1608" s="3">
        <v>37</v>
      </c>
      <c r="W1608" s="3">
        <v>78</v>
      </c>
    </row>
    <row r="1609" spans="1:23" ht="11.25" customHeight="1" x14ac:dyDescent="0.25">
      <c r="A1609" s="3" t="s">
        <v>56</v>
      </c>
      <c r="B1609" s="3" t="s">
        <v>44</v>
      </c>
      <c r="C1609" s="3" t="s">
        <v>23</v>
      </c>
      <c r="D1609" s="3" t="s">
        <v>45</v>
      </c>
      <c r="E1609" s="3" t="s">
        <v>25</v>
      </c>
      <c r="F1609" s="3" t="s">
        <v>25</v>
      </c>
      <c r="G1609" s="3" t="s">
        <v>25</v>
      </c>
      <c r="H1609" s="3" t="s">
        <v>25</v>
      </c>
      <c r="I1609" s="6">
        <v>44652</v>
      </c>
      <c r="J1609" s="4">
        <v>0</v>
      </c>
      <c r="K1609" s="4">
        <v>0</v>
      </c>
      <c r="L1609" s="4">
        <v>4715.38</v>
      </c>
      <c r="M1609" s="4">
        <v>4715.38</v>
      </c>
      <c r="N1609" s="4">
        <v>4715.38</v>
      </c>
      <c r="O1609" s="4">
        <v>4715.38</v>
      </c>
      <c r="P1609" s="4">
        <v>29947</v>
      </c>
      <c r="Q1609" s="3" t="s">
        <v>26</v>
      </c>
      <c r="R1609" s="3">
        <v>0</v>
      </c>
      <c r="S1609" s="3" t="s">
        <v>451</v>
      </c>
      <c r="T1609" s="3" t="s">
        <v>692</v>
      </c>
      <c r="U1609" s="3">
        <v>0</v>
      </c>
      <c r="V1609" s="3">
        <v>37</v>
      </c>
      <c r="W1609" s="3">
        <v>78</v>
      </c>
    </row>
    <row r="1610" spans="1:23" ht="11.25" customHeight="1" x14ac:dyDescent="0.25">
      <c r="A1610" s="3" t="s">
        <v>56</v>
      </c>
      <c r="B1610" s="3" t="s">
        <v>44</v>
      </c>
      <c r="C1610" s="3" t="s">
        <v>23</v>
      </c>
      <c r="D1610" s="3" t="s">
        <v>45</v>
      </c>
      <c r="E1610" s="3" t="s">
        <v>25</v>
      </c>
      <c r="F1610" s="3" t="s">
        <v>25</v>
      </c>
      <c r="G1610" s="3" t="s">
        <v>25</v>
      </c>
      <c r="H1610" s="3" t="s">
        <v>25</v>
      </c>
      <c r="I1610" s="6">
        <v>44652</v>
      </c>
      <c r="J1610" s="4">
        <v>0</v>
      </c>
      <c r="K1610" s="4">
        <v>0</v>
      </c>
      <c r="L1610" s="4">
        <v>-43.738</v>
      </c>
      <c r="M1610" s="4">
        <v>-43.738</v>
      </c>
      <c r="N1610" s="4">
        <v>-43.738</v>
      </c>
      <c r="O1610" s="4">
        <v>-43.738</v>
      </c>
      <c r="P1610" s="4">
        <v>-8</v>
      </c>
      <c r="Q1610" s="3" t="s">
        <v>26</v>
      </c>
      <c r="R1610" s="3">
        <v>0</v>
      </c>
      <c r="S1610" s="3" t="s">
        <v>451</v>
      </c>
      <c r="T1610" s="3" t="s">
        <v>692</v>
      </c>
      <c r="U1610" s="3">
        <v>0</v>
      </c>
      <c r="V1610" s="3">
        <v>37</v>
      </c>
      <c r="W1610" s="3">
        <v>78</v>
      </c>
    </row>
    <row r="1611" spans="1:23" ht="11.25" customHeight="1" x14ac:dyDescent="0.25">
      <c r="A1611" s="3" t="s">
        <v>56</v>
      </c>
      <c r="B1611" s="3" t="s">
        <v>44</v>
      </c>
      <c r="C1611" s="3" t="s">
        <v>23</v>
      </c>
      <c r="D1611" s="3" t="s">
        <v>45</v>
      </c>
      <c r="E1611" s="3" t="s">
        <v>25</v>
      </c>
      <c r="F1611" s="3" t="s">
        <v>25</v>
      </c>
      <c r="G1611" s="3" t="s">
        <v>25</v>
      </c>
      <c r="H1611" s="3" t="s">
        <v>25</v>
      </c>
      <c r="I1611" s="6">
        <v>44652</v>
      </c>
      <c r="J1611" s="4">
        <v>0</v>
      </c>
      <c r="K1611" s="4">
        <v>0</v>
      </c>
      <c r="L1611" s="4">
        <v>113.006</v>
      </c>
      <c r="M1611" s="4">
        <v>113.006</v>
      </c>
      <c r="N1611" s="4">
        <v>113.006</v>
      </c>
      <c r="O1611" s="4">
        <v>113.006</v>
      </c>
      <c r="P1611" s="4">
        <v>282</v>
      </c>
      <c r="Q1611" s="3" t="s">
        <v>26</v>
      </c>
      <c r="R1611" s="3">
        <v>0</v>
      </c>
      <c r="S1611" s="3" t="s">
        <v>451</v>
      </c>
      <c r="T1611" s="3" t="s">
        <v>692</v>
      </c>
      <c r="U1611" s="3">
        <v>0</v>
      </c>
      <c r="V1611" s="3">
        <v>37</v>
      </c>
      <c r="W1611" s="3">
        <v>78</v>
      </c>
    </row>
    <row r="1612" spans="1:23" ht="11.25" customHeight="1" x14ac:dyDescent="0.25">
      <c r="A1612" s="3" t="s">
        <v>56</v>
      </c>
      <c r="B1612" s="3" t="s">
        <v>44</v>
      </c>
      <c r="C1612" s="3" t="s">
        <v>23</v>
      </c>
      <c r="D1612" s="3" t="s">
        <v>45</v>
      </c>
      <c r="E1612" s="3" t="s">
        <v>25</v>
      </c>
      <c r="F1612" s="3" t="s">
        <v>25</v>
      </c>
      <c r="G1612" s="3" t="s">
        <v>25</v>
      </c>
      <c r="H1612" s="3" t="s">
        <v>25</v>
      </c>
      <c r="I1612" s="6">
        <v>44652</v>
      </c>
      <c r="J1612" s="4">
        <v>0</v>
      </c>
      <c r="K1612" s="4">
        <v>0</v>
      </c>
      <c r="L1612" s="4">
        <v>7.0640000000000001</v>
      </c>
      <c r="M1612" s="4">
        <v>7.0640000000000001</v>
      </c>
      <c r="N1612" s="4">
        <v>7.0640000000000001</v>
      </c>
      <c r="O1612" s="4">
        <v>7.0640000000000001</v>
      </c>
      <c r="P1612" s="4">
        <v>2</v>
      </c>
      <c r="Q1612" s="3" t="s">
        <v>26</v>
      </c>
      <c r="R1612" s="3">
        <v>0</v>
      </c>
      <c r="S1612" s="3" t="s">
        <v>451</v>
      </c>
      <c r="T1612" s="3" t="s">
        <v>692</v>
      </c>
      <c r="U1612" s="3">
        <v>0</v>
      </c>
      <c r="V1612" s="3">
        <v>37</v>
      </c>
      <c r="W1612" s="3">
        <v>78</v>
      </c>
    </row>
    <row r="1613" spans="1:23" ht="11.25" customHeight="1" x14ac:dyDescent="0.25">
      <c r="A1613" s="3" t="s">
        <v>21</v>
      </c>
      <c r="B1613" s="3" t="s">
        <v>39</v>
      </c>
      <c r="C1613" s="3" t="s">
        <v>37</v>
      </c>
      <c r="D1613" s="3" t="s">
        <v>43</v>
      </c>
      <c r="E1613" s="3" t="s">
        <v>25</v>
      </c>
      <c r="F1613" s="3" t="s">
        <v>25</v>
      </c>
      <c r="G1613" s="3" t="s">
        <v>25</v>
      </c>
      <c r="H1613" s="3" t="s">
        <v>36</v>
      </c>
      <c r="I1613" s="6">
        <v>44317</v>
      </c>
      <c r="J1613" s="4">
        <v>0</v>
      </c>
      <c r="K1613" s="4">
        <v>0</v>
      </c>
      <c r="L1613" s="4">
        <v>152.58199999999999</v>
      </c>
      <c r="M1613" s="4">
        <v>152.58199999999999</v>
      </c>
      <c r="N1613" s="4">
        <v>152.58199999999999</v>
      </c>
      <c r="O1613" s="4">
        <v>152.58199999999999</v>
      </c>
      <c r="P1613" s="4">
        <v>0</v>
      </c>
      <c r="Q1613" s="3" t="s">
        <v>26</v>
      </c>
      <c r="R1613" s="3">
        <v>0</v>
      </c>
      <c r="S1613" s="3" t="s">
        <v>452</v>
      </c>
      <c r="T1613" s="3" t="s">
        <v>693</v>
      </c>
      <c r="U1613" s="3">
        <v>0</v>
      </c>
      <c r="V1613" s="3">
        <v>44</v>
      </c>
      <c r="W1613" s="3">
        <v>84</v>
      </c>
    </row>
    <row r="1614" spans="1:23" ht="11.25" customHeight="1" x14ac:dyDescent="0.25">
      <c r="A1614" s="3" t="s">
        <v>27</v>
      </c>
      <c r="B1614" s="3" t="s">
        <v>39</v>
      </c>
      <c r="C1614" s="3" t="s">
        <v>37</v>
      </c>
      <c r="D1614" s="3" t="s">
        <v>43</v>
      </c>
      <c r="E1614" s="3" t="s">
        <v>25</v>
      </c>
      <c r="F1614" s="3" t="s">
        <v>25</v>
      </c>
      <c r="G1614" s="3" t="s">
        <v>25</v>
      </c>
      <c r="H1614" s="3" t="s">
        <v>36</v>
      </c>
      <c r="I1614" s="6">
        <v>44317</v>
      </c>
      <c r="J1614" s="4">
        <v>0</v>
      </c>
      <c r="K1614" s="4">
        <v>0</v>
      </c>
      <c r="L1614" s="4">
        <v>8.5489999999999995</v>
      </c>
      <c r="M1614" s="4">
        <v>8.5489999999999995</v>
      </c>
      <c r="N1614" s="4">
        <v>8.5489999999999995</v>
      </c>
      <c r="O1614" s="4">
        <v>8.5489999999999995</v>
      </c>
      <c r="P1614" s="4">
        <v>0</v>
      </c>
      <c r="Q1614" s="3" t="s">
        <v>26</v>
      </c>
      <c r="R1614" s="3">
        <v>0</v>
      </c>
      <c r="S1614" s="3" t="s">
        <v>452</v>
      </c>
      <c r="T1614" s="3" t="s">
        <v>693</v>
      </c>
      <c r="U1614" s="3">
        <v>0</v>
      </c>
      <c r="V1614" s="3">
        <v>44</v>
      </c>
      <c r="W1614" s="3">
        <v>84</v>
      </c>
    </row>
    <row r="1615" spans="1:23" ht="11.25" customHeight="1" x14ac:dyDescent="0.25">
      <c r="A1615" s="3" t="s">
        <v>28</v>
      </c>
      <c r="B1615" s="3" t="s">
        <v>39</v>
      </c>
      <c r="C1615" s="3" t="s">
        <v>37</v>
      </c>
      <c r="D1615" s="3" t="s">
        <v>43</v>
      </c>
      <c r="E1615" s="3" t="s">
        <v>25</v>
      </c>
      <c r="F1615" s="3" t="s">
        <v>25</v>
      </c>
      <c r="G1615" s="3" t="s">
        <v>25</v>
      </c>
      <c r="H1615" s="3" t="s">
        <v>36</v>
      </c>
      <c r="I1615" s="6">
        <v>44317</v>
      </c>
      <c r="J1615" s="4">
        <v>0</v>
      </c>
      <c r="K1615" s="4">
        <v>0</v>
      </c>
      <c r="L1615" s="4">
        <v>0.26400000000000001</v>
      </c>
      <c r="M1615" s="4">
        <v>0.26400000000000001</v>
      </c>
      <c r="N1615" s="4">
        <v>0.26400000000000001</v>
      </c>
      <c r="O1615" s="4">
        <v>0.26400000000000001</v>
      </c>
      <c r="P1615" s="4">
        <v>0</v>
      </c>
      <c r="Q1615" s="3" t="s">
        <v>26</v>
      </c>
      <c r="R1615" s="3">
        <v>0</v>
      </c>
      <c r="S1615" s="3" t="s">
        <v>452</v>
      </c>
      <c r="T1615" s="3" t="s">
        <v>693</v>
      </c>
      <c r="U1615" s="3">
        <v>0</v>
      </c>
      <c r="V1615" s="3">
        <v>44</v>
      </c>
      <c r="W1615" s="3">
        <v>84</v>
      </c>
    </row>
    <row r="1616" spans="1:23" ht="11.25" customHeight="1" x14ac:dyDescent="0.25">
      <c r="A1616" s="3" t="s">
        <v>21</v>
      </c>
      <c r="B1616" s="3" t="s">
        <v>39</v>
      </c>
      <c r="C1616" s="3" t="s">
        <v>37</v>
      </c>
      <c r="D1616" s="3" t="s">
        <v>43</v>
      </c>
      <c r="E1616" s="3" t="s">
        <v>25</v>
      </c>
      <c r="F1616" s="3" t="s">
        <v>25</v>
      </c>
      <c r="G1616" s="3" t="s">
        <v>25</v>
      </c>
      <c r="H1616" s="3" t="s">
        <v>36</v>
      </c>
      <c r="I1616" s="6">
        <v>44348</v>
      </c>
      <c r="J1616" s="4">
        <v>0</v>
      </c>
      <c r="K1616" s="4">
        <v>0</v>
      </c>
      <c r="L1616" s="4">
        <v>147.941</v>
      </c>
      <c r="M1616" s="4">
        <v>147.941</v>
      </c>
      <c r="N1616" s="4">
        <v>147.941</v>
      </c>
      <c r="O1616" s="4">
        <v>147.941</v>
      </c>
      <c r="P1616" s="4">
        <v>0</v>
      </c>
      <c r="Q1616" s="3" t="s">
        <v>26</v>
      </c>
      <c r="R1616" s="3">
        <v>0</v>
      </c>
      <c r="S1616" s="3" t="s">
        <v>453</v>
      </c>
      <c r="T1616" s="3" t="s">
        <v>694</v>
      </c>
      <c r="U1616" s="3">
        <v>0</v>
      </c>
      <c r="V1616" s="3">
        <v>44</v>
      </c>
      <c r="W1616" s="3">
        <v>84</v>
      </c>
    </row>
    <row r="1617" spans="1:23" ht="11.25" customHeight="1" x14ac:dyDescent="0.25">
      <c r="A1617" s="3" t="s">
        <v>27</v>
      </c>
      <c r="B1617" s="3" t="s">
        <v>39</v>
      </c>
      <c r="C1617" s="3" t="s">
        <v>37</v>
      </c>
      <c r="D1617" s="3" t="s">
        <v>43</v>
      </c>
      <c r="E1617" s="3" t="s">
        <v>25</v>
      </c>
      <c r="F1617" s="3" t="s">
        <v>25</v>
      </c>
      <c r="G1617" s="3" t="s">
        <v>25</v>
      </c>
      <c r="H1617" s="3" t="s">
        <v>36</v>
      </c>
      <c r="I1617" s="6">
        <v>44348</v>
      </c>
      <c r="J1617" s="4">
        <v>0</v>
      </c>
      <c r="K1617" s="4">
        <v>0</v>
      </c>
      <c r="L1617" s="4">
        <v>-3.448</v>
      </c>
      <c r="M1617" s="4">
        <v>-3.448</v>
      </c>
      <c r="N1617" s="4">
        <v>-3.448</v>
      </c>
      <c r="O1617" s="4">
        <v>-3.448</v>
      </c>
      <c r="P1617" s="4">
        <v>0</v>
      </c>
      <c r="Q1617" s="3" t="s">
        <v>26</v>
      </c>
      <c r="R1617" s="3">
        <v>0</v>
      </c>
      <c r="S1617" s="3" t="s">
        <v>453</v>
      </c>
      <c r="T1617" s="3" t="s">
        <v>694</v>
      </c>
      <c r="U1617" s="3">
        <v>0</v>
      </c>
      <c r="V1617" s="3">
        <v>44</v>
      </c>
      <c r="W1617" s="3">
        <v>84</v>
      </c>
    </row>
    <row r="1618" spans="1:23" ht="11.25" customHeight="1" x14ac:dyDescent="0.25">
      <c r="A1618" s="3" t="s">
        <v>28</v>
      </c>
      <c r="B1618" s="3" t="s">
        <v>39</v>
      </c>
      <c r="C1618" s="3" t="s">
        <v>37</v>
      </c>
      <c r="D1618" s="3" t="s">
        <v>43</v>
      </c>
      <c r="E1618" s="3" t="s">
        <v>25</v>
      </c>
      <c r="F1618" s="3" t="s">
        <v>25</v>
      </c>
      <c r="G1618" s="3" t="s">
        <v>25</v>
      </c>
      <c r="H1618" s="3" t="s">
        <v>36</v>
      </c>
      <c r="I1618" s="6">
        <v>44348</v>
      </c>
      <c r="J1618" s="4">
        <v>0</v>
      </c>
      <c r="K1618" s="4">
        <v>0</v>
      </c>
      <c r="L1618" s="4">
        <v>0.245</v>
      </c>
      <c r="M1618" s="4">
        <v>0.245</v>
      </c>
      <c r="N1618" s="4">
        <v>0.245</v>
      </c>
      <c r="O1618" s="4">
        <v>0.245</v>
      </c>
      <c r="P1618" s="4">
        <v>0</v>
      </c>
      <c r="Q1618" s="3" t="s">
        <v>26</v>
      </c>
      <c r="R1618" s="3">
        <v>0</v>
      </c>
      <c r="S1618" s="3" t="s">
        <v>453</v>
      </c>
      <c r="T1618" s="3" t="s">
        <v>694</v>
      </c>
      <c r="U1618" s="3">
        <v>0</v>
      </c>
      <c r="V1618" s="3">
        <v>44</v>
      </c>
      <c r="W1618" s="3">
        <v>84</v>
      </c>
    </row>
    <row r="1619" spans="1:23" ht="11.25" customHeight="1" x14ac:dyDescent="0.25">
      <c r="A1619" s="3" t="s">
        <v>21</v>
      </c>
      <c r="B1619" s="3" t="s">
        <v>39</v>
      </c>
      <c r="C1619" s="3" t="s">
        <v>37</v>
      </c>
      <c r="D1619" s="3" t="s">
        <v>43</v>
      </c>
      <c r="E1619" s="3" t="s">
        <v>25</v>
      </c>
      <c r="F1619" s="3" t="s">
        <v>25</v>
      </c>
      <c r="G1619" s="3" t="s">
        <v>25</v>
      </c>
      <c r="H1619" s="3" t="s">
        <v>36</v>
      </c>
      <c r="I1619" s="6">
        <v>44378</v>
      </c>
      <c r="J1619" s="4">
        <v>0</v>
      </c>
      <c r="K1619" s="4">
        <v>0</v>
      </c>
      <c r="L1619" s="4">
        <v>128.26400000000001</v>
      </c>
      <c r="M1619" s="4">
        <v>128.26400000000001</v>
      </c>
      <c r="N1619" s="4">
        <v>128.26400000000001</v>
      </c>
      <c r="O1619" s="4">
        <v>128.26400000000001</v>
      </c>
      <c r="P1619" s="4">
        <v>0</v>
      </c>
      <c r="Q1619" s="3" t="s">
        <v>26</v>
      </c>
      <c r="R1619" s="3">
        <v>0</v>
      </c>
      <c r="S1619" s="3" t="s">
        <v>454</v>
      </c>
      <c r="T1619" s="3" t="s">
        <v>695</v>
      </c>
      <c r="U1619" s="3">
        <v>0</v>
      </c>
      <c r="V1619" s="3">
        <v>44</v>
      </c>
      <c r="W1619" s="3">
        <v>84</v>
      </c>
    </row>
    <row r="1620" spans="1:23" ht="11.25" customHeight="1" x14ac:dyDescent="0.25">
      <c r="A1620" s="3" t="s">
        <v>27</v>
      </c>
      <c r="B1620" s="3" t="s">
        <v>39</v>
      </c>
      <c r="C1620" s="3" t="s">
        <v>37</v>
      </c>
      <c r="D1620" s="3" t="s">
        <v>43</v>
      </c>
      <c r="E1620" s="3" t="s">
        <v>25</v>
      </c>
      <c r="F1620" s="3" t="s">
        <v>25</v>
      </c>
      <c r="G1620" s="3" t="s">
        <v>25</v>
      </c>
      <c r="H1620" s="3" t="s">
        <v>36</v>
      </c>
      <c r="I1620" s="6">
        <v>44378</v>
      </c>
      <c r="J1620" s="4">
        <v>0</v>
      </c>
      <c r="K1620" s="4">
        <v>0</v>
      </c>
      <c r="L1620" s="4">
        <v>-2.36</v>
      </c>
      <c r="M1620" s="4">
        <v>-2.36</v>
      </c>
      <c r="N1620" s="4">
        <v>-2.36</v>
      </c>
      <c r="O1620" s="4">
        <v>-2.36</v>
      </c>
      <c r="P1620" s="4">
        <v>0</v>
      </c>
      <c r="Q1620" s="3" t="s">
        <v>26</v>
      </c>
      <c r="R1620" s="3">
        <v>0</v>
      </c>
      <c r="S1620" s="3" t="s">
        <v>454</v>
      </c>
      <c r="T1620" s="3" t="s">
        <v>695</v>
      </c>
      <c r="U1620" s="3">
        <v>0</v>
      </c>
      <c r="V1620" s="3">
        <v>44</v>
      </c>
      <c r="W1620" s="3">
        <v>84</v>
      </c>
    </row>
    <row r="1621" spans="1:23" ht="11.25" customHeight="1" x14ac:dyDescent="0.25">
      <c r="A1621" s="3" t="s">
        <v>28</v>
      </c>
      <c r="B1621" s="3" t="s">
        <v>39</v>
      </c>
      <c r="C1621" s="3" t="s">
        <v>37</v>
      </c>
      <c r="D1621" s="3" t="s">
        <v>43</v>
      </c>
      <c r="E1621" s="3" t="s">
        <v>25</v>
      </c>
      <c r="F1621" s="3" t="s">
        <v>25</v>
      </c>
      <c r="G1621" s="3" t="s">
        <v>25</v>
      </c>
      <c r="H1621" s="3" t="s">
        <v>36</v>
      </c>
      <c r="I1621" s="6">
        <v>44378</v>
      </c>
      <c r="J1621" s="4">
        <v>0</v>
      </c>
      <c r="K1621" s="4">
        <v>0</v>
      </c>
      <c r="L1621" s="4">
        <v>0.26800000000000002</v>
      </c>
      <c r="M1621" s="4">
        <v>0.26800000000000002</v>
      </c>
      <c r="N1621" s="4">
        <v>0.26800000000000002</v>
      </c>
      <c r="O1621" s="4">
        <v>0.26800000000000002</v>
      </c>
      <c r="P1621" s="4">
        <v>0</v>
      </c>
      <c r="Q1621" s="3" t="s">
        <v>26</v>
      </c>
      <c r="R1621" s="3">
        <v>0</v>
      </c>
      <c r="S1621" s="3" t="s">
        <v>454</v>
      </c>
      <c r="T1621" s="3" t="s">
        <v>695</v>
      </c>
      <c r="U1621" s="3">
        <v>0</v>
      </c>
      <c r="V1621" s="3">
        <v>44</v>
      </c>
      <c r="W1621" s="3">
        <v>84</v>
      </c>
    </row>
    <row r="1622" spans="1:23" ht="11.25" customHeight="1" x14ac:dyDescent="0.25">
      <c r="A1622" s="3" t="s">
        <v>21</v>
      </c>
      <c r="B1622" s="3" t="s">
        <v>39</v>
      </c>
      <c r="C1622" s="3" t="s">
        <v>37</v>
      </c>
      <c r="D1622" s="3" t="s">
        <v>43</v>
      </c>
      <c r="E1622" s="3" t="s">
        <v>25</v>
      </c>
      <c r="F1622" s="3" t="s">
        <v>25</v>
      </c>
      <c r="G1622" s="3" t="s">
        <v>25</v>
      </c>
      <c r="H1622" s="3" t="s">
        <v>36</v>
      </c>
      <c r="I1622" s="6">
        <v>44409</v>
      </c>
      <c r="J1622" s="4">
        <v>0</v>
      </c>
      <c r="K1622" s="4">
        <v>0</v>
      </c>
      <c r="L1622" s="4">
        <v>134.69</v>
      </c>
      <c r="M1622" s="4">
        <v>134.69</v>
      </c>
      <c r="N1622" s="4">
        <v>134.69</v>
      </c>
      <c r="O1622" s="4">
        <v>134.69</v>
      </c>
      <c r="P1622" s="4">
        <v>0</v>
      </c>
      <c r="Q1622" s="3" t="s">
        <v>26</v>
      </c>
      <c r="R1622" s="3">
        <v>0</v>
      </c>
      <c r="S1622" s="3" t="s">
        <v>455</v>
      </c>
      <c r="T1622" s="3" t="s">
        <v>696</v>
      </c>
      <c r="U1622" s="3">
        <v>0</v>
      </c>
      <c r="V1622" s="3">
        <v>44</v>
      </c>
      <c r="W1622" s="3">
        <v>84</v>
      </c>
    </row>
    <row r="1623" spans="1:23" ht="11.25" customHeight="1" x14ac:dyDescent="0.25">
      <c r="A1623" s="3" t="s">
        <v>27</v>
      </c>
      <c r="B1623" s="3" t="s">
        <v>39</v>
      </c>
      <c r="C1623" s="3" t="s">
        <v>37</v>
      </c>
      <c r="D1623" s="3" t="s">
        <v>43</v>
      </c>
      <c r="E1623" s="3" t="s">
        <v>25</v>
      </c>
      <c r="F1623" s="3" t="s">
        <v>25</v>
      </c>
      <c r="G1623" s="3" t="s">
        <v>25</v>
      </c>
      <c r="H1623" s="3" t="s">
        <v>36</v>
      </c>
      <c r="I1623" s="6">
        <v>44409</v>
      </c>
      <c r="J1623" s="4">
        <v>0</v>
      </c>
      <c r="K1623" s="4">
        <v>0</v>
      </c>
      <c r="L1623" s="4">
        <v>0.33800000000000002</v>
      </c>
      <c r="M1623" s="4">
        <v>0.33800000000000002</v>
      </c>
      <c r="N1623" s="4">
        <v>0.33800000000000002</v>
      </c>
      <c r="O1623" s="4">
        <v>0.33800000000000002</v>
      </c>
      <c r="P1623" s="4">
        <v>0</v>
      </c>
      <c r="Q1623" s="3" t="s">
        <v>26</v>
      </c>
      <c r="R1623" s="3">
        <v>0</v>
      </c>
      <c r="S1623" s="3" t="s">
        <v>455</v>
      </c>
      <c r="T1623" s="3" t="s">
        <v>696</v>
      </c>
      <c r="U1623" s="3">
        <v>0</v>
      </c>
      <c r="V1623" s="3">
        <v>44</v>
      </c>
      <c r="W1623" s="3">
        <v>84</v>
      </c>
    </row>
    <row r="1624" spans="1:23" ht="11.25" customHeight="1" x14ac:dyDescent="0.25">
      <c r="A1624" s="3" t="s">
        <v>28</v>
      </c>
      <c r="B1624" s="3" t="s">
        <v>39</v>
      </c>
      <c r="C1624" s="3" t="s">
        <v>37</v>
      </c>
      <c r="D1624" s="3" t="s">
        <v>43</v>
      </c>
      <c r="E1624" s="3" t="s">
        <v>25</v>
      </c>
      <c r="F1624" s="3" t="s">
        <v>25</v>
      </c>
      <c r="G1624" s="3" t="s">
        <v>25</v>
      </c>
      <c r="H1624" s="3" t="s">
        <v>36</v>
      </c>
      <c r="I1624" s="6">
        <v>44409</v>
      </c>
      <c r="J1624" s="4">
        <v>0</v>
      </c>
      <c r="K1624" s="4">
        <v>0</v>
      </c>
      <c r="L1624" s="4">
        <v>0.69799999999999995</v>
      </c>
      <c r="M1624" s="4">
        <v>0.69799999999999995</v>
      </c>
      <c r="N1624" s="4">
        <v>0.69799999999999995</v>
      </c>
      <c r="O1624" s="4">
        <v>0.69799999999999995</v>
      </c>
      <c r="P1624" s="4">
        <v>0</v>
      </c>
      <c r="Q1624" s="3" t="s">
        <v>26</v>
      </c>
      <c r="R1624" s="3">
        <v>0</v>
      </c>
      <c r="S1624" s="3" t="s">
        <v>455</v>
      </c>
      <c r="T1624" s="3" t="s">
        <v>696</v>
      </c>
      <c r="U1624" s="3">
        <v>0</v>
      </c>
      <c r="V1624" s="3">
        <v>44</v>
      </c>
      <c r="W1624" s="3">
        <v>84</v>
      </c>
    </row>
    <row r="1625" spans="1:23" ht="11.25" customHeight="1" x14ac:dyDescent="0.25">
      <c r="A1625" s="3" t="s">
        <v>21</v>
      </c>
      <c r="B1625" s="3" t="s">
        <v>39</v>
      </c>
      <c r="C1625" s="3" t="s">
        <v>37</v>
      </c>
      <c r="D1625" s="3" t="s">
        <v>43</v>
      </c>
      <c r="E1625" s="3" t="s">
        <v>25</v>
      </c>
      <c r="F1625" s="3" t="s">
        <v>25</v>
      </c>
      <c r="G1625" s="3" t="s">
        <v>25</v>
      </c>
      <c r="H1625" s="3" t="s">
        <v>36</v>
      </c>
      <c r="I1625" s="6">
        <v>44440</v>
      </c>
      <c r="J1625" s="4">
        <v>0</v>
      </c>
      <c r="K1625" s="4">
        <v>0</v>
      </c>
      <c r="L1625" s="4">
        <v>142.40100000000001</v>
      </c>
      <c r="M1625" s="4">
        <v>142.40100000000001</v>
      </c>
      <c r="N1625" s="4">
        <v>142.40100000000001</v>
      </c>
      <c r="O1625" s="4">
        <v>142.40100000000001</v>
      </c>
      <c r="P1625" s="4">
        <v>0</v>
      </c>
      <c r="Q1625" s="3" t="s">
        <v>26</v>
      </c>
      <c r="R1625" s="3">
        <v>0</v>
      </c>
      <c r="S1625" s="3" t="s">
        <v>456</v>
      </c>
      <c r="T1625" s="3" t="s">
        <v>697</v>
      </c>
      <c r="U1625" s="3">
        <v>0</v>
      </c>
      <c r="V1625" s="3">
        <v>44</v>
      </c>
      <c r="W1625" s="3">
        <v>84</v>
      </c>
    </row>
    <row r="1626" spans="1:23" ht="11.25" customHeight="1" x14ac:dyDescent="0.25">
      <c r="A1626" s="3" t="s">
        <v>28</v>
      </c>
      <c r="B1626" s="3" t="s">
        <v>39</v>
      </c>
      <c r="C1626" s="3" t="s">
        <v>37</v>
      </c>
      <c r="D1626" s="3" t="s">
        <v>43</v>
      </c>
      <c r="E1626" s="3" t="s">
        <v>25</v>
      </c>
      <c r="F1626" s="3" t="s">
        <v>25</v>
      </c>
      <c r="G1626" s="3" t="s">
        <v>25</v>
      </c>
      <c r="H1626" s="3" t="s">
        <v>36</v>
      </c>
      <c r="I1626" s="6">
        <v>44440</v>
      </c>
      <c r="J1626" s="4">
        <v>0</v>
      </c>
      <c r="K1626" s="4">
        <v>0</v>
      </c>
      <c r="L1626" s="4">
        <v>0.42899999999999999</v>
      </c>
      <c r="M1626" s="4">
        <v>0.42899999999999999</v>
      </c>
      <c r="N1626" s="4">
        <v>0.42899999999999999</v>
      </c>
      <c r="O1626" s="4">
        <v>0.42899999999999999</v>
      </c>
      <c r="P1626" s="4">
        <v>0</v>
      </c>
      <c r="Q1626" s="3" t="s">
        <v>26</v>
      </c>
      <c r="R1626" s="3">
        <v>0</v>
      </c>
      <c r="S1626" s="3" t="s">
        <v>456</v>
      </c>
      <c r="T1626" s="3" t="s">
        <v>697</v>
      </c>
      <c r="U1626" s="3">
        <v>0</v>
      </c>
      <c r="V1626" s="3">
        <v>44</v>
      </c>
      <c r="W1626" s="3">
        <v>84</v>
      </c>
    </row>
    <row r="1627" spans="1:23" ht="11.25" customHeight="1" x14ac:dyDescent="0.25">
      <c r="A1627" s="3" t="s">
        <v>21</v>
      </c>
      <c r="B1627" s="3" t="s">
        <v>39</v>
      </c>
      <c r="C1627" s="3" t="s">
        <v>37</v>
      </c>
      <c r="D1627" s="3" t="s">
        <v>43</v>
      </c>
      <c r="E1627" s="3" t="s">
        <v>25</v>
      </c>
      <c r="F1627" s="3" t="s">
        <v>25</v>
      </c>
      <c r="G1627" s="3" t="s">
        <v>25</v>
      </c>
      <c r="H1627" s="3" t="s">
        <v>36</v>
      </c>
      <c r="I1627" s="6">
        <v>44470</v>
      </c>
      <c r="J1627" s="4">
        <v>0</v>
      </c>
      <c r="K1627" s="4">
        <v>0</v>
      </c>
      <c r="L1627" s="4">
        <v>158.839</v>
      </c>
      <c r="M1627" s="4">
        <v>158.839</v>
      </c>
      <c r="N1627" s="4">
        <v>158.839</v>
      </c>
      <c r="O1627" s="4">
        <v>158.839</v>
      </c>
      <c r="P1627" s="4">
        <v>0</v>
      </c>
      <c r="Q1627" s="3" t="s">
        <v>26</v>
      </c>
      <c r="R1627" s="3">
        <v>0</v>
      </c>
      <c r="S1627" s="3" t="s">
        <v>457</v>
      </c>
      <c r="T1627" s="3" t="s">
        <v>698</v>
      </c>
      <c r="U1627" s="3">
        <v>0</v>
      </c>
      <c r="V1627" s="3">
        <v>44</v>
      </c>
      <c r="W1627" s="3">
        <v>84</v>
      </c>
    </row>
    <row r="1628" spans="1:23" ht="11.25" customHeight="1" x14ac:dyDescent="0.25">
      <c r="A1628" s="3" t="s">
        <v>28</v>
      </c>
      <c r="B1628" s="3" t="s">
        <v>39</v>
      </c>
      <c r="C1628" s="3" t="s">
        <v>37</v>
      </c>
      <c r="D1628" s="3" t="s">
        <v>43</v>
      </c>
      <c r="E1628" s="3" t="s">
        <v>25</v>
      </c>
      <c r="F1628" s="3" t="s">
        <v>25</v>
      </c>
      <c r="G1628" s="3" t="s">
        <v>25</v>
      </c>
      <c r="H1628" s="3" t="s">
        <v>36</v>
      </c>
      <c r="I1628" s="6">
        <v>44470</v>
      </c>
      <c r="J1628" s="4">
        <v>0</v>
      </c>
      <c r="K1628" s="4">
        <v>0</v>
      </c>
      <c r="L1628" s="4">
        <v>0.72399999999999998</v>
      </c>
      <c r="M1628" s="4">
        <v>0.72399999999999998</v>
      </c>
      <c r="N1628" s="4">
        <v>0.72399999999999998</v>
      </c>
      <c r="O1628" s="4">
        <v>0.72399999999999998</v>
      </c>
      <c r="P1628" s="4">
        <v>0</v>
      </c>
      <c r="Q1628" s="3" t="s">
        <v>26</v>
      </c>
      <c r="R1628" s="3">
        <v>0</v>
      </c>
      <c r="S1628" s="3" t="s">
        <v>457</v>
      </c>
      <c r="T1628" s="3" t="s">
        <v>698</v>
      </c>
      <c r="U1628" s="3">
        <v>0</v>
      </c>
      <c r="V1628" s="3">
        <v>44</v>
      </c>
      <c r="W1628" s="3">
        <v>84</v>
      </c>
    </row>
    <row r="1629" spans="1:23" ht="11.25" customHeight="1" x14ac:dyDescent="0.25">
      <c r="A1629" s="3" t="s">
        <v>21</v>
      </c>
      <c r="B1629" s="3" t="s">
        <v>39</v>
      </c>
      <c r="C1629" s="3" t="s">
        <v>37</v>
      </c>
      <c r="D1629" s="3" t="s">
        <v>43</v>
      </c>
      <c r="E1629" s="3" t="s">
        <v>25</v>
      </c>
      <c r="F1629" s="3" t="s">
        <v>25</v>
      </c>
      <c r="G1629" s="3" t="s">
        <v>25</v>
      </c>
      <c r="H1629" s="3" t="s">
        <v>36</v>
      </c>
      <c r="I1629" s="6">
        <v>44501</v>
      </c>
      <c r="J1629" s="4">
        <v>0</v>
      </c>
      <c r="K1629" s="4">
        <v>0</v>
      </c>
      <c r="L1629" s="4">
        <v>166.381</v>
      </c>
      <c r="M1629" s="4">
        <v>166.381</v>
      </c>
      <c r="N1629" s="4">
        <v>166.381</v>
      </c>
      <c r="O1629" s="4">
        <v>166.381</v>
      </c>
      <c r="P1629" s="4">
        <v>0</v>
      </c>
      <c r="Q1629" s="3" t="s">
        <v>26</v>
      </c>
      <c r="R1629" s="3">
        <v>0</v>
      </c>
      <c r="S1629" s="3" t="s">
        <v>458</v>
      </c>
      <c r="T1629" s="3" t="s">
        <v>699</v>
      </c>
      <c r="U1629" s="3">
        <v>0</v>
      </c>
      <c r="V1629" s="3">
        <v>44</v>
      </c>
      <c r="W1629" s="3">
        <v>84</v>
      </c>
    </row>
    <row r="1630" spans="1:23" ht="11.25" customHeight="1" x14ac:dyDescent="0.25">
      <c r="A1630" s="3" t="s">
        <v>27</v>
      </c>
      <c r="B1630" s="3" t="s">
        <v>39</v>
      </c>
      <c r="C1630" s="3" t="s">
        <v>37</v>
      </c>
      <c r="D1630" s="3" t="s">
        <v>43</v>
      </c>
      <c r="E1630" s="3" t="s">
        <v>25</v>
      </c>
      <c r="F1630" s="3" t="s">
        <v>25</v>
      </c>
      <c r="G1630" s="3" t="s">
        <v>25</v>
      </c>
      <c r="H1630" s="3" t="s">
        <v>36</v>
      </c>
      <c r="I1630" s="6">
        <v>44501</v>
      </c>
      <c r="J1630" s="4">
        <v>0</v>
      </c>
      <c r="K1630" s="4">
        <v>0</v>
      </c>
      <c r="L1630" s="4">
        <v>-0.47499999999999998</v>
      </c>
      <c r="M1630" s="4">
        <v>-0.47499999999999998</v>
      </c>
      <c r="N1630" s="4">
        <v>-0.47499999999999998</v>
      </c>
      <c r="O1630" s="4">
        <v>-0.47499999999999998</v>
      </c>
      <c r="P1630" s="4">
        <v>0</v>
      </c>
      <c r="Q1630" s="3" t="s">
        <v>26</v>
      </c>
      <c r="R1630" s="3">
        <v>0</v>
      </c>
      <c r="S1630" s="3" t="s">
        <v>458</v>
      </c>
      <c r="T1630" s="3" t="s">
        <v>699</v>
      </c>
      <c r="U1630" s="3">
        <v>0</v>
      </c>
      <c r="V1630" s="3">
        <v>44</v>
      </c>
      <c r="W1630" s="3">
        <v>84</v>
      </c>
    </row>
    <row r="1631" spans="1:23" ht="11.25" customHeight="1" x14ac:dyDescent="0.25">
      <c r="A1631" s="3" t="s">
        <v>28</v>
      </c>
      <c r="B1631" s="3" t="s">
        <v>39</v>
      </c>
      <c r="C1631" s="3" t="s">
        <v>37</v>
      </c>
      <c r="D1631" s="3" t="s">
        <v>43</v>
      </c>
      <c r="E1631" s="3" t="s">
        <v>25</v>
      </c>
      <c r="F1631" s="3" t="s">
        <v>25</v>
      </c>
      <c r="G1631" s="3" t="s">
        <v>25</v>
      </c>
      <c r="H1631" s="3" t="s">
        <v>36</v>
      </c>
      <c r="I1631" s="6">
        <v>44501</v>
      </c>
      <c r="J1631" s="4">
        <v>0</v>
      </c>
      <c r="K1631" s="4">
        <v>0</v>
      </c>
      <c r="L1631" s="4">
        <v>0.55200000000000005</v>
      </c>
      <c r="M1631" s="4">
        <v>0.55200000000000005</v>
      </c>
      <c r="N1631" s="4">
        <v>0.55200000000000005</v>
      </c>
      <c r="O1631" s="4">
        <v>0.55200000000000005</v>
      </c>
      <c r="P1631" s="4">
        <v>0</v>
      </c>
      <c r="Q1631" s="3" t="s">
        <v>26</v>
      </c>
      <c r="R1631" s="3">
        <v>0</v>
      </c>
      <c r="S1631" s="3" t="s">
        <v>458</v>
      </c>
      <c r="T1631" s="3" t="s">
        <v>699</v>
      </c>
      <c r="U1631" s="3">
        <v>0</v>
      </c>
      <c r="V1631" s="3">
        <v>44</v>
      </c>
      <c r="W1631" s="3">
        <v>84</v>
      </c>
    </row>
    <row r="1632" spans="1:23" ht="11.25" customHeight="1" x14ac:dyDescent="0.25">
      <c r="A1632" s="3" t="s">
        <v>21</v>
      </c>
      <c r="B1632" s="3" t="s">
        <v>39</v>
      </c>
      <c r="C1632" s="3" t="s">
        <v>37</v>
      </c>
      <c r="D1632" s="3" t="s">
        <v>43</v>
      </c>
      <c r="E1632" s="3" t="s">
        <v>25</v>
      </c>
      <c r="F1632" s="3" t="s">
        <v>25</v>
      </c>
      <c r="G1632" s="3" t="s">
        <v>25</v>
      </c>
      <c r="H1632" s="3" t="s">
        <v>36</v>
      </c>
      <c r="I1632" s="6">
        <v>44531</v>
      </c>
      <c r="J1632" s="4">
        <v>0</v>
      </c>
      <c r="K1632" s="4">
        <v>0</v>
      </c>
      <c r="L1632" s="4">
        <v>154.74199999999999</v>
      </c>
      <c r="M1632" s="4">
        <v>154.74199999999999</v>
      </c>
      <c r="N1632" s="4">
        <v>154.74199999999999</v>
      </c>
      <c r="O1632" s="4">
        <v>154.74199999999999</v>
      </c>
      <c r="P1632" s="4">
        <v>0</v>
      </c>
      <c r="Q1632" s="3" t="s">
        <v>26</v>
      </c>
      <c r="R1632" s="3">
        <v>0</v>
      </c>
      <c r="S1632" s="3" t="s">
        <v>459</v>
      </c>
      <c r="T1632" s="3" t="s">
        <v>700</v>
      </c>
      <c r="U1632" s="3">
        <v>0</v>
      </c>
      <c r="V1632" s="3">
        <v>44</v>
      </c>
      <c r="W1632" s="3">
        <v>84</v>
      </c>
    </row>
    <row r="1633" spans="1:23" ht="11.25" customHeight="1" x14ac:dyDescent="0.25">
      <c r="A1633" s="3" t="s">
        <v>27</v>
      </c>
      <c r="B1633" s="3" t="s">
        <v>39</v>
      </c>
      <c r="C1633" s="3" t="s">
        <v>37</v>
      </c>
      <c r="D1633" s="3" t="s">
        <v>43</v>
      </c>
      <c r="E1633" s="3" t="s">
        <v>25</v>
      </c>
      <c r="F1633" s="3" t="s">
        <v>25</v>
      </c>
      <c r="G1633" s="3" t="s">
        <v>25</v>
      </c>
      <c r="H1633" s="3" t="s">
        <v>36</v>
      </c>
      <c r="I1633" s="6">
        <v>44531</v>
      </c>
      <c r="J1633" s="4">
        <v>0</v>
      </c>
      <c r="K1633" s="4">
        <v>0</v>
      </c>
      <c r="L1633" s="4">
        <v>-0.2</v>
      </c>
      <c r="M1633" s="4">
        <v>-0.2</v>
      </c>
      <c r="N1633" s="4">
        <v>-0.2</v>
      </c>
      <c r="O1633" s="4">
        <v>-0.2</v>
      </c>
      <c r="P1633" s="4">
        <v>0</v>
      </c>
      <c r="Q1633" s="3" t="s">
        <v>26</v>
      </c>
      <c r="R1633" s="3">
        <v>0</v>
      </c>
      <c r="S1633" s="3" t="s">
        <v>459</v>
      </c>
      <c r="T1633" s="3" t="s">
        <v>700</v>
      </c>
      <c r="U1633" s="3">
        <v>0</v>
      </c>
      <c r="V1633" s="3">
        <v>44</v>
      </c>
      <c r="W1633" s="3">
        <v>84</v>
      </c>
    </row>
    <row r="1634" spans="1:23" ht="11.25" customHeight="1" x14ac:dyDescent="0.25">
      <c r="A1634" s="3" t="s">
        <v>28</v>
      </c>
      <c r="B1634" s="3" t="s">
        <v>39</v>
      </c>
      <c r="C1634" s="3" t="s">
        <v>37</v>
      </c>
      <c r="D1634" s="3" t="s">
        <v>43</v>
      </c>
      <c r="E1634" s="3" t="s">
        <v>25</v>
      </c>
      <c r="F1634" s="3" t="s">
        <v>25</v>
      </c>
      <c r="G1634" s="3" t="s">
        <v>25</v>
      </c>
      <c r="H1634" s="3" t="s">
        <v>36</v>
      </c>
      <c r="I1634" s="6">
        <v>44531</v>
      </c>
      <c r="J1634" s="4">
        <v>0</v>
      </c>
      <c r="K1634" s="4">
        <v>0</v>
      </c>
      <c r="L1634" s="4">
        <v>0.48299999999999998</v>
      </c>
      <c r="M1634" s="4">
        <v>0.48299999999999998</v>
      </c>
      <c r="N1634" s="4">
        <v>0.48299999999999998</v>
      </c>
      <c r="O1634" s="4">
        <v>0.48299999999999998</v>
      </c>
      <c r="P1634" s="4">
        <v>0</v>
      </c>
      <c r="Q1634" s="3" t="s">
        <v>26</v>
      </c>
      <c r="R1634" s="3">
        <v>0</v>
      </c>
      <c r="S1634" s="3" t="s">
        <v>459</v>
      </c>
      <c r="T1634" s="3" t="s">
        <v>700</v>
      </c>
      <c r="U1634" s="3">
        <v>0</v>
      </c>
      <c r="V1634" s="3">
        <v>44</v>
      </c>
      <c r="W1634" s="3">
        <v>84</v>
      </c>
    </row>
    <row r="1635" spans="1:23" ht="11.25" customHeight="1" x14ac:dyDescent="0.25">
      <c r="A1635" s="3" t="s">
        <v>21</v>
      </c>
      <c r="B1635" s="3" t="s">
        <v>39</v>
      </c>
      <c r="C1635" s="3" t="s">
        <v>37</v>
      </c>
      <c r="D1635" s="3" t="s">
        <v>43</v>
      </c>
      <c r="E1635" s="3" t="s">
        <v>25</v>
      </c>
      <c r="F1635" s="3" t="s">
        <v>25</v>
      </c>
      <c r="G1635" s="3" t="s">
        <v>25</v>
      </c>
      <c r="H1635" s="3" t="s">
        <v>36</v>
      </c>
      <c r="I1635" s="6">
        <v>44562</v>
      </c>
      <c r="J1635" s="4">
        <v>0</v>
      </c>
      <c r="K1635" s="4">
        <v>0</v>
      </c>
      <c r="L1635" s="4">
        <v>178.86799999999999</v>
      </c>
      <c r="M1635" s="4">
        <v>178.86799999999999</v>
      </c>
      <c r="N1635" s="4">
        <v>178.86799999999999</v>
      </c>
      <c r="O1635" s="4">
        <v>178.86799999999999</v>
      </c>
      <c r="P1635" s="4">
        <v>0</v>
      </c>
      <c r="Q1635" s="3" t="s">
        <v>26</v>
      </c>
      <c r="R1635" s="3">
        <v>0</v>
      </c>
      <c r="S1635" s="3" t="s">
        <v>460</v>
      </c>
      <c r="T1635" s="3" t="s">
        <v>701</v>
      </c>
      <c r="U1635" s="3">
        <v>0</v>
      </c>
      <c r="V1635" s="3">
        <v>44</v>
      </c>
      <c r="W1635" s="3">
        <v>84</v>
      </c>
    </row>
    <row r="1636" spans="1:23" ht="11.25" customHeight="1" x14ac:dyDescent="0.25">
      <c r="A1636" s="3" t="s">
        <v>28</v>
      </c>
      <c r="B1636" s="3" t="s">
        <v>39</v>
      </c>
      <c r="C1636" s="3" t="s">
        <v>37</v>
      </c>
      <c r="D1636" s="3" t="s">
        <v>43</v>
      </c>
      <c r="E1636" s="3" t="s">
        <v>25</v>
      </c>
      <c r="F1636" s="3" t="s">
        <v>25</v>
      </c>
      <c r="G1636" s="3" t="s">
        <v>25</v>
      </c>
      <c r="H1636" s="3" t="s">
        <v>36</v>
      </c>
      <c r="I1636" s="6">
        <v>44562</v>
      </c>
      <c r="J1636" s="4">
        <v>0</v>
      </c>
      <c r="K1636" s="4">
        <v>0</v>
      </c>
      <c r="L1636" s="4">
        <v>0.16900000000000001</v>
      </c>
      <c r="M1636" s="4">
        <v>0.16900000000000001</v>
      </c>
      <c r="N1636" s="4">
        <v>0.16900000000000001</v>
      </c>
      <c r="O1636" s="4">
        <v>0.16900000000000001</v>
      </c>
      <c r="P1636" s="4">
        <v>0</v>
      </c>
      <c r="Q1636" s="3" t="s">
        <v>26</v>
      </c>
      <c r="R1636" s="3">
        <v>0</v>
      </c>
      <c r="S1636" s="3" t="s">
        <v>460</v>
      </c>
      <c r="T1636" s="3" t="s">
        <v>701</v>
      </c>
      <c r="U1636" s="3">
        <v>0</v>
      </c>
      <c r="V1636" s="3">
        <v>44</v>
      </c>
      <c r="W1636" s="3">
        <v>84</v>
      </c>
    </row>
    <row r="1637" spans="1:23" ht="11.25" customHeight="1" x14ac:dyDescent="0.25">
      <c r="A1637" s="3" t="s">
        <v>21</v>
      </c>
      <c r="B1637" s="3" t="s">
        <v>39</v>
      </c>
      <c r="C1637" s="3" t="s">
        <v>37</v>
      </c>
      <c r="D1637" s="3" t="s">
        <v>43</v>
      </c>
      <c r="E1637" s="3" t="s">
        <v>25</v>
      </c>
      <c r="F1637" s="3" t="s">
        <v>25</v>
      </c>
      <c r="G1637" s="3" t="s">
        <v>25</v>
      </c>
      <c r="H1637" s="3" t="s">
        <v>36</v>
      </c>
      <c r="I1637" s="6">
        <v>44593</v>
      </c>
      <c r="J1637" s="4">
        <v>0</v>
      </c>
      <c r="K1637" s="4">
        <v>0</v>
      </c>
      <c r="L1637" s="4">
        <v>143.70099999999999</v>
      </c>
      <c r="M1637" s="4">
        <v>143.70099999999999</v>
      </c>
      <c r="N1637" s="4">
        <v>143.70099999999999</v>
      </c>
      <c r="O1637" s="4">
        <v>143.70099999999999</v>
      </c>
      <c r="P1637" s="4">
        <v>0</v>
      </c>
      <c r="Q1637" s="3" t="s">
        <v>26</v>
      </c>
      <c r="R1637" s="3">
        <v>0</v>
      </c>
      <c r="S1637" s="3" t="s">
        <v>461</v>
      </c>
      <c r="T1637" s="3" t="s">
        <v>702</v>
      </c>
      <c r="U1637" s="3">
        <v>0</v>
      </c>
      <c r="V1637" s="3">
        <v>44</v>
      </c>
      <c r="W1637" s="3">
        <v>84</v>
      </c>
    </row>
    <row r="1638" spans="1:23" ht="11.25" customHeight="1" x14ac:dyDescent="0.25">
      <c r="A1638" s="3" t="s">
        <v>27</v>
      </c>
      <c r="B1638" s="3" t="s">
        <v>39</v>
      </c>
      <c r="C1638" s="3" t="s">
        <v>37</v>
      </c>
      <c r="D1638" s="3" t="s">
        <v>43</v>
      </c>
      <c r="E1638" s="3" t="s">
        <v>25</v>
      </c>
      <c r="F1638" s="3" t="s">
        <v>25</v>
      </c>
      <c r="G1638" s="3" t="s">
        <v>25</v>
      </c>
      <c r="H1638" s="3" t="s">
        <v>36</v>
      </c>
      <c r="I1638" s="6">
        <v>44593</v>
      </c>
      <c r="J1638" s="4">
        <v>0</v>
      </c>
      <c r="K1638" s="4">
        <v>0</v>
      </c>
      <c r="L1638" s="4">
        <v>-40.08</v>
      </c>
      <c r="M1638" s="4">
        <v>-40.08</v>
      </c>
      <c r="N1638" s="4">
        <v>-40.08</v>
      </c>
      <c r="O1638" s="4">
        <v>-40.08</v>
      </c>
      <c r="P1638" s="4">
        <v>0</v>
      </c>
      <c r="Q1638" s="3" t="s">
        <v>26</v>
      </c>
      <c r="R1638" s="3">
        <v>0</v>
      </c>
      <c r="S1638" s="3" t="s">
        <v>461</v>
      </c>
      <c r="T1638" s="3" t="s">
        <v>702</v>
      </c>
      <c r="U1638" s="3">
        <v>0</v>
      </c>
      <c r="V1638" s="3">
        <v>44</v>
      </c>
      <c r="W1638" s="3">
        <v>84</v>
      </c>
    </row>
    <row r="1639" spans="1:23" ht="11.25" customHeight="1" x14ac:dyDescent="0.25">
      <c r="A1639" s="3" t="s">
        <v>28</v>
      </c>
      <c r="B1639" s="3" t="s">
        <v>39</v>
      </c>
      <c r="C1639" s="3" t="s">
        <v>37</v>
      </c>
      <c r="D1639" s="3" t="s">
        <v>43</v>
      </c>
      <c r="E1639" s="3" t="s">
        <v>25</v>
      </c>
      <c r="F1639" s="3" t="s">
        <v>25</v>
      </c>
      <c r="G1639" s="3" t="s">
        <v>25</v>
      </c>
      <c r="H1639" s="3" t="s">
        <v>36</v>
      </c>
      <c r="I1639" s="6">
        <v>44593</v>
      </c>
      <c r="J1639" s="4">
        <v>0</v>
      </c>
      <c r="K1639" s="4">
        <v>0</v>
      </c>
      <c r="L1639" s="4">
        <v>0.13700000000000001</v>
      </c>
      <c r="M1639" s="4">
        <v>0.13700000000000001</v>
      </c>
      <c r="N1639" s="4">
        <v>0.13700000000000001</v>
      </c>
      <c r="O1639" s="4">
        <v>0.13700000000000001</v>
      </c>
      <c r="P1639" s="4">
        <v>0</v>
      </c>
      <c r="Q1639" s="3" t="s">
        <v>26</v>
      </c>
      <c r="R1639" s="3">
        <v>0</v>
      </c>
      <c r="S1639" s="3" t="s">
        <v>461</v>
      </c>
      <c r="T1639" s="3" t="s">
        <v>702</v>
      </c>
      <c r="U1639" s="3">
        <v>0</v>
      </c>
      <c r="V1639" s="3">
        <v>44</v>
      </c>
      <c r="W1639" s="3">
        <v>84</v>
      </c>
    </row>
    <row r="1640" spans="1:23" ht="11.25" customHeight="1" x14ac:dyDescent="0.25">
      <c r="A1640" s="3" t="s">
        <v>21</v>
      </c>
      <c r="B1640" s="3" t="s">
        <v>39</v>
      </c>
      <c r="C1640" s="3" t="s">
        <v>37</v>
      </c>
      <c r="D1640" s="3" t="s">
        <v>43</v>
      </c>
      <c r="E1640" s="3" t="s">
        <v>25</v>
      </c>
      <c r="F1640" s="3" t="s">
        <v>25</v>
      </c>
      <c r="G1640" s="3" t="s">
        <v>25</v>
      </c>
      <c r="H1640" s="3" t="s">
        <v>36</v>
      </c>
      <c r="I1640" s="6">
        <v>44621</v>
      </c>
      <c r="J1640" s="4">
        <v>0</v>
      </c>
      <c r="K1640" s="4">
        <v>0</v>
      </c>
      <c r="L1640" s="4">
        <v>149.50800000000001</v>
      </c>
      <c r="M1640" s="4">
        <v>149.50800000000001</v>
      </c>
      <c r="N1640" s="4">
        <v>149.50800000000001</v>
      </c>
      <c r="O1640" s="4">
        <v>149.50800000000001</v>
      </c>
      <c r="P1640" s="4">
        <v>0</v>
      </c>
      <c r="Q1640" s="3" t="s">
        <v>26</v>
      </c>
      <c r="R1640" s="3">
        <v>0</v>
      </c>
      <c r="S1640" s="3" t="s">
        <v>462</v>
      </c>
      <c r="T1640" s="3" t="s">
        <v>703</v>
      </c>
      <c r="U1640" s="3">
        <v>0</v>
      </c>
      <c r="V1640" s="3">
        <v>44</v>
      </c>
      <c r="W1640" s="3">
        <v>84</v>
      </c>
    </row>
    <row r="1641" spans="1:23" ht="11.25" customHeight="1" x14ac:dyDescent="0.25">
      <c r="A1641" s="3" t="s">
        <v>28</v>
      </c>
      <c r="B1641" s="3" t="s">
        <v>39</v>
      </c>
      <c r="C1641" s="3" t="s">
        <v>37</v>
      </c>
      <c r="D1641" s="3" t="s">
        <v>43</v>
      </c>
      <c r="E1641" s="3" t="s">
        <v>25</v>
      </c>
      <c r="F1641" s="3" t="s">
        <v>25</v>
      </c>
      <c r="G1641" s="3" t="s">
        <v>25</v>
      </c>
      <c r="H1641" s="3" t="s">
        <v>36</v>
      </c>
      <c r="I1641" s="6">
        <v>44621</v>
      </c>
      <c r="J1641" s="4">
        <v>0</v>
      </c>
      <c r="K1641" s="4">
        <v>0</v>
      </c>
      <c r="L1641" s="4">
        <v>0.14799999999999999</v>
      </c>
      <c r="M1641" s="4">
        <v>0.14799999999999999</v>
      </c>
      <c r="N1641" s="4">
        <v>0.14799999999999999</v>
      </c>
      <c r="O1641" s="4">
        <v>0.14799999999999999</v>
      </c>
      <c r="P1641" s="4">
        <v>0</v>
      </c>
      <c r="Q1641" s="3" t="s">
        <v>26</v>
      </c>
      <c r="R1641" s="3">
        <v>0</v>
      </c>
      <c r="S1641" s="3" t="s">
        <v>462</v>
      </c>
      <c r="T1641" s="3" t="s">
        <v>703</v>
      </c>
      <c r="U1641" s="3">
        <v>0</v>
      </c>
      <c r="V1641" s="3">
        <v>44</v>
      </c>
      <c r="W1641" s="3">
        <v>84</v>
      </c>
    </row>
    <row r="1642" spans="1:23" ht="11.25" customHeight="1" x14ac:dyDescent="0.25">
      <c r="A1642" s="3" t="s">
        <v>56</v>
      </c>
      <c r="B1642" s="3" t="s">
        <v>39</v>
      </c>
      <c r="C1642" s="3" t="s">
        <v>37</v>
      </c>
      <c r="D1642" s="3" t="s">
        <v>43</v>
      </c>
      <c r="E1642" s="3" t="s">
        <v>25</v>
      </c>
      <c r="F1642" s="3" t="s">
        <v>25</v>
      </c>
      <c r="G1642" s="3" t="s">
        <v>25</v>
      </c>
      <c r="H1642" s="3" t="s">
        <v>36</v>
      </c>
      <c r="I1642" s="6">
        <v>44652</v>
      </c>
      <c r="J1642" s="4">
        <v>0</v>
      </c>
      <c r="K1642" s="4">
        <v>0</v>
      </c>
      <c r="L1642" s="4">
        <v>149.50800000000001</v>
      </c>
      <c r="M1642" s="4">
        <v>149.50800000000001</v>
      </c>
      <c r="N1642" s="4">
        <v>149.50800000000001</v>
      </c>
      <c r="O1642" s="4">
        <v>149.50800000000001</v>
      </c>
      <c r="P1642" s="4">
        <v>0</v>
      </c>
      <c r="Q1642" s="3" t="s">
        <v>26</v>
      </c>
      <c r="R1642" s="3">
        <v>0</v>
      </c>
      <c r="S1642" s="3" t="s">
        <v>463</v>
      </c>
      <c r="T1642" s="3" t="s">
        <v>704</v>
      </c>
      <c r="U1642" s="3">
        <v>0</v>
      </c>
      <c r="V1642" s="3">
        <v>44</v>
      </c>
      <c r="W1642" s="3">
        <v>84</v>
      </c>
    </row>
    <row r="1643" spans="1:23" ht="11.25" customHeight="1" x14ac:dyDescent="0.25">
      <c r="A1643" s="3" t="s">
        <v>56</v>
      </c>
      <c r="B1643" s="3" t="s">
        <v>39</v>
      </c>
      <c r="C1643" s="3" t="s">
        <v>37</v>
      </c>
      <c r="D1643" s="3" t="s">
        <v>43</v>
      </c>
      <c r="E1643" s="3" t="s">
        <v>25</v>
      </c>
      <c r="F1643" s="3" t="s">
        <v>25</v>
      </c>
      <c r="G1643" s="3" t="s">
        <v>25</v>
      </c>
      <c r="H1643" s="3" t="s">
        <v>36</v>
      </c>
      <c r="I1643" s="6">
        <v>44652</v>
      </c>
      <c r="J1643" s="4">
        <v>0</v>
      </c>
      <c r="K1643" s="4">
        <v>0</v>
      </c>
      <c r="L1643" s="4">
        <v>0.14799999999999999</v>
      </c>
      <c r="M1643" s="4">
        <v>0.14799999999999999</v>
      </c>
      <c r="N1643" s="4">
        <v>0.14799999999999999</v>
      </c>
      <c r="O1643" s="4">
        <v>0.14799999999999999</v>
      </c>
      <c r="P1643" s="4">
        <v>0</v>
      </c>
      <c r="Q1643" s="3" t="s">
        <v>26</v>
      </c>
      <c r="R1643" s="3">
        <v>0</v>
      </c>
      <c r="S1643" s="3" t="s">
        <v>463</v>
      </c>
      <c r="T1643" s="3" t="s">
        <v>704</v>
      </c>
      <c r="U1643" s="3">
        <v>0</v>
      </c>
      <c r="V1643" s="3">
        <v>44</v>
      </c>
      <c r="W1643" s="3">
        <v>84</v>
      </c>
    </row>
    <row r="1644" spans="1:23" ht="11.25" customHeight="1" x14ac:dyDescent="0.25">
      <c r="A1644" s="3" t="s">
        <v>21</v>
      </c>
      <c r="B1644" s="3" t="s">
        <v>39</v>
      </c>
      <c r="C1644" s="3" t="s">
        <v>37</v>
      </c>
      <c r="D1644" s="3" t="s">
        <v>43</v>
      </c>
      <c r="E1644" s="3" t="s">
        <v>25</v>
      </c>
      <c r="F1644" s="3" t="s">
        <v>25</v>
      </c>
      <c r="G1644" s="3" t="s">
        <v>25</v>
      </c>
      <c r="H1644" s="3" t="s">
        <v>38</v>
      </c>
      <c r="I1644" s="6">
        <v>44317</v>
      </c>
      <c r="J1644" s="4">
        <v>0</v>
      </c>
      <c r="K1644" s="4">
        <v>0</v>
      </c>
      <c r="L1644" s="4">
        <v>9.5060000000000002</v>
      </c>
      <c r="M1644" s="4">
        <v>9.5060000000000002</v>
      </c>
      <c r="N1644" s="4">
        <v>9.5060000000000002</v>
      </c>
      <c r="O1644" s="4">
        <v>9.5060000000000002</v>
      </c>
      <c r="P1644" s="4">
        <v>0</v>
      </c>
      <c r="Q1644" s="3" t="s">
        <v>26</v>
      </c>
      <c r="R1644" s="3">
        <v>0</v>
      </c>
      <c r="S1644" s="3" t="s">
        <v>464</v>
      </c>
      <c r="T1644" s="3" t="s">
        <v>705</v>
      </c>
      <c r="U1644" s="3">
        <v>0</v>
      </c>
      <c r="V1644" s="3">
        <v>43</v>
      </c>
      <c r="W1644" s="3">
        <v>83</v>
      </c>
    </row>
    <row r="1645" spans="1:23" ht="11.25" customHeight="1" x14ac:dyDescent="0.25">
      <c r="A1645" s="3" t="s">
        <v>27</v>
      </c>
      <c r="B1645" s="3" t="s">
        <v>39</v>
      </c>
      <c r="C1645" s="3" t="s">
        <v>37</v>
      </c>
      <c r="D1645" s="3" t="s">
        <v>43</v>
      </c>
      <c r="E1645" s="3" t="s">
        <v>25</v>
      </c>
      <c r="F1645" s="3" t="s">
        <v>25</v>
      </c>
      <c r="G1645" s="3" t="s">
        <v>25</v>
      </c>
      <c r="H1645" s="3" t="s">
        <v>38</v>
      </c>
      <c r="I1645" s="6">
        <v>44317</v>
      </c>
      <c r="J1645" s="4">
        <v>0</v>
      </c>
      <c r="K1645" s="4">
        <v>0</v>
      </c>
      <c r="L1645" s="4">
        <v>0.85599999999999998</v>
      </c>
      <c r="M1645" s="4">
        <v>0.85599999999999998</v>
      </c>
      <c r="N1645" s="4">
        <v>0.85599999999999998</v>
      </c>
      <c r="O1645" s="4">
        <v>0.85599999999999998</v>
      </c>
      <c r="P1645" s="4">
        <v>0</v>
      </c>
      <c r="Q1645" s="3" t="s">
        <v>26</v>
      </c>
      <c r="R1645" s="3">
        <v>0</v>
      </c>
      <c r="S1645" s="3" t="s">
        <v>464</v>
      </c>
      <c r="T1645" s="3" t="s">
        <v>705</v>
      </c>
      <c r="U1645" s="3">
        <v>0</v>
      </c>
      <c r="V1645" s="3">
        <v>43</v>
      </c>
      <c r="W1645" s="3">
        <v>83</v>
      </c>
    </row>
    <row r="1646" spans="1:23" ht="11.25" customHeight="1" x14ac:dyDescent="0.25">
      <c r="A1646" s="3" t="s">
        <v>28</v>
      </c>
      <c r="B1646" s="3" t="s">
        <v>39</v>
      </c>
      <c r="C1646" s="3" t="s">
        <v>37</v>
      </c>
      <c r="D1646" s="3" t="s">
        <v>43</v>
      </c>
      <c r="E1646" s="3" t="s">
        <v>25</v>
      </c>
      <c r="F1646" s="3" t="s">
        <v>25</v>
      </c>
      <c r="G1646" s="3" t="s">
        <v>25</v>
      </c>
      <c r="H1646" s="3" t="s">
        <v>38</v>
      </c>
      <c r="I1646" s="6">
        <v>44317</v>
      </c>
      <c r="J1646" s="4">
        <v>0</v>
      </c>
      <c r="K1646" s="4">
        <v>0</v>
      </c>
      <c r="L1646" s="4">
        <v>2.3E-2</v>
      </c>
      <c r="M1646" s="4">
        <v>2.3E-2</v>
      </c>
      <c r="N1646" s="4">
        <v>2.3E-2</v>
      </c>
      <c r="O1646" s="4">
        <v>2.3E-2</v>
      </c>
      <c r="P1646" s="4">
        <v>0</v>
      </c>
      <c r="Q1646" s="3" t="s">
        <v>26</v>
      </c>
      <c r="R1646" s="3">
        <v>0</v>
      </c>
      <c r="S1646" s="3" t="s">
        <v>464</v>
      </c>
      <c r="T1646" s="3" t="s">
        <v>705</v>
      </c>
      <c r="U1646" s="3">
        <v>0</v>
      </c>
      <c r="V1646" s="3">
        <v>43</v>
      </c>
      <c r="W1646" s="3">
        <v>83</v>
      </c>
    </row>
    <row r="1647" spans="1:23" ht="11.25" customHeight="1" x14ac:dyDescent="0.25">
      <c r="A1647" s="3" t="s">
        <v>21</v>
      </c>
      <c r="B1647" s="3" t="s">
        <v>39</v>
      </c>
      <c r="C1647" s="3" t="s">
        <v>37</v>
      </c>
      <c r="D1647" s="3" t="s">
        <v>43</v>
      </c>
      <c r="E1647" s="3" t="s">
        <v>25</v>
      </c>
      <c r="F1647" s="3" t="s">
        <v>25</v>
      </c>
      <c r="G1647" s="3" t="s">
        <v>25</v>
      </c>
      <c r="H1647" s="3" t="s">
        <v>38</v>
      </c>
      <c r="I1647" s="6">
        <v>44348</v>
      </c>
      <c r="J1647" s="4">
        <v>0</v>
      </c>
      <c r="K1647" s="4">
        <v>0</v>
      </c>
      <c r="L1647" s="4">
        <v>8.7210000000000001</v>
      </c>
      <c r="M1647" s="4">
        <v>8.7210000000000001</v>
      </c>
      <c r="N1647" s="4">
        <v>8.7210000000000001</v>
      </c>
      <c r="O1647" s="4">
        <v>8.7210000000000001</v>
      </c>
      <c r="P1647" s="4">
        <v>0</v>
      </c>
      <c r="Q1647" s="3" t="s">
        <v>26</v>
      </c>
      <c r="R1647" s="3">
        <v>0</v>
      </c>
      <c r="S1647" s="3" t="s">
        <v>465</v>
      </c>
      <c r="T1647" s="3" t="s">
        <v>706</v>
      </c>
      <c r="U1647" s="3">
        <v>0</v>
      </c>
      <c r="V1647" s="3">
        <v>43</v>
      </c>
      <c r="W1647" s="3">
        <v>83</v>
      </c>
    </row>
    <row r="1648" spans="1:23" ht="11.25" customHeight="1" x14ac:dyDescent="0.25">
      <c r="A1648" s="3" t="s">
        <v>27</v>
      </c>
      <c r="B1648" s="3" t="s">
        <v>39</v>
      </c>
      <c r="C1648" s="3" t="s">
        <v>37</v>
      </c>
      <c r="D1648" s="3" t="s">
        <v>43</v>
      </c>
      <c r="E1648" s="3" t="s">
        <v>25</v>
      </c>
      <c r="F1648" s="3" t="s">
        <v>25</v>
      </c>
      <c r="G1648" s="3" t="s">
        <v>25</v>
      </c>
      <c r="H1648" s="3" t="s">
        <v>38</v>
      </c>
      <c r="I1648" s="6">
        <v>44348</v>
      </c>
      <c r="J1648" s="4">
        <v>0</v>
      </c>
      <c r="K1648" s="4">
        <v>0</v>
      </c>
      <c r="L1648" s="4">
        <v>-0.25900000000000001</v>
      </c>
      <c r="M1648" s="4">
        <v>-0.25900000000000001</v>
      </c>
      <c r="N1648" s="4">
        <v>-0.25900000000000001</v>
      </c>
      <c r="O1648" s="4">
        <v>-0.25900000000000001</v>
      </c>
      <c r="P1648" s="4">
        <v>0</v>
      </c>
      <c r="Q1648" s="3" t="s">
        <v>26</v>
      </c>
      <c r="R1648" s="3">
        <v>0</v>
      </c>
      <c r="S1648" s="3" t="s">
        <v>465</v>
      </c>
      <c r="T1648" s="3" t="s">
        <v>706</v>
      </c>
      <c r="U1648" s="3">
        <v>0</v>
      </c>
      <c r="V1648" s="3">
        <v>43</v>
      </c>
      <c r="W1648" s="3">
        <v>83</v>
      </c>
    </row>
    <row r="1649" spans="1:23" ht="11.25" customHeight="1" x14ac:dyDescent="0.25">
      <c r="A1649" s="3" t="s">
        <v>28</v>
      </c>
      <c r="B1649" s="3" t="s">
        <v>39</v>
      </c>
      <c r="C1649" s="3" t="s">
        <v>37</v>
      </c>
      <c r="D1649" s="3" t="s">
        <v>43</v>
      </c>
      <c r="E1649" s="3" t="s">
        <v>25</v>
      </c>
      <c r="F1649" s="3" t="s">
        <v>25</v>
      </c>
      <c r="G1649" s="3" t="s">
        <v>25</v>
      </c>
      <c r="H1649" s="3" t="s">
        <v>38</v>
      </c>
      <c r="I1649" s="6">
        <v>44348</v>
      </c>
      <c r="J1649" s="4">
        <v>0</v>
      </c>
      <c r="K1649" s="4">
        <v>0</v>
      </c>
      <c r="L1649" s="4">
        <v>2.1999999999999999E-2</v>
      </c>
      <c r="M1649" s="4">
        <v>2.1999999999999999E-2</v>
      </c>
      <c r="N1649" s="4">
        <v>2.1999999999999999E-2</v>
      </c>
      <c r="O1649" s="4">
        <v>2.1999999999999999E-2</v>
      </c>
      <c r="P1649" s="4">
        <v>0</v>
      </c>
      <c r="Q1649" s="3" t="s">
        <v>26</v>
      </c>
      <c r="R1649" s="3">
        <v>0</v>
      </c>
      <c r="S1649" s="3" t="s">
        <v>465</v>
      </c>
      <c r="T1649" s="3" t="s">
        <v>706</v>
      </c>
      <c r="U1649" s="3">
        <v>0</v>
      </c>
      <c r="V1649" s="3">
        <v>43</v>
      </c>
      <c r="W1649" s="3">
        <v>83</v>
      </c>
    </row>
    <row r="1650" spans="1:23" ht="11.25" customHeight="1" x14ac:dyDescent="0.25">
      <c r="A1650" s="3" t="s">
        <v>21</v>
      </c>
      <c r="B1650" s="3" t="s">
        <v>39</v>
      </c>
      <c r="C1650" s="3" t="s">
        <v>37</v>
      </c>
      <c r="D1650" s="3" t="s">
        <v>43</v>
      </c>
      <c r="E1650" s="3" t="s">
        <v>25</v>
      </c>
      <c r="F1650" s="3" t="s">
        <v>25</v>
      </c>
      <c r="G1650" s="3" t="s">
        <v>25</v>
      </c>
      <c r="H1650" s="3" t="s">
        <v>38</v>
      </c>
      <c r="I1650" s="6">
        <v>44378</v>
      </c>
      <c r="J1650" s="4">
        <v>0</v>
      </c>
      <c r="K1650" s="4">
        <v>0</v>
      </c>
      <c r="L1650" s="4">
        <v>9.41</v>
      </c>
      <c r="M1650" s="4">
        <v>9.41</v>
      </c>
      <c r="N1650" s="4">
        <v>9.41</v>
      </c>
      <c r="O1650" s="4">
        <v>9.41</v>
      </c>
      <c r="P1650" s="4">
        <v>0</v>
      </c>
      <c r="Q1650" s="3" t="s">
        <v>26</v>
      </c>
      <c r="R1650" s="3">
        <v>0</v>
      </c>
      <c r="S1650" s="3" t="s">
        <v>466</v>
      </c>
      <c r="T1650" s="3" t="s">
        <v>707</v>
      </c>
      <c r="U1650" s="3">
        <v>0</v>
      </c>
      <c r="V1650" s="3">
        <v>43</v>
      </c>
      <c r="W1650" s="3">
        <v>83</v>
      </c>
    </row>
    <row r="1651" spans="1:23" ht="11.25" customHeight="1" x14ac:dyDescent="0.25">
      <c r="A1651" s="3" t="s">
        <v>27</v>
      </c>
      <c r="B1651" s="3" t="s">
        <v>39</v>
      </c>
      <c r="C1651" s="3" t="s">
        <v>37</v>
      </c>
      <c r="D1651" s="3" t="s">
        <v>43</v>
      </c>
      <c r="E1651" s="3" t="s">
        <v>25</v>
      </c>
      <c r="F1651" s="3" t="s">
        <v>25</v>
      </c>
      <c r="G1651" s="3" t="s">
        <v>25</v>
      </c>
      <c r="H1651" s="3" t="s">
        <v>38</v>
      </c>
      <c r="I1651" s="6">
        <v>44378</v>
      </c>
      <c r="J1651" s="4">
        <v>0</v>
      </c>
      <c r="K1651" s="4">
        <v>0</v>
      </c>
      <c r="L1651" s="4">
        <v>1.9E-2</v>
      </c>
      <c r="M1651" s="4">
        <v>1.9E-2</v>
      </c>
      <c r="N1651" s="4">
        <v>1.9E-2</v>
      </c>
      <c r="O1651" s="4">
        <v>1.9E-2</v>
      </c>
      <c r="P1651" s="4">
        <v>0</v>
      </c>
      <c r="Q1651" s="3" t="s">
        <v>26</v>
      </c>
      <c r="R1651" s="3">
        <v>0</v>
      </c>
      <c r="S1651" s="3" t="s">
        <v>466</v>
      </c>
      <c r="T1651" s="3" t="s">
        <v>707</v>
      </c>
      <c r="U1651" s="3">
        <v>0</v>
      </c>
      <c r="V1651" s="3">
        <v>43</v>
      </c>
      <c r="W1651" s="3">
        <v>83</v>
      </c>
    </row>
    <row r="1652" spans="1:23" ht="11.25" customHeight="1" x14ac:dyDescent="0.25">
      <c r="A1652" s="3" t="s">
        <v>28</v>
      </c>
      <c r="B1652" s="3" t="s">
        <v>39</v>
      </c>
      <c r="C1652" s="3" t="s">
        <v>37</v>
      </c>
      <c r="D1652" s="3" t="s">
        <v>43</v>
      </c>
      <c r="E1652" s="3" t="s">
        <v>25</v>
      </c>
      <c r="F1652" s="3" t="s">
        <v>25</v>
      </c>
      <c r="G1652" s="3" t="s">
        <v>25</v>
      </c>
      <c r="H1652" s="3" t="s">
        <v>38</v>
      </c>
      <c r="I1652" s="6">
        <v>44378</v>
      </c>
      <c r="J1652" s="4">
        <v>0</v>
      </c>
      <c r="K1652" s="4">
        <v>0</v>
      </c>
      <c r="L1652" s="4">
        <v>2.5000000000000001E-2</v>
      </c>
      <c r="M1652" s="4">
        <v>2.5000000000000001E-2</v>
      </c>
      <c r="N1652" s="4">
        <v>2.5000000000000001E-2</v>
      </c>
      <c r="O1652" s="4">
        <v>2.5000000000000001E-2</v>
      </c>
      <c r="P1652" s="4">
        <v>0</v>
      </c>
      <c r="Q1652" s="3" t="s">
        <v>26</v>
      </c>
      <c r="R1652" s="3">
        <v>0</v>
      </c>
      <c r="S1652" s="3" t="s">
        <v>466</v>
      </c>
      <c r="T1652" s="3" t="s">
        <v>707</v>
      </c>
      <c r="U1652" s="3">
        <v>0</v>
      </c>
      <c r="V1652" s="3">
        <v>43</v>
      </c>
      <c r="W1652" s="3">
        <v>83</v>
      </c>
    </row>
    <row r="1653" spans="1:23" ht="11.25" customHeight="1" x14ac:dyDescent="0.25">
      <c r="A1653" s="3" t="s">
        <v>21</v>
      </c>
      <c r="B1653" s="3" t="s">
        <v>39</v>
      </c>
      <c r="C1653" s="3" t="s">
        <v>37</v>
      </c>
      <c r="D1653" s="3" t="s">
        <v>43</v>
      </c>
      <c r="E1653" s="3" t="s">
        <v>25</v>
      </c>
      <c r="F1653" s="3" t="s">
        <v>25</v>
      </c>
      <c r="G1653" s="3" t="s">
        <v>25</v>
      </c>
      <c r="H1653" s="3" t="s">
        <v>38</v>
      </c>
      <c r="I1653" s="6">
        <v>44409</v>
      </c>
      <c r="J1653" s="4">
        <v>0</v>
      </c>
      <c r="K1653" s="4">
        <v>0</v>
      </c>
      <c r="L1653" s="4">
        <v>8.5809999999999995</v>
      </c>
      <c r="M1653" s="4">
        <v>8.5809999999999995</v>
      </c>
      <c r="N1653" s="4">
        <v>8.5809999999999995</v>
      </c>
      <c r="O1653" s="4">
        <v>8.5809999999999995</v>
      </c>
      <c r="P1653" s="4">
        <v>0</v>
      </c>
      <c r="Q1653" s="3" t="s">
        <v>26</v>
      </c>
      <c r="R1653" s="3">
        <v>0</v>
      </c>
      <c r="S1653" s="3" t="s">
        <v>467</v>
      </c>
      <c r="T1653" s="3" t="s">
        <v>708</v>
      </c>
      <c r="U1653" s="3">
        <v>0</v>
      </c>
      <c r="V1653" s="3">
        <v>43</v>
      </c>
      <c r="W1653" s="3">
        <v>83</v>
      </c>
    </row>
    <row r="1654" spans="1:23" ht="11.25" customHeight="1" x14ac:dyDescent="0.25">
      <c r="A1654" s="3" t="s">
        <v>27</v>
      </c>
      <c r="B1654" s="3" t="s">
        <v>39</v>
      </c>
      <c r="C1654" s="3" t="s">
        <v>37</v>
      </c>
      <c r="D1654" s="3" t="s">
        <v>43</v>
      </c>
      <c r="E1654" s="3" t="s">
        <v>25</v>
      </c>
      <c r="F1654" s="3" t="s">
        <v>25</v>
      </c>
      <c r="G1654" s="3" t="s">
        <v>25</v>
      </c>
      <c r="H1654" s="3" t="s">
        <v>38</v>
      </c>
      <c r="I1654" s="6">
        <v>44409</v>
      </c>
      <c r="J1654" s="4">
        <v>0</v>
      </c>
      <c r="K1654" s="4">
        <v>0</v>
      </c>
      <c r="L1654" s="4">
        <v>2.4E-2</v>
      </c>
      <c r="M1654" s="4">
        <v>2.4E-2</v>
      </c>
      <c r="N1654" s="4">
        <v>2.4E-2</v>
      </c>
      <c r="O1654" s="4">
        <v>2.4E-2</v>
      </c>
      <c r="P1654" s="4">
        <v>0</v>
      </c>
      <c r="Q1654" s="3" t="s">
        <v>26</v>
      </c>
      <c r="R1654" s="3">
        <v>0</v>
      </c>
      <c r="S1654" s="3" t="s">
        <v>467</v>
      </c>
      <c r="T1654" s="3" t="s">
        <v>708</v>
      </c>
      <c r="U1654" s="3">
        <v>0</v>
      </c>
      <c r="V1654" s="3">
        <v>43</v>
      </c>
      <c r="W1654" s="3">
        <v>83</v>
      </c>
    </row>
    <row r="1655" spans="1:23" ht="11.25" customHeight="1" x14ac:dyDescent="0.25">
      <c r="A1655" s="3" t="s">
        <v>28</v>
      </c>
      <c r="B1655" s="3" t="s">
        <v>39</v>
      </c>
      <c r="C1655" s="3" t="s">
        <v>37</v>
      </c>
      <c r="D1655" s="3" t="s">
        <v>43</v>
      </c>
      <c r="E1655" s="3" t="s">
        <v>25</v>
      </c>
      <c r="F1655" s="3" t="s">
        <v>25</v>
      </c>
      <c r="G1655" s="3" t="s">
        <v>25</v>
      </c>
      <c r="H1655" s="3" t="s">
        <v>38</v>
      </c>
      <c r="I1655" s="6">
        <v>44409</v>
      </c>
      <c r="J1655" s="4">
        <v>0</v>
      </c>
      <c r="K1655" s="4">
        <v>0</v>
      </c>
      <c r="L1655" s="4">
        <v>3.6999999999999998E-2</v>
      </c>
      <c r="M1655" s="4">
        <v>3.6999999999999998E-2</v>
      </c>
      <c r="N1655" s="4">
        <v>3.6999999999999998E-2</v>
      </c>
      <c r="O1655" s="4">
        <v>3.6999999999999998E-2</v>
      </c>
      <c r="P1655" s="4">
        <v>0</v>
      </c>
      <c r="Q1655" s="3" t="s">
        <v>26</v>
      </c>
      <c r="R1655" s="3">
        <v>0</v>
      </c>
      <c r="S1655" s="3" t="s">
        <v>467</v>
      </c>
      <c r="T1655" s="3" t="s">
        <v>708</v>
      </c>
      <c r="U1655" s="3">
        <v>0</v>
      </c>
      <c r="V1655" s="3">
        <v>43</v>
      </c>
      <c r="W1655" s="3">
        <v>83</v>
      </c>
    </row>
    <row r="1656" spans="1:23" ht="11.25" customHeight="1" x14ac:dyDescent="0.25">
      <c r="A1656" s="3" t="s">
        <v>21</v>
      </c>
      <c r="B1656" s="3" t="s">
        <v>39</v>
      </c>
      <c r="C1656" s="3" t="s">
        <v>37</v>
      </c>
      <c r="D1656" s="3" t="s">
        <v>43</v>
      </c>
      <c r="E1656" s="3" t="s">
        <v>25</v>
      </c>
      <c r="F1656" s="3" t="s">
        <v>25</v>
      </c>
      <c r="G1656" s="3" t="s">
        <v>25</v>
      </c>
      <c r="H1656" s="3" t="s">
        <v>38</v>
      </c>
      <c r="I1656" s="6">
        <v>44440</v>
      </c>
      <c r="J1656" s="4">
        <v>0</v>
      </c>
      <c r="K1656" s="4">
        <v>0</v>
      </c>
      <c r="L1656" s="4">
        <v>8.4809999999999999</v>
      </c>
      <c r="M1656" s="4">
        <v>8.4809999999999999</v>
      </c>
      <c r="N1656" s="4">
        <v>8.4809999999999999</v>
      </c>
      <c r="O1656" s="4">
        <v>8.4809999999999999</v>
      </c>
      <c r="P1656" s="4">
        <v>0</v>
      </c>
      <c r="Q1656" s="3" t="s">
        <v>26</v>
      </c>
      <c r="R1656" s="3">
        <v>0</v>
      </c>
      <c r="S1656" s="3" t="s">
        <v>468</v>
      </c>
      <c r="T1656" s="3" t="s">
        <v>709</v>
      </c>
      <c r="U1656" s="3">
        <v>0</v>
      </c>
      <c r="V1656" s="3">
        <v>43</v>
      </c>
      <c r="W1656" s="3">
        <v>83</v>
      </c>
    </row>
    <row r="1657" spans="1:23" ht="11.25" customHeight="1" x14ac:dyDescent="0.25">
      <c r="A1657" s="3" t="s">
        <v>28</v>
      </c>
      <c r="B1657" s="3" t="s">
        <v>39</v>
      </c>
      <c r="C1657" s="3" t="s">
        <v>37</v>
      </c>
      <c r="D1657" s="3" t="s">
        <v>43</v>
      </c>
      <c r="E1657" s="3" t="s">
        <v>25</v>
      </c>
      <c r="F1657" s="3" t="s">
        <v>25</v>
      </c>
      <c r="G1657" s="3" t="s">
        <v>25</v>
      </c>
      <c r="H1657" s="3" t="s">
        <v>38</v>
      </c>
      <c r="I1657" s="6">
        <v>44440</v>
      </c>
      <c r="J1657" s="4">
        <v>0</v>
      </c>
      <c r="K1657" s="4">
        <v>0</v>
      </c>
      <c r="L1657" s="4">
        <v>2.5999999999999999E-2</v>
      </c>
      <c r="M1657" s="4">
        <v>2.5999999999999999E-2</v>
      </c>
      <c r="N1657" s="4">
        <v>2.5999999999999999E-2</v>
      </c>
      <c r="O1657" s="4">
        <v>2.5999999999999999E-2</v>
      </c>
      <c r="P1657" s="4">
        <v>0</v>
      </c>
      <c r="Q1657" s="3" t="s">
        <v>26</v>
      </c>
      <c r="R1657" s="3">
        <v>0</v>
      </c>
      <c r="S1657" s="3" t="s">
        <v>468</v>
      </c>
      <c r="T1657" s="3" t="s">
        <v>709</v>
      </c>
      <c r="U1657" s="3">
        <v>0</v>
      </c>
      <c r="V1657" s="3">
        <v>43</v>
      </c>
      <c r="W1657" s="3">
        <v>83</v>
      </c>
    </row>
    <row r="1658" spans="1:23" ht="11.25" customHeight="1" x14ac:dyDescent="0.25">
      <c r="A1658" s="3" t="s">
        <v>21</v>
      </c>
      <c r="B1658" s="3" t="s">
        <v>39</v>
      </c>
      <c r="C1658" s="3" t="s">
        <v>37</v>
      </c>
      <c r="D1658" s="3" t="s">
        <v>43</v>
      </c>
      <c r="E1658" s="3" t="s">
        <v>25</v>
      </c>
      <c r="F1658" s="3" t="s">
        <v>25</v>
      </c>
      <c r="G1658" s="3" t="s">
        <v>25</v>
      </c>
      <c r="H1658" s="3" t="s">
        <v>38</v>
      </c>
      <c r="I1658" s="6">
        <v>44470</v>
      </c>
      <c r="J1658" s="4">
        <v>0</v>
      </c>
      <c r="K1658" s="4">
        <v>0</v>
      </c>
      <c r="L1658" s="4">
        <v>9.77</v>
      </c>
      <c r="M1658" s="4">
        <v>9.77</v>
      </c>
      <c r="N1658" s="4">
        <v>9.77</v>
      </c>
      <c r="O1658" s="4">
        <v>9.77</v>
      </c>
      <c r="P1658" s="4">
        <v>0</v>
      </c>
      <c r="Q1658" s="3" t="s">
        <v>26</v>
      </c>
      <c r="R1658" s="3">
        <v>0</v>
      </c>
      <c r="S1658" s="3" t="s">
        <v>469</v>
      </c>
      <c r="T1658" s="3" t="s">
        <v>710</v>
      </c>
      <c r="U1658" s="3">
        <v>0</v>
      </c>
      <c r="V1658" s="3">
        <v>43</v>
      </c>
      <c r="W1658" s="3">
        <v>83</v>
      </c>
    </row>
    <row r="1659" spans="1:23" ht="11.25" customHeight="1" x14ac:dyDescent="0.25">
      <c r="A1659" s="3" t="s">
        <v>28</v>
      </c>
      <c r="B1659" s="3" t="s">
        <v>39</v>
      </c>
      <c r="C1659" s="3" t="s">
        <v>37</v>
      </c>
      <c r="D1659" s="3" t="s">
        <v>43</v>
      </c>
      <c r="E1659" s="3" t="s">
        <v>25</v>
      </c>
      <c r="F1659" s="3" t="s">
        <v>25</v>
      </c>
      <c r="G1659" s="3" t="s">
        <v>25</v>
      </c>
      <c r="H1659" s="3" t="s">
        <v>38</v>
      </c>
      <c r="I1659" s="6">
        <v>44470</v>
      </c>
      <c r="J1659" s="4">
        <v>0</v>
      </c>
      <c r="K1659" s="4">
        <v>0</v>
      </c>
      <c r="L1659" s="4">
        <v>7.0000000000000007E-2</v>
      </c>
      <c r="M1659" s="4">
        <v>7.0000000000000007E-2</v>
      </c>
      <c r="N1659" s="4">
        <v>7.0000000000000007E-2</v>
      </c>
      <c r="O1659" s="4">
        <v>7.0000000000000007E-2</v>
      </c>
      <c r="P1659" s="4">
        <v>0</v>
      </c>
      <c r="Q1659" s="3" t="s">
        <v>26</v>
      </c>
      <c r="R1659" s="3">
        <v>0</v>
      </c>
      <c r="S1659" s="3" t="s">
        <v>469</v>
      </c>
      <c r="T1659" s="3" t="s">
        <v>710</v>
      </c>
      <c r="U1659" s="3">
        <v>0</v>
      </c>
      <c r="V1659" s="3">
        <v>43</v>
      </c>
      <c r="W1659" s="3">
        <v>83</v>
      </c>
    </row>
    <row r="1660" spans="1:23" ht="11.25" customHeight="1" x14ac:dyDescent="0.25">
      <c r="A1660" s="3" t="s">
        <v>21</v>
      </c>
      <c r="B1660" s="3" t="s">
        <v>39</v>
      </c>
      <c r="C1660" s="3" t="s">
        <v>37</v>
      </c>
      <c r="D1660" s="3" t="s">
        <v>43</v>
      </c>
      <c r="E1660" s="3" t="s">
        <v>25</v>
      </c>
      <c r="F1660" s="3" t="s">
        <v>25</v>
      </c>
      <c r="G1660" s="3" t="s">
        <v>25</v>
      </c>
      <c r="H1660" s="3" t="s">
        <v>38</v>
      </c>
      <c r="I1660" s="6">
        <v>44501</v>
      </c>
      <c r="J1660" s="4">
        <v>0</v>
      </c>
      <c r="K1660" s="4">
        <v>0</v>
      </c>
      <c r="L1660" s="4">
        <v>9.8170000000000002</v>
      </c>
      <c r="M1660" s="4">
        <v>9.8170000000000002</v>
      </c>
      <c r="N1660" s="4">
        <v>9.8170000000000002</v>
      </c>
      <c r="O1660" s="4">
        <v>9.8170000000000002</v>
      </c>
      <c r="P1660" s="4">
        <v>0</v>
      </c>
      <c r="Q1660" s="3" t="s">
        <v>26</v>
      </c>
      <c r="R1660" s="3">
        <v>0</v>
      </c>
      <c r="S1660" s="3" t="s">
        <v>470</v>
      </c>
      <c r="T1660" s="3" t="s">
        <v>711</v>
      </c>
      <c r="U1660" s="3">
        <v>0</v>
      </c>
      <c r="V1660" s="3">
        <v>43</v>
      </c>
      <c r="W1660" s="3">
        <v>83</v>
      </c>
    </row>
    <row r="1661" spans="1:23" ht="11.25" customHeight="1" x14ac:dyDescent="0.25">
      <c r="A1661" s="3" t="s">
        <v>27</v>
      </c>
      <c r="B1661" s="3" t="s">
        <v>39</v>
      </c>
      <c r="C1661" s="3" t="s">
        <v>37</v>
      </c>
      <c r="D1661" s="3" t="s">
        <v>43</v>
      </c>
      <c r="E1661" s="3" t="s">
        <v>25</v>
      </c>
      <c r="F1661" s="3" t="s">
        <v>25</v>
      </c>
      <c r="G1661" s="3" t="s">
        <v>25</v>
      </c>
      <c r="H1661" s="3" t="s">
        <v>38</v>
      </c>
      <c r="I1661" s="6">
        <v>44501</v>
      </c>
      <c r="J1661" s="4">
        <v>0</v>
      </c>
      <c r="K1661" s="4">
        <v>0</v>
      </c>
      <c r="L1661" s="4">
        <v>-3.9E-2</v>
      </c>
      <c r="M1661" s="4">
        <v>-3.9E-2</v>
      </c>
      <c r="N1661" s="4">
        <v>-3.9E-2</v>
      </c>
      <c r="O1661" s="4">
        <v>-3.9E-2</v>
      </c>
      <c r="P1661" s="4">
        <v>0</v>
      </c>
      <c r="Q1661" s="3" t="s">
        <v>26</v>
      </c>
      <c r="R1661" s="3">
        <v>0</v>
      </c>
      <c r="S1661" s="3" t="s">
        <v>470</v>
      </c>
      <c r="T1661" s="3" t="s">
        <v>711</v>
      </c>
      <c r="U1661" s="3">
        <v>0</v>
      </c>
      <c r="V1661" s="3">
        <v>43</v>
      </c>
      <c r="W1661" s="3">
        <v>83</v>
      </c>
    </row>
    <row r="1662" spans="1:23" ht="11.25" customHeight="1" x14ac:dyDescent="0.25">
      <c r="A1662" s="3" t="s">
        <v>28</v>
      </c>
      <c r="B1662" s="3" t="s">
        <v>39</v>
      </c>
      <c r="C1662" s="3" t="s">
        <v>37</v>
      </c>
      <c r="D1662" s="3" t="s">
        <v>43</v>
      </c>
      <c r="E1662" s="3" t="s">
        <v>25</v>
      </c>
      <c r="F1662" s="3" t="s">
        <v>25</v>
      </c>
      <c r="G1662" s="3" t="s">
        <v>25</v>
      </c>
      <c r="H1662" s="3" t="s">
        <v>38</v>
      </c>
      <c r="I1662" s="6">
        <v>44501</v>
      </c>
      <c r="J1662" s="4">
        <v>0</v>
      </c>
      <c r="K1662" s="4">
        <v>0</v>
      </c>
      <c r="L1662" s="4">
        <v>3.4000000000000002E-2</v>
      </c>
      <c r="M1662" s="4">
        <v>3.4000000000000002E-2</v>
      </c>
      <c r="N1662" s="4">
        <v>3.4000000000000002E-2</v>
      </c>
      <c r="O1662" s="4">
        <v>3.4000000000000002E-2</v>
      </c>
      <c r="P1662" s="4">
        <v>0</v>
      </c>
      <c r="Q1662" s="3" t="s">
        <v>26</v>
      </c>
      <c r="R1662" s="3">
        <v>0</v>
      </c>
      <c r="S1662" s="3" t="s">
        <v>470</v>
      </c>
      <c r="T1662" s="3" t="s">
        <v>711</v>
      </c>
      <c r="U1662" s="3">
        <v>0</v>
      </c>
      <c r="V1662" s="3">
        <v>43</v>
      </c>
      <c r="W1662" s="3">
        <v>83</v>
      </c>
    </row>
    <row r="1663" spans="1:23" ht="11.25" customHeight="1" x14ac:dyDescent="0.25">
      <c r="A1663" s="3" t="s">
        <v>21</v>
      </c>
      <c r="B1663" s="3" t="s">
        <v>39</v>
      </c>
      <c r="C1663" s="3" t="s">
        <v>37</v>
      </c>
      <c r="D1663" s="3" t="s">
        <v>43</v>
      </c>
      <c r="E1663" s="3" t="s">
        <v>25</v>
      </c>
      <c r="F1663" s="3" t="s">
        <v>25</v>
      </c>
      <c r="G1663" s="3" t="s">
        <v>25</v>
      </c>
      <c r="H1663" s="3" t="s">
        <v>38</v>
      </c>
      <c r="I1663" s="6">
        <v>44531</v>
      </c>
      <c r="J1663" s="4">
        <v>0</v>
      </c>
      <c r="K1663" s="4">
        <v>0</v>
      </c>
      <c r="L1663" s="4">
        <v>10.035</v>
      </c>
      <c r="M1663" s="4">
        <v>10.035</v>
      </c>
      <c r="N1663" s="4">
        <v>10.035</v>
      </c>
      <c r="O1663" s="4">
        <v>10.035</v>
      </c>
      <c r="P1663" s="4">
        <v>0</v>
      </c>
      <c r="Q1663" s="3" t="s">
        <v>26</v>
      </c>
      <c r="R1663" s="3">
        <v>0</v>
      </c>
      <c r="S1663" s="3" t="s">
        <v>471</v>
      </c>
      <c r="T1663" s="3" t="s">
        <v>712</v>
      </c>
      <c r="U1663" s="3">
        <v>0</v>
      </c>
      <c r="V1663" s="3">
        <v>43</v>
      </c>
      <c r="W1663" s="3">
        <v>83</v>
      </c>
    </row>
    <row r="1664" spans="1:23" ht="11.25" customHeight="1" x14ac:dyDescent="0.25">
      <c r="A1664" s="3" t="s">
        <v>28</v>
      </c>
      <c r="B1664" s="3" t="s">
        <v>39</v>
      </c>
      <c r="C1664" s="3" t="s">
        <v>37</v>
      </c>
      <c r="D1664" s="3" t="s">
        <v>43</v>
      </c>
      <c r="E1664" s="3" t="s">
        <v>25</v>
      </c>
      <c r="F1664" s="3" t="s">
        <v>25</v>
      </c>
      <c r="G1664" s="3" t="s">
        <v>25</v>
      </c>
      <c r="H1664" s="3" t="s">
        <v>38</v>
      </c>
      <c r="I1664" s="6">
        <v>44531</v>
      </c>
      <c r="J1664" s="4">
        <v>0</v>
      </c>
      <c r="K1664" s="4">
        <v>0</v>
      </c>
      <c r="L1664" s="4">
        <v>2.5000000000000001E-2</v>
      </c>
      <c r="M1664" s="4">
        <v>2.5000000000000001E-2</v>
      </c>
      <c r="N1664" s="4">
        <v>2.5000000000000001E-2</v>
      </c>
      <c r="O1664" s="4">
        <v>2.5000000000000001E-2</v>
      </c>
      <c r="P1664" s="4">
        <v>0</v>
      </c>
      <c r="Q1664" s="3" t="s">
        <v>26</v>
      </c>
      <c r="R1664" s="3">
        <v>0</v>
      </c>
      <c r="S1664" s="3" t="s">
        <v>471</v>
      </c>
      <c r="T1664" s="3" t="s">
        <v>712</v>
      </c>
      <c r="U1664" s="3">
        <v>0</v>
      </c>
      <c r="V1664" s="3">
        <v>43</v>
      </c>
      <c r="W1664" s="3">
        <v>83</v>
      </c>
    </row>
    <row r="1665" spans="1:23" ht="11.25" customHeight="1" x14ac:dyDescent="0.25">
      <c r="A1665" s="3" t="s">
        <v>21</v>
      </c>
      <c r="B1665" s="3" t="s">
        <v>39</v>
      </c>
      <c r="C1665" s="3" t="s">
        <v>37</v>
      </c>
      <c r="D1665" s="3" t="s">
        <v>43</v>
      </c>
      <c r="E1665" s="3" t="s">
        <v>25</v>
      </c>
      <c r="F1665" s="3" t="s">
        <v>25</v>
      </c>
      <c r="G1665" s="3" t="s">
        <v>25</v>
      </c>
      <c r="H1665" s="3" t="s">
        <v>38</v>
      </c>
      <c r="I1665" s="6">
        <v>44562</v>
      </c>
      <c r="J1665" s="4">
        <v>0</v>
      </c>
      <c r="K1665" s="4">
        <v>0</v>
      </c>
      <c r="L1665" s="4">
        <v>9.1539999999999999</v>
      </c>
      <c r="M1665" s="4">
        <v>9.1539999999999999</v>
      </c>
      <c r="N1665" s="4">
        <v>9.1539999999999999</v>
      </c>
      <c r="O1665" s="4">
        <v>9.1539999999999999</v>
      </c>
      <c r="P1665" s="4">
        <v>0</v>
      </c>
      <c r="Q1665" s="3" t="s">
        <v>26</v>
      </c>
      <c r="R1665" s="3">
        <v>0</v>
      </c>
      <c r="S1665" s="3" t="s">
        <v>472</v>
      </c>
      <c r="T1665" s="3" t="s">
        <v>713</v>
      </c>
      <c r="U1665" s="3">
        <v>0</v>
      </c>
      <c r="V1665" s="3">
        <v>43</v>
      </c>
      <c r="W1665" s="3">
        <v>83</v>
      </c>
    </row>
    <row r="1666" spans="1:23" ht="11.25" customHeight="1" x14ac:dyDescent="0.25">
      <c r="A1666" s="3" t="s">
        <v>28</v>
      </c>
      <c r="B1666" s="3" t="s">
        <v>39</v>
      </c>
      <c r="C1666" s="3" t="s">
        <v>37</v>
      </c>
      <c r="D1666" s="3" t="s">
        <v>43</v>
      </c>
      <c r="E1666" s="3" t="s">
        <v>25</v>
      </c>
      <c r="F1666" s="3" t="s">
        <v>25</v>
      </c>
      <c r="G1666" s="3" t="s">
        <v>25</v>
      </c>
      <c r="H1666" s="3" t="s">
        <v>38</v>
      </c>
      <c r="I1666" s="6">
        <v>44562</v>
      </c>
      <c r="J1666" s="4">
        <v>0</v>
      </c>
      <c r="K1666" s="4">
        <v>0</v>
      </c>
      <c r="L1666" s="4">
        <v>1.2E-2</v>
      </c>
      <c r="M1666" s="4">
        <v>1.2E-2</v>
      </c>
      <c r="N1666" s="4">
        <v>1.2E-2</v>
      </c>
      <c r="O1666" s="4">
        <v>1.2E-2</v>
      </c>
      <c r="P1666" s="4">
        <v>0</v>
      </c>
      <c r="Q1666" s="3" t="s">
        <v>26</v>
      </c>
      <c r="R1666" s="3">
        <v>0</v>
      </c>
      <c r="S1666" s="3" t="s">
        <v>472</v>
      </c>
      <c r="T1666" s="3" t="s">
        <v>713</v>
      </c>
      <c r="U1666" s="3">
        <v>0</v>
      </c>
      <c r="V1666" s="3">
        <v>43</v>
      </c>
      <c r="W1666" s="3">
        <v>83</v>
      </c>
    </row>
    <row r="1667" spans="1:23" ht="11.25" customHeight="1" x14ac:dyDescent="0.25">
      <c r="A1667" s="3" t="s">
        <v>21</v>
      </c>
      <c r="B1667" s="3" t="s">
        <v>39</v>
      </c>
      <c r="C1667" s="3" t="s">
        <v>37</v>
      </c>
      <c r="D1667" s="3" t="s">
        <v>43</v>
      </c>
      <c r="E1667" s="3" t="s">
        <v>25</v>
      </c>
      <c r="F1667" s="3" t="s">
        <v>25</v>
      </c>
      <c r="G1667" s="3" t="s">
        <v>25</v>
      </c>
      <c r="H1667" s="3" t="s">
        <v>38</v>
      </c>
      <c r="I1667" s="6">
        <v>44593</v>
      </c>
      <c r="J1667" s="4">
        <v>0</v>
      </c>
      <c r="K1667" s="4">
        <v>0</v>
      </c>
      <c r="L1667" s="4">
        <v>9.6010000000000009</v>
      </c>
      <c r="M1667" s="4">
        <v>9.6010000000000009</v>
      </c>
      <c r="N1667" s="4">
        <v>9.6010000000000009</v>
      </c>
      <c r="O1667" s="4">
        <v>9.6010000000000009</v>
      </c>
      <c r="P1667" s="4">
        <v>0</v>
      </c>
      <c r="Q1667" s="3" t="s">
        <v>26</v>
      </c>
      <c r="R1667" s="3">
        <v>0</v>
      </c>
      <c r="S1667" s="3" t="s">
        <v>473</v>
      </c>
      <c r="T1667" s="3" t="s">
        <v>714</v>
      </c>
      <c r="U1667" s="3">
        <v>0</v>
      </c>
      <c r="V1667" s="3">
        <v>43</v>
      </c>
      <c r="W1667" s="3">
        <v>83</v>
      </c>
    </row>
    <row r="1668" spans="1:23" ht="11.25" customHeight="1" x14ac:dyDescent="0.25">
      <c r="A1668" s="3" t="s">
        <v>27</v>
      </c>
      <c r="B1668" s="3" t="s">
        <v>39</v>
      </c>
      <c r="C1668" s="3" t="s">
        <v>37</v>
      </c>
      <c r="D1668" s="3" t="s">
        <v>43</v>
      </c>
      <c r="E1668" s="3" t="s">
        <v>25</v>
      </c>
      <c r="F1668" s="3" t="s">
        <v>25</v>
      </c>
      <c r="G1668" s="3" t="s">
        <v>25</v>
      </c>
      <c r="H1668" s="3" t="s">
        <v>38</v>
      </c>
      <c r="I1668" s="6">
        <v>44593</v>
      </c>
      <c r="J1668" s="4">
        <v>0</v>
      </c>
      <c r="K1668" s="4">
        <v>0</v>
      </c>
      <c r="L1668" s="4">
        <v>-0.20200000000000001</v>
      </c>
      <c r="M1668" s="4">
        <v>-0.20200000000000001</v>
      </c>
      <c r="N1668" s="4">
        <v>-0.20200000000000001</v>
      </c>
      <c r="O1668" s="4">
        <v>-0.20200000000000001</v>
      </c>
      <c r="P1668" s="4">
        <v>0</v>
      </c>
      <c r="Q1668" s="3" t="s">
        <v>26</v>
      </c>
      <c r="R1668" s="3">
        <v>0</v>
      </c>
      <c r="S1668" s="3" t="s">
        <v>473</v>
      </c>
      <c r="T1668" s="3" t="s">
        <v>714</v>
      </c>
      <c r="U1668" s="3">
        <v>0</v>
      </c>
      <c r="V1668" s="3">
        <v>43</v>
      </c>
      <c r="W1668" s="3">
        <v>83</v>
      </c>
    </row>
    <row r="1669" spans="1:23" ht="11.25" customHeight="1" x14ac:dyDescent="0.25">
      <c r="A1669" s="3" t="s">
        <v>28</v>
      </c>
      <c r="B1669" s="3" t="s">
        <v>39</v>
      </c>
      <c r="C1669" s="3" t="s">
        <v>37</v>
      </c>
      <c r="D1669" s="3" t="s">
        <v>43</v>
      </c>
      <c r="E1669" s="3" t="s">
        <v>25</v>
      </c>
      <c r="F1669" s="3" t="s">
        <v>25</v>
      </c>
      <c r="G1669" s="3" t="s">
        <v>25</v>
      </c>
      <c r="H1669" s="3" t="s">
        <v>38</v>
      </c>
      <c r="I1669" s="6">
        <v>44593</v>
      </c>
      <c r="J1669" s="4">
        <v>0</v>
      </c>
      <c r="K1669" s="4">
        <v>0</v>
      </c>
      <c r="L1669" s="4">
        <v>8.9999999999999993E-3</v>
      </c>
      <c r="M1669" s="4">
        <v>8.9999999999999993E-3</v>
      </c>
      <c r="N1669" s="4">
        <v>8.9999999999999993E-3</v>
      </c>
      <c r="O1669" s="4">
        <v>8.9999999999999993E-3</v>
      </c>
      <c r="P1669" s="4">
        <v>0</v>
      </c>
      <c r="Q1669" s="3" t="s">
        <v>26</v>
      </c>
      <c r="R1669" s="3">
        <v>0</v>
      </c>
      <c r="S1669" s="3" t="s">
        <v>473</v>
      </c>
      <c r="T1669" s="3" t="s">
        <v>714</v>
      </c>
      <c r="U1669" s="3">
        <v>0</v>
      </c>
      <c r="V1669" s="3">
        <v>43</v>
      </c>
      <c r="W1669" s="3">
        <v>83</v>
      </c>
    </row>
    <row r="1670" spans="1:23" ht="11.25" customHeight="1" x14ac:dyDescent="0.25">
      <c r="A1670" s="3" t="s">
        <v>21</v>
      </c>
      <c r="B1670" s="3" t="s">
        <v>39</v>
      </c>
      <c r="C1670" s="3" t="s">
        <v>37</v>
      </c>
      <c r="D1670" s="3" t="s">
        <v>43</v>
      </c>
      <c r="E1670" s="3" t="s">
        <v>25</v>
      </c>
      <c r="F1670" s="3" t="s">
        <v>25</v>
      </c>
      <c r="G1670" s="3" t="s">
        <v>25</v>
      </c>
      <c r="H1670" s="3" t="s">
        <v>38</v>
      </c>
      <c r="I1670" s="6">
        <v>44621</v>
      </c>
      <c r="J1670" s="4">
        <v>0</v>
      </c>
      <c r="K1670" s="4">
        <v>0</v>
      </c>
      <c r="L1670" s="4">
        <v>9.8010000000000002</v>
      </c>
      <c r="M1670" s="4">
        <v>9.8010000000000002</v>
      </c>
      <c r="N1670" s="4">
        <v>9.8010000000000002</v>
      </c>
      <c r="O1670" s="4">
        <v>9.8010000000000002</v>
      </c>
      <c r="P1670" s="4">
        <v>0</v>
      </c>
      <c r="Q1670" s="3" t="s">
        <v>26</v>
      </c>
      <c r="R1670" s="3">
        <v>0</v>
      </c>
      <c r="S1670" s="3" t="s">
        <v>474</v>
      </c>
      <c r="T1670" s="3" t="s">
        <v>715</v>
      </c>
      <c r="U1670" s="3">
        <v>0</v>
      </c>
      <c r="V1670" s="3">
        <v>43</v>
      </c>
      <c r="W1670" s="3">
        <v>83</v>
      </c>
    </row>
    <row r="1671" spans="1:23" ht="11.25" customHeight="1" x14ac:dyDescent="0.25">
      <c r="A1671" s="3" t="s">
        <v>28</v>
      </c>
      <c r="B1671" s="3" t="s">
        <v>39</v>
      </c>
      <c r="C1671" s="3" t="s">
        <v>37</v>
      </c>
      <c r="D1671" s="3" t="s">
        <v>43</v>
      </c>
      <c r="E1671" s="3" t="s">
        <v>25</v>
      </c>
      <c r="F1671" s="3" t="s">
        <v>25</v>
      </c>
      <c r="G1671" s="3" t="s">
        <v>25</v>
      </c>
      <c r="H1671" s="3" t="s">
        <v>38</v>
      </c>
      <c r="I1671" s="6">
        <v>44621</v>
      </c>
      <c r="J1671" s="4">
        <v>0</v>
      </c>
      <c r="K1671" s="4">
        <v>0</v>
      </c>
      <c r="L1671" s="4">
        <v>8.0000000000000002E-3</v>
      </c>
      <c r="M1671" s="4">
        <v>8.0000000000000002E-3</v>
      </c>
      <c r="N1671" s="4">
        <v>8.0000000000000002E-3</v>
      </c>
      <c r="O1671" s="4">
        <v>8.0000000000000002E-3</v>
      </c>
      <c r="P1671" s="4">
        <v>0</v>
      </c>
      <c r="Q1671" s="3" t="s">
        <v>26</v>
      </c>
      <c r="R1671" s="3">
        <v>0</v>
      </c>
      <c r="S1671" s="3" t="s">
        <v>474</v>
      </c>
      <c r="T1671" s="3" t="s">
        <v>715</v>
      </c>
      <c r="U1671" s="3">
        <v>0</v>
      </c>
      <c r="V1671" s="3">
        <v>43</v>
      </c>
      <c r="W1671" s="3">
        <v>83</v>
      </c>
    </row>
    <row r="1672" spans="1:23" ht="11.25" customHeight="1" x14ac:dyDescent="0.25">
      <c r="A1672" s="3" t="s">
        <v>56</v>
      </c>
      <c r="B1672" s="3" t="s">
        <v>39</v>
      </c>
      <c r="C1672" s="3" t="s">
        <v>37</v>
      </c>
      <c r="D1672" s="3" t="s">
        <v>43</v>
      </c>
      <c r="E1672" s="3" t="s">
        <v>25</v>
      </c>
      <c r="F1672" s="3" t="s">
        <v>25</v>
      </c>
      <c r="G1672" s="3" t="s">
        <v>25</v>
      </c>
      <c r="H1672" s="3" t="s">
        <v>38</v>
      </c>
      <c r="I1672" s="6">
        <v>44652</v>
      </c>
      <c r="J1672" s="4">
        <v>0</v>
      </c>
      <c r="K1672" s="4">
        <v>0</v>
      </c>
      <c r="L1672" s="4">
        <v>9.8010000000000002</v>
      </c>
      <c r="M1672" s="4">
        <v>9.8010000000000002</v>
      </c>
      <c r="N1672" s="4">
        <v>9.8010000000000002</v>
      </c>
      <c r="O1672" s="4">
        <v>9.8010000000000002</v>
      </c>
      <c r="P1672" s="4">
        <v>0</v>
      </c>
      <c r="Q1672" s="3" t="s">
        <v>26</v>
      </c>
      <c r="R1672" s="3">
        <v>0</v>
      </c>
      <c r="S1672" s="3" t="s">
        <v>475</v>
      </c>
      <c r="T1672" s="3" t="s">
        <v>716</v>
      </c>
      <c r="U1672" s="3">
        <v>0</v>
      </c>
      <c r="V1672" s="3">
        <v>43</v>
      </c>
      <c r="W1672" s="3">
        <v>83</v>
      </c>
    </row>
    <row r="1673" spans="1:23" ht="11.25" customHeight="1" x14ac:dyDescent="0.25">
      <c r="A1673" s="3" t="s">
        <v>56</v>
      </c>
      <c r="B1673" s="3" t="s">
        <v>39</v>
      </c>
      <c r="C1673" s="3" t="s">
        <v>37</v>
      </c>
      <c r="D1673" s="3" t="s">
        <v>43</v>
      </c>
      <c r="E1673" s="3" t="s">
        <v>25</v>
      </c>
      <c r="F1673" s="3" t="s">
        <v>25</v>
      </c>
      <c r="G1673" s="3" t="s">
        <v>25</v>
      </c>
      <c r="H1673" s="3" t="s">
        <v>38</v>
      </c>
      <c r="I1673" s="6">
        <v>44652</v>
      </c>
      <c r="J1673" s="4">
        <v>0</v>
      </c>
      <c r="K1673" s="4">
        <v>0</v>
      </c>
      <c r="L1673" s="4">
        <v>8.0000000000000002E-3</v>
      </c>
      <c r="M1673" s="4">
        <v>8.0000000000000002E-3</v>
      </c>
      <c r="N1673" s="4">
        <v>8.0000000000000002E-3</v>
      </c>
      <c r="O1673" s="4">
        <v>8.0000000000000002E-3</v>
      </c>
      <c r="P1673" s="4">
        <v>0</v>
      </c>
      <c r="Q1673" s="3" t="s">
        <v>26</v>
      </c>
      <c r="R1673" s="3">
        <v>0</v>
      </c>
      <c r="S1673" s="3" t="s">
        <v>475</v>
      </c>
      <c r="T1673" s="3" t="s">
        <v>716</v>
      </c>
      <c r="U1673" s="3">
        <v>0</v>
      </c>
      <c r="V1673" s="3">
        <v>43</v>
      </c>
      <c r="W1673" s="3">
        <v>83</v>
      </c>
    </row>
    <row r="1674" spans="1:23" ht="11.25" customHeight="1" x14ac:dyDescent="0.25">
      <c r="A1674" s="3" t="s">
        <v>21</v>
      </c>
      <c r="B1674" s="3" t="s">
        <v>39</v>
      </c>
      <c r="C1674" s="3" t="s">
        <v>37</v>
      </c>
      <c r="D1674" s="3" t="s">
        <v>43</v>
      </c>
      <c r="E1674" s="3" t="s">
        <v>25</v>
      </c>
      <c r="F1674" s="3" t="s">
        <v>25</v>
      </c>
      <c r="G1674" s="3" t="s">
        <v>25</v>
      </c>
      <c r="H1674" s="3" t="s">
        <v>35</v>
      </c>
      <c r="I1674" s="6">
        <v>44317</v>
      </c>
      <c r="J1674" s="4">
        <v>0</v>
      </c>
      <c r="K1674" s="4">
        <v>0</v>
      </c>
      <c r="L1674" s="4">
        <v>10.586</v>
      </c>
      <c r="M1674" s="4">
        <v>10.586</v>
      </c>
      <c r="N1674" s="4">
        <v>10.586</v>
      </c>
      <c r="O1674" s="4">
        <v>10.586</v>
      </c>
      <c r="P1674" s="4">
        <v>0</v>
      </c>
      <c r="Q1674" s="3" t="s">
        <v>26</v>
      </c>
      <c r="R1674" s="3">
        <v>0</v>
      </c>
      <c r="S1674" s="3" t="s">
        <v>476</v>
      </c>
      <c r="T1674" s="3" t="s">
        <v>717</v>
      </c>
      <c r="U1674" s="3">
        <v>0</v>
      </c>
      <c r="V1674" s="3">
        <v>42</v>
      </c>
      <c r="W1674" s="3">
        <v>82</v>
      </c>
    </row>
    <row r="1675" spans="1:23" ht="11.25" customHeight="1" x14ac:dyDescent="0.25">
      <c r="A1675" s="3" t="s">
        <v>27</v>
      </c>
      <c r="B1675" s="3" t="s">
        <v>39</v>
      </c>
      <c r="C1675" s="3" t="s">
        <v>37</v>
      </c>
      <c r="D1675" s="3" t="s">
        <v>43</v>
      </c>
      <c r="E1675" s="3" t="s">
        <v>25</v>
      </c>
      <c r="F1675" s="3" t="s">
        <v>25</v>
      </c>
      <c r="G1675" s="3" t="s">
        <v>25</v>
      </c>
      <c r="H1675" s="3" t="s">
        <v>35</v>
      </c>
      <c r="I1675" s="6">
        <v>44317</v>
      </c>
      <c r="J1675" s="4">
        <v>0</v>
      </c>
      <c r="K1675" s="4">
        <v>0</v>
      </c>
      <c r="L1675" s="4">
        <v>0.61799999999999999</v>
      </c>
      <c r="M1675" s="4">
        <v>0.61799999999999999</v>
      </c>
      <c r="N1675" s="4">
        <v>0.61799999999999999</v>
      </c>
      <c r="O1675" s="4">
        <v>0.61799999999999999</v>
      </c>
      <c r="P1675" s="4">
        <v>0</v>
      </c>
      <c r="Q1675" s="3" t="s">
        <v>26</v>
      </c>
      <c r="R1675" s="3">
        <v>0</v>
      </c>
      <c r="S1675" s="3" t="s">
        <v>476</v>
      </c>
      <c r="T1675" s="3" t="s">
        <v>717</v>
      </c>
      <c r="U1675" s="3">
        <v>0</v>
      </c>
      <c r="V1675" s="3">
        <v>42</v>
      </c>
      <c r="W1675" s="3">
        <v>82</v>
      </c>
    </row>
    <row r="1676" spans="1:23" ht="11.25" customHeight="1" x14ac:dyDescent="0.25">
      <c r="A1676" s="3" t="s">
        <v>28</v>
      </c>
      <c r="B1676" s="3" t="s">
        <v>39</v>
      </c>
      <c r="C1676" s="3" t="s">
        <v>37</v>
      </c>
      <c r="D1676" s="3" t="s">
        <v>43</v>
      </c>
      <c r="E1676" s="3" t="s">
        <v>25</v>
      </c>
      <c r="F1676" s="3" t="s">
        <v>25</v>
      </c>
      <c r="G1676" s="3" t="s">
        <v>25</v>
      </c>
      <c r="H1676" s="3" t="s">
        <v>35</v>
      </c>
      <c r="I1676" s="6">
        <v>44317</v>
      </c>
      <c r="J1676" s="4">
        <v>0</v>
      </c>
      <c r="K1676" s="4">
        <v>0</v>
      </c>
      <c r="L1676" s="4">
        <v>2.1999999999999999E-2</v>
      </c>
      <c r="M1676" s="4">
        <v>2.1999999999999999E-2</v>
      </c>
      <c r="N1676" s="4">
        <v>2.1999999999999999E-2</v>
      </c>
      <c r="O1676" s="4">
        <v>2.1999999999999999E-2</v>
      </c>
      <c r="P1676" s="4">
        <v>0</v>
      </c>
      <c r="Q1676" s="3" t="s">
        <v>26</v>
      </c>
      <c r="R1676" s="3">
        <v>0</v>
      </c>
      <c r="S1676" s="3" t="s">
        <v>476</v>
      </c>
      <c r="T1676" s="3" t="s">
        <v>717</v>
      </c>
      <c r="U1676" s="3">
        <v>0</v>
      </c>
      <c r="V1676" s="3">
        <v>42</v>
      </c>
      <c r="W1676" s="3">
        <v>82</v>
      </c>
    </row>
    <row r="1677" spans="1:23" ht="11.25" customHeight="1" x14ac:dyDescent="0.25">
      <c r="A1677" s="3" t="s">
        <v>21</v>
      </c>
      <c r="B1677" s="3" t="s">
        <v>39</v>
      </c>
      <c r="C1677" s="3" t="s">
        <v>37</v>
      </c>
      <c r="D1677" s="3" t="s">
        <v>43</v>
      </c>
      <c r="E1677" s="3" t="s">
        <v>25</v>
      </c>
      <c r="F1677" s="3" t="s">
        <v>25</v>
      </c>
      <c r="G1677" s="3" t="s">
        <v>25</v>
      </c>
      <c r="H1677" s="3" t="s">
        <v>35</v>
      </c>
      <c r="I1677" s="6">
        <v>44348</v>
      </c>
      <c r="J1677" s="4">
        <v>0</v>
      </c>
      <c r="K1677" s="4">
        <v>0</v>
      </c>
      <c r="L1677" s="4">
        <v>9.3480000000000008</v>
      </c>
      <c r="M1677" s="4">
        <v>9.3480000000000008</v>
      </c>
      <c r="N1677" s="4">
        <v>9.3480000000000008</v>
      </c>
      <c r="O1677" s="4">
        <v>9.3480000000000008</v>
      </c>
      <c r="P1677" s="4">
        <v>0</v>
      </c>
      <c r="Q1677" s="3" t="s">
        <v>26</v>
      </c>
      <c r="R1677" s="3">
        <v>0</v>
      </c>
      <c r="S1677" s="3" t="s">
        <v>477</v>
      </c>
      <c r="T1677" s="3" t="s">
        <v>718</v>
      </c>
      <c r="U1677" s="3">
        <v>0</v>
      </c>
      <c r="V1677" s="3">
        <v>42</v>
      </c>
      <c r="W1677" s="3">
        <v>82</v>
      </c>
    </row>
    <row r="1678" spans="1:23" ht="11.25" customHeight="1" x14ac:dyDescent="0.25">
      <c r="A1678" s="3" t="s">
        <v>27</v>
      </c>
      <c r="B1678" s="3" t="s">
        <v>39</v>
      </c>
      <c r="C1678" s="3" t="s">
        <v>37</v>
      </c>
      <c r="D1678" s="3" t="s">
        <v>43</v>
      </c>
      <c r="E1678" s="3" t="s">
        <v>25</v>
      </c>
      <c r="F1678" s="3" t="s">
        <v>25</v>
      </c>
      <c r="G1678" s="3" t="s">
        <v>25</v>
      </c>
      <c r="H1678" s="3" t="s">
        <v>35</v>
      </c>
      <c r="I1678" s="6">
        <v>44348</v>
      </c>
      <c r="J1678" s="4">
        <v>0</v>
      </c>
      <c r="K1678" s="4">
        <v>0</v>
      </c>
      <c r="L1678" s="4">
        <v>-0.11700000000000001</v>
      </c>
      <c r="M1678" s="4">
        <v>-0.11700000000000001</v>
      </c>
      <c r="N1678" s="4">
        <v>-0.11700000000000001</v>
      </c>
      <c r="O1678" s="4">
        <v>-0.11700000000000001</v>
      </c>
      <c r="P1678" s="4">
        <v>0</v>
      </c>
      <c r="Q1678" s="3" t="s">
        <v>26</v>
      </c>
      <c r="R1678" s="3">
        <v>0</v>
      </c>
      <c r="S1678" s="3" t="s">
        <v>477</v>
      </c>
      <c r="T1678" s="3" t="s">
        <v>718</v>
      </c>
      <c r="U1678" s="3">
        <v>0</v>
      </c>
      <c r="V1678" s="3">
        <v>42</v>
      </c>
      <c r="W1678" s="3">
        <v>82</v>
      </c>
    </row>
    <row r="1679" spans="1:23" ht="11.25" customHeight="1" x14ac:dyDescent="0.25">
      <c r="A1679" s="3" t="s">
        <v>28</v>
      </c>
      <c r="B1679" s="3" t="s">
        <v>39</v>
      </c>
      <c r="C1679" s="3" t="s">
        <v>37</v>
      </c>
      <c r="D1679" s="3" t="s">
        <v>43</v>
      </c>
      <c r="E1679" s="3" t="s">
        <v>25</v>
      </c>
      <c r="F1679" s="3" t="s">
        <v>25</v>
      </c>
      <c r="G1679" s="3" t="s">
        <v>25</v>
      </c>
      <c r="H1679" s="3" t="s">
        <v>35</v>
      </c>
      <c r="I1679" s="6">
        <v>44348</v>
      </c>
      <c r="J1679" s="4">
        <v>0</v>
      </c>
      <c r="K1679" s="4">
        <v>0</v>
      </c>
      <c r="L1679" s="4">
        <v>2.1000000000000001E-2</v>
      </c>
      <c r="M1679" s="4">
        <v>2.1000000000000001E-2</v>
      </c>
      <c r="N1679" s="4">
        <v>2.1000000000000001E-2</v>
      </c>
      <c r="O1679" s="4">
        <v>2.1000000000000001E-2</v>
      </c>
      <c r="P1679" s="4">
        <v>0</v>
      </c>
      <c r="Q1679" s="3" t="s">
        <v>26</v>
      </c>
      <c r="R1679" s="3">
        <v>0</v>
      </c>
      <c r="S1679" s="3" t="s">
        <v>477</v>
      </c>
      <c r="T1679" s="3" t="s">
        <v>718</v>
      </c>
      <c r="U1679" s="3">
        <v>0</v>
      </c>
      <c r="V1679" s="3">
        <v>42</v>
      </c>
      <c r="W1679" s="3">
        <v>82</v>
      </c>
    </row>
    <row r="1680" spans="1:23" ht="11.25" customHeight="1" x14ac:dyDescent="0.25">
      <c r="A1680" s="3" t="s">
        <v>21</v>
      </c>
      <c r="B1680" s="3" t="s">
        <v>39</v>
      </c>
      <c r="C1680" s="3" t="s">
        <v>37</v>
      </c>
      <c r="D1680" s="3" t="s">
        <v>43</v>
      </c>
      <c r="E1680" s="3" t="s">
        <v>25</v>
      </c>
      <c r="F1680" s="3" t="s">
        <v>25</v>
      </c>
      <c r="G1680" s="3" t="s">
        <v>25</v>
      </c>
      <c r="H1680" s="3" t="s">
        <v>35</v>
      </c>
      <c r="I1680" s="6">
        <v>44378</v>
      </c>
      <c r="J1680" s="4">
        <v>0</v>
      </c>
      <c r="K1680" s="4">
        <v>0</v>
      </c>
      <c r="L1680" s="4">
        <v>8.8529999999999998</v>
      </c>
      <c r="M1680" s="4">
        <v>8.8529999999999998</v>
      </c>
      <c r="N1680" s="4">
        <v>8.8529999999999998</v>
      </c>
      <c r="O1680" s="4">
        <v>8.8529999999999998</v>
      </c>
      <c r="P1680" s="4">
        <v>0</v>
      </c>
      <c r="Q1680" s="3" t="s">
        <v>26</v>
      </c>
      <c r="R1680" s="3">
        <v>0</v>
      </c>
      <c r="S1680" s="3" t="s">
        <v>478</v>
      </c>
      <c r="T1680" s="3" t="s">
        <v>719</v>
      </c>
      <c r="U1680" s="3">
        <v>0</v>
      </c>
      <c r="V1680" s="3">
        <v>42</v>
      </c>
      <c r="W1680" s="3">
        <v>82</v>
      </c>
    </row>
    <row r="1681" spans="1:23" ht="11.25" customHeight="1" x14ac:dyDescent="0.25">
      <c r="A1681" s="3" t="s">
        <v>27</v>
      </c>
      <c r="B1681" s="3" t="s">
        <v>39</v>
      </c>
      <c r="C1681" s="3" t="s">
        <v>37</v>
      </c>
      <c r="D1681" s="3" t="s">
        <v>43</v>
      </c>
      <c r="E1681" s="3" t="s">
        <v>25</v>
      </c>
      <c r="F1681" s="3" t="s">
        <v>25</v>
      </c>
      <c r="G1681" s="3" t="s">
        <v>25</v>
      </c>
      <c r="H1681" s="3" t="s">
        <v>35</v>
      </c>
      <c r="I1681" s="6">
        <v>44378</v>
      </c>
      <c r="J1681" s="4">
        <v>0</v>
      </c>
      <c r="K1681" s="4">
        <v>0</v>
      </c>
      <c r="L1681" s="4">
        <v>0.01</v>
      </c>
      <c r="M1681" s="4">
        <v>0.01</v>
      </c>
      <c r="N1681" s="4">
        <v>0.01</v>
      </c>
      <c r="O1681" s="4">
        <v>0.01</v>
      </c>
      <c r="P1681" s="4">
        <v>0</v>
      </c>
      <c r="Q1681" s="3" t="s">
        <v>26</v>
      </c>
      <c r="R1681" s="3">
        <v>0</v>
      </c>
      <c r="S1681" s="3" t="s">
        <v>478</v>
      </c>
      <c r="T1681" s="3" t="s">
        <v>719</v>
      </c>
      <c r="U1681" s="3">
        <v>0</v>
      </c>
      <c r="V1681" s="3">
        <v>42</v>
      </c>
      <c r="W1681" s="3">
        <v>82</v>
      </c>
    </row>
    <row r="1682" spans="1:23" ht="11.25" customHeight="1" x14ac:dyDescent="0.25">
      <c r="A1682" s="3" t="s">
        <v>28</v>
      </c>
      <c r="B1682" s="3" t="s">
        <v>39</v>
      </c>
      <c r="C1682" s="3" t="s">
        <v>37</v>
      </c>
      <c r="D1682" s="3" t="s">
        <v>43</v>
      </c>
      <c r="E1682" s="3" t="s">
        <v>25</v>
      </c>
      <c r="F1682" s="3" t="s">
        <v>25</v>
      </c>
      <c r="G1682" s="3" t="s">
        <v>25</v>
      </c>
      <c r="H1682" s="3" t="s">
        <v>35</v>
      </c>
      <c r="I1682" s="6">
        <v>44378</v>
      </c>
      <c r="J1682" s="4">
        <v>0</v>
      </c>
      <c r="K1682" s="4">
        <v>0</v>
      </c>
      <c r="L1682" s="4">
        <v>2.5000000000000001E-2</v>
      </c>
      <c r="M1682" s="4">
        <v>2.5000000000000001E-2</v>
      </c>
      <c r="N1682" s="4">
        <v>2.5000000000000001E-2</v>
      </c>
      <c r="O1682" s="4">
        <v>2.5000000000000001E-2</v>
      </c>
      <c r="P1682" s="4">
        <v>0</v>
      </c>
      <c r="Q1682" s="3" t="s">
        <v>26</v>
      </c>
      <c r="R1682" s="3">
        <v>0</v>
      </c>
      <c r="S1682" s="3" t="s">
        <v>478</v>
      </c>
      <c r="T1682" s="3" t="s">
        <v>719</v>
      </c>
      <c r="U1682" s="3">
        <v>0</v>
      </c>
      <c r="V1682" s="3">
        <v>42</v>
      </c>
      <c r="W1682" s="3">
        <v>82</v>
      </c>
    </row>
    <row r="1683" spans="1:23" ht="11.25" customHeight="1" x14ac:dyDescent="0.25">
      <c r="A1683" s="3" t="s">
        <v>21</v>
      </c>
      <c r="B1683" s="3" t="s">
        <v>39</v>
      </c>
      <c r="C1683" s="3" t="s">
        <v>37</v>
      </c>
      <c r="D1683" s="3" t="s">
        <v>43</v>
      </c>
      <c r="E1683" s="3" t="s">
        <v>25</v>
      </c>
      <c r="F1683" s="3" t="s">
        <v>25</v>
      </c>
      <c r="G1683" s="3" t="s">
        <v>25</v>
      </c>
      <c r="H1683" s="3" t="s">
        <v>35</v>
      </c>
      <c r="I1683" s="6">
        <v>44409</v>
      </c>
      <c r="J1683" s="4">
        <v>0</v>
      </c>
      <c r="K1683" s="4">
        <v>0</v>
      </c>
      <c r="L1683" s="4">
        <v>9.3680000000000003</v>
      </c>
      <c r="M1683" s="4">
        <v>9.3680000000000003</v>
      </c>
      <c r="N1683" s="4">
        <v>9.3680000000000003</v>
      </c>
      <c r="O1683" s="4">
        <v>9.3680000000000003</v>
      </c>
      <c r="P1683" s="4">
        <v>0</v>
      </c>
      <c r="Q1683" s="3" t="s">
        <v>26</v>
      </c>
      <c r="R1683" s="3">
        <v>0</v>
      </c>
      <c r="S1683" s="3" t="s">
        <v>479</v>
      </c>
      <c r="T1683" s="3" t="s">
        <v>720</v>
      </c>
      <c r="U1683" s="3">
        <v>0</v>
      </c>
      <c r="V1683" s="3">
        <v>42</v>
      </c>
      <c r="W1683" s="3">
        <v>82</v>
      </c>
    </row>
    <row r="1684" spans="1:23" ht="11.25" customHeight="1" x14ac:dyDescent="0.25">
      <c r="A1684" s="3" t="s">
        <v>27</v>
      </c>
      <c r="B1684" s="3" t="s">
        <v>39</v>
      </c>
      <c r="C1684" s="3" t="s">
        <v>37</v>
      </c>
      <c r="D1684" s="3" t="s">
        <v>43</v>
      </c>
      <c r="E1684" s="3" t="s">
        <v>25</v>
      </c>
      <c r="F1684" s="3" t="s">
        <v>25</v>
      </c>
      <c r="G1684" s="3" t="s">
        <v>25</v>
      </c>
      <c r="H1684" s="3" t="s">
        <v>35</v>
      </c>
      <c r="I1684" s="6">
        <v>44409</v>
      </c>
      <c r="J1684" s="4">
        <v>0</v>
      </c>
      <c r="K1684" s="4">
        <v>0</v>
      </c>
      <c r="L1684" s="4">
        <v>2.1000000000000001E-2</v>
      </c>
      <c r="M1684" s="4">
        <v>2.1000000000000001E-2</v>
      </c>
      <c r="N1684" s="4">
        <v>2.1000000000000001E-2</v>
      </c>
      <c r="O1684" s="4">
        <v>2.1000000000000001E-2</v>
      </c>
      <c r="P1684" s="4">
        <v>0</v>
      </c>
      <c r="Q1684" s="3" t="s">
        <v>26</v>
      </c>
      <c r="R1684" s="3">
        <v>0</v>
      </c>
      <c r="S1684" s="3" t="s">
        <v>479</v>
      </c>
      <c r="T1684" s="3" t="s">
        <v>720</v>
      </c>
      <c r="U1684" s="3">
        <v>0</v>
      </c>
      <c r="V1684" s="3">
        <v>42</v>
      </c>
      <c r="W1684" s="3">
        <v>82</v>
      </c>
    </row>
    <row r="1685" spans="1:23" ht="11.25" customHeight="1" x14ac:dyDescent="0.25">
      <c r="A1685" s="3" t="s">
        <v>28</v>
      </c>
      <c r="B1685" s="3" t="s">
        <v>39</v>
      </c>
      <c r="C1685" s="3" t="s">
        <v>37</v>
      </c>
      <c r="D1685" s="3" t="s">
        <v>43</v>
      </c>
      <c r="E1685" s="3" t="s">
        <v>25</v>
      </c>
      <c r="F1685" s="3" t="s">
        <v>25</v>
      </c>
      <c r="G1685" s="3" t="s">
        <v>25</v>
      </c>
      <c r="H1685" s="3" t="s">
        <v>35</v>
      </c>
      <c r="I1685" s="6">
        <v>44409</v>
      </c>
      <c r="J1685" s="4">
        <v>0</v>
      </c>
      <c r="K1685" s="4">
        <v>0</v>
      </c>
      <c r="L1685" s="4">
        <v>5.7000000000000002E-2</v>
      </c>
      <c r="M1685" s="4">
        <v>5.7000000000000002E-2</v>
      </c>
      <c r="N1685" s="4">
        <v>5.7000000000000002E-2</v>
      </c>
      <c r="O1685" s="4">
        <v>5.7000000000000002E-2</v>
      </c>
      <c r="P1685" s="4">
        <v>0</v>
      </c>
      <c r="Q1685" s="3" t="s">
        <v>26</v>
      </c>
      <c r="R1685" s="3">
        <v>0</v>
      </c>
      <c r="S1685" s="3" t="s">
        <v>479</v>
      </c>
      <c r="T1685" s="3" t="s">
        <v>720</v>
      </c>
      <c r="U1685" s="3">
        <v>0</v>
      </c>
      <c r="V1685" s="3">
        <v>42</v>
      </c>
      <c r="W1685" s="3">
        <v>82</v>
      </c>
    </row>
    <row r="1686" spans="1:23" ht="11.25" customHeight="1" x14ac:dyDescent="0.25">
      <c r="A1686" s="3" t="s">
        <v>21</v>
      </c>
      <c r="B1686" s="3" t="s">
        <v>39</v>
      </c>
      <c r="C1686" s="3" t="s">
        <v>37</v>
      </c>
      <c r="D1686" s="3" t="s">
        <v>43</v>
      </c>
      <c r="E1686" s="3" t="s">
        <v>25</v>
      </c>
      <c r="F1686" s="3" t="s">
        <v>25</v>
      </c>
      <c r="G1686" s="3" t="s">
        <v>25</v>
      </c>
      <c r="H1686" s="3" t="s">
        <v>35</v>
      </c>
      <c r="I1686" s="6">
        <v>44440</v>
      </c>
      <c r="J1686" s="4">
        <v>0</v>
      </c>
      <c r="K1686" s="4">
        <v>0</v>
      </c>
      <c r="L1686" s="4">
        <v>8.5449999999999999</v>
      </c>
      <c r="M1686" s="4">
        <v>8.5449999999999999</v>
      </c>
      <c r="N1686" s="4">
        <v>8.5449999999999999</v>
      </c>
      <c r="O1686" s="4">
        <v>8.5449999999999999</v>
      </c>
      <c r="P1686" s="4">
        <v>0</v>
      </c>
      <c r="Q1686" s="3" t="s">
        <v>26</v>
      </c>
      <c r="R1686" s="3">
        <v>0</v>
      </c>
      <c r="S1686" s="3" t="s">
        <v>480</v>
      </c>
      <c r="T1686" s="3" t="s">
        <v>721</v>
      </c>
      <c r="U1686" s="3">
        <v>0</v>
      </c>
      <c r="V1686" s="3">
        <v>42</v>
      </c>
      <c r="W1686" s="3">
        <v>82</v>
      </c>
    </row>
    <row r="1687" spans="1:23" ht="11.25" customHeight="1" x14ac:dyDescent="0.25">
      <c r="A1687" s="3" t="s">
        <v>28</v>
      </c>
      <c r="B1687" s="3" t="s">
        <v>39</v>
      </c>
      <c r="C1687" s="3" t="s">
        <v>37</v>
      </c>
      <c r="D1687" s="3" t="s">
        <v>43</v>
      </c>
      <c r="E1687" s="3" t="s">
        <v>25</v>
      </c>
      <c r="F1687" s="3" t="s">
        <v>25</v>
      </c>
      <c r="G1687" s="3" t="s">
        <v>25</v>
      </c>
      <c r="H1687" s="3" t="s">
        <v>35</v>
      </c>
      <c r="I1687" s="6">
        <v>44440</v>
      </c>
      <c r="J1687" s="4">
        <v>0</v>
      </c>
      <c r="K1687" s="4">
        <v>0</v>
      </c>
      <c r="L1687" s="4">
        <v>0.03</v>
      </c>
      <c r="M1687" s="4">
        <v>0.03</v>
      </c>
      <c r="N1687" s="4">
        <v>0.03</v>
      </c>
      <c r="O1687" s="4">
        <v>0.03</v>
      </c>
      <c r="P1687" s="4">
        <v>0</v>
      </c>
      <c r="Q1687" s="3" t="s">
        <v>26</v>
      </c>
      <c r="R1687" s="3">
        <v>0</v>
      </c>
      <c r="S1687" s="3" t="s">
        <v>480</v>
      </c>
      <c r="T1687" s="3" t="s">
        <v>721</v>
      </c>
      <c r="U1687" s="3">
        <v>0</v>
      </c>
      <c r="V1687" s="3">
        <v>42</v>
      </c>
      <c r="W1687" s="3">
        <v>82</v>
      </c>
    </row>
    <row r="1688" spans="1:23" ht="11.25" customHeight="1" x14ac:dyDescent="0.25">
      <c r="A1688" s="3" t="s">
        <v>21</v>
      </c>
      <c r="B1688" s="3" t="s">
        <v>39</v>
      </c>
      <c r="C1688" s="3" t="s">
        <v>37</v>
      </c>
      <c r="D1688" s="3" t="s">
        <v>43</v>
      </c>
      <c r="E1688" s="3" t="s">
        <v>25</v>
      </c>
      <c r="F1688" s="3" t="s">
        <v>25</v>
      </c>
      <c r="G1688" s="3" t="s">
        <v>25</v>
      </c>
      <c r="H1688" s="3" t="s">
        <v>35</v>
      </c>
      <c r="I1688" s="6">
        <v>44470</v>
      </c>
      <c r="J1688" s="4">
        <v>0</v>
      </c>
      <c r="K1688" s="4">
        <v>0</v>
      </c>
      <c r="L1688" s="4">
        <v>10.036</v>
      </c>
      <c r="M1688" s="4">
        <v>10.036</v>
      </c>
      <c r="N1688" s="4">
        <v>10.036</v>
      </c>
      <c r="O1688" s="4">
        <v>10.036</v>
      </c>
      <c r="P1688" s="4">
        <v>0</v>
      </c>
      <c r="Q1688" s="3" t="s">
        <v>26</v>
      </c>
      <c r="R1688" s="3">
        <v>0</v>
      </c>
      <c r="S1688" s="3" t="s">
        <v>481</v>
      </c>
      <c r="T1688" s="3" t="s">
        <v>722</v>
      </c>
      <c r="U1688" s="3">
        <v>0</v>
      </c>
      <c r="V1688" s="3">
        <v>42</v>
      </c>
      <c r="W1688" s="3">
        <v>82</v>
      </c>
    </row>
    <row r="1689" spans="1:23" ht="11.25" customHeight="1" x14ac:dyDescent="0.25">
      <c r="A1689" s="3" t="s">
        <v>28</v>
      </c>
      <c r="B1689" s="3" t="s">
        <v>39</v>
      </c>
      <c r="C1689" s="3" t="s">
        <v>37</v>
      </c>
      <c r="D1689" s="3" t="s">
        <v>43</v>
      </c>
      <c r="E1689" s="3" t="s">
        <v>25</v>
      </c>
      <c r="F1689" s="3" t="s">
        <v>25</v>
      </c>
      <c r="G1689" s="3" t="s">
        <v>25</v>
      </c>
      <c r="H1689" s="3" t="s">
        <v>35</v>
      </c>
      <c r="I1689" s="6">
        <v>44470</v>
      </c>
      <c r="J1689" s="4">
        <v>0</v>
      </c>
      <c r="K1689" s="4">
        <v>0</v>
      </c>
      <c r="L1689" s="4">
        <v>4.8000000000000001E-2</v>
      </c>
      <c r="M1689" s="4">
        <v>4.8000000000000001E-2</v>
      </c>
      <c r="N1689" s="4">
        <v>4.8000000000000001E-2</v>
      </c>
      <c r="O1689" s="4">
        <v>4.8000000000000001E-2</v>
      </c>
      <c r="P1689" s="4">
        <v>0</v>
      </c>
      <c r="Q1689" s="3" t="s">
        <v>26</v>
      </c>
      <c r="R1689" s="3">
        <v>0</v>
      </c>
      <c r="S1689" s="3" t="s">
        <v>481</v>
      </c>
      <c r="T1689" s="3" t="s">
        <v>722</v>
      </c>
      <c r="U1689" s="3">
        <v>0</v>
      </c>
      <c r="V1689" s="3">
        <v>42</v>
      </c>
      <c r="W1689" s="3">
        <v>82</v>
      </c>
    </row>
    <row r="1690" spans="1:23" ht="11.25" customHeight="1" x14ac:dyDescent="0.25">
      <c r="A1690" s="3" t="s">
        <v>21</v>
      </c>
      <c r="B1690" s="3" t="s">
        <v>39</v>
      </c>
      <c r="C1690" s="3" t="s">
        <v>37</v>
      </c>
      <c r="D1690" s="3" t="s">
        <v>43</v>
      </c>
      <c r="E1690" s="3" t="s">
        <v>25</v>
      </c>
      <c r="F1690" s="3" t="s">
        <v>25</v>
      </c>
      <c r="G1690" s="3" t="s">
        <v>25</v>
      </c>
      <c r="H1690" s="3" t="s">
        <v>35</v>
      </c>
      <c r="I1690" s="6">
        <v>44501</v>
      </c>
      <c r="J1690" s="4">
        <v>0</v>
      </c>
      <c r="K1690" s="4">
        <v>0</v>
      </c>
      <c r="L1690" s="4">
        <v>9.1769999999999996</v>
      </c>
      <c r="M1690" s="4">
        <v>9.1769999999999996</v>
      </c>
      <c r="N1690" s="4">
        <v>9.1769999999999996</v>
      </c>
      <c r="O1690" s="4">
        <v>9.1769999999999996</v>
      </c>
      <c r="P1690" s="4">
        <v>0</v>
      </c>
      <c r="Q1690" s="3" t="s">
        <v>26</v>
      </c>
      <c r="R1690" s="3">
        <v>0</v>
      </c>
      <c r="S1690" s="3" t="s">
        <v>482</v>
      </c>
      <c r="T1690" s="3" t="s">
        <v>723</v>
      </c>
      <c r="U1690" s="3">
        <v>0</v>
      </c>
      <c r="V1690" s="3">
        <v>42</v>
      </c>
      <c r="W1690" s="3">
        <v>82</v>
      </c>
    </row>
    <row r="1691" spans="1:23" ht="11.25" customHeight="1" x14ac:dyDescent="0.25">
      <c r="A1691" s="3" t="s">
        <v>27</v>
      </c>
      <c r="B1691" s="3" t="s">
        <v>39</v>
      </c>
      <c r="C1691" s="3" t="s">
        <v>37</v>
      </c>
      <c r="D1691" s="3" t="s">
        <v>43</v>
      </c>
      <c r="E1691" s="3" t="s">
        <v>25</v>
      </c>
      <c r="F1691" s="3" t="s">
        <v>25</v>
      </c>
      <c r="G1691" s="3" t="s">
        <v>25</v>
      </c>
      <c r="H1691" s="3" t="s">
        <v>35</v>
      </c>
      <c r="I1691" s="6">
        <v>44501</v>
      </c>
      <c r="J1691" s="4">
        <v>0</v>
      </c>
      <c r="K1691" s="4">
        <v>0</v>
      </c>
      <c r="L1691" s="4">
        <v>-7.0999999999999994E-2</v>
      </c>
      <c r="M1691" s="4">
        <v>-7.0999999999999994E-2</v>
      </c>
      <c r="N1691" s="4">
        <v>-7.0999999999999994E-2</v>
      </c>
      <c r="O1691" s="4">
        <v>-7.0999999999999994E-2</v>
      </c>
      <c r="P1691" s="4">
        <v>0</v>
      </c>
      <c r="Q1691" s="3" t="s">
        <v>26</v>
      </c>
      <c r="R1691" s="3">
        <v>0</v>
      </c>
      <c r="S1691" s="3" t="s">
        <v>482</v>
      </c>
      <c r="T1691" s="3" t="s">
        <v>723</v>
      </c>
      <c r="U1691" s="3">
        <v>0</v>
      </c>
      <c r="V1691" s="3">
        <v>42</v>
      </c>
      <c r="W1691" s="3">
        <v>82</v>
      </c>
    </row>
    <row r="1692" spans="1:23" ht="11.25" customHeight="1" x14ac:dyDescent="0.25">
      <c r="A1692" s="3" t="s">
        <v>28</v>
      </c>
      <c r="B1692" s="3" t="s">
        <v>39</v>
      </c>
      <c r="C1692" s="3" t="s">
        <v>37</v>
      </c>
      <c r="D1692" s="3" t="s">
        <v>43</v>
      </c>
      <c r="E1692" s="3" t="s">
        <v>25</v>
      </c>
      <c r="F1692" s="3" t="s">
        <v>25</v>
      </c>
      <c r="G1692" s="3" t="s">
        <v>25</v>
      </c>
      <c r="H1692" s="3" t="s">
        <v>35</v>
      </c>
      <c r="I1692" s="6">
        <v>44501</v>
      </c>
      <c r="J1692" s="4">
        <v>0</v>
      </c>
      <c r="K1692" s="4">
        <v>0</v>
      </c>
      <c r="L1692" s="4">
        <v>3.5000000000000003E-2</v>
      </c>
      <c r="M1692" s="4">
        <v>3.5000000000000003E-2</v>
      </c>
      <c r="N1692" s="4">
        <v>3.5000000000000003E-2</v>
      </c>
      <c r="O1692" s="4">
        <v>3.5000000000000003E-2</v>
      </c>
      <c r="P1692" s="4">
        <v>0</v>
      </c>
      <c r="Q1692" s="3" t="s">
        <v>26</v>
      </c>
      <c r="R1692" s="3">
        <v>0</v>
      </c>
      <c r="S1692" s="3" t="s">
        <v>482</v>
      </c>
      <c r="T1692" s="3" t="s">
        <v>723</v>
      </c>
      <c r="U1692" s="3">
        <v>0</v>
      </c>
      <c r="V1692" s="3">
        <v>42</v>
      </c>
      <c r="W1692" s="3">
        <v>82</v>
      </c>
    </row>
    <row r="1693" spans="1:23" ht="11.25" customHeight="1" x14ac:dyDescent="0.25">
      <c r="A1693" s="3" t="s">
        <v>21</v>
      </c>
      <c r="B1693" s="3" t="s">
        <v>39</v>
      </c>
      <c r="C1693" s="3" t="s">
        <v>37</v>
      </c>
      <c r="D1693" s="3" t="s">
        <v>43</v>
      </c>
      <c r="E1693" s="3" t="s">
        <v>25</v>
      </c>
      <c r="F1693" s="3" t="s">
        <v>25</v>
      </c>
      <c r="G1693" s="3" t="s">
        <v>25</v>
      </c>
      <c r="H1693" s="3" t="s">
        <v>35</v>
      </c>
      <c r="I1693" s="6">
        <v>44531</v>
      </c>
      <c r="J1693" s="4">
        <v>0</v>
      </c>
      <c r="K1693" s="4">
        <v>0</v>
      </c>
      <c r="L1693" s="4">
        <v>10.515000000000001</v>
      </c>
      <c r="M1693" s="4">
        <v>10.515000000000001</v>
      </c>
      <c r="N1693" s="4">
        <v>10.515000000000001</v>
      </c>
      <c r="O1693" s="4">
        <v>10.515000000000001</v>
      </c>
      <c r="P1693" s="4">
        <v>0</v>
      </c>
      <c r="Q1693" s="3" t="s">
        <v>26</v>
      </c>
      <c r="R1693" s="3">
        <v>0</v>
      </c>
      <c r="S1693" s="3" t="s">
        <v>483</v>
      </c>
      <c r="T1693" s="3" t="s">
        <v>724</v>
      </c>
      <c r="U1693" s="3">
        <v>0</v>
      </c>
      <c r="V1693" s="3">
        <v>42</v>
      </c>
      <c r="W1693" s="3">
        <v>82</v>
      </c>
    </row>
    <row r="1694" spans="1:23" ht="11.25" customHeight="1" x14ac:dyDescent="0.25">
      <c r="A1694" s="3" t="s">
        <v>28</v>
      </c>
      <c r="B1694" s="3" t="s">
        <v>39</v>
      </c>
      <c r="C1694" s="3" t="s">
        <v>37</v>
      </c>
      <c r="D1694" s="3" t="s">
        <v>43</v>
      </c>
      <c r="E1694" s="3" t="s">
        <v>25</v>
      </c>
      <c r="F1694" s="3" t="s">
        <v>25</v>
      </c>
      <c r="G1694" s="3" t="s">
        <v>25</v>
      </c>
      <c r="H1694" s="3" t="s">
        <v>35</v>
      </c>
      <c r="I1694" s="6">
        <v>44531</v>
      </c>
      <c r="J1694" s="4">
        <v>0</v>
      </c>
      <c r="K1694" s="4">
        <v>0</v>
      </c>
      <c r="L1694" s="4">
        <v>1.6E-2</v>
      </c>
      <c r="M1694" s="4">
        <v>1.6E-2</v>
      </c>
      <c r="N1694" s="4">
        <v>1.6E-2</v>
      </c>
      <c r="O1694" s="4">
        <v>1.6E-2</v>
      </c>
      <c r="P1694" s="4">
        <v>0</v>
      </c>
      <c r="Q1694" s="3" t="s">
        <v>26</v>
      </c>
      <c r="R1694" s="3">
        <v>0</v>
      </c>
      <c r="S1694" s="3" t="s">
        <v>483</v>
      </c>
      <c r="T1694" s="3" t="s">
        <v>724</v>
      </c>
      <c r="U1694" s="3">
        <v>0</v>
      </c>
      <c r="V1694" s="3">
        <v>42</v>
      </c>
      <c r="W1694" s="3">
        <v>82</v>
      </c>
    </row>
    <row r="1695" spans="1:23" ht="11.25" customHeight="1" x14ac:dyDescent="0.25">
      <c r="A1695" s="3" t="s">
        <v>21</v>
      </c>
      <c r="B1695" s="3" t="s">
        <v>39</v>
      </c>
      <c r="C1695" s="3" t="s">
        <v>37</v>
      </c>
      <c r="D1695" s="3" t="s">
        <v>43</v>
      </c>
      <c r="E1695" s="3" t="s">
        <v>25</v>
      </c>
      <c r="F1695" s="3" t="s">
        <v>25</v>
      </c>
      <c r="G1695" s="3" t="s">
        <v>25</v>
      </c>
      <c r="H1695" s="3" t="s">
        <v>35</v>
      </c>
      <c r="I1695" s="6">
        <v>44562</v>
      </c>
      <c r="J1695" s="4">
        <v>0</v>
      </c>
      <c r="K1695" s="4">
        <v>0</v>
      </c>
      <c r="L1695" s="4">
        <v>9.4600000000000009</v>
      </c>
      <c r="M1695" s="4">
        <v>9.4600000000000009</v>
      </c>
      <c r="N1695" s="4">
        <v>9.4600000000000009</v>
      </c>
      <c r="O1695" s="4">
        <v>9.4600000000000009</v>
      </c>
      <c r="P1695" s="4">
        <v>0</v>
      </c>
      <c r="Q1695" s="3" t="s">
        <v>26</v>
      </c>
      <c r="R1695" s="3">
        <v>0</v>
      </c>
      <c r="S1695" s="3" t="s">
        <v>484</v>
      </c>
      <c r="T1695" s="3" t="s">
        <v>725</v>
      </c>
      <c r="U1695" s="3">
        <v>0</v>
      </c>
      <c r="V1695" s="3">
        <v>42</v>
      </c>
      <c r="W1695" s="3">
        <v>82</v>
      </c>
    </row>
    <row r="1696" spans="1:23" ht="11.25" customHeight="1" x14ac:dyDescent="0.25">
      <c r="A1696" s="3" t="s">
        <v>28</v>
      </c>
      <c r="B1696" s="3" t="s">
        <v>39</v>
      </c>
      <c r="C1696" s="3" t="s">
        <v>37</v>
      </c>
      <c r="D1696" s="3" t="s">
        <v>43</v>
      </c>
      <c r="E1696" s="3" t="s">
        <v>25</v>
      </c>
      <c r="F1696" s="3" t="s">
        <v>25</v>
      </c>
      <c r="G1696" s="3" t="s">
        <v>25</v>
      </c>
      <c r="H1696" s="3" t="s">
        <v>35</v>
      </c>
      <c r="I1696" s="6">
        <v>44562</v>
      </c>
      <c r="J1696" s="4">
        <v>0</v>
      </c>
      <c r="K1696" s="4">
        <v>0</v>
      </c>
      <c r="L1696" s="4">
        <v>1.0999999999999999E-2</v>
      </c>
      <c r="M1696" s="4">
        <v>1.0999999999999999E-2</v>
      </c>
      <c r="N1696" s="4">
        <v>1.0999999999999999E-2</v>
      </c>
      <c r="O1696" s="4">
        <v>1.0999999999999999E-2</v>
      </c>
      <c r="P1696" s="4">
        <v>0</v>
      </c>
      <c r="Q1696" s="3" t="s">
        <v>26</v>
      </c>
      <c r="R1696" s="3">
        <v>0</v>
      </c>
      <c r="S1696" s="3" t="s">
        <v>484</v>
      </c>
      <c r="T1696" s="3" t="s">
        <v>725</v>
      </c>
      <c r="U1696" s="3">
        <v>0</v>
      </c>
      <c r="V1696" s="3">
        <v>42</v>
      </c>
      <c r="W1696" s="3">
        <v>82</v>
      </c>
    </row>
    <row r="1697" spans="1:23" ht="11.25" customHeight="1" x14ac:dyDescent="0.25">
      <c r="A1697" s="3" t="s">
        <v>21</v>
      </c>
      <c r="B1697" s="3" t="s">
        <v>39</v>
      </c>
      <c r="C1697" s="3" t="s">
        <v>37</v>
      </c>
      <c r="D1697" s="3" t="s">
        <v>43</v>
      </c>
      <c r="E1697" s="3" t="s">
        <v>25</v>
      </c>
      <c r="F1697" s="3" t="s">
        <v>25</v>
      </c>
      <c r="G1697" s="3" t="s">
        <v>25</v>
      </c>
      <c r="H1697" s="3" t="s">
        <v>35</v>
      </c>
      <c r="I1697" s="6">
        <v>44593</v>
      </c>
      <c r="J1697" s="4">
        <v>0</v>
      </c>
      <c r="K1697" s="4">
        <v>0</v>
      </c>
      <c r="L1697" s="4">
        <v>10.082000000000001</v>
      </c>
      <c r="M1697" s="4">
        <v>10.082000000000001</v>
      </c>
      <c r="N1697" s="4">
        <v>10.082000000000001</v>
      </c>
      <c r="O1697" s="4">
        <v>10.082000000000001</v>
      </c>
      <c r="P1697" s="4">
        <v>0</v>
      </c>
      <c r="Q1697" s="3" t="s">
        <v>26</v>
      </c>
      <c r="R1697" s="3">
        <v>0</v>
      </c>
      <c r="S1697" s="3" t="s">
        <v>485</v>
      </c>
      <c r="T1697" s="3" t="s">
        <v>726</v>
      </c>
      <c r="U1697" s="3">
        <v>0</v>
      </c>
      <c r="V1697" s="3">
        <v>42</v>
      </c>
      <c r="W1697" s="3">
        <v>82</v>
      </c>
    </row>
    <row r="1698" spans="1:23" ht="11.25" customHeight="1" x14ac:dyDescent="0.25">
      <c r="A1698" s="3" t="s">
        <v>28</v>
      </c>
      <c r="B1698" s="3" t="s">
        <v>39</v>
      </c>
      <c r="C1698" s="3" t="s">
        <v>37</v>
      </c>
      <c r="D1698" s="3" t="s">
        <v>43</v>
      </c>
      <c r="E1698" s="3" t="s">
        <v>25</v>
      </c>
      <c r="F1698" s="3" t="s">
        <v>25</v>
      </c>
      <c r="G1698" s="3" t="s">
        <v>25</v>
      </c>
      <c r="H1698" s="3" t="s">
        <v>35</v>
      </c>
      <c r="I1698" s="6">
        <v>44593</v>
      </c>
      <c r="J1698" s="4">
        <v>0</v>
      </c>
      <c r="K1698" s="4">
        <v>0</v>
      </c>
      <c r="L1698" s="4">
        <v>8.9999999999999993E-3</v>
      </c>
      <c r="M1698" s="4">
        <v>8.9999999999999993E-3</v>
      </c>
      <c r="N1698" s="4">
        <v>8.9999999999999993E-3</v>
      </c>
      <c r="O1698" s="4">
        <v>8.9999999999999993E-3</v>
      </c>
      <c r="P1698" s="4">
        <v>0</v>
      </c>
      <c r="Q1698" s="3" t="s">
        <v>26</v>
      </c>
      <c r="R1698" s="3">
        <v>0</v>
      </c>
      <c r="S1698" s="3" t="s">
        <v>485</v>
      </c>
      <c r="T1698" s="3" t="s">
        <v>726</v>
      </c>
      <c r="U1698" s="3">
        <v>0</v>
      </c>
      <c r="V1698" s="3">
        <v>42</v>
      </c>
      <c r="W1698" s="3">
        <v>82</v>
      </c>
    </row>
    <row r="1699" spans="1:23" ht="11.25" customHeight="1" x14ac:dyDescent="0.25">
      <c r="A1699" s="3" t="s">
        <v>21</v>
      </c>
      <c r="B1699" s="3" t="s">
        <v>39</v>
      </c>
      <c r="C1699" s="3" t="s">
        <v>37</v>
      </c>
      <c r="D1699" s="3" t="s">
        <v>43</v>
      </c>
      <c r="E1699" s="3" t="s">
        <v>25</v>
      </c>
      <c r="F1699" s="3" t="s">
        <v>25</v>
      </c>
      <c r="G1699" s="3" t="s">
        <v>25</v>
      </c>
      <c r="H1699" s="3" t="s">
        <v>35</v>
      </c>
      <c r="I1699" s="6">
        <v>44621</v>
      </c>
      <c r="J1699" s="4">
        <v>0</v>
      </c>
      <c r="K1699" s="4">
        <v>0</v>
      </c>
      <c r="L1699" s="4">
        <v>11.125</v>
      </c>
      <c r="M1699" s="4">
        <v>11.125</v>
      </c>
      <c r="N1699" s="4">
        <v>11.125</v>
      </c>
      <c r="O1699" s="4">
        <v>11.125</v>
      </c>
      <c r="P1699" s="4">
        <v>0</v>
      </c>
      <c r="Q1699" s="3" t="s">
        <v>26</v>
      </c>
      <c r="R1699" s="3">
        <v>0</v>
      </c>
      <c r="S1699" s="3" t="s">
        <v>486</v>
      </c>
      <c r="T1699" s="3" t="s">
        <v>727</v>
      </c>
      <c r="U1699" s="3">
        <v>0</v>
      </c>
      <c r="V1699" s="3">
        <v>42</v>
      </c>
      <c r="W1699" s="3">
        <v>82</v>
      </c>
    </row>
    <row r="1700" spans="1:23" ht="11.25" customHeight="1" x14ac:dyDescent="0.25">
      <c r="A1700" s="3" t="s">
        <v>28</v>
      </c>
      <c r="B1700" s="3" t="s">
        <v>39</v>
      </c>
      <c r="C1700" s="3" t="s">
        <v>37</v>
      </c>
      <c r="D1700" s="3" t="s">
        <v>43</v>
      </c>
      <c r="E1700" s="3" t="s">
        <v>25</v>
      </c>
      <c r="F1700" s="3" t="s">
        <v>25</v>
      </c>
      <c r="G1700" s="3" t="s">
        <v>25</v>
      </c>
      <c r="H1700" s="3" t="s">
        <v>35</v>
      </c>
      <c r="I1700" s="6">
        <v>44621</v>
      </c>
      <c r="J1700" s="4">
        <v>0</v>
      </c>
      <c r="K1700" s="4">
        <v>0</v>
      </c>
      <c r="L1700" s="4">
        <v>8.0000000000000002E-3</v>
      </c>
      <c r="M1700" s="4">
        <v>8.0000000000000002E-3</v>
      </c>
      <c r="N1700" s="4">
        <v>8.0000000000000002E-3</v>
      </c>
      <c r="O1700" s="4">
        <v>8.0000000000000002E-3</v>
      </c>
      <c r="P1700" s="4">
        <v>0</v>
      </c>
      <c r="Q1700" s="3" t="s">
        <v>26</v>
      </c>
      <c r="R1700" s="3">
        <v>0</v>
      </c>
      <c r="S1700" s="3" t="s">
        <v>486</v>
      </c>
      <c r="T1700" s="3" t="s">
        <v>727</v>
      </c>
      <c r="U1700" s="3">
        <v>0</v>
      </c>
      <c r="V1700" s="3">
        <v>42</v>
      </c>
      <c r="W1700" s="3">
        <v>82</v>
      </c>
    </row>
    <row r="1701" spans="1:23" ht="11.25" customHeight="1" x14ac:dyDescent="0.25">
      <c r="A1701" s="3" t="s">
        <v>56</v>
      </c>
      <c r="B1701" s="3" t="s">
        <v>39</v>
      </c>
      <c r="C1701" s="3" t="s">
        <v>37</v>
      </c>
      <c r="D1701" s="3" t="s">
        <v>43</v>
      </c>
      <c r="E1701" s="3" t="s">
        <v>25</v>
      </c>
      <c r="F1701" s="3" t="s">
        <v>25</v>
      </c>
      <c r="G1701" s="3" t="s">
        <v>25</v>
      </c>
      <c r="H1701" s="3" t="s">
        <v>35</v>
      </c>
      <c r="I1701" s="6">
        <v>44652</v>
      </c>
      <c r="J1701" s="4">
        <v>0</v>
      </c>
      <c r="K1701" s="4">
        <v>0</v>
      </c>
      <c r="L1701" s="4">
        <v>11.125</v>
      </c>
      <c r="M1701" s="4">
        <v>11.125</v>
      </c>
      <c r="N1701" s="4">
        <v>11.125</v>
      </c>
      <c r="O1701" s="4">
        <v>11.125</v>
      </c>
      <c r="P1701" s="4">
        <v>0</v>
      </c>
      <c r="Q1701" s="3" t="s">
        <v>26</v>
      </c>
      <c r="R1701" s="3">
        <v>0</v>
      </c>
      <c r="S1701" s="3" t="s">
        <v>487</v>
      </c>
      <c r="T1701" s="3" t="s">
        <v>728</v>
      </c>
      <c r="U1701" s="3">
        <v>0</v>
      </c>
      <c r="V1701" s="3">
        <v>42</v>
      </c>
      <c r="W1701" s="3">
        <v>82</v>
      </c>
    </row>
    <row r="1702" spans="1:23" ht="11.25" customHeight="1" x14ac:dyDescent="0.25">
      <c r="A1702" s="3" t="s">
        <v>56</v>
      </c>
      <c r="B1702" s="3" t="s">
        <v>39</v>
      </c>
      <c r="C1702" s="3" t="s">
        <v>37</v>
      </c>
      <c r="D1702" s="3" t="s">
        <v>43</v>
      </c>
      <c r="E1702" s="3" t="s">
        <v>25</v>
      </c>
      <c r="F1702" s="3" t="s">
        <v>25</v>
      </c>
      <c r="G1702" s="3" t="s">
        <v>25</v>
      </c>
      <c r="H1702" s="3" t="s">
        <v>35</v>
      </c>
      <c r="I1702" s="6">
        <v>44652</v>
      </c>
      <c r="J1702" s="4">
        <v>0</v>
      </c>
      <c r="K1702" s="4">
        <v>0</v>
      </c>
      <c r="L1702" s="4">
        <v>8.0000000000000002E-3</v>
      </c>
      <c r="M1702" s="4">
        <v>8.0000000000000002E-3</v>
      </c>
      <c r="N1702" s="4">
        <v>8.0000000000000002E-3</v>
      </c>
      <c r="O1702" s="4">
        <v>8.0000000000000002E-3</v>
      </c>
      <c r="P1702" s="4">
        <v>0</v>
      </c>
      <c r="Q1702" s="3" t="s">
        <v>26</v>
      </c>
      <c r="R1702" s="3">
        <v>0</v>
      </c>
      <c r="S1702" s="3" t="s">
        <v>487</v>
      </c>
      <c r="T1702" s="3" t="s">
        <v>728</v>
      </c>
      <c r="U1702" s="3">
        <v>0</v>
      </c>
      <c r="V1702" s="3">
        <v>42</v>
      </c>
      <c r="W1702" s="3">
        <v>82</v>
      </c>
    </row>
    <row r="1703" spans="1:23" ht="11.25" customHeight="1" x14ac:dyDescent="0.25">
      <c r="A1703" s="3" t="s">
        <v>21</v>
      </c>
      <c r="B1703" s="3" t="s">
        <v>39</v>
      </c>
      <c r="C1703" s="3" t="s">
        <v>37</v>
      </c>
      <c r="D1703" s="3" t="s">
        <v>52</v>
      </c>
      <c r="E1703" s="3" t="s">
        <v>25</v>
      </c>
      <c r="F1703" s="3" t="s">
        <v>25</v>
      </c>
      <c r="G1703" s="3" t="s">
        <v>25</v>
      </c>
      <c r="H1703" s="3" t="s">
        <v>36</v>
      </c>
      <c r="I1703" s="6">
        <v>44317</v>
      </c>
      <c r="J1703" s="4">
        <v>0</v>
      </c>
      <c r="K1703" s="4">
        <v>0</v>
      </c>
      <c r="L1703" s="4">
        <v>9.4350000000000005</v>
      </c>
      <c r="M1703" s="4">
        <v>9.4350000000000005</v>
      </c>
      <c r="N1703" s="4">
        <v>9.4350000000000005</v>
      </c>
      <c r="O1703" s="4">
        <v>9.4350000000000005</v>
      </c>
      <c r="P1703" s="4">
        <v>0</v>
      </c>
      <c r="Q1703" s="3" t="s">
        <v>26</v>
      </c>
      <c r="R1703" s="3">
        <v>0</v>
      </c>
      <c r="S1703" s="3" t="s">
        <v>452</v>
      </c>
      <c r="T1703" s="3" t="s">
        <v>693</v>
      </c>
      <c r="U1703" s="3">
        <v>0</v>
      </c>
      <c r="V1703" s="3">
        <v>44</v>
      </c>
      <c r="W1703" s="3">
        <v>84</v>
      </c>
    </row>
    <row r="1704" spans="1:23" ht="11.25" customHeight="1" x14ac:dyDescent="0.25">
      <c r="A1704" s="3" t="s">
        <v>21</v>
      </c>
      <c r="B1704" s="3" t="s">
        <v>39</v>
      </c>
      <c r="C1704" s="3" t="s">
        <v>37</v>
      </c>
      <c r="D1704" s="3" t="s">
        <v>52</v>
      </c>
      <c r="E1704" s="3" t="s">
        <v>25</v>
      </c>
      <c r="F1704" s="3" t="s">
        <v>25</v>
      </c>
      <c r="G1704" s="3" t="s">
        <v>25</v>
      </c>
      <c r="H1704" s="3" t="s">
        <v>36</v>
      </c>
      <c r="I1704" s="6">
        <v>44348</v>
      </c>
      <c r="J1704" s="4">
        <v>0</v>
      </c>
      <c r="K1704" s="4">
        <v>0</v>
      </c>
      <c r="L1704" s="4">
        <v>7.9790000000000001</v>
      </c>
      <c r="M1704" s="4">
        <v>7.9790000000000001</v>
      </c>
      <c r="N1704" s="4">
        <v>7.9790000000000001</v>
      </c>
      <c r="O1704" s="4">
        <v>7.9790000000000001</v>
      </c>
      <c r="P1704" s="4">
        <v>0</v>
      </c>
      <c r="Q1704" s="3" t="s">
        <v>26</v>
      </c>
      <c r="R1704" s="3">
        <v>0</v>
      </c>
      <c r="S1704" s="3" t="s">
        <v>453</v>
      </c>
      <c r="T1704" s="3" t="s">
        <v>694</v>
      </c>
      <c r="U1704" s="3">
        <v>0</v>
      </c>
      <c r="V1704" s="3">
        <v>44</v>
      </c>
      <c r="W1704" s="3">
        <v>84</v>
      </c>
    </row>
    <row r="1705" spans="1:23" ht="11.25" customHeight="1" x14ac:dyDescent="0.25">
      <c r="A1705" s="3" t="s">
        <v>21</v>
      </c>
      <c r="B1705" s="3" t="s">
        <v>39</v>
      </c>
      <c r="C1705" s="3" t="s">
        <v>37</v>
      </c>
      <c r="D1705" s="3" t="s">
        <v>52</v>
      </c>
      <c r="E1705" s="3" t="s">
        <v>25</v>
      </c>
      <c r="F1705" s="3" t="s">
        <v>25</v>
      </c>
      <c r="G1705" s="3" t="s">
        <v>25</v>
      </c>
      <c r="H1705" s="3" t="s">
        <v>36</v>
      </c>
      <c r="I1705" s="6">
        <v>44378</v>
      </c>
      <c r="J1705" s="4">
        <v>0</v>
      </c>
      <c r="K1705" s="4">
        <v>0</v>
      </c>
      <c r="L1705" s="4">
        <v>6.8819999999999997</v>
      </c>
      <c r="M1705" s="4">
        <v>6.8819999999999997</v>
      </c>
      <c r="N1705" s="4">
        <v>6.8819999999999997</v>
      </c>
      <c r="O1705" s="4">
        <v>6.8819999999999997</v>
      </c>
      <c r="P1705" s="4">
        <v>0</v>
      </c>
      <c r="Q1705" s="3" t="s">
        <v>26</v>
      </c>
      <c r="R1705" s="3">
        <v>0</v>
      </c>
      <c r="S1705" s="3" t="s">
        <v>454</v>
      </c>
      <c r="T1705" s="3" t="s">
        <v>695</v>
      </c>
      <c r="U1705" s="3">
        <v>0</v>
      </c>
      <c r="V1705" s="3">
        <v>44</v>
      </c>
      <c r="W1705" s="3">
        <v>84</v>
      </c>
    </row>
    <row r="1706" spans="1:23" ht="11.25" customHeight="1" x14ac:dyDescent="0.25">
      <c r="A1706" s="3" t="s">
        <v>21</v>
      </c>
      <c r="B1706" s="3" t="s">
        <v>39</v>
      </c>
      <c r="C1706" s="3" t="s">
        <v>37</v>
      </c>
      <c r="D1706" s="3" t="s">
        <v>52</v>
      </c>
      <c r="E1706" s="3" t="s">
        <v>25</v>
      </c>
      <c r="F1706" s="3" t="s">
        <v>25</v>
      </c>
      <c r="G1706" s="3" t="s">
        <v>25</v>
      </c>
      <c r="H1706" s="3" t="s">
        <v>36</v>
      </c>
      <c r="I1706" s="6">
        <v>44409</v>
      </c>
      <c r="J1706" s="4">
        <v>0</v>
      </c>
      <c r="K1706" s="4">
        <v>0</v>
      </c>
      <c r="L1706" s="4">
        <v>7.0830000000000002</v>
      </c>
      <c r="M1706" s="4">
        <v>7.0830000000000002</v>
      </c>
      <c r="N1706" s="4">
        <v>7.0830000000000002</v>
      </c>
      <c r="O1706" s="4">
        <v>7.0830000000000002</v>
      </c>
      <c r="P1706" s="4">
        <v>0</v>
      </c>
      <c r="Q1706" s="3" t="s">
        <v>26</v>
      </c>
      <c r="R1706" s="3">
        <v>0</v>
      </c>
      <c r="S1706" s="3" t="s">
        <v>455</v>
      </c>
      <c r="T1706" s="3" t="s">
        <v>696</v>
      </c>
      <c r="U1706" s="3">
        <v>0</v>
      </c>
      <c r="V1706" s="3">
        <v>44</v>
      </c>
      <c r="W1706" s="3">
        <v>84</v>
      </c>
    </row>
    <row r="1707" spans="1:23" ht="11.25" customHeight="1" x14ac:dyDescent="0.25">
      <c r="A1707" s="3" t="s">
        <v>21</v>
      </c>
      <c r="B1707" s="3" t="s">
        <v>39</v>
      </c>
      <c r="C1707" s="3" t="s">
        <v>37</v>
      </c>
      <c r="D1707" s="3" t="s">
        <v>52</v>
      </c>
      <c r="E1707" s="3" t="s">
        <v>25</v>
      </c>
      <c r="F1707" s="3" t="s">
        <v>25</v>
      </c>
      <c r="G1707" s="3" t="s">
        <v>25</v>
      </c>
      <c r="H1707" s="3" t="s">
        <v>36</v>
      </c>
      <c r="I1707" s="6">
        <v>44440</v>
      </c>
      <c r="J1707" s="4">
        <v>0</v>
      </c>
      <c r="K1707" s="4">
        <v>0</v>
      </c>
      <c r="L1707" s="4">
        <v>8.4890000000000008</v>
      </c>
      <c r="M1707" s="4">
        <v>8.4890000000000008</v>
      </c>
      <c r="N1707" s="4">
        <v>8.4890000000000008</v>
      </c>
      <c r="O1707" s="4">
        <v>8.4890000000000008</v>
      </c>
      <c r="P1707" s="4">
        <v>0</v>
      </c>
      <c r="Q1707" s="3" t="s">
        <v>26</v>
      </c>
      <c r="R1707" s="3">
        <v>0</v>
      </c>
      <c r="S1707" s="3" t="s">
        <v>456</v>
      </c>
      <c r="T1707" s="3" t="s">
        <v>697</v>
      </c>
      <c r="U1707" s="3">
        <v>0</v>
      </c>
      <c r="V1707" s="3">
        <v>44</v>
      </c>
      <c r="W1707" s="3">
        <v>84</v>
      </c>
    </row>
    <row r="1708" spans="1:23" ht="11.25" customHeight="1" x14ac:dyDescent="0.25">
      <c r="A1708" s="3" t="s">
        <v>21</v>
      </c>
      <c r="B1708" s="3" t="s">
        <v>39</v>
      </c>
      <c r="C1708" s="3" t="s">
        <v>37</v>
      </c>
      <c r="D1708" s="3" t="s">
        <v>52</v>
      </c>
      <c r="E1708" s="3" t="s">
        <v>25</v>
      </c>
      <c r="F1708" s="3" t="s">
        <v>25</v>
      </c>
      <c r="G1708" s="3" t="s">
        <v>25</v>
      </c>
      <c r="H1708" s="3" t="s">
        <v>36</v>
      </c>
      <c r="I1708" s="6">
        <v>44470</v>
      </c>
      <c r="J1708" s="4">
        <v>0</v>
      </c>
      <c r="K1708" s="4">
        <v>0</v>
      </c>
      <c r="L1708" s="4">
        <v>10.281000000000001</v>
      </c>
      <c r="M1708" s="4">
        <v>10.281000000000001</v>
      </c>
      <c r="N1708" s="4">
        <v>10.281000000000001</v>
      </c>
      <c r="O1708" s="4">
        <v>10.281000000000001</v>
      </c>
      <c r="P1708" s="4">
        <v>0</v>
      </c>
      <c r="Q1708" s="3" t="s">
        <v>26</v>
      </c>
      <c r="R1708" s="3">
        <v>0</v>
      </c>
      <c r="S1708" s="3" t="s">
        <v>457</v>
      </c>
      <c r="T1708" s="3" t="s">
        <v>698</v>
      </c>
      <c r="U1708" s="3">
        <v>0</v>
      </c>
      <c r="V1708" s="3">
        <v>44</v>
      </c>
      <c r="W1708" s="3">
        <v>84</v>
      </c>
    </row>
    <row r="1709" spans="1:23" ht="11.25" customHeight="1" x14ac:dyDescent="0.25">
      <c r="A1709" s="3" t="s">
        <v>21</v>
      </c>
      <c r="B1709" s="3" t="s">
        <v>39</v>
      </c>
      <c r="C1709" s="3" t="s">
        <v>37</v>
      </c>
      <c r="D1709" s="3" t="s">
        <v>52</v>
      </c>
      <c r="E1709" s="3" t="s">
        <v>25</v>
      </c>
      <c r="F1709" s="3" t="s">
        <v>25</v>
      </c>
      <c r="G1709" s="3" t="s">
        <v>25</v>
      </c>
      <c r="H1709" s="3" t="s">
        <v>36</v>
      </c>
      <c r="I1709" s="6">
        <v>44501</v>
      </c>
      <c r="J1709" s="4">
        <v>0</v>
      </c>
      <c r="K1709" s="4">
        <v>0</v>
      </c>
      <c r="L1709" s="4">
        <v>10.707000000000001</v>
      </c>
      <c r="M1709" s="4">
        <v>10.707000000000001</v>
      </c>
      <c r="N1709" s="4">
        <v>10.707000000000001</v>
      </c>
      <c r="O1709" s="4">
        <v>10.707000000000001</v>
      </c>
      <c r="P1709" s="4">
        <v>0</v>
      </c>
      <c r="Q1709" s="3" t="s">
        <v>26</v>
      </c>
      <c r="R1709" s="3">
        <v>0</v>
      </c>
      <c r="S1709" s="3" t="s">
        <v>458</v>
      </c>
      <c r="T1709" s="3" t="s">
        <v>699</v>
      </c>
      <c r="U1709" s="3">
        <v>0</v>
      </c>
      <c r="V1709" s="3">
        <v>44</v>
      </c>
      <c r="W1709" s="3">
        <v>84</v>
      </c>
    </row>
    <row r="1710" spans="1:23" ht="11.25" customHeight="1" x14ac:dyDescent="0.25">
      <c r="A1710" s="3" t="s">
        <v>21</v>
      </c>
      <c r="B1710" s="3" t="s">
        <v>39</v>
      </c>
      <c r="C1710" s="3" t="s">
        <v>37</v>
      </c>
      <c r="D1710" s="3" t="s">
        <v>52</v>
      </c>
      <c r="E1710" s="3" t="s">
        <v>25</v>
      </c>
      <c r="F1710" s="3" t="s">
        <v>25</v>
      </c>
      <c r="G1710" s="3" t="s">
        <v>25</v>
      </c>
      <c r="H1710" s="3" t="s">
        <v>36</v>
      </c>
      <c r="I1710" s="6">
        <v>44531</v>
      </c>
      <c r="J1710" s="4">
        <v>0</v>
      </c>
      <c r="K1710" s="4">
        <v>0</v>
      </c>
      <c r="L1710" s="4">
        <v>12.432</v>
      </c>
      <c r="M1710" s="4">
        <v>12.432</v>
      </c>
      <c r="N1710" s="4">
        <v>12.432</v>
      </c>
      <c r="O1710" s="4">
        <v>12.432</v>
      </c>
      <c r="P1710" s="4">
        <v>0</v>
      </c>
      <c r="Q1710" s="3" t="s">
        <v>26</v>
      </c>
      <c r="R1710" s="3">
        <v>0</v>
      </c>
      <c r="S1710" s="3" t="s">
        <v>459</v>
      </c>
      <c r="T1710" s="3" t="s">
        <v>700</v>
      </c>
      <c r="U1710" s="3">
        <v>0</v>
      </c>
      <c r="V1710" s="3">
        <v>44</v>
      </c>
      <c r="W1710" s="3">
        <v>84</v>
      </c>
    </row>
    <row r="1711" spans="1:23" ht="11.25" customHeight="1" x14ac:dyDescent="0.25">
      <c r="A1711" s="3" t="s">
        <v>21</v>
      </c>
      <c r="B1711" s="3" t="s">
        <v>39</v>
      </c>
      <c r="C1711" s="3" t="s">
        <v>37</v>
      </c>
      <c r="D1711" s="3" t="s">
        <v>52</v>
      </c>
      <c r="E1711" s="3" t="s">
        <v>25</v>
      </c>
      <c r="F1711" s="3" t="s">
        <v>25</v>
      </c>
      <c r="G1711" s="3" t="s">
        <v>25</v>
      </c>
      <c r="H1711" s="3" t="s">
        <v>36</v>
      </c>
      <c r="I1711" s="6">
        <v>44562</v>
      </c>
      <c r="J1711" s="4">
        <v>0</v>
      </c>
      <c r="K1711" s="4">
        <v>0</v>
      </c>
      <c r="L1711" s="4">
        <v>9.625</v>
      </c>
      <c r="M1711" s="4">
        <v>9.625</v>
      </c>
      <c r="N1711" s="4">
        <v>9.625</v>
      </c>
      <c r="O1711" s="4">
        <v>9.625</v>
      </c>
      <c r="P1711" s="4">
        <v>0</v>
      </c>
      <c r="Q1711" s="3" t="s">
        <v>26</v>
      </c>
      <c r="R1711" s="3">
        <v>0</v>
      </c>
      <c r="S1711" s="3" t="s">
        <v>460</v>
      </c>
      <c r="T1711" s="3" t="s">
        <v>701</v>
      </c>
      <c r="U1711" s="3">
        <v>0</v>
      </c>
      <c r="V1711" s="3">
        <v>44</v>
      </c>
      <c r="W1711" s="3">
        <v>84</v>
      </c>
    </row>
    <row r="1712" spans="1:23" ht="11.25" customHeight="1" x14ac:dyDescent="0.25">
      <c r="A1712" s="3" t="s">
        <v>21</v>
      </c>
      <c r="B1712" s="3" t="s">
        <v>39</v>
      </c>
      <c r="C1712" s="3" t="s">
        <v>37</v>
      </c>
      <c r="D1712" s="3" t="s">
        <v>52</v>
      </c>
      <c r="E1712" s="3" t="s">
        <v>25</v>
      </c>
      <c r="F1712" s="3" t="s">
        <v>25</v>
      </c>
      <c r="G1712" s="3" t="s">
        <v>25</v>
      </c>
      <c r="H1712" s="3" t="s">
        <v>36</v>
      </c>
      <c r="I1712" s="6">
        <v>44593</v>
      </c>
      <c r="J1712" s="4">
        <v>0</v>
      </c>
      <c r="K1712" s="4">
        <v>0</v>
      </c>
      <c r="L1712" s="4">
        <v>9.8699999999999992</v>
      </c>
      <c r="M1712" s="4">
        <v>9.8699999999999992</v>
      </c>
      <c r="N1712" s="4">
        <v>9.8699999999999992</v>
      </c>
      <c r="O1712" s="4">
        <v>9.8699999999999992</v>
      </c>
      <c r="P1712" s="4">
        <v>0</v>
      </c>
      <c r="Q1712" s="3" t="s">
        <v>26</v>
      </c>
      <c r="R1712" s="3">
        <v>0</v>
      </c>
      <c r="S1712" s="3" t="s">
        <v>461</v>
      </c>
      <c r="T1712" s="3" t="s">
        <v>702</v>
      </c>
      <c r="U1712" s="3">
        <v>0</v>
      </c>
      <c r="V1712" s="3">
        <v>44</v>
      </c>
      <c r="W1712" s="3">
        <v>84</v>
      </c>
    </row>
    <row r="1713" spans="1:23" ht="11.25" customHeight="1" x14ac:dyDescent="0.25">
      <c r="A1713" s="3" t="s">
        <v>21</v>
      </c>
      <c r="B1713" s="3" t="s">
        <v>39</v>
      </c>
      <c r="C1713" s="3" t="s">
        <v>37</v>
      </c>
      <c r="D1713" s="3" t="s">
        <v>52</v>
      </c>
      <c r="E1713" s="3" t="s">
        <v>25</v>
      </c>
      <c r="F1713" s="3" t="s">
        <v>25</v>
      </c>
      <c r="G1713" s="3" t="s">
        <v>25</v>
      </c>
      <c r="H1713" s="3" t="s">
        <v>36</v>
      </c>
      <c r="I1713" s="6">
        <v>44621</v>
      </c>
      <c r="J1713" s="4">
        <v>0</v>
      </c>
      <c r="K1713" s="4">
        <v>0</v>
      </c>
      <c r="L1713" s="4">
        <v>9.7780000000000005</v>
      </c>
      <c r="M1713" s="4">
        <v>9.7780000000000005</v>
      </c>
      <c r="N1713" s="4">
        <v>9.7780000000000005</v>
      </c>
      <c r="O1713" s="4">
        <v>9.7780000000000005</v>
      </c>
      <c r="P1713" s="4">
        <v>0</v>
      </c>
      <c r="Q1713" s="3" t="s">
        <v>26</v>
      </c>
      <c r="R1713" s="3">
        <v>0</v>
      </c>
      <c r="S1713" s="3" t="s">
        <v>462</v>
      </c>
      <c r="T1713" s="3" t="s">
        <v>703</v>
      </c>
      <c r="U1713" s="3">
        <v>0</v>
      </c>
      <c r="V1713" s="3">
        <v>44</v>
      </c>
      <c r="W1713" s="3">
        <v>84</v>
      </c>
    </row>
    <row r="1714" spans="1:23" ht="11.25" customHeight="1" x14ac:dyDescent="0.25">
      <c r="A1714" s="3" t="s">
        <v>56</v>
      </c>
      <c r="B1714" s="3" t="s">
        <v>39</v>
      </c>
      <c r="C1714" s="3" t="s">
        <v>37</v>
      </c>
      <c r="D1714" s="3" t="s">
        <v>52</v>
      </c>
      <c r="E1714" s="3" t="s">
        <v>25</v>
      </c>
      <c r="F1714" s="3" t="s">
        <v>25</v>
      </c>
      <c r="G1714" s="3" t="s">
        <v>25</v>
      </c>
      <c r="H1714" s="3" t="s">
        <v>36</v>
      </c>
      <c r="I1714" s="6">
        <v>44652</v>
      </c>
      <c r="J1714" s="4">
        <v>0</v>
      </c>
      <c r="K1714" s="4">
        <v>0</v>
      </c>
      <c r="L1714" s="4">
        <v>9.7780000000000005</v>
      </c>
      <c r="M1714" s="4">
        <v>9.7780000000000005</v>
      </c>
      <c r="N1714" s="4">
        <v>9.7780000000000005</v>
      </c>
      <c r="O1714" s="4">
        <v>9.7780000000000005</v>
      </c>
      <c r="P1714" s="4">
        <v>0</v>
      </c>
      <c r="Q1714" s="3" t="s">
        <v>26</v>
      </c>
      <c r="R1714" s="3">
        <v>0</v>
      </c>
      <c r="S1714" s="3" t="s">
        <v>463</v>
      </c>
      <c r="T1714" s="3" t="s">
        <v>704</v>
      </c>
      <c r="U1714" s="3">
        <v>0</v>
      </c>
      <c r="V1714" s="3">
        <v>44</v>
      </c>
      <c r="W1714" s="3">
        <v>84</v>
      </c>
    </row>
    <row r="1715" spans="1:23" ht="11.25" customHeight="1" x14ac:dyDescent="0.25">
      <c r="A1715" s="3" t="s">
        <v>21</v>
      </c>
      <c r="B1715" s="3" t="s">
        <v>39</v>
      </c>
      <c r="C1715" s="3" t="s">
        <v>37</v>
      </c>
      <c r="D1715" s="3" t="s">
        <v>52</v>
      </c>
      <c r="E1715" s="3" t="s">
        <v>25</v>
      </c>
      <c r="F1715" s="3" t="s">
        <v>25</v>
      </c>
      <c r="G1715" s="3" t="s">
        <v>25</v>
      </c>
      <c r="H1715" s="3" t="s">
        <v>38</v>
      </c>
      <c r="I1715" s="6">
        <v>44317</v>
      </c>
      <c r="J1715" s="4">
        <v>0</v>
      </c>
      <c r="K1715" s="4">
        <v>0</v>
      </c>
      <c r="L1715" s="4">
        <v>0.66400000000000003</v>
      </c>
      <c r="M1715" s="4">
        <v>0.66400000000000003</v>
      </c>
      <c r="N1715" s="4">
        <v>0.66400000000000003</v>
      </c>
      <c r="O1715" s="4">
        <v>0.66400000000000003</v>
      </c>
      <c r="P1715" s="4">
        <v>0</v>
      </c>
      <c r="Q1715" s="3" t="s">
        <v>26</v>
      </c>
      <c r="R1715" s="3">
        <v>0</v>
      </c>
      <c r="S1715" s="3" t="s">
        <v>464</v>
      </c>
      <c r="T1715" s="3" t="s">
        <v>705</v>
      </c>
      <c r="U1715" s="3">
        <v>0</v>
      </c>
      <c r="V1715" s="3">
        <v>43</v>
      </c>
      <c r="W1715" s="3">
        <v>83</v>
      </c>
    </row>
    <row r="1716" spans="1:23" ht="11.25" customHeight="1" x14ac:dyDescent="0.25">
      <c r="A1716" s="3" t="s">
        <v>21</v>
      </c>
      <c r="B1716" s="3" t="s">
        <v>39</v>
      </c>
      <c r="C1716" s="3" t="s">
        <v>37</v>
      </c>
      <c r="D1716" s="3" t="s">
        <v>52</v>
      </c>
      <c r="E1716" s="3" t="s">
        <v>25</v>
      </c>
      <c r="F1716" s="3" t="s">
        <v>25</v>
      </c>
      <c r="G1716" s="3" t="s">
        <v>25</v>
      </c>
      <c r="H1716" s="3" t="s">
        <v>38</v>
      </c>
      <c r="I1716" s="6">
        <v>44348</v>
      </c>
      <c r="J1716" s="4">
        <v>0</v>
      </c>
      <c r="K1716" s="4">
        <v>0</v>
      </c>
      <c r="L1716" s="4">
        <v>0.51300000000000001</v>
      </c>
      <c r="M1716" s="4">
        <v>0.51300000000000001</v>
      </c>
      <c r="N1716" s="4">
        <v>0.51300000000000001</v>
      </c>
      <c r="O1716" s="4">
        <v>0.51300000000000001</v>
      </c>
      <c r="P1716" s="4">
        <v>0</v>
      </c>
      <c r="Q1716" s="3" t="s">
        <v>26</v>
      </c>
      <c r="R1716" s="3">
        <v>0</v>
      </c>
      <c r="S1716" s="3" t="s">
        <v>465</v>
      </c>
      <c r="T1716" s="3" t="s">
        <v>706</v>
      </c>
      <c r="U1716" s="3">
        <v>0</v>
      </c>
      <c r="V1716" s="3">
        <v>43</v>
      </c>
      <c r="W1716" s="3">
        <v>83</v>
      </c>
    </row>
    <row r="1717" spans="1:23" ht="11.25" customHeight="1" x14ac:dyDescent="0.25">
      <c r="A1717" s="3" t="s">
        <v>21</v>
      </c>
      <c r="B1717" s="3" t="s">
        <v>39</v>
      </c>
      <c r="C1717" s="3" t="s">
        <v>37</v>
      </c>
      <c r="D1717" s="3" t="s">
        <v>52</v>
      </c>
      <c r="E1717" s="3" t="s">
        <v>25</v>
      </c>
      <c r="F1717" s="3" t="s">
        <v>25</v>
      </c>
      <c r="G1717" s="3" t="s">
        <v>25</v>
      </c>
      <c r="H1717" s="3" t="s">
        <v>38</v>
      </c>
      <c r="I1717" s="6">
        <v>44378</v>
      </c>
      <c r="J1717" s="4">
        <v>0</v>
      </c>
      <c r="K1717" s="4">
        <v>0</v>
      </c>
      <c r="L1717" s="4">
        <v>0.42799999999999999</v>
      </c>
      <c r="M1717" s="4">
        <v>0.42799999999999999</v>
      </c>
      <c r="N1717" s="4">
        <v>0.42799999999999999</v>
      </c>
      <c r="O1717" s="4">
        <v>0.42799999999999999</v>
      </c>
      <c r="P1717" s="4">
        <v>0</v>
      </c>
      <c r="Q1717" s="3" t="s">
        <v>26</v>
      </c>
      <c r="R1717" s="3">
        <v>0</v>
      </c>
      <c r="S1717" s="3" t="s">
        <v>466</v>
      </c>
      <c r="T1717" s="3" t="s">
        <v>707</v>
      </c>
      <c r="U1717" s="3">
        <v>0</v>
      </c>
      <c r="V1717" s="3">
        <v>43</v>
      </c>
      <c r="W1717" s="3">
        <v>83</v>
      </c>
    </row>
    <row r="1718" spans="1:23" ht="11.25" customHeight="1" x14ac:dyDescent="0.25">
      <c r="A1718" s="3" t="s">
        <v>21</v>
      </c>
      <c r="B1718" s="3" t="s">
        <v>39</v>
      </c>
      <c r="C1718" s="3" t="s">
        <v>37</v>
      </c>
      <c r="D1718" s="3" t="s">
        <v>52</v>
      </c>
      <c r="E1718" s="3" t="s">
        <v>25</v>
      </c>
      <c r="F1718" s="3" t="s">
        <v>25</v>
      </c>
      <c r="G1718" s="3" t="s">
        <v>25</v>
      </c>
      <c r="H1718" s="3" t="s">
        <v>38</v>
      </c>
      <c r="I1718" s="6">
        <v>44409</v>
      </c>
      <c r="J1718" s="4">
        <v>0</v>
      </c>
      <c r="K1718" s="4">
        <v>0</v>
      </c>
      <c r="L1718" s="4">
        <v>0.49299999999999999</v>
      </c>
      <c r="M1718" s="4">
        <v>0.49299999999999999</v>
      </c>
      <c r="N1718" s="4">
        <v>0.49299999999999999</v>
      </c>
      <c r="O1718" s="4">
        <v>0.49299999999999999</v>
      </c>
      <c r="P1718" s="4">
        <v>0</v>
      </c>
      <c r="Q1718" s="3" t="s">
        <v>26</v>
      </c>
      <c r="R1718" s="3">
        <v>0</v>
      </c>
      <c r="S1718" s="3" t="s">
        <v>467</v>
      </c>
      <c r="T1718" s="3" t="s">
        <v>708</v>
      </c>
      <c r="U1718" s="3">
        <v>0</v>
      </c>
      <c r="V1718" s="3">
        <v>43</v>
      </c>
      <c r="W1718" s="3">
        <v>83</v>
      </c>
    </row>
    <row r="1719" spans="1:23" ht="11.25" customHeight="1" x14ac:dyDescent="0.25">
      <c r="A1719" s="3" t="s">
        <v>21</v>
      </c>
      <c r="B1719" s="3" t="s">
        <v>39</v>
      </c>
      <c r="C1719" s="3" t="s">
        <v>37</v>
      </c>
      <c r="D1719" s="3" t="s">
        <v>52</v>
      </c>
      <c r="E1719" s="3" t="s">
        <v>25</v>
      </c>
      <c r="F1719" s="3" t="s">
        <v>25</v>
      </c>
      <c r="G1719" s="3" t="s">
        <v>25</v>
      </c>
      <c r="H1719" s="3" t="s">
        <v>38</v>
      </c>
      <c r="I1719" s="6">
        <v>44440</v>
      </c>
      <c r="J1719" s="4">
        <v>0</v>
      </c>
      <c r="K1719" s="4">
        <v>0</v>
      </c>
      <c r="L1719" s="4">
        <v>0.58199999999999996</v>
      </c>
      <c r="M1719" s="4">
        <v>0.58199999999999996</v>
      </c>
      <c r="N1719" s="4">
        <v>0.58199999999999996</v>
      </c>
      <c r="O1719" s="4">
        <v>0.58199999999999996</v>
      </c>
      <c r="P1719" s="4">
        <v>0</v>
      </c>
      <c r="Q1719" s="3" t="s">
        <v>26</v>
      </c>
      <c r="R1719" s="3">
        <v>0</v>
      </c>
      <c r="S1719" s="3" t="s">
        <v>468</v>
      </c>
      <c r="T1719" s="3" t="s">
        <v>709</v>
      </c>
      <c r="U1719" s="3">
        <v>0</v>
      </c>
      <c r="V1719" s="3">
        <v>43</v>
      </c>
      <c r="W1719" s="3">
        <v>83</v>
      </c>
    </row>
    <row r="1720" spans="1:23" ht="11.25" customHeight="1" x14ac:dyDescent="0.25">
      <c r="A1720" s="3" t="s">
        <v>21</v>
      </c>
      <c r="B1720" s="3" t="s">
        <v>39</v>
      </c>
      <c r="C1720" s="3" t="s">
        <v>37</v>
      </c>
      <c r="D1720" s="3" t="s">
        <v>52</v>
      </c>
      <c r="E1720" s="3" t="s">
        <v>25</v>
      </c>
      <c r="F1720" s="3" t="s">
        <v>25</v>
      </c>
      <c r="G1720" s="3" t="s">
        <v>25</v>
      </c>
      <c r="H1720" s="3" t="s">
        <v>38</v>
      </c>
      <c r="I1720" s="6">
        <v>44470</v>
      </c>
      <c r="J1720" s="4">
        <v>0</v>
      </c>
      <c r="K1720" s="4">
        <v>0</v>
      </c>
      <c r="L1720" s="4">
        <v>0.73899999999999999</v>
      </c>
      <c r="M1720" s="4">
        <v>0.73899999999999999</v>
      </c>
      <c r="N1720" s="4">
        <v>0.73899999999999999</v>
      </c>
      <c r="O1720" s="4">
        <v>0.73899999999999999</v>
      </c>
      <c r="P1720" s="4">
        <v>0</v>
      </c>
      <c r="Q1720" s="3" t="s">
        <v>26</v>
      </c>
      <c r="R1720" s="3">
        <v>0</v>
      </c>
      <c r="S1720" s="3" t="s">
        <v>469</v>
      </c>
      <c r="T1720" s="3" t="s">
        <v>710</v>
      </c>
      <c r="U1720" s="3">
        <v>0</v>
      </c>
      <c r="V1720" s="3">
        <v>43</v>
      </c>
      <c r="W1720" s="3">
        <v>83</v>
      </c>
    </row>
    <row r="1721" spans="1:23" ht="11.25" customHeight="1" x14ac:dyDescent="0.25">
      <c r="A1721" s="3" t="s">
        <v>21</v>
      </c>
      <c r="B1721" s="3" t="s">
        <v>39</v>
      </c>
      <c r="C1721" s="3" t="s">
        <v>37</v>
      </c>
      <c r="D1721" s="3" t="s">
        <v>52</v>
      </c>
      <c r="E1721" s="3" t="s">
        <v>25</v>
      </c>
      <c r="F1721" s="3" t="s">
        <v>25</v>
      </c>
      <c r="G1721" s="3" t="s">
        <v>25</v>
      </c>
      <c r="H1721" s="3" t="s">
        <v>38</v>
      </c>
      <c r="I1721" s="6">
        <v>44501</v>
      </c>
      <c r="J1721" s="4">
        <v>0</v>
      </c>
      <c r="K1721" s="4">
        <v>0</v>
      </c>
      <c r="L1721" s="4">
        <v>0.78600000000000003</v>
      </c>
      <c r="M1721" s="4">
        <v>0.78600000000000003</v>
      </c>
      <c r="N1721" s="4">
        <v>0.78600000000000003</v>
      </c>
      <c r="O1721" s="4">
        <v>0.78600000000000003</v>
      </c>
      <c r="P1721" s="4">
        <v>0</v>
      </c>
      <c r="Q1721" s="3" t="s">
        <v>26</v>
      </c>
      <c r="R1721" s="3">
        <v>0</v>
      </c>
      <c r="S1721" s="3" t="s">
        <v>470</v>
      </c>
      <c r="T1721" s="3" t="s">
        <v>711</v>
      </c>
      <c r="U1721" s="3">
        <v>0</v>
      </c>
      <c r="V1721" s="3">
        <v>43</v>
      </c>
      <c r="W1721" s="3">
        <v>83</v>
      </c>
    </row>
    <row r="1722" spans="1:23" ht="11.25" customHeight="1" x14ac:dyDescent="0.25">
      <c r="A1722" s="3" t="s">
        <v>21</v>
      </c>
      <c r="B1722" s="3" t="s">
        <v>39</v>
      </c>
      <c r="C1722" s="3" t="s">
        <v>37</v>
      </c>
      <c r="D1722" s="3" t="s">
        <v>52</v>
      </c>
      <c r="E1722" s="3" t="s">
        <v>25</v>
      </c>
      <c r="F1722" s="3" t="s">
        <v>25</v>
      </c>
      <c r="G1722" s="3" t="s">
        <v>25</v>
      </c>
      <c r="H1722" s="3" t="s">
        <v>38</v>
      </c>
      <c r="I1722" s="6">
        <v>44531</v>
      </c>
      <c r="J1722" s="4">
        <v>0</v>
      </c>
      <c r="K1722" s="4">
        <v>0</v>
      </c>
      <c r="L1722" s="4">
        <v>0.82899999999999996</v>
      </c>
      <c r="M1722" s="4">
        <v>0.82899999999999996</v>
      </c>
      <c r="N1722" s="4">
        <v>0.82899999999999996</v>
      </c>
      <c r="O1722" s="4">
        <v>0.82899999999999996</v>
      </c>
      <c r="P1722" s="4">
        <v>0</v>
      </c>
      <c r="Q1722" s="3" t="s">
        <v>26</v>
      </c>
      <c r="R1722" s="3">
        <v>0</v>
      </c>
      <c r="S1722" s="3" t="s">
        <v>471</v>
      </c>
      <c r="T1722" s="3" t="s">
        <v>712</v>
      </c>
      <c r="U1722" s="3">
        <v>0</v>
      </c>
      <c r="V1722" s="3">
        <v>43</v>
      </c>
      <c r="W1722" s="3">
        <v>83</v>
      </c>
    </row>
    <row r="1723" spans="1:23" ht="11.25" customHeight="1" x14ac:dyDescent="0.25">
      <c r="A1723" s="3" t="s">
        <v>21</v>
      </c>
      <c r="B1723" s="3" t="s">
        <v>39</v>
      </c>
      <c r="C1723" s="3" t="s">
        <v>37</v>
      </c>
      <c r="D1723" s="3" t="s">
        <v>52</v>
      </c>
      <c r="E1723" s="3" t="s">
        <v>25</v>
      </c>
      <c r="F1723" s="3" t="s">
        <v>25</v>
      </c>
      <c r="G1723" s="3" t="s">
        <v>25</v>
      </c>
      <c r="H1723" s="3" t="s">
        <v>38</v>
      </c>
      <c r="I1723" s="6">
        <v>44562</v>
      </c>
      <c r="J1723" s="4">
        <v>0</v>
      </c>
      <c r="K1723" s="4">
        <v>0</v>
      </c>
      <c r="L1723" s="4">
        <v>0.68600000000000005</v>
      </c>
      <c r="M1723" s="4">
        <v>0.68600000000000005</v>
      </c>
      <c r="N1723" s="4">
        <v>0.68600000000000005</v>
      </c>
      <c r="O1723" s="4">
        <v>0.68600000000000005</v>
      </c>
      <c r="P1723" s="4">
        <v>0</v>
      </c>
      <c r="Q1723" s="3" t="s">
        <v>26</v>
      </c>
      <c r="R1723" s="3">
        <v>0</v>
      </c>
      <c r="S1723" s="3" t="s">
        <v>472</v>
      </c>
      <c r="T1723" s="3" t="s">
        <v>713</v>
      </c>
      <c r="U1723" s="3">
        <v>0</v>
      </c>
      <c r="V1723" s="3">
        <v>43</v>
      </c>
      <c r="W1723" s="3">
        <v>83</v>
      </c>
    </row>
    <row r="1724" spans="1:23" ht="11.25" customHeight="1" x14ac:dyDescent="0.25">
      <c r="A1724" s="3" t="s">
        <v>21</v>
      </c>
      <c r="B1724" s="3" t="s">
        <v>39</v>
      </c>
      <c r="C1724" s="3" t="s">
        <v>37</v>
      </c>
      <c r="D1724" s="3" t="s">
        <v>52</v>
      </c>
      <c r="E1724" s="3" t="s">
        <v>25</v>
      </c>
      <c r="F1724" s="3" t="s">
        <v>25</v>
      </c>
      <c r="G1724" s="3" t="s">
        <v>25</v>
      </c>
      <c r="H1724" s="3" t="s">
        <v>38</v>
      </c>
      <c r="I1724" s="6">
        <v>44593</v>
      </c>
      <c r="J1724" s="4">
        <v>0</v>
      </c>
      <c r="K1724" s="4">
        <v>0</v>
      </c>
      <c r="L1724" s="4">
        <v>0.69</v>
      </c>
      <c r="M1724" s="4">
        <v>0.69</v>
      </c>
      <c r="N1724" s="4">
        <v>0.69</v>
      </c>
      <c r="O1724" s="4">
        <v>0.69</v>
      </c>
      <c r="P1724" s="4">
        <v>0</v>
      </c>
      <c r="Q1724" s="3" t="s">
        <v>26</v>
      </c>
      <c r="R1724" s="3">
        <v>0</v>
      </c>
      <c r="S1724" s="3" t="s">
        <v>473</v>
      </c>
      <c r="T1724" s="3" t="s">
        <v>714</v>
      </c>
      <c r="U1724" s="3">
        <v>0</v>
      </c>
      <c r="V1724" s="3">
        <v>43</v>
      </c>
      <c r="W1724" s="3">
        <v>83</v>
      </c>
    </row>
    <row r="1725" spans="1:23" ht="11.25" customHeight="1" x14ac:dyDescent="0.25">
      <c r="A1725" s="3" t="s">
        <v>21</v>
      </c>
      <c r="B1725" s="3" t="s">
        <v>39</v>
      </c>
      <c r="C1725" s="3" t="s">
        <v>37</v>
      </c>
      <c r="D1725" s="3" t="s">
        <v>52</v>
      </c>
      <c r="E1725" s="3" t="s">
        <v>25</v>
      </c>
      <c r="F1725" s="3" t="s">
        <v>25</v>
      </c>
      <c r="G1725" s="3" t="s">
        <v>25</v>
      </c>
      <c r="H1725" s="3" t="s">
        <v>38</v>
      </c>
      <c r="I1725" s="6">
        <v>44621</v>
      </c>
      <c r="J1725" s="4">
        <v>0</v>
      </c>
      <c r="K1725" s="4">
        <v>0</v>
      </c>
      <c r="L1725" s="4">
        <v>0.68400000000000005</v>
      </c>
      <c r="M1725" s="4">
        <v>0.68400000000000005</v>
      </c>
      <c r="N1725" s="4">
        <v>0.68400000000000005</v>
      </c>
      <c r="O1725" s="4">
        <v>0.68400000000000005</v>
      </c>
      <c r="P1725" s="4">
        <v>0</v>
      </c>
      <c r="Q1725" s="3" t="s">
        <v>26</v>
      </c>
      <c r="R1725" s="3">
        <v>0</v>
      </c>
      <c r="S1725" s="3" t="s">
        <v>474</v>
      </c>
      <c r="T1725" s="3" t="s">
        <v>715</v>
      </c>
      <c r="U1725" s="3">
        <v>0</v>
      </c>
      <c r="V1725" s="3">
        <v>43</v>
      </c>
      <c r="W1725" s="3">
        <v>83</v>
      </c>
    </row>
    <row r="1726" spans="1:23" ht="11.25" customHeight="1" x14ac:dyDescent="0.25">
      <c r="A1726" s="3" t="s">
        <v>56</v>
      </c>
      <c r="B1726" s="3" t="s">
        <v>39</v>
      </c>
      <c r="C1726" s="3" t="s">
        <v>37</v>
      </c>
      <c r="D1726" s="3" t="s">
        <v>52</v>
      </c>
      <c r="E1726" s="3" t="s">
        <v>25</v>
      </c>
      <c r="F1726" s="3" t="s">
        <v>25</v>
      </c>
      <c r="G1726" s="3" t="s">
        <v>25</v>
      </c>
      <c r="H1726" s="3" t="s">
        <v>38</v>
      </c>
      <c r="I1726" s="6">
        <v>44652</v>
      </c>
      <c r="J1726" s="4">
        <v>0</v>
      </c>
      <c r="K1726" s="4">
        <v>0</v>
      </c>
      <c r="L1726" s="4">
        <v>0.68400000000000005</v>
      </c>
      <c r="M1726" s="4">
        <v>0.68400000000000005</v>
      </c>
      <c r="N1726" s="4">
        <v>0.68400000000000005</v>
      </c>
      <c r="O1726" s="4">
        <v>0.68400000000000005</v>
      </c>
      <c r="P1726" s="4">
        <v>0</v>
      </c>
      <c r="Q1726" s="3" t="s">
        <v>26</v>
      </c>
      <c r="R1726" s="3">
        <v>0</v>
      </c>
      <c r="S1726" s="3" t="s">
        <v>475</v>
      </c>
      <c r="T1726" s="3" t="s">
        <v>716</v>
      </c>
      <c r="U1726" s="3">
        <v>0</v>
      </c>
      <c r="V1726" s="3">
        <v>43</v>
      </c>
      <c r="W1726" s="3">
        <v>83</v>
      </c>
    </row>
    <row r="1727" spans="1:23" ht="11.25" customHeight="1" x14ac:dyDescent="0.25">
      <c r="A1727" s="3" t="s">
        <v>21</v>
      </c>
      <c r="B1727" s="3" t="s">
        <v>39</v>
      </c>
      <c r="C1727" s="3" t="s">
        <v>37</v>
      </c>
      <c r="D1727" s="3" t="s">
        <v>52</v>
      </c>
      <c r="E1727" s="3" t="s">
        <v>25</v>
      </c>
      <c r="F1727" s="3" t="s">
        <v>25</v>
      </c>
      <c r="G1727" s="3" t="s">
        <v>25</v>
      </c>
      <c r="H1727" s="3" t="s">
        <v>35</v>
      </c>
      <c r="I1727" s="6">
        <v>44317</v>
      </c>
      <c r="J1727" s="4">
        <v>0</v>
      </c>
      <c r="K1727" s="4">
        <v>0</v>
      </c>
      <c r="L1727" s="4">
        <v>0.27700000000000002</v>
      </c>
      <c r="M1727" s="4">
        <v>0.27700000000000002</v>
      </c>
      <c r="N1727" s="4">
        <v>0.27700000000000002</v>
      </c>
      <c r="O1727" s="4">
        <v>0.27700000000000002</v>
      </c>
      <c r="P1727" s="4">
        <v>0</v>
      </c>
      <c r="Q1727" s="3" t="s">
        <v>26</v>
      </c>
      <c r="R1727" s="3">
        <v>0</v>
      </c>
      <c r="S1727" s="3" t="s">
        <v>476</v>
      </c>
      <c r="T1727" s="3" t="s">
        <v>717</v>
      </c>
      <c r="U1727" s="3">
        <v>0</v>
      </c>
      <c r="V1727" s="3">
        <v>42</v>
      </c>
      <c r="W1727" s="3">
        <v>82</v>
      </c>
    </row>
    <row r="1728" spans="1:23" ht="11.25" customHeight="1" x14ac:dyDescent="0.25">
      <c r="A1728" s="3" t="s">
        <v>21</v>
      </c>
      <c r="B1728" s="3" t="s">
        <v>39</v>
      </c>
      <c r="C1728" s="3" t="s">
        <v>37</v>
      </c>
      <c r="D1728" s="3" t="s">
        <v>52</v>
      </c>
      <c r="E1728" s="3" t="s">
        <v>25</v>
      </c>
      <c r="F1728" s="3" t="s">
        <v>25</v>
      </c>
      <c r="G1728" s="3" t="s">
        <v>25</v>
      </c>
      <c r="H1728" s="3" t="s">
        <v>35</v>
      </c>
      <c r="I1728" s="6">
        <v>44348</v>
      </c>
      <c r="J1728" s="4">
        <v>0</v>
      </c>
      <c r="K1728" s="4">
        <v>0</v>
      </c>
      <c r="L1728" s="4">
        <v>0.25800000000000001</v>
      </c>
      <c r="M1728" s="4">
        <v>0.25800000000000001</v>
      </c>
      <c r="N1728" s="4">
        <v>0.25800000000000001</v>
      </c>
      <c r="O1728" s="4">
        <v>0.25800000000000001</v>
      </c>
      <c r="P1728" s="4">
        <v>0</v>
      </c>
      <c r="Q1728" s="3" t="s">
        <v>26</v>
      </c>
      <c r="R1728" s="3">
        <v>0</v>
      </c>
      <c r="S1728" s="3" t="s">
        <v>477</v>
      </c>
      <c r="T1728" s="3" t="s">
        <v>718</v>
      </c>
      <c r="U1728" s="3">
        <v>0</v>
      </c>
      <c r="V1728" s="3">
        <v>42</v>
      </c>
      <c r="W1728" s="3">
        <v>82</v>
      </c>
    </row>
    <row r="1729" spans="1:23" ht="11.25" customHeight="1" x14ac:dyDescent="0.25">
      <c r="A1729" s="3" t="s">
        <v>21</v>
      </c>
      <c r="B1729" s="3" t="s">
        <v>39</v>
      </c>
      <c r="C1729" s="3" t="s">
        <v>37</v>
      </c>
      <c r="D1729" s="3" t="s">
        <v>52</v>
      </c>
      <c r="E1729" s="3" t="s">
        <v>25</v>
      </c>
      <c r="F1729" s="3" t="s">
        <v>25</v>
      </c>
      <c r="G1729" s="3" t="s">
        <v>25</v>
      </c>
      <c r="H1729" s="3" t="s">
        <v>35</v>
      </c>
      <c r="I1729" s="6">
        <v>44378</v>
      </c>
      <c r="J1729" s="4">
        <v>0</v>
      </c>
      <c r="K1729" s="4">
        <v>0</v>
      </c>
      <c r="L1729" s="4">
        <v>0.25700000000000001</v>
      </c>
      <c r="M1729" s="4">
        <v>0.25700000000000001</v>
      </c>
      <c r="N1729" s="4">
        <v>0.25700000000000001</v>
      </c>
      <c r="O1729" s="4">
        <v>0.25700000000000001</v>
      </c>
      <c r="P1729" s="4">
        <v>0</v>
      </c>
      <c r="Q1729" s="3" t="s">
        <v>26</v>
      </c>
      <c r="R1729" s="3">
        <v>0</v>
      </c>
      <c r="S1729" s="3" t="s">
        <v>478</v>
      </c>
      <c r="T1729" s="3" t="s">
        <v>719</v>
      </c>
      <c r="U1729" s="3">
        <v>0</v>
      </c>
      <c r="V1729" s="3">
        <v>42</v>
      </c>
      <c r="W1729" s="3">
        <v>82</v>
      </c>
    </row>
    <row r="1730" spans="1:23" ht="11.25" customHeight="1" x14ac:dyDescent="0.25">
      <c r="A1730" s="3" t="s">
        <v>21</v>
      </c>
      <c r="B1730" s="3" t="s">
        <v>39</v>
      </c>
      <c r="C1730" s="3" t="s">
        <v>37</v>
      </c>
      <c r="D1730" s="3" t="s">
        <v>52</v>
      </c>
      <c r="E1730" s="3" t="s">
        <v>25</v>
      </c>
      <c r="F1730" s="3" t="s">
        <v>25</v>
      </c>
      <c r="G1730" s="3" t="s">
        <v>25</v>
      </c>
      <c r="H1730" s="3" t="s">
        <v>35</v>
      </c>
      <c r="I1730" s="6">
        <v>44409</v>
      </c>
      <c r="J1730" s="4">
        <v>0</v>
      </c>
      <c r="K1730" s="4">
        <v>0</v>
      </c>
      <c r="L1730" s="4">
        <v>0.312</v>
      </c>
      <c r="M1730" s="4">
        <v>0.312</v>
      </c>
      <c r="N1730" s="4">
        <v>0.312</v>
      </c>
      <c r="O1730" s="4">
        <v>0.312</v>
      </c>
      <c r="P1730" s="4">
        <v>0</v>
      </c>
      <c r="Q1730" s="3" t="s">
        <v>26</v>
      </c>
      <c r="R1730" s="3">
        <v>0</v>
      </c>
      <c r="S1730" s="3" t="s">
        <v>479</v>
      </c>
      <c r="T1730" s="3" t="s">
        <v>720</v>
      </c>
      <c r="U1730" s="3">
        <v>0</v>
      </c>
      <c r="V1730" s="3">
        <v>42</v>
      </c>
      <c r="W1730" s="3">
        <v>82</v>
      </c>
    </row>
    <row r="1731" spans="1:23" ht="11.25" customHeight="1" x14ac:dyDescent="0.25">
      <c r="A1731" s="3" t="s">
        <v>21</v>
      </c>
      <c r="B1731" s="3" t="s">
        <v>39</v>
      </c>
      <c r="C1731" s="3" t="s">
        <v>37</v>
      </c>
      <c r="D1731" s="3" t="s">
        <v>52</v>
      </c>
      <c r="E1731" s="3" t="s">
        <v>25</v>
      </c>
      <c r="F1731" s="3" t="s">
        <v>25</v>
      </c>
      <c r="G1731" s="3" t="s">
        <v>25</v>
      </c>
      <c r="H1731" s="3" t="s">
        <v>35</v>
      </c>
      <c r="I1731" s="6">
        <v>44440</v>
      </c>
      <c r="J1731" s="4">
        <v>0</v>
      </c>
      <c r="K1731" s="4">
        <v>0</v>
      </c>
      <c r="L1731" s="4">
        <v>0.41199999999999998</v>
      </c>
      <c r="M1731" s="4">
        <v>0.41199999999999998</v>
      </c>
      <c r="N1731" s="4">
        <v>0.41199999999999998</v>
      </c>
      <c r="O1731" s="4">
        <v>0.41199999999999998</v>
      </c>
      <c r="P1731" s="4">
        <v>0</v>
      </c>
      <c r="Q1731" s="3" t="s">
        <v>26</v>
      </c>
      <c r="R1731" s="3">
        <v>0</v>
      </c>
      <c r="S1731" s="3" t="s">
        <v>480</v>
      </c>
      <c r="T1731" s="3" t="s">
        <v>721</v>
      </c>
      <c r="U1731" s="3">
        <v>0</v>
      </c>
      <c r="V1731" s="3">
        <v>42</v>
      </c>
      <c r="W1731" s="3">
        <v>82</v>
      </c>
    </row>
    <row r="1732" spans="1:23" ht="11.25" customHeight="1" x14ac:dyDescent="0.25">
      <c r="A1732" s="3" t="s">
        <v>21</v>
      </c>
      <c r="B1732" s="3" t="s">
        <v>39</v>
      </c>
      <c r="C1732" s="3" t="s">
        <v>37</v>
      </c>
      <c r="D1732" s="3" t="s">
        <v>52</v>
      </c>
      <c r="E1732" s="3" t="s">
        <v>25</v>
      </c>
      <c r="F1732" s="3" t="s">
        <v>25</v>
      </c>
      <c r="G1732" s="3" t="s">
        <v>25</v>
      </c>
      <c r="H1732" s="3" t="s">
        <v>35</v>
      </c>
      <c r="I1732" s="6">
        <v>44470</v>
      </c>
      <c r="J1732" s="4">
        <v>0</v>
      </c>
      <c r="K1732" s="4">
        <v>0</v>
      </c>
      <c r="L1732" s="4">
        <v>0.57199999999999995</v>
      </c>
      <c r="M1732" s="4">
        <v>0.57199999999999995</v>
      </c>
      <c r="N1732" s="4">
        <v>0.57199999999999995</v>
      </c>
      <c r="O1732" s="4">
        <v>0.57199999999999995</v>
      </c>
      <c r="P1732" s="4">
        <v>0</v>
      </c>
      <c r="Q1732" s="3" t="s">
        <v>26</v>
      </c>
      <c r="R1732" s="3">
        <v>0</v>
      </c>
      <c r="S1732" s="3" t="s">
        <v>481</v>
      </c>
      <c r="T1732" s="3" t="s">
        <v>722</v>
      </c>
      <c r="U1732" s="3">
        <v>0</v>
      </c>
      <c r="V1732" s="3">
        <v>42</v>
      </c>
      <c r="W1732" s="3">
        <v>82</v>
      </c>
    </row>
    <row r="1733" spans="1:23" ht="11.25" customHeight="1" x14ac:dyDescent="0.25">
      <c r="A1733" s="3" t="s">
        <v>21</v>
      </c>
      <c r="B1733" s="3" t="s">
        <v>39</v>
      </c>
      <c r="C1733" s="3" t="s">
        <v>37</v>
      </c>
      <c r="D1733" s="3" t="s">
        <v>52</v>
      </c>
      <c r="E1733" s="3" t="s">
        <v>25</v>
      </c>
      <c r="F1733" s="3" t="s">
        <v>25</v>
      </c>
      <c r="G1733" s="3" t="s">
        <v>25</v>
      </c>
      <c r="H1733" s="3" t="s">
        <v>35</v>
      </c>
      <c r="I1733" s="6">
        <v>44501</v>
      </c>
      <c r="J1733" s="4">
        <v>0</v>
      </c>
      <c r="K1733" s="4">
        <v>0</v>
      </c>
      <c r="L1733" s="4">
        <v>0.58699999999999997</v>
      </c>
      <c r="M1733" s="4">
        <v>0.58699999999999997</v>
      </c>
      <c r="N1733" s="4">
        <v>0.58699999999999997</v>
      </c>
      <c r="O1733" s="4">
        <v>0.58699999999999997</v>
      </c>
      <c r="P1733" s="4">
        <v>0</v>
      </c>
      <c r="Q1733" s="3" t="s">
        <v>26</v>
      </c>
      <c r="R1733" s="3">
        <v>0</v>
      </c>
      <c r="S1733" s="3" t="s">
        <v>482</v>
      </c>
      <c r="T1733" s="3" t="s">
        <v>723</v>
      </c>
      <c r="U1733" s="3">
        <v>0</v>
      </c>
      <c r="V1733" s="3">
        <v>42</v>
      </c>
      <c r="W1733" s="3">
        <v>82</v>
      </c>
    </row>
    <row r="1734" spans="1:23" ht="11.25" customHeight="1" x14ac:dyDescent="0.25">
      <c r="A1734" s="3" t="s">
        <v>21</v>
      </c>
      <c r="B1734" s="3" t="s">
        <v>39</v>
      </c>
      <c r="C1734" s="3" t="s">
        <v>37</v>
      </c>
      <c r="D1734" s="3" t="s">
        <v>52</v>
      </c>
      <c r="E1734" s="3" t="s">
        <v>25</v>
      </c>
      <c r="F1734" s="3" t="s">
        <v>25</v>
      </c>
      <c r="G1734" s="3" t="s">
        <v>25</v>
      </c>
      <c r="H1734" s="3" t="s">
        <v>35</v>
      </c>
      <c r="I1734" s="6">
        <v>44531</v>
      </c>
      <c r="J1734" s="4">
        <v>0</v>
      </c>
      <c r="K1734" s="4">
        <v>0</v>
      </c>
      <c r="L1734" s="4">
        <v>0.52800000000000002</v>
      </c>
      <c r="M1734" s="4">
        <v>0.52800000000000002</v>
      </c>
      <c r="N1734" s="4">
        <v>0.52800000000000002</v>
      </c>
      <c r="O1734" s="4">
        <v>0.52800000000000002</v>
      </c>
      <c r="P1734" s="4">
        <v>0</v>
      </c>
      <c r="Q1734" s="3" t="s">
        <v>26</v>
      </c>
      <c r="R1734" s="3">
        <v>0</v>
      </c>
      <c r="S1734" s="3" t="s">
        <v>483</v>
      </c>
      <c r="T1734" s="3" t="s">
        <v>724</v>
      </c>
      <c r="U1734" s="3">
        <v>0</v>
      </c>
      <c r="V1734" s="3">
        <v>42</v>
      </c>
      <c r="W1734" s="3">
        <v>82</v>
      </c>
    </row>
    <row r="1735" spans="1:23" ht="11.25" customHeight="1" x14ac:dyDescent="0.25">
      <c r="A1735" s="3" t="s">
        <v>21</v>
      </c>
      <c r="B1735" s="3" t="s">
        <v>39</v>
      </c>
      <c r="C1735" s="3" t="s">
        <v>37</v>
      </c>
      <c r="D1735" s="3" t="s">
        <v>52</v>
      </c>
      <c r="E1735" s="3" t="s">
        <v>25</v>
      </c>
      <c r="F1735" s="3" t="s">
        <v>25</v>
      </c>
      <c r="G1735" s="3" t="s">
        <v>25</v>
      </c>
      <c r="H1735" s="3" t="s">
        <v>35</v>
      </c>
      <c r="I1735" s="6">
        <v>44562</v>
      </c>
      <c r="J1735" s="4">
        <v>0</v>
      </c>
      <c r="K1735" s="4">
        <v>0</v>
      </c>
      <c r="L1735" s="4">
        <v>0.38400000000000001</v>
      </c>
      <c r="M1735" s="4">
        <v>0.38400000000000001</v>
      </c>
      <c r="N1735" s="4">
        <v>0.38400000000000001</v>
      </c>
      <c r="O1735" s="4">
        <v>0.38400000000000001</v>
      </c>
      <c r="P1735" s="4">
        <v>0</v>
      </c>
      <c r="Q1735" s="3" t="s">
        <v>26</v>
      </c>
      <c r="R1735" s="3">
        <v>0</v>
      </c>
      <c r="S1735" s="3" t="s">
        <v>484</v>
      </c>
      <c r="T1735" s="3" t="s">
        <v>725</v>
      </c>
      <c r="U1735" s="3">
        <v>0</v>
      </c>
      <c r="V1735" s="3">
        <v>42</v>
      </c>
      <c r="W1735" s="3">
        <v>82</v>
      </c>
    </row>
    <row r="1736" spans="1:23" ht="11.25" customHeight="1" x14ac:dyDescent="0.25">
      <c r="A1736" s="3" t="s">
        <v>21</v>
      </c>
      <c r="B1736" s="3" t="s">
        <v>39</v>
      </c>
      <c r="C1736" s="3" t="s">
        <v>37</v>
      </c>
      <c r="D1736" s="3" t="s">
        <v>52</v>
      </c>
      <c r="E1736" s="3" t="s">
        <v>25</v>
      </c>
      <c r="F1736" s="3" t="s">
        <v>25</v>
      </c>
      <c r="G1736" s="3" t="s">
        <v>25</v>
      </c>
      <c r="H1736" s="3" t="s">
        <v>35</v>
      </c>
      <c r="I1736" s="6">
        <v>44593</v>
      </c>
      <c r="J1736" s="4">
        <v>0</v>
      </c>
      <c r="K1736" s="4">
        <v>0</v>
      </c>
      <c r="L1736" s="4">
        <v>0.43099999999999999</v>
      </c>
      <c r="M1736" s="4">
        <v>0.43099999999999999</v>
      </c>
      <c r="N1736" s="4">
        <v>0.43099999999999999</v>
      </c>
      <c r="O1736" s="4">
        <v>0.43099999999999999</v>
      </c>
      <c r="P1736" s="4">
        <v>0</v>
      </c>
      <c r="Q1736" s="3" t="s">
        <v>26</v>
      </c>
      <c r="R1736" s="3">
        <v>0</v>
      </c>
      <c r="S1736" s="3" t="s">
        <v>485</v>
      </c>
      <c r="T1736" s="3" t="s">
        <v>726</v>
      </c>
      <c r="U1736" s="3">
        <v>0</v>
      </c>
      <c r="V1736" s="3">
        <v>42</v>
      </c>
      <c r="W1736" s="3">
        <v>82</v>
      </c>
    </row>
    <row r="1737" spans="1:23" ht="11.25" customHeight="1" x14ac:dyDescent="0.25">
      <c r="A1737" s="3" t="s">
        <v>21</v>
      </c>
      <c r="B1737" s="3" t="s">
        <v>39</v>
      </c>
      <c r="C1737" s="3" t="s">
        <v>37</v>
      </c>
      <c r="D1737" s="3" t="s">
        <v>52</v>
      </c>
      <c r="E1737" s="3" t="s">
        <v>25</v>
      </c>
      <c r="F1737" s="3" t="s">
        <v>25</v>
      </c>
      <c r="G1737" s="3" t="s">
        <v>25</v>
      </c>
      <c r="H1737" s="3" t="s">
        <v>35</v>
      </c>
      <c r="I1737" s="6">
        <v>44621</v>
      </c>
      <c r="J1737" s="4">
        <v>0</v>
      </c>
      <c r="K1737" s="4">
        <v>0</v>
      </c>
      <c r="L1737" s="4">
        <v>0.46899999999999997</v>
      </c>
      <c r="M1737" s="4">
        <v>0.46899999999999997</v>
      </c>
      <c r="N1737" s="4">
        <v>0.46899999999999997</v>
      </c>
      <c r="O1737" s="4">
        <v>0.46899999999999997</v>
      </c>
      <c r="P1737" s="4">
        <v>0</v>
      </c>
      <c r="Q1737" s="3" t="s">
        <v>26</v>
      </c>
      <c r="R1737" s="3">
        <v>0</v>
      </c>
      <c r="S1737" s="3" t="s">
        <v>486</v>
      </c>
      <c r="T1737" s="3" t="s">
        <v>727</v>
      </c>
      <c r="U1737" s="3">
        <v>0</v>
      </c>
      <c r="V1737" s="3">
        <v>42</v>
      </c>
      <c r="W1737" s="3">
        <v>82</v>
      </c>
    </row>
    <row r="1738" spans="1:23" ht="11.25" customHeight="1" x14ac:dyDescent="0.25">
      <c r="A1738" s="3" t="s">
        <v>56</v>
      </c>
      <c r="B1738" s="3" t="s">
        <v>39</v>
      </c>
      <c r="C1738" s="3" t="s">
        <v>37</v>
      </c>
      <c r="D1738" s="3" t="s">
        <v>52</v>
      </c>
      <c r="E1738" s="3" t="s">
        <v>25</v>
      </c>
      <c r="F1738" s="3" t="s">
        <v>25</v>
      </c>
      <c r="G1738" s="3" t="s">
        <v>25</v>
      </c>
      <c r="H1738" s="3" t="s">
        <v>35</v>
      </c>
      <c r="I1738" s="6">
        <v>44652</v>
      </c>
      <c r="J1738" s="4">
        <v>0</v>
      </c>
      <c r="K1738" s="4">
        <v>0</v>
      </c>
      <c r="L1738" s="4">
        <v>0.46899999999999997</v>
      </c>
      <c r="M1738" s="4">
        <v>0.46899999999999997</v>
      </c>
      <c r="N1738" s="4">
        <v>0.46899999999999997</v>
      </c>
      <c r="O1738" s="4">
        <v>0.46899999999999997</v>
      </c>
      <c r="P1738" s="4">
        <v>0</v>
      </c>
      <c r="Q1738" s="3" t="s">
        <v>26</v>
      </c>
      <c r="R1738" s="3">
        <v>0</v>
      </c>
      <c r="S1738" s="3" t="s">
        <v>487</v>
      </c>
      <c r="T1738" s="3" t="s">
        <v>728</v>
      </c>
      <c r="U1738" s="3">
        <v>0</v>
      </c>
      <c r="V1738" s="3">
        <v>42</v>
      </c>
      <c r="W1738" s="3">
        <v>82</v>
      </c>
    </row>
    <row r="1739" spans="1:23" ht="11.25" customHeight="1" x14ac:dyDescent="0.25">
      <c r="A1739" s="3" t="s">
        <v>21</v>
      </c>
      <c r="B1739" s="3" t="s">
        <v>39</v>
      </c>
      <c r="C1739" s="3" t="s">
        <v>37</v>
      </c>
      <c r="D1739" s="3" t="s">
        <v>40</v>
      </c>
      <c r="E1739" s="3" t="s">
        <v>25</v>
      </c>
      <c r="F1739" s="3" t="s">
        <v>25</v>
      </c>
      <c r="G1739" s="3" t="s">
        <v>25</v>
      </c>
      <c r="H1739" s="3" t="s">
        <v>36</v>
      </c>
      <c r="I1739" s="6">
        <v>44317</v>
      </c>
      <c r="J1739" s="4">
        <v>0</v>
      </c>
      <c r="K1739" s="4">
        <v>0</v>
      </c>
      <c r="L1739" s="4">
        <v>4.7960000000000003</v>
      </c>
      <c r="M1739" s="4">
        <v>4.7960000000000003</v>
      </c>
      <c r="N1739" s="4">
        <v>4.7960000000000003</v>
      </c>
      <c r="O1739" s="4">
        <v>4.7960000000000003</v>
      </c>
      <c r="P1739" s="4">
        <v>0</v>
      </c>
      <c r="Q1739" s="3" t="s">
        <v>26</v>
      </c>
      <c r="R1739" s="3">
        <v>0</v>
      </c>
      <c r="S1739" s="3" t="s">
        <v>452</v>
      </c>
      <c r="T1739" s="3" t="s">
        <v>693</v>
      </c>
      <c r="U1739" s="3">
        <v>0</v>
      </c>
      <c r="V1739" s="3">
        <v>44</v>
      </c>
      <c r="W1739" s="3">
        <v>84</v>
      </c>
    </row>
    <row r="1740" spans="1:23" ht="11.25" customHeight="1" x14ac:dyDescent="0.25">
      <c r="A1740" s="3" t="s">
        <v>21</v>
      </c>
      <c r="B1740" s="3" t="s">
        <v>39</v>
      </c>
      <c r="C1740" s="3" t="s">
        <v>37</v>
      </c>
      <c r="D1740" s="3" t="s">
        <v>40</v>
      </c>
      <c r="E1740" s="3" t="s">
        <v>25</v>
      </c>
      <c r="F1740" s="3" t="s">
        <v>25</v>
      </c>
      <c r="G1740" s="3" t="s">
        <v>25</v>
      </c>
      <c r="H1740" s="3" t="s">
        <v>36</v>
      </c>
      <c r="I1740" s="6">
        <v>44348</v>
      </c>
      <c r="J1740" s="4">
        <v>0</v>
      </c>
      <c r="K1740" s="4">
        <v>0</v>
      </c>
      <c r="L1740" s="4">
        <v>5.032</v>
      </c>
      <c r="M1740" s="4">
        <v>5.032</v>
      </c>
      <c r="N1740" s="4">
        <v>5.032</v>
      </c>
      <c r="O1740" s="4">
        <v>5.032</v>
      </c>
      <c r="P1740" s="4">
        <v>0</v>
      </c>
      <c r="Q1740" s="3" t="s">
        <v>26</v>
      </c>
      <c r="R1740" s="3">
        <v>0</v>
      </c>
      <c r="S1740" s="3" t="s">
        <v>453</v>
      </c>
      <c r="T1740" s="3" t="s">
        <v>694</v>
      </c>
      <c r="U1740" s="3">
        <v>0</v>
      </c>
      <c r="V1740" s="3">
        <v>44</v>
      </c>
      <c r="W1740" s="3">
        <v>84</v>
      </c>
    </row>
    <row r="1741" spans="1:23" ht="11.25" customHeight="1" x14ac:dyDescent="0.25">
      <c r="A1741" s="3" t="s">
        <v>21</v>
      </c>
      <c r="B1741" s="3" t="s">
        <v>39</v>
      </c>
      <c r="C1741" s="3" t="s">
        <v>37</v>
      </c>
      <c r="D1741" s="3" t="s">
        <v>40</v>
      </c>
      <c r="E1741" s="3" t="s">
        <v>25</v>
      </c>
      <c r="F1741" s="3" t="s">
        <v>25</v>
      </c>
      <c r="G1741" s="3" t="s">
        <v>25</v>
      </c>
      <c r="H1741" s="3" t="s">
        <v>36</v>
      </c>
      <c r="I1741" s="6">
        <v>44378</v>
      </c>
      <c r="J1741" s="4">
        <v>0</v>
      </c>
      <c r="K1741" s="4">
        <v>0</v>
      </c>
      <c r="L1741" s="4">
        <v>4.6959999999999997</v>
      </c>
      <c r="M1741" s="4">
        <v>4.6959999999999997</v>
      </c>
      <c r="N1741" s="4">
        <v>4.6959999999999997</v>
      </c>
      <c r="O1741" s="4">
        <v>4.6959999999999997</v>
      </c>
      <c r="P1741" s="4">
        <v>0</v>
      </c>
      <c r="Q1741" s="3" t="s">
        <v>26</v>
      </c>
      <c r="R1741" s="3">
        <v>0</v>
      </c>
      <c r="S1741" s="3" t="s">
        <v>454</v>
      </c>
      <c r="T1741" s="3" t="s">
        <v>695</v>
      </c>
      <c r="U1741" s="3">
        <v>0</v>
      </c>
      <c r="V1741" s="3">
        <v>44</v>
      </c>
      <c r="W1741" s="3">
        <v>84</v>
      </c>
    </row>
    <row r="1742" spans="1:23" ht="11.25" customHeight="1" x14ac:dyDescent="0.25">
      <c r="A1742" s="3" t="s">
        <v>21</v>
      </c>
      <c r="B1742" s="3" t="s">
        <v>39</v>
      </c>
      <c r="C1742" s="3" t="s">
        <v>37</v>
      </c>
      <c r="D1742" s="3" t="s">
        <v>40</v>
      </c>
      <c r="E1742" s="3" t="s">
        <v>25</v>
      </c>
      <c r="F1742" s="3" t="s">
        <v>25</v>
      </c>
      <c r="G1742" s="3" t="s">
        <v>25</v>
      </c>
      <c r="H1742" s="3" t="s">
        <v>36</v>
      </c>
      <c r="I1742" s="6">
        <v>44409</v>
      </c>
      <c r="J1742" s="4">
        <v>0</v>
      </c>
      <c r="K1742" s="4">
        <v>0</v>
      </c>
      <c r="L1742" s="4">
        <v>4.7809999999999997</v>
      </c>
      <c r="M1742" s="4">
        <v>4.7809999999999997</v>
      </c>
      <c r="N1742" s="4">
        <v>4.7809999999999997</v>
      </c>
      <c r="O1742" s="4">
        <v>4.7809999999999997</v>
      </c>
      <c r="P1742" s="4">
        <v>0</v>
      </c>
      <c r="Q1742" s="3" t="s">
        <v>26</v>
      </c>
      <c r="R1742" s="3">
        <v>0</v>
      </c>
      <c r="S1742" s="3" t="s">
        <v>455</v>
      </c>
      <c r="T1742" s="3" t="s">
        <v>696</v>
      </c>
      <c r="U1742" s="3">
        <v>0</v>
      </c>
      <c r="V1742" s="3">
        <v>44</v>
      </c>
      <c r="W1742" s="3">
        <v>84</v>
      </c>
    </row>
    <row r="1743" spans="1:23" ht="11.25" customHeight="1" x14ac:dyDescent="0.25">
      <c r="A1743" s="3" t="s">
        <v>21</v>
      </c>
      <c r="B1743" s="3" t="s">
        <v>39</v>
      </c>
      <c r="C1743" s="3" t="s">
        <v>37</v>
      </c>
      <c r="D1743" s="3" t="s">
        <v>40</v>
      </c>
      <c r="E1743" s="3" t="s">
        <v>25</v>
      </c>
      <c r="F1743" s="3" t="s">
        <v>25</v>
      </c>
      <c r="G1743" s="3" t="s">
        <v>25</v>
      </c>
      <c r="H1743" s="3" t="s">
        <v>36</v>
      </c>
      <c r="I1743" s="6">
        <v>44440</v>
      </c>
      <c r="J1743" s="4">
        <v>0</v>
      </c>
      <c r="K1743" s="4">
        <v>0</v>
      </c>
      <c r="L1743" s="4">
        <v>5.1029999999999998</v>
      </c>
      <c r="M1743" s="4">
        <v>5.1029999999999998</v>
      </c>
      <c r="N1743" s="4">
        <v>5.1029999999999998</v>
      </c>
      <c r="O1743" s="4">
        <v>5.1029999999999998</v>
      </c>
      <c r="P1743" s="4">
        <v>0</v>
      </c>
      <c r="Q1743" s="3" t="s">
        <v>26</v>
      </c>
      <c r="R1743" s="3">
        <v>0</v>
      </c>
      <c r="S1743" s="3" t="s">
        <v>456</v>
      </c>
      <c r="T1743" s="3" t="s">
        <v>697</v>
      </c>
      <c r="U1743" s="3">
        <v>0</v>
      </c>
      <c r="V1743" s="3">
        <v>44</v>
      </c>
      <c r="W1743" s="3">
        <v>84</v>
      </c>
    </row>
    <row r="1744" spans="1:23" ht="11.25" customHeight="1" x14ac:dyDescent="0.25">
      <c r="A1744" s="3" t="s">
        <v>21</v>
      </c>
      <c r="B1744" s="3" t="s">
        <v>39</v>
      </c>
      <c r="C1744" s="3" t="s">
        <v>37</v>
      </c>
      <c r="D1744" s="3" t="s">
        <v>40</v>
      </c>
      <c r="E1744" s="3" t="s">
        <v>25</v>
      </c>
      <c r="F1744" s="3" t="s">
        <v>25</v>
      </c>
      <c r="G1744" s="3" t="s">
        <v>25</v>
      </c>
      <c r="H1744" s="3" t="s">
        <v>36</v>
      </c>
      <c r="I1744" s="6">
        <v>44470</v>
      </c>
      <c r="J1744" s="4">
        <v>0</v>
      </c>
      <c r="K1744" s="4">
        <v>0</v>
      </c>
      <c r="L1744" s="4">
        <v>5.16</v>
      </c>
      <c r="M1744" s="4">
        <v>5.16</v>
      </c>
      <c r="N1744" s="4">
        <v>5.16</v>
      </c>
      <c r="O1744" s="4">
        <v>5.16</v>
      </c>
      <c r="P1744" s="4">
        <v>0</v>
      </c>
      <c r="Q1744" s="3" t="s">
        <v>26</v>
      </c>
      <c r="R1744" s="3">
        <v>0</v>
      </c>
      <c r="S1744" s="3" t="s">
        <v>457</v>
      </c>
      <c r="T1744" s="3" t="s">
        <v>698</v>
      </c>
      <c r="U1744" s="3">
        <v>0</v>
      </c>
      <c r="V1744" s="3">
        <v>44</v>
      </c>
      <c r="W1744" s="3">
        <v>84</v>
      </c>
    </row>
    <row r="1745" spans="1:23" ht="11.25" customHeight="1" x14ac:dyDescent="0.25">
      <c r="A1745" s="3" t="s">
        <v>21</v>
      </c>
      <c r="B1745" s="3" t="s">
        <v>39</v>
      </c>
      <c r="C1745" s="3" t="s">
        <v>37</v>
      </c>
      <c r="D1745" s="3" t="s">
        <v>40</v>
      </c>
      <c r="E1745" s="3" t="s">
        <v>25</v>
      </c>
      <c r="F1745" s="3" t="s">
        <v>25</v>
      </c>
      <c r="G1745" s="3" t="s">
        <v>25</v>
      </c>
      <c r="H1745" s="3" t="s">
        <v>36</v>
      </c>
      <c r="I1745" s="6">
        <v>44501</v>
      </c>
      <c r="J1745" s="4">
        <v>0</v>
      </c>
      <c r="K1745" s="4">
        <v>0</v>
      </c>
      <c r="L1745" s="4">
        <v>5.3239999999999998</v>
      </c>
      <c r="M1745" s="4">
        <v>5.3239999999999998</v>
      </c>
      <c r="N1745" s="4">
        <v>5.3239999999999998</v>
      </c>
      <c r="O1745" s="4">
        <v>5.3239999999999998</v>
      </c>
      <c r="P1745" s="4">
        <v>0</v>
      </c>
      <c r="Q1745" s="3" t="s">
        <v>26</v>
      </c>
      <c r="R1745" s="3">
        <v>0</v>
      </c>
      <c r="S1745" s="3" t="s">
        <v>458</v>
      </c>
      <c r="T1745" s="3" t="s">
        <v>699</v>
      </c>
      <c r="U1745" s="3">
        <v>0</v>
      </c>
      <c r="V1745" s="3">
        <v>44</v>
      </c>
      <c r="W1745" s="3">
        <v>84</v>
      </c>
    </row>
    <row r="1746" spans="1:23" ht="11.25" customHeight="1" x14ac:dyDescent="0.25">
      <c r="A1746" s="3" t="s">
        <v>21</v>
      </c>
      <c r="B1746" s="3" t="s">
        <v>39</v>
      </c>
      <c r="C1746" s="3" t="s">
        <v>37</v>
      </c>
      <c r="D1746" s="3" t="s">
        <v>40</v>
      </c>
      <c r="E1746" s="3" t="s">
        <v>25</v>
      </c>
      <c r="F1746" s="3" t="s">
        <v>25</v>
      </c>
      <c r="G1746" s="3" t="s">
        <v>25</v>
      </c>
      <c r="H1746" s="3" t="s">
        <v>36</v>
      </c>
      <c r="I1746" s="6">
        <v>44531</v>
      </c>
      <c r="J1746" s="4">
        <v>0</v>
      </c>
      <c r="K1746" s="4">
        <v>0</v>
      </c>
      <c r="L1746" s="4">
        <v>5.0250000000000004</v>
      </c>
      <c r="M1746" s="4">
        <v>5.0250000000000004</v>
      </c>
      <c r="N1746" s="4">
        <v>5.0250000000000004</v>
      </c>
      <c r="O1746" s="4">
        <v>5.0250000000000004</v>
      </c>
      <c r="P1746" s="4">
        <v>0</v>
      </c>
      <c r="Q1746" s="3" t="s">
        <v>26</v>
      </c>
      <c r="R1746" s="3">
        <v>0</v>
      </c>
      <c r="S1746" s="3" t="s">
        <v>459</v>
      </c>
      <c r="T1746" s="3" t="s">
        <v>700</v>
      </c>
      <c r="U1746" s="3">
        <v>0</v>
      </c>
      <c r="V1746" s="3">
        <v>44</v>
      </c>
      <c r="W1746" s="3">
        <v>84</v>
      </c>
    </row>
    <row r="1747" spans="1:23" ht="11.25" customHeight="1" x14ac:dyDescent="0.25">
      <c r="A1747" s="3" t="s">
        <v>21</v>
      </c>
      <c r="B1747" s="3" t="s">
        <v>39</v>
      </c>
      <c r="C1747" s="3" t="s">
        <v>37</v>
      </c>
      <c r="D1747" s="3" t="s">
        <v>40</v>
      </c>
      <c r="E1747" s="3" t="s">
        <v>25</v>
      </c>
      <c r="F1747" s="3" t="s">
        <v>25</v>
      </c>
      <c r="G1747" s="3" t="s">
        <v>25</v>
      </c>
      <c r="H1747" s="3" t="s">
        <v>36</v>
      </c>
      <c r="I1747" s="6">
        <v>44562</v>
      </c>
      <c r="J1747" s="4">
        <v>0</v>
      </c>
      <c r="K1747" s="4">
        <v>0</v>
      </c>
      <c r="L1747" s="4">
        <v>4.7859999999999996</v>
      </c>
      <c r="M1747" s="4">
        <v>4.7859999999999996</v>
      </c>
      <c r="N1747" s="4">
        <v>4.7859999999999996</v>
      </c>
      <c r="O1747" s="4">
        <v>4.7859999999999996</v>
      </c>
      <c r="P1747" s="4">
        <v>0</v>
      </c>
      <c r="Q1747" s="3" t="s">
        <v>26</v>
      </c>
      <c r="R1747" s="3">
        <v>0</v>
      </c>
      <c r="S1747" s="3" t="s">
        <v>460</v>
      </c>
      <c r="T1747" s="3" t="s">
        <v>701</v>
      </c>
      <c r="U1747" s="3">
        <v>0</v>
      </c>
      <c r="V1747" s="3">
        <v>44</v>
      </c>
      <c r="W1747" s="3">
        <v>84</v>
      </c>
    </row>
    <row r="1748" spans="1:23" ht="11.25" customHeight="1" x14ac:dyDescent="0.25">
      <c r="A1748" s="3" t="s">
        <v>21</v>
      </c>
      <c r="B1748" s="3" t="s">
        <v>39</v>
      </c>
      <c r="C1748" s="3" t="s">
        <v>37</v>
      </c>
      <c r="D1748" s="3" t="s">
        <v>40</v>
      </c>
      <c r="E1748" s="3" t="s">
        <v>25</v>
      </c>
      <c r="F1748" s="3" t="s">
        <v>25</v>
      </c>
      <c r="G1748" s="3" t="s">
        <v>25</v>
      </c>
      <c r="H1748" s="3" t="s">
        <v>36</v>
      </c>
      <c r="I1748" s="6">
        <v>44593</v>
      </c>
      <c r="J1748" s="4">
        <v>0</v>
      </c>
      <c r="K1748" s="4">
        <v>0</v>
      </c>
      <c r="L1748" s="4">
        <v>4.6509999999999998</v>
      </c>
      <c r="M1748" s="4">
        <v>4.6509999999999998</v>
      </c>
      <c r="N1748" s="4">
        <v>4.6509999999999998</v>
      </c>
      <c r="O1748" s="4">
        <v>4.6509999999999998</v>
      </c>
      <c r="P1748" s="4">
        <v>0</v>
      </c>
      <c r="Q1748" s="3" t="s">
        <v>26</v>
      </c>
      <c r="R1748" s="3">
        <v>0</v>
      </c>
      <c r="S1748" s="3" t="s">
        <v>461</v>
      </c>
      <c r="T1748" s="3" t="s">
        <v>702</v>
      </c>
      <c r="U1748" s="3">
        <v>0</v>
      </c>
      <c r="V1748" s="3">
        <v>44</v>
      </c>
      <c r="W1748" s="3">
        <v>84</v>
      </c>
    </row>
    <row r="1749" spans="1:23" ht="11.25" customHeight="1" x14ac:dyDescent="0.25">
      <c r="A1749" s="3" t="s">
        <v>21</v>
      </c>
      <c r="B1749" s="3" t="s">
        <v>39</v>
      </c>
      <c r="C1749" s="3" t="s">
        <v>37</v>
      </c>
      <c r="D1749" s="3" t="s">
        <v>40</v>
      </c>
      <c r="E1749" s="3" t="s">
        <v>25</v>
      </c>
      <c r="F1749" s="3" t="s">
        <v>25</v>
      </c>
      <c r="G1749" s="3" t="s">
        <v>25</v>
      </c>
      <c r="H1749" s="3" t="s">
        <v>36</v>
      </c>
      <c r="I1749" s="6">
        <v>44621</v>
      </c>
      <c r="J1749" s="4">
        <v>0</v>
      </c>
      <c r="K1749" s="4">
        <v>0</v>
      </c>
      <c r="L1749" s="4">
        <v>5.101</v>
      </c>
      <c r="M1749" s="4">
        <v>5.101</v>
      </c>
      <c r="N1749" s="4">
        <v>5.101</v>
      </c>
      <c r="O1749" s="4">
        <v>5.101</v>
      </c>
      <c r="P1749" s="4">
        <v>0</v>
      </c>
      <c r="Q1749" s="3" t="s">
        <v>26</v>
      </c>
      <c r="R1749" s="3">
        <v>0</v>
      </c>
      <c r="S1749" s="3" t="s">
        <v>462</v>
      </c>
      <c r="T1749" s="3" t="s">
        <v>703</v>
      </c>
      <c r="U1749" s="3">
        <v>0</v>
      </c>
      <c r="V1749" s="3">
        <v>44</v>
      </c>
      <c r="W1749" s="3">
        <v>84</v>
      </c>
    </row>
    <row r="1750" spans="1:23" ht="11.25" customHeight="1" x14ac:dyDescent="0.25">
      <c r="A1750" s="3" t="s">
        <v>56</v>
      </c>
      <c r="B1750" s="3" t="s">
        <v>39</v>
      </c>
      <c r="C1750" s="3" t="s">
        <v>37</v>
      </c>
      <c r="D1750" s="3" t="s">
        <v>40</v>
      </c>
      <c r="E1750" s="3" t="s">
        <v>25</v>
      </c>
      <c r="F1750" s="3" t="s">
        <v>25</v>
      </c>
      <c r="G1750" s="3" t="s">
        <v>25</v>
      </c>
      <c r="H1750" s="3" t="s">
        <v>36</v>
      </c>
      <c r="I1750" s="6">
        <v>44652</v>
      </c>
      <c r="J1750" s="4">
        <v>0</v>
      </c>
      <c r="K1750" s="4">
        <v>0</v>
      </c>
      <c r="L1750" s="4">
        <v>5.101</v>
      </c>
      <c r="M1750" s="4">
        <v>5.101</v>
      </c>
      <c r="N1750" s="4">
        <v>5.101</v>
      </c>
      <c r="O1750" s="4">
        <v>5.101</v>
      </c>
      <c r="P1750" s="4">
        <v>0</v>
      </c>
      <c r="Q1750" s="3" t="s">
        <v>26</v>
      </c>
      <c r="R1750" s="3">
        <v>0</v>
      </c>
      <c r="S1750" s="3" t="s">
        <v>463</v>
      </c>
      <c r="T1750" s="3" t="s">
        <v>704</v>
      </c>
      <c r="U1750" s="3">
        <v>0</v>
      </c>
      <c r="V1750" s="3">
        <v>44</v>
      </c>
      <c r="W1750" s="3">
        <v>84</v>
      </c>
    </row>
    <row r="1751" spans="1:23" ht="11.25" customHeight="1" x14ac:dyDescent="0.25">
      <c r="A1751" s="3" t="s">
        <v>21</v>
      </c>
      <c r="B1751" s="3" t="s">
        <v>39</v>
      </c>
      <c r="C1751" s="3" t="s">
        <v>37</v>
      </c>
      <c r="D1751" s="3" t="s">
        <v>40</v>
      </c>
      <c r="E1751" s="3" t="s">
        <v>25</v>
      </c>
      <c r="F1751" s="3" t="s">
        <v>25</v>
      </c>
      <c r="G1751" s="3" t="s">
        <v>25</v>
      </c>
      <c r="H1751" s="3" t="s">
        <v>38</v>
      </c>
      <c r="I1751" s="6">
        <v>44317</v>
      </c>
      <c r="J1751" s="4">
        <v>0</v>
      </c>
      <c r="K1751" s="4">
        <v>0</v>
      </c>
      <c r="L1751" s="4">
        <v>9.8000000000000004E-2</v>
      </c>
      <c r="M1751" s="4">
        <v>9.8000000000000004E-2</v>
      </c>
      <c r="N1751" s="4">
        <v>9.8000000000000004E-2</v>
      </c>
      <c r="O1751" s="4">
        <v>9.8000000000000004E-2</v>
      </c>
      <c r="P1751" s="4">
        <v>0</v>
      </c>
      <c r="Q1751" s="3" t="s">
        <v>26</v>
      </c>
      <c r="R1751" s="3">
        <v>0</v>
      </c>
      <c r="S1751" s="3" t="s">
        <v>464</v>
      </c>
      <c r="T1751" s="3" t="s">
        <v>705</v>
      </c>
      <c r="U1751" s="3">
        <v>0</v>
      </c>
      <c r="V1751" s="3">
        <v>43</v>
      </c>
      <c r="W1751" s="3">
        <v>83</v>
      </c>
    </row>
    <row r="1752" spans="1:23" ht="11.25" customHeight="1" x14ac:dyDescent="0.25">
      <c r="A1752" s="3" t="s">
        <v>21</v>
      </c>
      <c r="B1752" s="3" t="s">
        <v>39</v>
      </c>
      <c r="C1752" s="3" t="s">
        <v>37</v>
      </c>
      <c r="D1752" s="3" t="s">
        <v>40</v>
      </c>
      <c r="E1752" s="3" t="s">
        <v>25</v>
      </c>
      <c r="F1752" s="3" t="s">
        <v>25</v>
      </c>
      <c r="G1752" s="3" t="s">
        <v>25</v>
      </c>
      <c r="H1752" s="3" t="s">
        <v>38</v>
      </c>
      <c r="I1752" s="6">
        <v>44348</v>
      </c>
      <c r="J1752" s="4">
        <v>0</v>
      </c>
      <c r="K1752" s="4">
        <v>0</v>
      </c>
      <c r="L1752" s="4">
        <v>9.2999999999999999E-2</v>
      </c>
      <c r="M1752" s="4">
        <v>9.2999999999999999E-2</v>
      </c>
      <c r="N1752" s="4">
        <v>9.2999999999999999E-2</v>
      </c>
      <c r="O1752" s="4">
        <v>9.2999999999999999E-2</v>
      </c>
      <c r="P1752" s="4">
        <v>0</v>
      </c>
      <c r="Q1752" s="3" t="s">
        <v>26</v>
      </c>
      <c r="R1752" s="3">
        <v>0</v>
      </c>
      <c r="S1752" s="3" t="s">
        <v>465</v>
      </c>
      <c r="T1752" s="3" t="s">
        <v>706</v>
      </c>
      <c r="U1752" s="3">
        <v>0</v>
      </c>
      <c r="V1752" s="3">
        <v>43</v>
      </c>
      <c r="W1752" s="3">
        <v>83</v>
      </c>
    </row>
    <row r="1753" spans="1:23" ht="11.25" customHeight="1" x14ac:dyDescent="0.25">
      <c r="A1753" s="3" t="s">
        <v>21</v>
      </c>
      <c r="B1753" s="3" t="s">
        <v>39</v>
      </c>
      <c r="C1753" s="3" t="s">
        <v>37</v>
      </c>
      <c r="D1753" s="3" t="s">
        <v>40</v>
      </c>
      <c r="E1753" s="3" t="s">
        <v>25</v>
      </c>
      <c r="F1753" s="3" t="s">
        <v>25</v>
      </c>
      <c r="G1753" s="3" t="s">
        <v>25</v>
      </c>
      <c r="H1753" s="3" t="s">
        <v>38</v>
      </c>
      <c r="I1753" s="6">
        <v>44378</v>
      </c>
      <c r="J1753" s="4">
        <v>0</v>
      </c>
      <c r="K1753" s="4">
        <v>0</v>
      </c>
      <c r="L1753" s="4">
        <v>9.8000000000000004E-2</v>
      </c>
      <c r="M1753" s="4">
        <v>9.8000000000000004E-2</v>
      </c>
      <c r="N1753" s="4">
        <v>9.8000000000000004E-2</v>
      </c>
      <c r="O1753" s="4">
        <v>9.8000000000000004E-2</v>
      </c>
      <c r="P1753" s="4">
        <v>0</v>
      </c>
      <c r="Q1753" s="3" t="s">
        <v>26</v>
      </c>
      <c r="R1753" s="3">
        <v>0</v>
      </c>
      <c r="S1753" s="3" t="s">
        <v>466</v>
      </c>
      <c r="T1753" s="3" t="s">
        <v>707</v>
      </c>
      <c r="U1753" s="3">
        <v>0</v>
      </c>
      <c r="V1753" s="3">
        <v>43</v>
      </c>
      <c r="W1753" s="3">
        <v>83</v>
      </c>
    </row>
    <row r="1754" spans="1:23" ht="11.25" customHeight="1" x14ac:dyDescent="0.25">
      <c r="A1754" s="3" t="s">
        <v>21</v>
      </c>
      <c r="B1754" s="3" t="s">
        <v>39</v>
      </c>
      <c r="C1754" s="3" t="s">
        <v>37</v>
      </c>
      <c r="D1754" s="3" t="s">
        <v>40</v>
      </c>
      <c r="E1754" s="3" t="s">
        <v>25</v>
      </c>
      <c r="F1754" s="3" t="s">
        <v>25</v>
      </c>
      <c r="G1754" s="3" t="s">
        <v>25</v>
      </c>
      <c r="H1754" s="3" t="s">
        <v>38</v>
      </c>
      <c r="I1754" s="6">
        <v>44409</v>
      </c>
      <c r="J1754" s="4">
        <v>0</v>
      </c>
      <c r="K1754" s="4">
        <v>0</v>
      </c>
      <c r="L1754" s="4">
        <v>0.105</v>
      </c>
      <c r="M1754" s="4">
        <v>0.105</v>
      </c>
      <c r="N1754" s="4">
        <v>0.105</v>
      </c>
      <c r="O1754" s="4">
        <v>0.105</v>
      </c>
      <c r="P1754" s="4">
        <v>0</v>
      </c>
      <c r="Q1754" s="3" t="s">
        <v>26</v>
      </c>
      <c r="R1754" s="3">
        <v>0</v>
      </c>
      <c r="S1754" s="3" t="s">
        <v>467</v>
      </c>
      <c r="T1754" s="3" t="s">
        <v>708</v>
      </c>
      <c r="U1754" s="3">
        <v>0</v>
      </c>
      <c r="V1754" s="3">
        <v>43</v>
      </c>
      <c r="W1754" s="3">
        <v>83</v>
      </c>
    </row>
    <row r="1755" spans="1:23" ht="11.25" customHeight="1" x14ac:dyDescent="0.25">
      <c r="A1755" s="3" t="s">
        <v>21</v>
      </c>
      <c r="B1755" s="3" t="s">
        <v>39</v>
      </c>
      <c r="C1755" s="3" t="s">
        <v>37</v>
      </c>
      <c r="D1755" s="3" t="s">
        <v>40</v>
      </c>
      <c r="E1755" s="3" t="s">
        <v>25</v>
      </c>
      <c r="F1755" s="3" t="s">
        <v>25</v>
      </c>
      <c r="G1755" s="3" t="s">
        <v>25</v>
      </c>
      <c r="H1755" s="3" t="s">
        <v>38</v>
      </c>
      <c r="I1755" s="6">
        <v>44440</v>
      </c>
      <c r="J1755" s="4">
        <v>0</v>
      </c>
      <c r="K1755" s="4">
        <v>0</v>
      </c>
      <c r="L1755" s="4">
        <v>0.125</v>
      </c>
      <c r="M1755" s="4">
        <v>0.125</v>
      </c>
      <c r="N1755" s="4">
        <v>0.125</v>
      </c>
      <c r="O1755" s="4">
        <v>0.125</v>
      </c>
      <c r="P1755" s="4">
        <v>0</v>
      </c>
      <c r="Q1755" s="3" t="s">
        <v>26</v>
      </c>
      <c r="R1755" s="3">
        <v>0</v>
      </c>
      <c r="S1755" s="3" t="s">
        <v>468</v>
      </c>
      <c r="T1755" s="3" t="s">
        <v>709</v>
      </c>
      <c r="U1755" s="3">
        <v>0</v>
      </c>
      <c r="V1755" s="3">
        <v>43</v>
      </c>
      <c r="W1755" s="3">
        <v>83</v>
      </c>
    </row>
    <row r="1756" spans="1:23" ht="11.25" customHeight="1" x14ac:dyDescent="0.25">
      <c r="A1756" s="3" t="s">
        <v>21</v>
      </c>
      <c r="B1756" s="3" t="s">
        <v>39</v>
      </c>
      <c r="C1756" s="3" t="s">
        <v>37</v>
      </c>
      <c r="D1756" s="3" t="s">
        <v>40</v>
      </c>
      <c r="E1756" s="3" t="s">
        <v>25</v>
      </c>
      <c r="F1756" s="3" t="s">
        <v>25</v>
      </c>
      <c r="G1756" s="3" t="s">
        <v>25</v>
      </c>
      <c r="H1756" s="3" t="s">
        <v>38</v>
      </c>
      <c r="I1756" s="6">
        <v>44470</v>
      </c>
      <c r="J1756" s="4">
        <v>0</v>
      </c>
      <c r="K1756" s="4">
        <v>0</v>
      </c>
      <c r="L1756" s="4">
        <v>0.11700000000000001</v>
      </c>
      <c r="M1756" s="4">
        <v>0.11700000000000001</v>
      </c>
      <c r="N1756" s="4">
        <v>0.11700000000000001</v>
      </c>
      <c r="O1756" s="4">
        <v>0.11700000000000001</v>
      </c>
      <c r="P1756" s="4">
        <v>0</v>
      </c>
      <c r="Q1756" s="3" t="s">
        <v>26</v>
      </c>
      <c r="R1756" s="3">
        <v>0</v>
      </c>
      <c r="S1756" s="3" t="s">
        <v>469</v>
      </c>
      <c r="T1756" s="3" t="s">
        <v>710</v>
      </c>
      <c r="U1756" s="3">
        <v>0</v>
      </c>
      <c r="V1756" s="3">
        <v>43</v>
      </c>
      <c r="W1756" s="3">
        <v>83</v>
      </c>
    </row>
    <row r="1757" spans="1:23" ht="11.25" customHeight="1" x14ac:dyDescent="0.25">
      <c r="A1757" s="3" t="s">
        <v>21</v>
      </c>
      <c r="B1757" s="3" t="s">
        <v>39</v>
      </c>
      <c r="C1757" s="3" t="s">
        <v>37</v>
      </c>
      <c r="D1757" s="3" t="s">
        <v>40</v>
      </c>
      <c r="E1757" s="3" t="s">
        <v>25</v>
      </c>
      <c r="F1757" s="3" t="s">
        <v>25</v>
      </c>
      <c r="G1757" s="3" t="s">
        <v>25</v>
      </c>
      <c r="H1757" s="3" t="s">
        <v>38</v>
      </c>
      <c r="I1757" s="6">
        <v>44501</v>
      </c>
      <c r="J1757" s="4">
        <v>0</v>
      </c>
      <c r="K1757" s="4">
        <v>0</v>
      </c>
      <c r="L1757" s="4">
        <v>0.121</v>
      </c>
      <c r="M1757" s="4">
        <v>0.121</v>
      </c>
      <c r="N1757" s="4">
        <v>0.121</v>
      </c>
      <c r="O1757" s="4">
        <v>0.121</v>
      </c>
      <c r="P1757" s="4">
        <v>0</v>
      </c>
      <c r="Q1757" s="3" t="s">
        <v>26</v>
      </c>
      <c r="R1757" s="3">
        <v>0</v>
      </c>
      <c r="S1757" s="3" t="s">
        <v>470</v>
      </c>
      <c r="T1757" s="3" t="s">
        <v>711</v>
      </c>
      <c r="U1757" s="3">
        <v>0</v>
      </c>
      <c r="V1757" s="3">
        <v>43</v>
      </c>
      <c r="W1757" s="3">
        <v>83</v>
      </c>
    </row>
    <row r="1758" spans="1:23" ht="11.25" customHeight="1" x14ac:dyDescent="0.25">
      <c r="A1758" s="3" t="s">
        <v>21</v>
      </c>
      <c r="B1758" s="3" t="s">
        <v>39</v>
      </c>
      <c r="C1758" s="3" t="s">
        <v>37</v>
      </c>
      <c r="D1758" s="3" t="s">
        <v>40</v>
      </c>
      <c r="E1758" s="3" t="s">
        <v>25</v>
      </c>
      <c r="F1758" s="3" t="s">
        <v>25</v>
      </c>
      <c r="G1758" s="3" t="s">
        <v>25</v>
      </c>
      <c r="H1758" s="3" t="s">
        <v>38</v>
      </c>
      <c r="I1758" s="6">
        <v>44531</v>
      </c>
      <c r="J1758" s="4">
        <v>0</v>
      </c>
      <c r="K1758" s="4">
        <v>0</v>
      </c>
      <c r="L1758" s="4">
        <v>0.125</v>
      </c>
      <c r="M1758" s="4">
        <v>0.125</v>
      </c>
      <c r="N1758" s="4">
        <v>0.125</v>
      </c>
      <c r="O1758" s="4">
        <v>0.125</v>
      </c>
      <c r="P1758" s="4">
        <v>0</v>
      </c>
      <c r="Q1758" s="3" t="s">
        <v>26</v>
      </c>
      <c r="R1758" s="3">
        <v>0</v>
      </c>
      <c r="S1758" s="3" t="s">
        <v>471</v>
      </c>
      <c r="T1758" s="3" t="s">
        <v>712</v>
      </c>
      <c r="U1758" s="3">
        <v>0</v>
      </c>
      <c r="V1758" s="3">
        <v>43</v>
      </c>
      <c r="W1758" s="3">
        <v>83</v>
      </c>
    </row>
    <row r="1759" spans="1:23" ht="11.25" customHeight="1" x14ac:dyDescent="0.25">
      <c r="A1759" s="3" t="s">
        <v>21</v>
      </c>
      <c r="B1759" s="3" t="s">
        <v>39</v>
      </c>
      <c r="C1759" s="3" t="s">
        <v>37</v>
      </c>
      <c r="D1759" s="3" t="s">
        <v>40</v>
      </c>
      <c r="E1759" s="3" t="s">
        <v>25</v>
      </c>
      <c r="F1759" s="3" t="s">
        <v>25</v>
      </c>
      <c r="G1759" s="3" t="s">
        <v>25</v>
      </c>
      <c r="H1759" s="3" t="s">
        <v>38</v>
      </c>
      <c r="I1759" s="6">
        <v>44562</v>
      </c>
      <c r="J1759" s="4">
        <v>0</v>
      </c>
      <c r="K1759" s="4">
        <v>0</v>
      </c>
      <c r="L1759" s="4">
        <v>0.14099999999999999</v>
      </c>
      <c r="M1759" s="4">
        <v>0.14099999999999999</v>
      </c>
      <c r="N1759" s="4">
        <v>0.14099999999999999</v>
      </c>
      <c r="O1759" s="4">
        <v>0.14099999999999999</v>
      </c>
      <c r="P1759" s="4">
        <v>0</v>
      </c>
      <c r="Q1759" s="3" t="s">
        <v>26</v>
      </c>
      <c r="R1759" s="3">
        <v>0</v>
      </c>
      <c r="S1759" s="3" t="s">
        <v>472</v>
      </c>
      <c r="T1759" s="3" t="s">
        <v>713</v>
      </c>
      <c r="U1759" s="3">
        <v>0</v>
      </c>
      <c r="V1759" s="3">
        <v>43</v>
      </c>
      <c r="W1759" s="3">
        <v>83</v>
      </c>
    </row>
    <row r="1760" spans="1:23" ht="11.25" customHeight="1" x14ac:dyDescent="0.25">
      <c r="A1760" s="3" t="s">
        <v>21</v>
      </c>
      <c r="B1760" s="3" t="s">
        <v>39</v>
      </c>
      <c r="C1760" s="3" t="s">
        <v>37</v>
      </c>
      <c r="D1760" s="3" t="s">
        <v>40</v>
      </c>
      <c r="E1760" s="3" t="s">
        <v>25</v>
      </c>
      <c r="F1760" s="3" t="s">
        <v>25</v>
      </c>
      <c r="G1760" s="3" t="s">
        <v>25</v>
      </c>
      <c r="H1760" s="3" t="s">
        <v>38</v>
      </c>
      <c r="I1760" s="6">
        <v>44593</v>
      </c>
      <c r="J1760" s="4">
        <v>0</v>
      </c>
      <c r="K1760" s="4">
        <v>0</v>
      </c>
      <c r="L1760" s="4">
        <v>0.121</v>
      </c>
      <c r="M1760" s="4">
        <v>0.121</v>
      </c>
      <c r="N1760" s="4">
        <v>0.121</v>
      </c>
      <c r="O1760" s="4">
        <v>0.121</v>
      </c>
      <c r="P1760" s="4">
        <v>0</v>
      </c>
      <c r="Q1760" s="3" t="s">
        <v>26</v>
      </c>
      <c r="R1760" s="3">
        <v>0</v>
      </c>
      <c r="S1760" s="3" t="s">
        <v>473</v>
      </c>
      <c r="T1760" s="3" t="s">
        <v>714</v>
      </c>
      <c r="U1760" s="3">
        <v>0</v>
      </c>
      <c r="V1760" s="3">
        <v>43</v>
      </c>
      <c r="W1760" s="3">
        <v>83</v>
      </c>
    </row>
    <row r="1761" spans="1:23" ht="11.25" customHeight="1" x14ac:dyDescent="0.25">
      <c r="A1761" s="3" t="s">
        <v>21</v>
      </c>
      <c r="B1761" s="3" t="s">
        <v>39</v>
      </c>
      <c r="C1761" s="3" t="s">
        <v>37</v>
      </c>
      <c r="D1761" s="3" t="s">
        <v>40</v>
      </c>
      <c r="E1761" s="3" t="s">
        <v>25</v>
      </c>
      <c r="F1761" s="3" t="s">
        <v>25</v>
      </c>
      <c r="G1761" s="3" t="s">
        <v>25</v>
      </c>
      <c r="H1761" s="3" t="s">
        <v>38</v>
      </c>
      <c r="I1761" s="6">
        <v>44621</v>
      </c>
      <c r="J1761" s="4">
        <v>0</v>
      </c>
      <c r="K1761" s="4">
        <v>0</v>
      </c>
      <c r="L1761" s="4">
        <v>0.13300000000000001</v>
      </c>
      <c r="M1761" s="4">
        <v>0.13300000000000001</v>
      </c>
      <c r="N1761" s="4">
        <v>0.13300000000000001</v>
      </c>
      <c r="O1761" s="4">
        <v>0.13300000000000001</v>
      </c>
      <c r="P1761" s="4">
        <v>0</v>
      </c>
      <c r="Q1761" s="3" t="s">
        <v>26</v>
      </c>
      <c r="R1761" s="3">
        <v>0</v>
      </c>
      <c r="S1761" s="3" t="s">
        <v>474</v>
      </c>
      <c r="T1761" s="3" t="s">
        <v>715</v>
      </c>
      <c r="U1761" s="3">
        <v>0</v>
      </c>
      <c r="V1761" s="3">
        <v>43</v>
      </c>
      <c r="W1761" s="3">
        <v>83</v>
      </c>
    </row>
    <row r="1762" spans="1:23" ht="11.25" customHeight="1" x14ac:dyDescent="0.25">
      <c r="A1762" s="3" t="s">
        <v>56</v>
      </c>
      <c r="B1762" s="3" t="s">
        <v>39</v>
      </c>
      <c r="C1762" s="3" t="s">
        <v>37</v>
      </c>
      <c r="D1762" s="3" t="s">
        <v>40</v>
      </c>
      <c r="E1762" s="3" t="s">
        <v>25</v>
      </c>
      <c r="F1762" s="3" t="s">
        <v>25</v>
      </c>
      <c r="G1762" s="3" t="s">
        <v>25</v>
      </c>
      <c r="H1762" s="3" t="s">
        <v>38</v>
      </c>
      <c r="I1762" s="6">
        <v>44652</v>
      </c>
      <c r="J1762" s="4">
        <v>0</v>
      </c>
      <c r="K1762" s="4">
        <v>0</v>
      </c>
      <c r="L1762" s="4">
        <v>0.13300000000000001</v>
      </c>
      <c r="M1762" s="4">
        <v>0.13300000000000001</v>
      </c>
      <c r="N1762" s="4">
        <v>0.13300000000000001</v>
      </c>
      <c r="O1762" s="4">
        <v>0.13300000000000001</v>
      </c>
      <c r="P1762" s="4">
        <v>0</v>
      </c>
      <c r="Q1762" s="3" t="s">
        <v>26</v>
      </c>
      <c r="R1762" s="3">
        <v>0</v>
      </c>
      <c r="S1762" s="3" t="s">
        <v>475</v>
      </c>
      <c r="T1762" s="3" t="s">
        <v>716</v>
      </c>
      <c r="U1762" s="3">
        <v>0</v>
      </c>
      <c r="V1762" s="3">
        <v>43</v>
      </c>
      <c r="W1762" s="3">
        <v>83</v>
      </c>
    </row>
    <row r="1763" spans="1:23" ht="11.25" customHeight="1" x14ac:dyDescent="0.25">
      <c r="A1763" s="3" t="s">
        <v>21</v>
      </c>
      <c r="B1763" s="3" t="s">
        <v>39</v>
      </c>
      <c r="C1763" s="3" t="s">
        <v>37</v>
      </c>
      <c r="D1763" s="3" t="s">
        <v>40</v>
      </c>
      <c r="E1763" s="3" t="s">
        <v>25</v>
      </c>
      <c r="F1763" s="3" t="s">
        <v>25</v>
      </c>
      <c r="G1763" s="3" t="s">
        <v>25</v>
      </c>
      <c r="H1763" s="3" t="s">
        <v>35</v>
      </c>
      <c r="I1763" s="6">
        <v>44317</v>
      </c>
      <c r="J1763" s="4">
        <v>0</v>
      </c>
      <c r="K1763" s="4">
        <v>0</v>
      </c>
      <c r="L1763" s="4">
        <v>0.14199999999999999</v>
      </c>
      <c r="M1763" s="4">
        <v>0.14199999999999999</v>
      </c>
      <c r="N1763" s="4">
        <v>0.14199999999999999</v>
      </c>
      <c r="O1763" s="4">
        <v>0.14199999999999999</v>
      </c>
      <c r="P1763" s="4">
        <v>0</v>
      </c>
      <c r="Q1763" s="3" t="s">
        <v>26</v>
      </c>
      <c r="R1763" s="3">
        <v>0</v>
      </c>
      <c r="S1763" s="3" t="s">
        <v>476</v>
      </c>
      <c r="T1763" s="3" t="s">
        <v>717</v>
      </c>
      <c r="U1763" s="3">
        <v>0</v>
      </c>
      <c r="V1763" s="3">
        <v>42</v>
      </c>
      <c r="W1763" s="3">
        <v>82</v>
      </c>
    </row>
    <row r="1764" spans="1:23" ht="11.25" customHeight="1" x14ac:dyDescent="0.25">
      <c r="A1764" s="3" t="s">
        <v>21</v>
      </c>
      <c r="B1764" s="3" t="s">
        <v>39</v>
      </c>
      <c r="C1764" s="3" t="s">
        <v>37</v>
      </c>
      <c r="D1764" s="3" t="s">
        <v>40</v>
      </c>
      <c r="E1764" s="3" t="s">
        <v>25</v>
      </c>
      <c r="F1764" s="3" t="s">
        <v>25</v>
      </c>
      <c r="G1764" s="3" t="s">
        <v>25</v>
      </c>
      <c r="H1764" s="3" t="s">
        <v>35</v>
      </c>
      <c r="I1764" s="6">
        <v>44348</v>
      </c>
      <c r="J1764" s="4">
        <v>0</v>
      </c>
      <c r="K1764" s="4">
        <v>0</v>
      </c>
      <c r="L1764" s="4">
        <v>0.124</v>
      </c>
      <c r="M1764" s="4">
        <v>0.124</v>
      </c>
      <c r="N1764" s="4">
        <v>0.124</v>
      </c>
      <c r="O1764" s="4">
        <v>0.124</v>
      </c>
      <c r="P1764" s="4">
        <v>0</v>
      </c>
      <c r="Q1764" s="3" t="s">
        <v>26</v>
      </c>
      <c r="R1764" s="3">
        <v>0</v>
      </c>
      <c r="S1764" s="3" t="s">
        <v>477</v>
      </c>
      <c r="T1764" s="3" t="s">
        <v>718</v>
      </c>
      <c r="U1764" s="3">
        <v>0</v>
      </c>
      <c r="V1764" s="3">
        <v>42</v>
      </c>
      <c r="W1764" s="3">
        <v>82</v>
      </c>
    </row>
    <row r="1765" spans="1:23" ht="11.25" customHeight="1" x14ac:dyDescent="0.25">
      <c r="A1765" s="3" t="s">
        <v>21</v>
      </c>
      <c r="B1765" s="3" t="s">
        <v>39</v>
      </c>
      <c r="C1765" s="3" t="s">
        <v>37</v>
      </c>
      <c r="D1765" s="3" t="s">
        <v>40</v>
      </c>
      <c r="E1765" s="3" t="s">
        <v>25</v>
      </c>
      <c r="F1765" s="3" t="s">
        <v>25</v>
      </c>
      <c r="G1765" s="3" t="s">
        <v>25</v>
      </c>
      <c r="H1765" s="3" t="s">
        <v>35</v>
      </c>
      <c r="I1765" s="6">
        <v>44378</v>
      </c>
      <c r="J1765" s="4">
        <v>0</v>
      </c>
      <c r="K1765" s="4">
        <v>0</v>
      </c>
      <c r="L1765" s="4">
        <v>0.17199999999999999</v>
      </c>
      <c r="M1765" s="4">
        <v>0.17199999999999999</v>
      </c>
      <c r="N1765" s="4">
        <v>0.17199999999999999</v>
      </c>
      <c r="O1765" s="4">
        <v>0.17199999999999999</v>
      </c>
      <c r="P1765" s="4">
        <v>0</v>
      </c>
      <c r="Q1765" s="3" t="s">
        <v>26</v>
      </c>
      <c r="R1765" s="3">
        <v>0</v>
      </c>
      <c r="S1765" s="3" t="s">
        <v>478</v>
      </c>
      <c r="T1765" s="3" t="s">
        <v>719</v>
      </c>
      <c r="U1765" s="3">
        <v>0</v>
      </c>
      <c r="V1765" s="3">
        <v>42</v>
      </c>
      <c r="W1765" s="3">
        <v>82</v>
      </c>
    </row>
    <row r="1766" spans="1:23" ht="11.25" customHeight="1" x14ac:dyDescent="0.25">
      <c r="A1766" s="3" t="s">
        <v>21</v>
      </c>
      <c r="B1766" s="3" t="s">
        <v>39</v>
      </c>
      <c r="C1766" s="3" t="s">
        <v>37</v>
      </c>
      <c r="D1766" s="3" t="s">
        <v>40</v>
      </c>
      <c r="E1766" s="3" t="s">
        <v>25</v>
      </c>
      <c r="F1766" s="3" t="s">
        <v>25</v>
      </c>
      <c r="G1766" s="3" t="s">
        <v>25</v>
      </c>
      <c r="H1766" s="3" t="s">
        <v>35</v>
      </c>
      <c r="I1766" s="6">
        <v>44409</v>
      </c>
      <c r="J1766" s="4">
        <v>0</v>
      </c>
      <c r="K1766" s="4">
        <v>0</v>
      </c>
      <c r="L1766" s="4">
        <v>0.13300000000000001</v>
      </c>
      <c r="M1766" s="4">
        <v>0.13300000000000001</v>
      </c>
      <c r="N1766" s="4">
        <v>0.13300000000000001</v>
      </c>
      <c r="O1766" s="4">
        <v>0.13300000000000001</v>
      </c>
      <c r="P1766" s="4">
        <v>0</v>
      </c>
      <c r="Q1766" s="3" t="s">
        <v>26</v>
      </c>
      <c r="R1766" s="3">
        <v>0</v>
      </c>
      <c r="S1766" s="3" t="s">
        <v>479</v>
      </c>
      <c r="T1766" s="3" t="s">
        <v>720</v>
      </c>
      <c r="U1766" s="3">
        <v>0</v>
      </c>
      <c r="V1766" s="3">
        <v>42</v>
      </c>
      <c r="W1766" s="3">
        <v>82</v>
      </c>
    </row>
    <row r="1767" spans="1:23" ht="11.25" customHeight="1" x14ac:dyDescent="0.25">
      <c r="A1767" s="3" t="s">
        <v>21</v>
      </c>
      <c r="B1767" s="3" t="s">
        <v>39</v>
      </c>
      <c r="C1767" s="3" t="s">
        <v>37</v>
      </c>
      <c r="D1767" s="3" t="s">
        <v>40</v>
      </c>
      <c r="E1767" s="3" t="s">
        <v>25</v>
      </c>
      <c r="F1767" s="3" t="s">
        <v>25</v>
      </c>
      <c r="G1767" s="3" t="s">
        <v>25</v>
      </c>
      <c r="H1767" s="3" t="s">
        <v>35</v>
      </c>
      <c r="I1767" s="6">
        <v>44440</v>
      </c>
      <c r="J1767" s="4">
        <v>0</v>
      </c>
      <c r="K1767" s="4">
        <v>0</v>
      </c>
      <c r="L1767" s="4">
        <v>0.12</v>
      </c>
      <c r="M1767" s="4">
        <v>0.12</v>
      </c>
      <c r="N1767" s="4">
        <v>0.12</v>
      </c>
      <c r="O1767" s="4">
        <v>0.12</v>
      </c>
      <c r="P1767" s="4">
        <v>0</v>
      </c>
      <c r="Q1767" s="3" t="s">
        <v>26</v>
      </c>
      <c r="R1767" s="3">
        <v>0</v>
      </c>
      <c r="S1767" s="3" t="s">
        <v>480</v>
      </c>
      <c r="T1767" s="3" t="s">
        <v>721</v>
      </c>
      <c r="U1767" s="3">
        <v>0</v>
      </c>
      <c r="V1767" s="3">
        <v>42</v>
      </c>
      <c r="W1767" s="3">
        <v>82</v>
      </c>
    </row>
    <row r="1768" spans="1:23" ht="11.25" customHeight="1" x14ac:dyDescent="0.25">
      <c r="A1768" s="3" t="s">
        <v>21</v>
      </c>
      <c r="B1768" s="3" t="s">
        <v>39</v>
      </c>
      <c r="C1768" s="3" t="s">
        <v>37</v>
      </c>
      <c r="D1768" s="3" t="s">
        <v>40</v>
      </c>
      <c r="E1768" s="3" t="s">
        <v>25</v>
      </c>
      <c r="F1768" s="3" t="s">
        <v>25</v>
      </c>
      <c r="G1768" s="3" t="s">
        <v>25</v>
      </c>
      <c r="H1768" s="3" t="s">
        <v>35</v>
      </c>
      <c r="I1768" s="6">
        <v>44470</v>
      </c>
      <c r="J1768" s="4">
        <v>0</v>
      </c>
      <c r="K1768" s="4">
        <v>0</v>
      </c>
      <c r="L1768" s="4">
        <v>0.14399999999999999</v>
      </c>
      <c r="M1768" s="4">
        <v>0.14399999999999999</v>
      </c>
      <c r="N1768" s="4">
        <v>0.14399999999999999</v>
      </c>
      <c r="O1768" s="4">
        <v>0.14399999999999999</v>
      </c>
      <c r="P1768" s="4">
        <v>0</v>
      </c>
      <c r="Q1768" s="3" t="s">
        <v>26</v>
      </c>
      <c r="R1768" s="3">
        <v>0</v>
      </c>
      <c r="S1768" s="3" t="s">
        <v>481</v>
      </c>
      <c r="T1768" s="3" t="s">
        <v>722</v>
      </c>
      <c r="U1768" s="3">
        <v>0</v>
      </c>
      <c r="V1768" s="3">
        <v>42</v>
      </c>
      <c r="W1768" s="3">
        <v>82</v>
      </c>
    </row>
    <row r="1769" spans="1:23" ht="11.25" customHeight="1" x14ac:dyDescent="0.25">
      <c r="A1769" s="3" t="s">
        <v>21</v>
      </c>
      <c r="B1769" s="3" t="s">
        <v>39</v>
      </c>
      <c r="C1769" s="3" t="s">
        <v>37</v>
      </c>
      <c r="D1769" s="3" t="s">
        <v>40</v>
      </c>
      <c r="E1769" s="3" t="s">
        <v>25</v>
      </c>
      <c r="F1769" s="3" t="s">
        <v>25</v>
      </c>
      <c r="G1769" s="3" t="s">
        <v>25</v>
      </c>
      <c r="H1769" s="3" t="s">
        <v>35</v>
      </c>
      <c r="I1769" s="6">
        <v>44501</v>
      </c>
      <c r="J1769" s="4">
        <v>0</v>
      </c>
      <c r="K1769" s="4">
        <v>0</v>
      </c>
      <c r="L1769" s="4">
        <v>0.13700000000000001</v>
      </c>
      <c r="M1769" s="4">
        <v>0.13700000000000001</v>
      </c>
      <c r="N1769" s="4">
        <v>0.13700000000000001</v>
      </c>
      <c r="O1769" s="4">
        <v>0.13700000000000001</v>
      </c>
      <c r="P1769" s="4">
        <v>0</v>
      </c>
      <c r="Q1769" s="3" t="s">
        <v>26</v>
      </c>
      <c r="R1769" s="3">
        <v>0</v>
      </c>
      <c r="S1769" s="3" t="s">
        <v>482</v>
      </c>
      <c r="T1769" s="3" t="s">
        <v>723</v>
      </c>
      <c r="U1769" s="3">
        <v>0</v>
      </c>
      <c r="V1769" s="3">
        <v>42</v>
      </c>
      <c r="W1769" s="3">
        <v>82</v>
      </c>
    </row>
    <row r="1770" spans="1:23" ht="11.25" customHeight="1" x14ac:dyDescent="0.25">
      <c r="A1770" s="3" t="s">
        <v>21</v>
      </c>
      <c r="B1770" s="3" t="s">
        <v>39</v>
      </c>
      <c r="C1770" s="3" t="s">
        <v>37</v>
      </c>
      <c r="D1770" s="3" t="s">
        <v>40</v>
      </c>
      <c r="E1770" s="3" t="s">
        <v>25</v>
      </c>
      <c r="F1770" s="3" t="s">
        <v>25</v>
      </c>
      <c r="G1770" s="3" t="s">
        <v>25</v>
      </c>
      <c r="H1770" s="3" t="s">
        <v>35</v>
      </c>
      <c r="I1770" s="6">
        <v>44531</v>
      </c>
      <c r="J1770" s="4">
        <v>0</v>
      </c>
      <c r="K1770" s="4">
        <v>0</v>
      </c>
      <c r="L1770" s="4">
        <v>0.155</v>
      </c>
      <c r="M1770" s="4">
        <v>0.155</v>
      </c>
      <c r="N1770" s="4">
        <v>0.155</v>
      </c>
      <c r="O1770" s="4">
        <v>0.155</v>
      </c>
      <c r="P1770" s="4">
        <v>0</v>
      </c>
      <c r="Q1770" s="3" t="s">
        <v>26</v>
      </c>
      <c r="R1770" s="3">
        <v>0</v>
      </c>
      <c r="S1770" s="3" t="s">
        <v>483</v>
      </c>
      <c r="T1770" s="3" t="s">
        <v>724</v>
      </c>
      <c r="U1770" s="3">
        <v>0</v>
      </c>
      <c r="V1770" s="3">
        <v>42</v>
      </c>
      <c r="W1770" s="3">
        <v>82</v>
      </c>
    </row>
    <row r="1771" spans="1:23" ht="11.25" customHeight="1" x14ac:dyDescent="0.25">
      <c r="A1771" s="3" t="s">
        <v>21</v>
      </c>
      <c r="B1771" s="3" t="s">
        <v>39</v>
      </c>
      <c r="C1771" s="3" t="s">
        <v>37</v>
      </c>
      <c r="D1771" s="3" t="s">
        <v>40</v>
      </c>
      <c r="E1771" s="3" t="s">
        <v>25</v>
      </c>
      <c r="F1771" s="3" t="s">
        <v>25</v>
      </c>
      <c r="G1771" s="3" t="s">
        <v>25</v>
      </c>
      <c r="H1771" s="3" t="s">
        <v>35</v>
      </c>
      <c r="I1771" s="6">
        <v>44562</v>
      </c>
      <c r="J1771" s="4">
        <v>0</v>
      </c>
      <c r="K1771" s="4">
        <v>0</v>
      </c>
      <c r="L1771" s="4">
        <v>0.186</v>
      </c>
      <c r="M1771" s="4">
        <v>0.186</v>
      </c>
      <c r="N1771" s="4">
        <v>0.186</v>
      </c>
      <c r="O1771" s="4">
        <v>0.186</v>
      </c>
      <c r="P1771" s="4">
        <v>0</v>
      </c>
      <c r="Q1771" s="3" t="s">
        <v>26</v>
      </c>
      <c r="R1771" s="3">
        <v>0</v>
      </c>
      <c r="S1771" s="3" t="s">
        <v>484</v>
      </c>
      <c r="T1771" s="3" t="s">
        <v>725</v>
      </c>
      <c r="U1771" s="3">
        <v>0</v>
      </c>
      <c r="V1771" s="3">
        <v>42</v>
      </c>
      <c r="W1771" s="3">
        <v>82</v>
      </c>
    </row>
    <row r="1772" spans="1:23" ht="11.25" customHeight="1" x14ac:dyDescent="0.25">
      <c r="A1772" s="3" t="s">
        <v>21</v>
      </c>
      <c r="B1772" s="3" t="s">
        <v>39</v>
      </c>
      <c r="C1772" s="3" t="s">
        <v>37</v>
      </c>
      <c r="D1772" s="3" t="s">
        <v>40</v>
      </c>
      <c r="E1772" s="3" t="s">
        <v>25</v>
      </c>
      <c r="F1772" s="3" t="s">
        <v>25</v>
      </c>
      <c r="G1772" s="3" t="s">
        <v>25</v>
      </c>
      <c r="H1772" s="3" t="s">
        <v>35</v>
      </c>
      <c r="I1772" s="6">
        <v>44593</v>
      </c>
      <c r="J1772" s="4">
        <v>0</v>
      </c>
      <c r="K1772" s="4">
        <v>0</v>
      </c>
      <c r="L1772" s="4">
        <v>0.151</v>
      </c>
      <c r="M1772" s="4">
        <v>0.151</v>
      </c>
      <c r="N1772" s="4">
        <v>0.151</v>
      </c>
      <c r="O1772" s="4">
        <v>0.151</v>
      </c>
      <c r="P1772" s="4">
        <v>0</v>
      </c>
      <c r="Q1772" s="3" t="s">
        <v>26</v>
      </c>
      <c r="R1772" s="3">
        <v>0</v>
      </c>
      <c r="S1772" s="3" t="s">
        <v>485</v>
      </c>
      <c r="T1772" s="3" t="s">
        <v>726</v>
      </c>
      <c r="U1772" s="3">
        <v>0</v>
      </c>
      <c r="V1772" s="3">
        <v>42</v>
      </c>
      <c r="W1772" s="3">
        <v>82</v>
      </c>
    </row>
    <row r="1773" spans="1:23" ht="11.25" customHeight="1" x14ac:dyDescent="0.25">
      <c r="A1773" s="3" t="s">
        <v>21</v>
      </c>
      <c r="B1773" s="3" t="s">
        <v>39</v>
      </c>
      <c r="C1773" s="3" t="s">
        <v>37</v>
      </c>
      <c r="D1773" s="3" t="s">
        <v>40</v>
      </c>
      <c r="E1773" s="3" t="s">
        <v>25</v>
      </c>
      <c r="F1773" s="3" t="s">
        <v>25</v>
      </c>
      <c r="G1773" s="3" t="s">
        <v>25</v>
      </c>
      <c r="H1773" s="3" t="s">
        <v>35</v>
      </c>
      <c r="I1773" s="6">
        <v>44621</v>
      </c>
      <c r="J1773" s="4">
        <v>0</v>
      </c>
      <c r="K1773" s="4">
        <v>0</v>
      </c>
      <c r="L1773" s="4">
        <v>0.19600000000000001</v>
      </c>
      <c r="M1773" s="4">
        <v>0.19600000000000001</v>
      </c>
      <c r="N1773" s="4">
        <v>0.19600000000000001</v>
      </c>
      <c r="O1773" s="4">
        <v>0.19600000000000001</v>
      </c>
      <c r="P1773" s="4">
        <v>0</v>
      </c>
      <c r="Q1773" s="3" t="s">
        <v>26</v>
      </c>
      <c r="R1773" s="3">
        <v>0</v>
      </c>
      <c r="S1773" s="3" t="s">
        <v>486</v>
      </c>
      <c r="T1773" s="3" t="s">
        <v>727</v>
      </c>
      <c r="U1773" s="3">
        <v>0</v>
      </c>
      <c r="V1773" s="3">
        <v>42</v>
      </c>
      <c r="W1773" s="3">
        <v>82</v>
      </c>
    </row>
    <row r="1774" spans="1:23" ht="11.25" customHeight="1" x14ac:dyDescent="0.25">
      <c r="A1774" s="3" t="s">
        <v>56</v>
      </c>
      <c r="B1774" s="3" t="s">
        <v>39</v>
      </c>
      <c r="C1774" s="3" t="s">
        <v>37</v>
      </c>
      <c r="D1774" s="3" t="s">
        <v>40</v>
      </c>
      <c r="E1774" s="3" t="s">
        <v>25</v>
      </c>
      <c r="F1774" s="3" t="s">
        <v>25</v>
      </c>
      <c r="G1774" s="3" t="s">
        <v>25</v>
      </c>
      <c r="H1774" s="3" t="s">
        <v>35</v>
      </c>
      <c r="I1774" s="6">
        <v>44652</v>
      </c>
      <c r="J1774" s="4">
        <v>0</v>
      </c>
      <c r="K1774" s="4">
        <v>0</v>
      </c>
      <c r="L1774" s="4">
        <v>0.19600000000000001</v>
      </c>
      <c r="M1774" s="4">
        <v>0.19600000000000001</v>
      </c>
      <c r="N1774" s="4">
        <v>0.19600000000000001</v>
      </c>
      <c r="O1774" s="4">
        <v>0.19600000000000001</v>
      </c>
      <c r="P1774" s="4">
        <v>0</v>
      </c>
      <c r="Q1774" s="3" t="s">
        <v>26</v>
      </c>
      <c r="R1774" s="3">
        <v>0</v>
      </c>
      <c r="S1774" s="3" t="s">
        <v>487</v>
      </c>
      <c r="T1774" s="3" t="s">
        <v>728</v>
      </c>
      <c r="U1774" s="3">
        <v>0</v>
      </c>
      <c r="V1774" s="3">
        <v>42</v>
      </c>
      <c r="W1774" s="3">
        <v>82</v>
      </c>
    </row>
    <row r="1775" spans="1:23" ht="11.25" customHeight="1" x14ac:dyDescent="0.25">
      <c r="A1775" s="3" t="s">
        <v>21</v>
      </c>
      <c r="B1775" s="3" t="s">
        <v>39</v>
      </c>
      <c r="C1775" s="3" t="s">
        <v>37</v>
      </c>
      <c r="D1775" s="3" t="s">
        <v>46</v>
      </c>
      <c r="E1775" s="3" t="s">
        <v>25</v>
      </c>
      <c r="F1775" s="3" t="s">
        <v>25</v>
      </c>
      <c r="G1775" s="3" t="s">
        <v>25</v>
      </c>
      <c r="H1775" s="3" t="s">
        <v>36</v>
      </c>
      <c r="I1775" s="6">
        <v>44317</v>
      </c>
      <c r="J1775" s="4">
        <v>0</v>
      </c>
      <c r="K1775" s="4">
        <v>0</v>
      </c>
      <c r="L1775" s="4">
        <v>2.0630000000000002</v>
      </c>
      <c r="M1775" s="4">
        <v>2.0630000000000002</v>
      </c>
      <c r="N1775" s="4">
        <v>2.0630000000000002</v>
      </c>
      <c r="O1775" s="4">
        <v>2.0630000000000002</v>
      </c>
      <c r="P1775" s="4">
        <v>0</v>
      </c>
      <c r="Q1775" s="3" t="s">
        <v>26</v>
      </c>
      <c r="R1775" s="3">
        <v>0</v>
      </c>
      <c r="S1775" s="3" t="s">
        <v>452</v>
      </c>
      <c r="T1775" s="3" t="s">
        <v>693</v>
      </c>
      <c r="U1775" s="3">
        <v>0</v>
      </c>
      <c r="V1775" s="3">
        <v>44</v>
      </c>
      <c r="W1775" s="3">
        <v>84</v>
      </c>
    </row>
    <row r="1776" spans="1:23" ht="11.25" customHeight="1" x14ac:dyDescent="0.25">
      <c r="A1776" s="3" t="s">
        <v>21</v>
      </c>
      <c r="B1776" s="3" t="s">
        <v>39</v>
      </c>
      <c r="C1776" s="3" t="s">
        <v>37</v>
      </c>
      <c r="D1776" s="3" t="s">
        <v>46</v>
      </c>
      <c r="E1776" s="3" t="s">
        <v>25</v>
      </c>
      <c r="F1776" s="3" t="s">
        <v>25</v>
      </c>
      <c r="G1776" s="3" t="s">
        <v>25</v>
      </c>
      <c r="H1776" s="3" t="s">
        <v>36</v>
      </c>
      <c r="I1776" s="6">
        <v>44348</v>
      </c>
      <c r="J1776" s="4">
        <v>0</v>
      </c>
      <c r="K1776" s="4">
        <v>0</v>
      </c>
      <c r="L1776" s="4">
        <v>1.911</v>
      </c>
      <c r="M1776" s="4">
        <v>1.911</v>
      </c>
      <c r="N1776" s="4">
        <v>1.911</v>
      </c>
      <c r="O1776" s="4">
        <v>1.911</v>
      </c>
      <c r="P1776" s="4">
        <v>0</v>
      </c>
      <c r="Q1776" s="3" t="s">
        <v>26</v>
      </c>
      <c r="R1776" s="3">
        <v>0</v>
      </c>
      <c r="S1776" s="3" t="s">
        <v>453</v>
      </c>
      <c r="T1776" s="3" t="s">
        <v>694</v>
      </c>
      <c r="U1776" s="3">
        <v>0</v>
      </c>
      <c r="V1776" s="3">
        <v>44</v>
      </c>
      <c r="W1776" s="3">
        <v>84</v>
      </c>
    </row>
    <row r="1777" spans="1:23" ht="11.25" customHeight="1" x14ac:dyDescent="0.25">
      <c r="A1777" s="3" t="s">
        <v>21</v>
      </c>
      <c r="B1777" s="3" t="s">
        <v>39</v>
      </c>
      <c r="C1777" s="3" t="s">
        <v>37</v>
      </c>
      <c r="D1777" s="3" t="s">
        <v>46</v>
      </c>
      <c r="E1777" s="3" t="s">
        <v>25</v>
      </c>
      <c r="F1777" s="3" t="s">
        <v>25</v>
      </c>
      <c r="G1777" s="3" t="s">
        <v>25</v>
      </c>
      <c r="H1777" s="3" t="s">
        <v>36</v>
      </c>
      <c r="I1777" s="6">
        <v>44378</v>
      </c>
      <c r="J1777" s="4">
        <v>0</v>
      </c>
      <c r="K1777" s="4">
        <v>0</v>
      </c>
      <c r="L1777" s="4">
        <v>1.7889999999999999</v>
      </c>
      <c r="M1777" s="4">
        <v>1.7889999999999999</v>
      </c>
      <c r="N1777" s="4">
        <v>1.7889999999999999</v>
      </c>
      <c r="O1777" s="4">
        <v>1.7889999999999999</v>
      </c>
      <c r="P1777" s="4">
        <v>0</v>
      </c>
      <c r="Q1777" s="3" t="s">
        <v>26</v>
      </c>
      <c r="R1777" s="3">
        <v>0</v>
      </c>
      <c r="S1777" s="3" t="s">
        <v>454</v>
      </c>
      <c r="T1777" s="3" t="s">
        <v>695</v>
      </c>
      <c r="U1777" s="3">
        <v>0</v>
      </c>
      <c r="V1777" s="3">
        <v>44</v>
      </c>
      <c r="W1777" s="3">
        <v>84</v>
      </c>
    </row>
    <row r="1778" spans="1:23" ht="11.25" customHeight="1" x14ac:dyDescent="0.25">
      <c r="A1778" s="3" t="s">
        <v>21</v>
      </c>
      <c r="B1778" s="3" t="s">
        <v>39</v>
      </c>
      <c r="C1778" s="3" t="s">
        <v>37</v>
      </c>
      <c r="D1778" s="3" t="s">
        <v>46</v>
      </c>
      <c r="E1778" s="3" t="s">
        <v>25</v>
      </c>
      <c r="F1778" s="3" t="s">
        <v>25</v>
      </c>
      <c r="G1778" s="3" t="s">
        <v>25</v>
      </c>
      <c r="H1778" s="3" t="s">
        <v>36</v>
      </c>
      <c r="I1778" s="6">
        <v>44409</v>
      </c>
      <c r="J1778" s="4">
        <v>0</v>
      </c>
      <c r="K1778" s="4">
        <v>0</v>
      </c>
      <c r="L1778" s="4">
        <v>4.1749999999999998</v>
      </c>
      <c r="M1778" s="4">
        <v>4.1749999999999998</v>
      </c>
      <c r="N1778" s="4">
        <v>4.1749999999999998</v>
      </c>
      <c r="O1778" s="4">
        <v>4.1749999999999998</v>
      </c>
      <c r="P1778" s="4">
        <v>0</v>
      </c>
      <c r="Q1778" s="3" t="s">
        <v>26</v>
      </c>
      <c r="R1778" s="3">
        <v>0</v>
      </c>
      <c r="S1778" s="3" t="s">
        <v>455</v>
      </c>
      <c r="T1778" s="3" t="s">
        <v>696</v>
      </c>
      <c r="U1778" s="3">
        <v>0</v>
      </c>
      <c r="V1778" s="3">
        <v>44</v>
      </c>
      <c r="W1778" s="3">
        <v>84</v>
      </c>
    </row>
    <row r="1779" spans="1:23" ht="11.25" customHeight="1" x14ac:dyDescent="0.25">
      <c r="A1779" s="3" t="s">
        <v>21</v>
      </c>
      <c r="B1779" s="3" t="s">
        <v>39</v>
      </c>
      <c r="C1779" s="3" t="s">
        <v>37</v>
      </c>
      <c r="D1779" s="3" t="s">
        <v>46</v>
      </c>
      <c r="E1779" s="3" t="s">
        <v>25</v>
      </c>
      <c r="F1779" s="3" t="s">
        <v>25</v>
      </c>
      <c r="G1779" s="3" t="s">
        <v>25</v>
      </c>
      <c r="H1779" s="3" t="s">
        <v>36</v>
      </c>
      <c r="I1779" s="6">
        <v>44440</v>
      </c>
      <c r="J1779" s="4">
        <v>0</v>
      </c>
      <c r="K1779" s="4">
        <v>0</v>
      </c>
      <c r="L1779" s="4">
        <v>4.4509999999999996</v>
      </c>
      <c r="M1779" s="4">
        <v>4.4509999999999996</v>
      </c>
      <c r="N1779" s="4">
        <v>4.4509999999999996</v>
      </c>
      <c r="O1779" s="4">
        <v>4.4509999999999996</v>
      </c>
      <c r="P1779" s="4">
        <v>0</v>
      </c>
      <c r="Q1779" s="3" t="s">
        <v>26</v>
      </c>
      <c r="R1779" s="3">
        <v>0</v>
      </c>
      <c r="S1779" s="3" t="s">
        <v>456</v>
      </c>
      <c r="T1779" s="3" t="s">
        <v>697</v>
      </c>
      <c r="U1779" s="3">
        <v>0</v>
      </c>
      <c r="V1779" s="3">
        <v>44</v>
      </c>
      <c r="W1779" s="3">
        <v>84</v>
      </c>
    </row>
    <row r="1780" spans="1:23" ht="11.25" customHeight="1" x14ac:dyDescent="0.25">
      <c r="A1780" s="3" t="s">
        <v>21</v>
      </c>
      <c r="B1780" s="3" t="s">
        <v>39</v>
      </c>
      <c r="C1780" s="3" t="s">
        <v>37</v>
      </c>
      <c r="D1780" s="3" t="s">
        <v>46</v>
      </c>
      <c r="E1780" s="3" t="s">
        <v>25</v>
      </c>
      <c r="F1780" s="3" t="s">
        <v>25</v>
      </c>
      <c r="G1780" s="3" t="s">
        <v>25</v>
      </c>
      <c r="H1780" s="3" t="s">
        <v>36</v>
      </c>
      <c r="I1780" s="6">
        <v>44470</v>
      </c>
      <c r="J1780" s="4">
        <v>0</v>
      </c>
      <c r="K1780" s="4">
        <v>0</v>
      </c>
      <c r="L1780" s="4">
        <v>8.8800000000000008</v>
      </c>
      <c r="M1780" s="4">
        <v>8.8800000000000008</v>
      </c>
      <c r="N1780" s="4">
        <v>8.8800000000000008</v>
      </c>
      <c r="O1780" s="4">
        <v>8.8800000000000008</v>
      </c>
      <c r="P1780" s="4">
        <v>0</v>
      </c>
      <c r="Q1780" s="3" t="s">
        <v>26</v>
      </c>
      <c r="R1780" s="3">
        <v>0</v>
      </c>
      <c r="S1780" s="3" t="s">
        <v>457</v>
      </c>
      <c r="T1780" s="3" t="s">
        <v>698</v>
      </c>
      <c r="U1780" s="3">
        <v>0</v>
      </c>
      <c r="V1780" s="3">
        <v>44</v>
      </c>
      <c r="W1780" s="3">
        <v>84</v>
      </c>
    </row>
    <row r="1781" spans="1:23" ht="11.25" customHeight="1" x14ac:dyDescent="0.25">
      <c r="A1781" s="3" t="s">
        <v>21</v>
      </c>
      <c r="B1781" s="3" t="s">
        <v>39</v>
      </c>
      <c r="C1781" s="3" t="s">
        <v>37</v>
      </c>
      <c r="D1781" s="3" t="s">
        <v>46</v>
      </c>
      <c r="E1781" s="3" t="s">
        <v>25</v>
      </c>
      <c r="F1781" s="3" t="s">
        <v>25</v>
      </c>
      <c r="G1781" s="3" t="s">
        <v>25</v>
      </c>
      <c r="H1781" s="3" t="s">
        <v>36</v>
      </c>
      <c r="I1781" s="6">
        <v>44501</v>
      </c>
      <c r="J1781" s="4">
        <v>0</v>
      </c>
      <c r="K1781" s="4">
        <v>0</v>
      </c>
      <c r="L1781" s="4">
        <v>7.8230000000000004</v>
      </c>
      <c r="M1781" s="4">
        <v>7.8230000000000004</v>
      </c>
      <c r="N1781" s="4">
        <v>7.8230000000000004</v>
      </c>
      <c r="O1781" s="4">
        <v>7.8230000000000004</v>
      </c>
      <c r="P1781" s="4">
        <v>0</v>
      </c>
      <c r="Q1781" s="3" t="s">
        <v>26</v>
      </c>
      <c r="R1781" s="3">
        <v>0</v>
      </c>
      <c r="S1781" s="3" t="s">
        <v>458</v>
      </c>
      <c r="T1781" s="3" t="s">
        <v>699</v>
      </c>
      <c r="U1781" s="3">
        <v>0</v>
      </c>
      <c r="V1781" s="3">
        <v>44</v>
      </c>
      <c r="W1781" s="3">
        <v>84</v>
      </c>
    </row>
    <row r="1782" spans="1:23" ht="11.25" customHeight="1" x14ac:dyDescent="0.25">
      <c r="A1782" s="3" t="s">
        <v>21</v>
      </c>
      <c r="B1782" s="3" t="s">
        <v>39</v>
      </c>
      <c r="C1782" s="3" t="s">
        <v>37</v>
      </c>
      <c r="D1782" s="3" t="s">
        <v>46</v>
      </c>
      <c r="E1782" s="3" t="s">
        <v>25</v>
      </c>
      <c r="F1782" s="3" t="s">
        <v>25</v>
      </c>
      <c r="G1782" s="3" t="s">
        <v>25</v>
      </c>
      <c r="H1782" s="3" t="s">
        <v>36</v>
      </c>
      <c r="I1782" s="6">
        <v>44531</v>
      </c>
      <c r="J1782" s="4">
        <v>0</v>
      </c>
      <c r="K1782" s="4">
        <v>0</v>
      </c>
      <c r="L1782" s="4">
        <v>17.111000000000001</v>
      </c>
      <c r="M1782" s="4">
        <v>17.111000000000001</v>
      </c>
      <c r="N1782" s="4">
        <v>17.111000000000001</v>
      </c>
      <c r="O1782" s="4">
        <v>17.111000000000001</v>
      </c>
      <c r="P1782" s="4">
        <v>0</v>
      </c>
      <c r="Q1782" s="3" t="s">
        <v>26</v>
      </c>
      <c r="R1782" s="3">
        <v>0</v>
      </c>
      <c r="S1782" s="3" t="s">
        <v>459</v>
      </c>
      <c r="T1782" s="3" t="s">
        <v>700</v>
      </c>
      <c r="U1782" s="3">
        <v>0</v>
      </c>
      <c r="V1782" s="3">
        <v>44</v>
      </c>
      <c r="W1782" s="3">
        <v>84</v>
      </c>
    </row>
    <row r="1783" spans="1:23" ht="11.25" customHeight="1" x14ac:dyDescent="0.25">
      <c r="A1783" s="3" t="s">
        <v>21</v>
      </c>
      <c r="B1783" s="3" t="s">
        <v>39</v>
      </c>
      <c r="C1783" s="3" t="s">
        <v>37</v>
      </c>
      <c r="D1783" s="3" t="s">
        <v>46</v>
      </c>
      <c r="E1783" s="3" t="s">
        <v>25</v>
      </c>
      <c r="F1783" s="3" t="s">
        <v>25</v>
      </c>
      <c r="G1783" s="3" t="s">
        <v>25</v>
      </c>
      <c r="H1783" s="3" t="s">
        <v>36</v>
      </c>
      <c r="I1783" s="6">
        <v>44562</v>
      </c>
      <c r="J1783" s="4">
        <v>0</v>
      </c>
      <c r="K1783" s="4">
        <v>0</v>
      </c>
      <c r="L1783" s="4">
        <v>24.946999999999999</v>
      </c>
      <c r="M1783" s="4">
        <v>24.946999999999999</v>
      </c>
      <c r="N1783" s="4">
        <v>24.946999999999999</v>
      </c>
      <c r="O1783" s="4">
        <v>24.946999999999999</v>
      </c>
      <c r="P1783" s="4">
        <v>0</v>
      </c>
      <c r="Q1783" s="3" t="s">
        <v>26</v>
      </c>
      <c r="R1783" s="3">
        <v>0</v>
      </c>
      <c r="S1783" s="3" t="s">
        <v>460</v>
      </c>
      <c r="T1783" s="3" t="s">
        <v>701</v>
      </c>
      <c r="U1783" s="3">
        <v>0</v>
      </c>
      <c r="V1783" s="3">
        <v>44</v>
      </c>
      <c r="W1783" s="3">
        <v>84</v>
      </c>
    </row>
    <row r="1784" spans="1:23" ht="11.25" customHeight="1" x14ac:dyDescent="0.25">
      <c r="A1784" s="3" t="s">
        <v>27</v>
      </c>
      <c r="B1784" s="3" t="s">
        <v>39</v>
      </c>
      <c r="C1784" s="3" t="s">
        <v>37</v>
      </c>
      <c r="D1784" s="3" t="s">
        <v>46</v>
      </c>
      <c r="E1784" s="3" t="s">
        <v>25</v>
      </c>
      <c r="F1784" s="3" t="s">
        <v>25</v>
      </c>
      <c r="G1784" s="3" t="s">
        <v>25</v>
      </c>
      <c r="H1784" s="3" t="s">
        <v>36</v>
      </c>
      <c r="I1784" s="6">
        <v>44562</v>
      </c>
      <c r="J1784" s="4">
        <v>0</v>
      </c>
      <c r="K1784" s="4">
        <v>0</v>
      </c>
      <c r="L1784" s="4">
        <v>2.657</v>
      </c>
      <c r="M1784" s="4">
        <v>2.657</v>
      </c>
      <c r="N1784" s="4">
        <v>2.657</v>
      </c>
      <c r="O1784" s="4">
        <v>2.657</v>
      </c>
      <c r="P1784" s="4">
        <v>0</v>
      </c>
      <c r="Q1784" s="3" t="s">
        <v>26</v>
      </c>
      <c r="R1784" s="3">
        <v>0</v>
      </c>
      <c r="S1784" s="3" t="s">
        <v>460</v>
      </c>
      <c r="T1784" s="3" t="s">
        <v>701</v>
      </c>
      <c r="U1784" s="3">
        <v>0</v>
      </c>
      <c r="V1784" s="3">
        <v>44</v>
      </c>
      <c r="W1784" s="3">
        <v>84</v>
      </c>
    </row>
    <row r="1785" spans="1:23" ht="11.25" customHeight="1" x14ac:dyDescent="0.25">
      <c r="A1785" s="3" t="s">
        <v>21</v>
      </c>
      <c r="B1785" s="3" t="s">
        <v>39</v>
      </c>
      <c r="C1785" s="3" t="s">
        <v>37</v>
      </c>
      <c r="D1785" s="3" t="s">
        <v>46</v>
      </c>
      <c r="E1785" s="3" t="s">
        <v>25</v>
      </c>
      <c r="F1785" s="3" t="s">
        <v>25</v>
      </c>
      <c r="G1785" s="3" t="s">
        <v>25</v>
      </c>
      <c r="H1785" s="3" t="s">
        <v>36</v>
      </c>
      <c r="I1785" s="6">
        <v>44593</v>
      </c>
      <c r="J1785" s="4">
        <v>0</v>
      </c>
      <c r="K1785" s="4">
        <v>0</v>
      </c>
      <c r="L1785" s="4">
        <v>31.097000000000001</v>
      </c>
      <c r="M1785" s="4">
        <v>31.097000000000001</v>
      </c>
      <c r="N1785" s="4">
        <v>31.097000000000001</v>
      </c>
      <c r="O1785" s="4">
        <v>31.097000000000001</v>
      </c>
      <c r="P1785" s="4">
        <v>0</v>
      </c>
      <c r="Q1785" s="3" t="s">
        <v>26</v>
      </c>
      <c r="R1785" s="3">
        <v>0</v>
      </c>
      <c r="S1785" s="3" t="s">
        <v>461</v>
      </c>
      <c r="T1785" s="3" t="s">
        <v>702</v>
      </c>
      <c r="U1785" s="3">
        <v>0</v>
      </c>
      <c r="V1785" s="3">
        <v>44</v>
      </c>
      <c r="W1785" s="3">
        <v>84</v>
      </c>
    </row>
    <row r="1786" spans="1:23" ht="11.25" customHeight="1" x14ac:dyDescent="0.25">
      <c r="A1786" s="3" t="s">
        <v>21</v>
      </c>
      <c r="B1786" s="3" t="s">
        <v>39</v>
      </c>
      <c r="C1786" s="3" t="s">
        <v>37</v>
      </c>
      <c r="D1786" s="3" t="s">
        <v>46</v>
      </c>
      <c r="E1786" s="3" t="s">
        <v>25</v>
      </c>
      <c r="F1786" s="3" t="s">
        <v>25</v>
      </c>
      <c r="G1786" s="3" t="s">
        <v>25</v>
      </c>
      <c r="H1786" s="3" t="s">
        <v>36</v>
      </c>
      <c r="I1786" s="6">
        <v>44621</v>
      </c>
      <c r="J1786" s="4">
        <v>0</v>
      </c>
      <c r="K1786" s="4">
        <v>0</v>
      </c>
      <c r="L1786" s="4">
        <v>32.451000000000001</v>
      </c>
      <c r="M1786" s="4">
        <v>32.451000000000001</v>
      </c>
      <c r="N1786" s="4">
        <v>32.451000000000001</v>
      </c>
      <c r="O1786" s="4">
        <v>32.451000000000001</v>
      </c>
      <c r="P1786" s="4">
        <v>0</v>
      </c>
      <c r="Q1786" s="3" t="s">
        <v>26</v>
      </c>
      <c r="R1786" s="3">
        <v>0</v>
      </c>
      <c r="S1786" s="3" t="s">
        <v>462</v>
      </c>
      <c r="T1786" s="3" t="s">
        <v>703</v>
      </c>
      <c r="U1786" s="3">
        <v>0</v>
      </c>
      <c r="V1786" s="3">
        <v>44</v>
      </c>
      <c r="W1786" s="3">
        <v>84</v>
      </c>
    </row>
    <row r="1787" spans="1:23" ht="11.25" customHeight="1" x14ac:dyDescent="0.25">
      <c r="A1787" s="3" t="s">
        <v>56</v>
      </c>
      <c r="B1787" s="3" t="s">
        <v>39</v>
      </c>
      <c r="C1787" s="3" t="s">
        <v>37</v>
      </c>
      <c r="D1787" s="3" t="s">
        <v>46</v>
      </c>
      <c r="E1787" s="3" t="s">
        <v>25</v>
      </c>
      <c r="F1787" s="3" t="s">
        <v>25</v>
      </c>
      <c r="G1787" s="3" t="s">
        <v>25</v>
      </c>
      <c r="H1787" s="3" t="s">
        <v>36</v>
      </c>
      <c r="I1787" s="6">
        <v>44652</v>
      </c>
      <c r="J1787" s="4">
        <v>0</v>
      </c>
      <c r="K1787" s="4">
        <v>0</v>
      </c>
      <c r="L1787" s="4">
        <v>32.451000000000001</v>
      </c>
      <c r="M1787" s="4">
        <v>32.451000000000001</v>
      </c>
      <c r="N1787" s="4">
        <v>32.451000000000001</v>
      </c>
      <c r="O1787" s="4">
        <v>32.451000000000001</v>
      </c>
      <c r="P1787" s="4">
        <v>0</v>
      </c>
      <c r="Q1787" s="3" t="s">
        <v>26</v>
      </c>
      <c r="R1787" s="3">
        <v>0</v>
      </c>
      <c r="S1787" s="3" t="s">
        <v>463</v>
      </c>
      <c r="T1787" s="3" t="s">
        <v>704</v>
      </c>
      <c r="U1787" s="3">
        <v>0</v>
      </c>
      <c r="V1787" s="3">
        <v>44</v>
      </c>
      <c r="W1787" s="3">
        <v>84</v>
      </c>
    </row>
    <row r="1788" spans="1:23" ht="11.25" customHeight="1" x14ac:dyDescent="0.25">
      <c r="A1788" s="3" t="s">
        <v>21</v>
      </c>
      <c r="B1788" s="3" t="s">
        <v>39</v>
      </c>
      <c r="C1788" s="3" t="s">
        <v>37</v>
      </c>
      <c r="D1788" s="3" t="s">
        <v>46</v>
      </c>
      <c r="E1788" s="3" t="s">
        <v>25</v>
      </c>
      <c r="F1788" s="3" t="s">
        <v>25</v>
      </c>
      <c r="G1788" s="3" t="s">
        <v>25</v>
      </c>
      <c r="H1788" s="3" t="s">
        <v>38</v>
      </c>
      <c r="I1788" s="6">
        <v>44317</v>
      </c>
      <c r="J1788" s="4">
        <v>0</v>
      </c>
      <c r="K1788" s="4">
        <v>0</v>
      </c>
      <c r="L1788" s="4">
        <v>2.4E-2</v>
      </c>
      <c r="M1788" s="4">
        <v>2.4E-2</v>
      </c>
      <c r="N1788" s="4">
        <v>2.4E-2</v>
      </c>
      <c r="O1788" s="4">
        <v>2.4E-2</v>
      </c>
      <c r="P1788" s="4">
        <v>0</v>
      </c>
      <c r="Q1788" s="3" t="s">
        <v>26</v>
      </c>
      <c r="R1788" s="3">
        <v>0</v>
      </c>
      <c r="S1788" s="3" t="s">
        <v>464</v>
      </c>
      <c r="T1788" s="3" t="s">
        <v>705</v>
      </c>
      <c r="U1788" s="3">
        <v>0</v>
      </c>
      <c r="V1788" s="3">
        <v>43</v>
      </c>
      <c r="W1788" s="3">
        <v>83</v>
      </c>
    </row>
    <row r="1789" spans="1:23" ht="11.25" customHeight="1" x14ac:dyDescent="0.25">
      <c r="A1789" s="3" t="s">
        <v>21</v>
      </c>
      <c r="B1789" s="3" t="s">
        <v>39</v>
      </c>
      <c r="C1789" s="3" t="s">
        <v>37</v>
      </c>
      <c r="D1789" s="3" t="s">
        <v>46</v>
      </c>
      <c r="E1789" s="3" t="s">
        <v>25</v>
      </c>
      <c r="F1789" s="3" t="s">
        <v>25</v>
      </c>
      <c r="G1789" s="3" t="s">
        <v>25</v>
      </c>
      <c r="H1789" s="3" t="s">
        <v>38</v>
      </c>
      <c r="I1789" s="6">
        <v>44348</v>
      </c>
      <c r="J1789" s="4">
        <v>0</v>
      </c>
      <c r="K1789" s="4">
        <v>0</v>
      </c>
      <c r="L1789" s="4">
        <v>2.4E-2</v>
      </c>
      <c r="M1789" s="4">
        <v>2.4E-2</v>
      </c>
      <c r="N1789" s="4">
        <v>2.4E-2</v>
      </c>
      <c r="O1789" s="4">
        <v>2.4E-2</v>
      </c>
      <c r="P1789" s="4">
        <v>0</v>
      </c>
      <c r="Q1789" s="3" t="s">
        <v>26</v>
      </c>
      <c r="R1789" s="3">
        <v>0</v>
      </c>
      <c r="S1789" s="3" t="s">
        <v>465</v>
      </c>
      <c r="T1789" s="3" t="s">
        <v>706</v>
      </c>
      <c r="U1789" s="3">
        <v>0</v>
      </c>
      <c r="V1789" s="3">
        <v>43</v>
      </c>
      <c r="W1789" s="3">
        <v>83</v>
      </c>
    </row>
    <row r="1790" spans="1:23" ht="11.25" customHeight="1" x14ac:dyDescent="0.25">
      <c r="A1790" s="3" t="s">
        <v>21</v>
      </c>
      <c r="B1790" s="3" t="s">
        <v>39</v>
      </c>
      <c r="C1790" s="3" t="s">
        <v>37</v>
      </c>
      <c r="D1790" s="3" t="s">
        <v>46</v>
      </c>
      <c r="E1790" s="3" t="s">
        <v>25</v>
      </c>
      <c r="F1790" s="3" t="s">
        <v>25</v>
      </c>
      <c r="G1790" s="3" t="s">
        <v>25</v>
      </c>
      <c r="H1790" s="3" t="s">
        <v>38</v>
      </c>
      <c r="I1790" s="6">
        <v>44378</v>
      </c>
      <c r="J1790" s="4">
        <v>0</v>
      </c>
      <c r="K1790" s="4">
        <v>0</v>
      </c>
      <c r="L1790" s="4">
        <v>2.7149999999999999</v>
      </c>
      <c r="M1790" s="4">
        <v>2.7149999999999999</v>
      </c>
      <c r="N1790" s="4">
        <v>2.7149999999999999</v>
      </c>
      <c r="O1790" s="4">
        <v>2.7149999999999999</v>
      </c>
      <c r="P1790" s="4">
        <v>0</v>
      </c>
      <c r="Q1790" s="3" t="s">
        <v>26</v>
      </c>
      <c r="R1790" s="3">
        <v>0</v>
      </c>
      <c r="S1790" s="3" t="s">
        <v>466</v>
      </c>
      <c r="T1790" s="3" t="s">
        <v>707</v>
      </c>
      <c r="U1790" s="3">
        <v>0</v>
      </c>
      <c r="V1790" s="3">
        <v>43</v>
      </c>
      <c r="W1790" s="3">
        <v>83</v>
      </c>
    </row>
    <row r="1791" spans="1:23" ht="11.25" customHeight="1" x14ac:dyDescent="0.25">
      <c r="A1791" s="3" t="s">
        <v>21</v>
      </c>
      <c r="B1791" s="3" t="s">
        <v>39</v>
      </c>
      <c r="C1791" s="3" t="s">
        <v>37</v>
      </c>
      <c r="D1791" s="3" t="s">
        <v>46</v>
      </c>
      <c r="E1791" s="3" t="s">
        <v>25</v>
      </c>
      <c r="F1791" s="3" t="s">
        <v>25</v>
      </c>
      <c r="G1791" s="3" t="s">
        <v>25</v>
      </c>
      <c r="H1791" s="3" t="s">
        <v>38</v>
      </c>
      <c r="I1791" s="6">
        <v>44409</v>
      </c>
      <c r="J1791" s="4">
        <v>0</v>
      </c>
      <c r="K1791" s="4">
        <v>0</v>
      </c>
      <c r="L1791" s="4">
        <v>0.22600000000000001</v>
      </c>
      <c r="M1791" s="4">
        <v>0.22600000000000001</v>
      </c>
      <c r="N1791" s="4">
        <v>0.22600000000000001</v>
      </c>
      <c r="O1791" s="4">
        <v>0.22600000000000001</v>
      </c>
      <c r="P1791" s="4">
        <v>0</v>
      </c>
      <c r="Q1791" s="3" t="s">
        <v>26</v>
      </c>
      <c r="R1791" s="3">
        <v>0</v>
      </c>
      <c r="S1791" s="3" t="s">
        <v>467</v>
      </c>
      <c r="T1791" s="3" t="s">
        <v>708</v>
      </c>
      <c r="U1791" s="3">
        <v>0</v>
      </c>
      <c r="V1791" s="3">
        <v>43</v>
      </c>
      <c r="W1791" s="3">
        <v>83</v>
      </c>
    </row>
    <row r="1792" spans="1:23" ht="11.25" customHeight="1" x14ac:dyDescent="0.25">
      <c r="A1792" s="3" t="s">
        <v>21</v>
      </c>
      <c r="B1792" s="3" t="s">
        <v>39</v>
      </c>
      <c r="C1792" s="3" t="s">
        <v>37</v>
      </c>
      <c r="D1792" s="3" t="s">
        <v>46</v>
      </c>
      <c r="E1792" s="3" t="s">
        <v>25</v>
      </c>
      <c r="F1792" s="3" t="s">
        <v>25</v>
      </c>
      <c r="G1792" s="3" t="s">
        <v>25</v>
      </c>
      <c r="H1792" s="3" t="s">
        <v>38</v>
      </c>
      <c r="I1792" s="6">
        <v>44440</v>
      </c>
      <c r="J1792" s="4">
        <v>0</v>
      </c>
      <c r="K1792" s="4">
        <v>0</v>
      </c>
      <c r="L1792" s="4">
        <v>0.252</v>
      </c>
      <c r="M1792" s="4">
        <v>0.252</v>
      </c>
      <c r="N1792" s="4">
        <v>0.252</v>
      </c>
      <c r="O1792" s="4">
        <v>0.252</v>
      </c>
      <c r="P1792" s="4">
        <v>0</v>
      </c>
      <c r="Q1792" s="3" t="s">
        <v>26</v>
      </c>
      <c r="R1792" s="3">
        <v>0</v>
      </c>
      <c r="S1792" s="3" t="s">
        <v>468</v>
      </c>
      <c r="T1792" s="3" t="s">
        <v>709</v>
      </c>
      <c r="U1792" s="3">
        <v>0</v>
      </c>
      <c r="V1792" s="3">
        <v>43</v>
      </c>
      <c r="W1792" s="3">
        <v>83</v>
      </c>
    </row>
    <row r="1793" spans="1:23" ht="11.25" customHeight="1" x14ac:dyDescent="0.25">
      <c r="A1793" s="3" t="s">
        <v>21</v>
      </c>
      <c r="B1793" s="3" t="s">
        <v>39</v>
      </c>
      <c r="C1793" s="3" t="s">
        <v>37</v>
      </c>
      <c r="D1793" s="3" t="s">
        <v>46</v>
      </c>
      <c r="E1793" s="3" t="s">
        <v>25</v>
      </c>
      <c r="F1793" s="3" t="s">
        <v>25</v>
      </c>
      <c r="G1793" s="3" t="s">
        <v>25</v>
      </c>
      <c r="H1793" s="3" t="s">
        <v>38</v>
      </c>
      <c r="I1793" s="6">
        <v>44470</v>
      </c>
      <c r="J1793" s="4">
        <v>0</v>
      </c>
      <c r="K1793" s="4">
        <v>0</v>
      </c>
      <c r="L1793" s="4">
        <v>0.57099999999999995</v>
      </c>
      <c r="M1793" s="4">
        <v>0.57099999999999995</v>
      </c>
      <c r="N1793" s="4">
        <v>0.57099999999999995</v>
      </c>
      <c r="O1793" s="4">
        <v>0.57099999999999995</v>
      </c>
      <c r="P1793" s="4">
        <v>0</v>
      </c>
      <c r="Q1793" s="3" t="s">
        <v>26</v>
      </c>
      <c r="R1793" s="3">
        <v>0</v>
      </c>
      <c r="S1793" s="3" t="s">
        <v>469</v>
      </c>
      <c r="T1793" s="3" t="s">
        <v>710</v>
      </c>
      <c r="U1793" s="3">
        <v>0</v>
      </c>
      <c r="V1793" s="3">
        <v>43</v>
      </c>
      <c r="W1793" s="3">
        <v>83</v>
      </c>
    </row>
    <row r="1794" spans="1:23" ht="11.25" customHeight="1" x14ac:dyDescent="0.25">
      <c r="A1794" s="3" t="s">
        <v>21</v>
      </c>
      <c r="B1794" s="3" t="s">
        <v>39</v>
      </c>
      <c r="C1794" s="3" t="s">
        <v>37</v>
      </c>
      <c r="D1794" s="3" t="s">
        <v>46</v>
      </c>
      <c r="E1794" s="3" t="s">
        <v>25</v>
      </c>
      <c r="F1794" s="3" t="s">
        <v>25</v>
      </c>
      <c r="G1794" s="3" t="s">
        <v>25</v>
      </c>
      <c r="H1794" s="3" t="s">
        <v>38</v>
      </c>
      <c r="I1794" s="6">
        <v>44501</v>
      </c>
      <c r="J1794" s="4">
        <v>0</v>
      </c>
      <c r="K1794" s="4">
        <v>0</v>
      </c>
      <c r="L1794" s="4">
        <v>0.46100000000000002</v>
      </c>
      <c r="M1794" s="4">
        <v>0.46100000000000002</v>
      </c>
      <c r="N1794" s="4">
        <v>0.46100000000000002</v>
      </c>
      <c r="O1794" s="4">
        <v>0.46100000000000002</v>
      </c>
      <c r="P1794" s="4">
        <v>0</v>
      </c>
      <c r="Q1794" s="3" t="s">
        <v>26</v>
      </c>
      <c r="R1794" s="3">
        <v>0</v>
      </c>
      <c r="S1794" s="3" t="s">
        <v>470</v>
      </c>
      <c r="T1794" s="3" t="s">
        <v>711</v>
      </c>
      <c r="U1794" s="3">
        <v>0</v>
      </c>
      <c r="V1794" s="3">
        <v>43</v>
      </c>
      <c r="W1794" s="3">
        <v>83</v>
      </c>
    </row>
    <row r="1795" spans="1:23" ht="11.25" customHeight="1" x14ac:dyDescent="0.25">
      <c r="A1795" s="3" t="s">
        <v>21</v>
      </c>
      <c r="B1795" s="3" t="s">
        <v>39</v>
      </c>
      <c r="C1795" s="3" t="s">
        <v>37</v>
      </c>
      <c r="D1795" s="3" t="s">
        <v>46</v>
      </c>
      <c r="E1795" s="3" t="s">
        <v>25</v>
      </c>
      <c r="F1795" s="3" t="s">
        <v>25</v>
      </c>
      <c r="G1795" s="3" t="s">
        <v>25</v>
      </c>
      <c r="H1795" s="3" t="s">
        <v>38</v>
      </c>
      <c r="I1795" s="6">
        <v>44531</v>
      </c>
      <c r="J1795" s="4">
        <v>0</v>
      </c>
      <c r="K1795" s="4">
        <v>0</v>
      </c>
      <c r="L1795" s="4">
        <v>1.484</v>
      </c>
      <c r="M1795" s="4">
        <v>1.484</v>
      </c>
      <c r="N1795" s="4">
        <v>1.484</v>
      </c>
      <c r="O1795" s="4">
        <v>1.484</v>
      </c>
      <c r="P1795" s="4">
        <v>0</v>
      </c>
      <c r="Q1795" s="3" t="s">
        <v>26</v>
      </c>
      <c r="R1795" s="3">
        <v>0</v>
      </c>
      <c r="S1795" s="3" t="s">
        <v>471</v>
      </c>
      <c r="T1795" s="3" t="s">
        <v>712</v>
      </c>
      <c r="U1795" s="3">
        <v>0</v>
      </c>
      <c r="V1795" s="3">
        <v>43</v>
      </c>
      <c r="W1795" s="3">
        <v>83</v>
      </c>
    </row>
    <row r="1796" spans="1:23" ht="11.25" customHeight="1" x14ac:dyDescent="0.25">
      <c r="A1796" s="3" t="s">
        <v>21</v>
      </c>
      <c r="B1796" s="3" t="s">
        <v>39</v>
      </c>
      <c r="C1796" s="3" t="s">
        <v>37</v>
      </c>
      <c r="D1796" s="3" t="s">
        <v>46</v>
      </c>
      <c r="E1796" s="3" t="s">
        <v>25</v>
      </c>
      <c r="F1796" s="3" t="s">
        <v>25</v>
      </c>
      <c r="G1796" s="3" t="s">
        <v>25</v>
      </c>
      <c r="H1796" s="3" t="s">
        <v>38</v>
      </c>
      <c r="I1796" s="6">
        <v>44562</v>
      </c>
      <c r="J1796" s="4">
        <v>0</v>
      </c>
      <c r="K1796" s="4">
        <v>0</v>
      </c>
      <c r="L1796" s="4">
        <v>1.099</v>
      </c>
      <c r="M1796" s="4">
        <v>1.099</v>
      </c>
      <c r="N1796" s="4">
        <v>1.099</v>
      </c>
      <c r="O1796" s="4">
        <v>1.099</v>
      </c>
      <c r="P1796" s="4">
        <v>0</v>
      </c>
      <c r="Q1796" s="3" t="s">
        <v>26</v>
      </c>
      <c r="R1796" s="3">
        <v>0</v>
      </c>
      <c r="S1796" s="3" t="s">
        <v>472</v>
      </c>
      <c r="T1796" s="3" t="s">
        <v>713</v>
      </c>
      <c r="U1796" s="3">
        <v>0</v>
      </c>
      <c r="V1796" s="3">
        <v>43</v>
      </c>
      <c r="W1796" s="3">
        <v>83</v>
      </c>
    </row>
    <row r="1797" spans="1:23" ht="11.25" customHeight="1" x14ac:dyDescent="0.25">
      <c r="A1797" s="3" t="s">
        <v>27</v>
      </c>
      <c r="B1797" s="3" t="s">
        <v>39</v>
      </c>
      <c r="C1797" s="3" t="s">
        <v>37</v>
      </c>
      <c r="D1797" s="3" t="s">
        <v>46</v>
      </c>
      <c r="E1797" s="3" t="s">
        <v>25</v>
      </c>
      <c r="F1797" s="3" t="s">
        <v>25</v>
      </c>
      <c r="G1797" s="3" t="s">
        <v>25</v>
      </c>
      <c r="H1797" s="3" t="s">
        <v>38</v>
      </c>
      <c r="I1797" s="6">
        <v>44562</v>
      </c>
      <c r="J1797" s="4">
        <v>0</v>
      </c>
      <c r="K1797" s="4">
        <v>0</v>
      </c>
      <c r="L1797" s="4">
        <v>-2.657</v>
      </c>
      <c r="M1797" s="4">
        <v>-2.657</v>
      </c>
      <c r="N1797" s="4">
        <v>-2.657</v>
      </c>
      <c r="O1797" s="4">
        <v>-2.657</v>
      </c>
      <c r="P1797" s="4">
        <v>0</v>
      </c>
      <c r="Q1797" s="3" t="s">
        <v>26</v>
      </c>
      <c r="R1797" s="3">
        <v>0</v>
      </c>
      <c r="S1797" s="3" t="s">
        <v>472</v>
      </c>
      <c r="T1797" s="3" t="s">
        <v>713</v>
      </c>
      <c r="U1797" s="3">
        <v>0</v>
      </c>
      <c r="V1797" s="3">
        <v>43</v>
      </c>
      <c r="W1797" s="3">
        <v>83</v>
      </c>
    </row>
    <row r="1798" spans="1:23" ht="11.25" customHeight="1" x14ac:dyDescent="0.25">
      <c r="A1798" s="3" t="s">
        <v>21</v>
      </c>
      <c r="B1798" s="3" t="s">
        <v>39</v>
      </c>
      <c r="C1798" s="3" t="s">
        <v>37</v>
      </c>
      <c r="D1798" s="3" t="s">
        <v>46</v>
      </c>
      <c r="E1798" s="3" t="s">
        <v>25</v>
      </c>
      <c r="F1798" s="3" t="s">
        <v>25</v>
      </c>
      <c r="G1798" s="3" t="s">
        <v>25</v>
      </c>
      <c r="H1798" s="3" t="s">
        <v>38</v>
      </c>
      <c r="I1798" s="6">
        <v>44593</v>
      </c>
      <c r="J1798" s="4">
        <v>0</v>
      </c>
      <c r="K1798" s="4">
        <v>0</v>
      </c>
      <c r="L1798" s="4">
        <v>1.9079999999999999</v>
      </c>
      <c r="M1798" s="4">
        <v>1.9079999999999999</v>
      </c>
      <c r="N1798" s="4">
        <v>1.9079999999999999</v>
      </c>
      <c r="O1798" s="4">
        <v>1.9079999999999999</v>
      </c>
      <c r="P1798" s="4">
        <v>0</v>
      </c>
      <c r="Q1798" s="3" t="s">
        <v>26</v>
      </c>
      <c r="R1798" s="3">
        <v>0</v>
      </c>
      <c r="S1798" s="3" t="s">
        <v>473</v>
      </c>
      <c r="T1798" s="3" t="s">
        <v>714</v>
      </c>
      <c r="U1798" s="3">
        <v>0</v>
      </c>
      <c r="V1798" s="3">
        <v>43</v>
      </c>
      <c r="W1798" s="3">
        <v>83</v>
      </c>
    </row>
    <row r="1799" spans="1:23" ht="11.25" customHeight="1" x14ac:dyDescent="0.25">
      <c r="A1799" s="3" t="s">
        <v>21</v>
      </c>
      <c r="B1799" s="3" t="s">
        <v>39</v>
      </c>
      <c r="C1799" s="3" t="s">
        <v>37</v>
      </c>
      <c r="D1799" s="3" t="s">
        <v>46</v>
      </c>
      <c r="E1799" s="3" t="s">
        <v>25</v>
      </c>
      <c r="F1799" s="3" t="s">
        <v>25</v>
      </c>
      <c r="G1799" s="3" t="s">
        <v>25</v>
      </c>
      <c r="H1799" s="3" t="s">
        <v>38</v>
      </c>
      <c r="I1799" s="6">
        <v>44621</v>
      </c>
      <c r="J1799" s="4">
        <v>0</v>
      </c>
      <c r="K1799" s="4">
        <v>0</v>
      </c>
      <c r="L1799" s="4">
        <v>2.0619999999999998</v>
      </c>
      <c r="M1799" s="4">
        <v>2.0619999999999998</v>
      </c>
      <c r="N1799" s="4">
        <v>2.0619999999999998</v>
      </c>
      <c r="O1799" s="4">
        <v>2.0619999999999998</v>
      </c>
      <c r="P1799" s="4">
        <v>0</v>
      </c>
      <c r="Q1799" s="3" t="s">
        <v>26</v>
      </c>
      <c r="R1799" s="3">
        <v>0</v>
      </c>
      <c r="S1799" s="3" t="s">
        <v>474</v>
      </c>
      <c r="T1799" s="3" t="s">
        <v>715</v>
      </c>
      <c r="U1799" s="3">
        <v>0</v>
      </c>
      <c r="V1799" s="3">
        <v>43</v>
      </c>
      <c r="W1799" s="3">
        <v>83</v>
      </c>
    </row>
    <row r="1800" spans="1:23" ht="11.25" customHeight="1" x14ac:dyDescent="0.25">
      <c r="A1800" s="3" t="s">
        <v>56</v>
      </c>
      <c r="B1800" s="3" t="s">
        <v>39</v>
      </c>
      <c r="C1800" s="3" t="s">
        <v>37</v>
      </c>
      <c r="D1800" s="3" t="s">
        <v>46</v>
      </c>
      <c r="E1800" s="3" t="s">
        <v>25</v>
      </c>
      <c r="F1800" s="3" t="s">
        <v>25</v>
      </c>
      <c r="G1800" s="3" t="s">
        <v>25</v>
      </c>
      <c r="H1800" s="3" t="s">
        <v>38</v>
      </c>
      <c r="I1800" s="6">
        <v>44652</v>
      </c>
      <c r="J1800" s="4">
        <v>0</v>
      </c>
      <c r="K1800" s="4">
        <v>0</v>
      </c>
      <c r="L1800" s="4">
        <v>2.0619999999999998</v>
      </c>
      <c r="M1800" s="4">
        <v>2.0619999999999998</v>
      </c>
      <c r="N1800" s="4">
        <v>2.0619999999999998</v>
      </c>
      <c r="O1800" s="4">
        <v>2.0619999999999998</v>
      </c>
      <c r="P1800" s="4">
        <v>0</v>
      </c>
      <c r="Q1800" s="3" t="s">
        <v>26</v>
      </c>
      <c r="R1800" s="3">
        <v>0</v>
      </c>
      <c r="S1800" s="3" t="s">
        <v>475</v>
      </c>
      <c r="T1800" s="3" t="s">
        <v>716</v>
      </c>
      <c r="U1800" s="3">
        <v>0</v>
      </c>
      <c r="V1800" s="3">
        <v>43</v>
      </c>
      <c r="W1800" s="3">
        <v>83</v>
      </c>
    </row>
    <row r="1801" spans="1:23" ht="11.25" customHeight="1" x14ac:dyDescent="0.25">
      <c r="A1801" s="3" t="s">
        <v>21</v>
      </c>
      <c r="B1801" s="3" t="s">
        <v>39</v>
      </c>
      <c r="C1801" s="3" t="s">
        <v>37</v>
      </c>
      <c r="D1801" s="3" t="s">
        <v>46</v>
      </c>
      <c r="E1801" s="3" t="s">
        <v>25</v>
      </c>
      <c r="F1801" s="3" t="s">
        <v>25</v>
      </c>
      <c r="G1801" s="3" t="s">
        <v>25</v>
      </c>
      <c r="H1801" s="3" t="s">
        <v>35</v>
      </c>
      <c r="I1801" s="6">
        <v>44317</v>
      </c>
      <c r="J1801" s="4">
        <v>0</v>
      </c>
      <c r="K1801" s="4">
        <v>0</v>
      </c>
      <c r="L1801" s="4">
        <v>3.5000000000000003E-2</v>
      </c>
      <c r="M1801" s="4">
        <v>3.5000000000000003E-2</v>
      </c>
      <c r="N1801" s="4">
        <v>3.5000000000000003E-2</v>
      </c>
      <c r="O1801" s="4">
        <v>3.5000000000000003E-2</v>
      </c>
      <c r="P1801" s="4">
        <v>0</v>
      </c>
      <c r="Q1801" s="3" t="s">
        <v>26</v>
      </c>
      <c r="R1801" s="3">
        <v>0</v>
      </c>
      <c r="S1801" s="3" t="s">
        <v>476</v>
      </c>
      <c r="T1801" s="3" t="s">
        <v>717</v>
      </c>
      <c r="U1801" s="3">
        <v>0</v>
      </c>
      <c r="V1801" s="3">
        <v>42</v>
      </c>
      <c r="W1801" s="3">
        <v>82</v>
      </c>
    </row>
    <row r="1802" spans="1:23" ht="11.25" customHeight="1" x14ac:dyDescent="0.25">
      <c r="A1802" s="3" t="s">
        <v>21</v>
      </c>
      <c r="B1802" s="3" t="s">
        <v>39</v>
      </c>
      <c r="C1802" s="3" t="s">
        <v>37</v>
      </c>
      <c r="D1802" s="3" t="s">
        <v>46</v>
      </c>
      <c r="E1802" s="3" t="s">
        <v>25</v>
      </c>
      <c r="F1802" s="3" t="s">
        <v>25</v>
      </c>
      <c r="G1802" s="3" t="s">
        <v>25</v>
      </c>
      <c r="H1802" s="3" t="s">
        <v>35</v>
      </c>
      <c r="I1802" s="6">
        <v>44348</v>
      </c>
      <c r="J1802" s="4">
        <v>0</v>
      </c>
      <c r="K1802" s="4">
        <v>0</v>
      </c>
      <c r="L1802" s="4">
        <v>3.7999999999999999E-2</v>
      </c>
      <c r="M1802" s="4">
        <v>3.7999999999999999E-2</v>
      </c>
      <c r="N1802" s="4">
        <v>3.7999999999999999E-2</v>
      </c>
      <c r="O1802" s="4">
        <v>3.7999999999999999E-2</v>
      </c>
      <c r="P1802" s="4">
        <v>0</v>
      </c>
      <c r="Q1802" s="3" t="s">
        <v>26</v>
      </c>
      <c r="R1802" s="3">
        <v>0</v>
      </c>
      <c r="S1802" s="3" t="s">
        <v>477</v>
      </c>
      <c r="T1802" s="3" t="s">
        <v>718</v>
      </c>
      <c r="U1802" s="3">
        <v>0</v>
      </c>
      <c r="V1802" s="3">
        <v>42</v>
      </c>
      <c r="W1802" s="3">
        <v>82</v>
      </c>
    </row>
    <row r="1803" spans="1:23" ht="11.25" customHeight="1" x14ac:dyDescent="0.25">
      <c r="A1803" s="3" t="s">
        <v>21</v>
      </c>
      <c r="B1803" s="3" t="s">
        <v>39</v>
      </c>
      <c r="C1803" s="3" t="s">
        <v>37</v>
      </c>
      <c r="D1803" s="3" t="s">
        <v>46</v>
      </c>
      <c r="E1803" s="3" t="s">
        <v>25</v>
      </c>
      <c r="F1803" s="3" t="s">
        <v>25</v>
      </c>
      <c r="G1803" s="3" t="s">
        <v>25</v>
      </c>
      <c r="H1803" s="3" t="s">
        <v>35</v>
      </c>
      <c r="I1803" s="6">
        <v>44378</v>
      </c>
      <c r="J1803" s="4">
        <v>0</v>
      </c>
      <c r="K1803" s="4">
        <v>0</v>
      </c>
      <c r="L1803" s="4">
        <v>5.6000000000000001E-2</v>
      </c>
      <c r="M1803" s="4">
        <v>5.6000000000000001E-2</v>
      </c>
      <c r="N1803" s="4">
        <v>5.6000000000000001E-2</v>
      </c>
      <c r="O1803" s="4">
        <v>5.6000000000000001E-2</v>
      </c>
      <c r="P1803" s="4">
        <v>0</v>
      </c>
      <c r="Q1803" s="3" t="s">
        <v>26</v>
      </c>
      <c r="R1803" s="3">
        <v>0</v>
      </c>
      <c r="S1803" s="3" t="s">
        <v>478</v>
      </c>
      <c r="T1803" s="3" t="s">
        <v>719</v>
      </c>
      <c r="U1803" s="3">
        <v>0</v>
      </c>
      <c r="V1803" s="3">
        <v>42</v>
      </c>
      <c r="W1803" s="3">
        <v>82</v>
      </c>
    </row>
    <row r="1804" spans="1:23" ht="11.25" customHeight="1" x14ac:dyDescent="0.25">
      <c r="A1804" s="3" t="s">
        <v>21</v>
      </c>
      <c r="B1804" s="3" t="s">
        <v>39</v>
      </c>
      <c r="C1804" s="3" t="s">
        <v>37</v>
      </c>
      <c r="D1804" s="3" t="s">
        <v>46</v>
      </c>
      <c r="E1804" s="3" t="s">
        <v>25</v>
      </c>
      <c r="F1804" s="3" t="s">
        <v>25</v>
      </c>
      <c r="G1804" s="3" t="s">
        <v>25</v>
      </c>
      <c r="H1804" s="3" t="s">
        <v>35</v>
      </c>
      <c r="I1804" s="6">
        <v>44409</v>
      </c>
      <c r="J1804" s="4">
        <v>0</v>
      </c>
      <c r="K1804" s="4">
        <v>0</v>
      </c>
      <c r="L1804" s="4">
        <v>0.152</v>
      </c>
      <c r="M1804" s="4">
        <v>0.152</v>
      </c>
      <c r="N1804" s="4">
        <v>0.152</v>
      </c>
      <c r="O1804" s="4">
        <v>0.152</v>
      </c>
      <c r="P1804" s="4">
        <v>0</v>
      </c>
      <c r="Q1804" s="3" t="s">
        <v>26</v>
      </c>
      <c r="R1804" s="3">
        <v>0</v>
      </c>
      <c r="S1804" s="3" t="s">
        <v>479</v>
      </c>
      <c r="T1804" s="3" t="s">
        <v>720</v>
      </c>
      <c r="U1804" s="3">
        <v>0</v>
      </c>
      <c r="V1804" s="3">
        <v>42</v>
      </c>
      <c r="W1804" s="3">
        <v>82</v>
      </c>
    </row>
    <row r="1805" spans="1:23" ht="11.25" customHeight="1" x14ac:dyDescent="0.25">
      <c r="A1805" s="3" t="s">
        <v>21</v>
      </c>
      <c r="B1805" s="3" t="s">
        <v>39</v>
      </c>
      <c r="C1805" s="3" t="s">
        <v>37</v>
      </c>
      <c r="D1805" s="3" t="s">
        <v>46</v>
      </c>
      <c r="E1805" s="3" t="s">
        <v>25</v>
      </c>
      <c r="F1805" s="3" t="s">
        <v>25</v>
      </c>
      <c r="G1805" s="3" t="s">
        <v>25</v>
      </c>
      <c r="H1805" s="3" t="s">
        <v>35</v>
      </c>
      <c r="I1805" s="6">
        <v>44440</v>
      </c>
      <c r="J1805" s="4">
        <v>0</v>
      </c>
      <c r="K1805" s="4">
        <v>0</v>
      </c>
      <c r="L1805" s="4">
        <v>0.184</v>
      </c>
      <c r="M1805" s="4">
        <v>0.184</v>
      </c>
      <c r="N1805" s="4">
        <v>0.184</v>
      </c>
      <c r="O1805" s="4">
        <v>0.184</v>
      </c>
      <c r="P1805" s="4">
        <v>0</v>
      </c>
      <c r="Q1805" s="3" t="s">
        <v>26</v>
      </c>
      <c r="R1805" s="3">
        <v>0</v>
      </c>
      <c r="S1805" s="3" t="s">
        <v>480</v>
      </c>
      <c r="T1805" s="3" t="s">
        <v>721</v>
      </c>
      <c r="U1805" s="3">
        <v>0</v>
      </c>
      <c r="V1805" s="3">
        <v>42</v>
      </c>
      <c r="W1805" s="3">
        <v>82</v>
      </c>
    </row>
    <row r="1806" spans="1:23" ht="11.25" customHeight="1" x14ac:dyDescent="0.25">
      <c r="A1806" s="3" t="s">
        <v>21</v>
      </c>
      <c r="B1806" s="3" t="s">
        <v>39</v>
      </c>
      <c r="C1806" s="3" t="s">
        <v>37</v>
      </c>
      <c r="D1806" s="3" t="s">
        <v>46</v>
      </c>
      <c r="E1806" s="3" t="s">
        <v>25</v>
      </c>
      <c r="F1806" s="3" t="s">
        <v>25</v>
      </c>
      <c r="G1806" s="3" t="s">
        <v>25</v>
      </c>
      <c r="H1806" s="3" t="s">
        <v>35</v>
      </c>
      <c r="I1806" s="6">
        <v>44470</v>
      </c>
      <c r="J1806" s="4">
        <v>0</v>
      </c>
      <c r="K1806" s="4">
        <v>0</v>
      </c>
      <c r="L1806" s="4">
        <v>0.28699999999999998</v>
      </c>
      <c r="M1806" s="4">
        <v>0.28699999999999998</v>
      </c>
      <c r="N1806" s="4">
        <v>0.28699999999999998</v>
      </c>
      <c r="O1806" s="4">
        <v>0.28699999999999998</v>
      </c>
      <c r="P1806" s="4">
        <v>0</v>
      </c>
      <c r="Q1806" s="3" t="s">
        <v>26</v>
      </c>
      <c r="R1806" s="3">
        <v>0</v>
      </c>
      <c r="S1806" s="3" t="s">
        <v>481</v>
      </c>
      <c r="T1806" s="3" t="s">
        <v>722</v>
      </c>
      <c r="U1806" s="3">
        <v>0</v>
      </c>
      <c r="V1806" s="3">
        <v>42</v>
      </c>
      <c r="W1806" s="3">
        <v>82</v>
      </c>
    </row>
    <row r="1807" spans="1:23" ht="11.25" customHeight="1" x14ac:dyDescent="0.25">
      <c r="A1807" s="3" t="s">
        <v>21</v>
      </c>
      <c r="B1807" s="3" t="s">
        <v>39</v>
      </c>
      <c r="C1807" s="3" t="s">
        <v>37</v>
      </c>
      <c r="D1807" s="3" t="s">
        <v>46</v>
      </c>
      <c r="E1807" s="3" t="s">
        <v>25</v>
      </c>
      <c r="F1807" s="3" t="s">
        <v>25</v>
      </c>
      <c r="G1807" s="3" t="s">
        <v>25</v>
      </c>
      <c r="H1807" s="3" t="s">
        <v>35</v>
      </c>
      <c r="I1807" s="6">
        <v>44501</v>
      </c>
      <c r="J1807" s="4">
        <v>0</v>
      </c>
      <c r="K1807" s="4">
        <v>0</v>
      </c>
      <c r="L1807" s="4">
        <v>0.23899999999999999</v>
      </c>
      <c r="M1807" s="4">
        <v>0.23899999999999999</v>
      </c>
      <c r="N1807" s="4">
        <v>0.23899999999999999</v>
      </c>
      <c r="O1807" s="4">
        <v>0.23899999999999999</v>
      </c>
      <c r="P1807" s="4">
        <v>0</v>
      </c>
      <c r="Q1807" s="3" t="s">
        <v>26</v>
      </c>
      <c r="R1807" s="3">
        <v>0</v>
      </c>
      <c r="S1807" s="3" t="s">
        <v>482</v>
      </c>
      <c r="T1807" s="3" t="s">
        <v>723</v>
      </c>
      <c r="U1807" s="3">
        <v>0</v>
      </c>
      <c r="V1807" s="3">
        <v>42</v>
      </c>
      <c r="W1807" s="3">
        <v>82</v>
      </c>
    </row>
    <row r="1808" spans="1:23" ht="11.25" customHeight="1" x14ac:dyDescent="0.25">
      <c r="A1808" s="3" t="s">
        <v>21</v>
      </c>
      <c r="B1808" s="3" t="s">
        <v>39</v>
      </c>
      <c r="C1808" s="3" t="s">
        <v>37</v>
      </c>
      <c r="D1808" s="3" t="s">
        <v>46</v>
      </c>
      <c r="E1808" s="3" t="s">
        <v>25</v>
      </c>
      <c r="F1808" s="3" t="s">
        <v>25</v>
      </c>
      <c r="G1808" s="3" t="s">
        <v>25</v>
      </c>
      <c r="H1808" s="3" t="s">
        <v>35</v>
      </c>
      <c r="I1808" s="6">
        <v>44531</v>
      </c>
      <c r="J1808" s="4">
        <v>0</v>
      </c>
      <c r="K1808" s="4">
        <v>0</v>
      </c>
      <c r="L1808" s="4">
        <v>1.25</v>
      </c>
      <c r="M1808" s="4">
        <v>1.25</v>
      </c>
      <c r="N1808" s="4">
        <v>1.25</v>
      </c>
      <c r="O1808" s="4">
        <v>1.25</v>
      </c>
      <c r="P1808" s="4">
        <v>0</v>
      </c>
      <c r="Q1808" s="3" t="s">
        <v>26</v>
      </c>
      <c r="R1808" s="3">
        <v>0</v>
      </c>
      <c r="S1808" s="3" t="s">
        <v>483</v>
      </c>
      <c r="T1808" s="3" t="s">
        <v>724</v>
      </c>
      <c r="U1808" s="3">
        <v>0</v>
      </c>
      <c r="V1808" s="3">
        <v>42</v>
      </c>
      <c r="W1808" s="3">
        <v>82</v>
      </c>
    </row>
    <row r="1809" spans="1:23" ht="11.25" customHeight="1" x14ac:dyDescent="0.25">
      <c r="A1809" s="3" t="s">
        <v>21</v>
      </c>
      <c r="B1809" s="3" t="s">
        <v>39</v>
      </c>
      <c r="C1809" s="3" t="s">
        <v>37</v>
      </c>
      <c r="D1809" s="3" t="s">
        <v>46</v>
      </c>
      <c r="E1809" s="3" t="s">
        <v>25</v>
      </c>
      <c r="F1809" s="3" t="s">
        <v>25</v>
      </c>
      <c r="G1809" s="3" t="s">
        <v>25</v>
      </c>
      <c r="H1809" s="3" t="s">
        <v>35</v>
      </c>
      <c r="I1809" s="6">
        <v>44562</v>
      </c>
      <c r="J1809" s="4">
        <v>0</v>
      </c>
      <c r="K1809" s="4">
        <v>0</v>
      </c>
      <c r="L1809" s="4">
        <v>1.9</v>
      </c>
      <c r="M1809" s="4">
        <v>1.9</v>
      </c>
      <c r="N1809" s="4">
        <v>1.9</v>
      </c>
      <c r="O1809" s="4">
        <v>1.9</v>
      </c>
      <c r="P1809" s="4">
        <v>0</v>
      </c>
      <c r="Q1809" s="3" t="s">
        <v>26</v>
      </c>
      <c r="R1809" s="3">
        <v>0</v>
      </c>
      <c r="S1809" s="3" t="s">
        <v>484</v>
      </c>
      <c r="T1809" s="3" t="s">
        <v>725</v>
      </c>
      <c r="U1809" s="3">
        <v>0</v>
      </c>
      <c r="V1809" s="3">
        <v>42</v>
      </c>
      <c r="W1809" s="3">
        <v>82</v>
      </c>
    </row>
    <row r="1810" spans="1:23" ht="11.25" customHeight="1" x14ac:dyDescent="0.25">
      <c r="A1810" s="3" t="s">
        <v>21</v>
      </c>
      <c r="B1810" s="3" t="s">
        <v>39</v>
      </c>
      <c r="C1810" s="3" t="s">
        <v>37</v>
      </c>
      <c r="D1810" s="3" t="s">
        <v>46</v>
      </c>
      <c r="E1810" s="3" t="s">
        <v>25</v>
      </c>
      <c r="F1810" s="3" t="s">
        <v>25</v>
      </c>
      <c r="G1810" s="3" t="s">
        <v>25</v>
      </c>
      <c r="H1810" s="3" t="s">
        <v>35</v>
      </c>
      <c r="I1810" s="6">
        <v>44593</v>
      </c>
      <c r="J1810" s="4">
        <v>0</v>
      </c>
      <c r="K1810" s="4">
        <v>0</v>
      </c>
      <c r="L1810" s="4">
        <v>1.2270000000000001</v>
      </c>
      <c r="M1810" s="4">
        <v>1.2270000000000001</v>
      </c>
      <c r="N1810" s="4">
        <v>1.2270000000000001</v>
      </c>
      <c r="O1810" s="4">
        <v>1.2270000000000001</v>
      </c>
      <c r="P1810" s="4">
        <v>0</v>
      </c>
      <c r="Q1810" s="3" t="s">
        <v>26</v>
      </c>
      <c r="R1810" s="3">
        <v>0</v>
      </c>
      <c r="S1810" s="3" t="s">
        <v>485</v>
      </c>
      <c r="T1810" s="3" t="s">
        <v>726</v>
      </c>
      <c r="U1810" s="3">
        <v>0</v>
      </c>
      <c r="V1810" s="3">
        <v>42</v>
      </c>
      <c r="W1810" s="3">
        <v>82</v>
      </c>
    </row>
    <row r="1811" spans="1:23" ht="11.25" customHeight="1" x14ac:dyDescent="0.25">
      <c r="A1811" s="3" t="s">
        <v>21</v>
      </c>
      <c r="B1811" s="3" t="s">
        <v>39</v>
      </c>
      <c r="C1811" s="3" t="s">
        <v>37</v>
      </c>
      <c r="D1811" s="3" t="s">
        <v>46</v>
      </c>
      <c r="E1811" s="3" t="s">
        <v>25</v>
      </c>
      <c r="F1811" s="3" t="s">
        <v>25</v>
      </c>
      <c r="G1811" s="3" t="s">
        <v>25</v>
      </c>
      <c r="H1811" s="3" t="s">
        <v>35</v>
      </c>
      <c r="I1811" s="6">
        <v>44621</v>
      </c>
      <c r="J1811" s="4">
        <v>0</v>
      </c>
      <c r="K1811" s="4">
        <v>0</v>
      </c>
      <c r="L1811" s="4">
        <v>1.341</v>
      </c>
      <c r="M1811" s="4">
        <v>1.341</v>
      </c>
      <c r="N1811" s="4">
        <v>1.341</v>
      </c>
      <c r="O1811" s="4">
        <v>1.341</v>
      </c>
      <c r="P1811" s="4">
        <v>0</v>
      </c>
      <c r="Q1811" s="3" t="s">
        <v>26</v>
      </c>
      <c r="R1811" s="3">
        <v>0</v>
      </c>
      <c r="S1811" s="3" t="s">
        <v>486</v>
      </c>
      <c r="T1811" s="3" t="s">
        <v>727</v>
      </c>
      <c r="U1811" s="3">
        <v>0</v>
      </c>
      <c r="V1811" s="3">
        <v>42</v>
      </c>
      <c r="W1811" s="3">
        <v>82</v>
      </c>
    </row>
    <row r="1812" spans="1:23" ht="11.25" customHeight="1" x14ac:dyDescent="0.25">
      <c r="A1812" s="3" t="s">
        <v>56</v>
      </c>
      <c r="B1812" s="3" t="s">
        <v>39</v>
      </c>
      <c r="C1812" s="3" t="s">
        <v>37</v>
      </c>
      <c r="D1812" s="3" t="s">
        <v>46</v>
      </c>
      <c r="E1812" s="3" t="s">
        <v>25</v>
      </c>
      <c r="F1812" s="3" t="s">
        <v>25</v>
      </c>
      <c r="G1812" s="3" t="s">
        <v>25</v>
      </c>
      <c r="H1812" s="3" t="s">
        <v>35</v>
      </c>
      <c r="I1812" s="6">
        <v>44652</v>
      </c>
      <c r="J1812" s="4">
        <v>0</v>
      </c>
      <c r="K1812" s="4">
        <v>0</v>
      </c>
      <c r="L1812" s="4">
        <v>1.341</v>
      </c>
      <c r="M1812" s="4">
        <v>1.341</v>
      </c>
      <c r="N1812" s="4">
        <v>1.341</v>
      </c>
      <c r="O1812" s="4">
        <v>1.341</v>
      </c>
      <c r="P1812" s="4">
        <v>0</v>
      </c>
      <c r="Q1812" s="3" t="s">
        <v>26</v>
      </c>
      <c r="R1812" s="3">
        <v>0</v>
      </c>
      <c r="S1812" s="3" t="s">
        <v>487</v>
      </c>
      <c r="T1812" s="3" t="s">
        <v>728</v>
      </c>
      <c r="U1812" s="3">
        <v>0</v>
      </c>
      <c r="V1812" s="3">
        <v>42</v>
      </c>
      <c r="W1812" s="3">
        <v>82</v>
      </c>
    </row>
    <row r="1813" spans="1:23" ht="11.25" customHeight="1" x14ac:dyDescent="0.25">
      <c r="A1813" s="3" t="s">
        <v>21</v>
      </c>
      <c r="B1813" s="3" t="s">
        <v>39</v>
      </c>
      <c r="C1813" s="3" t="s">
        <v>23</v>
      </c>
      <c r="D1813" s="3" t="s">
        <v>43</v>
      </c>
      <c r="E1813" s="3" t="s">
        <v>25</v>
      </c>
      <c r="F1813" s="3" t="s">
        <v>25</v>
      </c>
      <c r="G1813" s="3" t="s">
        <v>25</v>
      </c>
      <c r="H1813" s="3" t="s">
        <v>25</v>
      </c>
      <c r="I1813" s="6">
        <v>44317</v>
      </c>
      <c r="J1813" s="4">
        <v>0</v>
      </c>
      <c r="K1813" s="4">
        <v>0</v>
      </c>
      <c r="L1813" s="4">
        <v>28544</v>
      </c>
      <c r="M1813" s="4">
        <v>28544</v>
      </c>
      <c r="N1813" s="4">
        <v>28544</v>
      </c>
      <c r="O1813" s="4">
        <v>28544</v>
      </c>
      <c r="P1813" s="4">
        <v>64136</v>
      </c>
      <c r="Q1813" s="3" t="s">
        <v>26</v>
      </c>
      <c r="R1813" s="3">
        <v>0</v>
      </c>
      <c r="S1813" s="3" t="s">
        <v>488</v>
      </c>
      <c r="T1813" s="3" t="s">
        <v>729</v>
      </c>
      <c r="U1813" s="3">
        <v>0</v>
      </c>
      <c r="V1813" s="3">
        <v>45</v>
      </c>
      <c r="W1813" s="3">
        <v>85</v>
      </c>
    </row>
    <row r="1814" spans="1:23" ht="11.25" customHeight="1" x14ac:dyDescent="0.25">
      <c r="A1814" s="3" t="s">
        <v>27</v>
      </c>
      <c r="B1814" s="3" t="s">
        <v>39</v>
      </c>
      <c r="C1814" s="3" t="s">
        <v>23</v>
      </c>
      <c r="D1814" s="3" t="s">
        <v>43</v>
      </c>
      <c r="E1814" s="3" t="s">
        <v>25</v>
      </c>
      <c r="F1814" s="3" t="s">
        <v>25</v>
      </c>
      <c r="G1814" s="3" t="s">
        <v>25</v>
      </c>
      <c r="H1814" s="3" t="s">
        <v>25</v>
      </c>
      <c r="I1814" s="6">
        <v>44317</v>
      </c>
      <c r="J1814" s="4">
        <v>0</v>
      </c>
      <c r="K1814" s="4">
        <v>0</v>
      </c>
      <c r="L1814" s="4">
        <v>-258.91899999999998</v>
      </c>
      <c r="M1814" s="4">
        <v>-258.91899999999998</v>
      </c>
      <c r="N1814" s="4">
        <v>-258.91899999999998</v>
      </c>
      <c r="O1814" s="4">
        <v>-258.91899999999998</v>
      </c>
      <c r="P1814" s="4">
        <v>-489</v>
      </c>
      <c r="Q1814" s="3" t="s">
        <v>26</v>
      </c>
      <c r="R1814" s="3">
        <v>0</v>
      </c>
      <c r="S1814" s="3" t="s">
        <v>488</v>
      </c>
      <c r="T1814" s="3" t="s">
        <v>729</v>
      </c>
      <c r="U1814" s="3">
        <v>0</v>
      </c>
      <c r="V1814" s="3">
        <v>45</v>
      </c>
      <c r="W1814" s="3">
        <v>85</v>
      </c>
    </row>
    <row r="1815" spans="1:23" ht="11.25" customHeight="1" x14ac:dyDescent="0.25">
      <c r="A1815" s="3" t="s">
        <v>28</v>
      </c>
      <c r="B1815" s="3" t="s">
        <v>39</v>
      </c>
      <c r="C1815" s="3" t="s">
        <v>23</v>
      </c>
      <c r="D1815" s="3" t="s">
        <v>43</v>
      </c>
      <c r="E1815" s="3" t="s">
        <v>25</v>
      </c>
      <c r="F1815" s="3" t="s">
        <v>25</v>
      </c>
      <c r="G1815" s="3" t="s">
        <v>25</v>
      </c>
      <c r="H1815" s="3" t="s">
        <v>25</v>
      </c>
      <c r="I1815" s="6">
        <v>44317</v>
      </c>
      <c r="J1815" s="4">
        <v>0</v>
      </c>
      <c r="K1815" s="4">
        <v>0</v>
      </c>
      <c r="L1815" s="4">
        <v>1269.1379999999999</v>
      </c>
      <c r="M1815" s="4">
        <v>1269.1379999999999</v>
      </c>
      <c r="N1815" s="4">
        <v>1269.1379999999999</v>
      </c>
      <c r="O1815" s="4">
        <v>1269.1379999999999</v>
      </c>
      <c r="P1815" s="4">
        <v>1423</v>
      </c>
      <c r="Q1815" s="3" t="s">
        <v>26</v>
      </c>
      <c r="R1815" s="3">
        <v>0</v>
      </c>
      <c r="S1815" s="3" t="s">
        <v>488</v>
      </c>
      <c r="T1815" s="3" t="s">
        <v>729</v>
      </c>
      <c r="U1815" s="3">
        <v>0</v>
      </c>
      <c r="V1815" s="3">
        <v>45</v>
      </c>
      <c r="W1815" s="3">
        <v>85</v>
      </c>
    </row>
    <row r="1816" spans="1:23" ht="11.25" customHeight="1" x14ac:dyDescent="0.25">
      <c r="A1816" s="3" t="s">
        <v>28</v>
      </c>
      <c r="B1816" s="3" t="s">
        <v>39</v>
      </c>
      <c r="C1816" s="3" t="s">
        <v>23</v>
      </c>
      <c r="D1816" s="3" t="s">
        <v>43</v>
      </c>
      <c r="E1816" s="3" t="s">
        <v>25</v>
      </c>
      <c r="F1816" s="3" t="s">
        <v>25</v>
      </c>
      <c r="G1816" s="3" t="s">
        <v>25</v>
      </c>
      <c r="H1816" s="3" t="s">
        <v>25</v>
      </c>
      <c r="I1816" s="6">
        <v>44317</v>
      </c>
      <c r="J1816" s="4">
        <v>0</v>
      </c>
      <c r="K1816" s="4">
        <v>0</v>
      </c>
      <c r="L1816" s="4">
        <v>36.396999999999998</v>
      </c>
      <c r="M1816" s="4">
        <v>36.396999999999998</v>
      </c>
      <c r="N1816" s="4">
        <v>36.396999999999998</v>
      </c>
      <c r="O1816" s="4">
        <v>36.396999999999998</v>
      </c>
      <c r="P1816" s="4">
        <v>9</v>
      </c>
      <c r="Q1816" s="3" t="s">
        <v>26</v>
      </c>
      <c r="R1816" s="3">
        <v>0</v>
      </c>
      <c r="S1816" s="3" t="s">
        <v>488</v>
      </c>
      <c r="T1816" s="3" t="s">
        <v>729</v>
      </c>
      <c r="U1816" s="3">
        <v>0</v>
      </c>
      <c r="V1816" s="3">
        <v>45</v>
      </c>
      <c r="W1816" s="3">
        <v>85</v>
      </c>
    </row>
    <row r="1817" spans="1:23" ht="11.25" customHeight="1" x14ac:dyDescent="0.25">
      <c r="A1817" s="3" t="s">
        <v>21</v>
      </c>
      <c r="B1817" s="3" t="s">
        <v>39</v>
      </c>
      <c r="C1817" s="3" t="s">
        <v>23</v>
      </c>
      <c r="D1817" s="3" t="s">
        <v>43</v>
      </c>
      <c r="E1817" s="3" t="s">
        <v>25</v>
      </c>
      <c r="F1817" s="3" t="s">
        <v>25</v>
      </c>
      <c r="G1817" s="3" t="s">
        <v>25</v>
      </c>
      <c r="H1817" s="3" t="s">
        <v>25</v>
      </c>
      <c r="I1817" s="6">
        <v>44348</v>
      </c>
      <c r="J1817" s="4">
        <v>0</v>
      </c>
      <c r="K1817" s="4">
        <v>0</v>
      </c>
      <c r="L1817" s="4">
        <v>26741.223999999998</v>
      </c>
      <c r="M1817" s="4">
        <v>26741.223999999998</v>
      </c>
      <c r="N1817" s="4">
        <v>26741.223999999998</v>
      </c>
      <c r="O1817" s="4">
        <v>26741.223999999998</v>
      </c>
      <c r="P1817" s="4">
        <v>63593</v>
      </c>
      <c r="Q1817" s="3" t="s">
        <v>26</v>
      </c>
      <c r="R1817" s="3">
        <v>0</v>
      </c>
      <c r="S1817" s="3" t="s">
        <v>489</v>
      </c>
      <c r="T1817" s="3" t="s">
        <v>730</v>
      </c>
      <c r="U1817" s="3">
        <v>0</v>
      </c>
      <c r="V1817" s="3">
        <v>45</v>
      </c>
      <c r="W1817" s="3">
        <v>85</v>
      </c>
    </row>
    <row r="1818" spans="1:23" ht="11.25" customHeight="1" x14ac:dyDescent="0.25">
      <c r="A1818" s="3" t="s">
        <v>27</v>
      </c>
      <c r="B1818" s="3" t="s">
        <v>39</v>
      </c>
      <c r="C1818" s="3" t="s">
        <v>23</v>
      </c>
      <c r="D1818" s="3" t="s">
        <v>43</v>
      </c>
      <c r="E1818" s="3" t="s">
        <v>25</v>
      </c>
      <c r="F1818" s="3" t="s">
        <v>25</v>
      </c>
      <c r="G1818" s="3" t="s">
        <v>25</v>
      </c>
      <c r="H1818" s="3" t="s">
        <v>25</v>
      </c>
      <c r="I1818" s="6">
        <v>44348</v>
      </c>
      <c r="J1818" s="4">
        <v>0</v>
      </c>
      <c r="K1818" s="4">
        <v>0</v>
      </c>
      <c r="L1818" s="4">
        <v>-198.053</v>
      </c>
      <c r="M1818" s="4">
        <v>-198.053</v>
      </c>
      <c r="N1818" s="4">
        <v>-198.053</v>
      </c>
      <c r="O1818" s="4">
        <v>-198.053</v>
      </c>
      <c r="P1818" s="4">
        <v>-1060</v>
      </c>
      <c r="Q1818" s="3" t="s">
        <v>26</v>
      </c>
      <c r="R1818" s="3">
        <v>0</v>
      </c>
      <c r="S1818" s="3" t="s">
        <v>489</v>
      </c>
      <c r="T1818" s="3" t="s">
        <v>730</v>
      </c>
      <c r="U1818" s="3">
        <v>0</v>
      </c>
      <c r="V1818" s="3">
        <v>45</v>
      </c>
      <c r="W1818" s="3">
        <v>85</v>
      </c>
    </row>
    <row r="1819" spans="1:23" ht="11.25" customHeight="1" x14ac:dyDescent="0.25">
      <c r="A1819" s="3" t="s">
        <v>28</v>
      </c>
      <c r="B1819" s="3" t="s">
        <v>39</v>
      </c>
      <c r="C1819" s="3" t="s">
        <v>23</v>
      </c>
      <c r="D1819" s="3" t="s">
        <v>43</v>
      </c>
      <c r="E1819" s="3" t="s">
        <v>25</v>
      </c>
      <c r="F1819" s="3" t="s">
        <v>25</v>
      </c>
      <c r="G1819" s="3" t="s">
        <v>25</v>
      </c>
      <c r="H1819" s="3" t="s">
        <v>25</v>
      </c>
      <c r="I1819" s="6">
        <v>44348</v>
      </c>
      <c r="J1819" s="4">
        <v>0</v>
      </c>
      <c r="K1819" s="4">
        <v>0</v>
      </c>
      <c r="L1819" s="4">
        <v>1735.873</v>
      </c>
      <c r="M1819" s="4">
        <v>1735.873</v>
      </c>
      <c r="N1819" s="4">
        <v>1735.873</v>
      </c>
      <c r="O1819" s="4">
        <v>1735.873</v>
      </c>
      <c r="P1819" s="4">
        <v>1699</v>
      </c>
      <c r="Q1819" s="3" t="s">
        <v>26</v>
      </c>
      <c r="R1819" s="3">
        <v>0</v>
      </c>
      <c r="S1819" s="3" t="s">
        <v>489</v>
      </c>
      <c r="T1819" s="3" t="s">
        <v>730</v>
      </c>
      <c r="U1819" s="3">
        <v>0</v>
      </c>
      <c r="V1819" s="3">
        <v>45</v>
      </c>
      <c r="W1819" s="3">
        <v>85</v>
      </c>
    </row>
    <row r="1820" spans="1:23" ht="11.25" customHeight="1" x14ac:dyDescent="0.25">
      <c r="A1820" s="3" t="s">
        <v>28</v>
      </c>
      <c r="B1820" s="3" t="s">
        <v>39</v>
      </c>
      <c r="C1820" s="3" t="s">
        <v>23</v>
      </c>
      <c r="D1820" s="3" t="s">
        <v>43</v>
      </c>
      <c r="E1820" s="3" t="s">
        <v>25</v>
      </c>
      <c r="F1820" s="3" t="s">
        <v>25</v>
      </c>
      <c r="G1820" s="3" t="s">
        <v>25</v>
      </c>
      <c r="H1820" s="3" t="s">
        <v>25</v>
      </c>
      <c r="I1820" s="6">
        <v>44348</v>
      </c>
      <c r="J1820" s="4">
        <v>0</v>
      </c>
      <c r="K1820" s="4">
        <v>0</v>
      </c>
      <c r="L1820" s="4">
        <v>-20</v>
      </c>
      <c r="M1820" s="4">
        <v>-20</v>
      </c>
      <c r="N1820" s="4">
        <v>-20</v>
      </c>
      <c r="O1820" s="4">
        <v>-20</v>
      </c>
      <c r="P1820" s="4">
        <v>0</v>
      </c>
      <c r="Q1820" s="3" t="s">
        <v>26</v>
      </c>
      <c r="R1820" s="3">
        <v>0</v>
      </c>
      <c r="S1820" s="3" t="s">
        <v>489</v>
      </c>
      <c r="T1820" s="3" t="s">
        <v>730</v>
      </c>
      <c r="U1820" s="3">
        <v>0</v>
      </c>
      <c r="V1820" s="3">
        <v>45</v>
      </c>
      <c r="W1820" s="3">
        <v>85</v>
      </c>
    </row>
    <row r="1821" spans="1:23" ht="11.25" customHeight="1" x14ac:dyDescent="0.25">
      <c r="A1821" s="3" t="s">
        <v>21</v>
      </c>
      <c r="B1821" s="3" t="s">
        <v>39</v>
      </c>
      <c r="C1821" s="3" t="s">
        <v>23</v>
      </c>
      <c r="D1821" s="3" t="s">
        <v>43</v>
      </c>
      <c r="E1821" s="3" t="s">
        <v>25</v>
      </c>
      <c r="F1821" s="3" t="s">
        <v>25</v>
      </c>
      <c r="G1821" s="3" t="s">
        <v>25</v>
      </c>
      <c r="H1821" s="3" t="s">
        <v>25</v>
      </c>
      <c r="I1821" s="6">
        <v>44378</v>
      </c>
      <c r="J1821" s="4">
        <v>0</v>
      </c>
      <c r="K1821" s="4">
        <v>0</v>
      </c>
      <c r="L1821" s="4">
        <v>25549.922999999999</v>
      </c>
      <c r="M1821" s="4">
        <v>25549.922999999999</v>
      </c>
      <c r="N1821" s="4">
        <v>25549.922999999999</v>
      </c>
      <c r="O1821" s="4">
        <v>25549.922999999999</v>
      </c>
      <c r="P1821" s="4">
        <v>63481</v>
      </c>
      <c r="Q1821" s="3" t="s">
        <v>26</v>
      </c>
      <c r="R1821" s="3">
        <v>0</v>
      </c>
      <c r="S1821" s="3" t="s">
        <v>490</v>
      </c>
      <c r="T1821" s="3" t="s">
        <v>731</v>
      </c>
      <c r="U1821" s="3">
        <v>0</v>
      </c>
      <c r="V1821" s="3">
        <v>45</v>
      </c>
      <c r="W1821" s="3">
        <v>85</v>
      </c>
    </row>
    <row r="1822" spans="1:23" ht="11.25" customHeight="1" x14ac:dyDescent="0.25">
      <c r="A1822" s="3" t="s">
        <v>27</v>
      </c>
      <c r="B1822" s="3" t="s">
        <v>39</v>
      </c>
      <c r="C1822" s="3" t="s">
        <v>23</v>
      </c>
      <c r="D1822" s="3" t="s">
        <v>43</v>
      </c>
      <c r="E1822" s="3" t="s">
        <v>25</v>
      </c>
      <c r="F1822" s="3" t="s">
        <v>25</v>
      </c>
      <c r="G1822" s="3" t="s">
        <v>25</v>
      </c>
      <c r="H1822" s="3" t="s">
        <v>25</v>
      </c>
      <c r="I1822" s="6">
        <v>44378</v>
      </c>
      <c r="J1822" s="4">
        <v>0</v>
      </c>
      <c r="K1822" s="4">
        <v>0</v>
      </c>
      <c r="L1822" s="4">
        <v>-273.99200000000002</v>
      </c>
      <c r="M1822" s="4">
        <v>-273.99200000000002</v>
      </c>
      <c r="N1822" s="4">
        <v>-273.99200000000002</v>
      </c>
      <c r="O1822" s="4">
        <v>-273.99200000000002</v>
      </c>
      <c r="P1822" s="4">
        <v>-870</v>
      </c>
      <c r="Q1822" s="3" t="s">
        <v>26</v>
      </c>
      <c r="R1822" s="3">
        <v>0</v>
      </c>
      <c r="S1822" s="3" t="s">
        <v>490</v>
      </c>
      <c r="T1822" s="3" t="s">
        <v>731</v>
      </c>
      <c r="U1822" s="3">
        <v>0</v>
      </c>
      <c r="V1822" s="3">
        <v>45</v>
      </c>
      <c r="W1822" s="3">
        <v>85</v>
      </c>
    </row>
    <row r="1823" spans="1:23" ht="11.25" customHeight="1" x14ac:dyDescent="0.25">
      <c r="A1823" s="3" t="s">
        <v>28</v>
      </c>
      <c r="B1823" s="3" t="s">
        <v>39</v>
      </c>
      <c r="C1823" s="3" t="s">
        <v>23</v>
      </c>
      <c r="D1823" s="3" t="s">
        <v>43</v>
      </c>
      <c r="E1823" s="3" t="s">
        <v>25</v>
      </c>
      <c r="F1823" s="3" t="s">
        <v>25</v>
      </c>
      <c r="G1823" s="3" t="s">
        <v>25</v>
      </c>
      <c r="H1823" s="3" t="s">
        <v>25</v>
      </c>
      <c r="I1823" s="6">
        <v>44378</v>
      </c>
      <c r="J1823" s="4">
        <v>0</v>
      </c>
      <c r="K1823" s="4">
        <v>0</v>
      </c>
      <c r="L1823" s="4">
        <v>1779.4159999999999</v>
      </c>
      <c r="M1823" s="4">
        <v>1779.4159999999999</v>
      </c>
      <c r="N1823" s="4">
        <v>1779.4159999999999</v>
      </c>
      <c r="O1823" s="4">
        <v>1779.4159999999999</v>
      </c>
      <c r="P1823" s="4">
        <v>1879</v>
      </c>
      <c r="Q1823" s="3" t="s">
        <v>26</v>
      </c>
      <c r="R1823" s="3">
        <v>0</v>
      </c>
      <c r="S1823" s="3" t="s">
        <v>490</v>
      </c>
      <c r="T1823" s="3" t="s">
        <v>731</v>
      </c>
      <c r="U1823" s="3">
        <v>0</v>
      </c>
      <c r="V1823" s="3">
        <v>45</v>
      </c>
      <c r="W1823" s="3">
        <v>85</v>
      </c>
    </row>
    <row r="1824" spans="1:23" ht="11.25" customHeight="1" x14ac:dyDescent="0.25">
      <c r="A1824" s="3" t="s">
        <v>28</v>
      </c>
      <c r="B1824" s="3" t="s">
        <v>39</v>
      </c>
      <c r="C1824" s="3" t="s">
        <v>23</v>
      </c>
      <c r="D1824" s="3" t="s">
        <v>43</v>
      </c>
      <c r="E1824" s="3" t="s">
        <v>25</v>
      </c>
      <c r="F1824" s="3" t="s">
        <v>25</v>
      </c>
      <c r="G1824" s="3" t="s">
        <v>25</v>
      </c>
      <c r="H1824" s="3" t="s">
        <v>25</v>
      </c>
      <c r="I1824" s="6">
        <v>44378</v>
      </c>
      <c r="J1824" s="4">
        <v>0</v>
      </c>
      <c r="K1824" s="4">
        <v>0</v>
      </c>
      <c r="L1824" s="4">
        <v>-22.675000000000001</v>
      </c>
      <c r="M1824" s="4">
        <v>-22.675000000000001</v>
      </c>
      <c r="N1824" s="4">
        <v>-22.675000000000001</v>
      </c>
      <c r="O1824" s="4">
        <v>-22.675000000000001</v>
      </c>
      <c r="P1824" s="4">
        <v>0</v>
      </c>
      <c r="Q1824" s="3" t="s">
        <v>26</v>
      </c>
      <c r="R1824" s="3">
        <v>0</v>
      </c>
      <c r="S1824" s="3" t="s">
        <v>490</v>
      </c>
      <c r="T1824" s="3" t="s">
        <v>731</v>
      </c>
      <c r="U1824" s="3">
        <v>0</v>
      </c>
      <c r="V1824" s="3">
        <v>45</v>
      </c>
      <c r="W1824" s="3">
        <v>85</v>
      </c>
    </row>
    <row r="1825" spans="1:23" ht="11.25" customHeight="1" x14ac:dyDescent="0.25">
      <c r="A1825" s="3" t="s">
        <v>21</v>
      </c>
      <c r="B1825" s="3" t="s">
        <v>39</v>
      </c>
      <c r="C1825" s="3" t="s">
        <v>23</v>
      </c>
      <c r="D1825" s="3" t="s">
        <v>43</v>
      </c>
      <c r="E1825" s="3" t="s">
        <v>25</v>
      </c>
      <c r="F1825" s="3" t="s">
        <v>25</v>
      </c>
      <c r="G1825" s="3" t="s">
        <v>25</v>
      </c>
      <c r="H1825" s="3" t="s">
        <v>25</v>
      </c>
      <c r="I1825" s="6">
        <v>44409</v>
      </c>
      <c r="J1825" s="4">
        <v>0</v>
      </c>
      <c r="K1825" s="4">
        <v>0</v>
      </c>
      <c r="L1825" s="4">
        <v>26188.084999999999</v>
      </c>
      <c r="M1825" s="4">
        <v>26188.084999999999</v>
      </c>
      <c r="N1825" s="4">
        <v>26188.084999999999</v>
      </c>
      <c r="O1825" s="4">
        <v>26188.084999999999</v>
      </c>
      <c r="P1825" s="4">
        <v>63270</v>
      </c>
      <c r="Q1825" s="3" t="s">
        <v>26</v>
      </c>
      <c r="R1825" s="3">
        <v>0</v>
      </c>
      <c r="S1825" s="3" t="s">
        <v>491</v>
      </c>
      <c r="T1825" s="3" t="s">
        <v>732</v>
      </c>
      <c r="U1825" s="3">
        <v>0</v>
      </c>
      <c r="V1825" s="3">
        <v>45</v>
      </c>
      <c r="W1825" s="3">
        <v>85</v>
      </c>
    </row>
    <row r="1826" spans="1:23" ht="11.25" customHeight="1" x14ac:dyDescent="0.25">
      <c r="A1826" s="3" t="s">
        <v>27</v>
      </c>
      <c r="B1826" s="3" t="s">
        <v>39</v>
      </c>
      <c r="C1826" s="3" t="s">
        <v>23</v>
      </c>
      <c r="D1826" s="3" t="s">
        <v>43</v>
      </c>
      <c r="E1826" s="3" t="s">
        <v>25</v>
      </c>
      <c r="F1826" s="3" t="s">
        <v>25</v>
      </c>
      <c r="G1826" s="3" t="s">
        <v>25</v>
      </c>
      <c r="H1826" s="3" t="s">
        <v>25</v>
      </c>
      <c r="I1826" s="6">
        <v>44409</v>
      </c>
      <c r="J1826" s="4">
        <v>0</v>
      </c>
      <c r="K1826" s="4">
        <v>0</v>
      </c>
      <c r="L1826" s="4">
        <v>-191.34299999999999</v>
      </c>
      <c r="M1826" s="4">
        <v>-191.34299999999999</v>
      </c>
      <c r="N1826" s="4">
        <v>-191.34299999999999</v>
      </c>
      <c r="O1826" s="4">
        <v>-191.34299999999999</v>
      </c>
      <c r="P1826" s="4">
        <v>-601</v>
      </c>
      <c r="Q1826" s="3" t="s">
        <v>26</v>
      </c>
      <c r="R1826" s="3">
        <v>0</v>
      </c>
      <c r="S1826" s="3" t="s">
        <v>491</v>
      </c>
      <c r="T1826" s="3" t="s">
        <v>732</v>
      </c>
      <c r="U1826" s="3">
        <v>0</v>
      </c>
      <c r="V1826" s="3">
        <v>45</v>
      </c>
      <c r="W1826" s="3">
        <v>85</v>
      </c>
    </row>
    <row r="1827" spans="1:23" ht="11.25" customHeight="1" x14ac:dyDescent="0.25">
      <c r="A1827" s="3" t="s">
        <v>28</v>
      </c>
      <c r="B1827" s="3" t="s">
        <v>39</v>
      </c>
      <c r="C1827" s="3" t="s">
        <v>23</v>
      </c>
      <c r="D1827" s="3" t="s">
        <v>43</v>
      </c>
      <c r="E1827" s="3" t="s">
        <v>25</v>
      </c>
      <c r="F1827" s="3" t="s">
        <v>25</v>
      </c>
      <c r="G1827" s="3" t="s">
        <v>25</v>
      </c>
      <c r="H1827" s="3" t="s">
        <v>25</v>
      </c>
      <c r="I1827" s="6">
        <v>44409</v>
      </c>
      <c r="J1827" s="4">
        <v>0</v>
      </c>
      <c r="K1827" s="4">
        <v>0</v>
      </c>
      <c r="L1827" s="4">
        <v>1732.671</v>
      </c>
      <c r="M1827" s="4">
        <v>1732.671</v>
      </c>
      <c r="N1827" s="4">
        <v>1732.671</v>
      </c>
      <c r="O1827" s="4">
        <v>1732.671</v>
      </c>
      <c r="P1827" s="4">
        <v>2039</v>
      </c>
      <c r="Q1827" s="3" t="s">
        <v>26</v>
      </c>
      <c r="R1827" s="3">
        <v>0</v>
      </c>
      <c r="S1827" s="3" t="s">
        <v>491</v>
      </c>
      <c r="T1827" s="3" t="s">
        <v>732</v>
      </c>
      <c r="U1827" s="3">
        <v>0</v>
      </c>
      <c r="V1827" s="3">
        <v>45</v>
      </c>
      <c r="W1827" s="3">
        <v>85</v>
      </c>
    </row>
    <row r="1828" spans="1:23" ht="11.25" customHeight="1" x14ac:dyDescent="0.25">
      <c r="A1828" s="3" t="s">
        <v>28</v>
      </c>
      <c r="B1828" s="3" t="s">
        <v>39</v>
      </c>
      <c r="C1828" s="3" t="s">
        <v>23</v>
      </c>
      <c r="D1828" s="3" t="s">
        <v>43</v>
      </c>
      <c r="E1828" s="3" t="s">
        <v>25</v>
      </c>
      <c r="F1828" s="3" t="s">
        <v>25</v>
      </c>
      <c r="G1828" s="3" t="s">
        <v>25</v>
      </c>
      <c r="H1828" s="3" t="s">
        <v>25</v>
      </c>
      <c r="I1828" s="6">
        <v>44409</v>
      </c>
      <c r="J1828" s="4">
        <v>0</v>
      </c>
      <c r="K1828" s="4">
        <v>0</v>
      </c>
      <c r="L1828" s="4">
        <v>16.030999999999999</v>
      </c>
      <c r="M1828" s="4">
        <v>16.030999999999999</v>
      </c>
      <c r="N1828" s="4">
        <v>16.030999999999999</v>
      </c>
      <c r="O1828" s="4">
        <v>16.030999999999999</v>
      </c>
      <c r="P1828" s="4">
        <v>2</v>
      </c>
      <c r="Q1828" s="3" t="s">
        <v>26</v>
      </c>
      <c r="R1828" s="3">
        <v>0</v>
      </c>
      <c r="S1828" s="3" t="s">
        <v>491</v>
      </c>
      <c r="T1828" s="3" t="s">
        <v>732</v>
      </c>
      <c r="U1828" s="3">
        <v>0</v>
      </c>
      <c r="V1828" s="3">
        <v>45</v>
      </c>
      <c r="W1828" s="3">
        <v>85</v>
      </c>
    </row>
    <row r="1829" spans="1:23" ht="11.25" customHeight="1" x14ac:dyDescent="0.25">
      <c r="A1829" s="3" t="s">
        <v>21</v>
      </c>
      <c r="B1829" s="3" t="s">
        <v>39</v>
      </c>
      <c r="C1829" s="3" t="s">
        <v>23</v>
      </c>
      <c r="D1829" s="3" t="s">
        <v>43</v>
      </c>
      <c r="E1829" s="3" t="s">
        <v>25</v>
      </c>
      <c r="F1829" s="3" t="s">
        <v>25</v>
      </c>
      <c r="G1829" s="3" t="s">
        <v>25</v>
      </c>
      <c r="H1829" s="3" t="s">
        <v>25</v>
      </c>
      <c r="I1829" s="6">
        <v>44440</v>
      </c>
      <c r="J1829" s="4">
        <v>0</v>
      </c>
      <c r="K1829" s="4">
        <v>0</v>
      </c>
      <c r="L1829" s="4">
        <v>27928.151000000002</v>
      </c>
      <c r="M1829" s="4">
        <v>27928.151000000002</v>
      </c>
      <c r="N1829" s="4">
        <v>27928.151000000002</v>
      </c>
      <c r="O1829" s="4">
        <v>27928.151000000002</v>
      </c>
      <c r="P1829" s="4">
        <v>63213</v>
      </c>
      <c r="Q1829" s="3" t="s">
        <v>26</v>
      </c>
      <c r="R1829" s="3">
        <v>0</v>
      </c>
      <c r="S1829" s="3" t="s">
        <v>492</v>
      </c>
      <c r="T1829" s="3" t="s">
        <v>733</v>
      </c>
      <c r="U1829" s="3">
        <v>0</v>
      </c>
      <c r="V1829" s="3">
        <v>45</v>
      </c>
      <c r="W1829" s="3">
        <v>85</v>
      </c>
    </row>
    <row r="1830" spans="1:23" ht="11.25" customHeight="1" x14ac:dyDescent="0.25">
      <c r="A1830" s="3" t="s">
        <v>27</v>
      </c>
      <c r="B1830" s="3" t="s">
        <v>39</v>
      </c>
      <c r="C1830" s="3" t="s">
        <v>23</v>
      </c>
      <c r="D1830" s="3" t="s">
        <v>43</v>
      </c>
      <c r="E1830" s="3" t="s">
        <v>25</v>
      </c>
      <c r="F1830" s="3" t="s">
        <v>25</v>
      </c>
      <c r="G1830" s="3" t="s">
        <v>25</v>
      </c>
      <c r="H1830" s="3" t="s">
        <v>25</v>
      </c>
      <c r="I1830" s="6">
        <v>44440</v>
      </c>
      <c r="J1830" s="4">
        <v>0</v>
      </c>
      <c r="K1830" s="4">
        <v>0</v>
      </c>
      <c r="L1830" s="4">
        <v>-104.52800000000001</v>
      </c>
      <c r="M1830" s="4">
        <v>-104.52800000000001</v>
      </c>
      <c r="N1830" s="4">
        <v>-104.52800000000001</v>
      </c>
      <c r="O1830" s="4">
        <v>-104.52800000000001</v>
      </c>
      <c r="P1830" s="4">
        <v>-725</v>
      </c>
      <c r="Q1830" s="3" t="s">
        <v>26</v>
      </c>
      <c r="R1830" s="3">
        <v>0</v>
      </c>
      <c r="S1830" s="3" t="s">
        <v>492</v>
      </c>
      <c r="T1830" s="3" t="s">
        <v>733</v>
      </c>
      <c r="U1830" s="3">
        <v>0</v>
      </c>
      <c r="V1830" s="3">
        <v>45</v>
      </c>
      <c r="W1830" s="3">
        <v>85</v>
      </c>
    </row>
    <row r="1831" spans="1:23" ht="11.25" customHeight="1" x14ac:dyDescent="0.25">
      <c r="A1831" s="3" t="s">
        <v>28</v>
      </c>
      <c r="B1831" s="3" t="s">
        <v>39</v>
      </c>
      <c r="C1831" s="3" t="s">
        <v>23</v>
      </c>
      <c r="D1831" s="3" t="s">
        <v>43</v>
      </c>
      <c r="E1831" s="3" t="s">
        <v>25</v>
      </c>
      <c r="F1831" s="3" t="s">
        <v>25</v>
      </c>
      <c r="G1831" s="3" t="s">
        <v>25</v>
      </c>
      <c r="H1831" s="3" t="s">
        <v>25</v>
      </c>
      <c r="I1831" s="6">
        <v>44440</v>
      </c>
      <c r="J1831" s="4">
        <v>0</v>
      </c>
      <c r="K1831" s="4">
        <v>0</v>
      </c>
      <c r="L1831" s="4">
        <v>1545.4639999999999</v>
      </c>
      <c r="M1831" s="4">
        <v>1545.4639999999999</v>
      </c>
      <c r="N1831" s="4">
        <v>1545.4639999999999</v>
      </c>
      <c r="O1831" s="4">
        <v>1545.4639999999999</v>
      </c>
      <c r="P1831" s="4">
        <v>2228</v>
      </c>
      <c r="Q1831" s="3" t="s">
        <v>26</v>
      </c>
      <c r="R1831" s="3">
        <v>0</v>
      </c>
      <c r="S1831" s="3" t="s">
        <v>492</v>
      </c>
      <c r="T1831" s="3" t="s">
        <v>733</v>
      </c>
      <c r="U1831" s="3">
        <v>0</v>
      </c>
      <c r="V1831" s="3">
        <v>45</v>
      </c>
      <c r="W1831" s="3">
        <v>85</v>
      </c>
    </row>
    <row r="1832" spans="1:23" ht="11.25" customHeight="1" x14ac:dyDescent="0.25">
      <c r="A1832" s="3" t="s">
        <v>28</v>
      </c>
      <c r="B1832" s="3" t="s">
        <v>39</v>
      </c>
      <c r="C1832" s="3" t="s">
        <v>23</v>
      </c>
      <c r="D1832" s="3" t="s">
        <v>43</v>
      </c>
      <c r="E1832" s="3" t="s">
        <v>25</v>
      </c>
      <c r="F1832" s="3" t="s">
        <v>25</v>
      </c>
      <c r="G1832" s="3" t="s">
        <v>25</v>
      </c>
      <c r="H1832" s="3" t="s">
        <v>25</v>
      </c>
      <c r="I1832" s="6">
        <v>44440</v>
      </c>
      <c r="J1832" s="4">
        <v>0</v>
      </c>
      <c r="K1832" s="4">
        <v>0</v>
      </c>
      <c r="L1832" s="4">
        <v>67.804000000000002</v>
      </c>
      <c r="M1832" s="4">
        <v>67.804000000000002</v>
      </c>
      <c r="N1832" s="4">
        <v>67.804000000000002</v>
      </c>
      <c r="O1832" s="4">
        <v>67.804000000000002</v>
      </c>
      <c r="P1832" s="4">
        <v>12</v>
      </c>
      <c r="Q1832" s="3" t="s">
        <v>26</v>
      </c>
      <c r="R1832" s="3">
        <v>0</v>
      </c>
      <c r="S1832" s="3" t="s">
        <v>492</v>
      </c>
      <c r="T1832" s="3" t="s">
        <v>733</v>
      </c>
      <c r="U1832" s="3">
        <v>0</v>
      </c>
      <c r="V1832" s="3">
        <v>45</v>
      </c>
      <c r="W1832" s="3">
        <v>85</v>
      </c>
    </row>
    <row r="1833" spans="1:23" ht="11.25" customHeight="1" x14ac:dyDescent="0.25">
      <c r="A1833" s="3" t="s">
        <v>21</v>
      </c>
      <c r="B1833" s="3" t="s">
        <v>39</v>
      </c>
      <c r="C1833" s="3" t="s">
        <v>23</v>
      </c>
      <c r="D1833" s="3" t="s">
        <v>43</v>
      </c>
      <c r="E1833" s="3" t="s">
        <v>25</v>
      </c>
      <c r="F1833" s="3" t="s">
        <v>25</v>
      </c>
      <c r="G1833" s="3" t="s">
        <v>25</v>
      </c>
      <c r="H1833" s="3" t="s">
        <v>25</v>
      </c>
      <c r="I1833" s="6">
        <v>44470</v>
      </c>
      <c r="J1833" s="4">
        <v>0</v>
      </c>
      <c r="K1833" s="4">
        <v>0</v>
      </c>
      <c r="L1833" s="4">
        <v>30093.437999999998</v>
      </c>
      <c r="M1833" s="4">
        <v>30093.437999999998</v>
      </c>
      <c r="N1833" s="4">
        <v>30093.437999999998</v>
      </c>
      <c r="O1833" s="4">
        <v>30093.437999999998</v>
      </c>
      <c r="P1833" s="4">
        <v>63314</v>
      </c>
      <c r="Q1833" s="3" t="s">
        <v>26</v>
      </c>
      <c r="R1833" s="3">
        <v>0</v>
      </c>
      <c r="S1833" s="3" t="s">
        <v>493</v>
      </c>
      <c r="T1833" s="3" t="s">
        <v>734</v>
      </c>
      <c r="U1833" s="3">
        <v>0</v>
      </c>
      <c r="V1833" s="3">
        <v>45</v>
      </c>
      <c r="W1833" s="3">
        <v>85</v>
      </c>
    </row>
    <row r="1834" spans="1:23" ht="11.25" customHeight="1" x14ac:dyDescent="0.25">
      <c r="A1834" s="3" t="s">
        <v>27</v>
      </c>
      <c r="B1834" s="3" t="s">
        <v>39</v>
      </c>
      <c r="C1834" s="3" t="s">
        <v>23</v>
      </c>
      <c r="D1834" s="3" t="s">
        <v>43</v>
      </c>
      <c r="E1834" s="3" t="s">
        <v>25</v>
      </c>
      <c r="F1834" s="3" t="s">
        <v>25</v>
      </c>
      <c r="G1834" s="3" t="s">
        <v>25</v>
      </c>
      <c r="H1834" s="3" t="s">
        <v>25</v>
      </c>
      <c r="I1834" s="6">
        <v>44470</v>
      </c>
      <c r="J1834" s="4">
        <v>0</v>
      </c>
      <c r="K1834" s="4">
        <v>0</v>
      </c>
      <c r="L1834" s="4">
        <v>-112.68600000000001</v>
      </c>
      <c r="M1834" s="4">
        <v>-112.68600000000001</v>
      </c>
      <c r="N1834" s="4">
        <v>-112.68600000000001</v>
      </c>
      <c r="O1834" s="4">
        <v>-112.68600000000001</v>
      </c>
      <c r="P1834" s="4">
        <v>-394</v>
      </c>
      <c r="Q1834" s="3" t="s">
        <v>26</v>
      </c>
      <c r="R1834" s="3">
        <v>0</v>
      </c>
      <c r="S1834" s="3" t="s">
        <v>493</v>
      </c>
      <c r="T1834" s="3" t="s">
        <v>734</v>
      </c>
      <c r="U1834" s="3">
        <v>0</v>
      </c>
      <c r="V1834" s="3">
        <v>45</v>
      </c>
      <c r="W1834" s="3">
        <v>85</v>
      </c>
    </row>
    <row r="1835" spans="1:23" ht="11.25" customHeight="1" x14ac:dyDescent="0.25">
      <c r="A1835" s="3" t="s">
        <v>28</v>
      </c>
      <c r="B1835" s="3" t="s">
        <v>39</v>
      </c>
      <c r="C1835" s="3" t="s">
        <v>23</v>
      </c>
      <c r="D1835" s="3" t="s">
        <v>43</v>
      </c>
      <c r="E1835" s="3" t="s">
        <v>25</v>
      </c>
      <c r="F1835" s="3" t="s">
        <v>25</v>
      </c>
      <c r="G1835" s="3" t="s">
        <v>25</v>
      </c>
      <c r="H1835" s="3" t="s">
        <v>25</v>
      </c>
      <c r="I1835" s="6">
        <v>44470</v>
      </c>
      <c r="J1835" s="4">
        <v>0</v>
      </c>
      <c r="K1835" s="4">
        <v>0</v>
      </c>
      <c r="L1835" s="4">
        <v>1630.78</v>
      </c>
      <c r="M1835" s="4">
        <v>1630.78</v>
      </c>
      <c r="N1835" s="4">
        <v>1630.78</v>
      </c>
      <c r="O1835" s="4">
        <v>1630.78</v>
      </c>
      <c r="P1835" s="4">
        <v>2368</v>
      </c>
      <c r="Q1835" s="3" t="s">
        <v>26</v>
      </c>
      <c r="R1835" s="3">
        <v>0</v>
      </c>
      <c r="S1835" s="3" t="s">
        <v>493</v>
      </c>
      <c r="T1835" s="3" t="s">
        <v>734</v>
      </c>
      <c r="U1835" s="3">
        <v>0</v>
      </c>
      <c r="V1835" s="3">
        <v>45</v>
      </c>
      <c r="W1835" s="3">
        <v>85</v>
      </c>
    </row>
    <row r="1836" spans="1:23" ht="11.25" customHeight="1" x14ac:dyDescent="0.25">
      <c r="A1836" s="3" t="s">
        <v>28</v>
      </c>
      <c r="B1836" s="3" t="s">
        <v>39</v>
      </c>
      <c r="C1836" s="3" t="s">
        <v>23</v>
      </c>
      <c r="D1836" s="3" t="s">
        <v>43</v>
      </c>
      <c r="E1836" s="3" t="s">
        <v>25</v>
      </c>
      <c r="F1836" s="3" t="s">
        <v>25</v>
      </c>
      <c r="G1836" s="3" t="s">
        <v>25</v>
      </c>
      <c r="H1836" s="3" t="s">
        <v>25</v>
      </c>
      <c r="I1836" s="6">
        <v>44470</v>
      </c>
      <c r="J1836" s="4">
        <v>0</v>
      </c>
      <c r="K1836" s="4">
        <v>0</v>
      </c>
      <c r="L1836" s="4">
        <v>76.355000000000004</v>
      </c>
      <c r="M1836" s="4">
        <v>76.355000000000004</v>
      </c>
      <c r="N1836" s="4">
        <v>76.355000000000004</v>
      </c>
      <c r="O1836" s="4">
        <v>76.355000000000004</v>
      </c>
      <c r="P1836" s="4">
        <v>69</v>
      </c>
      <c r="Q1836" s="3" t="s">
        <v>26</v>
      </c>
      <c r="R1836" s="3">
        <v>0</v>
      </c>
      <c r="S1836" s="3" t="s">
        <v>493</v>
      </c>
      <c r="T1836" s="3" t="s">
        <v>734</v>
      </c>
      <c r="U1836" s="3">
        <v>0</v>
      </c>
      <c r="V1836" s="3">
        <v>45</v>
      </c>
      <c r="W1836" s="3">
        <v>85</v>
      </c>
    </row>
    <row r="1837" spans="1:23" ht="11.25" customHeight="1" x14ac:dyDescent="0.25">
      <c r="A1837" s="3" t="s">
        <v>21</v>
      </c>
      <c r="B1837" s="3" t="s">
        <v>39</v>
      </c>
      <c r="C1837" s="3" t="s">
        <v>23</v>
      </c>
      <c r="D1837" s="3" t="s">
        <v>43</v>
      </c>
      <c r="E1837" s="3" t="s">
        <v>25</v>
      </c>
      <c r="F1837" s="3" t="s">
        <v>25</v>
      </c>
      <c r="G1837" s="3" t="s">
        <v>25</v>
      </c>
      <c r="H1837" s="3" t="s">
        <v>25</v>
      </c>
      <c r="I1837" s="6">
        <v>44501</v>
      </c>
      <c r="J1837" s="4">
        <v>0</v>
      </c>
      <c r="K1837" s="4">
        <v>0</v>
      </c>
      <c r="L1837" s="4">
        <v>31624.109</v>
      </c>
      <c r="M1837" s="4">
        <v>31624.109</v>
      </c>
      <c r="N1837" s="4">
        <v>31624.109</v>
      </c>
      <c r="O1837" s="4">
        <v>31624.109</v>
      </c>
      <c r="P1837" s="4">
        <v>63306</v>
      </c>
      <c r="Q1837" s="3" t="s">
        <v>26</v>
      </c>
      <c r="R1837" s="3">
        <v>0</v>
      </c>
      <c r="S1837" s="3" t="s">
        <v>494</v>
      </c>
      <c r="T1837" s="3" t="s">
        <v>735</v>
      </c>
      <c r="U1837" s="3">
        <v>0</v>
      </c>
      <c r="V1837" s="3">
        <v>45</v>
      </c>
      <c r="W1837" s="3">
        <v>85</v>
      </c>
    </row>
    <row r="1838" spans="1:23" ht="11.25" customHeight="1" x14ac:dyDescent="0.25">
      <c r="A1838" s="3" t="s">
        <v>27</v>
      </c>
      <c r="B1838" s="3" t="s">
        <v>39</v>
      </c>
      <c r="C1838" s="3" t="s">
        <v>23</v>
      </c>
      <c r="D1838" s="3" t="s">
        <v>43</v>
      </c>
      <c r="E1838" s="3" t="s">
        <v>25</v>
      </c>
      <c r="F1838" s="3" t="s">
        <v>25</v>
      </c>
      <c r="G1838" s="3" t="s">
        <v>25</v>
      </c>
      <c r="H1838" s="3" t="s">
        <v>25</v>
      </c>
      <c r="I1838" s="6">
        <v>44501</v>
      </c>
      <c r="J1838" s="4">
        <v>0</v>
      </c>
      <c r="K1838" s="4">
        <v>0</v>
      </c>
      <c r="L1838" s="4">
        <v>20.347000000000001</v>
      </c>
      <c r="M1838" s="4">
        <v>20.347000000000001</v>
      </c>
      <c r="N1838" s="4">
        <v>20.347000000000001</v>
      </c>
      <c r="O1838" s="4">
        <v>20.347000000000001</v>
      </c>
      <c r="P1838" s="4">
        <v>-275</v>
      </c>
      <c r="Q1838" s="3" t="s">
        <v>26</v>
      </c>
      <c r="R1838" s="3">
        <v>0</v>
      </c>
      <c r="S1838" s="3" t="s">
        <v>494</v>
      </c>
      <c r="T1838" s="3" t="s">
        <v>735</v>
      </c>
      <c r="U1838" s="3">
        <v>0</v>
      </c>
      <c r="V1838" s="3">
        <v>45</v>
      </c>
      <c r="W1838" s="3">
        <v>85</v>
      </c>
    </row>
    <row r="1839" spans="1:23" ht="11.25" customHeight="1" x14ac:dyDescent="0.25">
      <c r="A1839" s="3" t="s">
        <v>28</v>
      </c>
      <c r="B1839" s="3" t="s">
        <v>39</v>
      </c>
      <c r="C1839" s="3" t="s">
        <v>23</v>
      </c>
      <c r="D1839" s="3" t="s">
        <v>43</v>
      </c>
      <c r="E1839" s="3" t="s">
        <v>25</v>
      </c>
      <c r="F1839" s="3" t="s">
        <v>25</v>
      </c>
      <c r="G1839" s="3" t="s">
        <v>25</v>
      </c>
      <c r="H1839" s="3" t="s">
        <v>25</v>
      </c>
      <c r="I1839" s="6">
        <v>44501</v>
      </c>
      <c r="J1839" s="4">
        <v>0</v>
      </c>
      <c r="K1839" s="4">
        <v>0</v>
      </c>
      <c r="L1839" s="4">
        <v>1566.777</v>
      </c>
      <c r="M1839" s="4">
        <v>1566.777</v>
      </c>
      <c r="N1839" s="4">
        <v>1566.777</v>
      </c>
      <c r="O1839" s="4">
        <v>1566.777</v>
      </c>
      <c r="P1839" s="4">
        <v>2524</v>
      </c>
      <c r="Q1839" s="3" t="s">
        <v>26</v>
      </c>
      <c r="R1839" s="3">
        <v>0</v>
      </c>
      <c r="S1839" s="3" t="s">
        <v>494</v>
      </c>
      <c r="T1839" s="3" t="s">
        <v>735</v>
      </c>
      <c r="U1839" s="3">
        <v>0</v>
      </c>
      <c r="V1839" s="3">
        <v>45</v>
      </c>
      <c r="W1839" s="3">
        <v>85</v>
      </c>
    </row>
    <row r="1840" spans="1:23" ht="11.25" customHeight="1" x14ac:dyDescent="0.25">
      <c r="A1840" s="3" t="s">
        <v>28</v>
      </c>
      <c r="B1840" s="3" t="s">
        <v>39</v>
      </c>
      <c r="C1840" s="3" t="s">
        <v>23</v>
      </c>
      <c r="D1840" s="3" t="s">
        <v>43</v>
      </c>
      <c r="E1840" s="3" t="s">
        <v>25</v>
      </c>
      <c r="F1840" s="3" t="s">
        <v>25</v>
      </c>
      <c r="G1840" s="3" t="s">
        <v>25</v>
      </c>
      <c r="H1840" s="3" t="s">
        <v>25</v>
      </c>
      <c r="I1840" s="6">
        <v>44501</v>
      </c>
      <c r="J1840" s="4">
        <v>0</v>
      </c>
      <c r="K1840" s="4">
        <v>0</v>
      </c>
      <c r="L1840" s="4">
        <v>-5.94</v>
      </c>
      <c r="M1840" s="4">
        <v>-5.94</v>
      </c>
      <c r="N1840" s="4">
        <v>-5.94</v>
      </c>
      <c r="O1840" s="4">
        <v>-5.94</v>
      </c>
      <c r="P1840" s="4">
        <v>-3</v>
      </c>
      <c r="Q1840" s="3" t="s">
        <v>26</v>
      </c>
      <c r="R1840" s="3">
        <v>0</v>
      </c>
      <c r="S1840" s="3" t="s">
        <v>494</v>
      </c>
      <c r="T1840" s="3" t="s">
        <v>735</v>
      </c>
      <c r="U1840" s="3">
        <v>0</v>
      </c>
      <c r="V1840" s="3">
        <v>45</v>
      </c>
      <c r="W1840" s="3">
        <v>85</v>
      </c>
    </row>
    <row r="1841" spans="1:23" ht="11.25" customHeight="1" x14ac:dyDescent="0.25">
      <c r="A1841" s="3" t="s">
        <v>21</v>
      </c>
      <c r="B1841" s="3" t="s">
        <v>39</v>
      </c>
      <c r="C1841" s="3" t="s">
        <v>23</v>
      </c>
      <c r="D1841" s="3" t="s">
        <v>43</v>
      </c>
      <c r="E1841" s="3" t="s">
        <v>25</v>
      </c>
      <c r="F1841" s="3" t="s">
        <v>25</v>
      </c>
      <c r="G1841" s="3" t="s">
        <v>25</v>
      </c>
      <c r="H1841" s="3" t="s">
        <v>25</v>
      </c>
      <c r="I1841" s="6">
        <v>44531</v>
      </c>
      <c r="J1841" s="4">
        <v>0</v>
      </c>
      <c r="K1841" s="4">
        <v>0</v>
      </c>
      <c r="L1841" s="4">
        <v>32229.486000000001</v>
      </c>
      <c r="M1841" s="4">
        <v>32229.486000000001</v>
      </c>
      <c r="N1841" s="4">
        <v>32229.486000000001</v>
      </c>
      <c r="O1841" s="4">
        <v>32229.486000000001</v>
      </c>
      <c r="P1841" s="4">
        <v>62196</v>
      </c>
      <c r="Q1841" s="3" t="s">
        <v>26</v>
      </c>
      <c r="R1841" s="3">
        <v>0</v>
      </c>
      <c r="S1841" s="3" t="s">
        <v>495</v>
      </c>
      <c r="T1841" s="3" t="s">
        <v>736</v>
      </c>
      <c r="U1841" s="3">
        <v>0</v>
      </c>
      <c r="V1841" s="3">
        <v>45</v>
      </c>
      <c r="W1841" s="3">
        <v>85</v>
      </c>
    </row>
    <row r="1842" spans="1:23" ht="11.25" customHeight="1" x14ac:dyDescent="0.25">
      <c r="A1842" s="3" t="s">
        <v>27</v>
      </c>
      <c r="B1842" s="3" t="s">
        <v>39</v>
      </c>
      <c r="C1842" s="3" t="s">
        <v>23</v>
      </c>
      <c r="D1842" s="3" t="s">
        <v>43</v>
      </c>
      <c r="E1842" s="3" t="s">
        <v>25</v>
      </c>
      <c r="F1842" s="3" t="s">
        <v>25</v>
      </c>
      <c r="G1842" s="3" t="s">
        <v>25</v>
      </c>
      <c r="H1842" s="3" t="s">
        <v>25</v>
      </c>
      <c r="I1842" s="6">
        <v>44531</v>
      </c>
      <c r="J1842" s="4">
        <v>0</v>
      </c>
      <c r="K1842" s="4">
        <v>0</v>
      </c>
      <c r="L1842" s="4">
        <v>-116.292</v>
      </c>
      <c r="M1842" s="4">
        <v>-116.292</v>
      </c>
      <c r="N1842" s="4">
        <v>-116.292</v>
      </c>
      <c r="O1842" s="4">
        <v>-116.292</v>
      </c>
      <c r="P1842" s="4">
        <v>-370</v>
      </c>
      <c r="Q1842" s="3" t="s">
        <v>26</v>
      </c>
      <c r="R1842" s="3">
        <v>0</v>
      </c>
      <c r="S1842" s="3" t="s">
        <v>495</v>
      </c>
      <c r="T1842" s="3" t="s">
        <v>736</v>
      </c>
      <c r="U1842" s="3">
        <v>0</v>
      </c>
      <c r="V1842" s="3">
        <v>45</v>
      </c>
      <c r="W1842" s="3">
        <v>85</v>
      </c>
    </row>
    <row r="1843" spans="1:23" ht="11.25" customHeight="1" x14ac:dyDescent="0.25">
      <c r="A1843" s="3" t="s">
        <v>28</v>
      </c>
      <c r="B1843" s="3" t="s">
        <v>39</v>
      </c>
      <c r="C1843" s="3" t="s">
        <v>23</v>
      </c>
      <c r="D1843" s="3" t="s">
        <v>43</v>
      </c>
      <c r="E1843" s="3" t="s">
        <v>25</v>
      </c>
      <c r="F1843" s="3" t="s">
        <v>25</v>
      </c>
      <c r="G1843" s="3" t="s">
        <v>25</v>
      </c>
      <c r="H1843" s="3" t="s">
        <v>25</v>
      </c>
      <c r="I1843" s="6">
        <v>44531</v>
      </c>
      <c r="J1843" s="4">
        <v>0</v>
      </c>
      <c r="K1843" s="4">
        <v>0</v>
      </c>
      <c r="L1843" s="4">
        <v>1973.788</v>
      </c>
      <c r="M1843" s="4">
        <v>1973.788</v>
      </c>
      <c r="N1843" s="4">
        <v>1973.788</v>
      </c>
      <c r="O1843" s="4">
        <v>1973.788</v>
      </c>
      <c r="P1843" s="4">
        <v>2712</v>
      </c>
      <c r="Q1843" s="3" t="s">
        <v>26</v>
      </c>
      <c r="R1843" s="3">
        <v>0</v>
      </c>
      <c r="S1843" s="3" t="s">
        <v>495</v>
      </c>
      <c r="T1843" s="3" t="s">
        <v>736</v>
      </c>
      <c r="U1843" s="3">
        <v>0</v>
      </c>
      <c r="V1843" s="3">
        <v>45</v>
      </c>
      <c r="W1843" s="3">
        <v>85</v>
      </c>
    </row>
    <row r="1844" spans="1:23" ht="11.25" customHeight="1" x14ac:dyDescent="0.25">
      <c r="A1844" s="3" t="s">
        <v>28</v>
      </c>
      <c r="B1844" s="3" t="s">
        <v>39</v>
      </c>
      <c r="C1844" s="3" t="s">
        <v>23</v>
      </c>
      <c r="D1844" s="3" t="s">
        <v>43</v>
      </c>
      <c r="E1844" s="3" t="s">
        <v>25</v>
      </c>
      <c r="F1844" s="3" t="s">
        <v>25</v>
      </c>
      <c r="G1844" s="3" t="s">
        <v>25</v>
      </c>
      <c r="H1844" s="3" t="s">
        <v>25</v>
      </c>
      <c r="I1844" s="6">
        <v>44531</v>
      </c>
      <c r="J1844" s="4">
        <v>0</v>
      </c>
      <c r="K1844" s="4">
        <v>0</v>
      </c>
      <c r="L1844" s="4">
        <v>-24.870999999999999</v>
      </c>
      <c r="M1844" s="4">
        <v>-24.870999999999999</v>
      </c>
      <c r="N1844" s="4">
        <v>-24.870999999999999</v>
      </c>
      <c r="O1844" s="4">
        <v>-24.870999999999999</v>
      </c>
      <c r="P1844" s="4">
        <v>0</v>
      </c>
      <c r="Q1844" s="3" t="s">
        <v>26</v>
      </c>
      <c r="R1844" s="3">
        <v>0</v>
      </c>
      <c r="S1844" s="3" t="s">
        <v>495</v>
      </c>
      <c r="T1844" s="3" t="s">
        <v>736</v>
      </c>
      <c r="U1844" s="3">
        <v>0</v>
      </c>
      <c r="V1844" s="3">
        <v>45</v>
      </c>
      <c r="W1844" s="3">
        <v>85</v>
      </c>
    </row>
    <row r="1845" spans="1:23" ht="11.25" customHeight="1" x14ac:dyDescent="0.25">
      <c r="A1845" s="3" t="s">
        <v>21</v>
      </c>
      <c r="B1845" s="3" t="s">
        <v>39</v>
      </c>
      <c r="C1845" s="3" t="s">
        <v>23</v>
      </c>
      <c r="D1845" s="3" t="s">
        <v>43</v>
      </c>
      <c r="E1845" s="3" t="s">
        <v>25</v>
      </c>
      <c r="F1845" s="3" t="s">
        <v>25</v>
      </c>
      <c r="G1845" s="3" t="s">
        <v>25</v>
      </c>
      <c r="H1845" s="3" t="s">
        <v>25</v>
      </c>
      <c r="I1845" s="6">
        <v>44562</v>
      </c>
      <c r="J1845" s="4">
        <v>0</v>
      </c>
      <c r="K1845" s="4">
        <v>0</v>
      </c>
      <c r="L1845" s="4">
        <v>29042.809000000001</v>
      </c>
      <c r="M1845" s="4">
        <v>29042.809000000001</v>
      </c>
      <c r="N1845" s="4">
        <v>29042.809000000001</v>
      </c>
      <c r="O1845" s="4">
        <v>29042.809000000001</v>
      </c>
      <c r="P1845" s="4">
        <v>61530</v>
      </c>
      <c r="Q1845" s="3" t="s">
        <v>26</v>
      </c>
      <c r="R1845" s="3">
        <v>0</v>
      </c>
      <c r="S1845" s="3" t="s">
        <v>496</v>
      </c>
      <c r="T1845" s="3" t="s">
        <v>737</v>
      </c>
      <c r="U1845" s="3">
        <v>0</v>
      </c>
      <c r="V1845" s="3">
        <v>45</v>
      </c>
      <c r="W1845" s="3">
        <v>85</v>
      </c>
    </row>
    <row r="1846" spans="1:23" ht="11.25" customHeight="1" x14ac:dyDescent="0.25">
      <c r="A1846" s="3" t="s">
        <v>27</v>
      </c>
      <c r="B1846" s="3" t="s">
        <v>39</v>
      </c>
      <c r="C1846" s="3" t="s">
        <v>23</v>
      </c>
      <c r="D1846" s="3" t="s">
        <v>43</v>
      </c>
      <c r="E1846" s="3" t="s">
        <v>25</v>
      </c>
      <c r="F1846" s="3" t="s">
        <v>25</v>
      </c>
      <c r="G1846" s="3" t="s">
        <v>25</v>
      </c>
      <c r="H1846" s="3" t="s">
        <v>25</v>
      </c>
      <c r="I1846" s="6">
        <v>44562</v>
      </c>
      <c r="J1846" s="4">
        <v>0</v>
      </c>
      <c r="K1846" s="4">
        <v>0</v>
      </c>
      <c r="L1846" s="4">
        <v>-78.17</v>
      </c>
      <c r="M1846" s="4">
        <v>-78.17</v>
      </c>
      <c r="N1846" s="4">
        <v>-78.17</v>
      </c>
      <c r="O1846" s="4">
        <v>-78.17</v>
      </c>
      <c r="P1846" s="4">
        <v>-682</v>
      </c>
      <c r="Q1846" s="3" t="s">
        <v>26</v>
      </c>
      <c r="R1846" s="3">
        <v>0</v>
      </c>
      <c r="S1846" s="3" t="s">
        <v>496</v>
      </c>
      <c r="T1846" s="3" t="s">
        <v>737</v>
      </c>
      <c r="U1846" s="3">
        <v>0</v>
      </c>
      <c r="V1846" s="3">
        <v>45</v>
      </c>
      <c r="W1846" s="3">
        <v>85</v>
      </c>
    </row>
    <row r="1847" spans="1:23" ht="11.25" customHeight="1" x14ac:dyDescent="0.25">
      <c r="A1847" s="3" t="s">
        <v>28</v>
      </c>
      <c r="B1847" s="3" t="s">
        <v>39</v>
      </c>
      <c r="C1847" s="3" t="s">
        <v>23</v>
      </c>
      <c r="D1847" s="3" t="s">
        <v>43</v>
      </c>
      <c r="E1847" s="3" t="s">
        <v>25</v>
      </c>
      <c r="F1847" s="3" t="s">
        <v>25</v>
      </c>
      <c r="G1847" s="3" t="s">
        <v>25</v>
      </c>
      <c r="H1847" s="3" t="s">
        <v>25</v>
      </c>
      <c r="I1847" s="6">
        <v>44562</v>
      </c>
      <c r="J1847" s="4">
        <v>0</v>
      </c>
      <c r="K1847" s="4">
        <v>0</v>
      </c>
      <c r="L1847" s="4">
        <v>1887.521</v>
      </c>
      <c r="M1847" s="4">
        <v>1887.521</v>
      </c>
      <c r="N1847" s="4">
        <v>1887.521</v>
      </c>
      <c r="O1847" s="4">
        <v>1887.521</v>
      </c>
      <c r="P1847" s="4">
        <v>2919</v>
      </c>
      <c r="Q1847" s="3" t="s">
        <v>26</v>
      </c>
      <c r="R1847" s="3">
        <v>0</v>
      </c>
      <c r="S1847" s="3" t="s">
        <v>496</v>
      </c>
      <c r="T1847" s="3" t="s">
        <v>737</v>
      </c>
      <c r="U1847" s="3">
        <v>0</v>
      </c>
      <c r="V1847" s="3">
        <v>45</v>
      </c>
      <c r="W1847" s="3">
        <v>85</v>
      </c>
    </row>
    <row r="1848" spans="1:23" ht="11.25" customHeight="1" x14ac:dyDescent="0.25">
      <c r="A1848" s="3" t="s">
        <v>28</v>
      </c>
      <c r="B1848" s="3" t="s">
        <v>39</v>
      </c>
      <c r="C1848" s="3" t="s">
        <v>23</v>
      </c>
      <c r="D1848" s="3" t="s">
        <v>43</v>
      </c>
      <c r="E1848" s="3" t="s">
        <v>25</v>
      </c>
      <c r="F1848" s="3" t="s">
        <v>25</v>
      </c>
      <c r="G1848" s="3" t="s">
        <v>25</v>
      </c>
      <c r="H1848" s="3" t="s">
        <v>25</v>
      </c>
      <c r="I1848" s="6">
        <v>44562</v>
      </c>
      <c r="J1848" s="4">
        <v>0</v>
      </c>
      <c r="K1848" s="4">
        <v>0</v>
      </c>
      <c r="L1848" s="4">
        <v>-8.5299999999999994</v>
      </c>
      <c r="M1848" s="4">
        <v>-8.5299999999999994</v>
      </c>
      <c r="N1848" s="4">
        <v>-8.5299999999999994</v>
      </c>
      <c r="O1848" s="4">
        <v>-8.5299999999999994</v>
      </c>
      <c r="P1848" s="4">
        <v>1</v>
      </c>
      <c r="Q1848" s="3" t="s">
        <v>26</v>
      </c>
      <c r="R1848" s="3">
        <v>0</v>
      </c>
      <c r="S1848" s="3" t="s">
        <v>496</v>
      </c>
      <c r="T1848" s="3" t="s">
        <v>737</v>
      </c>
      <c r="U1848" s="3">
        <v>0</v>
      </c>
      <c r="V1848" s="3">
        <v>45</v>
      </c>
      <c r="W1848" s="3">
        <v>85</v>
      </c>
    </row>
    <row r="1849" spans="1:23" ht="11.25" customHeight="1" x14ac:dyDescent="0.25">
      <c r="A1849" s="3" t="s">
        <v>21</v>
      </c>
      <c r="B1849" s="3" t="s">
        <v>39</v>
      </c>
      <c r="C1849" s="3" t="s">
        <v>23</v>
      </c>
      <c r="D1849" s="3" t="s">
        <v>43</v>
      </c>
      <c r="E1849" s="3" t="s">
        <v>25</v>
      </c>
      <c r="F1849" s="3" t="s">
        <v>25</v>
      </c>
      <c r="G1849" s="3" t="s">
        <v>25</v>
      </c>
      <c r="H1849" s="3" t="s">
        <v>25</v>
      </c>
      <c r="I1849" s="6">
        <v>44593</v>
      </c>
      <c r="J1849" s="4">
        <v>0</v>
      </c>
      <c r="K1849" s="4">
        <v>0</v>
      </c>
      <c r="L1849" s="4">
        <v>29179.13</v>
      </c>
      <c r="M1849" s="4">
        <v>29179.13</v>
      </c>
      <c r="N1849" s="4">
        <v>29179.13</v>
      </c>
      <c r="O1849" s="4">
        <v>29179.13</v>
      </c>
      <c r="P1849" s="4">
        <v>61244</v>
      </c>
      <c r="Q1849" s="3" t="s">
        <v>26</v>
      </c>
      <c r="R1849" s="3">
        <v>0</v>
      </c>
      <c r="S1849" s="3" t="s">
        <v>497</v>
      </c>
      <c r="T1849" s="3" t="s">
        <v>738</v>
      </c>
      <c r="U1849" s="3">
        <v>0</v>
      </c>
      <c r="V1849" s="3">
        <v>45</v>
      </c>
      <c r="W1849" s="3">
        <v>85</v>
      </c>
    </row>
    <row r="1850" spans="1:23" ht="11.25" customHeight="1" x14ac:dyDescent="0.25">
      <c r="A1850" s="3" t="s">
        <v>27</v>
      </c>
      <c r="B1850" s="3" t="s">
        <v>39</v>
      </c>
      <c r="C1850" s="3" t="s">
        <v>23</v>
      </c>
      <c r="D1850" s="3" t="s">
        <v>43</v>
      </c>
      <c r="E1850" s="3" t="s">
        <v>25</v>
      </c>
      <c r="F1850" s="3" t="s">
        <v>25</v>
      </c>
      <c r="G1850" s="3" t="s">
        <v>25</v>
      </c>
      <c r="H1850" s="3" t="s">
        <v>25</v>
      </c>
      <c r="I1850" s="6">
        <v>44593</v>
      </c>
      <c r="J1850" s="4">
        <v>0</v>
      </c>
      <c r="K1850" s="4">
        <v>0</v>
      </c>
      <c r="L1850" s="4">
        <v>-119.01900000000001</v>
      </c>
      <c r="M1850" s="4">
        <v>-119.01900000000001</v>
      </c>
      <c r="N1850" s="4">
        <v>-119.01900000000001</v>
      </c>
      <c r="O1850" s="4">
        <v>-119.01900000000001</v>
      </c>
      <c r="P1850" s="4">
        <v>-553</v>
      </c>
      <c r="Q1850" s="3" t="s">
        <v>26</v>
      </c>
      <c r="R1850" s="3">
        <v>0</v>
      </c>
      <c r="S1850" s="3" t="s">
        <v>497</v>
      </c>
      <c r="T1850" s="3" t="s">
        <v>738</v>
      </c>
      <c r="U1850" s="3">
        <v>0</v>
      </c>
      <c r="V1850" s="3">
        <v>45</v>
      </c>
      <c r="W1850" s="3">
        <v>85</v>
      </c>
    </row>
    <row r="1851" spans="1:23" ht="11.25" customHeight="1" x14ac:dyDescent="0.25">
      <c r="A1851" s="3" t="s">
        <v>28</v>
      </c>
      <c r="B1851" s="3" t="s">
        <v>39</v>
      </c>
      <c r="C1851" s="3" t="s">
        <v>23</v>
      </c>
      <c r="D1851" s="3" t="s">
        <v>43</v>
      </c>
      <c r="E1851" s="3" t="s">
        <v>25</v>
      </c>
      <c r="F1851" s="3" t="s">
        <v>25</v>
      </c>
      <c r="G1851" s="3" t="s">
        <v>25</v>
      </c>
      <c r="H1851" s="3" t="s">
        <v>25</v>
      </c>
      <c r="I1851" s="6">
        <v>44593</v>
      </c>
      <c r="J1851" s="4">
        <v>0</v>
      </c>
      <c r="K1851" s="4">
        <v>0</v>
      </c>
      <c r="L1851" s="4">
        <v>1669.3969999999999</v>
      </c>
      <c r="M1851" s="4">
        <v>1669.3969999999999</v>
      </c>
      <c r="N1851" s="4">
        <v>1669.3969999999999</v>
      </c>
      <c r="O1851" s="4">
        <v>1669.3969999999999</v>
      </c>
      <c r="P1851" s="4">
        <v>3115</v>
      </c>
      <c r="Q1851" s="3" t="s">
        <v>26</v>
      </c>
      <c r="R1851" s="3">
        <v>0</v>
      </c>
      <c r="S1851" s="3" t="s">
        <v>497</v>
      </c>
      <c r="T1851" s="3" t="s">
        <v>738</v>
      </c>
      <c r="U1851" s="3">
        <v>0</v>
      </c>
      <c r="V1851" s="3">
        <v>45</v>
      </c>
      <c r="W1851" s="3">
        <v>85</v>
      </c>
    </row>
    <row r="1852" spans="1:23" ht="11.25" customHeight="1" x14ac:dyDescent="0.25">
      <c r="A1852" s="3" t="s">
        <v>28</v>
      </c>
      <c r="B1852" s="3" t="s">
        <v>39</v>
      </c>
      <c r="C1852" s="3" t="s">
        <v>23</v>
      </c>
      <c r="D1852" s="3" t="s">
        <v>43</v>
      </c>
      <c r="E1852" s="3" t="s">
        <v>25</v>
      </c>
      <c r="F1852" s="3" t="s">
        <v>25</v>
      </c>
      <c r="G1852" s="3" t="s">
        <v>25</v>
      </c>
      <c r="H1852" s="3" t="s">
        <v>25</v>
      </c>
      <c r="I1852" s="6">
        <v>44593</v>
      </c>
      <c r="J1852" s="4">
        <v>0</v>
      </c>
      <c r="K1852" s="4">
        <v>0</v>
      </c>
      <c r="L1852" s="4">
        <v>-5.3559999999999999</v>
      </c>
      <c r="M1852" s="4">
        <v>-5.3559999999999999</v>
      </c>
      <c r="N1852" s="4">
        <v>-5.3559999999999999</v>
      </c>
      <c r="O1852" s="4">
        <v>-5.3559999999999999</v>
      </c>
      <c r="P1852" s="4">
        <v>6</v>
      </c>
      <c r="Q1852" s="3" t="s">
        <v>26</v>
      </c>
      <c r="R1852" s="3">
        <v>0</v>
      </c>
      <c r="S1852" s="3" t="s">
        <v>497</v>
      </c>
      <c r="T1852" s="3" t="s">
        <v>738</v>
      </c>
      <c r="U1852" s="3">
        <v>0</v>
      </c>
      <c r="V1852" s="3">
        <v>45</v>
      </c>
      <c r="W1852" s="3">
        <v>85</v>
      </c>
    </row>
    <row r="1853" spans="1:23" ht="11.25" customHeight="1" x14ac:dyDescent="0.25">
      <c r="A1853" s="3" t="s">
        <v>21</v>
      </c>
      <c r="B1853" s="3" t="s">
        <v>39</v>
      </c>
      <c r="C1853" s="3" t="s">
        <v>23</v>
      </c>
      <c r="D1853" s="3" t="s">
        <v>43</v>
      </c>
      <c r="E1853" s="3" t="s">
        <v>25</v>
      </c>
      <c r="F1853" s="3" t="s">
        <v>25</v>
      </c>
      <c r="G1853" s="3" t="s">
        <v>25</v>
      </c>
      <c r="H1853" s="3" t="s">
        <v>25</v>
      </c>
      <c r="I1853" s="6">
        <v>44621</v>
      </c>
      <c r="J1853" s="4">
        <v>0</v>
      </c>
      <c r="K1853" s="4">
        <v>0</v>
      </c>
      <c r="L1853" s="4">
        <v>30904.699000000001</v>
      </c>
      <c r="M1853" s="4">
        <v>30904.699000000001</v>
      </c>
      <c r="N1853" s="4">
        <v>30904.699000000001</v>
      </c>
      <c r="O1853" s="4">
        <v>30904.699000000001</v>
      </c>
      <c r="P1853" s="4">
        <v>61091</v>
      </c>
      <c r="Q1853" s="3" t="s">
        <v>26</v>
      </c>
      <c r="R1853" s="3">
        <v>0</v>
      </c>
      <c r="S1853" s="3" t="s">
        <v>498</v>
      </c>
      <c r="T1853" s="3" t="s">
        <v>739</v>
      </c>
      <c r="U1853" s="3">
        <v>0</v>
      </c>
      <c r="V1853" s="3">
        <v>45</v>
      </c>
      <c r="W1853" s="3">
        <v>85</v>
      </c>
    </row>
    <row r="1854" spans="1:23" ht="11.25" customHeight="1" x14ac:dyDescent="0.25">
      <c r="A1854" s="3" t="s">
        <v>27</v>
      </c>
      <c r="B1854" s="3" t="s">
        <v>39</v>
      </c>
      <c r="C1854" s="3" t="s">
        <v>23</v>
      </c>
      <c r="D1854" s="3" t="s">
        <v>43</v>
      </c>
      <c r="E1854" s="3" t="s">
        <v>25</v>
      </c>
      <c r="F1854" s="3" t="s">
        <v>25</v>
      </c>
      <c r="G1854" s="3" t="s">
        <v>25</v>
      </c>
      <c r="H1854" s="3" t="s">
        <v>25</v>
      </c>
      <c r="I1854" s="6">
        <v>44621</v>
      </c>
      <c r="J1854" s="4">
        <v>0</v>
      </c>
      <c r="K1854" s="4">
        <v>0</v>
      </c>
      <c r="L1854" s="4">
        <v>-296.94200000000001</v>
      </c>
      <c r="M1854" s="4">
        <v>-296.94200000000001</v>
      </c>
      <c r="N1854" s="4">
        <v>-296.94200000000001</v>
      </c>
      <c r="O1854" s="4">
        <v>-296.94200000000001</v>
      </c>
      <c r="P1854" s="4">
        <v>-276</v>
      </c>
      <c r="Q1854" s="3" t="s">
        <v>26</v>
      </c>
      <c r="R1854" s="3">
        <v>0</v>
      </c>
      <c r="S1854" s="3" t="s">
        <v>498</v>
      </c>
      <c r="T1854" s="3" t="s">
        <v>739</v>
      </c>
      <c r="U1854" s="3">
        <v>0</v>
      </c>
      <c r="V1854" s="3">
        <v>45</v>
      </c>
      <c r="W1854" s="3">
        <v>85</v>
      </c>
    </row>
    <row r="1855" spans="1:23" ht="11.25" customHeight="1" x14ac:dyDescent="0.25">
      <c r="A1855" s="3" t="s">
        <v>28</v>
      </c>
      <c r="B1855" s="3" t="s">
        <v>39</v>
      </c>
      <c r="C1855" s="3" t="s">
        <v>23</v>
      </c>
      <c r="D1855" s="3" t="s">
        <v>43</v>
      </c>
      <c r="E1855" s="3" t="s">
        <v>25</v>
      </c>
      <c r="F1855" s="3" t="s">
        <v>25</v>
      </c>
      <c r="G1855" s="3" t="s">
        <v>25</v>
      </c>
      <c r="H1855" s="3" t="s">
        <v>25</v>
      </c>
      <c r="I1855" s="6">
        <v>44621</v>
      </c>
      <c r="J1855" s="4">
        <v>0</v>
      </c>
      <c r="K1855" s="4">
        <v>0</v>
      </c>
      <c r="L1855" s="4">
        <v>2199.0100000000002</v>
      </c>
      <c r="M1855" s="4">
        <v>2199.0100000000002</v>
      </c>
      <c r="N1855" s="4">
        <v>2199.0100000000002</v>
      </c>
      <c r="O1855" s="4">
        <v>2199.0100000000002</v>
      </c>
      <c r="P1855" s="4">
        <v>3306</v>
      </c>
      <c r="Q1855" s="3" t="s">
        <v>26</v>
      </c>
      <c r="R1855" s="3">
        <v>0</v>
      </c>
      <c r="S1855" s="3" t="s">
        <v>498</v>
      </c>
      <c r="T1855" s="3" t="s">
        <v>739</v>
      </c>
      <c r="U1855" s="3">
        <v>0</v>
      </c>
      <c r="V1855" s="3">
        <v>45</v>
      </c>
      <c r="W1855" s="3">
        <v>85</v>
      </c>
    </row>
    <row r="1856" spans="1:23" ht="11.25" customHeight="1" x14ac:dyDescent="0.25">
      <c r="A1856" s="3" t="s">
        <v>28</v>
      </c>
      <c r="B1856" s="3" t="s">
        <v>39</v>
      </c>
      <c r="C1856" s="3" t="s">
        <v>23</v>
      </c>
      <c r="D1856" s="3" t="s">
        <v>43</v>
      </c>
      <c r="E1856" s="3" t="s">
        <v>25</v>
      </c>
      <c r="F1856" s="3" t="s">
        <v>25</v>
      </c>
      <c r="G1856" s="3" t="s">
        <v>25</v>
      </c>
      <c r="H1856" s="3" t="s">
        <v>25</v>
      </c>
      <c r="I1856" s="6">
        <v>44621</v>
      </c>
      <c r="J1856" s="4">
        <v>0</v>
      </c>
      <c r="K1856" s="4">
        <v>0</v>
      </c>
      <c r="L1856" s="4">
        <v>-5.585</v>
      </c>
      <c r="M1856" s="4">
        <v>-5.585</v>
      </c>
      <c r="N1856" s="4">
        <v>-5.585</v>
      </c>
      <c r="O1856" s="4">
        <v>-5.585</v>
      </c>
      <c r="P1856" s="4">
        <v>0</v>
      </c>
      <c r="Q1856" s="3" t="s">
        <v>26</v>
      </c>
      <c r="R1856" s="3">
        <v>0</v>
      </c>
      <c r="S1856" s="3" t="s">
        <v>498</v>
      </c>
      <c r="T1856" s="3" t="s">
        <v>739</v>
      </c>
      <c r="U1856" s="3">
        <v>0</v>
      </c>
      <c r="V1856" s="3">
        <v>45</v>
      </c>
      <c r="W1856" s="3">
        <v>85</v>
      </c>
    </row>
    <row r="1857" spans="1:23" ht="11.25" customHeight="1" x14ac:dyDescent="0.25">
      <c r="A1857" s="3" t="s">
        <v>56</v>
      </c>
      <c r="B1857" s="3" t="s">
        <v>39</v>
      </c>
      <c r="C1857" s="3" t="s">
        <v>23</v>
      </c>
      <c r="D1857" s="3" t="s">
        <v>43</v>
      </c>
      <c r="E1857" s="3" t="s">
        <v>25</v>
      </c>
      <c r="F1857" s="3" t="s">
        <v>25</v>
      </c>
      <c r="G1857" s="3" t="s">
        <v>25</v>
      </c>
      <c r="H1857" s="3" t="s">
        <v>25</v>
      </c>
      <c r="I1857" s="6">
        <v>44652</v>
      </c>
      <c r="J1857" s="4">
        <v>0</v>
      </c>
      <c r="K1857" s="4">
        <v>0</v>
      </c>
      <c r="L1857" s="4">
        <v>30904.699000000001</v>
      </c>
      <c r="M1857" s="4">
        <v>30904.699000000001</v>
      </c>
      <c r="N1857" s="4">
        <v>30904.699000000001</v>
      </c>
      <c r="O1857" s="4">
        <v>30904.699000000001</v>
      </c>
      <c r="P1857" s="4">
        <v>61091</v>
      </c>
      <c r="Q1857" s="3" t="s">
        <v>26</v>
      </c>
      <c r="R1857" s="3">
        <v>0</v>
      </c>
      <c r="S1857" s="3" t="s">
        <v>499</v>
      </c>
      <c r="T1857" s="3" t="s">
        <v>740</v>
      </c>
      <c r="U1857" s="3">
        <v>0</v>
      </c>
      <c r="V1857" s="3">
        <v>45</v>
      </c>
      <c r="W1857" s="3">
        <v>85</v>
      </c>
    </row>
    <row r="1858" spans="1:23" ht="11.25" customHeight="1" x14ac:dyDescent="0.25">
      <c r="A1858" s="3" t="s">
        <v>56</v>
      </c>
      <c r="B1858" s="3" t="s">
        <v>39</v>
      </c>
      <c r="C1858" s="3" t="s">
        <v>23</v>
      </c>
      <c r="D1858" s="3" t="s">
        <v>43</v>
      </c>
      <c r="E1858" s="3" t="s">
        <v>25</v>
      </c>
      <c r="F1858" s="3" t="s">
        <v>25</v>
      </c>
      <c r="G1858" s="3" t="s">
        <v>25</v>
      </c>
      <c r="H1858" s="3" t="s">
        <v>25</v>
      </c>
      <c r="I1858" s="6">
        <v>44652</v>
      </c>
      <c r="J1858" s="4">
        <v>0</v>
      </c>
      <c r="K1858" s="4">
        <v>0</v>
      </c>
      <c r="L1858" s="4">
        <v>-296.94200000000001</v>
      </c>
      <c r="M1858" s="4">
        <v>-296.94200000000001</v>
      </c>
      <c r="N1858" s="4">
        <v>-296.94200000000001</v>
      </c>
      <c r="O1858" s="4">
        <v>-296.94200000000001</v>
      </c>
      <c r="P1858" s="4">
        <v>-276</v>
      </c>
      <c r="Q1858" s="3" t="s">
        <v>26</v>
      </c>
      <c r="R1858" s="3">
        <v>0</v>
      </c>
      <c r="S1858" s="3" t="s">
        <v>499</v>
      </c>
      <c r="T1858" s="3" t="s">
        <v>740</v>
      </c>
      <c r="U1858" s="3">
        <v>0</v>
      </c>
      <c r="V1858" s="3">
        <v>45</v>
      </c>
      <c r="W1858" s="3">
        <v>85</v>
      </c>
    </row>
    <row r="1859" spans="1:23" ht="11.25" customHeight="1" x14ac:dyDescent="0.25">
      <c r="A1859" s="3" t="s">
        <v>56</v>
      </c>
      <c r="B1859" s="3" t="s">
        <v>39</v>
      </c>
      <c r="C1859" s="3" t="s">
        <v>23</v>
      </c>
      <c r="D1859" s="3" t="s">
        <v>43</v>
      </c>
      <c r="E1859" s="3" t="s">
        <v>25</v>
      </c>
      <c r="F1859" s="3" t="s">
        <v>25</v>
      </c>
      <c r="G1859" s="3" t="s">
        <v>25</v>
      </c>
      <c r="H1859" s="3" t="s">
        <v>25</v>
      </c>
      <c r="I1859" s="6">
        <v>44652</v>
      </c>
      <c r="J1859" s="4">
        <v>0</v>
      </c>
      <c r="K1859" s="4">
        <v>0</v>
      </c>
      <c r="L1859" s="4">
        <v>2199.0100000000002</v>
      </c>
      <c r="M1859" s="4">
        <v>2199.0100000000002</v>
      </c>
      <c r="N1859" s="4">
        <v>2199.0100000000002</v>
      </c>
      <c r="O1859" s="4">
        <v>2199.0100000000002</v>
      </c>
      <c r="P1859" s="4">
        <v>3306</v>
      </c>
      <c r="Q1859" s="3" t="s">
        <v>26</v>
      </c>
      <c r="R1859" s="3">
        <v>0</v>
      </c>
      <c r="S1859" s="3" t="s">
        <v>499</v>
      </c>
      <c r="T1859" s="3" t="s">
        <v>740</v>
      </c>
      <c r="U1859" s="3">
        <v>0</v>
      </c>
      <c r="V1859" s="3">
        <v>45</v>
      </c>
      <c r="W1859" s="3">
        <v>85</v>
      </c>
    </row>
    <row r="1860" spans="1:23" ht="11.25" customHeight="1" x14ac:dyDescent="0.25">
      <c r="A1860" s="3" t="s">
        <v>56</v>
      </c>
      <c r="B1860" s="3" t="s">
        <v>39</v>
      </c>
      <c r="C1860" s="3" t="s">
        <v>23</v>
      </c>
      <c r="D1860" s="3" t="s">
        <v>43</v>
      </c>
      <c r="E1860" s="3" t="s">
        <v>25</v>
      </c>
      <c r="F1860" s="3" t="s">
        <v>25</v>
      </c>
      <c r="G1860" s="3" t="s">
        <v>25</v>
      </c>
      <c r="H1860" s="3" t="s">
        <v>25</v>
      </c>
      <c r="I1860" s="6">
        <v>44652</v>
      </c>
      <c r="J1860" s="4">
        <v>0</v>
      </c>
      <c r="K1860" s="4">
        <v>0</v>
      </c>
      <c r="L1860" s="4">
        <v>-5.585</v>
      </c>
      <c r="M1860" s="4">
        <v>-5.585</v>
      </c>
      <c r="N1860" s="4">
        <v>-5.585</v>
      </c>
      <c r="O1860" s="4">
        <v>-5.585</v>
      </c>
      <c r="P1860" s="4">
        <v>0</v>
      </c>
      <c r="Q1860" s="3" t="s">
        <v>26</v>
      </c>
      <c r="R1860" s="3">
        <v>0</v>
      </c>
      <c r="S1860" s="3" t="s">
        <v>499</v>
      </c>
      <c r="T1860" s="3" t="s">
        <v>740</v>
      </c>
      <c r="U1860" s="3">
        <v>0</v>
      </c>
      <c r="V1860" s="3">
        <v>45</v>
      </c>
      <c r="W1860" s="3">
        <v>85</v>
      </c>
    </row>
    <row r="1861" spans="1:23" ht="11.25" customHeight="1" x14ac:dyDescent="0.25">
      <c r="A1861" s="3" t="s">
        <v>21</v>
      </c>
      <c r="B1861" s="3" t="s">
        <v>39</v>
      </c>
      <c r="C1861" s="3" t="s">
        <v>23</v>
      </c>
      <c r="D1861" s="3" t="s">
        <v>52</v>
      </c>
      <c r="E1861" s="3" t="s">
        <v>25</v>
      </c>
      <c r="F1861" s="3" t="s">
        <v>25</v>
      </c>
      <c r="G1861" s="3" t="s">
        <v>25</v>
      </c>
      <c r="H1861" s="3" t="s">
        <v>25</v>
      </c>
      <c r="I1861" s="6">
        <v>44317</v>
      </c>
      <c r="J1861" s="4">
        <v>0</v>
      </c>
      <c r="K1861" s="4">
        <v>0</v>
      </c>
      <c r="L1861" s="4">
        <v>168.625</v>
      </c>
      <c r="M1861" s="4">
        <v>168.625</v>
      </c>
      <c r="N1861" s="4">
        <v>168.625</v>
      </c>
      <c r="O1861" s="4">
        <v>168.625</v>
      </c>
      <c r="P1861" s="4">
        <v>73</v>
      </c>
      <c r="Q1861" s="3" t="s">
        <v>26</v>
      </c>
      <c r="R1861" s="3">
        <v>0</v>
      </c>
      <c r="S1861" s="3" t="s">
        <v>488</v>
      </c>
      <c r="T1861" s="3" t="s">
        <v>729</v>
      </c>
      <c r="U1861" s="3">
        <v>0</v>
      </c>
      <c r="V1861" s="3">
        <v>45</v>
      </c>
      <c r="W1861" s="3">
        <v>85</v>
      </c>
    </row>
    <row r="1862" spans="1:23" ht="11.25" customHeight="1" x14ac:dyDescent="0.25">
      <c r="A1862" s="3" t="s">
        <v>21</v>
      </c>
      <c r="B1862" s="3" t="s">
        <v>39</v>
      </c>
      <c r="C1862" s="3" t="s">
        <v>23</v>
      </c>
      <c r="D1862" s="3" t="s">
        <v>52</v>
      </c>
      <c r="E1862" s="3" t="s">
        <v>25</v>
      </c>
      <c r="F1862" s="3" t="s">
        <v>25</v>
      </c>
      <c r="G1862" s="3" t="s">
        <v>25</v>
      </c>
      <c r="H1862" s="3" t="s">
        <v>25</v>
      </c>
      <c r="I1862" s="6">
        <v>44348</v>
      </c>
      <c r="J1862" s="4">
        <v>0</v>
      </c>
      <c r="K1862" s="4">
        <v>0</v>
      </c>
      <c r="L1862" s="4">
        <v>148.601</v>
      </c>
      <c r="M1862" s="4">
        <v>148.601</v>
      </c>
      <c r="N1862" s="4">
        <v>148.601</v>
      </c>
      <c r="O1862" s="4">
        <v>148.601</v>
      </c>
      <c r="P1862" s="4">
        <v>72</v>
      </c>
      <c r="Q1862" s="3" t="s">
        <v>26</v>
      </c>
      <c r="R1862" s="3">
        <v>0</v>
      </c>
      <c r="S1862" s="3" t="s">
        <v>489</v>
      </c>
      <c r="T1862" s="3" t="s">
        <v>730</v>
      </c>
      <c r="U1862" s="3">
        <v>0</v>
      </c>
      <c r="V1862" s="3">
        <v>45</v>
      </c>
      <c r="W1862" s="3">
        <v>85</v>
      </c>
    </row>
    <row r="1863" spans="1:23" ht="11.25" customHeight="1" x14ac:dyDescent="0.25">
      <c r="A1863" s="3" t="s">
        <v>27</v>
      </c>
      <c r="B1863" s="3" t="s">
        <v>39</v>
      </c>
      <c r="C1863" s="3" t="s">
        <v>23</v>
      </c>
      <c r="D1863" s="3" t="s">
        <v>52</v>
      </c>
      <c r="E1863" s="3" t="s">
        <v>25</v>
      </c>
      <c r="F1863" s="3" t="s">
        <v>25</v>
      </c>
      <c r="G1863" s="3" t="s">
        <v>25</v>
      </c>
      <c r="H1863" s="3" t="s">
        <v>25</v>
      </c>
      <c r="I1863" s="6">
        <v>44348</v>
      </c>
      <c r="J1863" s="4">
        <v>0</v>
      </c>
      <c r="K1863" s="4">
        <v>0</v>
      </c>
      <c r="L1863" s="4">
        <v>-2.19</v>
      </c>
      <c r="M1863" s="4">
        <v>-2.19</v>
      </c>
      <c r="N1863" s="4">
        <v>-2.19</v>
      </c>
      <c r="O1863" s="4">
        <v>-2.19</v>
      </c>
      <c r="P1863" s="4">
        <v>-1</v>
      </c>
      <c r="Q1863" s="3" t="s">
        <v>26</v>
      </c>
      <c r="R1863" s="3">
        <v>0</v>
      </c>
      <c r="S1863" s="3" t="s">
        <v>489</v>
      </c>
      <c r="T1863" s="3" t="s">
        <v>730</v>
      </c>
      <c r="U1863" s="3">
        <v>0</v>
      </c>
      <c r="V1863" s="3">
        <v>45</v>
      </c>
      <c r="W1863" s="3">
        <v>85</v>
      </c>
    </row>
    <row r="1864" spans="1:23" ht="11.25" customHeight="1" x14ac:dyDescent="0.25">
      <c r="A1864" s="3" t="s">
        <v>21</v>
      </c>
      <c r="B1864" s="3" t="s">
        <v>39</v>
      </c>
      <c r="C1864" s="3" t="s">
        <v>23</v>
      </c>
      <c r="D1864" s="3" t="s">
        <v>52</v>
      </c>
      <c r="E1864" s="3" t="s">
        <v>25</v>
      </c>
      <c r="F1864" s="3" t="s">
        <v>25</v>
      </c>
      <c r="G1864" s="3" t="s">
        <v>25</v>
      </c>
      <c r="H1864" s="3" t="s">
        <v>25</v>
      </c>
      <c r="I1864" s="6">
        <v>44378</v>
      </c>
      <c r="J1864" s="4">
        <v>0</v>
      </c>
      <c r="K1864" s="4">
        <v>0</v>
      </c>
      <c r="L1864" s="4">
        <v>137.315</v>
      </c>
      <c r="M1864" s="4">
        <v>137.315</v>
      </c>
      <c r="N1864" s="4">
        <v>137.315</v>
      </c>
      <c r="O1864" s="4">
        <v>137.315</v>
      </c>
      <c r="P1864" s="4">
        <v>72</v>
      </c>
      <c r="Q1864" s="3" t="s">
        <v>26</v>
      </c>
      <c r="R1864" s="3">
        <v>0</v>
      </c>
      <c r="S1864" s="3" t="s">
        <v>490</v>
      </c>
      <c r="T1864" s="3" t="s">
        <v>731</v>
      </c>
      <c r="U1864" s="3">
        <v>0</v>
      </c>
      <c r="V1864" s="3">
        <v>45</v>
      </c>
      <c r="W1864" s="3">
        <v>85</v>
      </c>
    </row>
    <row r="1865" spans="1:23" ht="11.25" customHeight="1" x14ac:dyDescent="0.25">
      <c r="A1865" s="3" t="s">
        <v>21</v>
      </c>
      <c r="B1865" s="3" t="s">
        <v>39</v>
      </c>
      <c r="C1865" s="3" t="s">
        <v>23</v>
      </c>
      <c r="D1865" s="3" t="s">
        <v>52</v>
      </c>
      <c r="E1865" s="3" t="s">
        <v>25</v>
      </c>
      <c r="F1865" s="3" t="s">
        <v>25</v>
      </c>
      <c r="G1865" s="3" t="s">
        <v>25</v>
      </c>
      <c r="H1865" s="3" t="s">
        <v>25</v>
      </c>
      <c r="I1865" s="6">
        <v>44409</v>
      </c>
      <c r="J1865" s="4">
        <v>0</v>
      </c>
      <c r="K1865" s="4">
        <v>0</v>
      </c>
      <c r="L1865" s="4">
        <v>149.45599999999999</v>
      </c>
      <c r="M1865" s="4">
        <v>149.45599999999999</v>
      </c>
      <c r="N1865" s="4">
        <v>149.45599999999999</v>
      </c>
      <c r="O1865" s="4">
        <v>149.45599999999999</v>
      </c>
      <c r="P1865" s="4">
        <v>77</v>
      </c>
      <c r="Q1865" s="3" t="s">
        <v>26</v>
      </c>
      <c r="R1865" s="3">
        <v>0</v>
      </c>
      <c r="S1865" s="3" t="s">
        <v>491</v>
      </c>
      <c r="T1865" s="3" t="s">
        <v>732</v>
      </c>
      <c r="U1865" s="3">
        <v>0</v>
      </c>
      <c r="V1865" s="3">
        <v>45</v>
      </c>
      <c r="W1865" s="3">
        <v>85</v>
      </c>
    </row>
    <row r="1866" spans="1:23" ht="11.25" customHeight="1" x14ac:dyDescent="0.25">
      <c r="A1866" s="3" t="s">
        <v>27</v>
      </c>
      <c r="B1866" s="3" t="s">
        <v>39</v>
      </c>
      <c r="C1866" s="3" t="s">
        <v>23</v>
      </c>
      <c r="D1866" s="3" t="s">
        <v>52</v>
      </c>
      <c r="E1866" s="3" t="s">
        <v>25</v>
      </c>
      <c r="F1866" s="3" t="s">
        <v>25</v>
      </c>
      <c r="G1866" s="3" t="s">
        <v>25</v>
      </c>
      <c r="H1866" s="3" t="s">
        <v>25</v>
      </c>
      <c r="I1866" s="6">
        <v>44409</v>
      </c>
      <c r="J1866" s="4">
        <v>0</v>
      </c>
      <c r="K1866" s="4">
        <v>0</v>
      </c>
      <c r="L1866" s="4">
        <v>5.3869999999999996</v>
      </c>
      <c r="M1866" s="4">
        <v>5.3869999999999996</v>
      </c>
      <c r="N1866" s="4">
        <v>5.3869999999999996</v>
      </c>
      <c r="O1866" s="4">
        <v>5.3869999999999996</v>
      </c>
      <c r="P1866" s="4">
        <v>1</v>
      </c>
      <c r="Q1866" s="3" t="s">
        <v>26</v>
      </c>
      <c r="R1866" s="3">
        <v>0</v>
      </c>
      <c r="S1866" s="3" t="s">
        <v>491</v>
      </c>
      <c r="T1866" s="3" t="s">
        <v>732</v>
      </c>
      <c r="U1866" s="3">
        <v>0</v>
      </c>
      <c r="V1866" s="3">
        <v>45</v>
      </c>
      <c r="W1866" s="3">
        <v>85</v>
      </c>
    </row>
    <row r="1867" spans="1:23" ht="11.25" customHeight="1" x14ac:dyDescent="0.25">
      <c r="A1867" s="3" t="s">
        <v>21</v>
      </c>
      <c r="B1867" s="3" t="s">
        <v>39</v>
      </c>
      <c r="C1867" s="3" t="s">
        <v>23</v>
      </c>
      <c r="D1867" s="3" t="s">
        <v>52</v>
      </c>
      <c r="E1867" s="3" t="s">
        <v>25</v>
      </c>
      <c r="F1867" s="3" t="s">
        <v>25</v>
      </c>
      <c r="G1867" s="3" t="s">
        <v>25</v>
      </c>
      <c r="H1867" s="3" t="s">
        <v>25</v>
      </c>
      <c r="I1867" s="6">
        <v>44440</v>
      </c>
      <c r="J1867" s="4">
        <v>0</v>
      </c>
      <c r="K1867" s="4">
        <v>0</v>
      </c>
      <c r="L1867" s="4">
        <v>172.93899999999999</v>
      </c>
      <c r="M1867" s="4">
        <v>172.93899999999999</v>
      </c>
      <c r="N1867" s="4">
        <v>172.93899999999999</v>
      </c>
      <c r="O1867" s="4">
        <v>172.93899999999999</v>
      </c>
      <c r="P1867" s="4">
        <v>80</v>
      </c>
      <c r="Q1867" s="3" t="s">
        <v>26</v>
      </c>
      <c r="R1867" s="3">
        <v>0</v>
      </c>
      <c r="S1867" s="3" t="s">
        <v>492</v>
      </c>
      <c r="T1867" s="3" t="s">
        <v>733</v>
      </c>
      <c r="U1867" s="3">
        <v>0</v>
      </c>
      <c r="V1867" s="3">
        <v>45</v>
      </c>
      <c r="W1867" s="3">
        <v>85</v>
      </c>
    </row>
    <row r="1868" spans="1:23" ht="11.25" customHeight="1" x14ac:dyDescent="0.25">
      <c r="A1868" s="3" t="s">
        <v>27</v>
      </c>
      <c r="B1868" s="3" t="s">
        <v>39</v>
      </c>
      <c r="C1868" s="3" t="s">
        <v>23</v>
      </c>
      <c r="D1868" s="3" t="s">
        <v>52</v>
      </c>
      <c r="E1868" s="3" t="s">
        <v>25</v>
      </c>
      <c r="F1868" s="3" t="s">
        <v>25</v>
      </c>
      <c r="G1868" s="3" t="s">
        <v>25</v>
      </c>
      <c r="H1868" s="3" t="s">
        <v>25</v>
      </c>
      <c r="I1868" s="6">
        <v>44440</v>
      </c>
      <c r="J1868" s="4">
        <v>0</v>
      </c>
      <c r="K1868" s="4">
        <v>0</v>
      </c>
      <c r="L1868" s="4">
        <v>2.1259999999999999</v>
      </c>
      <c r="M1868" s="4">
        <v>2.1259999999999999</v>
      </c>
      <c r="N1868" s="4">
        <v>2.1259999999999999</v>
      </c>
      <c r="O1868" s="4">
        <v>2.1259999999999999</v>
      </c>
      <c r="P1868" s="4">
        <v>0</v>
      </c>
      <c r="Q1868" s="3" t="s">
        <v>26</v>
      </c>
      <c r="R1868" s="3">
        <v>0</v>
      </c>
      <c r="S1868" s="3" t="s">
        <v>492</v>
      </c>
      <c r="T1868" s="3" t="s">
        <v>733</v>
      </c>
      <c r="U1868" s="3">
        <v>0</v>
      </c>
      <c r="V1868" s="3">
        <v>45</v>
      </c>
      <c r="W1868" s="3">
        <v>85</v>
      </c>
    </row>
    <row r="1869" spans="1:23" ht="11.25" customHeight="1" x14ac:dyDescent="0.25">
      <c r="A1869" s="3" t="s">
        <v>21</v>
      </c>
      <c r="B1869" s="3" t="s">
        <v>39</v>
      </c>
      <c r="C1869" s="3" t="s">
        <v>23</v>
      </c>
      <c r="D1869" s="3" t="s">
        <v>52</v>
      </c>
      <c r="E1869" s="3" t="s">
        <v>25</v>
      </c>
      <c r="F1869" s="3" t="s">
        <v>25</v>
      </c>
      <c r="G1869" s="3" t="s">
        <v>25</v>
      </c>
      <c r="H1869" s="3" t="s">
        <v>25</v>
      </c>
      <c r="I1869" s="6">
        <v>44470</v>
      </c>
      <c r="J1869" s="4">
        <v>0</v>
      </c>
      <c r="K1869" s="4">
        <v>0</v>
      </c>
      <c r="L1869" s="4">
        <v>182.76599999999999</v>
      </c>
      <c r="M1869" s="4">
        <v>182.76599999999999</v>
      </c>
      <c r="N1869" s="4">
        <v>182.76599999999999</v>
      </c>
      <c r="O1869" s="4">
        <v>182.76599999999999</v>
      </c>
      <c r="P1869" s="4">
        <v>77</v>
      </c>
      <c r="Q1869" s="3" t="s">
        <v>26</v>
      </c>
      <c r="R1869" s="3">
        <v>0</v>
      </c>
      <c r="S1869" s="3" t="s">
        <v>493</v>
      </c>
      <c r="T1869" s="3" t="s">
        <v>734</v>
      </c>
      <c r="U1869" s="3">
        <v>0</v>
      </c>
      <c r="V1869" s="3">
        <v>45</v>
      </c>
      <c r="W1869" s="3">
        <v>85</v>
      </c>
    </row>
    <row r="1870" spans="1:23" ht="11.25" customHeight="1" x14ac:dyDescent="0.25">
      <c r="A1870" s="3" t="s">
        <v>27</v>
      </c>
      <c r="B1870" s="3" t="s">
        <v>39</v>
      </c>
      <c r="C1870" s="3" t="s">
        <v>23</v>
      </c>
      <c r="D1870" s="3" t="s">
        <v>52</v>
      </c>
      <c r="E1870" s="3" t="s">
        <v>25</v>
      </c>
      <c r="F1870" s="3" t="s">
        <v>25</v>
      </c>
      <c r="G1870" s="3" t="s">
        <v>25</v>
      </c>
      <c r="H1870" s="3" t="s">
        <v>25</v>
      </c>
      <c r="I1870" s="6">
        <v>44470</v>
      </c>
      <c r="J1870" s="4">
        <v>0</v>
      </c>
      <c r="K1870" s="4">
        <v>0</v>
      </c>
      <c r="L1870" s="4">
        <v>-1.242</v>
      </c>
      <c r="M1870" s="4">
        <v>-1.242</v>
      </c>
      <c r="N1870" s="4">
        <v>-1.242</v>
      </c>
      <c r="O1870" s="4">
        <v>-1.242</v>
      </c>
      <c r="P1870" s="4">
        <v>0</v>
      </c>
      <c r="Q1870" s="3" t="s">
        <v>26</v>
      </c>
      <c r="R1870" s="3">
        <v>0</v>
      </c>
      <c r="S1870" s="3" t="s">
        <v>493</v>
      </c>
      <c r="T1870" s="3" t="s">
        <v>734</v>
      </c>
      <c r="U1870" s="3">
        <v>0</v>
      </c>
      <c r="V1870" s="3">
        <v>45</v>
      </c>
      <c r="W1870" s="3">
        <v>85</v>
      </c>
    </row>
    <row r="1871" spans="1:23" ht="11.25" customHeight="1" x14ac:dyDescent="0.25">
      <c r="A1871" s="3" t="s">
        <v>21</v>
      </c>
      <c r="B1871" s="3" t="s">
        <v>39</v>
      </c>
      <c r="C1871" s="3" t="s">
        <v>23</v>
      </c>
      <c r="D1871" s="3" t="s">
        <v>52</v>
      </c>
      <c r="E1871" s="3" t="s">
        <v>25</v>
      </c>
      <c r="F1871" s="3" t="s">
        <v>25</v>
      </c>
      <c r="G1871" s="3" t="s">
        <v>25</v>
      </c>
      <c r="H1871" s="3" t="s">
        <v>25</v>
      </c>
      <c r="I1871" s="6">
        <v>44501</v>
      </c>
      <c r="J1871" s="4">
        <v>0</v>
      </c>
      <c r="K1871" s="4">
        <v>0</v>
      </c>
      <c r="L1871" s="4">
        <v>199.899</v>
      </c>
      <c r="M1871" s="4">
        <v>199.899</v>
      </c>
      <c r="N1871" s="4">
        <v>199.899</v>
      </c>
      <c r="O1871" s="4">
        <v>199.899</v>
      </c>
      <c r="P1871" s="4">
        <v>78</v>
      </c>
      <c r="Q1871" s="3" t="s">
        <v>26</v>
      </c>
      <c r="R1871" s="3">
        <v>0</v>
      </c>
      <c r="S1871" s="3" t="s">
        <v>494</v>
      </c>
      <c r="T1871" s="3" t="s">
        <v>735</v>
      </c>
      <c r="U1871" s="3">
        <v>0</v>
      </c>
      <c r="V1871" s="3">
        <v>45</v>
      </c>
      <c r="W1871" s="3">
        <v>85</v>
      </c>
    </row>
    <row r="1872" spans="1:23" ht="11.25" customHeight="1" x14ac:dyDescent="0.25">
      <c r="A1872" s="3" t="s">
        <v>27</v>
      </c>
      <c r="B1872" s="3" t="s">
        <v>39</v>
      </c>
      <c r="C1872" s="3" t="s">
        <v>23</v>
      </c>
      <c r="D1872" s="3" t="s">
        <v>52</v>
      </c>
      <c r="E1872" s="3" t="s">
        <v>25</v>
      </c>
      <c r="F1872" s="3" t="s">
        <v>25</v>
      </c>
      <c r="G1872" s="3" t="s">
        <v>25</v>
      </c>
      <c r="H1872" s="3" t="s">
        <v>25</v>
      </c>
      <c r="I1872" s="6">
        <v>44501</v>
      </c>
      <c r="J1872" s="4">
        <v>0</v>
      </c>
      <c r="K1872" s="4">
        <v>0</v>
      </c>
      <c r="L1872" s="4">
        <v>2.06</v>
      </c>
      <c r="M1872" s="4">
        <v>2.06</v>
      </c>
      <c r="N1872" s="4">
        <v>2.06</v>
      </c>
      <c r="O1872" s="4">
        <v>2.06</v>
      </c>
      <c r="P1872" s="4">
        <v>0</v>
      </c>
      <c r="Q1872" s="3" t="s">
        <v>26</v>
      </c>
      <c r="R1872" s="3">
        <v>0</v>
      </c>
      <c r="S1872" s="3" t="s">
        <v>494</v>
      </c>
      <c r="T1872" s="3" t="s">
        <v>735</v>
      </c>
      <c r="U1872" s="3">
        <v>0</v>
      </c>
      <c r="V1872" s="3">
        <v>45</v>
      </c>
      <c r="W1872" s="3">
        <v>85</v>
      </c>
    </row>
    <row r="1873" spans="1:23" ht="11.25" customHeight="1" x14ac:dyDescent="0.25">
      <c r="A1873" s="3" t="s">
        <v>21</v>
      </c>
      <c r="B1873" s="3" t="s">
        <v>39</v>
      </c>
      <c r="C1873" s="3" t="s">
        <v>23</v>
      </c>
      <c r="D1873" s="3" t="s">
        <v>52</v>
      </c>
      <c r="E1873" s="3" t="s">
        <v>25</v>
      </c>
      <c r="F1873" s="3" t="s">
        <v>25</v>
      </c>
      <c r="G1873" s="3" t="s">
        <v>25</v>
      </c>
      <c r="H1873" s="3" t="s">
        <v>25</v>
      </c>
      <c r="I1873" s="6">
        <v>44531</v>
      </c>
      <c r="J1873" s="4">
        <v>0</v>
      </c>
      <c r="K1873" s="4">
        <v>0</v>
      </c>
      <c r="L1873" s="4">
        <v>2481.085</v>
      </c>
      <c r="M1873" s="4">
        <v>2481.085</v>
      </c>
      <c r="N1873" s="4">
        <v>2481.085</v>
      </c>
      <c r="O1873" s="4">
        <v>2481.085</v>
      </c>
      <c r="P1873" s="4">
        <v>93</v>
      </c>
      <c r="Q1873" s="3" t="s">
        <v>26</v>
      </c>
      <c r="R1873" s="3">
        <v>0</v>
      </c>
      <c r="S1873" s="3" t="s">
        <v>495</v>
      </c>
      <c r="T1873" s="3" t="s">
        <v>736</v>
      </c>
      <c r="U1873" s="3">
        <v>0</v>
      </c>
      <c r="V1873" s="3">
        <v>45</v>
      </c>
      <c r="W1873" s="3">
        <v>85</v>
      </c>
    </row>
    <row r="1874" spans="1:23" ht="11.25" customHeight="1" x14ac:dyDescent="0.25">
      <c r="A1874" s="3" t="s">
        <v>21</v>
      </c>
      <c r="B1874" s="3" t="s">
        <v>39</v>
      </c>
      <c r="C1874" s="3" t="s">
        <v>23</v>
      </c>
      <c r="D1874" s="3" t="s">
        <v>52</v>
      </c>
      <c r="E1874" s="3" t="s">
        <v>25</v>
      </c>
      <c r="F1874" s="3" t="s">
        <v>25</v>
      </c>
      <c r="G1874" s="3" t="s">
        <v>25</v>
      </c>
      <c r="H1874" s="3" t="s">
        <v>25</v>
      </c>
      <c r="I1874" s="6">
        <v>44562</v>
      </c>
      <c r="J1874" s="4">
        <v>0</v>
      </c>
      <c r="K1874" s="4">
        <v>0</v>
      </c>
      <c r="L1874" s="4">
        <v>237.035</v>
      </c>
      <c r="M1874" s="4">
        <v>237.035</v>
      </c>
      <c r="N1874" s="4">
        <v>237.035</v>
      </c>
      <c r="O1874" s="4">
        <v>237.035</v>
      </c>
      <c r="P1874" s="4">
        <v>82</v>
      </c>
      <c r="Q1874" s="3" t="s">
        <v>26</v>
      </c>
      <c r="R1874" s="3">
        <v>0</v>
      </c>
      <c r="S1874" s="3" t="s">
        <v>496</v>
      </c>
      <c r="T1874" s="3" t="s">
        <v>737</v>
      </c>
      <c r="U1874" s="3">
        <v>0</v>
      </c>
      <c r="V1874" s="3">
        <v>45</v>
      </c>
      <c r="W1874" s="3">
        <v>85</v>
      </c>
    </row>
    <row r="1875" spans="1:23" ht="11.25" customHeight="1" x14ac:dyDescent="0.25">
      <c r="A1875" s="3" t="s">
        <v>21</v>
      </c>
      <c r="B1875" s="3" t="s">
        <v>39</v>
      </c>
      <c r="C1875" s="3" t="s">
        <v>23</v>
      </c>
      <c r="D1875" s="3" t="s">
        <v>52</v>
      </c>
      <c r="E1875" s="3" t="s">
        <v>25</v>
      </c>
      <c r="F1875" s="3" t="s">
        <v>25</v>
      </c>
      <c r="G1875" s="3" t="s">
        <v>25</v>
      </c>
      <c r="H1875" s="3" t="s">
        <v>25</v>
      </c>
      <c r="I1875" s="6">
        <v>44593</v>
      </c>
      <c r="J1875" s="4">
        <v>0</v>
      </c>
      <c r="K1875" s="4">
        <v>0</v>
      </c>
      <c r="L1875" s="4">
        <v>233.012</v>
      </c>
      <c r="M1875" s="4">
        <v>233.012</v>
      </c>
      <c r="N1875" s="4">
        <v>233.012</v>
      </c>
      <c r="O1875" s="4">
        <v>233.012</v>
      </c>
      <c r="P1875" s="4">
        <v>85</v>
      </c>
      <c r="Q1875" s="3" t="s">
        <v>26</v>
      </c>
      <c r="R1875" s="3">
        <v>0</v>
      </c>
      <c r="S1875" s="3" t="s">
        <v>497</v>
      </c>
      <c r="T1875" s="3" t="s">
        <v>738</v>
      </c>
      <c r="U1875" s="3">
        <v>0</v>
      </c>
      <c r="V1875" s="3">
        <v>45</v>
      </c>
      <c r="W1875" s="3">
        <v>85</v>
      </c>
    </row>
    <row r="1876" spans="1:23" ht="11.25" customHeight="1" x14ac:dyDescent="0.25">
      <c r="A1876" s="3" t="s">
        <v>27</v>
      </c>
      <c r="B1876" s="3" t="s">
        <v>39</v>
      </c>
      <c r="C1876" s="3" t="s">
        <v>23</v>
      </c>
      <c r="D1876" s="3" t="s">
        <v>52</v>
      </c>
      <c r="E1876" s="3" t="s">
        <v>25</v>
      </c>
      <c r="F1876" s="3" t="s">
        <v>25</v>
      </c>
      <c r="G1876" s="3" t="s">
        <v>25</v>
      </c>
      <c r="H1876" s="3" t="s">
        <v>25</v>
      </c>
      <c r="I1876" s="6">
        <v>44593</v>
      </c>
      <c r="J1876" s="4">
        <v>0</v>
      </c>
      <c r="K1876" s="4">
        <v>0</v>
      </c>
      <c r="L1876" s="4">
        <v>4.1280000000000001</v>
      </c>
      <c r="M1876" s="4">
        <v>4.1280000000000001</v>
      </c>
      <c r="N1876" s="4">
        <v>4.1280000000000001</v>
      </c>
      <c r="O1876" s="4">
        <v>4.1280000000000001</v>
      </c>
      <c r="P1876" s="4">
        <v>0</v>
      </c>
      <c r="Q1876" s="3" t="s">
        <v>26</v>
      </c>
      <c r="R1876" s="3">
        <v>0</v>
      </c>
      <c r="S1876" s="3" t="s">
        <v>497</v>
      </c>
      <c r="T1876" s="3" t="s">
        <v>738</v>
      </c>
      <c r="U1876" s="3">
        <v>0</v>
      </c>
      <c r="V1876" s="3">
        <v>45</v>
      </c>
      <c r="W1876" s="3">
        <v>85</v>
      </c>
    </row>
    <row r="1877" spans="1:23" ht="11.25" customHeight="1" x14ac:dyDescent="0.25">
      <c r="A1877" s="3" t="s">
        <v>21</v>
      </c>
      <c r="B1877" s="3" t="s">
        <v>39</v>
      </c>
      <c r="C1877" s="3" t="s">
        <v>23</v>
      </c>
      <c r="D1877" s="3" t="s">
        <v>52</v>
      </c>
      <c r="E1877" s="3" t="s">
        <v>25</v>
      </c>
      <c r="F1877" s="3" t="s">
        <v>25</v>
      </c>
      <c r="G1877" s="3" t="s">
        <v>25</v>
      </c>
      <c r="H1877" s="3" t="s">
        <v>25</v>
      </c>
      <c r="I1877" s="6">
        <v>44621</v>
      </c>
      <c r="J1877" s="4">
        <v>0</v>
      </c>
      <c r="K1877" s="4">
        <v>0</v>
      </c>
      <c r="L1877" s="4">
        <v>230.875</v>
      </c>
      <c r="M1877" s="4">
        <v>230.875</v>
      </c>
      <c r="N1877" s="4">
        <v>230.875</v>
      </c>
      <c r="O1877" s="4">
        <v>230.875</v>
      </c>
      <c r="P1877" s="4">
        <v>83</v>
      </c>
      <c r="Q1877" s="3" t="s">
        <v>26</v>
      </c>
      <c r="R1877" s="3">
        <v>0</v>
      </c>
      <c r="S1877" s="3" t="s">
        <v>498</v>
      </c>
      <c r="T1877" s="3" t="s">
        <v>739</v>
      </c>
      <c r="U1877" s="3">
        <v>0</v>
      </c>
      <c r="V1877" s="3">
        <v>45</v>
      </c>
      <c r="W1877" s="3">
        <v>85</v>
      </c>
    </row>
    <row r="1878" spans="1:23" ht="11.25" customHeight="1" x14ac:dyDescent="0.25">
      <c r="A1878" s="3" t="s">
        <v>27</v>
      </c>
      <c r="B1878" s="3" t="s">
        <v>39</v>
      </c>
      <c r="C1878" s="3" t="s">
        <v>23</v>
      </c>
      <c r="D1878" s="3" t="s">
        <v>52</v>
      </c>
      <c r="E1878" s="3" t="s">
        <v>25</v>
      </c>
      <c r="F1878" s="3" t="s">
        <v>25</v>
      </c>
      <c r="G1878" s="3" t="s">
        <v>25</v>
      </c>
      <c r="H1878" s="3" t="s">
        <v>25</v>
      </c>
      <c r="I1878" s="6">
        <v>44621</v>
      </c>
      <c r="J1878" s="4">
        <v>0</v>
      </c>
      <c r="K1878" s="4">
        <v>0</v>
      </c>
      <c r="L1878" s="4">
        <v>137.595</v>
      </c>
      <c r="M1878" s="4">
        <v>137.595</v>
      </c>
      <c r="N1878" s="4">
        <v>137.595</v>
      </c>
      <c r="O1878" s="4">
        <v>137.595</v>
      </c>
      <c r="P1878" s="4">
        <v>1</v>
      </c>
      <c r="Q1878" s="3" t="s">
        <v>26</v>
      </c>
      <c r="R1878" s="3">
        <v>0</v>
      </c>
      <c r="S1878" s="3" t="s">
        <v>498</v>
      </c>
      <c r="T1878" s="3" t="s">
        <v>739</v>
      </c>
      <c r="U1878" s="3">
        <v>0</v>
      </c>
      <c r="V1878" s="3">
        <v>45</v>
      </c>
      <c r="W1878" s="3">
        <v>85</v>
      </c>
    </row>
    <row r="1879" spans="1:23" ht="11.25" customHeight="1" x14ac:dyDescent="0.25">
      <c r="A1879" s="3" t="s">
        <v>56</v>
      </c>
      <c r="B1879" s="3" t="s">
        <v>39</v>
      </c>
      <c r="C1879" s="3" t="s">
        <v>23</v>
      </c>
      <c r="D1879" s="3" t="s">
        <v>52</v>
      </c>
      <c r="E1879" s="3" t="s">
        <v>25</v>
      </c>
      <c r="F1879" s="3" t="s">
        <v>25</v>
      </c>
      <c r="G1879" s="3" t="s">
        <v>25</v>
      </c>
      <c r="H1879" s="3" t="s">
        <v>25</v>
      </c>
      <c r="I1879" s="6">
        <v>44652</v>
      </c>
      <c r="J1879" s="4">
        <v>0</v>
      </c>
      <c r="K1879" s="4">
        <v>0</v>
      </c>
      <c r="L1879" s="4">
        <v>230.875</v>
      </c>
      <c r="M1879" s="4">
        <v>230.875</v>
      </c>
      <c r="N1879" s="4">
        <v>230.875</v>
      </c>
      <c r="O1879" s="4">
        <v>230.875</v>
      </c>
      <c r="P1879" s="4">
        <v>83</v>
      </c>
      <c r="Q1879" s="3" t="s">
        <v>26</v>
      </c>
      <c r="R1879" s="3">
        <v>0</v>
      </c>
      <c r="S1879" s="3" t="s">
        <v>499</v>
      </c>
      <c r="T1879" s="3" t="s">
        <v>740</v>
      </c>
      <c r="U1879" s="3">
        <v>0</v>
      </c>
      <c r="V1879" s="3">
        <v>45</v>
      </c>
      <c r="W1879" s="3">
        <v>85</v>
      </c>
    </row>
    <row r="1880" spans="1:23" ht="11.25" customHeight="1" x14ac:dyDescent="0.25">
      <c r="A1880" s="3" t="s">
        <v>56</v>
      </c>
      <c r="B1880" s="3" t="s">
        <v>39</v>
      </c>
      <c r="C1880" s="3" t="s">
        <v>23</v>
      </c>
      <c r="D1880" s="3" t="s">
        <v>52</v>
      </c>
      <c r="E1880" s="3" t="s">
        <v>25</v>
      </c>
      <c r="F1880" s="3" t="s">
        <v>25</v>
      </c>
      <c r="G1880" s="3" t="s">
        <v>25</v>
      </c>
      <c r="H1880" s="3" t="s">
        <v>25</v>
      </c>
      <c r="I1880" s="6">
        <v>44652</v>
      </c>
      <c r="J1880" s="4">
        <v>0</v>
      </c>
      <c r="K1880" s="4">
        <v>0</v>
      </c>
      <c r="L1880" s="4">
        <v>137.595</v>
      </c>
      <c r="M1880" s="4">
        <v>137.595</v>
      </c>
      <c r="N1880" s="4">
        <v>137.595</v>
      </c>
      <c r="O1880" s="4">
        <v>137.595</v>
      </c>
      <c r="P1880" s="4">
        <v>1</v>
      </c>
      <c r="Q1880" s="3" t="s">
        <v>26</v>
      </c>
      <c r="R1880" s="3">
        <v>0</v>
      </c>
      <c r="S1880" s="3" t="s">
        <v>499</v>
      </c>
      <c r="T1880" s="3" t="s">
        <v>740</v>
      </c>
      <c r="U1880" s="3">
        <v>0</v>
      </c>
      <c r="V1880" s="3">
        <v>45</v>
      </c>
      <c r="W1880" s="3">
        <v>85</v>
      </c>
    </row>
    <row r="1881" spans="1:23" ht="11.25" customHeight="1" x14ac:dyDescent="0.25">
      <c r="A1881" s="3" t="s">
        <v>21</v>
      </c>
      <c r="B1881" s="3" t="s">
        <v>39</v>
      </c>
      <c r="C1881" s="3" t="s">
        <v>23</v>
      </c>
      <c r="D1881" s="3" t="s">
        <v>40</v>
      </c>
      <c r="E1881" s="3" t="s">
        <v>25</v>
      </c>
      <c r="F1881" s="3" t="s">
        <v>25</v>
      </c>
      <c r="G1881" s="3" t="s">
        <v>25</v>
      </c>
      <c r="H1881" s="3" t="s">
        <v>25</v>
      </c>
      <c r="I1881" s="6">
        <v>44317</v>
      </c>
      <c r="J1881" s="4">
        <v>0</v>
      </c>
      <c r="K1881" s="4">
        <v>0</v>
      </c>
      <c r="L1881" s="4">
        <v>1505.6759999999999</v>
      </c>
      <c r="M1881" s="4">
        <v>1505.6759999999999</v>
      </c>
      <c r="N1881" s="4">
        <v>1505.6759999999999</v>
      </c>
      <c r="O1881" s="4">
        <v>1505.6759999999999</v>
      </c>
      <c r="P1881" s="4">
        <v>1692</v>
      </c>
      <c r="Q1881" s="3" t="s">
        <v>26</v>
      </c>
      <c r="R1881" s="3">
        <v>0</v>
      </c>
      <c r="S1881" s="3" t="s">
        <v>488</v>
      </c>
      <c r="T1881" s="3" t="s">
        <v>729</v>
      </c>
      <c r="U1881" s="3">
        <v>0</v>
      </c>
      <c r="V1881" s="3">
        <v>45</v>
      </c>
      <c r="W1881" s="3">
        <v>85</v>
      </c>
    </row>
    <row r="1882" spans="1:23" ht="11.25" customHeight="1" x14ac:dyDescent="0.25">
      <c r="A1882" s="3" t="s">
        <v>27</v>
      </c>
      <c r="B1882" s="3" t="s">
        <v>39</v>
      </c>
      <c r="C1882" s="3" t="s">
        <v>23</v>
      </c>
      <c r="D1882" s="3" t="s">
        <v>40</v>
      </c>
      <c r="E1882" s="3" t="s">
        <v>25</v>
      </c>
      <c r="F1882" s="3" t="s">
        <v>25</v>
      </c>
      <c r="G1882" s="3" t="s">
        <v>25</v>
      </c>
      <c r="H1882" s="3" t="s">
        <v>25</v>
      </c>
      <c r="I1882" s="6">
        <v>44317</v>
      </c>
      <c r="J1882" s="4">
        <v>0</v>
      </c>
      <c r="K1882" s="4">
        <v>0</v>
      </c>
      <c r="L1882" s="4">
        <v>-172.834</v>
      </c>
      <c r="M1882" s="4">
        <v>-172.834</v>
      </c>
      <c r="N1882" s="4">
        <v>-172.834</v>
      </c>
      <c r="O1882" s="4">
        <v>-172.834</v>
      </c>
      <c r="P1882" s="4">
        <v>-105</v>
      </c>
      <c r="Q1882" s="3" t="s">
        <v>26</v>
      </c>
      <c r="R1882" s="3">
        <v>0</v>
      </c>
      <c r="S1882" s="3" t="s">
        <v>488</v>
      </c>
      <c r="T1882" s="3" t="s">
        <v>729</v>
      </c>
      <c r="U1882" s="3">
        <v>0</v>
      </c>
      <c r="V1882" s="3">
        <v>45</v>
      </c>
      <c r="W1882" s="3">
        <v>85</v>
      </c>
    </row>
    <row r="1883" spans="1:23" ht="11.25" customHeight="1" x14ac:dyDescent="0.25">
      <c r="A1883" s="3" t="s">
        <v>28</v>
      </c>
      <c r="B1883" s="3" t="s">
        <v>39</v>
      </c>
      <c r="C1883" s="3" t="s">
        <v>23</v>
      </c>
      <c r="D1883" s="3" t="s">
        <v>40</v>
      </c>
      <c r="E1883" s="3" t="s">
        <v>25</v>
      </c>
      <c r="F1883" s="3" t="s">
        <v>25</v>
      </c>
      <c r="G1883" s="3" t="s">
        <v>25</v>
      </c>
      <c r="H1883" s="3" t="s">
        <v>25</v>
      </c>
      <c r="I1883" s="6">
        <v>44317</v>
      </c>
      <c r="J1883" s="4">
        <v>0</v>
      </c>
      <c r="K1883" s="4">
        <v>0</v>
      </c>
      <c r="L1883" s="4">
        <v>62.817999999999998</v>
      </c>
      <c r="M1883" s="4">
        <v>62.817999999999998</v>
      </c>
      <c r="N1883" s="4">
        <v>62.817999999999998</v>
      </c>
      <c r="O1883" s="4">
        <v>62.817999999999998</v>
      </c>
      <c r="P1883" s="4">
        <v>44</v>
      </c>
      <c r="Q1883" s="3" t="s">
        <v>26</v>
      </c>
      <c r="R1883" s="3">
        <v>0</v>
      </c>
      <c r="S1883" s="3" t="s">
        <v>488</v>
      </c>
      <c r="T1883" s="3" t="s">
        <v>729</v>
      </c>
      <c r="U1883" s="3">
        <v>0</v>
      </c>
      <c r="V1883" s="3">
        <v>45</v>
      </c>
      <c r="W1883" s="3">
        <v>85</v>
      </c>
    </row>
    <row r="1884" spans="1:23" ht="11.25" customHeight="1" x14ac:dyDescent="0.25">
      <c r="A1884" s="3" t="s">
        <v>21</v>
      </c>
      <c r="B1884" s="3" t="s">
        <v>39</v>
      </c>
      <c r="C1884" s="3" t="s">
        <v>23</v>
      </c>
      <c r="D1884" s="3" t="s">
        <v>40</v>
      </c>
      <c r="E1884" s="3" t="s">
        <v>25</v>
      </c>
      <c r="F1884" s="3" t="s">
        <v>25</v>
      </c>
      <c r="G1884" s="3" t="s">
        <v>25</v>
      </c>
      <c r="H1884" s="3" t="s">
        <v>25</v>
      </c>
      <c r="I1884" s="6">
        <v>44348</v>
      </c>
      <c r="J1884" s="4">
        <v>0</v>
      </c>
      <c r="K1884" s="4">
        <v>0</v>
      </c>
      <c r="L1884" s="4">
        <v>1501.28</v>
      </c>
      <c r="M1884" s="4">
        <v>1501.28</v>
      </c>
      <c r="N1884" s="4">
        <v>1501.28</v>
      </c>
      <c r="O1884" s="4">
        <v>1501.28</v>
      </c>
      <c r="P1884" s="4">
        <v>1684</v>
      </c>
      <c r="Q1884" s="3" t="s">
        <v>26</v>
      </c>
      <c r="R1884" s="3">
        <v>0</v>
      </c>
      <c r="S1884" s="3" t="s">
        <v>489</v>
      </c>
      <c r="T1884" s="3" t="s">
        <v>730</v>
      </c>
      <c r="U1884" s="3">
        <v>0</v>
      </c>
      <c r="V1884" s="3">
        <v>45</v>
      </c>
      <c r="W1884" s="3">
        <v>85</v>
      </c>
    </row>
    <row r="1885" spans="1:23" ht="11.25" customHeight="1" x14ac:dyDescent="0.25">
      <c r="A1885" s="3" t="s">
        <v>27</v>
      </c>
      <c r="B1885" s="3" t="s">
        <v>39</v>
      </c>
      <c r="C1885" s="3" t="s">
        <v>23</v>
      </c>
      <c r="D1885" s="3" t="s">
        <v>40</v>
      </c>
      <c r="E1885" s="3" t="s">
        <v>25</v>
      </c>
      <c r="F1885" s="3" t="s">
        <v>25</v>
      </c>
      <c r="G1885" s="3" t="s">
        <v>25</v>
      </c>
      <c r="H1885" s="3" t="s">
        <v>25</v>
      </c>
      <c r="I1885" s="6">
        <v>44348</v>
      </c>
      <c r="J1885" s="4">
        <v>0</v>
      </c>
      <c r="K1885" s="4">
        <v>0</v>
      </c>
      <c r="L1885" s="4">
        <v>-8.2620000000000005</v>
      </c>
      <c r="M1885" s="4">
        <v>-8.2620000000000005</v>
      </c>
      <c r="N1885" s="4">
        <v>-8.2620000000000005</v>
      </c>
      <c r="O1885" s="4">
        <v>-8.2620000000000005</v>
      </c>
      <c r="P1885" s="4">
        <v>-44</v>
      </c>
      <c r="Q1885" s="3" t="s">
        <v>26</v>
      </c>
      <c r="R1885" s="3">
        <v>0</v>
      </c>
      <c r="S1885" s="3" t="s">
        <v>489</v>
      </c>
      <c r="T1885" s="3" t="s">
        <v>730</v>
      </c>
      <c r="U1885" s="3">
        <v>0</v>
      </c>
      <c r="V1885" s="3">
        <v>45</v>
      </c>
      <c r="W1885" s="3">
        <v>85</v>
      </c>
    </row>
    <row r="1886" spans="1:23" ht="11.25" customHeight="1" x14ac:dyDescent="0.25">
      <c r="A1886" s="3" t="s">
        <v>28</v>
      </c>
      <c r="B1886" s="3" t="s">
        <v>39</v>
      </c>
      <c r="C1886" s="3" t="s">
        <v>23</v>
      </c>
      <c r="D1886" s="3" t="s">
        <v>40</v>
      </c>
      <c r="E1886" s="3" t="s">
        <v>25</v>
      </c>
      <c r="F1886" s="3" t="s">
        <v>25</v>
      </c>
      <c r="G1886" s="3" t="s">
        <v>25</v>
      </c>
      <c r="H1886" s="3" t="s">
        <v>25</v>
      </c>
      <c r="I1886" s="6">
        <v>44348</v>
      </c>
      <c r="J1886" s="4">
        <v>0</v>
      </c>
      <c r="K1886" s="4">
        <v>0</v>
      </c>
      <c r="L1886" s="4">
        <v>62.762999999999998</v>
      </c>
      <c r="M1886" s="4">
        <v>62.762999999999998</v>
      </c>
      <c r="N1886" s="4">
        <v>62.762999999999998</v>
      </c>
      <c r="O1886" s="4">
        <v>62.762999999999998</v>
      </c>
      <c r="P1886" s="4">
        <v>47</v>
      </c>
      <c r="Q1886" s="3" t="s">
        <v>26</v>
      </c>
      <c r="R1886" s="3">
        <v>0</v>
      </c>
      <c r="S1886" s="3" t="s">
        <v>489</v>
      </c>
      <c r="T1886" s="3" t="s">
        <v>730</v>
      </c>
      <c r="U1886" s="3">
        <v>0</v>
      </c>
      <c r="V1886" s="3">
        <v>45</v>
      </c>
      <c r="W1886" s="3">
        <v>85</v>
      </c>
    </row>
    <row r="1887" spans="1:23" ht="11.25" customHeight="1" x14ac:dyDescent="0.25">
      <c r="A1887" s="3" t="s">
        <v>21</v>
      </c>
      <c r="B1887" s="3" t="s">
        <v>39</v>
      </c>
      <c r="C1887" s="3" t="s">
        <v>23</v>
      </c>
      <c r="D1887" s="3" t="s">
        <v>40</v>
      </c>
      <c r="E1887" s="3" t="s">
        <v>25</v>
      </c>
      <c r="F1887" s="3" t="s">
        <v>25</v>
      </c>
      <c r="G1887" s="3" t="s">
        <v>25</v>
      </c>
      <c r="H1887" s="3" t="s">
        <v>25</v>
      </c>
      <c r="I1887" s="6">
        <v>44378</v>
      </c>
      <c r="J1887" s="4">
        <v>0</v>
      </c>
      <c r="K1887" s="4">
        <v>0</v>
      </c>
      <c r="L1887" s="4">
        <v>1432.605</v>
      </c>
      <c r="M1887" s="4">
        <v>1432.605</v>
      </c>
      <c r="N1887" s="4">
        <v>1432.605</v>
      </c>
      <c r="O1887" s="4">
        <v>1432.605</v>
      </c>
      <c r="P1887" s="4">
        <v>1661</v>
      </c>
      <c r="Q1887" s="3" t="s">
        <v>26</v>
      </c>
      <c r="R1887" s="3">
        <v>0</v>
      </c>
      <c r="S1887" s="3" t="s">
        <v>490</v>
      </c>
      <c r="T1887" s="3" t="s">
        <v>731</v>
      </c>
      <c r="U1887" s="3">
        <v>0</v>
      </c>
      <c r="V1887" s="3">
        <v>45</v>
      </c>
      <c r="W1887" s="3">
        <v>85</v>
      </c>
    </row>
    <row r="1888" spans="1:23" ht="11.25" customHeight="1" x14ac:dyDescent="0.25">
      <c r="A1888" s="3" t="s">
        <v>27</v>
      </c>
      <c r="B1888" s="3" t="s">
        <v>39</v>
      </c>
      <c r="C1888" s="3" t="s">
        <v>23</v>
      </c>
      <c r="D1888" s="3" t="s">
        <v>40</v>
      </c>
      <c r="E1888" s="3" t="s">
        <v>25</v>
      </c>
      <c r="F1888" s="3" t="s">
        <v>25</v>
      </c>
      <c r="G1888" s="3" t="s">
        <v>25</v>
      </c>
      <c r="H1888" s="3" t="s">
        <v>25</v>
      </c>
      <c r="I1888" s="6">
        <v>44378</v>
      </c>
      <c r="J1888" s="4">
        <v>0</v>
      </c>
      <c r="K1888" s="4">
        <v>0</v>
      </c>
      <c r="L1888" s="4">
        <v>3.9969999999999999</v>
      </c>
      <c r="M1888" s="4">
        <v>3.9969999999999999</v>
      </c>
      <c r="N1888" s="4">
        <v>3.9969999999999999</v>
      </c>
      <c r="O1888" s="4">
        <v>3.9969999999999999</v>
      </c>
      <c r="P1888" s="4">
        <v>1</v>
      </c>
      <c r="Q1888" s="3" t="s">
        <v>26</v>
      </c>
      <c r="R1888" s="3">
        <v>0</v>
      </c>
      <c r="S1888" s="3" t="s">
        <v>490</v>
      </c>
      <c r="T1888" s="3" t="s">
        <v>731</v>
      </c>
      <c r="U1888" s="3">
        <v>0</v>
      </c>
      <c r="V1888" s="3">
        <v>45</v>
      </c>
      <c r="W1888" s="3">
        <v>85</v>
      </c>
    </row>
    <row r="1889" spans="1:23" ht="11.25" customHeight="1" x14ac:dyDescent="0.25">
      <c r="A1889" s="3" t="s">
        <v>28</v>
      </c>
      <c r="B1889" s="3" t="s">
        <v>39</v>
      </c>
      <c r="C1889" s="3" t="s">
        <v>23</v>
      </c>
      <c r="D1889" s="3" t="s">
        <v>40</v>
      </c>
      <c r="E1889" s="3" t="s">
        <v>25</v>
      </c>
      <c r="F1889" s="3" t="s">
        <v>25</v>
      </c>
      <c r="G1889" s="3" t="s">
        <v>25</v>
      </c>
      <c r="H1889" s="3" t="s">
        <v>25</v>
      </c>
      <c r="I1889" s="6">
        <v>44378</v>
      </c>
      <c r="J1889" s="4">
        <v>0</v>
      </c>
      <c r="K1889" s="4">
        <v>0</v>
      </c>
      <c r="L1889" s="4">
        <v>79.084999999999994</v>
      </c>
      <c r="M1889" s="4">
        <v>79.084999999999994</v>
      </c>
      <c r="N1889" s="4">
        <v>79.084999999999994</v>
      </c>
      <c r="O1889" s="4">
        <v>79.084999999999994</v>
      </c>
      <c r="P1889" s="4">
        <v>47</v>
      </c>
      <c r="Q1889" s="3" t="s">
        <v>26</v>
      </c>
      <c r="R1889" s="3">
        <v>0</v>
      </c>
      <c r="S1889" s="3" t="s">
        <v>490</v>
      </c>
      <c r="T1889" s="3" t="s">
        <v>731</v>
      </c>
      <c r="U1889" s="3">
        <v>0</v>
      </c>
      <c r="V1889" s="3">
        <v>45</v>
      </c>
      <c r="W1889" s="3">
        <v>85</v>
      </c>
    </row>
    <row r="1890" spans="1:23" ht="11.25" customHeight="1" x14ac:dyDescent="0.25">
      <c r="A1890" s="3" t="s">
        <v>21</v>
      </c>
      <c r="B1890" s="3" t="s">
        <v>39</v>
      </c>
      <c r="C1890" s="3" t="s">
        <v>23</v>
      </c>
      <c r="D1890" s="3" t="s">
        <v>40</v>
      </c>
      <c r="E1890" s="3" t="s">
        <v>25</v>
      </c>
      <c r="F1890" s="3" t="s">
        <v>25</v>
      </c>
      <c r="G1890" s="3" t="s">
        <v>25</v>
      </c>
      <c r="H1890" s="3" t="s">
        <v>25</v>
      </c>
      <c r="I1890" s="6">
        <v>44409</v>
      </c>
      <c r="J1890" s="4">
        <v>0</v>
      </c>
      <c r="K1890" s="4">
        <v>0</v>
      </c>
      <c r="L1890" s="4">
        <v>1448.0619999999999</v>
      </c>
      <c r="M1890" s="4">
        <v>1448.0619999999999</v>
      </c>
      <c r="N1890" s="4">
        <v>1448.0619999999999</v>
      </c>
      <c r="O1890" s="4">
        <v>1448.0619999999999</v>
      </c>
      <c r="P1890" s="4">
        <v>1648</v>
      </c>
      <c r="Q1890" s="3" t="s">
        <v>26</v>
      </c>
      <c r="R1890" s="3">
        <v>0</v>
      </c>
      <c r="S1890" s="3" t="s">
        <v>491</v>
      </c>
      <c r="T1890" s="3" t="s">
        <v>732</v>
      </c>
      <c r="U1890" s="3">
        <v>0</v>
      </c>
      <c r="V1890" s="3">
        <v>45</v>
      </c>
      <c r="W1890" s="3">
        <v>85</v>
      </c>
    </row>
    <row r="1891" spans="1:23" ht="11.25" customHeight="1" x14ac:dyDescent="0.25">
      <c r="A1891" s="3" t="s">
        <v>27</v>
      </c>
      <c r="B1891" s="3" t="s">
        <v>39</v>
      </c>
      <c r="C1891" s="3" t="s">
        <v>23</v>
      </c>
      <c r="D1891" s="3" t="s">
        <v>40</v>
      </c>
      <c r="E1891" s="3" t="s">
        <v>25</v>
      </c>
      <c r="F1891" s="3" t="s">
        <v>25</v>
      </c>
      <c r="G1891" s="3" t="s">
        <v>25</v>
      </c>
      <c r="H1891" s="3" t="s">
        <v>25</v>
      </c>
      <c r="I1891" s="6">
        <v>44409</v>
      </c>
      <c r="J1891" s="4">
        <v>0</v>
      </c>
      <c r="K1891" s="4">
        <v>0</v>
      </c>
      <c r="L1891" s="4">
        <v>7.23</v>
      </c>
      <c r="M1891" s="4">
        <v>7.23</v>
      </c>
      <c r="N1891" s="4">
        <v>7.23</v>
      </c>
      <c r="O1891" s="4">
        <v>7.23</v>
      </c>
      <c r="P1891" s="4">
        <v>-41</v>
      </c>
      <c r="Q1891" s="3" t="s">
        <v>26</v>
      </c>
      <c r="R1891" s="3">
        <v>0</v>
      </c>
      <c r="S1891" s="3" t="s">
        <v>491</v>
      </c>
      <c r="T1891" s="3" t="s">
        <v>732</v>
      </c>
      <c r="U1891" s="3">
        <v>0</v>
      </c>
      <c r="V1891" s="3">
        <v>45</v>
      </c>
      <c r="W1891" s="3">
        <v>85</v>
      </c>
    </row>
    <row r="1892" spans="1:23" ht="11.25" customHeight="1" x14ac:dyDescent="0.25">
      <c r="A1892" s="3" t="s">
        <v>28</v>
      </c>
      <c r="B1892" s="3" t="s">
        <v>39</v>
      </c>
      <c r="C1892" s="3" t="s">
        <v>23</v>
      </c>
      <c r="D1892" s="3" t="s">
        <v>40</v>
      </c>
      <c r="E1892" s="3" t="s">
        <v>25</v>
      </c>
      <c r="F1892" s="3" t="s">
        <v>25</v>
      </c>
      <c r="G1892" s="3" t="s">
        <v>25</v>
      </c>
      <c r="H1892" s="3" t="s">
        <v>25</v>
      </c>
      <c r="I1892" s="6">
        <v>44409</v>
      </c>
      <c r="J1892" s="4">
        <v>0</v>
      </c>
      <c r="K1892" s="4">
        <v>0</v>
      </c>
      <c r="L1892" s="4">
        <v>82.409000000000006</v>
      </c>
      <c r="M1892" s="4">
        <v>82.409000000000006</v>
      </c>
      <c r="N1892" s="4">
        <v>82.409000000000006</v>
      </c>
      <c r="O1892" s="4">
        <v>82.409000000000006</v>
      </c>
      <c r="P1892" s="4">
        <v>52</v>
      </c>
      <c r="Q1892" s="3" t="s">
        <v>26</v>
      </c>
      <c r="R1892" s="3">
        <v>0</v>
      </c>
      <c r="S1892" s="3" t="s">
        <v>491</v>
      </c>
      <c r="T1892" s="3" t="s">
        <v>732</v>
      </c>
      <c r="U1892" s="3">
        <v>0</v>
      </c>
      <c r="V1892" s="3">
        <v>45</v>
      </c>
      <c r="W1892" s="3">
        <v>85</v>
      </c>
    </row>
    <row r="1893" spans="1:23" ht="11.25" customHeight="1" x14ac:dyDescent="0.25">
      <c r="A1893" s="3" t="s">
        <v>21</v>
      </c>
      <c r="B1893" s="3" t="s">
        <v>39</v>
      </c>
      <c r="C1893" s="3" t="s">
        <v>23</v>
      </c>
      <c r="D1893" s="3" t="s">
        <v>40</v>
      </c>
      <c r="E1893" s="3" t="s">
        <v>25</v>
      </c>
      <c r="F1893" s="3" t="s">
        <v>25</v>
      </c>
      <c r="G1893" s="3" t="s">
        <v>25</v>
      </c>
      <c r="H1893" s="3" t="s">
        <v>25</v>
      </c>
      <c r="I1893" s="6">
        <v>44440</v>
      </c>
      <c r="J1893" s="4">
        <v>0</v>
      </c>
      <c r="K1893" s="4">
        <v>0</v>
      </c>
      <c r="L1893" s="4">
        <v>1459.585</v>
      </c>
      <c r="M1893" s="4">
        <v>1459.585</v>
      </c>
      <c r="N1893" s="4">
        <v>1459.585</v>
      </c>
      <c r="O1893" s="4">
        <v>1459.585</v>
      </c>
      <c r="P1893" s="4">
        <v>1631</v>
      </c>
      <c r="Q1893" s="3" t="s">
        <v>26</v>
      </c>
      <c r="R1893" s="3">
        <v>0</v>
      </c>
      <c r="S1893" s="3" t="s">
        <v>492</v>
      </c>
      <c r="T1893" s="3" t="s">
        <v>733</v>
      </c>
      <c r="U1893" s="3">
        <v>0</v>
      </c>
      <c r="V1893" s="3">
        <v>45</v>
      </c>
      <c r="W1893" s="3">
        <v>85</v>
      </c>
    </row>
    <row r="1894" spans="1:23" ht="11.25" customHeight="1" x14ac:dyDescent="0.25">
      <c r="A1894" s="3" t="s">
        <v>27</v>
      </c>
      <c r="B1894" s="3" t="s">
        <v>39</v>
      </c>
      <c r="C1894" s="3" t="s">
        <v>23</v>
      </c>
      <c r="D1894" s="3" t="s">
        <v>40</v>
      </c>
      <c r="E1894" s="3" t="s">
        <v>25</v>
      </c>
      <c r="F1894" s="3" t="s">
        <v>25</v>
      </c>
      <c r="G1894" s="3" t="s">
        <v>25</v>
      </c>
      <c r="H1894" s="3" t="s">
        <v>25</v>
      </c>
      <c r="I1894" s="6">
        <v>44440</v>
      </c>
      <c r="J1894" s="4">
        <v>0</v>
      </c>
      <c r="K1894" s="4">
        <v>0</v>
      </c>
      <c r="L1894" s="4">
        <v>-22.405999999999999</v>
      </c>
      <c r="M1894" s="4">
        <v>-22.405999999999999</v>
      </c>
      <c r="N1894" s="4">
        <v>-22.405999999999999</v>
      </c>
      <c r="O1894" s="4">
        <v>-22.405999999999999</v>
      </c>
      <c r="P1894" s="4">
        <v>-72</v>
      </c>
      <c r="Q1894" s="3" t="s">
        <v>26</v>
      </c>
      <c r="R1894" s="3">
        <v>0</v>
      </c>
      <c r="S1894" s="3" t="s">
        <v>492</v>
      </c>
      <c r="T1894" s="3" t="s">
        <v>733</v>
      </c>
      <c r="U1894" s="3">
        <v>0</v>
      </c>
      <c r="V1894" s="3">
        <v>45</v>
      </c>
      <c r="W1894" s="3">
        <v>85</v>
      </c>
    </row>
    <row r="1895" spans="1:23" ht="11.25" customHeight="1" x14ac:dyDescent="0.25">
      <c r="A1895" s="3" t="s">
        <v>28</v>
      </c>
      <c r="B1895" s="3" t="s">
        <v>39</v>
      </c>
      <c r="C1895" s="3" t="s">
        <v>23</v>
      </c>
      <c r="D1895" s="3" t="s">
        <v>40</v>
      </c>
      <c r="E1895" s="3" t="s">
        <v>25</v>
      </c>
      <c r="F1895" s="3" t="s">
        <v>25</v>
      </c>
      <c r="G1895" s="3" t="s">
        <v>25</v>
      </c>
      <c r="H1895" s="3" t="s">
        <v>25</v>
      </c>
      <c r="I1895" s="6">
        <v>44440</v>
      </c>
      <c r="J1895" s="4">
        <v>0</v>
      </c>
      <c r="K1895" s="4">
        <v>0</v>
      </c>
      <c r="L1895" s="4">
        <v>96.01</v>
      </c>
      <c r="M1895" s="4">
        <v>96.01</v>
      </c>
      <c r="N1895" s="4">
        <v>96.01</v>
      </c>
      <c r="O1895" s="4">
        <v>96.01</v>
      </c>
      <c r="P1895" s="4">
        <v>51</v>
      </c>
      <c r="Q1895" s="3" t="s">
        <v>26</v>
      </c>
      <c r="R1895" s="3">
        <v>0</v>
      </c>
      <c r="S1895" s="3" t="s">
        <v>492</v>
      </c>
      <c r="T1895" s="3" t="s">
        <v>733</v>
      </c>
      <c r="U1895" s="3">
        <v>0</v>
      </c>
      <c r="V1895" s="3">
        <v>45</v>
      </c>
      <c r="W1895" s="3">
        <v>85</v>
      </c>
    </row>
    <row r="1896" spans="1:23" ht="11.25" customHeight="1" x14ac:dyDescent="0.25">
      <c r="A1896" s="3" t="s">
        <v>28</v>
      </c>
      <c r="B1896" s="3" t="s">
        <v>39</v>
      </c>
      <c r="C1896" s="3" t="s">
        <v>23</v>
      </c>
      <c r="D1896" s="3" t="s">
        <v>40</v>
      </c>
      <c r="E1896" s="3" t="s">
        <v>25</v>
      </c>
      <c r="F1896" s="3" t="s">
        <v>25</v>
      </c>
      <c r="G1896" s="3" t="s">
        <v>25</v>
      </c>
      <c r="H1896" s="3" t="s">
        <v>25</v>
      </c>
      <c r="I1896" s="6">
        <v>44440</v>
      </c>
      <c r="J1896" s="4">
        <v>0</v>
      </c>
      <c r="K1896" s="4">
        <v>0</v>
      </c>
      <c r="L1896" s="4">
        <v>-55.259</v>
      </c>
      <c r="M1896" s="4">
        <v>-55.259</v>
      </c>
      <c r="N1896" s="4">
        <v>-55.259</v>
      </c>
      <c r="O1896" s="4">
        <v>-55.259</v>
      </c>
      <c r="P1896" s="4">
        <v>-3</v>
      </c>
      <c r="Q1896" s="3" t="s">
        <v>26</v>
      </c>
      <c r="R1896" s="3">
        <v>0</v>
      </c>
      <c r="S1896" s="3" t="s">
        <v>492</v>
      </c>
      <c r="T1896" s="3" t="s">
        <v>733</v>
      </c>
      <c r="U1896" s="3">
        <v>0</v>
      </c>
      <c r="V1896" s="3">
        <v>45</v>
      </c>
      <c r="W1896" s="3">
        <v>85</v>
      </c>
    </row>
    <row r="1897" spans="1:23" ht="11.25" customHeight="1" x14ac:dyDescent="0.25">
      <c r="A1897" s="3" t="s">
        <v>21</v>
      </c>
      <c r="B1897" s="3" t="s">
        <v>39</v>
      </c>
      <c r="C1897" s="3" t="s">
        <v>23</v>
      </c>
      <c r="D1897" s="3" t="s">
        <v>40</v>
      </c>
      <c r="E1897" s="3" t="s">
        <v>25</v>
      </c>
      <c r="F1897" s="3" t="s">
        <v>25</v>
      </c>
      <c r="G1897" s="3" t="s">
        <v>25</v>
      </c>
      <c r="H1897" s="3" t="s">
        <v>25</v>
      </c>
      <c r="I1897" s="6">
        <v>44470</v>
      </c>
      <c r="J1897" s="4">
        <v>0</v>
      </c>
      <c r="K1897" s="4">
        <v>0</v>
      </c>
      <c r="L1897" s="4">
        <v>1524.098</v>
      </c>
      <c r="M1897" s="4">
        <v>1524.098</v>
      </c>
      <c r="N1897" s="4">
        <v>1524.098</v>
      </c>
      <c r="O1897" s="4">
        <v>1524.098</v>
      </c>
      <c r="P1897" s="4">
        <v>1626</v>
      </c>
      <c r="Q1897" s="3" t="s">
        <v>26</v>
      </c>
      <c r="R1897" s="3">
        <v>0</v>
      </c>
      <c r="S1897" s="3" t="s">
        <v>493</v>
      </c>
      <c r="T1897" s="3" t="s">
        <v>734</v>
      </c>
      <c r="U1897" s="3">
        <v>0</v>
      </c>
      <c r="V1897" s="3">
        <v>45</v>
      </c>
      <c r="W1897" s="3">
        <v>85</v>
      </c>
    </row>
    <row r="1898" spans="1:23" ht="11.25" customHeight="1" x14ac:dyDescent="0.25">
      <c r="A1898" s="3" t="s">
        <v>27</v>
      </c>
      <c r="B1898" s="3" t="s">
        <v>39</v>
      </c>
      <c r="C1898" s="3" t="s">
        <v>23</v>
      </c>
      <c r="D1898" s="3" t="s">
        <v>40</v>
      </c>
      <c r="E1898" s="3" t="s">
        <v>25</v>
      </c>
      <c r="F1898" s="3" t="s">
        <v>25</v>
      </c>
      <c r="G1898" s="3" t="s">
        <v>25</v>
      </c>
      <c r="H1898" s="3" t="s">
        <v>25</v>
      </c>
      <c r="I1898" s="6">
        <v>44470</v>
      </c>
      <c r="J1898" s="4">
        <v>0</v>
      </c>
      <c r="K1898" s="4">
        <v>0</v>
      </c>
      <c r="L1898" s="4">
        <v>-61.552</v>
      </c>
      <c r="M1898" s="4">
        <v>-61.552</v>
      </c>
      <c r="N1898" s="4">
        <v>-61.552</v>
      </c>
      <c r="O1898" s="4">
        <v>-61.552</v>
      </c>
      <c r="P1898" s="4">
        <v>-199</v>
      </c>
      <c r="Q1898" s="3" t="s">
        <v>26</v>
      </c>
      <c r="R1898" s="3">
        <v>0</v>
      </c>
      <c r="S1898" s="3" t="s">
        <v>493</v>
      </c>
      <c r="T1898" s="3" t="s">
        <v>734</v>
      </c>
      <c r="U1898" s="3">
        <v>0</v>
      </c>
      <c r="V1898" s="3">
        <v>45</v>
      </c>
      <c r="W1898" s="3">
        <v>85</v>
      </c>
    </row>
    <row r="1899" spans="1:23" ht="11.25" customHeight="1" x14ac:dyDescent="0.25">
      <c r="A1899" s="3" t="s">
        <v>28</v>
      </c>
      <c r="B1899" s="3" t="s">
        <v>39</v>
      </c>
      <c r="C1899" s="3" t="s">
        <v>23</v>
      </c>
      <c r="D1899" s="3" t="s">
        <v>40</v>
      </c>
      <c r="E1899" s="3" t="s">
        <v>25</v>
      </c>
      <c r="F1899" s="3" t="s">
        <v>25</v>
      </c>
      <c r="G1899" s="3" t="s">
        <v>25</v>
      </c>
      <c r="H1899" s="3" t="s">
        <v>25</v>
      </c>
      <c r="I1899" s="6">
        <v>44470</v>
      </c>
      <c r="J1899" s="4">
        <v>0</v>
      </c>
      <c r="K1899" s="4">
        <v>0</v>
      </c>
      <c r="L1899" s="4">
        <v>54.527999999999999</v>
      </c>
      <c r="M1899" s="4">
        <v>54.527999999999999</v>
      </c>
      <c r="N1899" s="4">
        <v>54.527999999999999</v>
      </c>
      <c r="O1899" s="4">
        <v>54.527999999999999</v>
      </c>
      <c r="P1899" s="4">
        <v>56</v>
      </c>
      <c r="Q1899" s="3" t="s">
        <v>26</v>
      </c>
      <c r="R1899" s="3">
        <v>0</v>
      </c>
      <c r="S1899" s="3" t="s">
        <v>493</v>
      </c>
      <c r="T1899" s="3" t="s">
        <v>734</v>
      </c>
      <c r="U1899" s="3">
        <v>0</v>
      </c>
      <c r="V1899" s="3">
        <v>45</v>
      </c>
      <c r="W1899" s="3">
        <v>85</v>
      </c>
    </row>
    <row r="1900" spans="1:23" ht="11.25" customHeight="1" x14ac:dyDescent="0.25">
      <c r="A1900" s="3" t="s">
        <v>28</v>
      </c>
      <c r="B1900" s="3" t="s">
        <v>39</v>
      </c>
      <c r="C1900" s="3" t="s">
        <v>23</v>
      </c>
      <c r="D1900" s="3" t="s">
        <v>40</v>
      </c>
      <c r="E1900" s="3" t="s">
        <v>25</v>
      </c>
      <c r="F1900" s="3" t="s">
        <v>25</v>
      </c>
      <c r="G1900" s="3" t="s">
        <v>25</v>
      </c>
      <c r="H1900" s="3" t="s">
        <v>25</v>
      </c>
      <c r="I1900" s="6">
        <v>44470</v>
      </c>
      <c r="J1900" s="4">
        <v>0</v>
      </c>
      <c r="K1900" s="4">
        <v>0</v>
      </c>
      <c r="L1900" s="4">
        <v>-1.903</v>
      </c>
      <c r="M1900" s="4">
        <v>-1.903</v>
      </c>
      <c r="N1900" s="4">
        <v>-1.903</v>
      </c>
      <c r="O1900" s="4">
        <v>-1.903</v>
      </c>
      <c r="P1900" s="4">
        <v>-3</v>
      </c>
      <c r="Q1900" s="3" t="s">
        <v>26</v>
      </c>
      <c r="R1900" s="3">
        <v>0</v>
      </c>
      <c r="S1900" s="3" t="s">
        <v>493</v>
      </c>
      <c r="T1900" s="3" t="s">
        <v>734</v>
      </c>
      <c r="U1900" s="3">
        <v>0</v>
      </c>
      <c r="V1900" s="3">
        <v>45</v>
      </c>
      <c r="W1900" s="3">
        <v>85</v>
      </c>
    </row>
    <row r="1901" spans="1:23" ht="11.25" customHeight="1" x14ac:dyDescent="0.25">
      <c r="A1901" s="3" t="s">
        <v>21</v>
      </c>
      <c r="B1901" s="3" t="s">
        <v>39</v>
      </c>
      <c r="C1901" s="3" t="s">
        <v>23</v>
      </c>
      <c r="D1901" s="3" t="s">
        <v>40</v>
      </c>
      <c r="E1901" s="3" t="s">
        <v>25</v>
      </c>
      <c r="F1901" s="3" t="s">
        <v>25</v>
      </c>
      <c r="G1901" s="3" t="s">
        <v>25</v>
      </c>
      <c r="H1901" s="3" t="s">
        <v>25</v>
      </c>
      <c r="I1901" s="6">
        <v>44501</v>
      </c>
      <c r="J1901" s="4">
        <v>0</v>
      </c>
      <c r="K1901" s="4">
        <v>0</v>
      </c>
      <c r="L1901" s="4">
        <v>1615.914</v>
      </c>
      <c r="M1901" s="4">
        <v>1615.914</v>
      </c>
      <c r="N1901" s="4">
        <v>1615.914</v>
      </c>
      <c r="O1901" s="4">
        <v>1615.914</v>
      </c>
      <c r="P1901" s="4">
        <v>1604</v>
      </c>
      <c r="Q1901" s="3" t="s">
        <v>26</v>
      </c>
      <c r="R1901" s="3">
        <v>0</v>
      </c>
      <c r="S1901" s="3" t="s">
        <v>494</v>
      </c>
      <c r="T1901" s="3" t="s">
        <v>735</v>
      </c>
      <c r="U1901" s="3">
        <v>0</v>
      </c>
      <c r="V1901" s="3">
        <v>45</v>
      </c>
      <c r="W1901" s="3">
        <v>85</v>
      </c>
    </row>
    <row r="1902" spans="1:23" ht="11.25" customHeight="1" x14ac:dyDescent="0.25">
      <c r="A1902" s="3" t="s">
        <v>27</v>
      </c>
      <c r="B1902" s="3" t="s">
        <v>39</v>
      </c>
      <c r="C1902" s="3" t="s">
        <v>23</v>
      </c>
      <c r="D1902" s="3" t="s">
        <v>40</v>
      </c>
      <c r="E1902" s="3" t="s">
        <v>25</v>
      </c>
      <c r="F1902" s="3" t="s">
        <v>25</v>
      </c>
      <c r="G1902" s="3" t="s">
        <v>25</v>
      </c>
      <c r="H1902" s="3" t="s">
        <v>25</v>
      </c>
      <c r="I1902" s="6">
        <v>44501</v>
      </c>
      <c r="J1902" s="4">
        <v>0</v>
      </c>
      <c r="K1902" s="4">
        <v>0</v>
      </c>
      <c r="L1902" s="4">
        <v>10.622</v>
      </c>
      <c r="M1902" s="4">
        <v>10.622</v>
      </c>
      <c r="N1902" s="4">
        <v>10.622</v>
      </c>
      <c r="O1902" s="4">
        <v>10.622</v>
      </c>
      <c r="P1902" s="4">
        <v>-27</v>
      </c>
      <c r="Q1902" s="3" t="s">
        <v>26</v>
      </c>
      <c r="R1902" s="3">
        <v>0</v>
      </c>
      <c r="S1902" s="3" t="s">
        <v>494</v>
      </c>
      <c r="T1902" s="3" t="s">
        <v>735</v>
      </c>
      <c r="U1902" s="3">
        <v>0</v>
      </c>
      <c r="V1902" s="3">
        <v>45</v>
      </c>
      <c r="W1902" s="3">
        <v>85</v>
      </c>
    </row>
    <row r="1903" spans="1:23" ht="11.25" customHeight="1" x14ac:dyDescent="0.25">
      <c r="A1903" s="3" t="s">
        <v>28</v>
      </c>
      <c r="B1903" s="3" t="s">
        <v>39</v>
      </c>
      <c r="C1903" s="3" t="s">
        <v>23</v>
      </c>
      <c r="D1903" s="3" t="s">
        <v>40</v>
      </c>
      <c r="E1903" s="3" t="s">
        <v>25</v>
      </c>
      <c r="F1903" s="3" t="s">
        <v>25</v>
      </c>
      <c r="G1903" s="3" t="s">
        <v>25</v>
      </c>
      <c r="H1903" s="3" t="s">
        <v>25</v>
      </c>
      <c r="I1903" s="6">
        <v>44501</v>
      </c>
      <c r="J1903" s="4">
        <v>0</v>
      </c>
      <c r="K1903" s="4">
        <v>0</v>
      </c>
      <c r="L1903" s="4">
        <v>68.239000000000004</v>
      </c>
      <c r="M1903" s="4">
        <v>68.239000000000004</v>
      </c>
      <c r="N1903" s="4">
        <v>68.239000000000004</v>
      </c>
      <c r="O1903" s="4">
        <v>68.239000000000004</v>
      </c>
      <c r="P1903" s="4">
        <v>62</v>
      </c>
      <c r="Q1903" s="3" t="s">
        <v>26</v>
      </c>
      <c r="R1903" s="3">
        <v>0</v>
      </c>
      <c r="S1903" s="3" t="s">
        <v>494</v>
      </c>
      <c r="T1903" s="3" t="s">
        <v>735</v>
      </c>
      <c r="U1903" s="3">
        <v>0</v>
      </c>
      <c r="V1903" s="3">
        <v>45</v>
      </c>
      <c r="W1903" s="3">
        <v>85</v>
      </c>
    </row>
    <row r="1904" spans="1:23" ht="11.25" customHeight="1" x14ac:dyDescent="0.25">
      <c r="A1904" s="3" t="s">
        <v>21</v>
      </c>
      <c r="B1904" s="3" t="s">
        <v>39</v>
      </c>
      <c r="C1904" s="3" t="s">
        <v>23</v>
      </c>
      <c r="D1904" s="3" t="s">
        <v>40</v>
      </c>
      <c r="E1904" s="3" t="s">
        <v>25</v>
      </c>
      <c r="F1904" s="3" t="s">
        <v>25</v>
      </c>
      <c r="G1904" s="3" t="s">
        <v>25</v>
      </c>
      <c r="H1904" s="3" t="s">
        <v>25</v>
      </c>
      <c r="I1904" s="6">
        <v>44531</v>
      </c>
      <c r="J1904" s="4">
        <v>0</v>
      </c>
      <c r="K1904" s="4">
        <v>0</v>
      </c>
      <c r="L1904" s="4">
        <v>1572.2940000000001</v>
      </c>
      <c r="M1904" s="4">
        <v>1572.2940000000001</v>
      </c>
      <c r="N1904" s="4">
        <v>1572.2940000000001</v>
      </c>
      <c r="O1904" s="4">
        <v>1572.2940000000001</v>
      </c>
      <c r="P1904" s="4">
        <v>1568</v>
      </c>
      <c r="Q1904" s="3" t="s">
        <v>26</v>
      </c>
      <c r="R1904" s="3">
        <v>0</v>
      </c>
      <c r="S1904" s="3" t="s">
        <v>495</v>
      </c>
      <c r="T1904" s="3" t="s">
        <v>736</v>
      </c>
      <c r="U1904" s="3">
        <v>0</v>
      </c>
      <c r="V1904" s="3">
        <v>45</v>
      </c>
      <c r="W1904" s="3">
        <v>85</v>
      </c>
    </row>
    <row r="1905" spans="1:23" ht="11.25" customHeight="1" x14ac:dyDescent="0.25">
      <c r="A1905" s="3" t="s">
        <v>27</v>
      </c>
      <c r="B1905" s="3" t="s">
        <v>39</v>
      </c>
      <c r="C1905" s="3" t="s">
        <v>23</v>
      </c>
      <c r="D1905" s="3" t="s">
        <v>40</v>
      </c>
      <c r="E1905" s="3" t="s">
        <v>25</v>
      </c>
      <c r="F1905" s="3" t="s">
        <v>25</v>
      </c>
      <c r="G1905" s="3" t="s">
        <v>25</v>
      </c>
      <c r="H1905" s="3" t="s">
        <v>25</v>
      </c>
      <c r="I1905" s="6">
        <v>44531</v>
      </c>
      <c r="J1905" s="4">
        <v>0</v>
      </c>
      <c r="K1905" s="4">
        <v>0</v>
      </c>
      <c r="L1905" s="4">
        <v>-4.5759999999999996</v>
      </c>
      <c r="M1905" s="4">
        <v>-4.5759999999999996</v>
      </c>
      <c r="N1905" s="4">
        <v>-4.5759999999999996</v>
      </c>
      <c r="O1905" s="4">
        <v>-4.5759999999999996</v>
      </c>
      <c r="P1905" s="4">
        <v>-44</v>
      </c>
      <c r="Q1905" s="3" t="s">
        <v>26</v>
      </c>
      <c r="R1905" s="3">
        <v>0</v>
      </c>
      <c r="S1905" s="3" t="s">
        <v>495</v>
      </c>
      <c r="T1905" s="3" t="s">
        <v>736</v>
      </c>
      <c r="U1905" s="3">
        <v>0</v>
      </c>
      <c r="V1905" s="3">
        <v>45</v>
      </c>
      <c r="W1905" s="3">
        <v>85</v>
      </c>
    </row>
    <row r="1906" spans="1:23" ht="11.25" customHeight="1" x14ac:dyDescent="0.25">
      <c r="A1906" s="3" t="s">
        <v>28</v>
      </c>
      <c r="B1906" s="3" t="s">
        <v>39</v>
      </c>
      <c r="C1906" s="3" t="s">
        <v>23</v>
      </c>
      <c r="D1906" s="3" t="s">
        <v>40</v>
      </c>
      <c r="E1906" s="3" t="s">
        <v>25</v>
      </c>
      <c r="F1906" s="3" t="s">
        <v>25</v>
      </c>
      <c r="G1906" s="3" t="s">
        <v>25</v>
      </c>
      <c r="H1906" s="3" t="s">
        <v>25</v>
      </c>
      <c r="I1906" s="6">
        <v>44531</v>
      </c>
      <c r="J1906" s="4">
        <v>0</v>
      </c>
      <c r="K1906" s="4">
        <v>0</v>
      </c>
      <c r="L1906" s="4">
        <v>76.97</v>
      </c>
      <c r="M1906" s="4">
        <v>76.97</v>
      </c>
      <c r="N1906" s="4">
        <v>76.97</v>
      </c>
      <c r="O1906" s="4">
        <v>76.97</v>
      </c>
      <c r="P1906" s="4">
        <v>63</v>
      </c>
      <c r="Q1906" s="3" t="s">
        <v>26</v>
      </c>
      <c r="R1906" s="3">
        <v>0</v>
      </c>
      <c r="S1906" s="3" t="s">
        <v>495</v>
      </c>
      <c r="T1906" s="3" t="s">
        <v>736</v>
      </c>
      <c r="U1906" s="3">
        <v>0</v>
      </c>
      <c r="V1906" s="3">
        <v>45</v>
      </c>
      <c r="W1906" s="3">
        <v>85</v>
      </c>
    </row>
    <row r="1907" spans="1:23" ht="11.25" customHeight="1" x14ac:dyDescent="0.25">
      <c r="A1907" s="3" t="s">
        <v>21</v>
      </c>
      <c r="B1907" s="3" t="s">
        <v>39</v>
      </c>
      <c r="C1907" s="3" t="s">
        <v>23</v>
      </c>
      <c r="D1907" s="3" t="s">
        <v>40</v>
      </c>
      <c r="E1907" s="3" t="s">
        <v>25</v>
      </c>
      <c r="F1907" s="3" t="s">
        <v>25</v>
      </c>
      <c r="G1907" s="3" t="s">
        <v>25</v>
      </c>
      <c r="H1907" s="3" t="s">
        <v>25</v>
      </c>
      <c r="I1907" s="6">
        <v>44562</v>
      </c>
      <c r="J1907" s="4">
        <v>0</v>
      </c>
      <c r="K1907" s="4">
        <v>0</v>
      </c>
      <c r="L1907" s="4">
        <v>1453.2370000000001</v>
      </c>
      <c r="M1907" s="4">
        <v>1453.2370000000001</v>
      </c>
      <c r="N1907" s="4">
        <v>1453.2370000000001</v>
      </c>
      <c r="O1907" s="4">
        <v>1453.2370000000001</v>
      </c>
      <c r="P1907" s="4">
        <v>1546</v>
      </c>
      <c r="Q1907" s="3" t="s">
        <v>26</v>
      </c>
      <c r="R1907" s="3">
        <v>0</v>
      </c>
      <c r="S1907" s="3" t="s">
        <v>496</v>
      </c>
      <c r="T1907" s="3" t="s">
        <v>737</v>
      </c>
      <c r="U1907" s="3">
        <v>0</v>
      </c>
      <c r="V1907" s="3">
        <v>45</v>
      </c>
      <c r="W1907" s="3">
        <v>85</v>
      </c>
    </row>
    <row r="1908" spans="1:23" ht="11.25" customHeight="1" x14ac:dyDescent="0.25">
      <c r="A1908" s="3" t="s">
        <v>27</v>
      </c>
      <c r="B1908" s="3" t="s">
        <v>39</v>
      </c>
      <c r="C1908" s="3" t="s">
        <v>23</v>
      </c>
      <c r="D1908" s="3" t="s">
        <v>40</v>
      </c>
      <c r="E1908" s="3" t="s">
        <v>25</v>
      </c>
      <c r="F1908" s="3" t="s">
        <v>25</v>
      </c>
      <c r="G1908" s="3" t="s">
        <v>25</v>
      </c>
      <c r="H1908" s="3" t="s">
        <v>25</v>
      </c>
      <c r="I1908" s="6">
        <v>44562</v>
      </c>
      <c r="J1908" s="4">
        <v>0</v>
      </c>
      <c r="K1908" s="4">
        <v>0</v>
      </c>
      <c r="L1908" s="4">
        <v>-10.802</v>
      </c>
      <c r="M1908" s="4">
        <v>-10.802</v>
      </c>
      <c r="N1908" s="4">
        <v>-10.802</v>
      </c>
      <c r="O1908" s="4">
        <v>-10.802</v>
      </c>
      <c r="P1908" s="4">
        <v>-45</v>
      </c>
      <c r="Q1908" s="3" t="s">
        <v>26</v>
      </c>
      <c r="R1908" s="3">
        <v>0</v>
      </c>
      <c r="S1908" s="3" t="s">
        <v>496</v>
      </c>
      <c r="T1908" s="3" t="s">
        <v>737</v>
      </c>
      <c r="U1908" s="3">
        <v>0</v>
      </c>
      <c r="V1908" s="3">
        <v>45</v>
      </c>
      <c r="W1908" s="3">
        <v>85</v>
      </c>
    </row>
    <row r="1909" spans="1:23" ht="11.25" customHeight="1" x14ac:dyDescent="0.25">
      <c r="A1909" s="3" t="s">
        <v>28</v>
      </c>
      <c r="B1909" s="3" t="s">
        <v>39</v>
      </c>
      <c r="C1909" s="3" t="s">
        <v>23</v>
      </c>
      <c r="D1909" s="3" t="s">
        <v>40</v>
      </c>
      <c r="E1909" s="3" t="s">
        <v>25</v>
      </c>
      <c r="F1909" s="3" t="s">
        <v>25</v>
      </c>
      <c r="G1909" s="3" t="s">
        <v>25</v>
      </c>
      <c r="H1909" s="3" t="s">
        <v>25</v>
      </c>
      <c r="I1909" s="6">
        <v>44562</v>
      </c>
      <c r="J1909" s="4">
        <v>0</v>
      </c>
      <c r="K1909" s="4">
        <v>0</v>
      </c>
      <c r="L1909" s="4">
        <v>73.98</v>
      </c>
      <c r="M1909" s="4">
        <v>73.98</v>
      </c>
      <c r="N1909" s="4">
        <v>73.98</v>
      </c>
      <c r="O1909" s="4">
        <v>73.98</v>
      </c>
      <c r="P1909" s="4">
        <v>72</v>
      </c>
      <c r="Q1909" s="3" t="s">
        <v>26</v>
      </c>
      <c r="R1909" s="3">
        <v>0</v>
      </c>
      <c r="S1909" s="3" t="s">
        <v>496</v>
      </c>
      <c r="T1909" s="3" t="s">
        <v>737</v>
      </c>
      <c r="U1909" s="3">
        <v>0</v>
      </c>
      <c r="V1909" s="3">
        <v>45</v>
      </c>
      <c r="W1909" s="3">
        <v>85</v>
      </c>
    </row>
    <row r="1910" spans="1:23" ht="11.25" customHeight="1" x14ac:dyDescent="0.25">
      <c r="A1910" s="3" t="s">
        <v>21</v>
      </c>
      <c r="B1910" s="3" t="s">
        <v>39</v>
      </c>
      <c r="C1910" s="3" t="s">
        <v>23</v>
      </c>
      <c r="D1910" s="3" t="s">
        <v>40</v>
      </c>
      <c r="E1910" s="3" t="s">
        <v>25</v>
      </c>
      <c r="F1910" s="3" t="s">
        <v>25</v>
      </c>
      <c r="G1910" s="3" t="s">
        <v>25</v>
      </c>
      <c r="H1910" s="3" t="s">
        <v>25</v>
      </c>
      <c r="I1910" s="6">
        <v>44593</v>
      </c>
      <c r="J1910" s="4">
        <v>0</v>
      </c>
      <c r="K1910" s="4">
        <v>0</v>
      </c>
      <c r="L1910" s="4">
        <v>1458.9690000000001</v>
      </c>
      <c r="M1910" s="4">
        <v>1458.9690000000001</v>
      </c>
      <c r="N1910" s="4">
        <v>1458.9690000000001</v>
      </c>
      <c r="O1910" s="4">
        <v>1458.9690000000001</v>
      </c>
      <c r="P1910" s="4">
        <v>1533</v>
      </c>
      <c r="Q1910" s="3" t="s">
        <v>26</v>
      </c>
      <c r="R1910" s="3">
        <v>0</v>
      </c>
      <c r="S1910" s="3" t="s">
        <v>497</v>
      </c>
      <c r="T1910" s="3" t="s">
        <v>738</v>
      </c>
      <c r="U1910" s="3">
        <v>0</v>
      </c>
      <c r="V1910" s="3">
        <v>45</v>
      </c>
      <c r="W1910" s="3">
        <v>85</v>
      </c>
    </row>
    <row r="1911" spans="1:23" ht="11.25" customHeight="1" x14ac:dyDescent="0.25">
      <c r="A1911" s="3" t="s">
        <v>27</v>
      </c>
      <c r="B1911" s="3" t="s">
        <v>39</v>
      </c>
      <c r="C1911" s="3" t="s">
        <v>23</v>
      </c>
      <c r="D1911" s="3" t="s">
        <v>40</v>
      </c>
      <c r="E1911" s="3" t="s">
        <v>25</v>
      </c>
      <c r="F1911" s="3" t="s">
        <v>25</v>
      </c>
      <c r="G1911" s="3" t="s">
        <v>25</v>
      </c>
      <c r="H1911" s="3" t="s">
        <v>25</v>
      </c>
      <c r="I1911" s="6">
        <v>44593</v>
      </c>
      <c r="J1911" s="4">
        <v>0</v>
      </c>
      <c r="K1911" s="4">
        <v>0</v>
      </c>
      <c r="L1911" s="4">
        <v>3.9060000000000001</v>
      </c>
      <c r="M1911" s="4">
        <v>3.9060000000000001</v>
      </c>
      <c r="N1911" s="4">
        <v>3.9060000000000001</v>
      </c>
      <c r="O1911" s="4">
        <v>3.9060000000000001</v>
      </c>
      <c r="P1911" s="4">
        <v>-9</v>
      </c>
      <c r="Q1911" s="3" t="s">
        <v>26</v>
      </c>
      <c r="R1911" s="3">
        <v>0</v>
      </c>
      <c r="S1911" s="3" t="s">
        <v>497</v>
      </c>
      <c r="T1911" s="3" t="s">
        <v>738</v>
      </c>
      <c r="U1911" s="3">
        <v>0</v>
      </c>
      <c r="V1911" s="3">
        <v>45</v>
      </c>
      <c r="W1911" s="3">
        <v>85</v>
      </c>
    </row>
    <row r="1912" spans="1:23" ht="11.25" customHeight="1" x14ac:dyDescent="0.25">
      <c r="A1912" s="3" t="s">
        <v>28</v>
      </c>
      <c r="B1912" s="3" t="s">
        <v>39</v>
      </c>
      <c r="C1912" s="3" t="s">
        <v>23</v>
      </c>
      <c r="D1912" s="3" t="s">
        <v>40</v>
      </c>
      <c r="E1912" s="3" t="s">
        <v>25</v>
      </c>
      <c r="F1912" s="3" t="s">
        <v>25</v>
      </c>
      <c r="G1912" s="3" t="s">
        <v>25</v>
      </c>
      <c r="H1912" s="3" t="s">
        <v>25</v>
      </c>
      <c r="I1912" s="6">
        <v>44593</v>
      </c>
      <c r="J1912" s="4">
        <v>0</v>
      </c>
      <c r="K1912" s="4">
        <v>0</v>
      </c>
      <c r="L1912" s="4">
        <v>73.623999999999995</v>
      </c>
      <c r="M1912" s="4">
        <v>73.623999999999995</v>
      </c>
      <c r="N1912" s="4">
        <v>73.623999999999995</v>
      </c>
      <c r="O1912" s="4">
        <v>73.623999999999995</v>
      </c>
      <c r="P1912" s="4">
        <v>75</v>
      </c>
      <c r="Q1912" s="3" t="s">
        <v>26</v>
      </c>
      <c r="R1912" s="3">
        <v>0</v>
      </c>
      <c r="S1912" s="3" t="s">
        <v>497</v>
      </c>
      <c r="T1912" s="3" t="s">
        <v>738</v>
      </c>
      <c r="U1912" s="3">
        <v>0</v>
      </c>
      <c r="V1912" s="3">
        <v>45</v>
      </c>
      <c r="W1912" s="3">
        <v>85</v>
      </c>
    </row>
    <row r="1913" spans="1:23" ht="11.25" customHeight="1" x14ac:dyDescent="0.25">
      <c r="A1913" s="3" t="s">
        <v>21</v>
      </c>
      <c r="B1913" s="3" t="s">
        <v>39</v>
      </c>
      <c r="C1913" s="3" t="s">
        <v>23</v>
      </c>
      <c r="D1913" s="3" t="s">
        <v>40</v>
      </c>
      <c r="E1913" s="3" t="s">
        <v>25</v>
      </c>
      <c r="F1913" s="3" t="s">
        <v>25</v>
      </c>
      <c r="G1913" s="3" t="s">
        <v>25</v>
      </c>
      <c r="H1913" s="3" t="s">
        <v>25</v>
      </c>
      <c r="I1913" s="6">
        <v>44621</v>
      </c>
      <c r="J1913" s="4">
        <v>0</v>
      </c>
      <c r="K1913" s="4">
        <v>0</v>
      </c>
      <c r="L1913" s="4">
        <v>1512.3150000000001</v>
      </c>
      <c r="M1913" s="4">
        <v>1512.3150000000001</v>
      </c>
      <c r="N1913" s="4">
        <v>1512.3150000000001</v>
      </c>
      <c r="O1913" s="4">
        <v>1512.3150000000001</v>
      </c>
      <c r="P1913" s="4">
        <v>1510</v>
      </c>
      <c r="Q1913" s="3" t="s">
        <v>26</v>
      </c>
      <c r="R1913" s="3">
        <v>0</v>
      </c>
      <c r="S1913" s="3" t="s">
        <v>498</v>
      </c>
      <c r="T1913" s="3" t="s">
        <v>739</v>
      </c>
      <c r="U1913" s="3">
        <v>0</v>
      </c>
      <c r="V1913" s="3">
        <v>45</v>
      </c>
      <c r="W1913" s="3">
        <v>85</v>
      </c>
    </row>
    <row r="1914" spans="1:23" ht="11.25" customHeight="1" x14ac:dyDescent="0.25">
      <c r="A1914" s="3" t="s">
        <v>28</v>
      </c>
      <c r="B1914" s="3" t="s">
        <v>39</v>
      </c>
      <c r="C1914" s="3" t="s">
        <v>23</v>
      </c>
      <c r="D1914" s="3" t="s">
        <v>40</v>
      </c>
      <c r="E1914" s="3" t="s">
        <v>25</v>
      </c>
      <c r="F1914" s="3" t="s">
        <v>25</v>
      </c>
      <c r="G1914" s="3" t="s">
        <v>25</v>
      </c>
      <c r="H1914" s="3" t="s">
        <v>25</v>
      </c>
      <c r="I1914" s="6">
        <v>44621</v>
      </c>
      <c r="J1914" s="4">
        <v>0</v>
      </c>
      <c r="K1914" s="4">
        <v>0</v>
      </c>
      <c r="L1914" s="4">
        <v>91.531000000000006</v>
      </c>
      <c r="M1914" s="4">
        <v>91.531000000000006</v>
      </c>
      <c r="N1914" s="4">
        <v>91.531000000000006</v>
      </c>
      <c r="O1914" s="4">
        <v>91.531000000000006</v>
      </c>
      <c r="P1914" s="4">
        <v>80</v>
      </c>
      <c r="Q1914" s="3" t="s">
        <v>26</v>
      </c>
      <c r="R1914" s="3">
        <v>0</v>
      </c>
      <c r="S1914" s="3" t="s">
        <v>498</v>
      </c>
      <c r="T1914" s="3" t="s">
        <v>739</v>
      </c>
      <c r="U1914" s="3">
        <v>0</v>
      </c>
      <c r="V1914" s="3">
        <v>45</v>
      </c>
      <c r="W1914" s="3">
        <v>85</v>
      </c>
    </row>
    <row r="1915" spans="1:23" ht="11.25" customHeight="1" x14ac:dyDescent="0.25">
      <c r="A1915" s="3" t="s">
        <v>28</v>
      </c>
      <c r="B1915" s="3" t="s">
        <v>39</v>
      </c>
      <c r="C1915" s="3" t="s">
        <v>23</v>
      </c>
      <c r="D1915" s="3" t="s">
        <v>40</v>
      </c>
      <c r="E1915" s="3" t="s">
        <v>25</v>
      </c>
      <c r="F1915" s="3" t="s">
        <v>25</v>
      </c>
      <c r="G1915" s="3" t="s">
        <v>25</v>
      </c>
      <c r="H1915" s="3" t="s">
        <v>25</v>
      </c>
      <c r="I1915" s="6">
        <v>44621</v>
      </c>
      <c r="J1915" s="4">
        <v>0</v>
      </c>
      <c r="K1915" s="4">
        <v>0</v>
      </c>
      <c r="L1915" s="4">
        <v>-1.087</v>
      </c>
      <c r="M1915" s="4">
        <v>-1.087</v>
      </c>
      <c r="N1915" s="4">
        <v>-1.087</v>
      </c>
      <c r="O1915" s="4">
        <v>-1.087</v>
      </c>
      <c r="P1915" s="4">
        <v>0</v>
      </c>
      <c r="Q1915" s="3" t="s">
        <v>26</v>
      </c>
      <c r="R1915" s="3">
        <v>0</v>
      </c>
      <c r="S1915" s="3" t="s">
        <v>498</v>
      </c>
      <c r="T1915" s="3" t="s">
        <v>739</v>
      </c>
      <c r="U1915" s="3">
        <v>0</v>
      </c>
      <c r="V1915" s="3">
        <v>45</v>
      </c>
      <c r="W1915" s="3">
        <v>85</v>
      </c>
    </row>
    <row r="1916" spans="1:23" ht="11.25" customHeight="1" x14ac:dyDescent="0.25">
      <c r="A1916" s="3" t="s">
        <v>56</v>
      </c>
      <c r="B1916" s="3" t="s">
        <v>39</v>
      </c>
      <c r="C1916" s="3" t="s">
        <v>23</v>
      </c>
      <c r="D1916" s="3" t="s">
        <v>40</v>
      </c>
      <c r="E1916" s="3" t="s">
        <v>25</v>
      </c>
      <c r="F1916" s="3" t="s">
        <v>25</v>
      </c>
      <c r="G1916" s="3" t="s">
        <v>25</v>
      </c>
      <c r="H1916" s="3" t="s">
        <v>25</v>
      </c>
      <c r="I1916" s="6">
        <v>44652</v>
      </c>
      <c r="J1916" s="4">
        <v>0</v>
      </c>
      <c r="K1916" s="4">
        <v>0</v>
      </c>
      <c r="L1916" s="4">
        <v>1512.3150000000001</v>
      </c>
      <c r="M1916" s="4">
        <v>1512.3150000000001</v>
      </c>
      <c r="N1916" s="4">
        <v>1512.3150000000001</v>
      </c>
      <c r="O1916" s="4">
        <v>1512.3150000000001</v>
      </c>
      <c r="P1916" s="4">
        <v>1510</v>
      </c>
      <c r="Q1916" s="3" t="s">
        <v>26</v>
      </c>
      <c r="R1916" s="3">
        <v>0</v>
      </c>
      <c r="S1916" s="3" t="s">
        <v>499</v>
      </c>
      <c r="T1916" s="3" t="s">
        <v>740</v>
      </c>
      <c r="U1916" s="3">
        <v>0</v>
      </c>
      <c r="V1916" s="3">
        <v>45</v>
      </c>
      <c r="W1916" s="3">
        <v>85</v>
      </c>
    </row>
    <row r="1917" spans="1:23" ht="11.25" customHeight="1" x14ac:dyDescent="0.25">
      <c r="A1917" s="3" t="s">
        <v>56</v>
      </c>
      <c r="B1917" s="3" t="s">
        <v>39</v>
      </c>
      <c r="C1917" s="3" t="s">
        <v>23</v>
      </c>
      <c r="D1917" s="3" t="s">
        <v>40</v>
      </c>
      <c r="E1917" s="3" t="s">
        <v>25</v>
      </c>
      <c r="F1917" s="3" t="s">
        <v>25</v>
      </c>
      <c r="G1917" s="3" t="s">
        <v>25</v>
      </c>
      <c r="H1917" s="3" t="s">
        <v>25</v>
      </c>
      <c r="I1917" s="6">
        <v>44652</v>
      </c>
      <c r="J1917" s="4">
        <v>0</v>
      </c>
      <c r="K1917" s="4">
        <v>0</v>
      </c>
      <c r="L1917" s="4">
        <v>91.531000000000006</v>
      </c>
      <c r="M1917" s="4">
        <v>91.531000000000006</v>
      </c>
      <c r="N1917" s="4">
        <v>91.531000000000006</v>
      </c>
      <c r="O1917" s="4">
        <v>91.531000000000006</v>
      </c>
      <c r="P1917" s="4">
        <v>80</v>
      </c>
      <c r="Q1917" s="3" t="s">
        <v>26</v>
      </c>
      <c r="R1917" s="3">
        <v>0</v>
      </c>
      <c r="S1917" s="3" t="s">
        <v>499</v>
      </c>
      <c r="T1917" s="3" t="s">
        <v>740</v>
      </c>
      <c r="U1917" s="3">
        <v>0</v>
      </c>
      <c r="V1917" s="3">
        <v>45</v>
      </c>
      <c r="W1917" s="3">
        <v>85</v>
      </c>
    </row>
    <row r="1918" spans="1:23" ht="11.25" customHeight="1" x14ac:dyDescent="0.25">
      <c r="A1918" s="3" t="s">
        <v>56</v>
      </c>
      <c r="B1918" s="3" t="s">
        <v>39</v>
      </c>
      <c r="C1918" s="3" t="s">
        <v>23</v>
      </c>
      <c r="D1918" s="3" t="s">
        <v>40</v>
      </c>
      <c r="E1918" s="3" t="s">
        <v>25</v>
      </c>
      <c r="F1918" s="3" t="s">
        <v>25</v>
      </c>
      <c r="G1918" s="3" t="s">
        <v>25</v>
      </c>
      <c r="H1918" s="3" t="s">
        <v>25</v>
      </c>
      <c r="I1918" s="6">
        <v>44652</v>
      </c>
      <c r="J1918" s="4">
        <v>0</v>
      </c>
      <c r="K1918" s="4">
        <v>0</v>
      </c>
      <c r="L1918" s="4">
        <v>-1.087</v>
      </c>
      <c r="M1918" s="4">
        <v>-1.087</v>
      </c>
      <c r="N1918" s="4">
        <v>-1.087</v>
      </c>
      <c r="O1918" s="4">
        <v>-1.087</v>
      </c>
      <c r="P1918" s="4">
        <v>0</v>
      </c>
      <c r="Q1918" s="3" t="s">
        <v>26</v>
      </c>
      <c r="R1918" s="3">
        <v>0</v>
      </c>
      <c r="S1918" s="3" t="s">
        <v>499</v>
      </c>
      <c r="T1918" s="3" t="s">
        <v>740</v>
      </c>
      <c r="U1918" s="3">
        <v>0</v>
      </c>
      <c r="V1918" s="3">
        <v>45</v>
      </c>
      <c r="W1918" s="3">
        <v>85</v>
      </c>
    </row>
    <row r="1919" spans="1:23" ht="11.25" customHeight="1" x14ac:dyDescent="0.25">
      <c r="A1919" s="3" t="s">
        <v>21</v>
      </c>
      <c r="B1919" s="3" t="s">
        <v>39</v>
      </c>
      <c r="C1919" s="3" t="s">
        <v>23</v>
      </c>
      <c r="D1919" s="3" t="s">
        <v>46</v>
      </c>
      <c r="E1919" s="3" t="s">
        <v>25</v>
      </c>
      <c r="F1919" s="3" t="s">
        <v>25</v>
      </c>
      <c r="G1919" s="3" t="s">
        <v>25</v>
      </c>
      <c r="H1919" s="3" t="s">
        <v>25</v>
      </c>
      <c r="I1919" s="6">
        <v>44317</v>
      </c>
      <c r="J1919" s="4">
        <v>0</v>
      </c>
      <c r="K1919" s="4">
        <v>0</v>
      </c>
      <c r="L1919" s="4">
        <v>5714.0309999999999</v>
      </c>
      <c r="M1919" s="4">
        <v>5714.0309999999999</v>
      </c>
      <c r="N1919" s="4">
        <v>5714.0309999999999</v>
      </c>
      <c r="O1919" s="4">
        <v>5714.0309999999999</v>
      </c>
      <c r="P1919" s="4">
        <v>8607</v>
      </c>
      <c r="Q1919" s="3" t="s">
        <v>26</v>
      </c>
      <c r="R1919" s="3">
        <v>0</v>
      </c>
      <c r="S1919" s="3" t="s">
        <v>488</v>
      </c>
      <c r="T1919" s="3" t="s">
        <v>729</v>
      </c>
      <c r="U1919" s="3">
        <v>0</v>
      </c>
      <c r="V1919" s="3">
        <v>45</v>
      </c>
      <c r="W1919" s="3">
        <v>85</v>
      </c>
    </row>
    <row r="1920" spans="1:23" ht="11.25" customHeight="1" x14ac:dyDescent="0.25">
      <c r="A1920" s="3" t="s">
        <v>27</v>
      </c>
      <c r="B1920" s="3" t="s">
        <v>39</v>
      </c>
      <c r="C1920" s="3" t="s">
        <v>23</v>
      </c>
      <c r="D1920" s="3" t="s">
        <v>46</v>
      </c>
      <c r="E1920" s="3" t="s">
        <v>25</v>
      </c>
      <c r="F1920" s="3" t="s">
        <v>25</v>
      </c>
      <c r="G1920" s="3" t="s">
        <v>25</v>
      </c>
      <c r="H1920" s="3" t="s">
        <v>25</v>
      </c>
      <c r="I1920" s="6">
        <v>44317</v>
      </c>
      <c r="J1920" s="4">
        <v>0</v>
      </c>
      <c r="K1920" s="4">
        <v>0</v>
      </c>
      <c r="L1920" s="4">
        <v>-3.681</v>
      </c>
      <c r="M1920" s="4">
        <v>-3.681</v>
      </c>
      <c r="N1920" s="4">
        <v>-3.681</v>
      </c>
      <c r="O1920" s="4">
        <v>-3.681</v>
      </c>
      <c r="P1920" s="4">
        <v>-3</v>
      </c>
      <c r="Q1920" s="3" t="s">
        <v>26</v>
      </c>
      <c r="R1920" s="3">
        <v>0</v>
      </c>
      <c r="S1920" s="3" t="s">
        <v>488</v>
      </c>
      <c r="T1920" s="3" t="s">
        <v>729</v>
      </c>
      <c r="U1920" s="3">
        <v>0</v>
      </c>
      <c r="V1920" s="3">
        <v>45</v>
      </c>
      <c r="W1920" s="3">
        <v>85</v>
      </c>
    </row>
    <row r="1921" spans="1:23" ht="11.25" customHeight="1" x14ac:dyDescent="0.25">
      <c r="A1921" s="3" t="s">
        <v>28</v>
      </c>
      <c r="B1921" s="3" t="s">
        <v>39</v>
      </c>
      <c r="C1921" s="3" t="s">
        <v>23</v>
      </c>
      <c r="D1921" s="3" t="s">
        <v>46</v>
      </c>
      <c r="E1921" s="3" t="s">
        <v>25</v>
      </c>
      <c r="F1921" s="3" t="s">
        <v>25</v>
      </c>
      <c r="G1921" s="3" t="s">
        <v>25</v>
      </c>
      <c r="H1921" s="3" t="s">
        <v>25</v>
      </c>
      <c r="I1921" s="6">
        <v>44317</v>
      </c>
      <c r="J1921" s="4">
        <v>0</v>
      </c>
      <c r="K1921" s="4">
        <v>0</v>
      </c>
      <c r="L1921" s="4">
        <v>3.5409999999999999</v>
      </c>
      <c r="M1921" s="4">
        <v>3.5409999999999999</v>
      </c>
      <c r="N1921" s="4">
        <v>3.5409999999999999</v>
      </c>
      <c r="O1921" s="4">
        <v>3.5409999999999999</v>
      </c>
      <c r="P1921" s="4">
        <v>13</v>
      </c>
      <c r="Q1921" s="3" t="s">
        <v>26</v>
      </c>
      <c r="R1921" s="3">
        <v>0</v>
      </c>
      <c r="S1921" s="3" t="s">
        <v>488</v>
      </c>
      <c r="T1921" s="3" t="s">
        <v>729</v>
      </c>
      <c r="U1921" s="3">
        <v>0</v>
      </c>
      <c r="V1921" s="3">
        <v>45</v>
      </c>
      <c r="W1921" s="3">
        <v>85</v>
      </c>
    </row>
    <row r="1922" spans="1:23" ht="11.25" customHeight="1" x14ac:dyDescent="0.25">
      <c r="A1922" s="3" t="s">
        <v>21</v>
      </c>
      <c r="B1922" s="3" t="s">
        <v>39</v>
      </c>
      <c r="C1922" s="3" t="s">
        <v>23</v>
      </c>
      <c r="D1922" s="3" t="s">
        <v>46</v>
      </c>
      <c r="E1922" s="3" t="s">
        <v>25</v>
      </c>
      <c r="F1922" s="3" t="s">
        <v>25</v>
      </c>
      <c r="G1922" s="3" t="s">
        <v>25</v>
      </c>
      <c r="H1922" s="3" t="s">
        <v>25</v>
      </c>
      <c r="I1922" s="6">
        <v>44348</v>
      </c>
      <c r="J1922" s="4">
        <v>0</v>
      </c>
      <c r="K1922" s="4">
        <v>0</v>
      </c>
      <c r="L1922" s="4">
        <v>5223.0290000000005</v>
      </c>
      <c r="M1922" s="4">
        <v>5223.0290000000005</v>
      </c>
      <c r="N1922" s="4">
        <v>5223.0290000000005</v>
      </c>
      <c r="O1922" s="4">
        <v>5223.0290000000005</v>
      </c>
      <c r="P1922" s="4">
        <v>8615</v>
      </c>
      <c r="Q1922" s="3" t="s">
        <v>26</v>
      </c>
      <c r="R1922" s="3">
        <v>0</v>
      </c>
      <c r="S1922" s="3" t="s">
        <v>489</v>
      </c>
      <c r="T1922" s="3" t="s">
        <v>730</v>
      </c>
      <c r="U1922" s="3">
        <v>0</v>
      </c>
      <c r="V1922" s="3">
        <v>45</v>
      </c>
      <c r="W1922" s="3">
        <v>85</v>
      </c>
    </row>
    <row r="1923" spans="1:23" ht="11.25" customHeight="1" x14ac:dyDescent="0.25">
      <c r="A1923" s="3" t="s">
        <v>27</v>
      </c>
      <c r="B1923" s="3" t="s">
        <v>39</v>
      </c>
      <c r="C1923" s="3" t="s">
        <v>23</v>
      </c>
      <c r="D1923" s="3" t="s">
        <v>46</v>
      </c>
      <c r="E1923" s="3" t="s">
        <v>25</v>
      </c>
      <c r="F1923" s="3" t="s">
        <v>25</v>
      </c>
      <c r="G1923" s="3" t="s">
        <v>25</v>
      </c>
      <c r="H1923" s="3" t="s">
        <v>25</v>
      </c>
      <c r="I1923" s="6">
        <v>44348</v>
      </c>
      <c r="J1923" s="4">
        <v>0</v>
      </c>
      <c r="K1923" s="4">
        <v>0</v>
      </c>
      <c r="L1923" s="4">
        <v>-4.4859999999999998</v>
      </c>
      <c r="M1923" s="4">
        <v>-4.4859999999999998</v>
      </c>
      <c r="N1923" s="4">
        <v>-4.4859999999999998</v>
      </c>
      <c r="O1923" s="4">
        <v>-4.4859999999999998</v>
      </c>
      <c r="P1923" s="4">
        <v>5</v>
      </c>
      <c r="Q1923" s="3" t="s">
        <v>26</v>
      </c>
      <c r="R1923" s="3">
        <v>0</v>
      </c>
      <c r="S1923" s="3" t="s">
        <v>489</v>
      </c>
      <c r="T1923" s="3" t="s">
        <v>730</v>
      </c>
      <c r="U1923" s="3">
        <v>0</v>
      </c>
      <c r="V1923" s="3">
        <v>45</v>
      </c>
      <c r="W1923" s="3">
        <v>85</v>
      </c>
    </row>
    <row r="1924" spans="1:23" ht="11.25" customHeight="1" x14ac:dyDescent="0.25">
      <c r="A1924" s="3" t="s">
        <v>28</v>
      </c>
      <c r="B1924" s="3" t="s">
        <v>39</v>
      </c>
      <c r="C1924" s="3" t="s">
        <v>23</v>
      </c>
      <c r="D1924" s="3" t="s">
        <v>46</v>
      </c>
      <c r="E1924" s="3" t="s">
        <v>25</v>
      </c>
      <c r="F1924" s="3" t="s">
        <v>25</v>
      </c>
      <c r="G1924" s="3" t="s">
        <v>25</v>
      </c>
      <c r="H1924" s="3" t="s">
        <v>25</v>
      </c>
      <c r="I1924" s="6">
        <v>44348</v>
      </c>
      <c r="J1924" s="4">
        <v>0</v>
      </c>
      <c r="K1924" s="4">
        <v>0</v>
      </c>
      <c r="L1924" s="4">
        <v>2.9529999999999998</v>
      </c>
      <c r="M1924" s="4">
        <v>2.9529999999999998</v>
      </c>
      <c r="N1924" s="4">
        <v>2.9529999999999998</v>
      </c>
      <c r="O1924" s="4">
        <v>2.9529999999999998</v>
      </c>
      <c r="P1924" s="4">
        <v>13</v>
      </c>
      <c r="Q1924" s="3" t="s">
        <v>26</v>
      </c>
      <c r="R1924" s="3">
        <v>0</v>
      </c>
      <c r="S1924" s="3" t="s">
        <v>489</v>
      </c>
      <c r="T1924" s="3" t="s">
        <v>730</v>
      </c>
      <c r="U1924" s="3">
        <v>0</v>
      </c>
      <c r="V1924" s="3">
        <v>45</v>
      </c>
      <c r="W1924" s="3">
        <v>85</v>
      </c>
    </row>
    <row r="1925" spans="1:23" ht="11.25" customHeight="1" x14ac:dyDescent="0.25">
      <c r="A1925" s="3" t="s">
        <v>21</v>
      </c>
      <c r="B1925" s="3" t="s">
        <v>39</v>
      </c>
      <c r="C1925" s="3" t="s">
        <v>23</v>
      </c>
      <c r="D1925" s="3" t="s">
        <v>46</v>
      </c>
      <c r="E1925" s="3" t="s">
        <v>25</v>
      </c>
      <c r="F1925" s="3" t="s">
        <v>25</v>
      </c>
      <c r="G1925" s="3" t="s">
        <v>25</v>
      </c>
      <c r="H1925" s="3" t="s">
        <v>25</v>
      </c>
      <c r="I1925" s="6">
        <v>44378</v>
      </c>
      <c r="J1925" s="4">
        <v>0</v>
      </c>
      <c r="K1925" s="4">
        <v>0</v>
      </c>
      <c r="L1925" s="4">
        <v>4767.2659999999996</v>
      </c>
      <c r="M1925" s="4">
        <v>4767.2659999999996</v>
      </c>
      <c r="N1925" s="4">
        <v>4767.2659999999996</v>
      </c>
      <c r="O1925" s="4">
        <v>4767.2659999999996</v>
      </c>
      <c r="P1925" s="4">
        <v>8595</v>
      </c>
      <c r="Q1925" s="3" t="s">
        <v>26</v>
      </c>
      <c r="R1925" s="3">
        <v>0</v>
      </c>
      <c r="S1925" s="3" t="s">
        <v>490</v>
      </c>
      <c r="T1925" s="3" t="s">
        <v>731</v>
      </c>
      <c r="U1925" s="3">
        <v>0</v>
      </c>
      <c r="V1925" s="3">
        <v>45</v>
      </c>
      <c r="W1925" s="3">
        <v>85</v>
      </c>
    </row>
    <row r="1926" spans="1:23" ht="11.25" customHeight="1" x14ac:dyDescent="0.25">
      <c r="A1926" s="3" t="s">
        <v>27</v>
      </c>
      <c r="B1926" s="3" t="s">
        <v>39</v>
      </c>
      <c r="C1926" s="3" t="s">
        <v>23</v>
      </c>
      <c r="D1926" s="3" t="s">
        <v>46</v>
      </c>
      <c r="E1926" s="3" t="s">
        <v>25</v>
      </c>
      <c r="F1926" s="3" t="s">
        <v>25</v>
      </c>
      <c r="G1926" s="3" t="s">
        <v>25</v>
      </c>
      <c r="H1926" s="3" t="s">
        <v>25</v>
      </c>
      <c r="I1926" s="6">
        <v>44378</v>
      </c>
      <c r="J1926" s="4">
        <v>0</v>
      </c>
      <c r="K1926" s="4">
        <v>0</v>
      </c>
      <c r="L1926" s="4">
        <v>-84.954999999999998</v>
      </c>
      <c r="M1926" s="4">
        <v>-84.954999999999998</v>
      </c>
      <c r="N1926" s="4">
        <v>-84.954999999999998</v>
      </c>
      <c r="O1926" s="4">
        <v>-84.954999999999998</v>
      </c>
      <c r="P1926" s="4">
        <v>-7</v>
      </c>
      <c r="Q1926" s="3" t="s">
        <v>26</v>
      </c>
      <c r="R1926" s="3">
        <v>0</v>
      </c>
      <c r="S1926" s="3" t="s">
        <v>490</v>
      </c>
      <c r="T1926" s="3" t="s">
        <v>731</v>
      </c>
      <c r="U1926" s="3">
        <v>0</v>
      </c>
      <c r="V1926" s="3">
        <v>45</v>
      </c>
      <c r="W1926" s="3">
        <v>85</v>
      </c>
    </row>
    <row r="1927" spans="1:23" ht="11.25" customHeight="1" x14ac:dyDescent="0.25">
      <c r="A1927" s="3" t="s">
        <v>28</v>
      </c>
      <c r="B1927" s="3" t="s">
        <v>39</v>
      </c>
      <c r="C1927" s="3" t="s">
        <v>23</v>
      </c>
      <c r="D1927" s="3" t="s">
        <v>46</v>
      </c>
      <c r="E1927" s="3" t="s">
        <v>25</v>
      </c>
      <c r="F1927" s="3" t="s">
        <v>25</v>
      </c>
      <c r="G1927" s="3" t="s">
        <v>25</v>
      </c>
      <c r="H1927" s="3" t="s">
        <v>25</v>
      </c>
      <c r="I1927" s="6">
        <v>44378</v>
      </c>
      <c r="J1927" s="4">
        <v>0</v>
      </c>
      <c r="K1927" s="4">
        <v>0</v>
      </c>
      <c r="L1927" s="4">
        <v>2.2890000000000001</v>
      </c>
      <c r="M1927" s="4">
        <v>2.2890000000000001</v>
      </c>
      <c r="N1927" s="4">
        <v>2.2890000000000001</v>
      </c>
      <c r="O1927" s="4">
        <v>2.2890000000000001</v>
      </c>
      <c r="P1927" s="4">
        <v>13</v>
      </c>
      <c r="Q1927" s="3" t="s">
        <v>26</v>
      </c>
      <c r="R1927" s="3">
        <v>0</v>
      </c>
      <c r="S1927" s="3" t="s">
        <v>490</v>
      </c>
      <c r="T1927" s="3" t="s">
        <v>731</v>
      </c>
      <c r="U1927" s="3">
        <v>0</v>
      </c>
      <c r="V1927" s="3">
        <v>45</v>
      </c>
      <c r="W1927" s="3">
        <v>85</v>
      </c>
    </row>
    <row r="1928" spans="1:23" ht="11.25" customHeight="1" x14ac:dyDescent="0.25">
      <c r="A1928" s="3" t="s">
        <v>21</v>
      </c>
      <c r="B1928" s="3" t="s">
        <v>39</v>
      </c>
      <c r="C1928" s="3" t="s">
        <v>23</v>
      </c>
      <c r="D1928" s="3" t="s">
        <v>46</v>
      </c>
      <c r="E1928" s="3" t="s">
        <v>25</v>
      </c>
      <c r="F1928" s="3" t="s">
        <v>25</v>
      </c>
      <c r="G1928" s="3" t="s">
        <v>25</v>
      </c>
      <c r="H1928" s="3" t="s">
        <v>25</v>
      </c>
      <c r="I1928" s="6">
        <v>44409</v>
      </c>
      <c r="J1928" s="4">
        <v>0</v>
      </c>
      <c r="K1928" s="4">
        <v>0</v>
      </c>
      <c r="L1928" s="4">
        <v>5084.723</v>
      </c>
      <c r="M1928" s="4">
        <v>5084.723</v>
      </c>
      <c r="N1928" s="4">
        <v>5084.723</v>
      </c>
      <c r="O1928" s="4">
        <v>5084.723</v>
      </c>
      <c r="P1928" s="4">
        <v>8626</v>
      </c>
      <c r="Q1928" s="3" t="s">
        <v>26</v>
      </c>
      <c r="R1928" s="3">
        <v>0</v>
      </c>
      <c r="S1928" s="3" t="s">
        <v>491</v>
      </c>
      <c r="T1928" s="3" t="s">
        <v>732</v>
      </c>
      <c r="U1928" s="3">
        <v>0</v>
      </c>
      <c r="V1928" s="3">
        <v>45</v>
      </c>
      <c r="W1928" s="3">
        <v>85</v>
      </c>
    </row>
    <row r="1929" spans="1:23" ht="11.25" customHeight="1" x14ac:dyDescent="0.25">
      <c r="A1929" s="3" t="s">
        <v>27</v>
      </c>
      <c r="B1929" s="3" t="s">
        <v>39</v>
      </c>
      <c r="C1929" s="3" t="s">
        <v>23</v>
      </c>
      <c r="D1929" s="3" t="s">
        <v>46</v>
      </c>
      <c r="E1929" s="3" t="s">
        <v>25</v>
      </c>
      <c r="F1929" s="3" t="s">
        <v>25</v>
      </c>
      <c r="G1929" s="3" t="s">
        <v>25</v>
      </c>
      <c r="H1929" s="3" t="s">
        <v>25</v>
      </c>
      <c r="I1929" s="6">
        <v>44409</v>
      </c>
      <c r="J1929" s="4">
        <v>0</v>
      </c>
      <c r="K1929" s="4">
        <v>0</v>
      </c>
      <c r="L1929" s="4">
        <v>-23.492999999999999</v>
      </c>
      <c r="M1929" s="4">
        <v>-23.492999999999999</v>
      </c>
      <c r="N1929" s="4">
        <v>-23.492999999999999</v>
      </c>
      <c r="O1929" s="4">
        <v>-23.492999999999999</v>
      </c>
      <c r="P1929" s="4">
        <v>-7</v>
      </c>
      <c r="Q1929" s="3" t="s">
        <v>26</v>
      </c>
      <c r="R1929" s="3">
        <v>0</v>
      </c>
      <c r="S1929" s="3" t="s">
        <v>491</v>
      </c>
      <c r="T1929" s="3" t="s">
        <v>732</v>
      </c>
      <c r="U1929" s="3">
        <v>0</v>
      </c>
      <c r="V1929" s="3">
        <v>45</v>
      </c>
      <c r="W1929" s="3">
        <v>85</v>
      </c>
    </row>
    <row r="1930" spans="1:23" ht="11.25" customHeight="1" x14ac:dyDescent="0.25">
      <c r="A1930" s="3" t="s">
        <v>28</v>
      </c>
      <c r="B1930" s="3" t="s">
        <v>39</v>
      </c>
      <c r="C1930" s="3" t="s">
        <v>23</v>
      </c>
      <c r="D1930" s="3" t="s">
        <v>46</v>
      </c>
      <c r="E1930" s="3" t="s">
        <v>25</v>
      </c>
      <c r="F1930" s="3" t="s">
        <v>25</v>
      </c>
      <c r="G1930" s="3" t="s">
        <v>25</v>
      </c>
      <c r="H1930" s="3" t="s">
        <v>25</v>
      </c>
      <c r="I1930" s="6">
        <v>44409</v>
      </c>
      <c r="J1930" s="4">
        <v>0</v>
      </c>
      <c r="K1930" s="4">
        <v>0</v>
      </c>
      <c r="L1930" s="4">
        <v>2.4550000000000001</v>
      </c>
      <c r="M1930" s="4">
        <v>2.4550000000000001</v>
      </c>
      <c r="N1930" s="4">
        <v>2.4550000000000001</v>
      </c>
      <c r="O1930" s="4">
        <v>2.4550000000000001</v>
      </c>
      <c r="P1930" s="4">
        <v>13</v>
      </c>
      <c r="Q1930" s="3" t="s">
        <v>26</v>
      </c>
      <c r="R1930" s="3">
        <v>0</v>
      </c>
      <c r="S1930" s="3" t="s">
        <v>491</v>
      </c>
      <c r="T1930" s="3" t="s">
        <v>732</v>
      </c>
      <c r="U1930" s="3">
        <v>0</v>
      </c>
      <c r="V1930" s="3">
        <v>45</v>
      </c>
      <c r="W1930" s="3">
        <v>85</v>
      </c>
    </row>
    <row r="1931" spans="1:23" ht="11.25" customHeight="1" x14ac:dyDescent="0.25">
      <c r="A1931" s="3" t="s">
        <v>21</v>
      </c>
      <c r="B1931" s="3" t="s">
        <v>39</v>
      </c>
      <c r="C1931" s="3" t="s">
        <v>23</v>
      </c>
      <c r="D1931" s="3" t="s">
        <v>46</v>
      </c>
      <c r="E1931" s="3" t="s">
        <v>25</v>
      </c>
      <c r="F1931" s="3" t="s">
        <v>25</v>
      </c>
      <c r="G1931" s="3" t="s">
        <v>25</v>
      </c>
      <c r="H1931" s="3" t="s">
        <v>25</v>
      </c>
      <c r="I1931" s="6">
        <v>44440</v>
      </c>
      <c r="J1931" s="4">
        <v>0</v>
      </c>
      <c r="K1931" s="4">
        <v>0</v>
      </c>
      <c r="L1931" s="4">
        <v>5930.9080000000004</v>
      </c>
      <c r="M1931" s="4">
        <v>5930.9080000000004</v>
      </c>
      <c r="N1931" s="4">
        <v>5930.9080000000004</v>
      </c>
      <c r="O1931" s="4">
        <v>5930.9080000000004</v>
      </c>
      <c r="P1931" s="4">
        <v>8616</v>
      </c>
      <c r="Q1931" s="3" t="s">
        <v>26</v>
      </c>
      <c r="R1931" s="3">
        <v>0</v>
      </c>
      <c r="S1931" s="3" t="s">
        <v>492</v>
      </c>
      <c r="T1931" s="3" t="s">
        <v>733</v>
      </c>
      <c r="U1931" s="3">
        <v>0</v>
      </c>
      <c r="V1931" s="3">
        <v>45</v>
      </c>
      <c r="W1931" s="3">
        <v>85</v>
      </c>
    </row>
    <row r="1932" spans="1:23" ht="11.25" customHeight="1" x14ac:dyDescent="0.25">
      <c r="A1932" s="3" t="s">
        <v>27</v>
      </c>
      <c r="B1932" s="3" t="s">
        <v>39</v>
      </c>
      <c r="C1932" s="3" t="s">
        <v>23</v>
      </c>
      <c r="D1932" s="3" t="s">
        <v>46</v>
      </c>
      <c r="E1932" s="3" t="s">
        <v>25</v>
      </c>
      <c r="F1932" s="3" t="s">
        <v>25</v>
      </c>
      <c r="G1932" s="3" t="s">
        <v>25</v>
      </c>
      <c r="H1932" s="3" t="s">
        <v>25</v>
      </c>
      <c r="I1932" s="6">
        <v>44440</v>
      </c>
      <c r="J1932" s="4">
        <v>0</v>
      </c>
      <c r="K1932" s="4">
        <v>0</v>
      </c>
      <c r="L1932" s="4">
        <v>-25.251999999999999</v>
      </c>
      <c r="M1932" s="4">
        <v>-25.251999999999999</v>
      </c>
      <c r="N1932" s="4">
        <v>-25.251999999999999</v>
      </c>
      <c r="O1932" s="4">
        <v>-25.251999999999999</v>
      </c>
      <c r="P1932" s="4">
        <v>-26</v>
      </c>
      <c r="Q1932" s="3" t="s">
        <v>26</v>
      </c>
      <c r="R1932" s="3">
        <v>0</v>
      </c>
      <c r="S1932" s="3" t="s">
        <v>492</v>
      </c>
      <c r="T1932" s="3" t="s">
        <v>733</v>
      </c>
      <c r="U1932" s="3">
        <v>0</v>
      </c>
      <c r="V1932" s="3">
        <v>45</v>
      </c>
      <c r="W1932" s="3">
        <v>85</v>
      </c>
    </row>
    <row r="1933" spans="1:23" ht="11.25" customHeight="1" x14ac:dyDescent="0.25">
      <c r="A1933" s="3" t="s">
        <v>28</v>
      </c>
      <c r="B1933" s="3" t="s">
        <v>39</v>
      </c>
      <c r="C1933" s="3" t="s">
        <v>23</v>
      </c>
      <c r="D1933" s="3" t="s">
        <v>46</v>
      </c>
      <c r="E1933" s="3" t="s">
        <v>25</v>
      </c>
      <c r="F1933" s="3" t="s">
        <v>25</v>
      </c>
      <c r="G1933" s="3" t="s">
        <v>25</v>
      </c>
      <c r="H1933" s="3" t="s">
        <v>25</v>
      </c>
      <c r="I1933" s="6">
        <v>44440</v>
      </c>
      <c r="J1933" s="4">
        <v>0</v>
      </c>
      <c r="K1933" s="4">
        <v>0</v>
      </c>
      <c r="L1933" s="4">
        <v>2.831</v>
      </c>
      <c r="M1933" s="4">
        <v>2.831</v>
      </c>
      <c r="N1933" s="4">
        <v>2.831</v>
      </c>
      <c r="O1933" s="4">
        <v>2.831</v>
      </c>
      <c r="P1933" s="4">
        <v>13</v>
      </c>
      <c r="Q1933" s="3" t="s">
        <v>26</v>
      </c>
      <c r="R1933" s="3">
        <v>0</v>
      </c>
      <c r="S1933" s="3" t="s">
        <v>492</v>
      </c>
      <c r="T1933" s="3" t="s">
        <v>733</v>
      </c>
      <c r="U1933" s="3">
        <v>0</v>
      </c>
      <c r="V1933" s="3">
        <v>45</v>
      </c>
      <c r="W1933" s="3">
        <v>85</v>
      </c>
    </row>
    <row r="1934" spans="1:23" ht="11.25" customHeight="1" x14ac:dyDescent="0.25">
      <c r="A1934" s="3" t="s">
        <v>21</v>
      </c>
      <c r="B1934" s="3" t="s">
        <v>39</v>
      </c>
      <c r="C1934" s="3" t="s">
        <v>23</v>
      </c>
      <c r="D1934" s="3" t="s">
        <v>46</v>
      </c>
      <c r="E1934" s="3" t="s">
        <v>25</v>
      </c>
      <c r="F1934" s="3" t="s">
        <v>25</v>
      </c>
      <c r="G1934" s="3" t="s">
        <v>25</v>
      </c>
      <c r="H1934" s="3" t="s">
        <v>25</v>
      </c>
      <c r="I1934" s="6">
        <v>44470</v>
      </c>
      <c r="J1934" s="4">
        <v>0</v>
      </c>
      <c r="K1934" s="4">
        <v>0</v>
      </c>
      <c r="L1934" s="4">
        <v>7232.415</v>
      </c>
      <c r="M1934" s="4">
        <v>7232.415</v>
      </c>
      <c r="N1934" s="4">
        <v>7232.415</v>
      </c>
      <c r="O1934" s="4">
        <v>7232.415</v>
      </c>
      <c r="P1934" s="4">
        <v>8665</v>
      </c>
      <c r="Q1934" s="3" t="s">
        <v>26</v>
      </c>
      <c r="R1934" s="3">
        <v>0</v>
      </c>
      <c r="S1934" s="3" t="s">
        <v>493</v>
      </c>
      <c r="T1934" s="3" t="s">
        <v>734</v>
      </c>
      <c r="U1934" s="3">
        <v>0</v>
      </c>
      <c r="V1934" s="3">
        <v>45</v>
      </c>
      <c r="W1934" s="3">
        <v>85</v>
      </c>
    </row>
    <row r="1935" spans="1:23" ht="11.25" customHeight="1" x14ac:dyDescent="0.25">
      <c r="A1935" s="3" t="s">
        <v>27</v>
      </c>
      <c r="B1935" s="3" t="s">
        <v>39</v>
      </c>
      <c r="C1935" s="3" t="s">
        <v>23</v>
      </c>
      <c r="D1935" s="3" t="s">
        <v>46</v>
      </c>
      <c r="E1935" s="3" t="s">
        <v>25</v>
      </c>
      <c r="F1935" s="3" t="s">
        <v>25</v>
      </c>
      <c r="G1935" s="3" t="s">
        <v>25</v>
      </c>
      <c r="H1935" s="3" t="s">
        <v>25</v>
      </c>
      <c r="I1935" s="6">
        <v>44470</v>
      </c>
      <c r="J1935" s="4">
        <v>0</v>
      </c>
      <c r="K1935" s="4">
        <v>0</v>
      </c>
      <c r="L1935" s="4">
        <v>2.569</v>
      </c>
      <c r="M1935" s="4">
        <v>2.569</v>
      </c>
      <c r="N1935" s="4">
        <v>2.569</v>
      </c>
      <c r="O1935" s="4">
        <v>2.569</v>
      </c>
      <c r="P1935" s="4">
        <v>1</v>
      </c>
      <c r="Q1935" s="3" t="s">
        <v>26</v>
      </c>
      <c r="R1935" s="3">
        <v>0</v>
      </c>
      <c r="S1935" s="3" t="s">
        <v>493</v>
      </c>
      <c r="T1935" s="3" t="s">
        <v>734</v>
      </c>
      <c r="U1935" s="3">
        <v>0</v>
      </c>
      <c r="V1935" s="3">
        <v>45</v>
      </c>
      <c r="W1935" s="3">
        <v>85</v>
      </c>
    </row>
    <row r="1936" spans="1:23" ht="11.25" customHeight="1" x14ac:dyDescent="0.25">
      <c r="A1936" s="3" t="s">
        <v>28</v>
      </c>
      <c r="B1936" s="3" t="s">
        <v>39</v>
      </c>
      <c r="C1936" s="3" t="s">
        <v>23</v>
      </c>
      <c r="D1936" s="3" t="s">
        <v>46</v>
      </c>
      <c r="E1936" s="3" t="s">
        <v>25</v>
      </c>
      <c r="F1936" s="3" t="s">
        <v>25</v>
      </c>
      <c r="G1936" s="3" t="s">
        <v>25</v>
      </c>
      <c r="H1936" s="3" t="s">
        <v>25</v>
      </c>
      <c r="I1936" s="6">
        <v>44470</v>
      </c>
      <c r="J1936" s="4">
        <v>0</v>
      </c>
      <c r="K1936" s="4">
        <v>0</v>
      </c>
      <c r="L1936" s="4">
        <v>3.49</v>
      </c>
      <c r="M1936" s="4">
        <v>3.49</v>
      </c>
      <c r="N1936" s="4">
        <v>3.49</v>
      </c>
      <c r="O1936" s="4">
        <v>3.49</v>
      </c>
      <c r="P1936" s="4">
        <v>14</v>
      </c>
      <c r="Q1936" s="3" t="s">
        <v>26</v>
      </c>
      <c r="R1936" s="3">
        <v>0</v>
      </c>
      <c r="S1936" s="3" t="s">
        <v>493</v>
      </c>
      <c r="T1936" s="3" t="s">
        <v>734</v>
      </c>
      <c r="U1936" s="3">
        <v>0</v>
      </c>
      <c r="V1936" s="3">
        <v>45</v>
      </c>
      <c r="W1936" s="3">
        <v>85</v>
      </c>
    </row>
    <row r="1937" spans="1:23" ht="11.25" customHeight="1" x14ac:dyDescent="0.25">
      <c r="A1937" s="3" t="s">
        <v>21</v>
      </c>
      <c r="B1937" s="3" t="s">
        <v>39</v>
      </c>
      <c r="C1937" s="3" t="s">
        <v>23</v>
      </c>
      <c r="D1937" s="3" t="s">
        <v>46</v>
      </c>
      <c r="E1937" s="3" t="s">
        <v>25</v>
      </c>
      <c r="F1937" s="3" t="s">
        <v>25</v>
      </c>
      <c r="G1937" s="3" t="s">
        <v>25</v>
      </c>
      <c r="H1937" s="3" t="s">
        <v>25</v>
      </c>
      <c r="I1937" s="6">
        <v>44501</v>
      </c>
      <c r="J1937" s="4">
        <v>0</v>
      </c>
      <c r="K1937" s="4">
        <v>0</v>
      </c>
      <c r="L1937" s="4">
        <v>8660.2759999999998</v>
      </c>
      <c r="M1937" s="4">
        <v>8660.2759999999998</v>
      </c>
      <c r="N1937" s="4">
        <v>8660.2759999999998</v>
      </c>
      <c r="O1937" s="4">
        <v>8660.2759999999998</v>
      </c>
      <c r="P1937" s="4">
        <v>8757</v>
      </c>
      <c r="Q1937" s="3" t="s">
        <v>26</v>
      </c>
      <c r="R1937" s="3">
        <v>0</v>
      </c>
      <c r="S1937" s="3" t="s">
        <v>494</v>
      </c>
      <c r="T1937" s="3" t="s">
        <v>735</v>
      </c>
      <c r="U1937" s="3">
        <v>0</v>
      </c>
      <c r="V1937" s="3">
        <v>45</v>
      </c>
      <c r="W1937" s="3">
        <v>85</v>
      </c>
    </row>
    <row r="1938" spans="1:23" ht="11.25" customHeight="1" x14ac:dyDescent="0.25">
      <c r="A1938" s="3" t="s">
        <v>27</v>
      </c>
      <c r="B1938" s="3" t="s">
        <v>39</v>
      </c>
      <c r="C1938" s="3" t="s">
        <v>23</v>
      </c>
      <c r="D1938" s="3" t="s">
        <v>46</v>
      </c>
      <c r="E1938" s="3" t="s">
        <v>25</v>
      </c>
      <c r="F1938" s="3" t="s">
        <v>25</v>
      </c>
      <c r="G1938" s="3" t="s">
        <v>25</v>
      </c>
      <c r="H1938" s="3" t="s">
        <v>25</v>
      </c>
      <c r="I1938" s="6">
        <v>44501</v>
      </c>
      <c r="J1938" s="4">
        <v>0</v>
      </c>
      <c r="K1938" s="4">
        <v>0</v>
      </c>
      <c r="L1938" s="4">
        <v>-0.30599999999999999</v>
      </c>
      <c r="M1938" s="4">
        <v>-0.30599999999999999</v>
      </c>
      <c r="N1938" s="4">
        <v>-0.30599999999999999</v>
      </c>
      <c r="O1938" s="4">
        <v>-0.30599999999999999</v>
      </c>
      <c r="P1938" s="4">
        <v>2</v>
      </c>
      <c r="Q1938" s="3" t="s">
        <v>26</v>
      </c>
      <c r="R1938" s="3">
        <v>0</v>
      </c>
      <c r="S1938" s="3" t="s">
        <v>494</v>
      </c>
      <c r="T1938" s="3" t="s">
        <v>735</v>
      </c>
      <c r="U1938" s="3">
        <v>0</v>
      </c>
      <c r="V1938" s="3">
        <v>45</v>
      </c>
      <c r="W1938" s="3">
        <v>85</v>
      </c>
    </row>
    <row r="1939" spans="1:23" ht="11.25" customHeight="1" x14ac:dyDescent="0.25">
      <c r="A1939" s="3" t="s">
        <v>28</v>
      </c>
      <c r="B1939" s="3" t="s">
        <v>39</v>
      </c>
      <c r="C1939" s="3" t="s">
        <v>23</v>
      </c>
      <c r="D1939" s="3" t="s">
        <v>46</v>
      </c>
      <c r="E1939" s="3" t="s">
        <v>25</v>
      </c>
      <c r="F1939" s="3" t="s">
        <v>25</v>
      </c>
      <c r="G1939" s="3" t="s">
        <v>25</v>
      </c>
      <c r="H1939" s="3" t="s">
        <v>25</v>
      </c>
      <c r="I1939" s="6">
        <v>44501</v>
      </c>
      <c r="J1939" s="4">
        <v>0</v>
      </c>
      <c r="K1939" s="4">
        <v>0</v>
      </c>
      <c r="L1939" s="4">
        <v>3.4609999999999999</v>
      </c>
      <c r="M1939" s="4">
        <v>3.4609999999999999</v>
      </c>
      <c r="N1939" s="4">
        <v>3.4609999999999999</v>
      </c>
      <c r="O1939" s="4">
        <v>3.4609999999999999</v>
      </c>
      <c r="P1939" s="4">
        <v>14</v>
      </c>
      <c r="Q1939" s="3" t="s">
        <v>26</v>
      </c>
      <c r="R1939" s="3">
        <v>0</v>
      </c>
      <c r="S1939" s="3" t="s">
        <v>494</v>
      </c>
      <c r="T1939" s="3" t="s">
        <v>735</v>
      </c>
      <c r="U1939" s="3">
        <v>0</v>
      </c>
      <c r="V1939" s="3">
        <v>45</v>
      </c>
      <c r="W1939" s="3">
        <v>85</v>
      </c>
    </row>
    <row r="1940" spans="1:23" ht="11.25" customHeight="1" x14ac:dyDescent="0.25">
      <c r="A1940" s="3" t="s">
        <v>21</v>
      </c>
      <c r="B1940" s="3" t="s">
        <v>39</v>
      </c>
      <c r="C1940" s="3" t="s">
        <v>23</v>
      </c>
      <c r="D1940" s="3" t="s">
        <v>46</v>
      </c>
      <c r="E1940" s="3" t="s">
        <v>25</v>
      </c>
      <c r="F1940" s="3" t="s">
        <v>25</v>
      </c>
      <c r="G1940" s="3" t="s">
        <v>25</v>
      </c>
      <c r="H1940" s="3" t="s">
        <v>25</v>
      </c>
      <c r="I1940" s="6">
        <v>44531</v>
      </c>
      <c r="J1940" s="4">
        <v>0</v>
      </c>
      <c r="K1940" s="4">
        <v>0</v>
      </c>
      <c r="L1940" s="4">
        <v>8372.5529999999999</v>
      </c>
      <c r="M1940" s="4">
        <v>8372.5529999999999</v>
      </c>
      <c r="N1940" s="4">
        <v>8372.5529999999999</v>
      </c>
      <c r="O1940" s="4">
        <v>8372.5529999999999</v>
      </c>
      <c r="P1940" s="4">
        <v>8719</v>
      </c>
      <c r="Q1940" s="3" t="s">
        <v>26</v>
      </c>
      <c r="R1940" s="3">
        <v>0</v>
      </c>
      <c r="S1940" s="3" t="s">
        <v>495</v>
      </c>
      <c r="T1940" s="3" t="s">
        <v>736</v>
      </c>
      <c r="U1940" s="3">
        <v>0</v>
      </c>
      <c r="V1940" s="3">
        <v>45</v>
      </c>
      <c r="W1940" s="3">
        <v>85</v>
      </c>
    </row>
    <row r="1941" spans="1:23" ht="11.25" customHeight="1" x14ac:dyDescent="0.25">
      <c r="A1941" s="3" t="s">
        <v>27</v>
      </c>
      <c r="B1941" s="3" t="s">
        <v>39</v>
      </c>
      <c r="C1941" s="3" t="s">
        <v>23</v>
      </c>
      <c r="D1941" s="3" t="s">
        <v>46</v>
      </c>
      <c r="E1941" s="3" t="s">
        <v>25</v>
      </c>
      <c r="F1941" s="3" t="s">
        <v>25</v>
      </c>
      <c r="G1941" s="3" t="s">
        <v>25</v>
      </c>
      <c r="H1941" s="3" t="s">
        <v>25</v>
      </c>
      <c r="I1941" s="6">
        <v>44531</v>
      </c>
      <c r="J1941" s="4">
        <v>0</v>
      </c>
      <c r="K1941" s="4">
        <v>0</v>
      </c>
      <c r="L1941" s="4">
        <v>20.786000000000001</v>
      </c>
      <c r="M1941" s="4">
        <v>20.786000000000001</v>
      </c>
      <c r="N1941" s="4">
        <v>20.786000000000001</v>
      </c>
      <c r="O1941" s="4">
        <v>20.786000000000001</v>
      </c>
      <c r="P1941" s="4">
        <v>5</v>
      </c>
      <c r="Q1941" s="3" t="s">
        <v>26</v>
      </c>
      <c r="R1941" s="3">
        <v>0</v>
      </c>
      <c r="S1941" s="3" t="s">
        <v>495</v>
      </c>
      <c r="T1941" s="3" t="s">
        <v>736</v>
      </c>
      <c r="U1941" s="3">
        <v>0</v>
      </c>
      <c r="V1941" s="3">
        <v>45</v>
      </c>
      <c r="W1941" s="3">
        <v>85</v>
      </c>
    </row>
    <row r="1942" spans="1:23" ht="11.25" customHeight="1" x14ac:dyDescent="0.25">
      <c r="A1942" s="3" t="s">
        <v>28</v>
      </c>
      <c r="B1942" s="3" t="s">
        <v>39</v>
      </c>
      <c r="C1942" s="3" t="s">
        <v>23</v>
      </c>
      <c r="D1942" s="3" t="s">
        <v>46</v>
      </c>
      <c r="E1942" s="3" t="s">
        <v>25</v>
      </c>
      <c r="F1942" s="3" t="s">
        <v>25</v>
      </c>
      <c r="G1942" s="3" t="s">
        <v>25</v>
      </c>
      <c r="H1942" s="3" t="s">
        <v>25</v>
      </c>
      <c r="I1942" s="6">
        <v>44531</v>
      </c>
      <c r="J1942" s="4">
        <v>0</v>
      </c>
      <c r="K1942" s="4">
        <v>0</v>
      </c>
      <c r="L1942" s="4">
        <v>14.475</v>
      </c>
      <c r="M1942" s="4">
        <v>14.475</v>
      </c>
      <c r="N1942" s="4">
        <v>14.475</v>
      </c>
      <c r="O1942" s="4">
        <v>14.475</v>
      </c>
      <c r="P1942" s="4">
        <v>14</v>
      </c>
      <c r="Q1942" s="3" t="s">
        <v>26</v>
      </c>
      <c r="R1942" s="3">
        <v>0</v>
      </c>
      <c r="S1942" s="3" t="s">
        <v>495</v>
      </c>
      <c r="T1942" s="3" t="s">
        <v>736</v>
      </c>
      <c r="U1942" s="3">
        <v>0</v>
      </c>
      <c r="V1942" s="3">
        <v>45</v>
      </c>
      <c r="W1942" s="3">
        <v>85</v>
      </c>
    </row>
    <row r="1943" spans="1:23" ht="11.25" customHeight="1" x14ac:dyDescent="0.25">
      <c r="A1943" s="3" t="s">
        <v>21</v>
      </c>
      <c r="B1943" s="3" t="s">
        <v>39</v>
      </c>
      <c r="C1943" s="3" t="s">
        <v>23</v>
      </c>
      <c r="D1943" s="3" t="s">
        <v>46</v>
      </c>
      <c r="E1943" s="3" t="s">
        <v>25</v>
      </c>
      <c r="F1943" s="3" t="s">
        <v>25</v>
      </c>
      <c r="G1943" s="3" t="s">
        <v>25</v>
      </c>
      <c r="H1943" s="3" t="s">
        <v>25</v>
      </c>
      <c r="I1943" s="6">
        <v>44562</v>
      </c>
      <c r="J1943" s="4">
        <v>0</v>
      </c>
      <c r="K1943" s="4">
        <v>0</v>
      </c>
      <c r="L1943" s="4">
        <v>6606.7129999999997</v>
      </c>
      <c r="M1943" s="4">
        <v>6606.7129999999997</v>
      </c>
      <c r="N1943" s="4">
        <v>6606.7129999999997</v>
      </c>
      <c r="O1943" s="4">
        <v>6606.7129999999997</v>
      </c>
      <c r="P1943" s="4">
        <v>8706</v>
      </c>
      <c r="Q1943" s="3" t="s">
        <v>26</v>
      </c>
      <c r="R1943" s="3">
        <v>0</v>
      </c>
      <c r="S1943" s="3" t="s">
        <v>496</v>
      </c>
      <c r="T1943" s="3" t="s">
        <v>737</v>
      </c>
      <c r="U1943" s="3">
        <v>0</v>
      </c>
      <c r="V1943" s="3">
        <v>45</v>
      </c>
      <c r="W1943" s="3">
        <v>85</v>
      </c>
    </row>
    <row r="1944" spans="1:23" ht="11.25" customHeight="1" x14ac:dyDescent="0.25">
      <c r="A1944" s="3" t="s">
        <v>27</v>
      </c>
      <c r="B1944" s="3" t="s">
        <v>39</v>
      </c>
      <c r="C1944" s="3" t="s">
        <v>23</v>
      </c>
      <c r="D1944" s="3" t="s">
        <v>46</v>
      </c>
      <c r="E1944" s="3" t="s">
        <v>25</v>
      </c>
      <c r="F1944" s="3" t="s">
        <v>25</v>
      </c>
      <c r="G1944" s="3" t="s">
        <v>25</v>
      </c>
      <c r="H1944" s="3" t="s">
        <v>25</v>
      </c>
      <c r="I1944" s="6">
        <v>44562</v>
      </c>
      <c r="J1944" s="4">
        <v>0</v>
      </c>
      <c r="K1944" s="4">
        <v>0</v>
      </c>
      <c r="L1944" s="4">
        <v>10.88</v>
      </c>
      <c r="M1944" s="4">
        <v>10.88</v>
      </c>
      <c r="N1944" s="4">
        <v>10.88</v>
      </c>
      <c r="O1944" s="4">
        <v>10.88</v>
      </c>
      <c r="P1944" s="4">
        <v>9</v>
      </c>
      <c r="Q1944" s="3" t="s">
        <v>26</v>
      </c>
      <c r="R1944" s="3">
        <v>0</v>
      </c>
      <c r="S1944" s="3" t="s">
        <v>496</v>
      </c>
      <c r="T1944" s="3" t="s">
        <v>737</v>
      </c>
      <c r="U1944" s="3">
        <v>0</v>
      </c>
      <c r="V1944" s="3">
        <v>45</v>
      </c>
      <c r="W1944" s="3">
        <v>85</v>
      </c>
    </row>
    <row r="1945" spans="1:23" ht="11.25" customHeight="1" x14ac:dyDescent="0.25">
      <c r="A1945" s="3" t="s">
        <v>28</v>
      </c>
      <c r="B1945" s="3" t="s">
        <v>39</v>
      </c>
      <c r="C1945" s="3" t="s">
        <v>23</v>
      </c>
      <c r="D1945" s="3" t="s">
        <v>46</v>
      </c>
      <c r="E1945" s="3" t="s">
        <v>25</v>
      </c>
      <c r="F1945" s="3" t="s">
        <v>25</v>
      </c>
      <c r="G1945" s="3" t="s">
        <v>25</v>
      </c>
      <c r="H1945" s="3" t="s">
        <v>25</v>
      </c>
      <c r="I1945" s="6">
        <v>44562</v>
      </c>
      <c r="J1945" s="4">
        <v>0</v>
      </c>
      <c r="K1945" s="4">
        <v>0</v>
      </c>
      <c r="L1945" s="4">
        <v>3.4460000000000002</v>
      </c>
      <c r="M1945" s="4">
        <v>3.4460000000000002</v>
      </c>
      <c r="N1945" s="4">
        <v>3.4460000000000002</v>
      </c>
      <c r="O1945" s="4">
        <v>3.4460000000000002</v>
      </c>
      <c r="P1945" s="4">
        <v>14</v>
      </c>
      <c r="Q1945" s="3" t="s">
        <v>26</v>
      </c>
      <c r="R1945" s="3">
        <v>0</v>
      </c>
      <c r="S1945" s="3" t="s">
        <v>496</v>
      </c>
      <c r="T1945" s="3" t="s">
        <v>737</v>
      </c>
      <c r="U1945" s="3">
        <v>0</v>
      </c>
      <c r="V1945" s="3">
        <v>45</v>
      </c>
      <c r="W1945" s="3">
        <v>85</v>
      </c>
    </row>
    <row r="1946" spans="1:23" ht="11.25" customHeight="1" x14ac:dyDescent="0.25">
      <c r="A1946" s="3" t="s">
        <v>21</v>
      </c>
      <c r="B1946" s="3" t="s">
        <v>39</v>
      </c>
      <c r="C1946" s="3" t="s">
        <v>23</v>
      </c>
      <c r="D1946" s="3" t="s">
        <v>46</v>
      </c>
      <c r="E1946" s="3" t="s">
        <v>25</v>
      </c>
      <c r="F1946" s="3" t="s">
        <v>25</v>
      </c>
      <c r="G1946" s="3" t="s">
        <v>25</v>
      </c>
      <c r="H1946" s="3" t="s">
        <v>25</v>
      </c>
      <c r="I1946" s="6">
        <v>44593</v>
      </c>
      <c r="J1946" s="4">
        <v>0</v>
      </c>
      <c r="K1946" s="4">
        <v>0</v>
      </c>
      <c r="L1946" s="4">
        <v>7409.0039999999999</v>
      </c>
      <c r="M1946" s="4">
        <v>7409.0039999999999</v>
      </c>
      <c r="N1946" s="4">
        <v>7409.0039999999999</v>
      </c>
      <c r="O1946" s="4">
        <v>7409.0039999999999</v>
      </c>
      <c r="P1946" s="4">
        <v>8677</v>
      </c>
      <c r="Q1946" s="3" t="s">
        <v>26</v>
      </c>
      <c r="R1946" s="3">
        <v>0</v>
      </c>
      <c r="S1946" s="3" t="s">
        <v>497</v>
      </c>
      <c r="T1946" s="3" t="s">
        <v>738</v>
      </c>
      <c r="U1946" s="3">
        <v>0</v>
      </c>
      <c r="V1946" s="3">
        <v>45</v>
      </c>
      <c r="W1946" s="3">
        <v>85</v>
      </c>
    </row>
    <row r="1947" spans="1:23" ht="11.25" customHeight="1" x14ac:dyDescent="0.25">
      <c r="A1947" s="3" t="s">
        <v>27</v>
      </c>
      <c r="B1947" s="3" t="s">
        <v>39</v>
      </c>
      <c r="C1947" s="3" t="s">
        <v>23</v>
      </c>
      <c r="D1947" s="3" t="s">
        <v>46</v>
      </c>
      <c r="E1947" s="3" t="s">
        <v>25</v>
      </c>
      <c r="F1947" s="3" t="s">
        <v>25</v>
      </c>
      <c r="G1947" s="3" t="s">
        <v>25</v>
      </c>
      <c r="H1947" s="3" t="s">
        <v>25</v>
      </c>
      <c r="I1947" s="6">
        <v>44593</v>
      </c>
      <c r="J1947" s="4">
        <v>0</v>
      </c>
      <c r="K1947" s="4">
        <v>0</v>
      </c>
      <c r="L1947" s="4">
        <v>6.7190000000000003</v>
      </c>
      <c r="M1947" s="4">
        <v>6.7190000000000003</v>
      </c>
      <c r="N1947" s="4">
        <v>6.7190000000000003</v>
      </c>
      <c r="O1947" s="4">
        <v>6.7190000000000003</v>
      </c>
      <c r="P1947" s="4">
        <v>9</v>
      </c>
      <c r="Q1947" s="3" t="s">
        <v>26</v>
      </c>
      <c r="R1947" s="3">
        <v>0</v>
      </c>
      <c r="S1947" s="3" t="s">
        <v>497</v>
      </c>
      <c r="T1947" s="3" t="s">
        <v>738</v>
      </c>
      <c r="U1947" s="3">
        <v>0</v>
      </c>
      <c r="V1947" s="3">
        <v>45</v>
      </c>
      <c r="W1947" s="3">
        <v>85</v>
      </c>
    </row>
    <row r="1948" spans="1:23" ht="11.25" customHeight="1" x14ac:dyDescent="0.25">
      <c r="A1948" s="3" t="s">
        <v>28</v>
      </c>
      <c r="B1948" s="3" t="s">
        <v>39</v>
      </c>
      <c r="C1948" s="3" t="s">
        <v>23</v>
      </c>
      <c r="D1948" s="3" t="s">
        <v>46</v>
      </c>
      <c r="E1948" s="3" t="s">
        <v>25</v>
      </c>
      <c r="F1948" s="3" t="s">
        <v>25</v>
      </c>
      <c r="G1948" s="3" t="s">
        <v>25</v>
      </c>
      <c r="H1948" s="3" t="s">
        <v>25</v>
      </c>
      <c r="I1948" s="6">
        <v>44593</v>
      </c>
      <c r="J1948" s="4">
        <v>0</v>
      </c>
      <c r="K1948" s="4">
        <v>0</v>
      </c>
      <c r="L1948" s="4">
        <v>3.649</v>
      </c>
      <c r="M1948" s="4">
        <v>3.649</v>
      </c>
      <c r="N1948" s="4">
        <v>3.649</v>
      </c>
      <c r="O1948" s="4">
        <v>3.649</v>
      </c>
      <c r="P1948" s="4">
        <v>14</v>
      </c>
      <c r="Q1948" s="3" t="s">
        <v>26</v>
      </c>
      <c r="R1948" s="3">
        <v>0</v>
      </c>
      <c r="S1948" s="3" t="s">
        <v>497</v>
      </c>
      <c r="T1948" s="3" t="s">
        <v>738</v>
      </c>
      <c r="U1948" s="3">
        <v>0</v>
      </c>
      <c r="V1948" s="3">
        <v>45</v>
      </c>
      <c r="W1948" s="3">
        <v>85</v>
      </c>
    </row>
    <row r="1949" spans="1:23" ht="11.25" customHeight="1" x14ac:dyDescent="0.25">
      <c r="A1949" s="3" t="s">
        <v>21</v>
      </c>
      <c r="B1949" s="3" t="s">
        <v>39</v>
      </c>
      <c r="C1949" s="3" t="s">
        <v>23</v>
      </c>
      <c r="D1949" s="3" t="s">
        <v>46</v>
      </c>
      <c r="E1949" s="3" t="s">
        <v>25</v>
      </c>
      <c r="F1949" s="3" t="s">
        <v>25</v>
      </c>
      <c r="G1949" s="3" t="s">
        <v>25</v>
      </c>
      <c r="H1949" s="3" t="s">
        <v>25</v>
      </c>
      <c r="I1949" s="6">
        <v>44621</v>
      </c>
      <c r="J1949" s="4">
        <v>0</v>
      </c>
      <c r="K1949" s="4">
        <v>0</v>
      </c>
      <c r="L1949" s="4">
        <v>8814.9629999999997</v>
      </c>
      <c r="M1949" s="4">
        <v>8814.9629999999997</v>
      </c>
      <c r="N1949" s="4">
        <v>8814.9629999999997</v>
      </c>
      <c r="O1949" s="4">
        <v>8814.9629999999997</v>
      </c>
      <c r="P1949" s="4">
        <v>8714</v>
      </c>
      <c r="Q1949" s="3" t="s">
        <v>26</v>
      </c>
      <c r="R1949" s="3">
        <v>0</v>
      </c>
      <c r="S1949" s="3" t="s">
        <v>498</v>
      </c>
      <c r="T1949" s="3" t="s">
        <v>739</v>
      </c>
      <c r="U1949" s="3">
        <v>0</v>
      </c>
      <c r="V1949" s="3">
        <v>45</v>
      </c>
      <c r="W1949" s="3">
        <v>85</v>
      </c>
    </row>
    <row r="1950" spans="1:23" ht="11.25" customHeight="1" x14ac:dyDescent="0.25">
      <c r="A1950" s="3" t="s">
        <v>27</v>
      </c>
      <c r="B1950" s="3" t="s">
        <v>39</v>
      </c>
      <c r="C1950" s="3" t="s">
        <v>23</v>
      </c>
      <c r="D1950" s="3" t="s">
        <v>46</v>
      </c>
      <c r="E1950" s="3" t="s">
        <v>25</v>
      </c>
      <c r="F1950" s="3" t="s">
        <v>25</v>
      </c>
      <c r="G1950" s="3" t="s">
        <v>25</v>
      </c>
      <c r="H1950" s="3" t="s">
        <v>25</v>
      </c>
      <c r="I1950" s="6">
        <v>44621</v>
      </c>
      <c r="J1950" s="4">
        <v>0</v>
      </c>
      <c r="K1950" s="4">
        <v>0</v>
      </c>
      <c r="L1950" s="4">
        <v>-479.51600000000002</v>
      </c>
      <c r="M1950" s="4">
        <v>-479.51600000000002</v>
      </c>
      <c r="N1950" s="4">
        <v>-479.51600000000002</v>
      </c>
      <c r="O1950" s="4">
        <v>-479.51600000000002</v>
      </c>
      <c r="P1950" s="4">
        <v>7</v>
      </c>
      <c r="Q1950" s="3" t="s">
        <v>26</v>
      </c>
      <c r="R1950" s="3">
        <v>0</v>
      </c>
      <c r="S1950" s="3" t="s">
        <v>498</v>
      </c>
      <c r="T1950" s="3" t="s">
        <v>739</v>
      </c>
      <c r="U1950" s="3">
        <v>0</v>
      </c>
      <c r="V1950" s="3">
        <v>45</v>
      </c>
      <c r="W1950" s="3">
        <v>85</v>
      </c>
    </row>
    <row r="1951" spans="1:23" ht="11.25" customHeight="1" x14ac:dyDescent="0.25">
      <c r="A1951" s="3" t="s">
        <v>28</v>
      </c>
      <c r="B1951" s="3" t="s">
        <v>39</v>
      </c>
      <c r="C1951" s="3" t="s">
        <v>23</v>
      </c>
      <c r="D1951" s="3" t="s">
        <v>46</v>
      </c>
      <c r="E1951" s="3" t="s">
        <v>25</v>
      </c>
      <c r="F1951" s="3" t="s">
        <v>25</v>
      </c>
      <c r="G1951" s="3" t="s">
        <v>25</v>
      </c>
      <c r="H1951" s="3" t="s">
        <v>25</v>
      </c>
      <c r="I1951" s="6">
        <v>44621</v>
      </c>
      <c r="J1951" s="4">
        <v>0</v>
      </c>
      <c r="K1951" s="4">
        <v>0</v>
      </c>
      <c r="L1951" s="4">
        <v>4.0510000000000002</v>
      </c>
      <c r="M1951" s="4">
        <v>4.0510000000000002</v>
      </c>
      <c r="N1951" s="4">
        <v>4.0510000000000002</v>
      </c>
      <c r="O1951" s="4">
        <v>4.0510000000000002</v>
      </c>
      <c r="P1951" s="4">
        <v>14</v>
      </c>
      <c r="Q1951" s="3" t="s">
        <v>26</v>
      </c>
      <c r="R1951" s="3">
        <v>0</v>
      </c>
      <c r="S1951" s="3" t="s">
        <v>498</v>
      </c>
      <c r="T1951" s="3" t="s">
        <v>739</v>
      </c>
      <c r="U1951" s="3">
        <v>0</v>
      </c>
      <c r="V1951" s="3">
        <v>45</v>
      </c>
      <c r="W1951" s="3">
        <v>85</v>
      </c>
    </row>
    <row r="1952" spans="1:23" ht="11.25" customHeight="1" x14ac:dyDescent="0.25">
      <c r="A1952" s="3" t="s">
        <v>56</v>
      </c>
      <c r="B1952" s="3" t="s">
        <v>39</v>
      </c>
      <c r="C1952" s="3" t="s">
        <v>23</v>
      </c>
      <c r="D1952" s="3" t="s">
        <v>46</v>
      </c>
      <c r="E1952" s="3" t="s">
        <v>25</v>
      </c>
      <c r="F1952" s="3" t="s">
        <v>25</v>
      </c>
      <c r="G1952" s="3" t="s">
        <v>25</v>
      </c>
      <c r="H1952" s="3" t="s">
        <v>25</v>
      </c>
      <c r="I1952" s="6">
        <v>44652</v>
      </c>
      <c r="J1952" s="4">
        <v>0</v>
      </c>
      <c r="K1952" s="4">
        <v>0</v>
      </c>
      <c r="L1952" s="4">
        <v>8814.9629999999997</v>
      </c>
      <c r="M1952" s="4">
        <v>8814.9629999999997</v>
      </c>
      <c r="N1952" s="4">
        <v>8814.9629999999997</v>
      </c>
      <c r="O1952" s="4">
        <v>8814.9629999999997</v>
      </c>
      <c r="P1952" s="4">
        <v>8714</v>
      </c>
      <c r="Q1952" s="3" t="s">
        <v>26</v>
      </c>
      <c r="R1952" s="3">
        <v>0</v>
      </c>
      <c r="S1952" s="3" t="s">
        <v>499</v>
      </c>
      <c r="T1952" s="3" t="s">
        <v>740</v>
      </c>
      <c r="U1952" s="3">
        <v>0</v>
      </c>
      <c r="V1952" s="3">
        <v>45</v>
      </c>
      <c r="W1952" s="3">
        <v>85</v>
      </c>
    </row>
    <row r="1953" spans="1:23" ht="11.25" customHeight="1" x14ac:dyDescent="0.25">
      <c r="A1953" s="3" t="s">
        <v>56</v>
      </c>
      <c r="B1953" s="3" t="s">
        <v>39</v>
      </c>
      <c r="C1953" s="3" t="s">
        <v>23</v>
      </c>
      <c r="D1953" s="3" t="s">
        <v>46</v>
      </c>
      <c r="E1953" s="3" t="s">
        <v>25</v>
      </c>
      <c r="F1953" s="3" t="s">
        <v>25</v>
      </c>
      <c r="G1953" s="3" t="s">
        <v>25</v>
      </c>
      <c r="H1953" s="3" t="s">
        <v>25</v>
      </c>
      <c r="I1953" s="6">
        <v>44652</v>
      </c>
      <c r="J1953" s="4">
        <v>0</v>
      </c>
      <c r="K1953" s="4">
        <v>0</v>
      </c>
      <c r="L1953" s="4">
        <v>-479.51600000000002</v>
      </c>
      <c r="M1953" s="4">
        <v>-479.51600000000002</v>
      </c>
      <c r="N1953" s="4">
        <v>-479.51600000000002</v>
      </c>
      <c r="O1953" s="4">
        <v>-479.51600000000002</v>
      </c>
      <c r="P1953" s="4">
        <v>7</v>
      </c>
      <c r="Q1953" s="3" t="s">
        <v>26</v>
      </c>
      <c r="R1953" s="3">
        <v>0</v>
      </c>
      <c r="S1953" s="3" t="s">
        <v>499</v>
      </c>
      <c r="T1953" s="3" t="s">
        <v>740</v>
      </c>
      <c r="U1953" s="3">
        <v>0</v>
      </c>
      <c r="V1953" s="3">
        <v>45</v>
      </c>
      <c r="W1953" s="3">
        <v>85</v>
      </c>
    </row>
    <row r="1954" spans="1:23" ht="11.25" customHeight="1" x14ac:dyDescent="0.25">
      <c r="A1954" s="3" t="s">
        <v>56</v>
      </c>
      <c r="B1954" s="3" t="s">
        <v>39</v>
      </c>
      <c r="C1954" s="3" t="s">
        <v>23</v>
      </c>
      <c r="D1954" s="3" t="s">
        <v>46</v>
      </c>
      <c r="E1954" s="3" t="s">
        <v>25</v>
      </c>
      <c r="F1954" s="3" t="s">
        <v>25</v>
      </c>
      <c r="G1954" s="3" t="s">
        <v>25</v>
      </c>
      <c r="H1954" s="3" t="s">
        <v>25</v>
      </c>
      <c r="I1954" s="6">
        <v>44652</v>
      </c>
      <c r="J1954" s="4">
        <v>0</v>
      </c>
      <c r="K1954" s="4">
        <v>0</v>
      </c>
      <c r="L1954" s="4">
        <v>4.0510000000000002</v>
      </c>
      <c r="M1954" s="4">
        <v>4.0510000000000002</v>
      </c>
      <c r="N1954" s="4">
        <v>4.0510000000000002</v>
      </c>
      <c r="O1954" s="4">
        <v>4.0510000000000002</v>
      </c>
      <c r="P1954" s="4">
        <v>14</v>
      </c>
      <c r="Q1954" s="3" t="s">
        <v>26</v>
      </c>
      <c r="R1954" s="3">
        <v>0</v>
      </c>
      <c r="S1954" s="3" t="s">
        <v>499</v>
      </c>
      <c r="T1954" s="3" t="s">
        <v>740</v>
      </c>
      <c r="U1954" s="3">
        <v>0</v>
      </c>
      <c r="V1954" s="3">
        <v>45</v>
      </c>
      <c r="W1954" s="3">
        <v>85</v>
      </c>
    </row>
    <row r="1955" spans="1:23" ht="11.25" customHeight="1" x14ac:dyDescent="0.25">
      <c r="A1955" s="3" t="s">
        <v>21</v>
      </c>
      <c r="B1955" s="3" t="s">
        <v>39</v>
      </c>
      <c r="C1955" s="3" t="s">
        <v>23</v>
      </c>
      <c r="D1955" s="3" t="s">
        <v>50</v>
      </c>
      <c r="E1955" s="3" t="s">
        <v>51</v>
      </c>
      <c r="F1955" s="3" t="s">
        <v>25</v>
      </c>
      <c r="G1955" s="3" t="s">
        <v>25</v>
      </c>
      <c r="H1955" s="3" t="s">
        <v>25</v>
      </c>
      <c r="I1955" s="6">
        <v>44317</v>
      </c>
      <c r="J1955" s="4">
        <v>0</v>
      </c>
      <c r="K1955" s="4">
        <v>0</v>
      </c>
      <c r="L1955" s="4">
        <v>3092.855</v>
      </c>
      <c r="M1955" s="4">
        <v>2907.2837</v>
      </c>
      <c r="N1955" s="4">
        <v>3092.855</v>
      </c>
      <c r="O1955" s="4">
        <v>2907.2837</v>
      </c>
      <c r="P1955" s="4">
        <v>1547</v>
      </c>
      <c r="Q1955" s="3" t="s">
        <v>26</v>
      </c>
      <c r="R1955" s="3">
        <v>0</v>
      </c>
      <c r="S1955" s="3" t="s">
        <v>488</v>
      </c>
      <c r="T1955" s="3" t="s">
        <v>729</v>
      </c>
      <c r="U1955" s="3">
        <v>0</v>
      </c>
      <c r="V1955" s="3">
        <v>45</v>
      </c>
      <c r="W1955" s="3">
        <v>85</v>
      </c>
    </row>
    <row r="1956" spans="1:23" ht="11.25" customHeight="1" x14ac:dyDescent="0.25">
      <c r="A1956" s="3" t="s">
        <v>27</v>
      </c>
      <c r="B1956" s="3" t="s">
        <v>39</v>
      </c>
      <c r="C1956" s="3" t="s">
        <v>23</v>
      </c>
      <c r="D1956" s="3" t="s">
        <v>50</v>
      </c>
      <c r="E1956" s="3" t="s">
        <v>51</v>
      </c>
      <c r="F1956" s="3" t="s">
        <v>25</v>
      </c>
      <c r="G1956" s="3" t="s">
        <v>25</v>
      </c>
      <c r="H1956" s="3" t="s">
        <v>25</v>
      </c>
      <c r="I1956" s="6">
        <v>44317</v>
      </c>
      <c r="J1956" s="4">
        <v>0</v>
      </c>
      <c r="K1956" s="4">
        <v>0</v>
      </c>
      <c r="L1956" s="4">
        <v>6.59</v>
      </c>
      <c r="M1956" s="4">
        <v>6.1946000000000003</v>
      </c>
      <c r="N1956" s="4">
        <v>6.59</v>
      </c>
      <c r="O1956" s="4">
        <v>6.1946000000000003</v>
      </c>
      <c r="P1956" s="4">
        <v>1</v>
      </c>
      <c r="Q1956" s="3" t="s">
        <v>26</v>
      </c>
      <c r="R1956" s="3">
        <v>0</v>
      </c>
      <c r="S1956" s="3" t="s">
        <v>488</v>
      </c>
      <c r="T1956" s="3" t="s">
        <v>729</v>
      </c>
      <c r="U1956" s="3">
        <v>0</v>
      </c>
      <c r="V1956" s="3">
        <v>45</v>
      </c>
      <c r="W1956" s="3">
        <v>85</v>
      </c>
    </row>
    <row r="1957" spans="1:23" ht="11.25" customHeight="1" x14ac:dyDescent="0.25">
      <c r="A1957" s="3" t="s">
        <v>21</v>
      </c>
      <c r="B1957" s="3" t="s">
        <v>39</v>
      </c>
      <c r="C1957" s="3" t="s">
        <v>23</v>
      </c>
      <c r="D1957" s="3" t="s">
        <v>50</v>
      </c>
      <c r="E1957" s="3" t="s">
        <v>51</v>
      </c>
      <c r="F1957" s="3" t="s">
        <v>25</v>
      </c>
      <c r="G1957" s="3" t="s">
        <v>25</v>
      </c>
      <c r="H1957" s="3" t="s">
        <v>25</v>
      </c>
      <c r="I1957" s="6">
        <v>44348</v>
      </c>
      <c r="J1957" s="4">
        <v>0</v>
      </c>
      <c r="K1957" s="4">
        <v>0</v>
      </c>
      <c r="L1957" s="4">
        <v>3094.5010000000002</v>
      </c>
      <c r="M1957" s="4">
        <v>2908.8309399999998</v>
      </c>
      <c r="N1957" s="4">
        <v>3094.5010000000002</v>
      </c>
      <c r="O1957" s="4">
        <v>2908.8309399999998</v>
      </c>
      <c r="P1957" s="4">
        <v>1570</v>
      </c>
      <c r="Q1957" s="3" t="s">
        <v>26</v>
      </c>
      <c r="R1957" s="3">
        <v>0</v>
      </c>
      <c r="S1957" s="3" t="s">
        <v>489</v>
      </c>
      <c r="T1957" s="3" t="s">
        <v>730</v>
      </c>
      <c r="U1957" s="3">
        <v>0</v>
      </c>
      <c r="V1957" s="3">
        <v>45</v>
      </c>
      <c r="W1957" s="3">
        <v>85</v>
      </c>
    </row>
    <row r="1958" spans="1:23" ht="11.25" customHeight="1" x14ac:dyDescent="0.25">
      <c r="A1958" s="3" t="s">
        <v>27</v>
      </c>
      <c r="B1958" s="3" t="s">
        <v>39</v>
      </c>
      <c r="C1958" s="3" t="s">
        <v>23</v>
      </c>
      <c r="D1958" s="3" t="s">
        <v>50</v>
      </c>
      <c r="E1958" s="3" t="s">
        <v>51</v>
      </c>
      <c r="F1958" s="3" t="s">
        <v>25</v>
      </c>
      <c r="G1958" s="3" t="s">
        <v>25</v>
      </c>
      <c r="H1958" s="3" t="s">
        <v>25</v>
      </c>
      <c r="I1958" s="6">
        <v>44348</v>
      </c>
      <c r="J1958" s="4">
        <v>0</v>
      </c>
      <c r="K1958" s="4">
        <v>0</v>
      </c>
      <c r="L1958" s="4">
        <v>-2.7E-2</v>
      </c>
      <c r="M1958" s="4">
        <v>-2.538E-2</v>
      </c>
      <c r="N1958" s="4">
        <v>-2.7E-2</v>
      </c>
      <c r="O1958" s="4">
        <v>-2.538E-2</v>
      </c>
      <c r="P1958" s="4">
        <v>0</v>
      </c>
      <c r="Q1958" s="3" t="s">
        <v>26</v>
      </c>
      <c r="R1958" s="3">
        <v>0</v>
      </c>
      <c r="S1958" s="3" t="s">
        <v>489</v>
      </c>
      <c r="T1958" s="3" t="s">
        <v>730</v>
      </c>
      <c r="U1958" s="3">
        <v>0</v>
      </c>
      <c r="V1958" s="3">
        <v>45</v>
      </c>
      <c r="W1958" s="3">
        <v>85</v>
      </c>
    </row>
    <row r="1959" spans="1:23" ht="11.25" customHeight="1" x14ac:dyDescent="0.25">
      <c r="A1959" s="3" t="s">
        <v>21</v>
      </c>
      <c r="B1959" s="3" t="s">
        <v>39</v>
      </c>
      <c r="C1959" s="3" t="s">
        <v>23</v>
      </c>
      <c r="D1959" s="3" t="s">
        <v>50</v>
      </c>
      <c r="E1959" s="3" t="s">
        <v>51</v>
      </c>
      <c r="F1959" s="3" t="s">
        <v>25</v>
      </c>
      <c r="G1959" s="3" t="s">
        <v>25</v>
      </c>
      <c r="H1959" s="3" t="s">
        <v>25</v>
      </c>
      <c r="I1959" s="6">
        <v>44378</v>
      </c>
      <c r="J1959" s="4">
        <v>0</v>
      </c>
      <c r="K1959" s="4">
        <v>0</v>
      </c>
      <c r="L1959" s="4">
        <v>2929.2640000000001</v>
      </c>
      <c r="M1959" s="4">
        <v>2753.5081599999999</v>
      </c>
      <c r="N1959" s="4">
        <v>2929.2640000000001</v>
      </c>
      <c r="O1959" s="4">
        <v>2753.5081599999999</v>
      </c>
      <c r="P1959" s="4">
        <v>1550</v>
      </c>
      <c r="Q1959" s="3" t="s">
        <v>26</v>
      </c>
      <c r="R1959" s="3">
        <v>0</v>
      </c>
      <c r="S1959" s="3" t="s">
        <v>490</v>
      </c>
      <c r="T1959" s="3" t="s">
        <v>731</v>
      </c>
      <c r="U1959" s="3">
        <v>0</v>
      </c>
      <c r="V1959" s="3">
        <v>45</v>
      </c>
      <c r="W1959" s="3">
        <v>85</v>
      </c>
    </row>
    <row r="1960" spans="1:23" ht="11.25" customHeight="1" x14ac:dyDescent="0.25">
      <c r="A1960" s="3" t="s">
        <v>27</v>
      </c>
      <c r="B1960" s="3" t="s">
        <v>39</v>
      </c>
      <c r="C1960" s="3" t="s">
        <v>23</v>
      </c>
      <c r="D1960" s="3" t="s">
        <v>50</v>
      </c>
      <c r="E1960" s="3" t="s">
        <v>51</v>
      </c>
      <c r="F1960" s="3" t="s">
        <v>25</v>
      </c>
      <c r="G1960" s="3" t="s">
        <v>25</v>
      </c>
      <c r="H1960" s="3" t="s">
        <v>25</v>
      </c>
      <c r="I1960" s="6">
        <v>44378</v>
      </c>
      <c r="J1960" s="4">
        <v>0</v>
      </c>
      <c r="K1960" s="4">
        <v>0</v>
      </c>
      <c r="L1960" s="4">
        <v>-6.7169999999999996</v>
      </c>
      <c r="M1960" s="4">
        <v>-6.3139799999999999</v>
      </c>
      <c r="N1960" s="4">
        <v>-6.7169999999999996</v>
      </c>
      <c r="O1960" s="4">
        <v>-6.3139799999999999</v>
      </c>
      <c r="P1960" s="4">
        <v>2</v>
      </c>
      <c r="Q1960" s="3" t="s">
        <v>26</v>
      </c>
      <c r="R1960" s="3">
        <v>0</v>
      </c>
      <c r="S1960" s="3" t="s">
        <v>490</v>
      </c>
      <c r="T1960" s="3" t="s">
        <v>731</v>
      </c>
      <c r="U1960" s="3">
        <v>0</v>
      </c>
      <c r="V1960" s="3">
        <v>45</v>
      </c>
      <c r="W1960" s="3">
        <v>85</v>
      </c>
    </row>
    <row r="1961" spans="1:23" ht="11.25" customHeight="1" x14ac:dyDescent="0.25">
      <c r="A1961" s="3" t="s">
        <v>21</v>
      </c>
      <c r="B1961" s="3" t="s">
        <v>39</v>
      </c>
      <c r="C1961" s="3" t="s">
        <v>23</v>
      </c>
      <c r="D1961" s="3" t="s">
        <v>50</v>
      </c>
      <c r="E1961" s="3" t="s">
        <v>51</v>
      </c>
      <c r="F1961" s="3" t="s">
        <v>25</v>
      </c>
      <c r="G1961" s="3" t="s">
        <v>25</v>
      </c>
      <c r="H1961" s="3" t="s">
        <v>25</v>
      </c>
      <c r="I1961" s="6">
        <v>44409</v>
      </c>
      <c r="J1961" s="4">
        <v>0</v>
      </c>
      <c r="K1961" s="4">
        <v>0</v>
      </c>
      <c r="L1961" s="4">
        <v>2958.587</v>
      </c>
      <c r="M1961" s="4">
        <v>2781.0717800000002</v>
      </c>
      <c r="N1961" s="4">
        <v>2958.587</v>
      </c>
      <c r="O1961" s="4">
        <v>2781.0717800000002</v>
      </c>
      <c r="P1961" s="4">
        <v>1556</v>
      </c>
      <c r="Q1961" s="3" t="s">
        <v>26</v>
      </c>
      <c r="R1961" s="3">
        <v>0</v>
      </c>
      <c r="S1961" s="3" t="s">
        <v>491</v>
      </c>
      <c r="T1961" s="3" t="s">
        <v>732</v>
      </c>
      <c r="U1961" s="3">
        <v>0</v>
      </c>
      <c r="V1961" s="3">
        <v>45</v>
      </c>
      <c r="W1961" s="3">
        <v>85</v>
      </c>
    </row>
    <row r="1962" spans="1:23" ht="11.25" customHeight="1" x14ac:dyDescent="0.25">
      <c r="A1962" s="3" t="s">
        <v>27</v>
      </c>
      <c r="B1962" s="3" t="s">
        <v>39</v>
      </c>
      <c r="C1962" s="3" t="s">
        <v>23</v>
      </c>
      <c r="D1962" s="3" t="s">
        <v>50</v>
      </c>
      <c r="E1962" s="3" t="s">
        <v>51</v>
      </c>
      <c r="F1962" s="3" t="s">
        <v>25</v>
      </c>
      <c r="G1962" s="3" t="s">
        <v>25</v>
      </c>
      <c r="H1962" s="3" t="s">
        <v>25</v>
      </c>
      <c r="I1962" s="6">
        <v>44409</v>
      </c>
      <c r="J1962" s="4">
        <v>0</v>
      </c>
      <c r="K1962" s="4">
        <v>0</v>
      </c>
      <c r="L1962" s="4">
        <v>2.613</v>
      </c>
      <c r="M1962" s="4">
        <v>2.4562200000000001</v>
      </c>
      <c r="N1962" s="4">
        <v>2.613</v>
      </c>
      <c r="O1962" s="4">
        <v>2.4562200000000001</v>
      </c>
      <c r="P1962" s="4">
        <v>0</v>
      </c>
      <c r="Q1962" s="3" t="s">
        <v>26</v>
      </c>
      <c r="R1962" s="3">
        <v>0</v>
      </c>
      <c r="S1962" s="3" t="s">
        <v>491</v>
      </c>
      <c r="T1962" s="3" t="s">
        <v>732</v>
      </c>
      <c r="U1962" s="3">
        <v>0</v>
      </c>
      <c r="V1962" s="3">
        <v>45</v>
      </c>
      <c r="W1962" s="3">
        <v>85</v>
      </c>
    </row>
    <row r="1963" spans="1:23" ht="11.25" customHeight="1" x14ac:dyDescent="0.25">
      <c r="A1963" s="3" t="s">
        <v>28</v>
      </c>
      <c r="B1963" s="3" t="s">
        <v>39</v>
      </c>
      <c r="C1963" s="3" t="s">
        <v>23</v>
      </c>
      <c r="D1963" s="3" t="s">
        <v>50</v>
      </c>
      <c r="E1963" s="3" t="s">
        <v>51</v>
      </c>
      <c r="F1963" s="3" t="s">
        <v>25</v>
      </c>
      <c r="G1963" s="3" t="s">
        <v>25</v>
      </c>
      <c r="H1963" s="3" t="s">
        <v>25</v>
      </c>
      <c r="I1963" s="6">
        <v>44409</v>
      </c>
      <c r="J1963" s="4">
        <v>0</v>
      </c>
      <c r="K1963" s="4">
        <v>0</v>
      </c>
      <c r="L1963" s="4">
        <v>13.978</v>
      </c>
      <c r="M1963" s="4">
        <v>13.13932</v>
      </c>
      <c r="N1963" s="4">
        <v>13.978</v>
      </c>
      <c r="O1963" s="4">
        <v>13.13932</v>
      </c>
      <c r="P1963" s="4">
        <v>5</v>
      </c>
      <c r="Q1963" s="3" t="s">
        <v>26</v>
      </c>
      <c r="R1963" s="3">
        <v>0</v>
      </c>
      <c r="S1963" s="3" t="s">
        <v>491</v>
      </c>
      <c r="T1963" s="3" t="s">
        <v>732</v>
      </c>
      <c r="U1963" s="3">
        <v>0</v>
      </c>
      <c r="V1963" s="3">
        <v>45</v>
      </c>
      <c r="W1963" s="3">
        <v>85</v>
      </c>
    </row>
    <row r="1964" spans="1:23" ht="11.25" customHeight="1" x14ac:dyDescent="0.25">
      <c r="A1964" s="3" t="s">
        <v>21</v>
      </c>
      <c r="B1964" s="3" t="s">
        <v>39</v>
      </c>
      <c r="C1964" s="3" t="s">
        <v>23</v>
      </c>
      <c r="D1964" s="3" t="s">
        <v>50</v>
      </c>
      <c r="E1964" s="3" t="s">
        <v>51</v>
      </c>
      <c r="F1964" s="3" t="s">
        <v>25</v>
      </c>
      <c r="G1964" s="3" t="s">
        <v>25</v>
      </c>
      <c r="H1964" s="3" t="s">
        <v>25</v>
      </c>
      <c r="I1964" s="6">
        <v>44440</v>
      </c>
      <c r="J1964" s="4">
        <v>0</v>
      </c>
      <c r="K1964" s="4">
        <v>0</v>
      </c>
      <c r="L1964" s="4">
        <v>2312.0279999999998</v>
      </c>
      <c r="M1964" s="4">
        <v>2173.3063200000001</v>
      </c>
      <c r="N1964" s="4">
        <v>2312.0279999999998</v>
      </c>
      <c r="O1964" s="4">
        <v>2173.3063200000001</v>
      </c>
      <c r="P1964" s="4">
        <v>1408</v>
      </c>
      <c r="Q1964" s="3" t="s">
        <v>26</v>
      </c>
      <c r="R1964" s="3">
        <v>0</v>
      </c>
      <c r="S1964" s="3" t="s">
        <v>492</v>
      </c>
      <c r="T1964" s="3" t="s">
        <v>733</v>
      </c>
      <c r="U1964" s="3">
        <v>0</v>
      </c>
      <c r="V1964" s="3">
        <v>45</v>
      </c>
      <c r="W1964" s="3">
        <v>85</v>
      </c>
    </row>
    <row r="1965" spans="1:23" ht="11.25" customHeight="1" x14ac:dyDescent="0.25">
      <c r="A1965" s="3" t="s">
        <v>28</v>
      </c>
      <c r="B1965" s="3" t="s">
        <v>39</v>
      </c>
      <c r="C1965" s="3" t="s">
        <v>23</v>
      </c>
      <c r="D1965" s="3" t="s">
        <v>50</v>
      </c>
      <c r="E1965" s="3" t="s">
        <v>51</v>
      </c>
      <c r="F1965" s="3" t="s">
        <v>25</v>
      </c>
      <c r="G1965" s="3" t="s">
        <v>25</v>
      </c>
      <c r="H1965" s="3" t="s">
        <v>25</v>
      </c>
      <c r="I1965" s="6">
        <v>44440</v>
      </c>
      <c r="J1965" s="4">
        <v>0</v>
      </c>
      <c r="K1965" s="4">
        <v>0</v>
      </c>
      <c r="L1965" s="4">
        <v>373.048</v>
      </c>
      <c r="M1965" s="4">
        <v>350.66512</v>
      </c>
      <c r="N1965" s="4">
        <v>373.048</v>
      </c>
      <c r="O1965" s="4">
        <v>350.66512</v>
      </c>
      <c r="P1965" s="4">
        <v>134</v>
      </c>
      <c r="Q1965" s="3" t="s">
        <v>26</v>
      </c>
      <c r="R1965" s="3">
        <v>0</v>
      </c>
      <c r="S1965" s="3" t="s">
        <v>492</v>
      </c>
      <c r="T1965" s="3" t="s">
        <v>733</v>
      </c>
      <c r="U1965" s="3">
        <v>0</v>
      </c>
      <c r="V1965" s="3">
        <v>45</v>
      </c>
      <c r="W1965" s="3">
        <v>85</v>
      </c>
    </row>
    <row r="1966" spans="1:23" ht="11.25" customHeight="1" x14ac:dyDescent="0.25">
      <c r="A1966" s="3" t="s">
        <v>21</v>
      </c>
      <c r="B1966" s="3" t="s">
        <v>39</v>
      </c>
      <c r="C1966" s="3" t="s">
        <v>23</v>
      </c>
      <c r="D1966" s="3" t="s">
        <v>50</v>
      </c>
      <c r="E1966" s="3" t="s">
        <v>51</v>
      </c>
      <c r="F1966" s="3" t="s">
        <v>25</v>
      </c>
      <c r="G1966" s="3" t="s">
        <v>25</v>
      </c>
      <c r="H1966" s="3" t="s">
        <v>25</v>
      </c>
      <c r="I1966" s="6">
        <v>44470</v>
      </c>
      <c r="J1966" s="4">
        <v>0</v>
      </c>
      <c r="K1966" s="4">
        <v>0</v>
      </c>
      <c r="L1966" s="4">
        <v>2505.9850000000001</v>
      </c>
      <c r="M1966" s="4">
        <v>2355.6259</v>
      </c>
      <c r="N1966" s="4">
        <v>2505.9850000000001</v>
      </c>
      <c r="O1966" s="4">
        <v>2355.6259</v>
      </c>
      <c r="P1966" s="4">
        <v>1402</v>
      </c>
      <c r="Q1966" s="3" t="s">
        <v>26</v>
      </c>
      <c r="R1966" s="3">
        <v>0</v>
      </c>
      <c r="S1966" s="3" t="s">
        <v>493</v>
      </c>
      <c r="T1966" s="3" t="s">
        <v>734</v>
      </c>
      <c r="U1966" s="3">
        <v>0</v>
      </c>
      <c r="V1966" s="3">
        <v>45</v>
      </c>
      <c r="W1966" s="3">
        <v>85</v>
      </c>
    </row>
    <row r="1967" spans="1:23" ht="11.25" customHeight="1" x14ac:dyDescent="0.25">
      <c r="A1967" s="3" t="s">
        <v>28</v>
      </c>
      <c r="B1967" s="3" t="s">
        <v>39</v>
      </c>
      <c r="C1967" s="3" t="s">
        <v>23</v>
      </c>
      <c r="D1967" s="3" t="s">
        <v>50</v>
      </c>
      <c r="E1967" s="3" t="s">
        <v>51</v>
      </c>
      <c r="F1967" s="3" t="s">
        <v>25</v>
      </c>
      <c r="G1967" s="3" t="s">
        <v>25</v>
      </c>
      <c r="H1967" s="3" t="s">
        <v>25</v>
      </c>
      <c r="I1967" s="6">
        <v>44470</v>
      </c>
      <c r="J1967" s="4">
        <v>0</v>
      </c>
      <c r="K1967" s="4">
        <v>0</v>
      </c>
      <c r="L1967" s="4">
        <v>196.49299999999999</v>
      </c>
      <c r="M1967" s="4">
        <v>184.70341999999999</v>
      </c>
      <c r="N1967" s="4">
        <v>196.49299999999999</v>
      </c>
      <c r="O1967" s="4">
        <v>184.70341999999999</v>
      </c>
      <c r="P1967" s="4">
        <v>173</v>
      </c>
      <c r="Q1967" s="3" t="s">
        <v>26</v>
      </c>
      <c r="R1967" s="3">
        <v>0</v>
      </c>
      <c r="S1967" s="3" t="s">
        <v>493</v>
      </c>
      <c r="T1967" s="3" t="s">
        <v>734</v>
      </c>
      <c r="U1967" s="3">
        <v>0</v>
      </c>
      <c r="V1967" s="3">
        <v>45</v>
      </c>
      <c r="W1967" s="3">
        <v>85</v>
      </c>
    </row>
    <row r="1968" spans="1:23" ht="11.25" customHeight="1" x14ac:dyDescent="0.25">
      <c r="A1968" s="3" t="s">
        <v>28</v>
      </c>
      <c r="B1968" s="3" t="s">
        <v>39</v>
      </c>
      <c r="C1968" s="3" t="s">
        <v>23</v>
      </c>
      <c r="D1968" s="3" t="s">
        <v>50</v>
      </c>
      <c r="E1968" s="3" t="s">
        <v>51</v>
      </c>
      <c r="F1968" s="3" t="s">
        <v>25</v>
      </c>
      <c r="G1968" s="3" t="s">
        <v>25</v>
      </c>
      <c r="H1968" s="3" t="s">
        <v>25</v>
      </c>
      <c r="I1968" s="6">
        <v>44470</v>
      </c>
      <c r="J1968" s="4">
        <v>0</v>
      </c>
      <c r="K1968" s="4">
        <v>0</v>
      </c>
      <c r="L1968" s="4">
        <v>2.5070000000000001</v>
      </c>
      <c r="M1968" s="4">
        <v>2.3565800000000001</v>
      </c>
      <c r="N1968" s="4">
        <v>2.5070000000000001</v>
      </c>
      <c r="O1968" s="4">
        <v>2.3565800000000001</v>
      </c>
      <c r="P1968" s="4">
        <v>0</v>
      </c>
      <c r="Q1968" s="3" t="s">
        <v>26</v>
      </c>
      <c r="R1968" s="3">
        <v>0</v>
      </c>
      <c r="S1968" s="3" t="s">
        <v>493</v>
      </c>
      <c r="T1968" s="3" t="s">
        <v>734</v>
      </c>
      <c r="U1968" s="3">
        <v>0</v>
      </c>
      <c r="V1968" s="3">
        <v>45</v>
      </c>
      <c r="W1968" s="3">
        <v>85</v>
      </c>
    </row>
    <row r="1969" spans="1:23" ht="11.25" customHeight="1" x14ac:dyDescent="0.25">
      <c r="A1969" s="3" t="s">
        <v>21</v>
      </c>
      <c r="B1969" s="3" t="s">
        <v>39</v>
      </c>
      <c r="C1969" s="3" t="s">
        <v>23</v>
      </c>
      <c r="D1969" s="3" t="s">
        <v>50</v>
      </c>
      <c r="E1969" s="3" t="s">
        <v>51</v>
      </c>
      <c r="F1969" s="3" t="s">
        <v>25</v>
      </c>
      <c r="G1969" s="3" t="s">
        <v>25</v>
      </c>
      <c r="H1969" s="3" t="s">
        <v>25</v>
      </c>
      <c r="I1969" s="6">
        <v>44501</v>
      </c>
      <c r="J1969" s="4">
        <v>0</v>
      </c>
      <c r="K1969" s="4">
        <v>0</v>
      </c>
      <c r="L1969" s="4">
        <v>2475.7399999999998</v>
      </c>
      <c r="M1969" s="4">
        <v>2327.1956</v>
      </c>
      <c r="N1969" s="4">
        <v>2475.7399999999998</v>
      </c>
      <c r="O1969" s="4">
        <v>2327.1956</v>
      </c>
      <c r="P1969" s="4">
        <v>1419</v>
      </c>
      <c r="Q1969" s="3" t="s">
        <v>26</v>
      </c>
      <c r="R1969" s="3">
        <v>0</v>
      </c>
      <c r="S1969" s="3" t="s">
        <v>494</v>
      </c>
      <c r="T1969" s="3" t="s">
        <v>735</v>
      </c>
      <c r="U1969" s="3">
        <v>0</v>
      </c>
      <c r="V1969" s="3">
        <v>45</v>
      </c>
      <c r="W1969" s="3">
        <v>85</v>
      </c>
    </row>
    <row r="1970" spans="1:23" ht="11.25" customHeight="1" x14ac:dyDescent="0.25">
      <c r="A1970" s="3" t="s">
        <v>28</v>
      </c>
      <c r="B1970" s="3" t="s">
        <v>39</v>
      </c>
      <c r="C1970" s="3" t="s">
        <v>23</v>
      </c>
      <c r="D1970" s="3" t="s">
        <v>50</v>
      </c>
      <c r="E1970" s="3" t="s">
        <v>51</v>
      </c>
      <c r="F1970" s="3" t="s">
        <v>25</v>
      </c>
      <c r="G1970" s="3" t="s">
        <v>25</v>
      </c>
      <c r="H1970" s="3" t="s">
        <v>25</v>
      </c>
      <c r="I1970" s="6">
        <v>44501</v>
      </c>
      <c r="J1970" s="4">
        <v>0</v>
      </c>
      <c r="K1970" s="4">
        <v>0</v>
      </c>
      <c r="L1970" s="4">
        <v>85.683000000000007</v>
      </c>
      <c r="M1970" s="4">
        <v>80.542019999999994</v>
      </c>
      <c r="N1970" s="4">
        <v>85.683000000000007</v>
      </c>
      <c r="O1970" s="4">
        <v>80.542019999999994</v>
      </c>
      <c r="P1970" s="4">
        <v>178</v>
      </c>
      <c r="Q1970" s="3" t="s">
        <v>26</v>
      </c>
      <c r="R1970" s="3">
        <v>0</v>
      </c>
      <c r="S1970" s="3" t="s">
        <v>494</v>
      </c>
      <c r="T1970" s="3" t="s">
        <v>735</v>
      </c>
      <c r="U1970" s="3">
        <v>0</v>
      </c>
      <c r="V1970" s="3">
        <v>45</v>
      </c>
      <c r="W1970" s="3">
        <v>85</v>
      </c>
    </row>
    <row r="1971" spans="1:23" ht="11.25" customHeight="1" x14ac:dyDescent="0.25">
      <c r="A1971" s="3" t="s">
        <v>21</v>
      </c>
      <c r="B1971" s="3" t="s">
        <v>39</v>
      </c>
      <c r="C1971" s="3" t="s">
        <v>23</v>
      </c>
      <c r="D1971" s="3" t="s">
        <v>50</v>
      </c>
      <c r="E1971" s="3" t="s">
        <v>51</v>
      </c>
      <c r="F1971" s="3" t="s">
        <v>25</v>
      </c>
      <c r="G1971" s="3" t="s">
        <v>25</v>
      </c>
      <c r="H1971" s="3" t="s">
        <v>25</v>
      </c>
      <c r="I1971" s="6">
        <v>44531</v>
      </c>
      <c r="J1971" s="4">
        <v>0</v>
      </c>
      <c r="K1971" s="4">
        <v>0</v>
      </c>
      <c r="L1971" s="4">
        <v>2496.7779999999998</v>
      </c>
      <c r="M1971" s="4">
        <v>2346.9713200000001</v>
      </c>
      <c r="N1971" s="4">
        <v>2496.7779999999998</v>
      </c>
      <c r="O1971" s="4">
        <v>2346.9713200000001</v>
      </c>
      <c r="P1971" s="4">
        <v>1414</v>
      </c>
      <c r="Q1971" s="3" t="s">
        <v>26</v>
      </c>
      <c r="R1971" s="3">
        <v>0</v>
      </c>
      <c r="S1971" s="3" t="s">
        <v>495</v>
      </c>
      <c r="T1971" s="3" t="s">
        <v>736</v>
      </c>
      <c r="U1971" s="3">
        <v>0</v>
      </c>
      <c r="V1971" s="3">
        <v>45</v>
      </c>
      <c r="W1971" s="3">
        <v>85</v>
      </c>
    </row>
    <row r="1972" spans="1:23" ht="11.25" customHeight="1" x14ac:dyDescent="0.25">
      <c r="A1972" s="3" t="s">
        <v>27</v>
      </c>
      <c r="B1972" s="3" t="s">
        <v>39</v>
      </c>
      <c r="C1972" s="3" t="s">
        <v>23</v>
      </c>
      <c r="D1972" s="3" t="s">
        <v>50</v>
      </c>
      <c r="E1972" s="3" t="s">
        <v>51</v>
      </c>
      <c r="F1972" s="3" t="s">
        <v>25</v>
      </c>
      <c r="G1972" s="3" t="s">
        <v>25</v>
      </c>
      <c r="H1972" s="3" t="s">
        <v>25</v>
      </c>
      <c r="I1972" s="6">
        <v>44531</v>
      </c>
      <c r="J1972" s="4">
        <v>0</v>
      </c>
      <c r="K1972" s="4">
        <v>0</v>
      </c>
      <c r="L1972" s="4">
        <v>-5.0000000000000001E-3</v>
      </c>
      <c r="M1972" s="4">
        <v>-4.7000000000000002E-3</v>
      </c>
      <c r="N1972" s="4">
        <v>-5.0000000000000001E-3</v>
      </c>
      <c r="O1972" s="4">
        <v>-4.7000000000000002E-3</v>
      </c>
      <c r="P1972" s="4">
        <v>0</v>
      </c>
      <c r="Q1972" s="3" t="s">
        <v>26</v>
      </c>
      <c r="R1972" s="3">
        <v>0</v>
      </c>
      <c r="S1972" s="3" t="s">
        <v>495</v>
      </c>
      <c r="T1972" s="3" t="s">
        <v>736</v>
      </c>
      <c r="U1972" s="3">
        <v>0</v>
      </c>
      <c r="V1972" s="3">
        <v>45</v>
      </c>
      <c r="W1972" s="3">
        <v>85</v>
      </c>
    </row>
    <row r="1973" spans="1:23" ht="11.25" customHeight="1" x14ac:dyDescent="0.25">
      <c r="A1973" s="3" t="s">
        <v>28</v>
      </c>
      <c r="B1973" s="3" t="s">
        <v>39</v>
      </c>
      <c r="C1973" s="3" t="s">
        <v>23</v>
      </c>
      <c r="D1973" s="3" t="s">
        <v>50</v>
      </c>
      <c r="E1973" s="3" t="s">
        <v>51</v>
      </c>
      <c r="F1973" s="3" t="s">
        <v>25</v>
      </c>
      <c r="G1973" s="3" t="s">
        <v>25</v>
      </c>
      <c r="H1973" s="3" t="s">
        <v>25</v>
      </c>
      <c r="I1973" s="6">
        <v>44531</v>
      </c>
      <c r="J1973" s="4">
        <v>0</v>
      </c>
      <c r="K1973" s="4">
        <v>0</v>
      </c>
      <c r="L1973" s="4">
        <v>149.88900000000001</v>
      </c>
      <c r="M1973" s="4">
        <v>140.89565999999999</v>
      </c>
      <c r="N1973" s="4">
        <v>149.88900000000001</v>
      </c>
      <c r="O1973" s="4">
        <v>140.89565999999999</v>
      </c>
      <c r="P1973" s="4">
        <v>196</v>
      </c>
      <c r="Q1973" s="3" t="s">
        <v>26</v>
      </c>
      <c r="R1973" s="3">
        <v>0</v>
      </c>
      <c r="S1973" s="3" t="s">
        <v>495</v>
      </c>
      <c r="T1973" s="3" t="s">
        <v>736</v>
      </c>
      <c r="U1973" s="3">
        <v>0</v>
      </c>
      <c r="V1973" s="3">
        <v>45</v>
      </c>
      <c r="W1973" s="3">
        <v>85</v>
      </c>
    </row>
    <row r="1974" spans="1:23" ht="11.25" customHeight="1" x14ac:dyDescent="0.25">
      <c r="A1974" s="3" t="s">
        <v>28</v>
      </c>
      <c r="B1974" s="3" t="s">
        <v>39</v>
      </c>
      <c r="C1974" s="3" t="s">
        <v>23</v>
      </c>
      <c r="D1974" s="3" t="s">
        <v>50</v>
      </c>
      <c r="E1974" s="3" t="s">
        <v>51</v>
      </c>
      <c r="F1974" s="3" t="s">
        <v>25</v>
      </c>
      <c r="G1974" s="3" t="s">
        <v>25</v>
      </c>
      <c r="H1974" s="3" t="s">
        <v>25</v>
      </c>
      <c r="I1974" s="6">
        <v>44531</v>
      </c>
      <c r="J1974" s="4">
        <v>0</v>
      </c>
      <c r="K1974" s="4">
        <v>0</v>
      </c>
      <c r="L1974" s="4">
        <v>0.86899999999999999</v>
      </c>
      <c r="M1974" s="4">
        <v>0.81686000000000003</v>
      </c>
      <c r="N1974" s="4">
        <v>0.86899999999999999</v>
      </c>
      <c r="O1974" s="4">
        <v>0.81686000000000003</v>
      </c>
      <c r="P1974" s="4">
        <v>1</v>
      </c>
      <c r="Q1974" s="3" t="s">
        <v>26</v>
      </c>
      <c r="R1974" s="3">
        <v>0</v>
      </c>
      <c r="S1974" s="3" t="s">
        <v>495</v>
      </c>
      <c r="T1974" s="3" t="s">
        <v>736</v>
      </c>
      <c r="U1974" s="3">
        <v>0</v>
      </c>
      <c r="V1974" s="3">
        <v>45</v>
      </c>
      <c r="W1974" s="3">
        <v>85</v>
      </c>
    </row>
    <row r="1975" spans="1:23" ht="11.25" customHeight="1" x14ac:dyDescent="0.25">
      <c r="A1975" s="3" t="s">
        <v>21</v>
      </c>
      <c r="B1975" s="3" t="s">
        <v>39</v>
      </c>
      <c r="C1975" s="3" t="s">
        <v>23</v>
      </c>
      <c r="D1975" s="3" t="s">
        <v>50</v>
      </c>
      <c r="E1975" s="3" t="s">
        <v>51</v>
      </c>
      <c r="F1975" s="3" t="s">
        <v>25</v>
      </c>
      <c r="G1975" s="3" t="s">
        <v>25</v>
      </c>
      <c r="H1975" s="3" t="s">
        <v>25</v>
      </c>
      <c r="I1975" s="6">
        <v>44562</v>
      </c>
      <c r="J1975" s="4">
        <v>0</v>
      </c>
      <c r="K1975" s="4">
        <v>0</v>
      </c>
      <c r="L1975" s="4">
        <v>2330.549</v>
      </c>
      <c r="M1975" s="4">
        <v>2190.7160600000002</v>
      </c>
      <c r="N1975" s="4">
        <v>2330.549</v>
      </c>
      <c r="O1975" s="4">
        <v>2190.7160600000002</v>
      </c>
      <c r="P1975" s="4">
        <v>1382</v>
      </c>
      <c r="Q1975" s="3" t="s">
        <v>26</v>
      </c>
      <c r="R1975" s="3">
        <v>0</v>
      </c>
      <c r="S1975" s="3" t="s">
        <v>496</v>
      </c>
      <c r="T1975" s="3" t="s">
        <v>737</v>
      </c>
      <c r="U1975" s="3">
        <v>0</v>
      </c>
      <c r="V1975" s="3">
        <v>45</v>
      </c>
      <c r="W1975" s="3">
        <v>85</v>
      </c>
    </row>
    <row r="1976" spans="1:23" ht="11.25" customHeight="1" x14ac:dyDescent="0.25">
      <c r="A1976" s="3" t="s">
        <v>27</v>
      </c>
      <c r="B1976" s="3" t="s">
        <v>39</v>
      </c>
      <c r="C1976" s="3" t="s">
        <v>23</v>
      </c>
      <c r="D1976" s="3" t="s">
        <v>50</v>
      </c>
      <c r="E1976" s="3" t="s">
        <v>51</v>
      </c>
      <c r="F1976" s="3" t="s">
        <v>25</v>
      </c>
      <c r="G1976" s="3" t="s">
        <v>25</v>
      </c>
      <c r="H1976" s="3" t="s">
        <v>25</v>
      </c>
      <c r="I1976" s="6">
        <v>44562</v>
      </c>
      <c r="J1976" s="4">
        <v>0</v>
      </c>
      <c r="K1976" s="4">
        <v>0</v>
      </c>
      <c r="L1976" s="4">
        <v>12.458</v>
      </c>
      <c r="M1976" s="4">
        <v>11.710520000000001</v>
      </c>
      <c r="N1976" s="4">
        <v>12.458</v>
      </c>
      <c r="O1976" s="4">
        <v>11.710520000000001</v>
      </c>
      <c r="P1976" s="4">
        <v>0</v>
      </c>
      <c r="Q1976" s="3" t="s">
        <v>26</v>
      </c>
      <c r="R1976" s="3">
        <v>0</v>
      </c>
      <c r="S1976" s="3" t="s">
        <v>496</v>
      </c>
      <c r="T1976" s="3" t="s">
        <v>737</v>
      </c>
      <c r="U1976" s="3">
        <v>0</v>
      </c>
      <c r="V1976" s="3">
        <v>45</v>
      </c>
      <c r="W1976" s="3">
        <v>85</v>
      </c>
    </row>
    <row r="1977" spans="1:23" ht="11.25" customHeight="1" x14ac:dyDescent="0.25">
      <c r="A1977" s="3" t="s">
        <v>28</v>
      </c>
      <c r="B1977" s="3" t="s">
        <v>39</v>
      </c>
      <c r="C1977" s="3" t="s">
        <v>23</v>
      </c>
      <c r="D1977" s="3" t="s">
        <v>50</v>
      </c>
      <c r="E1977" s="3" t="s">
        <v>51</v>
      </c>
      <c r="F1977" s="3" t="s">
        <v>25</v>
      </c>
      <c r="G1977" s="3" t="s">
        <v>25</v>
      </c>
      <c r="H1977" s="3" t="s">
        <v>25</v>
      </c>
      <c r="I1977" s="6">
        <v>44562</v>
      </c>
      <c r="J1977" s="4">
        <v>0</v>
      </c>
      <c r="K1977" s="4">
        <v>0</v>
      </c>
      <c r="L1977" s="4">
        <v>55.753999999999998</v>
      </c>
      <c r="M1977" s="4">
        <v>52.408760000000001</v>
      </c>
      <c r="N1977" s="4">
        <v>55.753999999999998</v>
      </c>
      <c r="O1977" s="4">
        <v>52.408760000000001</v>
      </c>
      <c r="P1977" s="4">
        <v>210</v>
      </c>
      <c r="Q1977" s="3" t="s">
        <v>26</v>
      </c>
      <c r="R1977" s="3">
        <v>0</v>
      </c>
      <c r="S1977" s="3" t="s">
        <v>496</v>
      </c>
      <c r="T1977" s="3" t="s">
        <v>737</v>
      </c>
      <c r="U1977" s="3">
        <v>0</v>
      </c>
      <c r="V1977" s="3">
        <v>45</v>
      </c>
      <c r="W1977" s="3">
        <v>85</v>
      </c>
    </row>
    <row r="1978" spans="1:23" ht="11.25" customHeight="1" x14ac:dyDescent="0.25">
      <c r="A1978" s="3" t="s">
        <v>28</v>
      </c>
      <c r="B1978" s="3" t="s">
        <v>39</v>
      </c>
      <c r="C1978" s="3" t="s">
        <v>23</v>
      </c>
      <c r="D1978" s="3" t="s">
        <v>50</v>
      </c>
      <c r="E1978" s="3" t="s">
        <v>51</v>
      </c>
      <c r="F1978" s="3" t="s">
        <v>25</v>
      </c>
      <c r="G1978" s="3" t="s">
        <v>25</v>
      </c>
      <c r="H1978" s="3" t="s">
        <v>25</v>
      </c>
      <c r="I1978" s="6">
        <v>44562</v>
      </c>
      <c r="J1978" s="4">
        <v>0</v>
      </c>
      <c r="K1978" s="4">
        <v>0</v>
      </c>
      <c r="L1978" s="4">
        <v>7.665</v>
      </c>
      <c r="M1978" s="4">
        <v>7.2050999999999998</v>
      </c>
      <c r="N1978" s="4">
        <v>7.665</v>
      </c>
      <c r="O1978" s="4">
        <v>7.2050999999999998</v>
      </c>
      <c r="P1978" s="4">
        <v>0</v>
      </c>
      <c r="Q1978" s="3" t="s">
        <v>26</v>
      </c>
      <c r="R1978" s="3">
        <v>0</v>
      </c>
      <c r="S1978" s="3" t="s">
        <v>496</v>
      </c>
      <c r="T1978" s="3" t="s">
        <v>737</v>
      </c>
      <c r="U1978" s="3">
        <v>0</v>
      </c>
      <c r="V1978" s="3">
        <v>45</v>
      </c>
      <c r="W1978" s="3">
        <v>85</v>
      </c>
    </row>
    <row r="1979" spans="1:23" ht="11.25" customHeight="1" x14ac:dyDescent="0.25">
      <c r="A1979" s="3" t="s">
        <v>21</v>
      </c>
      <c r="B1979" s="3" t="s">
        <v>39</v>
      </c>
      <c r="C1979" s="3" t="s">
        <v>23</v>
      </c>
      <c r="D1979" s="3" t="s">
        <v>50</v>
      </c>
      <c r="E1979" s="3" t="s">
        <v>51</v>
      </c>
      <c r="F1979" s="3" t="s">
        <v>25</v>
      </c>
      <c r="G1979" s="3" t="s">
        <v>25</v>
      </c>
      <c r="H1979" s="3" t="s">
        <v>25</v>
      </c>
      <c r="I1979" s="6">
        <v>44593</v>
      </c>
      <c r="J1979" s="4">
        <v>0</v>
      </c>
      <c r="K1979" s="4">
        <v>0</v>
      </c>
      <c r="L1979" s="4">
        <v>2281.1390000000001</v>
      </c>
      <c r="M1979" s="4">
        <v>2144.2706600000001</v>
      </c>
      <c r="N1979" s="4">
        <v>2281.1390000000001</v>
      </c>
      <c r="O1979" s="4">
        <v>2144.2706600000001</v>
      </c>
      <c r="P1979" s="4">
        <v>1417</v>
      </c>
      <c r="Q1979" s="3" t="s">
        <v>26</v>
      </c>
      <c r="R1979" s="3">
        <v>0</v>
      </c>
      <c r="S1979" s="3" t="s">
        <v>497</v>
      </c>
      <c r="T1979" s="3" t="s">
        <v>738</v>
      </c>
      <c r="U1979" s="3">
        <v>0</v>
      </c>
      <c r="V1979" s="3">
        <v>45</v>
      </c>
      <c r="W1979" s="3">
        <v>85</v>
      </c>
    </row>
    <row r="1980" spans="1:23" ht="11.25" customHeight="1" x14ac:dyDescent="0.25">
      <c r="A1980" s="3" t="s">
        <v>27</v>
      </c>
      <c r="B1980" s="3" t="s">
        <v>39</v>
      </c>
      <c r="C1980" s="3" t="s">
        <v>23</v>
      </c>
      <c r="D1980" s="3" t="s">
        <v>50</v>
      </c>
      <c r="E1980" s="3" t="s">
        <v>51</v>
      </c>
      <c r="F1980" s="3" t="s">
        <v>25</v>
      </c>
      <c r="G1980" s="3" t="s">
        <v>25</v>
      </c>
      <c r="H1980" s="3" t="s">
        <v>25</v>
      </c>
      <c r="I1980" s="6">
        <v>44593</v>
      </c>
      <c r="J1980" s="4">
        <v>0</v>
      </c>
      <c r="K1980" s="4">
        <v>0</v>
      </c>
      <c r="L1980" s="4">
        <v>4.6710000000000003</v>
      </c>
      <c r="M1980" s="4">
        <v>4.3907400000000001</v>
      </c>
      <c r="N1980" s="4">
        <v>4.6710000000000003</v>
      </c>
      <c r="O1980" s="4">
        <v>4.3907400000000001</v>
      </c>
      <c r="P1980" s="4">
        <v>4</v>
      </c>
      <c r="Q1980" s="3" t="s">
        <v>26</v>
      </c>
      <c r="R1980" s="3">
        <v>0</v>
      </c>
      <c r="S1980" s="3" t="s">
        <v>497</v>
      </c>
      <c r="T1980" s="3" t="s">
        <v>738</v>
      </c>
      <c r="U1980" s="3">
        <v>0</v>
      </c>
      <c r="V1980" s="3">
        <v>45</v>
      </c>
      <c r="W1980" s="3">
        <v>85</v>
      </c>
    </row>
    <row r="1981" spans="1:23" ht="11.25" customHeight="1" x14ac:dyDescent="0.25">
      <c r="A1981" s="3" t="s">
        <v>28</v>
      </c>
      <c r="B1981" s="3" t="s">
        <v>39</v>
      </c>
      <c r="C1981" s="3" t="s">
        <v>23</v>
      </c>
      <c r="D1981" s="3" t="s">
        <v>50</v>
      </c>
      <c r="E1981" s="3" t="s">
        <v>51</v>
      </c>
      <c r="F1981" s="3" t="s">
        <v>25</v>
      </c>
      <c r="G1981" s="3" t="s">
        <v>25</v>
      </c>
      <c r="H1981" s="3" t="s">
        <v>25</v>
      </c>
      <c r="I1981" s="6">
        <v>44593</v>
      </c>
      <c r="J1981" s="4">
        <v>0</v>
      </c>
      <c r="K1981" s="4">
        <v>0</v>
      </c>
      <c r="L1981" s="4">
        <v>66.58</v>
      </c>
      <c r="M1981" s="4">
        <v>62.5852</v>
      </c>
      <c r="N1981" s="4">
        <v>66.58</v>
      </c>
      <c r="O1981" s="4">
        <v>62.5852</v>
      </c>
      <c r="P1981" s="4">
        <v>214</v>
      </c>
      <c r="Q1981" s="3" t="s">
        <v>26</v>
      </c>
      <c r="R1981" s="3">
        <v>0</v>
      </c>
      <c r="S1981" s="3" t="s">
        <v>497</v>
      </c>
      <c r="T1981" s="3" t="s">
        <v>738</v>
      </c>
      <c r="U1981" s="3">
        <v>0</v>
      </c>
      <c r="V1981" s="3">
        <v>45</v>
      </c>
      <c r="W1981" s="3">
        <v>85</v>
      </c>
    </row>
    <row r="1982" spans="1:23" ht="11.25" customHeight="1" x14ac:dyDescent="0.25">
      <c r="A1982" s="3" t="s">
        <v>28</v>
      </c>
      <c r="B1982" s="3" t="s">
        <v>39</v>
      </c>
      <c r="C1982" s="3" t="s">
        <v>23</v>
      </c>
      <c r="D1982" s="3" t="s">
        <v>50</v>
      </c>
      <c r="E1982" s="3" t="s">
        <v>51</v>
      </c>
      <c r="F1982" s="3" t="s">
        <v>25</v>
      </c>
      <c r="G1982" s="3" t="s">
        <v>25</v>
      </c>
      <c r="H1982" s="3" t="s">
        <v>25</v>
      </c>
      <c r="I1982" s="6">
        <v>44593</v>
      </c>
      <c r="J1982" s="4">
        <v>0</v>
      </c>
      <c r="K1982" s="4">
        <v>0</v>
      </c>
      <c r="L1982" s="4">
        <v>-6.843</v>
      </c>
      <c r="M1982" s="4">
        <v>-6.4324199999999996</v>
      </c>
      <c r="N1982" s="4">
        <v>-6.843</v>
      </c>
      <c r="O1982" s="4">
        <v>-6.4324199999999996</v>
      </c>
      <c r="P1982" s="4">
        <v>0</v>
      </c>
      <c r="Q1982" s="3" t="s">
        <v>26</v>
      </c>
      <c r="R1982" s="3">
        <v>0</v>
      </c>
      <c r="S1982" s="3" t="s">
        <v>497</v>
      </c>
      <c r="T1982" s="3" t="s">
        <v>738</v>
      </c>
      <c r="U1982" s="3">
        <v>0</v>
      </c>
      <c r="V1982" s="3">
        <v>45</v>
      </c>
      <c r="W1982" s="3">
        <v>85</v>
      </c>
    </row>
    <row r="1983" spans="1:23" ht="11.25" customHeight="1" x14ac:dyDescent="0.25">
      <c r="A1983" s="3" t="s">
        <v>21</v>
      </c>
      <c r="B1983" s="3" t="s">
        <v>39</v>
      </c>
      <c r="C1983" s="3" t="s">
        <v>23</v>
      </c>
      <c r="D1983" s="3" t="s">
        <v>50</v>
      </c>
      <c r="E1983" s="3" t="s">
        <v>51</v>
      </c>
      <c r="F1983" s="3" t="s">
        <v>25</v>
      </c>
      <c r="G1983" s="3" t="s">
        <v>25</v>
      </c>
      <c r="H1983" s="3" t="s">
        <v>25</v>
      </c>
      <c r="I1983" s="6">
        <v>44621</v>
      </c>
      <c r="J1983" s="4">
        <v>0</v>
      </c>
      <c r="K1983" s="4">
        <v>0</v>
      </c>
      <c r="L1983" s="4">
        <v>2349.0390000000002</v>
      </c>
      <c r="M1983" s="4">
        <v>2208.0966600000002</v>
      </c>
      <c r="N1983" s="4">
        <v>2349.0390000000002</v>
      </c>
      <c r="O1983" s="4">
        <v>2208.0966600000002</v>
      </c>
      <c r="P1983" s="4">
        <v>1410</v>
      </c>
      <c r="Q1983" s="3" t="s">
        <v>26</v>
      </c>
      <c r="R1983" s="3">
        <v>0</v>
      </c>
      <c r="S1983" s="3" t="s">
        <v>498</v>
      </c>
      <c r="T1983" s="3" t="s">
        <v>739</v>
      </c>
      <c r="U1983" s="3">
        <v>0</v>
      </c>
      <c r="V1983" s="3">
        <v>45</v>
      </c>
      <c r="W1983" s="3">
        <v>85</v>
      </c>
    </row>
    <row r="1984" spans="1:23" ht="11.25" customHeight="1" x14ac:dyDescent="0.25">
      <c r="A1984" s="3" t="s">
        <v>27</v>
      </c>
      <c r="B1984" s="3" t="s">
        <v>39</v>
      </c>
      <c r="C1984" s="3" t="s">
        <v>23</v>
      </c>
      <c r="D1984" s="3" t="s">
        <v>50</v>
      </c>
      <c r="E1984" s="3" t="s">
        <v>51</v>
      </c>
      <c r="F1984" s="3" t="s">
        <v>25</v>
      </c>
      <c r="G1984" s="3" t="s">
        <v>25</v>
      </c>
      <c r="H1984" s="3" t="s">
        <v>25</v>
      </c>
      <c r="I1984" s="6">
        <v>44621</v>
      </c>
      <c r="J1984" s="4">
        <v>0</v>
      </c>
      <c r="K1984" s="4">
        <v>0</v>
      </c>
      <c r="L1984" s="4">
        <v>-2.8</v>
      </c>
      <c r="M1984" s="4">
        <v>-2.6320000000000001</v>
      </c>
      <c r="N1984" s="4">
        <v>-2.8</v>
      </c>
      <c r="O1984" s="4">
        <v>-2.6320000000000001</v>
      </c>
      <c r="P1984" s="4">
        <v>1</v>
      </c>
      <c r="Q1984" s="3" t="s">
        <v>26</v>
      </c>
      <c r="R1984" s="3">
        <v>0</v>
      </c>
      <c r="S1984" s="3" t="s">
        <v>498</v>
      </c>
      <c r="T1984" s="3" t="s">
        <v>739</v>
      </c>
      <c r="U1984" s="3">
        <v>0</v>
      </c>
      <c r="V1984" s="3">
        <v>45</v>
      </c>
      <c r="W1984" s="3">
        <v>85</v>
      </c>
    </row>
    <row r="1985" spans="1:23" ht="11.25" customHeight="1" x14ac:dyDescent="0.25">
      <c r="A1985" s="3" t="s">
        <v>28</v>
      </c>
      <c r="B1985" s="3" t="s">
        <v>39</v>
      </c>
      <c r="C1985" s="3" t="s">
        <v>23</v>
      </c>
      <c r="D1985" s="3" t="s">
        <v>50</v>
      </c>
      <c r="E1985" s="3" t="s">
        <v>51</v>
      </c>
      <c r="F1985" s="3" t="s">
        <v>25</v>
      </c>
      <c r="G1985" s="3" t="s">
        <v>25</v>
      </c>
      <c r="H1985" s="3" t="s">
        <v>25</v>
      </c>
      <c r="I1985" s="6">
        <v>44621</v>
      </c>
      <c r="J1985" s="4">
        <v>0</v>
      </c>
      <c r="K1985" s="4">
        <v>0</v>
      </c>
      <c r="L1985" s="4">
        <v>57.878999999999998</v>
      </c>
      <c r="M1985" s="4">
        <v>54.406260000000003</v>
      </c>
      <c r="N1985" s="4">
        <v>57.878999999999998</v>
      </c>
      <c r="O1985" s="4">
        <v>54.406260000000003</v>
      </c>
      <c r="P1985" s="4">
        <v>223</v>
      </c>
      <c r="Q1985" s="3" t="s">
        <v>26</v>
      </c>
      <c r="R1985" s="3">
        <v>0</v>
      </c>
      <c r="S1985" s="3" t="s">
        <v>498</v>
      </c>
      <c r="T1985" s="3" t="s">
        <v>739</v>
      </c>
      <c r="U1985" s="3">
        <v>0</v>
      </c>
      <c r="V1985" s="3">
        <v>45</v>
      </c>
      <c r="W1985" s="3">
        <v>85</v>
      </c>
    </row>
    <row r="1986" spans="1:23" ht="11.25" customHeight="1" x14ac:dyDescent="0.25">
      <c r="A1986" s="3" t="s">
        <v>28</v>
      </c>
      <c r="B1986" s="3" t="s">
        <v>39</v>
      </c>
      <c r="C1986" s="3" t="s">
        <v>23</v>
      </c>
      <c r="D1986" s="3" t="s">
        <v>50</v>
      </c>
      <c r="E1986" s="3" t="s">
        <v>51</v>
      </c>
      <c r="F1986" s="3" t="s">
        <v>25</v>
      </c>
      <c r="G1986" s="3" t="s">
        <v>25</v>
      </c>
      <c r="H1986" s="3" t="s">
        <v>25</v>
      </c>
      <c r="I1986" s="6">
        <v>44621</v>
      </c>
      <c r="J1986" s="4">
        <v>0</v>
      </c>
      <c r="K1986" s="4">
        <v>0</v>
      </c>
      <c r="L1986" s="4">
        <v>7.2370000000000001</v>
      </c>
      <c r="M1986" s="4">
        <v>6.8027800000000003</v>
      </c>
      <c r="N1986" s="4">
        <v>7.2370000000000001</v>
      </c>
      <c r="O1986" s="4">
        <v>6.8027800000000003</v>
      </c>
      <c r="P1986" s="4">
        <v>0</v>
      </c>
      <c r="Q1986" s="3" t="s">
        <v>26</v>
      </c>
      <c r="R1986" s="3">
        <v>0</v>
      </c>
      <c r="S1986" s="3" t="s">
        <v>498</v>
      </c>
      <c r="T1986" s="3" t="s">
        <v>739</v>
      </c>
      <c r="U1986" s="3">
        <v>0</v>
      </c>
      <c r="V1986" s="3">
        <v>45</v>
      </c>
      <c r="W1986" s="3">
        <v>85</v>
      </c>
    </row>
    <row r="1987" spans="1:23" ht="11.25" customHeight="1" x14ac:dyDescent="0.25">
      <c r="A1987" s="3" t="s">
        <v>56</v>
      </c>
      <c r="B1987" s="3" t="s">
        <v>39</v>
      </c>
      <c r="C1987" s="3" t="s">
        <v>23</v>
      </c>
      <c r="D1987" s="3" t="s">
        <v>50</v>
      </c>
      <c r="E1987" s="3" t="s">
        <v>51</v>
      </c>
      <c r="F1987" s="3" t="s">
        <v>25</v>
      </c>
      <c r="G1987" s="3" t="s">
        <v>25</v>
      </c>
      <c r="H1987" s="3" t="s">
        <v>25</v>
      </c>
      <c r="I1987" s="6">
        <v>44652</v>
      </c>
      <c r="J1987" s="4">
        <v>0</v>
      </c>
      <c r="K1987" s="4">
        <v>0</v>
      </c>
      <c r="L1987" s="4">
        <v>2349.0390000000002</v>
      </c>
      <c r="M1987" s="4">
        <v>2208.0966600000002</v>
      </c>
      <c r="N1987" s="4">
        <v>2349.0390000000002</v>
      </c>
      <c r="O1987" s="4">
        <v>2208.0966600000002</v>
      </c>
      <c r="P1987" s="4">
        <v>1410</v>
      </c>
      <c r="Q1987" s="3" t="s">
        <v>26</v>
      </c>
      <c r="R1987" s="3">
        <v>0</v>
      </c>
      <c r="S1987" s="3" t="s">
        <v>499</v>
      </c>
      <c r="T1987" s="3" t="s">
        <v>740</v>
      </c>
      <c r="U1987" s="3">
        <v>0</v>
      </c>
      <c r="V1987" s="3">
        <v>45</v>
      </c>
      <c r="W1987" s="3">
        <v>85</v>
      </c>
    </row>
    <row r="1988" spans="1:23" ht="11.25" customHeight="1" x14ac:dyDescent="0.25">
      <c r="A1988" s="3" t="s">
        <v>56</v>
      </c>
      <c r="B1988" s="3" t="s">
        <v>39</v>
      </c>
      <c r="C1988" s="3" t="s">
        <v>23</v>
      </c>
      <c r="D1988" s="3" t="s">
        <v>50</v>
      </c>
      <c r="E1988" s="3" t="s">
        <v>51</v>
      </c>
      <c r="F1988" s="3" t="s">
        <v>25</v>
      </c>
      <c r="G1988" s="3" t="s">
        <v>25</v>
      </c>
      <c r="H1988" s="3" t="s">
        <v>25</v>
      </c>
      <c r="I1988" s="6">
        <v>44652</v>
      </c>
      <c r="J1988" s="4">
        <v>0</v>
      </c>
      <c r="K1988" s="4">
        <v>0</v>
      </c>
      <c r="L1988" s="4">
        <v>-2.8</v>
      </c>
      <c r="M1988" s="4">
        <v>-2.6320000000000001</v>
      </c>
      <c r="N1988" s="4">
        <v>-2.8</v>
      </c>
      <c r="O1988" s="4">
        <v>-2.6320000000000001</v>
      </c>
      <c r="P1988" s="4">
        <v>1</v>
      </c>
      <c r="Q1988" s="3" t="s">
        <v>26</v>
      </c>
      <c r="R1988" s="3">
        <v>0</v>
      </c>
      <c r="S1988" s="3" t="s">
        <v>499</v>
      </c>
      <c r="T1988" s="3" t="s">
        <v>740</v>
      </c>
      <c r="U1988" s="3">
        <v>0</v>
      </c>
      <c r="V1988" s="3">
        <v>45</v>
      </c>
      <c r="W1988" s="3">
        <v>85</v>
      </c>
    </row>
    <row r="1989" spans="1:23" ht="11.25" customHeight="1" x14ac:dyDescent="0.25">
      <c r="A1989" s="3" t="s">
        <v>56</v>
      </c>
      <c r="B1989" s="3" t="s">
        <v>39</v>
      </c>
      <c r="C1989" s="3" t="s">
        <v>23</v>
      </c>
      <c r="D1989" s="3" t="s">
        <v>50</v>
      </c>
      <c r="E1989" s="3" t="s">
        <v>51</v>
      </c>
      <c r="F1989" s="3" t="s">
        <v>25</v>
      </c>
      <c r="G1989" s="3" t="s">
        <v>25</v>
      </c>
      <c r="H1989" s="3" t="s">
        <v>25</v>
      </c>
      <c r="I1989" s="6">
        <v>44652</v>
      </c>
      <c r="J1989" s="4">
        <v>0</v>
      </c>
      <c r="K1989" s="4">
        <v>0</v>
      </c>
      <c r="L1989" s="4">
        <v>57.878999999999998</v>
      </c>
      <c r="M1989" s="4">
        <v>54.406260000000003</v>
      </c>
      <c r="N1989" s="4">
        <v>57.878999999999998</v>
      </c>
      <c r="O1989" s="4">
        <v>54.406260000000003</v>
      </c>
      <c r="P1989" s="4">
        <v>223</v>
      </c>
      <c r="Q1989" s="3" t="s">
        <v>26</v>
      </c>
      <c r="R1989" s="3">
        <v>0</v>
      </c>
      <c r="S1989" s="3" t="s">
        <v>499</v>
      </c>
      <c r="T1989" s="3" t="s">
        <v>740</v>
      </c>
      <c r="U1989" s="3">
        <v>0</v>
      </c>
      <c r="V1989" s="3">
        <v>45</v>
      </c>
      <c r="W1989" s="3">
        <v>85</v>
      </c>
    </row>
    <row r="1990" spans="1:23" ht="11.25" customHeight="1" x14ac:dyDescent="0.25">
      <c r="A1990" s="3" t="s">
        <v>56</v>
      </c>
      <c r="B1990" s="3" t="s">
        <v>39</v>
      </c>
      <c r="C1990" s="3" t="s">
        <v>23</v>
      </c>
      <c r="D1990" s="3" t="s">
        <v>50</v>
      </c>
      <c r="E1990" s="3" t="s">
        <v>51</v>
      </c>
      <c r="F1990" s="3" t="s">
        <v>25</v>
      </c>
      <c r="G1990" s="3" t="s">
        <v>25</v>
      </c>
      <c r="H1990" s="3" t="s">
        <v>25</v>
      </c>
      <c r="I1990" s="6">
        <v>44652</v>
      </c>
      <c r="J1990" s="4">
        <v>0</v>
      </c>
      <c r="K1990" s="4">
        <v>0</v>
      </c>
      <c r="L1990" s="4">
        <v>7.2370000000000001</v>
      </c>
      <c r="M1990" s="4">
        <v>6.8027800000000003</v>
      </c>
      <c r="N1990" s="4">
        <v>7.2370000000000001</v>
      </c>
      <c r="O1990" s="4">
        <v>6.8027800000000003</v>
      </c>
      <c r="P1990" s="4">
        <v>0</v>
      </c>
      <c r="Q1990" s="3" t="s">
        <v>26</v>
      </c>
      <c r="R1990" s="3">
        <v>0</v>
      </c>
      <c r="S1990" s="3" t="s">
        <v>499</v>
      </c>
      <c r="T1990" s="3" t="s">
        <v>740</v>
      </c>
      <c r="U1990" s="3">
        <v>0</v>
      </c>
      <c r="V1990" s="3">
        <v>45</v>
      </c>
      <c r="W1990" s="3">
        <v>85</v>
      </c>
    </row>
    <row r="1991" spans="1:23" ht="11.25" customHeight="1" x14ac:dyDescent="0.25">
      <c r="A1991" s="3" t="s">
        <v>21</v>
      </c>
      <c r="B1991" s="3" t="s">
        <v>47</v>
      </c>
      <c r="C1991" s="3" t="s">
        <v>23</v>
      </c>
      <c r="D1991" s="3" t="s">
        <v>48</v>
      </c>
      <c r="E1991" s="3" t="s">
        <v>49</v>
      </c>
      <c r="F1991" s="3" t="s">
        <v>25</v>
      </c>
      <c r="G1991" s="3" t="s">
        <v>25</v>
      </c>
      <c r="H1991" s="3" t="s">
        <v>25</v>
      </c>
      <c r="I1991" s="6">
        <v>44317</v>
      </c>
      <c r="J1991" s="4">
        <v>0</v>
      </c>
      <c r="K1991" s="4">
        <v>0</v>
      </c>
      <c r="L1991" s="4">
        <v>20920.609</v>
      </c>
      <c r="M1991" s="4">
        <v>20920.609</v>
      </c>
      <c r="N1991" s="4">
        <v>20920.609</v>
      </c>
      <c r="O1991" s="4">
        <v>20920.609</v>
      </c>
      <c r="P1991" s="4">
        <v>261</v>
      </c>
      <c r="Q1991" s="3" t="s">
        <v>26</v>
      </c>
      <c r="R1991" s="3">
        <v>0</v>
      </c>
      <c r="S1991" s="3" t="s">
        <v>500</v>
      </c>
      <c r="T1991" s="3" t="s">
        <v>741</v>
      </c>
      <c r="U1991" s="3">
        <v>0</v>
      </c>
      <c r="V1991" s="3">
        <v>71</v>
      </c>
      <c r="W1991" s="3">
        <v>1</v>
      </c>
    </row>
    <row r="1992" spans="1:23" ht="11.25" customHeight="1" x14ac:dyDescent="0.25">
      <c r="A1992" s="3" t="s">
        <v>21</v>
      </c>
      <c r="B1992" s="3" t="s">
        <v>47</v>
      </c>
      <c r="C1992" s="3" t="s">
        <v>23</v>
      </c>
      <c r="D1992" s="3" t="s">
        <v>48</v>
      </c>
      <c r="E1992" s="3" t="s">
        <v>49</v>
      </c>
      <c r="F1992" s="3" t="s">
        <v>25</v>
      </c>
      <c r="G1992" s="3" t="s">
        <v>25</v>
      </c>
      <c r="H1992" s="3" t="s">
        <v>25</v>
      </c>
      <c r="I1992" s="6">
        <v>44348</v>
      </c>
      <c r="J1992" s="4">
        <v>0</v>
      </c>
      <c r="K1992" s="4">
        <v>0</v>
      </c>
      <c r="L1992" s="4">
        <v>20196.168000000001</v>
      </c>
      <c r="M1992" s="4">
        <v>20196.168000000001</v>
      </c>
      <c r="N1992" s="4">
        <v>20196.168000000001</v>
      </c>
      <c r="O1992" s="4">
        <v>20196.168000000001</v>
      </c>
      <c r="P1992" s="4">
        <v>267</v>
      </c>
      <c r="Q1992" s="3" t="s">
        <v>26</v>
      </c>
      <c r="R1992" s="3">
        <v>0</v>
      </c>
      <c r="S1992" s="3" t="s">
        <v>501</v>
      </c>
      <c r="T1992" s="3" t="s">
        <v>742</v>
      </c>
      <c r="U1992" s="3">
        <v>0</v>
      </c>
      <c r="V1992" s="3">
        <v>71</v>
      </c>
      <c r="W1992" s="3">
        <v>1</v>
      </c>
    </row>
    <row r="1993" spans="1:23" ht="11.25" customHeight="1" x14ac:dyDescent="0.25">
      <c r="A1993" s="3" t="s">
        <v>27</v>
      </c>
      <c r="B1993" s="3" t="s">
        <v>47</v>
      </c>
      <c r="C1993" s="3" t="s">
        <v>23</v>
      </c>
      <c r="D1993" s="3" t="s">
        <v>48</v>
      </c>
      <c r="E1993" s="3" t="s">
        <v>49</v>
      </c>
      <c r="F1993" s="3" t="s">
        <v>25</v>
      </c>
      <c r="G1993" s="3" t="s">
        <v>25</v>
      </c>
      <c r="H1993" s="3" t="s">
        <v>25</v>
      </c>
      <c r="I1993" s="6">
        <v>44348</v>
      </c>
      <c r="J1993" s="4">
        <v>0</v>
      </c>
      <c r="K1993" s="4">
        <v>0</v>
      </c>
      <c r="L1993" s="4">
        <v>0.20200000000000001</v>
      </c>
      <c r="M1993" s="4">
        <v>0.20200000000000001</v>
      </c>
      <c r="N1993" s="4">
        <v>0.20200000000000001</v>
      </c>
      <c r="O1993" s="4">
        <v>0.20200000000000001</v>
      </c>
      <c r="P1993" s="4">
        <v>2</v>
      </c>
      <c r="Q1993" s="3" t="s">
        <v>26</v>
      </c>
      <c r="R1993" s="3">
        <v>0</v>
      </c>
      <c r="S1993" s="3" t="s">
        <v>501</v>
      </c>
      <c r="T1993" s="3" t="s">
        <v>742</v>
      </c>
      <c r="U1993" s="3">
        <v>0</v>
      </c>
      <c r="V1993" s="3">
        <v>71</v>
      </c>
      <c r="W1993" s="3">
        <v>1</v>
      </c>
    </row>
    <row r="1994" spans="1:23" ht="11.25" customHeight="1" x14ac:dyDescent="0.25">
      <c r="A1994" s="3" t="s">
        <v>21</v>
      </c>
      <c r="B1994" s="3" t="s">
        <v>47</v>
      </c>
      <c r="C1994" s="3" t="s">
        <v>23</v>
      </c>
      <c r="D1994" s="3" t="s">
        <v>48</v>
      </c>
      <c r="E1994" s="3" t="s">
        <v>49</v>
      </c>
      <c r="F1994" s="3" t="s">
        <v>25</v>
      </c>
      <c r="G1994" s="3" t="s">
        <v>25</v>
      </c>
      <c r="H1994" s="3" t="s">
        <v>25</v>
      </c>
      <c r="I1994" s="6">
        <v>44378</v>
      </c>
      <c r="J1994" s="4">
        <v>0</v>
      </c>
      <c r="K1994" s="4">
        <v>0</v>
      </c>
      <c r="L1994" s="4">
        <v>20900.804</v>
      </c>
      <c r="M1994" s="4">
        <v>20900.804</v>
      </c>
      <c r="N1994" s="4">
        <v>20900.804</v>
      </c>
      <c r="O1994" s="4">
        <v>20900.804</v>
      </c>
      <c r="P1994" s="4">
        <v>268</v>
      </c>
      <c r="Q1994" s="3" t="s">
        <v>26</v>
      </c>
      <c r="R1994" s="3">
        <v>0</v>
      </c>
      <c r="S1994" s="3" t="s">
        <v>502</v>
      </c>
      <c r="T1994" s="3" t="s">
        <v>743</v>
      </c>
      <c r="U1994" s="3">
        <v>0</v>
      </c>
      <c r="V1994" s="3">
        <v>71</v>
      </c>
      <c r="W1994" s="3">
        <v>1</v>
      </c>
    </row>
    <row r="1995" spans="1:23" ht="11.25" customHeight="1" x14ac:dyDescent="0.25">
      <c r="A1995" s="3" t="s">
        <v>27</v>
      </c>
      <c r="B1995" s="3" t="s">
        <v>47</v>
      </c>
      <c r="C1995" s="3" t="s">
        <v>23</v>
      </c>
      <c r="D1995" s="3" t="s">
        <v>48</v>
      </c>
      <c r="E1995" s="3" t="s">
        <v>49</v>
      </c>
      <c r="F1995" s="3" t="s">
        <v>25</v>
      </c>
      <c r="G1995" s="3" t="s">
        <v>25</v>
      </c>
      <c r="H1995" s="3" t="s">
        <v>25</v>
      </c>
      <c r="I1995" s="6">
        <v>44378</v>
      </c>
      <c r="J1995" s="4">
        <v>0</v>
      </c>
      <c r="K1995" s="4">
        <v>0</v>
      </c>
      <c r="L1995" s="4">
        <v>2.0499999999999998</v>
      </c>
      <c r="M1995" s="4">
        <v>2.0499999999999998</v>
      </c>
      <c r="N1995" s="4">
        <v>2.0499999999999998</v>
      </c>
      <c r="O1995" s="4">
        <v>2.0499999999999998</v>
      </c>
      <c r="P1995" s="4">
        <v>16</v>
      </c>
      <c r="Q1995" s="3" t="s">
        <v>26</v>
      </c>
      <c r="R1995" s="3">
        <v>0</v>
      </c>
      <c r="S1995" s="3" t="s">
        <v>502</v>
      </c>
      <c r="T1995" s="3" t="s">
        <v>743</v>
      </c>
      <c r="U1995" s="3">
        <v>0</v>
      </c>
      <c r="V1995" s="3">
        <v>71</v>
      </c>
      <c r="W1995" s="3">
        <v>1</v>
      </c>
    </row>
    <row r="1996" spans="1:23" ht="11.25" customHeight="1" x14ac:dyDescent="0.25">
      <c r="A1996" s="3" t="s">
        <v>21</v>
      </c>
      <c r="B1996" s="3" t="s">
        <v>47</v>
      </c>
      <c r="C1996" s="3" t="s">
        <v>23</v>
      </c>
      <c r="D1996" s="3" t="s">
        <v>48</v>
      </c>
      <c r="E1996" s="3" t="s">
        <v>49</v>
      </c>
      <c r="F1996" s="3" t="s">
        <v>25</v>
      </c>
      <c r="G1996" s="3" t="s">
        <v>25</v>
      </c>
      <c r="H1996" s="3" t="s">
        <v>25</v>
      </c>
      <c r="I1996" s="6">
        <v>44409</v>
      </c>
      <c r="J1996" s="4">
        <v>0</v>
      </c>
      <c r="K1996" s="4">
        <v>0</v>
      </c>
      <c r="L1996" s="4">
        <v>20762.859</v>
      </c>
      <c r="M1996" s="4">
        <v>20762.859</v>
      </c>
      <c r="N1996" s="4">
        <v>20762.859</v>
      </c>
      <c r="O1996" s="4">
        <v>20762.859</v>
      </c>
      <c r="P1996" s="4">
        <v>270</v>
      </c>
      <c r="Q1996" s="3" t="s">
        <v>26</v>
      </c>
      <c r="R1996" s="3">
        <v>0</v>
      </c>
      <c r="S1996" s="3" t="s">
        <v>503</v>
      </c>
      <c r="T1996" s="3" t="s">
        <v>744</v>
      </c>
      <c r="U1996" s="3">
        <v>0</v>
      </c>
      <c r="V1996" s="3">
        <v>71</v>
      </c>
      <c r="W1996" s="3">
        <v>1</v>
      </c>
    </row>
    <row r="1997" spans="1:23" ht="11.25" customHeight="1" x14ac:dyDescent="0.25">
      <c r="A1997" s="3" t="s">
        <v>27</v>
      </c>
      <c r="B1997" s="3" t="s">
        <v>47</v>
      </c>
      <c r="C1997" s="3" t="s">
        <v>23</v>
      </c>
      <c r="D1997" s="3" t="s">
        <v>48</v>
      </c>
      <c r="E1997" s="3" t="s">
        <v>49</v>
      </c>
      <c r="F1997" s="3" t="s">
        <v>25</v>
      </c>
      <c r="G1997" s="3" t="s">
        <v>25</v>
      </c>
      <c r="H1997" s="3" t="s">
        <v>25</v>
      </c>
      <c r="I1997" s="6">
        <v>44409</v>
      </c>
      <c r="J1997" s="4">
        <v>0</v>
      </c>
      <c r="K1997" s="4">
        <v>0</v>
      </c>
      <c r="L1997" s="4">
        <v>-22.75</v>
      </c>
      <c r="M1997" s="4">
        <v>-22.75</v>
      </c>
      <c r="N1997" s="4">
        <v>-22.75</v>
      </c>
      <c r="O1997" s="4">
        <v>-22.75</v>
      </c>
      <c r="P1997" s="4">
        <v>0</v>
      </c>
      <c r="Q1997" s="3" t="s">
        <v>26</v>
      </c>
      <c r="R1997" s="3">
        <v>0</v>
      </c>
      <c r="S1997" s="3" t="s">
        <v>503</v>
      </c>
      <c r="T1997" s="3" t="s">
        <v>744</v>
      </c>
      <c r="U1997" s="3">
        <v>0</v>
      </c>
      <c r="V1997" s="3">
        <v>71</v>
      </c>
      <c r="W1997" s="3">
        <v>1</v>
      </c>
    </row>
    <row r="1998" spans="1:23" ht="11.25" customHeight="1" x14ac:dyDescent="0.25">
      <c r="A1998" s="3" t="s">
        <v>21</v>
      </c>
      <c r="B1998" s="3" t="s">
        <v>47</v>
      </c>
      <c r="C1998" s="3" t="s">
        <v>23</v>
      </c>
      <c r="D1998" s="3" t="s">
        <v>48</v>
      </c>
      <c r="E1998" s="3" t="s">
        <v>49</v>
      </c>
      <c r="F1998" s="3" t="s">
        <v>25</v>
      </c>
      <c r="G1998" s="3" t="s">
        <v>25</v>
      </c>
      <c r="H1998" s="3" t="s">
        <v>25</v>
      </c>
      <c r="I1998" s="6">
        <v>44440</v>
      </c>
      <c r="J1998" s="4">
        <v>0</v>
      </c>
      <c r="K1998" s="4">
        <v>0</v>
      </c>
      <c r="L1998" s="4">
        <v>19962.026999999998</v>
      </c>
      <c r="M1998" s="4">
        <v>19962.026999999998</v>
      </c>
      <c r="N1998" s="4">
        <v>19962.026999999998</v>
      </c>
      <c r="O1998" s="4">
        <v>19962.026999999998</v>
      </c>
      <c r="P1998" s="4">
        <v>280</v>
      </c>
      <c r="Q1998" s="3" t="s">
        <v>26</v>
      </c>
      <c r="R1998" s="3">
        <v>0</v>
      </c>
      <c r="S1998" s="3" t="s">
        <v>504</v>
      </c>
      <c r="T1998" s="3" t="s">
        <v>745</v>
      </c>
      <c r="U1998" s="3">
        <v>0</v>
      </c>
      <c r="V1998" s="3">
        <v>71</v>
      </c>
      <c r="W1998" s="3">
        <v>1</v>
      </c>
    </row>
    <row r="1999" spans="1:23" ht="11.25" customHeight="1" x14ac:dyDescent="0.25">
      <c r="A1999" s="3" t="s">
        <v>27</v>
      </c>
      <c r="B1999" s="3" t="s">
        <v>47</v>
      </c>
      <c r="C1999" s="3" t="s">
        <v>23</v>
      </c>
      <c r="D1999" s="3" t="s">
        <v>48</v>
      </c>
      <c r="E1999" s="3" t="s">
        <v>49</v>
      </c>
      <c r="F1999" s="3" t="s">
        <v>25</v>
      </c>
      <c r="G1999" s="3" t="s">
        <v>25</v>
      </c>
      <c r="H1999" s="3" t="s">
        <v>25</v>
      </c>
      <c r="I1999" s="6">
        <v>44440</v>
      </c>
      <c r="J1999" s="4">
        <v>0</v>
      </c>
      <c r="K1999" s="4">
        <v>0</v>
      </c>
      <c r="L1999" s="4">
        <v>1267.078</v>
      </c>
      <c r="M1999" s="4">
        <v>1267.078</v>
      </c>
      <c r="N1999" s="4">
        <v>1267.078</v>
      </c>
      <c r="O1999" s="4">
        <v>1267.078</v>
      </c>
      <c r="P1999" s="4">
        <v>0</v>
      </c>
      <c r="Q1999" s="3" t="s">
        <v>26</v>
      </c>
      <c r="R1999" s="3">
        <v>0</v>
      </c>
      <c r="S1999" s="3" t="s">
        <v>504</v>
      </c>
      <c r="T1999" s="3" t="s">
        <v>745</v>
      </c>
      <c r="U1999" s="3">
        <v>0</v>
      </c>
      <c r="V1999" s="3">
        <v>71</v>
      </c>
      <c r="W1999" s="3">
        <v>1</v>
      </c>
    </row>
    <row r="2000" spans="1:23" ht="11.25" customHeight="1" x14ac:dyDescent="0.25">
      <c r="A2000" s="3" t="s">
        <v>21</v>
      </c>
      <c r="B2000" s="3" t="s">
        <v>47</v>
      </c>
      <c r="C2000" s="3" t="s">
        <v>23</v>
      </c>
      <c r="D2000" s="3" t="s">
        <v>48</v>
      </c>
      <c r="E2000" s="3" t="s">
        <v>49</v>
      </c>
      <c r="F2000" s="3" t="s">
        <v>25</v>
      </c>
      <c r="G2000" s="3" t="s">
        <v>25</v>
      </c>
      <c r="H2000" s="3" t="s">
        <v>25</v>
      </c>
      <c r="I2000" s="6">
        <v>44470</v>
      </c>
      <c r="J2000" s="4">
        <v>0</v>
      </c>
      <c r="K2000" s="4">
        <v>0</v>
      </c>
      <c r="L2000" s="4">
        <v>20768.708999999999</v>
      </c>
      <c r="M2000" s="4">
        <v>20768.708999999999</v>
      </c>
      <c r="N2000" s="4">
        <v>20768.708999999999</v>
      </c>
      <c r="O2000" s="4">
        <v>20768.708999999999</v>
      </c>
      <c r="P2000" s="4">
        <v>274</v>
      </c>
      <c r="Q2000" s="3" t="s">
        <v>26</v>
      </c>
      <c r="R2000" s="3">
        <v>0</v>
      </c>
      <c r="S2000" s="3" t="s">
        <v>505</v>
      </c>
      <c r="T2000" s="3" t="s">
        <v>746</v>
      </c>
      <c r="U2000" s="3">
        <v>0</v>
      </c>
      <c r="V2000" s="3">
        <v>71</v>
      </c>
      <c r="W2000" s="3">
        <v>1</v>
      </c>
    </row>
    <row r="2001" spans="1:23" ht="11.25" customHeight="1" x14ac:dyDescent="0.25">
      <c r="A2001" s="3" t="s">
        <v>27</v>
      </c>
      <c r="B2001" s="3" t="s">
        <v>47</v>
      </c>
      <c r="C2001" s="3" t="s">
        <v>23</v>
      </c>
      <c r="D2001" s="3" t="s">
        <v>48</v>
      </c>
      <c r="E2001" s="3" t="s">
        <v>49</v>
      </c>
      <c r="F2001" s="3" t="s">
        <v>25</v>
      </c>
      <c r="G2001" s="3" t="s">
        <v>25</v>
      </c>
      <c r="H2001" s="3" t="s">
        <v>25</v>
      </c>
      <c r="I2001" s="6">
        <v>44470</v>
      </c>
      <c r="J2001" s="4">
        <v>0</v>
      </c>
      <c r="K2001" s="4">
        <v>0</v>
      </c>
      <c r="L2001" s="4">
        <v>1699.692</v>
      </c>
      <c r="M2001" s="4">
        <v>1699.692</v>
      </c>
      <c r="N2001" s="4">
        <v>1699.692</v>
      </c>
      <c r="O2001" s="4">
        <v>1699.692</v>
      </c>
      <c r="P2001" s="4">
        <v>0</v>
      </c>
      <c r="Q2001" s="3" t="s">
        <v>26</v>
      </c>
      <c r="R2001" s="3">
        <v>0</v>
      </c>
      <c r="S2001" s="3" t="s">
        <v>505</v>
      </c>
      <c r="T2001" s="3" t="s">
        <v>746</v>
      </c>
      <c r="U2001" s="3">
        <v>0</v>
      </c>
      <c r="V2001" s="3">
        <v>71</v>
      </c>
      <c r="W2001" s="3">
        <v>1</v>
      </c>
    </row>
    <row r="2002" spans="1:23" ht="11.25" customHeight="1" x14ac:dyDescent="0.25">
      <c r="A2002" s="3" t="s">
        <v>21</v>
      </c>
      <c r="B2002" s="3" t="s">
        <v>47</v>
      </c>
      <c r="C2002" s="3" t="s">
        <v>23</v>
      </c>
      <c r="D2002" s="3" t="s">
        <v>48</v>
      </c>
      <c r="E2002" s="3" t="s">
        <v>49</v>
      </c>
      <c r="F2002" s="3" t="s">
        <v>25</v>
      </c>
      <c r="G2002" s="3" t="s">
        <v>25</v>
      </c>
      <c r="H2002" s="3" t="s">
        <v>25</v>
      </c>
      <c r="I2002" s="6">
        <v>44501</v>
      </c>
      <c r="J2002" s="4">
        <v>0</v>
      </c>
      <c r="K2002" s="4">
        <v>0</v>
      </c>
      <c r="L2002" s="4">
        <v>20091.36</v>
      </c>
      <c r="M2002" s="4">
        <v>20091.36</v>
      </c>
      <c r="N2002" s="4">
        <v>20091.36</v>
      </c>
      <c r="O2002" s="4">
        <v>20091.36</v>
      </c>
      <c r="P2002" s="4">
        <v>279</v>
      </c>
      <c r="Q2002" s="3" t="s">
        <v>26</v>
      </c>
      <c r="R2002" s="3">
        <v>0</v>
      </c>
      <c r="S2002" s="3" t="s">
        <v>506</v>
      </c>
      <c r="T2002" s="3" t="s">
        <v>747</v>
      </c>
      <c r="U2002" s="3">
        <v>0</v>
      </c>
      <c r="V2002" s="3">
        <v>71</v>
      </c>
      <c r="W2002" s="3">
        <v>1</v>
      </c>
    </row>
    <row r="2003" spans="1:23" ht="11.25" customHeight="1" x14ac:dyDescent="0.25">
      <c r="A2003" s="3" t="s">
        <v>27</v>
      </c>
      <c r="B2003" s="3" t="s">
        <v>47</v>
      </c>
      <c r="C2003" s="3" t="s">
        <v>23</v>
      </c>
      <c r="D2003" s="3" t="s">
        <v>48</v>
      </c>
      <c r="E2003" s="3" t="s">
        <v>49</v>
      </c>
      <c r="F2003" s="3" t="s">
        <v>25</v>
      </c>
      <c r="G2003" s="3" t="s">
        <v>25</v>
      </c>
      <c r="H2003" s="3" t="s">
        <v>25</v>
      </c>
      <c r="I2003" s="6">
        <v>44501</v>
      </c>
      <c r="J2003" s="4">
        <v>0</v>
      </c>
      <c r="K2003" s="4">
        <v>0</v>
      </c>
      <c r="L2003" s="4">
        <v>2221.096</v>
      </c>
      <c r="M2003" s="4">
        <v>2221.096</v>
      </c>
      <c r="N2003" s="4">
        <v>2221.096</v>
      </c>
      <c r="O2003" s="4">
        <v>2221.096</v>
      </c>
      <c r="P2003" s="4">
        <v>0</v>
      </c>
      <c r="Q2003" s="3" t="s">
        <v>26</v>
      </c>
      <c r="R2003" s="3">
        <v>0</v>
      </c>
      <c r="S2003" s="3" t="s">
        <v>506</v>
      </c>
      <c r="T2003" s="3" t="s">
        <v>747</v>
      </c>
      <c r="U2003" s="3">
        <v>0</v>
      </c>
      <c r="V2003" s="3">
        <v>71</v>
      </c>
      <c r="W2003" s="3">
        <v>1</v>
      </c>
    </row>
    <row r="2004" spans="1:23" ht="11.25" customHeight="1" x14ac:dyDescent="0.25">
      <c r="A2004" s="3" t="s">
        <v>21</v>
      </c>
      <c r="B2004" s="3" t="s">
        <v>47</v>
      </c>
      <c r="C2004" s="3" t="s">
        <v>23</v>
      </c>
      <c r="D2004" s="3" t="s">
        <v>48</v>
      </c>
      <c r="E2004" s="3" t="s">
        <v>49</v>
      </c>
      <c r="F2004" s="3" t="s">
        <v>25</v>
      </c>
      <c r="G2004" s="3" t="s">
        <v>25</v>
      </c>
      <c r="H2004" s="3" t="s">
        <v>25</v>
      </c>
      <c r="I2004" s="6">
        <v>44531</v>
      </c>
      <c r="J2004" s="4">
        <v>0</v>
      </c>
      <c r="K2004" s="4">
        <v>0</v>
      </c>
      <c r="L2004" s="4">
        <v>20768.733</v>
      </c>
      <c r="M2004" s="4">
        <v>20768.733</v>
      </c>
      <c r="N2004" s="4">
        <v>20768.733</v>
      </c>
      <c r="O2004" s="4">
        <v>20768.733</v>
      </c>
      <c r="P2004" s="4">
        <v>290</v>
      </c>
      <c r="Q2004" s="3" t="s">
        <v>26</v>
      </c>
      <c r="R2004" s="3">
        <v>0</v>
      </c>
      <c r="S2004" s="3" t="s">
        <v>507</v>
      </c>
      <c r="T2004" s="3" t="s">
        <v>748</v>
      </c>
      <c r="U2004" s="3">
        <v>0</v>
      </c>
      <c r="V2004" s="3">
        <v>71</v>
      </c>
      <c r="W2004" s="3">
        <v>1</v>
      </c>
    </row>
    <row r="2005" spans="1:23" ht="11.25" customHeight="1" x14ac:dyDescent="0.25">
      <c r="A2005" s="3" t="s">
        <v>27</v>
      </c>
      <c r="B2005" s="3" t="s">
        <v>47</v>
      </c>
      <c r="C2005" s="3" t="s">
        <v>23</v>
      </c>
      <c r="D2005" s="3" t="s">
        <v>48</v>
      </c>
      <c r="E2005" s="3" t="s">
        <v>49</v>
      </c>
      <c r="F2005" s="3" t="s">
        <v>25</v>
      </c>
      <c r="G2005" s="3" t="s">
        <v>25</v>
      </c>
      <c r="H2005" s="3" t="s">
        <v>25</v>
      </c>
      <c r="I2005" s="6">
        <v>44531</v>
      </c>
      <c r="J2005" s="4">
        <v>0</v>
      </c>
      <c r="K2005" s="4">
        <v>0</v>
      </c>
      <c r="L2005" s="4">
        <v>4132.5479999999998</v>
      </c>
      <c r="M2005" s="4">
        <v>4132.5479999999998</v>
      </c>
      <c r="N2005" s="4">
        <v>4132.5479999999998</v>
      </c>
      <c r="O2005" s="4">
        <v>4132.5479999999998</v>
      </c>
      <c r="P2005" s="4">
        <v>0</v>
      </c>
      <c r="Q2005" s="3" t="s">
        <v>26</v>
      </c>
      <c r="R2005" s="3">
        <v>0</v>
      </c>
      <c r="S2005" s="3" t="s">
        <v>507</v>
      </c>
      <c r="T2005" s="3" t="s">
        <v>748</v>
      </c>
      <c r="U2005" s="3">
        <v>0</v>
      </c>
      <c r="V2005" s="3">
        <v>71</v>
      </c>
      <c r="W2005" s="3">
        <v>1</v>
      </c>
    </row>
    <row r="2006" spans="1:23" ht="11.25" customHeight="1" x14ac:dyDescent="0.25">
      <c r="A2006" s="3" t="s">
        <v>21</v>
      </c>
      <c r="B2006" s="3" t="s">
        <v>47</v>
      </c>
      <c r="C2006" s="3" t="s">
        <v>23</v>
      </c>
      <c r="D2006" s="3" t="s">
        <v>48</v>
      </c>
      <c r="E2006" s="3" t="s">
        <v>49</v>
      </c>
      <c r="F2006" s="3" t="s">
        <v>25</v>
      </c>
      <c r="G2006" s="3" t="s">
        <v>25</v>
      </c>
      <c r="H2006" s="3" t="s">
        <v>25</v>
      </c>
      <c r="I2006" s="6">
        <v>44562</v>
      </c>
      <c r="J2006" s="4">
        <v>0</v>
      </c>
      <c r="K2006" s="4">
        <v>0</v>
      </c>
      <c r="L2006" s="4">
        <v>20799.067999999999</v>
      </c>
      <c r="M2006" s="4">
        <v>20799.067999999999</v>
      </c>
      <c r="N2006" s="4">
        <v>20799.067999999999</v>
      </c>
      <c r="O2006" s="4">
        <v>20799.067999999999</v>
      </c>
      <c r="P2006" s="4">
        <v>274</v>
      </c>
      <c r="Q2006" s="3" t="s">
        <v>26</v>
      </c>
      <c r="R2006" s="3">
        <v>0</v>
      </c>
      <c r="S2006" s="3" t="s">
        <v>508</v>
      </c>
      <c r="T2006" s="3" t="s">
        <v>749</v>
      </c>
      <c r="U2006" s="3">
        <v>0</v>
      </c>
      <c r="V2006" s="3">
        <v>71</v>
      </c>
      <c r="W2006" s="3">
        <v>1</v>
      </c>
    </row>
    <row r="2007" spans="1:23" ht="11.25" customHeight="1" x14ac:dyDescent="0.25">
      <c r="A2007" s="3" t="s">
        <v>21</v>
      </c>
      <c r="B2007" s="3" t="s">
        <v>47</v>
      </c>
      <c r="C2007" s="3" t="s">
        <v>23</v>
      </c>
      <c r="D2007" s="3" t="s">
        <v>48</v>
      </c>
      <c r="E2007" s="3" t="s">
        <v>49</v>
      </c>
      <c r="F2007" s="3" t="s">
        <v>25</v>
      </c>
      <c r="G2007" s="3" t="s">
        <v>25</v>
      </c>
      <c r="H2007" s="3" t="s">
        <v>25</v>
      </c>
      <c r="I2007" s="6">
        <v>44593</v>
      </c>
      <c r="J2007" s="4">
        <v>0</v>
      </c>
      <c r="K2007" s="4">
        <v>0</v>
      </c>
      <c r="L2007" s="4">
        <v>18742.116000000002</v>
      </c>
      <c r="M2007" s="4">
        <v>18742.116000000002</v>
      </c>
      <c r="N2007" s="4">
        <v>18742.116000000002</v>
      </c>
      <c r="O2007" s="4">
        <v>18742.116000000002</v>
      </c>
      <c r="P2007" s="4">
        <v>274</v>
      </c>
      <c r="Q2007" s="3" t="s">
        <v>26</v>
      </c>
      <c r="R2007" s="3">
        <v>0</v>
      </c>
      <c r="S2007" s="3" t="s">
        <v>509</v>
      </c>
      <c r="T2007" s="3" t="s">
        <v>750</v>
      </c>
      <c r="U2007" s="3">
        <v>0</v>
      </c>
      <c r="V2007" s="3">
        <v>71</v>
      </c>
      <c r="W2007" s="3">
        <v>1</v>
      </c>
    </row>
    <row r="2008" spans="1:23" ht="11.25" customHeight="1" x14ac:dyDescent="0.25">
      <c r="A2008" s="3" t="s">
        <v>27</v>
      </c>
      <c r="B2008" s="3" t="s">
        <v>47</v>
      </c>
      <c r="C2008" s="3" t="s">
        <v>23</v>
      </c>
      <c r="D2008" s="3" t="s">
        <v>48</v>
      </c>
      <c r="E2008" s="3" t="s">
        <v>49</v>
      </c>
      <c r="F2008" s="3" t="s">
        <v>25</v>
      </c>
      <c r="G2008" s="3" t="s">
        <v>25</v>
      </c>
      <c r="H2008" s="3" t="s">
        <v>25</v>
      </c>
      <c r="I2008" s="6">
        <v>44593</v>
      </c>
      <c r="J2008" s="4">
        <v>0</v>
      </c>
      <c r="K2008" s="4">
        <v>0</v>
      </c>
      <c r="L2008" s="4">
        <v>-7.5709999999999997</v>
      </c>
      <c r="M2008" s="4">
        <v>-7.5709999999999997</v>
      </c>
      <c r="N2008" s="4">
        <v>-7.5709999999999997</v>
      </c>
      <c r="O2008" s="4">
        <v>-7.5709999999999997</v>
      </c>
      <c r="P2008" s="4">
        <v>0</v>
      </c>
      <c r="Q2008" s="3" t="s">
        <v>26</v>
      </c>
      <c r="R2008" s="3">
        <v>0</v>
      </c>
      <c r="S2008" s="3" t="s">
        <v>509</v>
      </c>
      <c r="T2008" s="3" t="s">
        <v>750</v>
      </c>
      <c r="U2008" s="3">
        <v>0</v>
      </c>
      <c r="V2008" s="3">
        <v>71</v>
      </c>
      <c r="W2008" s="3">
        <v>1</v>
      </c>
    </row>
    <row r="2009" spans="1:23" ht="11.25" customHeight="1" x14ac:dyDescent="0.25">
      <c r="A2009" s="3" t="s">
        <v>21</v>
      </c>
      <c r="B2009" s="3" t="s">
        <v>47</v>
      </c>
      <c r="C2009" s="3" t="s">
        <v>23</v>
      </c>
      <c r="D2009" s="3" t="s">
        <v>48</v>
      </c>
      <c r="E2009" s="3" t="s">
        <v>49</v>
      </c>
      <c r="F2009" s="3" t="s">
        <v>25</v>
      </c>
      <c r="G2009" s="3" t="s">
        <v>25</v>
      </c>
      <c r="H2009" s="3" t="s">
        <v>25</v>
      </c>
      <c r="I2009" s="6">
        <v>44621</v>
      </c>
      <c r="J2009" s="4">
        <v>0</v>
      </c>
      <c r="K2009" s="4">
        <v>0</v>
      </c>
      <c r="L2009" s="4">
        <v>23191.295999999998</v>
      </c>
      <c r="M2009" s="4">
        <v>23191.295999999998</v>
      </c>
      <c r="N2009" s="4">
        <v>23191.295999999998</v>
      </c>
      <c r="O2009" s="4">
        <v>23191.295999999998</v>
      </c>
      <c r="P2009" s="4">
        <v>280</v>
      </c>
      <c r="Q2009" s="3" t="s">
        <v>26</v>
      </c>
      <c r="R2009" s="3">
        <v>0</v>
      </c>
      <c r="S2009" s="3" t="s">
        <v>510</v>
      </c>
      <c r="T2009" s="3" t="s">
        <v>751</v>
      </c>
      <c r="U2009" s="3">
        <v>0</v>
      </c>
      <c r="V2009" s="3">
        <v>71</v>
      </c>
      <c r="W2009" s="3">
        <v>1</v>
      </c>
    </row>
    <row r="2010" spans="1:23" ht="11.25" customHeight="1" x14ac:dyDescent="0.25">
      <c r="A2010" s="3" t="s">
        <v>27</v>
      </c>
      <c r="B2010" s="3" t="s">
        <v>47</v>
      </c>
      <c r="C2010" s="3" t="s">
        <v>23</v>
      </c>
      <c r="D2010" s="3" t="s">
        <v>48</v>
      </c>
      <c r="E2010" s="3" t="s">
        <v>49</v>
      </c>
      <c r="F2010" s="3" t="s">
        <v>25</v>
      </c>
      <c r="G2010" s="3" t="s">
        <v>25</v>
      </c>
      <c r="H2010" s="3" t="s">
        <v>25</v>
      </c>
      <c r="I2010" s="6">
        <v>44621</v>
      </c>
      <c r="J2010" s="4">
        <v>0</v>
      </c>
      <c r="K2010" s="4">
        <v>0</v>
      </c>
      <c r="L2010" s="4">
        <v>7.79</v>
      </c>
      <c r="M2010" s="4">
        <v>7.79</v>
      </c>
      <c r="N2010" s="4">
        <v>7.79</v>
      </c>
      <c r="O2010" s="4">
        <v>7.79</v>
      </c>
      <c r="P2010" s="4">
        <v>0</v>
      </c>
      <c r="Q2010" s="3" t="s">
        <v>26</v>
      </c>
      <c r="R2010" s="3">
        <v>0</v>
      </c>
      <c r="S2010" s="3" t="s">
        <v>510</v>
      </c>
      <c r="T2010" s="3" t="s">
        <v>751</v>
      </c>
      <c r="U2010" s="3">
        <v>0</v>
      </c>
      <c r="V2010" s="3">
        <v>71</v>
      </c>
      <c r="W2010" s="3">
        <v>1</v>
      </c>
    </row>
    <row r="2011" spans="1:23" ht="11.25" customHeight="1" x14ac:dyDescent="0.25">
      <c r="A2011" s="3" t="s">
        <v>56</v>
      </c>
      <c r="B2011" s="3" t="s">
        <v>47</v>
      </c>
      <c r="C2011" s="3" t="s">
        <v>23</v>
      </c>
      <c r="D2011" s="3" t="s">
        <v>48</v>
      </c>
      <c r="E2011" s="3" t="s">
        <v>49</v>
      </c>
      <c r="F2011" s="3" t="s">
        <v>25</v>
      </c>
      <c r="G2011" s="3" t="s">
        <v>25</v>
      </c>
      <c r="H2011" s="3" t="s">
        <v>25</v>
      </c>
      <c r="I2011" s="6">
        <v>44652</v>
      </c>
      <c r="J2011" s="4">
        <v>0</v>
      </c>
      <c r="K2011" s="4">
        <v>0</v>
      </c>
      <c r="L2011" s="4">
        <v>23191.295999999998</v>
      </c>
      <c r="M2011" s="4">
        <v>23191.295999999998</v>
      </c>
      <c r="N2011" s="4">
        <v>23191.295999999998</v>
      </c>
      <c r="O2011" s="4">
        <v>23191.295999999998</v>
      </c>
      <c r="P2011" s="4">
        <v>280</v>
      </c>
      <c r="Q2011" s="3" t="s">
        <v>26</v>
      </c>
      <c r="R2011" s="3">
        <v>0</v>
      </c>
      <c r="S2011" s="3" t="s">
        <v>511</v>
      </c>
      <c r="T2011" s="3" t="s">
        <v>752</v>
      </c>
      <c r="U2011" s="3">
        <v>0</v>
      </c>
      <c r="V2011" s="3">
        <v>71</v>
      </c>
      <c r="W2011" s="3">
        <v>1</v>
      </c>
    </row>
    <row r="2012" spans="1:23" ht="11.25" customHeight="1" x14ac:dyDescent="0.25">
      <c r="A2012" s="3" t="s">
        <v>56</v>
      </c>
      <c r="B2012" s="3" t="s">
        <v>47</v>
      </c>
      <c r="C2012" s="3" t="s">
        <v>23</v>
      </c>
      <c r="D2012" s="3" t="s">
        <v>48</v>
      </c>
      <c r="E2012" s="3" t="s">
        <v>49</v>
      </c>
      <c r="F2012" s="3" t="s">
        <v>25</v>
      </c>
      <c r="G2012" s="3" t="s">
        <v>25</v>
      </c>
      <c r="H2012" s="3" t="s">
        <v>25</v>
      </c>
      <c r="I2012" s="6">
        <v>44652</v>
      </c>
      <c r="J2012" s="4">
        <v>0</v>
      </c>
      <c r="K2012" s="4">
        <v>0</v>
      </c>
      <c r="L2012" s="4">
        <v>7.79</v>
      </c>
      <c r="M2012" s="4">
        <v>7.79</v>
      </c>
      <c r="N2012" s="4">
        <v>7.79</v>
      </c>
      <c r="O2012" s="4">
        <v>7.79</v>
      </c>
      <c r="P2012" s="4">
        <v>0</v>
      </c>
      <c r="Q2012" s="3" t="s">
        <v>26</v>
      </c>
      <c r="R2012" s="3">
        <v>0</v>
      </c>
      <c r="S2012" s="3" t="s">
        <v>511</v>
      </c>
      <c r="T2012" s="3" t="s">
        <v>752</v>
      </c>
      <c r="U2012" s="3">
        <v>0</v>
      </c>
      <c r="V2012" s="3">
        <v>71</v>
      </c>
      <c r="W2012" s="3">
        <v>1</v>
      </c>
    </row>
  </sheetData>
  <sortState xmlns:xlrd2="http://schemas.microsoft.com/office/spreadsheetml/2017/richdata2" ref="A2:W2012">
    <sortCondition ref="B2:B2012"/>
    <sortCondition ref="C2:C2012"/>
    <sortCondition ref="D2:D2012"/>
    <sortCondition ref="E2:E2012"/>
    <sortCondition ref="F2:F2012"/>
    <sortCondition ref="H2:H201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F74-EB0D-4798-A462-1AF812BF05B9}">
  <dimension ref="A1:H221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74</v>
      </c>
      <c r="B1" s="7" t="s">
        <v>75</v>
      </c>
      <c r="C1" s="7" t="s">
        <v>76</v>
      </c>
      <c r="D1" s="7" t="s">
        <v>77</v>
      </c>
      <c r="E1" s="7" t="s">
        <v>78</v>
      </c>
      <c r="G1" s="7" t="s">
        <v>79</v>
      </c>
      <c r="H1" s="7">
        <f>COUNTA(A:A)</f>
        <v>221</v>
      </c>
    </row>
    <row r="2" spans="1:8" ht="11.25" customHeight="1" x14ac:dyDescent="0.25">
      <c r="A2" s="8" t="s">
        <v>561</v>
      </c>
      <c r="B2" s="8" t="s">
        <v>562</v>
      </c>
      <c r="C2" s="8" t="s">
        <v>563</v>
      </c>
      <c r="D2" s="8">
        <v>684</v>
      </c>
      <c r="E2" s="8" t="s">
        <v>564</v>
      </c>
    </row>
    <row r="3" spans="1:8" ht="11.25" customHeight="1" x14ac:dyDescent="0.25">
      <c r="A3" s="8" t="s">
        <v>561</v>
      </c>
      <c r="B3" s="8" t="s">
        <v>562</v>
      </c>
      <c r="C3" s="8" t="s">
        <v>563</v>
      </c>
      <c r="D3" s="8">
        <v>685</v>
      </c>
      <c r="E3" s="8" t="s">
        <v>564</v>
      </c>
    </row>
    <row r="4" spans="1:8" ht="11.25" customHeight="1" x14ac:dyDescent="0.25">
      <c r="A4" s="8" t="s">
        <v>561</v>
      </c>
      <c r="B4" s="8" t="s">
        <v>562</v>
      </c>
      <c r="C4" s="8" t="s">
        <v>563</v>
      </c>
      <c r="D4" s="8">
        <v>686</v>
      </c>
      <c r="E4" s="8" t="s">
        <v>564</v>
      </c>
    </row>
    <row r="5" spans="1:8" ht="11.25" customHeight="1" x14ac:dyDescent="0.25">
      <c r="A5" s="8" t="s">
        <v>561</v>
      </c>
      <c r="B5" s="8" t="s">
        <v>562</v>
      </c>
      <c r="C5" s="8" t="s">
        <v>563</v>
      </c>
      <c r="D5" s="8">
        <v>687</v>
      </c>
      <c r="E5" s="8" t="s">
        <v>564</v>
      </c>
    </row>
    <row r="6" spans="1:8" ht="11.25" customHeight="1" x14ac:dyDescent="0.25">
      <c r="A6" s="8" t="s">
        <v>561</v>
      </c>
      <c r="B6" s="8" t="s">
        <v>562</v>
      </c>
      <c r="C6" s="8" t="s">
        <v>563</v>
      </c>
      <c r="D6" s="8">
        <v>688</v>
      </c>
      <c r="E6" s="8" t="s">
        <v>564</v>
      </c>
    </row>
    <row r="7" spans="1:8" ht="11.25" customHeight="1" x14ac:dyDescent="0.25">
      <c r="A7" s="8" t="s">
        <v>561</v>
      </c>
      <c r="B7" s="8" t="s">
        <v>562</v>
      </c>
      <c r="C7" s="8" t="s">
        <v>563</v>
      </c>
      <c r="D7" s="8">
        <v>689</v>
      </c>
      <c r="E7" s="8" t="s">
        <v>564</v>
      </c>
    </row>
    <row r="8" spans="1:8" ht="11.25" customHeight="1" x14ac:dyDescent="0.25">
      <c r="A8" s="8" t="s">
        <v>561</v>
      </c>
      <c r="B8" s="8" t="s">
        <v>562</v>
      </c>
      <c r="C8" s="8" t="s">
        <v>563</v>
      </c>
      <c r="D8" s="8">
        <v>690</v>
      </c>
      <c r="E8" s="8" t="s">
        <v>564</v>
      </c>
    </row>
    <row r="9" spans="1:8" ht="11.25" customHeight="1" x14ac:dyDescent="0.25">
      <c r="A9" s="8" t="s">
        <v>561</v>
      </c>
      <c r="B9" s="8" t="s">
        <v>562</v>
      </c>
      <c r="C9" s="8" t="s">
        <v>563</v>
      </c>
      <c r="D9" s="8">
        <v>691</v>
      </c>
      <c r="E9" s="8" t="s">
        <v>564</v>
      </c>
    </row>
    <row r="10" spans="1:8" ht="11.25" customHeight="1" x14ac:dyDescent="0.25">
      <c r="A10" s="8" t="s">
        <v>561</v>
      </c>
      <c r="B10" s="8" t="s">
        <v>562</v>
      </c>
      <c r="C10" s="8" t="s">
        <v>563</v>
      </c>
      <c r="D10" s="8">
        <v>692</v>
      </c>
      <c r="E10" s="8" t="s">
        <v>564</v>
      </c>
    </row>
    <row r="11" spans="1:8" ht="11.25" customHeight="1" x14ac:dyDescent="0.25">
      <c r="A11" s="8" t="s">
        <v>561</v>
      </c>
      <c r="B11" s="8" t="s">
        <v>562</v>
      </c>
      <c r="C11" s="8" t="s">
        <v>563</v>
      </c>
      <c r="D11" s="8">
        <v>693</v>
      </c>
      <c r="E11" s="8" t="s">
        <v>564</v>
      </c>
    </row>
    <row r="12" spans="1:8" ht="11.25" customHeight="1" x14ac:dyDescent="0.25">
      <c r="A12" s="8" t="s">
        <v>561</v>
      </c>
      <c r="B12" s="8" t="s">
        <v>562</v>
      </c>
      <c r="C12" s="8" t="s">
        <v>563</v>
      </c>
      <c r="D12" s="8">
        <v>694</v>
      </c>
      <c r="E12" s="8" t="s">
        <v>564</v>
      </c>
    </row>
    <row r="13" spans="1:8" ht="11.25" customHeight="1" x14ac:dyDescent="0.25">
      <c r="A13" s="8" t="s">
        <v>561</v>
      </c>
      <c r="B13" s="8" t="s">
        <v>562</v>
      </c>
      <c r="C13" s="8" t="s">
        <v>563</v>
      </c>
      <c r="D13" s="8">
        <v>695</v>
      </c>
      <c r="E13" s="8" t="s">
        <v>564</v>
      </c>
    </row>
    <row r="14" spans="1:8" ht="11.25" customHeight="1" x14ac:dyDescent="0.25">
      <c r="A14" s="8" t="s">
        <v>561</v>
      </c>
      <c r="B14" s="8" t="s">
        <v>562</v>
      </c>
      <c r="C14" s="8" t="s">
        <v>563</v>
      </c>
      <c r="D14" s="8">
        <v>696</v>
      </c>
      <c r="E14" s="8" t="s">
        <v>564</v>
      </c>
    </row>
    <row r="15" spans="1:8" ht="11.25" customHeight="1" x14ac:dyDescent="0.25">
      <c r="A15" s="8" t="s">
        <v>561</v>
      </c>
      <c r="B15" s="8" t="s">
        <v>562</v>
      </c>
      <c r="C15" s="8" t="s">
        <v>563</v>
      </c>
      <c r="D15" s="8">
        <v>697</v>
      </c>
      <c r="E15" s="8" t="s">
        <v>564</v>
      </c>
    </row>
    <row r="16" spans="1:8" ht="11.25" customHeight="1" x14ac:dyDescent="0.25">
      <c r="A16" s="8" t="s">
        <v>561</v>
      </c>
      <c r="B16" s="8" t="s">
        <v>562</v>
      </c>
      <c r="C16" s="8" t="s">
        <v>563</v>
      </c>
      <c r="D16" s="8">
        <v>698</v>
      </c>
      <c r="E16" s="8" t="s">
        <v>564</v>
      </c>
    </row>
    <row r="17" spans="1:5" ht="11.25" customHeight="1" x14ac:dyDescent="0.25">
      <c r="A17" s="8" t="s">
        <v>561</v>
      </c>
      <c r="B17" s="8" t="s">
        <v>562</v>
      </c>
      <c r="C17" s="8" t="s">
        <v>563</v>
      </c>
      <c r="D17" s="8">
        <v>699</v>
      </c>
      <c r="E17" s="8" t="s">
        <v>564</v>
      </c>
    </row>
    <row r="18" spans="1:5" ht="11.25" customHeight="1" x14ac:dyDescent="0.25">
      <c r="A18" s="8" t="s">
        <v>561</v>
      </c>
      <c r="B18" s="8" t="s">
        <v>562</v>
      </c>
      <c r="C18" s="8" t="s">
        <v>563</v>
      </c>
      <c r="D18" s="8">
        <v>700</v>
      </c>
      <c r="E18" s="8" t="s">
        <v>564</v>
      </c>
    </row>
    <row r="19" spans="1:5" ht="11.25" customHeight="1" x14ac:dyDescent="0.25">
      <c r="A19" s="8" t="s">
        <v>561</v>
      </c>
      <c r="B19" s="8" t="s">
        <v>562</v>
      </c>
      <c r="C19" s="8" t="s">
        <v>563</v>
      </c>
      <c r="D19" s="8">
        <v>701</v>
      </c>
      <c r="E19" s="8" t="s">
        <v>564</v>
      </c>
    </row>
    <row r="20" spans="1:5" ht="11.25" customHeight="1" x14ac:dyDescent="0.25">
      <c r="A20" s="8" t="s">
        <v>561</v>
      </c>
      <c r="B20" s="8" t="s">
        <v>562</v>
      </c>
      <c r="C20" s="8" t="s">
        <v>563</v>
      </c>
      <c r="D20" s="8">
        <v>702</v>
      </c>
      <c r="E20" s="8" t="s">
        <v>564</v>
      </c>
    </row>
    <row r="21" spans="1:5" ht="11.25" customHeight="1" x14ac:dyDescent="0.25">
      <c r="A21" s="8" t="s">
        <v>561</v>
      </c>
      <c r="B21" s="8" t="s">
        <v>562</v>
      </c>
      <c r="C21" s="8" t="s">
        <v>563</v>
      </c>
      <c r="D21" s="8">
        <v>703</v>
      </c>
      <c r="E21" s="8" t="s">
        <v>564</v>
      </c>
    </row>
    <row r="22" spans="1:5" ht="11.25" customHeight="1" x14ac:dyDescent="0.25">
      <c r="A22" s="8" t="s">
        <v>561</v>
      </c>
      <c r="B22" s="8" t="s">
        <v>562</v>
      </c>
      <c r="C22" s="8" t="s">
        <v>563</v>
      </c>
      <c r="D22" s="8">
        <v>704</v>
      </c>
      <c r="E22" s="8" t="s">
        <v>564</v>
      </c>
    </row>
    <row r="23" spans="1:5" ht="11.25" customHeight="1" x14ac:dyDescent="0.25">
      <c r="A23" s="8" t="s">
        <v>561</v>
      </c>
      <c r="B23" s="8" t="s">
        <v>562</v>
      </c>
      <c r="C23" s="8" t="s">
        <v>563</v>
      </c>
      <c r="D23" s="8">
        <v>705</v>
      </c>
      <c r="E23" s="8" t="s">
        <v>564</v>
      </c>
    </row>
    <row r="24" spans="1:5" ht="11.25" customHeight="1" x14ac:dyDescent="0.25">
      <c r="A24" s="8" t="s">
        <v>561</v>
      </c>
      <c r="B24" s="8" t="s">
        <v>562</v>
      </c>
      <c r="C24" s="8" t="s">
        <v>563</v>
      </c>
      <c r="D24" s="8">
        <v>706</v>
      </c>
      <c r="E24" s="8" t="s">
        <v>564</v>
      </c>
    </row>
    <row r="25" spans="1:5" ht="11.25" customHeight="1" x14ac:dyDescent="0.25">
      <c r="A25" s="8" t="s">
        <v>561</v>
      </c>
      <c r="B25" s="8" t="s">
        <v>562</v>
      </c>
      <c r="C25" s="8" t="s">
        <v>563</v>
      </c>
      <c r="D25" s="8">
        <v>707</v>
      </c>
      <c r="E25" s="8" t="s">
        <v>564</v>
      </c>
    </row>
    <row r="26" spans="1:5" ht="11.25" customHeight="1" x14ac:dyDescent="0.25">
      <c r="A26" s="8" t="s">
        <v>561</v>
      </c>
      <c r="B26" s="8" t="s">
        <v>562</v>
      </c>
      <c r="C26" s="8" t="s">
        <v>563</v>
      </c>
      <c r="D26" s="8">
        <v>708</v>
      </c>
      <c r="E26" s="8" t="s">
        <v>564</v>
      </c>
    </row>
    <row r="27" spans="1:5" ht="11.25" customHeight="1" x14ac:dyDescent="0.25">
      <c r="A27" s="8" t="s">
        <v>561</v>
      </c>
      <c r="B27" s="8" t="s">
        <v>562</v>
      </c>
      <c r="C27" s="8" t="s">
        <v>563</v>
      </c>
      <c r="D27" s="8">
        <v>709</v>
      </c>
      <c r="E27" s="8" t="s">
        <v>564</v>
      </c>
    </row>
    <row r="28" spans="1:5" ht="11.25" customHeight="1" x14ac:dyDescent="0.25">
      <c r="A28" s="8" t="s">
        <v>561</v>
      </c>
      <c r="B28" s="8" t="s">
        <v>562</v>
      </c>
      <c r="C28" s="8" t="s">
        <v>563</v>
      </c>
      <c r="D28" s="8">
        <v>710</v>
      </c>
      <c r="E28" s="8" t="s">
        <v>564</v>
      </c>
    </row>
    <row r="29" spans="1:5" ht="11.25" customHeight="1" x14ac:dyDescent="0.25">
      <c r="A29" s="8" t="s">
        <v>561</v>
      </c>
      <c r="B29" s="8" t="s">
        <v>562</v>
      </c>
      <c r="C29" s="8" t="s">
        <v>563</v>
      </c>
      <c r="D29" s="8">
        <v>711</v>
      </c>
      <c r="E29" s="8" t="s">
        <v>564</v>
      </c>
    </row>
    <row r="30" spans="1:5" ht="11.25" customHeight="1" x14ac:dyDescent="0.25">
      <c r="A30" s="8" t="s">
        <v>561</v>
      </c>
      <c r="B30" s="8" t="s">
        <v>562</v>
      </c>
      <c r="C30" s="8" t="s">
        <v>563</v>
      </c>
      <c r="D30" s="8">
        <v>712</v>
      </c>
      <c r="E30" s="8" t="s">
        <v>564</v>
      </c>
    </row>
    <row r="31" spans="1:5" ht="11.25" customHeight="1" x14ac:dyDescent="0.25">
      <c r="A31" s="8" t="s">
        <v>561</v>
      </c>
      <c r="B31" s="8" t="s">
        <v>562</v>
      </c>
      <c r="C31" s="8" t="s">
        <v>563</v>
      </c>
      <c r="D31" s="8">
        <v>713</v>
      </c>
      <c r="E31" s="8" t="s">
        <v>564</v>
      </c>
    </row>
    <row r="32" spans="1:5" ht="11.25" customHeight="1" x14ac:dyDescent="0.25">
      <c r="A32" s="8" t="s">
        <v>561</v>
      </c>
      <c r="B32" s="8" t="s">
        <v>562</v>
      </c>
      <c r="C32" s="8" t="s">
        <v>563</v>
      </c>
      <c r="D32" s="8">
        <v>714</v>
      </c>
      <c r="E32" s="8" t="s">
        <v>564</v>
      </c>
    </row>
    <row r="33" spans="1:5" ht="11.25" customHeight="1" x14ac:dyDescent="0.25">
      <c r="A33" s="8" t="s">
        <v>561</v>
      </c>
      <c r="B33" s="8" t="s">
        <v>562</v>
      </c>
      <c r="C33" s="8" t="s">
        <v>563</v>
      </c>
      <c r="D33" s="8">
        <v>715</v>
      </c>
      <c r="E33" s="8" t="s">
        <v>564</v>
      </c>
    </row>
    <row r="34" spans="1:5" ht="11.25" customHeight="1" x14ac:dyDescent="0.25">
      <c r="A34" s="8" t="s">
        <v>561</v>
      </c>
      <c r="B34" s="8" t="s">
        <v>562</v>
      </c>
      <c r="C34" s="8" t="s">
        <v>563</v>
      </c>
      <c r="D34" s="8">
        <v>716</v>
      </c>
      <c r="E34" s="8" t="s">
        <v>564</v>
      </c>
    </row>
    <row r="35" spans="1:5" ht="11.25" customHeight="1" x14ac:dyDescent="0.25">
      <c r="A35" s="8" t="s">
        <v>561</v>
      </c>
      <c r="B35" s="8" t="s">
        <v>562</v>
      </c>
      <c r="C35" s="8" t="s">
        <v>563</v>
      </c>
      <c r="D35" s="8">
        <v>717</v>
      </c>
      <c r="E35" s="8" t="s">
        <v>564</v>
      </c>
    </row>
    <row r="36" spans="1:5" ht="11.25" customHeight="1" x14ac:dyDescent="0.25">
      <c r="A36" s="8" t="s">
        <v>561</v>
      </c>
      <c r="B36" s="8" t="s">
        <v>562</v>
      </c>
      <c r="C36" s="8" t="s">
        <v>563</v>
      </c>
      <c r="D36" s="8">
        <v>718</v>
      </c>
      <c r="E36" s="8" t="s">
        <v>564</v>
      </c>
    </row>
    <row r="37" spans="1:5" ht="11.25" customHeight="1" x14ac:dyDescent="0.25">
      <c r="A37" s="8" t="s">
        <v>561</v>
      </c>
      <c r="B37" s="8" t="s">
        <v>562</v>
      </c>
      <c r="C37" s="8" t="s">
        <v>563</v>
      </c>
      <c r="D37" s="8">
        <v>719</v>
      </c>
      <c r="E37" s="8" t="s">
        <v>564</v>
      </c>
    </row>
    <row r="38" spans="1:5" ht="11.25" customHeight="1" x14ac:dyDescent="0.25">
      <c r="A38" s="8" t="s">
        <v>561</v>
      </c>
      <c r="B38" s="8" t="s">
        <v>562</v>
      </c>
      <c r="C38" s="8" t="s">
        <v>563</v>
      </c>
      <c r="D38" s="8">
        <v>720</v>
      </c>
      <c r="E38" s="8" t="s">
        <v>564</v>
      </c>
    </row>
    <row r="39" spans="1:5" ht="11.25" customHeight="1" x14ac:dyDescent="0.25">
      <c r="A39" s="8" t="s">
        <v>561</v>
      </c>
      <c r="B39" s="8" t="s">
        <v>562</v>
      </c>
      <c r="C39" s="8" t="s">
        <v>563</v>
      </c>
      <c r="D39" s="8">
        <v>721</v>
      </c>
      <c r="E39" s="8" t="s">
        <v>564</v>
      </c>
    </row>
    <row r="40" spans="1:5" ht="11.25" customHeight="1" x14ac:dyDescent="0.25">
      <c r="A40" s="8" t="s">
        <v>561</v>
      </c>
      <c r="B40" s="8" t="s">
        <v>562</v>
      </c>
      <c r="C40" s="8" t="s">
        <v>563</v>
      </c>
      <c r="D40" s="8">
        <v>722</v>
      </c>
      <c r="E40" s="8" t="s">
        <v>564</v>
      </c>
    </row>
    <row r="41" spans="1:5" ht="11.25" customHeight="1" x14ac:dyDescent="0.25">
      <c r="A41" s="8" t="s">
        <v>561</v>
      </c>
      <c r="B41" s="8" t="s">
        <v>562</v>
      </c>
      <c r="C41" s="8" t="s">
        <v>563</v>
      </c>
      <c r="D41" s="8">
        <v>723</v>
      </c>
      <c r="E41" s="8" t="s">
        <v>564</v>
      </c>
    </row>
    <row r="42" spans="1:5" ht="11.25" customHeight="1" x14ac:dyDescent="0.25">
      <c r="A42" s="8" t="s">
        <v>561</v>
      </c>
      <c r="B42" s="8" t="s">
        <v>562</v>
      </c>
      <c r="C42" s="8" t="s">
        <v>563</v>
      </c>
      <c r="D42" s="8">
        <v>724</v>
      </c>
      <c r="E42" s="8" t="s">
        <v>564</v>
      </c>
    </row>
    <row r="43" spans="1:5" ht="11.25" customHeight="1" x14ac:dyDescent="0.25">
      <c r="A43" s="8" t="s">
        <v>561</v>
      </c>
      <c r="B43" s="8" t="s">
        <v>562</v>
      </c>
      <c r="C43" s="8" t="s">
        <v>563</v>
      </c>
      <c r="D43" s="8">
        <v>781</v>
      </c>
      <c r="E43" s="8" t="s">
        <v>564</v>
      </c>
    </row>
    <row r="44" spans="1:5" ht="11.25" customHeight="1" x14ac:dyDescent="0.25">
      <c r="A44" s="8" t="s">
        <v>561</v>
      </c>
      <c r="B44" s="8" t="s">
        <v>562</v>
      </c>
      <c r="C44" s="8" t="s">
        <v>563</v>
      </c>
      <c r="D44" s="8">
        <v>782</v>
      </c>
      <c r="E44" s="8" t="s">
        <v>564</v>
      </c>
    </row>
    <row r="45" spans="1:5" ht="11.25" customHeight="1" x14ac:dyDescent="0.25">
      <c r="A45" s="8" t="s">
        <v>561</v>
      </c>
      <c r="B45" s="8" t="s">
        <v>562</v>
      </c>
      <c r="C45" s="8" t="s">
        <v>563</v>
      </c>
      <c r="D45" s="8">
        <v>783</v>
      </c>
      <c r="E45" s="8" t="s">
        <v>564</v>
      </c>
    </row>
    <row r="46" spans="1:5" ht="11.25" customHeight="1" x14ac:dyDescent="0.25">
      <c r="A46" s="8" t="s">
        <v>561</v>
      </c>
      <c r="B46" s="8" t="s">
        <v>562</v>
      </c>
      <c r="C46" s="8" t="s">
        <v>563</v>
      </c>
      <c r="D46" s="8">
        <v>784</v>
      </c>
      <c r="E46" s="8" t="s">
        <v>564</v>
      </c>
    </row>
    <row r="47" spans="1:5" ht="11.25" customHeight="1" x14ac:dyDescent="0.25">
      <c r="A47" s="8" t="s">
        <v>561</v>
      </c>
      <c r="B47" s="8" t="s">
        <v>562</v>
      </c>
      <c r="C47" s="8" t="s">
        <v>563</v>
      </c>
      <c r="D47" s="8">
        <v>785</v>
      </c>
      <c r="E47" s="8" t="s">
        <v>564</v>
      </c>
    </row>
    <row r="48" spans="1:5" ht="11.25" customHeight="1" x14ac:dyDescent="0.25">
      <c r="A48" s="8" t="s">
        <v>561</v>
      </c>
      <c r="B48" s="8" t="s">
        <v>562</v>
      </c>
      <c r="C48" s="8" t="s">
        <v>563</v>
      </c>
      <c r="D48" s="8">
        <v>786</v>
      </c>
      <c r="E48" s="8" t="s">
        <v>564</v>
      </c>
    </row>
    <row r="49" spans="1:5" ht="11.25" customHeight="1" x14ac:dyDescent="0.25">
      <c r="A49" s="8" t="s">
        <v>561</v>
      </c>
      <c r="B49" s="8" t="s">
        <v>562</v>
      </c>
      <c r="C49" s="8" t="s">
        <v>563</v>
      </c>
      <c r="D49" s="8">
        <v>787</v>
      </c>
      <c r="E49" s="8" t="s">
        <v>564</v>
      </c>
    </row>
    <row r="50" spans="1:5" ht="11.25" customHeight="1" x14ac:dyDescent="0.25">
      <c r="A50" s="8" t="s">
        <v>561</v>
      </c>
      <c r="B50" s="8" t="s">
        <v>562</v>
      </c>
      <c r="C50" s="8" t="s">
        <v>563</v>
      </c>
      <c r="D50" s="8">
        <v>788</v>
      </c>
      <c r="E50" s="8" t="s">
        <v>564</v>
      </c>
    </row>
    <row r="51" spans="1:5" ht="11.25" customHeight="1" x14ac:dyDescent="0.25">
      <c r="A51" s="8" t="s">
        <v>561</v>
      </c>
      <c r="B51" s="8" t="s">
        <v>562</v>
      </c>
      <c r="C51" s="8" t="s">
        <v>563</v>
      </c>
      <c r="D51" s="8">
        <v>789</v>
      </c>
      <c r="E51" s="8" t="s">
        <v>564</v>
      </c>
    </row>
    <row r="52" spans="1:5" ht="11.25" customHeight="1" x14ac:dyDescent="0.25">
      <c r="A52" s="8" t="s">
        <v>561</v>
      </c>
      <c r="B52" s="8" t="s">
        <v>562</v>
      </c>
      <c r="C52" s="8" t="s">
        <v>563</v>
      </c>
      <c r="D52" s="8">
        <v>790</v>
      </c>
      <c r="E52" s="8" t="s">
        <v>564</v>
      </c>
    </row>
    <row r="53" spans="1:5" ht="11.25" customHeight="1" x14ac:dyDescent="0.25">
      <c r="A53" s="8" t="s">
        <v>561</v>
      </c>
      <c r="B53" s="8" t="s">
        <v>562</v>
      </c>
      <c r="C53" s="8" t="s">
        <v>563</v>
      </c>
      <c r="D53" s="8">
        <v>791</v>
      </c>
      <c r="E53" s="8" t="s">
        <v>564</v>
      </c>
    </row>
    <row r="54" spans="1:5" ht="11.25" customHeight="1" x14ac:dyDescent="0.25">
      <c r="A54" s="8" t="s">
        <v>561</v>
      </c>
      <c r="B54" s="8" t="s">
        <v>562</v>
      </c>
      <c r="C54" s="8" t="s">
        <v>563</v>
      </c>
      <c r="D54" s="8">
        <v>792</v>
      </c>
      <c r="E54" s="8" t="s">
        <v>564</v>
      </c>
    </row>
    <row r="55" spans="1:5" ht="11.25" customHeight="1" x14ac:dyDescent="0.25">
      <c r="A55" s="8" t="s">
        <v>561</v>
      </c>
      <c r="B55" s="8" t="s">
        <v>562</v>
      </c>
      <c r="C55" s="8" t="s">
        <v>563</v>
      </c>
      <c r="D55" s="8">
        <v>886</v>
      </c>
      <c r="E55" s="8" t="s">
        <v>564</v>
      </c>
    </row>
    <row r="56" spans="1:5" ht="11.25" customHeight="1" x14ac:dyDescent="0.25">
      <c r="A56" s="8" t="s">
        <v>561</v>
      </c>
      <c r="B56" s="8" t="s">
        <v>562</v>
      </c>
      <c r="C56" s="8" t="s">
        <v>563</v>
      </c>
      <c r="D56" s="8">
        <v>887</v>
      </c>
      <c r="E56" s="8" t="s">
        <v>564</v>
      </c>
    </row>
    <row r="57" spans="1:5" ht="11.25" customHeight="1" x14ac:dyDescent="0.25">
      <c r="A57" s="8" t="s">
        <v>561</v>
      </c>
      <c r="B57" s="8" t="s">
        <v>562</v>
      </c>
      <c r="C57" s="8" t="s">
        <v>563</v>
      </c>
      <c r="D57" s="8">
        <v>888</v>
      </c>
      <c r="E57" s="8" t="s">
        <v>564</v>
      </c>
    </row>
    <row r="58" spans="1:5" ht="11.25" customHeight="1" x14ac:dyDescent="0.25">
      <c r="A58" s="8" t="s">
        <v>561</v>
      </c>
      <c r="B58" s="8" t="s">
        <v>562</v>
      </c>
      <c r="C58" s="8" t="s">
        <v>563</v>
      </c>
      <c r="D58" s="8">
        <v>890</v>
      </c>
      <c r="E58" s="8" t="s">
        <v>564</v>
      </c>
    </row>
    <row r="59" spans="1:5" ht="11.25" customHeight="1" x14ac:dyDescent="0.25">
      <c r="A59" s="8" t="s">
        <v>561</v>
      </c>
      <c r="B59" s="8" t="s">
        <v>562</v>
      </c>
      <c r="C59" s="8" t="s">
        <v>563</v>
      </c>
      <c r="D59" s="8">
        <v>891</v>
      </c>
      <c r="E59" s="8" t="s">
        <v>564</v>
      </c>
    </row>
    <row r="60" spans="1:5" ht="11.25" customHeight="1" x14ac:dyDescent="0.25">
      <c r="A60" s="8" t="s">
        <v>561</v>
      </c>
      <c r="B60" s="8" t="s">
        <v>562</v>
      </c>
      <c r="C60" s="8" t="s">
        <v>563</v>
      </c>
      <c r="D60" s="8">
        <v>892</v>
      </c>
      <c r="E60" s="8" t="s">
        <v>564</v>
      </c>
    </row>
    <row r="61" spans="1:5" ht="11.25" customHeight="1" x14ac:dyDescent="0.25">
      <c r="A61" s="8" t="s">
        <v>561</v>
      </c>
      <c r="B61" s="8" t="s">
        <v>562</v>
      </c>
      <c r="C61" s="8" t="s">
        <v>563</v>
      </c>
      <c r="D61" s="8">
        <v>894</v>
      </c>
      <c r="E61" s="8" t="s">
        <v>564</v>
      </c>
    </row>
    <row r="62" spans="1:5" ht="11.25" customHeight="1" x14ac:dyDescent="0.25">
      <c r="A62" s="8" t="s">
        <v>561</v>
      </c>
      <c r="B62" s="8" t="s">
        <v>562</v>
      </c>
      <c r="C62" s="8" t="s">
        <v>563</v>
      </c>
      <c r="D62" s="8">
        <v>895</v>
      </c>
      <c r="E62" s="8" t="s">
        <v>564</v>
      </c>
    </row>
    <row r="63" spans="1:5" ht="11.25" customHeight="1" x14ac:dyDescent="0.25">
      <c r="A63" s="8" t="s">
        <v>561</v>
      </c>
      <c r="B63" s="8" t="s">
        <v>562</v>
      </c>
      <c r="C63" s="8" t="s">
        <v>563</v>
      </c>
      <c r="D63" s="8">
        <v>897</v>
      </c>
      <c r="E63" s="8" t="s">
        <v>564</v>
      </c>
    </row>
    <row r="64" spans="1:5" ht="11.25" customHeight="1" x14ac:dyDescent="0.25">
      <c r="A64" s="8" t="s">
        <v>561</v>
      </c>
      <c r="B64" s="8" t="s">
        <v>562</v>
      </c>
      <c r="C64" s="8" t="s">
        <v>563</v>
      </c>
      <c r="D64" s="8">
        <v>898</v>
      </c>
      <c r="E64" s="8" t="s">
        <v>564</v>
      </c>
    </row>
    <row r="65" spans="1:5" ht="11.25" customHeight="1" x14ac:dyDescent="0.25">
      <c r="A65" s="8" t="s">
        <v>561</v>
      </c>
      <c r="B65" s="8" t="s">
        <v>562</v>
      </c>
      <c r="C65" s="8" t="s">
        <v>563</v>
      </c>
      <c r="D65" s="8">
        <v>899</v>
      </c>
      <c r="E65" s="8" t="s">
        <v>564</v>
      </c>
    </row>
    <row r="66" spans="1:5" ht="11.25" customHeight="1" x14ac:dyDescent="0.25">
      <c r="A66" s="8" t="s">
        <v>561</v>
      </c>
      <c r="B66" s="8" t="s">
        <v>562</v>
      </c>
      <c r="C66" s="8" t="s">
        <v>563</v>
      </c>
      <c r="D66" s="8">
        <v>901</v>
      </c>
      <c r="E66" s="8" t="s">
        <v>564</v>
      </c>
    </row>
    <row r="67" spans="1:5" ht="11.25" customHeight="1" x14ac:dyDescent="0.25">
      <c r="A67" s="8" t="s">
        <v>561</v>
      </c>
      <c r="B67" s="8" t="s">
        <v>562</v>
      </c>
      <c r="C67" s="8" t="s">
        <v>563</v>
      </c>
      <c r="D67" s="8">
        <v>902</v>
      </c>
      <c r="E67" s="8" t="s">
        <v>564</v>
      </c>
    </row>
    <row r="68" spans="1:5" ht="11.25" customHeight="1" x14ac:dyDescent="0.25">
      <c r="A68" s="8" t="s">
        <v>561</v>
      </c>
      <c r="B68" s="8" t="s">
        <v>562</v>
      </c>
      <c r="C68" s="8" t="s">
        <v>563</v>
      </c>
      <c r="D68" s="8">
        <v>903</v>
      </c>
      <c r="E68" s="8" t="s">
        <v>564</v>
      </c>
    </row>
    <row r="69" spans="1:5" ht="11.25" customHeight="1" x14ac:dyDescent="0.25">
      <c r="A69" s="8" t="s">
        <v>561</v>
      </c>
      <c r="B69" s="8" t="s">
        <v>562</v>
      </c>
      <c r="C69" s="8" t="s">
        <v>563</v>
      </c>
      <c r="D69" s="8">
        <v>905</v>
      </c>
      <c r="E69" s="8" t="s">
        <v>564</v>
      </c>
    </row>
    <row r="70" spans="1:5" ht="11.25" customHeight="1" x14ac:dyDescent="0.25">
      <c r="A70" s="8" t="s">
        <v>561</v>
      </c>
      <c r="B70" s="8" t="s">
        <v>562</v>
      </c>
      <c r="C70" s="8" t="s">
        <v>563</v>
      </c>
      <c r="D70" s="8">
        <v>906</v>
      </c>
      <c r="E70" s="8" t="s">
        <v>564</v>
      </c>
    </row>
    <row r="71" spans="1:5" ht="11.25" customHeight="1" x14ac:dyDescent="0.25">
      <c r="A71" s="8" t="s">
        <v>561</v>
      </c>
      <c r="B71" s="8" t="s">
        <v>562</v>
      </c>
      <c r="C71" s="8" t="s">
        <v>563</v>
      </c>
      <c r="D71" s="8">
        <v>907</v>
      </c>
      <c r="E71" s="8" t="s">
        <v>564</v>
      </c>
    </row>
    <row r="72" spans="1:5" ht="11.25" customHeight="1" x14ac:dyDescent="0.25">
      <c r="A72" s="8" t="s">
        <v>561</v>
      </c>
      <c r="B72" s="8" t="s">
        <v>562</v>
      </c>
      <c r="C72" s="8" t="s">
        <v>563</v>
      </c>
      <c r="D72" s="8">
        <v>909</v>
      </c>
      <c r="E72" s="8" t="s">
        <v>564</v>
      </c>
    </row>
    <row r="73" spans="1:5" ht="11.25" customHeight="1" x14ac:dyDescent="0.25">
      <c r="A73" s="8" t="s">
        <v>561</v>
      </c>
      <c r="B73" s="8" t="s">
        <v>562</v>
      </c>
      <c r="C73" s="8" t="s">
        <v>563</v>
      </c>
      <c r="D73" s="8">
        <v>910</v>
      </c>
      <c r="E73" s="8" t="s">
        <v>564</v>
      </c>
    </row>
    <row r="74" spans="1:5" ht="11.25" customHeight="1" x14ac:dyDescent="0.25">
      <c r="A74" s="8" t="s">
        <v>561</v>
      </c>
      <c r="B74" s="8" t="s">
        <v>562</v>
      </c>
      <c r="C74" s="8" t="s">
        <v>563</v>
      </c>
      <c r="D74" s="8">
        <v>911</v>
      </c>
      <c r="E74" s="8" t="s">
        <v>564</v>
      </c>
    </row>
    <row r="75" spans="1:5" ht="11.25" customHeight="1" x14ac:dyDescent="0.25">
      <c r="A75" s="8" t="s">
        <v>561</v>
      </c>
      <c r="B75" s="8" t="s">
        <v>562</v>
      </c>
      <c r="C75" s="8" t="s">
        <v>563</v>
      </c>
      <c r="D75" s="8">
        <v>913</v>
      </c>
      <c r="E75" s="8" t="s">
        <v>564</v>
      </c>
    </row>
    <row r="76" spans="1:5" ht="11.25" customHeight="1" x14ac:dyDescent="0.25">
      <c r="A76" s="8" t="s">
        <v>561</v>
      </c>
      <c r="B76" s="8" t="s">
        <v>562</v>
      </c>
      <c r="C76" s="8" t="s">
        <v>563</v>
      </c>
      <c r="D76" s="8">
        <v>914</v>
      </c>
      <c r="E76" s="8" t="s">
        <v>564</v>
      </c>
    </row>
    <row r="77" spans="1:5" ht="11.25" customHeight="1" x14ac:dyDescent="0.25">
      <c r="A77" s="8" t="s">
        <v>561</v>
      </c>
      <c r="B77" s="8" t="s">
        <v>562</v>
      </c>
      <c r="C77" s="8" t="s">
        <v>563</v>
      </c>
      <c r="D77" s="8">
        <v>915</v>
      </c>
      <c r="E77" s="8" t="s">
        <v>564</v>
      </c>
    </row>
    <row r="78" spans="1:5" ht="11.25" customHeight="1" x14ac:dyDescent="0.25">
      <c r="A78" s="8" t="s">
        <v>561</v>
      </c>
      <c r="B78" s="8" t="s">
        <v>562</v>
      </c>
      <c r="C78" s="8" t="s">
        <v>563</v>
      </c>
      <c r="D78" s="8">
        <v>917</v>
      </c>
      <c r="E78" s="8" t="s">
        <v>564</v>
      </c>
    </row>
    <row r="79" spans="1:5" ht="11.25" customHeight="1" x14ac:dyDescent="0.25">
      <c r="A79" s="8" t="s">
        <v>561</v>
      </c>
      <c r="B79" s="8" t="s">
        <v>562</v>
      </c>
      <c r="C79" s="8" t="s">
        <v>563</v>
      </c>
      <c r="D79" s="8">
        <v>918</v>
      </c>
      <c r="E79" s="8" t="s">
        <v>564</v>
      </c>
    </row>
    <row r="80" spans="1:5" ht="11.25" customHeight="1" x14ac:dyDescent="0.25">
      <c r="A80" s="8" t="s">
        <v>561</v>
      </c>
      <c r="B80" s="8" t="s">
        <v>562</v>
      </c>
      <c r="C80" s="8" t="s">
        <v>563</v>
      </c>
      <c r="D80" s="8">
        <v>919</v>
      </c>
      <c r="E80" s="8" t="s">
        <v>564</v>
      </c>
    </row>
    <row r="81" spans="1:5" ht="11.25" customHeight="1" x14ac:dyDescent="0.25">
      <c r="A81" s="8" t="s">
        <v>561</v>
      </c>
      <c r="B81" s="8" t="s">
        <v>562</v>
      </c>
      <c r="C81" s="8" t="s">
        <v>563</v>
      </c>
      <c r="D81" s="8">
        <v>921</v>
      </c>
      <c r="E81" s="8" t="s">
        <v>564</v>
      </c>
    </row>
    <row r="82" spans="1:5" ht="11.25" customHeight="1" x14ac:dyDescent="0.25">
      <c r="A82" s="8" t="s">
        <v>561</v>
      </c>
      <c r="B82" s="8" t="s">
        <v>562</v>
      </c>
      <c r="C82" s="8" t="s">
        <v>563</v>
      </c>
      <c r="D82" s="8">
        <v>922</v>
      </c>
      <c r="E82" s="8" t="s">
        <v>564</v>
      </c>
    </row>
    <row r="83" spans="1:5" ht="11.25" customHeight="1" x14ac:dyDescent="0.25">
      <c r="A83" s="8" t="s">
        <v>561</v>
      </c>
      <c r="B83" s="8" t="s">
        <v>562</v>
      </c>
      <c r="C83" s="8" t="s">
        <v>563</v>
      </c>
      <c r="D83" s="8">
        <v>923</v>
      </c>
      <c r="E83" s="8" t="s">
        <v>564</v>
      </c>
    </row>
    <row r="84" spans="1:5" ht="11.25" customHeight="1" x14ac:dyDescent="0.25">
      <c r="A84" s="8" t="s">
        <v>561</v>
      </c>
      <c r="B84" s="8" t="s">
        <v>562</v>
      </c>
      <c r="C84" s="8" t="s">
        <v>563</v>
      </c>
      <c r="D84" s="8">
        <v>925</v>
      </c>
      <c r="E84" s="8" t="s">
        <v>564</v>
      </c>
    </row>
    <row r="85" spans="1:5" ht="11.25" customHeight="1" x14ac:dyDescent="0.25">
      <c r="A85" s="8" t="s">
        <v>561</v>
      </c>
      <c r="B85" s="8" t="s">
        <v>562</v>
      </c>
      <c r="C85" s="8" t="s">
        <v>563</v>
      </c>
      <c r="D85" s="8">
        <v>926</v>
      </c>
      <c r="E85" s="8" t="s">
        <v>564</v>
      </c>
    </row>
    <row r="86" spans="1:5" ht="11.25" customHeight="1" x14ac:dyDescent="0.25">
      <c r="A86" s="8" t="s">
        <v>561</v>
      </c>
      <c r="B86" s="8" t="s">
        <v>562</v>
      </c>
      <c r="C86" s="8" t="s">
        <v>563</v>
      </c>
      <c r="D86" s="8">
        <v>928</v>
      </c>
      <c r="E86" s="8" t="s">
        <v>564</v>
      </c>
    </row>
    <row r="87" spans="1:5" ht="11.25" customHeight="1" x14ac:dyDescent="0.25">
      <c r="A87" s="8" t="s">
        <v>561</v>
      </c>
      <c r="B87" s="8" t="s">
        <v>562</v>
      </c>
      <c r="C87" s="8" t="s">
        <v>563</v>
      </c>
      <c r="D87" s="8">
        <v>929</v>
      </c>
      <c r="E87" s="8" t="s">
        <v>564</v>
      </c>
    </row>
    <row r="88" spans="1:5" ht="11.25" customHeight="1" x14ac:dyDescent="0.25">
      <c r="A88" s="8" t="s">
        <v>561</v>
      </c>
      <c r="B88" s="8" t="s">
        <v>562</v>
      </c>
      <c r="C88" s="8" t="s">
        <v>563</v>
      </c>
      <c r="D88" s="8">
        <v>1004</v>
      </c>
      <c r="E88" s="8" t="s">
        <v>564</v>
      </c>
    </row>
    <row r="89" spans="1:5" ht="11.25" customHeight="1" x14ac:dyDescent="0.25">
      <c r="A89" s="8" t="s">
        <v>561</v>
      </c>
      <c r="B89" s="8" t="s">
        <v>562</v>
      </c>
      <c r="C89" s="8" t="s">
        <v>563</v>
      </c>
      <c r="D89" s="8">
        <v>1005</v>
      </c>
      <c r="E89" s="8" t="s">
        <v>564</v>
      </c>
    </row>
    <row r="90" spans="1:5" ht="11.25" customHeight="1" x14ac:dyDescent="0.25">
      <c r="A90" s="8" t="s">
        <v>561</v>
      </c>
      <c r="B90" s="8" t="s">
        <v>562</v>
      </c>
      <c r="C90" s="8" t="s">
        <v>563</v>
      </c>
      <c r="D90" s="8">
        <v>1006</v>
      </c>
      <c r="E90" s="8" t="s">
        <v>564</v>
      </c>
    </row>
    <row r="91" spans="1:5" ht="11.25" customHeight="1" x14ac:dyDescent="0.25">
      <c r="A91" s="8" t="s">
        <v>561</v>
      </c>
      <c r="B91" s="8" t="s">
        <v>562</v>
      </c>
      <c r="C91" s="8" t="s">
        <v>563</v>
      </c>
      <c r="D91" s="8">
        <v>1007</v>
      </c>
      <c r="E91" s="8" t="s">
        <v>564</v>
      </c>
    </row>
    <row r="92" spans="1:5" ht="11.25" customHeight="1" x14ac:dyDescent="0.25">
      <c r="A92" s="8" t="s">
        <v>561</v>
      </c>
      <c r="B92" s="8" t="s">
        <v>562</v>
      </c>
      <c r="C92" s="8" t="s">
        <v>563</v>
      </c>
      <c r="D92" s="8">
        <v>1008</v>
      </c>
      <c r="E92" s="8" t="s">
        <v>564</v>
      </c>
    </row>
    <row r="93" spans="1:5" ht="11.25" customHeight="1" x14ac:dyDescent="0.25">
      <c r="A93" s="8" t="s">
        <v>561</v>
      </c>
      <c r="B93" s="8" t="s">
        <v>562</v>
      </c>
      <c r="C93" s="8" t="s">
        <v>563</v>
      </c>
      <c r="D93" s="8">
        <v>1009</v>
      </c>
      <c r="E93" s="8" t="s">
        <v>564</v>
      </c>
    </row>
    <row r="94" spans="1:5" ht="11.25" customHeight="1" x14ac:dyDescent="0.25">
      <c r="A94" s="8" t="s">
        <v>561</v>
      </c>
      <c r="B94" s="8" t="s">
        <v>562</v>
      </c>
      <c r="C94" s="8" t="s">
        <v>563</v>
      </c>
      <c r="D94" s="8">
        <v>1010</v>
      </c>
      <c r="E94" s="8" t="s">
        <v>564</v>
      </c>
    </row>
    <row r="95" spans="1:5" ht="11.25" customHeight="1" x14ac:dyDescent="0.25">
      <c r="A95" s="8" t="s">
        <v>561</v>
      </c>
      <c r="B95" s="8" t="s">
        <v>562</v>
      </c>
      <c r="C95" s="8" t="s">
        <v>563</v>
      </c>
      <c r="D95" s="8">
        <v>1011</v>
      </c>
      <c r="E95" s="8" t="s">
        <v>564</v>
      </c>
    </row>
    <row r="96" spans="1:5" ht="11.25" customHeight="1" x14ac:dyDescent="0.25">
      <c r="A96" s="8" t="s">
        <v>561</v>
      </c>
      <c r="B96" s="8" t="s">
        <v>562</v>
      </c>
      <c r="C96" s="8" t="s">
        <v>563</v>
      </c>
      <c r="D96" s="8">
        <v>1012</v>
      </c>
      <c r="E96" s="8" t="s">
        <v>564</v>
      </c>
    </row>
    <row r="97" spans="1:5" ht="11.25" customHeight="1" x14ac:dyDescent="0.25">
      <c r="A97" s="8" t="s">
        <v>561</v>
      </c>
      <c r="B97" s="8" t="s">
        <v>562</v>
      </c>
      <c r="C97" s="8" t="s">
        <v>563</v>
      </c>
      <c r="D97" s="8">
        <v>1013</v>
      </c>
      <c r="E97" s="8" t="s">
        <v>564</v>
      </c>
    </row>
    <row r="98" spans="1:5" ht="11.25" customHeight="1" x14ac:dyDescent="0.25">
      <c r="A98" s="8" t="s">
        <v>561</v>
      </c>
      <c r="B98" s="8" t="s">
        <v>562</v>
      </c>
      <c r="C98" s="8" t="s">
        <v>563</v>
      </c>
      <c r="D98" s="8">
        <v>1014</v>
      </c>
      <c r="E98" s="8" t="s">
        <v>564</v>
      </c>
    </row>
    <row r="99" spans="1:5" ht="11.25" customHeight="1" x14ac:dyDescent="0.25">
      <c r="A99" s="8" t="s">
        <v>561</v>
      </c>
      <c r="B99" s="8" t="s">
        <v>562</v>
      </c>
      <c r="C99" s="8" t="s">
        <v>563</v>
      </c>
      <c r="D99" s="8">
        <v>1015</v>
      </c>
      <c r="E99" s="8" t="s">
        <v>564</v>
      </c>
    </row>
    <row r="100" spans="1:5" ht="11.25" customHeight="1" x14ac:dyDescent="0.25">
      <c r="A100" s="8" t="s">
        <v>561</v>
      </c>
      <c r="B100" s="8" t="s">
        <v>562</v>
      </c>
      <c r="C100" s="8" t="s">
        <v>563</v>
      </c>
      <c r="D100" s="8">
        <v>1016</v>
      </c>
      <c r="E100" s="8" t="s">
        <v>564</v>
      </c>
    </row>
    <row r="101" spans="1:5" ht="11.25" customHeight="1" x14ac:dyDescent="0.25">
      <c r="A101" s="8" t="s">
        <v>561</v>
      </c>
      <c r="B101" s="8" t="s">
        <v>562</v>
      </c>
      <c r="C101" s="8" t="s">
        <v>563</v>
      </c>
      <c r="D101" s="8">
        <v>1017</v>
      </c>
      <c r="E101" s="8" t="s">
        <v>564</v>
      </c>
    </row>
    <row r="102" spans="1:5" ht="11.25" customHeight="1" x14ac:dyDescent="0.25">
      <c r="A102" s="8" t="s">
        <v>561</v>
      </c>
      <c r="B102" s="8" t="s">
        <v>562</v>
      </c>
      <c r="C102" s="8" t="s">
        <v>563</v>
      </c>
      <c r="D102" s="8">
        <v>1018</v>
      </c>
      <c r="E102" s="8" t="s">
        <v>564</v>
      </c>
    </row>
    <row r="103" spans="1:5" ht="11.25" customHeight="1" x14ac:dyDescent="0.25">
      <c r="A103" s="8" t="s">
        <v>561</v>
      </c>
      <c r="B103" s="8" t="s">
        <v>562</v>
      </c>
      <c r="C103" s="8" t="s">
        <v>563</v>
      </c>
      <c r="D103" s="8">
        <v>1019</v>
      </c>
      <c r="E103" s="8" t="s">
        <v>564</v>
      </c>
    </row>
    <row r="104" spans="1:5" ht="11.25" customHeight="1" x14ac:dyDescent="0.25">
      <c r="A104" s="8" t="s">
        <v>561</v>
      </c>
      <c r="B104" s="8" t="s">
        <v>562</v>
      </c>
      <c r="C104" s="8" t="s">
        <v>563</v>
      </c>
      <c r="D104" s="8">
        <v>1020</v>
      </c>
      <c r="E104" s="8" t="s">
        <v>564</v>
      </c>
    </row>
    <row r="105" spans="1:5" ht="11.25" customHeight="1" x14ac:dyDescent="0.25">
      <c r="A105" s="8" t="s">
        <v>561</v>
      </c>
      <c r="B105" s="8" t="s">
        <v>562</v>
      </c>
      <c r="C105" s="8" t="s">
        <v>563</v>
      </c>
      <c r="D105" s="8">
        <v>1021</v>
      </c>
      <c r="E105" s="8" t="s">
        <v>564</v>
      </c>
    </row>
    <row r="106" spans="1:5" ht="11.25" customHeight="1" x14ac:dyDescent="0.25">
      <c r="A106" s="8" t="s">
        <v>561</v>
      </c>
      <c r="B106" s="8" t="s">
        <v>562</v>
      </c>
      <c r="C106" s="8" t="s">
        <v>563</v>
      </c>
      <c r="D106" s="8">
        <v>1022</v>
      </c>
      <c r="E106" s="8" t="s">
        <v>564</v>
      </c>
    </row>
    <row r="107" spans="1:5" ht="11.25" customHeight="1" x14ac:dyDescent="0.25">
      <c r="A107" s="8" t="s">
        <v>561</v>
      </c>
      <c r="B107" s="8" t="s">
        <v>562</v>
      </c>
      <c r="C107" s="8" t="s">
        <v>563</v>
      </c>
      <c r="D107" s="8">
        <v>1023</v>
      </c>
      <c r="E107" s="8" t="s">
        <v>564</v>
      </c>
    </row>
    <row r="108" spans="1:5" ht="11.25" customHeight="1" x14ac:dyDescent="0.25">
      <c r="A108" s="8" t="s">
        <v>561</v>
      </c>
      <c r="B108" s="8" t="s">
        <v>562</v>
      </c>
      <c r="C108" s="8" t="s">
        <v>563</v>
      </c>
      <c r="D108" s="8">
        <v>1024</v>
      </c>
      <c r="E108" s="8" t="s">
        <v>564</v>
      </c>
    </row>
    <row r="109" spans="1:5" ht="11.25" customHeight="1" x14ac:dyDescent="0.25">
      <c r="A109" s="8" t="s">
        <v>561</v>
      </c>
      <c r="B109" s="8" t="s">
        <v>562</v>
      </c>
      <c r="C109" s="8" t="s">
        <v>563</v>
      </c>
      <c r="D109" s="8">
        <v>1025</v>
      </c>
      <c r="E109" s="8" t="s">
        <v>564</v>
      </c>
    </row>
    <row r="110" spans="1:5" ht="11.25" customHeight="1" x14ac:dyDescent="0.25">
      <c r="A110" s="8" t="s">
        <v>561</v>
      </c>
      <c r="B110" s="8" t="s">
        <v>562</v>
      </c>
      <c r="C110" s="8" t="s">
        <v>563</v>
      </c>
      <c r="D110" s="8">
        <v>1026</v>
      </c>
      <c r="E110" s="8" t="s">
        <v>564</v>
      </c>
    </row>
    <row r="111" spans="1:5" ht="11.25" customHeight="1" x14ac:dyDescent="0.25">
      <c r="A111" s="8" t="s">
        <v>561</v>
      </c>
      <c r="B111" s="8" t="s">
        <v>562</v>
      </c>
      <c r="C111" s="8" t="s">
        <v>563</v>
      </c>
      <c r="D111" s="8">
        <v>1027</v>
      </c>
      <c r="E111" s="8" t="s">
        <v>564</v>
      </c>
    </row>
    <row r="112" spans="1:5" ht="11.25" customHeight="1" x14ac:dyDescent="0.25">
      <c r="A112" s="8" t="s">
        <v>561</v>
      </c>
      <c r="B112" s="8" t="s">
        <v>562</v>
      </c>
      <c r="C112" s="8" t="s">
        <v>563</v>
      </c>
      <c r="D112" s="8">
        <v>1028</v>
      </c>
      <c r="E112" s="8" t="s">
        <v>564</v>
      </c>
    </row>
    <row r="113" spans="1:5" ht="11.25" customHeight="1" x14ac:dyDescent="0.25">
      <c r="A113" s="8" t="s">
        <v>561</v>
      </c>
      <c r="B113" s="8" t="s">
        <v>562</v>
      </c>
      <c r="C113" s="8" t="s">
        <v>563</v>
      </c>
      <c r="D113" s="8">
        <v>1029</v>
      </c>
      <c r="E113" s="8" t="s">
        <v>564</v>
      </c>
    </row>
    <row r="114" spans="1:5" ht="11.25" customHeight="1" x14ac:dyDescent="0.25">
      <c r="A114" s="8" t="s">
        <v>561</v>
      </c>
      <c r="B114" s="8" t="s">
        <v>562</v>
      </c>
      <c r="C114" s="8" t="s">
        <v>563</v>
      </c>
      <c r="D114" s="8">
        <v>1030</v>
      </c>
      <c r="E114" s="8" t="s">
        <v>564</v>
      </c>
    </row>
    <row r="115" spans="1:5" ht="11.25" customHeight="1" x14ac:dyDescent="0.25">
      <c r="A115" s="8" t="s">
        <v>561</v>
      </c>
      <c r="B115" s="8" t="s">
        <v>562</v>
      </c>
      <c r="C115" s="8" t="s">
        <v>563</v>
      </c>
      <c r="D115" s="8">
        <v>1031</v>
      </c>
      <c r="E115" s="8" t="s">
        <v>564</v>
      </c>
    </row>
    <row r="116" spans="1:5" ht="11.25" customHeight="1" x14ac:dyDescent="0.25">
      <c r="A116" s="8" t="s">
        <v>561</v>
      </c>
      <c r="B116" s="8" t="s">
        <v>562</v>
      </c>
      <c r="C116" s="8" t="s">
        <v>563</v>
      </c>
      <c r="D116" s="8">
        <v>1076</v>
      </c>
      <c r="E116" s="8" t="s">
        <v>564</v>
      </c>
    </row>
    <row r="117" spans="1:5" ht="11.25" customHeight="1" x14ac:dyDescent="0.25">
      <c r="A117" s="8" t="s">
        <v>561</v>
      </c>
      <c r="B117" s="8" t="s">
        <v>562</v>
      </c>
      <c r="C117" s="8" t="s">
        <v>563</v>
      </c>
      <c r="D117" s="8">
        <v>1077</v>
      </c>
      <c r="E117" s="8" t="s">
        <v>564</v>
      </c>
    </row>
    <row r="118" spans="1:5" ht="11.25" customHeight="1" x14ac:dyDescent="0.25">
      <c r="A118" s="8" t="s">
        <v>561</v>
      </c>
      <c r="B118" s="8" t="s">
        <v>562</v>
      </c>
      <c r="C118" s="8" t="s">
        <v>563</v>
      </c>
      <c r="D118" s="8">
        <v>1078</v>
      </c>
      <c r="E118" s="8" t="s">
        <v>564</v>
      </c>
    </row>
    <row r="119" spans="1:5" ht="11.25" customHeight="1" x14ac:dyDescent="0.25">
      <c r="A119" s="8" t="s">
        <v>561</v>
      </c>
      <c r="B119" s="8" t="s">
        <v>562</v>
      </c>
      <c r="C119" s="8" t="s">
        <v>563</v>
      </c>
      <c r="D119" s="8">
        <v>1079</v>
      </c>
      <c r="E119" s="8" t="s">
        <v>564</v>
      </c>
    </row>
    <row r="120" spans="1:5" ht="11.25" customHeight="1" x14ac:dyDescent="0.25">
      <c r="A120" s="8" t="s">
        <v>561</v>
      </c>
      <c r="B120" s="8" t="s">
        <v>562</v>
      </c>
      <c r="C120" s="8" t="s">
        <v>563</v>
      </c>
      <c r="D120" s="8">
        <v>1080</v>
      </c>
      <c r="E120" s="8" t="s">
        <v>564</v>
      </c>
    </row>
    <row r="121" spans="1:5" ht="11.25" customHeight="1" x14ac:dyDescent="0.25">
      <c r="A121" s="8" t="s">
        <v>561</v>
      </c>
      <c r="B121" s="8" t="s">
        <v>562</v>
      </c>
      <c r="C121" s="8" t="s">
        <v>563</v>
      </c>
      <c r="D121" s="8">
        <v>1081</v>
      </c>
      <c r="E121" s="8" t="s">
        <v>564</v>
      </c>
    </row>
    <row r="122" spans="1:5" ht="11.25" customHeight="1" x14ac:dyDescent="0.25">
      <c r="A122" s="8" t="s">
        <v>561</v>
      </c>
      <c r="B122" s="8" t="s">
        <v>562</v>
      </c>
      <c r="C122" s="8" t="s">
        <v>563</v>
      </c>
      <c r="D122" s="8">
        <v>1082</v>
      </c>
      <c r="E122" s="8" t="s">
        <v>564</v>
      </c>
    </row>
    <row r="123" spans="1:5" ht="11.25" customHeight="1" x14ac:dyDescent="0.25">
      <c r="A123" s="8" t="s">
        <v>561</v>
      </c>
      <c r="B123" s="8" t="s">
        <v>562</v>
      </c>
      <c r="C123" s="8" t="s">
        <v>563</v>
      </c>
      <c r="D123" s="8">
        <v>1083</v>
      </c>
      <c r="E123" s="8" t="s">
        <v>564</v>
      </c>
    </row>
    <row r="124" spans="1:5" ht="11.25" customHeight="1" x14ac:dyDescent="0.25">
      <c r="A124" s="8" t="s">
        <v>561</v>
      </c>
      <c r="B124" s="8" t="s">
        <v>562</v>
      </c>
      <c r="C124" s="8" t="s">
        <v>563</v>
      </c>
      <c r="D124" s="8">
        <v>1084</v>
      </c>
      <c r="E124" s="8" t="s">
        <v>564</v>
      </c>
    </row>
    <row r="125" spans="1:5" ht="11.25" customHeight="1" x14ac:dyDescent="0.25">
      <c r="A125" s="8" t="s">
        <v>561</v>
      </c>
      <c r="B125" s="8" t="s">
        <v>562</v>
      </c>
      <c r="C125" s="8" t="s">
        <v>563</v>
      </c>
      <c r="D125" s="8">
        <v>1085</v>
      </c>
      <c r="E125" s="8" t="s">
        <v>564</v>
      </c>
    </row>
    <row r="126" spans="1:5" ht="11.25" customHeight="1" x14ac:dyDescent="0.25">
      <c r="A126" s="8" t="s">
        <v>561</v>
      </c>
      <c r="B126" s="8" t="s">
        <v>562</v>
      </c>
      <c r="C126" s="8" t="s">
        <v>563</v>
      </c>
      <c r="D126" s="8">
        <v>1086</v>
      </c>
      <c r="E126" s="8" t="s">
        <v>564</v>
      </c>
    </row>
    <row r="127" spans="1:5" ht="11.25" customHeight="1" x14ac:dyDescent="0.25">
      <c r="A127" s="8" t="s">
        <v>561</v>
      </c>
      <c r="B127" s="8" t="s">
        <v>562</v>
      </c>
      <c r="C127" s="8" t="s">
        <v>563</v>
      </c>
      <c r="D127" s="8">
        <v>1087</v>
      </c>
      <c r="E127" s="8" t="s">
        <v>564</v>
      </c>
    </row>
    <row r="128" spans="1:5" ht="11.25" customHeight="1" x14ac:dyDescent="0.25">
      <c r="A128" s="8" t="s">
        <v>561</v>
      </c>
      <c r="B128" s="8" t="s">
        <v>562</v>
      </c>
      <c r="C128" s="8" t="s">
        <v>563</v>
      </c>
      <c r="D128" s="8">
        <v>1088</v>
      </c>
      <c r="E128" s="8" t="s">
        <v>564</v>
      </c>
    </row>
    <row r="129" spans="1:5" ht="11.25" customHeight="1" x14ac:dyDescent="0.25">
      <c r="A129" s="8" t="s">
        <v>561</v>
      </c>
      <c r="B129" s="8" t="s">
        <v>562</v>
      </c>
      <c r="C129" s="8" t="s">
        <v>563</v>
      </c>
      <c r="D129" s="8">
        <v>1089</v>
      </c>
      <c r="E129" s="8" t="s">
        <v>564</v>
      </c>
    </row>
    <row r="130" spans="1:5" ht="11.25" customHeight="1" x14ac:dyDescent="0.25">
      <c r="A130" s="8" t="s">
        <v>561</v>
      </c>
      <c r="B130" s="8" t="s">
        <v>562</v>
      </c>
      <c r="C130" s="8" t="s">
        <v>563</v>
      </c>
      <c r="D130" s="8">
        <v>1090</v>
      </c>
      <c r="E130" s="8" t="s">
        <v>564</v>
      </c>
    </row>
    <row r="131" spans="1:5" ht="11.25" customHeight="1" x14ac:dyDescent="0.25">
      <c r="A131" s="8" t="s">
        <v>561</v>
      </c>
      <c r="B131" s="8" t="s">
        <v>562</v>
      </c>
      <c r="C131" s="8" t="s">
        <v>563</v>
      </c>
      <c r="D131" s="8">
        <v>1091</v>
      </c>
      <c r="E131" s="8" t="s">
        <v>564</v>
      </c>
    </row>
    <row r="132" spans="1:5" ht="11.25" customHeight="1" x14ac:dyDescent="0.25">
      <c r="A132" s="8" t="s">
        <v>561</v>
      </c>
      <c r="B132" s="8" t="s">
        <v>562</v>
      </c>
      <c r="C132" s="8" t="s">
        <v>563</v>
      </c>
      <c r="D132" s="8">
        <v>1145</v>
      </c>
      <c r="E132" s="8" t="s">
        <v>564</v>
      </c>
    </row>
    <row r="133" spans="1:5" ht="11.25" customHeight="1" x14ac:dyDescent="0.25">
      <c r="A133" s="8" t="s">
        <v>561</v>
      </c>
      <c r="B133" s="8" t="s">
        <v>562</v>
      </c>
      <c r="C133" s="8" t="s">
        <v>563</v>
      </c>
      <c r="D133" s="8">
        <v>1146</v>
      </c>
      <c r="E133" s="8" t="s">
        <v>564</v>
      </c>
    </row>
    <row r="134" spans="1:5" ht="11.25" customHeight="1" x14ac:dyDescent="0.25">
      <c r="A134" s="8" t="s">
        <v>561</v>
      </c>
      <c r="B134" s="8" t="s">
        <v>562</v>
      </c>
      <c r="C134" s="8" t="s">
        <v>563</v>
      </c>
      <c r="D134" s="8">
        <v>1147</v>
      </c>
      <c r="E134" s="8" t="s">
        <v>564</v>
      </c>
    </row>
    <row r="135" spans="1:5" ht="11.25" customHeight="1" x14ac:dyDescent="0.25">
      <c r="A135" s="8" t="s">
        <v>561</v>
      </c>
      <c r="B135" s="8" t="s">
        <v>562</v>
      </c>
      <c r="C135" s="8" t="s">
        <v>563</v>
      </c>
      <c r="D135" s="8">
        <v>1148</v>
      </c>
      <c r="E135" s="8" t="s">
        <v>564</v>
      </c>
    </row>
    <row r="136" spans="1:5" ht="11.25" customHeight="1" x14ac:dyDescent="0.25">
      <c r="A136" s="8" t="s">
        <v>561</v>
      </c>
      <c r="B136" s="8" t="s">
        <v>562</v>
      </c>
      <c r="C136" s="8" t="s">
        <v>563</v>
      </c>
      <c r="D136" s="8">
        <v>1149</v>
      </c>
      <c r="E136" s="8" t="s">
        <v>564</v>
      </c>
    </row>
    <row r="137" spans="1:5" ht="11.25" customHeight="1" x14ac:dyDescent="0.25">
      <c r="A137" s="8" t="s">
        <v>561</v>
      </c>
      <c r="B137" s="8" t="s">
        <v>562</v>
      </c>
      <c r="C137" s="8" t="s">
        <v>563</v>
      </c>
      <c r="D137" s="8">
        <v>1150</v>
      </c>
      <c r="E137" s="8" t="s">
        <v>564</v>
      </c>
    </row>
    <row r="138" spans="1:5" ht="11.25" customHeight="1" x14ac:dyDescent="0.25">
      <c r="A138" s="8" t="s">
        <v>561</v>
      </c>
      <c r="B138" s="8" t="s">
        <v>562</v>
      </c>
      <c r="C138" s="8" t="s">
        <v>563</v>
      </c>
      <c r="D138" s="8">
        <v>1151</v>
      </c>
      <c r="E138" s="8" t="s">
        <v>564</v>
      </c>
    </row>
    <row r="139" spans="1:5" ht="11.25" customHeight="1" x14ac:dyDescent="0.25">
      <c r="A139" s="8" t="s">
        <v>561</v>
      </c>
      <c r="B139" s="8" t="s">
        <v>562</v>
      </c>
      <c r="C139" s="8" t="s">
        <v>563</v>
      </c>
      <c r="D139" s="8">
        <v>1152</v>
      </c>
      <c r="E139" s="8" t="s">
        <v>564</v>
      </c>
    </row>
    <row r="140" spans="1:5" ht="11.25" customHeight="1" x14ac:dyDescent="0.25">
      <c r="A140" s="8" t="s">
        <v>561</v>
      </c>
      <c r="B140" s="8" t="s">
        <v>562</v>
      </c>
      <c r="C140" s="8" t="s">
        <v>563</v>
      </c>
      <c r="D140" s="8">
        <v>1153</v>
      </c>
      <c r="E140" s="8" t="s">
        <v>564</v>
      </c>
    </row>
    <row r="141" spans="1:5" ht="11.25" customHeight="1" x14ac:dyDescent="0.25">
      <c r="A141" s="8" t="s">
        <v>561</v>
      </c>
      <c r="B141" s="8" t="s">
        <v>562</v>
      </c>
      <c r="C141" s="8" t="s">
        <v>563</v>
      </c>
      <c r="D141" s="8">
        <v>1154</v>
      </c>
      <c r="E141" s="8" t="s">
        <v>564</v>
      </c>
    </row>
    <row r="142" spans="1:5" ht="11.25" customHeight="1" x14ac:dyDescent="0.25">
      <c r="A142" s="8" t="s">
        <v>561</v>
      </c>
      <c r="B142" s="8" t="s">
        <v>562</v>
      </c>
      <c r="C142" s="8" t="s">
        <v>563</v>
      </c>
      <c r="D142" s="8">
        <v>1155</v>
      </c>
      <c r="E142" s="8" t="s">
        <v>564</v>
      </c>
    </row>
    <row r="143" spans="1:5" ht="11.25" customHeight="1" x14ac:dyDescent="0.25">
      <c r="A143" s="8" t="s">
        <v>561</v>
      </c>
      <c r="B143" s="8" t="s">
        <v>562</v>
      </c>
      <c r="C143" s="8" t="s">
        <v>563</v>
      </c>
      <c r="D143" s="8">
        <v>1156</v>
      </c>
      <c r="E143" s="8" t="s">
        <v>564</v>
      </c>
    </row>
    <row r="144" spans="1:5" ht="11.25" customHeight="1" x14ac:dyDescent="0.25">
      <c r="A144" s="8" t="s">
        <v>561</v>
      </c>
      <c r="B144" s="8" t="s">
        <v>562</v>
      </c>
      <c r="C144" s="8" t="s">
        <v>563</v>
      </c>
      <c r="D144" s="8">
        <v>1157</v>
      </c>
      <c r="E144" s="8" t="s">
        <v>564</v>
      </c>
    </row>
    <row r="145" spans="1:5" ht="11.25" customHeight="1" x14ac:dyDescent="0.25">
      <c r="A145" s="8" t="s">
        <v>561</v>
      </c>
      <c r="B145" s="8" t="s">
        <v>562</v>
      </c>
      <c r="C145" s="8" t="s">
        <v>563</v>
      </c>
      <c r="D145" s="8">
        <v>1158</v>
      </c>
      <c r="E145" s="8" t="s">
        <v>564</v>
      </c>
    </row>
    <row r="146" spans="1:5" ht="11.25" customHeight="1" x14ac:dyDescent="0.25">
      <c r="A146" s="8" t="s">
        <v>561</v>
      </c>
      <c r="B146" s="8" t="s">
        <v>562</v>
      </c>
      <c r="C146" s="8" t="s">
        <v>563</v>
      </c>
      <c r="D146" s="8">
        <v>1159</v>
      </c>
      <c r="E146" s="8" t="s">
        <v>564</v>
      </c>
    </row>
    <row r="147" spans="1:5" ht="11.25" customHeight="1" x14ac:dyDescent="0.25">
      <c r="A147" s="8" t="s">
        <v>561</v>
      </c>
      <c r="B147" s="8" t="s">
        <v>562</v>
      </c>
      <c r="C147" s="8" t="s">
        <v>563</v>
      </c>
      <c r="D147" s="8">
        <v>1160</v>
      </c>
      <c r="E147" s="8" t="s">
        <v>564</v>
      </c>
    </row>
    <row r="148" spans="1:5" ht="11.25" customHeight="1" x14ac:dyDescent="0.25">
      <c r="A148" s="8" t="s">
        <v>561</v>
      </c>
      <c r="B148" s="8" t="s">
        <v>562</v>
      </c>
      <c r="C148" s="8" t="s">
        <v>563</v>
      </c>
      <c r="D148" s="8">
        <v>1161</v>
      </c>
      <c r="E148" s="8" t="s">
        <v>564</v>
      </c>
    </row>
    <row r="149" spans="1:5" ht="11.25" customHeight="1" x14ac:dyDescent="0.25">
      <c r="A149" s="8" t="s">
        <v>561</v>
      </c>
      <c r="B149" s="8" t="s">
        <v>562</v>
      </c>
      <c r="C149" s="8" t="s">
        <v>563</v>
      </c>
      <c r="D149" s="8">
        <v>1162</v>
      </c>
      <c r="E149" s="8" t="s">
        <v>564</v>
      </c>
    </row>
    <row r="150" spans="1:5" ht="11.25" customHeight="1" x14ac:dyDescent="0.25">
      <c r="A150" s="8" t="s">
        <v>561</v>
      </c>
      <c r="B150" s="8" t="s">
        <v>562</v>
      </c>
      <c r="C150" s="8" t="s">
        <v>563</v>
      </c>
      <c r="D150" s="8">
        <v>1163</v>
      </c>
      <c r="E150" s="8" t="s">
        <v>564</v>
      </c>
    </row>
    <row r="151" spans="1:5" ht="11.25" customHeight="1" x14ac:dyDescent="0.25">
      <c r="A151" s="8" t="s">
        <v>561</v>
      </c>
      <c r="B151" s="8" t="s">
        <v>562</v>
      </c>
      <c r="C151" s="8" t="s">
        <v>563</v>
      </c>
      <c r="D151" s="8">
        <v>1164</v>
      </c>
      <c r="E151" s="8" t="s">
        <v>564</v>
      </c>
    </row>
    <row r="152" spans="1:5" ht="11.25" customHeight="1" x14ac:dyDescent="0.25">
      <c r="A152" s="8" t="s">
        <v>561</v>
      </c>
      <c r="B152" s="8" t="s">
        <v>562</v>
      </c>
      <c r="C152" s="8" t="s">
        <v>563</v>
      </c>
      <c r="D152" s="8">
        <v>1165</v>
      </c>
      <c r="E152" s="8" t="s">
        <v>564</v>
      </c>
    </row>
    <row r="153" spans="1:5" ht="11.25" customHeight="1" x14ac:dyDescent="0.25">
      <c r="A153" s="8" t="s">
        <v>561</v>
      </c>
      <c r="B153" s="8" t="s">
        <v>562</v>
      </c>
      <c r="C153" s="8" t="s">
        <v>563</v>
      </c>
      <c r="D153" s="8">
        <v>1166</v>
      </c>
      <c r="E153" s="8" t="s">
        <v>564</v>
      </c>
    </row>
    <row r="154" spans="1:5" ht="11.25" customHeight="1" x14ac:dyDescent="0.25">
      <c r="A154" s="8" t="s">
        <v>561</v>
      </c>
      <c r="B154" s="8" t="s">
        <v>562</v>
      </c>
      <c r="C154" s="8" t="s">
        <v>563</v>
      </c>
      <c r="D154" s="8">
        <v>1167</v>
      </c>
      <c r="E154" s="8" t="s">
        <v>564</v>
      </c>
    </row>
    <row r="155" spans="1:5" ht="11.25" customHeight="1" x14ac:dyDescent="0.25">
      <c r="A155" s="8" t="s">
        <v>561</v>
      </c>
      <c r="B155" s="8" t="s">
        <v>562</v>
      </c>
      <c r="C155" s="8" t="s">
        <v>563</v>
      </c>
      <c r="D155" s="8">
        <v>1168</v>
      </c>
      <c r="E155" s="8" t="s">
        <v>564</v>
      </c>
    </row>
    <row r="156" spans="1:5" ht="11.25" customHeight="1" x14ac:dyDescent="0.25">
      <c r="A156" s="8" t="s">
        <v>561</v>
      </c>
      <c r="B156" s="8" t="s">
        <v>562</v>
      </c>
      <c r="C156" s="8" t="s">
        <v>563</v>
      </c>
      <c r="D156" s="8">
        <v>1169</v>
      </c>
      <c r="E156" s="8" t="s">
        <v>564</v>
      </c>
    </row>
    <row r="157" spans="1:5" ht="11.25" customHeight="1" x14ac:dyDescent="0.25">
      <c r="A157" s="8" t="s">
        <v>561</v>
      </c>
      <c r="B157" s="8" t="s">
        <v>562</v>
      </c>
      <c r="C157" s="8" t="s">
        <v>563</v>
      </c>
      <c r="D157" s="8">
        <v>1170</v>
      </c>
      <c r="E157" s="8" t="s">
        <v>564</v>
      </c>
    </row>
    <row r="158" spans="1:5" ht="11.25" customHeight="1" x14ac:dyDescent="0.25">
      <c r="A158" s="8" t="s">
        <v>561</v>
      </c>
      <c r="B158" s="8" t="s">
        <v>562</v>
      </c>
      <c r="C158" s="8" t="s">
        <v>563</v>
      </c>
      <c r="D158" s="8">
        <v>1171</v>
      </c>
      <c r="E158" s="8" t="s">
        <v>564</v>
      </c>
    </row>
    <row r="159" spans="1:5" ht="11.25" customHeight="1" x14ac:dyDescent="0.25">
      <c r="A159" s="8" t="s">
        <v>561</v>
      </c>
      <c r="B159" s="8" t="s">
        <v>562</v>
      </c>
      <c r="C159" s="8" t="s">
        <v>563</v>
      </c>
      <c r="D159" s="8">
        <v>1172</v>
      </c>
      <c r="E159" s="8" t="s">
        <v>564</v>
      </c>
    </row>
    <row r="160" spans="1:5" ht="11.25" customHeight="1" x14ac:dyDescent="0.25">
      <c r="A160" s="8" t="s">
        <v>561</v>
      </c>
      <c r="B160" s="8" t="s">
        <v>562</v>
      </c>
      <c r="C160" s="8" t="s">
        <v>563</v>
      </c>
      <c r="D160" s="8">
        <v>1173</v>
      </c>
      <c r="E160" s="8" t="s">
        <v>564</v>
      </c>
    </row>
    <row r="161" spans="1:5" ht="11.25" customHeight="1" x14ac:dyDescent="0.25">
      <c r="A161" s="8" t="s">
        <v>561</v>
      </c>
      <c r="B161" s="8" t="s">
        <v>562</v>
      </c>
      <c r="C161" s="8" t="s">
        <v>563</v>
      </c>
      <c r="D161" s="8">
        <v>1174</v>
      </c>
      <c r="E161" s="8" t="s">
        <v>564</v>
      </c>
    </row>
    <row r="162" spans="1:5" ht="11.25" customHeight="1" x14ac:dyDescent="0.25">
      <c r="A162" s="8" t="s">
        <v>561</v>
      </c>
      <c r="B162" s="8" t="s">
        <v>562</v>
      </c>
      <c r="C162" s="8" t="s">
        <v>563</v>
      </c>
      <c r="D162" s="8">
        <v>1175</v>
      </c>
      <c r="E162" s="8" t="s">
        <v>564</v>
      </c>
    </row>
    <row r="163" spans="1:5" ht="11.25" customHeight="1" x14ac:dyDescent="0.25">
      <c r="A163" s="8" t="s">
        <v>561</v>
      </c>
      <c r="B163" s="8" t="s">
        <v>562</v>
      </c>
      <c r="C163" s="8" t="s">
        <v>563</v>
      </c>
      <c r="D163" s="8">
        <v>1217</v>
      </c>
      <c r="E163" s="8" t="s">
        <v>564</v>
      </c>
    </row>
    <row r="164" spans="1:5" ht="11.25" customHeight="1" x14ac:dyDescent="0.25">
      <c r="A164" s="8" t="s">
        <v>561</v>
      </c>
      <c r="B164" s="8" t="s">
        <v>562</v>
      </c>
      <c r="C164" s="8" t="s">
        <v>563</v>
      </c>
      <c r="D164" s="8">
        <v>1218</v>
      </c>
      <c r="E164" s="8" t="s">
        <v>564</v>
      </c>
    </row>
    <row r="165" spans="1:5" ht="11.25" customHeight="1" x14ac:dyDescent="0.25">
      <c r="A165" s="8" t="s">
        <v>561</v>
      </c>
      <c r="B165" s="8" t="s">
        <v>562</v>
      </c>
      <c r="C165" s="8" t="s">
        <v>563</v>
      </c>
      <c r="D165" s="8">
        <v>1219</v>
      </c>
      <c r="E165" s="8" t="s">
        <v>564</v>
      </c>
    </row>
    <row r="166" spans="1:5" ht="11.25" customHeight="1" x14ac:dyDescent="0.25">
      <c r="A166" s="8" t="s">
        <v>561</v>
      </c>
      <c r="B166" s="8" t="s">
        <v>562</v>
      </c>
      <c r="C166" s="8" t="s">
        <v>563</v>
      </c>
      <c r="D166" s="8">
        <v>1220</v>
      </c>
      <c r="E166" s="8" t="s">
        <v>564</v>
      </c>
    </row>
    <row r="167" spans="1:5" ht="11.25" customHeight="1" x14ac:dyDescent="0.25">
      <c r="A167" s="8" t="s">
        <v>561</v>
      </c>
      <c r="B167" s="8" t="s">
        <v>562</v>
      </c>
      <c r="C167" s="8" t="s">
        <v>563</v>
      </c>
      <c r="D167" s="8">
        <v>1221</v>
      </c>
      <c r="E167" s="8" t="s">
        <v>564</v>
      </c>
    </row>
    <row r="168" spans="1:5" ht="11.25" customHeight="1" x14ac:dyDescent="0.25">
      <c r="A168" s="8" t="s">
        <v>561</v>
      </c>
      <c r="B168" s="8" t="s">
        <v>562</v>
      </c>
      <c r="C168" s="8" t="s">
        <v>563</v>
      </c>
      <c r="D168" s="8">
        <v>1222</v>
      </c>
      <c r="E168" s="8" t="s">
        <v>564</v>
      </c>
    </row>
    <row r="169" spans="1:5" ht="11.25" customHeight="1" x14ac:dyDescent="0.25">
      <c r="A169" s="8" t="s">
        <v>561</v>
      </c>
      <c r="B169" s="8" t="s">
        <v>562</v>
      </c>
      <c r="C169" s="8" t="s">
        <v>563</v>
      </c>
      <c r="D169" s="8">
        <v>1223</v>
      </c>
      <c r="E169" s="8" t="s">
        <v>564</v>
      </c>
    </row>
    <row r="170" spans="1:5" ht="11.25" customHeight="1" x14ac:dyDescent="0.25">
      <c r="A170" s="8" t="s">
        <v>561</v>
      </c>
      <c r="B170" s="8" t="s">
        <v>562</v>
      </c>
      <c r="C170" s="8" t="s">
        <v>563</v>
      </c>
      <c r="D170" s="8">
        <v>1224</v>
      </c>
      <c r="E170" s="8" t="s">
        <v>564</v>
      </c>
    </row>
    <row r="171" spans="1:5" ht="11.25" customHeight="1" x14ac:dyDescent="0.25">
      <c r="A171" s="8" t="s">
        <v>561</v>
      </c>
      <c r="B171" s="8" t="s">
        <v>562</v>
      </c>
      <c r="C171" s="8" t="s">
        <v>563</v>
      </c>
      <c r="D171" s="8">
        <v>1225</v>
      </c>
      <c r="E171" s="8" t="s">
        <v>564</v>
      </c>
    </row>
    <row r="172" spans="1:5" ht="11.25" customHeight="1" x14ac:dyDescent="0.25">
      <c r="A172" s="8" t="s">
        <v>561</v>
      </c>
      <c r="B172" s="8" t="s">
        <v>562</v>
      </c>
      <c r="C172" s="8" t="s">
        <v>563</v>
      </c>
      <c r="D172" s="8">
        <v>1226</v>
      </c>
      <c r="E172" s="8" t="s">
        <v>564</v>
      </c>
    </row>
    <row r="173" spans="1:5" ht="11.25" customHeight="1" x14ac:dyDescent="0.25">
      <c r="A173" s="8" t="s">
        <v>561</v>
      </c>
      <c r="B173" s="8" t="s">
        <v>562</v>
      </c>
      <c r="C173" s="8" t="s">
        <v>563</v>
      </c>
      <c r="D173" s="8">
        <v>1227</v>
      </c>
      <c r="E173" s="8" t="s">
        <v>564</v>
      </c>
    </row>
    <row r="174" spans="1:5" ht="11.25" customHeight="1" x14ac:dyDescent="0.25">
      <c r="A174" s="8" t="s">
        <v>561</v>
      </c>
      <c r="B174" s="8" t="s">
        <v>562</v>
      </c>
      <c r="C174" s="8" t="s">
        <v>563</v>
      </c>
      <c r="D174" s="8">
        <v>1228</v>
      </c>
      <c r="E174" s="8" t="s">
        <v>564</v>
      </c>
    </row>
    <row r="175" spans="1:5" ht="11.25" customHeight="1" x14ac:dyDescent="0.25">
      <c r="A175" s="8" t="s">
        <v>561</v>
      </c>
      <c r="B175" s="8" t="s">
        <v>562</v>
      </c>
      <c r="C175" s="8" t="s">
        <v>563</v>
      </c>
      <c r="D175" s="8">
        <v>1229</v>
      </c>
      <c r="E175" s="8" t="s">
        <v>564</v>
      </c>
    </row>
    <row r="176" spans="1:5" ht="11.25" customHeight="1" x14ac:dyDescent="0.25">
      <c r="A176" s="8" t="s">
        <v>561</v>
      </c>
      <c r="B176" s="8" t="s">
        <v>562</v>
      </c>
      <c r="C176" s="8" t="s">
        <v>563</v>
      </c>
      <c r="D176" s="8">
        <v>1230</v>
      </c>
      <c r="E176" s="8" t="s">
        <v>564</v>
      </c>
    </row>
    <row r="177" spans="1:5" ht="11.25" customHeight="1" x14ac:dyDescent="0.25">
      <c r="A177" s="8" t="s">
        <v>561</v>
      </c>
      <c r="B177" s="8" t="s">
        <v>562</v>
      </c>
      <c r="C177" s="8" t="s">
        <v>563</v>
      </c>
      <c r="D177" s="8">
        <v>1231</v>
      </c>
      <c r="E177" s="8" t="s">
        <v>564</v>
      </c>
    </row>
    <row r="178" spans="1:5" ht="11.25" customHeight="1" x14ac:dyDescent="0.25">
      <c r="A178" s="8" t="s">
        <v>561</v>
      </c>
      <c r="B178" s="8" t="s">
        <v>562</v>
      </c>
      <c r="C178" s="8" t="s">
        <v>563</v>
      </c>
      <c r="D178" s="8">
        <v>1232</v>
      </c>
      <c r="E178" s="8" t="s">
        <v>564</v>
      </c>
    </row>
    <row r="179" spans="1:5" ht="11.25" customHeight="1" x14ac:dyDescent="0.25">
      <c r="A179" s="8" t="s">
        <v>561</v>
      </c>
      <c r="B179" s="8" t="s">
        <v>562</v>
      </c>
      <c r="C179" s="8" t="s">
        <v>563</v>
      </c>
      <c r="D179" s="8">
        <v>1233</v>
      </c>
      <c r="E179" s="8" t="s">
        <v>564</v>
      </c>
    </row>
    <row r="180" spans="1:5" ht="11.25" customHeight="1" x14ac:dyDescent="0.25">
      <c r="A180" s="8" t="s">
        <v>561</v>
      </c>
      <c r="B180" s="8" t="s">
        <v>562</v>
      </c>
      <c r="C180" s="8" t="s">
        <v>563</v>
      </c>
      <c r="D180" s="8">
        <v>1234</v>
      </c>
      <c r="E180" s="8" t="s">
        <v>564</v>
      </c>
    </row>
    <row r="181" spans="1:5" ht="11.25" customHeight="1" x14ac:dyDescent="0.25">
      <c r="A181" s="8" t="s">
        <v>561</v>
      </c>
      <c r="B181" s="8" t="s">
        <v>562</v>
      </c>
      <c r="C181" s="8" t="s">
        <v>563</v>
      </c>
      <c r="D181" s="8">
        <v>1235</v>
      </c>
      <c r="E181" s="8" t="s">
        <v>564</v>
      </c>
    </row>
    <row r="182" spans="1:5" ht="11.25" customHeight="1" x14ac:dyDescent="0.25">
      <c r="A182" s="8" t="s">
        <v>561</v>
      </c>
      <c r="B182" s="8" t="s">
        <v>562</v>
      </c>
      <c r="C182" s="8" t="s">
        <v>563</v>
      </c>
      <c r="D182" s="8">
        <v>1236</v>
      </c>
      <c r="E182" s="8" t="s">
        <v>564</v>
      </c>
    </row>
    <row r="183" spans="1:5" ht="11.25" customHeight="1" x14ac:dyDescent="0.25">
      <c r="A183" s="8" t="s">
        <v>561</v>
      </c>
      <c r="B183" s="8" t="s">
        <v>562</v>
      </c>
      <c r="C183" s="8" t="s">
        <v>563</v>
      </c>
      <c r="D183" s="8">
        <v>1237</v>
      </c>
      <c r="E183" s="8" t="s">
        <v>564</v>
      </c>
    </row>
    <row r="184" spans="1:5" ht="11.25" customHeight="1" x14ac:dyDescent="0.25">
      <c r="A184" s="8" t="s">
        <v>561</v>
      </c>
      <c r="B184" s="8" t="s">
        <v>562</v>
      </c>
      <c r="C184" s="8" t="s">
        <v>563</v>
      </c>
      <c r="D184" s="8">
        <v>1238</v>
      </c>
      <c r="E184" s="8" t="s">
        <v>564</v>
      </c>
    </row>
    <row r="185" spans="1:5" ht="11.25" customHeight="1" x14ac:dyDescent="0.25">
      <c r="A185" s="8" t="s">
        <v>561</v>
      </c>
      <c r="B185" s="8" t="s">
        <v>562</v>
      </c>
      <c r="C185" s="8" t="s">
        <v>563</v>
      </c>
      <c r="D185" s="8">
        <v>1239</v>
      </c>
      <c r="E185" s="8" t="s">
        <v>564</v>
      </c>
    </row>
    <row r="186" spans="1:5" ht="11.25" customHeight="1" x14ac:dyDescent="0.25">
      <c r="A186" s="8" t="s">
        <v>561</v>
      </c>
      <c r="B186" s="8" t="s">
        <v>562</v>
      </c>
      <c r="C186" s="8" t="s">
        <v>563</v>
      </c>
      <c r="D186" s="8">
        <v>1240</v>
      </c>
      <c r="E186" s="8" t="s">
        <v>564</v>
      </c>
    </row>
    <row r="187" spans="1:5" ht="11.25" customHeight="1" x14ac:dyDescent="0.25">
      <c r="A187" s="8" t="s">
        <v>561</v>
      </c>
      <c r="B187" s="8" t="s">
        <v>562</v>
      </c>
      <c r="C187" s="8" t="s">
        <v>563</v>
      </c>
      <c r="D187" s="8">
        <v>1290</v>
      </c>
      <c r="E187" s="8" t="s">
        <v>564</v>
      </c>
    </row>
    <row r="188" spans="1:5" ht="11.25" customHeight="1" x14ac:dyDescent="0.25">
      <c r="A188" s="8" t="s">
        <v>561</v>
      </c>
      <c r="B188" s="8" t="s">
        <v>562</v>
      </c>
      <c r="C188" s="8" t="s">
        <v>563</v>
      </c>
      <c r="D188" s="8">
        <v>1291</v>
      </c>
      <c r="E188" s="8" t="s">
        <v>564</v>
      </c>
    </row>
    <row r="189" spans="1:5" ht="11.25" customHeight="1" x14ac:dyDescent="0.25">
      <c r="A189" s="8" t="s">
        <v>561</v>
      </c>
      <c r="B189" s="8" t="s">
        <v>562</v>
      </c>
      <c r="C189" s="8" t="s">
        <v>563</v>
      </c>
      <c r="D189" s="8">
        <v>1292</v>
      </c>
      <c r="E189" s="8" t="s">
        <v>564</v>
      </c>
    </row>
    <row r="190" spans="1:5" ht="11.25" customHeight="1" x14ac:dyDescent="0.25">
      <c r="A190" s="8" t="s">
        <v>561</v>
      </c>
      <c r="B190" s="8" t="s">
        <v>562</v>
      </c>
      <c r="C190" s="8" t="s">
        <v>563</v>
      </c>
      <c r="D190" s="8">
        <v>1293</v>
      </c>
      <c r="E190" s="8" t="s">
        <v>564</v>
      </c>
    </row>
    <row r="191" spans="1:5" ht="11.25" customHeight="1" x14ac:dyDescent="0.25">
      <c r="A191" s="8" t="s">
        <v>561</v>
      </c>
      <c r="B191" s="8" t="s">
        <v>562</v>
      </c>
      <c r="C191" s="8" t="s">
        <v>563</v>
      </c>
      <c r="D191" s="8">
        <v>1294</v>
      </c>
      <c r="E191" s="8" t="s">
        <v>564</v>
      </c>
    </row>
    <row r="192" spans="1:5" ht="11.25" customHeight="1" x14ac:dyDescent="0.25">
      <c r="A192" s="8" t="s">
        <v>561</v>
      </c>
      <c r="B192" s="8" t="s">
        <v>562</v>
      </c>
      <c r="C192" s="8" t="s">
        <v>563</v>
      </c>
      <c r="D192" s="8">
        <v>1295</v>
      </c>
      <c r="E192" s="8" t="s">
        <v>564</v>
      </c>
    </row>
    <row r="193" spans="1:5" ht="11.25" customHeight="1" x14ac:dyDescent="0.25">
      <c r="A193" s="8" t="s">
        <v>561</v>
      </c>
      <c r="B193" s="8" t="s">
        <v>562</v>
      </c>
      <c r="C193" s="8" t="s">
        <v>563</v>
      </c>
      <c r="D193" s="8">
        <v>1296</v>
      </c>
      <c r="E193" s="8" t="s">
        <v>564</v>
      </c>
    </row>
    <row r="194" spans="1:5" ht="11.25" customHeight="1" x14ac:dyDescent="0.25">
      <c r="A194" s="8" t="s">
        <v>561</v>
      </c>
      <c r="B194" s="8" t="s">
        <v>562</v>
      </c>
      <c r="C194" s="8" t="s">
        <v>563</v>
      </c>
      <c r="D194" s="8">
        <v>1297</v>
      </c>
      <c r="E194" s="8" t="s">
        <v>564</v>
      </c>
    </row>
    <row r="195" spans="1:5" ht="11.25" customHeight="1" x14ac:dyDescent="0.25">
      <c r="A195" s="8" t="s">
        <v>561</v>
      </c>
      <c r="B195" s="8" t="s">
        <v>562</v>
      </c>
      <c r="C195" s="8" t="s">
        <v>563</v>
      </c>
      <c r="D195" s="8">
        <v>1298</v>
      </c>
      <c r="E195" s="8" t="s">
        <v>564</v>
      </c>
    </row>
    <row r="196" spans="1:5" ht="11.25" customHeight="1" x14ac:dyDescent="0.25">
      <c r="A196" s="8" t="s">
        <v>561</v>
      </c>
      <c r="B196" s="8" t="s">
        <v>562</v>
      </c>
      <c r="C196" s="8" t="s">
        <v>563</v>
      </c>
      <c r="D196" s="8">
        <v>1299</v>
      </c>
      <c r="E196" s="8" t="s">
        <v>564</v>
      </c>
    </row>
    <row r="197" spans="1:5" ht="11.25" customHeight="1" x14ac:dyDescent="0.25">
      <c r="A197" s="8" t="s">
        <v>561</v>
      </c>
      <c r="B197" s="8" t="s">
        <v>562</v>
      </c>
      <c r="C197" s="8" t="s">
        <v>563</v>
      </c>
      <c r="D197" s="8">
        <v>1300</v>
      </c>
      <c r="E197" s="8" t="s">
        <v>564</v>
      </c>
    </row>
    <row r="198" spans="1:5" ht="11.25" customHeight="1" x14ac:dyDescent="0.25">
      <c r="A198" s="8" t="s">
        <v>561</v>
      </c>
      <c r="B198" s="8" t="s">
        <v>562</v>
      </c>
      <c r="C198" s="8" t="s">
        <v>563</v>
      </c>
      <c r="D198" s="8">
        <v>1301</v>
      </c>
      <c r="E198" s="8" t="s">
        <v>564</v>
      </c>
    </row>
    <row r="199" spans="1:5" ht="11.25" customHeight="1" x14ac:dyDescent="0.25">
      <c r="A199" s="8" t="s">
        <v>561</v>
      </c>
      <c r="B199" s="8" t="s">
        <v>562</v>
      </c>
      <c r="C199" s="8" t="s">
        <v>563</v>
      </c>
      <c r="D199" s="8">
        <v>1302</v>
      </c>
      <c r="E199" s="8" t="s">
        <v>564</v>
      </c>
    </row>
    <row r="200" spans="1:5" ht="11.25" customHeight="1" x14ac:dyDescent="0.25">
      <c r="A200" s="8" t="s">
        <v>561</v>
      </c>
      <c r="B200" s="8" t="s">
        <v>562</v>
      </c>
      <c r="C200" s="8" t="s">
        <v>563</v>
      </c>
      <c r="D200" s="8">
        <v>1303</v>
      </c>
      <c r="E200" s="8" t="s">
        <v>564</v>
      </c>
    </row>
    <row r="201" spans="1:5" ht="11.25" customHeight="1" x14ac:dyDescent="0.25">
      <c r="A201" s="8" t="s">
        <v>561</v>
      </c>
      <c r="B201" s="8" t="s">
        <v>562</v>
      </c>
      <c r="C201" s="8" t="s">
        <v>563</v>
      </c>
      <c r="D201" s="8">
        <v>1304</v>
      </c>
      <c r="E201" s="8" t="s">
        <v>564</v>
      </c>
    </row>
    <row r="202" spans="1:5" ht="11.25" customHeight="1" x14ac:dyDescent="0.25">
      <c r="A202" s="8" t="s">
        <v>561</v>
      </c>
      <c r="B202" s="8" t="s">
        <v>562</v>
      </c>
      <c r="C202" s="8" t="s">
        <v>563</v>
      </c>
      <c r="D202" s="8">
        <v>1305</v>
      </c>
      <c r="E202" s="8" t="s">
        <v>564</v>
      </c>
    </row>
    <row r="203" spans="1:5" ht="11.25" customHeight="1" x14ac:dyDescent="0.25">
      <c r="A203" s="8" t="s">
        <v>561</v>
      </c>
      <c r="B203" s="8" t="s">
        <v>562</v>
      </c>
      <c r="C203" s="8" t="s">
        <v>563</v>
      </c>
      <c r="D203" s="8">
        <v>1306</v>
      </c>
      <c r="E203" s="8" t="s">
        <v>564</v>
      </c>
    </row>
    <row r="204" spans="1:5" ht="11.25" customHeight="1" x14ac:dyDescent="0.25">
      <c r="A204" s="8" t="s">
        <v>561</v>
      </c>
      <c r="B204" s="8" t="s">
        <v>562</v>
      </c>
      <c r="C204" s="8" t="s">
        <v>563</v>
      </c>
      <c r="D204" s="8">
        <v>1307</v>
      </c>
      <c r="E204" s="8" t="s">
        <v>564</v>
      </c>
    </row>
    <row r="205" spans="1:5" ht="11.25" customHeight="1" x14ac:dyDescent="0.25">
      <c r="A205" s="8" t="s">
        <v>561</v>
      </c>
      <c r="B205" s="8" t="s">
        <v>562</v>
      </c>
      <c r="C205" s="8" t="s">
        <v>563</v>
      </c>
      <c r="D205" s="8">
        <v>1308</v>
      </c>
      <c r="E205" s="8" t="s">
        <v>564</v>
      </c>
    </row>
    <row r="206" spans="1:5" ht="11.25" customHeight="1" x14ac:dyDescent="0.25">
      <c r="A206" s="8" t="s">
        <v>561</v>
      </c>
      <c r="B206" s="8" t="s">
        <v>562</v>
      </c>
      <c r="C206" s="8" t="s">
        <v>563</v>
      </c>
      <c r="D206" s="8">
        <v>1309</v>
      </c>
      <c r="E206" s="8" t="s">
        <v>564</v>
      </c>
    </row>
    <row r="207" spans="1:5" ht="11.25" customHeight="1" x14ac:dyDescent="0.25">
      <c r="A207" s="8" t="s">
        <v>561</v>
      </c>
      <c r="B207" s="8" t="s">
        <v>562</v>
      </c>
      <c r="C207" s="8" t="s">
        <v>563</v>
      </c>
      <c r="D207" s="8">
        <v>1310</v>
      </c>
      <c r="E207" s="8" t="s">
        <v>564</v>
      </c>
    </row>
    <row r="208" spans="1:5" ht="11.25" customHeight="1" x14ac:dyDescent="0.25">
      <c r="A208" s="8" t="s">
        <v>561</v>
      </c>
      <c r="B208" s="8" t="s">
        <v>562</v>
      </c>
      <c r="C208" s="8" t="s">
        <v>563</v>
      </c>
      <c r="D208" s="8">
        <v>1311</v>
      </c>
      <c r="E208" s="8" t="s">
        <v>564</v>
      </c>
    </row>
    <row r="209" spans="1:5" ht="11.25" customHeight="1" x14ac:dyDescent="0.25">
      <c r="A209" s="8" t="s">
        <v>561</v>
      </c>
      <c r="B209" s="8" t="s">
        <v>562</v>
      </c>
      <c r="C209" s="8" t="s">
        <v>563</v>
      </c>
      <c r="D209" s="8">
        <v>1312</v>
      </c>
      <c r="E209" s="8" t="s">
        <v>564</v>
      </c>
    </row>
    <row r="210" spans="1:5" ht="11.25" customHeight="1" x14ac:dyDescent="0.25">
      <c r="A210" s="8" t="s">
        <v>561</v>
      </c>
      <c r="B210" s="8" t="s">
        <v>562</v>
      </c>
      <c r="C210" s="8" t="s">
        <v>563</v>
      </c>
      <c r="D210" s="8">
        <v>1313</v>
      </c>
      <c r="E210" s="8" t="s">
        <v>564</v>
      </c>
    </row>
    <row r="211" spans="1:5" ht="11.25" customHeight="1" x14ac:dyDescent="0.25">
      <c r="A211" s="8" t="s">
        <v>561</v>
      </c>
      <c r="B211" s="8" t="s">
        <v>562</v>
      </c>
      <c r="C211" s="8" t="s">
        <v>563</v>
      </c>
      <c r="D211" s="8">
        <v>1314</v>
      </c>
      <c r="E211" s="8" t="s">
        <v>564</v>
      </c>
    </row>
    <row r="212" spans="1:5" ht="11.25" customHeight="1" x14ac:dyDescent="0.25">
      <c r="A212" s="8" t="s">
        <v>561</v>
      </c>
      <c r="C212" s="8" t="s">
        <v>841</v>
      </c>
      <c r="D212" s="8">
        <v>39</v>
      </c>
      <c r="E212" s="8" t="s">
        <v>9</v>
      </c>
    </row>
    <row r="213" spans="1:5" ht="11.25" customHeight="1" x14ac:dyDescent="0.25">
      <c r="A213" s="8" t="s">
        <v>561</v>
      </c>
      <c r="C213" s="8" t="s">
        <v>841</v>
      </c>
      <c r="D213" s="8">
        <v>39</v>
      </c>
      <c r="E213" s="8" t="s">
        <v>9</v>
      </c>
    </row>
    <row r="214" spans="1:5" ht="11.25" customHeight="1" x14ac:dyDescent="0.25">
      <c r="A214" s="8" t="s">
        <v>561</v>
      </c>
      <c r="C214" s="8" t="s">
        <v>841</v>
      </c>
      <c r="D214" s="8">
        <v>39</v>
      </c>
      <c r="E214" s="8" t="s">
        <v>9</v>
      </c>
    </row>
    <row r="215" spans="1:5" ht="11.25" customHeight="1" x14ac:dyDescent="0.25">
      <c r="A215" s="8" t="s">
        <v>561</v>
      </c>
      <c r="C215" s="8" t="s">
        <v>841</v>
      </c>
      <c r="D215" s="8">
        <v>39</v>
      </c>
      <c r="E215" s="8" t="s">
        <v>9</v>
      </c>
    </row>
    <row r="216" spans="1:5" ht="11.25" customHeight="1" x14ac:dyDescent="0.25">
      <c r="A216" s="8" t="s">
        <v>561</v>
      </c>
      <c r="C216" s="8" t="s">
        <v>841</v>
      </c>
      <c r="D216" s="8">
        <v>39</v>
      </c>
      <c r="E216" s="8" t="s">
        <v>9</v>
      </c>
    </row>
    <row r="217" spans="1:5" ht="11.25" customHeight="1" x14ac:dyDescent="0.25">
      <c r="A217" s="8" t="s">
        <v>561</v>
      </c>
      <c r="C217" s="8" t="s">
        <v>841</v>
      </c>
      <c r="D217" s="8">
        <v>39</v>
      </c>
      <c r="E217" s="8" t="s">
        <v>9</v>
      </c>
    </row>
    <row r="218" spans="1:5" ht="11.25" customHeight="1" x14ac:dyDescent="0.25">
      <c r="A218" s="8" t="s">
        <v>561</v>
      </c>
      <c r="C218" s="8" t="s">
        <v>841</v>
      </c>
      <c r="D218" s="8">
        <v>39</v>
      </c>
      <c r="E218" s="8" t="s">
        <v>9</v>
      </c>
    </row>
    <row r="219" spans="1:5" ht="11.25" customHeight="1" x14ac:dyDescent="0.25">
      <c r="A219" s="8" t="s">
        <v>561</v>
      </c>
      <c r="C219" s="8" t="s">
        <v>841</v>
      </c>
      <c r="D219" s="8">
        <v>39</v>
      </c>
      <c r="E219" s="8" t="s">
        <v>9</v>
      </c>
    </row>
    <row r="220" spans="1:5" ht="11.25" customHeight="1" x14ac:dyDescent="0.25">
      <c r="A220" s="8" t="s">
        <v>561</v>
      </c>
      <c r="C220" s="8" t="s">
        <v>841</v>
      </c>
      <c r="D220" s="8">
        <v>39</v>
      </c>
      <c r="E220" s="8" t="s">
        <v>9</v>
      </c>
    </row>
    <row r="221" spans="1:5" ht="11.25" customHeight="1" x14ac:dyDescent="0.25">
      <c r="A221" s="8" t="s">
        <v>561</v>
      </c>
      <c r="C221" s="8" t="s">
        <v>841</v>
      </c>
      <c r="D221" s="8">
        <v>39</v>
      </c>
      <c r="E221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8B767-7728-4698-A97D-9F8481F649C6}">
  <dimension ref="A1:AX99"/>
  <sheetViews>
    <sheetView showGridLines="0" workbookViewId="0"/>
  </sheetViews>
  <sheetFormatPr defaultRowHeight="11.25" x14ac:dyDescent="0.25"/>
  <cols>
    <col min="1" max="1" width="4.7109375" style="47" bestFit="1" customWidth="1"/>
    <col min="2" max="2" width="8.85546875" style="47" bestFit="1" customWidth="1"/>
    <col min="3" max="3" width="8.7109375" style="47" bestFit="1" customWidth="1"/>
    <col min="4" max="4" width="27.140625" style="47" bestFit="1" customWidth="1"/>
    <col min="5" max="5" width="13.5703125" style="47" bestFit="1" customWidth="1"/>
    <col min="6" max="6" width="25.140625" style="47" bestFit="1" customWidth="1"/>
    <col min="7" max="9" width="10.28515625" style="47" bestFit="1" customWidth="1"/>
    <col min="10" max="10" width="6.85546875" style="47" bestFit="1" customWidth="1"/>
    <col min="11" max="11" width="4.5703125" style="47" bestFit="1" customWidth="1"/>
    <col min="12" max="12" width="4.42578125" style="47" bestFit="1" customWidth="1"/>
    <col min="13" max="13" width="6.7109375" style="47" bestFit="1" customWidth="1"/>
    <col min="14" max="14" width="6.28515625" style="47" bestFit="1" customWidth="1"/>
    <col min="15" max="15" width="11.140625" style="47" bestFit="1" customWidth="1"/>
    <col min="16" max="16" width="10.42578125" style="47" bestFit="1" customWidth="1"/>
    <col min="17" max="16384" width="9.140625" style="47"/>
  </cols>
  <sheetData>
    <row r="1" spans="1:50" ht="11.25" customHeight="1" x14ac:dyDescent="0.25">
      <c r="A1" s="48" t="s">
        <v>901</v>
      </c>
      <c r="B1" s="48" t="s">
        <v>891</v>
      </c>
      <c r="C1" s="48" t="s">
        <v>1</v>
      </c>
      <c r="D1" s="48" t="s">
        <v>2</v>
      </c>
      <c r="E1" s="48" t="s">
        <v>3</v>
      </c>
      <c r="F1" s="48" t="s">
        <v>4</v>
      </c>
      <c r="G1" s="48" t="s">
        <v>5</v>
      </c>
      <c r="H1" s="48" t="s">
        <v>6</v>
      </c>
      <c r="I1" s="48" t="s">
        <v>7</v>
      </c>
      <c r="J1" s="48" t="s">
        <v>892</v>
      </c>
      <c r="K1" s="48" t="s">
        <v>893</v>
      </c>
      <c r="L1" s="48" t="s">
        <v>894</v>
      </c>
      <c r="M1" s="48" t="s">
        <v>895</v>
      </c>
      <c r="N1" s="48" t="s">
        <v>896</v>
      </c>
      <c r="O1" s="48" t="s">
        <v>774</v>
      </c>
      <c r="P1" s="48" t="s">
        <v>760</v>
      </c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</row>
    <row r="2" spans="1:50" ht="11.25" customHeight="1" x14ac:dyDescent="0.25">
      <c r="A2" s="49">
        <v>1</v>
      </c>
      <c r="B2" s="49" t="s">
        <v>782</v>
      </c>
      <c r="C2" s="49" t="s">
        <v>47</v>
      </c>
      <c r="D2" s="49" t="s">
        <v>97</v>
      </c>
      <c r="E2" s="49" t="s">
        <v>48</v>
      </c>
      <c r="F2" s="49" t="s">
        <v>49</v>
      </c>
      <c r="G2" s="49" t="s">
        <v>25</v>
      </c>
      <c r="H2" s="49" t="s">
        <v>25</v>
      </c>
      <c r="I2" s="49" t="s">
        <v>25</v>
      </c>
      <c r="J2" s="49" t="s">
        <v>897</v>
      </c>
      <c r="K2" s="49" t="s">
        <v>898</v>
      </c>
      <c r="L2" s="49" t="s">
        <v>90</v>
      </c>
      <c r="M2" s="49">
        <v>2021</v>
      </c>
      <c r="N2" s="49">
        <v>0</v>
      </c>
      <c r="O2" s="49">
        <v>126.79</v>
      </c>
      <c r="P2" s="49"/>
    </row>
    <row r="3" spans="1:50" ht="11.25" customHeight="1" x14ac:dyDescent="0.25">
      <c r="A3" s="49">
        <v>2</v>
      </c>
      <c r="B3" s="49" t="s">
        <v>782</v>
      </c>
      <c r="C3" s="49" t="s">
        <v>47</v>
      </c>
      <c r="D3" s="49" t="s">
        <v>97</v>
      </c>
      <c r="E3" s="49" t="s">
        <v>48</v>
      </c>
      <c r="F3" s="49" t="s">
        <v>106</v>
      </c>
      <c r="G3" s="49" t="s">
        <v>25</v>
      </c>
      <c r="H3" s="49" t="s">
        <v>25</v>
      </c>
      <c r="I3" s="49" t="s">
        <v>25</v>
      </c>
      <c r="J3" s="49" t="s">
        <v>897</v>
      </c>
      <c r="K3" s="49" t="s">
        <v>898</v>
      </c>
      <c r="L3" s="49" t="s">
        <v>90</v>
      </c>
      <c r="M3" s="49">
        <v>2021</v>
      </c>
      <c r="N3" s="49">
        <v>0</v>
      </c>
      <c r="O3" s="49">
        <v>138.32</v>
      </c>
      <c r="P3" s="49"/>
    </row>
    <row r="4" spans="1:50" ht="11.25" customHeight="1" x14ac:dyDescent="0.25">
      <c r="A4" s="49">
        <v>3</v>
      </c>
      <c r="B4" s="49" t="s">
        <v>754</v>
      </c>
      <c r="C4" s="49" t="s">
        <v>33</v>
      </c>
      <c r="D4" s="49" t="s">
        <v>61</v>
      </c>
      <c r="E4" s="49" t="s">
        <v>25</v>
      </c>
      <c r="F4" s="49" t="s">
        <v>25</v>
      </c>
      <c r="G4" s="49" t="s">
        <v>25</v>
      </c>
      <c r="H4" s="49" t="s">
        <v>62</v>
      </c>
      <c r="I4" s="49" t="s">
        <v>35</v>
      </c>
      <c r="J4" s="49" t="s">
        <v>899</v>
      </c>
      <c r="K4" s="49" t="s">
        <v>898</v>
      </c>
      <c r="L4" s="49" t="s">
        <v>93</v>
      </c>
      <c r="M4" s="49">
        <v>2021</v>
      </c>
      <c r="N4" s="49">
        <v>0</v>
      </c>
      <c r="O4" s="49">
        <v>30.29</v>
      </c>
      <c r="P4" s="49">
        <v>0</v>
      </c>
    </row>
    <row r="5" spans="1:50" ht="11.25" customHeight="1" x14ac:dyDescent="0.25">
      <c r="A5" s="49">
        <v>4</v>
      </c>
      <c r="B5" s="49" t="s">
        <v>754</v>
      </c>
      <c r="C5" s="49" t="s">
        <v>33</v>
      </c>
      <c r="D5" s="49" t="s">
        <v>61</v>
      </c>
      <c r="E5" s="49" t="s">
        <v>25</v>
      </c>
      <c r="F5" s="49" t="s">
        <v>25</v>
      </c>
      <c r="G5" s="49" t="s">
        <v>25</v>
      </c>
      <c r="H5" s="49" t="s">
        <v>62</v>
      </c>
      <c r="I5" s="49" t="s">
        <v>36</v>
      </c>
      <c r="J5" s="49" t="s">
        <v>899</v>
      </c>
      <c r="K5" s="49" t="s">
        <v>898</v>
      </c>
      <c r="L5" s="49" t="s">
        <v>93</v>
      </c>
      <c r="M5" s="49">
        <v>2021</v>
      </c>
      <c r="N5" s="49">
        <v>0</v>
      </c>
      <c r="O5" s="49">
        <v>12.67</v>
      </c>
      <c r="P5" s="49">
        <v>0</v>
      </c>
    </row>
    <row r="6" spans="1:50" ht="11.25" customHeight="1" x14ac:dyDescent="0.25">
      <c r="A6" s="49">
        <v>5</v>
      </c>
      <c r="B6" s="49" t="s">
        <v>754</v>
      </c>
      <c r="C6" s="49" t="s">
        <v>33</v>
      </c>
      <c r="D6" s="49" t="s">
        <v>61</v>
      </c>
      <c r="E6" s="49" t="s">
        <v>25</v>
      </c>
      <c r="F6" s="49" t="s">
        <v>25</v>
      </c>
      <c r="G6" s="49" t="s">
        <v>25</v>
      </c>
      <c r="H6" s="49" t="s">
        <v>62</v>
      </c>
      <c r="I6" s="49" t="s">
        <v>25</v>
      </c>
      <c r="J6" s="49" t="s">
        <v>897</v>
      </c>
      <c r="K6" s="49" t="s">
        <v>898</v>
      </c>
      <c r="L6" s="49" t="s">
        <v>90</v>
      </c>
      <c r="M6" s="49">
        <v>2021</v>
      </c>
      <c r="N6" s="49">
        <v>0</v>
      </c>
      <c r="O6" s="49">
        <v>17.72</v>
      </c>
      <c r="P6" s="49">
        <v>0</v>
      </c>
    </row>
    <row r="7" spans="1:50" ht="11.25" customHeight="1" x14ac:dyDescent="0.25">
      <c r="A7" s="49">
        <v>6</v>
      </c>
      <c r="B7" s="49" t="s">
        <v>754</v>
      </c>
      <c r="C7" s="49" t="s">
        <v>33</v>
      </c>
      <c r="D7" s="49" t="s">
        <v>64</v>
      </c>
      <c r="E7" s="49" t="s">
        <v>25</v>
      </c>
      <c r="F7" s="49" t="s">
        <v>25</v>
      </c>
      <c r="G7" s="49" t="s">
        <v>25</v>
      </c>
      <c r="H7" s="49" t="s">
        <v>25</v>
      </c>
      <c r="I7" s="49" t="s">
        <v>25</v>
      </c>
      <c r="J7" s="49" t="s">
        <v>899</v>
      </c>
      <c r="K7" s="49" t="s">
        <v>898</v>
      </c>
      <c r="L7" s="49" t="s">
        <v>93</v>
      </c>
      <c r="M7" s="49">
        <v>2021</v>
      </c>
      <c r="N7" s="49">
        <v>0</v>
      </c>
      <c r="O7" s="49">
        <v>11.99</v>
      </c>
      <c r="P7" s="49">
        <v>0</v>
      </c>
    </row>
    <row r="8" spans="1:50" ht="11.25" customHeight="1" x14ac:dyDescent="0.25">
      <c r="A8" s="49">
        <v>7</v>
      </c>
      <c r="B8" s="49" t="s">
        <v>754</v>
      </c>
      <c r="C8" s="49" t="s">
        <v>33</v>
      </c>
      <c r="D8" s="49" t="s">
        <v>34</v>
      </c>
      <c r="E8" s="49" t="s">
        <v>25</v>
      </c>
      <c r="F8" s="49" t="s">
        <v>25</v>
      </c>
      <c r="G8" s="49" t="s">
        <v>25</v>
      </c>
      <c r="H8" s="49" t="s">
        <v>25</v>
      </c>
      <c r="I8" s="49" t="s">
        <v>25</v>
      </c>
      <c r="J8" s="49" t="s">
        <v>899</v>
      </c>
      <c r="K8" s="49" t="s">
        <v>898</v>
      </c>
      <c r="L8" s="49" t="s">
        <v>93</v>
      </c>
      <c r="M8" s="49">
        <v>2021</v>
      </c>
      <c r="N8" s="49">
        <v>0</v>
      </c>
      <c r="O8" s="49">
        <v>21.85</v>
      </c>
      <c r="P8" s="49">
        <v>0</v>
      </c>
    </row>
    <row r="9" spans="1:50" ht="11.25" customHeight="1" x14ac:dyDescent="0.25">
      <c r="A9" s="49">
        <v>8</v>
      </c>
      <c r="B9" s="49" t="s">
        <v>754</v>
      </c>
      <c r="C9" s="49" t="s">
        <v>33</v>
      </c>
      <c r="D9" s="49" t="s">
        <v>34</v>
      </c>
      <c r="E9" s="49" t="s">
        <v>25</v>
      </c>
      <c r="F9" s="49" t="s">
        <v>25</v>
      </c>
      <c r="G9" s="49" t="s">
        <v>25</v>
      </c>
      <c r="H9" s="49" t="s">
        <v>25</v>
      </c>
      <c r="I9" s="49" t="s">
        <v>35</v>
      </c>
      <c r="J9" s="49" t="s">
        <v>897</v>
      </c>
      <c r="K9" s="49" t="s">
        <v>898</v>
      </c>
      <c r="L9" s="49" t="s">
        <v>90</v>
      </c>
      <c r="M9" s="49">
        <v>2021</v>
      </c>
      <c r="N9" s="49">
        <v>0</v>
      </c>
      <c r="O9" s="49">
        <v>1557.74</v>
      </c>
      <c r="P9" s="49">
        <v>21.876075810711299</v>
      </c>
    </row>
    <row r="10" spans="1:50" ht="11.25" customHeight="1" x14ac:dyDescent="0.25">
      <c r="A10" s="49">
        <v>9</v>
      </c>
      <c r="B10" s="49" t="s">
        <v>754</v>
      </c>
      <c r="C10" s="49" t="s">
        <v>33</v>
      </c>
      <c r="D10" s="49" t="s">
        <v>34</v>
      </c>
      <c r="E10" s="49" t="s">
        <v>25</v>
      </c>
      <c r="F10" s="49" t="s">
        <v>25</v>
      </c>
      <c r="G10" s="49" t="s">
        <v>58</v>
      </c>
      <c r="H10" s="49" t="s">
        <v>25</v>
      </c>
      <c r="I10" s="49" t="s">
        <v>36</v>
      </c>
      <c r="J10" s="49" t="s">
        <v>897</v>
      </c>
      <c r="K10" s="49" t="s">
        <v>898</v>
      </c>
      <c r="L10" s="49" t="s">
        <v>90</v>
      </c>
      <c r="M10" s="49">
        <v>2021</v>
      </c>
      <c r="N10" s="49">
        <v>0</v>
      </c>
      <c r="O10" s="49">
        <v>46.44</v>
      </c>
      <c r="P10" s="49">
        <v>0</v>
      </c>
    </row>
    <row r="11" spans="1:50" ht="11.25" customHeight="1" x14ac:dyDescent="0.25">
      <c r="A11" s="49">
        <v>10</v>
      </c>
      <c r="B11" s="49" t="s">
        <v>754</v>
      </c>
      <c r="C11" s="49" t="s">
        <v>98</v>
      </c>
      <c r="D11" s="49" t="s">
        <v>64</v>
      </c>
      <c r="E11" s="49" t="s">
        <v>25</v>
      </c>
      <c r="F11" s="49" t="s">
        <v>25</v>
      </c>
      <c r="G11" s="49" t="s">
        <v>99</v>
      </c>
      <c r="H11" s="49" t="s">
        <v>25</v>
      </c>
      <c r="I11" s="49" t="s">
        <v>25</v>
      </c>
      <c r="J11" s="49" t="s">
        <v>899</v>
      </c>
      <c r="K11" s="49" t="s">
        <v>898</v>
      </c>
      <c r="L11" s="49" t="s">
        <v>93</v>
      </c>
      <c r="M11" s="49">
        <v>2021</v>
      </c>
      <c r="N11" s="49">
        <v>0</v>
      </c>
      <c r="O11" s="49">
        <v>7.13</v>
      </c>
      <c r="P11" s="49">
        <v>0</v>
      </c>
    </row>
    <row r="12" spans="1:50" ht="11.25" customHeight="1" x14ac:dyDescent="0.25">
      <c r="A12" s="49">
        <v>11</v>
      </c>
      <c r="B12" s="49" t="s">
        <v>754</v>
      </c>
      <c r="C12" s="49" t="s">
        <v>98</v>
      </c>
      <c r="D12" s="49" t="s">
        <v>64</v>
      </c>
      <c r="E12" s="49" t="s">
        <v>25</v>
      </c>
      <c r="F12" s="49" t="s">
        <v>25</v>
      </c>
      <c r="G12" s="49" t="s">
        <v>100</v>
      </c>
      <c r="H12" s="49" t="s">
        <v>25</v>
      </c>
      <c r="I12" s="49" t="s">
        <v>25</v>
      </c>
      <c r="J12" s="49" t="s">
        <v>899</v>
      </c>
      <c r="K12" s="49" t="s">
        <v>898</v>
      </c>
      <c r="L12" s="49" t="s">
        <v>93</v>
      </c>
      <c r="M12" s="49">
        <v>2021</v>
      </c>
      <c r="N12" s="49">
        <v>0</v>
      </c>
      <c r="O12" s="49">
        <v>18.059999999999999</v>
      </c>
      <c r="P12" s="49">
        <v>0</v>
      </c>
    </row>
    <row r="13" spans="1:50" ht="11.25" customHeight="1" x14ac:dyDescent="0.25">
      <c r="A13" s="49">
        <v>12</v>
      </c>
      <c r="B13" s="49" t="s">
        <v>754</v>
      </c>
      <c r="C13" s="49" t="s">
        <v>22</v>
      </c>
      <c r="D13" s="49" t="s">
        <v>37</v>
      </c>
      <c r="E13" s="49" t="s">
        <v>24</v>
      </c>
      <c r="F13" s="49" t="s">
        <v>24</v>
      </c>
      <c r="G13" s="49" t="s">
        <v>25</v>
      </c>
      <c r="H13" s="49" t="s">
        <v>25</v>
      </c>
      <c r="I13" s="49" t="s">
        <v>36</v>
      </c>
      <c r="J13" s="49" t="s">
        <v>897</v>
      </c>
      <c r="K13" s="49" t="s">
        <v>898</v>
      </c>
      <c r="L13" s="49" t="s">
        <v>90</v>
      </c>
      <c r="M13" s="49">
        <v>2021</v>
      </c>
      <c r="N13" s="49">
        <v>0</v>
      </c>
      <c r="O13" s="49">
        <v>304.7</v>
      </c>
      <c r="P13" s="49">
        <v>25.144914724955498</v>
      </c>
    </row>
    <row r="14" spans="1:50" ht="11.25" customHeight="1" x14ac:dyDescent="0.25">
      <c r="A14" s="49">
        <v>13</v>
      </c>
      <c r="B14" s="49" t="s">
        <v>754</v>
      </c>
      <c r="C14" s="49" t="s">
        <v>22</v>
      </c>
      <c r="D14" s="49" t="s">
        <v>23</v>
      </c>
      <c r="E14" s="49" t="s">
        <v>24</v>
      </c>
      <c r="F14" s="49" t="s">
        <v>24</v>
      </c>
      <c r="G14" s="49" t="s">
        <v>25</v>
      </c>
      <c r="H14" s="49" t="s">
        <v>25</v>
      </c>
      <c r="I14" s="49" t="s">
        <v>25</v>
      </c>
      <c r="J14" s="49" t="s">
        <v>897</v>
      </c>
      <c r="K14" s="49" t="s">
        <v>898</v>
      </c>
      <c r="L14" s="49" t="s">
        <v>90</v>
      </c>
      <c r="M14" s="49">
        <v>2021</v>
      </c>
      <c r="N14" s="49">
        <v>0</v>
      </c>
      <c r="O14" s="49">
        <v>395.58</v>
      </c>
      <c r="P14" s="49">
        <v>25.144914724955498</v>
      </c>
    </row>
    <row r="15" spans="1:50" ht="11.25" customHeight="1" x14ac:dyDescent="0.25">
      <c r="A15" s="49">
        <v>14</v>
      </c>
      <c r="B15" s="49" t="s">
        <v>754</v>
      </c>
      <c r="C15" s="49" t="s">
        <v>22</v>
      </c>
      <c r="D15" s="49" t="s">
        <v>23</v>
      </c>
      <c r="E15" s="49" t="s">
        <v>24</v>
      </c>
      <c r="F15" s="49" t="s">
        <v>29</v>
      </c>
      <c r="G15" s="49" t="s">
        <v>25</v>
      </c>
      <c r="H15" s="49" t="s">
        <v>25</v>
      </c>
      <c r="I15" s="49" t="s">
        <v>25</v>
      </c>
      <c r="J15" s="49" t="s">
        <v>897</v>
      </c>
      <c r="K15" s="49" t="s">
        <v>898</v>
      </c>
      <c r="L15" s="49" t="s">
        <v>90</v>
      </c>
      <c r="M15" s="49">
        <v>2021</v>
      </c>
      <c r="N15" s="49">
        <v>0</v>
      </c>
      <c r="O15" s="49">
        <v>118.67</v>
      </c>
      <c r="P15" s="49">
        <v>0</v>
      </c>
    </row>
    <row r="16" spans="1:50" ht="11.25" customHeight="1" x14ac:dyDescent="0.25">
      <c r="A16" s="49">
        <v>15</v>
      </c>
      <c r="B16" s="49" t="s">
        <v>754</v>
      </c>
      <c r="C16" s="49" t="s">
        <v>22</v>
      </c>
      <c r="D16" s="49" t="s">
        <v>23</v>
      </c>
      <c r="E16" s="49" t="s">
        <v>24</v>
      </c>
      <c r="F16" s="49" t="s">
        <v>30</v>
      </c>
      <c r="G16" s="49" t="s">
        <v>25</v>
      </c>
      <c r="H16" s="49" t="s">
        <v>25</v>
      </c>
      <c r="I16" s="49" t="s">
        <v>25</v>
      </c>
      <c r="J16" s="49" t="s">
        <v>897</v>
      </c>
      <c r="K16" s="49" t="s">
        <v>898</v>
      </c>
      <c r="L16" s="49" t="s">
        <v>90</v>
      </c>
      <c r="M16" s="49">
        <v>2021</v>
      </c>
      <c r="N16" s="49">
        <v>0</v>
      </c>
      <c r="O16" s="49">
        <v>203.44</v>
      </c>
      <c r="P16" s="49">
        <v>0</v>
      </c>
    </row>
    <row r="17" spans="1:16" ht="11.25" customHeight="1" x14ac:dyDescent="0.25">
      <c r="A17" s="49">
        <v>16</v>
      </c>
      <c r="B17" s="49" t="s">
        <v>754</v>
      </c>
      <c r="C17" s="49" t="s">
        <v>22</v>
      </c>
      <c r="D17" s="49" t="s">
        <v>103</v>
      </c>
      <c r="E17" s="49" t="s">
        <v>24</v>
      </c>
      <c r="F17" s="49" t="s">
        <v>24</v>
      </c>
      <c r="G17" s="49" t="s">
        <v>25</v>
      </c>
      <c r="H17" s="49" t="s">
        <v>25</v>
      </c>
      <c r="I17" s="49" t="s">
        <v>25</v>
      </c>
      <c r="J17" s="49" t="s">
        <v>897</v>
      </c>
      <c r="K17" s="49" t="s">
        <v>898</v>
      </c>
      <c r="L17" s="49" t="s">
        <v>90</v>
      </c>
      <c r="M17" s="49">
        <v>2021</v>
      </c>
      <c r="N17" s="49">
        <v>0</v>
      </c>
      <c r="O17" s="49">
        <v>395.58</v>
      </c>
      <c r="P17" s="49">
        <v>25.144914724955498</v>
      </c>
    </row>
    <row r="18" spans="1:16" ht="11.25" customHeight="1" x14ac:dyDescent="0.25">
      <c r="A18" s="49">
        <v>17</v>
      </c>
      <c r="B18" s="49" t="s">
        <v>754</v>
      </c>
      <c r="C18" s="49" t="s">
        <v>22</v>
      </c>
      <c r="D18" s="49" t="s">
        <v>103</v>
      </c>
      <c r="E18" s="49" t="s">
        <v>24</v>
      </c>
      <c r="F18" s="49" t="s">
        <v>29</v>
      </c>
      <c r="G18" s="49" t="s">
        <v>25</v>
      </c>
      <c r="H18" s="49" t="s">
        <v>25</v>
      </c>
      <c r="I18" s="49" t="s">
        <v>25</v>
      </c>
      <c r="J18" s="49" t="s">
        <v>897</v>
      </c>
      <c r="K18" s="49" t="s">
        <v>898</v>
      </c>
      <c r="L18" s="49" t="s">
        <v>90</v>
      </c>
      <c r="M18" s="49">
        <v>2021</v>
      </c>
      <c r="N18" s="49">
        <v>0</v>
      </c>
      <c r="O18" s="49">
        <v>118.67</v>
      </c>
      <c r="P18" s="49">
        <v>0</v>
      </c>
    </row>
    <row r="19" spans="1:16" ht="11.25" customHeight="1" x14ac:dyDescent="0.25">
      <c r="A19" s="49">
        <v>18</v>
      </c>
      <c r="B19" s="49" t="s">
        <v>754</v>
      </c>
      <c r="C19" s="49" t="s">
        <v>22</v>
      </c>
      <c r="D19" s="49" t="s">
        <v>103</v>
      </c>
      <c r="E19" s="49" t="s">
        <v>24</v>
      </c>
      <c r="F19" s="49" t="s">
        <v>30</v>
      </c>
      <c r="G19" s="49" t="s">
        <v>25</v>
      </c>
      <c r="H19" s="49" t="s">
        <v>25</v>
      </c>
      <c r="I19" s="49" t="s">
        <v>25</v>
      </c>
      <c r="J19" s="49" t="s">
        <v>897</v>
      </c>
      <c r="K19" s="49" t="s">
        <v>898</v>
      </c>
      <c r="L19" s="49" t="s">
        <v>90</v>
      </c>
      <c r="M19" s="49">
        <v>2021</v>
      </c>
      <c r="N19" s="49">
        <v>0</v>
      </c>
      <c r="O19" s="49">
        <v>203.44</v>
      </c>
      <c r="P19" s="49">
        <v>0</v>
      </c>
    </row>
    <row r="20" spans="1:16" ht="11.25" customHeight="1" x14ac:dyDescent="0.25">
      <c r="A20" s="49">
        <v>19</v>
      </c>
      <c r="B20" s="49" t="s">
        <v>754</v>
      </c>
      <c r="C20" s="49" t="s">
        <v>44</v>
      </c>
      <c r="D20" s="49" t="s">
        <v>37</v>
      </c>
      <c r="E20" s="49" t="s">
        <v>45</v>
      </c>
      <c r="F20" s="49" t="s">
        <v>25</v>
      </c>
      <c r="G20" s="49" t="s">
        <v>25</v>
      </c>
      <c r="H20" s="49" t="s">
        <v>25</v>
      </c>
      <c r="I20" s="49" t="s">
        <v>35</v>
      </c>
      <c r="J20" s="49" t="s">
        <v>897</v>
      </c>
      <c r="K20" s="49" t="s">
        <v>898</v>
      </c>
      <c r="L20" s="49" t="s">
        <v>90</v>
      </c>
      <c r="M20" s="49">
        <v>2021</v>
      </c>
      <c r="N20" s="49">
        <v>0</v>
      </c>
      <c r="O20" s="49">
        <v>889.08</v>
      </c>
      <c r="P20" s="49">
        <v>22.127524957960901</v>
      </c>
    </row>
    <row r="21" spans="1:16" ht="11.25" customHeight="1" x14ac:dyDescent="0.25">
      <c r="A21" s="49">
        <v>20</v>
      </c>
      <c r="B21" s="49" t="s">
        <v>754</v>
      </c>
      <c r="C21" s="49" t="s">
        <v>44</v>
      </c>
      <c r="D21" s="49" t="s">
        <v>37</v>
      </c>
      <c r="E21" s="49" t="s">
        <v>45</v>
      </c>
      <c r="F21" s="49" t="s">
        <v>25</v>
      </c>
      <c r="G21" s="49" t="s">
        <v>25</v>
      </c>
      <c r="H21" s="49" t="s">
        <v>25</v>
      </c>
      <c r="I21" s="49" t="s">
        <v>38</v>
      </c>
      <c r="J21" s="49" t="s">
        <v>897</v>
      </c>
      <c r="K21" s="49" t="s">
        <v>898</v>
      </c>
      <c r="L21" s="49" t="s">
        <v>90</v>
      </c>
      <c r="M21" s="49">
        <v>2021</v>
      </c>
      <c r="N21" s="49">
        <v>0</v>
      </c>
      <c r="O21" s="49">
        <v>578.61</v>
      </c>
      <c r="P21" s="49">
        <v>22.127524957960901</v>
      </c>
    </row>
    <row r="22" spans="1:16" ht="11.25" customHeight="1" x14ac:dyDescent="0.25">
      <c r="A22" s="49">
        <v>21</v>
      </c>
      <c r="B22" s="49" t="s">
        <v>754</v>
      </c>
      <c r="C22" s="49" t="s">
        <v>44</v>
      </c>
      <c r="D22" s="49" t="s">
        <v>37</v>
      </c>
      <c r="E22" s="49" t="s">
        <v>45</v>
      </c>
      <c r="F22" s="49" t="s">
        <v>25</v>
      </c>
      <c r="G22" s="49" t="s">
        <v>25</v>
      </c>
      <c r="H22" s="49" t="s">
        <v>25</v>
      </c>
      <c r="I22" s="49" t="s">
        <v>36</v>
      </c>
      <c r="J22" s="49" t="s">
        <v>897</v>
      </c>
      <c r="K22" s="49" t="s">
        <v>898</v>
      </c>
      <c r="L22" s="49" t="s">
        <v>90</v>
      </c>
      <c r="M22" s="49">
        <v>2021</v>
      </c>
      <c r="N22" s="49">
        <v>0</v>
      </c>
      <c r="O22" s="49">
        <v>268.14</v>
      </c>
      <c r="P22" s="49">
        <v>22.127524957960901</v>
      </c>
    </row>
    <row r="23" spans="1:16" ht="11.25" customHeight="1" x14ac:dyDescent="0.25">
      <c r="A23" s="49">
        <v>22</v>
      </c>
      <c r="B23" s="49" t="s">
        <v>754</v>
      </c>
      <c r="C23" s="49" t="s">
        <v>44</v>
      </c>
      <c r="D23" s="49" t="s">
        <v>37</v>
      </c>
      <c r="E23" s="49" t="s">
        <v>45</v>
      </c>
      <c r="F23" s="49" t="s">
        <v>104</v>
      </c>
      <c r="G23" s="49" t="s">
        <v>25</v>
      </c>
      <c r="H23" s="49" t="s">
        <v>25</v>
      </c>
      <c r="I23" s="49" t="s">
        <v>38</v>
      </c>
      <c r="J23" s="49" t="s">
        <v>897</v>
      </c>
      <c r="K23" s="49" t="s">
        <v>898</v>
      </c>
      <c r="L23" s="49" t="s">
        <v>90</v>
      </c>
      <c r="M23" s="49">
        <v>2021</v>
      </c>
      <c r="N23" s="49">
        <v>0</v>
      </c>
      <c r="O23" s="49">
        <v>578.61</v>
      </c>
      <c r="P23" s="49">
        <v>22.127524957960901</v>
      </c>
    </row>
    <row r="24" spans="1:16" ht="11.25" customHeight="1" x14ac:dyDescent="0.25">
      <c r="A24" s="49">
        <v>23</v>
      </c>
      <c r="B24" s="49" t="s">
        <v>754</v>
      </c>
      <c r="C24" s="49" t="s">
        <v>44</v>
      </c>
      <c r="D24" s="49" t="s">
        <v>37</v>
      </c>
      <c r="E24" s="49" t="s">
        <v>45</v>
      </c>
      <c r="F24" s="49" t="s">
        <v>104</v>
      </c>
      <c r="G24" s="49" t="s">
        <v>25</v>
      </c>
      <c r="H24" s="49" t="s">
        <v>25</v>
      </c>
      <c r="I24" s="49" t="s">
        <v>36</v>
      </c>
      <c r="J24" s="49" t="s">
        <v>897</v>
      </c>
      <c r="K24" s="49" t="s">
        <v>898</v>
      </c>
      <c r="L24" s="49" t="s">
        <v>90</v>
      </c>
      <c r="M24" s="49">
        <v>2021</v>
      </c>
      <c r="N24" s="49">
        <v>0</v>
      </c>
      <c r="O24" s="49">
        <v>268.14</v>
      </c>
      <c r="P24" s="49">
        <v>22.127524957960901</v>
      </c>
    </row>
    <row r="25" spans="1:16" ht="11.25" customHeight="1" x14ac:dyDescent="0.25">
      <c r="A25" s="49">
        <v>24</v>
      </c>
      <c r="B25" s="49" t="s">
        <v>754</v>
      </c>
      <c r="C25" s="49" t="s">
        <v>44</v>
      </c>
      <c r="D25" s="49" t="s">
        <v>23</v>
      </c>
      <c r="E25" s="49" t="s">
        <v>45</v>
      </c>
      <c r="F25" s="49" t="s">
        <v>104</v>
      </c>
      <c r="G25" s="49" t="s">
        <v>25</v>
      </c>
      <c r="H25" s="49" t="s">
        <v>25</v>
      </c>
      <c r="I25" s="49" t="s">
        <v>25</v>
      </c>
      <c r="J25" s="49" t="s">
        <v>897</v>
      </c>
      <c r="K25" s="49" t="s">
        <v>898</v>
      </c>
      <c r="L25" s="49" t="s">
        <v>90</v>
      </c>
      <c r="M25" s="49">
        <v>2021</v>
      </c>
      <c r="N25" s="49">
        <v>0</v>
      </c>
      <c r="O25" s="49">
        <v>348.11</v>
      </c>
      <c r="P25" s="49">
        <v>22.127524957960901</v>
      </c>
    </row>
    <row r="26" spans="1:16" ht="11.25" customHeight="1" x14ac:dyDescent="0.25">
      <c r="A26" s="49">
        <v>25</v>
      </c>
      <c r="B26" s="49" t="s">
        <v>754</v>
      </c>
      <c r="C26" s="49" t="s">
        <v>44</v>
      </c>
      <c r="D26" s="49" t="s">
        <v>37</v>
      </c>
      <c r="E26" s="49" t="s">
        <v>45</v>
      </c>
      <c r="F26" s="49" t="s">
        <v>105</v>
      </c>
      <c r="G26" s="49" t="s">
        <v>25</v>
      </c>
      <c r="H26" s="49" t="s">
        <v>25</v>
      </c>
      <c r="I26" s="49" t="s">
        <v>35</v>
      </c>
      <c r="J26" s="49" t="s">
        <v>897</v>
      </c>
      <c r="K26" s="49" t="s">
        <v>898</v>
      </c>
      <c r="L26" s="49" t="s">
        <v>90</v>
      </c>
      <c r="M26" s="49">
        <v>2021</v>
      </c>
      <c r="N26" s="49">
        <v>0</v>
      </c>
      <c r="O26" s="49">
        <v>848.67</v>
      </c>
      <c r="P26" s="49">
        <v>21.1217283689627</v>
      </c>
    </row>
    <row r="27" spans="1:16" ht="11.25" customHeight="1" x14ac:dyDescent="0.25">
      <c r="A27" s="49">
        <v>26</v>
      </c>
      <c r="B27" s="49" t="s">
        <v>754</v>
      </c>
      <c r="C27" s="49" t="s">
        <v>44</v>
      </c>
      <c r="D27" s="49" t="s">
        <v>23</v>
      </c>
      <c r="E27" s="49" t="s">
        <v>45</v>
      </c>
      <c r="F27" s="49" t="s">
        <v>105</v>
      </c>
      <c r="G27" s="49" t="s">
        <v>25</v>
      </c>
      <c r="H27" s="49" t="s">
        <v>25</v>
      </c>
      <c r="I27" s="49" t="s">
        <v>25</v>
      </c>
      <c r="J27" s="49" t="s">
        <v>897</v>
      </c>
      <c r="K27" s="49" t="s">
        <v>898</v>
      </c>
      <c r="L27" s="49" t="s">
        <v>90</v>
      </c>
      <c r="M27" s="49">
        <v>2021</v>
      </c>
      <c r="N27" s="49">
        <v>0</v>
      </c>
      <c r="O27" s="49">
        <v>332.28</v>
      </c>
      <c r="P27" s="49">
        <v>21.1217283689627</v>
      </c>
    </row>
    <row r="28" spans="1:16" ht="11.25" customHeight="1" x14ac:dyDescent="0.25">
      <c r="A28" s="49">
        <v>27</v>
      </c>
      <c r="B28" s="49" t="s">
        <v>754</v>
      </c>
      <c r="C28" s="49" t="s">
        <v>44</v>
      </c>
      <c r="D28" s="49" t="s">
        <v>103</v>
      </c>
      <c r="E28" s="49" t="s">
        <v>45</v>
      </c>
      <c r="F28" s="49" t="s">
        <v>25</v>
      </c>
      <c r="G28" s="49" t="s">
        <v>25</v>
      </c>
      <c r="H28" s="49" t="s">
        <v>25</v>
      </c>
      <c r="I28" s="49" t="s">
        <v>25</v>
      </c>
      <c r="J28" s="49" t="s">
        <v>897</v>
      </c>
      <c r="K28" s="49" t="s">
        <v>898</v>
      </c>
      <c r="L28" s="49" t="s">
        <v>90</v>
      </c>
      <c r="M28" s="49">
        <v>2021</v>
      </c>
      <c r="N28" s="49">
        <v>0</v>
      </c>
      <c r="O28" s="49">
        <v>348.11</v>
      </c>
      <c r="P28" s="49">
        <v>22.127524957960901</v>
      </c>
    </row>
    <row r="29" spans="1:16" ht="11.25" customHeight="1" x14ac:dyDescent="0.25">
      <c r="A29" s="49">
        <v>28</v>
      </c>
      <c r="B29" s="49" t="s">
        <v>754</v>
      </c>
      <c r="C29" s="49" t="s">
        <v>44</v>
      </c>
      <c r="D29" s="49" t="s">
        <v>103</v>
      </c>
      <c r="E29" s="49" t="s">
        <v>45</v>
      </c>
      <c r="F29" s="49" t="s">
        <v>104</v>
      </c>
      <c r="G29" s="49" t="s">
        <v>25</v>
      </c>
      <c r="H29" s="49" t="s">
        <v>25</v>
      </c>
      <c r="I29" s="49" t="s">
        <v>25</v>
      </c>
      <c r="J29" s="49" t="s">
        <v>897</v>
      </c>
      <c r="K29" s="49" t="s">
        <v>898</v>
      </c>
      <c r="L29" s="49" t="s">
        <v>90</v>
      </c>
      <c r="M29" s="49">
        <v>2021</v>
      </c>
      <c r="N29" s="49">
        <v>0</v>
      </c>
      <c r="O29" s="49">
        <v>348.11</v>
      </c>
      <c r="P29" s="49">
        <v>22.127524957960901</v>
      </c>
    </row>
    <row r="30" spans="1:16" ht="11.25" customHeight="1" x14ac:dyDescent="0.25">
      <c r="A30" s="49">
        <v>29</v>
      </c>
      <c r="B30" s="49" t="s">
        <v>754</v>
      </c>
      <c r="C30" s="49" t="s">
        <v>33</v>
      </c>
      <c r="D30" s="49" t="s">
        <v>34</v>
      </c>
      <c r="E30" s="49" t="s">
        <v>25</v>
      </c>
      <c r="F30" s="49" t="s">
        <v>25</v>
      </c>
      <c r="G30" s="49" t="s">
        <v>25</v>
      </c>
      <c r="H30" s="49" t="s">
        <v>25</v>
      </c>
      <c r="I30" s="49" t="s">
        <v>36</v>
      </c>
      <c r="J30" s="49" t="s">
        <v>897</v>
      </c>
      <c r="K30" s="49" t="s">
        <v>898</v>
      </c>
      <c r="L30" s="49" t="s">
        <v>90</v>
      </c>
      <c r="M30" s="49">
        <v>2021</v>
      </c>
      <c r="N30" s="49">
        <v>0</v>
      </c>
      <c r="O30" s="49">
        <v>97.61</v>
      </c>
      <c r="P30" s="49">
        <v>21.876075810711299</v>
      </c>
    </row>
    <row r="31" spans="1:16" ht="11.25" customHeight="1" x14ac:dyDescent="0.25">
      <c r="A31" s="49">
        <v>30</v>
      </c>
      <c r="B31" s="49" t="s">
        <v>754</v>
      </c>
      <c r="C31" s="49" t="s">
        <v>33</v>
      </c>
      <c r="D31" s="49" t="s">
        <v>34</v>
      </c>
      <c r="E31" s="49" t="s">
        <v>25</v>
      </c>
      <c r="F31" s="49" t="s">
        <v>25</v>
      </c>
      <c r="G31" s="49" t="s">
        <v>58</v>
      </c>
      <c r="H31" s="49" t="s">
        <v>25</v>
      </c>
      <c r="I31" s="49" t="s">
        <v>35</v>
      </c>
      <c r="J31" s="49" t="s">
        <v>897</v>
      </c>
      <c r="K31" s="49" t="s">
        <v>898</v>
      </c>
      <c r="L31" s="49" t="s">
        <v>90</v>
      </c>
      <c r="M31" s="49">
        <v>2021</v>
      </c>
      <c r="N31" s="49">
        <v>0</v>
      </c>
      <c r="O31" s="49">
        <v>1506.58</v>
      </c>
      <c r="P31" s="49">
        <v>0</v>
      </c>
    </row>
    <row r="32" spans="1:16" ht="11.25" customHeight="1" x14ac:dyDescent="0.25">
      <c r="A32" s="49">
        <v>31</v>
      </c>
      <c r="B32" s="49" t="s">
        <v>754</v>
      </c>
      <c r="C32" s="49" t="s">
        <v>22</v>
      </c>
      <c r="D32" s="49" t="s">
        <v>37</v>
      </c>
      <c r="E32" s="49" t="s">
        <v>24</v>
      </c>
      <c r="F32" s="49" t="s">
        <v>24</v>
      </c>
      <c r="G32" s="49" t="s">
        <v>25</v>
      </c>
      <c r="H32" s="49" t="s">
        <v>25</v>
      </c>
      <c r="I32" s="49" t="s">
        <v>35</v>
      </c>
      <c r="J32" s="49" t="s">
        <v>897</v>
      </c>
      <c r="K32" s="49" t="s">
        <v>898</v>
      </c>
      <c r="L32" s="49" t="s">
        <v>90</v>
      </c>
      <c r="M32" s="49">
        <v>2021</v>
      </c>
      <c r="N32" s="49">
        <v>0</v>
      </c>
      <c r="O32" s="49">
        <v>1010.32</v>
      </c>
      <c r="P32" s="49">
        <v>25.144914724955498</v>
      </c>
    </row>
    <row r="33" spans="1:16" ht="11.25" customHeight="1" x14ac:dyDescent="0.25">
      <c r="A33" s="49">
        <v>32</v>
      </c>
      <c r="B33" s="49" t="s">
        <v>754</v>
      </c>
      <c r="C33" s="49" t="s">
        <v>22</v>
      </c>
      <c r="D33" s="49" t="s">
        <v>37</v>
      </c>
      <c r="E33" s="49" t="s">
        <v>24</v>
      </c>
      <c r="F33" s="49" t="s">
        <v>24</v>
      </c>
      <c r="G33" s="49" t="s">
        <v>25</v>
      </c>
      <c r="H33" s="49" t="s">
        <v>25</v>
      </c>
      <c r="I33" s="49" t="s">
        <v>38</v>
      </c>
      <c r="J33" s="49" t="s">
        <v>897</v>
      </c>
      <c r="K33" s="49" t="s">
        <v>898</v>
      </c>
      <c r="L33" s="49" t="s">
        <v>90</v>
      </c>
      <c r="M33" s="49">
        <v>2021</v>
      </c>
      <c r="N33" s="49">
        <v>0</v>
      </c>
      <c r="O33" s="49">
        <v>657.51</v>
      </c>
      <c r="P33" s="49">
        <v>25.144914724955498</v>
      </c>
    </row>
    <row r="34" spans="1:16" ht="11.25" customHeight="1" x14ac:dyDescent="0.25">
      <c r="A34" s="49">
        <v>33</v>
      </c>
      <c r="B34" s="49" t="s">
        <v>754</v>
      </c>
      <c r="C34" s="49" t="s">
        <v>22</v>
      </c>
      <c r="D34" s="49" t="s">
        <v>23</v>
      </c>
      <c r="E34" s="49" t="s">
        <v>24</v>
      </c>
      <c r="F34" s="49" t="s">
        <v>31</v>
      </c>
      <c r="G34" s="49" t="s">
        <v>25</v>
      </c>
      <c r="H34" s="49" t="s">
        <v>25</v>
      </c>
      <c r="I34" s="49" t="s">
        <v>25</v>
      </c>
      <c r="J34" s="49" t="s">
        <v>897</v>
      </c>
      <c r="K34" s="49" t="s">
        <v>898</v>
      </c>
      <c r="L34" s="49" t="s">
        <v>90</v>
      </c>
      <c r="M34" s="49">
        <v>2021</v>
      </c>
      <c r="N34" s="49">
        <v>0</v>
      </c>
      <c r="O34" s="49">
        <v>305.14999999999998</v>
      </c>
      <c r="P34" s="49">
        <v>0</v>
      </c>
    </row>
    <row r="35" spans="1:16" ht="11.25" customHeight="1" x14ac:dyDescent="0.25">
      <c r="A35" s="49">
        <v>34</v>
      </c>
      <c r="B35" s="49" t="s">
        <v>754</v>
      </c>
      <c r="C35" s="49" t="s">
        <v>22</v>
      </c>
      <c r="D35" s="49" t="s">
        <v>23</v>
      </c>
      <c r="E35" s="49" t="s">
        <v>24</v>
      </c>
      <c r="F35" s="49" t="s">
        <v>32</v>
      </c>
      <c r="G35" s="49" t="s">
        <v>25</v>
      </c>
      <c r="H35" s="49" t="s">
        <v>25</v>
      </c>
      <c r="I35" s="49" t="s">
        <v>25</v>
      </c>
      <c r="J35" s="49" t="s">
        <v>897</v>
      </c>
      <c r="K35" s="49" t="s">
        <v>898</v>
      </c>
      <c r="L35" s="49" t="s">
        <v>90</v>
      </c>
      <c r="M35" s="49">
        <v>2021</v>
      </c>
      <c r="N35" s="49">
        <v>0</v>
      </c>
      <c r="O35" s="49">
        <v>339.06</v>
      </c>
      <c r="P35" s="49">
        <v>0</v>
      </c>
    </row>
    <row r="36" spans="1:16" ht="11.25" customHeight="1" x14ac:dyDescent="0.25">
      <c r="A36" s="49">
        <v>35</v>
      </c>
      <c r="B36" s="49" t="s">
        <v>754</v>
      </c>
      <c r="C36" s="49" t="s">
        <v>22</v>
      </c>
      <c r="D36" s="49" t="s">
        <v>103</v>
      </c>
      <c r="E36" s="49" t="s">
        <v>24</v>
      </c>
      <c r="F36" s="49" t="s">
        <v>31</v>
      </c>
      <c r="G36" s="49" t="s">
        <v>25</v>
      </c>
      <c r="H36" s="49" t="s">
        <v>25</v>
      </c>
      <c r="I36" s="49" t="s">
        <v>25</v>
      </c>
      <c r="J36" s="49" t="s">
        <v>897</v>
      </c>
      <c r="K36" s="49" t="s">
        <v>898</v>
      </c>
      <c r="L36" s="49" t="s">
        <v>90</v>
      </c>
      <c r="M36" s="49">
        <v>2021</v>
      </c>
      <c r="N36" s="49">
        <v>0</v>
      </c>
      <c r="O36" s="49">
        <v>305.14999999999998</v>
      </c>
      <c r="P36" s="49">
        <v>0</v>
      </c>
    </row>
    <row r="37" spans="1:16" ht="11.25" customHeight="1" x14ac:dyDescent="0.25">
      <c r="A37" s="49">
        <v>36</v>
      </c>
      <c r="B37" s="49" t="s">
        <v>754</v>
      </c>
      <c r="C37" s="49" t="s">
        <v>22</v>
      </c>
      <c r="D37" s="49" t="s">
        <v>103</v>
      </c>
      <c r="E37" s="49" t="s">
        <v>24</v>
      </c>
      <c r="F37" s="49" t="s">
        <v>32</v>
      </c>
      <c r="G37" s="49" t="s">
        <v>25</v>
      </c>
      <c r="H37" s="49" t="s">
        <v>25</v>
      </c>
      <c r="I37" s="49" t="s">
        <v>25</v>
      </c>
      <c r="J37" s="49" t="s">
        <v>897</v>
      </c>
      <c r="K37" s="49" t="s">
        <v>898</v>
      </c>
      <c r="L37" s="49" t="s">
        <v>90</v>
      </c>
      <c r="M37" s="49">
        <v>2021</v>
      </c>
      <c r="N37" s="49">
        <v>0</v>
      </c>
      <c r="O37" s="49">
        <v>339.06</v>
      </c>
      <c r="P37" s="49">
        <v>0</v>
      </c>
    </row>
    <row r="38" spans="1:16" ht="11.25" customHeight="1" x14ac:dyDescent="0.25">
      <c r="A38" s="49">
        <v>37</v>
      </c>
      <c r="B38" s="49" t="s">
        <v>754</v>
      </c>
      <c r="C38" s="49" t="s">
        <v>44</v>
      </c>
      <c r="D38" s="49" t="s">
        <v>23</v>
      </c>
      <c r="E38" s="49" t="s">
        <v>45</v>
      </c>
      <c r="F38" s="49" t="s">
        <v>25</v>
      </c>
      <c r="G38" s="49" t="s">
        <v>25</v>
      </c>
      <c r="H38" s="49" t="s">
        <v>25</v>
      </c>
      <c r="I38" s="49" t="s">
        <v>25</v>
      </c>
      <c r="J38" s="49" t="s">
        <v>897</v>
      </c>
      <c r="K38" s="49" t="s">
        <v>898</v>
      </c>
      <c r="L38" s="49" t="s">
        <v>90</v>
      </c>
      <c r="M38" s="49">
        <v>2021</v>
      </c>
      <c r="N38" s="49">
        <v>0</v>
      </c>
      <c r="O38" s="49">
        <v>348.11</v>
      </c>
      <c r="P38" s="49">
        <v>22.127524957960901</v>
      </c>
    </row>
    <row r="39" spans="1:16" ht="11.25" customHeight="1" x14ac:dyDescent="0.25">
      <c r="A39" s="49">
        <v>38</v>
      </c>
      <c r="B39" s="49" t="s">
        <v>754</v>
      </c>
      <c r="C39" s="49" t="s">
        <v>44</v>
      </c>
      <c r="D39" s="49" t="s">
        <v>37</v>
      </c>
      <c r="E39" s="49" t="s">
        <v>45</v>
      </c>
      <c r="F39" s="49" t="s">
        <v>104</v>
      </c>
      <c r="G39" s="49" t="s">
        <v>25</v>
      </c>
      <c r="H39" s="49" t="s">
        <v>25</v>
      </c>
      <c r="I39" s="49" t="s">
        <v>35</v>
      </c>
      <c r="J39" s="49" t="s">
        <v>897</v>
      </c>
      <c r="K39" s="49" t="s">
        <v>898</v>
      </c>
      <c r="L39" s="49" t="s">
        <v>90</v>
      </c>
      <c r="M39" s="49">
        <v>2021</v>
      </c>
      <c r="N39" s="49">
        <v>0</v>
      </c>
      <c r="O39" s="49">
        <v>889.08</v>
      </c>
      <c r="P39" s="49">
        <v>22.127524957960901</v>
      </c>
    </row>
    <row r="40" spans="1:16" ht="11.25" customHeight="1" x14ac:dyDescent="0.25">
      <c r="A40" s="49">
        <v>39</v>
      </c>
      <c r="B40" s="49" t="s">
        <v>754</v>
      </c>
      <c r="C40" s="49" t="s">
        <v>44</v>
      </c>
      <c r="D40" s="49" t="s">
        <v>37</v>
      </c>
      <c r="E40" s="49" t="s">
        <v>45</v>
      </c>
      <c r="F40" s="49" t="s">
        <v>105</v>
      </c>
      <c r="G40" s="49" t="s">
        <v>25</v>
      </c>
      <c r="H40" s="49" t="s">
        <v>25</v>
      </c>
      <c r="I40" s="49" t="s">
        <v>38</v>
      </c>
      <c r="J40" s="49" t="s">
        <v>897</v>
      </c>
      <c r="K40" s="49" t="s">
        <v>898</v>
      </c>
      <c r="L40" s="49" t="s">
        <v>90</v>
      </c>
      <c r="M40" s="49">
        <v>2021</v>
      </c>
      <c r="N40" s="49">
        <v>0</v>
      </c>
      <c r="O40" s="49">
        <v>552.30999999999995</v>
      </c>
      <c r="P40" s="49">
        <v>21.1217283689627</v>
      </c>
    </row>
    <row r="41" spans="1:16" ht="11.25" customHeight="1" x14ac:dyDescent="0.25">
      <c r="A41" s="49">
        <v>40</v>
      </c>
      <c r="B41" s="49" t="s">
        <v>754</v>
      </c>
      <c r="C41" s="49" t="s">
        <v>44</v>
      </c>
      <c r="D41" s="49" t="s">
        <v>37</v>
      </c>
      <c r="E41" s="49" t="s">
        <v>45</v>
      </c>
      <c r="F41" s="49" t="s">
        <v>105</v>
      </c>
      <c r="G41" s="49" t="s">
        <v>25</v>
      </c>
      <c r="H41" s="49" t="s">
        <v>25</v>
      </c>
      <c r="I41" s="49" t="s">
        <v>36</v>
      </c>
      <c r="J41" s="49" t="s">
        <v>897</v>
      </c>
      <c r="K41" s="49" t="s">
        <v>898</v>
      </c>
      <c r="L41" s="49" t="s">
        <v>90</v>
      </c>
      <c r="M41" s="49">
        <v>2021</v>
      </c>
      <c r="N41" s="49">
        <v>0</v>
      </c>
      <c r="O41" s="49">
        <v>255.95</v>
      </c>
      <c r="P41" s="49">
        <v>21.1217283689627</v>
      </c>
    </row>
    <row r="42" spans="1:16" ht="11.25" customHeight="1" x14ac:dyDescent="0.25">
      <c r="A42" s="49">
        <v>41</v>
      </c>
      <c r="B42" s="49" t="s">
        <v>754</v>
      </c>
      <c r="C42" s="49" t="s">
        <v>44</v>
      </c>
      <c r="D42" s="49" t="s">
        <v>103</v>
      </c>
      <c r="E42" s="49" t="s">
        <v>45</v>
      </c>
      <c r="F42" s="49" t="s">
        <v>105</v>
      </c>
      <c r="G42" s="49" t="s">
        <v>25</v>
      </c>
      <c r="H42" s="49" t="s">
        <v>25</v>
      </c>
      <c r="I42" s="49" t="s">
        <v>25</v>
      </c>
      <c r="J42" s="49" t="s">
        <v>897</v>
      </c>
      <c r="K42" s="49" t="s">
        <v>898</v>
      </c>
      <c r="L42" s="49" t="s">
        <v>90</v>
      </c>
      <c r="M42" s="49">
        <v>2021</v>
      </c>
      <c r="N42" s="49">
        <v>0</v>
      </c>
      <c r="O42" s="49">
        <v>332.28</v>
      </c>
      <c r="P42" s="49">
        <v>21.1217283689627</v>
      </c>
    </row>
    <row r="43" spans="1:16" ht="11.25" customHeight="1" x14ac:dyDescent="0.25">
      <c r="A43" s="49">
        <v>42</v>
      </c>
      <c r="B43" s="49" t="s">
        <v>754</v>
      </c>
      <c r="C43" s="49" t="s">
        <v>39</v>
      </c>
      <c r="D43" s="49" t="s">
        <v>37</v>
      </c>
      <c r="E43" s="49" t="s">
        <v>25</v>
      </c>
      <c r="F43" s="49" t="s">
        <v>25</v>
      </c>
      <c r="G43" s="49" t="s">
        <v>25</v>
      </c>
      <c r="H43" s="49" t="s">
        <v>25</v>
      </c>
      <c r="I43" s="49" t="s">
        <v>35</v>
      </c>
      <c r="J43" s="49" t="s">
        <v>897</v>
      </c>
      <c r="K43" s="49" t="s">
        <v>898</v>
      </c>
      <c r="L43" s="49" t="s">
        <v>90</v>
      </c>
      <c r="M43" s="49">
        <v>2021</v>
      </c>
      <c r="N43" s="49">
        <v>0</v>
      </c>
      <c r="O43" s="49">
        <v>1010.32</v>
      </c>
      <c r="P43" s="49">
        <v>25.144914724955498</v>
      </c>
    </row>
    <row r="44" spans="1:16" ht="11.25" customHeight="1" x14ac:dyDescent="0.25">
      <c r="A44" s="49">
        <v>43</v>
      </c>
      <c r="B44" s="49" t="s">
        <v>754</v>
      </c>
      <c r="C44" s="49" t="s">
        <v>39</v>
      </c>
      <c r="D44" s="49" t="s">
        <v>37</v>
      </c>
      <c r="E44" s="49" t="s">
        <v>25</v>
      </c>
      <c r="F44" s="49" t="s">
        <v>25</v>
      </c>
      <c r="G44" s="49" t="s">
        <v>25</v>
      </c>
      <c r="H44" s="49" t="s">
        <v>25</v>
      </c>
      <c r="I44" s="49" t="s">
        <v>38</v>
      </c>
      <c r="J44" s="49" t="s">
        <v>897</v>
      </c>
      <c r="K44" s="49" t="s">
        <v>898</v>
      </c>
      <c r="L44" s="49" t="s">
        <v>90</v>
      </c>
      <c r="M44" s="49">
        <v>2021</v>
      </c>
      <c r="N44" s="49">
        <v>0</v>
      </c>
      <c r="O44" s="49">
        <v>657.51</v>
      </c>
      <c r="P44" s="49">
        <v>25.144914724955498</v>
      </c>
    </row>
    <row r="45" spans="1:16" ht="11.25" customHeight="1" x14ac:dyDescent="0.25">
      <c r="A45" s="49">
        <v>44</v>
      </c>
      <c r="B45" s="49" t="s">
        <v>754</v>
      </c>
      <c r="C45" s="49" t="s">
        <v>39</v>
      </c>
      <c r="D45" s="49" t="s">
        <v>37</v>
      </c>
      <c r="E45" s="49" t="s">
        <v>25</v>
      </c>
      <c r="F45" s="49" t="s">
        <v>25</v>
      </c>
      <c r="G45" s="49" t="s">
        <v>25</v>
      </c>
      <c r="H45" s="49" t="s">
        <v>25</v>
      </c>
      <c r="I45" s="49" t="s">
        <v>36</v>
      </c>
      <c r="J45" s="49" t="s">
        <v>897</v>
      </c>
      <c r="K45" s="49" t="s">
        <v>898</v>
      </c>
      <c r="L45" s="49" t="s">
        <v>90</v>
      </c>
      <c r="M45" s="49">
        <v>2021</v>
      </c>
      <c r="N45" s="49">
        <v>0</v>
      </c>
      <c r="O45" s="49">
        <v>304.7</v>
      </c>
      <c r="P45" s="49">
        <v>25.144914724955498</v>
      </c>
    </row>
    <row r="46" spans="1:16" ht="11.25" customHeight="1" x14ac:dyDescent="0.25">
      <c r="A46" s="49">
        <v>45</v>
      </c>
      <c r="B46" s="49" t="s">
        <v>754</v>
      </c>
      <c r="C46" s="49" t="s">
        <v>39</v>
      </c>
      <c r="D46" s="49" t="s">
        <v>23</v>
      </c>
      <c r="E46" s="49" t="s">
        <v>25</v>
      </c>
      <c r="F46" s="49" t="s">
        <v>25</v>
      </c>
      <c r="G46" s="49" t="s">
        <v>25</v>
      </c>
      <c r="H46" s="49" t="s">
        <v>25</v>
      </c>
      <c r="I46" s="49" t="s">
        <v>25</v>
      </c>
      <c r="J46" s="49" t="s">
        <v>897</v>
      </c>
      <c r="K46" s="49" t="s">
        <v>898</v>
      </c>
      <c r="L46" s="49" t="s">
        <v>90</v>
      </c>
      <c r="M46" s="49">
        <v>2021</v>
      </c>
      <c r="N46" s="49">
        <v>0</v>
      </c>
      <c r="O46" s="49">
        <v>395.58</v>
      </c>
      <c r="P46" s="49">
        <v>25.144914724955498</v>
      </c>
    </row>
    <row r="47" spans="1:16" ht="11.25" customHeight="1" x14ac:dyDescent="0.25">
      <c r="A47" s="49">
        <v>46</v>
      </c>
      <c r="B47" s="49" t="s">
        <v>754</v>
      </c>
      <c r="C47" s="49" t="s">
        <v>47</v>
      </c>
      <c r="D47" s="49" t="s">
        <v>23</v>
      </c>
      <c r="E47" s="49" t="s">
        <v>48</v>
      </c>
      <c r="F47" s="49" t="s">
        <v>106</v>
      </c>
      <c r="G47" s="49" t="s">
        <v>25</v>
      </c>
      <c r="H47" s="49" t="s">
        <v>25</v>
      </c>
      <c r="I47" s="49" t="s">
        <v>25</v>
      </c>
      <c r="J47" s="49" t="s">
        <v>897</v>
      </c>
      <c r="K47" s="49" t="s">
        <v>898</v>
      </c>
      <c r="L47" s="49" t="s">
        <v>90</v>
      </c>
      <c r="M47" s="49">
        <v>2021</v>
      </c>
      <c r="N47" s="49">
        <v>0</v>
      </c>
      <c r="O47" s="49">
        <v>237.35</v>
      </c>
      <c r="P47" s="49">
        <v>15.086948834973301</v>
      </c>
    </row>
    <row r="48" spans="1:16" ht="11.25" customHeight="1" x14ac:dyDescent="0.25">
      <c r="A48" s="49">
        <v>47</v>
      </c>
      <c r="B48" s="49" t="s">
        <v>782</v>
      </c>
      <c r="C48" s="49" t="s">
        <v>41</v>
      </c>
      <c r="D48" s="49" t="s">
        <v>89</v>
      </c>
      <c r="E48" s="49" t="s">
        <v>25</v>
      </c>
      <c r="F48" s="49" t="s">
        <v>25</v>
      </c>
      <c r="G48" s="49" t="s">
        <v>25</v>
      </c>
      <c r="H48" s="49" t="s">
        <v>25</v>
      </c>
      <c r="I48" s="49" t="s">
        <v>35</v>
      </c>
      <c r="J48" s="49" t="s">
        <v>897</v>
      </c>
      <c r="K48" s="49" t="s">
        <v>898</v>
      </c>
      <c r="L48" s="49" t="s">
        <v>90</v>
      </c>
      <c r="M48" s="49">
        <v>2021</v>
      </c>
      <c r="N48" s="49">
        <v>0</v>
      </c>
      <c r="O48" s="49">
        <v>346.61</v>
      </c>
      <c r="P48" s="49"/>
    </row>
    <row r="49" spans="1:16" ht="11.25" customHeight="1" x14ac:dyDescent="0.25">
      <c r="A49" s="49">
        <v>48</v>
      </c>
      <c r="B49" s="49" t="s">
        <v>782</v>
      </c>
      <c r="C49" s="49" t="s">
        <v>41</v>
      </c>
      <c r="D49" s="49" t="s">
        <v>89</v>
      </c>
      <c r="E49" s="49" t="s">
        <v>25</v>
      </c>
      <c r="F49" s="49" t="s">
        <v>25</v>
      </c>
      <c r="G49" s="49" t="s">
        <v>25</v>
      </c>
      <c r="H49" s="49" t="s">
        <v>25</v>
      </c>
      <c r="I49" s="49" t="s">
        <v>36</v>
      </c>
      <c r="J49" s="49" t="s">
        <v>897</v>
      </c>
      <c r="K49" s="49" t="s">
        <v>898</v>
      </c>
      <c r="L49" s="49" t="s">
        <v>90</v>
      </c>
      <c r="M49" s="49">
        <v>2021</v>
      </c>
      <c r="N49" s="49">
        <v>0</v>
      </c>
      <c r="O49" s="49">
        <v>219.97</v>
      </c>
      <c r="P49" s="49"/>
    </row>
    <row r="50" spans="1:16" ht="11.25" customHeight="1" x14ac:dyDescent="0.25">
      <c r="A50" s="49">
        <v>49</v>
      </c>
      <c r="B50" s="49" t="s">
        <v>782</v>
      </c>
      <c r="C50" s="49" t="s">
        <v>41</v>
      </c>
      <c r="D50" s="49" t="s">
        <v>900</v>
      </c>
      <c r="E50" s="49" t="s">
        <v>25</v>
      </c>
      <c r="F50" s="49" t="s">
        <v>25</v>
      </c>
      <c r="G50" s="49" t="s">
        <v>25</v>
      </c>
      <c r="H50" s="49" t="s">
        <v>25</v>
      </c>
      <c r="I50" s="49" t="s">
        <v>25</v>
      </c>
      <c r="J50" s="49" t="s">
        <v>897</v>
      </c>
      <c r="K50" s="49" t="s">
        <v>898</v>
      </c>
      <c r="L50" s="49" t="s">
        <v>90</v>
      </c>
      <c r="M50" s="49">
        <v>2021</v>
      </c>
      <c r="N50" s="49">
        <v>0</v>
      </c>
      <c r="O50" s="49">
        <v>218.72</v>
      </c>
      <c r="P50" s="49"/>
    </row>
    <row r="51" spans="1:16" ht="11.25" customHeight="1" x14ac:dyDescent="0.25">
      <c r="A51" s="49">
        <v>50</v>
      </c>
      <c r="B51" s="49" t="s">
        <v>782</v>
      </c>
      <c r="C51" s="49" t="s">
        <v>22</v>
      </c>
      <c r="D51" s="49" t="s">
        <v>89</v>
      </c>
      <c r="E51" s="49" t="s">
        <v>24</v>
      </c>
      <c r="F51" s="49" t="s">
        <v>24</v>
      </c>
      <c r="G51" s="49" t="s">
        <v>25</v>
      </c>
      <c r="H51" s="49" t="s">
        <v>25</v>
      </c>
      <c r="I51" s="49" t="s">
        <v>35</v>
      </c>
      <c r="J51" s="49" t="s">
        <v>897</v>
      </c>
      <c r="K51" s="49" t="s">
        <v>898</v>
      </c>
      <c r="L51" s="49" t="s">
        <v>90</v>
      </c>
      <c r="M51" s="49">
        <v>2021</v>
      </c>
      <c r="N51" s="49">
        <v>0</v>
      </c>
      <c r="O51" s="49">
        <v>346.61</v>
      </c>
      <c r="P51" s="49"/>
    </row>
    <row r="52" spans="1:16" ht="11.25" customHeight="1" x14ac:dyDescent="0.25">
      <c r="A52" s="49">
        <v>51</v>
      </c>
      <c r="B52" s="49" t="s">
        <v>782</v>
      </c>
      <c r="C52" s="49" t="s">
        <v>22</v>
      </c>
      <c r="D52" s="49" t="s">
        <v>89</v>
      </c>
      <c r="E52" s="49" t="s">
        <v>24</v>
      </c>
      <c r="F52" s="49" t="s">
        <v>24</v>
      </c>
      <c r="G52" s="49" t="s">
        <v>25</v>
      </c>
      <c r="H52" s="49" t="s">
        <v>25</v>
      </c>
      <c r="I52" s="49" t="s">
        <v>38</v>
      </c>
      <c r="J52" s="49" t="s">
        <v>897</v>
      </c>
      <c r="K52" s="49" t="s">
        <v>898</v>
      </c>
      <c r="L52" s="49" t="s">
        <v>90</v>
      </c>
      <c r="M52" s="49">
        <v>2021</v>
      </c>
      <c r="N52" s="49">
        <v>0</v>
      </c>
      <c r="O52" s="49">
        <v>219.97</v>
      </c>
      <c r="P52" s="49"/>
    </row>
    <row r="53" spans="1:16" ht="11.25" customHeight="1" x14ac:dyDescent="0.25">
      <c r="A53" s="49">
        <v>52</v>
      </c>
      <c r="B53" s="49" t="s">
        <v>782</v>
      </c>
      <c r="C53" s="49" t="s">
        <v>22</v>
      </c>
      <c r="D53" s="49" t="s">
        <v>89</v>
      </c>
      <c r="E53" s="49" t="s">
        <v>24</v>
      </c>
      <c r="F53" s="49" t="s">
        <v>24</v>
      </c>
      <c r="G53" s="49" t="s">
        <v>25</v>
      </c>
      <c r="H53" s="49" t="s">
        <v>25</v>
      </c>
      <c r="I53" s="49" t="s">
        <v>36</v>
      </c>
      <c r="J53" s="49" t="s">
        <v>897</v>
      </c>
      <c r="K53" s="49" t="s">
        <v>898</v>
      </c>
      <c r="L53" s="49" t="s">
        <v>90</v>
      </c>
      <c r="M53" s="49">
        <v>2021</v>
      </c>
      <c r="N53" s="49">
        <v>0</v>
      </c>
      <c r="O53" s="49">
        <v>219.97</v>
      </c>
      <c r="P53" s="49"/>
    </row>
    <row r="54" spans="1:16" ht="11.25" customHeight="1" x14ac:dyDescent="0.25">
      <c r="A54" s="49">
        <v>53</v>
      </c>
      <c r="B54" s="49" t="s">
        <v>782</v>
      </c>
      <c r="C54" s="49" t="s">
        <v>22</v>
      </c>
      <c r="D54" s="49" t="s">
        <v>97</v>
      </c>
      <c r="E54" s="49" t="s">
        <v>24</v>
      </c>
      <c r="F54" s="49" t="s">
        <v>24</v>
      </c>
      <c r="G54" s="49" t="s">
        <v>25</v>
      </c>
      <c r="H54" s="49" t="s">
        <v>25</v>
      </c>
      <c r="I54" s="49" t="s">
        <v>25</v>
      </c>
      <c r="J54" s="49" t="s">
        <v>897</v>
      </c>
      <c r="K54" s="49" t="s">
        <v>898</v>
      </c>
      <c r="L54" s="49" t="s">
        <v>90</v>
      </c>
      <c r="M54" s="49">
        <v>2021</v>
      </c>
      <c r="N54" s="49">
        <v>0</v>
      </c>
      <c r="O54" s="49">
        <v>230.53</v>
      </c>
      <c r="P54" s="49"/>
    </row>
    <row r="55" spans="1:16" ht="11.25" customHeight="1" x14ac:dyDescent="0.25">
      <c r="A55" s="49">
        <v>54</v>
      </c>
      <c r="B55" s="49" t="s">
        <v>782</v>
      </c>
      <c r="C55" s="49" t="s">
        <v>22</v>
      </c>
      <c r="D55" s="49" t="s">
        <v>97</v>
      </c>
      <c r="E55" s="49" t="s">
        <v>24</v>
      </c>
      <c r="F55" s="49" t="s">
        <v>31</v>
      </c>
      <c r="G55" s="49" t="s">
        <v>25</v>
      </c>
      <c r="H55" s="49" t="s">
        <v>25</v>
      </c>
      <c r="I55" s="49" t="s">
        <v>25</v>
      </c>
      <c r="J55" s="49" t="s">
        <v>897</v>
      </c>
      <c r="K55" s="49" t="s">
        <v>898</v>
      </c>
      <c r="L55" s="49" t="s">
        <v>90</v>
      </c>
      <c r="M55" s="49">
        <v>2021</v>
      </c>
      <c r="N55" s="49">
        <v>0</v>
      </c>
      <c r="O55" s="49">
        <v>207.47</v>
      </c>
      <c r="P55" s="49"/>
    </row>
    <row r="56" spans="1:16" ht="11.25" customHeight="1" x14ac:dyDescent="0.25">
      <c r="A56" s="49">
        <v>55</v>
      </c>
      <c r="B56" s="49" t="s">
        <v>782</v>
      </c>
      <c r="C56" s="49" t="s">
        <v>22</v>
      </c>
      <c r="D56" s="49" t="s">
        <v>97</v>
      </c>
      <c r="E56" s="49" t="s">
        <v>24</v>
      </c>
      <c r="F56" s="49" t="s">
        <v>32</v>
      </c>
      <c r="G56" s="49" t="s">
        <v>25</v>
      </c>
      <c r="H56" s="49" t="s">
        <v>25</v>
      </c>
      <c r="I56" s="49" t="s">
        <v>25</v>
      </c>
      <c r="J56" s="49" t="s">
        <v>897</v>
      </c>
      <c r="K56" s="49" t="s">
        <v>898</v>
      </c>
      <c r="L56" s="49" t="s">
        <v>90</v>
      </c>
      <c r="M56" s="49">
        <v>2021</v>
      </c>
      <c r="N56" s="49">
        <v>0</v>
      </c>
      <c r="O56" s="49">
        <v>230.53</v>
      </c>
      <c r="P56" s="49"/>
    </row>
    <row r="57" spans="1:16" ht="11.25" customHeight="1" x14ac:dyDescent="0.25">
      <c r="A57" s="49">
        <v>56</v>
      </c>
      <c r="B57" s="49" t="s">
        <v>782</v>
      </c>
      <c r="C57" s="49" t="s">
        <v>22</v>
      </c>
      <c r="D57" s="49" t="s">
        <v>102</v>
      </c>
      <c r="E57" s="49" t="s">
        <v>24</v>
      </c>
      <c r="F57" s="49" t="s">
        <v>24</v>
      </c>
      <c r="G57" s="49" t="s">
        <v>25</v>
      </c>
      <c r="H57" s="49" t="s">
        <v>25</v>
      </c>
      <c r="I57" s="49" t="s">
        <v>25</v>
      </c>
      <c r="J57" s="49" t="s">
        <v>897</v>
      </c>
      <c r="K57" s="49" t="s">
        <v>898</v>
      </c>
      <c r="L57" s="49" t="s">
        <v>90</v>
      </c>
      <c r="M57" s="49">
        <v>2021</v>
      </c>
      <c r="N57" s="49">
        <v>0</v>
      </c>
      <c r="O57" s="49">
        <v>230.53</v>
      </c>
      <c r="P57" s="49"/>
    </row>
    <row r="58" spans="1:16" ht="11.25" customHeight="1" x14ac:dyDescent="0.25">
      <c r="A58" s="49">
        <v>57</v>
      </c>
      <c r="B58" s="49" t="s">
        <v>782</v>
      </c>
      <c r="C58" s="49" t="s">
        <v>22</v>
      </c>
      <c r="D58" s="49" t="s">
        <v>102</v>
      </c>
      <c r="E58" s="49" t="s">
        <v>24</v>
      </c>
      <c r="F58" s="49" t="s">
        <v>29</v>
      </c>
      <c r="G58" s="49" t="s">
        <v>25</v>
      </c>
      <c r="H58" s="49" t="s">
        <v>25</v>
      </c>
      <c r="I58" s="49" t="s">
        <v>25</v>
      </c>
      <c r="J58" s="49" t="s">
        <v>897</v>
      </c>
      <c r="K58" s="49" t="s">
        <v>898</v>
      </c>
      <c r="L58" s="49" t="s">
        <v>90</v>
      </c>
      <c r="M58" s="49">
        <v>2021</v>
      </c>
      <c r="N58" s="49">
        <v>0</v>
      </c>
      <c r="O58" s="49">
        <v>80.680000000000007</v>
      </c>
      <c r="P58" s="49"/>
    </row>
    <row r="59" spans="1:16" ht="11.25" customHeight="1" x14ac:dyDescent="0.25">
      <c r="A59" s="49">
        <v>58</v>
      </c>
      <c r="B59" s="49" t="s">
        <v>782</v>
      </c>
      <c r="C59" s="49" t="s">
        <v>22</v>
      </c>
      <c r="D59" s="49" t="s">
        <v>102</v>
      </c>
      <c r="E59" s="49" t="s">
        <v>24</v>
      </c>
      <c r="F59" s="49" t="s">
        <v>32</v>
      </c>
      <c r="G59" s="49" t="s">
        <v>25</v>
      </c>
      <c r="H59" s="49" t="s">
        <v>25</v>
      </c>
      <c r="I59" s="49" t="s">
        <v>25</v>
      </c>
      <c r="J59" s="49" t="s">
        <v>897</v>
      </c>
      <c r="K59" s="49" t="s">
        <v>898</v>
      </c>
      <c r="L59" s="49" t="s">
        <v>90</v>
      </c>
      <c r="M59" s="49">
        <v>2021</v>
      </c>
      <c r="N59" s="49">
        <v>0</v>
      </c>
      <c r="O59" s="49">
        <v>230.53</v>
      </c>
      <c r="P59" s="49"/>
    </row>
    <row r="60" spans="1:16" ht="11.25" customHeight="1" x14ac:dyDescent="0.25">
      <c r="A60" s="49">
        <v>59</v>
      </c>
      <c r="B60" s="49" t="s">
        <v>782</v>
      </c>
      <c r="C60" s="49" t="s">
        <v>44</v>
      </c>
      <c r="D60" s="49" t="s">
        <v>89</v>
      </c>
      <c r="E60" s="49" t="s">
        <v>45</v>
      </c>
      <c r="F60" s="49" t="s">
        <v>25</v>
      </c>
      <c r="G60" s="49" t="s">
        <v>25</v>
      </c>
      <c r="H60" s="49" t="s">
        <v>25</v>
      </c>
      <c r="I60" s="49" t="s">
        <v>35</v>
      </c>
      <c r="J60" s="49" t="s">
        <v>897</v>
      </c>
      <c r="K60" s="49" t="s">
        <v>898</v>
      </c>
      <c r="L60" s="49" t="s">
        <v>90</v>
      </c>
      <c r="M60" s="49">
        <v>2021</v>
      </c>
      <c r="N60" s="49">
        <v>0</v>
      </c>
      <c r="O60" s="49">
        <v>305.02</v>
      </c>
      <c r="P60" s="49"/>
    </row>
    <row r="61" spans="1:16" ht="11.25" customHeight="1" x14ac:dyDescent="0.25">
      <c r="A61" s="49">
        <v>60</v>
      </c>
      <c r="B61" s="49" t="s">
        <v>782</v>
      </c>
      <c r="C61" s="49" t="s">
        <v>44</v>
      </c>
      <c r="D61" s="49" t="s">
        <v>89</v>
      </c>
      <c r="E61" s="49" t="s">
        <v>45</v>
      </c>
      <c r="F61" s="49" t="s">
        <v>25</v>
      </c>
      <c r="G61" s="49" t="s">
        <v>25</v>
      </c>
      <c r="H61" s="49" t="s">
        <v>25</v>
      </c>
      <c r="I61" s="49" t="s">
        <v>38</v>
      </c>
      <c r="J61" s="49" t="s">
        <v>897</v>
      </c>
      <c r="K61" s="49" t="s">
        <v>898</v>
      </c>
      <c r="L61" s="49" t="s">
        <v>90</v>
      </c>
      <c r="M61" s="49">
        <v>2021</v>
      </c>
      <c r="N61" s="49">
        <v>0</v>
      </c>
      <c r="O61" s="49">
        <v>193.58</v>
      </c>
      <c r="P61" s="49"/>
    </row>
    <row r="62" spans="1:16" ht="11.25" customHeight="1" x14ac:dyDescent="0.25">
      <c r="A62" s="49">
        <v>61</v>
      </c>
      <c r="B62" s="49" t="s">
        <v>782</v>
      </c>
      <c r="C62" s="49" t="s">
        <v>44</v>
      </c>
      <c r="D62" s="49" t="s">
        <v>89</v>
      </c>
      <c r="E62" s="49" t="s">
        <v>45</v>
      </c>
      <c r="F62" s="49" t="s">
        <v>25</v>
      </c>
      <c r="G62" s="49" t="s">
        <v>25</v>
      </c>
      <c r="H62" s="49" t="s">
        <v>25</v>
      </c>
      <c r="I62" s="49" t="s">
        <v>36</v>
      </c>
      <c r="J62" s="49" t="s">
        <v>897</v>
      </c>
      <c r="K62" s="49" t="s">
        <v>898</v>
      </c>
      <c r="L62" s="49" t="s">
        <v>90</v>
      </c>
      <c r="M62" s="49">
        <v>2021</v>
      </c>
      <c r="N62" s="49">
        <v>0</v>
      </c>
      <c r="O62" s="49">
        <v>193.58</v>
      </c>
      <c r="P62" s="49"/>
    </row>
    <row r="63" spans="1:16" ht="11.25" customHeight="1" x14ac:dyDescent="0.25">
      <c r="A63" s="49">
        <v>62</v>
      </c>
      <c r="B63" s="49" t="s">
        <v>782</v>
      </c>
      <c r="C63" s="49" t="s">
        <v>44</v>
      </c>
      <c r="D63" s="49" t="s">
        <v>89</v>
      </c>
      <c r="E63" s="49" t="s">
        <v>45</v>
      </c>
      <c r="F63" s="49" t="s">
        <v>104</v>
      </c>
      <c r="G63" s="49" t="s">
        <v>25</v>
      </c>
      <c r="H63" s="49" t="s">
        <v>25</v>
      </c>
      <c r="I63" s="49" t="s">
        <v>38</v>
      </c>
      <c r="J63" s="49" t="s">
        <v>897</v>
      </c>
      <c r="K63" s="49" t="s">
        <v>898</v>
      </c>
      <c r="L63" s="49" t="s">
        <v>90</v>
      </c>
      <c r="M63" s="49">
        <v>2021</v>
      </c>
      <c r="N63" s="49">
        <v>0</v>
      </c>
      <c r="O63" s="49">
        <v>193.58</v>
      </c>
      <c r="P63" s="49"/>
    </row>
    <row r="64" spans="1:16" ht="11.25" customHeight="1" x14ac:dyDescent="0.25">
      <c r="A64" s="49">
        <v>63</v>
      </c>
      <c r="B64" s="49" t="s">
        <v>782</v>
      </c>
      <c r="C64" s="49" t="s">
        <v>44</v>
      </c>
      <c r="D64" s="49" t="s">
        <v>89</v>
      </c>
      <c r="E64" s="49" t="s">
        <v>45</v>
      </c>
      <c r="F64" s="49" t="s">
        <v>104</v>
      </c>
      <c r="G64" s="49" t="s">
        <v>25</v>
      </c>
      <c r="H64" s="49" t="s">
        <v>25</v>
      </c>
      <c r="I64" s="49" t="s">
        <v>36</v>
      </c>
      <c r="J64" s="49" t="s">
        <v>897</v>
      </c>
      <c r="K64" s="49" t="s">
        <v>898</v>
      </c>
      <c r="L64" s="49" t="s">
        <v>90</v>
      </c>
      <c r="M64" s="49">
        <v>2021</v>
      </c>
      <c r="N64" s="49">
        <v>0</v>
      </c>
      <c r="O64" s="49">
        <v>193.58</v>
      </c>
      <c r="P64" s="49"/>
    </row>
    <row r="65" spans="1:16" ht="11.25" customHeight="1" x14ac:dyDescent="0.25">
      <c r="A65" s="49">
        <v>64</v>
      </c>
      <c r="B65" s="49" t="s">
        <v>782</v>
      </c>
      <c r="C65" s="49" t="s">
        <v>44</v>
      </c>
      <c r="D65" s="49" t="s">
        <v>97</v>
      </c>
      <c r="E65" s="49" t="s">
        <v>45</v>
      </c>
      <c r="F65" s="49" t="s">
        <v>104</v>
      </c>
      <c r="G65" s="49" t="s">
        <v>25</v>
      </c>
      <c r="H65" s="49" t="s">
        <v>25</v>
      </c>
      <c r="I65" s="49" t="s">
        <v>25</v>
      </c>
      <c r="J65" s="49" t="s">
        <v>897</v>
      </c>
      <c r="K65" s="49" t="s">
        <v>898</v>
      </c>
      <c r="L65" s="49" t="s">
        <v>90</v>
      </c>
      <c r="M65" s="49">
        <v>2021</v>
      </c>
      <c r="N65" s="49">
        <v>0</v>
      </c>
      <c r="O65" s="49">
        <v>202.86</v>
      </c>
      <c r="P65" s="49"/>
    </row>
    <row r="66" spans="1:16" ht="11.25" customHeight="1" x14ac:dyDescent="0.25">
      <c r="A66" s="49">
        <v>65</v>
      </c>
      <c r="B66" s="49" t="s">
        <v>782</v>
      </c>
      <c r="C66" s="49" t="s">
        <v>44</v>
      </c>
      <c r="D66" s="49" t="s">
        <v>89</v>
      </c>
      <c r="E66" s="49" t="s">
        <v>45</v>
      </c>
      <c r="F66" s="49" t="s">
        <v>105</v>
      </c>
      <c r="G66" s="49" t="s">
        <v>25</v>
      </c>
      <c r="H66" s="49" t="s">
        <v>25</v>
      </c>
      <c r="I66" s="49" t="s">
        <v>35</v>
      </c>
      <c r="J66" s="49" t="s">
        <v>897</v>
      </c>
      <c r="K66" s="49" t="s">
        <v>898</v>
      </c>
      <c r="L66" s="49" t="s">
        <v>90</v>
      </c>
      <c r="M66" s="49">
        <v>2021</v>
      </c>
      <c r="N66" s="49">
        <v>0</v>
      </c>
      <c r="O66" s="49">
        <v>291.14999999999998</v>
      </c>
      <c r="P66" s="49"/>
    </row>
    <row r="67" spans="1:16" ht="11.25" customHeight="1" x14ac:dyDescent="0.25">
      <c r="A67" s="49">
        <v>66</v>
      </c>
      <c r="B67" s="49" t="s">
        <v>782</v>
      </c>
      <c r="C67" s="49" t="s">
        <v>44</v>
      </c>
      <c r="D67" s="49" t="s">
        <v>97</v>
      </c>
      <c r="E67" s="49" t="s">
        <v>45</v>
      </c>
      <c r="F67" s="49" t="s">
        <v>105</v>
      </c>
      <c r="G67" s="49" t="s">
        <v>25</v>
      </c>
      <c r="H67" s="49" t="s">
        <v>25</v>
      </c>
      <c r="I67" s="49" t="s">
        <v>25</v>
      </c>
      <c r="J67" s="49" t="s">
        <v>897</v>
      </c>
      <c r="K67" s="49" t="s">
        <v>898</v>
      </c>
      <c r="L67" s="49" t="s">
        <v>90</v>
      </c>
      <c r="M67" s="49">
        <v>2021</v>
      </c>
      <c r="N67" s="49">
        <v>0</v>
      </c>
      <c r="O67" s="49">
        <v>193.64</v>
      </c>
      <c r="P67" s="49"/>
    </row>
    <row r="68" spans="1:16" ht="11.25" customHeight="1" x14ac:dyDescent="0.25">
      <c r="A68" s="49">
        <v>67</v>
      </c>
      <c r="B68" s="49" t="s">
        <v>782</v>
      </c>
      <c r="C68" s="49" t="s">
        <v>44</v>
      </c>
      <c r="D68" s="49" t="s">
        <v>102</v>
      </c>
      <c r="E68" s="49" t="s">
        <v>45</v>
      </c>
      <c r="F68" s="49" t="s">
        <v>25</v>
      </c>
      <c r="G68" s="49" t="s">
        <v>25</v>
      </c>
      <c r="H68" s="49" t="s">
        <v>25</v>
      </c>
      <c r="I68" s="49" t="s">
        <v>25</v>
      </c>
      <c r="J68" s="49" t="s">
        <v>897</v>
      </c>
      <c r="K68" s="49" t="s">
        <v>898</v>
      </c>
      <c r="L68" s="49" t="s">
        <v>90</v>
      </c>
      <c r="M68" s="49">
        <v>2021</v>
      </c>
      <c r="N68" s="49">
        <v>0</v>
      </c>
      <c r="O68" s="49">
        <v>202.86</v>
      </c>
      <c r="P68" s="49"/>
    </row>
    <row r="69" spans="1:16" ht="11.25" customHeight="1" x14ac:dyDescent="0.25">
      <c r="A69" s="49">
        <v>68</v>
      </c>
      <c r="B69" s="49" t="s">
        <v>782</v>
      </c>
      <c r="C69" s="49" t="s">
        <v>44</v>
      </c>
      <c r="D69" s="49" t="s">
        <v>102</v>
      </c>
      <c r="E69" s="49" t="s">
        <v>45</v>
      </c>
      <c r="F69" s="49" t="s">
        <v>104</v>
      </c>
      <c r="G69" s="49" t="s">
        <v>25</v>
      </c>
      <c r="H69" s="49" t="s">
        <v>25</v>
      </c>
      <c r="I69" s="49" t="s">
        <v>25</v>
      </c>
      <c r="J69" s="49" t="s">
        <v>897</v>
      </c>
      <c r="K69" s="49" t="s">
        <v>898</v>
      </c>
      <c r="L69" s="49" t="s">
        <v>90</v>
      </c>
      <c r="M69" s="49">
        <v>2021</v>
      </c>
      <c r="N69" s="49">
        <v>0</v>
      </c>
      <c r="O69" s="49">
        <v>202.86</v>
      </c>
      <c r="P69" s="49"/>
    </row>
    <row r="70" spans="1:16" ht="11.25" customHeight="1" x14ac:dyDescent="0.25">
      <c r="A70" s="49">
        <v>69</v>
      </c>
      <c r="B70" s="49" t="s">
        <v>782</v>
      </c>
      <c r="C70" s="49" t="s">
        <v>44</v>
      </c>
      <c r="D70" s="49" t="s">
        <v>102</v>
      </c>
      <c r="E70" s="49" t="s">
        <v>45</v>
      </c>
      <c r="F70" s="49" t="s">
        <v>105</v>
      </c>
      <c r="G70" s="49" t="s">
        <v>25</v>
      </c>
      <c r="H70" s="49" t="s">
        <v>25</v>
      </c>
      <c r="I70" s="49" t="s">
        <v>25</v>
      </c>
      <c r="J70" s="49" t="s">
        <v>897</v>
      </c>
      <c r="K70" s="49" t="s">
        <v>898</v>
      </c>
      <c r="L70" s="49" t="s">
        <v>90</v>
      </c>
      <c r="M70" s="49">
        <v>2021</v>
      </c>
      <c r="N70" s="49">
        <v>0</v>
      </c>
      <c r="O70" s="49">
        <v>193.64</v>
      </c>
      <c r="P70" s="49"/>
    </row>
    <row r="71" spans="1:16" ht="11.25" customHeight="1" x14ac:dyDescent="0.25">
      <c r="A71" s="49">
        <v>70</v>
      </c>
      <c r="B71" s="49" t="s">
        <v>754</v>
      </c>
      <c r="C71" s="49" t="s">
        <v>39</v>
      </c>
      <c r="D71" s="49" t="s">
        <v>103</v>
      </c>
      <c r="E71" s="49" t="s">
        <v>25</v>
      </c>
      <c r="F71" s="49" t="s">
        <v>25</v>
      </c>
      <c r="G71" s="49" t="s">
        <v>25</v>
      </c>
      <c r="H71" s="49" t="s">
        <v>25</v>
      </c>
      <c r="I71" s="49" t="s">
        <v>25</v>
      </c>
      <c r="J71" s="49" t="s">
        <v>897</v>
      </c>
      <c r="K71" s="49" t="s">
        <v>898</v>
      </c>
      <c r="L71" s="49" t="s">
        <v>90</v>
      </c>
      <c r="M71" s="49">
        <v>2021</v>
      </c>
      <c r="N71" s="49">
        <v>0</v>
      </c>
      <c r="O71" s="49">
        <v>395.58</v>
      </c>
      <c r="P71" s="49">
        <v>25.144914724955498</v>
      </c>
    </row>
    <row r="72" spans="1:16" ht="11.25" customHeight="1" x14ac:dyDescent="0.25">
      <c r="A72" s="49">
        <v>71</v>
      </c>
      <c r="B72" s="49" t="s">
        <v>754</v>
      </c>
      <c r="C72" s="49" t="s">
        <v>47</v>
      </c>
      <c r="D72" s="49" t="s">
        <v>23</v>
      </c>
      <c r="E72" s="49" t="s">
        <v>48</v>
      </c>
      <c r="F72" s="49" t="s">
        <v>49</v>
      </c>
      <c r="G72" s="49" t="s">
        <v>25</v>
      </c>
      <c r="H72" s="49" t="s">
        <v>25</v>
      </c>
      <c r="I72" s="49" t="s">
        <v>25</v>
      </c>
      <c r="J72" s="49" t="s">
        <v>897</v>
      </c>
      <c r="K72" s="49" t="s">
        <v>898</v>
      </c>
      <c r="L72" s="49" t="s">
        <v>90</v>
      </c>
      <c r="M72" s="49">
        <v>2021</v>
      </c>
      <c r="N72" s="49">
        <v>0</v>
      </c>
      <c r="O72" s="49">
        <v>217.57</v>
      </c>
      <c r="P72" s="49">
        <v>13.8297030987256</v>
      </c>
    </row>
    <row r="73" spans="1:16" ht="11.25" customHeight="1" x14ac:dyDescent="0.25">
      <c r="A73" s="49">
        <v>72</v>
      </c>
      <c r="B73" s="49" t="s">
        <v>782</v>
      </c>
      <c r="C73" s="49" t="s">
        <v>33</v>
      </c>
      <c r="D73" s="49" t="s">
        <v>89</v>
      </c>
      <c r="E73" s="49" t="s">
        <v>25</v>
      </c>
      <c r="F73" s="49" t="s">
        <v>25</v>
      </c>
      <c r="G73" s="49" t="s">
        <v>25</v>
      </c>
      <c r="H73" s="49" t="s">
        <v>25</v>
      </c>
      <c r="I73" s="49" t="s">
        <v>35</v>
      </c>
      <c r="J73" s="49" t="s">
        <v>897</v>
      </c>
      <c r="K73" s="49" t="s">
        <v>898</v>
      </c>
      <c r="L73" s="49" t="s">
        <v>90</v>
      </c>
      <c r="M73" s="49">
        <v>2021</v>
      </c>
      <c r="N73" s="49">
        <v>0</v>
      </c>
      <c r="O73" s="49">
        <v>346.61</v>
      </c>
      <c r="P73" s="49"/>
    </row>
    <row r="74" spans="1:16" ht="11.25" customHeight="1" x14ac:dyDescent="0.25">
      <c r="A74" s="49">
        <v>73</v>
      </c>
      <c r="B74" s="49" t="s">
        <v>782</v>
      </c>
      <c r="C74" s="49" t="s">
        <v>33</v>
      </c>
      <c r="D74" s="49" t="s">
        <v>89</v>
      </c>
      <c r="E74" s="49" t="s">
        <v>25</v>
      </c>
      <c r="F74" s="49" t="s">
        <v>25</v>
      </c>
      <c r="G74" s="49" t="s">
        <v>25</v>
      </c>
      <c r="H74" s="49" t="s">
        <v>25</v>
      </c>
      <c r="I74" s="49" t="s">
        <v>36</v>
      </c>
      <c r="J74" s="49" t="s">
        <v>897</v>
      </c>
      <c r="K74" s="49" t="s">
        <v>898</v>
      </c>
      <c r="L74" s="49" t="s">
        <v>90</v>
      </c>
      <c r="M74" s="49">
        <v>2021</v>
      </c>
      <c r="N74" s="49">
        <v>0</v>
      </c>
      <c r="O74" s="49">
        <v>219.97</v>
      </c>
      <c r="P74" s="49"/>
    </row>
    <row r="75" spans="1:16" ht="11.25" customHeight="1" x14ac:dyDescent="0.25">
      <c r="A75" s="49">
        <v>74</v>
      </c>
      <c r="B75" s="49" t="s">
        <v>782</v>
      </c>
      <c r="C75" s="49" t="s">
        <v>22</v>
      </c>
      <c r="D75" s="49" t="s">
        <v>97</v>
      </c>
      <c r="E75" s="49" t="s">
        <v>24</v>
      </c>
      <c r="F75" s="49" t="s">
        <v>29</v>
      </c>
      <c r="G75" s="49" t="s">
        <v>25</v>
      </c>
      <c r="H75" s="49" t="s">
        <v>25</v>
      </c>
      <c r="I75" s="49" t="s">
        <v>25</v>
      </c>
      <c r="J75" s="49" t="s">
        <v>897</v>
      </c>
      <c r="K75" s="49" t="s">
        <v>898</v>
      </c>
      <c r="L75" s="49" t="s">
        <v>90</v>
      </c>
      <c r="M75" s="49">
        <v>2021</v>
      </c>
      <c r="N75" s="49">
        <v>0</v>
      </c>
      <c r="O75" s="49">
        <v>80.680000000000007</v>
      </c>
      <c r="P75" s="49"/>
    </row>
    <row r="76" spans="1:16" ht="11.25" customHeight="1" x14ac:dyDescent="0.25">
      <c r="A76" s="49">
        <v>75</v>
      </c>
      <c r="B76" s="49" t="s">
        <v>782</v>
      </c>
      <c r="C76" s="49" t="s">
        <v>22</v>
      </c>
      <c r="D76" s="49" t="s">
        <v>97</v>
      </c>
      <c r="E76" s="49" t="s">
        <v>24</v>
      </c>
      <c r="F76" s="49" t="s">
        <v>30</v>
      </c>
      <c r="G76" s="49" t="s">
        <v>25</v>
      </c>
      <c r="H76" s="49" t="s">
        <v>25</v>
      </c>
      <c r="I76" s="49" t="s">
        <v>25</v>
      </c>
      <c r="J76" s="49" t="s">
        <v>897</v>
      </c>
      <c r="K76" s="49" t="s">
        <v>898</v>
      </c>
      <c r="L76" s="49" t="s">
        <v>90</v>
      </c>
      <c r="M76" s="49">
        <v>2021</v>
      </c>
      <c r="N76" s="49">
        <v>0</v>
      </c>
      <c r="O76" s="49">
        <v>138.32</v>
      </c>
      <c r="P76" s="49"/>
    </row>
    <row r="77" spans="1:16" ht="11.25" customHeight="1" x14ac:dyDescent="0.25">
      <c r="A77" s="49">
        <v>76</v>
      </c>
      <c r="B77" s="49" t="s">
        <v>782</v>
      </c>
      <c r="C77" s="49" t="s">
        <v>22</v>
      </c>
      <c r="D77" s="49" t="s">
        <v>102</v>
      </c>
      <c r="E77" s="49" t="s">
        <v>24</v>
      </c>
      <c r="F77" s="49" t="s">
        <v>30</v>
      </c>
      <c r="G77" s="49" t="s">
        <v>25</v>
      </c>
      <c r="H77" s="49" t="s">
        <v>25</v>
      </c>
      <c r="I77" s="49" t="s">
        <v>25</v>
      </c>
      <c r="J77" s="49" t="s">
        <v>897</v>
      </c>
      <c r="K77" s="49" t="s">
        <v>898</v>
      </c>
      <c r="L77" s="49" t="s">
        <v>90</v>
      </c>
      <c r="M77" s="49">
        <v>2021</v>
      </c>
      <c r="N77" s="49">
        <v>0</v>
      </c>
      <c r="O77" s="49">
        <v>138.32</v>
      </c>
      <c r="P77" s="49"/>
    </row>
    <row r="78" spans="1:16" ht="11.25" customHeight="1" x14ac:dyDescent="0.25">
      <c r="A78" s="49">
        <v>77</v>
      </c>
      <c r="B78" s="49" t="s">
        <v>782</v>
      </c>
      <c r="C78" s="49" t="s">
        <v>22</v>
      </c>
      <c r="D78" s="49" t="s">
        <v>102</v>
      </c>
      <c r="E78" s="49" t="s">
        <v>24</v>
      </c>
      <c r="F78" s="49" t="s">
        <v>31</v>
      </c>
      <c r="G78" s="49" t="s">
        <v>25</v>
      </c>
      <c r="H78" s="49" t="s">
        <v>25</v>
      </c>
      <c r="I78" s="49" t="s">
        <v>25</v>
      </c>
      <c r="J78" s="49" t="s">
        <v>897</v>
      </c>
      <c r="K78" s="49" t="s">
        <v>898</v>
      </c>
      <c r="L78" s="49" t="s">
        <v>90</v>
      </c>
      <c r="M78" s="49">
        <v>2021</v>
      </c>
      <c r="N78" s="49">
        <v>0</v>
      </c>
      <c r="O78" s="49">
        <v>207.47</v>
      </c>
      <c r="P78" s="49"/>
    </row>
    <row r="79" spans="1:16" ht="11.25" customHeight="1" x14ac:dyDescent="0.25">
      <c r="A79" s="49">
        <v>78</v>
      </c>
      <c r="B79" s="49" t="s">
        <v>782</v>
      </c>
      <c r="C79" s="49" t="s">
        <v>44</v>
      </c>
      <c r="D79" s="49" t="s">
        <v>97</v>
      </c>
      <c r="E79" s="49" t="s">
        <v>45</v>
      </c>
      <c r="F79" s="49" t="s">
        <v>25</v>
      </c>
      <c r="G79" s="49" t="s">
        <v>25</v>
      </c>
      <c r="H79" s="49" t="s">
        <v>25</v>
      </c>
      <c r="I79" s="49" t="s">
        <v>25</v>
      </c>
      <c r="J79" s="49" t="s">
        <v>897</v>
      </c>
      <c r="K79" s="49" t="s">
        <v>898</v>
      </c>
      <c r="L79" s="49" t="s">
        <v>90</v>
      </c>
      <c r="M79" s="49">
        <v>2021</v>
      </c>
      <c r="N79" s="49">
        <v>0</v>
      </c>
      <c r="O79" s="49">
        <v>202.86</v>
      </c>
      <c r="P79" s="49"/>
    </row>
    <row r="80" spans="1:16" ht="11.25" customHeight="1" x14ac:dyDescent="0.25">
      <c r="A80" s="49">
        <v>79</v>
      </c>
      <c r="B80" s="49" t="s">
        <v>782</v>
      </c>
      <c r="C80" s="49" t="s">
        <v>44</v>
      </c>
      <c r="D80" s="49" t="s">
        <v>89</v>
      </c>
      <c r="E80" s="49" t="s">
        <v>45</v>
      </c>
      <c r="F80" s="49" t="s">
        <v>104</v>
      </c>
      <c r="G80" s="49" t="s">
        <v>25</v>
      </c>
      <c r="H80" s="49" t="s">
        <v>25</v>
      </c>
      <c r="I80" s="49" t="s">
        <v>35</v>
      </c>
      <c r="J80" s="49" t="s">
        <v>897</v>
      </c>
      <c r="K80" s="49" t="s">
        <v>898</v>
      </c>
      <c r="L80" s="49" t="s">
        <v>90</v>
      </c>
      <c r="M80" s="49">
        <v>2021</v>
      </c>
      <c r="N80" s="49">
        <v>0</v>
      </c>
      <c r="O80" s="49">
        <v>305.02</v>
      </c>
      <c r="P80" s="49"/>
    </row>
    <row r="81" spans="1:16" ht="11.25" customHeight="1" x14ac:dyDescent="0.25">
      <c r="A81" s="49">
        <v>80</v>
      </c>
      <c r="B81" s="49" t="s">
        <v>782</v>
      </c>
      <c r="C81" s="49" t="s">
        <v>44</v>
      </c>
      <c r="D81" s="49" t="s">
        <v>89</v>
      </c>
      <c r="E81" s="49" t="s">
        <v>45</v>
      </c>
      <c r="F81" s="49" t="s">
        <v>105</v>
      </c>
      <c r="G81" s="49" t="s">
        <v>25</v>
      </c>
      <c r="H81" s="49" t="s">
        <v>25</v>
      </c>
      <c r="I81" s="49" t="s">
        <v>38</v>
      </c>
      <c r="J81" s="49" t="s">
        <v>897</v>
      </c>
      <c r="K81" s="49" t="s">
        <v>898</v>
      </c>
      <c r="L81" s="49" t="s">
        <v>90</v>
      </c>
      <c r="M81" s="49">
        <v>2021</v>
      </c>
      <c r="N81" s="49">
        <v>0</v>
      </c>
      <c r="O81" s="49">
        <v>184.78</v>
      </c>
      <c r="P81" s="49"/>
    </row>
    <row r="82" spans="1:16" ht="11.25" customHeight="1" x14ac:dyDescent="0.25">
      <c r="A82" s="49">
        <v>81</v>
      </c>
      <c r="B82" s="49" t="s">
        <v>782</v>
      </c>
      <c r="C82" s="49" t="s">
        <v>44</v>
      </c>
      <c r="D82" s="49" t="s">
        <v>89</v>
      </c>
      <c r="E82" s="49" t="s">
        <v>45</v>
      </c>
      <c r="F82" s="49" t="s">
        <v>105</v>
      </c>
      <c r="G82" s="49" t="s">
        <v>25</v>
      </c>
      <c r="H82" s="49" t="s">
        <v>25</v>
      </c>
      <c r="I82" s="49" t="s">
        <v>36</v>
      </c>
      <c r="J82" s="49" t="s">
        <v>897</v>
      </c>
      <c r="K82" s="49" t="s">
        <v>898</v>
      </c>
      <c r="L82" s="49" t="s">
        <v>90</v>
      </c>
      <c r="M82" s="49">
        <v>2021</v>
      </c>
      <c r="N82" s="49">
        <v>0</v>
      </c>
      <c r="O82" s="49">
        <v>184.78</v>
      </c>
      <c r="P82" s="49"/>
    </row>
    <row r="83" spans="1:16" ht="11.25" customHeight="1" x14ac:dyDescent="0.25">
      <c r="A83" s="49">
        <v>82</v>
      </c>
      <c r="B83" s="49" t="s">
        <v>782</v>
      </c>
      <c r="C83" s="49" t="s">
        <v>39</v>
      </c>
      <c r="D83" s="49" t="s">
        <v>89</v>
      </c>
      <c r="E83" s="49" t="s">
        <v>25</v>
      </c>
      <c r="F83" s="49" t="s">
        <v>25</v>
      </c>
      <c r="G83" s="49" t="s">
        <v>25</v>
      </c>
      <c r="H83" s="49" t="s">
        <v>25</v>
      </c>
      <c r="I83" s="49" t="s">
        <v>35</v>
      </c>
      <c r="J83" s="49" t="s">
        <v>897</v>
      </c>
      <c r="K83" s="49" t="s">
        <v>898</v>
      </c>
      <c r="L83" s="49" t="s">
        <v>90</v>
      </c>
      <c r="M83" s="49">
        <v>2021</v>
      </c>
      <c r="N83" s="49">
        <v>0</v>
      </c>
      <c r="O83" s="49">
        <v>346.61</v>
      </c>
      <c r="P83" s="49"/>
    </row>
    <row r="84" spans="1:16" ht="11.25" customHeight="1" x14ac:dyDescent="0.25">
      <c r="A84" s="49">
        <v>83</v>
      </c>
      <c r="B84" s="49" t="s">
        <v>782</v>
      </c>
      <c r="C84" s="49" t="s">
        <v>39</v>
      </c>
      <c r="D84" s="49" t="s">
        <v>89</v>
      </c>
      <c r="E84" s="49" t="s">
        <v>25</v>
      </c>
      <c r="F84" s="49" t="s">
        <v>25</v>
      </c>
      <c r="G84" s="49" t="s">
        <v>25</v>
      </c>
      <c r="H84" s="49" t="s">
        <v>25</v>
      </c>
      <c r="I84" s="49" t="s">
        <v>38</v>
      </c>
      <c r="J84" s="49" t="s">
        <v>897</v>
      </c>
      <c r="K84" s="49" t="s">
        <v>898</v>
      </c>
      <c r="L84" s="49" t="s">
        <v>90</v>
      </c>
      <c r="M84" s="49">
        <v>2021</v>
      </c>
      <c r="N84" s="49">
        <v>0</v>
      </c>
      <c r="O84" s="49">
        <v>219.97</v>
      </c>
      <c r="P84" s="49"/>
    </row>
    <row r="85" spans="1:16" ht="11.25" customHeight="1" x14ac:dyDescent="0.25">
      <c r="A85" s="49">
        <v>84</v>
      </c>
      <c r="B85" s="49" t="s">
        <v>782</v>
      </c>
      <c r="C85" s="49" t="s">
        <v>39</v>
      </c>
      <c r="D85" s="49" t="s">
        <v>89</v>
      </c>
      <c r="E85" s="49" t="s">
        <v>25</v>
      </c>
      <c r="F85" s="49" t="s">
        <v>25</v>
      </c>
      <c r="G85" s="49" t="s">
        <v>25</v>
      </c>
      <c r="H85" s="49" t="s">
        <v>25</v>
      </c>
      <c r="I85" s="49" t="s">
        <v>36</v>
      </c>
      <c r="J85" s="49" t="s">
        <v>897</v>
      </c>
      <c r="K85" s="49" t="s">
        <v>898</v>
      </c>
      <c r="L85" s="49" t="s">
        <v>90</v>
      </c>
      <c r="M85" s="49">
        <v>2021</v>
      </c>
      <c r="N85" s="49">
        <v>0</v>
      </c>
      <c r="O85" s="49">
        <v>219.97</v>
      </c>
      <c r="P85" s="49"/>
    </row>
    <row r="86" spans="1:16" ht="11.25" customHeight="1" x14ac:dyDescent="0.25">
      <c r="A86" s="49">
        <v>85</v>
      </c>
      <c r="B86" s="49" t="s">
        <v>782</v>
      </c>
      <c r="C86" s="49" t="s">
        <v>39</v>
      </c>
      <c r="D86" s="49" t="s">
        <v>97</v>
      </c>
      <c r="E86" s="49" t="s">
        <v>25</v>
      </c>
      <c r="F86" s="49" t="s">
        <v>25</v>
      </c>
      <c r="G86" s="49" t="s">
        <v>25</v>
      </c>
      <c r="H86" s="49" t="s">
        <v>25</v>
      </c>
      <c r="I86" s="49" t="s">
        <v>25</v>
      </c>
      <c r="J86" s="49" t="s">
        <v>897</v>
      </c>
      <c r="K86" s="49" t="s">
        <v>898</v>
      </c>
      <c r="L86" s="49" t="s">
        <v>90</v>
      </c>
      <c r="M86" s="49">
        <v>2021</v>
      </c>
      <c r="N86" s="49">
        <v>0</v>
      </c>
      <c r="O86" s="49">
        <v>230.53</v>
      </c>
      <c r="P86" s="49"/>
    </row>
    <row r="87" spans="1:16" ht="11.25" customHeight="1" x14ac:dyDescent="0.25">
      <c r="A87" s="49">
        <v>86</v>
      </c>
      <c r="B87" s="49" t="s">
        <v>782</v>
      </c>
      <c r="C87" s="49" t="s">
        <v>39</v>
      </c>
      <c r="D87" s="49" t="s">
        <v>102</v>
      </c>
      <c r="E87" s="49" t="s">
        <v>25</v>
      </c>
      <c r="F87" s="49" t="s">
        <v>25</v>
      </c>
      <c r="G87" s="49" t="s">
        <v>25</v>
      </c>
      <c r="H87" s="49" t="s">
        <v>25</v>
      </c>
      <c r="I87" s="49" t="s">
        <v>25</v>
      </c>
      <c r="J87" s="49" t="s">
        <v>897</v>
      </c>
      <c r="K87" s="49" t="s">
        <v>898</v>
      </c>
      <c r="L87" s="49" t="s">
        <v>90</v>
      </c>
      <c r="M87" s="49">
        <v>2021</v>
      </c>
      <c r="N87" s="49">
        <v>0</v>
      </c>
      <c r="O87" s="49">
        <v>230.53</v>
      </c>
      <c r="P87" s="49"/>
    </row>
    <row r="88" spans="1:16" ht="11.25" customHeight="1" x14ac:dyDescent="0.25">
      <c r="A88" s="49">
        <v>87</v>
      </c>
      <c r="B88" s="49" t="s">
        <v>754</v>
      </c>
      <c r="C88" s="49" t="s">
        <v>33</v>
      </c>
      <c r="D88" s="49" t="s">
        <v>42</v>
      </c>
      <c r="E88" s="49" t="s">
        <v>25</v>
      </c>
      <c r="F88" s="49" t="s">
        <v>25</v>
      </c>
      <c r="G88" s="49" t="s">
        <v>25</v>
      </c>
      <c r="H88" s="49" t="s">
        <v>25</v>
      </c>
      <c r="I88" s="49" t="s">
        <v>36</v>
      </c>
      <c r="J88" s="49" t="s">
        <v>899</v>
      </c>
      <c r="K88" s="49" t="s">
        <v>898</v>
      </c>
      <c r="L88" s="49" t="s">
        <v>93</v>
      </c>
      <c r="M88" s="49">
        <v>2021</v>
      </c>
      <c r="N88" s="49">
        <v>0</v>
      </c>
      <c r="O88" s="49">
        <v>21.85</v>
      </c>
      <c r="P88" s="49">
        <v>0</v>
      </c>
    </row>
    <row r="89" spans="1:16" ht="11.25" customHeight="1" x14ac:dyDescent="0.25">
      <c r="A89" s="49">
        <v>88</v>
      </c>
      <c r="B89" s="49" t="s">
        <v>754</v>
      </c>
      <c r="C89" s="49" t="s">
        <v>33</v>
      </c>
      <c r="D89" s="49" t="s">
        <v>42</v>
      </c>
      <c r="E89" s="49" t="s">
        <v>25</v>
      </c>
      <c r="F89" s="49" t="s">
        <v>25</v>
      </c>
      <c r="G89" s="49" t="s">
        <v>25</v>
      </c>
      <c r="H89" s="49" t="s">
        <v>25</v>
      </c>
      <c r="I89" s="49" t="s">
        <v>25</v>
      </c>
      <c r="J89" s="49" t="s">
        <v>897</v>
      </c>
      <c r="K89" s="49" t="s">
        <v>898</v>
      </c>
      <c r="L89" s="49" t="s">
        <v>90</v>
      </c>
      <c r="M89" s="49">
        <v>2021</v>
      </c>
      <c r="N89" s="49">
        <v>0</v>
      </c>
      <c r="O89" s="49">
        <v>97.61</v>
      </c>
      <c r="P89" s="49">
        <v>21.876075810711299</v>
      </c>
    </row>
    <row r="90" spans="1:16" ht="11.25" customHeight="1" x14ac:dyDescent="0.25">
      <c r="A90" s="49">
        <v>89</v>
      </c>
      <c r="B90" s="49" t="s">
        <v>754</v>
      </c>
      <c r="C90" s="49" t="s">
        <v>33</v>
      </c>
      <c r="D90" s="49" t="s">
        <v>42</v>
      </c>
      <c r="E90" s="49" t="s">
        <v>25</v>
      </c>
      <c r="F90" s="49" t="s">
        <v>25</v>
      </c>
      <c r="G90" s="49" t="s">
        <v>58</v>
      </c>
      <c r="H90" s="49" t="s">
        <v>25</v>
      </c>
      <c r="I90" s="49" t="s">
        <v>25</v>
      </c>
      <c r="J90" s="49" t="s">
        <v>897</v>
      </c>
      <c r="K90" s="49" t="s">
        <v>898</v>
      </c>
      <c r="L90" s="49" t="s">
        <v>90</v>
      </c>
      <c r="M90" s="49">
        <v>2021</v>
      </c>
      <c r="N90" s="49">
        <v>0</v>
      </c>
      <c r="O90" s="49">
        <v>46.44</v>
      </c>
      <c r="P90" s="49">
        <v>0</v>
      </c>
    </row>
    <row r="91" spans="1:16" ht="11.25" customHeight="1" x14ac:dyDescent="0.25">
      <c r="A91" s="49">
        <v>90</v>
      </c>
      <c r="B91" s="49" t="s">
        <v>754</v>
      </c>
      <c r="C91" s="49" t="s">
        <v>41</v>
      </c>
      <c r="D91" s="49" t="s">
        <v>64</v>
      </c>
      <c r="E91" s="49" t="s">
        <v>25</v>
      </c>
      <c r="F91" s="49" t="s">
        <v>25</v>
      </c>
      <c r="G91" s="49" t="s">
        <v>25</v>
      </c>
      <c r="H91" s="49" t="s">
        <v>25</v>
      </c>
      <c r="I91" s="49" t="s">
        <v>25</v>
      </c>
      <c r="J91" s="49" t="s">
        <v>899</v>
      </c>
      <c r="K91" s="49" t="s">
        <v>898</v>
      </c>
      <c r="L91" s="49" t="s">
        <v>93</v>
      </c>
      <c r="M91" s="49">
        <v>2021</v>
      </c>
      <c r="N91" s="49">
        <v>0</v>
      </c>
      <c r="O91" s="49">
        <v>13.97</v>
      </c>
      <c r="P91" s="49">
        <v>0</v>
      </c>
    </row>
    <row r="92" spans="1:16" ht="11.25" customHeight="1" x14ac:dyDescent="0.25">
      <c r="A92" s="49">
        <v>91</v>
      </c>
      <c r="B92" s="49" t="s">
        <v>754</v>
      </c>
      <c r="C92" s="49" t="s">
        <v>33</v>
      </c>
      <c r="D92" s="49" t="s">
        <v>42</v>
      </c>
      <c r="E92" s="49" t="s">
        <v>25</v>
      </c>
      <c r="F92" s="49" t="s">
        <v>25</v>
      </c>
      <c r="G92" s="49" t="s">
        <v>25</v>
      </c>
      <c r="H92" s="49" t="s">
        <v>25</v>
      </c>
      <c r="I92" s="49" t="s">
        <v>35</v>
      </c>
      <c r="J92" s="49" t="s">
        <v>899</v>
      </c>
      <c r="K92" s="49" t="s">
        <v>898</v>
      </c>
      <c r="L92" s="49" t="s">
        <v>93</v>
      </c>
      <c r="M92" s="49">
        <v>2021</v>
      </c>
      <c r="N92" s="49">
        <v>0</v>
      </c>
      <c r="O92" s="49">
        <v>60.2</v>
      </c>
      <c r="P92" s="49">
        <v>0</v>
      </c>
    </row>
    <row r="93" spans="1:16" ht="11.25" customHeight="1" x14ac:dyDescent="0.25">
      <c r="A93" s="49">
        <v>92</v>
      </c>
      <c r="B93" s="49" t="s">
        <v>754</v>
      </c>
      <c r="C93" s="49" t="s">
        <v>41</v>
      </c>
      <c r="D93" s="49" t="s">
        <v>42</v>
      </c>
      <c r="E93" s="49" t="s">
        <v>25</v>
      </c>
      <c r="F93" s="49" t="s">
        <v>25</v>
      </c>
      <c r="G93" s="49" t="s">
        <v>25</v>
      </c>
      <c r="H93" s="49" t="s">
        <v>25</v>
      </c>
      <c r="I93" s="49" t="s">
        <v>35</v>
      </c>
      <c r="J93" s="49" t="s">
        <v>899</v>
      </c>
      <c r="K93" s="49" t="s">
        <v>898</v>
      </c>
      <c r="L93" s="49" t="s">
        <v>93</v>
      </c>
      <c r="M93" s="49">
        <v>2021</v>
      </c>
      <c r="N93" s="49">
        <v>0</v>
      </c>
      <c r="O93" s="49">
        <v>26.46</v>
      </c>
      <c r="P93" s="49">
        <v>0</v>
      </c>
    </row>
    <row r="94" spans="1:16" ht="11.25" customHeight="1" x14ac:dyDescent="0.25">
      <c r="A94" s="49">
        <v>93</v>
      </c>
      <c r="B94" s="49" t="s">
        <v>754</v>
      </c>
      <c r="C94" s="49" t="s">
        <v>41</v>
      </c>
      <c r="D94" s="49" t="s">
        <v>42</v>
      </c>
      <c r="E94" s="49" t="s">
        <v>25</v>
      </c>
      <c r="F94" s="49" t="s">
        <v>25</v>
      </c>
      <c r="G94" s="49" t="s">
        <v>25</v>
      </c>
      <c r="H94" s="49" t="s">
        <v>25</v>
      </c>
      <c r="I94" s="49" t="s">
        <v>36</v>
      </c>
      <c r="J94" s="49" t="s">
        <v>899</v>
      </c>
      <c r="K94" s="49" t="s">
        <v>898</v>
      </c>
      <c r="L94" s="49" t="s">
        <v>93</v>
      </c>
      <c r="M94" s="49">
        <v>2021</v>
      </c>
      <c r="N94" s="49">
        <v>0</v>
      </c>
      <c r="O94" s="49">
        <v>15.23</v>
      </c>
      <c r="P94" s="49">
        <v>0</v>
      </c>
    </row>
    <row r="95" spans="1:16" ht="11.25" customHeight="1" x14ac:dyDescent="0.25">
      <c r="A95" s="49">
        <v>94</v>
      </c>
      <c r="B95" s="49" t="s">
        <v>754</v>
      </c>
      <c r="C95" s="49" t="s">
        <v>41</v>
      </c>
      <c r="D95" s="49" t="s">
        <v>42</v>
      </c>
      <c r="E95" s="49" t="s">
        <v>25</v>
      </c>
      <c r="F95" s="49" t="s">
        <v>25</v>
      </c>
      <c r="G95" s="49" t="s">
        <v>25</v>
      </c>
      <c r="H95" s="49" t="s">
        <v>25</v>
      </c>
      <c r="I95" s="49" t="s">
        <v>25</v>
      </c>
      <c r="J95" s="49" t="s">
        <v>897</v>
      </c>
      <c r="K95" s="49" t="s">
        <v>898</v>
      </c>
      <c r="L95" s="49" t="s">
        <v>90</v>
      </c>
      <c r="M95" s="49">
        <v>2021</v>
      </c>
      <c r="N95" s="49">
        <v>0</v>
      </c>
      <c r="O95" s="49">
        <v>65.13</v>
      </c>
      <c r="P95" s="49">
        <v>16.847092865720199</v>
      </c>
    </row>
    <row r="96" spans="1:16" ht="11.25" customHeight="1" x14ac:dyDescent="0.25">
      <c r="A96" s="49">
        <v>95</v>
      </c>
      <c r="B96" s="49" t="s">
        <v>754</v>
      </c>
      <c r="C96" s="49" t="s">
        <v>41</v>
      </c>
      <c r="D96" s="49" t="s">
        <v>42</v>
      </c>
      <c r="E96" s="49" t="s">
        <v>25</v>
      </c>
      <c r="F96" s="49" t="s">
        <v>25</v>
      </c>
      <c r="G96" s="49" t="s">
        <v>58</v>
      </c>
      <c r="H96" s="49" t="s">
        <v>25</v>
      </c>
      <c r="I96" s="49" t="s">
        <v>25</v>
      </c>
      <c r="J96" s="49" t="s">
        <v>897</v>
      </c>
      <c r="K96" s="49" t="s">
        <v>898</v>
      </c>
      <c r="L96" s="49" t="s">
        <v>90</v>
      </c>
      <c r="M96" s="49">
        <v>2021</v>
      </c>
      <c r="N96" s="49">
        <v>0</v>
      </c>
      <c r="O96" s="49">
        <v>22.2</v>
      </c>
      <c r="P96" s="49">
        <v>0</v>
      </c>
    </row>
    <row r="97" spans="1:16" ht="11.25" customHeight="1" x14ac:dyDescent="0.25">
      <c r="A97" s="49">
        <v>96</v>
      </c>
      <c r="B97" s="49" t="s">
        <v>754</v>
      </c>
      <c r="C97" s="49" t="s">
        <v>41</v>
      </c>
      <c r="D97" s="49" t="s">
        <v>61</v>
      </c>
      <c r="E97" s="49" t="s">
        <v>25</v>
      </c>
      <c r="F97" s="49" t="s">
        <v>25</v>
      </c>
      <c r="G97" s="49" t="s">
        <v>25</v>
      </c>
      <c r="H97" s="49" t="s">
        <v>62</v>
      </c>
      <c r="I97" s="49" t="s">
        <v>35</v>
      </c>
      <c r="J97" s="49" t="s">
        <v>899</v>
      </c>
      <c r="K97" s="49" t="s">
        <v>898</v>
      </c>
      <c r="L97" s="49" t="s">
        <v>93</v>
      </c>
      <c r="M97" s="49">
        <v>2021</v>
      </c>
      <c r="N97" s="49">
        <v>0</v>
      </c>
      <c r="O97" s="49">
        <v>28.93</v>
      </c>
      <c r="P97" s="49">
        <v>0</v>
      </c>
    </row>
    <row r="98" spans="1:16" ht="11.25" customHeight="1" x14ac:dyDescent="0.25">
      <c r="A98" s="49">
        <v>97</v>
      </c>
      <c r="B98" s="49" t="s">
        <v>754</v>
      </c>
      <c r="C98" s="49" t="s">
        <v>41</v>
      </c>
      <c r="D98" s="49" t="s">
        <v>61</v>
      </c>
      <c r="E98" s="49" t="s">
        <v>25</v>
      </c>
      <c r="F98" s="49" t="s">
        <v>25</v>
      </c>
      <c r="G98" s="49" t="s">
        <v>25</v>
      </c>
      <c r="H98" s="49" t="s">
        <v>62</v>
      </c>
      <c r="I98" s="49" t="s">
        <v>36</v>
      </c>
      <c r="J98" s="49" t="s">
        <v>899</v>
      </c>
      <c r="K98" s="49" t="s">
        <v>898</v>
      </c>
      <c r="L98" s="49" t="s">
        <v>93</v>
      </c>
      <c r="M98" s="49">
        <v>2021</v>
      </c>
      <c r="N98" s="49">
        <v>0</v>
      </c>
      <c r="O98" s="49">
        <v>16.82</v>
      </c>
      <c r="P98" s="49">
        <v>0</v>
      </c>
    </row>
    <row r="99" spans="1:16" ht="11.25" customHeight="1" x14ac:dyDescent="0.25">
      <c r="A99" s="49">
        <v>98</v>
      </c>
      <c r="B99" s="49" t="s">
        <v>754</v>
      </c>
      <c r="C99" s="49" t="s">
        <v>41</v>
      </c>
      <c r="D99" s="49" t="s">
        <v>61</v>
      </c>
      <c r="E99" s="49" t="s">
        <v>25</v>
      </c>
      <c r="F99" s="49" t="s">
        <v>25</v>
      </c>
      <c r="G99" s="49" t="s">
        <v>25</v>
      </c>
      <c r="H99" s="49" t="s">
        <v>62</v>
      </c>
      <c r="I99" s="49" t="s">
        <v>25</v>
      </c>
      <c r="J99" s="49" t="s">
        <v>897</v>
      </c>
      <c r="K99" s="49" t="s">
        <v>898</v>
      </c>
      <c r="L99" s="49" t="s">
        <v>90</v>
      </c>
      <c r="M99" s="49">
        <v>2021</v>
      </c>
      <c r="N99" s="49">
        <v>0</v>
      </c>
      <c r="O99" s="49">
        <v>6.88</v>
      </c>
      <c r="P99" s="49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03448-5F5A-463E-8984-B272608465A1}">
  <dimension ref="A1:AD60"/>
  <sheetViews>
    <sheetView showGridLines="0" workbookViewId="0">
      <selection sqref="A1:W60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8.71093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80</v>
      </c>
      <c r="B1" s="10" t="s">
        <v>81</v>
      </c>
      <c r="C1" s="10" t="s">
        <v>82</v>
      </c>
      <c r="D1" s="10" t="s">
        <v>83</v>
      </c>
      <c r="E1" s="10" t="s">
        <v>84</v>
      </c>
      <c r="F1" s="10" t="s">
        <v>85</v>
      </c>
      <c r="G1" s="10" t="s">
        <v>86</v>
      </c>
      <c r="H1" s="10" t="s">
        <v>87</v>
      </c>
      <c r="I1" s="11">
        <v>44317</v>
      </c>
      <c r="J1" s="11">
        <v>44348</v>
      </c>
      <c r="K1" s="11">
        <v>44378</v>
      </c>
      <c r="L1" s="11">
        <v>44409</v>
      </c>
      <c r="M1" s="11">
        <v>44440</v>
      </c>
      <c r="N1" s="11">
        <v>44470</v>
      </c>
      <c r="O1" s="11">
        <v>44501</v>
      </c>
      <c r="P1" s="11">
        <v>44531</v>
      </c>
      <c r="Q1" s="11">
        <v>44562</v>
      </c>
      <c r="R1" s="11">
        <v>44593</v>
      </c>
      <c r="S1" s="11">
        <v>44621</v>
      </c>
      <c r="T1" s="11">
        <v>44652</v>
      </c>
      <c r="U1" s="10" t="s">
        <v>88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7" t="s">
        <v>41</v>
      </c>
      <c r="B2" s="117" t="s">
        <v>42</v>
      </c>
      <c r="C2" s="117" t="s">
        <v>25</v>
      </c>
      <c r="D2" s="117" t="s">
        <v>25</v>
      </c>
      <c r="E2" s="117" t="s">
        <v>25</v>
      </c>
      <c r="F2" s="117" t="s">
        <v>25</v>
      </c>
      <c r="G2" s="12" t="s">
        <v>94</v>
      </c>
      <c r="H2" s="12" t="s">
        <v>93</v>
      </c>
      <c r="I2" s="12">
        <f>SUMIF(Mercado_Receita!$S$2:$S$2012,"44317A3AzulNão se aplicaNão se aplicaNão se aplicaNão se aplicaPonta",Mercado_Receita!$J$2:$J$2012)+SUMIF(Mercado_Receita!$S$2:$S$2012,"44317A3AzulNão se aplicaNão se aplicaAPENão se aplicaPonta",Mercado_Receita!$J$2:$J$2012)+SUMIF(Mercado_Receita!$S$2:$S$2012,"44317A3ConvencionalNão se aplicaNão se aplicaNão se aplicaNão se aplicaNão se aplica",Mercado_Receita!$J$2:$J$2012)*0.72</f>
        <v>73310</v>
      </c>
      <c r="J2" s="12">
        <f>SUMIF(Mercado_Receita!$S$2:$S$2012,"44348A3AzulNão se aplicaNão se aplicaNão se aplicaNão se aplicaPonta",Mercado_Receita!$J$2:$J$2012)+SUMIF(Mercado_Receita!$S$2:$S$2012,"44348A3AzulNão se aplicaNão se aplicaAPENão se aplicaPonta",Mercado_Receita!$J$2:$J$2012)+SUMIF(Mercado_Receita!$S$2:$S$2012,"44348A3ConvencionalNão se aplicaNão se aplicaNão se aplicaNão se aplicaNão se aplica",Mercado_Receita!$J$2:$J$2012)*0.72</f>
        <v>71606</v>
      </c>
      <c r="K2" s="12">
        <f>SUMIF(Mercado_Receita!$S$2:$S$2012,"44378A3AzulNão se aplicaNão se aplicaNão se aplicaNão se aplicaPonta",Mercado_Receita!$J$2:$J$2012)+SUMIF(Mercado_Receita!$S$2:$S$2012,"44378A3AzulNão se aplicaNão se aplicaAPENão se aplicaPonta",Mercado_Receita!$J$2:$J$2012)+SUMIF(Mercado_Receita!$S$2:$S$2012,"44378A3ConvencionalNão se aplicaNão se aplicaNão se aplicaNão se aplicaNão se aplica",Mercado_Receita!$J$2:$J$2012)*0.72</f>
        <v>71548</v>
      </c>
      <c r="L2" s="12">
        <f>SUMIF(Mercado_Receita!$S$2:$S$2012,"44409A3AzulNão se aplicaNão se aplicaNão se aplicaNão se aplicaPonta",Mercado_Receita!$J$2:$J$2012)+SUMIF(Mercado_Receita!$S$2:$S$2012,"44409A3AzulNão se aplicaNão se aplicaAPENão se aplicaPonta",Mercado_Receita!$J$2:$J$2012)+SUMIF(Mercado_Receita!$S$2:$S$2012,"44409A3ConvencionalNão se aplicaNão se aplicaNão se aplicaNão se aplicaNão se aplica",Mercado_Receita!$J$2:$J$2012)*0.72</f>
        <v>76213</v>
      </c>
      <c r="M2" s="12">
        <f>SUMIF(Mercado_Receita!$S$2:$S$2012,"44440A3AzulNão se aplicaNão se aplicaNão se aplicaNão se aplicaPonta",Mercado_Receita!$J$2:$J$2012)+SUMIF(Mercado_Receita!$S$2:$S$2012,"44440A3AzulNão se aplicaNão se aplicaAPENão se aplicaPonta",Mercado_Receita!$J$2:$J$2012)+SUMIF(Mercado_Receita!$S$2:$S$2012,"44440A3ConvencionalNão se aplicaNão se aplicaNão se aplicaNão se aplicaNão se aplica",Mercado_Receita!$J$2:$J$2012)*0.72</f>
        <v>77788</v>
      </c>
      <c r="N2" s="12">
        <f>SUMIF(Mercado_Receita!$S$2:$S$2012,"44470A3AzulNão se aplicaNão se aplicaNão se aplicaNão se aplicaPonta",Mercado_Receita!$J$2:$J$2012)+SUMIF(Mercado_Receita!$S$2:$S$2012,"44470A3AzulNão se aplicaNão se aplicaAPENão se aplicaPonta",Mercado_Receita!$J$2:$J$2012)+SUMIF(Mercado_Receita!$S$2:$S$2012,"44470A3ConvencionalNão se aplicaNão se aplicaNão se aplicaNão se aplicaNão se aplica",Mercado_Receita!$J$2:$J$2012)*0.72</f>
        <v>88134</v>
      </c>
      <c r="O2" s="12">
        <f>SUMIF(Mercado_Receita!$S$2:$S$2012,"44501A3AzulNão se aplicaNão se aplicaNão se aplicaNão se aplicaPonta",Mercado_Receita!$J$2:$J$2012)+SUMIF(Mercado_Receita!$S$2:$S$2012,"44501A3AzulNão se aplicaNão se aplicaAPENão se aplicaPonta",Mercado_Receita!$J$2:$J$2012)+SUMIF(Mercado_Receita!$S$2:$S$2012,"44501A3ConvencionalNão se aplicaNão se aplicaNão se aplicaNão se aplicaNão se aplica",Mercado_Receita!$J$2:$J$2012)*0.72</f>
        <v>88701</v>
      </c>
      <c r="P2" s="12">
        <f>SUMIF(Mercado_Receita!$S$2:$S$2012,"44531A3AzulNão se aplicaNão se aplicaNão se aplicaNão se aplicaPonta",Mercado_Receita!$J$2:$J$2012)+SUMIF(Mercado_Receita!$S$2:$S$2012,"44531A3AzulNão se aplicaNão se aplicaAPENão se aplicaPonta",Mercado_Receita!$J$2:$J$2012)+SUMIF(Mercado_Receita!$S$2:$S$2012,"44531A3ConvencionalNão se aplicaNão se aplicaNão se aplicaNão se aplicaNão se aplica",Mercado_Receita!$J$2:$J$2012)*0.72</f>
        <v>98656</v>
      </c>
      <c r="Q2" s="12">
        <f>SUMIF(Mercado_Receita!$S$2:$S$2012,"44562A3AzulNão se aplicaNão se aplicaNão se aplicaNão se aplicaPonta",Mercado_Receita!$J$2:$J$2012)+SUMIF(Mercado_Receita!$S$2:$S$2012,"44562A3AzulNão se aplicaNão se aplicaAPENão se aplicaPonta",Mercado_Receita!$J$2:$J$2012)+SUMIF(Mercado_Receita!$S$2:$S$2012,"44562A3ConvencionalNão se aplicaNão se aplicaNão se aplicaNão se aplicaNão se aplica",Mercado_Receita!$J$2:$J$2012)*0.72</f>
        <v>101431</v>
      </c>
      <c r="R2" s="12">
        <f>SUMIF(Mercado_Receita!$S$2:$S$2012,"44593A3AzulNão se aplicaNão se aplicaNão se aplicaNão se aplicaPonta",Mercado_Receita!$J$2:$J$2012)+SUMIF(Mercado_Receita!$S$2:$S$2012,"44593A3AzulNão se aplicaNão se aplicaAPENão se aplicaPonta",Mercado_Receita!$J$2:$J$2012)+SUMIF(Mercado_Receita!$S$2:$S$2012,"44593A3ConvencionalNão se aplicaNão se aplicaNão se aplicaNão se aplicaNão se aplica",Mercado_Receita!$J$2:$J$2012)*0.72</f>
        <v>102298</v>
      </c>
      <c r="S2" s="12">
        <f>SUMIF(Mercado_Receita!$S$2:$S$2012,"44621A3AzulNão se aplicaNão se aplicaNão se aplicaNão se aplicaPonta",Mercado_Receita!$J$2:$J$2012)+SUMIF(Mercado_Receita!$S$2:$S$2012,"44621A3AzulNão se aplicaNão se aplicaAPENão se aplicaPonta",Mercado_Receita!$J$2:$J$2012)+SUMIF(Mercado_Receita!$S$2:$S$2012,"44621A3ConvencionalNão se aplicaNão se aplicaNão se aplicaNão se aplicaNão se aplica",Mercado_Receita!$J$2:$J$2012)*0.72</f>
        <v>94929</v>
      </c>
      <c r="T2" s="12">
        <f>SUMIF(Mercado_Receita!$S$2:$S$2012,"44652A3AzulNão se aplicaNão se aplicaNão se aplicaNão se aplicaPonta",Mercado_Receita!$J$2:$J$2012)+SUMIF(Mercado_Receita!$S$2:$S$2012,"44652A3AzulNão se aplicaNão se aplicaAPENão se aplicaPonta",Mercado_Receita!$J$2:$J$2012)+SUMIF(Mercado_Receita!$S$2:$S$2012,"44652A3ConvencionalNão se aplicaNão se aplicaNão se aplicaNão se aplicaNão se aplica",Mercado_Receita!$J$2:$J$2012)*0.72</f>
        <v>94929</v>
      </c>
      <c r="U2" s="12">
        <f t="shared" ref="U2:U33" si="0">SUM(I2:T2)</f>
        <v>1039543</v>
      </c>
      <c r="V2" s="12"/>
      <c r="W2" s="12"/>
    </row>
    <row r="3" spans="1:30" ht="11.25" customHeight="1" x14ac:dyDescent="0.25">
      <c r="A3" s="118"/>
      <c r="B3" s="118"/>
      <c r="C3" s="118"/>
      <c r="D3" s="118"/>
      <c r="E3" s="118"/>
      <c r="F3" s="118"/>
      <c r="G3" s="12" t="s">
        <v>95</v>
      </c>
      <c r="H3" s="12" t="s">
        <v>93</v>
      </c>
      <c r="I3" s="12">
        <f>SUMIF(Mercado_Receita!$S$2:$S$2012,"44317A3AzulNão se aplicaNão se aplicaNão se aplicaNão se aplicaFora ponta",Mercado_Receita!$J$2:$J$2012)+SUMIF(Mercado_Receita!$S$2:$S$2012,"44317A3AzulNão se aplicaNão se aplicaAPENão se aplicaFora ponta",Mercado_Receita!$J$2:$J$2012)+SUMIF(Mercado_Receita!$S$2:$S$2012,"44317A3ConvencionalNão se aplicaNão se aplicaNão se aplicaNão se aplicaNão se aplica",Mercado_Receita!$J$2:$J$2012)*1</f>
        <v>89249</v>
      </c>
      <c r="J3" s="12">
        <f>SUMIF(Mercado_Receita!$S$2:$S$2012,"44348A3AzulNão se aplicaNão se aplicaNão se aplicaNão se aplicaFora ponta",Mercado_Receita!$J$2:$J$2012)+SUMIF(Mercado_Receita!$S$2:$S$2012,"44348A3AzulNão se aplicaNão se aplicaAPENão se aplicaFora ponta",Mercado_Receita!$J$2:$J$2012)+SUMIF(Mercado_Receita!$S$2:$S$2012,"44348A3ConvencionalNão se aplicaNão se aplicaNão se aplicaNão se aplicaNão se aplica",Mercado_Receita!$J$2:$J$2012)*1</f>
        <v>88231</v>
      </c>
      <c r="K3" s="12">
        <f>SUMIF(Mercado_Receita!$S$2:$S$2012,"44378A3AzulNão se aplicaNão se aplicaNão se aplicaNão se aplicaFora ponta",Mercado_Receita!$J$2:$J$2012)+SUMIF(Mercado_Receita!$S$2:$S$2012,"44378A3AzulNão se aplicaNão se aplicaAPENão se aplicaFora ponta",Mercado_Receita!$J$2:$J$2012)+SUMIF(Mercado_Receita!$S$2:$S$2012,"44378A3ConvencionalNão se aplicaNão se aplicaNão se aplicaNão se aplicaNão se aplica",Mercado_Receita!$J$2:$J$2012)*1</f>
        <v>87379</v>
      </c>
      <c r="L3" s="12">
        <f>SUMIF(Mercado_Receita!$S$2:$S$2012,"44409A3AzulNão se aplicaNão se aplicaNão se aplicaNão se aplicaFora ponta",Mercado_Receita!$J$2:$J$2012)+SUMIF(Mercado_Receita!$S$2:$S$2012,"44409A3AzulNão se aplicaNão se aplicaAPENão se aplicaFora ponta",Mercado_Receita!$J$2:$J$2012)+SUMIF(Mercado_Receita!$S$2:$S$2012,"44409A3ConvencionalNão se aplicaNão se aplicaNão se aplicaNão se aplicaNão se aplica",Mercado_Receita!$J$2:$J$2012)*1</f>
        <v>88205</v>
      </c>
      <c r="M3" s="12">
        <f>SUMIF(Mercado_Receita!$S$2:$S$2012,"44440A3AzulNão se aplicaNão se aplicaNão se aplicaNão se aplicaFora ponta",Mercado_Receita!$J$2:$J$2012)+SUMIF(Mercado_Receita!$S$2:$S$2012,"44440A3AzulNão se aplicaNão se aplicaAPENão se aplicaFora ponta",Mercado_Receita!$J$2:$J$2012)+SUMIF(Mercado_Receita!$S$2:$S$2012,"44440A3ConvencionalNão se aplicaNão se aplicaNão se aplicaNão se aplicaNão se aplica",Mercado_Receita!$J$2:$J$2012)*1</f>
        <v>115031</v>
      </c>
      <c r="N3" s="12">
        <f>SUMIF(Mercado_Receita!$S$2:$S$2012,"44470A3AzulNão se aplicaNão se aplicaNão se aplicaNão se aplicaFora ponta",Mercado_Receita!$J$2:$J$2012)+SUMIF(Mercado_Receita!$S$2:$S$2012,"44470A3AzulNão se aplicaNão se aplicaAPENão se aplicaFora ponta",Mercado_Receita!$J$2:$J$2012)+SUMIF(Mercado_Receita!$S$2:$S$2012,"44470A3ConvencionalNão se aplicaNão se aplicaNão se aplicaNão se aplicaNão se aplica",Mercado_Receita!$J$2:$J$2012)*1</f>
        <v>127735</v>
      </c>
      <c r="O3" s="12">
        <f>SUMIF(Mercado_Receita!$S$2:$S$2012,"44501A3AzulNão se aplicaNão se aplicaNão se aplicaNão se aplicaFora ponta",Mercado_Receita!$J$2:$J$2012)+SUMIF(Mercado_Receita!$S$2:$S$2012,"44501A3AzulNão se aplicaNão se aplicaAPENão se aplicaFora ponta",Mercado_Receita!$J$2:$J$2012)+SUMIF(Mercado_Receita!$S$2:$S$2012,"44501A3ConvencionalNão se aplicaNão se aplicaNão se aplicaNão se aplicaNão se aplica",Mercado_Receita!$J$2:$J$2012)*1</f>
        <v>126052</v>
      </c>
      <c r="P3" s="12">
        <f>SUMIF(Mercado_Receita!$S$2:$S$2012,"44531A3AzulNão se aplicaNão se aplicaNão se aplicaNão se aplicaFora ponta",Mercado_Receita!$J$2:$J$2012)+SUMIF(Mercado_Receita!$S$2:$S$2012,"44531A3AzulNão se aplicaNão se aplicaAPENão se aplicaFora ponta",Mercado_Receita!$J$2:$J$2012)+SUMIF(Mercado_Receita!$S$2:$S$2012,"44531A3ConvencionalNão se aplicaNão se aplicaNão se aplicaNão se aplicaNão se aplica",Mercado_Receita!$J$2:$J$2012)*1</f>
        <v>139336</v>
      </c>
      <c r="Q3" s="12">
        <f>SUMIF(Mercado_Receita!$S$2:$S$2012,"44562A3AzulNão se aplicaNão se aplicaNão se aplicaNão se aplicaFora ponta",Mercado_Receita!$J$2:$J$2012)+SUMIF(Mercado_Receita!$S$2:$S$2012,"44562A3AzulNão se aplicaNão se aplicaAPENão se aplicaFora ponta",Mercado_Receita!$J$2:$J$2012)+SUMIF(Mercado_Receita!$S$2:$S$2012,"44562A3ConvencionalNão se aplicaNão se aplicaNão se aplicaNão se aplicaNão se aplica",Mercado_Receita!$J$2:$J$2012)*1</f>
        <v>133321</v>
      </c>
      <c r="R3" s="12">
        <f>SUMIF(Mercado_Receita!$S$2:$S$2012,"44593A3AzulNão se aplicaNão se aplicaNão se aplicaNão se aplicaFora ponta",Mercado_Receita!$J$2:$J$2012)+SUMIF(Mercado_Receita!$S$2:$S$2012,"44593A3AzulNão se aplicaNão se aplicaAPENão se aplicaFora ponta",Mercado_Receita!$J$2:$J$2012)+SUMIF(Mercado_Receita!$S$2:$S$2012,"44593A3ConvencionalNão se aplicaNão se aplicaNão se aplicaNão se aplicaNão se aplica",Mercado_Receita!$J$2:$J$2012)*1</f>
        <v>129891</v>
      </c>
      <c r="S3" s="12">
        <f>SUMIF(Mercado_Receita!$S$2:$S$2012,"44621A3AzulNão se aplicaNão se aplicaNão se aplicaNão se aplicaFora ponta",Mercado_Receita!$J$2:$J$2012)+SUMIF(Mercado_Receita!$S$2:$S$2012,"44621A3AzulNão se aplicaNão se aplicaAPENão se aplicaFora ponta",Mercado_Receita!$J$2:$J$2012)+SUMIF(Mercado_Receita!$S$2:$S$2012,"44621A3ConvencionalNão se aplicaNão se aplicaNão se aplicaNão se aplicaNão se aplica",Mercado_Receita!$J$2:$J$2012)*1</f>
        <v>126058</v>
      </c>
      <c r="T3" s="12">
        <f>SUMIF(Mercado_Receita!$S$2:$S$2012,"44652A3AzulNão se aplicaNão se aplicaNão se aplicaNão se aplicaFora ponta",Mercado_Receita!$J$2:$J$2012)+SUMIF(Mercado_Receita!$S$2:$S$2012,"44652A3AzulNão se aplicaNão se aplicaAPENão se aplicaFora ponta",Mercado_Receita!$J$2:$J$2012)+SUMIF(Mercado_Receita!$S$2:$S$2012,"44652A3ConvencionalNão se aplicaNão se aplicaNão se aplicaNão se aplicaNão se aplica",Mercado_Receita!$J$2:$J$2012)*1</f>
        <v>126058</v>
      </c>
      <c r="U3" s="12">
        <f t="shared" si="0"/>
        <v>1376546</v>
      </c>
      <c r="V3" s="12"/>
      <c r="W3" s="12"/>
    </row>
    <row r="4" spans="1:30" ht="11.25" customHeight="1" x14ac:dyDescent="0.25">
      <c r="A4" s="118"/>
      <c r="B4" s="118"/>
      <c r="C4" s="118"/>
      <c r="D4" s="118"/>
      <c r="E4" s="118"/>
      <c r="F4" s="118"/>
      <c r="G4" s="12" t="s">
        <v>96</v>
      </c>
      <c r="H4" s="12" t="s">
        <v>90</v>
      </c>
      <c r="I4" s="12">
        <f>SUMIF(Mercado_Receita!$S$2:$S$2012,"44317A3AzulNão se aplicaNão se aplicaNão se aplicaNão se aplicaPonta",Mercado_Receita!$L$2:$L$2012)+SUMIF(Mercado_Receita!$S$2:$S$2012,"44317A3AzulNão se aplicaNão se aplicaNão se aplicaNão se aplicaFora ponta",Mercado_Receita!$L$2:$L$2012)+SUMIF(Mercado_Receita!$S$2:$S$2012,"44317A3AzulNão se aplicaNão se aplicaNão se aplicaNão se aplicaIntermediário",Mercado_Receita!$L$2:$L$2012)+SUMIF(Mercado_Receita!$S$2:$S$2012,"44317A3AzulNão se aplicaNão se aplicaNão se aplicaNão se aplicaNão se aplica",Mercado_Receita!$L$2:$L$2012)+SUMIF(Mercado_Receita!$S$2:$S$2012,"44317A3ConvencionalNão se aplicaNão se aplicaNão se aplicaNão se aplicaNão se aplica",Mercado_Receita!$L$2:$L$2012)</f>
        <v>33365.947</v>
      </c>
      <c r="J4" s="12">
        <f>SUMIF(Mercado_Receita!$S$2:$S$2012,"44348A3AzulNão se aplicaNão se aplicaNão se aplicaNão se aplicaPonta",Mercado_Receita!$L$2:$L$2012)+SUMIF(Mercado_Receita!$S$2:$S$2012,"44348A3AzulNão se aplicaNão se aplicaNão se aplicaNão se aplicaFora ponta",Mercado_Receita!$L$2:$L$2012)+SUMIF(Mercado_Receita!$S$2:$S$2012,"44348A3AzulNão se aplicaNão se aplicaNão se aplicaNão se aplicaIntermediário",Mercado_Receita!$L$2:$L$2012)+SUMIF(Mercado_Receita!$S$2:$S$2012,"44348A3AzulNão se aplicaNão se aplicaNão se aplicaNão se aplicaNão se aplica",Mercado_Receita!$L$2:$L$2012)+SUMIF(Mercado_Receita!$S$2:$S$2012,"44348A3ConvencionalNão se aplicaNão se aplicaNão se aplicaNão se aplicaNão se aplica",Mercado_Receita!$L$2:$L$2012)</f>
        <v>27445.663</v>
      </c>
      <c r="K4" s="12">
        <f>SUMIF(Mercado_Receita!$S$2:$S$2012,"44378A3AzulNão se aplicaNão se aplicaNão se aplicaNão se aplicaPonta",Mercado_Receita!$L$2:$L$2012)+SUMIF(Mercado_Receita!$S$2:$S$2012,"44378A3AzulNão se aplicaNão se aplicaNão se aplicaNão se aplicaFora ponta",Mercado_Receita!$L$2:$L$2012)+SUMIF(Mercado_Receita!$S$2:$S$2012,"44378A3AzulNão se aplicaNão se aplicaNão se aplicaNão se aplicaIntermediário",Mercado_Receita!$L$2:$L$2012)+SUMIF(Mercado_Receita!$S$2:$S$2012,"44378A3AzulNão se aplicaNão se aplicaNão se aplicaNão se aplicaNão se aplica",Mercado_Receita!$L$2:$L$2012)+SUMIF(Mercado_Receita!$S$2:$S$2012,"44378A3ConvencionalNão se aplicaNão se aplicaNão se aplicaNão se aplicaNão se aplica",Mercado_Receita!$L$2:$L$2012)</f>
        <v>26487.470999999998</v>
      </c>
      <c r="L4" s="12">
        <f>SUMIF(Mercado_Receita!$S$2:$S$2012,"44409A3AzulNão se aplicaNão se aplicaNão se aplicaNão se aplicaPonta",Mercado_Receita!$L$2:$L$2012)+SUMIF(Mercado_Receita!$S$2:$S$2012,"44409A3AzulNão se aplicaNão se aplicaNão se aplicaNão se aplicaFora ponta",Mercado_Receita!$L$2:$L$2012)+SUMIF(Mercado_Receita!$S$2:$S$2012,"44409A3AzulNão se aplicaNão se aplicaNão se aplicaNão se aplicaIntermediário",Mercado_Receita!$L$2:$L$2012)+SUMIF(Mercado_Receita!$S$2:$S$2012,"44409A3AzulNão se aplicaNão se aplicaNão se aplicaNão se aplicaNão se aplica",Mercado_Receita!$L$2:$L$2012)+SUMIF(Mercado_Receita!$S$2:$S$2012,"44409A3ConvencionalNão se aplicaNão se aplicaNão se aplicaNão se aplicaNão se aplica",Mercado_Receita!$L$2:$L$2012)</f>
        <v>28827.531999999996</v>
      </c>
      <c r="M4" s="12">
        <f>SUMIF(Mercado_Receita!$S$2:$S$2012,"44440A3AzulNão se aplicaNão se aplicaNão se aplicaNão se aplicaPonta",Mercado_Receita!$L$2:$L$2012)+SUMIF(Mercado_Receita!$S$2:$S$2012,"44440A3AzulNão se aplicaNão se aplicaNão se aplicaNão se aplicaFora ponta",Mercado_Receita!$L$2:$L$2012)+SUMIF(Mercado_Receita!$S$2:$S$2012,"44440A3AzulNão se aplicaNão se aplicaNão se aplicaNão se aplicaIntermediário",Mercado_Receita!$L$2:$L$2012)+SUMIF(Mercado_Receita!$S$2:$S$2012,"44440A3AzulNão se aplicaNão se aplicaNão se aplicaNão se aplicaNão se aplica",Mercado_Receita!$L$2:$L$2012)+SUMIF(Mercado_Receita!$S$2:$S$2012,"44440A3ConvencionalNão se aplicaNão se aplicaNão se aplicaNão se aplicaNão se aplica",Mercado_Receita!$L$2:$L$2012)</f>
        <v>38279.33</v>
      </c>
      <c r="N4" s="12">
        <f>SUMIF(Mercado_Receita!$S$2:$S$2012,"44470A3AzulNão se aplicaNão se aplicaNão se aplicaNão se aplicaPonta",Mercado_Receita!$L$2:$L$2012)+SUMIF(Mercado_Receita!$S$2:$S$2012,"44470A3AzulNão se aplicaNão se aplicaNão se aplicaNão se aplicaFora ponta",Mercado_Receita!$L$2:$L$2012)+SUMIF(Mercado_Receita!$S$2:$S$2012,"44470A3AzulNão se aplicaNão se aplicaNão se aplicaNão se aplicaIntermediário",Mercado_Receita!$L$2:$L$2012)+SUMIF(Mercado_Receita!$S$2:$S$2012,"44470A3AzulNão se aplicaNão se aplicaNão se aplicaNão se aplicaNão se aplica",Mercado_Receita!$L$2:$L$2012)+SUMIF(Mercado_Receita!$S$2:$S$2012,"44470A3ConvencionalNão se aplicaNão se aplicaNão se aplicaNão se aplicaNão se aplica",Mercado_Receita!$L$2:$L$2012)</f>
        <v>45395.584999999999</v>
      </c>
      <c r="O4" s="12">
        <f>SUMIF(Mercado_Receita!$S$2:$S$2012,"44501A3AzulNão se aplicaNão se aplicaNão se aplicaNão se aplicaPonta",Mercado_Receita!$L$2:$L$2012)+SUMIF(Mercado_Receita!$S$2:$S$2012,"44501A3AzulNão se aplicaNão se aplicaNão se aplicaNão se aplicaFora ponta",Mercado_Receita!$L$2:$L$2012)+SUMIF(Mercado_Receita!$S$2:$S$2012,"44501A3AzulNão se aplicaNão se aplicaNão se aplicaNão se aplicaIntermediário",Mercado_Receita!$L$2:$L$2012)+SUMIF(Mercado_Receita!$S$2:$S$2012,"44501A3AzulNão se aplicaNão se aplicaNão se aplicaNão se aplicaNão se aplica",Mercado_Receita!$L$2:$L$2012)+SUMIF(Mercado_Receita!$S$2:$S$2012,"44501A3ConvencionalNão se aplicaNão se aplicaNão se aplicaNão se aplicaNão se aplica",Mercado_Receita!$L$2:$L$2012)</f>
        <v>45512.328000000001</v>
      </c>
      <c r="P4" s="12">
        <f>SUMIF(Mercado_Receita!$S$2:$S$2012,"44531A3AzulNão se aplicaNão se aplicaNão se aplicaNão se aplicaPonta",Mercado_Receita!$L$2:$L$2012)+SUMIF(Mercado_Receita!$S$2:$S$2012,"44531A3AzulNão se aplicaNão se aplicaNão se aplicaNão se aplicaFora ponta",Mercado_Receita!$L$2:$L$2012)+SUMIF(Mercado_Receita!$S$2:$S$2012,"44531A3AzulNão se aplicaNão se aplicaNão se aplicaNão se aplicaIntermediário",Mercado_Receita!$L$2:$L$2012)+SUMIF(Mercado_Receita!$S$2:$S$2012,"44531A3AzulNão se aplicaNão se aplicaNão se aplicaNão se aplicaNão se aplica",Mercado_Receita!$L$2:$L$2012)+SUMIF(Mercado_Receita!$S$2:$S$2012,"44531A3ConvencionalNão se aplicaNão se aplicaNão se aplicaNão se aplicaNão se aplica",Mercado_Receita!$L$2:$L$2012)</f>
        <v>53250.839</v>
      </c>
      <c r="Q4" s="12">
        <f>SUMIF(Mercado_Receita!$S$2:$S$2012,"44562A3AzulNão se aplicaNão se aplicaNão se aplicaNão se aplicaPonta",Mercado_Receita!$L$2:$L$2012)+SUMIF(Mercado_Receita!$S$2:$S$2012,"44562A3AzulNão se aplicaNão se aplicaNão se aplicaNão se aplicaFora ponta",Mercado_Receita!$L$2:$L$2012)+SUMIF(Mercado_Receita!$S$2:$S$2012,"44562A3AzulNão se aplicaNão se aplicaNão se aplicaNão se aplicaIntermediário",Mercado_Receita!$L$2:$L$2012)+SUMIF(Mercado_Receita!$S$2:$S$2012,"44562A3AzulNão se aplicaNão se aplicaNão se aplicaNão se aplicaNão se aplica",Mercado_Receita!$L$2:$L$2012)+SUMIF(Mercado_Receita!$S$2:$S$2012,"44562A3ConvencionalNão se aplicaNão se aplicaNão se aplicaNão se aplicaNão se aplica",Mercado_Receita!$L$2:$L$2012)</f>
        <v>48083.432999999997</v>
      </c>
      <c r="R4" s="12">
        <f>SUMIF(Mercado_Receita!$S$2:$S$2012,"44593A3AzulNão se aplicaNão se aplicaNão se aplicaNão se aplicaPonta",Mercado_Receita!$L$2:$L$2012)+SUMIF(Mercado_Receita!$S$2:$S$2012,"44593A3AzulNão se aplicaNão se aplicaNão se aplicaNão se aplicaFora ponta",Mercado_Receita!$L$2:$L$2012)+SUMIF(Mercado_Receita!$S$2:$S$2012,"44593A3AzulNão se aplicaNão se aplicaNão se aplicaNão se aplicaIntermediário",Mercado_Receita!$L$2:$L$2012)+SUMIF(Mercado_Receita!$S$2:$S$2012,"44593A3AzulNão se aplicaNão se aplicaNão se aplicaNão se aplicaNão se aplica",Mercado_Receita!$L$2:$L$2012)+SUMIF(Mercado_Receita!$S$2:$S$2012,"44593A3ConvencionalNão se aplicaNão se aplicaNão se aplicaNão se aplicaNão se aplica",Mercado_Receita!$L$2:$L$2012)</f>
        <v>33470.419000000002</v>
      </c>
      <c r="S4" s="12">
        <f>SUMIF(Mercado_Receita!$S$2:$S$2012,"44621A3AzulNão se aplicaNão se aplicaNão se aplicaNão se aplicaPonta",Mercado_Receita!$L$2:$L$2012)+SUMIF(Mercado_Receita!$S$2:$S$2012,"44621A3AzulNão se aplicaNão se aplicaNão se aplicaNão se aplicaFora ponta",Mercado_Receita!$L$2:$L$2012)+SUMIF(Mercado_Receita!$S$2:$S$2012,"44621A3AzulNão se aplicaNão se aplicaNão se aplicaNão se aplicaIntermediário",Mercado_Receita!$L$2:$L$2012)+SUMIF(Mercado_Receita!$S$2:$S$2012,"44621A3AzulNão se aplicaNão se aplicaNão se aplicaNão se aplicaNão se aplica",Mercado_Receita!$L$2:$L$2012)+SUMIF(Mercado_Receita!$S$2:$S$2012,"44621A3ConvencionalNão se aplicaNão se aplicaNão se aplicaNão se aplicaNão se aplica",Mercado_Receita!$L$2:$L$2012)</f>
        <v>37833.673000000003</v>
      </c>
      <c r="T4" s="12">
        <f>SUMIF(Mercado_Receita!$S$2:$S$2012,"44652A3AzulNão se aplicaNão se aplicaNão se aplicaNão se aplicaPonta",Mercado_Receita!$L$2:$L$2012)+SUMIF(Mercado_Receita!$S$2:$S$2012,"44652A3AzulNão se aplicaNão se aplicaNão se aplicaNão se aplicaFora ponta",Mercado_Receita!$L$2:$L$2012)+SUMIF(Mercado_Receita!$S$2:$S$2012,"44652A3AzulNão se aplicaNão se aplicaNão se aplicaNão se aplicaIntermediário",Mercado_Receita!$L$2:$L$2012)+SUMIF(Mercado_Receita!$S$2:$S$2012,"44652A3AzulNão se aplicaNão se aplicaNão se aplicaNão se aplicaNão se aplica",Mercado_Receita!$L$2:$L$2012)+SUMIF(Mercado_Receita!$S$2:$S$2012,"44652A3ConvencionalNão se aplicaNão se aplicaNão se aplicaNão se aplicaNão se aplica",Mercado_Receita!$L$2:$L$2012)</f>
        <v>37833.673000000003</v>
      </c>
      <c r="U4" s="12">
        <f t="shared" si="0"/>
        <v>455785.89300000004</v>
      </c>
      <c r="V4" s="12"/>
      <c r="W4" s="12"/>
    </row>
    <row r="5" spans="1:30" ht="11.25" customHeight="1" x14ac:dyDescent="0.25">
      <c r="A5" s="118"/>
      <c r="B5" s="118"/>
      <c r="C5" s="118"/>
      <c r="D5" s="118"/>
      <c r="E5" s="13" t="s">
        <v>58</v>
      </c>
      <c r="F5" s="13" t="s">
        <v>25</v>
      </c>
      <c r="G5" s="12" t="s">
        <v>96</v>
      </c>
      <c r="H5" s="12" t="s">
        <v>90</v>
      </c>
      <c r="I5" s="12">
        <f>SUMIF(Mercado_Receita!$S$2:$S$2012,"44317A3AzulNão se aplicaNão se aplicaAPENão se aplicaPonta",Mercado_Receita!$L$2:$L$2012)+SUMIF(Mercado_Receita!$S$2:$S$2012,"44317A3AzulNão se aplicaNão se aplicaAPENão se aplicaFora ponta",Mercado_Receita!$L$2:$L$2012)+SUMIF(Mercado_Receita!$S$2:$S$2012,"44317A3AzulNão se aplicaNão se aplicaAPENão se aplicaIntermediário",Mercado_Receita!$L$2:$L$2012)+SUMIF(Mercado_Receita!$S$2:$S$2012,"44317A3AzulNão se aplicaNão se aplicaAPENão se aplicaNão se aplica",Mercado_Receita!$L$2:$L$2012)+SUMIF(Mercado_Receita!$S$2:$S$2012,"44317A3ConvencionalNão se aplicaNão se aplicaAPENão se aplicaNão se aplica",Mercado_Receita!$L$2:$L$2012)</f>
        <v>5789.893</v>
      </c>
      <c r="J5" s="12">
        <f>SUMIF(Mercado_Receita!$S$2:$S$2012,"44348A3AzulNão se aplicaNão se aplicaAPENão se aplicaPonta",Mercado_Receita!$L$2:$L$2012)+SUMIF(Mercado_Receita!$S$2:$S$2012,"44348A3AzulNão se aplicaNão se aplicaAPENão se aplicaFora ponta",Mercado_Receita!$L$2:$L$2012)+SUMIF(Mercado_Receita!$S$2:$S$2012,"44348A3AzulNão se aplicaNão se aplicaAPENão se aplicaIntermediário",Mercado_Receita!$L$2:$L$2012)+SUMIF(Mercado_Receita!$S$2:$S$2012,"44348A3AzulNão se aplicaNão se aplicaAPENão se aplicaNão se aplica",Mercado_Receita!$L$2:$L$2012)+SUMIF(Mercado_Receita!$S$2:$S$2012,"44348A3ConvencionalNão se aplicaNão se aplicaAPENão se aplicaNão se aplica",Mercado_Receita!$L$2:$L$2012)</f>
        <v>4727.4160000000002</v>
      </c>
      <c r="K5" s="12">
        <f>SUMIF(Mercado_Receita!$S$2:$S$2012,"44378A3AzulNão se aplicaNão se aplicaAPENão se aplicaPonta",Mercado_Receita!$L$2:$L$2012)+SUMIF(Mercado_Receita!$S$2:$S$2012,"44378A3AzulNão se aplicaNão se aplicaAPENão se aplicaFora ponta",Mercado_Receita!$L$2:$L$2012)+SUMIF(Mercado_Receita!$S$2:$S$2012,"44378A3AzulNão se aplicaNão se aplicaAPENão se aplicaIntermediário",Mercado_Receita!$L$2:$L$2012)+SUMIF(Mercado_Receita!$S$2:$S$2012,"44378A3AzulNão se aplicaNão se aplicaAPENão se aplicaNão se aplica",Mercado_Receita!$L$2:$L$2012)+SUMIF(Mercado_Receita!$S$2:$S$2012,"44378A3ConvencionalNão se aplicaNão se aplicaAPENão se aplicaNão se aplica",Mercado_Receita!$L$2:$L$2012)</f>
        <v>5140.2759999999998</v>
      </c>
      <c r="L5" s="12">
        <f>SUMIF(Mercado_Receita!$S$2:$S$2012,"44409A3AzulNão se aplicaNão se aplicaAPENão se aplicaPonta",Mercado_Receita!$L$2:$L$2012)+SUMIF(Mercado_Receita!$S$2:$S$2012,"44409A3AzulNão se aplicaNão se aplicaAPENão se aplicaFora ponta",Mercado_Receita!$L$2:$L$2012)+SUMIF(Mercado_Receita!$S$2:$S$2012,"44409A3AzulNão se aplicaNão se aplicaAPENão se aplicaIntermediário",Mercado_Receita!$L$2:$L$2012)+SUMIF(Mercado_Receita!$S$2:$S$2012,"44409A3AzulNão se aplicaNão se aplicaAPENão se aplicaNão se aplica",Mercado_Receita!$L$2:$L$2012)+SUMIF(Mercado_Receita!$S$2:$S$2012,"44409A3ConvencionalNão se aplicaNão se aplicaAPENão se aplicaNão se aplica",Mercado_Receita!$L$2:$L$2012)</f>
        <v>4829.6610000000001</v>
      </c>
      <c r="M5" s="12">
        <f>SUMIF(Mercado_Receita!$S$2:$S$2012,"44440A3AzulNão se aplicaNão se aplicaAPENão se aplicaPonta",Mercado_Receita!$L$2:$L$2012)+SUMIF(Mercado_Receita!$S$2:$S$2012,"44440A3AzulNão se aplicaNão se aplicaAPENão se aplicaFora ponta",Mercado_Receita!$L$2:$L$2012)+SUMIF(Mercado_Receita!$S$2:$S$2012,"44440A3AzulNão se aplicaNão se aplicaAPENão se aplicaIntermediário",Mercado_Receita!$L$2:$L$2012)+SUMIF(Mercado_Receita!$S$2:$S$2012,"44440A3AzulNão se aplicaNão se aplicaAPENão se aplicaNão se aplica",Mercado_Receita!$L$2:$L$2012)+SUMIF(Mercado_Receita!$S$2:$S$2012,"44440A3ConvencionalNão se aplicaNão se aplicaAPENão se aplicaNão se aplica",Mercado_Receita!$L$2:$L$2012)</f>
        <v>5062.6009999999997</v>
      </c>
      <c r="N5" s="12">
        <f>SUMIF(Mercado_Receita!$S$2:$S$2012,"44470A3AzulNão se aplicaNão se aplicaAPENão se aplicaPonta",Mercado_Receita!$L$2:$L$2012)+SUMIF(Mercado_Receita!$S$2:$S$2012,"44470A3AzulNão se aplicaNão se aplicaAPENão se aplicaFora ponta",Mercado_Receita!$L$2:$L$2012)+SUMIF(Mercado_Receita!$S$2:$S$2012,"44470A3AzulNão se aplicaNão se aplicaAPENão se aplicaIntermediário",Mercado_Receita!$L$2:$L$2012)+SUMIF(Mercado_Receita!$S$2:$S$2012,"44470A3AzulNão se aplicaNão se aplicaAPENão se aplicaNão se aplica",Mercado_Receita!$L$2:$L$2012)+SUMIF(Mercado_Receita!$S$2:$S$2012,"44470A3ConvencionalNão se aplicaNão se aplicaAPENão se aplicaNão se aplica",Mercado_Receita!$L$2:$L$2012)</f>
        <v>5313.598</v>
      </c>
      <c r="O5" s="12">
        <f>SUMIF(Mercado_Receita!$S$2:$S$2012,"44501A3AzulNão se aplicaNão se aplicaAPENão se aplicaPonta",Mercado_Receita!$L$2:$L$2012)+SUMIF(Mercado_Receita!$S$2:$S$2012,"44501A3AzulNão se aplicaNão se aplicaAPENão se aplicaFora ponta",Mercado_Receita!$L$2:$L$2012)+SUMIF(Mercado_Receita!$S$2:$S$2012,"44501A3AzulNão se aplicaNão se aplicaAPENão se aplicaIntermediário",Mercado_Receita!$L$2:$L$2012)+SUMIF(Mercado_Receita!$S$2:$S$2012,"44501A3AzulNão se aplicaNão se aplicaAPENão se aplicaNão se aplica",Mercado_Receita!$L$2:$L$2012)+SUMIF(Mercado_Receita!$S$2:$S$2012,"44501A3ConvencionalNão se aplicaNão se aplicaAPENão se aplicaNão se aplica",Mercado_Receita!$L$2:$L$2012)</f>
        <v>3710.576</v>
      </c>
      <c r="P5" s="12">
        <f>SUMIF(Mercado_Receita!$S$2:$S$2012,"44531A3AzulNão se aplicaNão se aplicaAPENão se aplicaPonta",Mercado_Receita!$L$2:$L$2012)+SUMIF(Mercado_Receita!$S$2:$S$2012,"44531A3AzulNão se aplicaNão se aplicaAPENão se aplicaFora ponta",Mercado_Receita!$L$2:$L$2012)+SUMIF(Mercado_Receita!$S$2:$S$2012,"44531A3AzulNão se aplicaNão se aplicaAPENão se aplicaIntermediário",Mercado_Receita!$L$2:$L$2012)+SUMIF(Mercado_Receita!$S$2:$S$2012,"44531A3AzulNão se aplicaNão se aplicaAPENão se aplicaNão se aplica",Mercado_Receita!$L$2:$L$2012)+SUMIF(Mercado_Receita!$S$2:$S$2012,"44531A3ConvencionalNão se aplicaNão se aplicaAPENão se aplicaNão se aplica",Mercado_Receita!$L$2:$L$2012)</f>
        <v>4887.2669999999998</v>
      </c>
      <c r="Q5" s="12">
        <f>SUMIF(Mercado_Receita!$S$2:$S$2012,"44562A3AzulNão se aplicaNão se aplicaAPENão se aplicaPonta",Mercado_Receita!$L$2:$L$2012)+SUMIF(Mercado_Receita!$S$2:$S$2012,"44562A3AzulNão se aplicaNão se aplicaAPENão se aplicaFora ponta",Mercado_Receita!$L$2:$L$2012)+SUMIF(Mercado_Receita!$S$2:$S$2012,"44562A3AzulNão se aplicaNão se aplicaAPENão se aplicaIntermediário",Mercado_Receita!$L$2:$L$2012)+SUMIF(Mercado_Receita!$S$2:$S$2012,"44562A3AzulNão se aplicaNão se aplicaAPENão se aplicaNão se aplica",Mercado_Receita!$L$2:$L$2012)+SUMIF(Mercado_Receita!$S$2:$S$2012,"44562A3ConvencionalNão se aplicaNão se aplicaAPENão se aplicaNão se aplica",Mercado_Receita!$L$2:$L$2012)</f>
        <v>5070.223</v>
      </c>
      <c r="R5" s="12">
        <f>SUMIF(Mercado_Receita!$S$2:$S$2012,"44593A3AzulNão se aplicaNão se aplicaAPENão se aplicaPonta",Mercado_Receita!$L$2:$L$2012)+SUMIF(Mercado_Receita!$S$2:$S$2012,"44593A3AzulNão se aplicaNão se aplicaAPENão se aplicaFora ponta",Mercado_Receita!$L$2:$L$2012)+SUMIF(Mercado_Receita!$S$2:$S$2012,"44593A3AzulNão se aplicaNão se aplicaAPENão se aplicaIntermediário",Mercado_Receita!$L$2:$L$2012)+SUMIF(Mercado_Receita!$S$2:$S$2012,"44593A3AzulNão se aplicaNão se aplicaAPENão se aplicaNão se aplica",Mercado_Receita!$L$2:$L$2012)+SUMIF(Mercado_Receita!$S$2:$S$2012,"44593A3ConvencionalNão se aplicaNão se aplicaAPENão se aplicaNão se aplica",Mercado_Receita!$L$2:$L$2012)</f>
        <v>13825.752</v>
      </c>
      <c r="S5" s="12">
        <f>SUMIF(Mercado_Receita!$S$2:$S$2012,"44621A3AzulNão se aplicaNão se aplicaAPENão se aplicaPonta",Mercado_Receita!$L$2:$L$2012)+SUMIF(Mercado_Receita!$S$2:$S$2012,"44621A3AzulNão se aplicaNão se aplicaAPENão se aplicaFora ponta",Mercado_Receita!$L$2:$L$2012)+SUMIF(Mercado_Receita!$S$2:$S$2012,"44621A3AzulNão se aplicaNão se aplicaAPENão se aplicaIntermediário",Mercado_Receita!$L$2:$L$2012)+SUMIF(Mercado_Receita!$S$2:$S$2012,"44621A3AzulNão se aplicaNão se aplicaAPENão se aplicaNão se aplica",Mercado_Receita!$L$2:$L$2012)+SUMIF(Mercado_Receita!$S$2:$S$2012,"44621A3ConvencionalNão se aplicaNão se aplicaAPENão se aplicaNão se aplica",Mercado_Receita!$L$2:$L$2012)</f>
        <v>10905.182000000001</v>
      </c>
      <c r="T5" s="12">
        <f>SUMIF(Mercado_Receita!$S$2:$S$2012,"44652A3AzulNão se aplicaNão se aplicaAPENão se aplicaPonta",Mercado_Receita!$L$2:$L$2012)+SUMIF(Mercado_Receita!$S$2:$S$2012,"44652A3AzulNão se aplicaNão se aplicaAPENão se aplicaFora ponta",Mercado_Receita!$L$2:$L$2012)+SUMIF(Mercado_Receita!$S$2:$S$2012,"44652A3AzulNão se aplicaNão se aplicaAPENão se aplicaIntermediário",Mercado_Receita!$L$2:$L$2012)+SUMIF(Mercado_Receita!$S$2:$S$2012,"44652A3AzulNão se aplicaNão se aplicaAPENão se aplicaNão se aplica",Mercado_Receita!$L$2:$L$2012)+SUMIF(Mercado_Receita!$S$2:$S$2012,"44652A3ConvencionalNão se aplicaNão se aplicaAPENão se aplicaNão se aplica",Mercado_Receita!$L$2:$L$2012)</f>
        <v>10905.182000000001</v>
      </c>
      <c r="U5" s="12">
        <f t="shared" si="0"/>
        <v>80167.627000000008</v>
      </c>
      <c r="V5" s="12"/>
      <c r="W5" s="12"/>
    </row>
    <row r="6" spans="1:30" ht="11.25" customHeight="1" x14ac:dyDescent="0.25">
      <c r="A6" s="118"/>
      <c r="B6" s="117" t="s">
        <v>61</v>
      </c>
      <c r="C6" s="117" t="s">
        <v>25</v>
      </c>
      <c r="D6" s="117" t="s">
        <v>25</v>
      </c>
      <c r="E6" s="117" t="s">
        <v>25</v>
      </c>
      <c r="F6" s="117" t="s">
        <v>62</v>
      </c>
      <c r="G6" s="12" t="s">
        <v>94</v>
      </c>
      <c r="H6" s="12" t="s">
        <v>93</v>
      </c>
      <c r="I6" s="12">
        <f>SUMIF(Mercado_Receita!$S$2:$S$2012,"44317A3DistribuiçãoNão se aplicaNão se aplicaNão se aplicaCelpePonta",Mercado_Receita!$J$2:$J$2012)+SUMIF(Mercado_Receita!$S$2:$S$2012,"44317A3DistribuiçãoNão se aplicaNão se aplicaNão se aplicaCelpeNão se aplica",Mercado_Receita!$J$2:$J$2012)*0.72</f>
        <v>3000</v>
      </c>
      <c r="J6" s="12">
        <f>SUMIF(Mercado_Receita!$S$2:$S$2012,"44348A3DistribuiçãoNão se aplicaNão se aplicaNão se aplicaCelpePonta",Mercado_Receita!$J$2:$J$2012)+SUMIF(Mercado_Receita!$S$2:$S$2012,"44348A3DistribuiçãoNão se aplicaNão se aplicaNão se aplicaCelpeNão se aplica",Mercado_Receita!$J$2:$J$2012)*0.72</f>
        <v>3000</v>
      </c>
      <c r="K6" s="12">
        <f>SUMIF(Mercado_Receita!$S$2:$S$2012,"44378A3DistribuiçãoNão se aplicaNão se aplicaNão se aplicaCelpePonta",Mercado_Receita!$J$2:$J$2012)+SUMIF(Mercado_Receita!$S$2:$S$2012,"44378A3DistribuiçãoNão se aplicaNão se aplicaNão se aplicaCelpeNão se aplica",Mercado_Receita!$J$2:$J$2012)*0.72</f>
        <v>3000</v>
      </c>
      <c r="L6" s="12">
        <f>SUMIF(Mercado_Receita!$S$2:$S$2012,"44409A3DistribuiçãoNão se aplicaNão se aplicaNão se aplicaCelpePonta",Mercado_Receita!$J$2:$J$2012)+SUMIF(Mercado_Receita!$S$2:$S$2012,"44409A3DistribuiçãoNão se aplicaNão se aplicaNão se aplicaCelpeNão se aplica",Mercado_Receita!$J$2:$J$2012)*0.72</f>
        <v>3010</v>
      </c>
      <c r="M6" s="12">
        <f>SUMIF(Mercado_Receita!$S$2:$S$2012,"44440A3DistribuiçãoNão se aplicaNão se aplicaNão se aplicaCelpePonta",Mercado_Receita!$J$2:$J$2012)+SUMIF(Mercado_Receita!$S$2:$S$2012,"44440A3DistribuiçãoNão se aplicaNão se aplicaNão se aplicaCelpeNão se aplica",Mercado_Receita!$J$2:$J$2012)*0.72</f>
        <v>3010</v>
      </c>
      <c r="N6" s="12">
        <f>SUMIF(Mercado_Receita!$S$2:$S$2012,"44470A3DistribuiçãoNão se aplicaNão se aplicaNão se aplicaCelpePonta",Mercado_Receita!$J$2:$J$2012)+SUMIF(Mercado_Receita!$S$2:$S$2012,"44470A3DistribuiçãoNão se aplicaNão se aplicaNão se aplicaCelpeNão se aplica",Mercado_Receita!$J$2:$J$2012)*0.72</f>
        <v>3010</v>
      </c>
      <c r="O6" s="12">
        <f>SUMIF(Mercado_Receita!$S$2:$S$2012,"44501A3DistribuiçãoNão se aplicaNão se aplicaNão se aplicaCelpePonta",Mercado_Receita!$J$2:$J$2012)+SUMIF(Mercado_Receita!$S$2:$S$2012,"44501A3DistribuiçãoNão se aplicaNão se aplicaNão se aplicaCelpeNão se aplica",Mercado_Receita!$J$2:$J$2012)*0.72</f>
        <v>3010</v>
      </c>
      <c r="P6" s="12">
        <f>SUMIF(Mercado_Receita!$S$2:$S$2012,"44531A3DistribuiçãoNão se aplicaNão se aplicaNão se aplicaCelpePonta",Mercado_Receita!$J$2:$J$2012)+SUMIF(Mercado_Receita!$S$2:$S$2012,"44531A3DistribuiçãoNão se aplicaNão se aplicaNão se aplicaCelpeNão se aplica",Mercado_Receita!$J$2:$J$2012)*0.72</f>
        <v>3010</v>
      </c>
      <c r="Q6" s="12">
        <f>SUMIF(Mercado_Receita!$S$2:$S$2012,"44562A3DistribuiçãoNão se aplicaNão se aplicaNão se aplicaCelpePonta",Mercado_Receita!$J$2:$J$2012)+SUMIF(Mercado_Receita!$S$2:$S$2012,"44562A3DistribuiçãoNão se aplicaNão se aplicaNão se aplicaCelpeNão se aplica",Mercado_Receita!$J$2:$J$2012)*0.72</f>
        <v>3010</v>
      </c>
      <c r="R6" s="12">
        <f>SUMIF(Mercado_Receita!$S$2:$S$2012,"44593A3DistribuiçãoNão se aplicaNão se aplicaNão se aplicaCelpePonta",Mercado_Receita!$J$2:$J$2012)+SUMIF(Mercado_Receita!$S$2:$S$2012,"44593A3DistribuiçãoNão se aplicaNão se aplicaNão se aplicaCelpeNão se aplica",Mercado_Receita!$J$2:$J$2012)*0.72</f>
        <v>3010</v>
      </c>
      <c r="S6" s="12">
        <f>SUMIF(Mercado_Receita!$S$2:$S$2012,"44621A3DistribuiçãoNão se aplicaNão se aplicaNão se aplicaCelpePonta",Mercado_Receita!$J$2:$J$2012)+SUMIF(Mercado_Receita!$S$2:$S$2012,"44621A3DistribuiçãoNão se aplicaNão se aplicaNão se aplicaCelpeNão se aplica",Mercado_Receita!$J$2:$J$2012)*0.72</f>
        <v>3010</v>
      </c>
      <c r="T6" s="12">
        <f>SUMIF(Mercado_Receita!$S$2:$S$2012,"44652A3DistribuiçãoNão se aplicaNão se aplicaNão se aplicaCelpePonta",Mercado_Receita!$J$2:$J$2012)+SUMIF(Mercado_Receita!$S$2:$S$2012,"44652A3DistribuiçãoNão se aplicaNão se aplicaNão se aplicaCelpeNão se aplica",Mercado_Receita!$J$2:$J$2012)*0.72</f>
        <v>3010</v>
      </c>
      <c r="U6" s="12">
        <f t="shared" si="0"/>
        <v>36090</v>
      </c>
      <c r="V6" s="12"/>
      <c r="W6" s="12"/>
    </row>
    <row r="7" spans="1:30" ht="11.25" customHeight="1" x14ac:dyDescent="0.25">
      <c r="A7" s="118"/>
      <c r="B7" s="118"/>
      <c r="C7" s="118"/>
      <c r="D7" s="118"/>
      <c r="E7" s="118"/>
      <c r="F7" s="118"/>
      <c r="G7" s="12" t="s">
        <v>95</v>
      </c>
      <c r="H7" s="12" t="s">
        <v>93</v>
      </c>
      <c r="I7" s="12">
        <f>SUMIF(Mercado_Receita!$S$2:$S$2012,"44317A3DistribuiçãoNão se aplicaNão se aplicaNão se aplicaCelpeFora ponta",Mercado_Receita!$J$2:$J$2012)+SUMIF(Mercado_Receita!$S$2:$S$2012,"44317A3DistribuiçãoNão se aplicaNão se aplicaNão se aplicaCelpeNão se aplica",Mercado_Receita!$J$2:$J$2012)*1</f>
        <v>3000</v>
      </c>
      <c r="J7" s="12">
        <f>SUMIF(Mercado_Receita!$S$2:$S$2012,"44348A3DistribuiçãoNão se aplicaNão se aplicaNão se aplicaCelpeFora ponta",Mercado_Receita!$J$2:$J$2012)+SUMIF(Mercado_Receita!$S$2:$S$2012,"44348A3DistribuiçãoNão se aplicaNão se aplicaNão se aplicaCelpeNão se aplica",Mercado_Receita!$J$2:$J$2012)*1</f>
        <v>3000</v>
      </c>
      <c r="K7" s="12">
        <f>SUMIF(Mercado_Receita!$S$2:$S$2012,"44378A3DistribuiçãoNão se aplicaNão se aplicaNão se aplicaCelpeFora ponta",Mercado_Receita!$J$2:$J$2012)+SUMIF(Mercado_Receita!$S$2:$S$2012,"44378A3DistribuiçãoNão se aplicaNão se aplicaNão se aplicaCelpeNão se aplica",Mercado_Receita!$J$2:$J$2012)*1</f>
        <v>3000</v>
      </c>
      <c r="L7" s="12">
        <f>SUMIF(Mercado_Receita!$S$2:$S$2012,"44409A3DistribuiçãoNão se aplicaNão se aplicaNão se aplicaCelpeFora ponta",Mercado_Receita!$J$2:$J$2012)+SUMIF(Mercado_Receita!$S$2:$S$2012,"44409A3DistribuiçãoNão se aplicaNão se aplicaNão se aplicaCelpeNão se aplica",Mercado_Receita!$J$2:$J$2012)*1</f>
        <v>3010</v>
      </c>
      <c r="M7" s="12">
        <f>SUMIF(Mercado_Receita!$S$2:$S$2012,"44440A3DistribuiçãoNão se aplicaNão se aplicaNão se aplicaCelpeFora ponta",Mercado_Receita!$J$2:$J$2012)+SUMIF(Mercado_Receita!$S$2:$S$2012,"44440A3DistribuiçãoNão se aplicaNão se aplicaNão se aplicaCelpeNão se aplica",Mercado_Receita!$J$2:$J$2012)*1</f>
        <v>3010</v>
      </c>
      <c r="N7" s="12">
        <f>SUMIF(Mercado_Receita!$S$2:$S$2012,"44470A3DistribuiçãoNão se aplicaNão se aplicaNão se aplicaCelpeFora ponta",Mercado_Receita!$J$2:$J$2012)+SUMIF(Mercado_Receita!$S$2:$S$2012,"44470A3DistribuiçãoNão se aplicaNão se aplicaNão se aplicaCelpeNão se aplica",Mercado_Receita!$J$2:$J$2012)*1</f>
        <v>3010</v>
      </c>
      <c r="O7" s="12">
        <f>SUMIF(Mercado_Receita!$S$2:$S$2012,"44501A3DistribuiçãoNão se aplicaNão se aplicaNão se aplicaCelpeFora ponta",Mercado_Receita!$J$2:$J$2012)+SUMIF(Mercado_Receita!$S$2:$S$2012,"44501A3DistribuiçãoNão se aplicaNão se aplicaNão se aplicaCelpeNão se aplica",Mercado_Receita!$J$2:$J$2012)*1</f>
        <v>3010</v>
      </c>
      <c r="P7" s="12">
        <f>SUMIF(Mercado_Receita!$S$2:$S$2012,"44531A3DistribuiçãoNão se aplicaNão se aplicaNão se aplicaCelpeFora ponta",Mercado_Receita!$J$2:$J$2012)+SUMIF(Mercado_Receita!$S$2:$S$2012,"44531A3DistribuiçãoNão se aplicaNão se aplicaNão se aplicaCelpeNão se aplica",Mercado_Receita!$J$2:$J$2012)*1</f>
        <v>3010</v>
      </c>
      <c r="Q7" s="12">
        <f>SUMIF(Mercado_Receita!$S$2:$S$2012,"44562A3DistribuiçãoNão se aplicaNão se aplicaNão se aplicaCelpeFora ponta",Mercado_Receita!$J$2:$J$2012)+SUMIF(Mercado_Receita!$S$2:$S$2012,"44562A3DistribuiçãoNão se aplicaNão se aplicaNão se aplicaCelpeNão se aplica",Mercado_Receita!$J$2:$J$2012)*1</f>
        <v>3010</v>
      </c>
      <c r="R7" s="12">
        <f>SUMIF(Mercado_Receita!$S$2:$S$2012,"44593A3DistribuiçãoNão se aplicaNão se aplicaNão se aplicaCelpeFora ponta",Mercado_Receita!$J$2:$J$2012)+SUMIF(Mercado_Receita!$S$2:$S$2012,"44593A3DistribuiçãoNão se aplicaNão se aplicaNão se aplicaCelpeNão se aplica",Mercado_Receita!$J$2:$J$2012)*1</f>
        <v>3010</v>
      </c>
      <c r="S7" s="12">
        <f>SUMIF(Mercado_Receita!$S$2:$S$2012,"44621A3DistribuiçãoNão se aplicaNão se aplicaNão se aplicaCelpeFora ponta",Mercado_Receita!$J$2:$J$2012)+SUMIF(Mercado_Receita!$S$2:$S$2012,"44621A3DistribuiçãoNão se aplicaNão se aplicaNão se aplicaCelpeNão se aplica",Mercado_Receita!$J$2:$J$2012)*1</f>
        <v>3010</v>
      </c>
      <c r="T7" s="12">
        <f>SUMIF(Mercado_Receita!$S$2:$S$2012,"44652A3DistribuiçãoNão se aplicaNão se aplicaNão se aplicaCelpeFora ponta",Mercado_Receita!$J$2:$J$2012)+SUMIF(Mercado_Receita!$S$2:$S$2012,"44652A3DistribuiçãoNão se aplicaNão se aplicaNão se aplicaCelpeNão se aplica",Mercado_Receita!$J$2:$J$2012)*1</f>
        <v>3010</v>
      </c>
      <c r="U7" s="12">
        <f t="shared" si="0"/>
        <v>36090</v>
      </c>
      <c r="V7" s="12"/>
      <c r="W7" s="12"/>
    </row>
    <row r="8" spans="1:30" ht="11.25" customHeight="1" x14ac:dyDescent="0.25">
      <c r="A8" s="118"/>
      <c r="B8" s="118"/>
      <c r="C8" s="118"/>
      <c r="D8" s="118"/>
      <c r="E8" s="118"/>
      <c r="F8" s="118"/>
      <c r="G8" s="12" t="s">
        <v>96</v>
      </c>
      <c r="H8" s="12" t="s">
        <v>90</v>
      </c>
      <c r="I8" s="12">
        <f>IF((I6+I7)&lt;&gt;0,SUMIF(Mercado_Receita!$S$2:$S$2012,"44317A3DistribuiçãoNão se aplicaNão se aplicaNão se aplicaCelpePonta",Mercado_Receita!$L$2:$L$2012)+SUMIF(Mercado_Receita!$S$2:$S$2012,"44317A3DistribuiçãoNão se aplicaNão se aplicaNão se aplicaCelpeFora ponta",Mercado_Receita!$L$2:$L$2012)+SUMIF(Mercado_Receita!$S$2:$S$2012,"44317A3DistribuiçãoNão se aplicaNão se aplicaNão se aplicaCelpeIntermediário",Mercado_Receita!$L$2:$L$2012)+SUMIF(Mercado_Receita!$S$2:$S$2012,"44317A3DistribuiçãoNão se aplicaNão se aplicaNão se aplicaCelpeNão se aplica",Mercado_Receita!$L$2:$L$2012),0)</f>
        <v>1196.905</v>
      </c>
      <c r="J8" s="12">
        <f>IF((J6+J7)&lt;&gt;0,SUMIF(Mercado_Receita!$S$2:$S$2012,"44348A3DistribuiçãoNão se aplicaNão se aplicaNão se aplicaCelpePonta",Mercado_Receita!$L$2:$L$2012)+SUMIF(Mercado_Receita!$S$2:$S$2012,"44348A3DistribuiçãoNão se aplicaNão se aplicaNão se aplicaCelpeFora ponta",Mercado_Receita!$L$2:$L$2012)+SUMIF(Mercado_Receita!$S$2:$S$2012,"44348A3DistribuiçãoNão se aplicaNão se aplicaNão se aplicaCelpeIntermediário",Mercado_Receita!$L$2:$L$2012)+SUMIF(Mercado_Receita!$S$2:$S$2012,"44348A3DistribuiçãoNão se aplicaNão se aplicaNão se aplicaCelpeNão se aplica",Mercado_Receita!$L$2:$L$2012),0)</f>
        <v>1112.213</v>
      </c>
      <c r="K8" s="12">
        <f>IF((K6+K7)&lt;&gt;0,SUMIF(Mercado_Receita!$S$2:$S$2012,"44378A3DistribuiçãoNão se aplicaNão se aplicaNão se aplicaCelpePonta",Mercado_Receita!$L$2:$L$2012)+SUMIF(Mercado_Receita!$S$2:$S$2012,"44378A3DistribuiçãoNão se aplicaNão se aplicaNão se aplicaCelpeFora ponta",Mercado_Receita!$L$2:$L$2012)+SUMIF(Mercado_Receita!$S$2:$S$2012,"44378A3DistribuiçãoNão se aplicaNão se aplicaNão se aplicaCelpeIntermediário",Mercado_Receita!$L$2:$L$2012)+SUMIF(Mercado_Receita!$S$2:$S$2012,"44378A3DistribuiçãoNão se aplicaNão se aplicaNão se aplicaCelpeNão se aplica",Mercado_Receita!$L$2:$L$2012),0)</f>
        <v>1154.4970000000001</v>
      </c>
      <c r="L8" s="12">
        <f>IF((L6+L7)&lt;&gt;0,SUMIF(Mercado_Receita!$S$2:$S$2012,"44409A3DistribuiçãoNão se aplicaNão se aplicaNão se aplicaCelpePonta",Mercado_Receita!$L$2:$L$2012)+SUMIF(Mercado_Receita!$S$2:$S$2012,"44409A3DistribuiçãoNão se aplicaNão se aplicaNão se aplicaCelpeFora ponta",Mercado_Receita!$L$2:$L$2012)+SUMIF(Mercado_Receita!$S$2:$S$2012,"44409A3DistribuiçãoNão se aplicaNão se aplicaNão se aplicaCelpeIntermediário",Mercado_Receita!$L$2:$L$2012)+SUMIF(Mercado_Receita!$S$2:$S$2012,"44409A3DistribuiçãoNão se aplicaNão se aplicaNão se aplicaCelpeNão se aplica",Mercado_Receita!$L$2:$L$2012),0)</f>
        <v>1122.9670000000001</v>
      </c>
      <c r="M8" s="12">
        <f>IF((M6+M7)&lt;&gt;0,SUMIF(Mercado_Receita!$S$2:$S$2012,"44440A3DistribuiçãoNão se aplicaNão se aplicaNão se aplicaCelpePonta",Mercado_Receita!$L$2:$L$2012)+SUMIF(Mercado_Receita!$S$2:$S$2012,"44440A3DistribuiçãoNão se aplicaNão se aplicaNão se aplicaCelpeFora ponta",Mercado_Receita!$L$2:$L$2012)+SUMIF(Mercado_Receita!$S$2:$S$2012,"44440A3DistribuiçãoNão se aplicaNão se aplicaNão se aplicaCelpeIntermediário",Mercado_Receita!$L$2:$L$2012)+SUMIF(Mercado_Receita!$S$2:$S$2012,"44440A3DistribuiçãoNão se aplicaNão se aplicaNão se aplicaCelpeNão se aplica",Mercado_Receita!$L$2:$L$2012),0)</f>
        <v>1176.069</v>
      </c>
      <c r="N8" s="12">
        <f>IF((N6+N7)&lt;&gt;0,SUMIF(Mercado_Receita!$S$2:$S$2012,"44470A3DistribuiçãoNão se aplicaNão se aplicaNão se aplicaCelpePonta",Mercado_Receita!$L$2:$L$2012)+SUMIF(Mercado_Receita!$S$2:$S$2012,"44470A3DistribuiçãoNão se aplicaNão se aplicaNão se aplicaCelpeFora ponta",Mercado_Receita!$L$2:$L$2012)+SUMIF(Mercado_Receita!$S$2:$S$2012,"44470A3DistribuiçãoNão se aplicaNão se aplicaNão se aplicaCelpeIntermediário",Mercado_Receita!$L$2:$L$2012)+SUMIF(Mercado_Receita!$S$2:$S$2012,"44470A3DistribuiçãoNão se aplicaNão se aplicaNão se aplicaCelpeNão se aplica",Mercado_Receita!$L$2:$L$2012),0)</f>
        <v>1325.509</v>
      </c>
      <c r="O8" s="12">
        <f>IF((O6+O7)&lt;&gt;0,SUMIF(Mercado_Receita!$S$2:$S$2012,"44501A3DistribuiçãoNão se aplicaNão se aplicaNão se aplicaCelpePonta",Mercado_Receita!$L$2:$L$2012)+SUMIF(Mercado_Receita!$S$2:$S$2012,"44501A3DistribuiçãoNão se aplicaNão se aplicaNão se aplicaCelpeFora ponta",Mercado_Receita!$L$2:$L$2012)+SUMIF(Mercado_Receita!$S$2:$S$2012,"44501A3DistribuiçãoNão se aplicaNão se aplicaNão se aplicaCelpeIntermediário",Mercado_Receita!$L$2:$L$2012)+SUMIF(Mercado_Receita!$S$2:$S$2012,"44501A3DistribuiçãoNão se aplicaNão se aplicaNão se aplicaCelpeNão se aplica",Mercado_Receita!$L$2:$L$2012),0)</f>
        <v>1340.6969999999999</v>
      </c>
      <c r="P8" s="12">
        <f>IF((P6+P7)&lt;&gt;0,SUMIF(Mercado_Receita!$S$2:$S$2012,"44531A3DistribuiçãoNão se aplicaNão se aplicaNão se aplicaCelpePonta",Mercado_Receita!$L$2:$L$2012)+SUMIF(Mercado_Receita!$S$2:$S$2012,"44531A3DistribuiçãoNão se aplicaNão se aplicaNão se aplicaCelpeFora ponta",Mercado_Receita!$L$2:$L$2012)+SUMIF(Mercado_Receita!$S$2:$S$2012,"44531A3DistribuiçãoNão se aplicaNão se aplicaNão se aplicaCelpeIntermediário",Mercado_Receita!$L$2:$L$2012)+SUMIF(Mercado_Receita!$S$2:$S$2012,"44531A3DistribuiçãoNão se aplicaNão se aplicaNão se aplicaCelpeNão se aplica",Mercado_Receita!$L$2:$L$2012),0)</f>
        <v>1372.6849999999999</v>
      </c>
      <c r="Q8" s="12">
        <f>IF((Q6+Q7)&lt;&gt;0,SUMIF(Mercado_Receita!$S$2:$S$2012,"44562A3DistribuiçãoNão se aplicaNão se aplicaNão se aplicaCelpePonta",Mercado_Receita!$L$2:$L$2012)+SUMIF(Mercado_Receita!$S$2:$S$2012,"44562A3DistribuiçãoNão se aplicaNão se aplicaNão se aplicaCelpeFora ponta",Mercado_Receita!$L$2:$L$2012)+SUMIF(Mercado_Receita!$S$2:$S$2012,"44562A3DistribuiçãoNão se aplicaNão se aplicaNão se aplicaCelpeIntermediário",Mercado_Receita!$L$2:$L$2012)+SUMIF(Mercado_Receita!$S$2:$S$2012,"44562A3DistribuiçãoNão se aplicaNão se aplicaNão se aplicaCelpeNão se aplica",Mercado_Receita!$L$2:$L$2012),0)</f>
        <v>1312.577</v>
      </c>
      <c r="R8" s="12">
        <f>IF((R6+R7)&lt;&gt;0,SUMIF(Mercado_Receita!$S$2:$S$2012,"44593A3DistribuiçãoNão se aplicaNão se aplicaNão se aplicaCelpePonta",Mercado_Receita!$L$2:$L$2012)+SUMIF(Mercado_Receita!$S$2:$S$2012,"44593A3DistribuiçãoNão se aplicaNão se aplicaNão se aplicaCelpeFora ponta",Mercado_Receita!$L$2:$L$2012)+SUMIF(Mercado_Receita!$S$2:$S$2012,"44593A3DistribuiçãoNão se aplicaNão se aplicaNão se aplicaCelpeIntermediário",Mercado_Receita!$L$2:$L$2012)+SUMIF(Mercado_Receita!$S$2:$S$2012,"44593A3DistribuiçãoNão se aplicaNão se aplicaNão se aplicaCelpeNão se aplica",Mercado_Receita!$L$2:$L$2012),0)</f>
        <v>1157.5319999999999</v>
      </c>
      <c r="S8" s="12">
        <f>IF((S6+S7)&lt;&gt;0,SUMIF(Mercado_Receita!$S$2:$S$2012,"44621A3DistribuiçãoNão se aplicaNão se aplicaNão se aplicaCelpePonta",Mercado_Receita!$L$2:$L$2012)+SUMIF(Mercado_Receita!$S$2:$S$2012,"44621A3DistribuiçãoNão se aplicaNão se aplicaNão se aplicaCelpeFora ponta",Mercado_Receita!$L$2:$L$2012)+SUMIF(Mercado_Receita!$S$2:$S$2012,"44621A3DistribuiçãoNão se aplicaNão se aplicaNão se aplicaCelpeIntermediário",Mercado_Receita!$L$2:$L$2012)+SUMIF(Mercado_Receita!$S$2:$S$2012,"44621A3DistribuiçãoNão se aplicaNão se aplicaNão se aplicaCelpeNão se aplica",Mercado_Receita!$L$2:$L$2012),0)</f>
        <v>1298.71</v>
      </c>
      <c r="T8" s="12">
        <f>IF((T6+T7)&lt;&gt;0,SUMIF(Mercado_Receita!$S$2:$S$2012,"44652A3DistribuiçãoNão se aplicaNão se aplicaNão se aplicaCelpePonta",Mercado_Receita!$L$2:$L$2012)+SUMIF(Mercado_Receita!$S$2:$S$2012,"44652A3DistribuiçãoNão se aplicaNão se aplicaNão se aplicaCelpeFora ponta",Mercado_Receita!$L$2:$L$2012)+SUMIF(Mercado_Receita!$S$2:$S$2012,"44652A3DistribuiçãoNão se aplicaNão se aplicaNão se aplicaCelpeIntermediário",Mercado_Receita!$L$2:$L$2012)+SUMIF(Mercado_Receita!$S$2:$S$2012,"44652A3DistribuiçãoNão se aplicaNão se aplicaNão se aplicaCelpeNão se aplica",Mercado_Receita!$L$2:$L$2012),0)</f>
        <v>1298.71</v>
      </c>
      <c r="U8" s="12">
        <f t="shared" si="0"/>
        <v>14869.070999999996</v>
      </c>
      <c r="V8" s="12"/>
      <c r="W8" s="12"/>
    </row>
    <row r="9" spans="1:30" ht="11.25" customHeight="1" x14ac:dyDescent="0.25">
      <c r="A9" s="118"/>
      <c r="B9" s="13" t="s">
        <v>64</v>
      </c>
      <c r="C9" s="13" t="s">
        <v>25</v>
      </c>
      <c r="D9" s="13" t="s">
        <v>25</v>
      </c>
      <c r="E9" s="13" t="s">
        <v>25</v>
      </c>
      <c r="F9" s="13" t="s">
        <v>25</v>
      </c>
      <c r="G9" s="12" t="s">
        <v>9</v>
      </c>
      <c r="H9" s="12" t="s">
        <v>93</v>
      </c>
      <c r="I9" s="12">
        <f>SUMIF(Mercado_Receita!$S$2:$S$2012,"44317A3GeraçãoNão se aplicaNão se aplicaNão se aplicaNão se aplicaNão se aplica",Mercado_Receita!$J$2:$J$2012)+SUMIF(Mercado_Receita!$S$2:$S$2012,"44317A3GeraçãoNão se aplicaNão se aplicaAPENão se aplicaNão se aplica",Mercado_Receita!$J$2:$J$2012)</f>
        <v>76075</v>
      </c>
      <c r="J9" s="12">
        <f>SUMIF(Mercado_Receita!$S$2:$S$2012,"44348A3GeraçãoNão se aplicaNão se aplicaNão se aplicaNão se aplicaNão se aplica",Mercado_Receita!$J$2:$J$2012)+SUMIF(Mercado_Receita!$S$2:$S$2012,"44348A3GeraçãoNão se aplicaNão se aplicaAPENão se aplicaNão se aplica",Mercado_Receita!$J$2:$J$2012)</f>
        <v>76067</v>
      </c>
      <c r="K9" s="12">
        <f>SUMIF(Mercado_Receita!$S$2:$S$2012,"44378A3GeraçãoNão se aplicaNão se aplicaNão se aplicaNão se aplicaNão se aplica",Mercado_Receita!$J$2:$J$2012)+SUMIF(Mercado_Receita!$S$2:$S$2012,"44378A3GeraçãoNão se aplicaNão se aplicaAPENão se aplicaNão se aplica",Mercado_Receita!$J$2:$J$2012)</f>
        <v>77270</v>
      </c>
      <c r="L9" s="12">
        <f>SUMIF(Mercado_Receita!$S$2:$S$2012,"44409A3GeraçãoNão se aplicaNão se aplicaNão se aplicaNão se aplicaNão se aplica",Mercado_Receita!$J$2:$J$2012)+SUMIF(Mercado_Receita!$S$2:$S$2012,"44409A3GeraçãoNão se aplicaNão se aplicaAPENão se aplicaNão se aplica",Mercado_Receita!$J$2:$J$2012)</f>
        <v>73426</v>
      </c>
      <c r="M9" s="12">
        <f>SUMIF(Mercado_Receita!$S$2:$S$2012,"44440A3GeraçãoNão se aplicaNão se aplicaNão se aplicaNão se aplicaNão se aplica",Mercado_Receita!$J$2:$J$2012)+SUMIF(Mercado_Receita!$S$2:$S$2012,"44440A3GeraçãoNão se aplicaNão se aplicaAPENão se aplicaNão se aplica",Mercado_Receita!$J$2:$J$2012)</f>
        <v>70861</v>
      </c>
      <c r="N9" s="12">
        <f>SUMIF(Mercado_Receita!$S$2:$S$2012,"44470A3GeraçãoNão se aplicaNão se aplicaNão se aplicaNão se aplicaNão se aplica",Mercado_Receita!$J$2:$J$2012)+SUMIF(Mercado_Receita!$S$2:$S$2012,"44470A3GeraçãoNão se aplicaNão se aplicaAPENão se aplicaNão se aplica",Mercado_Receita!$J$2:$J$2012)</f>
        <v>75260</v>
      </c>
      <c r="O9" s="12">
        <f>SUMIF(Mercado_Receita!$S$2:$S$2012,"44501A3GeraçãoNão se aplicaNão se aplicaNão se aplicaNão se aplicaNão se aplica",Mercado_Receita!$J$2:$J$2012)+SUMIF(Mercado_Receita!$S$2:$S$2012,"44501A3GeraçãoNão se aplicaNão se aplicaAPENão se aplicaNão se aplica",Mercado_Receita!$J$2:$J$2012)</f>
        <v>76866</v>
      </c>
      <c r="P9" s="12">
        <f>SUMIF(Mercado_Receita!$S$2:$S$2012,"44531A3GeraçãoNão se aplicaNão se aplicaNão se aplicaNão se aplicaNão se aplica",Mercado_Receita!$J$2:$J$2012)+SUMIF(Mercado_Receita!$S$2:$S$2012,"44531A3GeraçãoNão se aplicaNão se aplicaAPENão se aplicaNão se aplica",Mercado_Receita!$J$2:$J$2012)</f>
        <v>77860</v>
      </c>
      <c r="Q9" s="12">
        <f>SUMIF(Mercado_Receita!$S$2:$S$2012,"44562A3GeraçãoNão se aplicaNão se aplicaNão se aplicaNão se aplicaNão se aplica",Mercado_Receita!$J$2:$J$2012)+SUMIF(Mercado_Receita!$S$2:$S$2012,"44562A3GeraçãoNão se aplicaNão se aplicaAPENão se aplicaNão se aplica",Mercado_Receita!$J$2:$J$2012)</f>
        <v>72611</v>
      </c>
      <c r="R9" s="12">
        <f>SUMIF(Mercado_Receita!$S$2:$S$2012,"44593A3GeraçãoNão se aplicaNão se aplicaNão se aplicaNão se aplicaNão se aplica",Mercado_Receita!$J$2:$J$2012)+SUMIF(Mercado_Receita!$S$2:$S$2012,"44593A3GeraçãoNão se aplicaNão se aplicaAPENão se aplicaNão se aplica",Mercado_Receita!$J$2:$J$2012)</f>
        <v>70852</v>
      </c>
      <c r="S9" s="12">
        <f>SUMIF(Mercado_Receita!$S$2:$S$2012,"44621A3GeraçãoNão se aplicaNão se aplicaNão se aplicaNão se aplicaNão se aplica",Mercado_Receita!$J$2:$J$2012)+SUMIF(Mercado_Receita!$S$2:$S$2012,"44621A3GeraçãoNão se aplicaNão se aplicaAPENão se aplicaNão se aplica",Mercado_Receita!$J$2:$J$2012)</f>
        <v>70539</v>
      </c>
      <c r="T9" s="12">
        <f>SUMIF(Mercado_Receita!$S$2:$S$2012,"44652A3GeraçãoNão se aplicaNão se aplicaNão se aplicaNão se aplicaNão se aplica",Mercado_Receita!$J$2:$J$2012)+SUMIF(Mercado_Receita!$S$2:$S$2012,"44652A3GeraçãoNão se aplicaNão se aplicaAPENão se aplicaNão se aplica",Mercado_Receita!$J$2:$J$2012)</f>
        <v>70539</v>
      </c>
      <c r="U9" s="12">
        <f t="shared" si="0"/>
        <v>888226</v>
      </c>
      <c r="V9" s="12"/>
      <c r="W9" s="12"/>
    </row>
    <row r="10" spans="1:30" ht="11.25" customHeight="1" x14ac:dyDescent="0.25">
      <c r="A10" s="117" t="s">
        <v>33</v>
      </c>
      <c r="B10" s="117" t="s">
        <v>42</v>
      </c>
      <c r="C10" s="117" t="s">
        <v>25</v>
      </c>
      <c r="D10" s="117" t="s">
        <v>25</v>
      </c>
      <c r="E10" s="117" t="s">
        <v>25</v>
      </c>
      <c r="F10" s="117" t="s">
        <v>25</v>
      </c>
      <c r="G10" s="12" t="s">
        <v>94</v>
      </c>
      <c r="H10" s="12" t="s">
        <v>93</v>
      </c>
      <c r="I10" s="12">
        <f>SUMIF(Mercado_Receita!$S$2:$S$2012,"44317A4AzulNão se aplicaNão se aplicaNão se aplicaNão se aplicaPonta",Mercado_Receita!$J$2:$J$2012)+SUMIF(Mercado_Receita!$S$2:$S$2012,"44317A4AzulNão se aplicaNão se aplicaAPENão se aplicaPonta",Mercado_Receita!$J$2:$J$2012)</f>
        <v>42988</v>
      </c>
      <c r="J10" s="12">
        <f>SUMIF(Mercado_Receita!$S$2:$S$2012,"44348A4AzulNão se aplicaNão se aplicaNão se aplicaNão se aplicaPonta",Mercado_Receita!$J$2:$J$2012)+SUMIF(Mercado_Receita!$S$2:$S$2012,"44348A4AzulNão se aplicaNão se aplicaAPENão se aplicaPonta",Mercado_Receita!$J$2:$J$2012)</f>
        <v>43633</v>
      </c>
      <c r="K10" s="12">
        <f>SUMIF(Mercado_Receita!$S$2:$S$2012,"44378A4AzulNão se aplicaNão se aplicaNão se aplicaNão se aplicaPonta",Mercado_Receita!$J$2:$J$2012)+SUMIF(Mercado_Receita!$S$2:$S$2012,"44378A4AzulNão se aplicaNão se aplicaAPENão se aplicaPonta",Mercado_Receita!$J$2:$J$2012)</f>
        <v>45487</v>
      </c>
      <c r="L10" s="12">
        <f>SUMIF(Mercado_Receita!$S$2:$S$2012,"44409A4AzulNão se aplicaNão se aplicaNão se aplicaNão se aplicaPonta",Mercado_Receita!$J$2:$J$2012)+SUMIF(Mercado_Receita!$S$2:$S$2012,"44409A4AzulNão se aplicaNão se aplicaAPENão se aplicaPonta",Mercado_Receita!$J$2:$J$2012)</f>
        <v>47641</v>
      </c>
      <c r="M10" s="12">
        <f>SUMIF(Mercado_Receita!$S$2:$S$2012,"44440A4AzulNão se aplicaNão se aplicaNão se aplicaNão se aplicaPonta",Mercado_Receita!$J$2:$J$2012)+SUMIF(Mercado_Receita!$S$2:$S$2012,"44440A4AzulNão se aplicaNão se aplicaAPENão se aplicaPonta",Mercado_Receita!$J$2:$J$2012)</f>
        <v>48846</v>
      </c>
      <c r="N10" s="12">
        <f>SUMIF(Mercado_Receita!$S$2:$S$2012,"44470A4AzulNão se aplicaNão se aplicaNão se aplicaNão se aplicaPonta",Mercado_Receita!$J$2:$J$2012)+SUMIF(Mercado_Receita!$S$2:$S$2012,"44470A4AzulNão se aplicaNão se aplicaAPENão se aplicaPonta",Mercado_Receita!$J$2:$J$2012)</f>
        <v>48560</v>
      </c>
      <c r="O10" s="12">
        <f>SUMIF(Mercado_Receita!$S$2:$S$2012,"44501A4AzulNão se aplicaNão se aplicaNão se aplicaNão se aplicaPonta",Mercado_Receita!$J$2:$J$2012)+SUMIF(Mercado_Receita!$S$2:$S$2012,"44501A4AzulNão se aplicaNão se aplicaAPENão se aplicaPonta",Mercado_Receita!$J$2:$J$2012)</f>
        <v>47833</v>
      </c>
      <c r="P10" s="12">
        <f>SUMIF(Mercado_Receita!$S$2:$S$2012,"44531A4AzulNão se aplicaNão se aplicaNão se aplicaNão se aplicaPonta",Mercado_Receita!$J$2:$J$2012)+SUMIF(Mercado_Receita!$S$2:$S$2012,"44531A4AzulNão se aplicaNão se aplicaAPENão se aplicaPonta",Mercado_Receita!$J$2:$J$2012)</f>
        <v>48407</v>
      </c>
      <c r="Q10" s="12">
        <f>SUMIF(Mercado_Receita!$S$2:$S$2012,"44562A4AzulNão se aplicaNão se aplicaNão se aplicaNão se aplicaPonta",Mercado_Receita!$J$2:$J$2012)+SUMIF(Mercado_Receita!$S$2:$S$2012,"44562A4AzulNão se aplicaNão se aplicaAPENão se aplicaPonta",Mercado_Receita!$J$2:$J$2012)</f>
        <v>47876</v>
      </c>
      <c r="R10" s="12">
        <f>SUMIF(Mercado_Receita!$S$2:$S$2012,"44593A4AzulNão se aplicaNão se aplicaNão se aplicaNão se aplicaPonta",Mercado_Receita!$J$2:$J$2012)+SUMIF(Mercado_Receita!$S$2:$S$2012,"44593A4AzulNão se aplicaNão se aplicaAPENão se aplicaPonta",Mercado_Receita!$J$2:$J$2012)</f>
        <v>48058</v>
      </c>
      <c r="S10" s="12">
        <f>SUMIF(Mercado_Receita!$S$2:$S$2012,"44621A4AzulNão se aplicaNão se aplicaNão se aplicaNão se aplicaPonta",Mercado_Receita!$J$2:$J$2012)+SUMIF(Mercado_Receita!$S$2:$S$2012,"44621A4AzulNão se aplicaNão se aplicaAPENão se aplicaPonta",Mercado_Receita!$J$2:$J$2012)</f>
        <v>48112</v>
      </c>
      <c r="T10" s="12">
        <f>SUMIF(Mercado_Receita!$S$2:$S$2012,"44652A4AzulNão se aplicaNão se aplicaNão se aplicaNão se aplicaPonta",Mercado_Receita!$J$2:$J$2012)+SUMIF(Mercado_Receita!$S$2:$S$2012,"44652A4AzulNão se aplicaNão se aplicaAPENão se aplicaPonta",Mercado_Receita!$J$2:$J$2012)</f>
        <v>48112</v>
      </c>
      <c r="U10" s="12">
        <f t="shared" si="0"/>
        <v>565553</v>
      </c>
      <c r="V10" s="12"/>
      <c r="W10" s="12"/>
    </row>
    <row r="11" spans="1:30" ht="11.25" customHeight="1" x14ac:dyDescent="0.25">
      <c r="A11" s="118"/>
      <c r="B11" s="118"/>
      <c r="C11" s="118"/>
      <c r="D11" s="118"/>
      <c r="E11" s="118"/>
      <c r="F11" s="118"/>
      <c r="G11" s="12" t="s">
        <v>95</v>
      </c>
      <c r="H11" s="12" t="s">
        <v>93</v>
      </c>
      <c r="I11" s="12">
        <f>SUMIF(Mercado_Receita!$S$2:$S$2012,"44317A4AzulNão se aplicaNão se aplicaNão se aplicaNão se aplicaFora ponta",Mercado_Receita!$J$2:$J$2012)+SUMIF(Mercado_Receita!$S$2:$S$2012,"44317A4AzulNão se aplicaNão se aplicaAPENão se aplicaFora ponta",Mercado_Receita!$J$2:$J$2012)</f>
        <v>46561</v>
      </c>
      <c r="J11" s="12">
        <f>SUMIF(Mercado_Receita!$S$2:$S$2012,"44348A4AzulNão se aplicaNão se aplicaNão se aplicaNão se aplicaFora ponta",Mercado_Receita!$J$2:$J$2012)+SUMIF(Mercado_Receita!$S$2:$S$2012,"44348A4AzulNão se aplicaNão se aplicaAPENão se aplicaFora ponta",Mercado_Receita!$J$2:$J$2012)</f>
        <v>47120</v>
      </c>
      <c r="K11" s="12">
        <f>SUMIF(Mercado_Receita!$S$2:$S$2012,"44378A4AzulNão se aplicaNão se aplicaNão se aplicaNão se aplicaFora ponta",Mercado_Receita!$J$2:$J$2012)+SUMIF(Mercado_Receita!$S$2:$S$2012,"44378A4AzulNão se aplicaNão se aplicaAPENão se aplicaFora ponta",Mercado_Receita!$J$2:$J$2012)</f>
        <v>48435</v>
      </c>
      <c r="L11" s="12">
        <f>SUMIF(Mercado_Receita!$S$2:$S$2012,"44409A4AzulNão se aplicaNão se aplicaNão se aplicaNão se aplicaFora ponta",Mercado_Receita!$J$2:$J$2012)+SUMIF(Mercado_Receita!$S$2:$S$2012,"44409A4AzulNão se aplicaNão se aplicaAPENão se aplicaFora ponta",Mercado_Receita!$J$2:$J$2012)</f>
        <v>51010</v>
      </c>
      <c r="M11" s="12">
        <f>SUMIF(Mercado_Receita!$S$2:$S$2012,"44440A4AzulNão se aplicaNão se aplicaNão se aplicaNão se aplicaFora ponta",Mercado_Receita!$J$2:$J$2012)+SUMIF(Mercado_Receita!$S$2:$S$2012,"44440A4AzulNão se aplicaNão se aplicaAPENão se aplicaFora ponta",Mercado_Receita!$J$2:$J$2012)</f>
        <v>51708</v>
      </c>
      <c r="N11" s="12">
        <f>SUMIF(Mercado_Receita!$S$2:$S$2012,"44470A4AzulNão se aplicaNão se aplicaNão se aplicaNão se aplicaFora ponta",Mercado_Receita!$J$2:$J$2012)+SUMIF(Mercado_Receita!$S$2:$S$2012,"44470A4AzulNão se aplicaNão se aplicaAPENão se aplicaFora ponta",Mercado_Receita!$J$2:$J$2012)</f>
        <v>51691</v>
      </c>
      <c r="O11" s="12">
        <f>SUMIF(Mercado_Receita!$S$2:$S$2012,"44501A4AzulNão se aplicaNão se aplicaNão se aplicaNão se aplicaFora ponta",Mercado_Receita!$J$2:$J$2012)+SUMIF(Mercado_Receita!$S$2:$S$2012,"44501A4AzulNão se aplicaNão se aplicaAPENão se aplicaFora ponta",Mercado_Receita!$J$2:$J$2012)</f>
        <v>51061</v>
      </c>
      <c r="P11" s="12">
        <f>SUMIF(Mercado_Receita!$S$2:$S$2012,"44531A4AzulNão se aplicaNão se aplicaNão se aplicaNão se aplicaFora ponta",Mercado_Receita!$J$2:$J$2012)+SUMIF(Mercado_Receita!$S$2:$S$2012,"44531A4AzulNão se aplicaNão se aplicaAPENão se aplicaFora ponta",Mercado_Receita!$J$2:$J$2012)</f>
        <v>51186</v>
      </c>
      <c r="Q11" s="12">
        <f>SUMIF(Mercado_Receita!$S$2:$S$2012,"44562A4AzulNão se aplicaNão se aplicaNão se aplicaNão se aplicaFora ponta",Mercado_Receita!$J$2:$J$2012)+SUMIF(Mercado_Receita!$S$2:$S$2012,"44562A4AzulNão se aplicaNão se aplicaAPENão se aplicaFora ponta",Mercado_Receita!$J$2:$J$2012)</f>
        <v>50824</v>
      </c>
      <c r="R11" s="12">
        <f>SUMIF(Mercado_Receita!$S$2:$S$2012,"44593A4AzulNão se aplicaNão se aplicaNão se aplicaNão se aplicaFora ponta",Mercado_Receita!$J$2:$J$2012)+SUMIF(Mercado_Receita!$S$2:$S$2012,"44593A4AzulNão se aplicaNão se aplicaAPENão se aplicaFora ponta",Mercado_Receita!$J$2:$J$2012)</f>
        <v>50988</v>
      </c>
      <c r="S11" s="12">
        <f>SUMIF(Mercado_Receita!$S$2:$S$2012,"44621A4AzulNão se aplicaNão se aplicaNão se aplicaNão se aplicaFora ponta",Mercado_Receita!$J$2:$J$2012)+SUMIF(Mercado_Receita!$S$2:$S$2012,"44621A4AzulNão se aplicaNão se aplicaAPENão se aplicaFora ponta",Mercado_Receita!$J$2:$J$2012)</f>
        <v>50854</v>
      </c>
      <c r="T11" s="12">
        <f>SUMIF(Mercado_Receita!$S$2:$S$2012,"44652A4AzulNão se aplicaNão se aplicaNão se aplicaNão se aplicaFora ponta",Mercado_Receita!$J$2:$J$2012)+SUMIF(Mercado_Receita!$S$2:$S$2012,"44652A4AzulNão se aplicaNão se aplicaAPENão se aplicaFora ponta",Mercado_Receita!$J$2:$J$2012)</f>
        <v>50854</v>
      </c>
      <c r="U11" s="12">
        <f t="shared" si="0"/>
        <v>602292</v>
      </c>
      <c r="V11" s="12"/>
      <c r="W11" s="12"/>
    </row>
    <row r="12" spans="1:30" ht="11.25" customHeight="1" x14ac:dyDescent="0.25">
      <c r="A12" s="118"/>
      <c r="B12" s="118"/>
      <c r="C12" s="118"/>
      <c r="D12" s="118"/>
      <c r="E12" s="118"/>
      <c r="F12" s="118"/>
      <c r="G12" s="12" t="s">
        <v>96</v>
      </c>
      <c r="H12" s="12" t="s">
        <v>90</v>
      </c>
      <c r="I12" s="12">
        <f>SUMIF(Mercado_Receita!$S$2:$S$2012,"44317A4AzulNão se aplicaNão se aplicaNão se aplicaNão se aplicaPonta",Mercado_Receita!$L$2:$L$2012)+SUMIF(Mercado_Receita!$S$2:$S$2012,"44317A4AzulNão se aplicaNão se aplicaNão se aplicaNão se aplicaFora ponta",Mercado_Receita!$L$2:$L$2012)+SUMIF(Mercado_Receita!$S$2:$S$2012,"44317A4AzulNão se aplicaNão se aplicaNão se aplicaNão se aplicaIntermediário",Mercado_Receita!$L$2:$L$2012)+SUMIF(Mercado_Receita!$S$2:$S$2012,"44317A4AzulNão se aplicaNão se aplicaNão se aplicaNão se aplicaNão se aplica",Mercado_Receita!$L$2:$L$2012)</f>
        <v>20193.834999999999</v>
      </c>
      <c r="J12" s="12">
        <f>SUMIF(Mercado_Receita!$S$2:$S$2012,"44348A4AzulNão se aplicaNão se aplicaNão se aplicaNão se aplicaPonta",Mercado_Receita!$L$2:$L$2012)+SUMIF(Mercado_Receita!$S$2:$S$2012,"44348A4AzulNão se aplicaNão se aplicaNão se aplicaNão se aplicaFora ponta",Mercado_Receita!$L$2:$L$2012)+SUMIF(Mercado_Receita!$S$2:$S$2012,"44348A4AzulNão se aplicaNão se aplicaNão se aplicaNão se aplicaIntermediário",Mercado_Receita!$L$2:$L$2012)+SUMIF(Mercado_Receita!$S$2:$S$2012,"44348A4AzulNão se aplicaNão se aplicaNão se aplicaNão se aplicaNão se aplica",Mercado_Receita!$L$2:$L$2012)</f>
        <v>19470.998</v>
      </c>
      <c r="K12" s="12">
        <f>SUMIF(Mercado_Receita!$S$2:$S$2012,"44378A4AzulNão se aplicaNão se aplicaNão se aplicaNão se aplicaPonta",Mercado_Receita!$L$2:$L$2012)+SUMIF(Mercado_Receita!$S$2:$S$2012,"44378A4AzulNão se aplicaNão se aplicaNão se aplicaNão se aplicaFora ponta",Mercado_Receita!$L$2:$L$2012)+SUMIF(Mercado_Receita!$S$2:$S$2012,"44378A4AzulNão se aplicaNão se aplicaNão se aplicaNão se aplicaIntermediário",Mercado_Receita!$L$2:$L$2012)+SUMIF(Mercado_Receita!$S$2:$S$2012,"44378A4AzulNão se aplicaNão se aplicaNão se aplicaNão se aplicaNão se aplica",Mercado_Receita!$L$2:$L$2012)</f>
        <v>21516.161999999997</v>
      </c>
      <c r="L12" s="12">
        <f>SUMIF(Mercado_Receita!$S$2:$S$2012,"44409A4AzulNão se aplicaNão se aplicaNão se aplicaNão se aplicaPonta",Mercado_Receita!$L$2:$L$2012)+SUMIF(Mercado_Receita!$S$2:$S$2012,"44409A4AzulNão se aplicaNão se aplicaNão se aplicaNão se aplicaFora ponta",Mercado_Receita!$L$2:$L$2012)+SUMIF(Mercado_Receita!$S$2:$S$2012,"44409A4AzulNão se aplicaNão se aplicaNão se aplicaNão se aplicaIntermediário",Mercado_Receita!$L$2:$L$2012)+SUMIF(Mercado_Receita!$S$2:$S$2012,"44409A4AzulNão se aplicaNão se aplicaNão se aplicaNão se aplicaNão se aplica",Mercado_Receita!$L$2:$L$2012)</f>
        <v>21911.521000000001</v>
      </c>
      <c r="M12" s="12">
        <f>SUMIF(Mercado_Receita!$S$2:$S$2012,"44440A4AzulNão se aplicaNão se aplicaNão se aplicaNão se aplicaPonta",Mercado_Receita!$L$2:$L$2012)+SUMIF(Mercado_Receita!$S$2:$S$2012,"44440A4AzulNão se aplicaNão se aplicaNão se aplicaNão se aplicaFora ponta",Mercado_Receita!$L$2:$L$2012)+SUMIF(Mercado_Receita!$S$2:$S$2012,"44440A4AzulNão se aplicaNão se aplicaNão se aplicaNão se aplicaIntermediário",Mercado_Receita!$L$2:$L$2012)+SUMIF(Mercado_Receita!$S$2:$S$2012,"44440A4AzulNão se aplicaNão se aplicaNão se aplicaNão se aplicaNão se aplica",Mercado_Receita!$L$2:$L$2012)</f>
        <v>22236.802000000003</v>
      </c>
      <c r="N12" s="12">
        <f>SUMIF(Mercado_Receita!$S$2:$S$2012,"44470A4AzulNão se aplicaNão se aplicaNão se aplicaNão se aplicaPonta",Mercado_Receita!$L$2:$L$2012)+SUMIF(Mercado_Receita!$S$2:$S$2012,"44470A4AzulNão se aplicaNão se aplicaNão se aplicaNão se aplicaFora ponta",Mercado_Receita!$L$2:$L$2012)+SUMIF(Mercado_Receita!$S$2:$S$2012,"44470A4AzulNão se aplicaNão se aplicaNão se aplicaNão se aplicaIntermediário",Mercado_Receita!$L$2:$L$2012)+SUMIF(Mercado_Receita!$S$2:$S$2012,"44470A4AzulNão se aplicaNão se aplicaNão se aplicaNão se aplicaNão se aplica",Mercado_Receita!$L$2:$L$2012)</f>
        <v>24401.278000000002</v>
      </c>
      <c r="O12" s="12">
        <f>SUMIF(Mercado_Receita!$S$2:$S$2012,"44501A4AzulNão se aplicaNão se aplicaNão se aplicaNão se aplicaPonta",Mercado_Receita!$L$2:$L$2012)+SUMIF(Mercado_Receita!$S$2:$S$2012,"44501A4AzulNão se aplicaNão se aplicaNão se aplicaNão se aplicaFora ponta",Mercado_Receita!$L$2:$L$2012)+SUMIF(Mercado_Receita!$S$2:$S$2012,"44501A4AzulNão se aplicaNão se aplicaNão se aplicaNão se aplicaIntermediário",Mercado_Receita!$L$2:$L$2012)+SUMIF(Mercado_Receita!$S$2:$S$2012,"44501A4AzulNão se aplicaNão se aplicaNão se aplicaNão se aplicaNão se aplica",Mercado_Receita!$L$2:$L$2012)</f>
        <v>22789.328999999998</v>
      </c>
      <c r="P12" s="12">
        <f>SUMIF(Mercado_Receita!$S$2:$S$2012,"44531A4AzulNão se aplicaNão se aplicaNão se aplicaNão se aplicaPonta",Mercado_Receita!$L$2:$L$2012)+SUMIF(Mercado_Receita!$S$2:$S$2012,"44531A4AzulNão se aplicaNão se aplicaNão se aplicaNão se aplicaFora ponta",Mercado_Receita!$L$2:$L$2012)+SUMIF(Mercado_Receita!$S$2:$S$2012,"44531A4AzulNão se aplicaNão se aplicaNão se aplicaNão se aplicaIntermediário",Mercado_Receita!$L$2:$L$2012)+SUMIF(Mercado_Receita!$S$2:$S$2012,"44531A4AzulNão se aplicaNão se aplicaNão se aplicaNão se aplicaNão se aplica",Mercado_Receita!$L$2:$L$2012)</f>
        <v>23267.383000000002</v>
      </c>
      <c r="Q12" s="12">
        <f>SUMIF(Mercado_Receita!$S$2:$S$2012,"44562A4AzulNão se aplicaNão se aplicaNão se aplicaNão se aplicaPonta",Mercado_Receita!$L$2:$L$2012)+SUMIF(Mercado_Receita!$S$2:$S$2012,"44562A4AzulNão se aplicaNão se aplicaNão se aplicaNão se aplicaFora ponta",Mercado_Receita!$L$2:$L$2012)+SUMIF(Mercado_Receita!$S$2:$S$2012,"44562A4AzulNão se aplicaNão se aplicaNão se aplicaNão se aplicaIntermediário",Mercado_Receita!$L$2:$L$2012)+SUMIF(Mercado_Receita!$S$2:$S$2012,"44562A4AzulNão se aplicaNão se aplicaNão se aplicaNão se aplicaNão se aplica",Mercado_Receita!$L$2:$L$2012)</f>
        <v>22373.057000000001</v>
      </c>
      <c r="R12" s="12">
        <f>SUMIF(Mercado_Receita!$S$2:$S$2012,"44593A4AzulNão se aplicaNão se aplicaNão se aplicaNão se aplicaPonta",Mercado_Receita!$L$2:$L$2012)+SUMIF(Mercado_Receita!$S$2:$S$2012,"44593A4AzulNão se aplicaNão se aplicaNão se aplicaNão se aplicaFora ponta",Mercado_Receita!$L$2:$L$2012)+SUMIF(Mercado_Receita!$S$2:$S$2012,"44593A4AzulNão se aplicaNão se aplicaNão se aplicaNão se aplicaIntermediário",Mercado_Receita!$L$2:$L$2012)+SUMIF(Mercado_Receita!$S$2:$S$2012,"44593A4AzulNão se aplicaNão se aplicaNão se aplicaNão se aplicaNão se aplica",Mercado_Receita!$L$2:$L$2012)</f>
        <v>20434.523000000001</v>
      </c>
      <c r="S12" s="12">
        <f>SUMIF(Mercado_Receita!$S$2:$S$2012,"44621A4AzulNão se aplicaNão se aplicaNão se aplicaNão se aplicaPonta",Mercado_Receita!$L$2:$L$2012)+SUMIF(Mercado_Receita!$S$2:$S$2012,"44621A4AzulNão se aplicaNão se aplicaNão se aplicaNão se aplicaFora ponta",Mercado_Receita!$L$2:$L$2012)+SUMIF(Mercado_Receita!$S$2:$S$2012,"44621A4AzulNão se aplicaNão se aplicaNão se aplicaNão se aplicaIntermediário",Mercado_Receita!$L$2:$L$2012)+SUMIF(Mercado_Receita!$S$2:$S$2012,"44621A4AzulNão se aplicaNão se aplicaNão se aplicaNão se aplicaNão se aplica",Mercado_Receita!$L$2:$L$2012)</f>
        <v>22357.041000000001</v>
      </c>
      <c r="T12" s="12">
        <f>SUMIF(Mercado_Receita!$S$2:$S$2012,"44652A4AzulNão se aplicaNão se aplicaNão se aplicaNão se aplicaPonta",Mercado_Receita!$L$2:$L$2012)+SUMIF(Mercado_Receita!$S$2:$S$2012,"44652A4AzulNão se aplicaNão se aplicaNão se aplicaNão se aplicaFora ponta",Mercado_Receita!$L$2:$L$2012)+SUMIF(Mercado_Receita!$S$2:$S$2012,"44652A4AzulNão se aplicaNão se aplicaNão se aplicaNão se aplicaIntermediário",Mercado_Receita!$L$2:$L$2012)+SUMIF(Mercado_Receita!$S$2:$S$2012,"44652A4AzulNão se aplicaNão se aplicaNão se aplicaNão se aplicaNão se aplica",Mercado_Receita!$L$2:$L$2012)</f>
        <v>22357.041000000001</v>
      </c>
      <c r="U12" s="12">
        <f t="shared" si="0"/>
        <v>263308.96999999997</v>
      </c>
      <c r="V12" s="12"/>
      <c r="W12" s="12"/>
    </row>
    <row r="13" spans="1:30" ht="11.25" customHeight="1" x14ac:dyDescent="0.25">
      <c r="A13" s="118"/>
      <c r="B13" s="118"/>
      <c r="C13" s="118"/>
      <c r="D13" s="118"/>
      <c r="E13" s="13" t="s">
        <v>58</v>
      </c>
      <c r="F13" s="13" t="s">
        <v>25</v>
      </c>
      <c r="G13" s="12" t="s">
        <v>96</v>
      </c>
      <c r="H13" s="12" t="s">
        <v>90</v>
      </c>
      <c r="I13" s="12">
        <f>SUMIF(Mercado_Receita!$S$2:$S$2012,"44317A4AzulNão se aplicaNão se aplicaAPENão se aplicaPonta",Mercado_Receita!$L$2:$L$2012)+SUMIF(Mercado_Receita!$S$2:$S$2012,"44317A4AzulNão se aplicaNão se aplicaAPENão se aplicaFora ponta",Mercado_Receita!$L$2:$L$2012)+SUMIF(Mercado_Receita!$S$2:$S$2012,"44317A4AzulNão se aplicaNão se aplicaAPENão se aplicaIntermediário",Mercado_Receita!$L$2:$L$2012)+SUMIF(Mercado_Receita!$S$2:$S$2012,"44317A4AzulNão se aplicaNão se aplicaAPENão se aplicaNão se aplica",Mercado_Receita!$L$2:$L$2012)</f>
        <v>0</v>
      </c>
      <c r="J13" s="12">
        <f>SUMIF(Mercado_Receita!$S$2:$S$2012,"44348A4AzulNão se aplicaNão se aplicaAPENão se aplicaPonta",Mercado_Receita!$L$2:$L$2012)+SUMIF(Mercado_Receita!$S$2:$S$2012,"44348A4AzulNão se aplicaNão se aplicaAPENão se aplicaFora ponta",Mercado_Receita!$L$2:$L$2012)+SUMIF(Mercado_Receita!$S$2:$S$2012,"44348A4AzulNão se aplicaNão se aplicaAPENão se aplicaIntermediário",Mercado_Receita!$L$2:$L$2012)+SUMIF(Mercado_Receita!$S$2:$S$2012,"44348A4AzulNão se aplicaNão se aplicaAPENão se aplicaNão se aplica",Mercado_Receita!$L$2:$L$2012)</f>
        <v>0</v>
      </c>
      <c r="K13" s="12">
        <f>SUMIF(Mercado_Receita!$S$2:$S$2012,"44378A4AzulNão se aplicaNão se aplicaAPENão se aplicaPonta",Mercado_Receita!$L$2:$L$2012)+SUMIF(Mercado_Receita!$S$2:$S$2012,"44378A4AzulNão se aplicaNão se aplicaAPENão se aplicaFora ponta",Mercado_Receita!$L$2:$L$2012)+SUMIF(Mercado_Receita!$S$2:$S$2012,"44378A4AzulNão se aplicaNão se aplicaAPENão se aplicaIntermediário",Mercado_Receita!$L$2:$L$2012)+SUMIF(Mercado_Receita!$S$2:$S$2012,"44378A4AzulNão se aplicaNão se aplicaAPENão se aplicaNão se aplica",Mercado_Receita!$L$2:$L$2012)</f>
        <v>0</v>
      </c>
      <c r="L13" s="12">
        <f>SUMIF(Mercado_Receita!$S$2:$S$2012,"44409A4AzulNão se aplicaNão se aplicaAPENão se aplicaPonta",Mercado_Receita!$L$2:$L$2012)+SUMIF(Mercado_Receita!$S$2:$S$2012,"44409A4AzulNão se aplicaNão se aplicaAPENão se aplicaFora ponta",Mercado_Receita!$L$2:$L$2012)+SUMIF(Mercado_Receita!$S$2:$S$2012,"44409A4AzulNão se aplicaNão se aplicaAPENão se aplicaIntermediário",Mercado_Receita!$L$2:$L$2012)+SUMIF(Mercado_Receita!$S$2:$S$2012,"44409A4AzulNão se aplicaNão se aplicaAPENão se aplicaNão se aplica",Mercado_Receita!$L$2:$L$2012)</f>
        <v>0</v>
      </c>
      <c r="M13" s="12">
        <f>SUMIF(Mercado_Receita!$S$2:$S$2012,"44440A4AzulNão se aplicaNão se aplicaAPENão se aplicaPonta",Mercado_Receita!$L$2:$L$2012)+SUMIF(Mercado_Receita!$S$2:$S$2012,"44440A4AzulNão se aplicaNão se aplicaAPENão se aplicaFora ponta",Mercado_Receita!$L$2:$L$2012)+SUMIF(Mercado_Receita!$S$2:$S$2012,"44440A4AzulNão se aplicaNão se aplicaAPENão se aplicaIntermediário",Mercado_Receita!$L$2:$L$2012)+SUMIF(Mercado_Receita!$S$2:$S$2012,"44440A4AzulNão se aplicaNão se aplicaAPENão se aplicaNão se aplica",Mercado_Receita!$L$2:$L$2012)</f>
        <v>0</v>
      </c>
      <c r="N13" s="12">
        <f>SUMIF(Mercado_Receita!$S$2:$S$2012,"44470A4AzulNão se aplicaNão se aplicaAPENão se aplicaPonta",Mercado_Receita!$L$2:$L$2012)+SUMIF(Mercado_Receita!$S$2:$S$2012,"44470A4AzulNão se aplicaNão se aplicaAPENão se aplicaFora ponta",Mercado_Receita!$L$2:$L$2012)+SUMIF(Mercado_Receita!$S$2:$S$2012,"44470A4AzulNão se aplicaNão se aplicaAPENão se aplicaIntermediário",Mercado_Receita!$L$2:$L$2012)+SUMIF(Mercado_Receita!$S$2:$S$2012,"44470A4AzulNão se aplicaNão se aplicaAPENão se aplicaNão se aplica",Mercado_Receita!$L$2:$L$2012)</f>
        <v>0</v>
      </c>
      <c r="O13" s="12">
        <f>SUMIF(Mercado_Receita!$S$2:$S$2012,"44501A4AzulNão se aplicaNão se aplicaAPENão se aplicaPonta",Mercado_Receita!$L$2:$L$2012)+SUMIF(Mercado_Receita!$S$2:$S$2012,"44501A4AzulNão se aplicaNão se aplicaAPENão se aplicaFora ponta",Mercado_Receita!$L$2:$L$2012)+SUMIF(Mercado_Receita!$S$2:$S$2012,"44501A4AzulNão se aplicaNão se aplicaAPENão se aplicaIntermediário",Mercado_Receita!$L$2:$L$2012)+SUMIF(Mercado_Receita!$S$2:$S$2012,"44501A4AzulNão se aplicaNão se aplicaAPENão se aplicaNão se aplica",Mercado_Receita!$L$2:$L$2012)</f>
        <v>0</v>
      </c>
      <c r="P13" s="12">
        <f>SUMIF(Mercado_Receita!$S$2:$S$2012,"44531A4AzulNão se aplicaNão se aplicaAPENão se aplicaPonta",Mercado_Receita!$L$2:$L$2012)+SUMIF(Mercado_Receita!$S$2:$S$2012,"44531A4AzulNão se aplicaNão se aplicaAPENão se aplicaFora ponta",Mercado_Receita!$L$2:$L$2012)+SUMIF(Mercado_Receita!$S$2:$S$2012,"44531A4AzulNão se aplicaNão se aplicaAPENão se aplicaIntermediário",Mercado_Receita!$L$2:$L$2012)+SUMIF(Mercado_Receita!$S$2:$S$2012,"44531A4AzulNão se aplicaNão se aplicaAPENão se aplicaNão se aplica",Mercado_Receita!$L$2:$L$2012)</f>
        <v>0</v>
      </c>
      <c r="Q13" s="12">
        <f>SUMIF(Mercado_Receita!$S$2:$S$2012,"44562A4AzulNão se aplicaNão se aplicaAPENão se aplicaPonta",Mercado_Receita!$L$2:$L$2012)+SUMIF(Mercado_Receita!$S$2:$S$2012,"44562A4AzulNão se aplicaNão se aplicaAPENão se aplicaFora ponta",Mercado_Receita!$L$2:$L$2012)+SUMIF(Mercado_Receita!$S$2:$S$2012,"44562A4AzulNão se aplicaNão se aplicaAPENão se aplicaIntermediário",Mercado_Receita!$L$2:$L$2012)+SUMIF(Mercado_Receita!$S$2:$S$2012,"44562A4AzulNão se aplicaNão se aplicaAPENão se aplicaNão se aplica",Mercado_Receita!$L$2:$L$2012)</f>
        <v>0</v>
      </c>
      <c r="R13" s="12">
        <f>SUMIF(Mercado_Receita!$S$2:$S$2012,"44593A4AzulNão se aplicaNão se aplicaAPENão se aplicaPonta",Mercado_Receita!$L$2:$L$2012)+SUMIF(Mercado_Receita!$S$2:$S$2012,"44593A4AzulNão se aplicaNão se aplicaAPENão se aplicaFora ponta",Mercado_Receita!$L$2:$L$2012)+SUMIF(Mercado_Receita!$S$2:$S$2012,"44593A4AzulNão se aplicaNão se aplicaAPENão se aplicaIntermediário",Mercado_Receita!$L$2:$L$2012)+SUMIF(Mercado_Receita!$S$2:$S$2012,"44593A4AzulNão se aplicaNão se aplicaAPENão se aplicaNão se aplica",Mercado_Receita!$L$2:$L$2012)</f>
        <v>0</v>
      </c>
      <c r="S13" s="12">
        <f>SUMIF(Mercado_Receita!$S$2:$S$2012,"44621A4AzulNão se aplicaNão se aplicaAPENão se aplicaPonta",Mercado_Receita!$L$2:$L$2012)+SUMIF(Mercado_Receita!$S$2:$S$2012,"44621A4AzulNão se aplicaNão se aplicaAPENão se aplicaFora ponta",Mercado_Receita!$L$2:$L$2012)+SUMIF(Mercado_Receita!$S$2:$S$2012,"44621A4AzulNão se aplicaNão se aplicaAPENão se aplicaIntermediário",Mercado_Receita!$L$2:$L$2012)+SUMIF(Mercado_Receita!$S$2:$S$2012,"44621A4AzulNão se aplicaNão se aplicaAPENão se aplicaNão se aplica",Mercado_Receita!$L$2:$L$2012)</f>
        <v>0</v>
      </c>
      <c r="T13" s="12">
        <f>SUMIF(Mercado_Receita!$S$2:$S$2012,"44652A4AzulNão se aplicaNão se aplicaAPENão se aplicaPonta",Mercado_Receita!$L$2:$L$2012)+SUMIF(Mercado_Receita!$S$2:$S$2012,"44652A4AzulNão se aplicaNão se aplicaAPENão se aplicaFora ponta",Mercado_Receita!$L$2:$L$2012)+SUMIF(Mercado_Receita!$S$2:$S$2012,"44652A4AzulNão se aplicaNão se aplicaAPENão se aplicaIntermediário",Mercado_Receita!$L$2:$L$2012)+SUMIF(Mercado_Receita!$S$2:$S$2012,"44652A4AzulNão se aplicaNão se aplicaAPENão se aplicaNão se aplica",Mercado_Receita!$L$2:$L$2012)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18"/>
      <c r="B14" s="117" t="s">
        <v>61</v>
      </c>
      <c r="C14" s="117" t="s">
        <v>25</v>
      </c>
      <c r="D14" s="117" t="s">
        <v>25</v>
      </c>
      <c r="E14" s="117" t="s">
        <v>25</v>
      </c>
      <c r="F14" s="117" t="s">
        <v>62</v>
      </c>
      <c r="G14" s="12" t="s">
        <v>94</v>
      </c>
      <c r="H14" s="12" t="s">
        <v>93</v>
      </c>
      <c r="I14" s="12">
        <f>SUMIF(Mercado_Receita!$S$2:$S$2012,"44317A4DistribuiçãoNão se aplicaNão se aplicaNão se aplicaCelpePonta",Mercado_Receita!$J$2:$J$2012)+SUMIF(Mercado_Receita!$S$2:$S$2012,"44317A4DistribuiçãoNão se aplicaNão se aplicaNão se aplicaCelpeNão se aplica",Mercado_Receita!$J$2:$J$2012)*0.72</f>
        <v>470</v>
      </c>
      <c r="J14" s="12">
        <f>SUMIF(Mercado_Receita!$S$2:$S$2012,"44348A4DistribuiçãoNão se aplicaNão se aplicaNão se aplicaCelpePonta",Mercado_Receita!$J$2:$J$2012)+SUMIF(Mercado_Receita!$S$2:$S$2012,"44348A4DistribuiçãoNão se aplicaNão se aplicaNão se aplicaCelpeNão se aplica",Mercado_Receita!$J$2:$J$2012)*0.72</f>
        <v>470</v>
      </c>
      <c r="K14" s="12">
        <f>SUMIF(Mercado_Receita!$S$2:$S$2012,"44378A4DistribuiçãoNão se aplicaNão se aplicaNão se aplicaCelpePonta",Mercado_Receita!$J$2:$J$2012)+SUMIF(Mercado_Receita!$S$2:$S$2012,"44378A4DistribuiçãoNão se aplicaNão se aplicaNão se aplicaCelpeNão se aplica",Mercado_Receita!$J$2:$J$2012)*0.72</f>
        <v>470</v>
      </c>
      <c r="L14" s="12">
        <f>SUMIF(Mercado_Receita!$S$2:$S$2012,"44409A4DistribuiçãoNão se aplicaNão se aplicaNão se aplicaCelpePonta",Mercado_Receita!$J$2:$J$2012)+SUMIF(Mercado_Receita!$S$2:$S$2012,"44409A4DistribuiçãoNão se aplicaNão se aplicaNão se aplicaCelpeNão se aplica",Mercado_Receita!$J$2:$J$2012)*0.72</f>
        <v>470</v>
      </c>
      <c r="M14" s="12">
        <f>SUMIF(Mercado_Receita!$S$2:$S$2012,"44440A4DistribuiçãoNão se aplicaNão se aplicaNão se aplicaCelpePonta",Mercado_Receita!$J$2:$J$2012)+SUMIF(Mercado_Receita!$S$2:$S$2012,"44440A4DistribuiçãoNão se aplicaNão se aplicaNão se aplicaCelpeNão se aplica",Mercado_Receita!$J$2:$J$2012)*0.72</f>
        <v>470</v>
      </c>
      <c r="N14" s="12">
        <f>SUMIF(Mercado_Receita!$S$2:$S$2012,"44470A4DistribuiçãoNão se aplicaNão se aplicaNão se aplicaCelpePonta",Mercado_Receita!$J$2:$J$2012)+SUMIF(Mercado_Receita!$S$2:$S$2012,"44470A4DistribuiçãoNão se aplicaNão se aplicaNão se aplicaCelpeNão se aplica",Mercado_Receita!$J$2:$J$2012)*0.72</f>
        <v>470</v>
      </c>
      <c r="O14" s="12">
        <f>SUMIF(Mercado_Receita!$S$2:$S$2012,"44501A4DistribuiçãoNão se aplicaNão se aplicaNão se aplicaCelpePonta",Mercado_Receita!$J$2:$J$2012)+SUMIF(Mercado_Receita!$S$2:$S$2012,"44501A4DistribuiçãoNão se aplicaNão se aplicaNão se aplicaCelpeNão se aplica",Mercado_Receita!$J$2:$J$2012)*0.72</f>
        <v>470</v>
      </c>
      <c r="P14" s="12">
        <f>SUMIF(Mercado_Receita!$S$2:$S$2012,"44531A4DistribuiçãoNão se aplicaNão se aplicaNão se aplicaCelpePonta",Mercado_Receita!$J$2:$J$2012)+SUMIF(Mercado_Receita!$S$2:$S$2012,"44531A4DistribuiçãoNão se aplicaNão se aplicaNão se aplicaCelpeNão se aplica",Mercado_Receita!$J$2:$J$2012)*0.72</f>
        <v>502</v>
      </c>
      <c r="Q14" s="12">
        <f>SUMIF(Mercado_Receita!$S$2:$S$2012,"44562A4DistribuiçãoNão se aplicaNão se aplicaNão se aplicaCelpePonta",Mercado_Receita!$J$2:$J$2012)+SUMIF(Mercado_Receita!$S$2:$S$2012,"44562A4DistribuiçãoNão se aplicaNão se aplicaNão se aplicaCelpeNão se aplica",Mercado_Receita!$J$2:$J$2012)*0.72</f>
        <v>470</v>
      </c>
      <c r="R14" s="12">
        <f>SUMIF(Mercado_Receita!$S$2:$S$2012,"44593A4DistribuiçãoNão se aplicaNão se aplicaNão se aplicaCelpePonta",Mercado_Receita!$J$2:$J$2012)+SUMIF(Mercado_Receita!$S$2:$S$2012,"44593A4DistribuiçãoNão se aplicaNão se aplicaNão se aplicaCelpeNão se aplica",Mercado_Receita!$J$2:$J$2012)*0.72</f>
        <v>479</v>
      </c>
      <c r="S14" s="12">
        <f>SUMIF(Mercado_Receita!$S$2:$S$2012,"44621A4DistribuiçãoNão se aplicaNão se aplicaNão se aplicaCelpePonta",Mercado_Receita!$J$2:$J$2012)+SUMIF(Mercado_Receita!$S$2:$S$2012,"44621A4DistribuiçãoNão se aplicaNão se aplicaNão se aplicaCelpeNão se aplica",Mercado_Receita!$J$2:$J$2012)*0.72</f>
        <v>475</v>
      </c>
      <c r="T14" s="12">
        <f>SUMIF(Mercado_Receita!$S$2:$S$2012,"44652A4DistribuiçãoNão se aplicaNão se aplicaNão se aplicaCelpePonta",Mercado_Receita!$J$2:$J$2012)+SUMIF(Mercado_Receita!$S$2:$S$2012,"44652A4DistribuiçãoNão se aplicaNão se aplicaNão se aplicaCelpeNão se aplica",Mercado_Receita!$J$2:$J$2012)*0.72</f>
        <v>475</v>
      </c>
      <c r="U14" s="12">
        <f t="shared" si="0"/>
        <v>5691</v>
      </c>
      <c r="V14" s="12"/>
      <c r="W14" s="12"/>
    </row>
    <row r="15" spans="1:30" ht="11.25" customHeight="1" x14ac:dyDescent="0.25">
      <c r="A15" s="118"/>
      <c r="B15" s="118"/>
      <c r="C15" s="118"/>
      <c r="D15" s="118"/>
      <c r="E15" s="118"/>
      <c r="F15" s="118"/>
      <c r="G15" s="12" t="s">
        <v>95</v>
      </c>
      <c r="H15" s="12" t="s">
        <v>93</v>
      </c>
      <c r="I15" s="12">
        <f>SUMIF(Mercado_Receita!$S$2:$S$2012,"44317A4DistribuiçãoNão se aplicaNão se aplicaNão se aplicaCelpeFora ponta",Mercado_Receita!$J$2:$J$2012)+SUMIF(Mercado_Receita!$S$2:$S$2012,"44317A4DistribuiçãoNão se aplicaNão se aplicaNão se aplicaCelpeNão se aplica",Mercado_Receita!$J$2:$J$2012)*1</f>
        <v>600</v>
      </c>
      <c r="J15" s="12">
        <f>SUMIF(Mercado_Receita!$S$2:$S$2012,"44348A4DistribuiçãoNão se aplicaNão se aplicaNão se aplicaCelpeFora ponta",Mercado_Receita!$J$2:$J$2012)+SUMIF(Mercado_Receita!$S$2:$S$2012,"44348A4DistribuiçãoNão se aplicaNão se aplicaNão se aplicaCelpeNão se aplica",Mercado_Receita!$J$2:$J$2012)*1</f>
        <v>600</v>
      </c>
      <c r="K15" s="12">
        <f>SUMIF(Mercado_Receita!$S$2:$S$2012,"44378A4DistribuiçãoNão se aplicaNão se aplicaNão se aplicaCelpeFora ponta",Mercado_Receita!$J$2:$J$2012)+SUMIF(Mercado_Receita!$S$2:$S$2012,"44378A4DistribuiçãoNão se aplicaNão se aplicaNão se aplicaCelpeNão se aplica",Mercado_Receita!$J$2:$J$2012)*1</f>
        <v>1196</v>
      </c>
      <c r="L15" s="12">
        <f>SUMIF(Mercado_Receita!$S$2:$S$2012,"44409A4DistribuiçãoNão se aplicaNão se aplicaNão se aplicaCelpeFora ponta",Mercado_Receita!$J$2:$J$2012)+SUMIF(Mercado_Receita!$S$2:$S$2012,"44409A4DistribuiçãoNão se aplicaNão se aplicaNão se aplicaCelpeNão se aplica",Mercado_Receita!$J$2:$J$2012)*1</f>
        <v>600</v>
      </c>
      <c r="M15" s="12">
        <f>SUMIF(Mercado_Receita!$S$2:$S$2012,"44440A4DistribuiçãoNão se aplicaNão se aplicaNão se aplicaCelpeFora ponta",Mercado_Receita!$J$2:$J$2012)+SUMIF(Mercado_Receita!$S$2:$S$2012,"44440A4DistribuiçãoNão se aplicaNão se aplicaNão se aplicaCelpeNão se aplica",Mercado_Receita!$J$2:$J$2012)*1</f>
        <v>600</v>
      </c>
      <c r="N15" s="12">
        <f>SUMIF(Mercado_Receita!$S$2:$S$2012,"44470A4DistribuiçãoNão se aplicaNão se aplicaNão se aplicaCelpeFora ponta",Mercado_Receita!$J$2:$J$2012)+SUMIF(Mercado_Receita!$S$2:$S$2012,"44470A4DistribuiçãoNão se aplicaNão se aplicaNão se aplicaCelpeNão se aplica",Mercado_Receita!$J$2:$J$2012)*1</f>
        <v>600</v>
      </c>
      <c r="O15" s="12">
        <f>SUMIF(Mercado_Receita!$S$2:$S$2012,"44501A4DistribuiçãoNão se aplicaNão se aplicaNão se aplicaCelpeFora ponta",Mercado_Receita!$J$2:$J$2012)+SUMIF(Mercado_Receita!$S$2:$S$2012,"44501A4DistribuiçãoNão se aplicaNão se aplicaNão se aplicaCelpeNão se aplica",Mercado_Receita!$J$2:$J$2012)*1</f>
        <v>600</v>
      </c>
      <c r="P15" s="12">
        <f>SUMIF(Mercado_Receita!$S$2:$S$2012,"44531A4DistribuiçãoNão se aplicaNão se aplicaNão se aplicaCelpeFora ponta",Mercado_Receita!$J$2:$J$2012)+SUMIF(Mercado_Receita!$S$2:$S$2012,"44531A4DistribuiçãoNão se aplicaNão se aplicaNão se aplicaCelpeNão se aplica",Mercado_Receita!$J$2:$J$2012)*1</f>
        <v>600</v>
      </c>
      <c r="Q15" s="12">
        <f>SUMIF(Mercado_Receita!$S$2:$S$2012,"44562A4DistribuiçãoNão se aplicaNão se aplicaNão se aplicaCelpeFora ponta",Mercado_Receita!$J$2:$J$2012)+SUMIF(Mercado_Receita!$S$2:$S$2012,"44562A4DistribuiçãoNão se aplicaNão se aplicaNão se aplicaCelpeNão se aplica",Mercado_Receita!$J$2:$J$2012)*1</f>
        <v>600</v>
      </c>
      <c r="R15" s="12">
        <f>SUMIF(Mercado_Receita!$S$2:$S$2012,"44593A4DistribuiçãoNão se aplicaNão se aplicaNão se aplicaCelpeFora ponta",Mercado_Receita!$J$2:$J$2012)+SUMIF(Mercado_Receita!$S$2:$S$2012,"44593A4DistribuiçãoNão se aplicaNão se aplicaNão se aplicaCelpeNão se aplica",Mercado_Receita!$J$2:$J$2012)*1</f>
        <v>600</v>
      </c>
      <c r="S15" s="12">
        <f>SUMIF(Mercado_Receita!$S$2:$S$2012,"44621A4DistribuiçãoNão se aplicaNão se aplicaNão se aplicaCelpeFora ponta",Mercado_Receita!$J$2:$J$2012)+SUMIF(Mercado_Receita!$S$2:$S$2012,"44621A4DistribuiçãoNão se aplicaNão se aplicaNão se aplicaCelpeNão se aplica",Mercado_Receita!$J$2:$J$2012)*1</f>
        <v>600</v>
      </c>
      <c r="T15" s="12">
        <f>SUMIF(Mercado_Receita!$S$2:$S$2012,"44652A4DistribuiçãoNão se aplicaNão se aplicaNão se aplicaCelpeFora ponta",Mercado_Receita!$J$2:$J$2012)+SUMIF(Mercado_Receita!$S$2:$S$2012,"44652A4DistribuiçãoNão se aplicaNão se aplicaNão se aplicaCelpeNão se aplica",Mercado_Receita!$J$2:$J$2012)*1</f>
        <v>600</v>
      </c>
      <c r="U15" s="12">
        <f t="shared" si="0"/>
        <v>7796</v>
      </c>
      <c r="V15" s="12"/>
      <c r="W15" s="12"/>
    </row>
    <row r="16" spans="1:30" ht="11.25" customHeight="1" x14ac:dyDescent="0.25">
      <c r="A16" s="118"/>
      <c r="B16" s="118"/>
      <c r="C16" s="118"/>
      <c r="D16" s="118"/>
      <c r="E16" s="118"/>
      <c r="F16" s="118"/>
      <c r="G16" s="12" t="s">
        <v>96</v>
      </c>
      <c r="H16" s="12" t="s">
        <v>90</v>
      </c>
      <c r="I16" s="12">
        <f>IF((I14+I15)&lt;&gt;0,SUMIF(Mercado_Receita!$S$2:$S$2012,"44317A4DistribuiçãoNão se aplicaNão se aplicaNão se aplicaCelpePonta",Mercado_Receita!$L$2:$L$2012)+SUMIF(Mercado_Receita!$S$2:$S$2012,"44317A4DistribuiçãoNão se aplicaNão se aplicaNão se aplicaCelpeFora ponta",Mercado_Receita!$L$2:$L$2012)+SUMIF(Mercado_Receita!$S$2:$S$2012,"44317A4DistribuiçãoNão se aplicaNão se aplicaNão se aplicaCelpeIntermediário",Mercado_Receita!$L$2:$L$2012)+SUMIF(Mercado_Receita!$S$2:$S$2012,"44317A4DistribuiçãoNão se aplicaNão se aplicaNão se aplicaCelpeNão se aplica",Mercado_Receita!$L$2:$L$2012),0)</f>
        <v>237.31200000000001</v>
      </c>
      <c r="J16" s="12">
        <f>IF((J14+J15)&lt;&gt;0,SUMIF(Mercado_Receita!$S$2:$S$2012,"44348A4DistribuiçãoNão se aplicaNão se aplicaNão se aplicaCelpePonta",Mercado_Receita!$L$2:$L$2012)+SUMIF(Mercado_Receita!$S$2:$S$2012,"44348A4DistribuiçãoNão se aplicaNão se aplicaNão se aplicaCelpeFora ponta",Mercado_Receita!$L$2:$L$2012)+SUMIF(Mercado_Receita!$S$2:$S$2012,"44348A4DistribuiçãoNão se aplicaNão se aplicaNão se aplicaCelpeIntermediário",Mercado_Receita!$L$2:$L$2012)+SUMIF(Mercado_Receita!$S$2:$S$2012,"44348A4DistribuiçãoNão se aplicaNão se aplicaNão se aplicaCelpeNão se aplica",Mercado_Receita!$L$2:$L$2012),0)</f>
        <v>216.12200000000001</v>
      </c>
      <c r="K16" s="12">
        <f>IF((K14+K15)&lt;&gt;0,SUMIF(Mercado_Receita!$S$2:$S$2012,"44378A4DistribuiçãoNão se aplicaNão se aplicaNão se aplicaCelpePonta",Mercado_Receita!$L$2:$L$2012)+SUMIF(Mercado_Receita!$S$2:$S$2012,"44378A4DistribuiçãoNão se aplicaNão se aplicaNão se aplicaCelpeFora ponta",Mercado_Receita!$L$2:$L$2012)+SUMIF(Mercado_Receita!$S$2:$S$2012,"44378A4DistribuiçãoNão se aplicaNão se aplicaNão se aplicaCelpeIntermediário",Mercado_Receita!$L$2:$L$2012)+SUMIF(Mercado_Receita!$S$2:$S$2012,"44378A4DistribuiçãoNão se aplicaNão se aplicaNão se aplicaCelpeNão se aplica",Mercado_Receita!$L$2:$L$2012),0)</f>
        <v>221.47499999999999</v>
      </c>
      <c r="L16" s="12">
        <f>IF((L14+L15)&lt;&gt;0,SUMIF(Mercado_Receita!$S$2:$S$2012,"44409A4DistribuiçãoNão se aplicaNão se aplicaNão se aplicaCelpePonta",Mercado_Receita!$L$2:$L$2012)+SUMIF(Mercado_Receita!$S$2:$S$2012,"44409A4DistribuiçãoNão se aplicaNão se aplicaNão se aplicaCelpeFora ponta",Mercado_Receita!$L$2:$L$2012)+SUMIF(Mercado_Receita!$S$2:$S$2012,"44409A4DistribuiçãoNão se aplicaNão se aplicaNão se aplicaCelpeIntermediário",Mercado_Receita!$L$2:$L$2012)+SUMIF(Mercado_Receita!$S$2:$S$2012,"44409A4DistribuiçãoNão se aplicaNão se aplicaNão se aplicaCelpeNão se aplica",Mercado_Receita!$L$2:$L$2012),0)</f>
        <v>217.27799999999999</v>
      </c>
      <c r="M16" s="12">
        <f>IF((M14+M15)&lt;&gt;0,SUMIF(Mercado_Receita!$S$2:$S$2012,"44440A4DistribuiçãoNão se aplicaNão se aplicaNão se aplicaCelpePonta",Mercado_Receita!$L$2:$L$2012)+SUMIF(Mercado_Receita!$S$2:$S$2012,"44440A4DistribuiçãoNão se aplicaNão se aplicaNão se aplicaCelpeFora ponta",Mercado_Receita!$L$2:$L$2012)+SUMIF(Mercado_Receita!$S$2:$S$2012,"44440A4DistribuiçãoNão se aplicaNão se aplicaNão se aplicaCelpeIntermediário",Mercado_Receita!$L$2:$L$2012)+SUMIF(Mercado_Receita!$S$2:$S$2012,"44440A4DistribuiçãoNão se aplicaNão se aplicaNão se aplicaCelpeNão se aplica",Mercado_Receita!$L$2:$L$2012),0)</f>
        <v>219.21600000000001</v>
      </c>
      <c r="N16" s="12">
        <f>IF((N14+N15)&lt;&gt;0,SUMIF(Mercado_Receita!$S$2:$S$2012,"44470A4DistribuiçãoNão se aplicaNão se aplicaNão se aplicaCelpePonta",Mercado_Receita!$L$2:$L$2012)+SUMIF(Mercado_Receita!$S$2:$S$2012,"44470A4DistribuiçãoNão se aplicaNão se aplicaNão se aplicaCelpeFora ponta",Mercado_Receita!$L$2:$L$2012)+SUMIF(Mercado_Receita!$S$2:$S$2012,"44470A4DistribuiçãoNão se aplicaNão se aplicaNão se aplicaCelpeIntermediário",Mercado_Receita!$L$2:$L$2012)+SUMIF(Mercado_Receita!$S$2:$S$2012,"44470A4DistribuiçãoNão se aplicaNão se aplicaNão se aplicaCelpeNão se aplica",Mercado_Receita!$L$2:$L$2012),0)</f>
        <v>241.21199999999999</v>
      </c>
      <c r="O16" s="12">
        <f>IF((O14+O15)&lt;&gt;0,SUMIF(Mercado_Receita!$S$2:$S$2012,"44501A4DistribuiçãoNão se aplicaNão se aplicaNão se aplicaCelpePonta",Mercado_Receita!$L$2:$L$2012)+SUMIF(Mercado_Receita!$S$2:$S$2012,"44501A4DistribuiçãoNão se aplicaNão se aplicaNão se aplicaCelpeFora ponta",Mercado_Receita!$L$2:$L$2012)+SUMIF(Mercado_Receita!$S$2:$S$2012,"44501A4DistribuiçãoNão se aplicaNão se aplicaNão se aplicaCelpeIntermediário",Mercado_Receita!$L$2:$L$2012)+SUMIF(Mercado_Receita!$S$2:$S$2012,"44501A4DistribuiçãoNão se aplicaNão se aplicaNão se aplicaCelpeNão se aplica",Mercado_Receita!$L$2:$L$2012),0)</f>
        <v>250.42400000000001</v>
      </c>
      <c r="P16" s="12">
        <f>IF((P14+P15)&lt;&gt;0,SUMIF(Mercado_Receita!$S$2:$S$2012,"44531A4DistribuiçãoNão se aplicaNão se aplicaNão se aplicaCelpePonta",Mercado_Receita!$L$2:$L$2012)+SUMIF(Mercado_Receita!$S$2:$S$2012,"44531A4DistribuiçãoNão se aplicaNão se aplicaNão se aplicaCelpeFora ponta",Mercado_Receita!$L$2:$L$2012)+SUMIF(Mercado_Receita!$S$2:$S$2012,"44531A4DistribuiçãoNão se aplicaNão se aplicaNão se aplicaCelpeIntermediário",Mercado_Receita!$L$2:$L$2012)+SUMIF(Mercado_Receita!$S$2:$S$2012,"44531A4DistribuiçãoNão se aplicaNão se aplicaNão se aplicaCelpeNão se aplica",Mercado_Receita!$L$2:$L$2012),0)</f>
        <v>261.13099999999997</v>
      </c>
      <c r="Q16" s="12">
        <f>IF((Q14+Q15)&lt;&gt;0,SUMIF(Mercado_Receita!$S$2:$S$2012,"44562A4DistribuiçãoNão se aplicaNão se aplicaNão se aplicaCelpePonta",Mercado_Receita!$L$2:$L$2012)+SUMIF(Mercado_Receita!$S$2:$S$2012,"44562A4DistribuiçãoNão se aplicaNão se aplicaNão se aplicaCelpeFora ponta",Mercado_Receita!$L$2:$L$2012)+SUMIF(Mercado_Receita!$S$2:$S$2012,"44562A4DistribuiçãoNão se aplicaNão se aplicaNão se aplicaCelpeIntermediário",Mercado_Receita!$L$2:$L$2012)+SUMIF(Mercado_Receita!$S$2:$S$2012,"44562A4DistribuiçãoNão se aplicaNão se aplicaNão se aplicaCelpeNão se aplica",Mercado_Receita!$L$2:$L$2012),0)</f>
        <v>253.48</v>
      </c>
      <c r="R16" s="12">
        <f>IF((R14+R15)&lt;&gt;0,SUMIF(Mercado_Receita!$S$2:$S$2012,"44593A4DistribuiçãoNão se aplicaNão se aplicaNão se aplicaCelpePonta",Mercado_Receita!$L$2:$L$2012)+SUMIF(Mercado_Receita!$S$2:$S$2012,"44593A4DistribuiçãoNão se aplicaNão se aplicaNão se aplicaCelpeFora ponta",Mercado_Receita!$L$2:$L$2012)+SUMIF(Mercado_Receita!$S$2:$S$2012,"44593A4DistribuiçãoNão se aplicaNão se aplicaNão se aplicaCelpeIntermediário",Mercado_Receita!$L$2:$L$2012)+SUMIF(Mercado_Receita!$S$2:$S$2012,"44593A4DistribuiçãoNão se aplicaNão se aplicaNão se aplicaCelpeNão se aplica",Mercado_Receita!$L$2:$L$2012),0)</f>
        <v>243.672</v>
      </c>
      <c r="S16" s="12">
        <f>IF((S14+S15)&lt;&gt;0,SUMIF(Mercado_Receita!$S$2:$S$2012,"44621A4DistribuiçãoNão se aplicaNão se aplicaNão se aplicaCelpePonta",Mercado_Receita!$L$2:$L$2012)+SUMIF(Mercado_Receita!$S$2:$S$2012,"44621A4DistribuiçãoNão se aplicaNão se aplicaNão se aplicaCelpeFora ponta",Mercado_Receita!$L$2:$L$2012)+SUMIF(Mercado_Receita!$S$2:$S$2012,"44621A4DistribuiçãoNão se aplicaNão se aplicaNão se aplicaCelpeIntermediário",Mercado_Receita!$L$2:$L$2012)+SUMIF(Mercado_Receita!$S$2:$S$2012,"44621A4DistribuiçãoNão se aplicaNão se aplicaNão se aplicaCelpeNão se aplica",Mercado_Receita!$L$2:$L$2012),0)</f>
        <v>259.66199999999998</v>
      </c>
      <c r="T16" s="12">
        <f>IF((T14+T15)&lt;&gt;0,SUMIF(Mercado_Receita!$S$2:$S$2012,"44652A4DistribuiçãoNão se aplicaNão se aplicaNão se aplicaCelpePonta",Mercado_Receita!$L$2:$L$2012)+SUMIF(Mercado_Receita!$S$2:$S$2012,"44652A4DistribuiçãoNão se aplicaNão se aplicaNão se aplicaCelpeFora ponta",Mercado_Receita!$L$2:$L$2012)+SUMIF(Mercado_Receita!$S$2:$S$2012,"44652A4DistribuiçãoNão se aplicaNão se aplicaNão se aplicaCelpeIntermediário",Mercado_Receita!$L$2:$L$2012)+SUMIF(Mercado_Receita!$S$2:$S$2012,"44652A4DistribuiçãoNão se aplicaNão se aplicaNão se aplicaCelpeNão se aplica",Mercado_Receita!$L$2:$L$2012),0)</f>
        <v>259.66199999999998</v>
      </c>
      <c r="U16" s="12">
        <f t="shared" si="0"/>
        <v>2880.6459999999997</v>
      </c>
      <c r="V16" s="12"/>
      <c r="W16" s="12"/>
    </row>
    <row r="17" spans="1:23" ht="11.25" customHeight="1" x14ac:dyDescent="0.25">
      <c r="A17" s="118"/>
      <c r="B17" s="13" t="s">
        <v>64</v>
      </c>
      <c r="C17" s="13" t="s">
        <v>25</v>
      </c>
      <c r="D17" s="13" t="s">
        <v>25</v>
      </c>
      <c r="E17" s="13" t="s">
        <v>25</v>
      </c>
      <c r="F17" s="13" t="s">
        <v>25</v>
      </c>
      <c r="G17" s="12" t="s">
        <v>9</v>
      </c>
      <c r="H17" s="12" t="s">
        <v>93</v>
      </c>
      <c r="I17" s="12">
        <f>SUMIF(Mercado_Receita!$S$2:$S$2012,"44317A4GeraçãoNão se aplicaNão se aplicaNão se aplicaNão se aplicaNão se aplica",Mercado_Receita!$J$2:$J$2012)+SUMIF(Mercado_Receita!$S$2:$S$2012,"44317A4GeraçãoNão se aplicaNão se aplicaAPENão se aplicaNão se aplica",Mercado_Receita!$J$2:$J$2012)</f>
        <v>3178</v>
      </c>
      <c r="J17" s="12">
        <f>SUMIF(Mercado_Receita!$S$2:$S$2012,"44348A4GeraçãoNão se aplicaNão se aplicaNão se aplicaNão se aplicaNão se aplica",Mercado_Receita!$J$2:$J$2012)+SUMIF(Mercado_Receita!$S$2:$S$2012,"44348A4GeraçãoNão se aplicaNão se aplicaAPENão se aplicaNão se aplica",Mercado_Receita!$J$2:$J$2012)</f>
        <v>3247</v>
      </c>
      <c r="K17" s="12">
        <f>SUMIF(Mercado_Receita!$S$2:$S$2012,"44378A4GeraçãoNão se aplicaNão se aplicaNão se aplicaNão se aplicaNão se aplica",Mercado_Receita!$J$2:$J$2012)+SUMIF(Mercado_Receita!$S$2:$S$2012,"44378A4GeraçãoNão se aplicaNão se aplicaAPENão se aplicaNão se aplica",Mercado_Receita!$J$2:$J$2012)</f>
        <v>3221</v>
      </c>
      <c r="L17" s="12">
        <f>SUMIF(Mercado_Receita!$S$2:$S$2012,"44409A4GeraçãoNão se aplicaNão se aplicaNão se aplicaNão se aplicaNão se aplica",Mercado_Receita!$J$2:$J$2012)+SUMIF(Mercado_Receita!$S$2:$S$2012,"44409A4GeraçãoNão se aplicaNão se aplicaAPENão se aplicaNão se aplica",Mercado_Receita!$J$2:$J$2012)</f>
        <v>3158</v>
      </c>
      <c r="M17" s="12">
        <f>SUMIF(Mercado_Receita!$S$2:$S$2012,"44440A4GeraçãoNão se aplicaNão se aplicaNão se aplicaNão se aplicaNão se aplica",Mercado_Receita!$J$2:$J$2012)+SUMIF(Mercado_Receita!$S$2:$S$2012,"44440A4GeraçãoNão se aplicaNão se aplicaAPENão se aplicaNão se aplica",Mercado_Receita!$J$2:$J$2012)</f>
        <v>4146</v>
      </c>
      <c r="N17" s="12">
        <f>SUMIF(Mercado_Receita!$S$2:$S$2012,"44470A4GeraçãoNão se aplicaNão se aplicaNão se aplicaNão se aplicaNão se aplica",Mercado_Receita!$J$2:$J$2012)+SUMIF(Mercado_Receita!$S$2:$S$2012,"44470A4GeraçãoNão se aplicaNão se aplicaAPENão se aplicaNão se aplica",Mercado_Receita!$J$2:$J$2012)</f>
        <v>3417</v>
      </c>
      <c r="O17" s="12">
        <f>SUMIF(Mercado_Receita!$S$2:$S$2012,"44501A4GeraçãoNão se aplicaNão se aplicaNão se aplicaNão se aplicaNão se aplica",Mercado_Receita!$J$2:$J$2012)+SUMIF(Mercado_Receita!$S$2:$S$2012,"44501A4GeraçãoNão se aplicaNão se aplicaAPENão se aplicaNão se aplica",Mercado_Receita!$J$2:$J$2012)</f>
        <v>3012</v>
      </c>
      <c r="P17" s="12">
        <f>SUMIF(Mercado_Receita!$S$2:$S$2012,"44531A4GeraçãoNão se aplicaNão se aplicaNão se aplicaNão se aplicaNão se aplica",Mercado_Receita!$J$2:$J$2012)+SUMIF(Mercado_Receita!$S$2:$S$2012,"44531A4GeraçãoNão se aplicaNão se aplicaAPENão se aplicaNão se aplica",Mercado_Receita!$J$2:$J$2012)</f>
        <v>3129</v>
      </c>
      <c r="Q17" s="12">
        <f>SUMIF(Mercado_Receita!$S$2:$S$2012,"44562A4GeraçãoNão se aplicaNão se aplicaNão se aplicaNão se aplicaNão se aplica",Mercado_Receita!$J$2:$J$2012)+SUMIF(Mercado_Receita!$S$2:$S$2012,"44562A4GeraçãoNão se aplicaNão se aplicaAPENão se aplicaNão se aplica",Mercado_Receita!$J$2:$J$2012)</f>
        <v>3031</v>
      </c>
      <c r="R17" s="12">
        <f>SUMIF(Mercado_Receita!$S$2:$S$2012,"44593A4GeraçãoNão se aplicaNão se aplicaNão se aplicaNão se aplicaNão se aplica",Mercado_Receita!$J$2:$J$2012)+SUMIF(Mercado_Receita!$S$2:$S$2012,"44593A4GeraçãoNão se aplicaNão se aplicaAPENão se aplicaNão se aplica",Mercado_Receita!$J$2:$J$2012)</f>
        <v>2857</v>
      </c>
      <c r="S17" s="12">
        <f>SUMIF(Mercado_Receita!$S$2:$S$2012,"44621A4GeraçãoNão se aplicaNão se aplicaNão se aplicaNão se aplicaNão se aplica",Mercado_Receita!$J$2:$J$2012)+SUMIF(Mercado_Receita!$S$2:$S$2012,"44621A4GeraçãoNão se aplicaNão se aplicaAPENão se aplicaNão se aplica",Mercado_Receita!$J$2:$J$2012)</f>
        <v>2871</v>
      </c>
      <c r="T17" s="12">
        <f>SUMIF(Mercado_Receita!$S$2:$S$2012,"44652A4GeraçãoNão se aplicaNão se aplicaNão se aplicaNão se aplicaNão se aplica",Mercado_Receita!$J$2:$J$2012)+SUMIF(Mercado_Receita!$S$2:$S$2012,"44652A4GeraçãoNão se aplicaNão se aplicaAPENão se aplicaNão se aplica",Mercado_Receita!$J$2:$J$2012)</f>
        <v>2871</v>
      </c>
      <c r="U17" s="12">
        <f t="shared" si="0"/>
        <v>38138</v>
      </c>
      <c r="V17" s="12"/>
      <c r="W17" s="12"/>
    </row>
    <row r="18" spans="1:23" ht="11.25" customHeight="1" x14ac:dyDescent="0.25">
      <c r="A18" s="118"/>
      <c r="B18" s="117" t="s">
        <v>34</v>
      </c>
      <c r="C18" s="117" t="s">
        <v>25</v>
      </c>
      <c r="D18" s="117" t="s">
        <v>25</v>
      </c>
      <c r="E18" s="117" t="s">
        <v>25</v>
      </c>
      <c r="F18" s="117" t="s">
        <v>25</v>
      </c>
      <c r="G18" s="12" t="s">
        <v>9</v>
      </c>
      <c r="H18" s="12" t="s">
        <v>93</v>
      </c>
      <c r="I18" s="12">
        <f>SUMIF(Mercado_Receita!$S$2:$S$2012,"44317A4VerdeNão se aplicaNão se aplicaNão se aplicaNão se aplicaNão se aplica",Mercado_Receita!$J$2:$J$2012)+SUMIF(Mercado_Receita!$S$2:$S$2012,"44317A4VerdeNão se aplicaNão se aplicaAPENão se aplicaNão se aplica",Mercado_Receita!$J$2:$J$2012)</f>
        <v>259924</v>
      </c>
      <c r="J18" s="12">
        <f>SUMIF(Mercado_Receita!$S$2:$S$2012,"44348A4VerdeNão se aplicaNão se aplicaNão se aplicaNão se aplicaNão se aplica",Mercado_Receita!$J$2:$J$2012)+SUMIF(Mercado_Receita!$S$2:$S$2012,"44348A4VerdeNão se aplicaNão se aplicaAPENão se aplicaNão se aplica",Mercado_Receita!$J$2:$J$2012)</f>
        <v>257031</v>
      </c>
      <c r="K18" s="12">
        <f>SUMIF(Mercado_Receita!$S$2:$S$2012,"44378A4VerdeNão se aplicaNão se aplicaNão se aplicaNão se aplicaNão se aplica",Mercado_Receita!$J$2:$J$2012)+SUMIF(Mercado_Receita!$S$2:$S$2012,"44378A4VerdeNão se aplicaNão se aplicaAPENão se aplicaNão se aplica",Mercado_Receita!$J$2:$J$2012)</f>
        <v>248913</v>
      </c>
      <c r="L18" s="12">
        <f>SUMIF(Mercado_Receita!$S$2:$S$2012,"44409A4VerdeNão se aplicaNão se aplicaNão se aplicaNão se aplicaNão se aplica",Mercado_Receita!$J$2:$J$2012)+SUMIF(Mercado_Receita!$S$2:$S$2012,"44409A4VerdeNão se aplicaNão se aplicaAPENão se aplicaNão se aplica",Mercado_Receita!$J$2:$J$2012)</f>
        <v>273614</v>
      </c>
      <c r="M18" s="12">
        <f>SUMIF(Mercado_Receita!$S$2:$S$2012,"44440A4VerdeNão se aplicaNão se aplicaNão se aplicaNão se aplicaNão se aplica",Mercado_Receita!$J$2:$J$2012)+SUMIF(Mercado_Receita!$S$2:$S$2012,"44440A4VerdeNão se aplicaNão se aplicaAPENão se aplicaNão se aplica",Mercado_Receita!$J$2:$J$2012)</f>
        <v>280901</v>
      </c>
      <c r="N18" s="12">
        <f>SUMIF(Mercado_Receita!$S$2:$S$2012,"44470A4VerdeNão se aplicaNão se aplicaNão se aplicaNão se aplicaNão se aplica",Mercado_Receita!$J$2:$J$2012)+SUMIF(Mercado_Receita!$S$2:$S$2012,"44470A4VerdeNão se aplicaNão se aplicaAPENão se aplicaNão se aplica",Mercado_Receita!$J$2:$J$2012)</f>
        <v>291848</v>
      </c>
      <c r="O18" s="12">
        <f>SUMIF(Mercado_Receita!$S$2:$S$2012,"44501A4VerdeNão se aplicaNão se aplicaNão se aplicaNão se aplicaNão se aplica",Mercado_Receita!$J$2:$J$2012)+SUMIF(Mercado_Receita!$S$2:$S$2012,"44501A4VerdeNão se aplicaNão se aplicaAPENão se aplicaNão se aplica",Mercado_Receita!$J$2:$J$2012)</f>
        <v>298058</v>
      </c>
      <c r="P18" s="12">
        <f>SUMIF(Mercado_Receita!$S$2:$S$2012,"44531A4VerdeNão se aplicaNão se aplicaNão se aplicaNão se aplicaNão se aplica",Mercado_Receita!$J$2:$J$2012)+SUMIF(Mercado_Receita!$S$2:$S$2012,"44531A4VerdeNão se aplicaNão se aplicaAPENão se aplicaNão se aplica",Mercado_Receita!$J$2:$J$2012)</f>
        <v>291757</v>
      </c>
      <c r="Q18" s="12">
        <f>SUMIF(Mercado_Receita!$S$2:$S$2012,"44562A4VerdeNão se aplicaNão se aplicaNão se aplicaNão se aplicaNão se aplica",Mercado_Receita!$J$2:$J$2012)+SUMIF(Mercado_Receita!$S$2:$S$2012,"44562A4VerdeNão se aplicaNão se aplicaAPENão se aplicaNão se aplica",Mercado_Receita!$J$2:$J$2012)</f>
        <v>293459</v>
      </c>
      <c r="R18" s="12">
        <f>SUMIF(Mercado_Receita!$S$2:$S$2012,"44593A4VerdeNão se aplicaNão se aplicaNão se aplicaNão se aplicaNão se aplica",Mercado_Receita!$J$2:$J$2012)+SUMIF(Mercado_Receita!$S$2:$S$2012,"44593A4VerdeNão se aplicaNão se aplicaAPENão se aplicaNão se aplica",Mercado_Receita!$J$2:$J$2012)</f>
        <v>295337</v>
      </c>
      <c r="S18" s="12">
        <f>SUMIF(Mercado_Receita!$S$2:$S$2012,"44621A4VerdeNão se aplicaNão se aplicaNão se aplicaNão se aplicaNão se aplica",Mercado_Receita!$J$2:$J$2012)+SUMIF(Mercado_Receita!$S$2:$S$2012,"44621A4VerdeNão se aplicaNão se aplicaAPENão se aplicaNão se aplica",Mercado_Receita!$J$2:$J$2012)</f>
        <v>299649</v>
      </c>
      <c r="T18" s="12">
        <f>SUMIF(Mercado_Receita!$S$2:$S$2012,"44652A4VerdeNão se aplicaNão se aplicaNão se aplicaNão se aplicaNão se aplica",Mercado_Receita!$J$2:$J$2012)+SUMIF(Mercado_Receita!$S$2:$S$2012,"44652A4VerdeNão se aplicaNão se aplicaAPENão se aplicaNão se aplica",Mercado_Receita!$J$2:$J$2012)</f>
        <v>299649</v>
      </c>
      <c r="U18" s="12">
        <f t="shared" si="0"/>
        <v>3390140</v>
      </c>
      <c r="V18" s="12"/>
      <c r="W18" s="12"/>
    </row>
    <row r="19" spans="1:23" ht="11.25" customHeight="1" x14ac:dyDescent="0.25">
      <c r="A19" s="118"/>
      <c r="B19" s="118"/>
      <c r="C19" s="118"/>
      <c r="D19" s="118"/>
      <c r="E19" s="118"/>
      <c r="F19" s="118"/>
      <c r="G19" s="12" t="s">
        <v>91</v>
      </c>
      <c r="H19" s="12" t="s">
        <v>90</v>
      </c>
      <c r="I19" s="12">
        <f>SUMIF(Mercado_Receita!$S$2:$S$2012,"44317A4VerdeNão se aplicaNão se aplicaNão se aplicaNão se aplicaPonta",Mercado_Receita!$L$2:$L$2012)</f>
        <v>3975.8980000000006</v>
      </c>
      <c r="J19" s="12">
        <f>SUMIF(Mercado_Receita!$S$2:$S$2012,"44348A4VerdeNão se aplicaNão se aplicaNão se aplicaNão se aplicaPonta",Mercado_Receita!$L$2:$L$2012)</f>
        <v>3758.5389999999998</v>
      </c>
      <c r="K19" s="12">
        <f>SUMIF(Mercado_Receita!$S$2:$S$2012,"44378A4VerdeNão se aplicaNão se aplicaNão se aplicaNão se aplicaPonta",Mercado_Receita!$L$2:$L$2012)</f>
        <v>4041.5319999999997</v>
      </c>
      <c r="L19" s="12">
        <f>SUMIF(Mercado_Receita!$S$2:$S$2012,"44409A4VerdeNão se aplicaNão se aplicaNão se aplicaNão se aplicaPonta",Mercado_Receita!$L$2:$L$2012)</f>
        <v>4071.5989999999997</v>
      </c>
      <c r="M19" s="12">
        <f>SUMIF(Mercado_Receita!$S$2:$S$2012,"44440A4VerdeNão se aplicaNão se aplicaNão se aplicaNão se aplicaPonta",Mercado_Receita!$L$2:$L$2012)</f>
        <v>4000.8960000000002</v>
      </c>
      <c r="N19" s="12">
        <f>SUMIF(Mercado_Receita!$S$2:$S$2012,"44470A4VerdeNão se aplicaNão se aplicaNão se aplicaNão se aplicaPonta",Mercado_Receita!$L$2:$L$2012)</f>
        <v>3988.0479999999998</v>
      </c>
      <c r="O19" s="12">
        <f>SUMIF(Mercado_Receita!$S$2:$S$2012,"44501A4VerdeNão se aplicaNão se aplicaNão se aplicaNão se aplicaPonta",Mercado_Receita!$L$2:$L$2012)</f>
        <v>4462.1219999999985</v>
      </c>
      <c r="P19" s="12">
        <f>SUMIF(Mercado_Receita!$S$2:$S$2012,"44531A4VerdeNão se aplicaNão se aplicaNão se aplicaNão se aplicaPonta",Mercado_Receita!$L$2:$L$2012)</f>
        <v>3949.4720000000011</v>
      </c>
      <c r="Q19" s="12">
        <f>SUMIF(Mercado_Receita!$S$2:$S$2012,"44562A4VerdeNão se aplicaNão se aplicaNão se aplicaNão se aplicaPonta",Mercado_Receita!$L$2:$L$2012)</f>
        <v>4021.7959999999998</v>
      </c>
      <c r="R19" s="12">
        <f>SUMIF(Mercado_Receita!$S$2:$S$2012,"44593A4VerdeNão se aplicaNão se aplicaNão se aplicaNão se aplicaPonta",Mercado_Receita!$L$2:$L$2012)</f>
        <v>3964.8709999999996</v>
      </c>
      <c r="S19" s="12">
        <f>SUMIF(Mercado_Receita!$S$2:$S$2012,"44621A4VerdeNão se aplicaNão se aplicaNão se aplicaNão se aplicaPonta",Mercado_Receita!$L$2:$L$2012)</f>
        <v>4387.5749999999998</v>
      </c>
      <c r="T19" s="12">
        <f>SUMIF(Mercado_Receita!$S$2:$S$2012,"44652A4VerdeNão se aplicaNão se aplicaNão se aplicaNão se aplicaPonta",Mercado_Receita!$L$2:$L$2012)</f>
        <v>4387.5749999999998</v>
      </c>
      <c r="U19" s="12">
        <f t="shared" si="0"/>
        <v>49009.922999999995</v>
      </c>
      <c r="V19" s="12"/>
      <c r="W19" s="12"/>
    </row>
    <row r="20" spans="1:23" ht="11.25" customHeight="1" x14ac:dyDescent="0.25">
      <c r="A20" s="118"/>
      <c r="B20" s="118"/>
      <c r="C20" s="118"/>
      <c r="D20" s="118"/>
      <c r="E20" s="118"/>
      <c r="F20" s="118"/>
      <c r="G20" s="12" t="s">
        <v>92</v>
      </c>
      <c r="H20" s="12" t="s">
        <v>90</v>
      </c>
      <c r="I20" s="12">
        <f>SUMIF(Mercado_Receita!$S$2:$S$2012,"44317A4VerdeNão se aplicaNão se aplicaNão se aplicaNão se aplicaFora ponta",Mercado_Receita!$L$2:$L$2012)</f>
        <v>53596.196000000011</v>
      </c>
      <c r="J20" s="12">
        <f>SUMIF(Mercado_Receita!$S$2:$S$2012,"44348A4VerdeNão se aplicaNão se aplicaNão se aplicaNão se aplicaFora ponta",Mercado_Receita!$L$2:$L$2012)</f>
        <v>49622.577000000012</v>
      </c>
      <c r="K20" s="12">
        <f>SUMIF(Mercado_Receita!$S$2:$S$2012,"44378A4VerdeNão se aplicaNão se aplicaNão se aplicaNão se aplicaFora ponta",Mercado_Receita!$L$2:$L$2012)</f>
        <v>52610.717000000004</v>
      </c>
      <c r="L20" s="12">
        <f>SUMIF(Mercado_Receita!$S$2:$S$2012,"44409A4VerdeNão se aplicaNão se aplicaNão se aplicaNão se aplicaFora ponta",Mercado_Receita!$L$2:$L$2012)</f>
        <v>52170.166999999994</v>
      </c>
      <c r="M20" s="12">
        <f>SUMIF(Mercado_Receita!$S$2:$S$2012,"44440A4VerdeNão se aplicaNão se aplicaNão se aplicaNão se aplicaFora ponta",Mercado_Receita!$L$2:$L$2012)</f>
        <v>53946.192000000003</v>
      </c>
      <c r="N20" s="12">
        <f>SUMIF(Mercado_Receita!$S$2:$S$2012,"44470A4VerdeNão se aplicaNão se aplicaNão se aplicaNão se aplicaFora ponta",Mercado_Receita!$L$2:$L$2012)</f>
        <v>60308.231</v>
      </c>
      <c r="O20" s="12">
        <f>SUMIF(Mercado_Receita!$S$2:$S$2012,"44501A4VerdeNão se aplicaNão se aplicaNão se aplicaNão se aplicaFora ponta",Mercado_Receita!$L$2:$L$2012)</f>
        <v>65623.500999999975</v>
      </c>
      <c r="P20" s="12">
        <f>SUMIF(Mercado_Receita!$S$2:$S$2012,"44531A4VerdeNão se aplicaNão se aplicaNão se aplicaNão se aplicaFora ponta",Mercado_Receita!$L$2:$L$2012)</f>
        <v>56309.495000000003</v>
      </c>
      <c r="Q20" s="12">
        <f>SUMIF(Mercado_Receita!$S$2:$S$2012,"44562A4VerdeNão se aplicaNão se aplicaNão se aplicaNão se aplicaFora ponta",Mercado_Receita!$L$2:$L$2012)</f>
        <v>59218.146000000015</v>
      </c>
      <c r="R20" s="12">
        <f>SUMIF(Mercado_Receita!$S$2:$S$2012,"44593A4VerdeNão se aplicaNão se aplicaNão se aplicaNão se aplicaFora ponta",Mercado_Receita!$L$2:$L$2012)</f>
        <v>58247.097999999984</v>
      </c>
      <c r="S20" s="12">
        <f>SUMIF(Mercado_Receita!$S$2:$S$2012,"44621A4VerdeNão se aplicaNão se aplicaNão se aplicaNão se aplicaFora ponta",Mercado_Receita!$L$2:$L$2012)</f>
        <v>59266.534999999989</v>
      </c>
      <c r="T20" s="12">
        <f>SUMIF(Mercado_Receita!$S$2:$S$2012,"44652A4VerdeNão se aplicaNão se aplicaNão se aplicaNão se aplicaFora ponta",Mercado_Receita!$L$2:$L$2012)</f>
        <v>59266.534999999989</v>
      </c>
      <c r="U20" s="12">
        <f t="shared" si="0"/>
        <v>680185.39</v>
      </c>
      <c r="V20" s="12"/>
      <c r="W20" s="12"/>
    </row>
    <row r="21" spans="1:23" ht="11.25" customHeight="1" x14ac:dyDescent="0.25">
      <c r="A21" s="118"/>
      <c r="B21" s="118"/>
      <c r="C21" s="118"/>
      <c r="D21" s="118"/>
      <c r="E21" s="117" t="s">
        <v>58</v>
      </c>
      <c r="F21" s="117" t="s">
        <v>25</v>
      </c>
      <c r="G21" s="12" t="s">
        <v>91</v>
      </c>
      <c r="H21" s="12" t="s">
        <v>90</v>
      </c>
      <c r="I21" s="12">
        <f>SUMIF(Mercado_Receita!$S$2:$S$2012,"44317A4VerdeNão se aplicaNão se aplicaAPENão se aplicaPonta",Mercado_Receita!$L$2:$L$2012)</f>
        <v>0</v>
      </c>
      <c r="J21" s="12">
        <f>SUMIF(Mercado_Receita!$S$2:$S$2012,"44348A4VerdeNão se aplicaNão se aplicaAPENão se aplicaPonta",Mercado_Receita!$L$2:$L$2012)</f>
        <v>0</v>
      </c>
      <c r="K21" s="12">
        <f>SUMIF(Mercado_Receita!$S$2:$S$2012,"44378A4VerdeNão se aplicaNão se aplicaAPENão se aplicaPonta",Mercado_Receita!$L$2:$L$2012)</f>
        <v>0</v>
      </c>
      <c r="L21" s="12">
        <f>SUMIF(Mercado_Receita!$S$2:$S$2012,"44409A4VerdeNão se aplicaNão se aplicaAPENão se aplicaPonta",Mercado_Receita!$L$2:$L$2012)</f>
        <v>0</v>
      </c>
      <c r="M21" s="12">
        <f>SUMIF(Mercado_Receita!$S$2:$S$2012,"44440A4VerdeNão se aplicaNão se aplicaAPENão se aplicaPonta",Mercado_Receita!$L$2:$L$2012)</f>
        <v>0</v>
      </c>
      <c r="N21" s="12">
        <f>SUMIF(Mercado_Receita!$S$2:$S$2012,"44470A4VerdeNão se aplicaNão se aplicaAPENão se aplicaPonta",Mercado_Receita!$L$2:$L$2012)</f>
        <v>0</v>
      </c>
      <c r="O21" s="12">
        <f>SUMIF(Mercado_Receita!$S$2:$S$2012,"44501A4VerdeNão se aplicaNão se aplicaAPENão se aplicaPonta",Mercado_Receita!$L$2:$L$2012)</f>
        <v>0</v>
      </c>
      <c r="P21" s="12">
        <f>SUMIF(Mercado_Receita!$S$2:$S$2012,"44531A4VerdeNão se aplicaNão se aplicaAPENão se aplicaPonta",Mercado_Receita!$L$2:$L$2012)</f>
        <v>0</v>
      </c>
      <c r="Q21" s="12">
        <f>SUMIF(Mercado_Receita!$S$2:$S$2012,"44562A4VerdeNão se aplicaNão se aplicaAPENão se aplicaPonta",Mercado_Receita!$L$2:$L$2012)</f>
        <v>0</v>
      </c>
      <c r="R21" s="12">
        <f>SUMIF(Mercado_Receita!$S$2:$S$2012,"44593A4VerdeNão se aplicaNão se aplicaAPENão se aplicaPonta",Mercado_Receita!$L$2:$L$2012)</f>
        <v>0</v>
      </c>
      <c r="S21" s="12">
        <f>SUMIF(Mercado_Receita!$S$2:$S$2012,"44621A4VerdeNão se aplicaNão se aplicaAPENão se aplicaPonta",Mercado_Receita!$L$2:$L$2012)</f>
        <v>0</v>
      </c>
      <c r="T21" s="12">
        <f>SUMIF(Mercado_Receita!$S$2:$S$2012,"44652A4VerdeNão se aplicaNão se aplicaAPENão se aplicaPonta",Mercado_Receita!$L$2:$L$2012)</f>
        <v>0</v>
      </c>
      <c r="U21" s="12">
        <f t="shared" si="0"/>
        <v>0</v>
      </c>
      <c r="V21" s="12"/>
      <c r="W21" s="12"/>
    </row>
    <row r="22" spans="1:23" ht="11.25" customHeight="1" x14ac:dyDescent="0.25">
      <c r="A22" s="118"/>
      <c r="B22" s="118"/>
      <c r="C22" s="118"/>
      <c r="D22" s="118"/>
      <c r="E22" s="118"/>
      <c r="F22" s="118"/>
      <c r="G22" s="12" t="s">
        <v>92</v>
      </c>
      <c r="H22" s="12" t="s">
        <v>90</v>
      </c>
      <c r="I22" s="12">
        <f>SUMIF(Mercado_Receita!$S$2:$S$2012,"44317A4VerdeNão se aplicaNão se aplicaAPENão se aplicaFora ponta",Mercado_Receita!$L$2:$L$2012)</f>
        <v>0</v>
      </c>
      <c r="J22" s="12">
        <f>SUMIF(Mercado_Receita!$S$2:$S$2012,"44348A4VerdeNão se aplicaNão se aplicaAPENão se aplicaFora ponta",Mercado_Receita!$L$2:$L$2012)</f>
        <v>0</v>
      </c>
      <c r="K22" s="12">
        <f>SUMIF(Mercado_Receita!$S$2:$S$2012,"44378A4VerdeNão se aplicaNão se aplicaAPENão se aplicaFora ponta",Mercado_Receita!$L$2:$L$2012)</f>
        <v>0</v>
      </c>
      <c r="L22" s="12">
        <f>SUMIF(Mercado_Receita!$S$2:$S$2012,"44409A4VerdeNão se aplicaNão se aplicaAPENão se aplicaFora ponta",Mercado_Receita!$L$2:$L$2012)</f>
        <v>0</v>
      </c>
      <c r="M22" s="12">
        <f>SUMIF(Mercado_Receita!$S$2:$S$2012,"44440A4VerdeNão se aplicaNão se aplicaAPENão se aplicaFora ponta",Mercado_Receita!$L$2:$L$2012)</f>
        <v>0</v>
      </c>
      <c r="N22" s="12">
        <f>SUMIF(Mercado_Receita!$S$2:$S$2012,"44470A4VerdeNão se aplicaNão se aplicaAPENão se aplicaFora ponta",Mercado_Receita!$L$2:$L$2012)</f>
        <v>0</v>
      </c>
      <c r="O22" s="12">
        <f>SUMIF(Mercado_Receita!$S$2:$S$2012,"44501A4VerdeNão se aplicaNão se aplicaAPENão se aplicaFora ponta",Mercado_Receita!$L$2:$L$2012)</f>
        <v>0</v>
      </c>
      <c r="P22" s="12">
        <f>SUMIF(Mercado_Receita!$S$2:$S$2012,"44531A4VerdeNão se aplicaNão se aplicaAPENão se aplicaFora ponta",Mercado_Receita!$L$2:$L$2012)</f>
        <v>0</v>
      </c>
      <c r="Q22" s="12">
        <f>SUMIF(Mercado_Receita!$S$2:$S$2012,"44562A4VerdeNão se aplicaNão se aplicaAPENão se aplicaFora ponta",Mercado_Receita!$L$2:$L$2012)</f>
        <v>0</v>
      </c>
      <c r="R22" s="12">
        <f>SUMIF(Mercado_Receita!$S$2:$S$2012,"44593A4VerdeNão se aplicaNão se aplicaAPENão se aplicaFora ponta",Mercado_Receita!$L$2:$L$2012)</f>
        <v>0</v>
      </c>
      <c r="S22" s="12">
        <f>SUMIF(Mercado_Receita!$S$2:$S$2012,"44621A4VerdeNão se aplicaNão se aplicaAPENão se aplicaFora ponta",Mercado_Receita!$L$2:$L$2012)</f>
        <v>0</v>
      </c>
      <c r="T22" s="12">
        <f>SUMIF(Mercado_Receita!$S$2:$S$2012,"44652A4VerdeNão se aplicaNão se aplicaAPENão se aplicaFora ponta",Mercado_Receita!$L$2:$L$2012)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17" t="s">
        <v>98</v>
      </c>
      <c r="B23" s="117" t="s">
        <v>64</v>
      </c>
      <c r="C23" s="117" t="s">
        <v>25</v>
      </c>
      <c r="D23" s="117" t="s">
        <v>25</v>
      </c>
      <c r="E23" s="13" t="s">
        <v>99</v>
      </c>
      <c r="F23" s="13" t="s">
        <v>25</v>
      </c>
      <c r="G23" s="12" t="s">
        <v>9</v>
      </c>
      <c r="H23" s="12" t="s">
        <v>93</v>
      </c>
      <c r="I23" s="12">
        <f>SUMIF(Mercado_Receita!$S$2:$S$2012,"44317BGeraçãoNão se aplicaNão se aplicaTIPO 01Não se aplicaNão se aplica",Mercado_Receita!$J$2:$J$2012)+SUMIF(Mercado_Receita!$S$2:$S$2012,"44317BGeraçãoNão se aplicaNão se aplicaAPENão se aplicaNão se aplica",Mercado_Receita!$J$2:$J$2012)</f>
        <v>0</v>
      </c>
      <c r="J23" s="12">
        <f>SUMIF(Mercado_Receita!$S$2:$S$2012,"44348BGeraçãoNão se aplicaNão se aplicaTIPO 01Não se aplicaNão se aplica",Mercado_Receita!$J$2:$J$2012)+SUMIF(Mercado_Receita!$S$2:$S$2012,"44348BGeraçãoNão se aplicaNão se aplicaAPENão se aplicaNão se aplica",Mercado_Receita!$J$2:$J$2012)</f>
        <v>0</v>
      </c>
      <c r="K23" s="12">
        <f>SUMIF(Mercado_Receita!$S$2:$S$2012,"44378BGeraçãoNão se aplicaNão se aplicaTIPO 01Não se aplicaNão se aplica",Mercado_Receita!$J$2:$J$2012)+SUMIF(Mercado_Receita!$S$2:$S$2012,"44378BGeraçãoNão se aplicaNão se aplicaAPENão se aplicaNão se aplica",Mercado_Receita!$J$2:$J$2012)</f>
        <v>0</v>
      </c>
      <c r="L23" s="12">
        <f>SUMIF(Mercado_Receita!$S$2:$S$2012,"44409BGeraçãoNão se aplicaNão se aplicaTIPO 01Não se aplicaNão se aplica",Mercado_Receita!$J$2:$J$2012)+SUMIF(Mercado_Receita!$S$2:$S$2012,"44409BGeraçãoNão se aplicaNão se aplicaAPENão se aplicaNão se aplica",Mercado_Receita!$J$2:$J$2012)</f>
        <v>0</v>
      </c>
      <c r="M23" s="12">
        <f>SUMIF(Mercado_Receita!$S$2:$S$2012,"44440BGeraçãoNão se aplicaNão se aplicaTIPO 01Não se aplicaNão se aplica",Mercado_Receita!$J$2:$J$2012)+SUMIF(Mercado_Receita!$S$2:$S$2012,"44440BGeraçãoNão se aplicaNão se aplicaAPENão se aplicaNão se aplica",Mercado_Receita!$J$2:$J$2012)</f>
        <v>0</v>
      </c>
      <c r="N23" s="12">
        <f>SUMIF(Mercado_Receita!$S$2:$S$2012,"44470BGeraçãoNão se aplicaNão se aplicaTIPO 01Não se aplicaNão se aplica",Mercado_Receita!$J$2:$J$2012)+SUMIF(Mercado_Receita!$S$2:$S$2012,"44470BGeraçãoNão se aplicaNão se aplicaAPENão se aplicaNão se aplica",Mercado_Receita!$J$2:$J$2012)</f>
        <v>0</v>
      </c>
      <c r="O23" s="12">
        <f>SUMIF(Mercado_Receita!$S$2:$S$2012,"44501BGeraçãoNão se aplicaNão se aplicaTIPO 01Não se aplicaNão se aplica",Mercado_Receita!$J$2:$J$2012)+SUMIF(Mercado_Receita!$S$2:$S$2012,"44501BGeraçãoNão se aplicaNão se aplicaAPENão se aplicaNão se aplica",Mercado_Receita!$J$2:$J$2012)</f>
        <v>0</v>
      </c>
      <c r="P23" s="12">
        <f>SUMIF(Mercado_Receita!$S$2:$S$2012,"44531BGeraçãoNão se aplicaNão se aplicaTIPO 01Não se aplicaNão se aplica",Mercado_Receita!$J$2:$J$2012)+SUMIF(Mercado_Receita!$S$2:$S$2012,"44531BGeraçãoNão se aplicaNão se aplicaAPENão se aplicaNão se aplica",Mercado_Receita!$J$2:$J$2012)</f>
        <v>0</v>
      </c>
      <c r="Q23" s="12">
        <f>SUMIF(Mercado_Receita!$S$2:$S$2012,"44562BGeraçãoNão se aplicaNão se aplicaTIPO 01Não se aplicaNão se aplica",Mercado_Receita!$J$2:$J$2012)+SUMIF(Mercado_Receita!$S$2:$S$2012,"44562BGeraçãoNão se aplicaNão se aplicaAPENão se aplicaNão se aplica",Mercado_Receita!$J$2:$J$2012)</f>
        <v>0</v>
      </c>
      <c r="R23" s="12">
        <f>SUMIF(Mercado_Receita!$S$2:$S$2012,"44593BGeraçãoNão se aplicaNão se aplicaTIPO 01Não se aplicaNão se aplica",Mercado_Receita!$J$2:$J$2012)+SUMIF(Mercado_Receita!$S$2:$S$2012,"44593BGeraçãoNão se aplicaNão se aplicaAPENão se aplicaNão se aplica",Mercado_Receita!$J$2:$J$2012)</f>
        <v>0</v>
      </c>
      <c r="S23" s="12">
        <f>SUMIF(Mercado_Receita!$S$2:$S$2012,"44621BGeraçãoNão se aplicaNão se aplicaTIPO 01Não se aplicaNão se aplica",Mercado_Receita!$J$2:$J$2012)+SUMIF(Mercado_Receita!$S$2:$S$2012,"44621BGeraçãoNão se aplicaNão se aplicaAPENão se aplicaNão se aplica",Mercado_Receita!$J$2:$J$2012)</f>
        <v>0</v>
      </c>
      <c r="T23" s="12">
        <f>SUMIF(Mercado_Receita!$S$2:$S$2012,"44652BGeraçãoNão se aplicaNão se aplicaTIPO 01Não se aplicaNão se aplica",Mercado_Receita!$J$2:$J$2012)+SUMIF(Mercado_Receita!$S$2:$S$2012,"44652BGeraçãoNão se aplicaNão se aplicaAPENão se aplicaNão se aplica",Mercado_Receita!$J$2:$J$2012)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18"/>
      <c r="B24" s="118"/>
      <c r="C24" s="118"/>
      <c r="D24" s="118"/>
      <c r="E24" s="13" t="s">
        <v>100</v>
      </c>
      <c r="F24" s="13" t="s">
        <v>25</v>
      </c>
      <c r="G24" s="12" t="s">
        <v>9</v>
      </c>
      <c r="H24" s="12" t="s">
        <v>93</v>
      </c>
      <c r="I24" s="12">
        <f>SUMIF(Mercado_Receita!$S$2:$S$2012,"44317BGeraçãoNão se aplicaNão se aplicaTIPO 02Não se aplicaNão se aplica",Mercado_Receita!$J$2:$J$2012)+SUMIF(Mercado_Receita!$S$2:$S$2012,"44317BGeraçãoNão se aplicaNão se aplicaAPENão se aplicaNão se aplica",Mercado_Receita!$J$2:$J$2012)</f>
        <v>0</v>
      </c>
      <c r="J24" s="12">
        <f>SUMIF(Mercado_Receita!$S$2:$S$2012,"44348BGeraçãoNão se aplicaNão se aplicaTIPO 02Não se aplicaNão se aplica",Mercado_Receita!$J$2:$J$2012)+SUMIF(Mercado_Receita!$S$2:$S$2012,"44348BGeraçãoNão se aplicaNão se aplicaAPENão se aplicaNão se aplica",Mercado_Receita!$J$2:$J$2012)</f>
        <v>0</v>
      </c>
      <c r="K24" s="12">
        <f>SUMIF(Mercado_Receita!$S$2:$S$2012,"44378BGeraçãoNão se aplicaNão se aplicaTIPO 02Não se aplicaNão se aplica",Mercado_Receita!$J$2:$J$2012)+SUMIF(Mercado_Receita!$S$2:$S$2012,"44378BGeraçãoNão se aplicaNão se aplicaAPENão se aplicaNão se aplica",Mercado_Receita!$J$2:$J$2012)</f>
        <v>0</v>
      </c>
      <c r="L24" s="12">
        <f>SUMIF(Mercado_Receita!$S$2:$S$2012,"44409BGeraçãoNão se aplicaNão se aplicaTIPO 02Não se aplicaNão se aplica",Mercado_Receita!$J$2:$J$2012)+SUMIF(Mercado_Receita!$S$2:$S$2012,"44409BGeraçãoNão se aplicaNão se aplicaAPENão se aplicaNão se aplica",Mercado_Receita!$J$2:$J$2012)</f>
        <v>0</v>
      </c>
      <c r="M24" s="12">
        <f>SUMIF(Mercado_Receita!$S$2:$S$2012,"44440BGeraçãoNão se aplicaNão se aplicaTIPO 02Não se aplicaNão se aplica",Mercado_Receita!$J$2:$J$2012)+SUMIF(Mercado_Receita!$S$2:$S$2012,"44440BGeraçãoNão se aplicaNão se aplicaAPENão se aplicaNão se aplica",Mercado_Receita!$J$2:$J$2012)</f>
        <v>0</v>
      </c>
      <c r="N24" s="12">
        <f>SUMIF(Mercado_Receita!$S$2:$S$2012,"44470BGeraçãoNão se aplicaNão se aplicaTIPO 02Não se aplicaNão se aplica",Mercado_Receita!$J$2:$J$2012)+SUMIF(Mercado_Receita!$S$2:$S$2012,"44470BGeraçãoNão se aplicaNão se aplicaAPENão se aplicaNão se aplica",Mercado_Receita!$J$2:$J$2012)</f>
        <v>0</v>
      </c>
      <c r="O24" s="12">
        <f>SUMIF(Mercado_Receita!$S$2:$S$2012,"44501BGeraçãoNão se aplicaNão se aplicaTIPO 02Não se aplicaNão se aplica",Mercado_Receita!$J$2:$J$2012)+SUMIF(Mercado_Receita!$S$2:$S$2012,"44501BGeraçãoNão se aplicaNão se aplicaAPENão se aplicaNão se aplica",Mercado_Receita!$J$2:$J$2012)</f>
        <v>0</v>
      </c>
      <c r="P24" s="12">
        <f>SUMIF(Mercado_Receita!$S$2:$S$2012,"44531BGeraçãoNão se aplicaNão se aplicaTIPO 02Não se aplicaNão se aplica",Mercado_Receita!$J$2:$J$2012)+SUMIF(Mercado_Receita!$S$2:$S$2012,"44531BGeraçãoNão se aplicaNão se aplicaAPENão se aplicaNão se aplica",Mercado_Receita!$J$2:$J$2012)</f>
        <v>0</v>
      </c>
      <c r="Q24" s="12">
        <f>SUMIF(Mercado_Receita!$S$2:$S$2012,"44562BGeraçãoNão se aplicaNão se aplicaTIPO 02Não se aplicaNão se aplica",Mercado_Receita!$J$2:$J$2012)+SUMIF(Mercado_Receita!$S$2:$S$2012,"44562BGeraçãoNão se aplicaNão se aplicaAPENão se aplicaNão se aplica",Mercado_Receita!$J$2:$J$2012)</f>
        <v>0</v>
      </c>
      <c r="R24" s="12">
        <f>SUMIF(Mercado_Receita!$S$2:$S$2012,"44593BGeraçãoNão se aplicaNão se aplicaTIPO 02Não se aplicaNão se aplica",Mercado_Receita!$J$2:$J$2012)+SUMIF(Mercado_Receita!$S$2:$S$2012,"44593BGeraçãoNão se aplicaNão se aplicaAPENão se aplicaNão se aplica",Mercado_Receita!$J$2:$J$2012)</f>
        <v>0</v>
      </c>
      <c r="S24" s="12">
        <f>SUMIF(Mercado_Receita!$S$2:$S$2012,"44621BGeraçãoNão se aplicaNão se aplicaTIPO 02Não se aplicaNão se aplica",Mercado_Receita!$J$2:$J$2012)+SUMIF(Mercado_Receita!$S$2:$S$2012,"44621BGeraçãoNão se aplicaNão se aplicaAPENão se aplicaNão se aplica",Mercado_Receita!$J$2:$J$2012)</f>
        <v>0</v>
      </c>
      <c r="T24" s="12">
        <f>SUMIF(Mercado_Receita!$S$2:$S$2012,"44652BGeraçãoNão se aplicaNão se aplicaTIPO 02Não se aplicaNão se aplica",Mercado_Receita!$J$2:$J$2012)+SUMIF(Mercado_Receita!$S$2:$S$2012,"44652BGeraçãoNão se aplicaNão se aplicaAPENão se aplicaNão se aplica",Mercado_Receita!$J$2:$J$2012)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17" t="s">
        <v>22</v>
      </c>
      <c r="B25" s="117" t="s">
        <v>37</v>
      </c>
      <c r="C25" s="117" t="s">
        <v>24</v>
      </c>
      <c r="D25" s="117" t="s">
        <v>24</v>
      </c>
      <c r="E25" s="117" t="s">
        <v>25</v>
      </c>
      <c r="F25" s="117" t="s">
        <v>25</v>
      </c>
      <c r="G25" s="12" t="s">
        <v>91</v>
      </c>
      <c r="H25" s="12" t="s">
        <v>90</v>
      </c>
      <c r="I25" s="12">
        <f>SUMIF(Mercado_Receita!$S$2:$S$2012,"44317B1BrancaResidencialResidencialNão se aplicaNão se aplicaPonta",Mercado_Receita!$L$2:$L$2012)</f>
        <v>4.742</v>
      </c>
      <c r="J25" s="12">
        <f>SUMIF(Mercado_Receita!$S$2:$S$2012,"44348B1BrancaResidencialResidencialNão se aplicaNão se aplicaPonta",Mercado_Receita!$L$2:$L$2012)</f>
        <v>4.4420000000000002</v>
      </c>
      <c r="K25" s="12">
        <f>SUMIF(Mercado_Receita!$S$2:$S$2012,"44378B1BrancaResidencialResidencialNão se aplicaNão se aplicaPonta",Mercado_Receita!$L$2:$L$2012)</f>
        <v>4.0510000000000002</v>
      </c>
      <c r="L25" s="12">
        <f>SUMIF(Mercado_Receita!$S$2:$S$2012,"44409B1BrancaResidencialResidencialNão se aplicaNão se aplicaPonta",Mercado_Receita!$L$2:$L$2012)</f>
        <v>4.141</v>
      </c>
      <c r="M25" s="12">
        <f>SUMIF(Mercado_Receita!$S$2:$S$2012,"44440B1BrancaResidencialResidencialNão se aplicaNão se aplicaPonta",Mercado_Receita!$L$2:$L$2012)</f>
        <v>3.9389999999999996</v>
      </c>
      <c r="N25" s="12">
        <f>SUMIF(Mercado_Receita!$S$2:$S$2012,"44470B1BrancaResidencialResidencialNão se aplicaNão se aplicaPonta",Mercado_Receita!$L$2:$L$2012)</f>
        <v>4.2729999999999997</v>
      </c>
      <c r="O25" s="12">
        <f>SUMIF(Mercado_Receita!$S$2:$S$2012,"44501B1BrancaResidencialResidencialNão se aplicaNão se aplicaPonta",Mercado_Receita!$L$2:$L$2012)</f>
        <v>3.5359999999999996</v>
      </c>
      <c r="P25" s="12">
        <f>SUMIF(Mercado_Receita!$S$2:$S$2012,"44531B1BrancaResidencialResidencialNão se aplicaNão se aplicaPonta",Mercado_Receita!$L$2:$L$2012)</f>
        <v>4.3099999999999996</v>
      </c>
      <c r="Q25" s="12">
        <f>SUMIF(Mercado_Receita!$S$2:$S$2012,"44562B1BrancaResidencialResidencialNão se aplicaNão se aplicaPonta",Mercado_Receita!$L$2:$L$2012)</f>
        <v>4.2909999999999995</v>
      </c>
      <c r="R25" s="12">
        <f>SUMIF(Mercado_Receita!$S$2:$S$2012,"44593B1BrancaResidencialResidencialNão se aplicaNão se aplicaPonta",Mercado_Receita!$L$2:$L$2012)</f>
        <v>3.923</v>
      </c>
      <c r="S25" s="12">
        <f>SUMIF(Mercado_Receita!$S$2:$S$2012,"44621B1BrancaResidencialResidencialNão se aplicaNão se aplicaPonta",Mercado_Receita!$L$2:$L$2012)</f>
        <v>4.3860000000000001</v>
      </c>
      <c r="T25" s="12">
        <f>SUMIF(Mercado_Receita!$S$2:$S$2012,"44652B1BrancaResidencialResidencialNão se aplicaNão se aplicaPonta",Mercado_Receita!$L$2:$L$2012)</f>
        <v>4.3860000000000001</v>
      </c>
      <c r="U25" s="12">
        <f t="shared" si="0"/>
        <v>50.420000000000009</v>
      </c>
      <c r="V25" s="12"/>
      <c r="W25" s="12"/>
    </row>
    <row r="26" spans="1:23" ht="11.25" customHeight="1" x14ac:dyDescent="0.25">
      <c r="A26" s="118"/>
      <c r="B26" s="118"/>
      <c r="C26" s="118"/>
      <c r="D26" s="118"/>
      <c r="E26" s="118"/>
      <c r="F26" s="118"/>
      <c r="G26" s="12" t="s">
        <v>101</v>
      </c>
      <c r="H26" s="12" t="s">
        <v>90</v>
      </c>
      <c r="I26" s="12">
        <f>SUMIF(Mercado_Receita!$S$2:$S$2012,"44317B1BrancaResidencialResidencialNão se aplicaNão se aplicaIntermediário",Mercado_Receita!$L$2:$L$2012)</f>
        <v>3.4050000000000002</v>
      </c>
      <c r="J26" s="12">
        <f>SUMIF(Mercado_Receita!$S$2:$S$2012,"44348B1BrancaResidencialResidencialNão se aplicaNão se aplicaIntermediário",Mercado_Receita!$L$2:$L$2012)</f>
        <v>3.0710000000000002</v>
      </c>
      <c r="K26" s="12">
        <f>SUMIF(Mercado_Receita!$S$2:$S$2012,"44378B1BrancaResidencialResidencialNão se aplicaNão se aplicaIntermediário",Mercado_Receita!$L$2:$L$2012)</f>
        <v>2.746</v>
      </c>
      <c r="L26" s="12">
        <f>SUMIF(Mercado_Receita!$S$2:$S$2012,"44409B1BrancaResidencialResidencialNão se aplicaNão se aplicaIntermediário",Mercado_Receita!$L$2:$L$2012)</f>
        <v>2.6850000000000001</v>
      </c>
      <c r="M26" s="12">
        <f>SUMIF(Mercado_Receita!$S$2:$S$2012,"44440B1BrancaResidencialResidencialNão se aplicaNão se aplicaIntermediário",Mercado_Receita!$L$2:$L$2012)</f>
        <v>2.6409999999999996</v>
      </c>
      <c r="N26" s="12">
        <f>SUMIF(Mercado_Receita!$S$2:$S$2012,"44470B1BrancaResidencialResidencialNão se aplicaNão se aplicaIntermediário",Mercado_Receita!$L$2:$L$2012)</f>
        <v>3.298</v>
      </c>
      <c r="O26" s="12">
        <f>SUMIF(Mercado_Receita!$S$2:$S$2012,"44501B1BrancaResidencialResidencialNão se aplicaNão se aplicaIntermediário",Mercado_Receita!$L$2:$L$2012)</f>
        <v>2.1449999999999996</v>
      </c>
      <c r="P26" s="12">
        <f>SUMIF(Mercado_Receita!$S$2:$S$2012,"44531B1BrancaResidencialResidencialNão se aplicaNão se aplicaIntermediário",Mercado_Receita!$L$2:$L$2012)</f>
        <v>2.9790000000000005</v>
      </c>
      <c r="Q26" s="12">
        <f>SUMIF(Mercado_Receita!$S$2:$S$2012,"44562B1BrancaResidencialResidencialNão se aplicaNão se aplicaIntermediário",Mercado_Receita!$L$2:$L$2012)</f>
        <v>3.03</v>
      </c>
      <c r="R26" s="12">
        <f>SUMIF(Mercado_Receita!$S$2:$S$2012,"44593B1BrancaResidencialResidencialNão se aplicaNão se aplicaIntermediário",Mercado_Receita!$L$2:$L$2012)</f>
        <v>2.8359999999999999</v>
      </c>
      <c r="S26" s="12">
        <f>SUMIF(Mercado_Receita!$S$2:$S$2012,"44621B1BrancaResidencialResidencialNão se aplicaNão se aplicaIntermediário",Mercado_Receita!$L$2:$L$2012)</f>
        <v>3.0020000000000002</v>
      </c>
      <c r="T26" s="12">
        <f>SUMIF(Mercado_Receita!$S$2:$S$2012,"44652B1BrancaResidencialResidencialNão se aplicaNão se aplicaIntermediário",Mercado_Receita!$L$2:$L$2012)</f>
        <v>3.0020000000000002</v>
      </c>
      <c r="U26" s="12">
        <f t="shared" si="0"/>
        <v>34.840000000000003</v>
      </c>
      <c r="V26" s="12"/>
      <c r="W26" s="12"/>
    </row>
    <row r="27" spans="1:23" ht="11.25" customHeight="1" x14ac:dyDescent="0.25">
      <c r="A27" s="118"/>
      <c r="B27" s="118"/>
      <c r="C27" s="118"/>
      <c r="D27" s="118"/>
      <c r="E27" s="118"/>
      <c r="F27" s="118"/>
      <c r="G27" s="12" t="s">
        <v>92</v>
      </c>
      <c r="H27" s="12" t="s">
        <v>90</v>
      </c>
      <c r="I27" s="12">
        <f>SUMIF(Mercado_Receita!$S$2:$S$2012,"44317B1BrancaResidencialResidencialNão se aplicaNão se aplicaFora ponta",Mercado_Receita!$L$2:$L$2012)</f>
        <v>63.484000000000002</v>
      </c>
      <c r="J27" s="12">
        <f>SUMIF(Mercado_Receita!$S$2:$S$2012,"44348B1BrancaResidencialResidencialNão se aplicaNão se aplicaFora ponta",Mercado_Receita!$L$2:$L$2012)</f>
        <v>54.330000000000005</v>
      </c>
      <c r="K27" s="12">
        <f>SUMIF(Mercado_Receita!$S$2:$S$2012,"44378B1BrancaResidencialResidencialNão se aplicaNão se aplicaFora ponta",Mercado_Receita!$L$2:$L$2012)</f>
        <v>49.982999999999997</v>
      </c>
      <c r="L27" s="12">
        <f>SUMIF(Mercado_Receita!$S$2:$S$2012,"44409B1BrancaResidencialResidencialNão se aplicaNão se aplicaFora ponta",Mercado_Receita!$L$2:$L$2012)</f>
        <v>47.45</v>
      </c>
      <c r="M27" s="12">
        <f>SUMIF(Mercado_Receita!$S$2:$S$2012,"44440B1BrancaResidencialResidencialNão se aplicaNão se aplicaFora ponta",Mercado_Receita!$L$2:$L$2012)</f>
        <v>52.214999999999996</v>
      </c>
      <c r="N27" s="12">
        <f>SUMIF(Mercado_Receita!$S$2:$S$2012,"44470B1BrancaResidencialResidencialNão se aplicaNão se aplicaFora ponta",Mercado_Receita!$L$2:$L$2012)</f>
        <v>55.778000000000006</v>
      </c>
      <c r="O27" s="12">
        <f>SUMIF(Mercado_Receita!$S$2:$S$2012,"44501B1BrancaResidencialResidencialNão se aplicaNão se aplicaFora ponta",Mercado_Receita!$L$2:$L$2012)</f>
        <v>58.318999999999996</v>
      </c>
      <c r="P27" s="12">
        <f>SUMIF(Mercado_Receita!$S$2:$S$2012,"44531B1BrancaResidencialResidencialNão se aplicaNão se aplicaFora ponta",Mercado_Receita!$L$2:$L$2012)</f>
        <v>61.227999999999994</v>
      </c>
      <c r="Q27" s="12">
        <f>SUMIF(Mercado_Receita!$S$2:$S$2012,"44562B1BrancaResidencialResidencialNão se aplicaNão se aplicaFora ponta",Mercado_Receita!$L$2:$L$2012)</f>
        <v>56.645000000000003</v>
      </c>
      <c r="R27" s="12">
        <f>SUMIF(Mercado_Receita!$S$2:$S$2012,"44593B1BrancaResidencialResidencialNão se aplicaNão se aplicaFora ponta",Mercado_Receita!$L$2:$L$2012)</f>
        <v>56.469000000000001</v>
      </c>
      <c r="S27" s="12">
        <f>SUMIF(Mercado_Receita!$S$2:$S$2012,"44621B1BrancaResidencialResidencialNão se aplicaNão se aplicaFora ponta",Mercado_Receita!$L$2:$L$2012)</f>
        <v>60.756999999999998</v>
      </c>
      <c r="T27" s="12">
        <f>SUMIF(Mercado_Receita!$S$2:$S$2012,"44652B1BrancaResidencialResidencialNão se aplicaNão se aplicaFora ponta",Mercado_Receita!$L$2:$L$2012)</f>
        <v>60.756999999999998</v>
      </c>
      <c r="U27" s="12">
        <f t="shared" si="0"/>
        <v>677.41499999999996</v>
      </c>
      <c r="V27" s="12"/>
      <c r="W27" s="12"/>
    </row>
    <row r="28" spans="1:23" ht="11.25" customHeight="1" x14ac:dyDescent="0.25">
      <c r="A28" s="118"/>
      <c r="B28" s="117" t="s">
        <v>23</v>
      </c>
      <c r="C28" s="117" t="s">
        <v>24</v>
      </c>
      <c r="D28" s="13" t="s">
        <v>24</v>
      </c>
      <c r="E28" s="13" t="s">
        <v>25</v>
      </c>
      <c r="F28" s="13" t="s">
        <v>25</v>
      </c>
      <c r="G28" s="12" t="s">
        <v>96</v>
      </c>
      <c r="H28" s="12" t="s">
        <v>90</v>
      </c>
      <c r="I28" s="12">
        <f>SUMIF(Mercado_Receita!$S$2:$S$2012,"44317B1ConvencionalResidencialResidencialNão se aplicaNão se aplicaPonta",Mercado_Receita!$L$2:$L$2012)+SUMIF(Mercado_Receita!$S$2:$S$2012,"44317B1ConvencionalResidencialResidencialNão se aplicaNão se aplicaFora ponta",Mercado_Receita!$L$2:$L$2012)+SUMIF(Mercado_Receita!$S$2:$S$2012,"44317B1ConvencionalResidencialResidencialNão se aplicaNão se aplicaIntermediário",Mercado_Receita!$L$2:$L$2012)+SUMIF(Mercado_Receita!$S$2:$S$2012,"44317B1ConvencionalResidencialResidencialNão se aplicaNão se aplicaNão se aplica",Mercado_Receita!$L$2:$L$2012)</f>
        <v>99737.692999999985</v>
      </c>
      <c r="J28" s="12">
        <f>SUMIF(Mercado_Receita!$S$2:$S$2012,"44348B1ConvencionalResidencialResidencialNão se aplicaNão se aplicaPonta",Mercado_Receita!$L$2:$L$2012)+SUMIF(Mercado_Receita!$S$2:$S$2012,"44348B1ConvencionalResidencialResidencialNão se aplicaNão se aplicaFora ponta",Mercado_Receita!$L$2:$L$2012)+SUMIF(Mercado_Receita!$S$2:$S$2012,"44348B1ConvencionalResidencialResidencialNão se aplicaNão se aplicaIntermediário",Mercado_Receita!$L$2:$L$2012)+SUMIF(Mercado_Receita!$S$2:$S$2012,"44348B1ConvencionalResidencialResidencialNão se aplicaNão se aplicaNão se aplica",Mercado_Receita!$L$2:$L$2012)</f>
        <v>93546.339000000007</v>
      </c>
      <c r="K28" s="12">
        <f>SUMIF(Mercado_Receita!$S$2:$S$2012,"44378B1ConvencionalResidencialResidencialNão se aplicaNão se aplicaPonta",Mercado_Receita!$L$2:$L$2012)+SUMIF(Mercado_Receita!$S$2:$S$2012,"44378B1ConvencionalResidencialResidencialNão se aplicaNão se aplicaFora ponta",Mercado_Receita!$L$2:$L$2012)+SUMIF(Mercado_Receita!$S$2:$S$2012,"44378B1ConvencionalResidencialResidencialNão se aplicaNão se aplicaIntermediário",Mercado_Receita!$L$2:$L$2012)+SUMIF(Mercado_Receita!$S$2:$S$2012,"44378B1ConvencionalResidencialResidencialNão se aplicaNão se aplicaNão se aplica",Mercado_Receita!$L$2:$L$2012)</f>
        <v>87231.982000000004</v>
      </c>
      <c r="L28" s="12">
        <f>SUMIF(Mercado_Receita!$S$2:$S$2012,"44409B1ConvencionalResidencialResidencialNão se aplicaNão se aplicaPonta",Mercado_Receita!$L$2:$L$2012)+SUMIF(Mercado_Receita!$S$2:$S$2012,"44409B1ConvencionalResidencialResidencialNão se aplicaNão se aplicaFora ponta",Mercado_Receita!$L$2:$L$2012)+SUMIF(Mercado_Receita!$S$2:$S$2012,"44409B1ConvencionalResidencialResidencialNão se aplicaNão se aplicaIntermediário",Mercado_Receita!$L$2:$L$2012)+SUMIF(Mercado_Receita!$S$2:$S$2012,"44409B1ConvencionalResidencialResidencialNão se aplicaNão se aplicaNão se aplica",Mercado_Receita!$L$2:$L$2012)</f>
        <v>85075.131999999998</v>
      </c>
      <c r="M28" s="12">
        <f>SUMIF(Mercado_Receita!$S$2:$S$2012,"44440B1ConvencionalResidencialResidencialNão se aplicaNão se aplicaPonta",Mercado_Receita!$L$2:$L$2012)+SUMIF(Mercado_Receita!$S$2:$S$2012,"44440B1ConvencionalResidencialResidencialNão se aplicaNão se aplicaFora ponta",Mercado_Receita!$L$2:$L$2012)+SUMIF(Mercado_Receita!$S$2:$S$2012,"44440B1ConvencionalResidencialResidencialNão se aplicaNão se aplicaIntermediário",Mercado_Receita!$L$2:$L$2012)+SUMIF(Mercado_Receita!$S$2:$S$2012,"44440B1ConvencionalResidencialResidencialNão se aplicaNão se aplicaNão se aplica",Mercado_Receita!$L$2:$L$2012)</f>
        <v>90199.184000000008</v>
      </c>
      <c r="N28" s="12">
        <f>SUMIF(Mercado_Receita!$S$2:$S$2012,"44470B1ConvencionalResidencialResidencialNão se aplicaNão se aplicaPonta",Mercado_Receita!$L$2:$L$2012)+SUMIF(Mercado_Receita!$S$2:$S$2012,"44470B1ConvencionalResidencialResidencialNão se aplicaNão se aplicaFora ponta",Mercado_Receita!$L$2:$L$2012)+SUMIF(Mercado_Receita!$S$2:$S$2012,"44470B1ConvencionalResidencialResidencialNão se aplicaNão se aplicaIntermediário",Mercado_Receita!$L$2:$L$2012)+SUMIF(Mercado_Receita!$S$2:$S$2012,"44470B1ConvencionalResidencialResidencialNão se aplicaNão se aplicaNão se aplica",Mercado_Receita!$L$2:$L$2012)</f>
        <v>96102.093000000008</v>
      </c>
      <c r="O28" s="12">
        <f>SUMIF(Mercado_Receita!$S$2:$S$2012,"44501B1ConvencionalResidencialResidencialNão se aplicaNão se aplicaPonta",Mercado_Receita!$L$2:$L$2012)+SUMIF(Mercado_Receita!$S$2:$S$2012,"44501B1ConvencionalResidencialResidencialNão se aplicaNão se aplicaFora ponta",Mercado_Receita!$L$2:$L$2012)+SUMIF(Mercado_Receita!$S$2:$S$2012,"44501B1ConvencionalResidencialResidencialNão se aplicaNão se aplicaIntermediário",Mercado_Receita!$L$2:$L$2012)+SUMIF(Mercado_Receita!$S$2:$S$2012,"44501B1ConvencionalResidencialResidencialNão se aplicaNão se aplicaNão se aplica",Mercado_Receita!$L$2:$L$2012)</f>
        <v>101770.22100000001</v>
      </c>
      <c r="P28" s="12">
        <f>SUMIF(Mercado_Receita!$S$2:$S$2012,"44531B1ConvencionalResidencialResidencialNão se aplicaNão se aplicaPonta",Mercado_Receita!$L$2:$L$2012)+SUMIF(Mercado_Receita!$S$2:$S$2012,"44531B1ConvencionalResidencialResidencialNão se aplicaNão se aplicaFora ponta",Mercado_Receita!$L$2:$L$2012)+SUMIF(Mercado_Receita!$S$2:$S$2012,"44531B1ConvencionalResidencialResidencialNão se aplicaNão se aplicaIntermediário",Mercado_Receita!$L$2:$L$2012)+SUMIF(Mercado_Receita!$S$2:$S$2012,"44531B1ConvencionalResidencialResidencialNão se aplicaNão se aplicaNão se aplica",Mercado_Receita!$L$2:$L$2012)</f>
        <v>104105.844</v>
      </c>
      <c r="Q28" s="12">
        <f>SUMIF(Mercado_Receita!$S$2:$S$2012,"44562B1ConvencionalResidencialResidencialNão se aplicaNão se aplicaPonta",Mercado_Receita!$L$2:$L$2012)+SUMIF(Mercado_Receita!$S$2:$S$2012,"44562B1ConvencionalResidencialResidencialNão se aplicaNão se aplicaFora ponta",Mercado_Receita!$L$2:$L$2012)+SUMIF(Mercado_Receita!$S$2:$S$2012,"44562B1ConvencionalResidencialResidencialNão se aplicaNão se aplicaIntermediário",Mercado_Receita!$L$2:$L$2012)+SUMIF(Mercado_Receita!$S$2:$S$2012,"44562B1ConvencionalResidencialResidencialNão se aplicaNão se aplicaNão se aplica",Mercado_Receita!$L$2:$L$2012)</f>
        <v>100767.23299999999</v>
      </c>
      <c r="R28" s="12">
        <f>SUMIF(Mercado_Receita!$S$2:$S$2012,"44593B1ConvencionalResidencialResidencialNão se aplicaNão se aplicaPonta",Mercado_Receita!$L$2:$L$2012)+SUMIF(Mercado_Receita!$S$2:$S$2012,"44593B1ConvencionalResidencialResidencialNão se aplicaNão se aplicaFora ponta",Mercado_Receita!$L$2:$L$2012)+SUMIF(Mercado_Receita!$S$2:$S$2012,"44593B1ConvencionalResidencialResidencialNão se aplicaNão se aplicaIntermediário",Mercado_Receita!$L$2:$L$2012)+SUMIF(Mercado_Receita!$S$2:$S$2012,"44593B1ConvencionalResidencialResidencialNão se aplicaNão se aplicaNão se aplica",Mercado_Receita!$L$2:$L$2012)</f>
        <v>97345.963999999993</v>
      </c>
      <c r="S28" s="12">
        <f>SUMIF(Mercado_Receita!$S$2:$S$2012,"44621B1ConvencionalResidencialResidencialNão se aplicaNão se aplicaPonta",Mercado_Receita!$L$2:$L$2012)+SUMIF(Mercado_Receita!$S$2:$S$2012,"44621B1ConvencionalResidencialResidencialNão se aplicaNão se aplicaFora ponta",Mercado_Receita!$L$2:$L$2012)+SUMIF(Mercado_Receita!$S$2:$S$2012,"44621B1ConvencionalResidencialResidencialNão se aplicaNão se aplicaIntermediário",Mercado_Receita!$L$2:$L$2012)+SUMIF(Mercado_Receita!$S$2:$S$2012,"44621B1ConvencionalResidencialResidencialNão se aplicaNão se aplicaNão se aplica",Mercado_Receita!$L$2:$L$2012)</f>
        <v>104562.49500000002</v>
      </c>
      <c r="T28" s="12">
        <f>SUMIF(Mercado_Receita!$S$2:$S$2012,"44652B1ConvencionalResidencialResidencialNão se aplicaNão se aplicaPonta",Mercado_Receita!$L$2:$L$2012)+SUMIF(Mercado_Receita!$S$2:$S$2012,"44652B1ConvencionalResidencialResidencialNão se aplicaNão se aplicaFora ponta",Mercado_Receita!$L$2:$L$2012)+SUMIF(Mercado_Receita!$S$2:$S$2012,"44652B1ConvencionalResidencialResidencialNão se aplicaNão se aplicaIntermediário",Mercado_Receita!$L$2:$L$2012)+SUMIF(Mercado_Receita!$S$2:$S$2012,"44652B1ConvencionalResidencialResidencialNão se aplicaNão se aplicaNão se aplica",Mercado_Receita!$L$2:$L$2012)</f>
        <v>104562.49500000002</v>
      </c>
      <c r="U28" s="12">
        <f t="shared" si="0"/>
        <v>1165006.6750000003</v>
      </c>
      <c r="V28" s="12"/>
      <c r="W28" s="12"/>
    </row>
    <row r="29" spans="1:23" ht="11.25" customHeight="1" x14ac:dyDescent="0.25">
      <c r="A29" s="118"/>
      <c r="B29" s="118"/>
      <c r="C29" s="118"/>
      <c r="D29" s="13" t="s">
        <v>29</v>
      </c>
      <c r="E29" s="13" t="s">
        <v>25</v>
      </c>
      <c r="F29" s="13" t="s">
        <v>25</v>
      </c>
      <c r="G29" s="12" t="s">
        <v>96</v>
      </c>
      <c r="H29" s="12" t="s">
        <v>90</v>
      </c>
      <c r="I29" s="12">
        <f>SUMIF(Mercado_Receita!$S$2:$S$2012,"44317B1ConvencionalResidencialResidencial baixa renda – faixa 01Não se aplicaNão se aplicaPonta",Mercado_Receita!$L$2:$L$2012)+SUMIF(Mercado_Receita!$S$2:$S$2012,"44317B1ConvencionalResidencialResidencial baixa renda – faixa 01Não se aplicaNão se aplicaFora ponta",Mercado_Receita!$L$2:$L$2012)+SUMIF(Mercado_Receita!$S$2:$S$2012,"44317B1ConvencionalResidencialResidencial baixa renda – faixa 01Não se aplicaNão se aplicaIntermediário",Mercado_Receita!$L$2:$L$2012)+SUMIF(Mercado_Receita!$S$2:$S$2012,"44317B1ConvencionalResidencialResidencial baixa renda – faixa 01Não se aplicaNão se aplicaNão se aplica",Mercado_Receita!$L$2:$L$2012)</f>
        <v>10455.143</v>
      </c>
      <c r="J29" s="12">
        <f>SUMIF(Mercado_Receita!$S$2:$S$2012,"44348B1ConvencionalResidencialResidencial baixa renda – faixa 01Não se aplicaNão se aplicaPonta",Mercado_Receita!$L$2:$L$2012)+SUMIF(Mercado_Receita!$S$2:$S$2012,"44348B1ConvencionalResidencialResidencial baixa renda – faixa 01Não se aplicaNão se aplicaFora ponta",Mercado_Receita!$L$2:$L$2012)+SUMIF(Mercado_Receita!$S$2:$S$2012,"44348B1ConvencionalResidencialResidencial baixa renda – faixa 01Não se aplicaNão se aplicaIntermediário",Mercado_Receita!$L$2:$L$2012)+SUMIF(Mercado_Receita!$S$2:$S$2012,"44348B1ConvencionalResidencialResidencial baixa renda – faixa 01Não se aplicaNão se aplicaNão se aplica",Mercado_Receita!$L$2:$L$2012)</f>
        <v>10561.165999999999</v>
      </c>
      <c r="K29" s="12">
        <f>SUMIF(Mercado_Receita!$S$2:$S$2012,"44378B1ConvencionalResidencialResidencial baixa renda – faixa 01Não se aplicaNão se aplicaPonta",Mercado_Receita!$L$2:$L$2012)+SUMIF(Mercado_Receita!$S$2:$S$2012,"44378B1ConvencionalResidencialResidencial baixa renda – faixa 01Não se aplicaNão se aplicaFora ponta",Mercado_Receita!$L$2:$L$2012)+SUMIF(Mercado_Receita!$S$2:$S$2012,"44378B1ConvencionalResidencialResidencial baixa renda – faixa 01Não se aplicaNão se aplicaIntermediário",Mercado_Receita!$L$2:$L$2012)+SUMIF(Mercado_Receita!$S$2:$S$2012,"44378B1ConvencionalResidencialResidencial baixa renda – faixa 01Não se aplicaNão se aplicaNão se aplica",Mercado_Receita!$L$2:$L$2012)</f>
        <v>10647.829</v>
      </c>
      <c r="L29" s="12">
        <f>SUMIF(Mercado_Receita!$S$2:$S$2012,"44409B1ConvencionalResidencialResidencial baixa renda – faixa 01Não se aplicaNão se aplicaPonta",Mercado_Receita!$L$2:$L$2012)+SUMIF(Mercado_Receita!$S$2:$S$2012,"44409B1ConvencionalResidencialResidencial baixa renda – faixa 01Não se aplicaNão se aplicaFora ponta",Mercado_Receita!$L$2:$L$2012)+SUMIF(Mercado_Receita!$S$2:$S$2012,"44409B1ConvencionalResidencialResidencial baixa renda – faixa 01Não se aplicaNão se aplicaIntermediário",Mercado_Receita!$L$2:$L$2012)+SUMIF(Mercado_Receita!$S$2:$S$2012,"44409B1ConvencionalResidencialResidencial baixa renda – faixa 01Não se aplicaNão se aplicaNão se aplica",Mercado_Receita!$L$2:$L$2012)</f>
        <v>10783.445</v>
      </c>
      <c r="M29" s="12">
        <f>SUMIF(Mercado_Receita!$S$2:$S$2012,"44440B1ConvencionalResidencialResidencial baixa renda – faixa 01Não se aplicaNão se aplicaPonta",Mercado_Receita!$L$2:$L$2012)+SUMIF(Mercado_Receita!$S$2:$S$2012,"44440B1ConvencionalResidencialResidencial baixa renda – faixa 01Não se aplicaNão se aplicaFora ponta",Mercado_Receita!$L$2:$L$2012)+SUMIF(Mercado_Receita!$S$2:$S$2012,"44440B1ConvencionalResidencialResidencial baixa renda – faixa 01Não se aplicaNão se aplicaIntermediário",Mercado_Receita!$L$2:$L$2012)+SUMIF(Mercado_Receita!$S$2:$S$2012,"44440B1ConvencionalResidencialResidencial baixa renda – faixa 01Não se aplicaNão se aplicaNão se aplica",Mercado_Receita!$L$2:$L$2012)</f>
        <v>10870.652</v>
      </c>
      <c r="N29" s="12">
        <f>SUMIF(Mercado_Receita!$S$2:$S$2012,"44470B1ConvencionalResidencialResidencial baixa renda – faixa 01Não se aplicaNão se aplicaPonta",Mercado_Receita!$L$2:$L$2012)+SUMIF(Mercado_Receita!$S$2:$S$2012,"44470B1ConvencionalResidencialResidencial baixa renda – faixa 01Não se aplicaNão se aplicaFora ponta",Mercado_Receita!$L$2:$L$2012)+SUMIF(Mercado_Receita!$S$2:$S$2012,"44470B1ConvencionalResidencialResidencial baixa renda – faixa 01Não se aplicaNão se aplicaIntermediário",Mercado_Receita!$L$2:$L$2012)+SUMIF(Mercado_Receita!$S$2:$S$2012,"44470B1ConvencionalResidencialResidencial baixa renda – faixa 01Não se aplicaNão se aplicaNão se aplica",Mercado_Receita!$L$2:$L$2012)</f>
        <v>10861.496999999999</v>
      </c>
      <c r="O29" s="12">
        <f>SUMIF(Mercado_Receita!$S$2:$S$2012,"44501B1ConvencionalResidencialResidencial baixa renda – faixa 01Não se aplicaNão se aplicaPonta",Mercado_Receita!$L$2:$L$2012)+SUMIF(Mercado_Receita!$S$2:$S$2012,"44501B1ConvencionalResidencialResidencial baixa renda – faixa 01Não se aplicaNão se aplicaFora ponta",Mercado_Receita!$L$2:$L$2012)+SUMIF(Mercado_Receita!$S$2:$S$2012,"44501B1ConvencionalResidencialResidencial baixa renda – faixa 01Não se aplicaNão se aplicaIntermediário",Mercado_Receita!$L$2:$L$2012)+SUMIF(Mercado_Receita!$S$2:$S$2012,"44501B1ConvencionalResidencialResidencial baixa renda – faixa 01Não se aplicaNão se aplicaNão se aplica",Mercado_Receita!$L$2:$L$2012)</f>
        <v>10916.983</v>
      </c>
      <c r="P29" s="12">
        <f>SUMIF(Mercado_Receita!$S$2:$S$2012,"44531B1ConvencionalResidencialResidencial baixa renda – faixa 01Não se aplicaNão se aplicaPonta",Mercado_Receita!$L$2:$L$2012)+SUMIF(Mercado_Receita!$S$2:$S$2012,"44531B1ConvencionalResidencialResidencial baixa renda – faixa 01Não se aplicaNão se aplicaFora ponta",Mercado_Receita!$L$2:$L$2012)+SUMIF(Mercado_Receita!$S$2:$S$2012,"44531B1ConvencionalResidencialResidencial baixa renda – faixa 01Não se aplicaNão se aplicaIntermediário",Mercado_Receita!$L$2:$L$2012)+SUMIF(Mercado_Receita!$S$2:$S$2012,"44531B1ConvencionalResidencialResidencial baixa renda – faixa 01Não se aplicaNão se aplicaNão se aplica",Mercado_Receita!$L$2:$L$2012)</f>
        <v>11470.518</v>
      </c>
      <c r="Q29" s="12">
        <f>SUMIF(Mercado_Receita!$S$2:$S$2012,"44562B1ConvencionalResidencialResidencial baixa renda – faixa 01Não se aplicaNão se aplicaPonta",Mercado_Receita!$L$2:$L$2012)+SUMIF(Mercado_Receita!$S$2:$S$2012,"44562B1ConvencionalResidencialResidencial baixa renda – faixa 01Não se aplicaNão se aplicaFora ponta",Mercado_Receita!$L$2:$L$2012)+SUMIF(Mercado_Receita!$S$2:$S$2012,"44562B1ConvencionalResidencialResidencial baixa renda – faixa 01Não se aplicaNão se aplicaIntermediário",Mercado_Receita!$L$2:$L$2012)+SUMIF(Mercado_Receita!$S$2:$S$2012,"44562B1ConvencionalResidencialResidencial baixa renda – faixa 01Não se aplicaNão se aplicaNão se aplica",Mercado_Receita!$L$2:$L$2012)</f>
        <v>12009.77</v>
      </c>
      <c r="R29" s="12">
        <f>SUMIF(Mercado_Receita!$S$2:$S$2012,"44593B1ConvencionalResidencialResidencial baixa renda – faixa 01Não se aplicaNão se aplicaPonta",Mercado_Receita!$L$2:$L$2012)+SUMIF(Mercado_Receita!$S$2:$S$2012,"44593B1ConvencionalResidencialResidencial baixa renda – faixa 01Não se aplicaNão se aplicaFora ponta",Mercado_Receita!$L$2:$L$2012)+SUMIF(Mercado_Receita!$S$2:$S$2012,"44593B1ConvencionalResidencialResidencial baixa renda – faixa 01Não se aplicaNão se aplicaIntermediário",Mercado_Receita!$L$2:$L$2012)+SUMIF(Mercado_Receita!$S$2:$S$2012,"44593B1ConvencionalResidencialResidencial baixa renda – faixa 01Não se aplicaNão se aplicaNão se aplica",Mercado_Receita!$L$2:$L$2012)</f>
        <v>11899.406999999999</v>
      </c>
      <c r="S29" s="12">
        <f>SUMIF(Mercado_Receita!$S$2:$S$2012,"44621B1ConvencionalResidencialResidencial baixa renda – faixa 01Não se aplicaNão se aplicaPonta",Mercado_Receita!$L$2:$L$2012)+SUMIF(Mercado_Receita!$S$2:$S$2012,"44621B1ConvencionalResidencialResidencial baixa renda – faixa 01Não se aplicaNão se aplicaFora ponta",Mercado_Receita!$L$2:$L$2012)+SUMIF(Mercado_Receita!$S$2:$S$2012,"44621B1ConvencionalResidencialResidencial baixa renda – faixa 01Não se aplicaNão se aplicaIntermediário",Mercado_Receita!$L$2:$L$2012)+SUMIF(Mercado_Receita!$S$2:$S$2012,"44621B1ConvencionalResidencialResidencial baixa renda – faixa 01Não se aplicaNão se aplicaNão se aplica",Mercado_Receita!$L$2:$L$2012)</f>
        <v>11920.166999999999</v>
      </c>
      <c r="T29" s="12">
        <f>SUMIF(Mercado_Receita!$S$2:$S$2012,"44652B1ConvencionalResidencialResidencial baixa renda – faixa 01Não se aplicaNão se aplicaPonta",Mercado_Receita!$L$2:$L$2012)+SUMIF(Mercado_Receita!$S$2:$S$2012,"44652B1ConvencionalResidencialResidencial baixa renda – faixa 01Não se aplicaNão se aplicaFora ponta",Mercado_Receita!$L$2:$L$2012)+SUMIF(Mercado_Receita!$S$2:$S$2012,"44652B1ConvencionalResidencialResidencial baixa renda – faixa 01Não se aplicaNão se aplicaIntermediário",Mercado_Receita!$L$2:$L$2012)+SUMIF(Mercado_Receita!$S$2:$S$2012,"44652B1ConvencionalResidencialResidencial baixa renda – faixa 01Não se aplicaNão se aplicaNão se aplica",Mercado_Receita!$L$2:$L$2012)</f>
        <v>11920.166999999999</v>
      </c>
      <c r="U29" s="12">
        <f t="shared" si="0"/>
        <v>134316.74400000001</v>
      </c>
      <c r="V29" s="12"/>
      <c r="W29" s="12"/>
    </row>
    <row r="30" spans="1:23" ht="11.25" customHeight="1" x14ac:dyDescent="0.25">
      <c r="A30" s="118"/>
      <c r="B30" s="118"/>
      <c r="C30" s="118"/>
      <c r="D30" s="13" t="s">
        <v>30</v>
      </c>
      <c r="E30" s="13" t="s">
        <v>25</v>
      </c>
      <c r="F30" s="13" t="s">
        <v>25</v>
      </c>
      <c r="G30" s="12" t="s">
        <v>96</v>
      </c>
      <c r="H30" s="12" t="s">
        <v>90</v>
      </c>
      <c r="I30" s="12">
        <f>SUMIF(Mercado_Receita!$S$2:$S$2012,"44317B1ConvencionalResidencialResidencial baixa renda – faixa 02Não se aplicaNão se aplicaPonta",Mercado_Receita!$L$2:$L$2012)+SUMIF(Mercado_Receita!$S$2:$S$2012,"44317B1ConvencionalResidencialResidencial baixa renda – faixa 02Não se aplicaNão se aplicaFora ponta",Mercado_Receita!$L$2:$L$2012)+SUMIF(Mercado_Receita!$S$2:$S$2012,"44317B1ConvencionalResidencialResidencial baixa renda – faixa 02Não se aplicaNão se aplicaIntermediário",Mercado_Receita!$L$2:$L$2012)+SUMIF(Mercado_Receita!$S$2:$S$2012,"44317B1ConvencionalResidencialResidencial baixa renda – faixa 02Não se aplicaNão se aplicaNão se aplica",Mercado_Receita!$L$2:$L$2012)</f>
        <v>16077.365</v>
      </c>
      <c r="J30" s="12">
        <f>SUMIF(Mercado_Receita!$S$2:$S$2012,"44348B1ConvencionalResidencialResidencial baixa renda – faixa 02Não se aplicaNão se aplicaPonta",Mercado_Receita!$L$2:$L$2012)+SUMIF(Mercado_Receita!$S$2:$S$2012,"44348B1ConvencionalResidencialResidencial baixa renda – faixa 02Não se aplicaNão se aplicaFora ponta",Mercado_Receita!$L$2:$L$2012)+SUMIF(Mercado_Receita!$S$2:$S$2012,"44348B1ConvencionalResidencialResidencial baixa renda – faixa 02Não se aplicaNão se aplicaIntermediário",Mercado_Receita!$L$2:$L$2012)+SUMIF(Mercado_Receita!$S$2:$S$2012,"44348B1ConvencionalResidencialResidencial baixa renda – faixa 02Não se aplicaNão se aplicaNão se aplica",Mercado_Receita!$L$2:$L$2012)</f>
        <v>15612.285</v>
      </c>
      <c r="K30" s="12">
        <f>SUMIF(Mercado_Receita!$S$2:$S$2012,"44378B1ConvencionalResidencialResidencial baixa renda – faixa 02Não se aplicaNão se aplicaPonta",Mercado_Receita!$L$2:$L$2012)+SUMIF(Mercado_Receita!$S$2:$S$2012,"44378B1ConvencionalResidencialResidencial baixa renda – faixa 02Não se aplicaNão se aplicaFora ponta",Mercado_Receita!$L$2:$L$2012)+SUMIF(Mercado_Receita!$S$2:$S$2012,"44378B1ConvencionalResidencialResidencial baixa renda – faixa 02Não se aplicaNão se aplicaIntermediário",Mercado_Receita!$L$2:$L$2012)+SUMIF(Mercado_Receita!$S$2:$S$2012,"44378B1ConvencionalResidencialResidencial baixa renda – faixa 02Não se aplicaNão se aplicaNão se aplica",Mercado_Receita!$L$2:$L$2012)</f>
        <v>14934.215</v>
      </c>
      <c r="L30" s="12">
        <f>SUMIF(Mercado_Receita!$S$2:$S$2012,"44409B1ConvencionalResidencialResidencial baixa renda – faixa 02Não se aplicaNão se aplicaPonta",Mercado_Receita!$L$2:$L$2012)+SUMIF(Mercado_Receita!$S$2:$S$2012,"44409B1ConvencionalResidencialResidencial baixa renda – faixa 02Não se aplicaNão se aplicaFora ponta",Mercado_Receita!$L$2:$L$2012)+SUMIF(Mercado_Receita!$S$2:$S$2012,"44409B1ConvencionalResidencialResidencial baixa renda – faixa 02Não se aplicaNão se aplicaIntermediário",Mercado_Receita!$L$2:$L$2012)+SUMIF(Mercado_Receita!$S$2:$S$2012,"44409B1ConvencionalResidencialResidencial baixa renda – faixa 02Não se aplicaNão se aplicaNão se aplica",Mercado_Receita!$L$2:$L$2012)</f>
        <v>14767.232</v>
      </c>
      <c r="M30" s="12">
        <f>SUMIF(Mercado_Receita!$S$2:$S$2012,"44440B1ConvencionalResidencialResidencial baixa renda – faixa 02Não se aplicaNão se aplicaPonta",Mercado_Receita!$L$2:$L$2012)+SUMIF(Mercado_Receita!$S$2:$S$2012,"44440B1ConvencionalResidencialResidencial baixa renda – faixa 02Não se aplicaNão se aplicaFora ponta",Mercado_Receita!$L$2:$L$2012)+SUMIF(Mercado_Receita!$S$2:$S$2012,"44440B1ConvencionalResidencialResidencial baixa renda – faixa 02Não se aplicaNão se aplicaIntermediário",Mercado_Receita!$L$2:$L$2012)+SUMIF(Mercado_Receita!$S$2:$S$2012,"44440B1ConvencionalResidencialResidencial baixa renda – faixa 02Não se aplicaNão se aplicaNão se aplica",Mercado_Receita!$L$2:$L$2012)</f>
        <v>15543.1</v>
      </c>
      <c r="N30" s="12">
        <f>SUMIF(Mercado_Receita!$S$2:$S$2012,"44470B1ConvencionalResidencialResidencial baixa renda – faixa 02Não se aplicaNão se aplicaPonta",Mercado_Receita!$L$2:$L$2012)+SUMIF(Mercado_Receita!$S$2:$S$2012,"44470B1ConvencionalResidencialResidencial baixa renda – faixa 02Não se aplicaNão se aplicaFora ponta",Mercado_Receita!$L$2:$L$2012)+SUMIF(Mercado_Receita!$S$2:$S$2012,"44470B1ConvencionalResidencialResidencial baixa renda – faixa 02Não se aplicaNão se aplicaIntermediário",Mercado_Receita!$L$2:$L$2012)+SUMIF(Mercado_Receita!$S$2:$S$2012,"44470B1ConvencionalResidencialResidencial baixa renda – faixa 02Não se aplicaNão se aplicaNão se aplica",Mercado_Receita!$L$2:$L$2012)</f>
        <v>16294.031000000001</v>
      </c>
      <c r="O30" s="12">
        <f>SUMIF(Mercado_Receita!$S$2:$S$2012,"44501B1ConvencionalResidencialResidencial baixa renda – faixa 02Não se aplicaNão se aplicaPonta",Mercado_Receita!$L$2:$L$2012)+SUMIF(Mercado_Receita!$S$2:$S$2012,"44501B1ConvencionalResidencialResidencial baixa renda – faixa 02Não se aplicaNão se aplicaFora ponta",Mercado_Receita!$L$2:$L$2012)+SUMIF(Mercado_Receita!$S$2:$S$2012,"44501B1ConvencionalResidencialResidencial baixa renda – faixa 02Não se aplicaNão se aplicaIntermediário",Mercado_Receita!$L$2:$L$2012)+SUMIF(Mercado_Receita!$S$2:$S$2012,"44501B1ConvencionalResidencialResidencial baixa renda – faixa 02Não se aplicaNão se aplicaNão se aplica",Mercado_Receita!$L$2:$L$2012)</f>
        <v>17100.547999999999</v>
      </c>
      <c r="P30" s="12">
        <f>SUMIF(Mercado_Receita!$S$2:$S$2012,"44531B1ConvencionalResidencialResidencial baixa renda – faixa 02Não se aplicaNão se aplicaPonta",Mercado_Receita!$L$2:$L$2012)+SUMIF(Mercado_Receita!$S$2:$S$2012,"44531B1ConvencionalResidencialResidencial baixa renda – faixa 02Não se aplicaNão se aplicaFora ponta",Mercado_Receita!$L$2:$L$2012)+SUMIF(Mercado_Receita!$S$2:$S$2012,"44531B1ConvencionalResidencialResidencial baixa renda – faixa 02Não se aplicaNão se aplicaIntermediário",Mercado_Receita!$L$2:$L$2012)+SUMIF(Mercado_Receita!$S$2:$S$2012,"44531B1ConvencionalResidencialResidencial baixa renda – faixa 02Não se aplicaNão se aplicaNão se aplica",Mercado_Receita!$L$2:$L$2012)</f>
        <v>18353.892</v>
      </c>
      <c r="Q30" s="12">
        <f>SUMIF(Mercado_Receita!$S$2:$S$2012,"44562B1ConvencionalResidencialResidencial baixa renda – faixa 02Não se aplicaNão se aplicaPonta",Mercado_Receita!$L$2:$L$2012)+SUMIF(Mercado_Receita!$S$2:$S$2012,"44562B1ConvencionalResidencialResidencial baixa renda – faixa 02Não se aplicaNão se aplicaFora ponta",Mercado_Receita!$L$2:$L$2012)+SUMIF(Mercado_Receita!$S$2:$S$2012,"44562B1ConvencionalResidencialResidencial baixa renda – faixa 02Não se aplicaNão se aplicaIntermediário",Mercado_Receita!$L$2:$L$2012)+SUMIF(Mercado_Receita!$S$2:$S$2012,"44562B1ConvencionalResidencialResidencial baixa renda – faixa 02Não se aplicaNão se aplicaNão se aplica",Mercado_Receita!$L$2:$L$2012)</f>
        <v>18870.63</v>
      </c>
      <c r="R30" s="12">
        <f>SUMIF(Mercado_Receita!$S$2:$S$2012,"44593B1ConvencionalResidencialResidencial baixa renda – faixa 02Não se aplicaNão se aplicaPonta",Mercado_Receita!$L$2:$L$2012)+SUMIF(Mercado_Receita!$S$2:$S$2012,"44593B1ConvencionalResidencialResidencial baixa renda – faixa 02Não se aplicaNão se aplicaFora ponta",Mercado_Receita!$L$2:$L$2012)+SUMIF(Mercado_Receita!$S$2:$S$2012,"44593B1ConvencionalResidencialResidencial baixa renda – faixa 02Não se aplicaNão se aplicaIntermediário",Mercado_Receita!$L$2:$L$2012)+SUMIF(Mercado_Receita!$S$2:$S$2012,"44593B1ConvencionalResidencialResidencial baixa renda – faixa 02Não se aplicaNão se aplicaNão se aplica",Mercado_Receita!$L$2:$L$2012)</f>
        <v>19059.675999999999</v>
      </c>
      <c r="S30" s="12">
        <f>SUMIF(Mercado_Receita!$S$2:$S$2012,"44621B1ConvencionalResidencialResidencial baixa renda – faixa 02Não se aplicaNão se aplicaPonta",Mercado_Receita!$L$2:$L$2012)+SUMIF(Mercado_Receita!$S$2:$S$2012,"44621B1ConvencionalResidencialResidencial baixa renda – faixa 02Não se aplicaNão se aplicaFora ponta",Mercado_Receita!$L$2:$L$2012)+SUMIF(Mercado_Receita!$S$2:$S$2012,"44621B1ConvencionalResidencialResidencial baixa renda – faixa 02Não se aplicaNão se aplicaIntermediário",Mercado_Receita!$L$2:$L$2012)+SUMIF(Mercado_Receita!$S$2:$S$2012,"44621B1ConvencionalResidencialResidencial baixa renda – faixa 02Não se aplicaNão se aplicaNão se aplica",Mercado_Receita!$L$2:$L$2012)</f>
        <v>20407.688999999998</v>
      </c>
      <c r="T30" s="12">
        <f>SUMIF(Mercado_Receita!$S$2:$S$2012,"44652B1ConvencionalResidencialResidencial baixa renda – faixa 02Não se aplicaNão se aplicaPonta",Mercado_Receita!$L$2:$L$2012)+SUMIF(Mercado_Receita!$S$2:$S$2012,"44652B1ConvencionalResidencialResidencial baixa renda – faixa 02Não se aplicaNão se aplicaFora ponta",Mercado_Receita!$L$2:$L$2012)+SUMIF(Mercado_Receita!$S$2:$S$2012,"44652B1ConvencionalResidencialResidencial baixa renda – faixa 02Não se aplicaNão se aplicaIntermediário",Mercado_Receita!$L$2:$L$2012)+SUMIF(Mercado_Receita!$S$2:$S$2012,"44652B1ConvencionalResidencialResidencial baixa renda – faixa 02Não se aplicaNão se aplicaNão se aplica",Mercado_Receita!$L$2:$L$2012)</f>
        <v>20407.688999999998</v>
      </c>
      <c r="U30" s="12">
        <f t="shared" si="0"/>
        <v>207428.35200000001</v>
      </c>
      <c r="V30" s="12"/>
      <c r="W30" s="12"/>
    </row>
    <row r="31" spans="1:23" ht="11.25" customHeight="1" x14ac:dyDescent="0.25">
      <c r="A31" s="118"/>
      <c r="B31" s="118"/>
      <c r="C31" s="118"/>
      <c r="D31" s="13" t="s">
        <v>31</v>
      </c>
      <c r="E31" s="13" t="s">
        <v>25</v>
      </c>
      <c r="F31" s="13" t="s">
        <v>25</v>
      </c>
      <c r="G31" s="12" t="s">
        <v>96</v>
      </c>
      <c r="H31" s="12" t="s">
        <v>90</v>
      </c>
      <c r="I31" s="12">
        <f>SUMIF(Mercado_Receita!$S$2:$S$2012,"44317B1ConvencionalResidencialResidencial baixa renda – faixa 03Não se aplicaNão se aplicaPonta",Mercado_Receita!$L$2:$L$2012)+SUMIF(Mercado_Receita!$S$2:$S$2012,"44317B1ConvencionalResidencialResidencial baixa renda – faixa 03Não se aplicaNão se aplicaFora ponta",Mercado_Receita!$L$2:$L$2012)+SUMIF(Mercado_Receita!$S$2:$S$2012,"44317B1ConvencionalResidencialResidencial baixa renda – faixa 03Não se aplicaNão se aplicaIntermediário",Mercado_Receita!$L$2:$L$2012)+SUMIF(Mercado_Receita!$S$2:$S$2012,"44317B1ConvencionalResidencialResidencial baixa renda – faixa 03Não se aplicaNão se aplicaNão se aplica",Mercado_Receita!$L$2:$L$2012)</f>
        <v>6241.5249999999996</v>
      </c>
      <c r="J31" s="12">
        <f>SUMIF(Mercado_Receita!$S$2:$S$2012,"44348B1ConvencionalResidencialResidencial baixa renda – faixa 03Não se aplicaNão se aplicaPonta",Mercado_Receita!$L$2:$L$2012)+SUMIF(Mercado_Receita!$S$2:$S$2012,"44348B1ConvencionalResidencialResidencial baixa renda – faixa 03Não se aplicaNão se aplicaFora ponta",Mercado_Receita!$L$2:$L$2012)+SUMIF(Mercado_Receita!$S$2:$S$2012,"44348B1ConvencionalResidencialResidencial baixa renda – faixa 03Não se aplicaNão se aplicaIntermediário",Mercado_Receita!$L$2:$L$2012)+SUMIF(Mercado_Receita!$S$2:$S$2012,"44348B1ConvencionalResidencialResidencial baixa renda – faixa 03Não se aplicaNão se aplicaNão se aplica",Mercado_Receita!$L$2:$L$2012)</f>
        <v>5574.6679999999997</v>
      </c>
      <c r="K31" s="12">
        <f>SUMIF(Mercado_Receita!$S$2:$S$2012,"44378B1ConvencionalResidencialResidencial baixa renda – faixa 03Não se aplicaNão se aplicaPonta",Mercado_Receita!$L$2:$L$2012)+SUMIF(Mercado_Receita!$S$2:$S$2012,"44378B1ConvencionalResidencialResidencial baixa renda – faixa 03Não se aplicaNão se aplicaFora ponta",Mercado_Receita!$L$2:$L$2012)+SUMIF(Mercado_Receita!$S$2:$S$2012,"44378B1ConvencionalResidencialResidencial baixa renda – faixa 03Não se aplicaNão se aplicaIntermediário",Mercado_Receita!$L$2:$L$2012)+SUMIF(Mercado_Receita!$S$2:$S$2012,"44378B1ConvencionalResidencialResidencial baixa renda – faixa 03Não se aplicaNão se aplicaNão se aplica",Mercado_Receita!$L$2:$L$2012)</f>
        <v>4570.7780000000002</v>
      </c>
      <c r="L31" s="12">
        <f>SUMIF(Mercado_Receita!$S$2:$S$2012,"44409B1ConvencionalResidencialResidencial baixa renda – faixa 03Não se aplicaNão se aplicaPonta",Mercado_Receita!$L$2:$L$2012)+SUMIF(Mercado_Receita!$S$2:$S$2012,"44409B1ConvencionalResidencialResidencial baixa renda – faixa 03Não se aplicaNão se aplicaFora ponta",Mercado_Receita!$L$2:$L$2012)+SUMIF(Mercado_Receita!$S$2:$S$2012,"44409B1ConvencionalResidencialResidencial baixa renda – faixa 03Não se aplicaNão se aplicaIntermediário",Mercado_Receita!$L$2:$L$2012)+SUMIF(Mercado_Receita!$S$2:$S$2012,"44409B1ConvencionalResidencialResidencial baixa renda – faixa 03Não se aplicaNão se aplicaNão se aplica",Mercado_Receita!$L$2:$L$2012)</f>
        <v>4280.3370000000004</v>
      </c>
      <c r="M31" s="12">
        <f>SUMIF(Mercado_Receita!$S$2:$S$2012,"44440B1ConvencionalResidencialResidencial baixa renda – faixa 03Não se aplicaNão se aplicaPonta",Mercado_Receita!$L$2:$L$2012)+SUMIF(Mercado_Receita!$S$2:$S$2012,"44440B1ConvencionalResidencialResidencial baixa renda – faixa 03Não se aplicaNão se aplicaFora ponta",Mercado_Receita!$L$2:$L$2012)+SUMIF(Mercado_Receita!$S$2:$S$2012,"44440B1ConvencionalResidencialResidencial baixa renda – faixa 03Não se aplicaNão se aplicaIntermediário",Mercado_Receita!$L$2:$L$2012)+SUMIF(Mercado_Receita!$S$2:$S$2012,"44440B1ConvencionalResidencialResidencial baixa renda – faixa 03Não se aplicaNão se aplicaNão se aplica",Mercado_Receita!$L$2:$L$2012)</f>
        <v>4982.7870000000003</v>
      </c>
      <c r="N31" s="12">
        <f>SUMIF(Mercado_Receita!$S$2:$S$2012,"44470B1ConvencionalResidencialResidencial baixa renda – faixa 03Não se aplicaNão se aplicaPonta",Mercado_Receita!$L$2:$L$2012)+SUMIF(Mercado_Receita!$S$2:$S$2012,"44470B1ConvencionalResidencialResidencial baixa renda – faixa 03Não se aplicaNão se aplicaFora ponta",Mercado_Receita!$L$2:$L$2012)+SUMIF(Mercado_Receita!$S$2:$S$2012,"44470B1ConvencionalResidencialResidencial baixa renda – faixa 03Não se aplicaNão se aplicaIntermediário",Mercado_Receita!$L$2:$L$2012)+SUMIF(Mercado_Receita!$S$2:$S$2012,"44470B1ConvencionalResidencialResidencial baixa renda – faixa 03Não se aplicaNão se aplicaNão se aplica",Mercado_Receita!$L$2:$L$2012)</f>
        <v>5808.45</v>
      </c>
      <c r="O31" s="12">
        <f>SUMIF(Mercado_Receita!$S$2:$S$2012,"44501B1ConvencionalResidencialResidencial baixa renda – faixa 03Não se aplicaNão se aplicaPonta",Mercado_Receita!$L$2:$L$2012)+SUMIF(Mercado_Receita!$S$2:$S$2012,"44501B1ConvencionalResidencialResidencial baixa renda – faixa 03Não se aplicaNão se aplicaFora ponta",Mercado_Receita!$L$2:$L$2012)+SUMIF(Mercado_Receita!$S$2:$S$2012,"44501B1ConvencionalResidencialResidencial baixa renda – faixa 03Não se aplicaNão se aplicaIntermediário",Mercado_Receita!$L$2:$L$2012)+SUMIF(Mercado_Receita!$S$2:$S$2012,"44501B1ConvencionalResidencialResidencial baixa renda – faixa 03Não se aplicaNão se aplicaNão se aplica",Mercado_Receita!$L$2:$L$2012)</f>
        <v>6793.5389999999998</v>
      </c>
      <c r="P31" s="12">
        <f>SUMIF(Mercado_Receita!$S$2:$S$2012,"44531B1ConvencionalResidencialResidencial baixa renda – faixa 03Não se aplicaNão se aplicaPonta",Mercado_Receita!$L$2:$L$2012)+SUMIF(Mercado_Receita!$S$2:$S$2012,"44531B1ConvencionalResidencialResidencial baixa renda – faixa 03Não se aplicaNão se aplicaFora ponta",Mercado_Receita!$L$2:$L$2012)+SUMIF(Mercado_Receita!$S$2:$S$2012,"44531B1ConvencionalResidencialResidencial baixa renda – faixa 03Não se aplicaNão se aplicaIntermediário",Mercado_Receita!$L$2:$L$2012)+SUMIF(Mercado_Receita!$S$2:$S$2012,"44531B1ConvencionalResidencialResidencial baixa renda – faixa 03Não se aplicaNão se aplicaNão se aplica",Mercado_Receita!$L$2:$L$2012)</f>
        <v>7819.826</v>
      </c>
      <c r="Q31" s="12">
        <f>SUMIF(Mercado_Receita!$S$2:$S$2012,"44562B1ConvencionalResidencialResidencial baixa renda – faixa 03Não se aplicaNão se aplicaPonta",Mercado_Receita!$L$2:$L$2012)+SUMIF(Mercado_Receita!$S$2:$S$2012,"44562B1ConvencionalResidencialResidencial baixa renda – faixa 03Não se aplicaNão se aplicaFora ponta",Mercado_Receita!$L$2:$L$2012)+SUMIF(Mercado_Receita!$S$2:$S$2012,"44562B1ConvencionalResidencialResidencial baixa renda – faixa 03Não se aplicaNão se aplicaIntermediário",Mercado_Receita!$L$2:$L$2012)+SUMIF(Mercado_Receita!$S$2:$S$2012,"44562B1ConvencionalResidencialResidencial baixa renda – faixa 03Não se aplicaNão se aplicaNão se aplica",Mercado_Receita!$L$2:$L$2012)</f>
        <v>7863.6009999999997</v>
      </c>
      <c r="R31" s="12">
        <f>SUMIF(Mercado_Receita!$S$2:$S$2012,"44593B1ConvencionalResidencialResidencial baixa renda – faixa 03Não se aplicaNão se aplicaPonta",Mercado_Receita!$L$2:$L$2012)+SUMIF(Mercado_Receita!$S$2:$S$2012,"44593B1ConvencionalResidencialResidencial baixa renda – faixa 03Não se aplicaNão se aplicaFora ponta",Mercado_Receita!$L$2:$L$2012)+SUMIF(Mercado_Receita!$S$2:$S$2012,"44593B1ConvencionalResidencialResidencial baixa renda – faixa 03Não se aplicaNão se aplicaIntermediário",Mercado_Receita!$L$2:$L$2012)+SUMIF(Mercado_Receita!$S$2:$S$2012,"44593B1ConvencionalResidencialResidencial baixa renda – faixa 03Não se aplicaNão se aplicaNão se aplica",Mercado_Receita!$L$2:$L$2012)</f>
        <v>7866.2489999999998</v>
      </c>
      <c r="S31" s="12">
        <f>SUMIF(Mercado_Receita!$S$2:$S$2012,"44621B1ConvencionalResidencialResidencial baixa renda – faixa 03Não se aplicaNão se aplicaPonta",Mercado_Receita!$L$2:$L$2012)+SUMIF(Mercado_Receita!$S$2:$S$2012,"44621B1ConvencionalResidencialResidencial baixa renda – faixa 03Não se aplicaNão se aplicaFora ponta",Mercado_Receita!$L$2:$L$2012)+SUMIF(Mercado_Receita!$S$2:$S$2012,"44621B1ConvencionalResidencialResidencial baixa renda – faixa 03Não se aplicaNão se aplicaIntermediário",Mercado_Receita!$L$2:$L$2012)+SUMIF(Mercado_Receita!$S$2:$S$2012,"44621B1ConvencionalResidencialResidencial baixa renda – faixa 03Não se aplicaNão se aplicaNão se aplica",Mercado_Receita!$L$2:$L$2012)</f>
        <v>9757.3469999999998</v>
      </c>
      <c r="T31" s="12">
        <f>SUMIF(Mercado_Receita!$S$2:$S$2012,"44652B1ConvencionalResidencialResidencial baixa renda – faixa 03Não se aplicaNão se aplicaPonta",Mercado_Receita!$L$2:$L$2012)+SUMIF(Mercado_Receita!$S$2:$S$2012,"44652B1ConvencionalResidencialResidencial baixa renda – faixa 03Não se aplicaNão se aplicaFora ponta",Mercado_Receita!$L$2:$L$2012)+SUMIF(Mercado_Receita!$S$2:$S$2012,"44652B1ConvencionalResidencialResidencial baixa renda – faixa 03Não se aplicaNão se aplicaIntermediário",Mercado_Receita!$L$2:$L$2012)+SUMIF(Mercado_Receita!$S$2:$S$2012,"44652B1ConvencionalResidencialResidencial baixa renda – faixa 03Não se aplicaNão se aplicaNão se aplica",Mercado_Receita!$L$2:$L$2012)</f>
        <v>9757.3469999999998</v>
      </c>
      <c r="U31" s="12">
        <f t="shared" si="0"/>
        <v>81316.453999999983</v>
      </c>
      <c r="V31" s="12"/>
      <c r="W31" s="12"/>
    </row>
    <row r="32" spans="1:23" ht="11.25" customHeight="1" x14ac:dyDescent="0.25">
      <c r="A32" s="118"/>
      <c r="B32" s="118"/>
      <c r="C32" s="118"/>
      <c r="D32" s="13" t="s">
        <v>32</v>
      </c>
      <c r="E32" s="13" t="s">
        <v>25</v>
      </c>
      <c r="F32" s="13" t="s">
        <v>25</v>
      </c>
      <c r="G32" s="12" t="s">
        <v>96</v>
      </c>
      <c r="H32" s="12" t="s">
        <v>90</v>
      </c>
      <c r="I32" s="12">
        <f>SUMIF(Mercado_Receita!$S$2:$S$2012,"44317B1ConvencionalResidencialResidencial baixa renda – faixa 04Não se aplicaNão se aplicaPonta",Mercado_Receita!$L$2:$L$2012)+SUMIF(Mercado_Receita!$S$2:$S$2012,"44317B1ConvencionalResidencialResidencial baixa renda – faixa 04Não se aplicaNão se aplicaFora ponta",Mercado_Receita!$L$2:$L$2012)+SUMIF(Mercado_Receita!$S$2:$S$2012,"44317B1ConvencionalResidencialResidencial baixa renda – faixa 04Não se aplicaNão se aplicaIntermediário",Mercado_Receita!$L$2:$L$2012)+SUMIF(Mercado_Receita!$S$2:$S$2012,"44317B1ConvencionalResidencialResidencial baixa renda – faixa 04Não se aplicaNão se aplicaNão se aplica",Mercado_Receita!$L$2:$L$2012)</f>
        <v>1251.383</v>
      </c>
      <c r="J32" s="12">
        <f>SUMIF(Mercado_Receita!$S$2:$S$2012,"44348B1ConvencionalResidencialResidencial baixa renda – faixa 04Não se aplicaNão se aplicaPonta",Mercado_Receita!$L$2:$L$2012)+SUMIF(Mercado_Receita!$S$2:$S$2012,"44348B1ConvencionalResidencialResidencial baixa renda – faixa 04Não se aplicaNão se aplicaFora ponta",Mercado_Receita!$L$2:$L$2012)+SUMIF(Mercado_Receita!$S$2:$S$2012,"44348B1ConvencionalResidencialResidencial baixa renda – faixa 04Não se aplicaNão se aplicaIntermediário",Mercado_Receita!$L$2:$L$2012)+SUMIF(Mercado_Receita!$S$2:$S$2012,"44348B1ConvencionalResidencialResidencial baixa renda – faixa 04Não se aplicaNão se aplicaNão se aplica",Mercado_Receita!$L$2:$L$2012)</f>
        <v>1007.394</v>
      </c>
      <c r="K32" s="12">
        <f>SUMIF(Mercado_Receita!$S$2:$S$2012,"44378B1ConvencionalResidencialResidencial baixa renda – faixa 04Não se aplicaNão se aplicaPonta",Mercado_Receita!$L$2:$L$2012)+SUMIF(Mercado_Receita!$S$2:$S$2012,"44378B1ConvencionalResidencialResidencial baixa renda – faixa 04Não se aplicaNão se aplicaFora ponta",Mercado_Receita!$L$2:$L$2012)+SUMIF(Mercado_Receita!$S$2:$S$2012,"44378B1ConvencionalResidencialResidencial baixa renda – faixa 04Não se aplicaNão se aplicaIntermediário",Mercado_Receita!$L$2:$L$2012)+SUMIF(Mercado_Receita!$S$2:$S$2012,"44378B1ConvencionalResidencialResidencial baixa renda – faixa 04Não se aplicaNão se aplicaNão se aplica",Mercado_Receita!$L$2:$L$2012)</f>
        <v>-235.30600000000004</v>
      </c>
      <c r="L32" s="12">
        <f>SUMIF(Mercado_Receita!$S$2:$S$2012,"44409B1ConvencionalResidencialResidencial baixa renda – faixa 04Não se aplicaNão se aplicaPonta",Mercado_Receita!$L$2:$L$2012)+SUMIF(Mercado_Receita!$S$2:$S$2012,"44409B1ConvencionalResidencialResidencial baixa renda – faixa 04Não se aplicaNão se aplicaFora ponta",Mercado_Receita!$L$2:$L$2012)+SUMIF(Mercado_Receita!$S$2:$S$2012,"44409B1ConvencionalResidencialResidencial baixa renda – faixa 04Não se aplicaNão se aplicaIntermediário",Mercado_Receita!$L$2:$L$2012)+SUMIF(Mercado_Receita!$S$2:$S$2012,"44409B1ConvencionalResidencialResidencial baixa renda – faixa 04Não se aplicaNão se aplicaNão se aplica",Mercado_Receita!$L$2:$L$2012)</f>
        <v>721.98299999999995</v>
      </c>
      <c r="M32" s="12">
        <f>SUMIF(Mercado_Receita!$S$2:$S$2012,"44440B1ConvencionalResidencialResidencial baixa renda – faixa 04Não se aplicaNão se aplicaPonta",Mercado_Receita!$L$2:$L$2012)+SUMIF(Mercado_Receita!$S$2:$S$2012,"44440B1ConvencionalResidencialResidencial baixa renda – faixa 04Não se aplicaNão se aplicaFora ponta",Mercado_Receita!$L$2:$L$2012)+SUMIF(Mercado_Receita!$S$2:$S$2012,"44440B1ConvencionalResidencialResidencial baixa renda – faixa 04Não se aplicaNão se aplicaIntermediário",Mercado_Receita!$L$2:$L$2012)+SUMIF(Mercado_Receita!$S$2:$S$2012,"44440B1ConvencionalResidencialResidencial baixa renda – faixa 04Não se aplicaNão se aplicaNão se aplica",Mercado_Receita!$L$2:$L$2012)</f>
        <v>886.71199999999999</v>
      </c>
      <c r="N32" s="12">
        <f>SUMIF(Mercado_Receita!$S$2:$S$2012,"44470B1ConvencionalResidencialResidencial baixa renda – faixa 04Não se aplicaNão se aplicaPonta",Mercado_Receita!$L$2:$L$2012)+SUMIF(Mercado_Receita!$S$2:$S$2012,"44470B1ConvencionalResidencialResidencial baixa renda – faixa 04Não se aplicaNão se aplicaFora ponta",Mercado_Receita!$L$2:$L$2012)+SUMIF(Mercado_Receita!$S$2:$S$2012,"44470B1ConvencionalResidencialResidencial baixa renda – faixa 04Não se aplicaNão se aplicaIntermediário",Mercado_Receita!$L$2:$L$2012)+SUMIF(Mercado_Receita!$S$2:$S$2012,"44470B1ConvencionalResidencialResidencial baixa renda – faixa 04Não se aplicaNão se aplicaNão se aplica",Mercado_Receita!$L$2:$L$2012)</f>
        <v>1087.183</v>
      </c>
      <c r="O32" s="12">
        <f>SUMIF(Mercado_Receita!$S$2:$S$2012,"44501B1ConvencionalResidencialResidencial baixa renda – faixa 04Não se aplicaNão se aplicaPonta",Mercado_Receita!$L$2:$L$2012)+SUMIF(Mercado_Receita!$S$2:$S$2012,"44501B1ConvencionalResidencialResidencial baixa renda – faixa 04Não se aplicaNão se aplicaFora ponta",Mercado_Receita!$L$2:$L$2012)+SUMIF(Mercado_Receita!$S$2:$S$2012,"44501B1ConvencionalResidencialResidencial baixa renda – faixa 04Não se aplicaNão se aplicaIntermediário",Mercado_Receita!$L$2:$L$2012)+SUMIF(Mercado_Receita!$S$2:$S$2012,"44501B1ConvencionalResidencialResidencial baixa renda – faixa 04Não se aplicaNão se aplicaNão se aplica",Mercado_Receita!$L$2:$L$2012)</f>
        <v>1353.7639999999999</v>
      </c>
      <c r="P32" s="12">
        <f>SUMIF(Mercado_Receita!$S$2:$S$2012,"44531B1ConvencionalResidencialResidencial baixa renda – faixa 04Não se aplicaNão se aplicaPonta",Mercado_Receita!$L$2:$L$2012)+SUMIF(Mercado_Receita!$S$2:$S$2012,"44531B1ConvencionalResidencialResidencial baixa renda – faixa 04Não se aplicaNão se aplicaFora ponta",Mercado_Receita!$L$2:$L$2012)+SUMIF(Mercado_Receita!$S$2:$S$2012,"44531B1ConvencionalResidencialResidencial baixa renda – faixa 04Não se aplicaNão se aplicaIntermediário",Mercado_Receita!$L$2:$L$2012)+SUMIF(Mercado_Receita!$S$2:$S$2012,"44531B1ConvencionalResidencialResidencial baixa renda – faixa 04Não se aplicaNão se aplicaNão se aplica",Mercado_Receita!$L$2:$L$2012)</f>
        <v>1757.1959999999999</v>
      </c>
      <c r="Q32" s="12">
        <f>SUMIF(Mercado_Receita!$S$2:$S$2012,"44562B1ConvencionalResidencialResidencial baixa renda – faixa 04Não se aplicaNão se aplicaPonta",Mercado_Receita!$L$2:$L$2012)+SUMIF(Mercado_Receita!$S$2:$S$2012,"44562B1ConvencionalResidencialResidencial baixa renda – faixa 04Não se aplicaNão se aplicaFora ponta",Mercado_Receita!$L$2:$L$2012)+SUMIF(Mercado_Receita!$S$2:$S$2012,"44562B1ConvencionalResidencialResidencial baixa renda – faixa 04Não se aplicaNão se aplicaIntermediário",Mercado_Receita!$L$2:$L$2012)+SUMIF(Mercado_Receita!$S$2:$S$2012,"44562B1ConvencionalResidencialResidencial baixa renda – faixa 04Não se aplicaNão se aplicaNão se aplica",Mercado_Receita!$L$2:$L$2012)</f>
        <v>1811.5360000000001</v>
      </c>
      <c r="R32" s="12">
        <f>SUMIF(Mercado_Receita!$S$2:$S$2012,"44593B1ConvencionalResidencialResidencial baixa renda – faixa 04Não se aplicaNão se aplicaPonta",Mercado_Receita!$L$2:$L$2012)+SUMIF(Mercado_Receita!$S$2:$S$2012,"44593B1ConvencionalResidencialResidencial baixa renda – faixa 04Não se aplicaNão se aplicaFora ponta",Mercado_Receita!$L$2:$L$2012)+SUMIF(Mercado_Receita!$S$2:$S$2012,"44593B1ConvencionalResidencialResidencial baixa renda – faixa 04Não se aplicaNão se aplicaIntermediário",Mercado_Receita!$L$2:$L$2012)+SUMIF(Mercado_Receita!$S$2:$S$2012,"44593B1ConvencionalResidencialResidencial baixa renda – faixa 04Não se aplicaNão se aplicaNão se aplica",Mercado_Receita!$L$2:$L$2012)</f>
        <v>1773.5150000000001</v>
      </c>
      <c r="S32" s="12">
        <f>SUMIF(Mercado_Receita!$S$2:$S$2012,"44621B1ConvencionalResidencialResidencial baixa renda – faixa 04Não se aplicaNão se aplicaPonta",Mercado_Receita!$L$2:$L$2012)+SUMIF(Mercado_Receita!$S$2:$S$2012,"44621B1ConvencionalResidencialResidencial baixa renda – faixa 04Não se aplicaNão se aplicaFora ponta",Mercado_Receita!$L$2:$L$2012)+SUMIF(Mercado_Receita!$S$2:$S$2012,"44621B1ConvencionalResidencialResidencial baixa renda – faixa 04Não se aplicaNão se aplicaIntermediário",Mercado_Receita!$L$2:$L$2012)+SUMIF(Mercado_Receita!$S$2:$S$2012,"44621B1ConvencionalResidencialResidencial baixa renda – faixa 04Não se aplicaNão se aplicaNão se aplica",Mercado_Receita!$L$2:$L$2012)</f>
        <v>2266.096</v>
      </c>
      <c r="T32" s="12">
        <f>SUMIF(Mercado_Receita!$S$2:$S$2012,"44652B1ConvencionalResidencialResidencial baixa renda – faixa 04Não se aplicaNão se aplicaPonta",Mercado_Receita!$L$2:$L$2012)+SUMIF(Mercado_Receita!$S$2:$S$2012,"44652B1ConvencionalResidencialResidencial baixa renda – faixa 04Não se aplicaNão se aplicaFora ponta",Mercado_Receita!$L$2:$L$2012)+SUMIF(Mercado_Receita!$S$2:$S$2012,"44652B1ConvencionalResidencialResidencial baixa renda – faixa 04Não se aplicaNão se aplicaIntermediário",Mercado_Receita!$L$2:$L$2012)+SUMIF(Mercado_Receita!$S$2:$S$2012,"44652B1ConvencionalResidencialResidencial baixa renda – faixa 04Não se aplicaNão se aplicaNão se aplica",Mercado_Receita!$L$2:$L$2012)</f>
        <v>2266.096</v>
      </c>
      <c r="U32" s="12">
        <f t="shared" si="0"/>
        <v>15947.552</v>
      </c>
      <c r="V32" s="12"/>
      <c r="W32" s="12"/>
    </row>
    <row r="33" spans="1:23" ht="11.25" customHeight="1" x14ac:dyDescent="0.25">
      <c r="A33" s="118"/>
      <c r="B33" s="117" t="s">
        <v>103</v>
      </c>
      <c r="C33" s="117" t="s">
        <v>24</v>
      </c>
      <c r="D33" s="13" t="s">
        <v>24</v>
      </c>
      <c r="E33" s="13" t="s">
        <v>25</v>
      </c>
      <c r="F33" s="13" t="s">
        <v>25</v>
      </c>
      <c r="G33" s="12" t="s">
        <v>96</v>
      </c>
      <c r="H33" s="12" t="s">
        <v>90</v>
      </c>
      <c r="I33" s="12">
        <f>SUMIF(Mercado_Receita!$S$2:$S$2012,"44317B1Convencional pré-pagamentoResidencialResidencialNão se aplicaNão se aplicaPonta",Mercado_Receita!$L$2:$L$2012)+SUMIF(Mercado_Receita!$S$2:$S$2012,"44317B1Convencional pré-pagamentoResidencialResidencialNão se aplicaNão se aplicaFora ponta",Mercado_Receita!$L$2:$L$2012)+SUMIF(Mercado_Receita!$S$2:$S$2012,"44317B1Convencional pré-pagamentoResidencialResidencialNão se aplicaNão se aplicaIntermediário",Mercado_Receita!$L$2:$L$2012)+SUMIF(Mercado_Receita!$S$2:$S$2012,"44317B1Convencional pré-pagamentoResidencialResidencialNão se aplicaNão se aplicaNão se aplica",Mercado_Receita!$L$2:$L$2012)</f>
        <v>0</v>
      </c>
      <c r="J33" s="12">
        <f>SUMIF(Mercado_Receita!$S$2:$S$2012,"44348B1Convencional pré-pagamentoResidencialResidencialNão se aplicaNão se aplicaPonta",Mercado_Receita!$L$2:$L$2012)+SUMIF(Mercado_Receita!$S$2:$S$2012,"44348B1Convencional pré-pagamentoResidencialResidencialNão se aplicaNão se aplicaFora ponta",Mercado_Receita!$L$2:$L$2012)+SUMIF(Mercado_Receita!$S$2:$S$2012,"44348B1Convencional pré-pagamentoResidencialResidencialNão se aplicaNão se aplicaIntermediário",Mercado_Receita!$L$2:$L$2012)+SUMIF(Mercado_Receita!$S$2:$S$2012,"44348B1Convencional pré-pagamentoResidencialResidencialNão se aplicaNão se aplicaNão se aplica",Mercado_Receita!$L$2:$L$2012)</f>
        <v>0</v>
      </c>
      <c r="K33" s="12">
        <f>SUMIF(Mercado_Receita!$S$2:$S$2012,"44378B1Convencional pré-pagamentoResidencialResidencialNão se aplicaNão se aplicaPonta",Mercado_Receita!$L$2:$L$2012)+SUMIF(Mercado_Receita!$S$2:$S$2012,"44378B1Convencional pré-pagamentoResidencialResidencialNão se aplicaNão se aplicaFora ponta",Mercado_Receita!$L$2:$L$2012)+SUMIF(Mercado_Receita!$S$2:$S$2012,"44378B1Convencional pré-pagamentoResidencialResidencialNão se aplicaNão se aplicaIntermediário",Mercado_Receita!$L$2:$L$2012)+SUMIF(Mercado_Receita!$S$2:$S$2012,"44378B1Convencional pré-pagamentoResidencialResidencialNão se aplicaNão se aplicaNão se aplica",Mercado_Receita!$L$2:$L$2012)</f>
        <v>0</v>
      </c>
      <c r="L33" s="12">
        <f>SUMIF(Mercado_Receita!$S$2:$S$2012,"44409B1Convencional pré-pagamentoResidencialResidencialNão se aplicaNão se aplicaPonta",Mercado_Receita!$L$2:$L$2012)+SUMIF(Mercado_Receita!$S$2:$S$2012,"44409B1Convencional pré-pagamentoResidencialResidencialNão se aplicaNão se aplicaFora ponta",Mercado_Receita!$L$2:$L$2012)+SUMIF(Mercado_Receita!$S$2:$S$2012,"44409B1Convencional pré-pagamentoResidencialResidencialNão se aplicaNão se aplicaIntermediário",Mercado_Receita!$L$2:$L$2012)+SUMIF(Mercado_Receita!$S$2:$S$2012,"44409B1Convencional pré-pagamentoResidencialResidencialNão se aplicaNão se aplicaNão se aplica",Mercado_Receita!$L$2:$L$2012)</f>
        <v>0</v>
      </c>
      <c r="M33" s="12">
        <f>SUMIF(Mercado_Receita!$S$2:$S$2012,"44440B1Convencional pré-pagamentoResidencialResidencialNão se aplicaNão se aplicaPonta",Mercado_Receita!$L$2:$L$2012)+SUMIF(Mercado_Receita!$S$2:$S$2012,"44440B1Convencional pré-pagamentoResidencialResidencialNão se aplicaNão se aplicaFora ponta",Mercado_Receita!$L$2:$L$2012)+SUMIF(Mercado_Receita!$S$2:$S$2012,"44440B1Convencional pré-pagamentoResidencialResidencialNão se aplicaNão se aplicaIntermediário",Mercado_Receita!$L$2:$L$2012)+SUMIF(Mercado_Receita!$S$2:$S$2012,"44440B1Convencional pré-pagamentoResidencialResidencialNão se aplicaNão se aplicaNão se aplica",Mercado_Receita!$L$2:$L$2012)</f>
        <v>0</v>
      </c>
      <c r="N33" s="12">
        <f>SUMIF(Mercado_Receita!$S$2:$S$2012,"44470B1Convencional pré-pagamentoResidencialResidencialNão se aplicaNão se aplicaPonta",Mercado_Receita!$L$2:$L$2012)+SUMIF(Mercado_Receita!$S$2:$S$2012,"44470B1Convencional pré-pagamentoResidencialResidencialNão se aplicaNão se aplicaFora ponta",Mercado_Receita!$L$2:$L$2012)+SUMIF(Mercado_Receita!$S$2:$S$2012,"44470B1Convencional pré-pagamentoResidencialResidencialNão se aplicaNão se aplicaIntermediário",Mercado_Receita!$L$2:$L$2012)+SUMIF(Mercado_Receita!$S$2:$S$2012,"44470B1Convencional pré-pagamentoResidencialResidencialNão se aplicaNão se aplicaNão se aplica",Mercado_Receita!$L$2:$L$2012)</f>
        <v>0</v>
      </c>
      <c r="O33" s="12">
        <f>SUMIF(Mercado_Receita!$S$2:$S$2012,"44501B1Convencional pré-pagamentoResidencialResidencialNão se aplicaNão se aplicaPonta",Mercado_Receita!$L$2:$L$2012)+SUMIF(Mercado_Receita!$S$2:$S$2012,"44501B1Convencional pré-pagamentoResidencialResidencialNão se aplicaNão se aplicaFora ponta",Mercado_Receita!$L$2:$L$2012)+SUMIF(Mercado_Receita!$S$2:$S$2012,"44501B1Convencional pré-pagamentoResidencialResidencialNão se aplicaNão se aplicaIntermediário",Mercado_Receita!$L$2:$L$2012)+SUMIF(Mercado_Receita!$S$2:$S$2012,"44501B1Convencional pré-pagamentoResidencialResidencialNão se aplicaNão se aplicaNão se aplica",Mercado_Receita!$L$2:$L$2012)</f>
        <v>0</v>
      </c>
      <c r="P33" s="12">
        <f>SUMIF(Mercado_Receita!$S$2:$S$2012,"44531B1Convencional pré-pagamentoResidencialResidencialNão se aplicaNão se aplicaPonta",Mercado_Receita!$L$2:$L$2012)+SUMIF(Mercado_Receita!$S$2:$S$2012,"44531B1Convencional pré-pagamentoResidencialResidencialNão se aplicaNão se aplicaFora ponta",Mercado_Receita!$L$2:$L$2012)+SUMIF(Mercado_Receita!$S$2:$S$2012,"44531B1Convencional pré-pagamentoResidencialResidencialNão se aplicaNão se aplicaIntermediário",Mercado_Receita!$L$2:$L$2012)+SUMIF(Mercado_Receita!$S$2:$S$2012,"44531B1Convencional pré-pagamentoResidencialResidencialNão se aplicaNão se aplicaNão se aplica",Mercado_Receita!$L$2:$L$2012)</f>
        <v>0</v>
      </c>
      <c r="Q33" s="12">
        <f>SUMIF(Mercado_Receita!$S$2:$S$2012,"44562B1Convencional pré-pagamentoResidencialResidencialNão se aplicaNão se aplicaPonta",Mercado_Receita!$L$2:$L$2012)+SUMIF(Mercado_Receita!$S$2:$S$2012,"44562B1Convencional pré-pagamentoResidencialResidencialNão se aplicaNão se aplicaFora ponta",Mercado_Receita!$L$2:$L$2012)+SUMIF(Mercado_Receita!$S$2:$S$2012,"44562B1Convencional pré-pagamentoResidencialResidencialNão se aplicaNão se aplicaIntermediário",Mercado_Receita!$L$2:$L$2012)+SUMIF(Mercado_Receita!$S$2:$S$2012,"44562B1Convencional pré-pagamentoResidencialResidencialNão se aplicaNão se aplicaNão se aplica",Mercado_Receita!$L$2:$L$2012)</f>
        <v>0</v>
      </c>
      <c r="R33" s="12">
        <f>SUMIF(Mercado_Receita!$S$2:$S$2012,"44593B1Convencional pré-pagamentoResidencialResidencialNão se aplicaNão se aplicaPonta",Mercado_Receita!$L$2:$L$2012)+SUMIF(Mercado_Receita!$S$2:$S$2012,"44593B1Convencional pré-pagamentoResidencialResidencialNão se aplicaNão se aplicaFora ponta",Mercado_Receita!$L$2:$L$2012)+SUMIF(Mercado_Receita!$S$2:$S$2012,"44593B1Convencional pré-pagamentoResidencialResidencialNão se aplicaNão se aplicaIntermediário",Mercado_Receita!$L$2:$L$2012)+SUMIF(Mercado_Receita!$S$2:$S$2012,"44593B1Convencional pré-pagamentoResidencialResidencialNão se aplicaNão se aplicaNão se aplica",Mercado_Receita!$L$2:$L$2012)</f>
        <v>0</v>
      </c>
      <c r="S33" s="12">
        <f>SUMIF(Mercado_Receita!$S$2:$S$2012,"44621B1Convencional pré-pagamentoResidencialResidencialNão se aplicaNão se aplicaPonta",Mercado_Receita!$L$2:$L$2012)+SUMIF(Mercado_Receita!$S$2:$S$2012,"44621B1Convencional pré-pagamentoResidencialResidencialNão se aplicaNão se aplicaFora ponta",Mercado_Receita!$L$2:$L$2012)+SUMIF(Mercado_Receita!$S$2:$S$2012,"44621B1Convencional pré-pagamentoResidencialResidencialNão se aplicaNão se aplicaIntermediário",Mercado_Receita!$L$2:$L$2012)+SUMIF(Mercado_Receita!$S$2:$S$2012,"44621B1Convencional pré-pagamentoResidencialResidencialNão se aplicaNão se aplicaNão se aplica",Mercado_Receita!$L$2:$L$2012)</f>
        <v>0</v>
      </c>
      <c r="T33" s="12">
        <f>SUMIF(Mercado_Receita!$S$2:$S$2012,"44652B1Convencional pré-pagamentoResidencialResidencialNão se aplicaNão se aplicaPonta",Mercado_Receita!$L$2:$L$2012)+SUMIF(Mercado_Receita!$S$2:$S$2012,"44652B1Convencional pré-pagamentoResidencialResidencialNão se aplicaNão se aplicaFora ponta",Mercado_Receita!$L$2:$L$2012)+SUMIF(Mercado_Receita!$S$2:$S$2012,"44652B1Convencional pré-pagamentoResidencialResidencialNão se aplicaNão se aplicaIntermediário",Mercado_Receita!$L$2:$L$2012)+SUMIF(Mercado_Receita!$S$2:$S$2012,"44652B1Convencional pré-pagamentoResidencialResidencialNão se aplicaNão se aplicaNão se aplica",Mercado_Receita!$L$2:$L$2012)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18"/>
      <c r="B34" s="118"/>
      <c r="C34" s="118"/>
      <c r="D34" s="13" t="s">
        <v>29</v>
      </c>
      <c r="E34" s="13" t="s">
        <v>25</v>
      </c>
      <c r="F34" s="13" t="s">
        <v>25</v>
      </c>
      <c r="G34" s="12" t="s">
        <v>96</v>
      </c>
      <c r="H34" s="12" t="s">
        <v>90</v>
      </c>
      <c r="I34" s="12">
        <f>SUMIF(Mercado_Receita!$S$2:$S$2012,"44317B1Convencional pré-pagamentoResidencialResidencial baixa renda – faixa 01Não se aplicaNão se aplicaPonta",Mercado_Receita!$L$2:$L$2012)+SUMIF(Mercado_Receita!$S$2:$S$2012,"44317B1Convencional pré-pagamentoResidencialResidencial baixa renda – faixa 01Não se aplicaNão se aplicaFora ponta",Mercado_Receita!$L$2:$L$2012)+SUMIF(Mercado_Receita!$S$2:$S$2012,"44317B1Convencional pré-pagamentoResidencialResidencial baixa renda – faixa 01Não se aplicaNão se aplicaIntermediário",Mercado_Receita!$L$2:$L$2012)+SUMIF(Mercado_Receita!$S$2:$S$2012,"44317B1Convencional pré-pagamentoResidencialResidencial baixa renda – faixa 01Não se aplicaNão se aplicaNão se aplica",Mercado_Receita!$L$2:$L$2012)</f>
        <v>0</v>
      </c>
      <c r="J34" s="12">
        <f>SUMIF(Mercado_Receita!$S$2:$S$2012,"44348B1Convencional pré-pagamentoResidencialResidencial baixa renda – faixa 01Não se aplicaNão se aplicaPonta",Mercado_Receita!$L$2:$L$2012)+SUMIF(Mercado_Receita!$S$2:$S$2012,"44348B1Convencional pré-pagamentoResidencialResidencial baixa renda – faixa 01Não se aplicaNão se aplicaFora ponta",Mercado_Receita!$L$2:$L$2012)+SUMIF(Mercado_Receita!$S$2:$S$2012,"44348B1Convencional pré-pagamentoResidencialResidencial baixa renda – faixa 01Não se aplicaNão se aplicaIntermediário",Mercado_Receita!$L$2:$L$2012)+SUMIF(Mercado_Receita!$S$2:$S$2012,"44348B1Convencional pré-pagamentoResidencialResidencial baixa renda – faixa 01Não se aplicaNão se aplicaNão se aplica",Mercado_Receita!$L$2:$L$2012)</f>
        <v>0</v>
      </c>
      <c r="K34" s="12">
        <f>SUMIF(Mercado_Receita!$S$2:$S$2012,"44378B1Convencional pré-pagamentoResidencialResidencial baixa renda – faixa 01Não se aplicaNão se aplicaPonta",Mercado_Receita!$L$2:$L$2012)+SUMIF(Mercado_Receita!$S$2:$S$2012,"44378B1Convencional pré-pagamentoResidencialResidencial baixa renda – faixa 01Não se aplicaNão se aplicaFora ponta",Mercado_Receita!$L$2:$L$2012)+SUMIF(Mercado_Receita!$S$2:$S$2012,"44378B1Convencional pré-pagamentoResidencialResidencial baixa renda – faixa 01Não se aplicaNão se aplicaIntermediário",Mercado_Receita!$L$2:$L$2012)+SUMIF(Mercado_Receita!$S$2:$S$2012,"44378B1Convencional pré-pagamentoResidencialResidencial baixa renda – faixa 01Não se aplicaNão se aplicaNão se aplica",Mercado_Receita!$L$2:$L$2012)</f>
        <v>0</v>
      </c>
      <c r="L34" s="12">
        <f>SUMIF(Mercado_Receita!$S$2:$S$2012,"44409B1Convencional pré-pagamentoResidencialResidencial baixa renda – faixa 01Não se aplicaNão se aplicaPonta",Mercado_Receita!$L$2:$L$2012)+SUMIF(Mercado_Receita!$S$2:$S$2012,"44409B1Convencional pré-pagamentoResidencialResidencial baixa renda – faixa 01Não se aplicaNão se aplicaFora ponta",Mercado_Receita!$L$2:$L$2012)+SUMIF(Mercado_Receita!$S$2:$S$2012,"44409B1Convencional pré-pagamentoResidencialResidencial baixa renda – faixa 01Não se aplicaNão se aplicaIntermediário",Mercado_Receita!$L$2:$L$2012)+SUMIF(Mercado_Receita!$S$2:$S$2012,"44409B1Convencional pré-pagamentoResidencialResidencial baixa renda – faixa 01Não se aplicaNão se aplicaNão se aplica",Mercado_Receita!$L$2:$L$2012)</f>
        <v>0</v>
      </c>
      <c r="M34" s="12">
        <f>SUMIF(Mercado_Receita!$S$2:$S$2012,"44440B1Convencional pré-pagamentoResidencialResidencial baixa renda – faixa 01Não se aplicaNão se aplicaPonta",Mercado_Receita!$L$2:$L$2012)+SUMIF(Mercado_Receita!$S$2:$S$2012,"44440B1Convencional pré-pagamentoResidencialResidencial baixa renda – faixa 01Não se aplicaNão se aplicaFora ponta",Mercado_Receita!$L$2:$L$2012)+SUMIF(Mercado_Receita!$S$2:$S$2012,"44440B1Convencional pré-pagamentoResidencialResidencial baixa renda – faixa 01Não se aplicaNão se aplicaIntermediário",Mercado_Receita!$L$2:$L$2012)+SUMIF(Mercado_Receita!$S$2:$S$2012,"44440B1Convencional pré-pagamentoResidencialResidencial baixa renda – faixa 01Não se aplicaNão se aplicaNão se aplica",Mercado_Receita!$L$2:$L$2012)</f>
        <v>0</v>
      </c>
      <c r="N34" s="12">
        <f>SUMIF(Mercado_Receita!$S$2:$S$2012,"44470B1Convencional pré-pagamentoResidencialResidencial baixa renda – faixa 01Não se aplicaNão se aplicaPonta",Mercado_Receita!$L$2:$L$2012)+SUMIF(Mercado_Receita!$S$2:$S$2012,"44470B1Convencional pré-pagamentoResidencialResidencial baixa renda – faixa 01Não se aplicaNão se aplicaFora ponta",Mercado_Receita!$L$2:$L$2012)+SUMIF(Mercado_Receita!$S$2:$S$2012,"44470B1Convencional pré-pagamentoResidencialResidencial baixa renda – faixa 01Não se aplicaNão se aplicaIntermediário",Mercado_Receita!$L$2:$L$2012)+SUMIF(Mercado_Receita!$S$2:$S$2012,"44470B1Convencional pré-pagamentoResidencialResidencial baixa renda – faixa 01Não se aplicaNão se aplicaNão se aplica",Mercado_Receita!$L$2:$L$2012)</f>
        <v>0</v>
      </c>
      <c r="O34" s="12">
        <f>SUMIF(Mercado_Receita!$S$2:$S$2012,"44501B1Convencional pré-pagamentoResidencialResidencial baixa renda – faixa 01Não se aplicaNão se aplicaPonta",Mercado_Receita!$L$2:$L$2012)+SUMIF(Mercado_Receita!$S$2:$S$2012,"44501B1Convencional pré-pagamentoResidencialResidencial baixa renda – faixa 01Não se aplicaNão se aplicaFora ponta",Mercado_Receita!$L$2:$L$2012)+SUMIF(Mercado_Receita!$S$2:$S$2012,"44501B1Convencional pré-pagamentoResidencialResidencial baixa renda – faixa 01Não se aplicaNão se aplicaIntermediário",Mercado_Receita!$L$2:$L$2012)+SUMIF(Mercado_Receita!$S$2:$S$2012,"44501B1Convencional pré-pagamentoResidencialResidencial baixa renda – faixa 01Não se aplicaNão se aplicaNão se aplica",Mercado_Receita!$L$2:$L$2012)</f>
        <v>0</v>
      </c>
      <c r="P34" s="12">
        <f>SUMIF(Mercado_Receita!$S$2:$S$2012,"44531B1Convencional pré-pagamentoResidencialResidencial baixa renda – faixa 01Não se aplicaNão se aplicaPonta",Mercado_Receita!$L$2:$L$2012)+SUMIF(Mercado_Receita!$S$2:$S$2012,"44531B1Convencional pré-pagamentoResidencialResidencial baixa renda – faixa 01Não se aplicaNão se aplicaFora ponta",Mercado_Receita!$L$2:$L$2012)+SUMIF(Mercado_Receita!$S$2:$S$2012,"44531B1Convencional pré-pagamentoResidencialResidencial baixa renda – faixa 01Não se aplicaNão se aplicaIntermediário",Mercado_Receita!$L$2:$L$2012)+SUMIF(Mercado_Receita!$S$2:$S$2012,"44531B1Convencional pré-pagamentoResidencialResidencial baixa renda – faixa 01Não se aplicaNão se aplicaNão se aplica",Mercado_Receita!$L$2:$L$2012)</f>
        <v>0</v>
      </c>
      <c r="Q34" s="12">
        <f>SUMIF(Mercado_Receita!$S$2:$S$2012,"44562B1Convencional pré-pagamentoResidencialResidencial baixa renda – faixa 01Não se aplicaNão se aplicaPonta",Mercado_Receita!$L$2:$L$2012)+SUMIF(Mercado_Receita!$S$2:$S$2012,"44562B1Convencional pré-pagamentoResidencialResidencial baixa renda – faixa 01Não se aplicaNão se aplicaFora ponta",Mercado_Receita!$L$2:$L$2012)+SUMIF(Mercado_Receita!$S$2:$S$2012,"44562B1Convencional pré-pagamentoResidencialResidencial baixa renda – faixa 01Não se aplicaNão se aplicaIntermediário",Mercado_Receita!$L$2:$L$2012)+SUMIF(Mercado_Receita!$S$2:$S$2012,"44562B1Convencional pré-pagamentoResidencialResidencial baixa renda – faixa 01Não se aplicaNão se aplicaNão se aplica",Mercado_Receita!$L$2:$L$2012)</f>
        <v>0</v>
      </c>
      <c r="R34" s="12">
        <f>SUMIF(Mercado_Receita!$S$2:$S$2012,"44593B1Convencional pré-pagamentoResidencialResidencial baixa renda – faixa 01Não se aplicaNão se aplicaPonta",Mercado_Receita!$L$2:$L$2012)+SUMIF(Mercado_Receita!$S$2:$S$2012,"44593B1Convencional pré-pagamentoResidencialResidencial baixa renda – faixa 01Não se aplicaNão se aplicaFora ponta",Mercado_Receita!$L$2:$L$2012)+SUMIF(Mercado_Receita!$S$2:$S$2012,"44593B1Convencional pré-pagamentoResidencialResidencial baixa renda – faixa 01Não se aplicaNão se aplicaIntermediário",Mercado_Receita!$L$2:$L$2012)+SUMIF(Mercado_Receita!$S$2:$S$2012,"44593B1Convencional pré-pagamentoResidencialResidencial baixa renda – faixa 01Não se aplicaNão se aplicaNão se aplica",Mercado_Receita!$L$2:$L$2012)</f>
        <v>0</v>
      </c>
      <c r="S34" s="12">
        <f>SUMIF(Mercado_Receita!$S$2:$S$2012,"44621B1Convencional pré-pagamentoResidencialResidencial baixa renda – faixa 01Não se aplicaNão se aplicaPonta",Mercado_Receita!$L$2:$L$2012)+SUMIF(Mercado_Receita!$S$2:$S$2012,"44621B1Convencional pré-pagamentoResidencialResidencial baixa renda – faixa 01Não se aplicaNão se aplicaFora ponta",Mercado_Receita!$L$2:$L$2012)+SUMIF(Mercado_Receita!$S$2:$S$2012,"44621B1Convencional pré-pagamentoResidencialResidencial baixa renda – faixa 01Não se aplicaNão se aplicaIntermediário",Mercado_Receita!$L$2:$L$2012)+SUMIF(Mercado_Receita!$S$2:$S$2012,"44621B1Convencional pré-pagamentoResidencialResidencial baixa renda – faixa 01Não se aplicaNão se aplicaNão se aplica",Mercado_Receita!$L$2:$L$2012)</f>
        <v>0</v>
      </c>
      <c r="T34" s="12">
        <f>SUMIF(Mercado_Receita!$S$2:$S$2012,"44652B1Convencional pré-pagamentoResidencialResidencial baixa renda – faixa 01Não se aplicaNão se aplicaPonta",Mercado_Receita!$L$2:$L$2012)+SUMIF(Mercado_Receita!$S$2:$S$2012,"44652B1Convencional pré-pagamentoResidencialResidencial baixa renda – faixa 01Não se aplicaNão se aplicaFora ponta",Mercado_Receita!$L$2:$L$2012)+SUMIF(Mercado_Receita!$S$2:$S$2012,"44652B1Convencional pré-pagamentoResidencialResidencial baixa renda – faixa 01Não se aplicaNão se aplicaIntermediário",Mercado_Receita!$L$2:$L$2012)+SUMIF(Mercado_Receita!$S$2:$S$2012,"44652B1Convencional pré-pagamentoResidencialResidencial baixa renda – faixa 01Não se aplicaNão se aplicaNão se aplica",Mercado_Receita!$L$2:$L$2012)</f>
        <v>0</v>
      </c>
      <c r="U34" s="12">
        <f t="shared" ref="U34:U59" si="1">SUM(I34:T34)</f>
        <v>0</v>
      </c>
      <c r="V34" s="12"/>
      <c r="W34" s="12"/>
    </row>
    <row r="35" spans="1:23" ht="11.25" customHeight="1" x14ac:dyDescent="0.25">
      <c r="A35" s="118"/>
      <c r="B35" s="118"/>
      <c r="C35" s="118"/>
      <c r="D35" s="13" t="s">
        <v>30</v>
      </c>
      <c r="E35" s="13" t="s">
        <v>25</v>
      </c>
      <c r="F35" s="13" t="s">
        <v>25</v>
      </c>
      <c r="G35" s="12" t="s">
        <v>96</v>
      </c>
      <c r="H35" s="12" t="s">
        <v>90</v>
      </c>
      <c r="I35" s="12">
        <f>SUMIF(Mercado_Receita!$S$2:$S$2012,"44317B1Convencional pré-pagamentoResidencialResidencial baixa renda – faixa 02Não se aplicaNão se aplicaPonta",Mercado_Receita!$L$2:$L$2012)+SUMIF(Mercado_Receita!$S$2:$S$2012,"44317B1Convencional pré-pagamentoResidencialResidencial baixa renda – faixa 02Não se aplicaNão se aplicaFora ponta",Mercado_Receita!$L$2:$L$2012)+SUMIF(Mercado_Receita!$S$2:$S$2012,"44317B1Convencional pré-pagamentoResidencialResidencial baixa renda – faixa 02Não se aplicaNão se aplicaIntermediário",Mercado_Receita!$L$2:$L$2012)+SUMIF(Mercado_Receita!$S$2:$S$2012,"44317B1Convencional pré-pagamentoResidencialResidencial baixa renda – faixa 02Não se aplicaNão se aplicaNão se aplica",Mercado_Receita!$L$2:$L$2012)</f>
        <v>0</v>
      </c>
      <c r="J35" s="12">
        <f>SUMIF(Mercado_Receita!$S$2:$S$2012,"44348B1Convencional pré-pagamentoResidencialResidencial baixa renda – faixa 02Não se aplicaNão se aplicaPonta",Mercado_Receita!$L$2:$L$2012)+SUMIF(Mercado_Receita!$S$2:$S$2012,"44348B1Convencional pré-pagamentoResidencialResidencial baixa renda – faixa 02Não se aplicaNão se aplicaFora ponta",Mercado_Receita!$L$2:$L$2012)+SUMIF(Mercado_Receita!$S$2:$S$2012,"44348B1Convencional pré-pagamentoResidencialResidencial baixa renda – faixa 02Não se aplicaNão se aplicaIntermediário",Mercado_Receita!$L$2:$L$2012)+SUMIF(Mercado_Receita!$S$2:$S$2012,"44348B1Convencional pré-pagamentoResidencialResidencial baixa renda – faixa 02Não se aplicaNão se aplicaNão se aplica",Mercado_Receita!$L$2:$L$2012)</f>
        <v>0</v>
      </c>
      <c r="K35" s="12">
        <f>SUMIF(Mercado_Receita!$S$2:$S$2012,"44378B1Convencional pré-pagamentoResidencialResidencial baixa renda – faixa 02Não se aplicaNão se aplicaPonta",Mercado_Receita!$L$2:$L$2012)+SUMIF(Mercado_Receita!$S$2:$S$2012,"44378B1Convencional pré-pagamentoResidencialResidencial baixa renda – faixa 02Não se aplicaNão se aplicaFora ponta",Mercado_Receita!$L$2:$L$2012)+SUMIF(Mercado_Receita!$S$2:$S$2012,"44378B1Convencional pré-pagamentoResidencialResidencial baixa renda – faixa 02Não se aplicaNão se aplicaIntermediário",Mercado_Receita!$L$2:$L$2012)+SUMIF(Mercado_Receita!$S$2:$S$2012,"44378B1Convencional pré-pagamentoResidencialResidencial baixa renda – faixa 02Não se aplicaNão se aplicaNão se aplica",Mercado_Receita!$L$2:$L$2012)</f>
        <v>0</v>
      </c>
      <c r="L35" s="12">
        <f>SUMIF(Mercado_Receita!$S$2:$S$2012,"44409B1Convencional pré-pagamentoResidencialResidencial baixa renda – faixa 02Não se aplicaNão se aplicaPonta",Mercado_Receita!$L$2:$L$2012)+SUMIF(Mercado_Receita!$S$2:$S$2012,"44409B1Convencional pré-pagamentoResidencialResidencial baixa renda – faixa 02Não se aplicaNão se aplicaFora ponta",Mercado_Receita!$L$2:$L$2012)+SUMIF(Mercado_Receita!$S$2:$S$2012,"44409B1Convencional pré-pagamentoResidencialResidencial baixa renda – faixa 02Não se aplicaNão se aplicaIntermediário",Mercado_Receita!$L$2:$L$2012)+SUMIF(Mercado_Receita!$S$2:$S$2012,"44409B1Convencional pré-pagamentoResidencialResidencial baixa renda – faixa 02Não se aplicaNão se aplicaNão se aplica",Mercado_Receita!$L$2:$L$2012)</f>
        <v>0</v>
      </c>
      <c r="M35" s="12">
        <f>SUMIF(Mercado_Receita!$S$2:$S$2012,"44440B1Convencional pré-pagamentoResidencialResidencial baixa renda – faixa 02Não se aplicaNão se aplicaPonta",Mercado_Receita!$L$2:$L$2012)+SUMIF(Mercado_Receita!$S$2:$S$2012,"44440B1Convencional pré-pagamentoResidencialResidencial baixa renda – faixa 02Não se aplicaNão se aplicaFora ponta",Mercado_Receita!$L$2:$L$2012)+SUMIF(Mercado_Receita!$S$2:$S$2012,"44440B1Convencional pré-pagamentoResidencialResidencial baixa renda – faixa 02Não se aplicaNão se aplicaIntermediário",Mercado_Receita!$L$2:$L$2012)+SUMIF(Mercado_Receita!$S$2:$S$2012,"44440B1Convencional pré-pagamentoResidencialResidencial baixa renda – faixa 02Não se aplicaNão se aplicaNão se aplica",Mercado_Receita!$L$2:$L$2012)</f>
        <v>0</v>
      </c>
      <c r="N35" s="12">
        <f>SUMIF(Mercado_Receita!$S$2:$S$2012,"44470B1Convencional pré-pagamentoResidencialResidencial baixa renda – faixa 02Não se aplicaNão se aplicaPonta",Mercado_Receita!$L$2:$L$2012)+SUMIF(Mercado_Receita!$S$2:$S$2012,"44470B1Convencional pré-pagamentoResidencialResidencial baixa renda – faixa 02Não se aplicaNão se aplicaFora ponta",Mercado_Receita!$L$2:$L$2012)+SUMIF(Mercado_Receita!$S$2:$S$2012,"44470B1Convencional pré-pagamentoResidencialResidencial baixa renda – faixa 02Não se aplicaNão se aplicaIntermediário",Mercado_Receita!$L$2:$L$2012)+SUMIF(Mercado_Receita!$S$2:$S$2012,"44470B1Convencional pré-pagamentoResidencialResidencial baixa renda – faixa 02Não se aplicaNão se aplicaNão se aplica",Mercado_Receita!$L$2:$L$2012)</f>
        <v>0</v>
      </c>
      <c r="O35" s="12">
        <f>SUMIF(Mercado_Receita!$S$2:$S$2012,"44501B1Convencional pré-pagamentoResidencialResidencial baixa renda – faixa 02Não se aplicaNão se aplicaPonta",Mercado_Receita!$L$2:$L$2012)+SUMIF(Mercado_Receita!$S$2:$S$2012,"44501B1Convencional pré-pagamentoResidencialResidencial baixa renda – faixa 02Não se aplicaNão se aplicaFora ponta",Mercado_Receita!$L$2:$L$2012)+SUMIF(Mercado_Receita!$S$2:$S$2012,"44501B1Convencional pré-pagamentoResidencialResidencial baixa renda – faixa 02Não se aplicaNão se aplicaIntermediário",Mercado_Receita!$L$2:$L$2012)+SUMIF(Mercado_Receita!$S$2:$S$2012,"44501B1Convencional pré-pagamentoResidencialResidencial baixa renda – faixa 02Não se aplicaNão se aplicaNão se aplica",Mercado_Receita!$L$2:$L$2012)</f>
        <v>0</v>
      </c>
      <c r="P35" s="12">
        <f>SUMIF(Mercado_Receita!$S$2:$S$2012,"44531B1Convencional pré-pagamentoResidencialResidencial baixa renda – faixa 02Não se aplicaNão se aplicaPonta",Mercado_Receita!$L$2:$L$2012)+SUMIF(Mercado_Receita!$S$2:$S$2012,"44531B1Convencional pré-pagamentoResidencialResidencial baixa renda – faixa 02Não se aplicaNão se aplicaFora ponta",Mercado_Receita!$L$2:$L$2012)+SUMIF(Mercado_Receita!$S$2:$S$2012,"44531B1Convencional pré-pagamentoResidencialResidencial baixa renda – faixa 02Não se aplicaNão se aplicaIntermediário",Mercado_Receita!$L$2:$L$2012)+SUMIF(Mercado_Receita!$S$2:$S$2012,"44531B1Convencional pré-pagamentoResidencialResidencial baixa renda – faixa 02Não se aplicaNão se aplicaNão se aplica",Mercado_Receita!$L$2:$L$2012)</f>
        <v>0</v>
      </c>
      <c r="Q35" s="12">
        <f>SUMIF(Mercado_Receita!$S$2:$S$2012,"44562B1Convencional pré-pagamentoResidencialResidencial baixa renda – faixa 02Não se aplicaNão se aplicaPonta",Mercado_Receita!$L$2:$L$2012)+SUMIF(Mercado_Receita!$S$2:$S$2012,"44562B1Convencional pré-pagamentoResidencialResidencial baixa renda – faixa 02Não se aplicaNão se aplicaFora ponta",Mercado_Receita!$L$2:$L$2012)+SUMIF(Mercado_Receita!$S$2:$S$2012,"44562B1Convencional pré-pagamentoResidencialResidencial baixa renda – faixa 02Não se aplicaNão se aplicaIntermediário",Mercado_Receita!$L$2:$L$2012)+SUMIF(Mercado_Receita!$S$2:$S$2012,"44562B1Convencional pré-pagamentoResidencialResidencial baixa renda – faixa 02Não se aplicaNão se aplicaNão se aplica",Mercado_Receita!$L$2:$L$2012)</f>
        <v>0</v>
      </c>
      <c r="R35" s="12">
        <f>SUMIF(Mercado_Receita!$S$2:$S$2012,"44593B1Convencional pré-pagamentoResidencialResidencial baixa renda – faixa 02Não se aplicaNão se aplicaPonta",Mercado_Receita!$L$2:$L$2012)+SUMIF(Mercado_Receita!$S$2:$S$2012,"44593B1Convencional pré-pagamentoResidencialResidencial baixa renda – faixa 02Não se aplicaNão se aplicaFora ponta",Mercado_Receita!$L$2:$L$2012)+SUMIF(Mercado_Receita!$S$2:$S$2012,"44593B1Convencional pré-pagamentoResidencialResidencial baixa renda – faixa 02Não se aplicaNão se aplicaIntermediário",Mercado_Receita!$L$2:$L$2012)+SUMIF(Mercado_Receita!$S$2:$S$2012,"44593B1Convencional pré-pagamentoResidencialResidencial baixa renda – faixa 02Não se aplicaNão se aplicaNão se aplica",Mercado_Receita!$L$2:$L$2012)</f>
        <v>0</v>
      </c>
      <c r="S35" s="12">
        <f>SUMIF(Mercado_Receita!$S$2:$S$2012,"44621B1Convencional pré-pagamentoResidencialResidencial baixa renda – faixa 02Não se aplicaNão se aplicaPonta",Mercado_Receita!$L$2:$L$2012)+SUMIF(Mercado_Receita!$S$2:$S$2012,"44621B1Convencional pré-pagamentoResidencialResidencial baixa renda – faixa 02Não se aplicaNão se aplicaFora ponta",Mercado_Receita!$L$2:$L$2012)+SUMIF(Mercado_Receita!$S$2:$S$2012,"44621B1Convencional pré-pagamentoResidencialResidencial baixa renda – faixa 02Não se aplicaNão se aplicaIntermediário",Mercado_Receita!$L$2:$L$2012)+SUMIF(Mercado_Receita!$S$2:$S$2012,"44621B1Convencional pré-pagamentoResidencialResidencial baixa renda – faixa 02Não se aplicaNão se aplicaNão se aplica",Mercado_Receita!$L$2:$L$2012)</f>
        <v>0</v>
      </c>
      <c r="T35" s="12">
        <f>SUMIF(Mercado_Receita!$S$2:$S$2012,"44652B1Convencional pré-pagamentoResidencialResidencial baixa renda – faixa 02Não se aplicaNão se aplicaPonta",Mercado_Receita!$L$2:$L$2012)+SUMIF(Mercado_Receita!$S$2:$S$2012,"44652B1Convencional pré-pagamentoResidencialResidencial baixa renda – faixa 02Não se aplicaNão se aplicaFora ponta",Mercado_Receita!$L$2:$L$2012)+SUMIF(Mercado_Receita!$S$2:$S$2012,"44652B1Convencional pré-pagamentoResidencialResidencial baixa renda – faixa 02Não se aplicaNão se aplicaIntermediário",Mercado_Receita!$L$2:$L$2012)+SUMIF(Mercado_Receita!$S$2:$S$2012,"44652B1Convencional pré-pagamentoResidencialResidencial baixa renda – faixa 02Não se aplicaNão se aplicaNão se aplica",Mercado_Receita!$L$2:$L$2012)</f>
        <v>0</v>
      </c>
      <c r="U35" s="12">
        <f t="shared" si="1"/>
        <v>0</v>
      </c>
      <c r="V35" s="12"/>
      <c r="W35" s="12"/>
    </row>
    <row r="36" spans="1:23" ht="11.25" customHeight="1" x14ac:dyDescent="0.25">
      <c r="A36" s="118"/>
      <c r="B36" s="118"/>
      <c r="C36" s="118"/>
      <c r="D36" s="13" t="s">
        <v>31</v>
      </c>
      <c r="E36" s="13" t="s">
        <v>25</v>
      </c>
      <c r="F36" s="13" t="s">
        <v>25</v>
      </c>
      <c r="G36" s="12" t="s">
        <v>96</v>
      </c>
      <c r="H36" s="12" t="s">
        <v>90</v>
      </c>
      <c r="I36" s="12">
        <f>SUMIF(Mercado_Receita!$S$2:$S$2012,"44317B1Convencional pré-pagamentoResidencialResidencial baixa renda – faixa 03Não se aplicaNão se aplicaPonta",Mercado_Receita!$L$2:$L$2012)+SUMIF(Mercado_Receita!$S$2:$S$2012,"44317B1Convencional pré-pagamentoResidencialResidencial baixa renda – faixa 03Não se aplicaNão se aplicaFora ponta",Mercado_Receita!$L$2:$L$2012)+SUMIF(Mercado_Receita!$S$2:$S$2012,"44317B1Convencional pré-pagamentoResidencialResidencial baixa renda – faixa 03Não se aplicaNão se aplicaIntermediário",Mercado_Receita!$L$2:$L$2012)+SUMIF(Mercado_Receita!$S$2:$S$2012,"44317B1Convencional pré-pagamentoResidencialResidencial baixa renda – faixa 03Não se aplicaNão se aplicaNão se aplica",Mercado_Receita!$L$2:$L$2012)</f>
        <v>0</v>
      </c>
      <c r="J36" s="12">
        <f>SUMIF(Mercado_Receita!$S$2:$S$2012,"44348B1Convencional pré-pagamentoResidencialResidencial baixa renda – faixa 03Não se aplicaNão se aplicaPonta",Mercado_Receita!$L$2:$L$2012)+SUMIF(Mercado_Receita!$S$2:$S$2012,"44348B1Convencional pré-pagamentoResidencialResidencial baixa renda – faixa 03Não se aplicaNão se aplicaFora ponta",Mercado_Receita!$L$2:$L$2012)+SUMIF(Mercado_Receita!$S$2:$S$2012,"44348B1Convencional pré-pagamentoResidencialResidencial baixa renda – faixa 03Não se aplicaNão se aplicaIntermediário",Mercado_Receita!$L$2:$L$2012)+SUMIF(Mercado_Receita!$S$2:$S$2012,"44348B1Convencional pré-pagamentoResidencialResidencial baixa renda – faixa 03Não se aplicaNão se aplicaNão se aplica",Mercado_Receita!$L$2:$L$2012)</f>
        <v>0</v>
      </c>
      <c r="K36" s="12">
        <f>SUMIF(Mercado_Receita!$S$2:$S$2012,"44378B1Convencional pré-pagamentoResidencialResidencial baixa renda – faixa 03Não se aplicaNão se aplicaPonta",Mercado_Receita!$L$2:$L$2012)+SUMIF(Mercado_Receita!$S$2:$S$2012,"44378B1Convencional pré-pagamentoResidencialResidencial baixa renda – faixa 03Não se aplicaNão se aplicaFora ponta",Mercado_Receita!$L$2:$L$2012)+SUMIF(Mercado_Receita!$S$2:$S$2012,"44378B1Convencional pré-pagamentoResidencialResidencial baixa renda – faixa 03Não se aplicaNão se aplicaIntermediário",Mercado_Receita!$L$2:$L$2012)+SUMIF(Mercado_Receita!$S$2:$S$2012,"44378B1Convencional pré-pagamentoResidencialResidencial baixa renda – faixa 03Não se aplicaNão se aplicaNão se aplica",Mercado_Receita!$L$2:$L$2012)</f>
        <v>0</v>
      </c>
      <c r="L36" s="12">
        <f>SUMIF(Mercado_Receita!$S$2:$S$2012,"44409B1Convencional pré-pagamentoResidencialResidencial baixa renda – faixa 03Não se aplicaNão se aplicaPonta",Mercado_Receita!$L$2:$L$2012)+SUMIF(Mercado_Receita!$S$2:$S$2012,"44409B1Convencional pré-pagamentoResidencialResidencial baixa renda – faixa 03Não se aplicaNão se aplicaFora ponta",Mercado_Receita!$L$2:$L$2012)+SUMIF(Mercado_Receita!$S$2:$S$2012,"44409B1Convencional pré-pagamentoResidencialResidencial baixa renda – faixa 03Não se aplicaNão se aplicaIntermediário",Mercado_Receita!$L$2:$L$2012)+SUMIF(Mercado_Receita!$S$2:$S$2012,"44409B1Convencional pré-pagamentoResidencialResidencial baixa renda – faixa 03Não se aplicaNão se aplicaNão se aplica",Mercado_Receita!$L$2:$L$2012)</f>
        <v>0</v>
      </c>
      <c r="M36" s="12">
        <f>SUMIF(Mercado_Receita!$S$2:$S$2012,"44440B1Convencional pré-pagamentoResidencialResidencial baixa renda – faixa 03Não se aplicaNão se aplicaPonta",Mercado_Receita!$L$2:$L$2012)+SUMIF(Mercado_Receita!$S$2:$S$2012,"44440B1Convencional pré-pagamentoResidencialResidencial baixa renda – faixa 03Não se aplicaNão se aplicaFora ponta",Mercado_Receita!$L$2:$L$2012)+SUMIF(Mercado_Receita!$S$2:$S$2012,"44440B1Convencional pré-pagamentoResidencialResidencial baixa renda – faixa 03Não se aplicaNão se aplicaIntermediário",Mercado_Receita!$L$2:$L$2012)+SUMIF(Mercado_Receita!$S$2:$S$2012,"44440B1Convencional pré-pagamentoResidencialResidencial baixa renda – faixa 03Não se aplicaNão se aplicaNão se aplica",Mercado_Receita!$L$2:$L$2012)</f>
        <v>0</v>
      </c>
      <c r="N36" s="12">
        <f>SUMIF(Mercado_Receita!$S$2:$S$2012,"44470B1Convencional pré-pagamentoResidencialResidencial baixa renda – faixa 03Não se aplicaNão se aplicaPonta",Mercado_Receita!$L$2:$L$2012)+SUMIF(Mercado_Receita!$S$2:$S$2012,"44470B1Convencional pré-pagamentoResidencialResidencial baixa renda – faixa 03Não se aplicaNão se aplicaFora ponta",Mercado_Receita!$L$2:$L$2012)+SUMIF(Mercado_Receita!$S$2:$S$2012,"44470B1Convencional pré-pagamentoResidencialResidencial baixa renda – faixa 03Não se aplicaNão se aplicaIntermediário",Mercado_Receita!$L$2:$L$2012)+SUMIF(Mercado_Receita!$S$2:$S$2012,"44470B1Convencional pré-pagamentoResidencialResidencial baixa renda – faixa 03Não se aplicaNão se aplicaNão se aplica",Mercado_Receita!$L$2:$L$2012)</f>
        <v>0</v>
      </c>
      <c r="O36" s="12">
        <f>SUMIF(Mercado_Receita!$S$2:$S$2012,"44501B1Convencional pré-pagamentoResidencialResidencial baixa renda – faixa 03Não se aplicaNão se aplicaPonta",Mercado_Receita!$L$2:$L$2012)+SUMIF(Mercado_Receita!$S$2:$S$2012,"44501B1Convencional pré-pagamentoResidencialResidencial baixa renda – faixa 03Não se aplicaNão se aplicaFora ponta",Mercado_Receita!$L$2:$L$2012)+SUMIF(Mercado_Receita!$S$2:$S$2012,"44501B1Convencional pré-pagamentoResidencialResidencial baixa renda – faixa 03Não se aplicaNão se aplicaIntermediário",Mercado_Receita!$L$2:$L$2012)+SUMIF(Mercado_Receita!$S$2:$S$2012,"44501B1Convencional pré-pagamentoResidencialResidencial baixa renda – faixa 03Não se aplicaNão se aplicaNão se aplica",Mercado_Receita!$L$2:$L$2012)</f>
        <v>0</v>
      </c>
      <c r="P36" s="12">
        <f>SUMIF(Mercado_Receita!$S$2:$S$2012,"44531B1Convencional pré-pagamentoResidencialResidencial baixa renda – faixa 03Não se aplicaNão se aplicaPonta",Mercado_Receita!$L$2:$L$2012)+SUMIF(Mercado_Receita!$S$2:$S$2012,"44531B1Convencional pré-pagamentoResidencialResidencial baixa renda – faixa 03Não se aplicaNão se aplicaFora ponta",Mercado_Receita!$L$2:$L$2012)+SUMIF(Mercado_Receita!$S$2:$S$2012,"44531B1Convencional pré-pagamentoResidencialResidencial baixa renda – faixa 03Não se aplicaNão se aplicaIntermediário",Mercado_Receita!$L$2:$L$2012)+SUMIF(Mercado_Receita!$S$2:$S$2012,"44531B1Convencional pré-pagamentoResidencialResidencial baixa renda – faixa 03Não se aplicaNão se aplicaNão se aplica",Mercado_Receita!$L$2:$L$2012)</f>
        <v>0</v>
      </c>
      <c r="Q36" s="12">
        <f>SUMIF(Mercado_Receita!$S$2:$S$2012,"44562B1Convencional pré-pagamentoResidencialResidencial baixa renda – faixa 03Não se aplicaNão se aplicaPonta",Mercado_Receita!$L$2:$L$2012)+SUMIF(Mercado_Receita!$S$2:$S$2012,"44562B1Convencional pré-pagamentoResidencialResidencial baixa renda – faixa 03Não se aplicaNão se aplicaFora ponta",Mercado_Receita!$L$2:$L$2012)+SUMIF(Mercado_Receita!$S$2:$S$2012,"44562B1Convencional pré-pagamentoResidencialResidencial baixa renda – faixa 03Não se aplicaNão se aplicaIntermediário",Mercado_Receita!$L$2:$L$2012)+SUMIF(Mercado_Receita!$S$2:$S$2012,"44562B1Convencional pré-pagamentoResidencialResidencial baixa renda – faixa 03Não se aplicaNão se aplicaNão se aplica",Mercado_Receita!$L$2:$L$2012)</f>
        <v>0</v>
      </c>
      <c r="R36" s="12">
        <f>SUMIF(Mercado_Receita!$S$2:$S$2012,"44593B1Convencional pré-pagamentoResidencialResidencial baixa renda – faixa 03Não se aplicaNão se aplicaPonta",Mercado_Receita!$L$2:$L$2012)+SUMIF(Mercado_Receita!$S$2:$S$2012,"44593B1Convencional pré-pagamentoResidencialResidencial baixa renda – faixa 03Não se aplicaNão se aplicaFora ponta",Mercado_Receita!$L$2:$L$2012)+SUMIF(Mercado_Receita!$S$2:$S$2012,"44593B1Convencional pré-pagamentoResidencialResidencial baixa renda – faixa 03Não se aplicaNão se aplicaIntermediário",Mercado_Receita!$L$2:$L$2012)+SUMIF(Mercado_Receita!$S$2:$S$2012,"44593B1Convencional pré-pagamentoResidencialResidencial baixa renda – faixa 03Não se aplicaNão se aplicaNão se aplica",Mercado_Receita!$L$2:$L$2012)</f>
        <v>0</v>
      </c>
      <c r="S36" s="12">
        <f>SUMIF(Mercado_Receita!$S$2:$S$2012,"44621B1Convencional pré-pagamentoResidencialResidencial baixa renda – faixa 03Não se aplicaNão se aplicaPonta",Mercado_Receita!$L$2:$L$2012)+SUMIF(Mercado_Receita!$S$2:$S$2012,"44621B1Convencional pré-pagamentoResidencialResidencial baixa renda – faixa 03Não se aplicaNão se aplicaFora ponta",Mercado_Receita!$L$2:$L$2012)+SUMIF(Mercado_Receita!$S$2:$S$2012,"44621B1Convencional pré-pagamentoResidencialResidencial baixa renda – faixa 03Não se aplicaNão se aplicaIntermediário",Mercado_Receita!$L$2:$L$2012)+SUMIF(Mercado_Receita!$S$2:$S$2012,"44621B1Convencional pré-pagamentoResidencialResidencial baixa renda – faixa 03Não se aplicaNão se aplicaNão se aplica",Mercado_Receita!$L$2:$L$2012)</f>
        <v>0</v>
      </c>
      <c r="T36" s="12">
        <f>SUMIF(Mercado_Receita!$S$2:$S$2012,"44652B1Convencional pré-pagamentoResidencialResidencial baixa renda – faixa 03Não se aplicaNão se aplicaPonta",Mercado_Receita!$L$2:$L$2012)+SUMIF(Mercado_Receita!$S$2:$S$2012,"44652B1Convencional pré-pagamentoResidencialResidencial baixa renda – faixa 03Não se aplicaNão se aplicaFora ponta",Mercado_Receita!$L$2:$L$2012)+SUMIF(Mercado_Receita!$S$2:$S$2012,"44652B1Convencional pré-pagamentoResidencialResidencial baixa renda – faixa 03Não se aplicaNão se aplicaIntermediário",Mercado_Receita!$L$2:$L$2012)+SUMIF(Mercado_Receita!$S$2:$S$2012,"44652B1Convencional pré-pagamentoResidencialResidencial baixa renda – faixa 03Não se aplicaNão se aplicaNão se aplica",Mercado_Receita!$L$2:$L$2012)</f>
        <v>0</v>
      </c>
      <c r="U36" s="12">
        <f t="shared" si="1"/>
        <v>0</v>
      </c>
      <c r="V36" s="12"/>
      <c r="W36" s="12"/>
    </row>
    <row r="37" spans="1:23" ht="11.25" customHeight="1" x14ac:dyDescent="0.25">
      <c r="A37" s="118"/>
      <c r="B37" s="118"/>
      <c r="C37" s="118"/>
      <c r="D37" s="13" t="s">
        <v>32</v>
      </c>
      <c r="E37" s="13" t="s">
        <v>25</v>
      </c>
      <c r="F37" s="13" t="s">
        <v>25</v>
      </c>
      <c r="G37" s="12" t="s">
        <v>96</v>
      </c>
      <c r="H37" s="12" t="s">
        <v>90</v>
      </c>
      <c r="I37" s="12">
        <f>SUMIF(Mercado_Receita!$S$2:$S$2012,"44317B1Convencional pré-pagamentoResidencialResidencial baixa renda – faixa 04Não se aplicaNão se aplicaPonta",Mercado_Receita!$L$2:$L$2012)+SUMIF(Mercado_Receita!$S$2:$S$2012,"44317B1Convencional pré-pagamentoResidencialResidencial baixa renda – faixa 04Não se aplicaNão se aplicaFora ponta",Mercado_Receita!$L$2:$L$2012)+SUMIF(Mercado_Receita!$S$2:$S$2012,"44317B1Convencional pré-pagamentoResidencialResidencial baixa renda – faixa 04Não se aplicaNão se aplicaIntermediário",Mercado_Receita!$L$2:$L$2012)+SUMIF(Mercado_Receita!$S$2:$S$2012,"44317B1Convencional pré-pagamentoResidencialResidencial baixa renda – faixa 04Não se aplicaNão se aplicaNão se aplica",Mercado_Receita!$L$2:$L$2012)</f>
        <v>0</v>
      </c>
      <c r="J37" s="12">
        <f>SUMIF(Mercado_Receita!$S$2:$S$2012,"44348B1Convencional pré-pagamentoResidencialResidencial baixa renda – faixa 04Não se aplicaNão se aplicaPonta",Mercado_Receita!$L$2:$L$2012)+SUMIF(Mercado_Receita!$S$2:$S$2012,"44348B1Convencional pré-pagamentoResidencialResidencial baixa renda – faixa 04Não se aplicaNão se aplicaFora ponta",Mercado_Receita!$L$2:$L$2012)+SUMIF(Mercado_Receita!$S$2:$S$2012,"44348B1Convencional pré-pagamentoResidencialResidencial baixa renda – faixa 04Não se aplicaNão se aplicaIntermediário",Mercado_Receita!$L$2:$L$2012)+SUMIF(Mercado_Receita!$S$2:$S$2012,"44348B1Convencional pré-pagamentoResidencialResidencial baixa renda – faixa 04Não se aplicaNão se aplicaNão se aplica",Mercado_Receita!$L$2:$L$2012)</f>
        <v>0</v>
      </c>
      <c r="K37" s="12">
        <f>SUMIF(Mercado_Receita!$S$2:$S$2012,"44378B1Convencional pré-pagamentoResidencialResidencial baixa renda – faixa 04Não se aplicaNão se aplicaPonta",Mercado_Receita!$L$2:$L$2012)+SUMIF(Mercado_Receita!$S$2:$S$2012,"44378B1Convencional pré-pagamentoResidencialResidencial baixa renda – faixa 04Não se aplicaNão se aplicaFora ponta",Mercado_Receita!$L$2:$L$2012)+SUMIF(Mercado_Receita!$S$2:$S$2012,"44378B1Convencional pré-pagamentoResidencialResidencial baixa renda – faixa 04Não se aplicaNão se aplicaIntermediário",Mercado_Receita!$L$2:$L$2012)+SUMIF(Mercado_Receita!$S$2:$S$2012,"44378B1Convencional pré-pagamentoResidencialResidencial baixa renda – faixa 04Não se aplicaNão se aplicaNão se aplica",Mercado_Receita!$L$2:$L$2012)</f>
        <v>0</v>
      </c>
      <c r="L37" s="12">
        <f>SUMIF(Mercado_Receita!$S$2:$S$2012,"44409B1Convencional pré-pagamentoResidencialResidencial baixa renda – faixa 04Não se aplicaNão se aplicaPonta",Mercado_Receita!$L$2:$L$2012)+SUMIF(Mercado_Receita!$S$2:$S$2012,"44409B1Convencional pré-pagamentoResidencialResidencial baixa renda – faixa 04Não se aplicaNão se aplicaFora ponta",Mercado_Receita!$L$2:$L$2012)+SUMIF(Mercado_Receita!$S$2:$S$2012,"44409B1Convencional pré-pagamentoResidencialResidencial baixa renda – faixa 04Não se aplicaNão se aplicaIntermediário",Mercado_Receita!$L$2:$L$2012)+SUMIF(Mercado_Receita!$S$2:$S$2012,"44409B1Convencional pré-pagamentoResidencialResidencial baixa renda – faixa 04Não se aplicaNão se aplicaNão se aplica",Mercado_Receita!$L$2:$L$2012)</f>
        <v>0</v>
      </c>
      <c r="M37" s="12">
        <f>SUMIF(Mercado_Receita!$S$2:$S$2012,"44440B1Convencional pré-pagamentoResidencialResidencial baixa renda – faixa 04Não se aplicaNão se aplicaPonta",Mercado_Receita!$L$2:$L$2012)+SUMIF(Mercado_Receita!$S$2:$S$2012,"44440B1Convencional pré-pagamentoResidencialResidencial baixa renda – faixa 04Não se aplicaNão se aplicaFora ponta",Mercado_Receita!$L$2:$L$2012)+SUMIF(Mercado_Receita!$S$2:$S$2012,"44440B1Convencional pré-pagamentoResidencialResidencial baixa renda – faixa 04Não se aplicaNão se aplicaIntermediário",Mercado_Receita!$L$2:$L$2012)+SUMIF(Mercado_Receita!$S$2:$S$2012,"44440B1Convencional pré-pagamentoResidencialResidencial baixa renda – faixa 04Não se aplicaNão se aplicaNão se aplica",Mercado_Receita!$L$2:$L$2012)</f>
        <v>0</v>
      </c>
      <c r="N37" s="12">
        <f>SUMIF(Mercado_Receita!$S$2:$S$2012,"44470B1Convencional pré-pagamentoResidencialResidencial baixa renda – faixa 04Não se aplicaNão se aplicaPonta",Mercado_Receita!$L$2:$L$2012)+SUMIF(Mercado_Receita!$S$2:$S$2012,"44470B1Convencional pré-pagamentoResidencialResidencial baixa renda – faixa 04Não se aplicaNão se aplicaFora ponta",Mercado_Receita!$L$2:$L$2012)+SUMIF(Mercado_Receita!$S$2:$S$2012,"44470B1Convencional pré-pagamentoResidencialResidencial baixa renda – faixa 04Não se aplicaNão se aplicaIntermediário",Mercado_Receita!$L$2:$L$2012)+SUMIF(Mercado_Receita!$S$2:$S$2012,"44470B1Convencional pré-pagamentoResidencialResidencial baixa renda – faixa 04Não se aplicaNão se aplicaNão se aplica",Mercado_Receita!$L$2:$L$2012)</f>
        <v>0</v>
      </c>
      <c r="O37" s="12">
        <f>SUMIF(Mercado_Receita!$S$2:$S$2012,"44501B1Convencional pré-pagamentoResidencialResidencial baixa renda – faixa 04Não se aplicaNão se aplicaPonta",Mercado_Receita!$L$2:$L$2012)+SUMIF(Mercado_Receita!$S$2:$S$2012,"44501B1Convencional pré-pagamentoResidencialResidencial baixa renda – faixa 04Não se aplicaNão se aplicaFora ponta",Mercado_Receita!$L$2:$L$2012)+SUMIF(Mercado_Receita!$S$2:$S$2012,"44501B1Convencional pré-pagamentoResidencialResidencial baixa renda – faixa 04Não se aplicaNão se aplicaIntermediário",Mercado_Receita!$L$2:$L$2012)+SUMIF(Mercado_Receita!$S$2:$S$2012,"44501B1Convencional pré-pagamentoResidencialResidencial baixa renda – faixa 04Não se aplicaNão se aplicaNão se aplica",Mercado_Receita!$L$2:$L$2012)</f>
        <v>0</v>
      </c>
      <c r="P37" s="12">
        <f>SUMIF(Mercado_Receita!$S$2:$S$2012,"44531B1Convencional pré-pagamentoResidencialResidencial baixa renda – faixa 04Não se aplicaNão se aplicaPonta",Mercado_Receita!$L$2:$L$2012)+SUMIF(Mercado_Receita!$S$2:$S$2012,"44531B1Convencional pré-pagamentoResidencialResidencial baixa renda – faixa 04Não se aplicaNão se aplicaFora ponta",Mercado_Receita!$L$2:$L$2012)+SUMIF(Mercado_Receita!$S$2:$S$2012,"44531B1Convencional pré-pagamentoResidencialResidencial baixa renda – faixa 04Não se aplicaNão se aplicaIntermediário",Mercado_Receita!$L$2:$L$2012)+SUMIF(Mercado_Receita!$S$2:$S$2012,"44531B1Convencional pré-pagamentoResidencialResidencial baixa renda – faixa 04Não se aplicaNão se aplicaNão se aplica",Mercado_Receita!$L$2:$L$2012)</f>
        <v>0</v>
      </c>
      <c r="Q37" s="12">
        <f>SUMIF(Mercado_Receita!$S$2:$S$2012,"44562B1Convencional pré-pagamentoResidencialResidencial baixa renda – faixa 04Não se aplicaNão se aplicaPonta",Mercado_Receita!$L$2:$L$2012)+SUMIF(Mercado_Receita!$S$2:$S$2012,"44562B1Convencional pré-pagamentoResidencialResidencial baixa renda – faixa 04Não se aplicaNão se aplicaFora ponta",Mercado_Receita!$L$2:$L$2012)+SUMIF(Mercado_Receita!$S$2:$S$2012,"44562B1Convencional pré-pagamentoResidencialResidencial baixa renda – faixa 04Não se aplicaNão se aplicaIntermediário",Mercado_Receita!$L$2:$L$2012)+SUMIF(Mercado_Receita!$S$2:$S$2012,"44562B1Convencional pré-pagamentoResidencialResidencial baixa renda – faixa 04Não se aplicaNão se aplicaNão se aplica",Mercado_Receita!$L$2:$L$2012)</f>
        <v>0</v>
      </c>
      <c r="R37" s="12">
        <f>SUMIF(Mercado_Receita!$S$2:$S$2012,"44593B1Convencional pré-pagamentoResidencialResidencial baixa renda – faixa 04Não se aplicaNão se aplicaPonta",Mercado_Receita!$L$2:$L$2012)+SUMIF(Mercado_Receita!$S$2:$S$2012,"44593B1Convencional pré-pagamentoResidencialResidencial baixa renda – faixa 04Não se aplicaNão se aplicaFora ponta",Mercado_Receita!$L$2:$L$2012)+SUMIF(Mercado_Receita!$S$2:$S$2012,"44593B1Convencional pré-pagamentoResidencialResidencial baixa renda – faixa 04Não se aplicaNão se aplicaIntermediário",Mercado_Receita!$L$2:$L$2012)+SUMIF(Mercado_Receita!$S$2:$S$2012,"44593B1Convencional pré-pagamentoResidencialResidencial baixa renda – faixa 04Não se aplicaNão se aplicaNão se aplica",Mercado_Receita!$L$2:$L$2012)</f>
        <v>0</v>
      </c>
      <c r="S37" s="12">
        <f>SUMIF(Mercado_Receita!$S$2:$S$2012,"44621B1Convencional pré-pagamentoResidencialResidencial baixa renda – faixa 04Não se aplicaNão se aplicaPonta",Mercado_Receita!$L$2:$L$2012)+SUMIF(Mercado_Receita!$S$2:$S$2012,"44621B1Convencional pré-pagamentoResidencialResidencial baixa renda – faixa 04Não se aplicaNão se aplicaFora ponta",Mercado_Receita!$L$2:$L$2012)+SUMIF(Mercado_Receita!$S$2:$S$2012,"44621B1Convencional pré-pagamentoResidencialResidencial baixa renda – faixa 04Não se aplicaNão se aplicaIntermediário",Mercado_Receita!$L$2:$L$2012)+SUMIF(Mercado_Receita!$S$2:$S$2012,"44621B1Convencional pré-pagamentoResidencialResidencial baixa renda – faixa 04Não se aplicaNão se aplicaNão se aplica",Mercado_Receita!$L$2:$L$2012)</f>
        <v>0</v>
      </c>
      <c r="T37" s="12">
        <f>SUMIF(Mercado_Receita!$S$2:$S$2012,"44652B1Convencional pré-pagamentoResidencialResidencial baixa renda – faixa 04Não se aplicaNão se aplicaPonta",Mercado_Receita!$L$2:$L$2012)+SUMIF(Mercado_Receita!$S$2:$S$2012,"44652B1Convencional pré-pagamentoResidencialResidencial baixa renda – faixa 04Não se aplicaNão se aplicaFora ponta",Mercado_Receita!$L$2:$L$2012)+SUMIF(Mercado_Receita!$S$2:$S$2012,"44652B1Convencional pré-pagamentoResidencialResidencial baixa renda – faixa 04Não se aplicaNão se aplicaIntermediário",Mercado_Receita!$L$2:$L$2012)+SUMIF(Mercado_Receita!$S$2:$S$2012,"44652B1Convencional pré-pagamentoResidencialResidencial baixa renda – faixa 04Não se aplicaNão se aplicaNão se aplica",Mercado_Receita!$L$2:$L$2012)</f>
        <v>0</v>
      </c>
      <c r="U37" s="12">
        <f t="shared" si="1"/>
        <v>0</v>
      </c>
      <c r="V37" s="12"/>
      <c r="W37" s="12"/>
    </row>
    <row r="38" spans="1:23" ht="11.25" customHeight="1" x14ac:dyDescent="0.25">
      <c r="A38" s="117" t="s">
        <v>44</v>
      </c>
      <c r="B38" s="117" t="s">
        <v>37</v>
      </c>
      <c r="C38" s="117" t="s">
        <v>45</v>
      </c>
      <c r="D38" s="117" t="s">
        <v>25</v>
      </c>
      <c r="E38" s="117" t="s">
        <v>25</v>
      </c>
      <c r="F38" s="117" t="s">
        <v>25</v>
      </c>
      <c r="G38" s="12" t="s">
        <v>91</v>
      </c>
      <c r="H38" s="12" t="s">
        <v>90</v>
      </c>
      <c r="I38" s="12">
        <f>SUMIF(Mercado_Receita!$S$2:$S$2012,"44317B2BrancaRuralNão se aplicaNão se aplicaNão se aplicaPonta",Mercado_Receita!$L$2:$L$2012)</f>
        <v>0</v>
      </c>
      <c r="J38" s="12">
        <f>SUMIF(Mercado_Receita!$S$2:$S$2012,"44348B2BrancaRuralNão se aplicaNão se aplicaNão se aplicaPonta",Mercado_Receita!$L$2:$L$2012)</f>
        <v>0</v>
      </c>
      <c r="K38" s="12">
        <f>SUMIF(Mercado_Receita!$S$2:$S$2012,"44378B2BrancaRuralNão se aplicaNão se aplicaNão se aplicaPonta",Mercado_Receita!$L$2:$L$2012)</f>
        <v>0</v>
      </c>
      <c r="L38" s="12">
        <f>SUMIF(Mercado_Receita!$S$2:$S$2012,"44409B2BrancaRuralNão se aplicaNão se aplicaNão se aplicaPonta",Mercado_Receita!$L$2:$L$2012)</f>
        <v>0</v>
      </c>
      <c r="M38" s="12">
        <f>SUMIF(Mercado_Receita!$S$2:$S$2012,"44440B2BrancaRuralNão se aplicaNão se aplicaNão se aplicaPonta",Mercado_Receita!$L$2:$L$2012)</f>
        <v>0</v>
      </c>
      <c r="N38" s="12">
        <f>SUMIF(Mercado_Receita!$S$2:$S$2012,"44470B2BrancaRuralNão se aplicaNão se aplicaNão se aplicaPonta",Mercado_Receita!$L$2:$L$2012)</f>
        <v>1E-3</v>
      </c>
      <c r="O38" s="12">
        <f>SUMIF(Mercado_Receita!$S$2:$S$2012,"44501B2BrancaRuralNão se aplicaNão se aplicaNão se aplicaPonta",Mercado_Receita!$L$2:$L$2012)</f>
        <v>1E-3</v>
      </c>
      <c r="P38" s="12">
        <f>SUMIF(Mercado_Receita!$S$2:$S$2012,"44531B2BrancaRuralNão se aplicaNão se aplicaNão se aplicaPonta",Mercado_Receita!$L$2:$L$2012)</f>
        <v>1E-3</v>
      </c>
      <c r="Q38" s="12">
        <f>SUMIF(Mercado_Receita!$S$2:$S$2012,"44562B2BrancaRuralNão se aplicaNão se aplicaNão se aplicaPonta",Mercado_Receita!$L$2:$L$2012)</f>
        <v>0</v>
      </c>
      <c r="R38" s="12">
        <f>SUMIF(Mercado_Receita!$S$2:$S$2012,"44593B2BrancaRuralNão se aplicaNão se aplicaNão se aplicaPonta",Mercado_Receita!$L$2:$L$2012)</f>
        <v>0</v>
      </c>
      <c r="S38" s="12">
        <f>SUMIF(Mercado_Receita!$S$2:$S$2012,"44621B2BrancaRuralNão se aplicaNão se aplicaNão se aplicaPonta",Mercado_Receita!$L$2:$L$2012)</f>
        <v>0</v>
      </c>
      <c r="T38" s="12">
        <f>SUMIF(Mercado_Receita!$S$2:$S$2012,"44652B2BrancaRuralNão se aplicaNão se aplicaNão se aplicaPonta",Mercado_Receita!$L$2:$L$2012)</f>
        <v>0</v>
      </c>
      <c r="U38" s="12">
        <f t="shared" si="1"/>
        <v>3.0000000000000001E-3</v>
      </c>
      <c r="V38" s="12"/>
      <c r="W38" s="12"/>
    </row>
    <row r="39" spans="1:23" ht="11.25" customHeight="1" x14ac:dyDescent="0.25">
      <c r="A39" s="118"/>
      <c r="B39" s="118"/>
      <c r="C39" s="118"/>
      <c r="D39" s="118"/>
      <c r="E39" s="118"/>
      <c r="F39" s="118"/>
      <c r="G39" s="12" t="s">
        <v>101</v>
      </c>
      <c r="H39" s="12" t="s">
        <v>90</v>
      </c>
      <c r="I39" s="12">
        <f>SUMIF(Mercado_Receita!$S$2:$S$2012,"44317B2BrancaRuralNão se aplicaNão se aplicaNão se aplicaIntermediário",Mercado_Receita!$L$2:$L$2012)</f>
        <v>6.0000000000000001E-3</v>
      </c>
      <c r="J39" s="12">
        <f>SUMIF(Mercado_Receita!$S$2:$S$2012,"44348B2BrancaRuralNão se aplicaNão se aplicaNão se aplicaIntermediário",Mercado_Receita!$L$2:$L$2012)</f>
        <v>0</v>
      </c>
      <c r="K39" s="12">
        <f>SUMIF(Mercado_Receita!$S$2:$S$2012,"44378B2BrancaRuralNão se aplicaNão se aplicaNão se aplicaIntermediário",Mercado_Receita!$L$2:$L$2012)</f>
        <v>0</v>
      </c>
      <c r="L39" s="12">
        <f>SUMIF(Mercado_Receita!$S$2:$S$2012,"44409B2BrancaRuralNão se aplicaNão se aplicaNão se aplicaIntermediário",Mercado_Receita!$L$2:$L$2012)</f>
        <v>0</v>
      </c>
      <c r="M39" s="12">
        <f>SUMIF(Mercado_Receita!$S$2:$S$2012,"44440B2BrancaRuralNão se aplicaNão se aplicaNão se aplicaIntermediário",Mercado_Receita!$L$2:$L$2012)</f>
        <v>0</v>
      </c>
      <c r="N39" s="12">
        <f>SUMIF(Mercado_Receita!$S$2:$S$2012,"44470B2BrancaRuralNão se aplicaNão se aplicaNão se aplicaIntermediário",Mercado_Receita!$L$2:$L$2012)</f>
        <v>4.0000000000000001E-3</v>
      </c>
      <c r="O39" s="12">
        <f>SUMIF(Mercado_Receita!$S$2:$S$2012,"44501B2BrancaRuralNão se aplicaNão se aplicaNão se aplicaIntermediário",Mercado_Receita!$L$2:$L$2012)</f>
        <v>1.2999999999999999E-2</v>
      </c>
      <c r="P39" s="12">
        <f>SUMIF(Mercado_Receita!$S$2:$S$2012,"44531B2BrancaRuralNão se aplicaNão se aplicaNão se aplicaIntermediário",Mercado_Receita!$L$2:$L$2012)</f>
        <v>6.0000000000000001E-3</v>
      </c>
      <c r="Q39" s="12">
        <f>SUMIF(Mercado_Receita!$S$2:$S$2012,"44562B2BrancaRuralNão se aplicaNão se aplicaNão se aplicaIntermediário",Mercado_Receita!$L$2:$L$2012)</f>
        <v>0</v>
      </c>
      <c r="R39" s="12">
        <f>SUMIF(Mercado_Receita!$S$2:$S$2012,"44593B2BrancaRuralNão se aplicaNão se aplicaNão se aplicaIntermediário",Mercado_Receita!$L$2:$L$2012)</f>
        <v>0</v>
      </c>
      <c r="S39" s="12">
        <f>SUMIF(Mercado_Receita!$S$2:$S$2012,"44621B2BrancaRuralNão se aplicaNão se aplicaNão se aplicaIntermediário",Mercado_Receita!$L$2:$L$2012)</f>
        <v>1E-3</v>
      </c>
      <c r="T39" s="12">
        <f>SUMIF(Mercado_Receita!$S$2:$S$2012,"44652B2BrancaRuralNão se aplicaNão se aplicaNão se aplicaIntermediário",Mercado_Receita!$L$2:$L$2012)</f>
        <v>1E-3</v>
      </c>
      <c r="U39" s="12">
        <f t="shared" si="1"/>
        <v>3.1E-2</v>
      </c>
      <c r="V39" s="12"/>
      <c r="W39" s="12"/>
    </row>
    <row r="40" spans="1:23" ht="11.25" customHeight="1" x14ac:dyDescent="0.25">
      <c r="A40" s="118"/>
      <c r="B40" s="118"/>
      <c r="C40" s="118"/>
      <c r="D40" s="118"/>
      <c r="E40" s="118"/>
      <c r="F40" s="118"/>
      <c r="G40" s="12" t="s">
        <v>92</v>
      </c>
      <c r="H40" s="12" t="s">
        <v>90</v>
      </c>
      <c r="I40" s="12">
        <f>SUMIF(Mercado_Receita!$S$2:$S$2012,"44317B2BrancaRuralNão se aplicaNão se aplicaNão se aplicaFora ponta",Mercado_Receita!$L$2:$L$2012)</f>
        <v>1.2929999999999999</v>
      </c>
      <c r="J40" s="12">
        <f>SUMIF(Mercado_Receita!$S$2:$S$2012,"44348B2BrancaRuralNão se aplicaNão se aplicaNão se aplicaFora ponta",Mercado_Receita!$L$2:$L$2012)</f>
        <v>0.1</v>
      </c>
      <c r="K40" s="12">
        <f>SUMIF(Mercado_Receita!$S$2:$S$2012,"44378B2BrancaRuralNão se aplicaNão se aplicaNão se aplicaFora ponta",Mercado_Receita!$L$2:$L$2012)</f>
        <v>0.1</v>
      </c>
      <c r="L40" s="12">
        <f>SUMIF(Mercado_Receita!$S$2:$S$2012,"44409B2BrancaRuralNão se aplicaNão se aplicaNão se aplicaFora ponta",Mercado_Receita!$L$2:$L$2012)</f>
        <v>0.1</v>
      </c>
      <c r="M40" s="12">
        <f>SUMIF(Mercado_Receita!$S$2:$S$2012,"44440B2BrancaRuralNão se aplicaNão se aplicaNão se aplicaFora ponta",Mercado_Receita!$L$2:$L$2012)</f>
        <v>0</v>
      </c>
      <c r="N40" s="12">
        <f>SUMIF(Mercado_Receita!$S$2:$S$2012,"44470B2BrancaRuralNão se aplicaNão se aplicaNão se aplicaFora ponta",Mercado_Receita!$L$2:$L$2012)</f>
        <v>1.0640000000000001</v>
      </c>
      <c r="O40" s="12">
        <f>SUMIF(Mercado_Receita!$S$2:$S$2012,"44501B2BrancaRuralNão se aplicaNão se aplicaNão se aplicaFora ponta",Mercado_Receita!$L$2:$L$2012)</f>
        <v>1.5489999999999999</v>
      </c>
      <c r="P40" s="12">
        <f>SUMIF(Mercado_Receita!$S$2:$S$2012,"44531B2BrancaRuralNão se aplicaNão se aplicaNão se aplicaFora ponta",Mercado_Receita!$L$2:$L$2012)</f>
        <v>1.798</v>
      </c>
      <c r="Q40" s="12">
        <f>SUMIF(Mercado_Receita!$S$2:$S$2012,"44562B2BrancaRuralNão se aplicaNão se aplicaNão se aplicaFora ponta",Mercado_Receita!$L$2:$L$2012)</f>
        <v>0.55000000000000004</v>
      </c>
      <c r="R40" s="12">
        <f>SUMIF(Mercado_Receita!$S$2:$S$2012,"44593B2BrancaRuralNão se aplicaNão se aplicaNão se aplicaFora ponta",Mercado_Receita!$L$2:$L$2012)</f>
        <v>0.38300000000000001</v>
      </c>
      <c r="S40" s="12">
        <f>SUMIF(Mercado_Receita!$S$2:$S$2012,"44621B2BrancaRuralNão se aplicaNão se aplicaNão se aplicaFora ponta",Mercado_Receita!$L$2:$L$2012)</f>
        <v>1.01</v>
      </c>
      <c r="T40" s="12">
        <f>SUMIF(Mercado_Receita!$S$2:$S$2012,"44652B2BrancaRuralNão se aplicaNão se aplicaNão se aplicaFora ponta",Mercado_Receita!$L$2:$L$2012)</f>
        <v>1.01</v>
      </c>
      <c r="U40" s="12">
        <f t="shared" si="1"/>
        <v>8.956999999999999</v>
      </c>
      <c r="V40" s="12"/>
      <c r="W40" s="12"/>
    </row>
    <row r="41" spans="1:23" ht="11.25" customHeight="1" x14ac:dyDescent="0.25">
      <c r="A41" s="118"/>
      <c r="B41" s="13" t="s">
        <v>23</v>
      </c>
      <c r="C41" s="13" t="s">
        <v>45</v>
      </c>
      <c r="D41" s="13" t="s">
        <v>25</v>
      </c>
      <c r="E41" s="13" t="s">
        <v>25</v>
      </c>
      <c r="F41" s="13" t="s">
        <v>25</v>
      </c>
      <c r="G41" s="12" t="s">
        <v>96</v>
      </c>
      <c r="H41" s="12" t="s">
        <v>90</v>
      </c>
      <c r="I41" s="12">
        <f>SUMIF(Mercado_Receita!$S$2:$S$2012,"44317B2ConvencionalRuralNão se aplicaNão se aplicaNão se aplicaPonta",Mercado_Receita!$L$2:$L$2012)+SUMIF(Mercado_Receita!$S$2:$S$2012,"44317B2ConvencionalRuralNão se aplicaNão se aplicaNão se aplicaFora ponta",Mercado_Receita!$L$2:$L$2012)+SUMIF(Mercado_Receita!$S$2:$S$2012,"44317B2ConvencionalRuralNão se aplicaNão se aplicaNão se aplicaIntermediário",Mercado_Receita!$L$2:$L$2012)+SUMIF(Mercado_Receita!$S$2:$S$2012,"44317B2ConvencionalRuralNão se aplicaNão se aplicaNão se aplicaNão se aplica",Mercado_Receita!$L$2:$L$2012)</f>
        <v>5761.63</v>
      </c>
      <c r="J41" s="12">
        <f>SUMIF(Mercado_Receita!$S$2:$S$2012,"44348B2ConvencionalRuralNão se aplicaNão se aplicaNão se aplicaPonta",Mercado_Receita!$L$2:$L$2012)+SUMIF(Mercado_Receita!$S$2:$S$2012,"44348B2ConvencionalRuralNão se aplicaNão se aplicaNão se aplicaFora ponta",Mercado_Receita!$L$2:$L$2012)+SUMIF(Mercado_Receita!$S$2:$S$2012,"44348B2ConvencionalRuralNão se aplicaNão se aplicaNão se aplicaIntermediário",Mercado_Receita!$L$2:$L$2012)+SUMIF(Mercado_Receita!$S$2:$S$2012,"44348B2ConvencionalRuralNão se aplicaNão se aplicaNão se aplicaNão se aplica",Mercado_Receita!$L$2:$L$2012)</f>
        <v>4216.01</v>
      </c>
      <c r="K41" s="12">
        <f>SUMIF(Mercado_Receita!$S$2:$S$2012,"44378B2ConvencionalRuralNão se aplicaNão se aplicaNão se aplicaPonta",Mercado_Receita!$L$2:$L$2012)+SUMIF(Mercado_Receita!$S$2:$S$2012,"44378B2ConvencionalRuralNão se aplicaNão se aplicaNão se aplicaFora ponta",Mercado_Receita!$L$2:$L$2012)+SUMIF(Mercado_Receita!$S$2:$S$2012,"44378B2ConvencionalRuralNão se aplicaNão se aplicaNão se aplicaIntermediário",Mercado_Receita!$L$2:$L$2012)+SUMIF(Mercado_Receita!$S$2:$S$2012,"44378B2ConvencionalRuralNão se aplicaNão se aplicaNão se aplicaNão se aplica",Mercado_Receita!$L$2:$L$2012)</f>
        <v>4640.3159999999998</v>
      </c>
      <c r="L41" s="12">
        <f>SUMIF(Mercado_Receita!$S$2:$S$2012,"44409B2ConvencionalRuralNão se aplicaNão se aplicaNão se aplicaPonta",Mercado_Receita!$L$2:$L$2012)+SUMIF(Mercado_Receita!$S$2:$S$2012,"44409B2ConvencionalRuralNão se aplicaNão se aplicaNão se aplicaFora ponta",Mercado_Receita!$L$2:$L$2012)+SUMIF(Mercado_Receita!$S$2:$S$2012,"44409B2ConvencionalRuralNão se aplicaNão se aplicaNão se aplicaIntermediário",Mercado_Receita!$L$2:$L$2012)+SUMIF(Mercado_Receita!$S$2:$S$2012,"44409B2ConvencionalRuralNão se aplicaNão se aplicaNão se aplicaNão se aplica",Mercado_Receita!$L$2:$L$2012)</f>
        <v>4591.0549999999994</v>
      </c>
      <c r="M41" s="12">
        <f>SUMIF(Mercado_Receita!$S$2:$S$2012,"44440B2ConvencionalRuralNão se aplicaNão se aplicaNão se aplicaPonta",Mercado_Receita!$L$2:$L$2012)+SUMIF(Mercado_Receita!$S$2:$S$2012,"44440B2ConvencionalRuralNão se aplicaNão se aplicaNão se aplicaFora ponta",Mercado_Receita!$L$2:$L$2012)+SUMIF(Mercado_Receita!$S$2:$S$2012,"44440B2ConvencionalRuralNão se aplicaNão se aplicaNão se aplicaIntermediário",Mercado_Receita!$L$2:$L$2012)+SUMIF(Mercado_Receita!$S$2:$S$2012,"44440B2ConvencionalRuralNão se aplicaNão se aplicaNão se aplicaNão se aplica",Mercado_Receita!$L$2:$L$2012)</f>
        <v>4939.9659999999994</v>
      </c>
      <c r="N41" s="12">
        <f>SUMIF(Mercado_Receita!$S$2:$S$2012,"44470B2ConvencionalRuralNão se aplicaNão se aplicaNão se aplicaPonta",Mercado_Receita!$L$2:$L$2012)+SUMIF(Mercado_Receita!$S$2:$S$2012,"44470B2ConvencionalRuralNão se aplicaNão se aplicaNão se aplicaFora ponta",Mercado_Receita!$L$2:$L$2012)+SUMIF(Mercado_Receita!$S$2:$S$2012,"44470B2ConvencionalRuralNão se aplicaNão se aplicaNão se aplicaIntermediário",Mercado_Receita!$L$2:$L$2012)+SUMIF(Mercado_Receita!$S$2:$S$2012,"44470B2ConvencionalRuralNão se aplicaNão se aplicaNão se aplicaNão se aplica",Mercado_Receita!$L$2:$L$2012)</f>
        <v>5390.2790000000005</v>
      </c>
      <c r="O41" s="12">
        <f>SUMIF(Mercado_Receita!$S$2:$S$2012,"44501B2ConvencionalRuralNão se aplicaNão se aplicaNão se aplicaPonta",Mercado_Receita!$L$2:$L$2012)+SUMIF(Mercado_Receita!$S$2:$S$2012,"44501B2ConvencionalRuralNão se aplicaNão se aplicaNão se aplicaFora ponta",Mercado_Receita!$L$2:$L$2012)+SUMIF(Mercado_Receita!$S$2:$S$2012,"44501B2ConvencionalRuralNão se aplicaNão se aplicaNão se aplicaIntermediário",Mercado_Receita!$L$2:$L$2012)+SUMIF(Mercado_Receita!$S$2:$S$2012,"44501B2ConvencionalRuralNão se aplicaNão se aplicaNão se aplicaNão se aplica",Mercado_Receita!$L$2:$L$2012)</f>
        <v>5970.1169999999993</v>
      </c>
      <c r="P41" s="12">
        <f>SUMIF(Mercado_Receita!$S$2:$S$2012,"44531B2ConvencionalRuralNão se aplicaNão se aplicaNão se aplicaPonta",Mercado_Receita!$L$2:$L$2012)+SUMIF(Mercado_Receita!$S$2:$S$2012,"44531B2ConvencionalRuralNão se aplicaNão se aplicaNão se aplicaFora ponta",Mercado_Receita!$L$2:$L$2012)+SUMIF(Mercado_Receita!$S$2:$S$2012,"44531B2ConvencionalRuralNão se aplicaNão se aplicaNão se aplicaIntermediário",Mercado_Receita!$L$2:$L$2012)+SUMIF(Mercado_Receita!$S$2:$S$2012,"44531B2ConvencionalRuralNão se aplicaNão se aplicaNão se aplicaNão se aplica",Mercado_Receita!$L$2:$L$2012)</f>
        <v>5658.6460000000006</v>
      </c>
      <c r="Q41" s="12">
        <f>SUMIF(Mercado_Receita!$S$2:$S$2012,"44562B2ConvencionalRuralNão se aplicaNão se aplicaNão se aplicaPonta",Mercado_Receita!$L$2:$L$2012)+SUMIF(Mercado_Receita!$S$2:$S$2012,"44562B2ConvencionalRuralNão se aplicaNão se aplicaNão se aplicaFora ponta",Mercado_Receita!$L$2:$L$2012)+SUMIF(Mercado_Receita!$S$2:$S$2012,"44562B2ConvencionalRuralNão se aplicaNão se aplicaNão se aplicaIntermediário",Mercado_Receita!$L$2:$L$2012)+SUMIF(Mercado_Receita!$S$2:$S$2012,"44562B2ConvencionalRuralNão se aplicaNão se aplicaNão se aplicaNão se aplica",Mercado_Receita!$L$2:$L$2012)</f>
        <v>5008.0559999999996</v>
      </c>
      <c r="R41" s="12">
        <f>SUMIF(Mercado_Receita!$S$2:$S$2012,"44593B2ConvencionalRuralNão se aplicaNão se aplicaNão se aplicaPonta",Mercado_Receita!$L$2:$L$2012)+SUMIF(Mercado_Receita!$S$2:$S$2012,"44593B2ConvencionalRuralNão se aplicaNão se aplicaNão se aplicaFora ponta",Mercado_Receita!$L$2:$L$2012)+SUMIF(Mercado_Receita!$S$2:$S$2012,"44593B2ConvencionalRuralNão se aplicaNão se aplicaNão se aplicaIntermediário",Mercado_Receita!$L$2:$L$2012)+SUMIF(Mercado_Receita!$S$2:$S$2012,"44593B2ConvencionalRuralNão se aplicaNão se aplicaNão se aplicaNão se aplica",Mercado_Receita!$L$2:$L$2012)</f>
        <v>4898.9900000000007</v>
      </c>
      <c r="S41" s="12">
        <f>SUMIF(Mercado_Receita!$S$2:$S$2012,"44621B2ConvencionalRuralNão se aplicaNão se aplicaNão se aplicaPonta",Mercado_Receita!$L$2:$L$2012)+SUMIF(Mercado_Receita!$S$2:$S$2012,"44621B2ConvencionalRuralNão se aplicaNão se aplicaNão se aplicaFora ponta",Mercado_Receita!$L$2:$L$2012)+SUMIF(Mercado_Receita!$S$2:$S$2012,"44621B2ConvencionalRuralNão se aplicaNão se aplicaNão se aplicaIntermediário",Mercado_Receita!$L$2:$L$2012)+SUMIF(Mercado_Receita!$S$2:$S$2012,"44621B2ConvencionalRuralNão se aplicaNão se aplicaNão se aplicaNão se aplica",Mercado_Receita!$L$2:$L$2012)</f>
        <v>4914.6260000000002</v>
      </c>
      <c r="T41" s="12">
        <f>SUMIF(Mercado_Receita!$S$2:$S$2012,"44652B2ConvencionalRuralNão se aplicaNão se aplicaNão se aplicaPonta",Mercado_Receita!$L$2:$L$2012)+SUMIF(Mercado_Receita!$S$2:$S$2012,"44652B2ConvencionalRuralNão se aplicaNão se aplicaNão se aplicaFora ponta",Mercado_Receita!$L$2:$L$2012)+SUMIF(Mercado_Receita!$S$2:$S$2012,"44652B2ConvencionalRuralNão se aplicaNão se aplicaNão se aplicaIntermediário",Mercado_Receita!$L$2:$L$2012)+SUMIF(Mercado_Receita!$S$2:$S$2012,"44652B2ConvencionalRuralNão se aplicaNão se aplicaNão se aplicaNão se aplica",Mercado_Receita!$L$2:$L$2012)</f>
        <v>4914.6260000000002</v>
      </c>
      <c r="U41" s="12">
        <f t="shared" si="1"/>
        <v>60904.316999999995</v>
      </c>
      <c r="V41" s="12"/>
      <c r="W41" s="12"/>
    </row>
    <row r="42" spans="1:23" ht="11.25" customHeight="1" x14ac:dyDescent="0.25">
      <c r="A42" s="118"/>
      <c r="B42" s="117" t="s">
        <v>37</v>
      </c>
      <c r="C42" s="117" t="s">
        <v>45</v>
      </c>
      <c r="D42" s="117" t="s">
        <v>104</v>
      </c>
      <c r="E42" s="117" t="s">
        <v>25</v>
      </c>
      <c r="F42" s="117" t="s">
        <v>25</v>
      </c>
      <c r="G42" s="12" t="s">
        <v>91</v>
      </c>
      <c r="H42" s="12" t="s">
        <v>90</v>
      </c>
      <c r="I42" s="12">
        <f>SUMIF(Mercado_Receita!$S$2:$S$2012,"44317B2BrancaRuralCooperativa de eletrificação ruralNão se aplicaNão se aplicaPonta",Mercado_Receita!$L$2:$L$2012)</f>
        <v>0</v>
      </c>
      <c r="J42" s="12">
        <f>SUMIF(Mercado_Receita!$S$2:$S$2012,"44348B2BrancaRuralCooperativa de eletrificação ruralNão se aplicaNão se aplicaPonta",Mercado_Receita!$L$2:$L$2012)</f>
        <v>0</v>
      </c>
      <c r="K42" s="12">
        <f>SUMIF(Mercado_Receita!$S$2:$S$2012,"44378B2BrancaRuralCooperativa de eletrificação ruralNão se aplicaNão se aplicaPonta",Mercado_Receita!$L$2:$L$2012)</f>
        <v>0</v>
      </c>
      <c r="L42" s="12">
        <f>SUMIF(Mercado_Receita!$S$2:$S$2012,"44409B2BrancaRuralCooperativa de eletrificação ruralNão se aplicaNão se aplicaPonta",Mercado_Receita!$L$2:$L$2012)</f>
        <v>0</v>
      </c>
      <c r="M42" s="12">
        <f>SUMIF(Mercado_Receita!$S$2:$S$2012,"44440B2BrancaRuralCooperativa de eletrificação ruralNão se aplicaNão se aplicaPonta",Mercado_Receita!$L$2:$L$2012)</f>
        <v>0</v>
      </c>
      <c r="N42" s="12">
        <f>SUMIF(Mercado_Receita!$S$2:$S$2012,"44470B2BrancaRuralCooperativa de eletrificação ruralNão se aplicaNão se aplicaPonta",Mercado_Receita!$L$2:$L$2012)</f>
        <v>0</v>
      </c>
      <c r="O42" s="12">
        <f>SUMIF(Mercado_Receita!$S$2:$S$2012,"44501B2BrancaRuralCooperativa de eletrificação ruralNão se aplicaNão se aplicaPonta",Mercado_Receita!$L$2:$L$2012)</f>
        <v>0</v>
      </c>
      <c r="P42" s="12">
        <f>SUMIF(Mercado_Receita!$S$2:$S$2012,"44531B2BrancaRuralCooperativa de eletrificação ruralNão se aplicaNão se aplicaPonta",Mercado_Receita!$L$2:$L$2012)</f>
        <v>0</v>
      </c>
      <c r="Q42" s="12">
        <f>SUMIF(Mercado_Receita!$S$2:$S$2012,"44562B2BrancaRuralCooperativa de eletrificação ruralNão se aplicaNão se aplicaPonta",Mercado_Receita!$L$2:$L$2012)</f>
        <v>0</v>
      </c>
      <c r="R42" s="12">
        <f>SUMIF(Mercado_Receita!$S$2:$S$2012,"44593B2BrancaRuralCooperativa de eletrificação ruralNão se aplicaNão se aplicaPonta",Mercado_Receita!$L$2:$L$2012)</f>
        <v>0</v>
      </c>
      <c r="S42" s="12">
        <f>SUMIF(Mercado_Receita!$S$2:$S$2012,"44621B2BrancaRuralCooperativa de eletrificação ruralNão se aplicaNão se aplicaPonta",Mercado_Receita!$L$2:$L$2012)</f>
        <v>0</v>
      </c>
      <c r="T42" s="12">
        <f>SUMIF(Mercado_Receita!$S$2:$S$2012,"44652B2BrancaRuralCooperativa de eletrificação ruralNão se aplicaNão se aplicaPonta",Mercado_Receita!$L$2:$L$2012)</f>
        <v>0</v>
      </c>
      <c r="U42" s="12">
        <f t="shared" si="1"/>
        <v>0</v>
      </c>
      <c r="V42" s="12"/>
      <c r="W42" s="12"/>
    </row>
    <row r="43" spans="1:23" ht="11.25" customHeight="1" x14ac:dyDescent="0.25">
      <c r="A43" s="118"/>
      <c r="B43" s="118"/>
      <c r="C43" s="118"/>
      <c r="D43" s="118"/>
      <c r="E43" s="118"/>
      <c r="F43" s="118"/>
      <c r="G43" s="12" t="s">
        <v>101</v>
      </c>
      <c r="H43" s="12" t="s">
        <v>90</v>
      </c>
      <c r="I43" s="12">
        <f>SUMIF(Mercado_Receita!$S$2:$S$2012,"44317B2BrancaRuralCooperativa de eletrificação ruralNão se aplicaNão se aplicaIntermediário",Mercado_Receita!$L$2:$L$2012)</f>
        <v>0</v>
      </c>
      <c r="J43" s="12">
        <f>SUMIF(Mercado_Receita!$S$2:$S$2012,"44348B2BrancaRuralCooperativa de eletrificação ruralNão se aplicaNão se aplicaIntermediário",Mercado_Receita!$L$2:$L$2012)</f>
        <v>0</v>
      </c>
      <c r="K43" s="12">
        <f>SUMIF(Mercado_Receita!$S$2:$S$2012,"44378B2BrancaRuralCooperativa de eletrificação ruralNão se aplicaNão se aplicaIntermediário",Mercado_Receita!$L$2:$L$2012)</f>
        <v>0</v>
      </c>
      <c r="L43" s="12">
        <f>SUMIF(Mercado_Receita!$S$2:$S$2012,"44409B2BrancaRuralCooperativa de eletrificação ruralNão se aplicaNão se aplicaIntermediário",Mercado_Receita!$L$2:$L$2012)</f>
        <v>0</v>
      </c>
      <c r="M43" s="12">
        <f>SUMIF(Mercado_Receita!$S$2:$S$2012,"44440B2BrancaRuralCooperativa de eletrificação ruralNão se aplicaNão se aplicaIntermediário",Mercado_Receita!$L$2:$L$2012)</f>
        <v>0</v>
      </c>
      <c r="N43" s="12">
        <f>SUMIF(Mercado_Receita!$S$2:$S$2012,"44470B2BrancaRuralCooperativa de eletrificação ruralNão se aplicaNão se aplicaIntermediário",Mercado_Receita!$L$2:$L$2012)</f>
        <v>0</v>
      </c>
      <c r="O43" s="12">
        <f>SUMIF(Mercado_Receita!$S$2:$S$2012,"44501B2BrancaRuralCooperativa de eletrificação ruralNão se aplicaNão se aplicaIntermediário",Mercado_Receita!$L$2:$L$2012)</f>
        <v>0</v>
      </c>
      <c r="P43" s="12">
        <f>SUMIF(Mercado_Receita!$S$2:$S$2012,"44531B2BrancaRuralCooperativa de eletrificação ruralNão se aplicaNão se aplicaIntermediário",Mercado_Receita!$L$2:$L$2012)</f>
        <v>0</v>
      </c>
      <c r="Q43" s="12">
        <f>SUMIF(Mercado_Receita!$S$2:$S$2012,"44562B2BrancaRuralCooperativa de eletrificação ruralNão se aplicaNão se aplicaIntermediário",Mercado_Receita!$L$2:$L$2012)</f>
        <v>0</v>
      </c>
      <c r="R43" s="12">
        <f>SUMIF(Mercado_Receita!$S$2:$S$2012,"44593B2BrancaRuralCooperativa de eletrificação ruralNão se aplicaNão se aplicaIntermediário",Mercado_Receita!$L$2:$L$2012)</f>
        <v>0</v>
      </c>
      <c r="S43" s="12">
        <f>SUMIF(Mercado_Receita!$S$2:$S$2012,"44621B2BrancaRuralCooperativa de eletrificação ruralNão se aplicaNão se aplicaIntermediário",Mercado_Receita!$L$2:$L$2012)</f>
        <v>0</v>
      </c>
      <c r="T43" s="12">
        <f>SUMIF(Mercado_Receita!$S$2:$S$2012,"44652B2BrancaRuralCooperativa de eletrificação ruralNão se aplicaNão se aplicaIntermediário",Mercado_Receita!$L$2:$L$2012)</f>
        <v>0</v>
      </c>
      <c r="U43" s="12">
        <f t="shared" si="1"/>
        <v>0</v>
      </c>
      <c r="V43" s="12"/>
      <c r="W43" s="12"/>
    </row>
    <row r="44" spans="1:23" ht="11.25" customHeight="1" x14ac:dyDescent="0.25">
      <c r="A44" s="118"/>
      <c r="B44" s="118"/>
      <c r="C44" s="118"/>
      <c r="D44" s="118"/>
      <c r="E44" s="118"/>
      <c r="F44" s="118"/>
      <c r="G44" s="12" t="s">
        <v>92</v>
      </c>
      <c r="H44" s="12" t="s">
        <v>90</v>
      </c>
      <c r="I44" s="12">
        <f>SUMIF(Mercado_Receita!$S$2:$S$2012,"44317B2BrancaRuralCooperativa de eletrificação ruralNão se aplicaNão se aplicaFora ponta",Mercado_Receita!$L$2:$L$2012)</f>
        <v>0</v>
      </c>
      <c r="J44" s="12">
        <f>SUMIF(Mercado_Receita!$S$2:$S$2012,"44348B2BrancaRuralCooperativa de eletrificação ruralNão se aplicaNão se aplicaFora ponta",Mercado_Receita!$L$2:$L$2012)</f>
        <v>0</v>
      </c>
      <c r="K44" s="12">
        <f>SUMIF(Mercado_Receita!$S$2:$S$2012,"44378B2BrancaRuralCooperativa de eletrificação ruralNão se aplicaNão se aplicaFora ponta",Mercado_Receita!$L$2:$L$2012)</f>
        <v>0</v>
      </c>
      <c r="L44" s="12">
        <f>SUMIF(Mercado_Receita!$S$2:$S$2012,"44409B2BrancaRuralCooperativa de eletrificação ruralNão se aplicaNão se aplicaFora ponta",Mercado_Receita!$L$2:$L$2012)</f>
        <v>0</v>
      </c>
      <c r="M44" s="12">
        <f>SUMIF(Mercado_Receita!$S$2:$S$2012,"44440B2BrancaRuralCooperativa de eletrificação ruralNão se aplicaNão se aplicaFora ponta",Mercado_Receita!$L$2:$L$2012)</f>
        <v>0</v>
      </c>
      <c r="N44" s="12">
        <f>SUMIF(Mercado_Receita!$S$2:$S$2012,"44470B2BrancaRuralCooperativa de eletrificação ruralNão se aplicaNão se aplicaFora ponta",Mercado_Receita!$L$2:$L$2012)</f>
        <v>0</v>
      </c>
      <c r="O44" s="12">
        <f>SUMIF(Mercado_Receita!$S$2:$S$2012,"44501B2BrancaRuralCooperativa de eletrificação ruralNão se aplicaNão se aplicaFora ponta",Mercado_Receita!$L$2:$L$2012)</f>
        <v>0</v>
      </c>
      <c r="P44" s="12">
        <f>SUMIF(Mercado_Receita!$S$2:$S$2012,"44531B2BrancaRuralCooperativa de eletrificação ruralNão se aplicaNão se aplicaFora ponta",Mercado_Receita!$L$2:$L$2012)</f>
        <v>0</v>
      </c>
      <c r="Q44" s="12">
        <f>SUMIF(Mercado_Receita!$S$2:$S$2012,"44562B2BrancaRuralCooperativa de eletrificação ruralNão se aplicaNão se aplicaFora ponta",Mercado_Receita!$L$2:$L$2012)</f>
        <v>0</v>
      </c>
      <c r="R44" s="12">
        <f>SUMIF(Mercado_Receita!$S$2:$S$2012,"44593B2BrancaRuralCooperativa de eletrificação ruralNão se aplicaNão se aplicaFora ponta",Mercado_Receita!$L$2:$L$2012)</f>
        <v>0</v>
      </c>
      <c r="S44" s="12">
        <f>SUMIF(Mercado_Receita!$S$2:$S$2012,"44621B2BrancaRuralCooperativa de eletrificação ruralNão se aplicaNão se aplicaFora ponta",Mercado_Receita!$L$2:$L$2012)</f>
        <v>0</v>
      </c>
      <c r="T44" s="12">
        <f>SUMIF(Mercado_Receita!$S$2:$S$2012,"44652B2BrancaRuralCooperativa de eletrificação ruralNão se aplicaNão se aplicaFora ponta",Mercado_Receita!$L$2:$L$2012)</f>
        <v>0</v>
      </c>
      <c r="U44" s="12">
        <f t="shared" si="1"/>
        <v>0</v>
      </c>
      <c r="V44" s="12"/>
      <c r="W44" s="12"/>
    </row>
    <row r="45" spans="1:23" ht="11.25" customHeight="1" x14ac:dyDescent="0.25">
      <c r="A45" s="118"/>
      <c r="B45" s="13" t="s">
        <v>23</v>
      </c>
      <c r="C45" s="13" t="s">
        <v>45</v>
      </c>
      <c r="D45" s="13" t="s">
        <v>104</v>
      </c>
      <c r="E45" s="13" t="s">
        <v>25</v>
      </c>
      <c r="F45" s="13" t="s">
        <v>25</v>
      </c>
      <c r="G45" s="12" t="s">
        <v>96</v>
      </c>
      <c r="H45" s="12" t="s">
        <v>90</v>
      </c>
      <c r="I45" s="12">
        <f>SUMIF(Mercado_Receita!$S$2:$S$2012,"44317B2ConvencionalRuralCooperativa de eletrificação ruralNão se aplicaNão se aplicaPonta",Mercado_Receita!$L$2:$L$2012)+SUMIF(Mercado_Receita!$S$2:$S$2012,"44317B2ConvencionalRuralCooperativa de eletrificação ruralNão se aplicaNão se aplicaFora ponta",Mercado_Receita!$L$2:$L$2012)+SUMIF(Mercado_Receita!$S$2:$S$2012,"44317B2ConvencionalRuralCooperativa de eletrificação ruralNão se aplicaNão se aplicaIntermediário",Mercado_Receita!$L$2:$L$2012)+SUMIF(Mercado_Receita!$S$2:$S$2012,"44317B2ConvencionalRuralCooperativa de eletrificação ruralNão se aplicaNão se aplicaNão se aplica",Mercado_Receita!$L$2:$L$2012)</f>
        <v>0</v>
      </c>
      <c r="J45" s="12">
        <f>SUMIF(Mercado_Receita!$S$2:$S$2012,"44348B2ConvencionalRuralCooperativa de eletrificação ruralNão se aplicaNão se aplicaPonta",Mercado_Receita!$L$2:$L$2012)+SUMIF(Mercado_Receita!$S$2:$S$2012,"44348B2ConvencionalRuralCooperativa de eletrificação ruralNão se aplicaNão se aplicaFora ponta",Mercado_Receita!$L$2:$L$2012)+SUMIF(Mercado_Receita!$S$2:$S$2012,"44348B2ConvencionalRuralCooperativa de eletrificação ruralNão se aplicaNão se aplicaIntermediário",Mercado_Receita!$L$2:$L$2012)+SUMIF(Mercado_Receita!$S$2:$S$2012,"44348B2ConvencionalRuralCooperativa de eletrificação ruralNão se aplicaNão se aplicaNão se aplica",Mercado_Receita!$L$2:$L$2012)</f>
        <v>0</v>
      </c>
      <c r="K45" s="12">
        <f>SUMIF(Mercado_Receita!$S$2:$S$2012,"44378B2ConvencionalRuralCooperativa de eletrificação ruralNão se aplicaNão se aplicaPonta",Mercado_Receita!$L$2:$L$2012)+SUMIF(Mercado_Receita!$S$2:$S$2012,"44378B2ConvencionalRuralCooperativa de eletrificação ruralNão se aplicaNão se aplicaFora ponta",Mercado_Receita!$L$2:$L$2012)+SUMIF(Mercado_Receita!$S$2:$S$2012,"44378B2ConvencionalRuralCooperativa de eletrificação ruralNão se aplicaNão se aplicaIntermediário",Mercado_Receita!$L$2:$L$2012)+SUMIF(Mercado_Receita!$S$2:$S$2012,"44378B2ConvencionalRuralCooperativa de eletrificação ruralNão se aplicaNão se aplicaNão se aplica",Mercado_Receita!$L$2:$L$2012)</f>
        <v>0</v>
      </c>
      <c r="L45" s="12">
        <f>SUMIF(Mercado_Receita!$S$2:$S$2012,"44409B2ConvencionalRuralCooperativa de eletrificação ruralNão se aplicaNão se aplicaPonta",Mercado_Receita!$L$2:$L$2012)+SUMIF(Mercado_Receita!$S$2:$S$2012,"44409B2ConvencionalRuralCooperativa de eletrificação ruralNão se aplicaNão se aplicaFora ponta",Mercado_Receita!$L$2:$L$2012)+SUMIF(Mercado_Receita!$S$2:$S$2012,"44409B2ConvencionalRuralCooperativa de eletrificação ruralNão se aplicaNão se aplicaIntermediário",Mercado_Receita!$L$2:$L$2012)+SUMIF(Mercado_Receita!$S$2:$S$2012,"44409B2ConvencionalRuralCooperativa de eletrificação ruralNão se aplicaNão se aplicaNão se aplica",Mercado_Receita!$L$2:$L$2012)</f>
        <v>0</v>
      </c>
      <c r="M45" s="12">
        <f>SUMIF(Mercado_Receita!$S$2:$S$2012,"44440B2ConvencionalRuralCooperativa de eletrificação ruralNão se aplicaNão se aplicaPonta",Mercado_Receita!$L$2:$L$2012)+SUMIF(Mercado_Receita!$S$2:$S$2012,"44440B2ConvencionalRuralCooperativa de eletrificação ruralNão se aplicaNão se aplicaFora ponta",Mercado_Receita!$L$2:$L$2012)+SUMIF(Mercado_Receita!$S$2:$S$2012,"44440B2ConvencionalRuralCooperativa de eletrificação ruralNão se aplicaNão se aplicaIntermediário",Mercado_Receita!$L$2:$L$2012)+SUMIF(Mercado_Receita!$S$2:$S$2012,"44440B2ConvencionalRuralCooperativa de eletrificação ruralNão se aplicaNão se aplicaNão se aplica",Mercado_Receita!$L$2:$L$2012)</f>
        <v>0</v>
      </c>
      <c r="N45" s="12">
        <f>SUMIF(Mercado_Receita!$S$2:$S$2012,"44470B2ConvencionalRuralCooperativa de eletrificação ruralNão se aplicaNão se aplicaPonta",Mercado_Receita!$L$2:$L$2012)+SUMIF(Mercado_Receita!$S$2:$S$2012,"44470B2ConvencionalRuralCooperativa de eletrificação ruralNão se aplicaNão se aplicaFora ponta",Mercado_Receita!$L$2:$L$2012)+SUMIF(Mercado_Receita!$S$2:$S$2012,"44470B2ConvencionalRuralCooperativa de eletrificação ruralNão se aplicaNão se aplicaIntermediário",Mercado_Receita!$L$2:$L$2012)+SUMIF(Mercado_Receita!$S$2:$S$2012,"44470B2ConvencionalRuralCooperativa de eletrificação ruralNão se aplicaNão se aplicaNão se aplica",Mercado_Receita!$L$2:$L$2012)</f>
        <v>0</v>
      </c>
      <c r="O45" s="12">
        <f>SUMIF(Mercado_Receita!$S$2:$S$2012,"44501B2ConvencionalRuralCooperativa de eletrificação ruralNão se aplicaNão se aplicaPonta",Mercado_Receita!$L$2:$L$2012)+SUMIF(Mercado_Receita!$S$2:$S$2012,"44501B2ConvencionalRuralCooperativa de eletrificação ruralNão se aplicaNão se aplicaFora ponta",Mercado_Receita!$L$2:$L$2012)+SUMIF(Mercado_Receita!$S$2:$S$2012,"44501B2ConvencionalRuralCooperativa de eletrificação ruralNão se aplicaNão se aplicaIntermediário",Mercado_Receita!$L$2:$L$2012)+SUMIF(Mercado_Receita!$S$2:$S$2012,"44501B2ConvencionalRuralCooperativa de eletrificação ruralNão se aplicaNão se aplicaNão se aplica",Mercado_Receita!$L$2:$L$2012)</f>
        <v>0</v>
      </c>
      <c r="P45" s="12">
        <f>SUMIF(Mercado_Receita!$S$2:$S$2012,"44531B2ConvencionalRuralCooperativa de eletrificação ruralNão se aplicaNão se aplicaPonta",Mercado_Receita!$L$2:$L$2012)+SUMIF(Mercado_Receita!$S$2:$S$2012,"44531B2ConvencionalRuralCooperativa de eletrificação ruralNão se aplicaNão se aplicaFora ponta",Mercado_Receita!$L$2:$L$2012)+SUMIF(Mercado_Receita!$S$2:$S$2012,"44531B2ConvencionalRuralCooperativa de eletrificação ruralNão se aplicaNão se aplicaIntermediário",Mercado_Receita!$L$2:$L$2012)+SUMIF(Mercado_Receita!$S$2:$S$2012,"44531B2ConvencionalRuralCooperativa de eletrificação ruralNão se aplicaNão se aplicaNão se aplica",Mercado_Receita!$L$2:$L$2012)</f>
        <v>0</v>
      </c>
      <c r="Q45" s="12">
        <f>SUMIF(Mercado_Receita!$S$2:$S$2012,"44562B2ConvencionalRuralCooperativa de eletrificação ruralNão se aplicaNão se aplicaPonta",Mercado_Receita!$L$2:$L$2012)+SUMIF(Mercado_Receita!$S$2:$S$2012,"44562B2ConvencionalRuralCooperativa de eletrificação ruralNão se aplicaNão se aplicaFora ponta",Mercado_Receita!$L$2:$L$2012)+SUMIF(Mercado_Receita!$S$2:$S$2012,"44562B2ConvencionalRuralCooperativa de eletrificação ruralNão se aplicaNão se aplicaIntermediário",Mercado_Receita!$L$2:$L$2012)+SUMIF(Mercado_Receita!$S$2:$S$2012,"44562B2ConvencionalRuralCooperativa de eletrificação ruralNão se aplicaNão se aplicaNão se aplica",Mercado_Receita!$L$2:$L$2012)</f>
        <v>0</v>
      </c>
      <c r="R45" s="12">
        <f>SUMIF(Mercado_Receita!$S$2:$S$2012,"44593B2ConvencionalRuralCooperativa de eletrificação ruralNão se aplicaNão se aplicaPonta",Mercado_Receita!$L$2:$L$2012)+SUMIF(Mercado_Receita!$S$2:$S$2012,"44593B2ConvencionalRuralCooperativa de eletrificação ruralNão se aplicaNão se aplicaFora ponta",Mercado_Receita!$L$2:$L$2012)+SUMIF(Mercado_Receita!$S$2:$S$2012,"44593B2ConvencionalRuralCooperativa de eletrificação ruralNão se aplicaNão se aplicaIntermediário",Mercado_Receita!$L$2:$L$2012)+SUMIF(Mercado_Receita!$S$2:$S$2012,"44593B2ConvencionalRuralCooperativa de eletrificação ruralNão se aplicaNão se aplicaNão se aplica",Mercado_Receita!$L$2:$L$2012)</f>
        <v>0</v>
      </c>
      <c r="S45" s="12">
        <f>SUMIF(Mercado_Receita!$S$2:$S$2012,"44621B2ConvencionalRuralCooperativa de eletrificação ruralNão se aplicaNão se aplicaPonta",Mercado_Receita!$L$2:$L$2012)+SUMIF(Mercado_Receita!$S$2:$S$2012,"44621B2ConvencionalRuralCooperativa de eletrificação ruralNão se aplicaNão se aplicaFora ponta",Mercado_Receita!$L$2:$L$2012)+SUMIF(Mercado_Receita!$S$2:$S$2012,"44621B2ConvencionalRuralCooperativa de eletrificação ruralNão se aplicaNão se aplicaIntermediário",Mercado_Receita!$L$2:$L$2012)+SUMIF(Mercado_Receita!$S$2:$S$2012,"44621B2ConvencionalRuralCooperativa de eletrificação ruralNão se aplicaNão se aplicaNão se aplica",Mercado_Receita!$L$2:$L$2012)</f>
        <v>0</v>
      </c>
      <c r="T45" s="12">
        <f>SUMIF(Mercado_Receita!$S$2:$S$2012,"44652B2ConvencionalRuralCooperativa de eletrificação ruralNão se aplicaNão se aplicaPonta",Mercado_Receita!$L$2:$L$2012)+SUMIF(Mercado_Receita!$S$2:$S$2012,"44652B2ConvencionalRuralCooperativa de eletrificação ruralNão se aplicaNão se aplicaFora ponta",Mercado_Receita!$L$2:$L$2012)+SUMIF(Mercado_Receita!$S$2:$S$2012,"44652B2ConvencionalRuralCooperativa de eletrificação ruralNão se aplicaNão se aplicaIntermediário",Mercado_Receita!$L$2:$L$2012)+SUMIF(Mercado_Receita!$S$2:$S$2012,"44652B2ConvencionalRuralCooperativa de eletrificação ruralNão se aplicaNão se aplicaNão se aplica",Mercado_Receita!$L$2:$L$2012)</f>
        <v>0</v>
      </c>
      <c r="U45" s="12">
        <f t="shared" si="1"/>
        <v>0</v>
      </c>
      <c r="V45" s="12"/>
      <c r="W45" s="12"/>
    </row>
    <row r="46" spans="1:23" ht="11.25" customHeight="1" x14ac:dyDescent="0.25">
      <c r="A46" s="118"/>
      <c r="B46" s="117" t="s">
        <v>37</v>
      </c>
      <c r="C46" s="117" t="s">
        <v>45</v>
      </c>
      <c r="D46" s="117" t="s">
        <v>105</v>
      </c>
      <c r="E46" s="117" t="s">
        <v>25</v>
      </c>
      <c r="F46" s="117" t="s">
        <v>25</v>
      </c>
      <c r="G46" s="12" t="s">
        <v>91</v>
      </c>
      <c r="H46" s="12" t="s">
        <v>90</v>
      </c>
      <c r="I46" s="12">
        <f>SUMIF(Mercado_Receita!$S$2:$S$2012,"44317B2BrancaRuralServiço público de irrigação ruralNão se aplicaNão se aplicaPonta",Mercado_Receita!$L$2:$L$2012)</f>
        <v>0</v>
      </c>
      <c r="J46" s="12">
        <f>SUMIF(Mercado_Receita!$S$2:$S$2012,"44348B2BrancaRuralServiço público de irrigação ruralNão se aplicaNão se aplicaPonta",Mercado_Receita!$L$2:$L$2012)</f>
        <v>0</v>
      </c>
      <c r="K46" s="12">
        <f>SUMIF(Mercado_Receita!$S$2:$S$2012,"44378B2BrancaRuralServiço público de irrigação ruralNão se aplicaNão se aplicaPonta",Mercado_Receita!$L$2:$L$2012)</f>
        <v>0</v>
      </c>
      <c r="L46" s="12">
        <f>SUMIF(Mercado_Receita!$S$2:$S$2012,"44409B2BrancaRuralServiço público de irrigação ruralNão se aplicaNão se aplicaPonta",Mercado_Receita!$L$2:$L$2012)</f>
        <v>0</v>
      </c>
      <c r="M46" s="12">
        <f>SUMIF(Mercado_Receita!$S$2:$S$2012,"44440B2BrancaRuralServiço público de irrigação ruralNão se aplicaNão se aplicaPonta",Mercado_Receita!$L$2:$L$2012)</f>
        <v>0</v>
      </c>
      <c r="N46" s="12">
        <f>SUMIF(Mercado_Receita!$S$2:$S$2012,"44470B2BrancaRuralServiço público de irrigação ruralNão se aplicaNão se aplicaPonta",Mercado_Receita!$L$2:$L$2012)</f>
        <v>0</v>
      </c>
      <c r="O46" s="12">
        <f>SUMIF(Mercado_Receita!$S$2:$S$2012,"44501B2BrancaRuralServiço público de irrigação ruralNão se aplicaNão se aplicaPonta",Mercado_Receita!$L$2:$L$2012)</f>
        <v>0</v>
      </c>
      <c r="P46" s="12">
        <f>SUMIF(Mercado_Receita!$S$2:$S$2012,"44531B2BrancaRuralServiço público de irrigação ruralNão se aplicaNão se aplicaPonta",Mercado_Receita!$L$2:$L$2012)</f>
        <v>0</v>
      </c>
      <c r="Q46" s="12">
        <f>SUMIF(Mercado_Receita!$S$2:$S$2012,"44562B2BrancaRuralServiço público de irrigação ruralNão se aplicaNão se aplicaPonta",Mercado_Receita!$L$2:$L$2012)</f>
        <v>0</v>
      </c>
      <c r="R46" s="12">
        <f>SUMIF(Mercado_Receita!$S$2:$S$2012,"44593B2BrancaRuralServiço público de irrigação ruralNão se aplicaNão se aplicaPonta",Mercado_Receita!$L$2:$L$2012)</f>
        <v>0</v>
      </c>
      <c r="S46" s="12">
        <f>SUMIF(Mercado_Receita!$S$2:$S$2012,"44621B2BrancaRuralServiço público de irrigação ruralNão se aplicaNão se aplicaPonta",Mercado_Receita!$L$2:$L$2012)</f>
        <v>0</v>
      </c>
      <c r="T46" s="12">
        <f>SUMIF(Mercado_Receita!$S$2:$S$2012,"44652B2BrancaRuralServiço público de irrigação ruralNão se aplicaNão se aplicaPonta",Mercado_Receita!$L$2:$L$2012)</f>
        <v>0</v>
      </c>
      <c r="U46" s="12">
        <f t="shared" si="1"/>
        <v>0</v>
      </c>
      <c r="V46" s="12"/>
      <c r="W46" s="12"/>
    </row>
    <row r="47" spans="1:23" ht="11.25" customHeight="1" x14ac:dyDescent="0.25">
      <c r="A47" s="118"/>
      <c r="B47" s="118"/>
      <c r="C47" s="118"/>
      <c r="D47" s="118"/>
      <c r="E47" s="118"/>
      <c r="F47" s="118"/>
      <c r="G47" s="12" t="s">
        <v>101</v>
      </c>
      <c r="H47" s="12" t="s">
        <v>90</v>
      </c>
      <c r="I47" s="12">
        <f>SUMIF(Mercado_Receita!$S$2:$S$2012,"44317B2BrancaRuralServiço público de irrigação ruralNão se aplicaNão se aplicaIntermediário",Mercado_Receita!$L$2:$L$2012)</f>
        <v>0</v>
      </c>
      <c r="J47" s="12">
        <f>SUMIF(Mercado_Receita!$S$2:$S$2012,"44348B2BrancaRuralServiço público de irrigação ruralNão se aplicaNão se aplicaIntermediário",Mercado_Receita!$L$2:$L$2012)</f>
        <v>0</v>
      </c>
      <c r="K47" s="12">
        <f>SUMIF(Mercado_Receita!$S$2:$S$2012,"44378B2BrancaRuralServiço público de irrigação ruralNão se aplicaNão se aplicaIntermediário",Mercado_Receita!$L$2:$L$2012)</f>
        <v>0</v>
      </c>
      <c r="L47" s="12">
        <f>SUMIF(Mercado_Receita!$S$2:$S$2012,"44409B2BrancaRuralServiço público de irrigação ruralNão se aplicaNão se aplicaIntermediário",Mercado_Receita!$L$2:$L$2012)</f>
        <v>0</v>
      </c>
      <c r="M47" s="12">
        <f>SUMIF(Mercado_Receita!$S$2:$S$2012,"44440B2BrancaRuralServiço público de irrigação ruralNão se aplicaNão se aplicaIntermediário",Mercado_Receita!$L$2:$L$2012)</f>
        <v>0</v>
      </c>
      <c r="N47" s="12">
        <f>SUMIF(Mercado_Receita!$S$2:$S$2012,"44470B2BrancaRuralServiço público de irrigação ruralNão se aplicaNão se aplicaIntermediário",Mercado_Receita!$L$2:$L$2012)</f>
        <v>0</v>
      </c>
      <c r="O47" s="12">
        <f>SUMIF(Mercado_Receita!$S$2:$S$2012,"44501B2BrancaRuralServiço público de irrigação ruralNão se aplicaNão se aplicaIntermediário",Mercado_Receita!$L$2:$L$2012)</f>
        <v>0</v>
      </c>
      <c r="P47" s="12">
        <f>SUMIF(Mercado_Receita!$S$2:$S$2012,"44531B2BrancaRuralServiço público de irrigação ruralNão se aplicaNão se aplicaIntermediário",Mercado_Receita!$L$2:$L$2012)</f>
        <v>0</v>
      </c>
      <c r="Q47" s="12">
        <f>SUMIF(Mercado_Receita!$S$2:$S$2012,"44562B2BrancaRuralServiço público de irrigação ruralNão se aplicaNão se aplicaIntermediário",Mercado_Receita!$L$2:$L$2012)</f>
        <v>0</v>
      </c>
      <c r="R47" s="12">
        <f>SUMIF(Mercado_Receita!$S$2:$S$2012,"44593B2BrancaRuralServiço público de irrigação ruralNão se aplicaNão se aplicaIntermediário",Mercado_Receita!$L$2:$L$2012)</f>
        <v>0</v>
      </c>
      <c r="S47" s="12">
        <f>SUMIF(Mercado_Receita!$S$2:$S$2012,"44621B2BrancaRuralServiço público de irrigação ruralNão se aplicaNão se aplicaIntermediário",Mercado_Receita!$L$2:$L$2012)</f>
        <v>0</v>
      </c>
      <c r="T47" s="12">
        <f>SUMIF(Mercado_Receita!$S$2:$S$2012,"44652B2BrancaRuralServiço público de irrigação ruralNão se aplicaNão se aplicaIntermediário",Mercado_Receita!$L$2:$L$2012)</f>
        <v>0</v>
      </c>
      <c r="U47" s="12">
        <f t="shared" si="1"/>
        <v>0</v>
      </c>
      <c r="V47" s="12"/>
      <c r="W47" s="12"/>
    </row>
    <row r="48" spans="1:23" ht="11.25" customHeight="1" x14ac:dyDescent="0.25">
      <c r="A48" s="118"/>
      <c r="B48" s="118"/>
      <c r="C48" s="118"/>
      <c r="D48" s="118"/>
      <c r="E48" s="118"/>
      <c r="F48" s="118"/>
      <c r="G48" s="12" t="s">
        <v>92</v>
      </c>
      <c r="H48" s="12" t="s">
        <v>90</v>
      </c>
      <c r="I48" s="12">
        <f>SUMIF(Mercado_Receita!$S$2:$S$2012,"44317B2BrancaRuralServiço público de irrigação ruralNão se aplicaNão se aplicaFora ponta",Mercado_Receita!$L$2:$L$2012)</f>
        <v>0</v>
      </c>
      <c r="J48" s="12">
        <f>SUMIF(Mercado_Receita!$S$2:$S$2012,"44348B2BrancaRuralServiço público de irrigação ruralNão se aplicaNão se aplicaFora ponta",Mercado_Receita!$L$2:$L$2012)</f>
        <v>0</v>
      </c>
      <c r="K48" s="12">
        <f>SUMIF(Mercado_Receita!$S$2:$S$2012,"44378B2BrancaRuralServiço público de irrigação ruralNão se aplicaNão se aplicaFora ponta",Mercado_Receita!$L$2:$L$2012)</f>
        <v>0</v>
      </c>
      <c r="L48" s="12">
        <f>SUMIF(Mercado_Receita!$S$2:$S$2012,"44409B2BrancaRuralServiço público de irrigação ruralNão se aplicaNão se aplicaFora ponta",Mercado_Receita!$L$2:$L$2012)</f>
        <v>0</v>
      </c>
      <c r="M48" s="12">
        <f>SUMIF(Mercado_Receita!$S$2:$S$2012,"44440B2BrancaRuralServiço público de irrigação ruralNão se aplicaNão se aplicaFora ponta",Mercado_Receita!$L$2:$L$2012)</f>
        <v>0</v>
      </c>
      <c r="N48" s="12">
        <f>SUMIF(Mercado_Receita!$S$2:$S$2012,"44470B2BrancaRuralServiço público de irrigação ruralNão se aplicaNão se aplicaFora ponta",Mercado_Receita!$L$2:$L$2012)</f>
        <v>0</v>
      </c>
      <c r="O48" s="12">
        <f>SUMIF(Mercado_Receita!$S$2:$S$2012,"44501B2BrancaRuralServiço público de irrigação ruralNão se aplicaNão se aplicaFora ponta",Mercado_Receita!$L$2:$L$2012)</f>
        <v>0</v>
      </c>
      <c r="P48" s="12">
        <f>SUMIF(Mercado_Receita!$S$2:$S$2012,"44531B2BrancaRuralServiço público de irrigação ruralNão se aplicaNão se aplicaFora ponta",Mercado_Receita!$L$2:$L$2012)</f>
        <v>0</v>
      </c>
      <c r="Q48" s="12">
        <f>SUMIF(Mercado_Receita!$S$2:$S$2012,"44562B2BrancaRuralServiço público de irrigação ruralNão se aplicaNão se aplicaFora ponta",Mercado_Receita!$L$2:$L$2012)</f>
        <v>0</v>
      </c>
      <c r="R48" s="12">
        <f>SUMIF(Mercado_Receita!$S$2:$S$2012,"44593B2BrancaRuralServiço público de irrigação ruralNão se aplicaNão se aplicaFora ponta",Mercado_Receita!$L$2:$L$2012)</f>
        <v>0</v>
      </c>
      <c r="S48" s="12">
        <f>SUMIF(Mercado_Receita!$S$2:$S$2012,"44621B2BrancaRuralServiço público de irrigação ruralNão se aplicaNão se aplicaFora ponta",Mercado_Receita!$L$2:$L$2012)</f>
        <v>0</v>
      </c>
      <c r="T48" s="12">
        <f>SUMIF(Mercado_Receita!$S$2:$S$2012,"44652B2BrancaRuralServiço público de irrigação ruralNão se aplicaNão se aplicaFora ponta",Mercado_Receita!$L$2:$L$2012)</f>
        <v>0</v>
      </c>
      <c r="U48" s="12">
        <f t="shared" si="1"/>
        <v>0</v>
      </c>
      <c r="V48" s="12"/>
      <c r="W48" s="12"/>
    </row>
    <row r="49" spans="1:23" ht="11.25" customHeight="1" x14ac:dyDescent="0.25">
      <c r="A49" s="118"/>
      <c r="B49" s="13" t="s">
        <v>23</v>
      </c>
      <c r="C49" s="13" t="s">
        <v>45</v>
      </c>
      <c r="D49" s="13" t="s">
        <v>105</v>
      </c>
      <c r="E49" s="13" t="s">
        <v>25</v>
      </c>
      <c r="F49" s="13" t="s">
        <v>25</v>
      </c>
      <c r="G49" s="12" t="s">
        <v>96</v>
      </c>
      <c r="H49" s="12" t="s">
        <v>90</v>
      </c>
      <c r="I49" s="12">
        <f>SUMIF(Mercado_Receita!$S$2:$S$2012,"44317B2ConvencionalRuralServiço público de irrigação ruralNão se aplicaNão se aplicaPonta",Mercado_Receita!$L$2:$L$2012)+SUMIF(Mercado_Receita!$S$2:$S$2012,"44317B2ConvencionalRuralServiço público de irrigação ruralNão se aplicaNão se aplicaFora ponta",Mercado_Receita!$L$2:$L$2012)+SUMIF(Mercado_Receita!$S$2:$S$2012,"44317B2ConvencionalRuralServiço público de irrigação ruralNão se aplicaNão se aplicaIntermediário",Mercado_Receita!$L$2:$L$2012)+SUMIF(Mercado_Receita!$S$2:$S$2012,"44317B2ConvencionalRuralServiço público de irrigação ruralNão se aplicaNão se aplicaNão se aplica",Mercado_Receita!$L$2:$L$2012)</f>
        <v>0</v>
      </c>
      <c r="J49" s="12">
        <f>SUMIF(Mercado_Receita!$S$2:$S$2012,"44348B2ConvencionalRuralServiço público de irrigação ruralNão se aplicaNão se aplicaPonta",Mercado_Receita!$L$2:$L$2012)+SUMIF(Mercado_Receita!$S$2:$S$2012,"44348B2ConvencionalRuralServiço público de irrigação ruralNão se aplicaNão se aplicaFora ponta",Mercado_Receita!$L$2:$L$2012)+SUMIF(Mercado_Receita!$S$2:$S$2012,"44348B2ConvencionalRuralServiço público de irrigação ruralNão se aplicaNão se aplicaIntermediário",Mercado_Receita!$L$2:$L$2012)+SUMIF(Mercado_Receita!$S$2:$S$2012,"44348B2ConvencionalRuralServiço público de irrigação ruralNão se aplicaNão se aplicaNão se aplica",Mercado_Receita!$L$2:$L$2012)</f>
        <v>0</v>
      </c>
      <c r="K49" s="12">
        <f>SUMIF(Mercado_Receita!$S$2:$S$2012,"44378B2ConvencionalRuralServiço público de irrigação ruralNão se aplicaNão se aplicaPonta",Mercado_Receita!$L$2:$L$2012)+SUMIF(Mercado_Receita!$S$2:$S$2012,"44378B2ConvencionalRuralServiço público de irrigação ruralNão se aplicaNão se aplicaFora ponta",Mercado_Receita!$L$2:$L$2012)+SUMIF(Mercado_Receita!$S$2:$S$2012,"44378B2ConvencionalRuralServiço público de irrigação ruralNão se aplicaNão se aplicaIntermediário",Mercado_Receita!$L$2:$L$2012)+SUMIF(Mercado_Receita!$S$2:$S$2012,"44378B2ConvencionalRuralServiço público de irrigação ruralNão se aplicaNão se aplicaNão se aplica",Mercado_Receita!$L$2:$L$2012)</f>
        <v>0</v>
      </c>
      <c r="L49" s="12">
        <f>SUMIF(Mercado_Receita!$S$2:$S$2012,"44409B2ConvencionalRuralServiço público de irrigação ruralNão se aplicaNão se aplicaPonta",Mercado_Receita!$L$2:$L$2012)+SUMIF(Mercado_Receita!$S$2:$S$2012,"44409B2ConvencionalRuralServiço público de irrigação ruralNão se aplicaNão se aplicaFora ponta",Mercado_Receita!$L$2:$L$2012)+SUMIF(Mercado_Receita!$S$2:$S$2012,"44409B2ConvencionalRuralServiço público de irrigação ruralNão se aplicaNão se aplicaIntermediário",Mercado_Receita!$L$2:$L$2012)+SUMIF(Mercado_Receita!$S$2:$S$2012,"44409B2ConvencionalRuralServiço público de irrigação ruralNão se aplicaNão se aplicaNão se aplica",Mercado_Receita!$L$2:$L$2012)</f>
        <v>0</v>
      </c>
      <c r="M49" s="12">
        <f>SUMIF(Mercado_Receita!$S$2:$S$2012,"44440B2ConvencionalRuralServiço público de irrigação ruralNão se aplicaNão se aplicaPonta",Mercado_Receita!$L$2:$L$2012)+SUMIF(Mercado_Receita!$S$2:$S$2012,"44440B2ConvencionalRuralServiço público de irrigação ruralNão se aplicaNão se aplicaFora ponta",Mercado_Receita!$L$2:$L$2012)+SUMIF(Mercado_Receita!$S$2:$S$2012,"44440B2ConvencionalRuralServiço público de irrigação ruralNão se aplicaNão se aplicaIntermediário",Mercado_Receita!$L$2:$L$2012)+SUMIF(Mercado_Receita!$S$2:$S$2012,"44440B2ConvencionalRuralServiço público de irrigação ruralNão se aplicaNão se aplicaNão se aplica",Mercado_Receita!$L$2:$L$2012)</f>
        <v>0</v>
      </c>
      <c r="N49" s="12">
        <f>SUMIF(Mercado_Receita!$S$2:$S$2012,"44470B2ConvencionalRuralServiço público de irrigação ruralNão se aplicaNão se aplicaPonta",Mercado_Receita!$L$2:$L$2012)+SUMIF(Mercado_Receita!$S$2:$S$2012,"44470B2ConvencionalRuralServiço público de irrigação ruralNão se aplicaNão se aplicaFora ponta",Mercado_Receita!$L$2:$L$2012)+SUMIF(Mercado_Receita!$S$2:$S$2012,"44470B2ConvencionalRuralServiço público de irrigação ruralNão se aplicaNão se aplicaIntermediário",Mercado_Receita!$L$2:$L$2012)+SUMIF(Mercado_Receita!$S$2:$S$2012,"44470B2ConvencionalRuralServiço público de irrigação ruralNão se aplicaNão se aplicaNão se aplica",Mercado_Receita!$L$2:$L$2012)</f>
        <v>0</v>
      </c>
      <c r="O49" s="12">
        <f>SUMIF(Mercado_Receita!$S$2:$S$2012,"44501B2ConvencionalRuralServiço público de irrigação ruralNão se aplicaNão se aplicaPonta",Mercado_Receita!$L$2:$L$2012)+SUMIF(Mercado_Receita!$S$2:$S$2012,"44501B2ConvencionalRuralServiço público de irrigação ruralNão se aplicaNão se aplicaFora ponta",Mercado_Receita!$L$2:$L$2012)+SUMIF(Mercado_Receita!$S$2:$S$2012,"44501B2ConvencionalRuralServiço público de irrigação ruralNão se aplicaNão se aplicaIntermediário",Mercado_Receita!$L$2:$L$2012)+SUMIF(Mercado_Receita!$S$2:$S$2012,"44501B2ConvencionalRuralServiço público de irrigação ruralNão se aplicaNão se aplicaNão se aplica",Mercado_Receita!$L$2:$L$2012)</f>
        <v>0</v>
      </c>
      <c r="P49" s="12">
        <f>SUMIF(Mercado_Receita!$S$2:$S$2012,"44531B2ConvencionalRuralServiço público de irrigação ruralNão se aplicaNão se aplicaPonta",Mercado_Receita!$L$2:$L$2012)+SUMIF(Mercado_Receita!$S$2:$S$2012,"44531B2ConvencionalRuralServiço público de irrigação ruralNão se aplicaNão se aplicaFora ponta",Mercado_Receita!$L$2:$L$2012)+SUMIF(Mercado_Receita!$S$2:$S$2012,"44531B2ConvencionalRuralServiço público de irrigação ruralNão se aplicaNão se aplicaIntermediário",Mercado_Receita!$L$2:$L$2012)+SUMIF(Mercado_Receita!$S$2:$S$2012,"44531B2ConvencionalRuralServiço público de irrigação ruralNão se aplicaNão se aplicaNão se aplica",Mercado_Receita!$L$2:$L$2012)</f>
        <v>0</v>
      </c>
      <c r="Q49" s="12">
        <f>SUMIF(Mercado_Receita!$S$2:$S$2012,"44562B2ConvencionalRuralServiço público de irrigação ruralNão se aplicaNão se aplicaPonta",Mercado_Receita!$L$2:$L$2012)+SUMIF(Mercado_Receita!$S$2:$S$2012,"44562B2ConvencionalRuralServiço público de irrigação ruralNão se aplicaNão se aplicaFora ponta",Mercado_Receita!$L$2:$L$2012)+SUMIF(Mercado_Receita!$S$2:$S$2012,"44562B2ConvencionalRuralServiço público de irrigação ruralNão se aplicaNão se aplicaIntermediário",Mercado_Receita!$L$2:$L$2012)+SUMIF(Mercado_Receita!$S$2:$S$2012,"44562B2ConvencionalRuralServiço público de irrigação ruralNão se aplicaNão se aplicaNão se aplica",Mercado_Receita!$L$2:$L$2012)</f>
        <v>0</v>
      </c>
      <c r="R49" s="12">
        <f>SUMIF(Mercado_Receita!$S$2:$S$2012,"44593B2ConvencionalRuralServiço público de irrigação ruralNão se aplicaNão se aplicaPonta",Mercado_Receita!$L$2:$L$2012)+SUMIF(Mercado_Receita!$S$2:$S$2012,"44593B2ConvencionalRuralServiço público de irrigação ruralNão se aplicaNão se aplicaFora ponta",Mercado_Receita!$L$2:$L$2012)+SUMIF(Mercado_Receita!$S$2:$S$2012,"44593B2ConvencionalRuralServiço público de irrigação ruralNão se aplicaNão se aplicaIntermediário",Mercado_Receita!$L$2:$L$2012)+SUMIF(Mercado_Receita!$S$2:$S$2012,"44593B2ConvencionalRuralServiço público de irrigação ruralNão se aplicaNão se aplicaNão se aplica",Mercado_Receita!$L$2:$L$2012)</f>
        <v>0</v>
      </c>
      <c r="S49" s="12">
        <f>SUMIF(Mercado_Receita!$S$2:$S$2012,"44621B2ConvencionalRuralServiço público de irrigação ruralNão se aplicaNão se aplicaPonta",Mercado_Receita!$L$2:$L$2012)+SUMIF(Mercado_Receita!$S$2:$S$2012,"44621B2ConvencionalRuralServiço público de irrigação ruralNão se aplicaNão se aplicaFora ponta",Mercado_Receita!$L$2:$L$2012)+SUMIF(Mercado_Receita!$S$2:$S$2012,"44621B2ConvencionalRuralServiço público de irrigação ruralNão se aplicaNão se aplicaIntermediário",Mercado_Receita!$L$2:$L$2012)+SUMIF(Mercado_Receita!$S$2:$S$2012,"44621B2ConvencionalRuralServiço público de irrigação ruralNão se aplicaNão se aplicaNão se aplica",Mercado_Receita!$L$2:$L$2012)</f>
        <v>0</v>
      </c>
      <c r="T49" s="12">
        <f>SUMIF(Mercado_Receita!$S$2:$S$2012,"44652B2ConvencionalRuralServiço público de irrigação ruralNão se aplicaNão se aplicaPonta",Mercado_Receita!$L$2:$L$2012)+SUMIF(Mercado_Receita!$S$2:$S$2012,"44652B2ConvencionalRuralServiço público de irrigação ruralNão se aplicaNão se aplicaFora ponta",Mercado_Receita!$L$2:$L$2012)+SUMIF(Mercado_Receita!$S$2:$S$2012,"44652B2ConvencionalRuralServiço público de irrigação ruralNão se aplicaNão se aplicaIntermediário",Mercado_Receita!$L$2:$L$2012)+SUMIF(Mercado_Receita!$S$2:$S$2012,"44652B2ConvencionalRuralServiço público de irrigação ruralNão se aplicaNão se aplicaNão se aplica",Mercado_Receita!$L$2:$L$2012)</f>
        <v>0</v>
      </c>
      <c r="U49" s="12">
        <f t="shared" si="1"/>
        <v>0</v>
      </c>
      <c r="V49" s="12"/>
      <c r="W49" s="12"/>
    </row>
    <row r="50" spans="1:23" ht="11.25" customHeight="1" x14ac:dyDescent="0.25">
      <c r="A50" s="118"/>
      <c r="B50" s="117" t="s">
        <v>103</v>
      </c>
      <c r="C50" s="117" t="s">
        <v>45</v>
      </c>
      <c r="D50" s="13" t="s">
        <v>25</v>
      </c>
      <c r="E50" s="13" t="s">
        <v>25</v>
      </c>
      <c r="F50" s="13" t="s">
        <v>25</v>
      </c>
      <c r="G50" s="12" t="s">
        <v>96</v>
      </c>
      <c r="H50" s="12" t="s">
        <v>90</v>
      </c>
      <c r="I50" s="12">
        <f>SUMIF(Mercado_Receita!$S$2:$S$2012,"44317B2Convencional pré-pagamentoRuralNão se aplicaNão se aplicaNão se aplicaPonta",Mercado_Receita!$L$2:$L$2012)+SUMIF(Mercado_Receita!$S$2:$S$2012,"44317B2Convencional pré-pagamentoRuralNão se aplicaNão se aplicaNão se aplicaFora ponta",Mercado_Receita!$L$2:$L$2012)+SUMIF(Mercado_Receita!$S$2:$S$2012,"44317B2Convencional pré-pagamentoRuralNão se aplicaNão se aplicaNão se aplicaIntermediário",Mercado_Receita!$L$2:$L$2012)+SUMIF(Mercado_Receita!$S$2:$S$2012,"44317B2Convencional pré-pagamentoRuralNão se aplicaNão se aplicaNão se aplicaNão se aplica",Mercado_Receita!$L$2:$L$2012)</f>
        <v>0</v>
      </c>
      <c r="J50" s="12">
        <f>SUMIF(Mercado_Receita!$S$2:$S$2012,"44348B2Convencional pré-pagamentoRuralNão se aplicaNão se aplicaNão se aplicaPonta",Mercado_Receita!$L$2:$L$2012)+SUMIF(Mercado_Receita!$S$2:$S$2012,"44348B2Convencional pré-pagamentoRuralNão se aplicaNão se aplicaNão se aplicaFora ponta",Mercado_Receita!$L$2:$L$2012)+SUMIF(Mercado_Receita!$S$2:$S$2012,"44348B2Convencional pré-pagamentoRuralNão se aplicaNão se aplicaNão se aplicaIntermediário",Mercado_Receita!$L$2:$L$2012)+SUMIF(Mercado_Receita!$S$2:$S$2012,"44348B2Convencional pré-pagamentoRuralNão se aplicaNão se aplicaNão se aplicaNão se aplica",Mercado_Receita!$L$2:$L$2012)</f>
        <v>0</v>
      </c>
      <c r="K50" s="12">
        <f>SUMIF(Mercado_Receita!$S$2:$S$2012,"44378B2Convencional pré-pagamentoRuralNão se aplicaNão se aplicaNão se aplicaPonta",Mercado_Receita!$L$2:$L$2012)+SUMIF(Mercado_Receita!$S$2:$S$2012,"44378B2Convencional pré-pagamentoRuralNão se aplicaNão se aplicaNão se aplicaFora ponta",Mercado_Receita!$L$2:$L$2012)+SUMIF(Mercado_Receita!$S$2:$S$2012,"44378B2Convencional pré-pagamentoRuralNão se aplicaNão se aplicaNão se aplicaIntermediário",Mercado_Receita!$L$2:$L$2012)+SUMIF(Mercado_Receita!$S$2:$S$2012,"44378B2Convencional pré-pagamentoRuralNão se aplicaNão se aplicaNão se aplicaNão se aplica",Mercado_Receita!$L$2:$L$2012)</f>
        <v>0</v>
      </c>
      <c r="L50" s="12">
        <f>SUMIF(Mercado_Receita!$S$2:$S$2012,"44409B2Convencional pré-pagamentoRuralNão se aplicaNão se aplicaNão se aplicaPonta",Mercado_Receita!$L$2:$L$2012)+SUMIF(Mercado_Receita!$S$2:$S$2012,"44409B2Convencional pré-pagamentoRuralNão se aplicaNão se aplicaNão se aplicaFora ponta",Mercado_Receita!$L$2:$L$2012)+SUMIF(Mercado_Receita!$S$2:$S$2012,"44409B2Convencional pré-pagamentoRuralNão se aplicaNão se aplicaNão se aplicaIntermediário",Mercado_Receita!$L$2:$L$2012)+SUMIF(Mercado_Receita!$S$2:$S$2012,"44409B2Convencional pré-pagamentoRuralNão se aplicaNão se aplicaNão se aplicaNão se aplica",Mercado_Receita!$L$2:$L$2012)</f>
        <v>0</v>
      </c>
      <c r="M50" s="12">
        <f>SUMIF(Mercado_Receita!$S$2:$S$2012,"44440B2Convencional pré-pagamentoRuralNão se aplicaNão se aplicaNão se aplicaPonta",Mercado_Receita!$L$2:$L$2012)+SUMIF(Mercado_Receita!$S$2:$S$2012,"44440B2Convencional pré-pagamentoRuralNão se aplicaNão se aplicaNão se aplicaFora ponta",Mercado_Receita!$L$2:$L$2012)+SUMIF(Mercado_Receita!$S$2:$S$2012,"44440B2Convencional pré-pagamentoRuralNão se aplicaNão se aplicaNão se aplicaIntermediário",Mercado_Receita!$L$2:$L$2012)+SUMIF(Mercado_Receita!$S$2:$S$2012,"44440B2Convencional pré-pagamentoRuralNão se aplicaNão se aplicaNão se aplicaNão se aplica",Mercado_Receita!$L$2:$L$2012)</f>
        <v>0</v>
      </c>
      <c r="N50" s="12">
        <f>SUMIF(Mercado_Receita!$S$2:$S$2012,"44470B2Convencional pré-pagamentoRuralNão se aplicaNão se aplicaNão se aplicaPonta",Mercado_Receita!$L$2:$L$2012)+SUMIF(Mercado_Receita!$S$2:$S$2012,"44470B2Convencional pré-pagamentoRuralNão se aplicaNão se aplicaNão se aplicaFora ponta",Mercado_Receita!$L$2:$L$2012)+SUMIF(Mercado_Receita!$S$2:$S$2012,"44470B2Convencional pré-pagamentoRuralNão se aplicaNão se aplicaNão se aplicaIntermediário",Mercado_Receita!$L$2:$L$2012)+SUMIF(Mercado_Receita!$S$2:$S$2012,"44470B2Convencional pré-pagamentoRuralNão se aplicaNão se aplicaNão se aplicaNão se aplica",Mercado_Receita!$L$2:$L$2012)</f>
        <v>0</v>
      </c>
      <c r="O50" s="12">
        <f>SUMIF(Mercado_Receita!$S$2:$S$2012,"44501B2Convencional pré-pagamentoRuralNão se aplicaNão se aplicaNão se aplicaPonta",Mercado_Receita!$L$2:$L$2012)+SUMIF(Mercado_Receita!$S$2:$S$2012,"44501B2Convencional pré-pagamentoRuralNão se aplicaNão se aplicaNão se aplicaFora ponta",Mercado_Receita!$L$2:$L$2012)+SUMIF(Mercado_Receita!$S$2:$S$2012,"44501B2Convencional pré-pagamentoRuralNão se aplicaNão se aplicaNão se aplicaIntermediário",Mercado_Receita!$L$2:$L$2012)+SUMIF(Mercado_Receita!$S$2:$S$2012,"44501B2Convencional pré-pagamentoRuralNão se aplicaNão se aplicaNão se aplicaNão se aplica",Mercado_Receita!$L$2:$L$2012)</f>
        <v>0</v>
      </c>
      <c r="P50" s="12">
        <f>SUMIF(Mercado_Receita!$S$2:$S$2012,"44531B2Convencional pré-pagamentoRuralNão se aplicaNão se aplicaNão se aplicaPonta",Mercado_Receita!$L$2:$L$2012)+SUMIF(Mercado_Receita!$S$2:$S$2012,"44531B2Convencional pré-pagamentoRuralNão se aplicaNão se aplicaNão se aplicaFora ponta",Mercado_Receita!$L$2:$L$2012)+SUMIF(Mercado_Receita!$S$2:$S$2012,"44531B2Convencional pré-pagamentoRuralNão se aplicaNão se aplicaNão se aplicaIntermediário",Mercado_Receita!$L$2:$L$2012)+SUMIF(Mercado_Receita!$S$2:$S$2012,"44531B2Convencional pré-pagamentoRuralNão se aplicaNão se aplicaNão se aplicaNão se aplica",Mercado_Receita!$L$2:$L$2012)</f>
        <v>0</v>
      </c>
      <c r="Q50" s="12">
        <f>SUMIF(Mercado_Receita!$S$2:$S$2012,"44562B2Convencional pré-pagamentoRuralNão se aplicaNão se aplicaNão se aplicaPonta",Mercado_Receita!$L$2:$L$2012)+SUMIF(Mercado_Receita!$S$2:$S$2012,"44562B2Convencional pré-pagamentoRuralNão se aplicaNão se aplicaNão se aplicaFora ponta",Mercado_Receita!$L$2:$L$2012)+SUMIF(Mercado_Receita!$S$2:$S$2012,"44562B2Convencional pré-pagamentoRuralNão se aplicaNão se aplicaNão se aplicaIntermediário",Mercado_Receita!$L$2:$L$2012)+SUMIF(Mercado_Receita!$S$2:$S$2012,"44562B2Convencional pré-pagamentoRuralNão se aplicaNão se aplicaNão se aplicaNão se aplica",Mercado_Receita!$L$2:$L$2012)</f>
        <v>0</v>
      </c>
      <c r="R50" s="12">
        <f>SUMIF(Mercado_Receita!$S$2:$S$2012,"44593B2Convencional pré-pagamentoRuralNão se aplicaNão se aplicaNão se aplicaPonta",Mercado_Receita!$L$2:$L$2012)+SUMIF(Mercado_Receita!$S$2:$S$2012,"44593B2Convencional pré-pagamentoRuralNão se aplicaNão se aplicaNão se aplicaFora ponta",Mercado_Receita!$L$2:$L$2012)+SUMIF(Mercado_Receita!$S$2:$S$2012,"44593B2Convencional pré-pagamentoRuralNão se aplicaNão se aplicaNão se aplicaIntermediário",Mercado_Receita!$L$2:$L$2012)+SUMIF(Mercado_Receita!$S$2:$S$2012,"44593B2Convencional pré-pagamentoRuralNão se aplicaNão se aplicaNão se aplicaNão se aplica",Mercado_Receita!$L$2:$L$2012)</f>
        <v>0</v>
      </c>
      <c r="S50" s="12">
        <f>SUMIF(Mercado_Receita!$S$2:$S$2012,"44621B2Convencional pré-pagamentoRuralNão se aplicaNão se aplicaNão se aplicaPonta",Mercado_Receita!$L$2:$L$2012)+SUMIF(Mercado_Receita!$S$2:$S$2012,"44621B2Convencional pré-pagamentoRuralNão se aplicaNão se aplicaNão se aplicaFora ponta",Mercado_Receita!$L$2:$L$2012)+SUMIF(Mercado_Receita!$S$2:$S$2012,"44621B2Convencional pré-pagamentoRuralNão se aplicaNão se aplicaNão se aplicaIntermediário",Mercado_Receita!$L$2:$L$2012)+SUMIF(Mercado_Receita!$S$2:$S$2012,"44621B2Convencional pré-pagamentoRuralNão se aplicaNão se aplicaNão se aplicaNão se aplica",Mercado_Receita!$L$2:$L$2012)</f>
        <v>0</v>
      </c>
      <c r="T50" s="12">
        <f>SUMIF(Mercado_Receita!$S$2:$S$2012,"44652B2Convencional pré-pagamentoRuralNão se aplicaNão se aplicaNão se aplicaPonta",Mercado_Receita!$L$2:$L$2012)+SUMIF(Mercado_Receita!$S$2:$S$2012,"44652B2Convencional pré-pagamentoRuralNão se aplicaNão se aplicaNão se aplicaFora ponta",Mercado_Receita!$L$2:$L$2012)+SUMIF(Mercado_Receita!$S$2:$S$2012,"44652B2Convencional pré-pagamentoRuralNão se aplicaNão se aplicaNão se aplicaIntermediário",Mercado_Receita!$L$2:$L$2012)+SUMIF(Mercado_Receita!$S$2:$S$2012,"44652B2Convencional pré-pagamentoRuralNão se aplicaNão se aplicaNão se aplicaNão se aplica",Mercado_Receita!$L$2:$L$2012)</f>
        <v>0</v>
      </c>
      <c r="U50" s="12">
        <f t="shared" si="1"/>
        <v>0</v>
      </c>
      <c r="V50" s="12"/>
      <c r="W50" s="12"/>
    </row>
    <row r="51" spans="1:23" ht="11.25" customHeight="1" x14ac:dyDescent="0.25">
      <c r="A51" s="118"/>
      <c r="B51" s="118"/>
      <c r="C51" s="118"/>
      <c r="D51" s="13" t="s">
        <v>104</v>
      </c>
      <c r="E51" s="13" t="s">
        <v>25</v>
      </c>
      <c r="F51" s="13" t="s">
        <v>25</v>
      </c>
      <c r="G51" s="12" t="s">
        <v>96</v>
      </c>
      <c r="H51" s="12" t="s">
        <v>90</v>
      </c>
      <c r="I51" s="12">
        <f>SUMIF(Mercado_Receita!$S$2:$S$2012,"44317B2Convencional pré-pagamentoRuralCooperativa de eletrificação ruralNão se aplicaNão se aplicaPonta",Mercado_Receita!$L$2:$L$2012)+SUMIF(Mercado_Receita!$S$2:$S$2012,"44317B2Convencional pré-pagamentoRuralCooperativa de eletrificação ruralNão se aplicaNão se aplicaFora ponta",Mercado_Receita!$L$2:$L$2012)+SUMIF(Mercado_Receita!$S$2:$S$2012,"44317B2Convencional pré-pagamentoRuralCooperativa de eletrificação ruralNão se aplicaNão se aplicaIntermediário",Mercado_Receita!$L$2:$L$2012)+SUMIF(Mercado_Receita!$S$2:$S$2012,"44317B2Convencional pré-pagamentoRuralCooperativa de eletrificação ruralNão se aplicaNão se aplicaNão se aplica",Mercado_Receita!$L$2:$L$2012)</f>
        <v>0</v>
      </c>
      <c r="J51" s="12">
        <f>SUMIF(Mercado_Receita!$S$2:$S$2012,"44348B2Convencional pré-pagamentoRuralCooperativa de eletrificação ruralNão se aplicaNão se aplicaPonta",Mercado_Receita!$L$2:$L$2012)+SUMIF(Mercado_Receita!$S$2:$S$2012,"44348B2Convencional pré-pagamentoRuralCooperativa de eletrificação ruralNão se aplicaNão se aplicaFora ponta",Mercado_Receita!$L$2:$L$2012)+SUMIF(Mercado_Receita!$S$2:$S$2012,"44348B2Convencional pré-pagamentoRuralCooperativa de eletrificação ruralNão se aplicaNão se aplicaIntermediário",Mercado_Receita!$L$2:$L$2012)+SUMIF(Mercado_Receita!$S$2:$S$2012,"44348B2Convencional pré-pagamentoRuralCooperativa de eletrificação ruralNão se aplicaNão se aplicaNão se aplica",Mercado_Receita!$L$2:$L$2012)</f>
        <v>0</v>
      </c>
      <c r="K51" s="12">
        <f>SUMIF(Mercado_Receita!$S$2:$S$2012,"44378B2Convencional pré-pagamentoRuralCooperativa de eletrificação ruralNão se aplicaNão se aplicaPonta",Mercado_Receita!$L$2:$L$2012)+SUMIF(Mercado_Receita!$S$2:$S$2012,"44378B2Convencional pré-pagamentoRuralCooperativa de eletrificação ruralNão se aplicaNão se aplicaFora ponta",Mercado_Receita!$L$2:$L$2012)+SUMIF(Mercado_Receita!$S$2:$S$2012,"44378B2Convencional pré-pagamentoRuralCooperativa de eletrificação ruralNão se aplicaNão se aplicaIntermediário",Mercado_Receita!$L$2:$L$2012)+SUMIF(Mercado_Receita!$S$2:$S$2012,"44378B2Convencional pré-pagamentoRuralCooperativa de eletrificação ruralNão se aplicaNão se aplicaNão se aplica",Mercado_Receita!$L$2:$L$2012)</f>
        <v>0</v>
      </c>
      <c r="L51" s="12">
        <f>SUMIF(Mercado_Receita!$S$2:$S$2012,"44409B2Convencional pré-pagamentoRuralCooperativa de eletrificação ruralNão se aplicaNão se aplicaPonta",Mercado_Receita!$L$2:$L$2012)+SUMIF(Mercado_Receita!$S$2:$S$2012,"44409B2Convencional pré-pagamentoRuralCooperativa de eletrificação ruralNão se aplicaNão se aplicaFora ponta",Mercado_Receita!$L$2:$L$2012)+SUMIF(Mercado_Receita!$S$2:$S$2012,"44409B2Convencional pré-pagamentoRuralCooperativa de eletrificação ruralNão se aplicaNão se aplicaIntermediário",Mercado_Receita!$L$2:$L$2012)+SUMIF(Mercado_Receita!$S$2:$S$2012,"44409B2Convencional pré-pagamentoRuralCooperativa de eletrificação ruralNão se aplicaNão se aplicaNão se aplica",Mercado_Receita!$L$2:$L$2012)</f>
        <v>0</v>
      </c>
      <c r="M51" s="12">
        <f>SUMIF(Mercado_Receita!$S$2:$S$2012,"44440B2Convencional pré-pagamentoRuralCooperativa de eletrificação ruralNão se aplicaNão se aplicaPonta",Mercado_Receita!$L$2:$L$2012)+SUMIF(Mercado_Receita!$S$2:$S$2012,"44440B2Convencional pré-pagamentoRuralCooperativa de eletrificação ruralNão se aplicaNão se aplicaFora ponta",Mercado_Receita!$L$2:$L$2012)+SUMIF(Mercado_Receita!$S$2:$S$2012,"44440B2Convencional pré-pagamentoRuralCooperativa de eletrificação ruralNão se aplicaNão se aplicaIntermediário",Mercado_Receita!$L$2:$L$2012)+SUMIF(Mercado_Receita!$S$2:$S$2012,"44440B2Convencional pré-pagamentoRuralCooperativa de eletrificação ruralNão se aplicaNão se aplicaNão se aplica",Mercado_Receita!$L$2:$L$2012)</f>
        <v>0</v>
      </c>
      <c r="N51" s="12">
        <f>SUMIF(Mercado_Receita!$S$2:$S$2012,"44470B2Convencional pré-pagamentoRuralCooperativa de eletrificação ruralNão se aplicaNão se aplicaPonta",Mercado_Receita!$L$2:$L$2012)+SUMIF(Mercado_Receita!$S$2:$S$2012,"44470B2Convencional pré-pagamentoRuralCooperativa de eletrificação ruralNão se aplicaNão se aplicaFora ponta",Mercado_Receita!$L$2:$L$2012)+SUMIF(Mercado_Receita!$S$2:$S$2012,"44470B2Convencional pré-pagamentoRuralCooperativa de eletrificação ruralNão se aplicaNão se aplicaIntermediário",Mercado_Receita!$L$2:$L$2012)+SUMIF(Mercado_Receita!$S$2:$S$2012,"44470B2Convencional pré-pagamentoRuralCooperativa de eletrificação ruralNão se aplicaNão se aplicaNão se aplica",Mercado_Receita!$L$2:$L$2012)</f>
        <v>0</v>
      </c>
      <c r="O51" s="12">
        <f>SUMIF(Mercado_Receita!$S$2:$S$2012,"44501B2Convencional pré-pagamentoRuralCooperativa de eletrificação ruralNão se aplicaNão se aplicaPonta",Mercado_Receita!$L$2:$L$2012)+SUMIF(Mercado_Receita!$S$2:$S$2012,"44501B2Convencional pré-pagamentoRuralCooperativa de eletrificação ruralNão se aplicaNão se aplicaFora ponta",Mercado_Receita!$L$2:$L$2012)+SUMIF(Mercado_Receita!$S$2:$S$2012,"44501B2Convencional pré-pagamentoRuralCooperativa de eletrificação ruralNão se aplicaNão se aplicaIntermediário",Mercado_Receita!$L$2:$L$2012)+SUMIF(Mercado_Receita!$S$2:$S$2012,"44501B2Convencional pré-pagamentoRuralCooperativa de eletrificação ruralNão se aplicaNão se aplicaNão se aplica",Mercado_Receita!$L$2:$L$2012)</f>
        <v>0</v>
      </c>
      <c r="P51" s="12">
        <f>SUMIF(Mercado_Receita!$S$2:$S$2012,"44531B2Convencional pré-pagamentoRuralCooperativa de eletrificação ruralNão se aplicaNão se aplicaPonta",Mercado_Receita!$L$2:$L$2012)+SUMIF(Mercado_Receita!$S$2:$S$2012,"44531B2Convencional pré-pagamentoRuralCooperativa de eletrificação ruralNão se aplicaNão se aplicaFora ponta",Mercado_Receita!$L$2:$L$2012)+SUMIF(Mercado_Receita!$S$2:$S$2012,"44531B2Convencional pré-pagamentoRuralCooperativa de eletrificação ruralNão se aplicaNão se aplicaIntermediário",Mercado_Receita!$L$2:$L$2012)+SUMIF(Mercado_Receita!$S$2:$S$2012,"44531B2Convencional pré-pagamentoRuralCooperativa de eletrificação ruralNão se aplicaNão se aplicaNão se aplica",Mercado_Receita!$L$2:$L$2012)</f>
        <v>0</v>
      </c>
      <c r="Q51" s="12">
        <f>SUMIF(Mercado_Receita!$S$2:$S$2012,"44562B2Convencional pré-pagamentoRuralCooperativa de eletrificação ruralNão se aplicaNão se aplicaPonta",Mercado_Receita!$L$2:$L$2012)+SUMIF(Mercado_Receita!$S$2:$S$2012,"44562B2Convencional pré-pagamentoRuralCooperativa de eletrificação ruralNão se aplicaNão se aplicaFora ponta",Mercado_Receita!$L$2:$L$2012)+SUMIF(Mercado_Receita!$S$2:$S$2012,"44562B2Convencional pré-pagamentoRuralCooperativa de eletrificação ruralNão se aplicaNão se aplicaIntermediário",Mercado_Receita!$L$2:$L$2012)+SUMIF(Mercado_Receita!$S$2:$S$2012,"44562B2Convencional pré-pagamentoRuralCooperativa de eletrificação ruralNão se aplicaNão se aplicaNão se aplica",Mercado_Receita!$L$2:$L$2012)</f>
        <v>0</v>
      </c>
      <c r="R51" s="12">
        <f>SUMIF(Mercado_Receita!$S$2:$S$2012,"44593B2Convencional pré-pagamentoRuralCooperativa de eletrificação ruralNão se aplicaNão se aplicaPonta",Mercado_Receita!$L$2:$L$2012)+SUMIF(Mercado_Receita!$S$2:$S$2012,"44593B2Convencional pré-pagamentoRuralCooperativa de eletrificação ruralNão se aplicaNão se aplicaFora ponta",Mercado_Receita!$L$2:$L$2012)+SUMIF(Mercado_Receita!$S$2:$S$2012,"44593B2Convencional pré-pagamentoRuralCooperativa de eletrificação ruralNão se aplicaNão se aplicaIntermediário",Mercado_Receita!$L$2:$L$2012)+SUMIF(Mercado_Receita!$S$2:$S$2012,"44593B2Convencional pré-pagamentoRuralCooperativa de eletrificação ruralNão se aplicaNão se aplicaNão se aplica",Mercado_Receita!$L$2:$L$2012)</f>
        <v>0</v>
      </c>
      <c r="S51" s="12">
        <f>SUMIF(Mercado_Receita!$S$2:$S$2012,"44621B2Convencional pré-pagamentoRuralCooperativa de eletrificação ruralNão se aplicaNão se aplicaPonta",Mercado_Receita!$L$2:$L$2012)+SUMIF(Mercado_Receita!$S$2:$S$2012,"44621B2Convencional pré-pagamentoRuralCooperativa de eletrificação ruralNão se aplicaNão se aplicaFora ponta",Mercado_Receita!$L$2:$L$2012)+SUMIF(Mercado_Receita!$S$2:$S$2012,"44621B2Convencional pré-pagamentoRuralCooperativa de eletrificação ruralNão se aplicaNão se aplicaIntermediário",Mercado_Receita!$L$2:$L$2012)+SUMIF(Mercado_Receita!$S$2:$S$2012,"44621B2Convencional pré-pagamentoRuralCooperativa de eletrificação ruralNão se aplicaNão se aplicaNão se aplica",Mercado_Receita!$L$2:$L$2012)</f>
        <v>0</v>
      </c>
      <c r="T51" s="12">
        <f>SUMIF(Mercado_Receita!$S$2:$S$2012,"44652B2Convencional pré-pagamentoRuralCooperativa de eletrificação ruralNão se aplicaNão se aplicaPonta",Mercado_Receita!$L$2:$L$2012)+SUMIF(Mercado_Receita!$S$2:$S$2012,"44652B2Convencional pré-pagamentoRuralCooperativa de eletrificação ruralNão se aplicaNão se aplicaFora ponta",Mercado_Receita!$L$2:$L$2012)+SUMIF(Mercado_Receita!$S$2:$S$2012,"44652B2Convencional pré-pagamentoRuralCooperativa de eletrificação ruralNão se aplicaNão se aplicaIntermediário",Mercado_Receita!$L$2:$L$2012)+SUMIF(Mercado_Receita!$S$2:$S$2012,"44652B2Convencional pré-pagamentoRuralCooperativa de eletrificação ruralNão se aplicaNão se aplicaNão se aplica",Mercado_Receita!$L$2:$L$2012)</f>
        <v>0</v>
      </c>
      <c r="U51" s="12">
        <f t="shared" si="1"/>
        <v>0</v>
      </c>
      <c r="V51" s="12"/>
      <c r="W51" s="12"/>
    </row>
    <row r="52" spans="1:23" ht="11.25" customHeight="1" x14ac:dyDescent="0.25">
      <c r="A52" s="118"/>
      <c r="B52" s="118"/>
      <c r="C52" s="118"/>
      <c r="D52" s="13" t="s">
        <v>105</v>
      </c>
      <c r="E52" s="13" t="s">
        <v>25</v>
      </c>
      <c r="F52" s="13" t="s">
        <v>25</v>
      </c>
      <c r="G52" s="12" t="s">
        <v>96</v>
      </c>
      <c r="H52" s="12" t="s">
        <v>90</v>
      </c>
      <c r="I52" s="12">
        <f>SUMIF(Mercado_Receita!$S$2:$S$2012,"44317B2Convencional pré-pagamentoRuralServiço público de irrigação ruralNão se aplicaNão se aplicaPonta",Mercado_Receita!$L$2:$L$2012)+SUMIF(Mercado_Receita!$S$2:$S$2012,"44317B2Convencional pré-pagamentoRuralServiço público de irrigação ruralNão se aplicaNão se aplicaFora ponta",Mercado_Receita!$L$2:$L$2012)+SUMIF(Mercado_Receita!$S$2:$S$2012,"44317B2Convencional pré-pagamentoRuralServiço público de irrigação ruralNão se aplicaNão se aplicaIntermediário",Mercado_Receita!$L$2:$L$2012)+SUMIF(Mercado_Receita!$S$2:$S$2012,"44317B2Convencional pré-pagamentoRuralServiço público de irrigação ruralNão se aplicaNão se aplicaNão se aplica",Mercado_Receita!$L$2:$L$2012)</f>
        <v>0</v>
      </c>
      <c r="J52" s="12">
        <f>SUMIF(Mercado_Receita!$S$2:$S$2012,"44348B2Convencional pré-pagamentoRuralServiço público de irrigação ruralNão se aplicaNão se aplicaPonta",Mercado_Receita!$L$2:$L$2012)+SUMIF(Mercado_Receita!$S$2:$S$2012,"44348B2Convencional pré-pagamentoRuralServiço público de irrigação ruralNão se aplicaNão se aplicaFora ponta",Mercado_Receita!$L$2:$L$2012)+SUMIF(Mercado_Receita!$S$2:$S$2012,"44348B2Convencional pré-pagamentoRuralServiço público de irrigação ruralNão se aplicaNão se aplicaIntermediário",Mercado_Receita!$L$2:$L$2012)+SUMIF(Mercado_Receita!$S$2:$S$2012,"44348B2Convencional pré-pagamentoRuralServiço público de irrigação ruralNão se aplicaNão se aplicaNão se aplica",Mercado_Receita!$L$2:$L$2012)</f>
        <v>0</v>
      </c>
      <c r="K52" s="12">
        <f>SUMIF(Mercado_Receita!$S$2:$S$2012,"44378B2Convencional pré-pagamentoRuralServiço público de irrigação ruralNão se aplicaNão se aplicaPonta",Mercado_Receita!$L$2:$L$2012)+SUMIF(Mercado_Receita!$S$2:$S$2012,"44378B2Convencional pré-pagamentoRuralServiço público de irrigação ruralNão se aplicaNão se aplicaFora ponta",Mercado_Receita!$L$2:$L$2012)+SUMIF(Mercado_Receita!$S$2:$S$2012,"44378B2Convencional pré-pagamentoRuralServiço público de irrigação ruralNão se aplicaNão se aplicaIntermediário",Mercado_Receita!$L$2:$L$2012)+SUMIF(Mercado_Receita!$S$2:$S$2012,"44378B2Convencional pré-pagamentoRuralServiço público de irrigação ruralNão se aplicaNão se aplicaNão se aplica",Mercado_Receita!$L$2:$L$2012)</f>
        <v>0</v>
      </c>
      <c r="L52" s="12">
        <f>SUMIF(Mercado_Receita!$S$2:$S$2012,"44409B2Convencional pré-pagamentoRuralServiço público de irrigação ruralNão se aplicaNão se aplicaPonta",Mercado_Receita!$L$2:$L$2012)+SUMIF(Mercado_Receita!$S$2:$S$2012,"44409B2Convencional pré-pagamentoRuralServiço público de irrigação ruralNão se aplicaNão se aplicaFora ponta",Mercado_Receita!$L$2:$L$2012)+SUMIF(Mercado_Receita!$S$2:$S$2012,"44409B2Convencional pré-pagamentoRuralServiço público de irrigação ruralNão se aplicaNão se aplicaIntermediário",Mercado_Receita!$L$2:$L$2012)+SUMIF(Mercado_Receita!$S$2:$S$2012,"44409B2Convencional pré-pagamentoRuralServiço público de irrigação ruralNão se aplicaNão se aplicaNão se aplica",Mercado_Receita!$L$2:$L$2012)</f>
        <v>0</v>
      </c>
      <c r="M52" s="12">
        <f>SUMIF(Mercado_Receita!$S$2:$S$2012,"44440B2Convencional pré-pagamentoRuralServiço público de irrigação ruralNão se aplicaNão se aplicaPonta",Mercado_Receita!$L$2:$L$2012)+SUMIF(Mercado_Receita!$S$2:$S$2012,"44440B2Convencional pré-pagamentoRuralServiço público de irrigação ruralNão se aplicaNão se aplicaFora ponta",Mercado_Receita!$L$2:$L$2012)+SUMIF(Mercado_Receita!$S$2:$S$2012,"44440B2Convencional pré-pagamentoRuralServiço público de irrigação ruralNão se aplicaNão se aplicaIntermediário",Mercado_Receita!$L$2:$L$2012)+SUMIF(Mercado_Receita!$S$2:$S$2012,"44440B2Convencional pré-pagamentoRuralServiço público de irrigação ruralNão se aplicaNão se aplicaNão se aplica",Mercado_Receita!$L$2:$L$2012)</f>
        <v>0</v>
      </c>
      <c r="N52" s="12">
        <f>SUMIF(Mercado_Receita!$S$2:$S$2012,"44470B2Convencional pré-pagamentoRuralServiço público de irrigação ruralNão se aplicaNão se aplicaPonta",Mercado_Receita!$L$2:$L$2012)+SUMIF(Mercado_Receita!$S$2:$S$2012,"44470B2Convencional pré-pagamentoRuralServiço público de irrigação ruralNão se aplicaNão se aplicaFora ponta",Mercado_Receita!$L$2:$L$2012)+SUMIF(Mercado_Receita!$S$2:$S$2012,"44470B2Convencional pré-pagamentoRuralServiço público de irrigação ruralNão se aplicaNão se aplicaIntermediário",Mercado_Receita!$L$2:$L$2012)+SUMIF(Mercado_Receita!$S$2:$S$2012,"44470B2Convencional pré-pagamentoRuralServiço público de irrigação ruralNão se aplicaNão se aplicaNão se aplica",Mercado_Receita!$L$2:$L$2012)</f>
        <v>0</v>
      </c>
      <c r="O52" s="12">
        <f>SUMIF(Mercado_Receita!$S$2:$S$2012,"44501B2Convencional pré-pagamentoRuralServiço público de irrigação ruralNão se aplicaNão se aplicaPonta",Mercado_Receita!$L$2:$L$2012)+SUMIF(Mercado_Receita!$S$2:$S$2012,"44501B2Convencional pré-pagamentoRuralServiço público de irrigação ruralNão se aplicaNão se aplicaFora ponta",Mercado_Receita!$L$2:$L$2012)+SUMIF(Mercado_Receita!$S$2:$S$2012,"44501B2Convencional pré-pagamentoRuralServiço público de irrigação ruralNão se aplicaNão se aplicaIntermediário",Mercado_Receita!$L$2:$L$2012)+SUMIF(Mercado_Receita!$S$2:$S$2012,"44501B2Convencional pré-pagamentoRuralServiço público de irrigação ruralNão se aplicaNão se aplicaNão se aplica",Mercado_Receita!$L$2:$L$2012)</f>
        <v>0</v>
      </c>
      <c r="P52" s="12">
        <f>SUMIF(Mercado_Receita!$S$2:$S$2012,"44531B2Convencional pré-pagamentoRuralServiço público de irrigação ruralNão se aplicaNão se aplicaPonta",Mercado_Receita!$L$2:$L$2012)+SUMIF(Mercado_Receita!$S$2:$S$2012,"44531B2Convencional pré-pagamentoRuralServiço público de irrigação ruralNão se aplicaNão se aplicaFora ponta",Mercado_Receita!$L$2:$L$2012)+SUMIF(Mercado_Receita!$S$2:$S$2012,"44531B2Convencional pré-pagamentoRuralServiço público de irrigação ruralNão se aplicaNão se aplicaIntermediário",Mercado_Receita!$L$2:$L$2012)+SUMIF(Mercado_Receita!$S$2:$S$2012,"44531B2Convencional pré-pagamentoRuralServiço público de irrigação ruralNão se aplicaNão se aplicaNão se aplica",Mercado_Receita!$L$2:$L$2012)</f>
        <v>0</v>
      </c>
      <c r="Q52" s="12">
        <f>SUMIF(Mercado_Receita!$S$2:$S$2012,"44562B2Convencional pré-pagamentoRuralServiço público de irrigação ruralNão se aplicaNão se aplicaPonta",Mercado_Receita!$L$2:$L$2012)+SUMIF(Mercado_Receita!$S$2:$S$2012,"44562B2Convencional pré-pagamentoRuralServiço público de irrigação ruralNão se aplicaNão se aplicaFora ponta",Mercado_Receita!$L$2:$L$2012)+SUMIF(Mercado_Receita!$S$2:$S$2012,"44562B2Convencional pré-pagamentoRuralServiço público de irrigação ruralNão se aplicaNão se aplicaIntermediário",Mercado_Receita!$L$2:$L$2012)+SUMIF(Mercado_Receita!$S$2:$S$2012,"44562B2Convencional pré-pagamentoRuralServiço público de irrigação ruralNão se aplicaNão se aplicaNão se aplica",Mercado_Receita!$L$2:$L$2012)</f>
        <v>0</v>
      </c>
      <c r="R52" s="12">
        <f>SUMIF(Mercado_Receita!$S$2:$S$2012,"44593B2Convencional pré-pagamentoRuralServiço público de irrigação ruralNão se aplicaNão se aplicaPonta",Mercado_Receita!$L$2:$L$2012)+SUMIF(Mercado_Receita!$S$2:$S$2012,"44593B2Convencional pré-pagamentoRuralServiço público de irrigação ruralNão se aplicaNão se aplicaFora ponta",Mercado_Receita!$L$2:$L$2012)+SUMIF(Mercado_Receita!$S$2:$S$2012,"44593B2Convencional pré-pagamentoRuralServiço público de irrigação ruralNão se aplicaNão se aplicaIntermediário",Mercado_Receita!$L$2:$L$2012)+SUMIF(Mercado_Receita!$S$2:$S$2012,"44593B2Convencional pré-pagamentoRuralServiço público de irrigação ruralNão se aplicaNão se aplicaNão se aplica",Mercado_Receita!$L$2:$L$2012)</f>
        <v>0</v>
      </c>
      <c r="S52" s="12">
        <f>SUMIF(Mercado_Receita!$S$2:$S$2012,"44621B2Convencional pré-pagamentoRuralServiço público de irrigação ruralNão se aplicaNão se aplicaPonta",Mercado_Receita!$L$2:$L$2012)+SUMIF(Mercado_Receita!$S$2:$S$2012,"44621B2Convencional pré-pagamentoRuralServiço público de irrigação ruralNão se aplicaNão se aplicaFora ponta",Mercado_Receita!$L$2:$L$2012)+SUMIF(Mercado_Receita!$S$2:$S$2012,"44621B2Convencional pré-pagamentoRuralServiço público de irrigação ruralNão se aplicaNão se aplicaIntermediário",Mercado_Receita!$L$2:$L$2012)+SUMIF(Mercado_Receita!$S$2:$S$2012,"44621B2Convencional pré-pagamentoRuralServiço público de irrigação ruralNão se aplicaNão se aplicaNão se aplica",Mercado_Receita!$L$2:$L$2012)</f>
        <v>0</v>
      </c>
      <c r="T52" s="12">
        <f>SUMIF(Mercado_Receita!$S$2:$S$2012,"44652B2Convencional pré-pagamentoRuralServiço público de irrigação ruralNão se aplicaNão se aplicaPonta",Mercado_Receita!$L$2:$L$2012)+SUMIF(Mercado_Receita!$S$2:$S$2012,"44652B2Convencional pré-pagamentoRuralServiço público de irrigação ruralNão se aplicaNão se aplicaFora ponta",Mercado_Receita!$L$2:$L$2012)+SUMIF(Mercado_Receita!$S$2:$S$2012,"44652B2Convencional pré-pagamentoRuralServiço público de irrigação ruralNão se aplicaNão se aplicaIntermediário",Mercado_Receita!$L$2:$L$2012)+SUMIF(Mercado_Receita!$S$2:$S$2012,"44652B2Convencional pré-pagamentoRuralServiço público de irrigação ruralNão se aplicaNão se aplicaNão se aplica",Mercado_Receita!$L$2:$L$2012)</f>
        <v>0</v>
      </c>
      <c r="U52" s="12">
        <f t="shared" si="1"/>
        <v>0</v>
      </c>
      <c r="V52" s="12"/>
      <c r="W52" s="12"/>
    </row>
    <row r="53" spans="1:23" ht="11.25" customHeight="1" x14ac:dyDescent="0.25">
      <c r="A53" s="117" t="s">
        <v>39</v>
      </c>
      <c r="B53" s="117" t="s">
        <v>37</v>
      </c>
      <c r="C53" s="117" t="s">
        <v>25</v>
      </c>
      <c r="D53" s="117" t="s">
        <v>25</v>
      </c>
      <c r="E53" s="117" t="s">
        <v>25</v>
      </c>
      <c r="F53" s="117" t="s">
        <v>25</v>
      </c>
      <c r="G53" s="12" t="s">
        <v>91</v>
      </c>
      <c r="H53" s="12" t="s">
        <v>90</v>
      </c>
      <c r="I53" s="12">
        <f>SUMIF(Mercado_Receita!$S$2:$S$2012,"44317B3BrancaNão se aplicaNão se aplicaNão se aplicaNão se aplicaPonta",Mercado_Receita!$L$2:$L$2012)</f>
        <v>11.68</v>
      </c>
      <c r="J53" s="12">
        <f>SUMIF(Mercado_Receita!$S$2:$S$2012,"44348B3BrancaNão se aplicaNão se aplicaNão se aplicaNão se aplicaPonta",Mercado_Receita!$L$2:$L$2012)</f>
        <v>9.6720000000000024</v>
      </c>
      <c r="K53" s="12">
        <f>SUMIF(Mercado_Receita!$S$2:$S$2012,"44378B3BrancaNão se aplicaNão se aplicaNão se aplicaNão se aplicaPonta",Mercado_Receita!$L$2:$L$2012)</f>
        <v>9.3729999999999993</v>
      </c>
      <c r="L53" s="12">
        <f>SUMIF(Mercado_Receita!$S$2:$S$2012,"44409B3BrancaNão se aplicaNão se aplicaNão se aplicaNão se aplicaPonta",Mercado_Receita!$L$2:$L$2012)</f>
        <v>10.043000000000001</v>
      </c>
      <c r="M53" s="12">
        <f>SUMIF(Mercado_Receita!$S$2:$S$2012,"44440B3BrancaNão se aplicaNão se aplicaNão se aplicaNão se aplicaPonta",Mercado_Receita!$L$2:$L$2012)</f>
        <v>9.2909999999999986</v>
      </c>
      <c r="N53" s="12">
        <f>SUMIF(Mercado_Receita!$S$2:$S$2012,"44470B3BrancaNão se aplicaNão se aplicaNão se aplicaNão se aplicaPonta",Mercado_Receita!$L$2:$L$2012)</f>
        <v>11.087</v>
      </c>
      <c r="O53" s="12">
        <f>SUMIF(Mercado_Receita!$S$2:$S$2012,"44501B3BrancaNão se aplicaNão se aplicaNão se aplicaNão se aplicaPonta",Mercado_Receita!$L$2:$L$2012)</f>
        <v>10.104000000000001</v>
      </c>
      <c r="P53" s="12">
        <f>SUMIF(Mercado_Receita!$S$2:$S$2012,"44531B3BrancaNão se aplicaNão se aplicaNão se aplicaNão se aplicaPonta",Mercado_Receita!$L$2:$L$2012)</f>
        <v>12.464</v>
      </c>
      <c r="Q53" s="12">
        <f>SUMIF(Mercado_Receita!$S$2:$S$2012,"44562B3BrancaNão se aplicaNão se aplicaNão se aplicaNão se aplicaPonta",Mercado_Receita!$L$2:$L$2012)</f>
        <v>11.941000000000001</v>
      </c>
      <c r="R53" s="12">
        <f>SUMIF(Mercado_Receita!$S$2:$S$2012,"44593B3BrancaNão se aplicaNão se aplicaNão se aplicaNão se aplicaPonta",Mercado_Receita!$L$2:$L$2012)</f>
        <v>11.9</v>
      </c>
      <c r="S53" s="12">
        <f>SUMIF(Mercado_Receita!$S$2:$S$2012,"44621B3BrancaNão se aplicaNão se aplicaNão se aplicaNão se aplicaPonta",Mercado_Receita!$L$2:$L$2012)</f>
        <v>13.138999999999998</v>
      </c>
      <c r="T53" s="12">
        <f>SUMIF(Mercado_Receita!$S$2:$S$2012,"44652B3BrancaNão se aplicaNão se aplicaNão se aplicaNão se aplicaPonta",Mercado_Receita!$L$2:$L$2012)</f>
        <v>13.138999999999998</v>
      </c>
      <c r="U53" s="12">
        <f t="shared" si="1"/>
        <v>133.833</v>
      </c>
      <c r="V53" s="12"/>
      <c r="W53" s="12"/>
    </row>
    <row r="54" spans="1:23" ht="11.25" customHeight="1" x14ac:dyDescent="0.25">
      <c r="A54" s="118"/>
      <c r="B54" s="118"/>
      <c r="C54" s="118"/>
      <c r="D54" s="118"/>
      <c r="E54" s="118"/>
      <c r="F54" s="118"/>
      <c r="G54" s="12" t="s">
        <v>101</v>
      </c>
      <c r="H54" s="12" t="s">
        <v>90</v>
      </c>
      <c r="I54" s="12">
        <f>SUMIF(Mercado_Receita!$S$2:$S$2012,"44317B3BrancaNão se aplicaNão se aplicaNão se aplicaNão se aplicaIntermediário",Mercado_Receita!$L$2:$L$2012)</f>
        <v>11.170999999999999</v>
      </c>
      <c r="J54" s="12">
        <f>SUMIF(Mercado_Receita!$S$2:$S$2012,"44348B3BrancaNão se aplicaNão se aplicaNão se aplicaNão se aplicaIntermediário",Mercado_Receita!$L$2:$L$2012)</f>
        <v>9.113999999999999</v>
      </c>
      <c r="K54" s="12">
        <f>SUMIF(Mercado_Receita!$S$2:$S$2012,"44378B3BrancaNão se aplicaNão se aplicaNão se aplicaNão se aplicaIntermediário",Mercado_Receita!$L$2:$L$2012)</f>
        <v>12.695000000000002</v>
      </c>
      <c r="L54" s="12">
        <f>SUMIF(Mercado_Receita!$S$2:$S$2012,"44409B3BrancaNão se aplicaNão se aplicaNão se aplicaNão se aplicaIntermediário",Mercado_Receita!$L$2:$L$2012)</f>
        <v>9.4660000000000011</v>
      </c>
      <c r="M54" s="12">
        <f>SUMIF(Mercado_Receita!$S$2:$S$2012,"44440B3BrancaNão se aplicaNão se aplicaNão se aplicaNão se aplicaIntermediário",Mercado_Receita!$L$2:$L$2012)</f>
        <v>9.4660000000000011</v>
      </c>
      <c r="N54" s="12">
        <f>SUMIF(Mercado_Receita!$S$2:$S$2012,"44470B3BrancaNão se aplicaNão se aplicaNão se aplicaNão se aplicaIntermediário",Mercado_Receita!$L$2:$L$2012)</f>
        <v>11.267000000000001</v>
      </c>
      <c r="O54" s="12">
        <f>SUMIF(Mercado_Receita!$S$2:$S$2012,"44501B3BrancaNão se aplicaNão se aplicaNão se aplicaNão se aplicaIntermediário",Mercado_Receita!$L$2:$L$2012)</f>
        <v>11.180000000000001</v>
      </c>
      <c r="P54" s="12">
        <f>SUMIF(Mercado_Receita!$S$2:$S$2012,"44531B3BrancaNão se aplicaNão se aplicaNão se aplicaNão se aplicaIntermediário",Mercado_Receita!$L$2:$L$2012)</f>
        <v>12.498000000000001</v>
      </c>
      <c r="Q54" s="12">
        <f>SUMIF(Mercado_Receita!$S$2:$S$2012,"44562B3BrancaNão se aplicaNão se aplicaNão se aplicaNão se aplicaIntermediário",Mercado_Receita!$L$2:$L$2012)</f>
        <v>8.4350000000000005</v>
      </c>
      <c r="R54" s="12">
        <f>SUMIF(Mercado_Receita!$S$2:$S$2012,"44593B3BrancaNão se aplicaNão se aplicaNão se aplicaNão se aplicaIntermediário",Mercado_Receita!$L$2:$L$2012)</f>
        <v>12.127000000000001</v>
      </c>
      <c r="S54" s="12">
        <f>SUMIF(Mercado_Receita!$S$2:$S$2012,"44621B3BrancaNão se aplicaNão se aplicaNão se aplicaNão se aplicaIntermediário",Mercado_Receita!$L$2:$L$2012)</f>
        <v>12.687999999999997</v>
      </c>
      <c r="T54" s="12">
        <f>SUMIF(Mercado_Receita!$S$2:$S$2012,"44652B3BrancaNão se aplicaNão se aplicaNão se aplicaNão se aplicaIntermediário",Mercado_Receita!$L$2:$L$2012)</f>
        <v>12.687999999999997</v>
      </c>
      <c r="U54" s="12">
        <f t="shared" si="1"/>
        <v>132.79500000000002</v>
      </c>
      <c r="V54" s="12"/>
      <c r="W54" s="12"/>
    </row>
    <row r="55" spans="1:23" ht="11.25" customHeight="1" x14ac:dyDescent="0.25">
      <c r="A55" s="118"/>
      <c r="B55" s="118"/>
      <c r="C55" s="118"/>
      <c r="D55" s="118"/>
      <c r="E55" s="118"/>
      <c r="F55" s="118"/>
      <c r="G55" s="12" t="s">
        <v>92</v>
      </c>
      <c r="H55" s="12" t="s">
        <v>90</v>
      </c>
      <c r="I55" s="12">
        <f>SUMIF(Mercado_Receita!$S$2:$S$2012,"44317B3BrancaNão se aplicaNão se aplicaNão se aplicaNão se aplicaFora ponta",Mercado_Receita!$L$2:$L$2012)</f>
        <v>177.68899999999999</v>
      </c>
      <c r="J55" s="12">
        <f>SUMIF(Mercado_Receita!$S$2:$S$2012,"44348B3BrancaNão se aplicaNão se aplicaNão se aplicaNão se aplicaFora ponta",Mercado_Receita!$L$2:$L$2012)</f>
        <v>159.66000000000003</v>
      </c>
      <c r="K55" s="12">
        <f>SUMIF(Mercado_Receita!$S$2:$S$2012,"44378B3BrancaNão se aplicaNão se aplicaNão se aplicaNão se aplicaFora ponta",Mercado_Receita!$L$2:$L$2012)</f>
        <v>139.53899999999999</v>
      </c>
      <c r="L55" s="12">
        <f>SUMIF(Mercado_Receita!$S$2:$S$2012,"44409B3BrancaNão se aplicaNão se aplicaNão se aplicaNão se aplicaFora ponta",Mercado_Receita!$L$2:$L$2012)</f>
        <v>151.76500000000001</v>
      </c>
      <c r="M55" s="12">
        <f>SUMIF(Mercado_Receita!$S$2:$S$2012,"44440B3BrancaNão se aplicaNão se aplicaNão se aplicaNão se aplicaFora ponta",Mercado_Receita!$L$2:$L$2012)</f>
        <v>160.87300000000002</v>
      </c>
      <c r="N55" s="12">
        <f>SUMIF(Mercado_Receita!$S$2:$S$2012,"44470B3BrancaNão se aplicaNão se aplicaNão se aplicaNão se aplicaFora ponta",Mercado_Receita!$L$2:$L$2012)</f>
        <v>183.88399999999999</v>
      </c>
      <c r="O55" s="12">
        <f>SUMIF(Mercado_Receita!$S$2:$S$2012,"44501B3BrancaNão se aplicaNão se aplicaNão se aplicaNão se aplicaFora ponta",Mercado_Receita!$L$2:$L$2012)</f>
        <v>190.31200000000001</v>
      </c>
      <c r="P55" s="12">
        <f>SUMIF(Mercado_Receita!$S$2:$S$2012,"44531B3BrancaNão se aplicaNão se aplicaNão se aplicaNão se aplicaFora ponta",Mercado_Receita!$L$2:$L$2012)</f>
        <v>189.59299999999999</v>
      </c>
      <c r="Q55" s="12">
        <f>SUMIF(Mercado_Receita!$S$2:$S$2012,"44562B3BrancaNão se aplicaNão se aplicaNão se aplicaNão se aplicaFora ponta",Mercado_Receita!$L$2:$L$2012)</f>
        <v>221.05200000000002</v>
      </c>
      <c r="R55" s="12">
        <f>SUMIF(Mercado_Receita!$S$2:$S$2012,"44593B3BrancaNão se aplicaNão se aplicaNão se aplicaNão se aplicaFora ponta",Mercado_Receita!$L$2:$L$2012)</f>
        <v>149.376</v>
      </c>
      <c r="S55" s="12">
        <f>SUMIF(Mercado_Receita!$S$2:$S$2012,"44621B3BrancaNão se aplicaNão se aplicaNão se aplicaNão se aplicaFora ponta",Mercado_Receita!$L$2:$L$2012)</f>
        <v>196.98599999999999</v>
      </c>
      <c r="T55" s="12">
        <f>SUMIF(Mercado_Receita!$S$2:$S$2012,"44652B3BrancaNão se aplicaNão se aplicaNão se aplicaNão se aplicaFora ponta",Mercado_Receita!$L$2:$L$2012)</f>
        <v>196.98599999999999</v>
      </c>
      <c r="U55" s="12">
        <f t="shared" si="1"/>
        <v>2117.7150000000001</v>
      </c>
      <c r="V55" s="12"/>
      <c r="W55" s="12"/>
    </row>
    <row r="56" spans="1:23" ht="11.25" customHeight="1" x14ac:dyDescent="0.25">
      <c r="A56" s="118"/>
      <c r="B56" s="13" t="s">
        <v>23</v>
      </c>
      <c r="C56" s="13" t="s">
        <v>25</v>
      </c>
      <c r="D56" s="13" t="s">
        <v>25</v>
      </c>
      <c r="E56" s="13" t="s">
        <v>25</v>
      </c>
      <c r="F56" s="13" t="s">
        <v>25</v>
      </c>
      <c r="G56" s="12" t="s">
        <v>96</v>
      </c>
      <c r="H56" s="12" t="s">
        <v>90</v>
      </c>
      <c r="I56" s="12">
        <f>SUMIF(Mercado_Receita!$S$2:$S$2012,"44317B3ConvencionalNão se aplicaNão se aplicaNão se aplicaNão se aplicaPonta",Mercado_Receita!$L$2:$L$2012)+SUMIF(Mercado_Receita!$S$2:$S$2012,"44317B3ConvencionalNão se aplicaNão se aplicaNão se aplicaNão se aplicaFora ponta",Mercado_Receita!$L$2:$L$2012)+SUMIF(Mercado_Receita!$S$2:$S$2012,"44317B3ConvencionalNão se aplicaNão se aplicaNão se aplicaNão se aplicaIntermediário",Mercado_Receita!$L$2:$L$2012)+SUMIF(Mercado_Receita!$S$2:$S$2012,"44317B3ConvencionalNão se aplicaNão se aplicaNão se aplicaNão se aplicaNão se aplica",Mercado_Receita!$L$2:$L$2012)</f>
        <v>39968.237000000001</v>
      </c>
      <c r="J56" s="12">
        <f>SUMIF(Mercado_Receita!$S$2:$S$2012,"44348B3ConvencionalNão se aplicaNão se aplicaNão se aplicaNão se aplicaPonta",Mercado_Receita!$L$2:$L$2012)+SUMIF(Mercado_Receita!$S$2:$S$2012,"44348B3ConvencionalNão se aplicaNão se aplicaNão se aplicaNão se aplicaFora ponta",Mercado_Receita!$L$2:$L$2012)+SUMIF(Mercado_Receita!$S$2:$S$2012,"44348B3ConvencionalNão se aplicaNão se aplicaNão se aplicaNão se aplicaIntermediário",Mercado_Receita!$L$2:$L$2012)+SUMIF(Mercado_Receita!$S$2:$S$2012,"44348B3ConvencionalNão se aplicaNão se aplicaNão se aplicaNão se aplicaNão se aplica",Mercado_Receita!$L$2:$L$2012)</f>
        <v>38277.206000000006</v>
      </c>
      <c r="K56" s="12">
        <f>SUMIF(Mercado_Receita!$S$2:$S$2012,"44378B3ConvencionalNão se aplicaNão se aplicaNão se aplicaNão se aplicaPonta",Mercado_Receita!$L$2:$L$2012)+SUMIF(Mercado_Receita!$S$2:$S$2012,"44378B3ConvencionalNão se aplicaNão se aplicaNão se aplicaNão se aplicaFora ponta",Mercado_Receita!$L$2:$L$2012)+SUMIF(Mercado_Receita!$S$2:$S$2012,"44378B3ConvencionalNão se aplicaNão se aplicaNão se aplicaNão se aplicaIntermediário",Mercado_Receita!$L$2:$L$2012)+SUMIF(Mercado_Receita!$S$2:$S$2012,"44378B3ConvencionalNão se aplicaNão se aplicaNão se aplicaNão se aplicaNão se aplica",Mercado_Receita!$L$2:$L$2012)</f>
        <v>36292.821000000004</v>
      </c>
      <c r="L56" s="12">
        <f>SUMIF(Mercado_Receita!$S$2:$S$2012,"44409B3ConvencionalNão se aplicaNão se aplicaNão se aplicaNão se aplicaPonta",Mercado_Receita!$L$2:$L$2012)+SUMIF(Mercado_Receita!$S$2:$S$2012,"44409B3ConvencionalNão se aplicaNão se aplicaNão se aplicaNão se aplicaFora ponta",Mercado_Receita!$L$2:$L$2012)+SUMIF(Mercado_Receita!$S$2:$S$2012,"44409B3ConvencionalNão se aplicaNão se aplicaNão se aplicaNão se aplicaIntermediário",Mercado_Receita!$L$2:$L$2012)+SUMIF(Mercado_Receita!$S$2:$S$2012,"44409B3ConvencionalNão se aplicaNão se aplicaNão se aplicaNão se aplicaNão se aplica",Mercado_Receita!$L$2:$L$2012)</f>
        <v>37476.850999999995</v>
      </c>
      <c r="M56" s="12">
        <f>SUMIF(Mercado_Receita!$S$2:$S$2012,"44440B3ConvencionalNão se aplicaNão se aplicaNão se aplicaNão se aplicaPonta",Mercado_Receita!$L$2:$L$2012)+SUMIF(Mercado_Receita!$S$2:$S$2012,"44440B3ConvencionalNão se aplicaNão se aplicaNão se aplicaNão se aplicaFora ponta",Mercado_Receita!$L$2:$L$2012)+SUMIF(Mercado_Receita!$S$2:$S$2012,"44440B3ConvencionalNão se aplicaNão se aplicaNão se aplicaNão se aplicaIntermediário",Mercado_Receita!$L$2:$L$2012)+SUMIF(Mercado_Receita!$S$2:$S$2012,"44440B3ConvencionalNão se aplicaNão se aplicaNão se aplicaNão se aplicaNão se aplica",Mercado_Receita!$L$2:$L$2012)</f>
        <v>39683.449000000001</v>
      </c>
      <c r="N56" s="12">
        <f>SUMIF(Mercado_Receita!$S$2:$S$2012,"44470B3ConvencionalNão se aplicaNão se aplicaNão se aplicaNão se aplicaPonta",Mercado_Receita!$L$2:$L$2012)+SUMIF(Mercado_Receita!$S$2:$S$2012,"44470B3ConvencionalNão se aplicaNão se aplicaNão se aplicaNão se aplicaFora ponta",Mercado_Receita!$L$2:$L$2012)+SUMIF(Mercado_Receita!$S$2:$S$2012,"44470B3ConvencionalNão se aplicaNão se aplicaNão se aplicaNão se aplicaIntermediário",Mercado_Receita!$L$2:$L$2012)+SUMIF(Mercado_Receita!$S$2:$S$2012,"44470B3ConvencionalNão se aplicaNão se aplicaNão se aplicaNão se aplicaNão se aplica",Mercado_Receita!$L$2:$L$2012)</f>
        <v>43328.040999999997</v>
      </c>
      <c r="O56" s="12">
        <f>SUMIF(Mercado_Receita!$S$2:$S$2012,"44501B3ConvencionalNão se aplicaNão se aplicaNão se aplicaNão se aplicaPonta",Mercado_Receita!$L$2:$L$2012)+SUMIF(Mercado_Receita!$S$2:$S$2012,"44501B3ConvencionalNão se aplicaNão se aplicaNão se aplicaNão se aplicaFora ponta",Mercado_Receita!$L$2:$L$2012)+SUMIF(Mercado_Receita!$S$2:$S$2012,"44501B3ConvencionalNão se aplicaNão se aplicaNão se aplicaNão se aplicaIntermediário",Mercado_Receita!$L$2:$L$2012)+SUMIF(Mercado_Receita!$S$2:$S$2012,"44501B3ConvencionalNão se aplicaNão se aplicaNão se aplicaNão se aplicaNão se aplica",Mercado_Receita!$L$2:$L$2012)</f>
        <v>46326.880999999994</v>
      </c>
      <c r="P56" s="12">
        <f>SUMIF(Mercado_Receita!$S$2:$S$2012,"44531B3ConvencionalNão se aplicaNão se aplicaNão se aplicaNão se aplicaPonta",Mercado_Receita!$L$2:$L$2012)+SUMIF(Mercado_Receita!$S$2:$S$2012,"44531B3ConvencionalNão se aplicaNão se aplicaNão se aplicaNão se aplicaFora ponta",Mercado_Receita!$L$2:$L$2012)+SUMIF(Mercado_Receita!$S$2:$S$2012,"44531B3ConvencionalNão se aplicaNão se aplicaNão se aplicaNão se aplicaIntermediário",Mercado_Receita!$L$2:$L$2012)+SUMIF(Mercado_Receita!$S$2:$S$2012,"44531B3ConvencionalNão se aplicaNão se aplicaNão se aplicaNão se aplicaNão se aplica",Mercado_Receita!$L$2:$L$2012)</f>
        <v>49243.228999999999</v>
      </c>
      <c r="Q56" s="12">
        <f>SUMIF(Mercado_Receita!$S$2:$S$2012,"44562B3ConvencionalNão se aplicaNão se aplicaNão se aplicaNão se aplicaPonta",Mercado_Receita!$L$2:$L$2012)+SUMIF(Mercado_Receita!$S$2:$S$2012,"44562B3ConvencionalNão se aplicaNão se aplicaNão se aplicaNão se aplicaFora ponta",Mercado_Receita!$L$2:$L$2012)+SUMIF(Mercado_Receita!$S$2:$S$2012,"44562B3ConvencionalNão se aplicaNão se aplicaNão se aplicaNão se aplicaIntermediário",Mercado_Receita!$L$2:$L$2012)+SUMIF(Mercado_Receita!$S$2:$S$2012,"44562B3ConvencionalNão se aplicaNão se aplicaNão se aplicaNão se aplicaNão se aplica",Mercado_Receita!$L$2:$L$2012)</f>
        <v>41624.545000000006</v>
      </c>
      <c r="R56" s="12">
        <f>SUMIF(Mercado_Receita!$S$2:$S$2012,"44593B3ConvencionalNão se aplicaNão se aplicaNão se aplicaNão se aplicaPonta",Mercado_Receita!$L$2:$L$2012)+SUMIF(Mercado_Receita!$S$2:$S$2012,"44593B3ConvencionalNão se aplicaNão se aplicaNão se aplicaNão se aplicaFora ponta",Mercado_Receita!$L$2:$L$2012)+SUMIF(Mercado_Receita!$S$2:$S$2012,"44593B3ConvencionalNão se aplicaNão se aplicaNão se aplicaNão se aplicaIntermediário",Mercado_Receita!$L$2:$L$2012)+SUMIF(Mercado_Receita!$S$2:$S$2012,"44593B3ConvencionalNão se aplicaNão se aplicaNão se aplicaNão se aplicaNão se aplica",Mercado_Receita!$L$2:$L$2012)</f>
        <v>42262.71</v>
      </c>
      <c r="S56" s="12">
        <f>SUMIF(Mercado_Receita!$S$2:$S$2012,"44621B3ConvencionalNão se aplicaNão se aplicaNão se aplicaNão se aplicaPonta",Mercado_Receita!$L$2:$L$2012)+SUMIF(Mercado_Receita!$S$2:$S$2012,"44621B3ConvencionalNão se aplicaNão se aplicaNão se aplicaNão se aplicaFora ponta",Mercado_Receita!$L$2:$L$2012)+SUMIF(Mercado_Receita!$S$2:$S$2012,"44621B3ConvencionalNão se aplicaNão se aplicaNão se aplicaNão se aplicaIntermediário",Mercado_Receita!$L$2:$L$2012)+SUMIF(Mercado_Receita!$S$2:$S$2012,"44621B3ConvencionalNão se aplicaNão se aplicaNão se aplicaNão se aplicaNão se aplica",Mercado_Receita!$L$2:$L$2012)</f>
        <v>45523.264000000003</v>
      </c>
      <c r="T56" s="12">
        <f>SUMIF(Mercado_Receita!$S$2:$S$2012,"44652B3ConvencionalNão se aplicaNão se aplicaNão se aplicaNão se aplicaPonta",Mercado_Receita!$L$2:$L$2012)+SUMIF(Mercado_Receita!$S$2:$S$2012,"44652B3ConvencionalNão se aplicaNão se aplicaNão se aplicaNão se aplicaFora ponta",Mercado_Receita!$L$2:$L$2012)+SUMIF(Mercado_Receita!$S$2:$S$2012,"44652B3ConvencionalNão se aplicaNão se aplicaNão se aplicaNão se aplicaIntermediário",Mercado_Receita!$L$2:$L$2012)+SUMIF(Mercado_Receita!$S$2:$S$2012,"44652B3ConvencionalNão se aplicaNão se aplicaNão se aplicaNão se aplicaNão se aplica",Mercado_Receita!$L$2:$L$2012)</f>
        <v>45523.264000000003</v>
      </c>
      <c r="U56" s="12">
        <f t="shared" si="1"/>
        <v>505530.49800000002</v>
      </c>
      <c r="V56" s="12"/>
      <c r="W56" s="12"/>
    </row>
    <row r="57" spans="1:23" ht="11.25" customHeight="1" x14ac:dyDescent="0.25">
      <c r="A57" s="118"/>
      <c r="B57" s="13" t="s">
        <v>103</v>
      </c>
      <c r="C57" s="13" t="s">
        <v>25</v>
      </c>
      <c r="D57" s="13" t="s">
        <v>25</v>
      </c>
      <c r="E57" s="13" t="s">
        <v>25</v>
      </c>
      <c r="F57" s="13" t="s">
        <v>25</v>
      </c>
      <c r="G57" s="12" t="s">
        <v>96</v>
      </c>
      <c r="H57" s="12" t="s">
        <v>90</v>
      </c>
      <c r="I57" s="12">
        <f>SUMIF(Mercado_Receita!$S$2:$S$2012,"44317B3Convencional pré-pagamentoNão se aplicaNão se aplicaNão se aplicaNão se aplicaPonta",Mercado_Receita!$L$2:$L$2012)+SUMIF(Mercado_Receita!$S$2:$S$2012,"44317B3Convencional pré-pagamentoNão se aplicaNão se aplicaNão se aplicaNão se aplicaFora ponta",Mercado_Receita!$L$2:$L$2012)+SUMIF(Mercado_Receita!$S$2:$S$2012,"44317B3Convencional pré-pagamentoNão se aplicaNão se aplicaNão se aplicaNão se aplicaIntermediário",Mercado_Receita!$L$2:$L$2012)+SUMIF(Mercado_Receita!$S$2:$S$2012,"44317B3Convencional pré-pagamentoNão se aplicaNão se aplicaNão se aplicaNão se aplicaNão se aplica",Mercado_Receita!$L$2:$L$2012)</f>
        <v>0</v>
      </c>
      <c r="J57" s="12">
        <f>SUMIF(Mercado_Receita!$S$2:$S$2012,"44348B3Convencional pré-pagamentoNão se aplicaNão se aplicaNão se aplicaNão se aplicaPonta",Mercado_Receita!$L$2:$L$2012)+SUMIF(Mercado_Receita!$S$2:$S$2012,"44348B3Convencional pré-pagamentoNão se aplicaNão se aplicaNão se aplicaNão se aplicaFora ponta",Mercado_Receita!$L$2:$L$2012)+SUMIF(Mercado_Receita!$S$2:$S$2012,"44348B3Convencional pré-pagamentoNão se aplicaNão se aplicaNão se aplicaNão se aplicaIntermediário",Mercado_Receita!$L$2:$L$2012)+SUMIF(Mercado_Receita!$S$2:$S$2012,"44348B3Convencional pré-pagamentoNão se aplicaNão se aplicaNão se aplicaNão se aplicaNão se aplica",Mercado_Receita!$L$2:$L$2012)</f>
        <v>0</v>
      </c>
      <c r="K57" s="12">
        <f>SUMIF(Mercado_Receita!$S$2:$S$2012,"44378B3Convencional pré-pagamentoNão se aplicaNão se aplicaNão se aplicaNão se aplicaPonta",Mercado_Receita!$L$2:$L$2012)+SUMIF(Mercado_Receita!$S$2:$S$2012,"44378B3Convencional pré-pagamentoNão se aplicaNão se aplicaNão se aplicaNão se aplicaFora ponta",Mercado_Receita!$L$2:$L$2012)+SUMIF(Mercado_Receita!$S$2:$S$2012,"44378B3Convencional pré-pagamentoNão se aplicaNão se aplicaNão se aplicaNão se aplicaIntermediário",Mercado_Receita!$L$2:$L$2012)+SUMIF(Mercado_Receita!$S$2:$S$2012,"44378B3Convencional pré-pagamentoNão se aplicaNão se aplicaNão se aplicaNão se aplicaNão se aplica",Mercado_Receita!$L$2:$L$2012)</f>
        <v>0</v>
      </c>
      <c r="L57" s="12">
        <f>SUMIF(Mercado_Receita!$S$2:$S$2012,"44409B3Convencional pré-pagamentoNão se aplicaNão se aplicaNão se aplicaNão se aplicaPonta",Mercado_Receita!$L$2:$L$2012)+SUMIF(Mercado_Receita!$S$2:$S$2012,"44409B3Convencional pré-pagamentoNão se aplicaNão se aplicaNão se aplicaNão se aplicaFora ponta",Mercado_Receita!$L$2:$L$2012)+SUMIF(Mercado_Receita!$S$2:$S$2012,"44409B3Convencional pré-pagamentoNão se aplicaNão se aplicaNão se aplicaNão se aplicaIntermediário",Mercado_Receita!$L$2:$L$2012)+SUMIF(Mercado_Receita!$S$2:$S$2012,"44409B3Convencional pré-pagamentoNão se aplicaNão se aplicaNão se aplicaNão se aplicaNão se aplica",Mercado_Receita!$L$2:$L$2012)</f>
        <v>0</v>
      </c>
      <c r="M57" s="12">
        <f>SUMIF(Mercado_Receita!$S$2:$S$2012,"44440B3Convencional pré-pagamentoNão se aplicaNão se aplicaNão se aplicaNão se aplicaPonta",Mercado_Receita!$L$2:$L$2012)+SUMIF(Mercado_Receita!$S$2:$S$2012,"44440B3Convencional pré-pagamentoNão se aplicaNão se aplicaNão se aplicaNão se aplicaFora ponta",Mercado_Receita!$L$2:$L$2012)+SUMIF(Mercado_Receita!$S$2:$S$2012,"44440B3Convencional pré-pagamentoNão se aplicaNão se aplicaNão se aplicaNão se aplicaIntermediário",Mercado_Receita!$L$2:$L$2012)+SUMIF(Mercado_Receita!$S$2:$S$2012,"44440B3Convencional pré-pagamentoNão se aplicaNão se aplicaNão se aplicaNão se aplicaNão se aplica",Mercado_Receita!$L$2:$L$2012)</f>
        <v>0</v>
      </c>
      <c r="N57" s="12">
        <f>SUMIF(Mercado_Receita!$S$2:$S$2012,"44470B3Convencional pré-pagamentoNão se aplicaNão se aplicaNão se aplicaNão se aplicaPonta",Mercado_Receita!$L$2:$L$2012)+SUMIF(Mercado_Receita!$S$2:$S$2012,"44470B3Convencional pré-pagamentoNão se aplicaNão se aplicaNão se aplicaNão se aplicaFora ponta",Mercado_Receita!$L$2:$L$2012)+SUMIF(Mercado_Receita!$S$2:$S$2012,"44470B3Convencional pré-pagamentoNão se aplicaNão se aplicaNão se aplicaNão se aplicaIntermediário",Mercado_Receita!$L$2:$L$2012)+SUMIF(Mercado_Receita!$S$2:$S$2012,"44470B3Convencional pré-pagamentoNão se aplicaNão se aplicaNão se aplicaNão se aplicaNão se aplica",Mercado_Receita!$L$2:$L$2012)</f>
        <v>0</v>
      </c>
      <c r="O57" s="12">
        <f>SUMIF(Mercado_Receita!$S$2:$S$2012,"44501B3Convencional pré-pagamentoNão se aplicaNão se aplicaNão se aplicaNão se aplicaPonta",Mercado_Receita!$L$2:$L$2012)+SUMIF(Mercado_Receita!$S$2:$S$2012,"44501B3Convencional pré-pagamentoNão se aplicaNão se aplicaNão se aplicaNão se aplicaFora ponta",Mercado_Receita!$L$2:$L$2012)+SUMIF(Mercado_Receita!$S$2:$S$2012,"44501B3Convencional pré-pagamentoNão se aplicaNão se aplicaNão se aplicaNão se aplicaIntermediário",Mercado_Receita!$L$2:$L$2012)+SUMIF(Mercado_Receita!$S$2:$S$2012,"44501B3Convencional pré-pagamentoNão se aplicaNão se aplicaNão se aplicaNão se aplicaNão se aplica",Mercado_Receita!$L$2:$L$2012)</f>
        <v>0</v>
      </c>
      <c r="P57" s="12">
        <f>SUMIF(Mercado_Receita!$S$2:$S$2012,"44531B3Convencional pré-pagamentoNão se aplicaNão se aplicaNão se aplicaNão se aplicaPonta",Mercado_Receita!$L$2:$L$2012)+SUMIF(Mercado_Receita!$S$2:$S$2012,"44531B3Convencional pré-pagamentoNão se aplicaNão se aplicaNão se aplicaNão se aplicaFora ponta",Mercado_Receita!$L$2:$L$2012)+SUMIF(Mercado_Receita!$S$2:$S$2012,"44531B3Convencional pré-pagamentoNão se aplicaNão se aplicaNão se aplicaNão se aplicaIntermediário",Mercado_Receita!$L$2:$L$2012)+SUMIF(Mercado_Receita!$S$2:$S$2012,"44531B3Convencional pré-pagamentoNão se aplicaNão se aplicaNão se aplicaNão se aplicaNão se aplica",Mercado_Receita!$L$2:$L$2012)</f>
        <v>0</v>
      </c>
      <c r="Q57" s="12">
        <f>SUMIF(Mercado_Receita!$S$2:$S$2012,"44562B3Convencional pré-pagamentoNão se aplicaNão se aplicaNão se aplicaNão se aplicaPonta",Mercado_Receita!$L$2:$L$2012)+SUMIF(Mercado_Receita!$S$2:$S$2012,"44562B3Convencional pré-pagamentoNão se aplicaNão se aplicaNão se aplicaNão se aplicaFora ponta",Mercado_Receita!$L$2:$L$2012)+SUMIF(Mercado_Receita!$S$2:$S$2012,"44562B3Convencional pré-pagamentoNão se aplicaNão se aplicaNão se aplicaNão se aplicaIntermediário",Mercado_Receita!$L$2:$L$2012)+SUMIF(Mercado_Receita!$S$2:$S$2012,"44562B3Convencional pré-pagamentoNão se aplicaNão se aplicaNão se aplicaNão se aplicaNão se aplica",Mercado_Receita!$L$2:$L$2012)</f>
        <v>0</v>
      </c>
      <c r="R57" s="12">
        <f>SUMIF(Mercado_Receita!$S$2:$S$2012,"44593B3Convencional pré-pagamentoNão se aplicaNão se aplicaNão se aplicaNão se aplicaPonta",Mercado_Receita!$L$2:$L$2012)+SUMIF(Mercado_Receita!$S$2:$S$2012,"44593B3Convencional pré-pagamentoNão se aplicaNão se aplicaNão se aplicaNão se aplicaFora ponta",Mercado_Receita!$L$2:$L$2012)+SUMIF(Mercado_Receita!$S$2:$S$2012,"44593B3Convencional pré-pagamentoNão se aplicaNão se aplicaNão se aplicaNão se aplicaIntermediário",Mercado_Receita!$L$2:$L$2012)+SUMIF(Mercado_Receita!$S$2:$S$2012,"44593B3Convencional pré-pagamentoNão se aplicaNão se aplicaNão se aplicaNão se aplicaNão se aplica",Mercado_Receita!$L$2:$L$2012)</f>
        <v>0</v>
      </c>
      <c r="S57" s="12">
        <f>SUMIF(Mercado_Receita!$S$2:$S$2012,"44621B3Convencional pré-pagamentoNão se aplicaNão se aplicaNão se aplicaNão se aplicaPonta",Mercado_Receita!$L$2:$L$2012)+SUMIF(Mercado_Receita!$S$2:$S$2012,"44621B3Convencional pré-pagamentoNão se aplicaNão se aplicaNão se aplicaNão se aplicaFora ponta",Mercado_Receita!$L$2:$L$2012)+SUMIF(Mercado_Receita!$S$2:$S$2012,"44621B3Convencional pré-pagamentoNão se aplicaNão se aplicaNão se aplicaNão se aplicaIntermediário",Mercado_Receita!$L$2:$L$2012)+SUMIF(Mercado_Receita!$S$2:$S$2012,"44621B3Convencional pré-pagamentoNão se aplicaNão se aplicaNão se aplicaNão se aplicaNão se aplica",Mercado_Receita!$L$2:$L$2012)</f>
        <v>0</v>
      </c>
      <c r="T57" s="12">
        <f>SUMIF(Mercado_Receita!$S$2:$S$2012,"44652B3Convencional pré-pagamentoNão se aplicaNão se aplicaNão se aplicaNão se aplicaPonta",Mercado_Receita!$L$2:$L$2012)+SUMIF(Mercado_Receita!$S$2:$S$2012,"44652B3Convencional pré-pagamentoNão se aplicaNão se aplicaNão se aplicaNão se aplicaFora ponta",Mercado_Receita!$L$2:$L$2012)+SUMIF(Mercado_Receita!$S$2:$S$2012,"44652B3Convencional pré-pagamentoNão se aplicaNão se aplicaNão se aplicaNão se aplicaIntermediário",Mercado_Receita!$L$2:$L$2012)+SUMIF(Mercado_Receita!$S$2:$S$2012,"44652B3Convencional pré-pagamentoNão se aplicaNão se aplicaNão se aplicaNão se aplicaNão se aplica",Mercado_Receita!$L$2:$L$2012)</f>
        <v>0</v>
      </c>
      <c r="U57" s="12">
        <f t="shared" si="1"/>
        <v>0</v>
      </c>
      <c r="V57" s="12"/>
      <c r="W57" s="12"/>
    </row>
    <row r="58" spans="1:23" ht="11.25" customHeight="1" x14ac:dyDescent="0.25">
      <c r="A58" s="117" t="s">
        <v>47</v>
      </c>
      <c r="B58" s="117" t="s">
        <v>23</v>
      </c>
      <c r="C58" s="117" t="s">
        <v>48</v>
      </c>
      <c r="D58" s="13" t="s">
        <v>49</v>
      </c>
      <c r="E58" s="13" t="s">
        <v>25</v>
      </c>
      <c r="F58" s="13" t="s">
        <v>25</v>
      </c>
      <c r="G58" s="12" t="s">
        <v>96</v>
      </c>
      <c r="H58" s="12" t="s">
        <v>90</v>
      </c>
      <c r="I58" s="12">
        <f>SUMIF(Mercado_Receita!$S$2:$S$2012,"44317B4ConvencionalIluminação públicaIluminação pública – B4aNão se aplicaNão se aplicaPonta",Mercado_Receita!$L$2:$L$2012)+SUMIF(Mercado_Receita!$S$2:$S$2012,"44317B4ConvencionalIluminação públicaIluminação pública – B4aNão se aplicaNão se aplicaFora ponta",Mercado_Receita!$L$2:$L$2012)+SUMIF(Mercado_Receita!$S$2:$S$2012,"44317B4ConvencionalIluminação públicaIluminação pública – B4aNão se aplicaNão se aplicaIntermediário",Mercado_Receita!$L$2:$L$2012)+SUMIF(Mercado_Receita!$S$2:$S$2012,"44317B4ConvencionalIluminação públicaIluminação pública – B4aNão se aplicaNão se aplicaNão se aplica",Mercado_Receita!$L$2:$L$2012)</f>
        <v>20920.609</v>
      </c>
      <c r="J58" s="12">
        <f>SUMIF(Mercado_Receita!$S$2:$S$2012,"44348B4ConvencionalIluminação públicaIluminação pública – B4aNão se aplicaNão se aplicaPonta",Mercado_Receita!$L$2:$L$2012)+SUMIF(Mercado_Receita!$S$2:$S$2012,"44348B4ConvencionalIluminação públicaIluminação pública – B4aNão se aplicaNão se aplicaFora ponta",Mercado_Receita!$L$2:$L$2012)+SUMIF(Mercado_Receita!$S$2:$S$2012,"44348B4ConvencionalIluminação públicaIluminação pública – B4aNão se aplicaNão se aplicaIntermediário",Mercado_Receita!$L$2:$L$2012)+SUMIF(Mercado_Receita!$S$2:$S$2012,"44348B4ConvencionalIluminação públicaIluminação pública – B4aNão se aplicaNão se aplicaNão se aplica",Mercado_Receita!$L$2:$L$2012)</f>
        <v>20196.370000000003</v>
      </c>
      <c r="K58" s="12">
        <f>SUMIF(Mercado_Receita!$S$2:$S$2012,"44378B4ConvencionalIluminação públicaIluminação pública – B4aNão se aplicaNão se aplicaPonta",Mercado_Receita!$L$2:$L$2012)+SUMIF(Mercado_Receita!$S$2:$S$2012,"44378B4ConvencionalIluminação públicaIluminação pública – B4aNão se aplicaNão se aplicaFora ponta",Mercado_Receita!$L$2:$L$2012)+SUMIF(Mercado_Receita!$S$2:$S$2012,"44378B4ConvencionalIluminação públicaIluminação pública – B4aNão se aplicaNão se aplicaIntermediário",Mercado_Receita!$L$2:$L$2012)+SUMIF(Mercado_Receita!$S$2:$S$2012,"44378B4ConvencionalIluminação públicaIluminação pública – B4aNão se aplicaNão se aplicaNão se aplica",Mercado_Receita!$L$2:$L$2012)</f>
        <v>20902.853999999999</v>
      </c>
      <c r="L58" s="12">
        <f>SUMIF(Mercado_Receita!$S$2:$S$2012,"44409B4ConvencionalIluminação públicaIluminação pública – B4aNão se aplicaNão se aplicaPonta",Mercado_Receita!$L$2:$L$2012)+SUMIF(Mercado_Receita!$S$2:$S$2012,"44409B4ConvencionalIluminação públicaIluminação pública – B4aNão se aplicaNão se aplicaFora ponta",Mercado_Receita!$L$2:$L$2012)+SUMIF(Mercado_Receita!$S$2:$S$2012,"44409B4ConvencionalIluminação públicaIluminação pública – B4aNão se aplicaNão se aplicaIntermediário",Mercado_Receita!$L$2:$L$2012)+SUMIF(Mercado_Receita!$S$2:$S$2012,"44409B4ConvencionalIluminação públicaIluminação pública – B4aNão se aplicaNão se aplicaNão se aplica",Mercado_Receita!$L$2:$L$2012)</f>
        <v>20740.109</v>
      </c>
      <c r="M58" s="12">
        <f>SUMIF(Mercado_Receita!$S$2:$S$2012,"44440B4ConvencionalIluminação públicaIluminação pública – B4aNão se aplicaNão se aplicaPonta",Mercado_Receita!$L$2:$L$2012)+SUMIF(Mercado_Receita!$S$2:$S$2012,"44440B4ConvencionalIluminação públicaIluminação pública – B4aNão se aplicaNão se aplicaFora ponta",Mercado_Receita!$L$2:$L$2012)+SUMIF(Mercado_Receita!$S$2:$S$2012,"44440B4ConvencionalIluminação públicaIluminação pública – B4aNão se aplicaNão se aplicaIntermediário",Mercado_Receita!$L$2:$L$2012)+SUMIF(Mercado_Receita!$S$2:$S$2012,"44440B4ConvencionalIluminação públicaIluminação pública – B4aNão se aplicaNão se aplicaNão se aplica",Mercado_Receita!$L$2:$L$2012)</f>
        <v>21229.105</v>
      </c>
      <c r="N58" s="12">
        <f>SUMIF(Mercado_Receita!$S$2:$S$2012,"44470B4ConvencionalIluminação públicaIluminação pública – B4aNão se aplicaNão se aplicaPonta",Mercado_Receita!$L$2:$L$2012)+SUMIF(Mercado_Receita!$S$2:$S$2012,"44470B4ConvencionalIluminação públicaIluminação pública – B4aNão se aplicaNão se aplicaFora ponta",Mercado_Receita!$L$2:$L$2012)+SUMIF(Mercado_Receita!$S$2:$S$2012,"44470B4ConvencionalIluminação públicaIluminação pública – B4aNão se aplicaNão se aplicaIntermediário",Mercado_Receita!$L$2:$L$2012)+SUMIF(Mercado_Receita!$S$2:$S$2012,"44470B4ConvencionalIluminação públicaIluminação pública – B4aNão se aplicaNão se aplicaNão se aplica",Mercado_Receita!$L$2:$L$2012)</f>
        <v>22468.400999999998</v>
      </c>
      <c r="O58" s="12">
        <f>SUMIF(Mercado_Receita!$S$2:$S$2012,"44501B4ConvencionalIluminação públicaIluminação pública – B4aNão se aplicaNão se aplicaPonta",Mercado_Receita!$L$2:$L$2012)+SUMIF(Mercado_Receita!$S$2:$S$2012,"44501B4ConvencionalIluminação públicaIluminação pública – B4aNão se aplicaNão se aplicaFora ponta",Mercado_Receita!$L$2:$L$2012)+SUMIF(Mercado_Receita!$S$2:$S$2012,"44501B4ConvencionalIluminação públicaIluminação pública – B4aNão se aplicaNão se aplicaIntermediário",Mercado_Receita!$L$2:$L$2012)+SUMIF(Mercado_Receita!$S$2:$S$2012,"44501B4ConvencionalIluminação públicaIluminação pública – B4aNão se aplicaNão se aplicaNão se aplica",Mercado_Receita!$L$2:$L$2012)</f>
        <v>22312.456000000002</v>
      </c>
      <c r="P58" s="12">
        <f>SUMIF(Mercado_Receita!$S$2:$S$2012,"44531B4ConvencionalIluminação públicaIluminação pública – B4aNão se aplicaNão se aplicaPonta",Mercado_Receita!$L$2:$L$2012)+SUMIF(Mercado_Receita!$S$2:$S$2012,"44531B4ConvencionalIluminação públicaIluminação pública – B4aNão se aplicaNão se aplicaFora ponta",Mercado_Receita!$L$2:$L$2012)+SUMIF(Mercado_Receita!$S$2:$S$2012,"44531B4ConvencionalIluminação públicaIluminação pública – B4aNão se aplicaNão se aplicaIntermediário",Mercado_Receita!$L$2:$L$2012)+SUMIF(Mercado_Receita!$S$2:$S$2012,"44531B4ConvencionalIluminação públicaIluminação pública – B4aNão se aplicaNão se aplicaNão se aplica",Mercado_Receita!$L$2:$L$2012)</f>
        <v>24901.280999999999</v>
      </c>
      <c r="Q58" s="12">
        <f>SUMIF(Mercado_Receita!$S$2:$S$2012,"44562B4ConvencionalIluminação públicaIluminação pública – B4aNão se aplicaNão se aplicaPonta",Mercado_Receita!$L$2:$L$2012)+SUMIF(Mercado_Receita!$S$2:$S$2012,"44562B4ConvencionalIluminação públicaIluminação pública – B4aNão se aplicaNão se aplicaFora ponta",Mercado_Receita!$L$2:$L$2012)+SUMIF(Mercado_Receita!$S$2:$S$2012,"44562B4ConvencionalIluminação públicaIluminação pública – B4aNão se aplicaNão se aplicaIntermediário",Mercado_Receita!$L$2:$L$2012)+SUMIF(Mercado_Receita!$S$2:$S$2012,"44562B4ConvencionalIluminação públicaIluminação pública – B4aNão se aplicaNão se aplicaNão se aplica",Mercado_Receita!$L$2:$L$2012)</f>
        <v>20799.067999999999</v>
      </c>
      <c r="R58" s="12">
        <f>SUMIF(Mercado_Receita!$S$2:$S$2012,"44593B4ConvencionalIluminação públicaIluminação pública – B4aNão se aplicaNão se aplicaPonta",Mercado_Receita!$L$2:$L$2012)+SUMIF(Mercado_Receita!$S$2:$S$2012,"44593B4ConvencionalIluminação públicaIluminação pública – B4aNão se aplicaNão se aplicaFora ponta",Mercado_Receita!$L$2:$L$2012)+SUMIF(Mercado_Receita!$S$2:$S$2012,"44593B4ConvencionalIluminação públicaIluminação pública – B4aNão se aplicaNão se aplicaIntermediário",Mercado_Receita!$L$2:$L$2012)+SUMIF(Mercado_Receita!$S$2:$S$2012,"44593B4ConvencionalIluminação públicaIluminação pública – B4aNão se aplicaNão se aplicaNão se aplica",Mercado_Receita!$L$2:$L$2012)</f>
        <v>18734.545000000002</v>
      </c>
      <c r="S58" s="12">
        <f>SUMIF(Mercado_Receita!$S$2:$S$2012,"44621B4ConvencionalIluminação públicaIluminação pública – B4aNão se aplicaNão se aplicaPonta",Mercado_Receita!$L$2:$L$2012)+SUMIF(Mercado_Receita!$S$2:$S$2012,"44621B4ConvencionalIluminação públicaIluminação pública – B4aNão se aplicaNão se aplicaFora ponta",Mercado_Receita!$L$2:$L$2012)+SUMIF(Mercado_Receita!$S$2:$S$2012,"44621B4ConvencionalIluminação públicaIluminação pública – B4aNão se aplicaNão se aplicaIntermediário",Mercado_Receita!$L$2:$L$2012)+SUMIF(Mercado_Receita!$S$2:$S$2012,"44621B4ConvencionalIluminação públicaIluminação pública – B4aNão se aplicaNão se aplicaNão se aplica",Mercado_Receita!$L$2:$L$2012)</f>
        <v>23199.085999999999</v>
      </c>
      <c r="T58" s="12">
        <f>SUMIF(Mercado_Receita!$S$2:$S$2012,"44652B4ConvencionalIluminação públicaIluminação pública – B4aNão se aplicaNão se aplicaPonta",Mercado_Receita!$L$2:$L$2012)+SUMIF(Mercado_Receita!$S$2:$S$2012,"44652B4ConvencionalIluminação públicaIluminação pública – B4aNão se aplicaNão se aplicaFora ponta",Mercado_Receita!$L$2:$L$2012)+SUMIF(Mercado_Receita!$S$2:$S$2012,"44652B4ConvencionalIluminação públicaIluminação pública – B4aNão se aplicaNão se aplicaIntermediário",Mercado_Receita!$L$2:$L$2012)+SUMIF(Mercado_Receita!$S$2:$S$2012,"44652B4ConvencionalIluminação públicaIluminação pública – B4aNão se aplicaNão se aplicaNão se aplica",Mercado_Receita!$L$2:$L$2012)</f>
        <v>23199.085999999999</v>
      </c>
      <c r="U58" s="12">
        <f t="shared" si="1"/>
        <v>259602.97000000003</v>
      </c>
      <c r="V58" s="12"/>
      <c r="W58" s="12"/>
    </row>
    <row r="59" spans="1:23" ht="11.25" customHeight="1" x14ac:dyDescent="0.25">
      <c r="A59" s="118"/>
      <c r="B59" s="118"/>
      <c r="C59" s="118"/>
      <c r="D59" s="12" t="s">
        <v>106</v>
      </c>
      <c r="E59" s="12" t="s">
        <v>25</v>
      </c>
      <c r="F59" s="12" t="s">
        <v>25</v>
      </c>
      <c r="G59" s="12" t="s">
        <v>96</v>
      </c>
      <c r="H59" s="12" t="s">
        <v>90</v>
      </c>
      <c r="I59" s="12">
        <f>SUMIF(Mercado_Receita!$S$2:$S$2012,"44317B4ConvencionalIluminação públicaIluminação pública – B4bNão se aplicaNão se aplicaPonta",Mercado_Receita!$L$2:$L$2012)+SUMIF(Mercado_Receita!$S$2:$S$2012,"44317B4ConvencionalIluminação públicaIluminação pública – B4bNão se aplicaNão se aplicaFora ponta",Mercado_Receita!$L$2:$L$2012)+SUMIF(Mercado_Receita!$S$2:$S$2012,"44317B4ConvencionalIluminação públicaIluminação pública – B4bNão se aplicaNão se aplicaIntermediário",Mercado_Receita!$L$2:$L$2012)+SUMIF(Mercado_Receita!$S$2:$S$2012,"44317B4ConvencionalIluminação públicaIluminação pública – B4bNão se aplicaNão se aplicaNão se aplica",Mercado_Receita!$L$2:$L$2012)</f>
        <v>0</v>
      </c>
      <c r="J59" s="12">
        <f>SUMIF(Mercado_Receita!$S$2:$S$2012,"44348B4ConvencionalIluminação públicaIluminação pública – B4bNão se aplicaNão se aplicaPonta",Mercado_Receita!$L$2:$L$2012)+SUMIF(Mercado_Receita!$S$2:$S$2012,"44348B4ConvencionalIluminação públicaIluminação pública – B4bNão se aplicaNão se aplicaFora ponta",Mercado_Receita!$L$2:$L$2012)+SUMIF(Mercado_Receita!$S$2:$S$2012,"44348B4ConvencionalIluminação públicaIluminação pública – B4bNão se aplicaNão se aplicaIntermediário",Mercado_Receita!$L$2:$L$2012)+SUMIF(Mercado_Receita!$S$2:$S$2012,"44348B4ConvencionalIluminação públicaIluminação pública – B4bNão se aplicaNão se aplicaNão se aplica",Mercado_Receita!$L$2:$L$2012)</f>
        <v>0</v>
      </c>
      <c r="K59" s="12">
        <f>SUMIF(Mercado_Receita!$S$2:$S$2012,"44378B4ConvencionalIluminação públicaIluminação pública – B4bNão se aplicaNão se aplicaPonta",Mercado_Receita!$L$2:$L$2012)+SUMIF(Mercado_Receita!$S$2:$S$2012,"44378B4ConvencionalIluminação públicaIluminação pública – B4bNão se aplicaNão se aplicaFora ponta",Mercado_Receita!$L$2:$L$2012)+SUMIF(Mercado_Receita!$S$2:$S$2012,"44378B4ConvencionalIluminação públicaIluminação pública – B4bNão se aplicaNão se aplicaIntermediário",Mercado_Receita!$L$2:$L$2012)+SUMIF(Mercado_Receita!$S$2:$S$2012,"44378B4ConvencionalIluminação públicaIluminação pública – B4bNão se aplicaNão se aplicaNão se aplica",Mercado_Receita!$L$2:$L$2012)</f>
        <v>0</v>
      </c>
      <c r="L59" s="12">
        <f>SUMIF(Mercado_Receita!$S$2:$S$2012,"44409B4ConvencionalIluminação públicaIluminação pública – B4bNão se aplicaNão se aplicaPonta",Mercado_Receita!$L$2:$L$2012)+SUMIF(Mercado_Receita!$S$2:$S$2012,"44409B4ConvencionalIluminação públicaIluminação pública – B4bNão se aplicaNão se aplicaFora ponta",Mercado_Receita!$L$2:$L$2012)+SUMIF(Mercado_Receita!$S$2:$S$2012,"44409B4ConvencionalIluminação públicaIluminação pública – B4bNão se aplicaNão se aplicaIntermediário",Mercado_Receita!$L$2:$L$2012)+SUMIF(Mercado_Receita!$S$2:$S$2012,"44409B4ConvencionalIluminação públicaIluminação pública – B4bNão se aplicaNão se aplicaNão se aplica",Mercado_Receita!$L$2:$L$2012)</f>
        <v>0</v>
      </c>
      <c r="M59" s="12">
        <f>SUMIF(Mercado_Receita!$S$2:$S$2012,"44440B4ConvencionalIluminação públicaIluminação pública – B4bNão se aplicaNão se aplicaPonta",Mercado_Receita!$L$2:$L$2012)+SUMIF(Mercado_Receita!$S$2:$S$2012,"44440B4ConvencionalIluminação públicaIluminação pública – B4bNão se aplicaNão se aplicaFora ponta",Mercado_Receita!$L$2:$L$2012)+SUMIF(Mercado_Receita!$S$2:$S$2012,"44440B4ConvencionalIluminação públicaIluminação pública – B4bNão se aplicaNão se aplicaIntermediário",Mercado_Receita!$L$2:$L$2012)+SUMIF(Mercado_Receita!$S$2:$S$2012,"44440B4ConvencionalIluminação públicaIluminação pública – B4bNão se aplicaNão se aplicaNão se aplica",Mercado_Receita!$L$2:$L$2012)</f>
        <v>0</v>
      </c>
      <c r="N59" s="12">
        <f>SUMIF(Mercado_Receita!$S$2:$S$2012,"44470B4ConvencionalIluminação públicaIluminação pública – B4bNão se aplicaNão se aplicaPonta",Mercado_Receita!$L$2:$L$2012)+SUMIF(Mercado_Receita!$S$2:$S$2012,"44470B4ConvencionalIluminação públicaIluminação pública – B4bNão se aplicaNão se aplicaFora ponta",Mercado_Receita!$L$2:$L$2012)+SUMIF(Mercado_Receita!$S$2:$S$2012,"44470B4ConvencionalIluminação públicaIluminação pública – B4bNão se aplicaNão se aplicaIntermediário",Mercado_Receita!$L$2:$L$2012)+SUMIF(Mercado_Receita!$S$2:$S$2012,"44470B4ConvencionalIluminação públicaIluminação pública – B4bNão se aplicaNão se aplicaNão se aplica",Mercado_Receita!$L$2:$L$2012)</f>
        <v>0</v>
      </c>
      <c r="O59" s="12">
        <f>SUMIF(Mercado_Receita!$S$2:$S$2012,"44501B4ConvencionalIluminação públicaIluminação pública – B4bNão se aplicaNão se aplicaPonta",Mercado_Receita!$L$2:$L$2012)+SUMIF(Mercado_Receita!$S$2:$S$2012,"44501B4ConvencionalIluminação públicaIluminação pública – B4bNão se aplicaNão se aplicaFora ponta",Mercado_Receita!$L$2:$L$2012)+SUMIF(Mercado_Receita!$S$2:$S$2012,"44501B4ConvencionalIluminação públicaIluminação pública – B4bNão se aplicaNão se aplicaIntermediário",Mercado_Receita!$L$2:$L$2012)+SUMIF(Mercado_Receita!$S$2:$S$2012,"44501B4ConvencionalIluminação públicaIluminação pública – B4bNão se aplicaNão se aplicaNão se aplica",Mercado_Receita!$L$2:$L$2012)</f>
        <v>0</v>
      </c>
      <c r="P59" s="12">
        <f>SUMIF(Mercado_Receita!$S$2:$S$2012,"44531B4ConvencionalIluminação públicaIluminação pública – B4bNão se aplicaNão se aplicaPonta",Mercado_Receita!$L$2:$L$2012)+SUMIF(Mercado_Receita!$S$2:$S$2012,"44531B4ConvencionalIluminação públicaIluminação pública – B4bNão se aplicaNão se aplicaFora ponta",Mercado_Receita!$L$2:$L$2012)+SUMIF(Mercado_Receita!$S$2:$S$2012,"44531B4ConvencionalIluminação públicaIluminação pública – B4bNão se aplicaNão se aplicaIntermediário",Mercado_Receita!$L$2:$L$2012)+SUMIF(Mercado_Receita!$S$2:$S$2012,"44531B4ConvencionalIluminação públicaIluminação pública – B4bNão se aplicaNão se aplicaNão se aplica",Mercado_Receita!$L$2:$L$2012)</f>
        <v>0</v>
      </c>
      <c r="Q59" s="12">
        <f>SUMIF(Mercado_Receita!$S$2:$S$2012,"44562B4ConvencionalIluminação públicaIluminação pública – B4bNão se aplicaNão se aplicaPonta",Mercado_Receita!$L$2:$L$2012)+SUMIF(Mercado_Receita!$S$2:$S$2012,"44562B4ConvencionalIluminação públicaIluminação pública – B4bNão se aplicaNão se aplicaFora ponta",Mercado_Receita!$L$2:$L$2012)+SUMIF(Mercado_Receita!$S$2:$S$2012,"44562B4ConvencionalIluminação públicaIluminação pública – B4bNão se aplicaNão se aplicaIntermediário",Mercado_Receita!$L$2:$L$2012)+SUMIF(Mercado_Receita!$S$2:$S$2012,"44562B4ConvencionalIluminação públicaIluminação pública – B4bNão se aplicaNão se aplicaNão se aplica",Mercado_Receita!$L$2:$L$2012)</f>
        <v>0</v>
      </c>
      <c r="R59" s="12">
        <f>SUMIF(Mercado_Receita!$S$2:$S$2012,"44593B4ConvencionalIluminação públicaIluminação pública – B4bNão se aplicaNão se aplicaPonta",Mercado_Receita!$L$2:$L$2012)+SUMIF(Mercado_Receita!$S$2:$S$2012,"44593B4ConvencionalIluminação públicaIluminação pública – B4bNão se aplicaNão se aplicaFora ponta",Mercado_Receita!$L$2:$L$2012)+SUMIF(Mercado_Receita!$S$2:$S$2012,"44593B4ConvencionalIluminação públicaIluminação pública – B4bNão se aplicaNão se aplicaIntermediário",Mercado_Receita!$L$2:$L$2012)+SUMIF(Mercado_Receita!$S$2:$S$2012,"44593B4ConvencionalIluminação públicaIluminação pública – B4bNão se aplicaNão se aplicaNão se aplica",Mercado_Receita!$L$2:$L$2012)</f>
        <v>0</v>
      </c>
      <c r="S59" s="12">
        <f>SUMIF(Mercado_Receita!$S$2:$S$2012,"44621B4ConvencionalIluminação públicaIluminação pública – B4bNão se aplicaNão se aplicaPonta",Mercado_Receita!$L$2:$L$2012)+SUMIF(Mercado_Receita!$S$2:$S$2012,"44621B4ConvencionalIluminação públicaIluminação pública – B4bNão se aplicaNão se aplicaFora ponta",Mercado_Receita!$L$2:$L$2012)+SUMIF(Mercado_Receita!$S$2:$S$2012,"44621B4ConvencionalIluminação públicaIluminação pública – B4bNão se aplicaNão se aplicaIntermediário",Mercado_Receita!$L$2:$L$2012)+SUMIF(Mercado_Receita!$S$2:$S$2012,"44621B4ConvencionalIluminação públicaIluminação pública – B4bNão se aplicaNão se aplicaNão se aplica",Mercado_Receita!$L$2:$L$2012)</f>
        <v>0</v>
      </c>
      <c r="T59" s="12">
        <f>SUMIF(Mercado_Receita!$S$2:$S$2012,"44652B4ConvencionalIluminação públicaIluminação pública – B4bNão se aplicaNão se aplicaPonta",Mercado_Receita!$L$2:$L$2012)+SUMIF(Mercado_Receita!$S$2:$S$2012,"44652B4ConvencionalIluminação públicaIluminação pública – B4bNão se aplicaNão se aplicaFora ponta",Mercado_Receita!$L$2:$L$2012)+SUMIF(Mercado_Receita!$S$2:$S$2012,"44652B4ConvencionalIluminação públicaIluminação pública – B4bNão se aplicaNão se aplicaIntermediário",Mercado_Receita!$L$2:$L$2012)+SUMIF(Mercado_Receita!$S$2:$S$2012,"44652B4ConvencionalIluminação públicaIluminação pública – B4bNão se aplicaNão se aplicaNão se aplica",Mercado_Receita!$L$2:$L$2012)</f>
        <v>0</v>
      </c>
      <c r="U59" s="12">
        <f t="shared" si="1"/>
        <v>0</v>
      </c>
      <c r="V59" s="12"/>
      <c r="W59" s="12"/>
    </row>
    <row r="60" spans="1:23" ht="11.25" customHeight="1" x14ac:dyDescent="0.25">
      <c r="A60" s="119" t="s">
        <v>753</v>
      </c>
      <c r="B60" s="120"/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"/>
      <c r="W60" s="12"/>
    </row>
  </sheetData>
  <mergeCells count="71">
    <mergeCell ref="A2:A9"/>
    <mergeCell ref="F10:F12"/>
    <mergeCell ref="E10:E12"/>
    <mergeCell ref="D10:D13"/>
    <mergeCell ref="C10:C13"/>
    <mergeCell ref="B10:B13"/>
    <mergeCell ref="F2:F4"/>
    <mergeCell ref="E2:E4"/>
    <mergeCell ref="D2:D5"/>
    <mergeCell ref="C2:C5"/>
    <mergeCell ref="B2:B5"/>
    <mergeCell ref="F6:F8"/>
    <mergeCell ref="E6:E8"/>
    <mergeCell ref="D6:D8"/>
    <mergeCell ref="C6:C8"/>
    <mergeCell ref="B6:B8"/>
    <mergeCell ref="A10:A22"/>
    <mergeCell ref="F14:F16"/>
    <mergeCell ref="E14:E16"/>
    <mergeCell ref="D14:D16"/>
    <mergeCell ref="C14:C16"/>
    <mergeCell ref="B14:B16"/>
    <mergeCell ref="F18:F20"/>
    <mergeCell ref="E18:E20"/>
    <mergeCell ref="F21:F22"/>
    <mergeCell ref="E21:E22"/>
    <mergeCell ref="D18:D22"/>
    <mergeCell ref="C18:C22"/>
    <mergeCell ref="B18:B22"/>
    <mergeCell ref="D23:D24"/>
    <mergeCell ref="C23:C24"/>
    <mergeCell ref="B23:B24"/>
    <mergeCell ref="A23:A24"/>
    <mergeCell ref="F25:F27"/>
    <mergeCell ref="E25:E27"/>
    <mergeCell ref="D25:D27"/>
    <mergeCell ref="C25:C27"/>
    <mergeCell ref="B25:B27"/>
    <mergeCell ref="F38:F40"/>
    <mergeCell ref="E38:E40"/>
    <mergeCell ref="D38:D40"/>
    <mergeCell ref="C38:C40"/>
    <mergeCell ref="B38:B40"/>
    <mergeCell ref="C28:C32"/>
    <mergeCell ref="B28:B32"/>
    <mergeCell ref="C33:C37"/>
    <mergeCell ref="B33:B37"/>
    <mergeCell ref="A25:A37"/>
    <mergeCell ref="C42:C44"/>
    <mergeCell ref="B42:B44"/>
    <mergeCell ref="F46:F48"/>
    <mergeCell ref="E46:E48"/>
    <mergeCell ref="D46:D48"/>
    <mergeCell ref="C46:C48"/>
    <mergeCell ref="B46:B48"/>
    <mergeCell ref="A58:A59"/>
    <mergeCell ref="B58:B59"/>
    <mergeCell ref="C58:C59"/>
    <mergeCell ref="A60:U60"/>
    <mergeCell ref="C50:C52"/>
    <mergeCell ref="B50:B52"/>
    <mergeCell ref="A38:A52"/>
    <mergeCell ref="F53:F55"/>
    <mergeCell ref="E53:E55"/>
    <mergeCell ref="D53:D55"/>
    <mergeCell ref="C53:C55"/>
    <mergeCell ref="B53:B55"/>
    <mergeCell ref="A53:A57"/>
    <mergeCell ref="F42:F44"/>
    <mergeCell ref="E42:E44"/>
    <mergeCell ref="D42:D44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EBB5-298B-49FF-A7BF-76AAC88CD204}">
  <dimension ref="A1:AD42"/>
  <sheetViews>
    <sheetView showGridLines="0" workbookViewId="0">
      <selection activeCell="O6" sqref="O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14" width="7.85546875" style="9" bestFit="1" customWidth="1"/>
    <col min="15" max="17" width="8.7109375" style="9" bestFit="1" customWidth="1"/>
    <col min="18" max="18" width="7.85546875" style="9" bestFit="1" customWidth="1"/>
    <col min="19" max="20" width="8.71093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80</v>
      </c>
      <c r="B1" s="10" t="s">
        <v>81</v>
      </c>
      <c r="C1" s="10" t="s">
        <v>82</v>
      </c>
      <c r="D1" s="10" t="s">
        <v>83</v>
      </c>
      <c r="E1" s="10" t="s">
        <v>84</v>
      </c>
      <c r="F1" s="10" t="s">
        <v>85</v>
      </c>
      <c r="G1" s="10" t="s">
        <v>86</v>
      </c>
      <c r="H1" s="10" t="s">
        <v>87</v>
      </c>
      <c r="I1" s="11">
        <v>44317</v>
      </c>
      <c r="J1" s="11">
        <v>44348</v>
      </c>
      <c r="K1" s="11">
        <v>44378</v>
      </c>
      <c r="L1" s="11">
        <v>44409</v>
      </c>
      <c r="M1" s="11">
        <v>44440</v>
      </c>
      <c r="N1" s="11">
        <v>44470</v>
      </c>
      <c r="O1" s="11">
        <v>44501</v>
      </c>
      <c r="P1" s="11">
        <v>44531</v>
      </c>
      <c r="Q1" s="11">
        <v>44562</v>
      </c>
      <c r="R1" s="11">
        <v>44593</v>
      </c>
      <c r="S1" s="11">
        <v>44621</v>
      </c>
      <c r="T1" s="11">
        <v>44652</v>
      </c>
      <c r="U1" s="10" t="s">
        <v>88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17" t="s">
        <v>41</v>
      </c>
      <c r="B2" s="117" t="s">
        <v>89</v>
      </c>
      <c r="C2" s="117" t="s">
        <v>25</v>
      </c>
      <c r="D2" s="117" t="s">
        <v>25</v>
      </c>
      <c r="E2" s="117" t="s">
        <v>25</v>
      </c>
      <c r="F2" s="117" t="s">
        <v>25</v>
      </c>
      <c r="G2" s="14" t="s">
        <v>91</v>
      </c>
      <c r="H2" s="14" t="s">
        <v>90</v>
      </c>
      <c r="I2" s="14">
        <f>SUMIF(Mercado_Receita!$T$2:$T$2012,"44317A3Energia horáriaNão se aplicaNão se aplicaNão se aplicaNão se aplicaPonta",Mercado_Receita!$N$2:$N$2012)</f>
        <v>122.134</v>
      </c>
      <c r="J2" s="14">
        <f>SUMIF(Mercado_Receita!$T$2:$T$2012,"44348A3Energia horáriaNão se aplicaNão se aplicaNão se aplicaNão se aplicaPonta",Mercado_Receita!$N$2:$N$2012)</f>
        <v>123.506</v>
      </c>
      <c r="K2" s="14">
        <f>SUMIF(Mercado_Receita!$T$2:$T$2012,"44378A3Energia horáriaNão se aplicaNão se aplicaNão se aplicaNão se aplicaPonta",Mercado_Receita!$N$2:$N$2012)</f>
        <v>139.83400000000003</v>
      </c>
      <c r="L2" s="14">
        <f>SUMIF(Mercado_Receita!$T$2:$T$2012,"44409A3Energia horáriaNão se aplicaNão se aplicaNão se aplicaNão se aplicaPonta",Mercado_Receita!$N$2:$N$2012)</f>
        <v>133.88499999999999</v>
      </c>
      <c r="M2" s="14">
        <f>SUMIF(Mercado_Receita!$T$2:$T$2012,"44440A3Energia horáriaNão se aplicaNão se aplicaNão se aplicaNão se aplicaPonta",Mercado_Receita!$N$2:$N$2012)</f>
        <v>338.54999999999995</v>
      </c>
      <c r="N2" s="14">
        <f>SUMIF(Mercado_Receita!$T$2:$T$2012,"44470A3Energia horáriaNão se aplicaNão se aplicaNão se aplicaNão se aplicaPonta",Mercado_Receita!$N$2:$N$2012)</f>
        <v>451.95699999999999</v>
      </c>
      <c r="O2" s="14">
        <f>SUMIF(Mercado_Receita!$T$2:$T$2012,"44501A3Energia horáriaNão se aplicaNão se aplicaNão se aplicaNão se aplicaPonta",Mercado_Receita!$N$2:$N$2012)</f>
        <v>425.35399999999998</v>
      </c>
      <c r="P2" s="14">
        <f>SUMIF(Mercado_Receita!$T$2:$T$2012,"44531A3Energia horáriaNão se aplicaNão se aplicaNão se aplicaNão se aplicaPonta",Mercado_Receita!$N$2:$N$2012)</f>
        <v>377.19499999999999</v>
      </c>
      <c r="Q2" s="14">
        <f>SUMIF(Mercado_Receita!$T$2:$T$2012,"44562A3Energia horáriaNão se aplicaNão se aplicaNão se aplicaNão se aplicaPonta",Mercado_Receita!$N$2:$N$2012)</f>
        <v>120.42400000000001</v>
      </c>
      <c r="R2" s="14">
        <f>SUMIF(Mercado_Receita!$T$2:$T$2012,"44593A3Energia horáriaNão se aplicaNão se aplicaNão se aplicaNão se aplicaPonta",Mercado_Receita!$N$2:$N$2012)</f>
        <v>272.44900000000001</v>
      </c>
      <c r="S2" s="14">
        <f>SUMIF(Mercado_Receita!$T$2:$T$2012,"44621A3Energia horáriaNão se aplicaNão se aplicaNão se aplicaNão se aplicaPonta",Mercado_Receita!$N$2:$N$2012)</f>
        <v>331.471</v>
      </c>
      <c r="T2" s="14">
        <f>SUMIF(Mercado_Receita!$T$2:$T$2012,"44652A3Energia horáriaNão se aplicaNão se aplicaNão se aplicaNão se aplicaPonta",Mercado_Receita!$N$2:$N$2012)</f>
        <v>331.471</v>
      </c>
      <c r="U2" s="14">
        <f t="shared" ref="U2:U41" si="0">SUM(I2:T2)</f>
        <v>3168.23</v>
      </c>
      <c r="V2" s="14"/>
      <c r="W2" s="14"/>
    </row>
    <row r="3" spans="1:30" ht="11.25" customHeight="1" x14ac:dyDescent="0.25">
      <c r="A3" s="118"/>
      <c r="B3" s="118"/>
      <c r="C3" s="118"/>
      <c r="D3" s="118"/>
      <c r="E3" s="118"/>
      <c r="F3" s="118"/>
      <c r="G3" s="14" t="s">
        <v>92</v>
      </c>
      <c r="H3" s="14" t="s">
        <v>90</v>
      </c>
      <c r="I3" s="14">
        <f>SUMIF(Mercado_Receita!$T$2:$T$2012,"44317A3Energia horáriaNão se aplicaNão se aplicaNão se aplicaNão se aplicaFora ponta",Mercado_Receita!$N$2:$N$2012)</f>
        <v>2076.5520000000001</v>
      </c>
      <c r="J3" s="14">
        <f>SUMIF(Mercado_Receita!$T$2:$T$2012,"44348A3Energia horáriaNão se aplicaNão se aplicaNão se aplicaNão se aplicaFora ponta",Mercado_Receita!$N$2:$N$2012)</f>
        <v>2156.5699999999997</v>
      </c>
      <c r="K3" s="14">
        <f>SUMIF(Mercado_Receita!$T$2:$T$2012,"44378A3Energia horáriaNão se aplicaNão se aplicaNão se aplicaNão se aplicaFora ponta",Mercado_Receita!$N$2:$N$2012)</f>
        <v>3150.625</v>
      </c>
      <c r="L3" s="14">
        <f>SUMIF(Mercado_Receita!$T$2:$T$2012,"44409A3Energia horáriaNão se aplicaNão se aplicaNão se aplicaNão se aplicaFora ponta",Mercado_Receita!$N$2:$N$2012)</f>
        <v>915.42899999999975</v>
      </c>
      <c r="M3" s="14">
        <f>SUMIF(Mercado_Receita!$T$2:$T$2012,"44440A3Energia horáriaNão se aplicaNão se aplicaNão se aplicaNão se aplicaFora ponta",Mercado_Receita!$N$2:$N$2012)</f>
        <v>7627.7710000000006</v>
      </c>
      <c r="N3" s="14">
        <f>SUMIF(Mercado_Receita!$T$2:$T$2012,"44470A3Energia horáriaNão se aplicaNão se aplicaNão se aplicaNão se aplicaFora ponta",Mercado_Receita!$N$2:$N$2012)</f>
        <v>16313.465</v>
      </c>
      <c r="O3" s="14">
        <f>SUMIF(Mercado_Receita!$T$2:$T$2012,"44501A3Energia horáriaNão se aplicaNão se aplicaNão se aplicaNão se aplicaFora ponta",Mercado_Receita!$N$2:$N$2012)</f>
        <v>16891.101000000002</v>
      </c>
      <c r="P3" s="14">
        <f>SUMIF(Mercado_Receita!$T$2:$T$2012,"44531A3Energia horáriaNão se aplicaNão se aplicaNão se aplicaNão se aplicaFora ponta",Mercado_Receita!$N$2:$N$2012)</f>
        <v>16760.635000000002</v>
      </c>
      <c r="Q3" s="14">
        <f>SUMIF(Mercado_Receita!$T$2:$T$2012,"44562A3Energia horáriaNão se aplicaNão se aplicaNão se aplicaNão se aplicaFora ponta",Mercado_Receita!$N$2:$N$2012)</f>
        <v>13543.493999999999</v>
      </c>
      <c r="R3" s="14">
        <f>SUMIF(Mercado_Receita!$T$2:$T$2012,"44593A3Energia horáriaNão se aplicaNão se aplicaNão se aplicaNão se aplicaFora ponta",Mercado_Receita!$N$2:$N$2012)</f>
        <v>12728.071</v>
      </c>
      <c r="S3" s="14">
        <f>SUMIF(Mercado_Receita!$T$2:$T$2012,"44621A3Energia horáriaNão se aplicaNão se aplicaNão se aplicaNão se aplicaFora ponta",Mercado_Receita!$N$2:$N$2012)</f>
        <v>7873.5670000000009</v>
      </c>
      <c r="T3" s="14">
        <f>SUMIF(Mercado_Receita!$T$2:$T$2012,"44652A3Energia horáriaNão se aplicaNão se aplicaNão se aplicaNão se aplicaFora ponta",Mercado_Receita!$N$2:$N$2012)</f>
        <v>7873.5670000000009</v>
      </c>
      <c r="U3" s="14">
        <f t="shared" si="0"/>
        <v>107910.84700000001</v>
      </c>
      <c r="V3" s="14"/>
      <c r="W3" s="14"/>
    </row>
    <row r="4" spans="1:30" ht="11.25" customHeight="1" x14ac:dyDescent="0.25">
      <c r="A4" s="117" t="s">
        <v>33</v>
      </c>
      <c r="B4" s="117" t="s">
        <v>89</v>
      </c>
      <c r="C4" s="117" t="s">
        <v>25</v>
      </c>
      <c r="D4" s="117" t="s">
        <v>25</v>
      </c>
      <c r="E4" s="117" t="s">
        <v>25</v>
      </c>
      <c r="F4" s="117" t="s">
        <v>25</v>
      </c>
      <c r="G4" s="14" t="s">
        <v>91</v>
      </c>
      <c r="H4" s="14" t="s">
        <v>90</v>
      </c>
      <c r="I4" s="14">
        <f>SUMIF(Mercado_Receita!$T$2:$T$2012,"44317A4Energia horáriaNão se aplicaNão se aplicaNão se aplicaNão se aplicaPonta",Mercado_Receita!$N$2:$N$2012)</f>
        <v>3749.9959999999992</v>
      </c>
      <c r="J4" s="14">
        <f>SUMIF(Mercado_Receita!$T$2:$T$2012,"44348A4Energia horáriaNão se aplicaNão se aplicaNão se aplicaNão se aplicaPonta",Mercado_Receita!$N$2:$N$2012)</f>
        <v>3525.4770000000003</v>
      </c>
      <c r="K4" s="14">
        <f>SUMIF(Mercado_Receita!$T$2:$T$2012,"44378A4Energia horáriaNão se aplicaNão se aplicaNão se aplicaNão se aplicaPonta",Mercado_Receita!$N$2:$N$2012)</f>
        <v>3859.0159999999996</v>
      </c>
      <c r="L4" s="14">
        <f>SUMIF(Mercado_Receita!$T$2:$T$2012,"44409A4Energia horáriaNão se aplicaNão se aplicaNão se aplicaNão se aplicaPonta",Mercado_Receita!$N$2:$N$2012)</f>
        <v>3838.9929999999999</v>
      </c>
      <c r="M4" s="14">
        <f>SUMIF(Mercado_Receita!$T$2:$T$2012,"44440A4Energia horáriaNão se aplicaNão se aplicaNão se aplicaNão se aplicaPonta",Mercado_Receita!$N$2:$N$2012)</f>
        <v>3823.154</v>
      </c>
      <c r="N4" s="14">
        <f>SUMIF(Mercado_Receita!$T$2:$T$2012,"44470A4Energia horáriaNão se aplicaNão se aplicaNão se aplicaNão se aplicaPonta",Mercado_Receita!$N$2:$N$2012)</f>
        <v>3824.5259999999998</v>
      </c>
      <c r="O4" s="14">
        <f>SUMIF(Mercado_Receita!$T$2:$T$2012,"44501A4Energia horáriaNão se aplicaNão se aplicaNão se aplicaNão se aplicaPonta",Mercado_Receita!$N$2:$N$2012)</f>
        <v>3955.5720000000001</v>
      </c>
      <c r="P4" s="14">
        <f>SUMIF(Mercado_Receita!$T$2:$T$2012,"44531A4Energia horáriaNão se aplicaNão se aplicaNão se aplicaNão se aplicaPonta",Mercado_Receita!$N$2:$N$2012)</f>
        <v>4416.6819999999989</v>
      </c>
      <c r="Q4" s="14">
        <f>SUMIF(Mercado_Receita!$T$2:$T$2012,"44562A4Energia horáriaNão se aplicaNão se aplicaNão se aplicaNão se aplicaPonta",Mercado_Receita!$N$2:$N$2012)</f>
        <v>3965.6280000000002</v>
      </c>
      <c r="R4" s="14">
        <f>SUMIF(Mercado_Receita!$T$2:$T$2012,"44593A4Energia horáriaNão se aplicaNão se aplicaNão se aplicaNão se aplicaPonta",Mercado_Receita!$N$2:$N$2012)</f>
        <v>3866.9379999999992</v>
      </c>
      <c r="S4" s="14">
        <f>SUMIF(Mercado_Receita!$T$2:$T$2012,"44621A4Energia horáriaNão se aplicaNão se aplicaNão se aplicaNão se aplicaPonta",Mercado_Receita!$N$2:$N$2012)</f>
        <v>4229.68</v>
      </c>
      <c r="T4" s="14">
        <f>SUMIF(Mercado_Receita!$T$2:$T$2012,"44652A4Energia horáriaNão se aplicaNão se aplicaNão se aplicaNão se aplicaPonta",Mercado_Receita!$N$2:$N$2012)</f>
        <v>4229.68</v>
      </c>
      <c r="U4" s="14">
        <f t="shared" si="0"/>
        <v>47285.341999999997</v>
      </c>
      <c r="V4" s="14"/>
      <c r="W4" s="14"/>
    </row>
    <row r="5" spans="1:30" ht="11.25" customHeight="1" x14ac:dyDescent="0.25">
      <c r="A5" s="118"/>
      <c r="B5" s="118"/>
      <c r="C5" s="118"/>
      <c r="D5" s="118"/>
      <c r="E5" s="118"/>
      <c r="F5" s="118"/>
      <c r="G5" s="14" t="s">
        <v>92</v>
      </c>
      <c r="H5" s="14" t="s">
        <v>90</v>
      </c>
      <c r="I5" s="14">
        <f>SUMIF(Mercado_Receita!$T$2:$T$2012,"44317A4Energia horáriaNão se aplicaNão se aplicaNão se aplicaNão se aplicaFora ponta",Mercado_Receita!$N$2:$N$2012)</f>
        <v>51810.67500000001</v>
      </c>
      <c r="J5" s="14">
        <f>SUMIF(Mercado_Receita!$T$2:$T$2012,"44348A4Energia horáriaNão se aplicaNão se aplicaNão se aplicaNão se aplicaFora ponta",Mercado_Receita!$N$2:$N$2012)</f>
        <v>47306.13700000001</v>
      </c>
      <c r="K5" s="14">
        <f>SUMIF(Mercado_Receita!$T$2:$T$2012,"44378A4Energia horáriaNão se aplicaNão se aplicaNão se aplicaNão se aplicaFora ponta",Mercado_Receita!$N$2:$N$2012)</f>
        <v>50869.199000000001</v>
      </c>
      <c r="L5" s="14">
        <f>SUMIF(Mercado_Receita!$T$2:$T$2012,"44409A4Energia horáriaNão se aplicaNão se aplicaNão se aplicaNão se aplicaFora ponta",Mercado_Receita!$N$2:$N$2012)</f>
        <v>50172.006999999998</v>
      </c>
      <c r="M5" s="14">
        <f>SUMIF(Mercado_Receita!$T$2:$T$2012,"44440A4Energia horáriaNão se aplicaNão se aplicaNão se aplicaNão se aplicaFora ponta",Mercado_Receita!$N$2:$N$2012)</f>
        <v>52052.882000000005</v>
      </c>
      <c r="N5" s="14">
        <f>SUMIF(Mercado_Receita!$T$2:$T$2012,"44470A4Energia horáriaNão se aplicaNão se aplicaNão se aplicaNão se aplicaFora ponta",Mercado_Receita!$N$2:$N$2012)</f>
        <v>58029.53</v>
      </c>
      <c r="O5" s="14">
        <f>SUMIF(Mercado_Receita!$T$2:$T$2012,"44501A4Energia horáriaNão se aplicaNão se aplicaNão se aplicaNão se aplicaFora ponta",Mercado_Receita!$N$2:$N$2012)</f>
        <v>61032.991999999984</v>
      </c>
      <c r="P5" s="14">
        <f>SUMIF(Mercado_Receita!$T$2:$T$2012,"44531A4Energia horáriaNão se aplicaNão se aplicaNão se aplicaNão se aplicaFora ponta",Mercado_Receita!$N$2:$N$2012)</f>
        <v>60658.47800000001</v>
      </c>
      <c r="Q5" s="14">
        <f>SUMIF(Mercado_Receita!$T$2:$T$2012,"44562A4Energia horáriaNão se aplicaNão se aplicaNão se aplicaNão se aplicaFora ponta",Mercado_Receita!$N$2:$N$2012)</f>
        <v>58580.227000000014</v>
      </c>
      <c r="R5" s="14">
        <f>SUMIF(Mercado_Receita!$T$2:$T$2012,"44593A4Energia horáriaNão se aplicaNão se aplicaNão se aplicaNão se aplicaFora ponta",Mercado_Receita!$N$2:$N$2012)</f>
        <v>56664.065999999977</v>
      </c>
      <c r="S5" s="14">
        <f>SUMIF(Mercado_Receita!$T$2:$T$2012,"44621A4Energia horáriaNão se aplicaNão se aplicaNão se aplicaNão se aplicaFora ponta",Mercado_Receita!$N$2:$N$2012)</f>
        <v>57409.884999999987</v>
      </c>
      <c r="T5" s="14">
        <f>SUMIF(Mercado_Receita!$T$2:$T$2012,"44652A4Energia horáriaNão se aplicaNão se aplicaNão se aplicaNão se aplicaFora ponta",Mercado_Receita!$N$2:$N$2012)</f>
        <v>57409.884999999987</v>
      </c>
      <c r="U5" s="14">
        <f t="shared" si="0"/>
        <v>661995.96299999999</v>
      </c>
      <c r="V5" s="14"/>
      <c r="W5" s="14"/>
    </row>
    <row r="6" spans="1:30" ht="11.25" customHeight="1" x14ac:dyDescent="0.25">
      <c r="A6" s="118"/>
      <c r="B6" s="13" t="s">
        <v>97</v>
      </c>
      <c r="C6" s="13" t="s">
        <v>25</v>
      </c>
      <c r="D6" s="13" t="s">
        <v>25</v>
      </c>
      <c r="E6" s="13" t="s">
        <v>25</v>
      </c>
      <c r="F6" s="13" t="s">
        <v>25</v>
      </c>
      <c r="G6" s="14" t="s">
        <v>96</v>
      </c>
      <c r="H6" s="14" t="s">
        <v>90</v>
      </c>
      <c r="I6" s="14">
        <f>SUMIF(Mercado_Receita!$T$2:$T$2012,"44317A4Energia convencionalNão se aplicaNão se aplicaNão se aplicaNão se aplicaNão se aplica",Mercado_Receita!$N$2:$N$2012)</f>
        <v>0</v>
      </c>
      <c r="J6" s="14">
        <f>SUMIF(Mercado_Receita!$T$2:$T$2012,"44348A4Energia convencionalNão se aplicaNão se aplicaNão se aplicaNão se aplicaNão se aplica",Mercado_Receita!$N$2:$N$2012)</f>
        <v>0</v>
      </c>
      <c r="K6" s="14">
        <f>SUMIF(Mercado_Receita!$T$2:$T$2012,"44378A4Energia convencionalNão se aplicaNão se aplicaNão se aplicaNão se aplicaNão se aplica",Mercado_Receita!$N$2:$N$2012)</f>
        <v>0</v>
      </c>
      <c r="L6" s="14">
        <f>SUMIF(Mercado_Receita!$T$2:$T$2012,"44409A4Energia convencionalNão se aplicaNão se aplicaNão se aplicaNão se aplicaNão se aplica",Mercado_Receita!$N$2:$N$2012)</f>
        <v>0</v>
      </c>
      <c r="M6" s="14">
        <f>SUMIF(Mercado_Receita!$T$2:$T$2012,"44440A4Energia convencionalNão se aplicaNão se aplicaNão se aplicaNão se aplicaNão se aplica",Mercado_Receita!$N$2:$N$2012)</f>
        <v>0</v>
      </c>
      <c r="N6" s="14">
        <f>SUMIF(Mercado_Receita!$T$2:$T$2012,"44470A4Energia convencionalNão se aplicaNão se aplicaNão se aplicaNão se aplicaNão se aplica",Mercado_Receita!$N$2:$N$2012)</f>
        <v>0</v>
      </c>
      <c r="O6" s="14">
        <f>SUMIF(Mercado_Receita!$T$2:$T$2012,"44501A4Energia convencionalNão se aplicaNão se aplicaNão se aplicaNão se aplicaNão se aplica",Mercado_Receita!$N$2:$N$2012)</f>
        <v>0</v>
      </c>
      <c r="P6" s="14">
        <f>SUMIF(Mercado_Receita!$T$2:$T$2012,"44531A4Energia convencionalNão se aplicaNão se aplicaNão se aplicaNão se aplicaNão se aplica",Mercado_Receita!$N$2:$N$2012)</f>
        <v>0</v>
      </c>
      <c r="Q6" s="14">
        <f>SUMIF(Mercado_Receita!$T$2:$T$2012,"44562A4Energia convencionalNão se aplicaNão se aplicaNão se aplicaNão se aplicaNão se aplica",Mercado_Receita!$N$2:$N$2012)</f>
        <v>0</v>
      </c>
      <c r="R6" s="14">
        <f>SUMIF(Mercado_Receita!$T$2:$T$2012,"44593A4Energia convencionalNão se aplicaNão se aplicaNão se aplicaNão se aplicaNão se aplica",Mercado_Receita!$N$2:$N$2012)</f>
        <v>0</v>
      </c>
      <c r="S6" s="14">
        <f>SUMIF(Mercado_Receita!$T$2:$T$2012,"44621A4Energia convencionalNão se aplicaNão se aplicaNão se aplicaNão se aplicaNão se aplica",Mercado_Receita!$N$2:$N$2012)</f>
        <v>0</v>
      </c>
      <c r="T6" s="14">
        <f>SUMIF(Mercado_Receita!$T$2:$T$2012,"44652A4Energia convencionalNão se aplicaNão se aplicaNão se aplicaNão se aplicaNão se aplica",Mercado_Receita!$N$2:$N$2012)</f>
        <v>0</v>
      </c>
      <c r="U6" s="14">
        <f t="shared" si="0"/>
        <v>0</v>
      </c>
      <c r="V6" s="14"/>
      <c r="W6" s="14"/>
    </row>
    <row r="7" spans="1:30" ht="11.25" customHeight="1" x14ac:dyDescent="0.25">
      <c r="A7" s="117" t="s">
        <v>22</v>
      </c>
      <c r="B7" s="117" t="s">
        <v>89</v>
      </c>
      <c r="C7" s="117" t="s">
        <v>24</v>
      </c>
      <c r="D7" s="117" t="s">
        <v>24</v>
      </c>
      <c r="E7" s="117" t="s">
        <v>25</v>
      </c>
      <c r="F7" s="117" t="s">
        <v>25</v>
      </c>
      <c r="G7" s="14" t="s">
        <v>91</v>
      </c>
      <c r="H7" s="14" t="s">
        <v>90</v>
      </c>
      <c r="I7" s="14">
        <f>SUMIF(Mercado_Receita!$T$2:$T$2012,"44317B1Energia horáriaResidencialResidencialNão se aplicaNão se aplicaPonta",Mercado_Receita!$N$2:$N$2012)</f>
        <v>4.742</v>
      </c>
      <c r="J7" s="14">
        <f>SUMIF(Mercado_Receita!$T$2:$T$2012,"44348B1Energia horáriaResidencialResidencialNão se aplicaNão se aplicaPonta",Mercado_Receita!$N$2:$N$2012)</f>
        <v>4.4420000000000002</v>
      </c>
      <c r="K7" s="14">
        <f>SUMIF(Mercado_Receita!$T$2:$T$2012,"44378B1Energia horáriaResidencialResidencialNão se aplicaNão se aplicaPonta",Mercado_Receita!$N$2:$N$2012)</f>
        <v>4.0510000000000002</v>
      </c>
      <c r="L7" s="14">
        <f>SUMIF(Mercado_Receita!$T$2:$T$2012,"44409B1Energia horáriaResidencialResidencialNão se aplicaNão se aplicaPonta",Mercado_Receita!$N$2:$N$2012)</f>
        <v>4.141</v>
      </c>
      <c r="M7" s="14">
        <f>SUMIF(Mercado_Receita!$T$2:$T$2012,"44440B1Energia horáriaResidencialResidencialNão se aplicaNão se aplicaPonta",Mercado_Receita!$N$2:$N$2012)</f>
        <v>3.9389999999999996</v>
      </c>
      <c r="N7" s="14">
        <f>SUMIF(Mercado_Receita!$T$2:$T$2012,"44470B1Energia horáriaResidencialResidencialNão se aplicaNão se aplicaPonta",Mercado_Receita!$N$2:$N$2012)</f>
        <v>4.2729999999999997</v>
      </c>
      <c r="O7" s="14">
        <f>SUMIF(Mercado_Receita!$T$2:$T$2012,"44501B1Energia horáriaResidencialResidencialNão se aplicaNão se aplicaPonta",Mercado_Receita!$N$2:$N$2012)</f>
        <v>3.5359999999999996</v>
      </c>
      <c r="P7" s="14">
        <f>SUMIF(Mercado_Receita!$T$2:$T$2012,"44531B1Energia horáriaResidencialResidencialNão se aplicaNão se aplicaPonta",Mercado_Receita!$N$2:$N$2012)</f>
        <v>4.3099999999999996</v>
      </c>
      <c r="Q7" s="14">
        <f>SUMIF(Mercado_Receita!$T$2:$T$2012,"44562B1Energia horáriaResidencialResidencialNão se aplicaNão se aplicaPonta",Mercado_Receita!$N$2:$N$2012)</f>
        <v>4.2909999999999995</v>
      </c>
      <c r="R7" s="14">
        <f>SUMIF(Mercado_Receita!$T$2:$T$2012,"44593B1Energia horáriaResidencialResidencialNão se aplicaNão se aplicaPonta",Mercado_Receita!$N$2:$N$2012)</f>
        <v>3.923</v>
      </c>
      <c r="S7" s="14">
        <f>SUMIF(Mercado_Receita!$T$2:$T$2012,"44621B1Energia horáriaResidencialResidencialNão se aplicaNão se aplicaPonta",Mercado_Receita!$N$2:$N$2012)</f>
        <v>4.3860000000000001</v>
      </c>
      <c r="T7" s="14">
        <f>SUMIF(Mercado_Receita!$T$2:$T$2012,"44652B1Energia horáriaResidencialResidencialNão se aplicaNão se aplicaPonta",Mercado_Receita!$N$2:$N$2012)</f>
        <v>4.3860000000000001</v>
      </c>
      <c r="U7" s="14">
        <f t="shared" si="0"/>
        <v>50.420000000000009</v>
      </c>
      <c r="V7" s="14"/>
      <c r="W7" s="14"/>
    </row>
    <row r="8" spans="1:30" ht="11.25" customHeight="1" x14ac:dyDescent="0.25">
      <c r="A8" s="118"/>
      <c r="B8" s="118"/>
      <c r="C8" s="118"/>
      <c r="D8" s="118"/>
      <c r="E8" s="118"/>
      <c r="F8" s="118"/>
      <c r="G8" s="14" t="s">
        <v>101</v>
      </c>
      <c r="H8" s="14" t="s">
        <v>90</v>
      </c>
      <c r="I8" s="14">
        <f>SUMIF(Mercado_Receita!$T$2:$T$2012,"44317B1Energia horáriaResidencialResidencialNão se aplicaNão se aplicaIntermediário",Mercado_Receita!$N$2:$N$2012)</f>
        <v>3.4050000000000002</v>
      </c>
      <c r="J8" s="14">
        <f>SUMIF(Mercado_Receita!$T$2:$T$2012,"44348B1Energia horáriaResidencialResidencialNão se aplicaNão se aplicaIntermediário",Mercado_Receita!$N$2:$N$2012)</f>
        <v>3.0710000000000002</v>
      </c>
      <c r="K8" s="14">
        <f>SUMIF(Mercado_Receita!$T$2:$T$2012,"44378B1Energia horáriaResidencialResidencialNão se aplicaNão se aplicaIntermediário",Mercado_Receita!$N$2:$N$2012)</f>
        <v>2.746</v>
      </c>
      <c r="L8" s="14">
        <f>SUMIF(Mercado_Receita!$T$2:$T$2012,"44409B1Energia horáriaResidencialResidencialNão se aplicaNão se aplicaIntermediário",Mercado_Receita!$N$2:$N$2012)</f>
        <v>2.6850000000000001</v>
      </c>
      <c r="M8" s="14">
        <f>SUMIF(Mercado_Receita!$T$2:$T$2012,"44440B1Energia horáriaResidencialResidencialNão se aplicaNão se aplicaIntermediário",Mercado_Receita!$N$2:$N$2012)</f>
        <v>2.6409999999999996</v>
      </c>
      <c r="N8" s="14">
        <f>SUMIF(Mercado_Receita!$T$2:$T$2012,"44470B1Energia horáriaResidencialResidencialNão se aplicaNão se aplicaIntermediário",Mercado_Receita!$N$2:$N$2012)</f>
        <v>3.298</v>
      </c>
      <c r="O8" s="14">
        <f>SUMIF(Mercado_Receita!$T$2:$T$2012,"44501B1Energia horáriaResidencialResidencialNão se aplicaNão se aplicaIntermediário",Mercado_Receita!$N$2:$N$2012)</f>
        <v>2.1449999999999996</v>
      </c>
      <c r="P8" s="14">
        <f>SUMIF(Mercado_Receita!$T$2:$T$2012,"44531B1Energia horáriaResidencialResidencialNão se aplicaNão se aplicaIntermediário",Mercado_Receita!$N$2:$N$2012)</f>
        <v>2.9790000000000005</v>
      </c>
      <c r="Q8" s="14">
        <f>SUMIF(Mercado_Receita!$T$2:$T$2012,"44562B1Energia horáriaResidencialResidencialNão se aplicaNão se aplicaIntermediário",Mercado_Receita!$N$2:$N$2012)</f>
        <v>3.03</v>
      </c>
      <c r="R8" s="14">
        <f>SUMIF(Mercado_Receita!$T$2:$T$2012,"44593B1Energia horáriaResidencialResidencialNão se aplicaNão se aplicaIntermediário",Mercado_Receita!$N$2:$N$2012)</f>
        <v>2.8359999999999999</v>
      </c>
      <c r="S8" s="14">
        <f>SUMIF(Mercado_Receita!$T$2:$T$2012,"44621B1Energia horáriaResidencialResidencialNão se aplicaNão se aplicaIntermediário",Mercado_Receita!$N$2:$N$2012)</f>
        <v>3.0020000000000002</v>
      </c>
      <c r="T8" s="14">
        <f>SUMIF(Mercado_Receita!$T$2:$T$2012,"44652B1Energia horáriaResidencialResidencialNão se aplicaNão se aplicaIntermediário",Mercado_Receita!$N$2:$N$2012)</f>
        <v>3.0020000000000002</v>
      </c>
      <c r="U8" s="14">
        <f t="shared" si="0"/>
        <v>34.840000000000003</v>
      </c>
      <c r="V8" s="14"/>
      <c r="W8" s="14"/>
    </row>
    <row r="9" spans="1:30" ht="11.25" customHeight="1" x14ac:dyDescent="0.25">
      <c r="A9" s="118"/>
      <c r="B9" s="118"/>
      <c r="C9" s="118"/>
      <c r="D9" s="118"/>
      <c r="E9" s="118"/>
      <c r="F9" s="118"/>
      <c r="G9" s="14" t="s">
        <v>92</v>
      </c>
      <c r="H9" s="14" t="s">
        <v>90</v>
      </c>
      <c r="I9" s="14">
        <f>SUMIF(Mercado_Receita!$T$2:$T$2012,"44317B1Energia horáriaResidencialResidencialNão se aplicaNão se aplicaFora ponta",Mercado_Receita!$N$2:$N$2012)</f>
        <v>63.484000000000002</v>
      </c>
      <c r="J9" s="14">
        <f>SUMIF(Mercado_Receita!$T$2:$T$2012,"44348B1Energia horáriaResidencialResidencialNão se aplicaNão se aplicaFora ponta",Mercado_Receita!$N$2:$N$2012)</f>
        <v>54.330000000000005</v>
      </c>
      <c r="K9" s="14">
        <f>SUMIF(Mercado_Receita!$T$2:$T$2012,"44378B1Energia horáriaResidencialResidencialNão se aplicaNão se aplicaFora ponta",Mercado_Receita!$N$2:$N$2012)</f>
        <v>49.982999999999997</v>
      </c>
      <c r="L9" s="14">
        <f>SUMIF(Mercado_Receita!$T$2:$T$2012,"44409B1Energia horáriaResidencialResidencialNão se aplicaNão se aplicaFora ponta",Mercado_Receita!$N$2:$N$2012)</f>
        <v>47.45</v>
      </c>
      <c r="M9" s="14">
        <f>SUMIF(Mercado_Receita!$T$2:$T$2012,"44440B1Energia horáriaResidencialResidencialNão se aplicaNão se aplicaFora ponta",Mercado_Receita!$N$2:$N$2012)</f>
        <v>52.214999999999996</v>
      </c>
      <c r="N9" s="14">
        <f>SUMIF(Mercado_Receita!$T$2:$T$2012,"44470B1Energia horáriaResidencialResidencialNão se aplicaNão se aplicaFora ponta",Mercado_Receita!$N$2:$N$2012)</f>
        <v>55.778000000000006</v>
      </c>
      <c r="O9" s="14">
        <f>SUMIF(Mercado_Receita!$T$2:$T$2012,"44501B1Energia horáriaResidencialResidencialNão se aplicaNão se aplicaFora ponta",Mercado_Receita!$N$2:$N$2012)</f>
        <v>58.318999999999996</v>
      </c>
      <c r="P9" s="14">
        <f>SUMIF(Mercado_Receita!$T$2:$T$2012,"44531B1Energia horáriaResidencialResidencialNão se aplicaNão se aplicaFora ponta",Mercado_Receita!$N$2:$N$2012)</f>
        <v>61.227999999999994</v>
      </c>
      <c r="Q9" s="14">
        <f>SUMIF(Mercado_Receita!$T$2:$T$2012,"44562B1Energia horáriaResidencialResidencialNão se aplicaNão se aplicaFora ponta",Mercado_Receita!$N$2:$N$2012)</f>
        <v>56.645000000000003</v>
      </c>
      <c r="R9" s="14">
        <f>SUMIF(Mercado_Receita!$T$2:$T$2012,"44593B1Energia horáriaResidencialResidencialNão se aplicaNão se aplicaFora ponta",Mercado_Receita!$N$2:$N$2012)</f>
        <v>56.469000000000001</v>
      </c>
      <c r="S9" s="14">
        <f>SUMIF(Mercado_Receita!$T$2:$T$2012,"44621B1Energia horáriaResidencialResidencialNão se aplicaNão se aplicaFora ponta",Mercado_Receita!$N$2:$N$2012)</f>
        <v>60.756999999999998</v>
      </c>
      <c r="T9" s="14">
        <f>SUMIF(Mercado_Receita!$T$2:$T$2012,"44652B1Energia horáriaResidencialResidencialNão se aplicaNão se aplicaFora ponta",Mercado_Receita!$N$2:$N$2012)</f>
        <v>60.756999999999998</v>
      </c>
      <c r="U9" s="14">
        <f t="shared" si="0"/>
        <v>677.41499999999996</v>
      </c>
      <c r="V9" s="14"/>
      <c r="W9" s="14"/>
    </row>
    <row r="10" spans="1:30" ht="11.25" customHeight="1" x14ac:dyDescent="0.25">
      <c r="A10" s="118"/>
      <c r="B10" s="117" t="s">
        <v>97</v>
      </c>
      <c r="C10" s="117" t="s">
        <v>24</v>
      </c>
      <c r="D10" s="13" t="s">
        <v>24</v>
      </c>
      <c r="E10" s="13" t="s">
        <v>25</v>
      </c>
      <c r="F10" s="13" t="s">
        <v>25</v>
      </c>
      <c r="G10" s="14" t="s">
        <v>96</v>
      </c>
      <c r="H10" s="14" t="s">
        <v>90</v>
      </c>
      <c r="I10" s="14">
        <f>SUMIF(Mercado_Receita!$T$2:$T$2012,"44317B1Energia convencionalResidencialResidencialNão se aplicaNão se aplicaNão se aplica",Mercado_Receita!$N$2:$N$2012)</f>
        <v>99737.692999999985</v>
      </c>
      <c r="J10" s="14">
        <f>SUMIF(Mercado_Receita!$T$2:$T$2012,"44348B1Energia convencionalResidencialResidencialNão se aplicaNão se aplicaNão se aplica",Mercado_Receita!$N$2:$N$2012)</f>
        <v>93546.339000000007</v>
      </c>
      <c r="K10" s="14">
        <f>SUMIF(Mercado_Receita!$T$2:$T$2012,"44378B1Energia convencionalResidencialResidencialNão se aplicaNão se aplicaNão se aplica",Mercado_Receita!$N$2:$N$2012)</f>
        <v>87231.982000000004</v>
      </c>
      <c r="L10" s="14">
        <f>SUMIF(Mercado_Receita!$T$2:$T$2012,"44409B1Energia convencionalResidencialResidencialNão se aplicaNão se aplicaNão se aplica",Mercado_Receita!$N$2:$N$2012)</f>
        <v>85075.131999999998</v>
      </c>
      <c r="M10" s="14">
        <f>SUMIF(Mercado_Receita!$T$2:$T$2012,"44440B1Energia convencionalResidencialResidencialNão se aplicaNão se aplicaNão se aplica",Mercado_Receita!$N$2:$N$2012)</f>
        <v>90199.184000000008</v>
      </c>
      <c r="N10" s="14">
        <f>SUMIF(Mercado_Receita!$T$2:$T$2012,"44470B1Energia convencionalResidencialResidencialNão se aplicaNão se aplicaNão se aplica",Mercado_Receita!$N$2:$N$2012)</f>
        <v>96102.093000000008</v>
      </c>
      <c r="O10" s="14">
        <f>SUMIF(Mercado_Receita!$T$2:$T$2012,"44501B1Energia convencionalResidencialResidencialNão se aplicaNão se aplicaNão se aplica",Mercado_Receita!$N$2:$N$2012)</f>
        <v>101770.22100000001</v>
      </c>
      <c r="P10" s="14">
        <f>SUMIF(Mercado_Receita!$T$2:$T$2012,"44531B1Energia convencionalResidencialResidencialNão se aplicaNão se aplicaNão se aplica",Mercado_Receita!$N$2:$N$2012)</f>
        <v>104105.844</v>
      </c>
      <c r="Q10" s="14">
        <f>SUMIF(Mercado_Receita!$T$2:$T$2012,"44562B1Energia convencionalResidencialResidencialNão se aplicaNão se aplicaNão se aplica",Mercado_Receita!$N$2:$N$2012)</f>
        <v>100767.23299999999</v>
      </c>
      <c r="R10" s="14">
        <f>SUMIF(Mercado_Receita!$T$2:$T$2012,"44593B1Energia convencionalResidencialResidencialNão se aplicaNão se aplicaNão se aplica",Mercado_Receita!$N$2:$N$2012)</f>
        <v>97345.963999999993</v>
      </c>
      <c r="S10" s="14">
        <f>SUMIF(Mercado_Receita!$T$2:$T$2012,"44621B1Energia convencionalResidencialResidencialNão se aplicaNão se aplicaNão se aplica",Mercado_Receita!$N$2:$N$2012)</f>
        <v>104562.49500000002</v>
      </c>
      <c r="T10" s="14">
        <f>SUMIF(Mercado_Receita!$T$2:$T$2012,"44652B1Energia convencionalResidencialResidencialNão se aplicaNão se aplicaNão se aplica",Mercado_Receita!$N$2:$N$2012)</f>
        <v>104562.49500000002</v>
      </c>
      <c r="U10" s="14">
        <f t="shared" si="0"/>
        <v>1165006.6750000003</v>
      </c>
      <c r="V10" s="14"/>
      <c r="W10" s="14"/>
    </row>
    <row r="11" spans="1:30" ht="11.25" customHeight="1" x14ac:dyDescent="0.25">
      <c r="A11" s="118"/>
      <c r="B11" s="118"/>
      <c r="C11" s="118"/>
      <c r="D11" s="13" t="s">
        <v>29</v>
      </c>
      <c r="E11" s="13" t="s">
        <v>25</v>
      </c>
      <c r="F11" s="13" t="s">
        <v>25</v>
      </c>
      <c r="G11" s="14" t="s">
        <v>96</v>
      </c>
      <c r="H11" s="14" t="s">
        <v>90</v>
      </c>
      <c r="I11" s="14">
        <f>SUMIF(Mercado_Receita!$T$2:$T$2012,"44317B1Energia convencionalResidencialResidencial baixa renda – faixa 01Não se aplicaNão se aplicaNão se aplica",Mercado_Receita!$N$2:$N$2012)</f>
        <v>10455.143</v>
      </c>
      <c r="J11" s="14">
        <f>SUMIF(Mercado_Receita!$T$2:$T$2012,"44348B1Energia convencionalResidencialResidencial baixa renda – faixa 01Não se aplicaNão se aplicaNão se aplica",Mercado_Receita!$N$2:$N$2012)</f>
        <v>10561.165999999999</v>
      </c>
      <c r="K11" s="14">
        <f>SUMIF(Mercado_Receita!$T$2:$T$2012,"44378B1Energia convencionalResidencialResidencial baixa renda – faixa 01Não se aplicaNão se aplicaNão se aplica",Mercado_Receita!$N$2:$N$2012)</f>
        <v>10647.829</v>
      </c>
      <c r="L11" s="14">
        <f>SUMIF(Mercado_Receita!$T$2:$T$2012,"44409B1Energia convencionalResidencialResidencial baixa renda – faixa 01Não se aplicaNão se aplicaNão se aplica",Mercado_Receita!$N$2:$N$2012)</f>
        <v>10783.445</v>
      </c>
      <c r="M11" s="14">
        <f>SUMIF(Mercado_Receita!$T$2:$T$2012,"44440B1Energia convencionalResidencialResidencial baixa renda – faixa 01Não se aplicaNão se aplicaNão se aplica",Mercado_Receita!$N$2:$N$2012)</f>
        <v>10870.652</v>
      </c>
      <c r="N11" s="14">
        <f>SUMIF(Mercado_Receita!$T$2:$T$2012,"44470B1Energia convencionalResidencialResidencial baixa renda – faixa 01Não se aplicaNão se aplicaNão se aplica",Mercado_Receita!$N$2:$N$2012)</f>
        <v>10861.496999999999</v>
      </c>
      <c r="O11" s="14">
        <f>SUMIF(Mercado_Receita!$T$2:$T$2012,"44501B1Energia convencionalResidencialResidencial baixa renda – faixa 01Não se aplicaNão se aplicaNão se aplica",Mercado_Receita!$N$2:$N$2012)</f>
        <v>10916.983</v>
      </c>
      <c r="P11" s="14">
        <f>SUMIF(Mercado_Receita!$T$2:$T$2012,"44531B1Energia convencionalResidencialResidencial baixa renda – faixa 01Não se aplicaNão se aplicaNão se aplica",Mercado_Receita!$N$2:$N$2012)</f>
        <v>11470.518</v>
      </c>
      <c r="Q11" s="14">
        <f>SUMIF(Mercado_Receita!$T$2:$T$2012,"44562B1Energia convencionalResidencialResidencial baixa renda – faixa 01Não se aplicaNão se aplicaNão se aplica",Mercado_Receita!$N$2:$N$2012)</f>
        <v>12009.77</v>
      </c>
      <c r="R11" s="14">
        <f>SUMIF(Mercado_Receita!$T$2:$T$2012,"44593B1Energia convencionalResidencialResidencial baixa renda – faixa 01Não se aplicaNão se aplicaNão se aplica",Mercado_Receita!$N$2:$N$2012)</f>
        <v>11899.406999999999</v>
      </c>
      <c r="S11" s="14">
        <f>SUMIF(Mercado_Receita!$T$2:$T$2012,"44621B1Energia convencionalResidencialResidencial baixa renda – faixa 01Não se aplicaNão se aplicaNão se aplica",Mercado_Receita!$N$2:$N$2012)</f>
        <v>11920.166999999999</v>
      </c>
      <c r="T11" s="14">
        <f>SUMIF(Mercado_Receita!$T$2:$T$2012,"44652B1Energia convencionalResidencialResidencial baixa renda – faixa 01Não se aplicaNão se aplicaNão se aplica",Mercado_Receita!$N$2:$N$2012)</f>
        <v>11920.166999999999</v>
      </c>
      <c r="U11" s="14">
        <f t="shared" si="0"/>
        <v>134316.74400000001</v>
      </c>
      <c r="V11" s="14"/>
      <c r="W11" s="14"/>
    </row>
    <row r="12" spans="1:30" ht="11.25" customHeight="1" x14ac:dyDescent="0.25">
      <c r="A12" s="118"/>
      <c r="B12" s="118"/>
      <c r="C12" s="118"/>
      <c r="D12" s="13" t="s">
        <v>30</v>
      </c>
      <c r="E12" s="13" t="s">
        <v>25</v>
      </c>
      <c r="F12" s="13" t="s">
        <v>25</v>
      </c>
      <c r="G12" s="14" t="s">
        <v>96</v>
      </c>
      <c r="H12" s="14" t="s">
        <v>90</v>
      </c>
      <c r="I12" s="14">
        <f>SUMIF(Mercado_Receita!$T$2:$T$2012,"44317B1Energia convencionalResidencialResidencial baixa renda – faixa 02Não se aplicaNão se aplicaNão se aplica",Mercado_Receita!$N$2:$N$2012)</f>
        <v>16077.365</v>
      </c>
      <c r="J12" s="14">
        <f>SUMIF(Mercado_Receita!$T$2:$T$2012,"44348B1Energia convencionalResidencialResidencial baixa renda – faixa 02Não se aplicaNão se aplicaNão se aplica",Mercado_Receita!$N$2:$N$2012)</f>
        <v>15612.285</v>
      </c>
      <c r="K12" s="14">
        <f>SUMIF(Mercado_Receita!$T$2:$T$2012,"44378B1Energia convencionalResidencialResidencial baixa renda – faixa 02Não se aplicaNão se aplicaNão se aplica",Mercado_Receita!$N$2:$N$2012)</f>
        <v>14934.215</v>
      </c>
      <c r="L12" s="14">
        <f>SUMIF(Mercado_Receita!$T$2:$T$2012,"44409B1Energia convencionalResidencialResidencial baixa renda – faixa 02Não se aplicaNão se aplicaNão se aplica",Mercado_Receita!$N$2:$N$2012)</f>
        <v>14767.232</v>
      </c>
      <c r="M12" s="14">
        <f>SUMIF(Mercado_Receita!$T$2:$T$2012,"44440B1Energia convencionalResidencialResidencial baixa renda – faixa 02Não se aplicaNão se aplicaNão se aplica",Mercado_Receita!$N$2:$N$2012)</f>
        <v>15543.1</v>
      </c>
      <c r="N12" s="14">
        <f>SUMIF(Mercado_Receita!$T$2:$T$2012,"44470B1Energia convencionalResidencialResidencial baixa renda – faixa 02Não se aplicaNão se aplicaNão se aplica",Mercado_Receita!$N$2:$N$2012)</f>
        <v>16294.031000000001</v>
      </c>
      <c r="O12" s="14">
        <f>SUMIF(Mercado_Receita!$T$2:$T$2012,"44501B1Energia convencionalResidencialResidencial baixa renda – faixa 02Não se aplicaNão se aplicaNão se aplica",Mercado_Receita!$N$2:$N$2012)</f>
        <v>17100.547999999999</v>
      </c>
      <c r="P12" s="14">
        <f>SUMIF(Mercado_Receita!$T$2:$T$2012,"44531B1Energia convencionalResidencialResidencial baixa renda – faixa 02Não se aplicaNão se aplicaNão se aplica",Mercado_Receita!$N$2:$N$2012)</f>
        <v>18353.892</v>
      </c>
      <c r="Q12" s="14">
        <f>SUMIF(Mercado_Receita!$T$2:$T$2012,"44562B1Energia convencionalResidencialResidencial baixa renda – faixa 02Não se aplicaNão se aplicaNão se aplica",Mercado_Receita!$N$2:$N$2012)</f>
        <v>18870.63</v>
      </c>
      <c r="R12" s="14">
        <f>SUMIF(Mercado_Receita!$T$2:$T$2012,"44593B1Energia convencionalResidencialResidencial baixa renda – faixa 02Não se aplicaNão se aplicaNão se aplica",Mercado_Receita!$N$2:$N$2012)</f>
        <v>19059.675999999999</v>
      </c>
      <c r="S12" s="14">
        <f>SUMIF(Mercado_Receita!$T$2:$T$2012,"44621B1Energia convencionalResidencialResidencial baixa renda – faixa 02Não se aplicaNão se aplicaNão se aplica",Mercado_Receita!$N$2:$N$2012)</f>
        <v>20407.688999999998</v>
      </c>
      <c r="T12" s="14">
        <f>SUMIF(Mercado_Receita!$T$2:$T$2012,"44652B1Energia convencionalResidencialResidencial baixa renda – faixa 02Não se aplicaNão se aplicaNão se aplica",Mercado_Receita!$N$2:$N$2012)</f>
        <v>20407.688999999998</v>
      </c>
      <c r="U12" s="14">
        <f t="shared" si="0"/>
        <v>207428.35200000001</v>
      </c>
      <c r="V12" s="14"/>
      <c r="W12" s="14"/>
    </row>
    <row r="13" spans="1:30" ht="11.25" customHeight="1" x14ac:dyDescent="0.25">
      <c r="A13" s="118"/>
      <c r="B13" s="118"/>
      <c r="C13" s="118"/>
      <c r="D13" s="13" t="s">
        <v>31</v>
      </c>
      <c r="E13" s="13" t="s">
        <v>25</v>
      </c>
      <c r="F13" s="13" t="s">
        <v>25</v>
      </c>
      <c r="G13" s="14" t="s">
        <v>96</v>
      </c>
      <c r="H13" s="14" t="s">
        <v>90</v>
      </c>
      <c r="I13" s="14">
        <f>SUMIF(Mercado_Receita!$T$2:$T$2012,"44317B1Energia convencionalResidencialResidencial baixa renda – faixa 03Não se aplicaNão se aplicaNão se aplica",Mercado_Receita!$N$2:$N$2012)</f>
        <v>6241.5249999999996</v>
      </c>
      <c r="J13" s="14">
        <f>SUMIF(Mercado_Receita!$T$2:$T$2012,"44348B1Energia convencionalResidencialResidencial baixa renda – faixa 03Não se aplicaNão se aplicaNão se aplica",Mercado_Receita!$N$2:$N$2012)</f>
        <v>5574.6679999999997</v>
      </c>
      <c r="K13" s="14">
        <f>SUMIF(Mercado_Receita!$T$2:$T$2012,"44378B1Energia convencionalResidencialResidencial baixa renda – faixa 03Não se aplicaNão se aplicaNão se aplica",Mercado_Receita!$N$2:$N$2012)</f>
        <v>4570.7780000000002</v>
      </c>
      <c r="L13" s="14">
        <f>SUMIF(Mercado_Receita!$T$2:$T$2012,"44409B1Energia convencionalResidencialResidencial baixa renda – faixa 03Não se aplicaNão se aplicaNão se aplica",Mercado_Receita!$N$2:$N$2012)</f>
        <v>4280.3370000000004</v>
      </c>
      <c r="M13" s="14">
        <f>SUMIF(Mercado_Receita!$T$2:$T$2012,"44440B1Energia convencionalResidencialResidencial baixa renda – faixa 03Não se aplicaNão se aplicaNão se aplica",Mercado_Receita!$N$2:$N$2012)</f>
        <v>4982.7870000000003</v>
      </c>
      <c r="N13" s="14">
        <f>SUMIF(Mercado_Receita!$T$2:$T$2012,"44470B1Energia convencionalResidencialResidencial baixa renda – faixa 03Não se aplicaNão se aplicaNão se aplica",Mercado_Receita!$N$2:$N$2012)</f>
        <v>5808.45</v>
      </c>
      <c r="O13" s="14">
        <f>SUMIF(Mercado_Receita!$T$2:$T$2012,"44501B1Energia convencionalResidencialResidencial baixa renda – faixa 03Não se aplicaNão se aplicaNão se aplica",Mercado_Receita!$N$2:$N$2012)</f>
        <v>6793.5389999999998</v>
      </c>
      <c r="P13" s="14">
        <f>SUMIF(Mercado_Receita!$T$2:$T$2012,"44531B1Energia convencionalResidencialResidencial baixa renda – faixa 03Não se aplicaNão se aplicaNão se aplica",Mercado_Receita!$N$2:$N$2012)</f>
        <v>7819.826</v>
      </c>
      <c r="Q13" s="14">
        <f>SUMIF(Mercado_Receita!$T$2:$T$2012,"44562B1Energia convencionalResidencialResidencial baixa renda – faixa 03Não se aplicaNão se aplicaNão se aplica",Mercado_Receita!$N$2:$N$2012)</f>
        <v>7863.6009999999997</v>
      </c>
      <c r="R13" s="14">
        <f>SUMIF(Mercado_Receita!$T$2:$T$2012,"44593B1Energia convencionalResidencialResidencial baixa renda – faixa 03Não se aplicaNão se aplicaNão se aplica",Mercado_Receita!$N$2:$N$2012)</f>
        <v>7866.2489999999998</v>
      </c>
      <c r="S13" s="14">
        <f>SUMIF(Mercado_Receita!$T$2:$T$2012,"44621B1Energia convencionalResidencialResidencial baixa renda – faixa 03Não se aplicaNão se aplicaNão se aplica",Mercado_Receita!$N$2:$N$2012)</f>
        <v>9757.3469999999998</v>
      </c>
      <c r="T13" s="14">
        <f>SUMIF(Mercado_Receita!$T$2:$T$2012,"44652B1Energia convencionalResidencialResidencial baixa renda – faixa 03Não se aplicaNão se aplicaNão se aplica",Mercado_Receita!$N$2:$N$2012)</f>
        <v>9757.3469999999998</v>
      </c>
      <c r="U13" s="14">
        <f t="shared" si="0"/>
        <v>81316.453999999983</v>
      </c>
      <c r="V13" s="14"/>
      <c r="W13" s="14"/>
    </row>
    <row r="14" spans="1:30" ht="11.25" customHeight="1" x14ac:dyDescent="0.25">
      <c r="A14" s="118"/>
      <c r="B14" s="118"/>
      <c r="C14" s="118"/>
      <c r="D14" s="13" t="s">
        <v>32</v>
      </c>
      <c r="E14" s="13" t="s">
        <v>25</v>
      </c>
      <c r="F14" s="13" t="s">
        <v>25</v>
      </c>
      <c r="G14" s="14" t="s">
        <v>96</v>
      </c>
      <c r="H14" s="14" t="s">
        <v>90</v>
      </c>
      <c r="I14" s="14">
        <f>SUMIF(Mercado_Receita!$T$2:$T$2012,"44317B1Energia convencionalResidencialResidencial baixa renda – faixa 04Não se aplicaNão se aplicaNão se aplica",Mercado_Receita!$N$2:$N$2012)</f>
        <v>1251.383</v>
      </c>
      <c r="J14" s="14">
        <f>SUMIF(Mercado_Receita!$T$2:$T$2012,"44348B1Energia convencionalResidencialResidencial baixa renda – faixa 04Não se aplicaNão se aplicaNão se aplica",Mercado_Receita!$N$2:$N$2012)</f>
        <v>1007.394</v>
      </c>
      <c r="K14" s="14">
        <f>SUMIF(Mercado_Receita!$T$2:$T$2012,"44378B1Energia convencionalResidencialResidencial baixa renda – faixa 04Não se aplicaNão se aplicaNão se aplica",Mercado_Receita!$N$2:$N$2012)</f>
        <v>-235.30600000000004</v>
      </c>
      <c r="L14" s="14">
        <f>SUMIF(Mercado_Receita!$T$2:$T$2012,"44409B1Energia convencionalResidencialResidencial baixa renda – faixa 04Não se aplicaNão se aplicaNão se aplica",Mercado_Receita!$N$2:$N$2012)</f>
        <v>721.98299999999995</v>
      </c>
      <c r="M14" s="14">
        <f>SUMIF(Mercado_Receita!$T$2:$T$2012,"44440B1Energia convencionalResidencialResidencial baixa renda – faixa 04Não se aplicaNão se aplicaNão se aplica",Mercado_Receita!$N$2:$N$2012)</f>
        <v>886.71199999999999</v>
      </c>
      <c r="N14" s="14">
        <f>SUMIF(Mercado_Receita!$T$2:$T$2012,"44470B1Energia convencionalResidencialResidencial baixa renda – faixa 04Não se aplicaNão se aplicaNão se aplica",Mercado_Receita!$N$2:$N$2012)</f>
        <v>1087.183</v>
      </c>
      <c r="O14" s="14">
        <f>SUMIF(Mercado_Receita!$T$2:$T$2012,"44501B1Energia convencionalResidencialResidencial baixa renda – faixa 04Não se aplicaNão se aplicaNão se aplica",Mercado_Receita!$N$2:$N$2012)</f>
        <v>1353.7639999999999</v>
      </c>
      <c r="P14" s="14">
        <f>SUMIF(Mercado_Receita!$T$2:$T$2012,"44531B1Energia convencionalResidencialResidencial baixa renda – faixa 04Não se aplicaNão se aplicaNão se aplica",Mercado_Receita!$N$2:$N$2012)</f>
        <v>1757.1959999999999</v>
      </c>
      <c r="Q14" s="14">
        <f>SUMIF(Mercado_Receita!$T$2:$T$2012,"44562B1Energia convencionalResidencialResidencial baixa renda – faixa 04Não se aplicaNão se aplicaNão se aplica",Mercado_Receita!$N$2:$N$2012)</f>
        <v>1811.5360000000001</v>
      </c>
      <c r="R14" s="14">
        <f>SUMIF(Mercado_Receita!$T$2:$T$2012,"44593B1Energia convencionalResidencialResidencial baixa renda – faixa 04Não se aplicaNão se aplicaNão se aplica",Mercado_Receita!$N$2:$N$2012)</f>
        <v>1773.5150000000001</v>
      </c>
      <c r="S14" s="14">
        <f>SUMIF(Mercado_Receita!$T$2:$T$2012,"44621B1Energia convencionalResidencialResidencial baixa renda – faixa 04Não se aplicaNão se aplicaNão se aplica",Mercado_Receita!$N$2:$N$2012)</f>
        <v>2266.096</v>
      </c>
      <c r="T14" s="14">
        <f>SUMIF(Mercado_Receita!$T$2:$T$2012,"44652B1Energia convencionalResidencialResidencial baixa renda – faixa 04Não se aplicaNão se aplicaNão se aplica",Mercado_Receita!$N$2:$N$2012)</f>
        <v>2266.096</v>
      </c>
      <c r="U14" s="14">
        <f t="shared" si="0"/>
        <v>15947.552</v>
      </c>
      <c r="V14" s="14"/>
      <c r="W14" s="14"/>
    </row>
    <row r="15" spans="1:30" ht="11.25" customHeight="1" x14ac:dyDescent="0.25">
      <c r="A15" s="118"/>
      <c r="B15" s="117" t="s">
        <v>102</v>
      </c>
      <c r="C15" s="117" t="s">
        <v>24</v>
      </c>
      <c r="D15" s="13" t="s">
        <v>24</v>
      </c>
      <c r="E15" s="13" t="s">
        <v>25</v>
      </c>
      <c r="F15" s="13" t="s">
        <v>25</v>
      </c>
      <c r="G15" s="14" t="s">
        <v>96</v>
      </c>
      <c r="H15" s="14" t="s">
        <v>90</v>
      </c>
      <c r="I15" s="14">
        <f>SUMIF(Mercado_Receita!$T$2:$T$2012,"44317B1Energia convencional pré-pagamentoResidencialResidencialNão se aplicaNão se aplicaNão se aplica",Mercado_Receita!$N$2:$N$2012)</f>
        <v>0</v>
      </c>
      <c r="J15" s="14">
        <f>SUMIF(Mercado_Receita!$T$2:$T$2012,"44348B1Energia convencional pré-pagamentoResidencialResidencialNão se aplicaNão se aplicaNão se aplica",Mercado_Receita!$N$2:$N$2012)</f>
        <v>0</v>
      </c>
      <c r="K15" s="14">
        <f>SUMIF(Mercado_Receita!$T$2:$T$2012,"44378B1Energia convencional pré-pagamentoResidencialResidencialNão se aplicaNão se aplicaNão se aplica",Mercado_Receita!$N$2:$N$2012)</f>
        <v>0</v>
      </c>
      <c r="L15" s="14">
        <f>SUMIF(Mercado_Receita!$T$2:$T$2012,"44409B1Energia convencional pré-pagamentoResidencialResidencialNão se aplicaNão se aplicaNão se aplica",Mercado_Receita!$N$2:$N$2012)</f>
        <v>0</v>
      </c>
      <c r="M15" s="14">
        <f>SUMIF(Mercado_Receita!$T$2:$T$2012,"44440B1Energia convencional pré-pagamentoResidencialResidencialNão se aplicaNão se aplicaNão se aplica",Mercado_Receita!$N$2:$N$2012)</f>
        <v>0</v>
      </c>
      <c r="N15" s="14">
        <f>SUMIF(Mercado_Receita!$T$2:$T$2012,"44470B1Energia convencional pré-pagamentoResidencialResidencialNão se aplicaNão se aplicaNão se aplica",Mercado_Receita!$N$2:$N$2012)</f>
        <v>0</v>
      </c>
      <c r="O15" s="14">
        <f>SUMIF(Mercado_Receita!$T$2:$T$2012,"44501B1Energia convencional pré-pagamentoResidencialResidencialNão se aplicaNão se aplicaNão se aplica",Mercado_Receita!$N$2:$N$2012)</f>
        <v>0</v>
      </c>
      <c r="P15" s="14">
        <f>SUMIF(Mercado_Receita!$T$2:$T$2012,"44531B1Energia convencional pré-pagamentoResidencialResidencialNão se aplicaNão se aplicaNão se aplica",Mercado_Receita!$N$2:$N$2012)</f>
        <v>0</v>
      </c>
      <c r="Q15" s="14">
        <f>SUMIF(Mercado_Receita!$T$2:$T$2012,"44562B1Energia convencional pré-pagamentoResidencialResidencialNão se aplicaNão se aplicaNão se aplica",Mercado_Receita!$N$2:$N$2012)</f>
        <v>0</v>
      </c>
      <c r="R15" s="14">
        <f>SUMIF(Mercado_Receita!$T$2:$T$2012,"44593B1Energia convencional pré-pagamentoResidencialResidencialNão se aplicaNão se aplicaNão se aplica",Mercado_Receita!$N$2:$N$2012)</f>
        <v>0</v>
      </c>
      <c r="S15" s="14">
        <f>SUMIF(Mercado_Receita!$T$2:$T$2012,"44621B1Energia convencional pré-pagamentoResidencialResidencialNão se aplicaNão se aplicaNão se aplica",Mercado_Receita!$N$2:$N$2012)</f>
        <v>0</v>
      </c>
      <c r="T15" s="14">
        <f>SUMIF(Mercado_Receita!$T$2:$T$2012,"44652B1Energia convencional pré-pagamentoResidencialResidencialNão se aplicaNão se aplicaNão se aplica",Mercado_Receita!$N$2:$N$2012)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18"/>
      <c r="B16" s="118"/>
      <c r="C16" s="118"/>
      <c r="D16" s="13" t="s">
        <v>29</v>
      </c>
      <c r="E16" s="13" t="s">
        <v>25</v>
      </c>
      <c r="F16" s="13" t="s">
        <v>25</v>
      </c>
      <c r="G16" s="14" t="s">
        <v>96</v>
      </c>
      <c r="H16" s="14" t="s">
        <v>90</v>
      </c>
      <c r="I16" s="14">
        <f>SUMIF(Mercado_Receita!$T$2:$T$2012,"44317B1Energia convencional pré-pagamentoResidencialResidencial baixa renda – faixa 01Não se aplicaNão se aplicaNão se aplica",Mercado_Receita!$N$2:$N$2012)</f>
        <v>0</v>
      </c>
      <c r="J16" s="14">
        <f>SUMIF(Mercado_Receita!$T$2:$T$2012,"44348B1Energia convencional pré-pagamentoResidencialResidencial baixa renda – faixa 01Não se aplicaNão se aplicaNão se aplica",Mercado_Receita!$N$2:$N$2012)</f>
        <v>0</v>
      </c>
      <c r="K16" s="14">
        <f>SUMIF(Mercado_Receita!$T$2:$T$2012,"44378B1Energia convencional pré-pagamentoResidencialResidencial baixa renda – faixa 01Não se aplicaNão se aplicaNão se aplica",Mercado_Receita!$N$2:$N$2012)</f>
        <v>0</v>
      </c>
      <c r="L16" s="14">
        <f>SUMIF(Mercado_Receita!$T$2:$T$2012,"44409B1Energia convencional pré-pagamentoResidencialResidencial baixa renda – faixa 01Não se aplicaNão se aplicaNão se aplica",Mercado_Receita!$N$2:$N$2012)</f>
        <v>0</v>
      </c>
      <c r="M16" s="14">
        <f>SUMIF(Mercado_Receita!$T$2:$T$2012,"44440B1Energia convencional pré-pagamentoResidencialResidencial baixa renda – faixa 01Não se aplicaNão se aplicaNão se aplica",Mercado_Receita!$N$2:$N$2012)</f>
        <v>0</v>
      </c>
      <c r="N16" s="14">
        <f>SUMIF(Mercado_Receita!$T$2:$T$2012,"44470B1Energia convencional pré-pagamentoResidencialResidencial baixa renda – faixa 01Não se aplicaNão se aplicaNão se aplica",Mercado_Receita!$N$2:$N$2012)</f>
        <v>0</v>
      </c>
      <c r="O16" s="14">
        <f>SUMIF(Mercado_Receita!$T$2:$T$2012,"44501B1Energia convencional pré-pagamentoResidencialResidencial baixa renda – faixa 01Não se aplicaNão se aplicaNão se aplica",Mercado_Receita!$N$2:$N$2012)</f>
        <v>0</v>
      </c>
      <c r="P16" s="14">
        <f>SUMIF(Mercado_Receita!$T$2:$T$2012,"44531B1Energia convencional pré-pagamentoResidencialResidencial baixa renda – faixa 01Não se aplicaNão se aplicaNão se aplica",Mercado_Receita!$N$2:$N$2012)</f>
        <v>0</v>
      </c>
      <c r="Q16" s="14">
        <f>SUMIF(Mercado_Receita!$T$2:$T$2012,"44562B1Energia convencional pré-pagamentoResidencialResidencial baixa renda – faixa 01Não se aplicaNão se aplicaNão se aplica",Mercado_Receita!$N$2:$N$2012)</f>
        <v>0</v>
      </c>
      <c r="R16" s="14">
        <f>SUMIF(Mercado_Receita!$T$2:$T$2012,"44593B1Energia convencional pré-pagamentoResidencialResidencial baixa renda – faixa 01Não se aplicaNão se aplicaNão se aplica",Mercado_Receita!$N$2:$N$2012)</f>
        <v>0</v>
      </c>
      <c r="S16" s="14">
        <f>SUMIF(Mercado_Receita!$T$2:$T$2012,"44621B1Energia convencional pré-pagamentoResidencialResidencial baixa renda – faixa 01Não se aplicaNão se aplicaNão se aplica",Mercado_Receita!$N$2:$N$2012)</f>
        <v>0</v>
      </c>
      <c r="T16" s="14">
        <f>SUMIF(Mercado_Receita!$T$2:$T$2012,"44652B1Energia convencional pré-pagamentoResidencialResidencial baixa renda – faixa 01Não se aplicaNão se aplicaNão se aplica",Mercado_Receita!$N$2:$N$2012)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18"/>
      <c r="B17" s="118"/>
      <c r="C17" s="118"/>
      <c r="D17" s="13" t="s">
        <v>30</v>
      </c>
      <c r="E17" s="13" t="s">
        <v>25</v>
      </c>
      <c r="F17" s="13" t="s">
        <v>25</v>
      </c>
      <c r="G17" s="14" t="s">
        <v>96</v>
      </c>
      <c r="H17" s="14" t="s">
        <v>90</v>
      </c>
      <c r="I17" s="14">
        <f>SUMIF(Mercado_Receita!$T$2:$T$2012,"44317B1Energia convencional pré-pagamentoResidencialResidencial baixa renda – faixa 02Não se aplicaNão se aplicaNão se aplica",Mercado_Receita!$N$2:$N$2012)</f>
        <v>0</v>
      </c>
      <c r="J17" s="14">
        <f>SUMIF(Mercado_Receita!$T$2:$T$2012,"44348B1Energia convencional pré-pagamentoResidencialResidencial baixa renda – faixa 02Não se aplicaNão se aplicaNão se aplica",Mercado_Receita!$N$2:$N$2012)</f>
        <v>0</v>
      </c>
      <c r="K17" s="14">
        <f>SUMIF(Mercado_Receita!$T$2:$T$2012,"44378B1Energia convencional pré-pagamentoResidencialResidencial baixa renda – faixa 02Não se aplicaNão se aplicaNão se aplica",Mercado_Receita!$N$2:$N$2012)</f>
        <v>0</v>
      </c>
      <c r="L17" s="14">
        <f>SUMIF(Mercado_Receita!$T$2:$T$2012,"44409B1Energia convencional pré-pagamentoResidencialResidencial baixa renda – faixa 02Não se aplicaNão se aplicaNão se aplica",Mercado_Receita!$N$2:$N$2012)</f>
        <v>0</v>
      </c>
      <c r="M17" s="14">
        <f>SUMIF(Mercado_Receita!$T$2:$T$2012,"44440B1Energia convencional pré-pagamentoResidencialResidencial baixa renda – faixa 02Não se aplicaNão se aplicaNão se aplica",Mercado_Receita!$N$2:$N$2012)</f>
        <v>0</v>
      </c>
      <c r="N17" s="14">
        <f>SUMIF(Mercado_Receita!$T$2:$T$2012,"44470B1Energia convencional pré-pagamentoResidencialResidencial baixa renda – faixa 02Não se aplicaNão se aplicaNão se aplica",Mercado_Receita!$N$2:$N$2012)</f>
        <v>0</v>
      </c>
      <c r="O17" s="14">
        <f>SUMIF(Mercado_Receita!$T$2:$T$2012,"44501B1Energia convencional pré-pagamentoResidencialResidencial baixa renda – faixa 02Não se aplicaNão se aplicaNão se aplica",Mercado_Receita!$N$2:$N$2012)</f>
        <v>0</v>
      </c>
      <c r="P17" s="14">
        <f>SUMIF(Mercado_Receita!$T$2:$T$2012,"44531B1Energia convencional pré-pagamentoResidencialResidencial baixa renda – faixa 02Não se aplicaNão se aplicaNão se aplica",Mercado_Receita!$N$2:$N$2012)</f>
        <v>0</v>
      </c>
      <c r="Q17" s="14">
        <f>SUMIF(Mercado_Receita!$T$2:$T$2012,"44562B1Energia convencional pré-pagamentoResidencialResidencial baixa renda – faixa 02Não se aplicaNão se aplicaNão se aplica",Mercado_Receita!$N$2:$N$2012)</f>
        <v>0</v>
      </c>
      <c r="R17" s="14">
        <f>SUMIF(Mercado_Receita!$T$2:$T$2012,"44593B1Energia convencional pré-pagamentoResidencialResidencial baixa renda – faixa 02Não se aplicaNão se aplicaNão se aplica",Mercado_Receita!$N$2:$N$2012)</f>
        <v>0</v>
      </c>
      <c r="S17" s="14">
        <f>SUMIF(Mercado_Receita!$T$2:$T$2012,"44621B1Energia convencional pré-pagamentoResidencialResidencial baixa renda – faixa 02Não se aplicaNão se aplicaNão se aplica",Mercado_Receita!$N$2:$N$2012)</f>
        <v>0</v>
      </c>
      <c r="T17" s="14">
        <f>SUMIF(Mercado_Receita!$T$2:$T$2012,"44652B1Energia convencional pré-pagamentoResidencialResidencial baixa renda – faixa 02Não se aplicaNão se aplicaNão se aplica",Mercado_Receita!$N$2:$N$2012)</f>
        <v>0</v>
      </c>
      <c r="U17" s="14">
        <f t="shared" si="0"/>
        <v>0</v>
      </c>
      <c r="V17" s="14"/>
      <c r="W17" s="14"/>
    </row>
    <row r="18" spans="1:23" ht="11.25" customHeight="1" x14ac:dyDescent="0.25">
      <c r="A18" s="118"/>
      <c r="B18" s="118"/>
      <c r="C18" s="118"/>
      <c r="D18" s="13" t="s">
        <v>31</v>
      </c>
      <c r="E18" s="13" t="s">
        <v>25</v>
      </c>
      <c r="F18" s="13" t="s">
        <v>25</v>
      </c>
      <c r="G18" s="14" t="s">
        <v>96</v>
      </c>
      <c r="H18" s="14" t="s">
        <v>90</v>
      </c>
      <c r="I18" s="14">
        <f>SUMIF(Mercado_Receita!$T$2:$T$2012,"44317B1Energia convencional pré-pagamentoResidencialResidencial baixa renda – faixa 03Não se aplicaNão se aplicaNão se aplica",Mercado_Receita!$N$2:$N$2012)</f>
        <v>0</v>
      </c>
      <c r="J18" s="14">
        <f>SUMIF(Mercado_Receita!$T$2:$T$2012,"44348B1Energia convencional pré-pagamentoResidencialResidencial baixa renda – faixa 03Não se aplicaNão se aplicaNão se aplica",Mercado_Receita!$N$2:$N$2012)</f>
        <v>0</v>
      </c>
      <c r="K18" s="14">
        <f>SUMIF(Mercado_Receita!$T$2:$T$2012,"44378B1Energia convencional pré-pagamentoResidencialResidencial baixa renda – faixa 03Não se aplicaNão se aplicaNão se aplica",Mercado_Receita!$N$2:$N$2012)</f>
        <v>0</v>
      </c>
      <c r="L18" s="14">
        <f>SUMIF(Mercado_Receita!$T$2:$T$2012,"44409B1Energia convencional pré-pagamentoResidencialResidencial baixa renda – faixa 03Não se aplicaNão se aplicaNão se aplica",Mercado_Receita!$N$2:$N$2012)</f>
        <v>0</v>
      </c>
      <c r="M18" s="14">
        <f>SUMIF(Mercado_Receita!$T$2:$T$2012,"44440B1Energia convencional pré-pagamentoResidencialResidencial baixa renda – faixa 03Não se aplicaNão se aplicaNão se aplica",Mercado_Receita!$N$2:$N$2012)</f>
        <v>0</v>
      </c>
      <c r="N18" s="14">
        <f>SUMIF(Mercado_Receita!$T$2:$T$2012,"44470B1Energia convencional pré-pagamentoResidencialResidencial baixa renda – faixa 03Não se aplicaNão se aplicaNão se aplica",Mercado_Receita!$N$2:$N$2012)</f>
        <v>0</v>
      </c>
      <c r="O18" s="14">
        <f>SUMIF(Mercado_Receita!$T$2:$T$2012,"44501B1Energia convencional pré-pagamentoResidencialResidencial baixa renda – faixa 03Não se aplicaNão se aplicaNão se aplica",Mercado_Receita!$N$2:$N$2012)</f>
        <v>0</v>
      </c>
      <c r="P18" s="14">
        <f>SUMIF(Mercado_Receita!$T$2:$T$2012,"44531B1Energia convencional pré-pagamentoResidencialResidencial baixa renda – faixa 03Não se aplicaNão se aplicaNão se aplica",Mercado_Receita!$N$2:$N$2012)</f>
        <v>0</v>
      </c>
      <c r="Q18" s="14">
        <f>SUMIF(Mercado_Receita!$T$2:$T$2012,"44562B1Energia convencional pré-pagamentoResidencialResidencial baixa renda – faixa 03Não se aplicaNão se aplicaNão se aplica",Mercado_Receita!$N$2:$N$2012)</f>
        <v>0</v>
      </c>
      <c r="R18" s="14">
        <f>SUMIF(Mercado_Receita!$T$2:$T$2012,"44593B1Energia convencional pré-pagamentoResidencialResidencial baixa renda – faixa 03Não se aplicaNão se aplicaNão se aplica",Mercado_Receita!$N$2:$N$2012)</f>
        <v>0</v>
      </c>
      <c r="S18" s="14">
        <f>SUMIF(Mercado_Receita!$T$2:$T$2012,"44621B1Energia convencional pré-pagamentoResidencialResidencial baixa renda – faixa 03Não se aplicaNão se aplicaNão se aplica",Mercado_Receita!$N$2:$N$2012)</f>
        <v>0</v>
      </c>
      <c r="T18" s="14">
        <f>SUMIF(Mercado_Receita!$T$2:$T$2012,"44652B1Energia convencional pré-pagamentoResidencialResidencial baixa renda – faixa 03Não se aplicaNão se aplicaNão se aplica",Mercado_Receita!$N$2:$N$2012)</f>
        <v>0</v>
      </c>
      <c r="U18" s="14">
        <f t="shared" si="0"/>
        <v>0</v>
      </c>
      <c r="V18" s="14"/>
      <c r="W18" s="14"/>
    </row>
    <row r="19" spans="1:23" ht="11.25" customHeight="1" x14ac:dyDescent="0.25">
      <c r="A19" s="118"/>
      <c r="B19" s="118"/>
      <c r="C19" s="118"/>
      <c r="D19" s="13" t="s">
        <v>32</v>
      </c>
      <c r="E19" s="13" t="s">
        <v>25</v>
      </c>
      <c r="F19" s="13" t="s">
        <v>25</v>
      </c>
      <c r="G19" s="14" t="s">
        <v>96</v>
      </c>
      <c r="H19" s="14" t="s">
        <v>90</v>
      </c>
      <c r="I19" s="14">
        <f>SUMIF(Mercado_Receita!$T$2:$T$2012,"44317B1Energia convencional pré-pagamentoResidencialResidencial baixa renda – faixa 04Não se aplicaNão se aplicaNão se aplica",Mercado_Receita!$N$2:$N$2012)</f>
        <v>0</v>
      </c>
      <c r="J19" s="14">
        <f>SUMIF(Mercado_Receita!$T$2:$T$2012,"44348B1Energia convencional pré-pagamentoResidencialResidencial baixa renda – faixa 04Não se aplicaNão se aplicaNão se aplica",Mercado_Receita!$N$2:$N$2012)</f>
        <v>0</v>
      </c>
      <c r="K19" s="14">
        <f>SUMIF(Mercado_Receita!$T$2:$T$2012,"44378B1Energia convencional pré-pagamentoResidencialResidencial baixa renda – faixa 04Não se aplicaNão se aplicaNão se aplica",Mercado_Receita!$N$2:$N$2012)</f>
        <v>0</v>
      </c>
      <c r="L19" s="14">
        <f>SUMIF(Mercado_Receita!$T$2:$T$2012,"44409B1Energia convencional pré-pagamentoResidencialResidencial baixa renda – faixa 04Não se aplicaNão se aplicaNão se aplica",Mercado_Receita!$N$2:$N$2012)</f>
        <v>0</v>
      </c>
      <c r="M19" s="14">
        <f>SUMIF(Mercado_Receita!$T$2:$T$2012,"44440B1Energia convencional pré-pagamentoResidencialResidencial baixa renda – faixa 04Não se aplicaNão se aplicaNão se aplica",Mercado_Receita!$N$2:$N$2012)</f>
        <v>0</v>
      </c>
      <c r="N19" s="14">
        <f>SUMIF(Mercado_Receita!$T$2:$T$2012,"44470B1Energia convencional pré-pagamentoResidencialResidencial baixa renda – faixa 04Não se aplicaNão se aplicaNão se aplica",Mercado_Receita!$N$2:$N$2012)</f>
        <v>0</v>
      </c>
      <c r="O19" s="14">
        <f>SUMIF(Mercado_Receita!$T$2:$T$2012,"44501B1Energia convencional pré-pagamentoResidencialResidencial baixa renda – faixa 04Não se aplicaNão se aplicaNão se aplica",Mercado_Receita!$N$2:$N$2012)</f>
        <v>0</v>
      </c>
      <c r="P19" s="14">
        <f>SUMIF(Mercado_Receita!$T$2:$T$2012,"44531B1Energia convencional pré-pagamentoResidencialResidencial baixa renda – faixa 04Não se aplicaNão se aplicaNão se aplica",Mercado_Receita!$N$2:$N$2012)</f>
        <v>0</v>
      </c>
      <c r="Q19" s="14">
        <f>SUMIF(Mercado_Receita!$T$2:$T$2012,"44562B1Energia convencional pré-pagamentoResidencialResidencial baixa renda – faixa 04Não se aplicaNão se aplicaNão se aplica",Mercado_Receita!$N$2:$N$2012)</f>
        <v>0</v>
      </c>
      <c r="R19" s="14">
        <f>SUMIF(Mercado_Receita!$T$2:$T$2012,"44593B1Energia convencional pré-pagamentoResidencialResidencial baixa renda – faixa 04Não se aplicaNão se aplicaNão se aplica",Mercado_Receita!$N$2:$N$2012)</f>
        <v>0</v>
      </c>
      <c r="S19" s="14">
        <f>SUMIF(Mercado_Receita!$T$2:$T$2012,"44621B1Energia convencional pré-pagamentoResidencialResidencial baixa renda – faixa 04Não se aplicaNão se aplicaNão se aplica",Mercado_Receita!$N$2:$N$2012)</f>
        <v>0</v>
      </c>
      <c r="T19" s="14">
        <f>SUMIF(Mercado_Receita!$T$2:$T$2012,"44652B1Energia convencional pré-pagamentoResidencialResidencial baixa renda – faixa 04Não se aplicaNão se aplicaNão se aplica",Mercado_Receita!$N$2:$N$2012)</f>
        <v>0</v>
      </c>
      <c r="U19" s="14">
        <f t="shared" si="0"/>
        <v>0</v>
      </c>
      <c r="V19" s="14"/>
      <c r="W19" s="14"/>
    </row>
    <row r="20" spans="1:23" ht="11.25" customHeight="1" x14ac:dyDescent="0.25">
      <c r="A20" s="117" t="s">
        <v>44</v>
      </c>
      <c r="B20" s="117" t="s">
        <v>89</v>
      </c>
      <c r="C20" s="117" t="s">
        <v>45</v>
      </c>
      <c r="D20" s="117" t="s">
        <v>25</v>
      </c>
      <c r="E20" s="117" t="s">
        <v>25</v>
      </c>
      <c r="F20" s="117" t="s">
        <v>25</v>
      </c>
      <c r="G20" s="14" t="s">
        <v>91</v>
      </c>
      <c r="H20" s="14" t="s">
        <v>90</v>
      </c>
      <c r="I20" s="14">
        <f>SUMIF(Mercado_Receita!$T$2:$T$2012,"44317B2Energia horáriaRuralNão se aplicaNão se aplicaNão se aplicaPonta",Mercado_Receita!$N$2:$N$2012)</f>
        <v>0</v>
      </c>
      <c r="J20" s="14">
        <f>SUMIF(Mercado_Receita!$T$2:$T$2012,"44348B2Energia horáriaRuralNão se aplicaNão se aplicaNão se aplicaPonta",Mercado_Receita!$N$2:$N$2012)</f>
        <v>0</v>
      </c>
      <c r="K20" s="14">
        <f>SUMIF(Mercado_Receita!$T$2:$T$2012,"44378B2Energia horáriaRuralNão se aplicaNão se aplicaNão se aplicaPonta",Mercado_Receita!$N$2:$N$2012)</f>
        <v>0</v>
      </c>
      <c r="L20" s="14">
        <f>SUMIF(Mercado_Receita!$T$2:$T$2012,"44409B2Energia horáriaRuralNão se aplicaNão se aplicaNão se aplicaPonta",Mercado_Receita!$N$2:$N$2012)</f>
        <v>0</v>
      </c>
      <c r="M20" s="14">
        <f>SUMIF(Mercado_Receita!$T$2:$T$2012,"44440B2Energia horáriaRuralNão se aplicaNão se aplicaNão se aplicaPonta",Mercado_Receita!$N$2:$N$2012)</f>
        <v>0</v>
      </c>
      <c r="N20" s="14">
        <f>SUMIF(Mercado_Receita!$T$2:$T$2012,"44470B2Energia horáriaRuralNão se aplicaNão se aplicaNão se aplicaPonta",Mercado_Receita!$N$2:$N$2012)</f>
        <v>1E-3</v>
      </c>
      <c r="O20" s="14">
        <f>SUMIF(Mercado_Receita!$T$2:$T$2012,"44501B2Energia horáriaRuralNão se aplicaNão se aplicaNão se aplicaPonta",Mercado_Receita!$N$2:$N$2012)</f>
        <v>1E-3</v>
      </c>
      <c r="P20" s="14">
        <f>SUMIF(Mercado_Receita!$T$2:$T$2012,"44531B2Energia horáriaRuralNão se aplicaNão se aplicaNão se aplicaPonta",Mercado_Receita!$N$2:$N$2012)</f>
        <v>1E-3</v>
      </c>
      <c r="Q20" s="14">
        <f>SUMIF(Mercado_Receita!$T$2:$T$2012,"44562B2Energia horáriaRuralNão se aplicaNão se aplicaNão se aplicaPonta",Mercado_Receita!$N$2:$N$2012)</f>
        <v>0</v>
      </c>
      <c r="R20" s="14">
        <f>SUMIF(Mercado_Receita!$T$2:$T$2012,"44593B2Energia horáriaRuralNão se aplicaNão se aplicaNão se aplicaPonta",Mercado_Receita!$N$2:$N$2012)</f>
        <v>0</v>
      </c>
      <c r="S20" s="14">
        <f>SUMIF(Mercado_Receita!$T$2:$T$2012,"44621B2Energia horáriaRuralNão se aplicaNão se aplicaNão se aplicaPonta",Mercado_Receita!$N$2:$N$2012)</f>
        <v>0</v>
      </c>
      <c r="T20" s="14">
        <f>SUMIF(Mercado_Receita!$T$2:$T$2012,"44652B2Energia horáriaRuralNão se aplicaNão se aplicaNão se aplicaPonta",Mercado_Receita!$N$2:$N$2012)</f>
        <v>0</v>
      </c>
      <c r="U20" s="14">
        <f t="shared" si="0"/>
        <v>3.0000000000000001E-3</v>
      </c>
      <c r="V20" s="14"/>
      <c r="W20" s="14"/>
    </row>
    <row r="21" spans="1:23" ht="11.25" customHeight="1" x14ac:dyDescent="0.25">
      <c r="A21" s="118"/>
      <c r="B21" s="118"/>
      <c r="C21" s="118"/>
      <c r="D21" s="118"/>
      <c r="E21" s="118"/>
      <c r="F21" s="118"/>
      <c r="G21" s="14" t="s">
        <v>101</v>
      </c>
      <c r="H21" s="14" t="s">
        <v>90</v>
      </c>
      <c r="I21" s="14">
        <f>SUMIF(Mercado_Receita!$T$2:$T$2012,"44317B2Energia horáriaRuralNão se aplicaNão se aplicaNão se aplicaIntermediário",Mercado_Receita!$N$2:$N$2012)</f>
        <v>6.0000000000000001E-3</v>
      </c>
      <c r="J21" s="14">
        <f>SUMIF(Mercado_Receita!$T$2:$T$2012,"44348B2Energia horáriaRuralNão se aplicaNão se aplicaNão se aplicaIntermediário",Mercado_Receita!$N$2:$N$2012)</f>
        <v>0</v>
      </c>
      <c r="K21" s="14">
        <f>SUMIF(Mercado_Receita!$T$2:$T$2012,"44378B2Energia horáriaRuralNão se aplicaNão se aplicaNão se aplicaIntermediário",Mercado_Receita!$N$2:$N$2012)</f>
        <v>0</v>
      </c>
      <c r="L21" s="14">
        <f>SUMIF(Mercado_Receita!$T$2:$T$2012,"44409B2Energia horáriaRuralNão se aplicaNão se aplicaNão se aplicaIntermediário",Mercado_Receita!$N$2:$N$2012)</f>
        <v>0</v>
      </c>
      <c r="M21" s="14">
        <f>SUMIF(Mercado_Receita!$T$2:$T$2012,"44440B2Energia horáriaRuralNão se aplicaNão se aplicaNão se aplicaIntermediário",Mercado_Receita!$N$2:$N$2012)</f>
        <v>0</v>
      </c>
      <c r="N21" s="14">
        <f>SUMIF(Mercado_Receita!$T$2:$T$2012,"44470B2Energia horáriaRuralNão se aplicaNão se aplicaNão se aplicaIntermediário",Mercado_Receita!$N$2:$N$2012)</f>
        <v>4.0000000000000001E-3</v>
      </c>
      <c r="O21" s="14">
        <f>SUMIF(Mercado_Receita!$T$2:$T$2012,"44501B2Energia horáriaRuralNão se aplicaNão se aplicaNão se aplicaIntermediário",Mercado_Receita!$N$2:$N$2012)</f>
        <v>1.2999999999999999E-2</v>
      </c>
      <c r="P21" s="14">
        <f>SUMIF(Mercado_Receita!$T$2:$T$2012,"44531B2Energia horáriaRuralNão se aplicaNão se aplicaNão se aplicaIntermediário",Mercado_Receita!$N$2:$N$2012)</f>
        <v>6.0000000000000001E-3</v>
      </c>
      <c r="Q21" s="14">
        <f>SUMIF(Mercado_Receita!$T$2:$T$2012,"44562B2Energia horáriaRuralNão se aplicaNão se aplicaNão se aplicaIntermediário",Mercado_Receita!$N$2:$N$2012)</f>
        <v>0</v>
      </c>
      <c r="R21" s="14">
        <f>SUMIF(Mercado_Receita!$T$2:$T$2012,"44593B2Energia horáriaRuralNão se aplicaNão se aplicaNão se aplicaIntermediário",Mercado_Receita!$N$2:$N$2012)</f>
        <v>0</v>
      </c>
      <c r="S21" s="14">
        <f>SUMIF(Mercado_Receita!$T$2:$T$2012,"44621B2Energia horáriaRuralNão se aplicaNão se aplicaNão se aplicaIntermediário",Mercado_Receita!$N$2:$N$2012)</f>
        <v>1E-3</v>
      </c>
      <c r="T21" s="14">
        <f>SUMIF(Mercado_Receita!$T$2:$T$2012,"44652B2Energia horáriaRuralNão se aplicaNão se aplicaNão se aplicaIntermediário",Mercado_Receita!$N$2:$N$2012)</f>
        <v>1E-3</v>
      </c>
      <c r="U21" s="14">
        <f t="shared" si="0"/>
        <v>3.1E-2</v>
      </c>
      <c r="V21" s="14"/>
      <c r="W21" s="14"/>
    </row>
    <row r="22" spans="1:23" ht="11.25" customHeight="1" x14ac:dyDescent="0.25">
      <c r="A22" s="118"/>
      <c r="B22" s="118"/>
      <c r="C22" s="118"/>
      <c r="D22" s="118"/>
      <c r="E22" s="118"/>
      <c r="F22" s="118"/>
      <c r="G22" s="14" t="s">
        <v>92</v>
      </c>
      <c r="H22" s="14" t="s">
        <v>90</v>
      </c>
      <c r="I22" s="14">
        <f>SUMIF(Mercado_Receita!$T$2:$T$2012,"44317B2Energia horáriaRuralNão se aplicaNão se aplicaNão se aplicaFora ponta",Mercado_Receita!$N$2:$N$2012)</f>
        <v>1.2929999999999999</v>
      </c>
      <c r="J22" s="14">
        <f>SUMIF(Mercado_Receita!$T$2:$T$2012,"44348B2Energia horáriaRuralNão se aplicaNão se aplicaNão se aplicaFora ponta",Mercado_Receita!$N$2:$N$2012)</f>
        <v>0.1</v>
      </c>
      <c r="K22" s="14">
        <f>SUMIF(Mercado_Receita!$T$2:$T$2012,"44378B2Energia horáriaRuralNão se aplicaNão se aplicaNão se aplicaFora ponta",Mercado_Receita!$N$2:$N$2012)</f>
        <v>0.1</v>
      </c>
      <c r="L22" s="14">
        <f>SUMIF(Mercado_Receita!$T$2:$T$2012,"44409B2Energia horáriaRuralNão se aplicaNão se aplicaNão se aplicaFora ponta",Mercado_Receita!$N$2:$N$2012)</f>
        <v>0.1</v>
      </c>
      <c r="M22" s="14">
        <f>SUMIF(Mercado_Receita!$T$2:$T$2012,"44440B2Energia horáriaRuralNão se aplicaNão se aplicaNão se aplicaFora ponta",Mercado_Receita!$N$2:$N$2012)</f>
        <v>0</v>
      </c>
      <c r="N22" s="14">
        <f>SUMIF(Mercado_Receita!$T$2:$T$2012,"44470B2Energia horáriaRuralNão se aplicaNão se aplicaNão se aplicaFora ponta",Mercado_Receita!$N$2:$N$2012)</f>
        <v>1.0640000000000001</v>
      </c>
      <c r="O22" s="14">
        <f>SUMIF(Mercado_Receita!$T$2:$T$2012,"44501B2Energia horáriaRuralNão se aplicaNão se aplicaNão se aplicaFora ponta",Mercado_Receita!$N$2:$N$2012)</f>
        <v>1.5489999999999999</v>
      </c>
      <c r="P22" s="14">
        <f>SUMIF(Mercado_Receita!$T$2:$T$2012,"44531B2Energia horáriaRuralNão se aplicaNão se aplicaNão se aplicaFora ponta",Mercado_Receita!$N$2:$N$2012)</f>
        <v>1.798</v>
      </c>
      <c r="Q22" s="14">
        <f>SUMIF(Mercado_Receita!$T$2:$T$2012,"44562B2Energia horáriaRuralNão se aplicaNão se aplicaNão se aplicaFora ponta",Mercado_Receita!$N$2:$N$2012)</f>
        <v>0.55000000000000004</v>
      </c>
      <c r="R22" s="14">
        <f>SUMIF(Mercado_Receita!$T$2:$T$2012,"44593B2Energia horáriaRuralNão se aplicaNão se aplicaNão se aplicaFora ponta",Mercado_Receita!$N$2:$N$2012)</f>
        <v>0.38300000000000001</v>
      </c>
      <c r="S22" s="14">
        <f>SUMIF(Mercado_Receita!$T$2:$T$2012,"44621B2Energia horáriaRuralNão se aplicaNão se aplicaNão se aplicaFora ponta",Mercado_Receita!$N$2:$N$2012)</f>
        <v>1.01</v>
      </c>
      <c r="T22" s="14">
        <f>SUMIF(Mercado_Receita!$T$2:$T$2012,"44652B2Energia horáriaRuralNão se aplicaNão se aplicaNão se aplicaFora ponta",Mercado_Receita!$N$2:$N$2012)</f>
        <v>1.01</v>
      </c>
      <c r="U22" s="14">
        <f t="shared" si="0"/>
        <v>8.956999999999999</v>
      </c>
      <c r="V22" s="14"/>
      <c r="W22" s="14"/>
    </row>
    <row r="23" spans="1:23" ht="11.25" customHeight="1" x14ac:dyDescent="0.25">
      <c r="A23" s="118"/>
      <c r="B23" s="13" t="s">
        <v>97</v>
      </c>
      <c r="C23" s="13" t="s">
        <v>45</v>
      </c>
      <c r="D23" s="13" t="s">
        <v>25</v>
      </c>
      <c r="E23" s="13" t="s">
        <v>25</v>
      </c>
      <c r="F23" s="13" t="s">
        <v>25</v>
      </c>
      <c r="G23" s="14" t="s">
        <v>96</v>
      </c>
      <c r="H23" s="14" t="s">
        <v>90</v>
      </c>
      <c r="I23" s="14">
        <f>SUMIF(Mercado_Receita!$T$2:$T$2012,"44317B2Energia convencionalRuralNão se aplicaNão se aplicaNão se aplicaNão se aplica",Mercado_Receita!$N$2:$N$2012)</f>
        <v>5761.63</v>
      </c>
      <c r="J23" s="14">
        <f>SUMIF(Mercado_Receita!$T$2:$T$2012,"44348B2Energia convencionalRuralNão se aplicaNão se aplicaNão se aplicaNão se aplica",Mercado_Receita!$N$2:$N$2012)</f>
        <v>4216.01</v>
      </c>
      <c r="K23" s="14">
        <f>SUMIF(Mercado_Receita!$T$2:$T$2012,"44378B2Energia convencionalRuralNão se aplicaNão se aplicaNão se aplicaNão se aplica",Mercado_Receita!$N$2:$N$2012)</f>
        <v>4640.3159999999998</v>
      </c>
      <c r="L23" s="14">
        <f>SUMIF(Mercado_Receita!$T$2:$T$2012,"44409B2Energia convencionalRuralNão se aplicaNão se aplicaNão se aplicaNão se aplica",Mercado_Receita!$N$2:$N$2012)</f>
        <v>4591.0549999999994</v>
      </c>
      <c r="M23" s="14">
        <f>SUMIF(Mercado_Receita!$T$2:$T$2012,"44440B2Energia convencionalRuralNão se aplicaNão se aplicaNão se aplicaNão se aplica",Mercado_Receita!$N$2:$N$2012)</f>
        <v>4939.9659999999994</v>
      </c>
      <c r="N23" s="14">
        <f>SUMIF(Mercado_Receita!$T$2:$T$2012,"44470B2Energia convencionalRuralNão se aplicaNão se aplicaNão se aplicaNão se aplica",Mercado_Receita!$N$2:$N$2012)</f>
        <v>5390.2790000000005</v>
      </c>
      <c r="O23" s="14">
        <f>SUMIF(Mercado_Receita!$T$2:$T$2012,"44501B2Energia convencionalRuralNão se aplicaNão se aplicaNão se aplicaNão se aplica",Mercado_Receita!$N$2:$N$2012)</f>
        <v>5970.1169999999993</v>
      </c>
      <c r="P23" s="14">
        <f>SUMIF(Mercado_Receita!$T$2:$T$2012,"44531B2Energia convencionalRuralNão se aplicaNão se aplicaNão se aplicaNão se aplica",Mercado_Receita!$N$2:$N$2012)</f>
        <v>5658.6460000000006</v>
      </c>
      <c r="Q23" s="14">
        <f>SUMIF(Mercado_Receita!$T$2:$T$2012,"44562B2Energia convencionalRuralNão se aplicaNão se aplicaNão se aplicaNão se aplica",Mercado_Receita!$N$2:$N$2012)</f>
        <v>5008.0559999999996</v>
      </c>
      <c r="R23" s="14">
        <f>SUMIF(Mercado_Receita!$T$2:$T$2012,"44593B2Energia convencionalRuralNão se aplicaNão se aplicaNão se aplicaNão se aplica",Mercado_Receita!$N$2:$N$2012)</f>
        <v>4898.9900000000007</v>
      </c>
      <c r="S23" s="14">
        <f>SUMIF(Mercado_Receita!$T$2:$T$2012,"44621B2Energia convencionalRuralNão se aplicaNão se aplicaNão se aplicaNão se aplica",Mercado_Receita!$N$2:$N$2012)</f>
        <v>4914.6260000000002</v>
      </c>
      <c r="T23" s="14">
        <f>SUMIF(Mercado_Receita!$T$2:$T$2012,"44652B2Energia convencionalRuralNão se aplicaNão se aplicaNão se aplicaNão se aplica",Mercado_Receita!$N$2:$N$2012)</f>
        <v>4914.6260000000002</v>
      </c>
      <c r="U23" s="14">
        <f t="shared" si="0"/>
        <v>60904.316999999995</v>
      </c>
      <c r="V23" s="14"/>
      <c r="W23" s="14"/>
    </row>
    <row r="24" spans="1:23" ht="11.25" customHeight="1" x14ac:dyDescent="0.25">
      <c r="A24" s="118"/>
      <c r="B24" s="117" t="s">
        <v>89</v>
      </c>
      <c r="C24" s="117" t="s">
        <v>45</v>
      </c>
      <c r="D24" s="117" t="s">
        <v>104</v>
      </c>
      <c r="E24" s="117" t="s">
        <v>25</v>
      </c>
      <c r="F24" s="117" t="s">
        <v>25</v>
      </c>
      <c r="G24" s="14" t="s">
        <v>91</v>
      </c>
      <c r="H24" s="14" t="s">
        <v>90</v>
      </c>
      <c r="I24" s="14">
        <f>SUMIF(Mercado_Receita!$T$2:$T$2012,"44317B2Energia horáriaRuralCooperativa de eletrificação ruralNão se aplicaNão se aplicaPonta",Mercado_Receita!$N$2:$N$2012)</f>
        <v>0</v>
      </c>
      <c r="J24" s="14">
        <f>SUMIF(Mercado_Receita!$T$2:$T$2012,"44348B2Energia horáriaRuralCooperativa de eletrificação ruralNão se aplicaNão se aplicaPonta",Mercado_Receita!$N$2:$N$2012)</f>
        <v>0</v>
      </c>
      <c r="K24" s="14">
        <f>SUMIF(Mercado_Receita!$T$2:$T$2012,"44378B2Energia horáriaRuralCooperativa de eletrificação ruralNão se aplicaNão se aplicaPonta",Mercado_Receita!$N$2:$N$2012)</f>
        <v>0</v>
      </c>
      <c r="L24" s="14">
        <f>SUMIF(Mercado_Receita!$T$2:$T$2012,"44409B2Energia horáriaRuralCooperativa de eletrificação ruralNão se aplicaNão se aplicaPonta",Mercado_Receita!$N$2:$N$2012)</f>
        <v>0</v>
      </c>
      <c r="M24" s="14">
        <f>SUMIF(Mercado_Receita!$T$2:$T$2012,"44440B2Energia horáriaRuralCooperativa de eletrificação ruralNão se aplicaNão se aplicaPonta",Mercado_Receita!$N$2:$N$2012)</f>
        <v>0</v>
      </c>
      <c r="N24" s="14">
        <f>SUMIF(Mercado_Receita!$T$2:$T$2012,"44470B2Energia horáriaRuralCooperativa de eletrificação ruralNão se aplicaNão se aplicaPonta",Mercado_Receita!$N$2:$N$2012)</f>
        <v>0</v>
      </c>
      <c r="O24" s="14">
        <f>SUMIF(Mercado_Receita!$T$2:$T$2012,"44501B2Energia horáriaRuralCooperativa de eletrificação ruralNão se aplicaNão se aplicaPonta",Mercado_Receita!$N$2:$N$2012)</f>
        <v>0</v>
      </c>
      <c r="P24" s="14">
        <f>SUMIF(Mercado_Receita!$T$2:$T$2012,"44531B2Energia horáriaRuralCooperativa de eletrificação ruralNão se aplicaNão se aplicaPonta",Mercado_Receita!$N$2:$N$2012)</f>
        <v>0</v>
      </c>
      <c r="Q24" s="14">
        <f>SUMIF(Mercado_Receita!$T$2:$T$2012,"44562B2Energia horáriaRuralCooperativa de eletrificação ruralNão se aplicaNão se aplicaPonta",Mercado_Receita!$N$2:$N$2012)</f>
        <v>0</v>
      </c>
      <c r="R24" s="14">
        <f>SUMIF(Mercado_Receita!$T$2:$T$2012,"44593B2Energia horáriaRuralCooperativa de eletrificação ruralNão se aplicaNão se aplicaPonta",Mercado_Receita!$N$2:$N$2012)</f>
        <v>0</v>
      </c>
      <c r="S24" s="14">
        <f>SUMIF(Mercado_Receita!$T$2:$T$2012,"44621B2Energia horáriaRuralCooperativa de eletrificação ruralNão se aplicaNão se aplicaPonta",Mercado_Receita!$N$2:$N$2012)</f>
        <v>0</v>
      </c>
      <c r="T24" s="14">
        <f>SUMIF(Mercado_Receita!$T$2:$T$2012,"44652B2Energia horáriaRuralCooperativa de eletrificação ruralNão se aplicaNão se aplicaPonta",Mercado_Receita!$N$2:$N$2012)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18"/>
      <c r="B25" s="118"/>
      <c r="C25" s="118"/>
      <c r="D25" s="118"/>
      <c r="E25" s="118"/>
      <c r="F25" s="118"/>
      <c r="G25" s="14" t="s">
        <v>101</v>
      </c>
      <c r="H25" s="14" t="s">
        <v>90</v>
      </c>
      <c r="I25" s="14">
        <f>SUMIF(Mercado_Receita!$T$2:$T$2012,"44317B2Energia horáriaRuralCooperativa de eletrificação ruralNão se aplicaNão se aplicaIntermediário",Mercado_Receita!$N$2:$N$2012)</f>
        <v>0</v>
      </c>
      <c r="J25" s="14">
        <f>SUMIF(Mercado_Receita!$T$2:$T$2012,"44348B2Energia horáriaRuralCooperativa de eletrificação ruralNão se aplicaNão se aplicaIntermediário",Mercado_Receita!$N$2:$N$2012)</f>
        <v>0</v>
      </c>
      <c r="K25" s="14">
        <f>SUMIF(Mercado_Receita!$T$2:$T$2012,"44378B2Energia horáriaRuralCooperativa de eletrificação ruralNão se aplicaNão se aplicaIntermediário",Mercado_Receita!$N$2:$N$2012)</f>
        <v>0</v>
      </c>
      <c r="L25" s="14">
        <f>SUMIF(Mercado_Receita!$T$2:$T$2012,"44409B2Energia horáriaRuralCooperativa de eletrificação ruralNão se aplicaNão se aplicaIntermediário",Mercado_Receita!$N$2:$N$2012)</f>
        <v>0</v>
      </c>
      <c r="M25" s="14">
        <f>SUMIF(Mercado_Receita!$T$2:$T$2012,"44440B2Energia horáriaRuralCooperativa de eletrificação ruralNão se aplicaNão se aplicaIntermediário",Mercado_Receita!$N$2:$N$2012)</f>
        <v>0</v>
      </c>
      <c r="N25" s="14">
        <f>SUMIF(Mercado_Receita!$T$2:$T$2012,"44470B2Energia horáriaRuralCooperativa de eletrificação ruralNão se aplicaNão se aplicaIntermediário",Mercado_Receita!$N$2:$N$2012)</f>
        <v>0</v>
      </c>
      <c r="O25" s="14">
        <f>SUMIF(Mercado_Receita!$T$2:$T$2012,"44501B2Energia horáriaRuralCooperativa de eletrificação ruralNão se aplicaNão se aplicaIntermediário",Mercado_Receita!$N$2:$N$2012)</f>
        <v>0</v>
      </c>
      <c r="P25" s="14">
        <f>SUMIF(Mercado_Receita!$T$2:$T$2012,"44531B2Energia horáriaRuralCooperativa de eletrificação ruralNão se aplicaNão se aplicaIntermediário",Mercado_Receita!$N$2:$N$2012)</f>
        <v>0</v>
      </c>
      <c r="Q25" s="14">
        <f>SUMIF(Mercado_Receita!$T$2:$T$2012,"44562B2Energia horáriaRuralCooperativa de eletrificação ruralNão se aplicaNão se aplicaIntermediário",Mercado_Receita!$N$2:$N$2012)</f>
        <v>0</v>
      </c>
      <c r="R25" s="14">
        <f>SUMIF(Mercado_Receita!$T$2:$T$2012,"44593B2Energia horáriaRuralCooperativa de eletrificação ruralNão se aplicaNão se aplicaIntermediário",Mercado_Receita!$N$2:$N$2012)</f>
        <v>0</v>
      </c>
      <c r="S25" s="14">
        <f>SUMIF(Mercado_Receita!$T$2:$T$2012,"44621B2Energia horáriaRuralCooperativa de eletrificação ruralNão se aplicaNão se aplicaIntermediário",Mercado_Receita!$N$2:$N$2012)</f>
        <v>0</v>
      </c>
      <c r="T25" s="14">
        <f>SUMIF(Mercado_Receita!$T$2:$T$2012,"44652B2Energia horáriaRuralCooperativa de eletrificação ruralNão se aplicaNão se aplicaIntermediário",Mercado_Receita!$N$2:$N$2012)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18"/>
      <c r="B26" s="118"/>
      <c r="C26" s="118"/>
      <c r="D26" s="118"/>
      <c r="E26" s="118"/>
      <c r="F26" s="118"/>
      <c r="G26" s="14" t="s">
        <v>92</v>
      </c>
      <c r="H26" s="14" t="s">
        <v>90</v>
      </c>
      <c r="I26" s="14">
        <f>SUMIF(Mercado_Receita!$T$2:$T$2012,"44317B2Energia horáriaRuralCooperativa de eletrificação ruralNão se aplicaNão se aplicaFora ponta",Mercado_Receita!$N$2:$N$2012)</f>
        <v>0</v>
      </c>
      <c r="J26" s="14">
        <f>SUMIF(Mercado_Receita!$T$2:$T$2012,"44348B2Energia horáriaRuralCooperativa de eletrificação ruralNão se aplicaNão se aplicaFora ponta",Mercado_Receita!$N$2:$N$2012)</f>
        <v>0</v>
      </c>
      <c r="K26" s="14">
        <f>SUMIF(Mercado_Receita!$T$2:$T$2012,"44378B2Energia horáriaRuralCooperativa de eletrificação ruralNão se aplicaNão se aplicaFora ponta",Mercado_Receita!$N$2:$N$2012)</f>
        <v>0</v>
      </c>
      <c r="L26" s="14">
        <f>SUMIF(Mercado_Receita!$T$2:$T$2012,"44409B2Energia horáriaRuralCooperativa de eletrificação ruralNão se aplicaNão se aplicaFora ponta",Mercado_Receita!$N$2:$N$2012)</f>
        <v>0</v>
      </c>
      <c r="M26" s="14">
        <f>SUMIF(Mercado_Receita!$T$2:$T$2012,"44440B2Energia horáriaRuralCooperativa de eletrificação ruralNão se aplicaNão se aplicaFora ponta",Mercado_Receita!$N$2:$N$2012)</f>
        <v>0</v>
      </c>
      <c r="N26" s="14">
        <f>SUMIF(Mercado_Receita!$T$2:$T$2012,"44470B2Energia horáriaRuralCooperativa de eletrificação ruralNão se aplicaNão se aplicaFora ponta",Mercado_Receita!$N$2:$N$2012)</f>
        <v>0</v>
      </c>
      <c r="O26" s="14">
        <f>SUMIF(Mercado_Receita!$T$2:$T$2012,"44501B2Energia horáriaRuralCooperativa de eletrificação ruralNão se aplicaNão se aplicaFora ponta",Mercado_Receita!$N$2:$N$2012)</f>
        <v>0</v>
      </c>
      <c r="P26" s="14">
        <f>SUMIF(Mercado_Receita!$T$2:$T$2012,"44531B2Energia horáriaRuralCooperativa de eletrificação ruralNão se aplicaNão se aplicaFora ponta",Mercado_Receita!$N$2:$N$2012)</f>
        <v>0</v>
      </c>
      <c r="Q26" s="14">
        <f>SUMIF(Mercado_Receita!$T$2:$T$2012,"44562B2Energia horáriaRuralCooperativa de eletrificação ruralNão se aplicaNão se aplicaFora ponta",Mercado_Receita!$N$2:$N$2012)</f>
        <v>0</v>
      </c>
      <c r="R26" s="14">
        <f>SUMIF(Mercado_Receita!$T$2:$T$2012,"44593B2Energia horáriaRuralCooperativa de eletrificação ruralNão se aplicaNão se aplicaFora ponta",Mercado_Receita!$N$2:$N$2012)</f>
        <v>0</v>
      </c>
      <c r="S26" s="14">
        <f>SUMIF(Mercado_Receita!$T$2:$T$2012,"44621B2Energia horáriaRuralCooperativa de eletrificação ruralNão se aplicaNão se aplicaFora ponta",Mercado_Receita!$N$2:$N$2012)</f>
        <v>0</v>
      </c>
      <c r="T26" s="14">
        <f>SUMIF(Mercado_Receita!$T$2:$T$2012,"44652B2Energia horáriaRuralCooperativa de eletrificação ruralNão se aplicaNão se aplicaFora ponta",Mercado_Receita!$N$2:$N$2012)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18"/>
      <c r="B27" s="13" t="s">
        <v>97</v>
      </c>
      <c r="C27" s="13" t="s">
        <v>45</v>
      </c>
      <c r="D27" s="13" t="s">
        <v>104</v>
      </c>
      <c r="E27" s="13" t="s">
        <v>25</v>
      </c>
      <c r="F27" s="13" t="s">
        <v>25</v>
      </c>
      <c r="G27" s="14" t="s">
        <v>96</v>
      </c>
      <c r="H27" s="14" t="s">
        <v>90</v>
      </c>
      <c r="I27" s="14">
        <f>SUMIF(Mercado_Receita!$T$2:$T$2012,"44317B2Energia convencionalRuralCooperativa de eletrificação ruralNão se aplicaNão se aplicaNão se aplica",Mercado_Receita!$N$2:$N$2012)</f>
        <v>0</v>
      </c>
      <c r="J27" s="14">
        <f>SUMIF(Mercado_Receita!$T$2:$T$2012,"44348B2Energia convencionalRuralCooperativa de eletrificação ruralNão se aplicaNão se aplicaNão se aplica",Mercado_Receita!$N$2:$N$2012)</f>
        <v>0</v>
      </c>
      <c r="K27" s="14">
        <f>SUMIF(Mercado_Receita!$T$2:$T$2012,"44378B2Energia convencionalRuralCooperativa de eletrificação ruralNão se aplicaNão se aplicaNão se aplica",Mercado_Receita!$N$2:$N$2012)</f>
        <v>0</v>
      </c>
      <c r="L27" s="14">
        <f>SUMIF(Mercado_Receita!$T$2:$T$2012,"44409B2Energia convencionalRuralCooperativa de eletrificação ruralNão se aplicaNão se aplicaNão se aplica",Mercado_Receita!$N$2:$N$2012)</f>
        <v>0</v>
      </c>
      <c r="M27" s="14">
        <f>SUMIF(Mercado_Receita!$T$2:$T$2012,"44440B2Energia convencionalRuralCooperativa de eletrificação ruralNão se aplicaNão se aplicaNão se aplica",Mercado_Receita!$N$2:$N$2012)</f>
        <v>0</v>
      </c>
      <c r="N27" s="14">
        <f>SUMIF(Mercado_Receita!$T$2:$T$2012,"44470B2Energia convencionalRuralCooperativa de eletrificação ruralNão se aplicaNão se aplicaNão se aplica",Mercado_Receita!$N$2:$N$2012)</f>
        <v>0</v>
      </c>
      <c r="O27" s="14">
        <f>SUMIF(Mercado_Receita!$T$2:$T$2012,"44501B2Energia convencionalRuralCooperativa de eletrificação ruralNão se aplicaNão se aplicaNão se aplica",Mercado_Receita!$N$2:$N$2012)</f>
        <v>0</v>
      </c>
      <c r="P27" s="14">
        <f>SUMIF(Mercado_Receita!$T$2:$T$2012,"44531B2Energia convencionalRuralCooperativa de eletrificação ruralNão se aplicaNão se aplicaNão se aplica",Mercado_Receita!$N$2:$N$2012)</f>
        <v>0</v>
      </c>
      <c r="Q27" s="14">
        <f>SUMIF(Mercado_Receita!$T$2:$T$2012,"44562B2Energia convencionalRuralCooperativa de eletrificação ruralNão se aplicaNão se aplicaNão se aplica",Mercado_Receita!$N$2:$N$2012)</f>
        <v>0</v>
      </c>
      <c r="R27" s="14">
        <f>SUMIF(Mercado_Receita!$T$2:$T$2012,"44593B2Energia convencionalRuralCooperativa de eletrificação ruralNão se aplicaNão se aplicaNão se aplica",Mercado_Receita!$N$2:$N$2012)</f>
        <v>0</v>
      </c>
      <c r="S27" s="14">
        <f>SUMIF(Mercado_Receita!$T$2:$T$2012,"44621B2Energia convencionalRuralCooperativa de eletrificação ruralNão se aplicaNão se aplicaNão se aplica",Mercado_Receita!$N$2:$N$2012)</f>
        <v>0</v>
      </c>
      <c r="T27" s="14">
        <f>SUMIF(Mercado_Receita!$T$2:$T$2012,"44652B2Energia convencionalRuralCooperativa de eletrificação ruralNão se aplicaNão se aplicaNão se aplica",Mercado_Receita!$N$2:$N$2012)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18"/>
      <c r="B28" s="117" t="s">
        <v>89</v>
      </c>
      <c r="C28" s="117" t="s">
        <v>45</v>
      </c>
      <c r="D28" s="117" t="s">
        <v>105</v>
      </c>
      <c r="E28" s="117" t="s">
        <v>25</v>
      </c>
      <c r="F28" s="117" t="s">
        <v>25</v>
      </c>
      <c r="G28" s="14" t="s">
        <v>91</v>
      </c>
      <c r="H28" s="14" t="s">
        <v>90</v>
      </c>
      <c r="I28" s="14">
        <f>SUMIF(Mercado_Receita!$T$2:$T$2012,"44317B2Energia horáriaRuralServiço público de irrigação ruralNão se aplicaNão se aplicaPonta",Mercado_Receita!$N$2:$N$2012)</f>
        <v>0</v>
      </c>
      <c r="J28" s="14">
        <f>SUMIF(Mercado_Receita!$T$2:$T$2012,"44348B2Energia horáriaRuralServiço público de irrigação ruralNão se aplicaNão se aplicaPonta",Mercado_Receita!$N$2:$N$2012)</f>
        <v>0</v>
      </c>
      <c r="K28" s="14">
        <f>SUMIF(Mercado_Receita!$T$2:$T$2012,"44378B2Energia horáriaRuralServiço público de irrigação ruralNão se aplicaNão se aplicaPonta",Mercado_Receita!$N$2:$N$2012)</f>
        <v>0</v>
      </c>
      <c r="L28" s="14">
        <f>SUMIF(Mercado_Receita!$T$2:$T$2012,"44409B2Energia horáriaRuralServiço público de irrigação ruralNão se aplicaNão se aplicaPonta",Mercado_Receita!$N$2:$N$2012)</f>
        <v>0</v>
      </c>
      <c r="M28" s="14">
        <f>SUMIF(Mercado_Receita!$T$2:$T$2012,"44440B2Energia horáriaRuralServiço público de irrigação ruralNão se aplicaNão se aplicaPonta",Mercado_Receita!$N$2:$N$2012)</f>
        <v>0</v>
      </c>
      <c r="N28" s="14">
        <f>SUMIF(Mercado_Receita!$T$2:$T$2012,"44470B2Energia horáriaRuralServiço público de irrigação ruralNão se aplicaNão se aplicaPonta",Mercado_Receita!$N$2:$N$2012)</f>
        <v>0</v>
      </c>
      <c r="O28" s="14">
        <f>SUMIF(Mercado_Receita!$T$2:$T$2012,"44501B2Energia horáriaRuralServiço público de irrigação ruralNão se aplicaNão se aplicaPonta",Mercado_Receita!$N$2:$N$2012)</f>
        <v>0</v>
      </c>
      <c r="P28" s="14">
        <f>SUMIF(Mercado_Receita!$T$2:$T$2012,"44531B2Energia horáriaRuralServiço público de irrigação ruralNão se aplicaNão se aplicaPonta",Mercado_Receita!$N$2:$N$2012)</f>
        <v>0</v>
      </c>
      <c r="Q28" s="14">
        <f>SUMIF(Mercado_Receita!$T$2:$T$2012,"44562B2Energia horáriaRuralServiço público de irrigação ruralNão se aplicaNão se aplicaPonta",Mercado_Receita!$N$2:$N$2012)</f>
        <v>0</v>
      </c>
      <c r="R28" s="14">
        <f>SUMIF(Mercado_Receita!$T$2:$T$2012,"44593B2Energia horáriaRuralServiço público de irrigação ruralNão se aplicaNão se aplicaPonta",Mercado_Receita!$N$2:$N$2012)</f>
        <v>0</v>
      </c>
      <c r="S28" s="14">
        <f>SUMIF(Mercado_Receita!$T$2:$T$2012,"44621B2Energia horáriaRuralServiço público de irrigação ruralNão se aplicaNão se aplicaPonta",Mercado_Receita!$N$2:$N$2012)</f>
        <v>0</v>
      </c>
      <c r="T28" s="14">
        <f>SUMIF(Mercado_Receita!$T$2:$T$2012,"44652B2Energia horáriaRuralServiço público de irrigação ruralNão se aplicaNão se aplicaPonta",Mercado_Receita!$N$2:$N$2012)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18"/>
      <c r="B29" s="118"/>
      <c r="C29" s="118"/>
      <c r="D29" s="118"/>
      <c r="E29" s="118"/>
      <c r="F29" s="118"/>
      <c r="G29" s="14" t="s">
        <v>101</v>
      </c>
      <c r="H29" s="14" t="s">
        <v>90</v>
      </c>
      <c r="I29" s="14">
        <f>SUMIF(Mercado_Receita!$T$2:$T$2012,"44317B2Energia horáriaRuralServiço público de irrigação ruralNão se aplicaNão se aplicaIntermediário",Mercado_Receita!$N$2:$N$2012)</f>
        <v>0</v>
      </c>
      <c r="J29" s="14">
        <f>SUMIF(Mercado_Receita!$T$2:$T$2012,"44348B2Energia horáriaRuralServiço público de irrigação ruralNão se aplicaNão se aplicaIntermediário",Mercado_Receita!$N$2:$N$2012)</f>
        <v>0</v>
      </c>
      <c r="K29" s="14">
        <f>SUMIF(Mercado_Receita!$T$2:$T$2012,"44378B2Energia horáriaRuralServiço público de irrigação ruralNão se aplicaNão se aplicaIntermediário",Mercado_Receita!$N$2:$N$2012)</f>
        <v>0</v>
      </c>
      <c r="L29" s="14">
        <f>SUMIF(Mercado_Receita!$T$2:$T$2012,"44409B2Energia horáriaRuralServiço público de irrigação ruralNão se aplicaNão se aplicaIntermediário",Mercado_Receita!$N$2:$N$2012)</f>
        <v>0</v>
      </c>
      <c r="M29" s="14">
        <f>SUMIF(Mercado_Receita!$T$2:$T$2012,"44440B2Energia horáriaRuralServiço público de irrigação ruralNão se aplicaNão se aplicaIntermediário",Mercado_Receita!$N$2:$N$2012)</f>
        <v>0</v>
      </c>
      <c r="N29" s="14">
        <f>SUMIF(Mercado_Receita!$T$2:$T$2012,"44470B2Energia horáriaRuralServiço público de irrigação ruralNão se aplicaNão se aplicaIntermediário",Mercado_Receita!$N$2:$N$2012)</f>
        <v>0</v>
      </c>
      <c r="O29" s="14">
        <f>SUMIF(Mercado_Receita!$T$2:$T$2012,"44501B2Energia horáriaRuralServiço público de irrigação ruralNão se aplicaNão se aplicaIntermediário",Mercado_Receita!$N$2:$N$2012)</f>
        <v>0</v>
      </c>
      <c r="P29" s="14">
        <f>SUMIF(Mercado_Receita!$T$2:$T$2012,"44531B2Energia horáriaRuralServiço público de irrigação ruralNão se aplicaNão se aplicaIntermediário",Mercado_Receita!$N$2:$N$2012)</f>
        <v>0</v>
      </c>
      <c r="Q29" s="14">
        <f>SUMIF(Mercado_Receita!$T$2:$T$2012,"44562B2Energia horáriaRuralServiço público de irrigação ruralNão se aplicaNão se aplicaIntermediário",Mercado_Receita!$N$2:$N$2012)</f>
        <v>0</v>
      </c>
      <c r="R29" s="14">
        <f>SUMIF(Mercado_Receita!$T$2:$T$2012,"44593B2Energia horáriaRuralServiço público de irrigação ruralNão se aplicaNão se aplicaIntermediário",Mercado_Receita!$N$2:$N$2012)</f>
        <v>0</v>
      </c>
      <c r="S29" s="14">
        <f>SUMIF(Mercado_Receita!$T$2:$T$2012,"44621B2Energia horáriaRuralServiço público de irrigação ruralNão se aplicaNão se aplicaIntermediário",Mercado_Receita!$N$2:$N$2012)</f>
        <v>0</v>
      </c>
      <c r="T29" s="14">
        <f>SUMIF(Mercado_Receita!$T$2:$T$2012,"44652B2Energia horáriaRuralServiço público de irrigação ruralNão se aplicaNão se aplicaIntermediário",Mercado_Receita!$N$2:$N$2012)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18"/>
      <c r="B30" s="118"/>
      <c r="C30" s="118"/>
      <c r="D30" s="118"/>
      <c r="E30" s="118"/>
      <c r="F30" s="118"/>
      <c r="G30" s="14" t="s">
        <v>92</v>
      </c>
      <c r="H30" s="14" t="s">
        <v>90</v>
      </c>
      <c r="I30" s="14">
        <f>SUMIF(Mercado_Receita!$T$2:$T$2012,"44317B2Energia horáriaRuralServiço público de irrigação ruralNão se aplicaNão se aplicaFora ponta",Mercado_Receita!$N$2:$N$2012)</f>
        <v>0</v>
      </c>
      <c r="J30" s="14">
        <f>SUMIF(Mercado_Receita!$T$2:$T$2012,"44348B2Energia horáriaRuralServiço público de irrigação ruralNão se aplicaNão se aplicaFora ponta",Mercado_Receita!$N$2:$N$2012)</f>
        <v>0</v>
      </c>
      <c r="K30" s="14">
        <f>SUMIF(Mercado_Receita!$T$2:$T$2012,"44378B2Energia horáriaRuralServiço público de irrigação ruralNão se aplicaNão se aplicaFora ponta",Mercado_Receita!$N$2:$N$2012)</f>
        <v>0</v>
      </c>
      <c r="L30" s="14">
        <f>SUMIF(Mercado_Receita!$T$2:$T$2012,"44409B2Energia horáriaRuralServiço público de irrigação ruralNão se aplicaNão se aplicaFora ponta",Mercado_Receita!$N$2:$N$2012)</f>
        <v>0</v>
      </c>
      <c r="M30" s="14">
        <f>SUMIF(Mercado_Receita!$T$2:$T$2012,"44440B2Energia horáriaRuralServiço público de irrigação ruralNão se aplicaNão se aplicaFora ponta",Mercado_Receita!$N$2:$N$2012)</f>
        <v>0</v>
      </c>
      <c r="N30" s="14">
        <f>SUMIF(Mercado_Receita!$T$2:$T$2012,"44470B2Energia horáriaRuralServiço público de irrigação ruralNão se aplicaNão se aplicaFora ponta",Mercado_Receita!$N$2:$N$2012)</f>
        <v>0</v>
      </c>
      <c r="O30" s="14">
        <f>SUMIF(Mercado_Receita!$T$2:$T$2012,"44501B2Energia horáriaRuralServiço público de irrigação ruralNão se aplicaNão se aplicaFora ponta",Mercado_Receita!$N$2:$N$2012)</f>
        <v>0</v>
      </c>
      <c r="P30" s="14">
        <f>SUMIF(Mercado_Receita!$T$2:$T$2012,"44531B2Energia horáriaRuralServiço público de irrigação ruralNão se aplicaNão se aplicaFora ponta",Mercado_Receita!$N$2:$N$2012)</f>
        <v>0</v>
      </c>
      <c r="Q30" s="14">
        <f>SUMIF(Mercado_Receita!$T$2:$T$2012,"44562B2Energia horáriaRuralServiço público de irrigação ruralNão se aplicaNão se aplicaFora ponta",Mercado_Receita!$N$2:$N$2012)</f>
        <v>0</v>
      </c>
      <c r="R30" s="14">
        <f>SUMIF(Mercado_Receita!$T$2:$T$2012,"44593B2Energia horáriaRuralServiço público de irrigação ruralNão se aplicaNão se aplicaFora ponta",Mercado_Receita!$N$2:$N$2012)</f>
        <v>0</v>
      </c>
      <c r="S30" s="14">
        <f>SUMIF(Mercado_Receita!$T$2:$T$2012,"44621B2Energia horáriaRuralServiço público de irrigação ruralNão se aplicaNão se aplicaFora ponta",Mercado_Receita!$N$2:$N$2012)</f>
        <v>0</v>
      </c>
      <c r="T30" s="14">
        <f>SUMIF(Mercado_Receita!$T$2:$T$2012,"44652B2Energia horáriaRuralServiço público de irrigação ruralNão se aplicaNão se aplicaFora ponta",Mercado_Receita!$N$2:$N$2012)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18"/>
      <c r="B31" s="13" t="s">
        <v>97</v>
      </c>
      <c r="C31" s="13" t="s">
        <v>45</v>
      </c>
      <c r="D31" s="13" t="s">
        <v>105</v>
      </c>
      <c r="E31" s="13" t="s">
        <v>25</v>
      </c>
      <c r="F31" s="13" t="s">
        <v>25</v>
      </c>
      <c r="G31" s="14" t="s">
        <v>96</v>
      </c>
      <c r="H31" s="14" t="s">
        <v>90</v>
      </c>
      <c r="I31" s="14">
        <f>SUMIF(Mercado_Receita!$T$2:$T$2012,"44317B2Energia convencionalRuralServiço público de irrigação ruralNão se aplicaNão se aplicaNão se aplica",Mercado_Receita!$N$2:$N$2012)</f>
        <v>0</v>
      </c>
      <c r="J31" s="14">
        <f>SUMIF(Mercado_Receita!$T$2:$T$2012,"44348B2Energia convencionalRuralServiço público de irrigação ruralNão se aplicaNão se aplicaNão se aplica",Mercado_Receita!$N$2:$N$2012)</f>
        <v>0</v>
      </c>
      <c r="K31" s="14">
        <f>SUMIF(Mercado_Receita!$T$2:$T$2012,"44378B2Energia convencionalRuralServiço público de irrigação ruralNão se aplicaNão se aplicaNão se aplica",Mercado_Receita!$N$2:$N$2012)</f>
        <v>0</v>
      </c>
      <c r="L31" s="14">
        <f>SUMIF(Mercado_Receita!$T$2:$T$2012,"44409B2Energia convencionalRuralServiço público de irrigação ruralNão se aplicaNão se aplicaNão se aplica",Mercado_Receita!$N$2:$N$2012)</f>
        <v>0</v>
      </c>
      <c r="M31" s="14">
        <f>SUMIF(Mercado_Receita!$T$2:$T$2012,"44440B2Energia convencionalRuralServiço público de irrigação ruralNão se aplicaNão se aplicaNão se aplica",Mercado_Receita!$N$2:$N$2012)</f>
        <v>0</v>
      </c>
      <c r="N31" s="14">
        <f>SUMIF(Mercado_Receita!$T$2:$T$2012,"44470B2Energia convencionalRuralServiço público de irrigação ruralNão se aplicaNão se aplicaNão se aplica",Mercado_Receita!$N$2:$N$2012)</f>
        <v>0</v>
      </c>
      <c r="O31" s="14">
        <f>SUMIF(Mercado_Receita!$T$2:$T$2012,"44501B2Energia convencionalRuralServiço público de irrigação ruralNão se aplicaNão se aplicaNão se aplica",Mercado_Receita!$N$2:$N$2012)</f>
        <v>0</v>
      </c>
      <c r="P31" s="14">
        <f>SUMIF(Mercado_Receita!$T$2:$T$2012,"44531B2Energia convencionalRuralServiço público de irrigação ruralNão se aplicaNão se aplicaNão se aplica",Mercado_Receita!$N$2:$N$2012)</f>
        <v>0</v>
      </c>
      <c r="Q31" s="14">
        <f>SUMIF(Mercado_Receita!$T$2:$T$2012,"44562B2Energia convencionalRuralServiço público de irrigação ruralNão se aplicaNão se aplicaNão se aplica",Mercado_Receita!$N$2:$N$2012)</f>
        <v>0</v>
      </c>
      <c r="R31" s="14">
        <f>SUMIF(Mercado_Receita!$T$2:$T$2012,"44593B2Energia convencionalRuralServiço público de irrigação ruralNão se aplicaNão se aplicaNão se aplica",Mercado_Receita!$N$2:$N$2012)</f>
        <v>0</v>
      </c>
      <c r="S31" s="14">
        <f>SUMIF(Mercado_Receita!$T$2:$T$2012,"44621B2Energia convencionalRuralServiço público de irrigação ruralNão se aplicaNão se aplicaNão se aplica",Mercado_Receita!$N$2:$N$2012)</f>
        <v>0</v>
      </c>
      <c r="T31" s="14">
        <f>SUMIF(Mercado_Receita!$T$2:$T$2012,"44652B2Energia convencionalRuralServiço público de irrigação ruralNão se aplicaNão se aplicaNão se aplica",Mercado_Receita!$N$2:$N$2012)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18"/>
      <c r="B32" s="117" t="s">
        <v>102</v>
      </c>
      <c r="C32" s="117" t="s">
        <v>45</v>
      </c>
      <c r="D32" s="13" t="s">
        <v>25</v>
      </c>
      <c r="E32" s="13" t="s">
        <v>25</v>
      </c>
      <c r="F32" s="13" t="s">
        <v>25</v>
      </c>
      <c r="G32" s="14" t="s">
        <v>96</v>
      </c>
      <c r="H32" s="14" t="s">
        <v>90</v>
      </c>
      <c r="I32" s="14">
        <f>SUMIF(Mercado_Receita!$T$2:$T$2012,"44317B2Energia convencional pré-pagamentoRuralNão se aplicaNão se aplicaNão se aplicaNão se aplica",Mercado_Receita!$N$2:$N$2012)</f>
        <v>0</v>
      </c>
      <c r="J32" s="14">
        <f>SUMIF(Mercado_Receita!$T$2:$T$2012,"44348B2Energia convencional pré-pagamentoRuralNão se aplicaNão se aplicaNão se aplicaNão se aplica",Mercado_Receita!$N$2:$N$2012)</f>
        <v>0</v>
      </c>
      <c r="K32" s="14">
        <f>SUMIF(Mercado_Receita!$T$2:$T$2012,"44378B2Energia convencional pré-pagamentoRuralNão se aplicaNão se aplicaNão se aplicaNão se aplica",Mercado_Receita!$N$2:$N$2012)</f>
        <v>0</v>
      </c>
      <c r="L32" s="14">
        <f>SUMIF(Mercado_Receita!$T$2:$T$2012,"44409B2Energia convencional pré-pagamentoRuralNão se aplicaNão se aplicaNão se aplicaNão se aplica",Mercado_Receita!$N$2:$N$2012)</f>
        <v>0</v>
      </c>
      <c r="M32" s="14">
        <f>SUMIF(Mercado_Receita!$T$2:$T$2012,"44440B2Energia convencional pré-pagamentoRuralNão se aplicaNão se aplicaNão se aplicaNão se aplica",Mercado_Receita!$N$2:$N$2012)</f>
        <v>0</v>
      </c>
      <c r="N32" s="14">
        <f>SUMIF(Mercado_Receita!$T$2:$T$2012,"44470B2Energia convencional pré-pagamentoRuralNão se aplicaNão se aplicaNão se aplicaNão se aplica",Mercado_Receita!$N$2:$N$2012)</f>
        <v>0</v>
      </c>
      <c r="O32" s="14">
        <f>SUMIF(Mercado_Receita!$T$2:$T$2012,"44501B2Energia convencional pré-pagamentoRuralNão se aplicaNão se aplicaNão se aplicaNão se aplica",Mercado_Receita!$N$2:$N$2012)</f>
        <v>0</v>
      </c>
      <c r="P32" s="14">
        <f>SUMIF(Mercado_Receita!$T$2:$T$2012,"44531B2Energia convencional pré-pagamentoRuralNão se aplicaNão se aplicaNão se aplicaNão se aplica",Mercado_Receita!$N$2:$N$2012)</f>
        <v>0</v>
      </c>
      <c r="Q32" s="14">
        <f>SUMIF(Mercado_Receita!$T$2:$T$2012,"44562B2Energia convencional pré-pagamentoRuralNão se aplicaNão se aplicaNão se aplicaNão se aplica",Mercado_Receita!$N$2:$N$2012)</f>
        <v>0</v>
      </c>
      <c r="R32" s="14">
        <f>SUMIF(Mercado_Receita!$T$2:$T$2012,"44593B2Energia convencional pré-pagamentoRuralNão se aplicaNão se aplicaNão se aplicaNão se aplica",Mercado_Receita!$N$2:$N$2012)</f>
        <v>0</v>
      </c>
      <c r="S32" s="14">
        <f>SUMIF(Mercado_Receita!$T$2:$T$2012,"44621B2Energia convencional pré-pagamentoRuralNão se aplicaNão se aplicaNão se aplicaNão se aplica",Mercado_Receita!$N$2:$N$2012)</f>
        <v>0</v>
      </c>
      <c r="T32" s="14">
        <f>SUMIF(Mercado_Receita!$T$2:$T$2012,"44652B2Energia convencional pré-pagamentoRuralNão se aplicaNão se aplicaNão se aplicaNão se aplica",Mercado_Receita!$N$2:$N$2012)</f>
        <v>0</v>
      </c>
      <c r="U32" s="14">
        <f t="shared" si="0"/>
        <v>0</v>
      </c>
      <c r="V32" s="14"/>
      <c r="W32" s="14"/>
    </row>
    <row r="33" spans="1:23" ht="11.25" customHeight="1" x14ac:dyDescent="0.25">
      <c r="A33" s="118"/>
      <c r="B33" s="118"/>
      <c r="C33" s="118"/>
      <c r="D33" s="13" t="s">
        <v>104</v>
      </c>
      <c r="E33" s="13" t="s">
        <v>25</v>
      </c>
      <c r="F33" s="13" t="s">
        <v>25</v>
      </c>
      <c r="G33" s="14" t="s">
        <v>96</v>
      </c>
      <c r="H33" s="14" t="s">
        <v>90</v>
      </c>
      <c r="I33" s="14">
        <f>SUMIF(Mercado_Receita!$T$2:$T$2012,"44317B2Energia convencional pré-pagamentoRuralCooperativa de eletrificação ruralNão se aplicaNão se aplicaNão se aplica",Mercado_Receita!$N$2:$N$2012)</f>
        <v>0</v>
      </c>
      <c r="J33" s="14">
        <f>SUMIF(Mercado_Receita!$T$2:$T$2012,"44348B2Energia convencional pré-pagamentoRuralCooperativa de eletrificação ruralNão se aplicaNão se aplicaNão se aplica",Mercado_Receita!$N$2:$N$2012)</f>
        <v>0</v>
      </c>
      <c r="K33" s="14">
        <f>SUMIF(Mercado_Receita!$T$2:$T$2012,"44378B2Energia convencional pré-pagamentoRuralCooperativa de eletrificação ruralNão se aplicaNão se aplicaNão se aplica",Mercado_Receita!$N$2:$N$2012)</f>
        <v>0</v>
      </c>
      <c r="L33" s="14">
        <f>SUMIF(Mercado_Receita!$T$2:$T$2012,"44409B2Energia convencional pré-pagamentoRuralCooperativa de eletrificação ruralNão se aplicaNão se aplicaNão se aplica",Mercado_Receita!$N$2:$N$2012)</f>
        <v>0</v>
      </c>
      <c r="M33" s="14">
        <f>SUMIF(Mercado_Receita!$T$2:$T$2012,"44440B2Energia convencional pré-pagamentoRuralCooperativa de eletrificação ruralNão se aplicaNão se aplicaNão se aplica",Mercado_Receita!$N$2:$N$2012)</f>
        <v>0</v>
      </c>
      <c r="N33" s="14">
        <f>SUMIF(Mercado_Receita!$T$2:$T$2012,"44470B2Energia convencional pré-pagamentoRuralCooperativa de eletrificação ruralNão se aplicaNão se aplicaNão se aplica",Mercado_Receita!$N$2:$N$2012)</f>
        <v>0</v>
      </c>
      <c r="O33" s="14">
        <f>SUMIF(Mercado_Receita!$T$2:$T$2012,"44501B2Energia convencional pré-pagamentoRuralCooperativa de eletrificação ruralNão se aplicaNão se aplicaNão se aplica",Mercado_Receita!$N$2:$N$2012)</f>
        <v>0</v>
      </c>
      <c r="P33" s="14">
        <f>SUMIF(Mercado_Receita!$T$2:$T$2012,"44531B2Energia convencional pré-pagamentoRuralCooperativa de eletrificação ruralNão se aplicaNão se aplicaNão se aplica",Mercado_Receita!$N$2:$N$2012)</f>
        <v>0</v>
      </c>
      <c r="Q33" s="14">
        <f>SUMIF(Mercado_Receita!$T$2:$T$2012,"44562B2Energia convencional pré-pagamentoRuralCooperativa de eletrificação ruralNão se aplicaNão se aplicaNão se aplica",Mercado_Receita!$N$2:$N$2012)</f>
        <v>0</v>
      </c>
      <c r="R33" s="14">
        <f>SUMIF(Mercado_Receita!$T$2:$T$2012,"44593B2Energia convencional pré-pagamentoRuralCooperativa de eletrificação ruralNão se aplicaNão se aplicaNão se aplica",Mercado_Receita!$N$2:$N$2012)</f>
        <v>0</v>
      </c>
      <c r="S33" s="14">
        <f>SUMIF(Mercado_Receita!$T$2:$T$2012,"44621B2Energia convencional pré-pagamentoRuralCooperativa de eletrificação ruralNão se aplicaNão se aplicaNão se aplica",Mercado_Receita!$N$2:$N$2012)</f>
        <v>0</v>
      </c>
      <c r="T33" s="14">
        <f>SUMIF(Mercado_Receita!$T$2:$T$2012,"44652B2Energia convencional pré-pagamentoRuralCooperativa de eletrificação ruralNão se aplicaNão se aplicaNão se aplica",Mercado_Receita!$N$2:$N$2012)</f>
        <v>0</v>
      </c>
      <c r="U33" s="14">
        <f t="shared" si="0"/>
        <v>0</v>
      </c>
      <c r="V33" s="14"/>
      <c r="W33" s="14"/>
    </row>
    <row r="34" spans="1:23" ht="11.25" customHeight="1" x14ac:dyDescent="0.25">
      <c r="A34" s="118"/>
      <c r="B34" s="118"/>
      <c r="C34" s="118"/>
      <c r="D34" s="13" t="s">
        <v>105</v>
      </c>
      <c r="E34" s="13" t="s">
        <v>25</v>
      </c>
      <c r="F34" s="13" t="s">
        <v>25</v>
      </c>
      <c r="G34" s="14" t="s">
        <v>96</v>
      </c>
      <c r="H34" s="14" t="s">
        <v>90</v>
      </c>
      <c r="I34" s="14">
        <f>SUMIF(Mercado_Receita!$T$2:$T$2012,"44317B2Energia convencional pré-pagamentoRuralServiço público de irrigação ruralNão se aplicaNão se aplicaNão se aplica",Mercado_Receita!$N$2:$N$2012)</f>
        <v>0</v>
      </c>
      <c r="J34" s="14">
        <f>SUMIF(Mercado_Receita!$T$2:$T$2012,"44348B2Energia convencional pré-pagamentoRuralServiço público de irrigação ruralNão se aplicaNão se aplicaNão se aplica",Mercado_Receita!$N$2:$N$2012)</f>
        <v>0</v>
      </c>
      <c r="K34" s="14">
        <f>SUMIF(Mercado_Receita!$T$2:$T$2012,"44378B2Energia convencional pré-pagamentoRuralServiço público de irrigação ruralNão se aplicaNão se aplicaNão se aplica",Mercado_Receita!$N$2:$N$2012)</f>
        <v>0</v>
      </c>
      <c r="L34" s="14">
        <f>SUMIF(Mercado_Receita!$T$2:$T$2012,"44409B2Energia convencional pré-pagamentoRuralServiço público de irrigação ruralNão se aplicaNão se aplicaNão se aplica",Mercado_Receita!$N$2:$N$2012)</f>
        <v>0</v>
      </c>
      <c r="M34" s="14">
        <f>SUMIF(Mercado_Receita!$T$2:$T$2012,"44440B2Energia convencional pré-pagamentoRuralServiço público de irrigação ruralNão se aplicaNão se aplicaNão se aplica",Mercado_Receita!$N$2:$N$2012)</f>
        <v>0</v>
      </c>
      <c r="N34" s="14">
        <f>SUMIF(Mercado_Receita!$T$2:$T$2012,"44470B2Energia convencional pré-pagamentoRuralServiço público de irrigação ruralNão se aplicaNão se aplicaNão se aplica",Mercado_Receita!$N$2:$N$2012)</f>
        <v>0</v>
      </c>
      <c r="O34" s="14">
        <f>SUMIF(Mercado_Receita!$T$2:$T$2012,"44501B2Energia convencional pré-pagamentoRuralServiço público de irrigação ruralNão se aplicaNão se aplicaNão se aplica",Mercado_Receita!$N$2:$N$2012)</f>
        <v>0</v>
      </c>
      <c r="P34" s="14">
        <f>SUMIF(Mercado_Receita!$T$2:$T$2012,"44531B2Energia convencional pré-pagamentoRuralServiço público de irrigação ruralNão se aplicaNão se aplicaNão se aplica",Mercado_Receita!$N$2:$N$2012)</f>
        <v>0</v>
      </c>
      <c r="Q34" s="14">
        <f>SUMIF(Mercado_Receita!$T$2:$T$2012,"44562B2Energia convencional pré-pagamentoRuralServiço público de irrigação ruralNão se aplicaNão se aplicaNão se aplica",Mercado_Receita!$N$2:$N$2012)</f>
        <v>0</v>
      </c>
      <c r="R34" s="14">
        <f>SUMIF(Mercado_Receita!$T$2:$T$2012,"44593B2Energia convencional pré-pagamentoRuralServiço público de irrigação ruralNão se aplicaNão se aplicaNão se aplica",Mercado_Receita!$N$2:$N$2012)</f>
        <v>0</v>
      </c>
      <c r="S34" s="14">
        <f>SUMIF(Mercado_Receita!$T$2:$T$2012,"44621B2Energia convencional pré-pagamentoRuralServiço público de irrigação ruralNão se aplicaNão se aplicaNão se aplica",Mercado_Receita!$N$2:$N$2012)</f>
        <v>0</v>
      </c>
      <c r="T34" s="14">
        <f>SUMIF(Mercado_Receita!$T$2:$T$2012,"44652B2Energia convencional pré-pagamentoRuralServiço público de irrigação ruralNão se aplicaNão se aplicaNão se aplica",Mercado_Receita!$N$2:$N$2012)</f>
        <v>0</v>
      </c>
      <c r="U34" s="14">
        <f t="shared" si="0"/>
        <v>0</v>
      </c>
      <c r="V34" s="14"/>
      <c r="W34" s="14"/>
    </row>
    <row r="35" spans="1:23" ht="11.25" customHeight="1" x14ac:dyDescent="0.25">
      <c r="A35" s="117" t="s">
        <v>39</v>
      </c>
      <c r="B35" s="117" t="s">
        <v>89</v>
      </c>
      <c r="C35" s="117" t="s">
        <v>25</v>
      </c>
      <c r="D35" s="117" t="s">
        <v>25</v>
      </c>
      <c r="E35" s="117" t="s">
        <v>25</v>
      </c>
      <c r="F35" s="117" t="s">
        <v>25</v>
      </c>
      <c r="G35" s="14" t="s">
        <v>91</v>
      </c>
      <c r="H35" s="14" t="s">
        <v>90</v>
      </c>
      <c r="I35" s="14">
        <f>SUMIF(Mercado_Receita!$T$2:$T$2012,"44317B3Energia horáriaNão se aplicaNão se aplicaNão se aplicaNão se aplicaPonta",Mercado_Receita!$N$2:$N$2012)</f>
        <v>11.68</v>
      </c>
      <c r="J35" s="14">
        <f>SUMIF(Mercado_Receita!$T$2:$T$2012,"44348B3Energia horáriaNão se aplicaNão se aplicaNão se aplicaNão se aplicaPonta",Mercado_Receita!$N$2:$N$2012)</f>
        <v>9.6720000000000024</v>
      </c>
      <c r="K35" s="14">
        <f>SUMIF(Mercado_Receita!$T$2:$T$2012,"44378B3Energia horáriaNão se aplicaNão se aplicaNão se aplicaNão se aplicaPonta",Mercado_Receita!$N$2:$N$2012)</f>
        <v>9.3729999999999993</v>
      </c>
      <c r="L35" s="14">
        <f>SUMIF(Mercado_Receita!$T$2:$T$2012,"44409B3Energia horáriaNão se aplicaNão se aplicaNão se aplicaNão se aplicaPonta",Mercado_Receita!$N$2:$N$2012)</f>
        <v>10.043000000000001</v>
      </c>
      <c r="M35" s="14">
        <f>SUMIF(Mercado_Receita!$T$2:$T$2012,"44440B3Energia horáriaNão se aplicaNão se aplicaNão se aplicaNão se aplicaPonta",Mercado_Receita!$N$2:$N$2012)</f>
        <v>9.2909999999999986</v>
      </c>
      <c r="N35" s="14">
        <f>SUMIF(Mercado_Receita!$T$2:$T$2012,"44470B3Energia horáriaNão se aplicaNão se aplicaNão se aplicaNão se aplicaPonta",Mercado_Receita!$N$2:$N$2012)</f>
        <v>11.087</v>
      </c>
      <c r="O35" s="14">
        <f>SUMIF(Mercado_Receita!$T$2:$T$2012,"44501B3Energia horáriaNão se aplicaNão se aplicaNão se aplicaNão se aplicaPonta",Mercado_Receita!$N$2:$N$2012)</f>
        <v>10.104000000000001</v>
      </c>
      <c r="P35" s="14">
        <f>SUMIF(Mercado_Receita!$T$2:$T$2012,"44531B3Energia horáriaNão se aplicaNão se aplicaNão se aplicaNão se aplicaPonta",Mercado_Receita!$N$2:$N$2012)</f>
        <v>12.464</v>
      </c>
      <c r="Q35" s="14">
        <f>SUMIF(Mercado_Receita!$T$2:$T$2012,"44562B3Energia horáriaNão se aplicaNão se aplicaNão se aplicaNão se aplicaPonta",Mercado_Receita!$N$2:$N$2012)</f>
        <v>11.941000000000001</v>
      </c>
      <c r="R35" s="14">
        <f>SUMIF(Mercado_Receita!$T$2:$T$2012,"44593B3Energia horáriaNão se aplicaNão se aplicaNão se aplicaNão se aplicaPonta",Mercado_Receita!$N$2:$N$2012)</f>
        <v>11.9</v>
      </c>
      <c r="S35" s="14">
        <f>SUMIF(Mercado_Receita!$T$2:$T$2012,"44621B3Energia horáriaNão se aplicaNão se aplicaNão se aplicaNão se aplicaPonta",Mercado_Receita!$N$2:$N$2012)</f>
        <v>13.138999999999998</v>
      </c>
      <c r="T35" s="14">
        <f>SUMIF(Mercado_Receita!$T$2:$T$2012,"44652B3Energia horáriaNão se aplicaNão se aplicaNão se aplicaNão se aplicaPonta",Mercado_Receita!$N$2:$N$2012)</f>
        <v>13.138999999999998</v>
      </c>
      <c r="U35" s="14">
        <f t="shared" si="0"/>
        <v>133.833</v>
      </c>
      <c r="V35" s="14"/>
      <c r="W35" s="14"/>
    </row>
    <row r="36" spans="1:23" ht="11.25" customHeight="1" x14ac:dyDescent="0.25">
      <c r="A36" s="118"/>
      <c r="B36" s="118"/>
      <c r="C36" s="118"/>
      <c r="D36" s="118"/>
      <c r="E36" s="118"/>
      <c r="F36" s="118"/>
      <c r="G36" s="14" t="s">
        <v>101</v>
      </c>
      <c r="H36" s="14" t="s">
        <v>90</v>
      </c>
      <c r="I36" s="14">
        <f>SUMIF(Mercado_Receita!$T$2:$T$2012,"44317B3Energia horáriaNão se aplicaNão se aplicaNão se aplicaNão se aplicaIntermediário",Mercado_Receita!$N$2:$N$2012)</f>
        <v>11.170999999999999</v>
      </c>
      <c r="J36" s="14">
        <f>SUMIF(Mercado_Receita!$T$2:$T$2012,"44348B3Energia horáriaNão se aplicaNão se aplicaNão se aplicaNão se aplicaIntermediário",Mercado_Receita!$N$2:$N$2012)</f>
        <v>9.113999999999999</v>
      </c>
      <c r="K36" s="14">
        <f>SUMIF(Mercado_Receita!$T$2:$T$2012,"44378B3Energia horáriaNão se aplicaNão se aplicaNão se aplicaNão se aplicaIntermediário",Mercado_Receita!$N$2:$N$2012)</f>
        <v>12.695000000000002</v>
      </c>
      <c r="L36" s="14">
        <f>SUMIF(Mercado_Receita!$T$2:$T$2012,"44409B3Energia horáriaNão se aplicaNão se aplicaNão se aplicaNão se aplicaIntermediário",Mercado_Receita!$N$2:$N$2012)</f>
        <v>9.4660000000000011</v>
      </c>
      <c r="M36" s="14">
        <f>SUMIF(Mercado_Receita!$T$2:$T$2012,"44440B3Energia horáriaNão se aplicaNão se aplicaNão se aplicaNão se aplicaIntermediário",Mercado_Receita!$N$2:$N$2012)</f>
        <v>9.4660000000000011</v>
      </c>
      <c r="N36" s="14">
        <f>SUMIF(Mercado_Receita!$T$2:$T$2012,"44470B3Energia horáriaNão se aplicaNão se aplicaNão se aplicaNão se aplicaIntermediário",Mercado_Receita!$N$2:$N$2012)</f>
        <v>11.267000000000001</v>
      </c>
      <c r="O36" s="14">
        <f>SUMIF(Mercado_Receita!$T$2:$T$2012,"44501B3Energia horáriaNão se aplicaNão se aplicaNão se aplicaNão se aplicaIntermediário",Mercado_Receita!$N$2:$N$2012)</f>
        <v>11.180000000000001</v>
      </c>
      <c r="P36" s="14">
        <f>SUMIF(Mercado_Receita!$T$2:$T$2012,"44531B3Energia horáriaNão se aplicaNão se aplicaNão se aplicaNão se aplicaIntermediário",Mercado_Receita!$N$2:$N$2012)</f>
        <v>12.498000000000001</v>
      </c>
      <c r="Q36" s="14">
        <f>SUMIF(Mercado_Receita!$T$2:$T$2012,"44562B3Energia horáriaNão se aplicaNão se aplicaNão se aplicaNão se aplicaIntermediário",Mercado_Receita!$N$2:$N$2012)</f>
        <v>8.4350000000000005</v>
      </c>
      <c r="R36" s="14">
        <f>SUMIF(Mercado_Receita!$T$2:$T$2012,"44593B3Energia horáriaNão se aplicaNão se aplicaNão se aplicaNão se aplicaIntermediário",Mercado_Receita!$N$2:$N$2012)</f>
        <v>12.127000000000001</v>
      </c>
      <c r="S36" s="14">
        <f>SUMIF(Mercado_Receita!$T$2:$T$2012,"44621B3Energia horáriaNão se aplicaNão se aplicaNão se aplicaNão se aplicaIntermediário",Mercado_Receita!$N$2:$N$2012)</f>
        <v>12.687999999999997</v>
      </c>
      <c r="T36" s="14">
        <f>SUMIF(Mercado_Receita!$T$2:$T$2012,"44652B3Energia horáriaNão se aplicaNão se aplicaNão se aplicaNão se aplicaIntermediário",Mercado_Receita!$N$2:$N$2012)</f>
        <v>12.687999999999997</v>
      </c>
      <c r="U36" s="14">
        <f t="shared" si="0"/>
        <v>132.79500000000002</v>
      </c>
      <c r="V36" s="14"/>
      <c r="W36" s="14"/>
    </row>
    <row r="37" spans="1:23" ht="11.25" customHeight="1" x14ac:dyDescent="0.25">
      <c r="A37" s="118"/>
      <c r="B37" s="118"/>
      <c r="C37" s="118"/>
      <c r="D37" s="118"/>
      <c r="E37" s="118"/>
      <c r="F37" s="118"/>
      <c r="G37" s="14" t="s">
        <v>92</v>
      </c>
      <c r="H37" s="14" t="s">
        <v>90</v>
      </c>
      <c r="I37" s="14">
        <f>SUMIF(Mercado_Receita!$T$2:$T$2012,"44317B3Energia horáriaNão se aplicaNão se aplicaNão se aplicaNão se aplicaFora ponta",Mercado_Receita!$N$2:$N$2012)</f>
        <v>177.68899999999999</v>
      </c>
      <c r="J37" s="14">
        <f>SUMIF(Mercado_Receita!$T$2:$T$2012,"44348B3Energia horáriaNão se aplicaNão se aplicaNão se aplicaNão se aplicaFora ponta",Mercado_Receita!$N$2:$N$2012)</f>
        <v>159.66000000000003</v>
      </c>
      <c r="K37" s="14">
        <f>SUMIF(Mercado_Receita!$T$2:$T$2012,"44378B3Energia horáriaNão se aplicaNão se aplicaNão se aplicaNão se aplicaFora ponta",Mercado_Receita!$N$2:$N$2012)</f>
        <v>139.53899999999999</v>
      </c>
      <c r="L37" s="14">
        <f>SUMIF(Mercado_Receita!$T$2:$T$2012,"44409B3Energia horáriaNão se aplicaNão se aplicaNão se aplicaNão se aplicaFora ponta",Mercado_Receita!$N$2:$N$2012)</f>
        <v>151.76500000000001</v>
      </c>
      <c r="M37" s="14">
        <f>SUMIF(Mercado_Receita!$T$2:$T$2012,"44440B3Energia horáriaNão se aplicaNão se aplicaNão se aplicaNão se aplicaFora ponta",Mercado_Receita!$N$2:$N$2012)</f>
        <v>160.87300000000002</v>
      </c>
      <c r="N37" s="14">
        <f>SUMIF(Mercado_Receita!$T$2:$T$2012,"44470B3Energia horáriaNão se aplicaNão se aplicaNão se aplicaNão se aplicaFora ponta",Mercado_Receita!$N$2:$N$2012)</f>
        <v>183.88399999999999</v>
      </c>
      <c r="O37" s="14">
        <f>SUMIF(Mercado_Receita!$T$2:$T$2012,"44501B3Energia horáriaNão se aplicaNão se aplicaNão se aplicaNão se aplicaFora ponta",Mercado_Receita!$N$2:$N$2012)</f>
        <v>190.31200000000001</v>
      </c>
      <c r="P37" s="14">
        <f>SUMIF(Mercado_Receita!$T$2:$T$2012,"44531B3Energia horáriaNão se aplicaNão se aplicaNão se aplicaNão se aplicaFora ponta",Mercado_Receita!$N$2:$N$2012)</f>
        <v>189.59299999999999</v>
      </c>
      <c r="Q37" s="14">
        <f>SUMIF(Mercado_Receita!$T$2:$T$2012,"44562B3Energia horáriaNão se aplicaNão se aplicaNão se aplicaNão se aplicaFora ponta",Mercado_Receita!$N$2:$N$2012)</f>
        <v>221.05200000000002</v>
      </c>
      <c r="R37" s="14">
        <f>SUMIF(Mercado_Receita!$T$2:$T$2012,"44593B3Energia horáriaNão se aplicaNão se aplicaNão se aplicaNão se aplicaFora ponta",Mercado_Receita!$N$2:$N$2012)</f>
        <v>149.376</v>
      </c>
      <c r="S37" s="14">
        <f>SUMIF(Mercado_Receita!$T$2:$T$2012,"44621B3Energia horáriaNão se aplicaNão se aplicaNão se aplicaNão se aplicaFora ponta",Mercado_Receita!$N$2:$N$2012)</f>
        <v>196.98599999999999</v>
      </c>
      <c r="T37" s="14">
        <f>SUMIF(Mercado_Receita!$T$2:$T$2012,"44652B3Energia horáriaNão se aplicaNão se aplicaNão se aplicaNão se aplicaFora ponta",Mercado_Receita!$N$2:$N$2012)</f>
        <v>196.98599999999999</v>
      </c>
      <c r="U37" s="14">
        <f t="shared" si="0"/>
        <v>2117.7150000000001</v>
      </c>
      <c r="V37" s="14"/>
      <c r="W37" s="14"/>
    </row>
    <row r="38" spans="1:23" ht="11.25" customHeight="1" x14ac:dyDescent="0.25">
      <c r="A38" s="118"/>
      <c r="B38" s="13" t="s">
        <v>97</v>
      </c>
      <c r="C38" s="13" t="s">
        <v>25</v>
      </c>
      <c r="D38" s="13" t="s">
        <v>25</v>
      </c>
      <c r="E38" s="13" t="s">
        <v>25</v>
      </c>
      <c r="F38" s="13" t="s">
        <v>25</v>
      </c>
      <c r="G38" s="14" t="s">
        <v>96</v>
      </c>
      <c r="H38" s="14" t="s">
        <v>90</v>
      </c>
      <c r="I38" s="14">
        <f>SUMIF(Mercado_Receita!$T$2:$T$2012,"44317B3Energia convencionalNão se aplicaNão se aplicaNão se aplicaNão se aplicaNão se aplica",Mercado_Receita!$N$2:$N$2012)</f>
        <v>39968.237000000001</v>
      </c>
      <c r="J38" s="14">
        <f>SUMIF(Mercado_Receita!$T$2:$T$2012,"44348B3Energia convencionalNão se aplicaNão se aplicaNão se aplicaNão se aplicaNão se aplica",Mercado_Receita!$N$2:$N$2012)</f>
        <v>38277.206000000006</v>
      </c>
      <c r="K38" s="14">
        <f>SUMIF(Mercado_Receita!$T$2:$T$2012,"44378B3Energia convencionalNão se aplicaNão se aplicaNão se aplicaNão se aplicaNão se aplica",Mercado_Receita!$N$2:$N$2012)</f>
        <v>36292.821000000004</v>
      </c>
      <c r="L38" s="14">
        <f>SUMIF(Mercado_Receita!$T$2:$T$2012,"44409B3Energia convencionalNão se aplicaNão se aplicaNão se aplicaNão se aplicaNão se aplica",Mercado_Receita!$N$2:$N$2012)</f>
        <v>37476.850999999995</v>
      </c>
      <c r="M38" s="14">
        <f>SUMIF(Mercado_Receita!$T$2:$T$2012,"44440B3Energia convencionalNão se aplicaNão se aplicaNão se aplicaNão se aplicaNão se aplica",Mercado_Receita!$N$2:$N$2012)</f>
        <v>39683.449000000001</v>
      </c>
      <c r="N38" s="14">
        <f>SUMIF(Mercado_Receita!$T$2:$T$2012,"44470B3Energia convencionalNão se aplicaNão se aplicaNão se aplicaNão se aplicaNão se aplica",Mercado_Receita!$N$2:$N$2012)</f>
        <v>43328.040999999997</v>
      </c>
      <c r="O38" s="14">
        <f>SUMIF(Mercado_Receita!$T$2:$T$2012,"44501B3Energia convencionalNão se aplicaNão se aplicaNão se aplicaNão se aplicaNão se aplica",Mercado_Receita!$N$2:$N$2012)</f>
        <v>46326.880999999994</v>
      </c>
      <c r="P38" s="14">
        <f>SUMIF(Mercado_Receita!$T$2:$T$2012,"44531B3Energia convencionalNão se aplicaNão se aplicaNão se aplicaNão se aplicaNão se aplica",Mercado_Receita!$N$2:$N$2012)</f>
        <v>49243.228999999999</v>
      </c>
      <c r="Q38" s="14">
        <f>SUMIF(Mercado_Receita!$T$2:$T$2012,"44562B3Energia convencionalNão se aplicaNão se aplicaNão se aplicaNão se aplicaNão se aplica",Mercado_Receita!$N$2:$N$2012)</f>
        <v>41624.545000000006</v>
      </c>
      <c r="R38" s="14">
        <f>SUMIF(Mercado_Receita!$T$2:$T$2012,"44593B3Energia convencionalNão se aplicaNão se aplicaNão se aplicaNão se aplicaNão se aplica",Mercado_Receita!$N$2:$N$2012)</f>
        <v>42262.71</v>
      </c>
      <c r="S38" s="14">
        <f>SUMIF(Mercado_Receita!$T$2:$T$2012,"44621B3Energia convencionalNão se aplicaNão se aplicaNão se aplicaNão se aplicaNão se aplica",Mercado_Receita!$N$2:$N$2012)</f>
        <v>45523.264000000003</v>
      </c>
      <c r="T38" s="14">
        <f>SUMIF(Mercado_Receita!$T$2:$T$2012,"44652B3Energia convencionalNão se aplicaNão se aplicaNão se aplicaNão se aplicaNão se aplica",Mercado_Receita!$N$2:$N$2012)</f>
        <v>45523.264000000003</v>
      </c>
      <c r="U38" s="14">
        <f t="shared" si="0"/>
        <v>505530.49800000002</v>
      </c>
      <c r="V38" s="14"/>
      <c r="W38" s="14"/>
    </row>
    <row r="39" spans="1:23" ht="11.25" customHeight="1" x14ac:dyDescent="0.25">
      <c r="A39" s="118"/>
      <c r="B39" s="13" t="s">
        <v>102</v>
      </c>
      <c r="C39" s="13" t="s">
        <v>25</v>
      </c>
      <c r="D39" s="13" t="s">
        <v>25</v>
      </c>
      <c r="E39" s="13" t="s">
        <v>25</v>
      </c>
      <c r="F39" s="13" t="s">
        <v>25</v>
      </c>
      <c r="G39" s="14" t="s">
        <v>96</v>
      </c>
      <c r="H39" s="14" t="s">
        <v>90</v>
      </c>
      <c r="I39" s="14">
        <f>SUMIF(Mercado_Receita!$T$2:$T$2012,"44317B3Energia convencional pré-pagamentoNão se aplicaNão se aplicaNão se aplicaNão se aplicaNão se aplica",Mercado_Receita!$N$2:$N$2012)</f>
        <v>0</v>
      </c>
      <c r="J39" s="14">
        <f>SUMIF(Mercado_Receita!$T$2:$T$2012,"44348B3Energia convencional pré-pagamentoNão se aplicaNão se aplicaNão se aplicaNão se aplicaNão se aplica",Mercado_Receita!$N$2:$N$2012)</f>
        <v>0</v>
      </c>
      <c r="K39" s="14">
        <f>SUMIF(Mercado_Receita!$T$2:$T$2012,"44378B3Energia convencional pré-pagamentoNão se aplicaNão se aplicaNão se aplicaNão se aplicaNão se aplica",Mercado_Receita!$N$2:$N$2012)</f>
        <v>0</v>
      </c>
      <c r="L39" s="14">
        <f>SUMIF(Mercado_Receita!$T$2:$T$2012,"44409B3Energia convencional pré-pagamentoNão se aplicaNão se aplicaNão se aplicaNão se aplicaNão se aplica",Mercado_Receita!$N$2:$N$2012)</f>
        <v>0</v>
      </c>
      <c r="M39" s="14">
        <f>SUMIF(Mercado_Receita!$T$2:$T$2012,"44440B3Energia convencional pré-pagamentoNão se aplicaNão se aplicaNão se aplicaNão se aplicaNão se aplica",Mercado_Receita!$N$2:$N$2012)</f>
        <v>0</v>
      </c>
      <c r="N39" s="14">
        <f>SUMIF(Mercado_Receita!$T$2:$T$2012,"44470B3Energia convencional pré-pagamentoNão se aplicaNão se aplicaNão se aplicaNão se aplicaNão se aplica",Mercado_Receita!$N$2:$N$2012)</f>
        <v>0</v>
      </c>
      <c r="O39" s="14">
        <f>SUMIF(Mercado_Receita!$T$2:$T$2012,"44501B3Energia convencional pré-pagamentoNão se aplicaNão se aplicaNão se aplicaNão se aplicaNão se aplica",Mercado_Receita!$N$2:$N$2012)</f>
        <v>0</v>
      </c>
      <c r="P39" s="14">
        <f>SUMIF(Mercado_Receita!$T$2:$T$2012,"44531B3Energia convencional pré-pagamentoNão se aplicaNão se aplicaNão se aplicaNão se aplicaNão se aplica",Mercado_Receita!$N$2:$N$2012)</f>
        <v>0</v>
      </c>
      <c r="Q39" s="14">
        <f>SUMIF(Mercado_Receita!$T$2:$T$2012,"44562B3Energia convencional pré-pagamentoNão se aplicaNão se aplicaNão se aplicaNão se aplicaNão se aplica",Mercado_Receita!$N$2:$N$2012)</f>
        <v>0</v>
      </c>
      <c r="R39" s="14">
        <f>SUMIF(Mercado_Receita!$T$2:$T$2012,"44593B3Energia convencional pré-pagamentoNão se aplicaNão se aplicaNão se aplicaNão se aplicaNão se aplica",Mercado_Receita!$N$2:$N$2012)</f>
        <v>0</v>
      </c>
      <c r="S39" s="14">
        <f>SUMIF(Mercado_Receita!$T$2:$T$2012,"44621B3Energia convencional pré-pagamentoNão se aplicaNão se aplicaNão se aplicaNão se aplicaNão se aplica",Mercado_Receita!$N$2:$N$2012)</f>
        <v>0</v>
      </c>
      <c r="T39" s="14">
        <f>SUMIF(Mercado_Receita!$T$2:$T$2012,"44652B3Energia convencional pré-pagamentoNão se aplicaNão se aplicaNão se aplicaNão se aplicaNão se aplica",Mercado_Receita!$N$2:$N$2012)</f>
        <v>0</v>
      </c>
      <c r="U39" s="14">
        <f t="shared" si="0"/>
        <v>0</v>
      </c>
      <c r="V39" s="14"/>
      <c r="W39" s="14"/>
    </row>
    <row r="40" spans="1:23" ht="11.25" customHeight="1" x14ac:dyDescent="0.25">
      <c r="A40" s="117" t="s">
        <v>47</v>
      </c>
      <c r="B40" s="117" t="s">
        <v>97</v>
      </c>
      <c r="C40" s="117" t="s">
        <v>48</v>
      </c>
      <c r="D40" s="13" t="s">
        <v>49</v>
      </c>
      <c r="E40" s="13" t="s">
        <v>25</v>
      </c>
      <c r="F40" s="13" t="s">
        <v>25</v>
      </c>
      <c r="G40" s="14" t="s">
        <v>96</v>
      </c>
      <c r="H40" s="14" t="s">
        <v>90</v>
      </c>
      <c r="I40" s="14">
        <f>SUMIF(Mercado_Receita!$T$2:$T$2012,"44317B4Energia convencionalIluminação públicaIluminação pública – B4aNão se aplicaNão se aplicaNão se aplica",Mercado_Receita!$N$2:$N$2012)</f>
        <v>20920.609</v>
      </c>
      <c r="J40" s="14">
        <f>SUMIF(Mercado_Receita!$T$2:$T$2012,"44348B4Energia convencionalIluminação públicaIluminação pública – B4aNão se aplicaNão se aplicaNão se aplica",Mercado_Receita!$N$2:$N$2012)</f>
        <v>20196.370000000003</v>
      </c>
      <c r="K40" s="14">
        <f>SUMIF(Mercado_Receita!$T$2:$T$2012,"44378B4Energia convencionalIluminação públicaIluminação pública – B4aNão se aplicaNão se aplicaNão se aplica",Mercado_Receita!$N$2:$N$2012)</f>
        <v>20902.853999999999</v>
      </c>
      <c r="L40" s="14">
        <f>SUMIF(Mercado_Receita!$T$2:$T$2012,"44409B4Energia convencionalIluminação públicaIluminação pública – B4aNão se aplicaNão se aplicaNão se aplica",Mercado_Receita!$N$2:$N$2012)</f>
        <v>20740.109</v>
      </c>
      <c r="M40" s="14">
        <f>SUMIF(Mercado_Receita!$T$2:$T$2012,"44440B4Energia convencionalIluminação públicaIluminação pública – B4aNão se aplicaNão se aplicaNão se aplica",Mercado_Receita!$N$2:$N$2012)</f>
        <v>21229.105</v>
      </c>
      <c r="N40" s="14">
        <f>SUMIF(Mercado_Receita!$T$2:$T$2012,"44470B4Energia convencionalIluminação públicaIluminação pública – B4aNão se aplicaNão se aplicaNão se aplica",Mercado_Receita!$N$2:$N$2012)</f>
        <v>22468.400999999998</v>
      </c>
      <c r="O40" s="14">
        <f>SUMIF(Mercado_Receita!$T$2:$T$2012,"44501B4Energia convencionalIluminação públicaIluminação pública – B4aNão se aplicaNão se aplicaNão se aplica",Mercado_Receita!$N$2:$N$2012)</f>
        <v>22312.456000000002</v>
      </c>
      <c r="P40" s="14">
        <f>SUMIF(Mercado_Receita!$T$2:$T$2012,"44531B4Energia convencionalIluminação públicaIluminação pública – B4aNão se aplicaNão se aplicaNão se aplica",Mercado_Receita!$N$2:$N$2012)</f>
        <v>24901.280999999999</v>
      </c>
      <c r="Q40" s="14">
        <f>SUMIF(Mercado_Receita!$T$2:$T$2012,"44562B4Energia convencionalIluminação públicaIluminação pública – B4aNão se aplicaNão se aplicaNão se aplica",Mercado_Receita!$N$2:$N$2012)</f>
        <v>20799.067999999999</v>
      </c>
      <c r="R40" s="14">
        <f>SUMIF(Mercado_Receita!$T$2:$T$2012,"44593B4Energia convencionalIluminação públicaIluminação pública – B4aNão se aplicaNão se aplicaNão se aplica",Mercado_Receita!$N$2:$N$2012)</f>
        <v>18734.545000000002</v>
      </c>
      <c r="S40" s="14">
        <f>SUMIF(Mercado_Receita!$T$2:$T$2012,"44621B4Energia convencionalIluminação públicaIluminação pública – B4aNão se aplicaNão se aplicaNão se aplica",Mercado_Receita!$N$2:$N$2012)</f>
        <v>23199.085999999999</v>
      </c>
      <c r="T40" s="14">
        <f>SUMIF(Mercado_Receita!$T$2:$T$2012,"44652B4Energia convencionalIluminação públicaIluminação pública – B4aNão se aplicaNão se aplicaNão se aplica",Mercado_Receita!$N$2:$N$2012)</f>
        <v>23199.085999999999</v>
      </c>
      <c r="U40" s="14">
        <f t="shared" si="0"/>
        <v>259602.97000000003</v>
      </c>
      <c r="V40" s="14"/>
      <c r="W40" s="14"/>
    </row>
    <row r="41" spans="1:23" ht="11.25" customHeight="1" x14ac:dyDescent="0.25">
      <c r="A41" s="118"/>
      <c r="B41" s="118"/>
      <c r="C41" s="118"/>
      <c r="D41" s="14" t="s">
        <v>106</v>
      </c>
      <c r="E41" s="14" t="s">
        <v>25</v>
      </c>
      <c r="F41" s="14" t="s">
        <v>25</v>
      </c>
      <c r="G41" s="14" t="s">
        <v>96</v>
      </c>
      <c r="H41" s="14" t="s">
        <v>90</v>
      </c>
      <c r="I41" s="14">
        <f>SUMIF(Mercado_Receita!$T$2:$T$2012,"44317B4Energia convencionalIluminação públicaIluminação pública – B4bNão se aplicaNão se aplicaNão se aplica",Mercado_Receita!$N$2:$N$2012)</f>
        <v>0</v>
      </c>
      <c r="J41" s="14">
        <f>SUMIF(Mercado_Receita!$T$2:$T$2012,"44348B4Energia convencionalIluminação públicaIluminação pública – B4bNão se aplicaNão se aplicaNão se aplica",Mercado_Receita!$N$2:$N$2012)</f>
        <v>0</v>
      </c>
      <c r="K41" s="14">
        <f>SUMIF(Mercado_Receita!$T$2:$T$2012,"44378B4Energia convencionalIluminação públicaIluminação pública – B4bNão se aplicaNão se aplicaNão se aplica",Mercado_Receita!$N$2:$N$2012)</f>
        <v>0</v>
      </c>
      <c r="L41" s="14">
        <f>SUMIF(Mercado_Receita!$T$2:$T$2012,"44409B4Energia convencionalIluminação públicaIluminação pública – B4bNão se aplicaNão se aplicaNão se aplica",Mercado_Receita!$N$2:$N$2012)</f>
        <v>0</v>
      </c>
      <c r="M41" s="14">
        <f>SUMIF(Mercado_Receita!$T$2:$T$2012,"44440B4Energia convencionalIluminação públicaIluminação pública – B4bNão se aplicaNão se aplicaNão se aplica",Mercado_Receita!$N$2:$N$2012)</f>
        <v>0</v>
      </c>
      <c r="N41" s="14">
        <f>SUMIF(Mercado_Receita!$T$2:$T$2012,"44470B4Energia convencionalIluminação públicaIluminação pública – B4bNão se aplicaNão se aplicaNão se aplica",Mercado_Receita!$N$2:$N$2012)</f>
        <v>0</v>
      </c>
      <c r="O41" s="14">
        <f>SUMIF(Mercado_Receita!$T$2:$T$2012,"44501B4Energia convencionalIluminação públicaIluminação pública – B4bNão se aplicaNão se aplicaNão se aplica",Mercado_Receita!$N$2:$N$2012)</f>
        <v>0</v>
      </c>
      <c r="P41" s="14">
        <f>SUMIF(Mercado_Receita!$T$2:$T$2012,"44531B4Energia convencionalIluminação públicaIluminação pública – B4bNão se aplicaNão se aplicaNão se aplica",Mercado_Receita!$N$2:$N$2012)</f>
        <v>0</v>
      </c>
      <c r="Q41" s="14">
        <f>SUMIF(Mercado_Receita!$T$2:$T$2012,"44562B4Energia convencionalIluminação públicaIluminação pública – B4bNão se aplicaNão se aplicaNão se aplica",Mercado_Receita!$N$2:$N$2012)</f>
        <v>0</v>
      </c>
      <c r="R41" s="14">
        <f>SUMIF(Mercado_Receita!$T$2:$T$2012,"44593B4Energia convencionalIluminação públicaIluminação pública – B4bNão se aplicaNão se aplicaNão se aplica",Mercado_Receita!$N$2:$N$2012)</f>
        <v>0</v>
      </c>
      <c r="S41" s="14">
        <f>SUMIF(Mercado_Receita!$T$2:$T$2012,"44621B4Energia convencionalIluminação públicaIluminação pública – B4bNão se aplicaNão se aplicaNão se aplica",Mercado_Receita!$N$2:$N$2012)</f>
        <v>0</v>
      </c>
      <c r="T41" s="14">
        <f>SUMIF(Mercado_Receita!$T$2:$T$2012,"44652B4Energia convencionalIluminação públicaIluminação pública – B4bNão se aplicaNão se aplicaNão se aplica",Mercado_Receita!$N$2:$N$2012)</f>
        <v>0</v>
      </c>
      <c r="U41" s="14">
        <f t="shared" si="0"/>
        <v>0</v>
      </c>
      <c r="V41" s="14"/>
      <c r="W41" s="14"/>
    </row>
    <row r="42" spans="1:23" ht="11.25" customHeight="1" x14ac:dyDescent="0.25">
      <c r="A42" s="119" t="s">
        <v>753</v>
      </c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  <c r="M42" s="120"/>
      <c r="N42" s="120"/>
      <c r="O42" s="120"/>
      <c r="P42" s="120"/>
      <c r="Q42" s="120"/>
      <c r="R42" s="120"/>
      <c r="S42" s="120"/>
      <c r="T42" s="120"/>
      <c r="U42" s="120"/>
      <c r="V42" s="14"/>
      <c r="W42" s="14"/>
    </row>
  </sheetData>
  <mergeCells count="50">
    <mergeCell ref="A40:A41"/>
    <mergeCell ref="B40:B41"/>
    <mergeCell ref="C40:C41"/>
    <mergeCell ref="A42:U42"/>
    <mergeCell ref="C32:C34"/>
    <mergeCell ref="B32:B34"/>
    <mergeCell ref="A20:A34"/>
    <mergeCell ref="F35:F37"/>
    <mergeCell ref="E35:E37"/>
    <mergeCell ref="D35:D37"/>
    <mergeCell ref="C35:C37"/>
    <mergeCell ref="B35:B37"/>
    <mergeCell ref="A35:A39"/>
    <mergeCell ref="F24:F26"/>
    <mergeCell ref="E24:E26"/>
    <mergeCell ref="D24:D26"/>
    <mergeCell ref="C24:C26"/>
    <mergeCell ref="B24:B26"/>
    <mergeCell ref="F28:F30"/>
    <mergeCell ref="E28:E30"/>
    <mergeCell ref="D28:D30"/>
    <mergeCell ref="C28:C30"/>
    <mergeCell ref="B28:B30"/>
    <mergeCell ref="C15:C19"/>
    <mergeCell ref="B15:B19"/>
    <mergeCell ref="A7:A19"/>
    <mergeCell ref="F20:F22"/>
    <mergeCell ref="E20:E22"/>
    <mergeCell ref="D20:D22"/>
    <mergeCell ref="C20:C22"/>
    <mergeCell ref="B20:B22"/>
    <mergeCell ref="F7:F9"/>
    <mergeCell ref="E7:E9"/>
    <mergeCell ref="D7:D9"/>
    <mergeCell ref="C7:C9"/>
    <mergeCell ref="B7:B9"/>
    <mergeCell ref="C10:C14"/>
    <mergeCell ref="B10:B14"/>
    <mergeCell ref="A4:A6"/>
    <mergeCell ref="F2:F3"/>
    <mergeCell ref="E2:E3"/>
    <mergeCell ref="D2:D3"/>
    <mergeCell ref="C2:C3"/>
    <mergeCell ref="B2:B3"/>
    <mergeCell ref="A2:A3"/>
    <mergeCell ref="F4:F5"/>
    <mergeCell ref="E4:E5"/>
    <mergeCell ref="D4:D5"/>
    <mergeCell ref="C4:C5"/>
    <mergeCell ref="B4:B5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31B0-039E-4F5F-8A64-9C4619E10EBE}">
  <dimension ref="A1:AD200"/>
  <sheetViews>
    <sheetView showGridLines="0" workbookViewId="0">
      <selection activeCell="K35" sqref="K35"/>
    </sheetView>
  </sheetViews>
  <sheetFormatPr defaultRowHeight="12" customHeight="1" x14ac:dyDescent="0.2"/>
  <cols>
    <col min="1" max="1" width="10.5703125" style="16" bestFit="1" customWidth="1"/>
    <col min="2" max="2" width="14.42578125" style="16" bestFit="1" customWidth="1"/>
    <col min="3" max="3" width="18.42578125" style="16" bestFit="1" customWidth="1"/>
    <col min="4" max="4" width="15" style="16" bestFit="1" customWidth="1"/>
    <col min="5" max="5" width="14.5703125" style="16" bestFit="1" customWidth="1"/>
    <col min="6" max="6" width="11.7109375" style="16" bestFit="1" customWidth="1"/>
    <col min="7" max="7" width="4.85546875" style="16" bestFit="1" customWidth="1"/>
    <col min="8" max="8" width="13.140625" style="16" bestFit="1" customWidth="1"/>
    <col min="9" max="11" width="9.140625" style="16"/>
    <col min="12" max="12" width="34.140625" style="16" bestFit="1" customWidth="1"/>
    <col min="13" max="13" width="11.7109375" style="16" bestFit="1" customWidth="1"/>
    <col min="14" max="14" width="36.140625" style="16" bestFit="1" customWidth="1"/>
    <col min="15" max="15" width="30.7109375" style="16" customWidth="1"/>
    <col min="16" max="16" width="13.140625" style="16" bestFit="1" customWidth="1"/>
    <col min="17" max="17" width="10" style="16" bestFit="1" customWidth="1"/>
    <col min="18" max="18" width="9.42578125" style="16" bestFit="1" customWidth="1"/>
    <col min="19" max="19" width="12.5703125" style="16" bestFit="1" customWidth="1"/>
    <col min="20" max="20" width="15.42578125" style="16" bestFit="1" customWidth="1"/>
    <col min="21" max="21" width="10.85546875" style="16" bestFit="1" customWidth="1"/>
    <col min="22" max="22" width="13.28515625" style="16" bestFit="1" customWidth="1"/>
    <col min="23" max="23" width="5" style="16" bestFit="1" customWidth="1"/>
    <col min="24" max="24" width="49.42578125" style="16" bestFit="1" customWidth="1"/>
    <col min="25" max="26" width="5" style="16" bestFit="1" customWidth="1"/>
    <col min="27" max="27" width="2" style="16" bestFit="1" customWidth="1"/>
    <col min="28" max="16384" width="9.140625" style="16"/>
  </cols>
  <sheetData>
    <row r="1" spans="1:30" ht="12" customHeight="1" x14ac:dyDescent="0.2">
      <c r="A1" s="10" t="s">
        <v>792</v>
      </c>
      <c r="B1" s="10" t="s">
        <v>793</v>
      </c>
      <c r="C1" s="10" t="s">
        <v>794</v>
      </c>
      <c r="D1" s="10" t="s">
        <v>795</v>
      </c>
      <c r="E1" s="10" t="s">
        <v>796</v>
      </c>
      <c r="F1" s="10" t="s">
        <v>797</v>
      </c>
      <c r="G1" s="7"/>
      <c r="H1" s="7"/>
      <c r="I1" s="7"/>
      <c r="J1" s="7"/>
      <c r="K1" s="7"/>
      <c r="L1" s="126" t="s">
        <v>798</v>
      </c>
      <c r="M1" s="126"/>
      <c r="N1" s="7"/>
      <c r="O1" s="130" t="s">
        <v>885</v>
      </c>
      <c r="P1" s="131"/>
      <c r="Q1" s="131"/>
      <c r="R1" s="131"/>
      <c r="S1" s="131"/>
      <c r="T1" s="131"/>
      <c r="U1" s="131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27" t="s">
        <v>754</v>
      </c>
      <c r="B2" s="127" t="s">
        <v>755</v>
      </c>
      <c r="C2" s="18" t="s">
        <v>839</v>
      </c>
      <c r="D2" s="15">
        <v>45046098.522711933</v>
      </c>
      <c r="E2" s="15">
        <v>-14395974.052707948</v>
      </c>
      <c r="F2" s="15">
        <v>273872.01690481725</v>
      </c>
      <c r="G2" s="17"/>
      <c r="H2" s="17"/>
      <c r="I2" s="17"/>
      <c r="J2" s="17"/>
      <c r="K2" s="17"/>
      <c r="L2" s="32" t="s">
        <v>799</v>
      </c>
      <c r="M2" s="89">
        <v>8.2211261665014579E-2</v>
      </c>
      <c r="N2" s="17"/>
      <c r="O2" s="44" t="s">
        <v>886</v>
      </c>
      <c r="P2" s="44" t="s">
        <v>41</v>
      </c>
      <c r="Q2" s="44" t="s">
        <v>887</v>
      </c>
      <c r="R2" s="44" t="s">
        <v>33</v>
      </c>
      <c r="S2" s="44" t="s">
        <v>888</v>
      </c>
      <c r="T2" s="44" t="s">
        <v>98</v>
      </c>
      <c r="U2" s="44"/>
      <c r="V2" s="17"/>
      <c r="W2" s="17"/>
      <c r="X2" s="32" t="s">
        <v>852</v>
      </c>
      <c r="Y2" s="17"/>
      <c r="Z2" s="17"/>
      <c r="AA2" s="17" t="s">
        <v>896</v>
      </c>
      <c r="AB2" s="17"/>
      <c r="AC2" s="17"/>
      <c r="AD2" s="17"/>
    </row>
    <row r="3" spans="1:30" ht="12" customHeight="1" x14ac:dyDescent="0.2">
      <c r="A3" s="128"/>
      <c r="B3" s="128"/>
      <c r="C3" s="18" t="s">
        <v>756</v>
      </c>
      <c r="D3" s="15">
        <v>2769548.228111058</v>
      </c>
      <c r="E3" s="15">
        <v>-50694.141532888345</v>
      </c>
      <c r="F3" s="15">
        <v>0</v>
      </c>
      <c r="G3" s="17"/>
      <c r="H3" s="17"/>
      <c r="I3" s="17"/>
      <c r="J3" s="17"/>
      <c r="K3" s="17"/>
      <c r="L3" s="32" t="s">
        <v>800</v>
      </c>
      <c r="M3" s="89"/>
      <c r="N3" s="17"/>
      <c r="O3" s="45">
        <v>1</v>
      </c>
      <c r="P3" s="87">
        <v>0.7</v>
      </c>
      <c r="Q3" s="45">
        <v>1</v>
      </c>
      <c r="R3" s="45">
        <v>1</v>
      </c>
      <c r="S3" s="45">
        <v>1</v>
      </c>
      <c r="T3" s="45">
        <v>1</v>
      </c>
      <c r="U3" s="45" t="s">
        <v>889</v>
      </c>
      <c r="V3" s="17"/>
      <c r="W3" s="17"/>
      <c r="X3" s="32" t="s">
        <v>853</v>
      </c>
      <c r="Y3" s="17"/>
      <c r="Z3" s="17"/>
      <c r="AA3" s="17">
        <v>0</v>
      </c>
      <c r="AB3" s="17"/>
      <c r="AC3" s="17"/>
      <c r="AD3" s="17"/>
    </row>
    <row r="4" spans="1:30" ht="12" customHeight="1" x14ac:dyDescent="0.2">
      <c r="A4" s="128"/>
      <c r="B4" s="128"/>
      <c r="C4" s="18" t="s">
        <v>757</v>
      </c>
      <c r="D4" s="15">
        <f>$M$22-D$30</f>
        <v>12804098.543733332</v>
      </c>
      <c r="E4" s="15">
        <f>IF((D4+D$30)&lt;&gt;0,$M$20*D4/(D4+D$30),0)</f>
        <v>0</v>
      </c>
      <c r="F4" s="15">
        <f>IF((D4+D$30)&lt;&gt;0,$M$21*D4/(D4+D$30),0)</f>
        <v>0</v>
      </c>
      <c r="G4" s="17"/>
      <c r="H4" s="17"/>
      <c r="I4" s="17"/>
      <c r="J4" s="17"/>
      <c r="K4" s="17"/>
      <c r="L4" s="32" t="s">
        <v>801</v>
      </c>
      <c r="M4" s="89">
        <v>0.14398900199472142</v>
      </c>
      <c r="N4" s="17"/>
      <c r="O4" s="45">
        <v>1</v>
      </c>
      <c r="P4" s="45">
        <v>1</v>
      </c>
      <c r="Q4" s="45">
        <v>1</v>
      </c>
      <c r="R4" s="87">
        <v>1</v>
      </c>
      <c r="S4" s="45">
        <v>1</v>
      </c>
      <c r="T4" s="45">
        <v>1</v>
      </c>
      <c r="U4" s="45" t="s">
        <v>64</v>
      </c>
      <c r="V4" s="17"/>
      <c r="W4" s="17"/>
      <c r="X4" s="17"/>
      <c r="Y4" s="17"/>
      <c r="Z4" s="17"/>
      <c r="AA4" s="17"/>
      <c r="AB4" s="17"/>
      <c r="AC4" s="17"/>
      <c r="AD4" s="17"/>
    </row>
    <row r="5" spans="1:30" ht="12" customHeight="1" x14ac:dyDescent="0.2">
      <c r="A5" s="128"/>
      <c r="B5" s="128"/>
      <c r="C5" s="18" t="s">
        <v>758</v>
      </c>
      <c r="D5" s="15">
        <v>0</v>
      </c>
      <c r="E5" s="85">
        <f>35.2896125220333*0</f>
        <v>0</v>
      </c>
      <c r="F5" s="15">
        <v>0</v>
      </c>
      <c r="G5" s="17">
        <v>35.289612522033295</v>
      </c>
      <c r="H5" s="17"/>
      <c r="I5" s="17"/>
      <c r="J5" s="17"/>
      <c r="K5" s="17"/>
      <c r="L5" s="32" t="s">
        <v>802</v>
      </c>
      <c r="M5" s="89">
        <v>0.01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1:30" ht="12" customHeight="1" x14ac:dyDescent="0.2">
      <c r="A6" s="128"/>
      <c r="B6" s="128"/>
      <c r="C6" s="18" t="s">
        <v>759</v>
      </c>
      <c r="D6" s="15">
        <v>0</v>
      </c>
      <c r="E6" s="15">
        <v>0</v>
      </c>
      <c r="F6" s="15">
        <v>0</v>
      </c>
      <c r="G6" s="17"/>
      <c r="H6" s="17"/>
      <c r="I6" s="17"/>
      <c r="J6" s="17"/>
      <c r="K6" s="17"/>
      <c r="L6" s="32" t="s">
        <v>803</v>
      </c>
      <c r="M6" s="89">
        <v>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1:30" ht="12" customHeight="1" x14ac:dyDescent="0.2">
      <c r="A7" s="128"/>
      <c r="B7" s="128"/>
      <c r="C7" s="18" t="s">
        <v>760</v>
      </c>
      <c r="D7" s="15">
        <v>112069673.87837905</v>
      </c>
      <c r="E7" s="15">
        <v>132011.34470006451</v>
      </c>
      <c r="F7" s="15">
        <v>9515185.9875000007</v>
      </c>
      <c r="G7" s="17"/>
      <c r="H7" s="17"/>
      <c r="I7" s="17"/>
      <c r="J7" s="17"/>
      <c r="K7" s="17"/>
      <c r="L7" s="32" t="s">
        <v>804</v>
      </c>
      <c r="M7" s="32">
        <f>M8+M9+M10+M11</f>
        <v>1187942.408598037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1:30" ht="12" customHeight="1" x14ac:dyDescent="0.2">
      <c r="A8" s="128"/>
      <c r="B8" s="128"/>
      <c r="C8" s="18" t="s">
        <v>761</v>
      </c>
      <c r="D8" s="15">
        <v>48847255.695742868</v>
      </c>
      <c r="E8" s="15">
        <v>556049.04218044598</v>
      </c>
      <c r="F8" s="15">
        <v>6104847.8399999999</v>
      </c>
      <c r="G8" s="17"/>
      <c r="H8" s="17"/>
      <c r="I8" s="17"/>
      <c r="J8" s="17"/>
      <c r="K8" s="17"/>
      <c r="L8" s="90" t="s">
        <v>805</v>
      </c>
      <c r="M8" s="32">
        <v>527046.46076353709</v>
      </c>
      <c r="N8" s="17"/>
      <c r="O8" s="32" t="s">
        <v>838</v>
      </c>
      <c r="P8" s="45">
        <v>0</v>
      </c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1:30" ht="12" customHeight="1" x14ac:dyDescent="0.2">
      <c r="A9" s="128"/>
      <c r="B9" s="128"/>
      <c r="C9" s="18" t="s">
        <v>762</v>
      </c>
      <c r="D9" s="15"/>
      <c r="E9" s="15"/>
      <c r="F9" s="15"/>
      <c r="G9" s="17"/>
      <c r="H9" s="17"/>
      <c r="I9" s="17"/>
      <c r="J9" s="17"/>
      <c r="K9" s="17"/>
      <c r="L9" s="91" t="s">
        <v>806</v>
      </c>
      <c r="M9" s="32">
        <v>534089.50083449995</v>
      </c>
      <c r="N9" s="17"/>
      <c r="O9" s="32" t="s">
        <v>843</v>
      </c>
      <c r="P9" s="45">
        <f>SUM(Mercado_Receita!$J$2:$J$2012)</f>
        <v>7986105</v>
      </c>
      <c r="Q9" s="45">
        <v>7986105</v>
      </c>
      <c r="R9" s="45" t="str">
        <f>IF(ABS(P9-Q9)&gt;1,"ERRO BADNET","OK BADNET")</f>
        <v>OK BADNET</v>
      </c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1:30" ht="12" customHeight="1" x14ac:dyDescent="0.2">
      <c r="A10" s="128"/>
      <c r="B10" s="129"/>
      <c r="C10" s="18" t="s">
        <v>763</v>
      </c>
      <c r="D10" s="15">
        <f>SUM(D$2:D9)</f>
        <v>221536674.86867824</v>
      </c>
      <c r="E10" s="15">
        <f>SUM(E$2:E9)</f>
        <v>-13758607.807360325</v>
      </c>
      <c r="F10" s="15">
        <f>SUM(F$2:F9)</f>
        <v>15893905.844404818</v>
      </c>
      <c r="G10" s="17"/>
      <c r="H10" s="17"/>
      <c r="I10" s="17"/>
      <c r="J10" s="17"/>
      <c r="K10" s="17"/>
      <c r="L10" s="90" t="s">
        <v>807</v>
      </c>
      <c r="M10" s="32">
        <v>31186.107173357886</v>
      </c>
      <c r="N10" s="17"/>
      <c r="O10" s="32" t="s">
        <v>844</v>
      </c>
      <c r="P10" s="45">
        <f>SUM(Mercado_Receita!$L$2:$L$2012)</f>
        <v>3979417.0910000009</v>
      </c>
      <c r="Q10" s="45">
        <v>3979417.091</v>
      </c>
      <c r="R10" s="45" t="str">
        <f>IF(ABS(P10-Q10)&gt;1,"ERRO BADNET","OK BADNET")</f>
        <v>OK BADNET</v>
      </c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1:30" ht="12" customHeight="1" x14ac:dyDescent="0.2">
      <c r="A11" s="128"/>
      <c r="B11" s="127" t="s">
        <v>764</v>
      </c>
      <c r="C11" s="18" t="s">
        <v>765</v>
      </c>
      <c r="D11" s="15">
        <v>198072283.4316667</v>
      </c>
      <c r="E11" s="15">
        <v>-62777918.103615426</v>
      </c>
      <c r="F11" s="15">
        <f>IF((+$D$11+$D$12+$D$16+$D$17+$D$38)&lt;&gt;0,$M$19*$D$11/(+$D$11+$D$12+$D$16+$D$17+$D$38),0)</f>
        <v>10445465.121397715</v>
      </c>
      <c r="G11" s="17"/>
      <c r="H11" s="17"/>
      <c r="I11" s="17"/>
      <c r="J11" s="17"/>
      <c r="K11" s="17"/>
      <c r="L11" s="90" t="s">
        <v>808</v>
      </c>
      <c r="M11" s="32">
        <v>95620.339826642128</v>
      </c>
      <c r="N11" s="17"/>
      <c r="O11" s="32" t="s">
        <v>845</v>
      </c>
      <c r="P11" s="45">
        <f>SUM(Mercado_Receita!$N$2:$N$2012)</f>
        <v>3253569.9530000007</v>
      </c>
      <c r="Q11" s="45">
        <v>3253569.9530000002</v>
      </c>
      <c r="R11" s="45" t="str">
        <f>IF(ABS(P11-Q11)&gt;1,"ERRO BADNET","OK BADNET")</f>
        <v>OK BADNET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1:30" ht="12" customHeight="1" x14ac:dyDescent="0.2">
      <c r="A12" s="128"/>
      <c r="B12" s="128"/>
      <c r="C12" s="18" t="s">
        <v>766</v>
      </c>
      <c r="D12" s="15">
        <v>38770011.883000001</v>
      </c>
      <c r="E12" s="15">
        <v>-3417080.4985867236</v>
      </c>
      <c r="F12" s="15">
        <f>IF((+$D$11+$D$12+$D$16+$D$17+$D$38)&lt;&gt;0,$M$19*$D$12/(+$D$11+$D$12+$D$16+$D$17+$D$38),0)</f>
        <v>2044560.7021022863</v>
      </c>
      <c r="G12" s="17"/>
      <c r="H12" s="17"/>
      <c r="I12" s="17"/>
      <c r="J12" s="17"/>
      <c r="K12" s="17"/>
      <c r="L12" s="32" t="s">
        <v>809</v>
      </c>
      <c r="M12" s="32">
        <v>4441512.3615980372</v>
      </c>
      <c r="N12" s="17"/>
      <c r="O12" s="32" t="s">
        <v>846</v>
      </c>
      <c r="P12" s="45">
        <f>SUMIF('MERCADO TUSD'!$H$2:$H$59,"kW",'MERCADO TUSD'!$U$2:$U$59)</f>
        <v>7986105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0" ht="12" customHeight="1" x14ac:dyDescent="0.2">
      <c r="A13" s="128"/>
      <c r="B13" s="128"/>
      <c r="C13" s="18" t="s">
        <v>767</v>
      </c>
      <c r="D13" s="15">
        <f>-$M$51+10859345.9003171</f>
        <v>10859345.900317101</v>
      </c>
      <c r="E13" s="15">
        <v>-384108.67816110188</v>
      </c>
      <c r="F13" s="15">
        <v>0</v>
      </c>
      <c r="G13" s="17"/>
      <c r="H13" s="17"/>
      <c r="I13" s="17"/>
      <c r="J13" s="17"/>
      <c r="K13" s="17"/>
      <c r="L13" s="32" t="s">
        <v>810</v>
      </c>
      <c r="M13" s="32">
        <v>76681.760732041395</v>
      </c>
      <c r="N13" s="17"/>
      <c r="O13" s="32" t="s">
        <v>847</v>
      </c>
      <c r="P13" s="45">
        <f>SUMIF('MERCADO TUSD'!$H$2:$H$59,"MWh",'MERCADO TUSD'!$U$2:$U$59)</f>
        <v>3979417.091</v>
      </c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0" ht="12" customHeight="1" x14ac:dyDescent="0.2">
      <c r="A14" s="128"/>
      <c r="B14" s="128"/>
      <c r="C14" s="18" t="s">
        <v>768</v>
      </c>
      <c r="D14" s="15">
        <v>0</v>
      </c>
      <c r="E14" s="15">
        <v>0</v>
      </c>
      <c r="F14" s="15">
        <v>0</v>
      </c>
      <c r="G14" s="17"/>
      <c r="H14" s="17"/>
      <c r="I14" s="17"/>
      <c r="J14" s="17"/>
      <c r="K14" s="17"/>
      <c r="L14" s="32" t="s">
        <v>811</v>
      </c>
      <c r="M14" s="32">
        <v>210.75231348810775</v>
      </c>
      <c r="N14" s="17"/>
      <c r="O14" s="32" t="s">
        <v>848</v>
      </c>
      <c r="P14" s="45">
        <f>SUMIF('MERCADO TE'!$H$2:$H$41,"MWh",'MERCADO TE'!$U$2:$U$41)</f>
        <v>3253569.9530000002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0" ht="12" customHeight="1" x14ac:dyDescent="0.2">
      <c r="A15" s="128"/>
      <c r="B15" s="128"/>
      <c r="C15" s="18" t="s">
        <v>769</v>
      </c>
      <c r="D15" s="15">
        <v>5752402.4620709997</v>
      </c>
      <c r="E15" s="15">
        <v>-445013.06078690162</v>
      </c>
      <c r="F15" s="15">
        <v>0</v>
      </c>
      <c r="G15" s="17"/>
      <c r="H15" s="17"/>
      <c r="I15" s="17"/>
      <c r="J15" s="17"/>
      <c r="K15" s="17"/>
      <c r="L15" s="32" t="s">
        <v>812</v>
      </c>
      <c r="M15" s="32">
        <f>M14*M12</f>
        <v>936059005.59281528</v>
      </c>
      <c r="N15" s="17"/>
      <c r="O15" s="32" t="s">
        <v>849</v>
      </c>
      <c r="P15" s="45" t="str">
        <f>IF(ABS(P9-P12)&gt;1,"ERRO","OK")</f>
        <v>OK</v>
      </c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0" ht="12" customHeight="1" x14ac:dyDescent="0.2">
      <c r="A16" s="128"/>
      <c r="B16" s="128"/>
      <c r="C16" s="18" t="s">
        <v>770</v>
      </c>
      <c r="D16" s="15">
        <v>0</v>
      </c>
      <c r="E16" s="15">
        <v>0</v>
      </c>
      <c r="F16" s="15">
        <f>IF((+$D$11+$D$12+$D$16+$D$17+$D$38)&lt;&gt;0,$M$19*$D$16/(+$D$11+$D$12+$D$16+$D$17+$D$38),0)</f>
        <v>0</v>
      </c>
      <c r="G16" s="17"/>
      <c r="H16" s="17"/>
      <c r="I16" s="17"/>
      <c r="J16" s="17"/>
      <c r="K16" s="17"/>
      <c r="L16" s="32" t="s">
        <v>813</v>
      </c>
      <c r="M16" s="32">
        <v>-57520692.50283578</v>
      </c>
      <c r="N16" s="17"/>
      <c r="O16" s="32" t="s">
        <v>850</v>
      </c>
      <c r="P16" s="45" t="str">
        <f>IF(ABS(P10-P13)&gt;1,"ERRO","OK")</f>
        <v>OK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1:30" ht="12" customHeight="1" x14ac:dyDescent="0.2">
      <c r="A17" s="128"/>
      <c r="B17" s="128"/>
      <c r="C17" s="18" t="s">
        <v>771</v>
      </c>
      <c r="D17" s="15">
        <v>0</v>
      </c>
      <c r="E17" s="15">
        <v>0</v>
      </c>
      <c r="F17" s="15">
        <f>IF((+$D$11+$D$12+$D$16+$D$17+$D$38)&lt;&gt;0,$M$19*$D$17/(+$D$11+$D$12+$D$16+$D$17+$D$38),0)</f>
        <v>0</v>
      </c>
      <c r="G17" s="17"/>
      <c r="H17" s="17"/>
      <c r="I17" s="17"/>
      <c r="J17" s="17"/>
      <c r="K17" s="17"/>
      <c r="L17" s="32" t="s">
        <v>814</v>
      </c>
      <c r="M17" s="32">
        <v>79539366.470599994</v>
      </c>
      <c r="N17" s="17"/>
      <c r="O17" s="32" t="s">
        <v>851</v>
      </c>
      <c r="P17" s="45" t="str">
        <f>IF(ABS(P11-P14)&gt;1,"ERRO","OK")</f>
        <v>OK</v>
      </c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1:30" ht="12" customHeight="1" x14ac:dyDescent="0.2">
      <c r="A18" s="128"/>
      <c r="B18" s="129"/>
      <c r="C18" s="18" t="s">
        <v>763</v>
      </c>
      <c r="D18" s="15">
        <f>SUM(D$11:D17)</f>
        <v>253454043.67705479</v>
      </c>
      <c r="E18" s="15">
        <f>SUM(E$11:E17)+G5</f>
        <v>-67024085.051537625</v>
      </c>
      <c r="F18" s="15">
        <f>SUM(F$11:F17)</f>
        <v>12490025.823500002</v>
      </c>
      <c r="G18" s="17"/>
      <c r="H18" s="17"/>
      <c r="I18" s="17"/>
      <c r="J18" s="17"/>
      <c r="K18" s="17"/>
      <c r="L18" s="32" t="s">
        <v>815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</row>
    <row r="19" spans="1:30" ht="12" customHeight="1" x14ac:dyDescent="0.2">
      <c r="A19" s="128"/>
      <c r="B19" s="127" t="s">
        <v>772</v>
      </c>
      <c r="C19" s="18" t="s">
        <v>773</v>
      </c>
      <c r="D19" s="15">
        <v>799023843.67477477</v>
      </c>
      <c r="E19" s="85">
        <f>152421.654443492+G5</f>
        <v>152456.94405601404</v>
      </c>
      <c r="F19" s="15">
        <v>0</v>
      </c>
      <c r="G19" s="17"/>
      <c r="H19" s="17"/>
      <c r="I19" s="17"/>
      <c r="J19" s="17"/>
      <c r="K19" s="17"/>
      <c r="L19" s="32" t="s">
        <v>816</v>
      </c>
      <c r="M19" s="32">
        <v>12490025.823500002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1:30" ht="12" customHeight="1" x14ac:dyDescent="0.2">
      <c r="A20" s="128"/>
      <c r="B20" s="129"/>
      <c r="C20" s="18" t="s">
        <v>763</v>
      </c>
      <c r="D20" s="15">
        <f>SUM(D$19:D19)</f>
        <v>799023843.67477477</v>
      </c>
      <c r="E20" s="15">
        <f>SUM(E$19:E19)</f>
        <v>152456.94405601404</v>
      </c>
      <c r="F20" s="15">
        <f>SUM(F$19:F19)</f>
        <v>0</v>
      </c>
      <c r="G20" s="17"/>
      <c r="H20" s="17"/>
      <c r="I20" s="17"/>
      <c r="J20" s="17"/>
      <c r="K20" s="17"/>
      <c r="L20" s="32" t="s">
        <v>817</v>
      </c>
      <c r="M20" s="32">
        <v>0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1:30" ht="12" customHeight="1" x14ac:dyDescent="0.2">
      <c r="A21" s="128"/>
      <c r="B21" s="127" t="s">
        <v>774</v>
      </c>
      <c r="C21" s="18" t="s">
        <v>775</v>
      </c>
      <c r="D21" s="15"/>
      <c r="E21" s="15">
        <f>IF($D$46&lt;&gt;0,(1-$D$45/$D$46)*2980470.793226,0)+0</f>
        <v>1920127.5830976302</v>
      </c>
      <c r="F21" s="15"/>
      <c r="G21" s="17"/>
      <c r="H21" s="17"/>
      <c r="I21" s="17"/>
      <c r="J21" s="17"/>
      <c r="K21" s="17"/>
      <c r="L21" s="32" t="s">
        <v>818</v>
      </c>
      <c r="M21" s="32">
        <v>0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1:30" ht="12" customHeight="1" x14ac:dyDescent="0.2">
      <c r="A22" s="128"/>
      <c r="B22" s="128"/>
      <c r="C22" s="18" t="s">
        <v>776</v>
      </c>
      <c r="D22" s="15"/>
      <c r="E22" s="15"/>
      <c r="F22" s="15"/>
      <c r="G22" s="17"/>
      <c r="H22" s="17"/>
      <c r="I22" s="17"/>
      <c r="J22" s="17"/>
      <c r="K22" s="17"/>
      <c r="L22" s="32" t="s">
        <v>840</v>
      </c>
      <c r="M22" s="32">
        <v>21154319.914937146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1:30" ht="12" customHeight="1" x14ac:dyDescent="0.2">
      <c r="A23" s="128"/>
      <c r="B23" s="129"/>
      <c r="C23" s="18" t="s">
        <v>763</v>
      </c>
      <c r="D23" s="15">
        <f>SUM(D$21:D22)</f>
        <v>0</v>
      </c>
      <c r="E23" s="15">
        <f>SUM(E$21:E22)</f>
        <v>1920127.5830976302</v>
      </c>
      <c r="F23" s="15">
        <f>SUM(F$21:F22)</f>
        <v>0</v>
      </c>
      <c r="G23" s="17"/>
      <c r="H23" s="17"/>
      <c r="I23" s="17"/>
      <c r="J23" s="17"/>
      <c r="K23" s="17"/>
      <c r="L23" s="32" t="s">
        <v>819</v>
      </c>
      <c r="M23" s="32">
        <v>24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1:30" ht="12" customHeight="1" x14ac:dyDescent="0.2">
      <c r="A24" s="128"/>
      <c r="B24" s="127" t="s">
        <v>777</v>
      </c>
      <c r="C24" s="18" t="s">
        <v>778</v>
      </c>
      <c r="D24" s="15">
        <f>$M$14*$M$8</f>
        <v>111076260.92163464</v>
      </c>
      <c r="E24" s="15">
        <f>$M$16*$M$8/$M$12</f>
        <v>-6825620.4049783899</v>
      </c>
      <c r="F24" s="15">
        <f>$M$17*$M$8/$M$12</f>
        <v>9438438.57154564</v>
      </c>
      <c r="G24" s="17"/>
      <c r="H24" s="17"/>
      <c r="I24" s="17"/>
      <c r="J24" s="17"/>
      <c r="K24" s="17"/>
      <c r="L24" s="32" t="s">
        <v>820</v>
      </c>
      <c r="M24" s="32">
        <v>0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30" ht="12" customHeight="1" x14ac:dyDescent="0.2">
      <c r="A25" s="128"/>
      <c r="B25" s="128"/>
      <c r="C25" s="18" t="s">
        <v>779</v>
      </c>
      <c r="D25" s="15">
        <f>$M$14*$M$10</f>
        <v>6572544.2354732472</v>
      </c>
      <c r="E25" s="15">
        <f>$M$16*$M$10/$M$12</f>
        <v>-403881.90666518419</v>
      </c>
      <c r="F25" s="15">
        <f>$M$17*$M$10/$M$12</f>
        <v>558486.16536567255</v>
      </c>
      <c r="G25" s="17"/>
      <c r="H25" s="17"/>
      <c r="I25" s="17"/>
      <c r="J25" s="17"/>
      <c r="K25" s="17"/>
      <c r="L25" s="32" t="s">
        <v>821</v>
      </c>
      <c r="M25" s="32">
        <v>0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30" ht="12" customHeight="1" x14ac:dyDescent="0.2">
      <c r="A26" s="128"/>
      <c r="B26" s="128"/>
      <c r="C26" s="18" t="s">
        <v>780</v>
      </c>
      <c r="D26" s="15">
        <f>$M$14*$M$9</f>
        <v>112560597.91057952</v>
      </c>
      <c r="E26" s="15">
        <f>$M$16*$M$9/$M$12</f>
        <v>-6916832.701427171</v>
      </c>
      <c r="F26" s="15">
        <f>$M$17*$M$9/$M$12</f>
        <v>9564566.5432056971</v>
      </c>
      <c r="G26" s="17"/>
      <c r="H26" s="17"/>
      <c r="I26" s="17"/>
      <c r="J26" s="17"/>
      <c r="K26" s="17"/>
      <c r="L26" s="32" t="s">
        <v>822</v>
      </c>
      <c r="M26" s="32">
        <v>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30" ht="12" customHeight="1" x14ac:dyDescent="0.2">
      <c r="A27" s="128"/>
      <c r="B27" s="128"/>
      <c r="C27" s="18" t="s">
        <v>781</v>
      </c>
      <c r="D27" s="15">
        <v>31000935.30029773</v>
      </c>
      <c r="E27" s="15">
        <v>6518294.0356907388</v>
      </c>
      <c r="F27" s="15">
        <v>0</v>
      </c>
      <c r="G27" s="17"/>
      <c r="H27" s="17"/>
      <c r="I27" s="17"/>
      <c r="J27" s="17"/>
      <c r="K27" s="17"/>
      <c r="L27" s="32" t="s">
        <v>823</v>
      </c>
      <c r="M27" s="32">
        <v>0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30" ht="12" customHeight="1" x14ac:dyDescent="0.2">
      <c r="A28" s="128"/>
      <c r="B28" s="129"/>
      <c r="C28" s="18" t="s">
        <v>763</v>
      </c>
      <c r="D28" s="15">
        <f>SUM(D$24:D27)</f>
        <v>261210338.36798513</v>
      </c>
      <c r="E28" s="15">
        <f>SUM(E$24:E27)</f>
        <v>-7628040.9773800066</v>
      </c>
      <c r="F28" s="15">
        <f>SUM(F$24:F27)</f>
        <v>19561491.280117009</v>
      </c>
      <c r="G28" s="17"/>
      <c r="H28" s="17"/>
      <c r="I28" s="17"/>
      <c r="J28" s="17"/>
      <c r="K28" s="17"/>
      <c r="L28" s="32" t="s">
        <v>824</v>
      </c>
      <c r="M28" s="32">
        <v>0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30" ht="12" customHeight="1" x14ac:dyDescent="0.2">
      <c r="A29" s="129"/>
      <c r="B29" s="123" t="s">
        <v>763</v>
      </c>
      <c r="C29" s="125"/>
      <c r="D29" s="15">
        <f>SUMIF(C$2:C28,"SUBTOTAL",D$2:D28)</f>
        <v>1535224900.5884929</v>
      </c>
      <c r="E29" s="15">
        <f>SUMIF(C$2:C28,"SUBTOTAL",E$2:E28)</f>
        <v>-86338149.309124306</v>
      </c>
      <c r="F29" s="15">
        <f>SUMIF(C$2:C28,"SUBTOTAL",F$2:F28)</f>
        <v>47945422.948021829</v>
      </c>
      <c r="G29" s="17"/>
      <c r="H29" s="17"/>
      <c r="I29" s="17"/>
      <c r="J29" s="17"/>
      <c r="K29" s="17"/>
      <c r="L29" s="32" t="s">
        <v>825</v>
      </c>
      <c r="M29" s="32">
        <v>0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30" ht="12" customHeight="1" x14ac:dyDescent="0.2">
      <c r="A30" s="127" t="s">
        <v>782</v>
      </c>
      <c r="B30" s="127" t="s">
        <v>755</v>
      </c>
      <c r="C30" s="18" t="s">
        <v>757</v>
      </c>
      <c r="D30" s="15">
        <f>IFERROR($M$5*(+D$31+D$32+D$33+D$35+D$37+D$38+D$39+D$43)+($M$5^2)*(+D$31+D$32+D$33+D$35+D$37+D$38+D$39+D$43)/$M$22*(+$E$2+$F$2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8350221.3712038137</v>
      </c>
      <c r="E30" s="15">
        <f>IF((D30+D$4)&lt;&gt;0,$M$20*D30/(D30+D$4),0)</f>
        <v>0</v>
      </c>
      <c r="F30" s="15">
        <f>IF((D30+D$4)&lt;&gt;0,$M$21*D30/(D30+D$4),0)</f>
        <v>0</v>
      </c>
      <c r="G30" s="17"/>
      <c r="H30" s="17"/>
      <c r="I30" s="17"/>
      <c r="J30" s="17"/>
      <c r="K30" s="17"/>
      <c r="L30" s="32" t="s">
        <v>826</v>
      </c>
      <c r="M30" s="32">
        <v>0</v>
      </c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30" ht="12" customHeight="1" x14ac:dyDescent="0.2">
      <c r="A31" s="128"/>
      <c r="B31" s="128"/>
      <c r="C31" s="18" t="s">
        <v>783</v>
      </c>
      <c r="D31" s="15">
        <v>48621617.719999999</v>
      </c>
      <c r="E31" s="15">
        <v>-99279563.803015977</v>
      </c>
      <c r="F31" s="15">
        <v>111189301.44419999</v>
      </c>
      <c r="G31" s="17"/>
      <c r="H31" s="17"/>
      <c r="I31" s="17"/>
      <c r="J31" s="17"/>
      <c r="K31" s="17"/>
      <c r="L31" s="32" t="s">
        <v>827</v>
      </c>
      <c r="M31" s="32">
        <v>0</v>
      </c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30" ht="12" customHeight="1" x14ac:dyDescent="0.2">
      <c r="A32" s="128"/>
      <c r="B32" s="128"/>
      <c r="C32" s="18" t="s">
        <v>784</v>
      </c>
      <c r="D32" s="15">
        <v>0</v>
      </c>
      <c r="E32" s="15">
        <v>0</v>
      </c>
      <c r="F32" s="15">
        <v>0</v>
      </c>
      <c r="G32" s="17"/>
      <c r="H32" s="17"/>
      <c r="I32" s="17"/>
      <c r="J32" s="17"/>
      <c r="K32" s="17"/>
      <c r="L32" s="32" t="s">
        <v>828</v>
      </c>
      <c r="M32" s="32">
        <v>0.45</v>
      </c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</row>
    <row r="33" spans="1:30" ht="12" customHeight="1" x14ac:dyDescent="0.2">
      <c r="A33" s="128"/>
      <c r="B33" s="128"/>
      <c r="C33" s="18" t="s">
        <v>842</v>
      </c>
      <c r="D33" s="15">
        <v>84968733.207816899</v>
      </c>
      <c r="E33" s="15">
        <v>9797111.8265378717</v>
      </c>
      <c r="F33" s="15">
        <v>516594.31339518295</v>
      </c>
      <c r="G33" s="17"/>
      <c r="H33" s="17"/>
      <c r="I33" s="17"/>
      <c r="J33" s="17"/>
      <c r="K33" s="17"/>
      <c r="L33" s="32" t="s">
        <v>829</v>
      </c>
      <c r="M33" s="32">
        <v>0.4</v>
      </c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1:30" ht="12" customHeight="1" x14ac:dyDescent="0.2">
      <c r="A34" s="128"/>
      <c r="B34" s="129"/>
      <c r="C34" s="18" t="s">
        <v>763</v>
      </c>
      <c r="D34" s="15">
        <f>SUM(D$30:D33)</f>
        <v>141940572.29902071</v>
      </c>
      <c r="E34" s="15">
        <f>SUM(E$30:E33)</f>
        <v>-89482451.9764781</v>
      </c>
      <c r="F34" s="15">
        <f>SUM(F$30:F33)</f>
        <v>111705895.75759518</v>
      </c>
      <c r="G34" s="17"/>
      <c r="H34" s="17"/>
      <c r="I34" s="17"/>
      <c r="J34" s="17"/>
      <c r="K34" s="17"/>
      <c r="L34" s="32" t="s">
        <v>830</v>
      </c>
      <c r="M34" s="32">
        <v>0.65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1:30" ht="12" customHeight="1" x14ac:dyDescent="0.2">
      <c r="A35" s="128"/>
      <c r="B35" s="127" t="s">
        <v>785</v>
      </c>
      <c r="C35" s="18" t="s">
        <v>786</v>
      </c>
      <c r="D35" s="15">
        <f>$M$14*($M$12-$M$7)</f>
        <v>685697394.69014406</v>
      </c>
      <c r="E35" s="15">
        <f>$M$16*($M$12-$M$7)/$M$12</f>
        <v>-42136007.190047301</v>
      </c>
      <c r="F35" s="15">
        <f>$M$17*($M$12-$M$7)/$M$12</f>
        <v>58265489.716275245</v>
      </c>
      <c r="G35" s="17"/>
      <c r="H35" s="17"/>
      <c r="I35" s="17"/>
      <c r="J35" s="17"/>
      <c r="K35" s="17"/>
      <c r="L35" s="32" t="s">
        <v>831</v>
      </c>
      <c r="M35" s="32">
        <v>0.4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 ht="12" customHeight="1" x14ac:dyDescent="0.2">
      <c r="A36" s="128"/>
      <c r="B36" s="129"/>
      <c r="C36" s="18" t="s">
        <v>763</v>
      </c>
      <c r="D36" s="15">
        <f>SUM(D$35:D35)</f>
        <v>685697394.69014406</v>
      </c>
      <c r="E36" s="15">
        <f>SUM(E$35:E35)</f>
        <v>-42136007.190047301</v>
      </c>
      <c r="F36" s="15">
        <f>SUM(F$35:F35)</f>
        <v>58265489.716275245</v>
      </c>
      <c r="G36" s="17"/>
      <c r="H36" s="17"/>
      <c r="I36" s="17"/>
      <c r="J36" s="17"/>
      <c r="K36" s="17"/>
      <c r="L36" s="32" t="s">
        <v>832</v>
      </c>
      <c r="M36" s="32">
        <v>0.1</v>
      </c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 ht="12" customHeight="1" x14ac:dyDescent="0.2">
      <c r="A37" s="128"/>
      <c r="B37" s="127" t="s">
        <v>764</v>
      </c>
      <c r="C37" s="18" t="s">
        <v>787</v>
      </c>
      <c r="D37" s="15">
        <v>0</v>
      </c>
      <c r="E37" s="15">
        <v>0</v>
      </c>
      <c r="F37" s="15">
        <v>0</v>
      </c>
      <c r="G37" s="17"/>
      <c r="H37" s="17"/>
      <c r="I37" s="17"/>
      <c r="J37" s="17"/>
      <c r="K37" s="17"/>
      <c r="L37" s="32" t="s">
        <v>833</v>
      </c>
      <c r="M37" s="32">
        <v>0</v>
      </c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 ht="12" customHeight="1" x14ac:dyDescent="0.2">
      <c r="A38" s="128"/>
      <c r="B38" s="128"/>
      <c r="C38" s="18" t="s">
        <v>788</v>
      </c>
      <c r="D38" s="15">
        <v>0</v>
      </c>
      <c r="E38" s="15">
        <v>0</v>
      </c>
      <c r="F38" s="15">
        <f>IF((+$D$11+$D$12+$D$16+$D$17+$D$38)&lt;&gt;0,$M$19*$D$38/(+$D$11+$D$12+$D$16+$D$17+$D$38),0)</f>
        <v>0</v>
      </c>
      <c r="G38" s="17"/>
      <c r="H38" s="17"/>
      <c r="I38" s="17"/>
      <c r="J38" s="17"/>
      <c r="K38" s="17"/>
      <c r="L38" s="32" t="s">
        <v>834</v>
      </c>
      <c r="M38" s="32">
        <f>IFERROR(VLOOKUP("Convencional1RuralNão se aplicaRURALB2",Descontos!B1:U88,VLOOKUP("Convencional1RuralNão se aplicaRURALB2",Descontos!B1:U88,20,FALSE)+12,FALSE),100)</f>
        <v>0.06</v>
      </c>
      <c r="N38" s="17" t="s">
        <v>890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 ht="12" customHeight="1" x14ac:dyDescent="0.2">
      <c r="A39" s="128"/>
      <c r="B39" s="128"/>
      <c r="C39" s="18" t="s">
        <v>789</v>
      </c>
      <c r="D39" s="15"/>
      <c r="E39" s="15">
        <v>0</v>
      </c>
      <c r="F39" s="15">
        <v>0</v>
      </c>
      <c r="G39" s="17"/>
      <c r="H39" s="17"/>
      <c r="I39" s="17"/>
      <c r="J39" s="17"/>
      <c r="K39" s="17"/>
      <c r="L39" s="32" t="s">
        <v>835</v>
      </c>
      <c r="M39" s="32">
        <f>IFERROR(VLOOKUP("Convencional1RuralCooperativa de eletrificação ruralPlanilha CUSTOB2",Descontos!B1:U88,VLOOKUP("Convencional1RuralCooperativa de eletrificação ruralPlanilha CUSTOB2",Descontos!B1:U88,20,FALSE)+12,FALSE),100)</f>
        <v>0.06</v>
      </c>
      <c r="N39" s="17">
        <v>0.3</v>
      </c>
      <c r="O39" s="17" t="s">
        <v>908</v>
      </c>
      <c r="P39" s="17" t="s">
        <v>909</v>
      </c>
      <c r="Q39" s="17" t="s">
        <v>910</v>
      </c>
      <c r="R39" s="17" t="s">
        <v>911</v>
      </c>
      <c r="S39" s="17" t="s">
        <v>1</v>
      </c>
      <c r="T39" s="17" t="s">
        <v>912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 ht="12" customHeight="1" x14ac:dyDescent="0.25">
      <c r="A40" s="128"/>
      <c r="B40" s="129"/>
      <c r="C40" s="18" t="s">
        <v>763</v>
      </c>
      <c r="D40" s="15">
        <f>SUM(D$37:D39)</f>
        <v>0</v>
      </c>
      <c r="E40" s="15">
        <f>SUM(E$37:E39)</f>
        <v>0</v>
      </c>
      <c r="F40" s="15">
        <f>SUM(F$37:F39)</f>
        <v>0</v>
      </c>
      <c r="G40" s="17"/>
      <c r="H40" s="17"/>
      <c r="I40" s="17"/>
      <c r="J40" s="17"/>
      <c r="K40" s="17"/>
      <c r="L40" s="32" t="s">
        <v>836</v>
      </c>
      <c r="M40" s="32">
        <f>IFERROR(VLOOKUP("Convencional1RuralServiço público de irrigação ruralPlanilha CUSTOB2",Descontos!B1:U88,VLOOKUP("Convencional1RuralServiço público de irrigação ruralPlanilha CUSTOB2",Descontos!B1:U88,20,FALSE)+12,FALSE),100)</f>
        <v>0.08</v>
      </c>
      <c r="N40" s="17">
        <v>0.4</v>
      </c>
      <c r="O40" s="51"/>
      <c r="P40" s="51"/>
      <c r="Q40" s="51"/>
      <c r="R40" s="51"/>
      <c r="S40" s="51"/>
      <c r="T40" s="51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 ht="12" customHeight="1" x14ac:dyDescent="0.25">
      <c r="A41" s="128"/>
      <c r="B41" s="127" t="s">
        <v>774</v>
      </c>
      <c r="C41" s="18" t="s">
        <v>775</v>
      </c>
      <c r="D41" s="15"/>
      <c r="E41" s="15">
        <f>IF($D$46&lt;&gt;0,($D$45/$D$46)* 2980470.793226,0)+0</f>
        <v>1060343.2101283697</v>
      </c>
      <c r="F41" s="15"/>
      <c r="G41" s="17"/>
      <c r="H41" s="17"/>
      <c r="I41" s="17"/>
      <c r="J41" s="17"/>
      <c r="K41" s="17"/>
      <c r="L41" s="17"/>
      <c r="M41" s="17"/>
      <c r="N41" s="17"/>
      <c r="O41" s="51"/>
      <c r="P41" s="51"/>
      <c r="Q41" s="51"/>
      <c r="R41" s="51"/>
      <c r="S41" s="51"/>
      <c r="T41" s="51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 ht="12" customHeight="1" x14ac:dyDescent="0.25">
      <c r="A42" s="128"/>
      <c r="B42" s="129"/>
      <c r="C42" s="18" t="s">
        <v>763</v>
      </c>
      <c r="D42" s="15">
        <f>SUM(D$41:D41)</f>
        <v>0</v>
      </c>
      <c r="E42" s="15">
        <f>SUM(E$41:E41)</f>
        <v>1060343.2101283697</v>
      </c>
      <c r="F42" s="15">
        <f>SUM(F$41:F41)</f>
        <v>0</v>
      </c>
      <c r="G42" s="17"/>
      <c r="H42" s="17"/>
      <c r="I42" s="17"/>
      <c r="J42" s="17"/>
      <c r="K42" s="17"/>
      <c r="L42" s="17"/>
      <c r="M42" s="17"/>
      <c r="N42" s="17"/>
      <c r="O42" s="51"/>
      <c r="P42" s="51"/>
      <c r="Q42" s="51"/>
      <c r="R42" s="51"/>
      <c r="S42" s="51"/>
      <c r="T42" s="51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 ht="12" customHeight="1" x14ac:dyDescent="0.25">
      <c r="A43" s="128"/>
      <c r="B43" s="127" t="s">
        <v>777</v>
      </c>
      <c r="C43" s="18" t="s">
        <v>790</v>
      </c>
      <c r="D43" s="15">
        <f>$M$14*$M$11</f>
        <v>20152207.834983878</v>
      </c>
      <c r="E43" s="15">
        <f>$M$16*$M$11/$M$12</f>
        <v>-1238350.2997177325</v>
      </c>
      <c r="F43" s="15">
        <f>$M$17*$M$11/$M$12</f>
        <v>1712385.4742077403</v>
      </c>
      <c r="G43" s="17"/>
      <c r="H43" s="17"/>
      <c r="I43" s="17"/>
      <c r="J43" s="17"/>
      <c r="K43" s="17"/>
      <c r="L43" s="17"/>
      <c r="M43" s="17"/>
      <c r="N43" s="17"/>
      <c r="O43" s="51"/>
      <c r="P43" s="51"/>
      <c r="Q43" s="51"/>
      <c r="R43" s="51"/>
      <c r="S43" s="51"/>
      <c r="T43" s="51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 ht="12" customHeight="1" x14ac:dyDescent="0.25">
      <c r="A44" s="128"/>
      <c r="B44" s="129"/>
      <c r="C44" s="18" t="s">
        <v>763</v>
      </c>
      <c r="D44" s="15">
        <f>SUM(D$43:D43)</f>
        <v>20152207.834983878</v>
      </c>
      <c r="E44" s="15">
        <f>SUM(E$43:E43)</f>
        <v>-1238350.2997177325</v>
      </c>
      <c r="F44" s="15">
        <f>SUM(F$43:F43)</f>
        <v>1712385.4742077403</v>
      </c>
      <c r="G44" s="17"/>
      <c r="H44" s="17"/>
      <c r="I44" s="17"/>
      <c r="J44" s="17"/>
      <c r="K44" s="17"/>
      <c r="L44" s="17"/>
      <c r="M44" s="17"/>
      <c r="N44" s="17"/>
      <c r="O44" s="51"/>
      <c r="P44" s="51"/>
      <c r="Q44" s="51"/>
      <c r="R44" s="51"/>
      <c r="S44" s="51"/>
      <c r="T44" s="51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 ht="12" customHeight="1" x14ac:dyDescent="0.25">
      <c r="A45" s="129"/>
      <c r="B45" s="123" t="s">
        <v>763</v>
      </c>
      <c r="C45" s="125"/>
      <c r="D45" s="15">
        <f>SUMIF(C$30:C44,"SUBTOTAL",D$30:D44)</f>
        <v>847790174.82414865</v>
      </c>
      <c r="E45" s="15">
        <f>SUMIF(C$30:C44,"SUBTOTAL",E$30:E44)</f>
        <v>-131796466.25611477</v>
      </c>
      <c r="F45" s="15">
        <f>SUMIF(C$30:C44,"SUBTOTAL",F$30:F44)</f>
        <v>171683770.94807816</v>
      </c>
      <c r="G45" s="17"/>
      <c r="H45" s="17"/>
      <c r="I45" s="17"/>
      <c r="J45" s="17"/>
      <c r="K45" s="17"/>
      <c r="L45" s="17"/>
      <c r="M45" s="17"/>
      <c r="N45" s="17"/>
      <c r="O45" s="51"/>
      <c r="P45" s="51"/>
      <c r="Q45" s="51"/>
      <c r="R45" s="51"/>
      <c r="S45" s="51"/>
      <c r="T45" s="51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 ht="12" customHeight="1" x14ac:dyDescent="0.25">
      <c r="A46" s="123" t="s">
        <v>791</v>
      </c>
      <c r="B46" s="124"/>
      <c r="C46" s="125"/>
      <c r="D46" s="15">
        <f>SUMIF(C$2:C45,"SUBTOTAL",D$2:D45)</f>
        <v>2383015075.4126415</v>
      </c>
      <c r="E46" s="15">
        <f>SUMIF(C$2:C45,"SUBTOTAL",E$2:E45)</f>
        <v>-218134615.56523904</v>
      </c>
      <c r="F46" s="15">
        <f>SUMIF(C$2:C45,"SUBTOTAL",F$2:F45)</f>
        <v>219629193.89609998</v>
      </c>
      <c r="G46" s="17"/>
      <c r="H46" s="17"/>
      <c r="I46" s="17"/>
      <c r="J46" s="17"/>
      <c r="K46" s="17"/>
      <c r="L46" s="17"/>
      <c r="M46" s="17"/>
      <c r="N46" s="17"/>
      <c r="O46" s="51"/>
      <c r="P46" s="51"/>
      <c r="Q46" s="51"/>
      <c r="R46" s="51"/>
      <c r="S46" s="51"/>
      <c r="T46" s="51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 ht="12" customHeight="1" x14ac:dyDescent="0.25">
      <c r="A47" s="121" t="s">
        <v>883</v>
      </c>
      <c r="B47" s="122"/>
      <c r="C47" s="122"/>
      <c r="D47" s="42">
        <f ca="1">'TUSD BE'!$AM$64+'TUSD BE'!$AM$68+'TE BE'!$AA$46</f>
        <v>2383015075.412642</v>
      </c>
      <c r="E47" s="42">
        <f ca="1">'TUSD BF'!$AM$64+'TE BF'!$AA$46</f>
        <v>-218134650.8548516</v>
      </c>
      <c r="F47" s="42">
        <f ca="1">'TUSD CVA'!$AM$64+'TE CVA'!$AA$46</f>
        <v>219629193.89610001</v>
      </c>
      <c r="H47" s="57">
        <f ca="1">SUM(D47:G47)</f>
        <v>2384509618.4538903</v>
      </c>
      <c r="L47" s="9"/>
      <c r="M47" s="17"/>
      <c r="O47" s="51"/>
      <c r="P47" s="51"/>
      <c r="Q47" s="51"/>
      <c r="R47" s="51"/>
      <c r="S47" s="51"/>
      <c r="T47" s="51"/>
    </row>
    <row r="48" spans="1:30" ht="12" customHeight="1" x14ac:dyDescent="0.25">
      <c r="A48" s="121" t="s">
        <v>884</v>
      </c>
      <c r="B48" s="122"/>
      <c r="C48" s="122"/>
      <c r="D48" s="43" t="str">
        <f ca="1">IF(ABS(D47-D46)&gt;1,"ERRO","OK")</f>
        <v>OK</v>
      </c>
      <c r="E48" s="43" t="str">
        <f ca="1">IF(ABS(E47-E46)&gt;1,"ERRO","OK")</f>
        <v>ERRO</v>
      </c>
      <c r="F48" s="43" t="str">
        <f ca="1">IF(ABS(F47-F46)&gt;1,"ERRO","OK")</f>
        <v>OK</v>
      </c>
      <c r="L48" s="92"/>
      <c r="M48" s="32"/>
      <c r="O48" s="51"/>
      <c r="P48" s="51"/>
      <c r="Q48" s="51"/>
      <c r="R48" s="51"/>
      <c r="S48" s="51"/>
      <c r="T48" s="51"/>
    </row>
    <row r="49" spans="12:20" ht="12" customHeight="1" x14ac:dyDescent="0.25">
      <c r="L49" s="92"/>
      <c r="M49" s="32"/>
      <c r="O49" s="51"/>
      <c r="P49" s="51"/>
      <c r="Q49" s="51"/>
      <c r="R49" s="51"/>
      <c r="S49" s="51"/>
      <c r="T49" s="51"/>
    </row>
    <row r="50" spans="12:20" ht="12" customHeight="1" x14ac:dyDescent="0.25">
      <c r="L50" s="92"/>
      <c r="M50" s="32"/>
      <c r="O50" s="51"/>
      <c r="P50" s="51"/>
      <c r="Q50" s="51"/>
      <c r="R50" s="51"/>
      <c r="S50" s="51"/>
      <c r="T50" s="51"/>
    </row>
    <row r="51" spans="12:20" ht="12" customHeight="1" x14ac:dyDescent="0.25">
      <c r="L51" s="68" t="s">
        <v>837</v>
      </c>
      <c r="M51" s="76">
        <v>0</v>
      </c>
      <c r="O51" s="51"/>
      <c r="P51" s="51"/>
      <c r="Q51" s="51"/>
      <c r="R51" s="51"/>
      <c r="S51" s="51"/>
      <c r="T51" s="51"/>
    </row>
    <row r="52" spans="12:20" ht="12" customHeight="1" x14ac:dyDescent="0.25">
      <c r="O52" s="51"/>
      <c r="P52" s="51"/>
      <c r="Q52" s="51"/>
      <c r="R52" s="51"/>
      <c r="S52" s="51"/>
      <c r="T52" s="51"/>
    </row>
    <row r="53" spans="12:20" ht="12" customHeight="1" x14ac:dyDescent="0.25">
      <c r="O53" s="51"/>
      <c r="P53" s="51"/>
      <c r="Q53" s="51"/>
      <c r="R53" s="51"/>
      <c r="S53" s="51"/>
      <c r="T53" s="51"/>
    </row>
    <row r="54" spans="12:20" ht="12" customHeight="1" x14ac:dyDescent="0.25">
      <c r="O54" s="51"/>
      <c r="P54" s="51"/>
      <c r="Q54" s="51"/>
      <c r="R54" s="51"/>
      <c r="S54" s="51"/>
      <c r="T54" s="51"/>
    </row>
    <row r="55" spans="12:20" ht="12" customHeight="1" x14ac:dyDescent="0.25">
      <c r="O55" s="51"/>
      <c r="P55" s="51"/>
      <c r="Q55" s="51"/>
      <c r="R55" s="51"/>
      <c r="S55" s="51"/>
      <c r="T55" s="51"/>
    </row>
    <row r="56" spans="12:20" ht="12" customHeight="1" x14ac:dyDescent="0.25">
      <c r="O56" s="51"/>
      <c r="P56" s="51"/>
      <c r="Q56" s="51"/>
      <c r="R56" s="51"/>
      <c r="S56" s="51"/>
      <c r="T56" s="51"/>
    </row>
    <row r="57" spans="12:20" ht="12" customHeight="1" x14ac:dyDescent="0.25">
      <c r="O57" s="51"/>
      <c r="P57" s="51"/>
      <c r="Q57" s="51"/>
      <c r="R57" s="51"/>
      <c r="S57" s="51"/>
      <c r="T57" s="51"/>
    </row>
    <row r="58" spans="12:20" ht="12" customHeight="1" x14ac:dyDescent="0.25">
      <c r="O58" s="51"/>
      <c r="P58" s="51"/>
      <c r="Q58" s="51"/>
      <c r="R58" s="51"/>
      <c r="S58" s="51"/>
      <c r="T58" s="51"/>
    </row>
    <row r="59" spans="12:20" ht="12" customHeight="1" x14ac:dyDescent="0.25">
      <c r="O59" s="51"/>
      <c r="P59" s="51"/>
      <c r="Q59" s="51"/>
      <c r="R59" s="51"/>
      <c r="S59" s="51"/>
      <c r="T59" s="51"/>
    </row>
    <row r="60" spans="12:20" ht="12" customHeight="1" x14ac:dyDescent="0.25">
      <c r="O60" s="51"/>
      <c r="P60" s="51"/>
      <c r="Q60" s="51"/>
      <c r="R60" s="51"/>
      <c r="S60" s="51"/>
      <c r="T60" s="51"/>
    </row>
    <row r="61" spans="12:20" ht="12" customHeight="1" x14ac:dyDescent="0.25">
      <c r="O61" s="51"/>
      <c r="P61" s="51"/>
      <c r="Q61" s="51"/>
      <c r="R61" s="51"/>
      <c r="S61" s="51"/>
      <c r="T61" s="51"/>
    </row>
    <row r="62" spans="12:20" ht="12" customHeight="1" x14ac:dyDescent="0.25">
      <c r="O62" s="51"/>
      <c r="P62" s="51"/>
      <c r="Q62" s="51"/>
      <c r="R62" s="51"/>
      <c r="S62" s="51"/>
      <c r="T62" s="51"/>
    </row>
    <row r="63" spans="12:20" ht="12" customHeight="1" x14ac:dyDescent="0.25">
      <c r="O63" s="51"/>
      <c r="P63" s="51"/>
      <c r="Q63" s="51"/>
      <c r="R63" s="51"/>
      <c r="S63" s="51"/>
      <c r="T63" s="51"/>
    </row>
    <row r="64" spans="12:20" ht="12" customHeight="1" x14ac:dyDescent="0.25">
      <c r="O64" s="51"/>
      <c r="P64" s="51"/>
      <c r="Q64" s="51"/>
      <c r="R64" s="51"/>
      <c r="S64" s="51"/>
      <c r="T64" s="51"/>
    </row>
    <row r="65" spans="15:20" ht="12" customHeight="1" x14ac:dyDescent="0.25">
      <c r="O65" s="51"/>
      <c r="P65" s="51"/>
      <c r="Q65" s="51"/>
      <c r="R65" s="51"/>
      <c r="S65" s="51"/>
      <c r="T65" s="51"/>
    </row>
    <row r="66" spans="15:20" ht="12" customHeight="1" x14ac:dyDescent="0.25">
      <c r="O66" s="51"/>
      <c r="P66" s="51"/>
      <c r="Q66" s="51"/>
      <c r="R66" s="51"/>
      <c r="S66" s="51"/>
      <c r="T66" s="51"/>
    </row>
    <row r="67" spans="15:20" ht="12" customHeight="1" x14ac:dyDescent="0.25">
      <c r="O67" s="51"/>
      <c r="P67" s="51"/>
      <c r="Q67" s="51"/>
      <c r="R67" s="51"/>
      <c r="S67" s="51"/>
      <c r="T67" s="51"/>
    </row>
    <row r="68" spans="15:20" ht="12" customHeight="1" x14ac:dyDescent="0.25">
      <c r="O68" s="51"/>
      <c r="P68" s="51"/>
      <c r="Q68" s="51"/>
      <c r="R68" s="51"/>
      <c r="S68" s="51"/>
      <c r="T68" s="51"/>
    </row>
    <row r="69" spans="15:20" ht="12" customHeight="1" x14ac:dyDescent="0.25">
      <c r="O69" s="51"/>
      <c r="P69" s="51"/>
      <c r="Q69" s="51"/>
      <c r="R69" s="51"/>
      <c r="S69" s="51"/>
      <c r="T69" s="51"/>
    </row>
    <row r="70" spans="15:20" ht="12" customHeight="1" x14ac:dyDescent="0.25">
      <c r="O70" s="51"/>
      <c r="P70" s="51"/>
      <c r="Q70" s="51"/>
      <c r="R70" s="51"/>
      <c r="S70" s="51"/>
      <c r="T70" s="51"/>
    </row>
    <row r="71" spans="15:20" ht="12" customHeight="1" x14ac:dyDescent="0.25">
      <c r="O71" s="51"/>
      <c r="P71" s="51"/>
      <c r="Q71" s="51"/>
      <c r="R71" s="51"/>
      <c r="S71" s="51"/>
      <c r="T71" s="51"/>
    </row>
    <row r="72" spans="15:20" ht="12" customHeight="1" x14ac:dyDescent="0.25">
      <c r="O72" s="51"/>
      <c r="P72" s="51"/>
      <c r="Q72" s="51"/>
      <c r="R72" s="51"/>
      <c r="S72" s="51"/>
      <c r="T72" s="51"/>
    </row>
    <row r="73" spans="15:20" ht="12" customHeight="1" x14ac:dyDescent="0.25">
      <c r="O73" s="51"/>
      <c r="P73" s="51"/>
      <c r="Q73" s="51"/>
      <c r="R73" s="51"/>
      <c r="S73" s="51"/>
      <c r="T73" s="51"/>
    </row>
    <row r="74" spans="15:20" ht="12" customHeight="1" x14ac:dyDescent="0.25">
      <c r="O74" s="51"/>
      <c r="P74" s="51"/>
      <c r="Q74" s="51"/>
      <c r="R74" s="51"/>
      <c r="S74" s="51"/>
      <c r="T74" s="51"/>
    </row>
    <row r="75" spans="15:20" ht="12" customHeight="1" x14ac:dyDescent="0.25">
      <c r="O75" s="51"/>
      <c r="P75" s="51"/>
      <c r="Q75" s="51"/>
      <c r="R75" s="51"/>
      <c r="S75" s="51"/>
      <c r="T75" s="51"/>
    </row>
    <row r="76" spans="15:20" ht="12" customHeight="1" x14ac:dyDescent="0.25">
      <c r="O76" s="51"/>
      <c r="P76" s="51"/>
      <c r="Q76" s="51"/>
      <c r="R76" s="51"/>
      <c r="S76" s="51"/>
      <c r="T76" s="51"/>
    </row>
    <row r="77" spans="15:20" ht="12" customHeight="1" x14ac:dyDescent="0.25">
      <c r="O77" s="51"/>
      <c r="P77" s="51"/>
      <c r="Q77" s="51"/>
      <c r="R77" s="51"/>
      <c r="S77" s="51"/>
      <c r="T77" s="51"/>
    </row>
    <row r="78" spans="15:20" ht="12" customHeight="1" x14ac:dyDescent="0.25">
      <c r="O78" s="51"/>
      <c r="P78" s="51"/>
      <c r="Q78" s="51"/>
      <c r="R78" s="51"/>
      <c r="S78" s="51"/>
      <c r="T78" s="51"/>
    </row>
    <row r="79" spans="15:20" ht="12" customHeight="1" x14ac:dyDescent="0.25">
      <c r="O79" s="51"/>
      <c r="P79" s="51"/>
      <c r="Q79" s="51"/>
      <c r="R79" s="51"/>
      <c r="S79" s="51"/>
      <c r="T79" s="51"/>
    </row>
    <row r="80" spans="15:20" ht="12" customHeight="1" x14ac:dyDescent="0.25">
      <c r="O80" s="51"/>
      <c r="P80" s="51"/>
      <c r="Q80" s="51"/>
      <c r="R80" s="51"/>
      <c r="S80" s="51"/>
      <c r="T80" s="51"/>
    </row>
    <row r="81" spans="15:20" ht="12" customHeight="1" x14ac:dyDescent="0.25">
      <c r="O81" s="51"/>
      <c r="P81" s="51"/>
      <c r="Q81" s="51"/>
      <c r="R81" s="51"/>
      <c r="S81" s="51"/>
      <c r="T81" s="51"/>
    </row>
    <row r="82" spans="15:20" ht="12" customHeight="1" x14ac:dyDescent="0.25">
      <c r="O82" s="51"/>
      <c r="P82" s="51"/>
      <c r="Q82" s="51"/>
      <c r="R82" s="51"/>
      <c r="S82" s="51"/>
      <c r="T82" s="51"/>
    </row>
    <row r="83" spans="15:20" ht="12" customHeight="1" x14ac:dyDescent="0.25">
      <c r="O83" s="51"/>
      <c r="P83" s="51"/>
      <c r="Q83" s="51"/>
      <c r="R83" s="51"/>
      <c r="S83" s="51"/>
      <c r="T83" s="51"/>
    </row>
    <row r="84" spans="15:20" ht="12" customHeight="1" x14ac:dyDescent="0.25">
      <c r="O84" s="51"/>
      <c r="P84" s="51"/>
      <c r="Q84" s="51"/>
      <c r="R84" s="51"/>
      <c r="S84" s="51"/>
      <c r="T84" s="51"/>
    </row>
    <row r="85" spans="15:20" ht="12" customHeight="1" x14ac:dyDescent="0.25">
      <c r="O85" s="51"/>
      <c r="P85" s="51"/>
      <c r="Q85" s="51"/>
      <c r="R85" s="51"/>
      <c r="S85" s="51"/>
      <c r="T85" s="51"/>
    </row>
    <row r="86" spans="15:20" ht="12" customHeight="1" x14ac:dyDescent="0.25">
      <c r="O86" s="51"/>
      <c r="P86" s="51"/>
      <c r="Q86" s="51"/>
      <c r="R86" s="51"/>
      <c r="S86" s="51"/>
      <c r="T86" s="51"/>
    </row>
    <row r="87" spans="15:20" ht="12" customHeight="1" x14ac:dyDescent="0.25">
      <c r="O87" s="51"/>
      <c r="P87" s="51"/>
      <c r="Q87" s="51"/>
      <c r="R87" s="51"/>
      <c r="S87" s="51"/>
      <c r="T87" s="51"/>
    </row>
    <row r="88" spans="15:20" ht="12" customHeight="1" x14ac:dyDescent="0.25">
      <c r="O88" s="51"/>
      <c r="P88" s="51"/>
      <c r="Q88" s="51"/>
      <c r="R88" s="51"/>
      <c r="S88" s="51"/>
      <c r="T88" s="51"/>
    </row>
    <row r="89" spans="15:20" ht="12" customHeight="1" x14ac:dyDescent="0.25">
      <c r="O89" s="51"/>
      <c r="P89" s="51"/>
      <c r="Q89" s="51"/>
      <c r="R89" s="51"/>
      <c r="S89" s="51"/>
      <c r="T89" s="51"/>
    </row>
    <row r="90" spans="15:20" ht="12" customHeight="1" x14ac:dyDescent="0.25">
      <c r="O90" s="51"/>
      <c r="P90" s="51"/>
      <c r="Q90" s="51"/>
      <c r="R90" s="51"/>
      <c r="S90" s="51"/>
      <c r="T90" s="51"/>
    </row>
    <row r="91" spans="15:20" ht="12" customHeight="1" x14ac:dyDescent="0.25">
      <c r="O91" s="51"/>
      <c r="P91" s="51"/>
      <c r="Q91" s="51"/>
      <c r="R91" s="51"/>
      <c r="S91" s="51"/>
      <c r="T91" s="51"/>
    </row>
    <row r="92" spans="15:20" ht="12" customHeight="1" x14ac:dyDescent="0.25">
      <c r="O92" s="51"/>
      <c r="P92" s="51"/>
      <c r="Q92" s="51"/>
      <c r="R92" s="51"/>
      <c r="S92" s="51"/>
      <c r="T92" s="51"/>
    </row>
    <row r="93" spans="15:20" ht="12" customHeight="1" x14ac:dyDescent="0.25">
      <c r="O93" s="51"/>
      <c r="P93" s="51"/>
      <c r="Q93" s="51"/>
      <c r="R93" s="51"/>
      <c r="S93" s="51"/>
      <c r="T93" s="51"/>
    </row>
    <row r="94" spans="15:20" ht="12" customHeight="1" x14ac:dyDescent="0.25">
      <c r="O94" s="51"/>
      <c r="P94" s="51"/>
      <c r="Q94" s="51"/>
      <c r="R94" s="51"/>
      <c r="S94" s="51"/>
      <c r="T94" s="51"/>
    </row>
    <row r="95" spans="15:20" ht="12" customHeight="1" x14ac:dyDescent="0.25">
      <c r="O95" s="51"/>
      <c r="P95" s="51"/>
      <c r="Q95" s="51"/>
      <c r="R95" s="51"/>
      <c r="S95" s="51"/>
      <c r="T95" s="51"/>
    </row>
    <row r="96" spans="15:20" ht="12" customHeight="1" x14ac:dyDescent="0.25">
      <c r="O96" s="51"/>
      <c r="P96" s="51"/>
      <c r="Q96" s="51"/>
      <c r="R96" s="51"/>
      <c r="S96" s="51"/>
      <c r="T96" s="51"/>
    </row>
    <row r="97" spans="15:30" ht="12" customHeight="1" x14ac:dyDescent="0.25">
      <c r="O97" s="51"/>
      <c r="P97" s="51"/>
      <c r="Q97" s="51"/>
      <c r="R97" s="51"/>
      <c r="S97" s="51"/>
      <c r="T97" s="51"/>
    </row>
    <row r="98" spans="15:30" ht="12" customHeight="1" x14ac:dyDescent="0.25">
      <c r="O98" s="51"/>
      <c r="P98" s="51"/>
      <c r="Q98" s="51"/>
      <c r="R98" s="51"/>
      <c r="S98" s="51"/>
      <c r="T98" s="51"/>
    </row>
    <row r="99" spans="15:30" ht="12" customHeight="1" x14ac:dyDescent="0.25">
      <c r="O99" s="50"/>
      <c r="P99" s="50"/>
      <c r="Q99" s="50"/>
      <c r="R99" s="50"/>
      <c r="S99" s="50"/>
      <c r="T99" s="50"/>
    </row>
    <row r="100" spans="15:30" ht="12" customHeight="1" x14ac:dyDescent="0.25"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</row>
    <row r="101" spans="15:30" ht="12" customHeight="1" x14ac:dyDescent="0.25">
      <c r="O101" s="51" t="s">
        <v>908</v>
      </c>
      <c r="P101" s="51" t="s">
        <v>913</v>
      </c>
      <c r="Q101" s="51" t="s">
        <v>914</v>
      </c>
      <c r="R101" s="51" t="s">
        <v>915</v>
      </c>
      <c r="S101" s="51" t="s">
        <v>916</v>
      </c>
      <c r="T101" s="51" t="s">
        <v>917</v>
      </c>
      <c r="U101" s="51" t="s">
        <v>918</v>
      </c>
      <c r="V101" s="51" t="s">
        <v>919</v>
      </c>
      <c r="W101" s="51"/>
      <c r="X101" s="51"/>
      <c r="Y101" s="51"/>
      <c r="Z101" s="51"/>
      <c r="AA101" s="51"/>
      <c r="AB101" s="51"/>
      <c r="AC101" s="51"/>
      <c r="AD101" s="51"/>
    </row>
    <row r="102" spans="15:30" ht="12" customHeight="1" x14ac:dyDescent="0.25">
      <c r="O102" s="51" t="s">
        <v>40</v>
      </c>
      <c r="P102" s="51" t="s">
        <v>23</v>
      </c>
      <c r="Q102" s="51" t="s">
        <v>44</v>
      </c>
      <c r="R102" s="51" t="s">
        <v>45</v>
      </c>
      <c r="S102" s="51" t="s">
        <v>25</v>
      </c>
      <c r="T102" s="51" t="s">
        <v>45</v>
      </c>
      <c r="U102" s="51">
        <v>4</v>
      </c>
      <c r="V102" s="51">
        <v>0.3</v>
      </c>
      <c r="W102" s="51">
        <v>0.24</v>
      </c>
      <c r="X102" s="51">
        <v>0.18</v>
      </c>
      <c r="Y102" s="51">
        <v>0.12</v>
      </c>
      <c r="Z102" s="51">
        <v>0.06</v>
      </c>
      <c r="AA102" s="51">
        <v>0</v>
      </c>
      <c r="AB102" s="51"/>
      <c r="AC102" s="51"/>
      <c r="AD102" s="51"/>
    </row>
    <row r="103" spans="15:30" ht="12" customHeight="1" x14ac:dyDescent="0.25"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</row>
    <row r="104" spans="15:30" ht="12" customHeight="1" x14ac:dyDescent="0.25"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</row>
    <row r="105" spans="15:30" ht="12" customHeight="1" x14ac:dyDescent="0.25"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</row>
    <row r="106" spans="15:30" ht="12" customHeight="1" x14ac:dyDescent="0.25"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</row>
    <row r="107" spans="15:30" ht="12" customHeight="1" x14ac:dyDescent="0.25"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</row>
    <row r="108" spans="15:30" ht="12" customHeight="1" x14ac:dyDescent="0.25"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</row>
    <row r="109" spans="15:30" ht="12" customHeight="1" x14ac:dyDescent="0.25"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</row>
    <row r="110" spans="15:30" ht="12" customHeight="1" x14ac:dyDescent="0.25"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</row>
    <row r="111" spans="15:30" ht="12" customHeight="1" x14ac:dyDescent="0.25"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</row>
    <row r="112" spans="15:30" ht="12" customHeight="1" x14ac:dyDescent="0.25"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</row>
    <row r="113" spans="15:30" ht="12" customHeight="1" x14ac:dyDescent="0.25"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</row>
    <row r="114" spans="15:30" ht="12" customHeight="1" x14ac:dyDescent="0.25"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</row>
    <row r="115" spans="15:30" ht="12" customHeight="1" x14ac:dyDescent="0.25"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</row>
    <row r="116" spans="15:30" ht="12" customHeight="1" x14ac:dyDescent="0.25"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</row>
    <row r="117" spans="15:30" ht="12" customHeight="1" x14ac:dyDescent="0.25"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</row>
    <row r="118" spans="15:30" ht="12" customHeight="1" x14ac:dyDescent="0.25"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</row>
    <row r="119" spans="15:30" ht="12" customHeight="1" x14ac:dyDescent="0.25"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</row>
    <row r="120" spans="15:30" ht="12" customHeight="1" x14ac:dyDescent="0.25"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</row>
    <row r="121" spans="15:30" ht="12" customHeight="1" x14ac:dyDescent="0.25"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</row>
    <row r="122" spans="15:30" ht="12" customHeight="1" x14ac:dyDescent="0.25"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</row>
    <row r="123" spans="15:30" ht="12" customHeight="1" x14ac:dyDescent="0.25"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</row>
    <row r="124" spans="15:30" ht="12" customHeight="1" x14ac:dyDescent="0.25"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</row>
    <row r="125" spans="15:30" ht="12" customHeight="1" x14ac:dyDescent="0.25"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</row>
    <row r="126" spans="15:30" ht="12" customHeight="1" x14ac:dyDescent="0.25"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</row>
    <row r="127" spans="15:30" ht="12" customHeight="1" x14ac:dyDescent="0.25"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</row>
    <row r="128" spans="15:30" ht="12" customHeight="1" x14ac:dyDescent="0.25"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</row>
    <row r="129" spans="15:30" ht="12" customHeight="1" x14ac:dyDescent="0.25"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</row>
    <row r="130" spans="15:30" ht="12" customHeight="1" x14ac:dyDescent="0.25"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</row>
    <row r="131" spans="15:30" ht="12" customHeight="1" x14ac:dyDescent="0.25"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</row>
    <row r="132" spans="15:30" ht="12" customHeight="1" x14ac:dyDescent="0.25"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</row>
    <row r="133" spans="15:30" ht="12" customHeight="1" x14ac:dyDescent="0.25"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</row>
    <row r="134" spans="15:30" ht="12" customHeight="1" x14ac:dyDescent="0.25"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</row>
    <row r="135" spans="15:30" ht="12" customHeight="1" x14ac:dyDescent="0.25"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</row>
    <row r="136" spans="15:30" ht="12" customHeight="1" x14ac:dyDescent="0.25"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</row>
    <row r="137" spans="15:30" ht="12" customHeight="1" x14ac:dyDescent="0.25"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</row>
    <row r="138" spans="15:30" ht="12" customHeight="1" x14ac:dyDescent="0.25"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</row>
    <row r="139" spans="15:30" ht="12" customHeight="1" x14ac:dyDescent="0.25"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</row>
    <row r="140" spans="15:30" ht="12" customHeight="1" x14ac:dyDescent="0.25"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</row>
    <row r="141" spans="15:30" ht="12" customHeight="1" x14ac:dyDescent="0.25"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</row>
    <row r="142" spans="15:30" ht="12" customHeight="1" x14ac:dyDescent="0.25"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</row>
    <row r="143" spans="15:30" ht="12" customHeight="1" x14ac:dyDescent="0.25"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</row>
    <row r="144" spans="15:30" ht="12" customHeight="1" x14ac:dyDescent="0.25"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</row>
    <row r="145" spans="15:30" ht="12" customHeight="1" x14ac:dyDescent="0.25"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</row>
    <row r="146" spans="15:30" ht="12" customHeight="1" x14ac:dyDescent="0.25"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</row>
    <row r="147" spans="15:30" ht="12" customHeight="1" x14ac:dyDescent="0.25"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</row>
    <row r="148" spans="15:30" ht="12" customHeight="1" x14ac:dyDescent="0.25"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</row>
    <row r="149" spans="15:30" ht="12" customHeight="1" x14ac:dyDescent="0.25"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</row>
    <row r="150" spans="15:30" ht="12" customHeight="1" x14ac:dyDescent="0.25"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</row>
    <row r="151" spans="15:30" ht="12" customHeight="1" x14ac:dyDescent="0.25"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</row>
    <row r="152" spans="15:30" ht="12" customHeight="1" x14ac:dyDescent="0.25"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</row>
    <row r="153" spans="15:30" ht="12" customHeight="1" x14ac:dyDescent="0.25"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</row>
    <row r="154" spans="15:30" ht="12" customHeight="1" x14ac:dyDescent="0.25"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</row>
    <row r="155" spans="15:30" ht="12" customHeight="1" x14ac:dyDescent="0.25"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</row>
    <row r="156" spans="15:30" ht="12" customHeight="1" x14ac:dyDescent="0.25"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</row>
    <row r="157" spans="15:30" ht="12" customHeight="1" x14ac:dyDescent="0.25"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</row>
    <row r="158" spans="15:30" ht="12" customHeight="1" x14ac:dyDescent="0.25"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</row>
    <row r="159" spans="15:30" ht="12" customHeight="1" x14ac:dyDescent="0.25"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</row>
    <row r="160" spans="15:30" ht="12" customHeight="1" x14ac:dyDescent="0.25"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</row>
    <row r="161" spans="15:30" ht="12" customHeight="1" x14ac:dyDescent="0.25"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</row>
    <row r="162" spans="15:30" ht="12" customHeight="1" x14ac:dyDescent="0.25"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</row>
    <row r="163" spans="15:30" ht="12" customHeight="1" x14ac:dyDescent="0.25"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</row>
    <row r="164" spans="15:30" ht="12" customHeight="1" x14ac:dyDescent="0.25"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</row>
    <row r="165" spans="15:30" ht="12" customHeight="1" x14ac:dyDescent="0.25"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</row>
    <row r="166" spans="15:30" ht="12" customHeight="1" x14ac:dyDescent="0.25"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</row>
    <row r="167" spans="15:30" ht="12" customHeight="1" x14ac:dyDescent="0.25"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</row>
    <row r="168" spans="15:30" ht="12" customHeight="1" x14ac:dyDescent="0.25"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</row>
    <row r="169" spans="15:30" ht="12" customHeight="1" x14ac:dyDescent="0.25"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</row>
    <row r="170" spans="15:30" ht="12" customHeight="1" x14ac:dyDescent="0.25"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</row>
    <row r="171" spans="15:30" ht="12" customHeight="1" x14ac:dyDescent="0.25"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</row>
    <row r="172" spans="15:30" ht="12" customHeight="1" x14ac:dyDescent="0.25"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</row>
    <row r="173" spans="15:30" ht="12" customHeight="1" x14ac:dyDescent="0.25"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</row>
    <row r="174" spans="15:30" ht="12" customHeight="1" x14ac:dyDescent="0.25"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</row>
    <row r="175" spans="15:30" ht="12" customHeight="1" x14ac:dyDescent="0.25"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</row>
    <row r="176" spans="15:30" ht="12" customHeight="1" x14ac:dyDescent="0.25"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</row>
    <row r="177" spans="15:30" ht="12" customHeight="1" x14ac:dyDescent="0.25"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</row>
    <row r="178" spans="15:30" ht="12" customHeight="1" x14ac:dyDescent="0.25"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</row>
    <row r="179" spans="15:30" ht="12" customHeight="1" x14ac:dyDescent="0.25"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</row>
    <row r="180" spans="15:30" ht="12" customHeight="1" x14ac:dyDescent="0.25"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</row>
    <row r="181" spans="15:30" ht="12" customHeight="1" x14ac:dyDescent="0.25"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</row>
    <row r="182" spans="15:30" ht="12" customHeight="1" x14ac:dyDescent="0.25"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</row>
    <row r="183" spans="15:30" ht="12" customHeight="1" x14ac:dyDescent="0.25"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</row>
    <row r="184" spans="15:30" ht="12" customHeight="1" x14ac:dyDescent="0.25"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</row>
    <row r="185" spans="15:30" ht="12" customHeight="1" x14ac:dyDescent="0.25"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</row>
    <row r="186" spans="15:30" ht="12" customHeight="1" x14ac:dyDescent="0.25"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</row>
    <row r="187" spans="15:30" ht="12" customHeight="1" x14ac:dyDescent="0.25"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</row>
    <row r="188" spans="15:30" ht="12" customHeight="1" x14ac:dyDescent="0.25"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</row>
    <row r="189" spans="15:30" ht="12" customHeight="1" x14ac:dyDescent="0.25"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</row>
    <row r="190" spans="15:30" ht="12" customHeight="1" x14ac:dyDescent="0.25"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</row>
    <row r="191" spans="15:30" ht="12" customHeight="1" x14ac:dyDescent="0.25"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</row>
    <row r="192" spans="15:30" ht="12" customHeight="1" x14ac:dyDescent="0.25"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</row>
    <row r="193" spans="15:30" ht="12" customHeight="1" x14ac:dyDescent="0.25"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</row>
    <row r="194" spans="15:30" ht="12" customHeight="1" x14ac:dyDescent="0.25"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</row>
    <row r="195" spans="15:30" ht="12" customHeight="1" x14ac:dyDescent="0.25"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</row>
    <row r="196" spans="15:30" ht="12" customHeight="1" x14ac:dyDescent="0.25"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</row>
    <row r="197" spans="15:30" ht="12" customHeight="1" x14ac:dyDescent="0.25"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</row>
    <row r="198" spans="15:30" ht="12" customHeight="1" x14ac:dyDescent="0.25"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</row>
    <row r="199" spans="15:30" ht="12" customHeight="1" x14ac:dyDescent="0.25"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</row>
    <row r="200" spans="15:30" ht="12" customHeight="1" x14ac:dyDescent="0.25"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</row>
  </sheetData>
  <mergeCells count="19">
    <mergeCell ref="B43:B44"/>
    <mergeCell ref="B45:C45"/>
    <mergeCell ref="O1:U1"/>
    <mergeCell ref="A47:C47"/>
    <mergeCell ref="A48:C48"/>
    <mergeCell ref="A46:C46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  <mergeCell ref="B35:B36"/>
    <mergeCell ref="B37:B40"/>
    <mergeCell ref="B41:B42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9C147-371E-4700-B55A-8214C6B3F599}">
  <dimension ref="A1:AP62"/>
  <sheetViews>
    <sheetView showGridLines="0" topLeftCell="A40" workbookViewId="0">
      <selection activeCell="K73" sqref="K73:P7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1.7109375" style="9" bestFit="1" customWidth="1"/>
    <col min="18" max="18" width="10.85546875" style="9" bestFit="1" customWidth="1"/>
    <col min="19" max="19" width="10" style="9" bestFit="1" customWidth="1"/>
    <col min="20" max="21" width="11.7109375" style="9" bestFit="1" customWidth="1"/>
    <col min="22" max="23" width="10.85546875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3.1406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80</v>
      </c>
      <c r="B1" s="132" t="s">
        <v>81</v>
      </c>
      <c r="C1" s="132" t="s">
        <v>82</v>
      </c>
      <c r="D1" s="132" t="s">
        <v>83</v>
      </c>
      <c r="E1" s="132" t="s">
        <v>84</v>
      </c>
      <c r="F1" s="132" t="s">
        <v>15</v>
      </c>
      <c r="G1" s="132" t="s">
        <v>86</v>
      </c>
      <c r="H1" s="132" t="s">
        <v>87</v>
      </c>
      <c r="I1" s="132" t="s">
        <v>854</v>
      </c>
      <c r="J1" s="130"/>
      <c r="L1" s="133" t="s">
        <v>855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856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30"/>
      <c r="L2" s="133" t="s">
        <v>754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30"/>
      <c r="L3" s="133" t="s">
        <v>755</v>
      </c>
      <c r="M3" s="133"/>
      <c r="N3" s="133"/>
      <c r="O3" s="133"/>
      <c r="P3" s="133"/>
      <c r="Q3" s="133"/>
      <c r="R3" s="133"/>
      <c r="S3" s="133"/>
      <c r="T3" s="133"/>
      <c r="U3" s="133" t="s">
        <v>764</v>
      </c>
      <c r="V3" s="133"/>
      <c r="W3" s="133"/>
      <c r="X3" s="133"/>
      <c r="Y3" s="133"/>
      <c r="Z3" s="133"/>
      <c r="AA3" s="133"/>
      <c r="AB3" s="133"/>
      <c r="AC3" s="133" t="s">
        <v>772</v>
      </c>
      <c r="AD3" s="133"/>
      <c r="AE3" s="133" t="s">
        <v>774</v>
      </c>
      <c r="AF3" s="133"/>
      <c r="AG3" s="133"/>
      <c r="AH3" s="133" t="s">
        <v>777</v>
      </c>
      <c r="AI3" s="133"/>
      <c r="AJ3" s="133"/>
      <c r="AK3" s="133"/>
      <c r="AL3" s="133"/>
      <c r="AM3" s="133" t="s">
        <v>763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30"/>
      <c r="L4" s="41" t="s">
        <v>839</v>
      </c>
      <c r="M4" s="41" t="s">
        <v>756</v>
      </c>
      <c r="N4" s="41" t="s">
        <v>757</v>
      </c>
      <c r="O4" s="41" t="s">
        <v>758</v>
      </c>
      <c r="P4" s="41" t="s">
        <v>759</v>
      </c>
      <c r="Q4" s="41" t="s">
        <v>760</v>
      </c>
      <c r="R4" s="41" t="s">
        <v>761</v>
      </c>
      <c r="S4" s="41" t="s">
        <v>762</v>
      </c>
      <c r="T4" s="41" t="s">
        <v>763</v>
      </c>
      <c r="U4" s="41" t="s">
        <v>765</v>
      </c>
      <c r="V4" s="41" t="s">
        <v>766</v>
      </c>
      <c r="W4" s="41" t="s">
        <v>767</v>
      </c>
      <c r="X4" s="41" t="s">
        <v>768</v>
      </c>
      <c r="Y4" s="41" t="s">
        <v>769</v>
      </c>
      <c r="Z4" s="41" t="s">
        <v>770</v>
      </c>
      <c r="AA4" s="41" t="s">
        <v>771</v>
      </c>
      <c r="AB4" s="41" t="s">
        <v>763</v>
      </c>
      <c r="AC4" s="41" t="s">
        <v>773</v>
      </c>
      <c r="AD4" s="41" t="s">
        <v>763</v>
      </c>
      <c r="AE4" s="41" t="s">
        <v>775</v>
      </c>
      <c r="AF4" s="41" t="s">
        <v>776</v>
      </c>
      <c r="AG4" s="41" t="s">
        <v>763</v>
      </c>
      <c r="AH4" s="41" t="s">
        <v>778</v>
      </c>
      <c r="AI4" s="41" t="s">
        <v>779</v>
      </c>
      <c r="AJ4" s="41" t="s">
        <v>780</v>
      </c>
      <c r="AK4" s="41" t="s">
        <v>781</v>
      </c>
      <c r="AL4" s="41" t="s">
        <v>763</v>
      </c>
      <c r="AM4" s="135"/>
      <c r="AP4" s="134"/>
    </row>
    <row r="5" spans="1:42" ht="11.25" customHeight="1" x14ac:dyDescent="0.25">
      <c r="A5" s="136" t="s">
        <v>41</v>
      </c>
      <c r="B5" s="136" t="s">
        <v>42</v>
      </c>
      <c r="C5" s="136" t="s">
        <v>25</v>
      </c>
      <c r="D5" s="136" t="s">
        <v>25</v>
      </c>
      <c r="E5" s="136" t="s">
        <v>25</v>
      </c>
      <c r="F5" s="136" t="s">
        <v>25</v>
      </c>
      <c r="G5" s="21" t="s">
        <v>94</v>
      </c>
      <c r="H5" s="21" t="s">
        <v>93</v>
      </c>
      <c r="I5" s="21">
        <f>'MERCADO TUSD'!$U$2</f>
        <v>1039543</v>
      </c>
      <c r="J5" s="17"/>
      <c r="L5" s="39"/>
      <c r="M5" s="39"/>
      <c r="N5" s="39"/>
      <c r="O5" s="39"/>
      <c r="P5" s="39"/>
      <c r="Q5" s="39"/>
      <c r="R5" s="39"/>
      <c r="S5" s="39"/>
      <c r="T5" s="39"/>
      <c r="U5" s="39">
        <v>16.740200000000002</v>
      </c>
      <c r="V5" s="39">
        <v>4.0994000000000002</v>
      </c>
      <c r="W5" s="39">
        <v>0.91600000000000004</v>
      </c>
      <c r="X5" s="39">
        <v>0</v>
      </c>
      <c r="Y5" s="39">
        <v>0.2011</v>
      </c>
      <c r="Z5" s="39">
        <v>0</v>
      </c>
      <c r="AA5" s="39">
        <v>0</v>
      </c>
      <c r="AB5" s="39"/>
      <c r="AC5" s="39">
        <v>15.484500000000001</v>
      </c>
      <c r="AD5" s="39"/>
      <c r="AE5" s="39"/>
      <c r="AF5" s="39"/>
      <c r="AG5" s="39"/>
      <c r="AH5" s="39"/>
      <c r="AI5" s="39"/>
      <c r="AJ5" s="39"/>
      <c r="AK5" s="39"/>
      <c r="AL5" s="39"/>
      <c r="AM5" s="39"/>
      <c r="AP5" s="39">
        <v>1</v>
      </c>
    </row>
    <row r="6" spans="1:42" ht="11.25" customHeight="1" x14ac:dyDescent="0.25">
      <c r="A6" s="136"/>
      <c r="B6" s="136"/>
      <c r="C6" s="136"/>
      <c r="D6" s="136"/>
      <c r="E6" s="136"/>
      <c r="F6" s="136"/>
      <c r="G6" s="21" t="s">
        <v>95</v>
      </c>
      <c r="H6" s="21" t="s">
        <v>93</v>
      </c>
      <c r="I6" s="21">
        <f>'MERCADO TUSD'!$U$3</f>
        <v>1376546</v>
      </c>
      <c r="J6" s="17"/>
      <c r="L6" s="39"/>
      <c r="M6" s="39"/>
      <c r="N6" s="39"/>
      <c r="O6" s="39"/>
      <c r="P6" s="39"/>
      <c r="Q6" s="39"/>
      <c r="R6" s="39"/>
      <c r="S6" s="39"/>
      <c r="T6" s="39"/>
      <c r="U6" s="39">
        <v>14.7745</v>
      </c>
      <c r="V6" s="39">
        <v>3.6311</v>
      </c>
      <c r="W6" s="39">
        <v>0.82689999999999997</v>
      </c>
      <c r="X6" s="39">
        <v>0</v>
      </c>
      <c r="Y6" s="39">
        <v>9.0300000000000005E-2</v>
      </c>
      <c r="Z6" s="39">
        <v>0</v>
      </c>
      <c r="AA6" s="39">
        <v>0</v>
      </c>
      <c r="AB6" s="39"/>
      <c r="AC6" s="39">
        <v>1.5484</v>
      </c>
      <c r="AD6" s="39"/>
      <c r="AE6" s="39"/>
      <c r="AF6" s="39"/>
      <c r="AG6" s="39"/>
      <c r="AH6" s="39"/>
      <c r="AI6" s="39"/>
      <c r="AJ6" s="39"/>
      <c r="AK6" s="39"/>
      <c r="AL6" s="39"/>
      <c r="AM6" s="39"/>
      <c r="AP6" s="39">
        <v>1</v>
      </c>
    </row>
    <row r="7" spans="1:42" ht="11.25" customHeight="1" x14ac:dyDescent="0.25">
      <c r="A7" s="136"/>
      <c r="B7" s="136"/>
      <c r="C7" s="136"/>
      <c r="D7" s="136"/>
      <c r="E7" s="136"/>
      <c r="F7" s="136"/>
      <c r="G7" s="21" t="s">
        <v>96</v>
      </c>
      <c r="H7" s="21" t="s">
        <v>90</v>
      </c>
      <c r="I7" s="21">
        <f>'MERCADO TUSD'!$U$4</f>
        <v>455785.89300000004</v>
      </c>
      <c r="J7" s="17"/>
      <c r="L7" s="39"/>
      <c r="M7" s="39"/>
      <c r="N7" s="39"/>
      <c r="O7" s="39"/>
      <c r="P7" s="39"/>
      <c r="Q7" s="39"/>
      <c r="R7" s="39"/>
      <c r="S7" s="39"/>
      <c r="T7" s="39"/>
      <c r="U7" s="39">
        <v>0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v>0</v>
      </c>
      <c r="AB7" s="39"/>
      <c r="AC7" s="39">
        <v>0</v>
      </c>
      <c r="AD7" s="39"/>
      <c r="AE7" s="39"/>
      <c r="AF7" s="39"/>
      <c r="AG7" s="39"/>
      <c r="AH7" s="39"/>
      <c r="AI7" s="39"/>
      <c r="AJ7" s="39"/>
      <c r="AK7" s="39"/>
      <c r="AL7" s="39"/>
      <c r="AM7" s="39"/>
      <c r="AP7" s="39">
        <v>1</v>
      </c>
    </row>
    <row r="8" spans="1:42" ht="11.25" customHeight="1" x14ac:dyDescent="0.25">
      <c r="A8" s="136"/>
      <c r="B8" s="136"/>
      <c r="C8" s="136"/>
      <c r="D8" s="136"/>
      <c r="E8" s="40" t="s">
        <v>58</v>
      </c>
      <c r="F8" s="40" t="s">
        <v>25</v>
      </c>
      <c r="G8" s="21" t="s">
        <v>96</v>
      </c>
      <c r="H8" s="21" t="s">
        <v>90</v>
      </c>
      <c r="I8" s="21">
        <f>'MERCADO TUSD'!$U$5</f>
        <v>80167.627000000008</v>
      </c>
      <c r="J8" s="17"/>
      <c r="L8" s="39"/>
      <c r="M8" s="39"/>
      <c r="N8" s="39"/>
      <c r="O8" s="39"/>
      <c r="P8" s="39"/>
      <c r="Q8" s="39"/>
      <c r="R8" s="39"/>
      <c r="S8" s="39"/>
      <c r="T8" s="39"/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v>0</v>
      </c>
      <c r="AB8" s="39"/>
      <c r="AC8" s="39">
        <v>0</v>
      </c>
      <c r="AD8" s="39"/>
      <c r="AE8" s="39"/>
      <c r="AF8" s="39"/>
      <c r="AG8" s="39"/>
      <c r="AH8" s="39"/>
      <c r="AI8" s="39"/>
      <c r="AJ8" s="39"/>
      <c r="AK8" s="39"/>
      <c r="AL8" s="39"/>
      <c r="AM8" s="39"/>
      <c r="AP8" s="39">
        <v>1</v>
      </c>
    </row>
    <row r="9" spans="1:42" ht="11.25" customHeight="1" x14ac:dyDescent="0.25">
      <c r="A9" s="136"/>
      <c r="B9" s="136" t="s">
        <v>61</v>
      </c>
      <c r="C9" s="136" t="s">
        <v>25</v>
      </c>
      <c r="D9" s="136" t="s">
        <v>25</v>
      </c>
      <c r="E9" s="136" t="s">
        <v>25</v>
      </c>
      <c r="F9" s="136" t="s">
        <v>62</v>
      </c>
      <c r="G9" s="21" t="s">
        <v>94</v>
      </c>
      <c r="H9" s="21" t="s">
        <v>93</v>
      </c>
      <c r="I9" s="21">
        <f>'MERCADO TUSD'!$U$6</f>
        <v>36090</v>
      </c>
      <c r="J9" s="17"/>
      <c r="L9" s="39"/>
      <c r="M9" s="39"/>
      <c r="N9" s="39"/>
      <c r="O9" s="39"/>
      <c r="P9" s="39"/>
      <c r="Q9" s="39"/>
      <c r="R9" s="39"/>
      <c r="S9" s="39"/>
      <c r="T9" s="39"/>
      <c r="U9" s="39">
        <v>16.740200000000002</v>
      </c>
      <c r="V9" s="39">
        <v>4.0994000000000002</v>
      </c>
      <c r="W9" s="39">
        <v>0.91600000000000004</v>
      </c>
      <c r="X9" s="39">
        <v>0</v>
      </c>
      <c r="Y9" s="39">
        <v>0.2011</v>
      </c>
      <c r="Z9" s="39">
        <v>0</v>
      </c>
      <c r="AA9" s="39">
        <v>0</v>
      </c>
      <c r="AB9" s="39"/>
      <c r="AC9" s="39">
        <v>15.484500000000001</v>
      </c>
      <c r="AD9" s="39"/>
      <c r="AE9" s="39"/>
      <c r="AF9" s="39"/>
      <c r="AG9" s="39"/>
      <c r="AH9" s="39"/>
      <c r="AI9" s="39"/>
      <c r="AJ9" s="39"/>
      <c r="AK9" s="39"/>
      <c r="AL9" s="39"/>
      <c r="AM9" s="39"/>
      <c r="AP9" s="39">
        <v>1</v>
      </c>
    </row>
    <row r="10" spans="1:42" ht="11.25" customHeight="1" x14ac:dyDescent="0.25">
      <c r="A10" s="136"/>
      <c r="B10" s="136"/>
      <c r="C10" s="136"/>
      <c r="D10" s="136"/>
      <c r="E10" s="136"/>
      <c r="F10" s="136"/>
      <c r="G10" s="21" t="s">
        <v>95</v>
      </c>
      <c r="H10" s="21" t="s">
        <v>93</v>
      </c>
      <c r="I10" s="21">
        <f>'MERCADO TUSD'!$U$7</f>
        <v>36090</v>
      </c>
      <c r="J10" s="17"/>
      <c r="L10" s="39"/>
      <c r="M10" s="39"/>
      <c r="N10" s="39"/>
      <c r="O10" s="39"/>
      <c r="P10" s="39"/>
      <c r="Q10" s="39"/>
      <c r="R10" s="39"/>
      <c r="S10" s="39"/>
      <c r="T10" s="39"/>
      <c r="U10" s="39">
        <v>14.7745</v>
      </c>
      <c r="V10" s="39">
        <v>3.6311</v>
      </c>
      <c r="W10" s="39">
        <v>0.82689999999999997</v>
      </c>
      <c r="X10" s="39">
        <v>0</v>
      </c>
      <c r="Y10" s="39">
        <v>9.0300000000000005E-2</v>
      </c>
      <c r="Z10" s="39">
        <v>0</v>
      </c>
      <c r="AA10" s="39">
        <v>0</v>
      </c>
      <c r="AB10" s="39"/>
      <c r="AC10" s="39">
        <v>1.5484</v>
      </c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P10" s="39">
        <v>1</v>
      </c>
    </row>
    <row r="11" spans="1:42" ht="11.25" customHeight="1" x14ac:dyDescent="0.25">
      <c r="A11" s="136"/>
      <c r="B11" s="136"/>
      <c r="C11" s="136"/>
      <c r="D11" s="136"/>
      <c r="E11" s="136"/>
      <c r="F11" s="136"/>
      <c r="G11" s="21" t="s">
        <v>96</v>
      </c>
      <c r="H11" s="21" t="s">
        <v>90</v>
      </c>
      <c r="I11" s="21">
        <f>'MERCADO TUSD'!$U$8</f>
        <v>14869.070999999996</v>
      </c>
      <c r="J11" s="17"/>
      <c r="L11" s="39"/>
      <c r="M11" s="39"/>
      <c r="N11" s="39"/>
      <c r="O11" s="39"/>
      <c r="P11" s="39"/>
      <c r="Q11" s="39"/>
      <c r="R11" s="39"/>
      <c r="S11" s="39"/>
      <c r="T11" s="39"/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v>0</v>
      </c>
      <c r="AB11" s="39"/>
      <c r="AC11" s="39">
        <v>0</v>
      </c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P11" s="39">
        <v>1</v>
      </c>
    </row>
    <row r="12" spans="1:42" ht="11.25" customHeight="1" x14ac:dyDescent="0.25">
      <c r="A12" s="136"/>
      <c r="B12" s="40" t="s">
        <v>64</v>
      </c>
      <c r="C12" s="40" t="s">
        <v>25</v>
      </c>
      <c r="D12" s="40" t="s">
        <v>25</v>
      </c>
      <c r="E12" s="40" t="s">
        <v>25</v>
      </c>
      <c r="F12" s="40" t="s">
        <v>25</v>
      </c>
      <c r="G12" s="21" t="s">
        <v>9</v>
      </c>
      <c r="H12" s="21" t="s">
        <v>93</v>
      </c>
      <c r="I12" s="21">
        <f>'MERCADO TUSD'!$U$9</f>
        <v>888226</v>
      </c>
      <c r="J12" s="17"/>
      <c r="L12" s="39"/>
      <c r="M12" s="39"/>
      <c r="N12" s="39"/>
      <c r="O12" s="39"/>
      <c r="P12" s="39"/>
      <c r="Q12" s="39"/>
      <c r="R12" s="39"/>
      <c r="S12" s="39"/>
      <c r="T12" s="39"/>
      <c r="U12" s="39">
        <f>(1+CUSTOS!$M$4)*0</f>
        <v>0</v>
      </c>
      <c r="V12" s="39">
        <f>(1+CUSTOS!$M$4)*0</f>
        <v>0</v>
      </c>
      <c r="W12" s="39">
        <f>(1+CUSTOS!$M$4)*0.199876121159535</f>
        <v>0.22865608436787244</v>
      </c>
      <c r="X12" s="39">
        <f>(1+CUSTOS!$M$4)*0</f>
        <v>0</v>
      </c>
      <c r="Y12" s="39">
        <f>(1+CUSTOS!$M$4)*0.239669098401516</f>
        <v>0.27417881268932498</v>
      </c>
      <c r="Z12" s="39">
        <v>0</v>
      </c>
      <c r="AA12" s="39">
        <v>0</v>
      </c>
      <c r="AB12" s="39"/>
      <c r="AC12" s="39">
        <f>(1+CUSTOS!$M$4)*13.1777837888385</f>
        <v>15.075239725095575</v>
      </c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P12" s="39"/>
    </row>
    <row r="13" spans="1:42" ht="11.25" customHeight="1" x14ac:dyDescent="0.25">
      <c r="A13" s="136" t="s">
        <v>33</v>
      </c>
      <c r="B13" s="136" t="s">
        <v>42</v>
      </c>
      <c r="C13" s="136" t="s">
        <v>25</v>
      </c>
      <c r="D13" s="136" t="s">
        <v>25</v>
      </c>
      <c r="E13" s="136" t="s">
        <v>25</v>
      </c>
      <c r="F13" s="136" t="s">
        <v>25</v>
      </c>
      <c r="G13" s="21" t="s">
        <v>94</v>
      </c>
      <c r="H13" s="21" t="s">
        <v>93</v>
      </c>
      <c r="I13" s="21">
        <f>'MERCADO TUSD'!$U$10</f>
        <v>565553</v>
      </c>
      <c r="J13" s="17"/>
      <c r="L13" s="39"/>
      <c r="M13" s="39"/>
      <c r="N13" s="39"/>
      <c r="O13" s="39"/>
      <c r="P13" s="39"/>
      <c r="Q13" s="39"/>
      <c r="R13" s="39"/>
      <c r="S13" s="39"/>
      <c r="T13" s="39"/>
      <c r="U13" s="39">
        <v>8.2858000000000001</v>
      </c>
      <c r="V13" s="39">
        <v>2.0396000000000001</v>
      </c>
      <c r="W13" s="39">
        <v>0.45279999999999998</v>
      </c>
      <c r="X13" s="39">
        <v>0</v>
      </c>
      <c r="Y13" s="39">
        <v>0.25729999999999997</v>
      </c>
      <c r="Z13" s="39">
        <v>0</v>
      </c>
      <c r="AA13" s="39">
        <v>0</v>
      </c>
      <c r="AB13" s="39"/>
      <c r="AC13" s="39">
        <v>46.611499999999999</v>
      </c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P13" s="39">
        <v>1</v>
      </c>
    </row>
    <row r="14" spans="1:42" ht="11.25" customHeight="1" x14ac:dyDescent="0.25">
      <c r="A14" s="136"/>
      <c r="B14" s="136"/>
      <c r="C14" s="136"/>
      <c r="D14" s="136"/>
      <c r="E14" s="136"/>
      <c r="F14" s="136"/>
      <c r="G14" s="21" t="s">
        <v>95</v>
      </c>
      <c r="H14" s="21" t="s">
        <v>93</v>
      </c>
      <c r="I14" s="21">
        <f>'MERCADO TUSD'!$U$11</f>
        <v>602292</v>
      </c>
      <c r="J14" s="17"/>
      <c r="L14" s="39"/>
      <c r="M14" s="39"/>
      <c r="N14" s="39"/>
      <c r="O14" s="39"/>
      <c r="P14" s="39"/>
      <c r="Q14" s="39"/>
      <c r="R14" s="39"/>
      <c r="S14" s="39"/>
      <c r="T14" s="39"/>
      <c r="U14" s="39">
        <v>4.5281000000000002</v>
      </c>
      <c r="V14" s="39">
        <v>1.1187</v>
      </c>
      <c r="W14" s="39">
        <v>0.25309999999999999</v>
      </c>
      <c r="X14" s="39">
        <v>0</v>
      </c>
      <c r="Y14" s="39">
        <v>6.8000000000000005E-2</v>
      </c>
      <c r="Z14" s="39">
        <v>0</v>
      </c>
      <c r="AA14" s="39">
        <v>0</v>
      </c>
      <c r="AB14" s="39"/>
      <c r="AC14" s="39">
        <v>14.768700000000001</v>
      </c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P14" s="39">
        <v>1</v>
      </c>
    </row>
    <row r="15" spans="1:42" ht="11.25" customHeight="1" x14ac:dyDescent="0.25">
      <c r="A15" s="136"/>
      <c r="B15" s="136"/>
      <c r="C15" s="136"/>
      <c r="D15" s="136"/>
      <c r="E15" s="136"/>
      <c r="F15" s="136"/>
      <c r="G15" s="21" t="s">
        <v>96</v>
      </c>
      <c r="H15" s="21" t="s">
        <v>90</v>
      </c>
      <c r="I15" s="21">
        <f>'MERCADO TUSD'!$U$12</f>
        <v>263308.96999999997</v>
      </c>
      <c r="J15" s="17"/>
      <c r="L15" s="39"/>
      <c r="M15" s="39"/>
      <c r="N15" s="39"/>
      <c r="O15" s="39"/>
      <c r="P15" s="39"/>
      <c r="Q15" s="39"/>
      <c r="R15" s="39"/>
      <c r="S15" s="39"/>
      <c r="T15" s="39"/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v>0</v>
      </c>
      <c r="AB15" s="39"/>
      <c r="AC15" s="39">
        <v>0</v>
      </c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P15" s="39">
        <v>1</v>
      </c>
    </row>
    <row r="16" spans="1:42" ht="11.25" customHeight="1" x14ac:dyDescent="0.25">
      <c r="A16" s="136"/>
      <c r="B16" s="136"/>
      <c r="C16" s="136"/>
      <c r="D16" s="136"/>
      <c r="E16" s="40" t="s">
        <v>58</v>
      </c>
      <c r="F16" s="40" t="s">
        <v>25</v>
      </c>
      <c r="G16" s="21" t="s">
        <v>96</v>
      </c>
      <c r="H16" s="21" t="s">
        <v>90</v>
      </c>
      <c r="I16" s="21">
        <f>'MERCADO TUSD'!$U$13</f>
        <v>0</v>
      </c>
      <c r="J16" s="17"/>
      <c r="L16" s="39"/>
      <c r="M16" s="39"/>
      <c r="N16" s="39"/>
      <c r="O16" s="39"/>
      <c r="P16" s="39"/>
      <c r="Q16" s="39"/>
      <c r="R16" s="39"/>
      <c r="S16" s="39"/>
      <c r="T16" s="39"/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v>0</v>
      </c>
      <c r="AB16" s="39"/>
      <c r="AC16" s="39">
        <v>0</v>
      </c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P16" s="39">
        <v>1</v>
      </c>
    </row>
    <row r="17" spans="1:42" ht="11.25" customHeight="1" x14ac:dyDescent="0.25">
      <c r="A17" s="136"/>
      <c r="B17" s="136" t="s">
        <v>61</v>
      </c>
      <c r="C17" s="136" t="s">
        <v>25</v>
      </c>
      <c r="D17" s="136" t="s">
        <v>25</v>
      </c>
      <c r="E17" s="136" t="s">
        <v>25</v>
      </c>
      <c r="F17" s="136" t="s">
        <v>62</v>
      </c>
      <c r="G17" s="21" t="s">
        <v>94</v>
      </c>
      <c r="H17" s="21" t="s">
        <v>93</v>
      </c>
      <c r="I17" s="21">
        <f>'MERCADO TUSD'!$U$14</f>
        <v>5691</v>
      </c>
      <c r="J17" s="17"/>
      <c r="L17" s="39"/>
      <c r="M17" s="39"/>
      <c r="N17" s="39"/>
      <c r="O17" s="39"/>
      <c r="P17" s="39"/>
      <c r="Q17" s="39"/>
      <c r="R17" s="39"/>
      <c r="S17" s="39"/>
      <c r="T17" s="39"/>
      <c r="U17" s="39">
        <v>8.2858000000000001</v>
      </c>
      <c r="V17" s="39">
        <v>2.0396000000000001</v>
      </c>
      <c r="W17" s="39">
        <v>0.45279999999999998</v>
      </c>
      <c r="X17" s="39">
        <v>0</v>
      </c>
      <c r="Y17" s="39">
        <v>0.25729999999999997</v>
      </c>
      <c r="Z17" s="39">
        <v>0</v>
      </c>
      <c r="AA17" s="39">
        <v>0</v>
      </c>
      <c r="AB17" s="39"/>
      <c r="AC17" s="39">
        <v>14.8668</v>
      </c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P17" s="39">
        <v>1</v>
      </c>
    </row>
    <row r="18" spans="1:42" ht="11.25" customHeight="1" x14ac:dyDescent="0.25">
      <c r="A18" s="136"/>
      <c r="B18" s="136"/>
      <c r="C18" s="136"/>
      <c r="D18" s="136"/>
      <c r="E18" s="136"/>
      <c r="F18" s="136"/>
      <c r="G18" s="21" t="s">
        <v>95</v>
      </c>
      <c r="H18" s="21" t="s">
        <v>93</v>
      </c>
      <c r="I18" s="21">
        <f>'MERCADO TUSD'!$U$15</f>
        <v>7796</v>
      </c>
      <c r="J18" s="17"/>
      <c r="L18" s="39"/>
      <c r="M18" s="39"/>
      <c r="N18" s="39"/>
      <c r="O18" s="39"/>
      <c r="P18" s="39"/>
      <c r="Q18" s="39"/>
      <c r="R18" s="39"/>
      <c r="S18" s="39"/>
      <c r="T18" s="39"/>
      <c r="U18" s="39">
        <v>4.5281000000000002</v>
      </c>
      <c r="V18" s="39">
        <v>1.1187</v>
      </c>
      <c r="W18" s="39">
        <v>0.25309999999999999</v>
      </c>
      <c r="X18" s="39">
        <v>0</v>
      </c>
      <c r="Y18" s="39">
        <v>6.8000000000000005E-2</v>
      </c>
      <c r="Z18" s="39">
        <v>0</v>
      </c>
      <c r="AA18" s="39">
        <v>0</v>
      </c>
      <c r="AB18" s="39"/>
      <c r="AC18" s="39">
        <v>4.7104999999999997</v>
      </c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P18" s="39">
        <v>1</v>
      </c>
    </row>
    <row r="19" spans="1:42" ht="11.25" customHeight="1" x14ac:dyDescent="0.25">
      <c r="A19" s="136"/>
      <c r="B19" s="136"/>
      <c r="C19" s="136"/>
      <c r="D19" s="136"/>
      <c r="E19" s="136"/>
      <c r="F19" s="136"/>
      <c r="G19" s="21" t="s">
        <v>96</v>
      </c>
      <c r="H19" s="21" t="s">
        <v>90</v>
      </c>
      <c r="I19" s="21">
        <f>'MERCADO TUSD'!$U$16</f>
        <v>2880.6459999999997</v>
      </c>
      <c r="J19" s="17"/>
      <c r="L19" s="39"/>
      <c r="M19" s="39"/>
      <c r="N19" s="39"/>
      <c r="O19" s="39"/>
      <c r="P19" s="39"/>
      <c r="Q19" s="39"/>
      <c r="R19" s="39"/>
      <c r="S19" s="39"/>
      <c r="T19" s="39"/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v>0</v>
      </c>
      <c r="AB19" s="39"/>
      <c r="AC19" s="39">
        <v>0</v>
      </c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P19" s="39">
        <v>1</v>
      </c>
    </row>
    <row r="20" spans="1:42" ht="11.25" customHeight="1" x14ac:dyDescent="0.25">
      <c r="A20" s="136"/>
      <c r="B20" s="40" t="s">
        <v>64</v>
      </c>
      <c r="C20" s="40" t="s">
        <v>25</v>
      </c>
      <c r="D20" s="40" t="s">
        <v>25</v>
      </c>
      <c r="E20" s="40" t="s">
        <v>25</v>
      </c>
      <c r="F20" s="40" t="s">
        <v>25</v>
      </c>
      <c r="G20" s="21" t="s">
        <v>9</v>
      </c>
      <c r="H20" s="21" t="s">
        <v>93</v>
      </c>
      <c r="I20" s="21">
        <f>'MERCADO TUSD'!$U$17</f>
        <v>38138</v>
      </c>
      <c r="J20" s="17"/>
      <c r="L20" s="39"/>
      <c r="M20" s="39"/>
      <c r="N20" s="39"/>
      <c r="O20" s="39"/>
      <c r="P20" s="39"/>
      <c r="Q20" s="39"/>
      <c r="R20" s="39"/>
      <c r="S20" s="39"/>
      <c r="T20" s="39"/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v>0</v>
      </c>
      <c r="AB20" s="39"/>
      <c r="AC20" s="39">
        <v>12.226900000000001</v>
      </c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P20" s="39"/>
    </row>
    <row r="21" spans="1:42" ht="11.25" customHeight="1" x14ac:dyDescent="0.25">
      <c r="A21" s="136"/>
      <c r="B21" s="136" t="s">
        <v>34</v>
      </c>
      <c r="C21" s="136" t="s">
        <v>25</v>
      </c>
      <c r="D21" s="136" t="s">
        <v>25</v>
      </c>
      <c r="E21" s="136" t="s">
        <v>25</v>
      </c>
      <c r="F21" s="136" t="s">
        <v>25</v>
      </c>
      <c r="G21" s="21" t="s">
        <v>9</v>
      </c>
      <c r="H21" s="21" t="s">
        <v>93</v>
      </c>
      <c r="I21" s="21">
        <f>'MERCADO TUSD'!$U$18</f>
        <v>3390140</v>
      </c>
      <c r="J21" s="17"/>
      <c r="L21" s="39"/>
      <c r="M21" s="39"/>
      <c r="N21" s="39"/>
      <c r="O21" s="39"/>
      <c r="P21" s="39"/>
      <c r="Q21" s="39"/>
      <c r="R21" s="39"/>
      <c r="S21" s="39"/>
      <c r="T21" s="39"/>
      <c r="U21" s="39">
        <v>4.5281000000000002</v>
      </c>
      <c r="V21" s="39">
        <v>1.1187</v>
      </c>
      <c r="W21" s="39">
        <v>0.25309999999999999</v>
      </c>
      <c r="X21" s="39">
        <v>0</v>
      </c>
      <c r="Y21" s="39">
        <v>6.8000000000000005E-2</v>
      </c>
      <c r="Z21" s="39">
        <v>0</v>
      </c>
      <c r="AA21" s="39">
        <v>0</v>
      </c>
      <c r="AB21" s="39"/>
      <c r="AC21" s="39">
        <v>14.768700000000001</v>
      </c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P21" s="39">
        <v>1</v>
      </c>
    </row>
    <row r="22" spans="1:42" ht="11.25" customHeight="1" x14ac:dyDescent="0.25">
      <c r="A22" s="136"/>
      <c r="B22" s="136"/>
      <c r="C22" s="136"/>
      <c r="D22" s="136"/>
      <c r="E22" s="136"/>
      <c r="F22" s="136"/>
      <c r="G22" s="21" t="s">
        <v>91</v>
      </c>
      <c r="H22" s="21" t="s">
        <v>90</v>
      </c>
      <c r="I22" s="21">
        <f>'MERCADO TUSD'!$U$19</f>
        <v>49009.922999999995</v>
      </c>
      <c r="J22" s="17"/>
      <c r="L22" s="39"/>
      <c r="M22" s="39"/>
      <c r="N22" s="39"/>
      <c r="O22" s="39"/>
      <c r="P22" s="39"/>
      <c r="Q22" s="39"/>
      <c r="R22" s="39"/>
      <c r="S22" s="39"/>
      <c r="T22" s="39"/>
      <c r="U22" s="39">
        <v>199.27269999999999</v>
      </c>
      <c r="V22" s="39">
        <v>49.051600000000001</v>
      </c>
      <c r="W22" s="39">
        <v>10.8902</v>
      </c>
      <c r="X22" s="39">
        <v>0</v>
      </c>
      <c r="Y22" s="39">
        <v>6.1881000000000004</v>
      </c>
      <c r="Z22" s="39">
        <v>0</v>
      </c>
      <c r="AA22" s="39">
        <v>0</v>
      </c>
      <c r="AB22" s="39"/>
      <c r="AC22" s="39">
        <v>1121.0083999999999</v>
      </c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P22" s="39">
        <v>1</v>
      </c>
    </row>
    <row r="23" spans="1:42" ht="11.25" customHeight="1" x14ac:dyDescent="0.25">
      <c r="A23" s="136"/>
      <c r="B23" s="136"/>
      <c r="C23" s="136"/>
      <c r="D23" s="136"/>
      <c r="E23" s="136"/>
      <c r="F23" s="136"/>
      <c r="G23" s="21" t="s">
        <v>92</v>
      </c>
      <c r="H23" s="21" t="s">
        <v>90</v>
      </c>
      <c r="I23" s="21">
        <f>'MERCADO TUSD'!$U$20</f>
        <v>680185.39</v>
      </c>
      <c r="J23" s="17"/>
      <c r="L23" s="39"/>
      <c r="M23" s="39"/>
      <c r="N23" s="39"/>
      <c r="O23" s="39"/>
      <c r="P23" s="39"/>
      <c r="Q23" s="39"/>
      <c r="R23" s="39"/>
      <c r="S23" s="39"/>
      <c r="T23" s="39"/>
      <c r="U23" s="39">
        <v>0</v>
      </c>
      <c r="V23" s="39">
        <v>0</v>
      </c>
      <c r="W23" s="39">
        <v>0</v>
      </c>
      <c r="X23" s="39">
        <v>0</v>
      </c>
      <c r="Y23" s="39">
        <v>0</v>
      </c>
      <c r="Z23" s="39">
        <v>0</v>
      </c>
      <c r="AA23" s="39">
        <v>0</v>
      </c>
      <c r="AB23" s="39"/>
      <c r="AC23" s="39">
        <v>0</v>
      </c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P23" s="39">
        <v>1</v>
      </c>
    </row>
    <row r="24" spans="1:42" ht="11.25" customHeight="1" x14ac:dyDescent="0.25">
      <c r="A24" s="136"/>
      <c r="B24" s="136"/>
      <c r="C24" s="136"/>
      <c r="D24" s="136"/>
      <c r="E24" s="136" t="s">
        <v>58</v>
      </c>
      <c r="F24" s="136" t="s">
        <v>25</v>
      </c>
      <c r="G24" s="21" t="s">
        <v>91</v>
      </c>
      <c r="H24" s="21" t="s">
        <v>90</v>
      </c>
      <c r="I24" s="21">
        <f>'MERCADO TUSD'!$U$21</f>
        <v>0</v>
      </c>
      <c r="J24" s="17"/>
      <c r="L24" s="39"/>
      <c r="M24" s="39"/>
      <c r="N24" s="39"/>
      <c r="O24" s="39"/>
      <c r="P24" s="39"/>
      <c r="Q24" s="39"/>
      <c r="R24" s="39"/>
      <c r="S24" s="39"/>
      <c r="T24" s="39"/>
      <c r="U24" s="39">
        <v>199.27269999999999</v>
      </c>
      <c r="V24" s="39">
        <v>49.051600000000001</v>
      </c>
      <c r="W24" s="39">
        <v>10.8902</v>
      </c>
      <c r="X24" s="39">
        <v>0</v>
      </c>
      <c r="Y24" s="39">
        <v>6.1881000000000004</v>
      </c>
      <c r="Z24" s="39">
        <v>0</v>
      </c>
      <c r="AA24" s="39">
        <v>0</v>
      </c>
      <c r="AB24" s="39"/>
      <c r="AC24" s="39">
        <v>1121.0083999999999</v>
      </c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P24" s="39">
        <v>1</v>
      </c>
    </row>
    <row r="25" spans="1:42" ht="11.25" customHeight="1" x14ac:dyDescent="0.25">
      <c r="A25" s="136"/>
      <c r="B25" s="136"/>
      <c r="C25" s="136"/>
      <c r="D25" s="136"/>
      <c r="E25" s="136"/>
      <c r="F25" s="136"/>
      <c r="G25" s="21" t="s">
        <v>92</v>
      </c>
      <c r="H25" s="21" t="s">
        <v>90</v>
      </c>
      <c r="I25" s="21">
        <f>'MERCADO TUSD'!$U$22</f>
        <v>0</v>
      </c>
      <c r="J25" s="17"/>
      <c r="L25" s="39"/>
      <c r="M25" s="39"/>
      <c r="N25" s="39"/>
      <c r="O25" s="39"/>
      <c r="P25" s="39"/>
      <c r="Q25" s="39"/>
      <c r="R25" s="39"/>
      <c r="S25" s="39"/>
      <c r="T25" s="39"/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v>0</v>
      </c>
      <c r="AB25" s="39"/>
      <c r="AC25" s="39">
        <v>0</v>
      </c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P25" s="39">
        <v>1</v>
      </c>
    </row>
    <row r="26" spans="1:42" ht="11.25" customHeight="1" x14ac:dyDescent="0.25">
      <c r="A26" s="136" t="s">
        <v>98</v>
      </c>
      <c r="B26" s="136" t="s">
        <v>64</v>
      </c>
      <c r="C26" s="136" t="s">
        <v>25</v>
      </c>
      <c r="D26" s="136" t="s">
        <v>25</v>
      </c>
      <c r="E26" s="40" t="s">
        <v>99</v>
      </c>
      <c r="F26" s="40" t="s">
        <v>25</v>
      </c>
      <c r="G26" s="21" t="s">
        <v>9</v>
      </c>
      <c r="H26" s="21" t="s">
        <v>93</v>
      </c>
      <c r="I26" s="21">
        <f>'MERCADO TUSD'!$U$23+0.00000001</f>
        <v>1E-8</v>
      </c>
      <c r="J26" s="17"/>
      <c r="L26" s="39"/>
      <c r="M26" s="39"/>
      <c r="N26" s="39"/>
      <c r="O26" s="39"/>
      <c r="P26" s="39"/>
      <c r="Q26" s="39"/>
      <c r="R26" s="39"/>
      <c r="S26" s="39"/>
      <c r="T26" s="39"/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v>0</v>
      </c>
      <c r="AB26" s="39"/>
      <c r="AC26" s="39">
        <v>6.9077999999999999</v>
      </c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P26" s="39"/>
    </row>
    <row r="27" spans="1:42" ht="11.25" customHeight="1" x14ac:dyDescent="0.25">
      <c r="A27" s="136"/>
      <c r="B27" s="136"/>
      <c r="C27" s="136"/>
      <c r="D27" s="136"/>
      <c r="E27" s="40" t="s">
        <v>100</v>
      </c>
      <c r="F27" s="40" t="s">
        <v>25</v>
      </c>
      <c r="G27" s="21" t="s">
        <v>9</v>
      </c>
      <c r="H27" s="21" t="s">
        <v>93</v>
      </c>
      <c r="I27" s="21">
        <f>'MERCADO TUSD'!$U$24+0.00000001</f>
        <v>1E-8</v>
      </c>
      <c r="J27" s="17"/>
      <c r="L27" s="39"/>
      <c r="M27" s="39"/>
      <c r="N27" s="39"/>
      <c r="O27" s="39"/>
      <c r="P27" s="39"/>
      <c r="Q27" s="39"/>
      <c r="R27" s="39"/>
      <c r="S27" s="39"/>
      <c r="T27" s="39"/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v>0</v>
      </c>
      <c r="AB27" s="39"/>
      <c r="AC27" s="39">
        <v>17.636700000000001</v>
      </c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P27" s="39"/>
    </row>
    <row r="28" spans="1:42" ht="11.25" customHeight="1" x14ac:dyDescent="0.25">
      <c r="A28" s="136" t="s">
        <v>22</v>
      </c>
      <c r="B28" s="136" t="s">
        <v>37</v>
      </c>
      <c r="C28" s="136" t="s">
        <v>24</v>
      </c>
      <c r="D28" s="136" t="s">
        <v>24</v>
      </c>
      <c r="E28" s="136" t="s">
        <v>25</v>
      </c>
      <c r="F28" s="136" t="s">
        <v>25</v>
      </c>
      <c r="G28" s="21" t="s">
        <v>91</v>
      </c>
      <c r="H28" s="21" t="s">
        <v>90</v>
      </c>
      <c r="I28" s="21">
        <f>'MERCADO TUSD'!$U$25</f>
        <v>50.420000000000009</v>
      </c>
      <c r="J28" s="17"/>
      <c r="L28" s="39"/>
      <c r="M28" s="39"/>
      <c r="N28" s="39"/>
      <c r="O28" s="39"/>
      <c r="P28" s="39"/>
      <c r="Q28" s="39"/>
      <c r="R28" s="39"/>
      <c r="S28" s="39"/>
      <c r="T28" s="39"/>
      <c r="U28" s="39">
        <v>106.34780000000001</v>
      </c>
      <c r="V28" s="39">
        <v>26.223800000000001</v>
      </c>
      <c r="W28" s="39">
        <v>5.8764000000000003</v>
      </c>
      <c r="X28" s="39">
        <v>0</v>
      </c>
      <c r="Y28" s="39">
        <v>2.4721000000000002</v>
      </c>
      <c r="Z28" s="39">
        <v>0</v>
      </c>
      <c r="AA28" s="39">
        <v>0</v>
      </c>
      <c r="AB28" s="39"/>
      <c r="AC28" s="39">
        <v>699.78520000000003</v>
      </c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P28" s="39">
        <v>1</v>
      </c>
    </row>
    <row r="29" spans="1:42" ht="11.25" customHeight="1" x14ac:dyDescent="0.25">
      <c r="A29" s="136"/>
      <c r="B29" s="136"/>
      <c r="C29" s="136"/>
      <c r="D29" s="136"/>
      <c r="E29" s="136"/>
      <c r="F29" s="136"/>
      <c r="G29" s="21" t="s">
        <v>101</v>
      </c>
      <c r="H29" s="21" t="s">
        <v>90</v>
      </c>
      <c r="I29" s="21">
        <f>'MERCADO TUSD'!$U$26</f>
        <v>34.840000000000003</v>
      </c>
      <c r="J29" s="17"/>
      <c r="L29" s="39"/>
      <c r="M29" s="39"/>
      <c r="N29" s="39"/>
      <c r="O29" s="39"/>
      <c r="P29" s="39"/>
      <c r="Q29" s="39"/>
      <c r="R29" s="39"/>
      <c r="S29" s="39"/>
      <c r="T29" s="39"/>
      <c r="U29" s="39">
        <v>63.808700000000002</v>
      </c>
      <c r="V29" s="39">
        <v>15.734299999999999</v>
      </c>
      <c r="W29" s="39">
        <v>3.5259</v>
      </c>
      <c r="X29" s="39">
        <v>0</v>
      </c>
      <c r="Y29" s="39">
        <v>1.4833000000000001</v>
      </c>
      <c r="Z29" s="39">
        <v>0</v>
      </c>
      <c r="AA29" s="39">
        <v>0</v>
      </c>
      <c r="AB29" s="39"/>
      <c r="AC29" s="39">
        <v>419.87110000000001</v>
      </c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P29" s="39">
        <v>1</v>
      </c>
    </row>
    <row r="30" spans="1:42" ht="11.25" customHeight="1" x14ac:dyDescent="0.25">
      <c r="A30" s="136"/>
      <c r="B30" s="136"/>
      <c r="C30" s="136"/>
      <c r="D30" s="136"/>
      <c r="E30" s="136"/>
      <c r="F30" s="136"/>
      <c r="G30" s="21" t="s">
        <v>92</v>
      </c>
      <c r="H30" s="21" t="s">
        <v>90</v>
      </c>
      <c r="I30" s="21">
        <f>'MERCADO TUSD'!$U$27</f>
        <v>677.41499999999996</v>
      </c>
      <c r="J30" s="17"/>
      <c r="L30" s="39"/>
      <c r="M30" s="39"/>
      <c r="N30" s="39"/>
      <c r="O30" s="39"/>
      <c r="P30" s="39"/>
      <c r="Q30" s="39"/>
      <c r="R30" s="39"/>
      <c r="S30" s="39"/>
      <c r="T30" s="39"/>
      <c r="U30" s="39">
        <v>21.269600000000001</v>
      </c>
      <c r="V30" s="39">
        <v>5.2447999999999997</v>
      </c>
      <c r="W30" s="39">
        <v>1.1753</v>
      </c>
      <c r="X30" s="39">
        <v>0</v>
      </c>
      <c r="Y30" s="39">
        <v>0.49440000000000001</v>
      </c>
      <c r="Z30" s="39">
        <v>0</v>
      </c>
      <c r="AA30" s="39">
        <v>0</v>
      </c>
      <c r="AB30" s="39"/>
      <c r="AC30" s="39">
        <v>139.95699999999999</v>
      </c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P30" s="39">
        <v>1</v>
      </c>
    </row>
    <row r="31" spans="1:42" ht="11.25" customHeight="1" x14ac:dyDescent="0.25">
      <c r="A31" s="136"/>
      <c r="B31" s="136" t="s">
        <v>23</v>
      </c>
      <c r="C31" s="136" t="s">
        <v>24</v>
      </c>
      <c r="D31" s="40" t="s">
        <v>24</v>
      </c>
      <c r="E31" s="40" t="s">
        <v>25</v>
      </c>
      <c r="F31" s="40" t="s">
        <v>25</v>
      </c>
      <c r="G31" s="21" t="s">
        <v>96</v>
      </c>
      <c r="H31" s="21" t="s">
        <v>90</v>
      </c>
      <c r="I31" s="21">
        <f>'MERCADO TUSD'!$U$28</f>
        <v>1165006.6750000003</v>
      </c>
      <c r="J31" s="17"/>
      <c r="L31" s="39"/>
      <c r="M31" s="39"/>
      <c r="N31" s="39"/>
      <c r="O31" s="39"/>
      <c r="P31" s="39"/>
      <c r="Q31" s="39"/>
      <c r="R31" s="39"/>
      <c r="S31" s="39"/>
      <c r="T31" s="39"/>
      <c r="U31" s="39">
        <v>32.226599999999998</v>
      </c>
      <c r="V31" s="39">
        <v>7.9466000000000001</v>
      </c>
      <c r="W31" s="39">
        <v>1.7806999999999999</v>
      </c>
      <c r="X31" s="39">
        <v>0</v>
      </c>
      <c r="Y31" s="39">
        <v>0.74909999999999999</v>
      </c>
      <c r="Z31" s="39">
        <v>0</v>
      </c>
      <c r="AA31" s="39">
        <v>0</v>
      </c>
      <c r="AB31" s="39"/>
      <c r="AC31" s="39">
        <v>212.05609999999999</v>
      </c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P31" s="39">
        <v>1</v>
      </c>
    </row>
    <row r="32" spans="1:42" ht="11.25" customHeight="1" x14ac:dyDescent="0.25">
      <c r="A32" s="136"/>
      <c r="B32" s="136"/>
      <c r="C32" s="136"/>
      <c r="D32" s="40" t="s">
        <v>29</v>
      </c>
      <c r="E32" s="40" t="s">
        <v>25</v>
      </c>
      <c r="F32" s="40" t="s">
        <v>25</v>
      </c>
      <c r="G32" s="21" t="s">
        <v>96</v>
      </c>
      <c r="H32" s="21" t="s">
        <v>90</v>
      </c>
      <c r="I32" s="21">
        <f>'MERCADO TUSD'!$U$29</f>
        <v>134316.74400000001</v>
      </c>
      <c r="J32" s="17"/>
      <c r="L32" s="39"/>
      <c r="M32" s="39"/>
      <c r="N32" s="39"/>
      <c r="O32" s="39"/>
      <c r="P32" s="39"/>
      <c r="Q32" s="39"/>
      <c r="R32" s="39"/>
      <c r="S32" s="39"/>
      <c r="T32" s="39"/>
      <c r="U32" s="39">
        <f>(1 - CUSTOS!$M$24)*32.2266</f>
        <v>32.226599999999998</v>
      </c>
      <c r="V32" s="39">
        <f>(1 - CUSTOS!$M$24)*7.9466</f>
        <v>7.9466000000000001</v>
      </c>
      <c r="W32" s="39">
        <f>(1 - CUSTOS!$M$24)*1.7807</f>
        <v>1.7806999999999999</v>
      </c>
      <c r="X32" s="39">
        <v>0</v>
      </c>
      <c r="Y32" s="39">
        <f>(1 - CUSTOS!$M$24)*0.7491</f>
        <v>0.74909999999999999</v>
      </c>
      <c r="Z32" s="39">
        <v>0</v>
      </c>
      <c r="AA32" s="39">
        <v>0</v>
      </c>
      <c r="AB32" s="39"/>
      <c r="AC32" s="39">
        <f>(1 - CUSTOS!$M$24)*212.0561</f>
        <v>212.05609999999999</v>
      </c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P32" s="39">
        <f>IF((1 - CUSTOS!$M$24)&lt;&gt;0,1/(1 - CUSTOS!$M$24),1)</f>
        <v>1</v>
      </c>
    </row>
    <row r="33" spans="1:42" ht="11.25" customHeight="1" x14ac:dyDescent="0.25">
      <c r="A33" s="136"/>
      <c r="B33" s="136"/>
      <c r="C33" s="136"/>
      <c r="D33" s="40" t="s">
        <v>30</v>
      </c>
      <c r="E33" s="40" t="s">
        <v>25</v>
      </c>
      <c r="F33" s="40" t="s">
        <v>25</v>
      </c>
      <c r="G33" s="21" t="s">
        <v>96</v>
      </c>
      <c r="H33" s="21" t="s">
        <v>90</v>
      </c>
      <c r="I33" s="21">
        <f>'MERCADO TUSD'!$U$30</f>
        <v>207428.35200000001</v>
      </c>
      <c r="J33" s="17"/>
      <c r="L33" s="39"/>
      <c r="M33" s="39"/>
      <c r="N33" s="39"/>
      <c r="O33" s="39"/>
      <c r="P33" s="39"/>
      <c r="Q33" s="39"/>
      <c r="R33" s="39"/>
      <c r="S33" s="39"/>
      <c r="T33" s="39"/>
      <c r="U33" s="39">
        <f>(1 - CUSTOS!$M$25)*32.2266</f>
        <v>32.226599999999998</v>
      </c>
      <c r="V33" s="39">
        <f>(1 - CUSTOS!$M$25)*7.9466</f>
        <v>7.9466000000000001</v>
      </c>
      <c r="W33" s="39">
        <f>(1 - CUSTOS!$M$25)*1.7807</f>
        <v>1.7806999999999999</v>
      </c>
      <c r="X33" s="39">
        <v>0</v>
      </c>
      <c r="Y33" s="39">
        <f>(1 - CUSTOS!$M$25)*0.7491</f>
        <v>0.74909999999999999</v>
      </c>
      <c r="Z33" s="39">
        <v>0</v>
      </c>
      <c r="AA33" s="39">
        <v>0</v>
      </c>
      <c r="AB33" s="39"/>
      <c r="AC33" s="39">
        <f>(1 - CUSTOS!$M$25)*212.0561</f>
        <v>212.05609999999999</v>
      </c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P33" s="39">
        <f>IF((1 - CUSTOS!$M$25)&lt;&gt;0,1/(1 - CUSTOS!$M$25),1)</f>
        <v>1</v>
      </c>
    </row>
    <row r="34" spans="1:42" ht="11.25" customHeight="1" x14ac:dyDescent="0.25">
      <c r="A34" s="136"/>
      <c r="B34" s="136"/>
      <c r="C34" s="136"/>
      <c r="D34" s="40" t="s">
        <v>31</v>
      </c>
      <c r="E34" s="40" t="s">
        <v>25</v>
      </c>
      <c r="F34" s="40" t="s">
        <v>25</v>
      </c>
      <c r="G34" s="21" t="s">
        <v>96</v>
      </c>
      <c r="H34" s="21" t="s">
        <v>90</v>
      </c>
      <c r="I34" s="21">
        <f>'MERCADO TUSD'!$U$31</f>
        <v>81316.453999999983</v>
      </c>
      <c r="J34" s="17"/>
      <c r="L34" s="39"/>
      <c r="M34" s="39"/>
      <c r="N34" s="39"/>
      <c r="O34" s="39"/>
      <c r="P34" s="39"/>
      <c r="Q34" s="39"/>
      <c r="R34" s="39"/>
      <c r="S34" s="39"/>
      <c r="T34" s="39"/>
      <c r="U34" s="39">
        <f>(1 - CUSTOS!$M$26)*32.2266</f>
        <v>32.226599999999998</v>
      </c>
      <c r="V34" s="39">
        <f>(1 - CUSTOS!$M$26)*7.9466</f>
        <v>7.9466000000000001</v>
      </c>
      <c r="W34" s="39">
        <f>(1 - CUSTOS!$M$26)*1.7807</f>
        <v>1.7806999999999999</v>
      </c>
      <c r="X34" s="39">
        <v>0</v>
      </c>
      <c r="Y34" s="39">
        <f>(1 - CUSTOS!$M$26)*0.7491</f>
        <v>0.74909999999999999</v>
      </c>
      <c r="Z34" s="39">
        <v>0</v>
      </c>
      <c r="AA34" s="39">
        <v>0</v>
      </c>
      <c r="AB34" s="39"/>
      <c r="AC34" s="39">
        <f>(1 - CUSTOS!$M$26)*212.0561</f>
        <v>212.05609999999999</v>
      </c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P34" s="39">
        <f>IF((1 - CUSTOS!$M$26)&lt;&gt;0,1/(1 - CUSTOS!$M$26),1)</f>
        <v>1</v>
      </c>
    </row>
    <row r="35" spans="1:42" ht="11.25" customHeight="1" x14ac:dyDescent="0.25">
      <c r="A35" s="136"/>
      <c r="B35" s="136"/>
      <c r="C35" s="136"/>
      <c r="D35" s="40" t="s">
        <v>32</v>
      </c>
      <c r="E35" s="40" t="s">
        <v>25</v>
      </c>
      <c r="F35" s="40" t="s">
        <v>25</v>
      </c>
      <c r="G35" s="21" t="s">
        <v>96</v>
      </c>
      <c r="H35" s="21" t="s">
        <v>90</v>
      </c>
      <c r="I35" s="21">
        <f>'MERCADO TUSD'!$U$32</f>
        <v>15947.552</v>
      </c>
      <c r="J35" s="17"/>
      <c r="L35" s="39"/>
      <c r="M35" s="39"/>
      <c r="N35" s="39"/>
      <c r="O35" s="39"/>
      <c r="P35" s="39"/>
      <c r="Q35" s="39"/>
      <c r="R35" s="39"/>
      <c r="S35" s="39"/>
      <c r="T35" s="39"/>
      <c r="U35" s="39">
        <f>(1 - CUSTOS!$M$27)*32.2266</f>
        <v>32.226599999999998</v>
      </c>
      <c r="V35" s="39">
        <f>(1 - CUSTOS!$M$27)*7.9466</f>
        <v>7.9466000000000001</v>
      </c>
      <c r="W35" s="39">
        <f>(1 - CUSTOS!$M$27)*1.7807</f>
        <v>1.7806999999999999</v>
      </c>
      <c r="X35" s="39">
        <v>0</v>
      </c>
      <c r="Y35" s="39">
        <f>(1 - CUSTOS!$M$27)*0.7491</f>
        <v>0.74909999999999999</v>
      </c>
      <c r="Z35" s="39">
        <v>0</v>
      </c>
      <c r="AA35" s="39">
        <v>0</v>
      </c>
      <c r="AB35" s="39"/>
      <c r="AC35" s="39">
        <f>(1 - CUSTOS!$M$27)*212.0561</f>
        <v>212.05609999999999</v>
      </c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P35" s="39">
        <f>IF((1 - CUSTOS!$M$27)&lt;&gt;0,1/(1 - CUSTOS!$M$27),1)</f>
        <v>1</v>
      </c>
    </row>
    <row r="36" spans="1:42" ht="11.25" customHeight="1" x14ac:dyDescent="0.25">
      <c r="A36" s="136"/>
      <c r="B36" s="136" t="s">
        <v>103</v>
      </c>
      <c r="C36" s="136" t="s">
        <v>24</v>
      </c>
      <c r="D36" s="40" t="s">
        <v>24</v>
      </c>
      <c r="E36" s="40" t="s">
        <v>25</v>
      </c>
      <c r="F36" s="40" t="s">
        <v>25</v>
      </c>
      <c r="G36" s="21" t="s">
        <v>96</v>
      </c>
      <c r="H36" s="21" t="s">
        <v>90</v>
      </c>
      <c r="I36" s="21">
        <f>'MERCADO TUSD'!$U$33</f>
        <v>0</v>
      </c>
      <c r="J36" s="17"/>
      <c r="L36" s="39"/>
      <c r="M36" s="39"/>
      <c r="N36" s="39"/>
      <c r="O36" s="39"/>
      <c r="P36" s="39"/>
      <c r="Q36" s="39"/>
      <c r="R36" s="39"/>
      <c r="S36" s="39"/>
      <c r="T36" s="39"/>
      <c r="U36" s="39">
        <v>32.226599999999998</v>
      </c>
      <c r="V36" s="39">
        <v>7.9466000000000001</v>
      </c>
      <c r="W36" s="39">
        <v>1.7806999999999999</v>
      </c>
      <c r="X36" s="39">
        <v>0</v>
      </c>
      <c r="Y36" s="39">
        <v>0.74909999999999999</v>
      </c>
      <c r="Z36" s="39">
        <v>0</v>
      </c>
      <c r="AA36" s="39">
        <v>0</v>
      </c>
      <c r="AB36" s="39"/>
      <c r="AC36" s="39">
        <v>212.05609999999999</v>
      </c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P36" s="39">
        <v>1</v>
      </c>
    </row>
    <row r="37" spans="1:42" ht="11.25" customHeight="1" x14ac:dyDescent="0.25">
      <c r="A37" s="136"/>
      <c r="B37" s="136"/>
      <c r="C37" s="136"/>
      <c r="D37" s="40" t="s">
        <v>29</v>
      </c>
      <c r="E37" s="40" t="s">
        <v>25</v>
      </c>
      <c r="F37" s="40" t="s">
        <v>25</v>
      </c>
      <c r="G37" s="21" t="s">
        <v>96</v>
      </c>
      <c r="H37" s="21" t="s">
        <v>90</v>
      </c>
      <c r="I37" s="21">
        <f>'MERCADO TUSD'!$U$34</f>
        <v>0</v>
      </c>
      <c r="J37" s="17"/>
      <c r="L37" s="39"/>
      <c r="M37" s="39"/>
      <c r="N37" s="39"/>
      <c r="O37" s="39"/>
      <c r="P37" s="39"/>
      <c r="Q37" s="39"/>
      <c r="R37" s="39"/>
      <c r="S37" s="39"/>
      <c r="T37" s="39"/>
      <c r="U37" s="39">
        <f>(1 - CUSTOS!$M$24)*32.2266</f>
        <v>32.226599999999998</v>
      </c>
      <c r="V37" s="39">
        <f>(1 - CUSTOS!$M$24)*7.9466</f>
        <v>7.9466000000000001</v>
      </c>
      <c r="W37" s="39">
        <f>(1 - CUSTOS!$M$24)*1.7807</f>
        <v>1.7806999999999999</v>
      </c>
      <c r="X37" s="39">
        <v>0</v>
      </c>
      <c r="Y37" s="39">
        <f>(1 - CUSTOS!$M$24)*0.7491</f>
        <v>0.74909999999999999</v>
      </c>
      <c r="Z37" s="39">
        <v>0</v>
      </c>
      <c r="AA37" s="39">
        <v>0</v>
      </c>
      <c r="AB37" s="39"/>
      <c r="AC37" s="39">
        <f>(1 - CUSTOS!$M$24)*212.0561</f>
        <v>212.05609999999999</v>
      </c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P37" s="39">
        <f>IF((1 - CUSTOS!$M$24)&lt;&gt;0,1/(1 - CUSTOS!$M$24),1)</f>
        <v>1</v>
      </c>
    </row>
    <row r="38" spans="1:42" ht="11.25" customHeight="1" x14ac:dyDescent="0.25">
      <c r="A38" s="136"/>
      <c r="B38" s="136"/>
      <c r="C38" s="136"/>
      <c r="D38" s="40" t="s">
        <v>30</v>
      </c>
      <c r="E38" s="40" t="s">
        <v>25</v>
      </c>
      <c r="F38" s="40" t="s">
        <v>25</v>
      </c>
      <c r="G38" s="21" t="s">
        <v>96</v>
      </c>
      <c r="H38" s="21" t="s">
        <v>90</v>
      </c>
      <c r="I38" s="21">
        <f>'MERCADO TUSD'!$U$35</f>
        <v>0</v>
      </c>
      <c r="J38" s="17"/>
      <c r="L38" s="39"/>
      <c r="M38" s="39"/>
      <c r="N38" s="39"/>
      <c r="O38" s="39"/>
      <c r="P38" s="39"/>
      <c r="Q38" s="39"/>
      <c r="R38" s="39"/>
      <c r="S38" s="39"/>
      <c r="T38" s="39"/>
      <c r="U38" s="39">
        <f>(1 - CUSTOS!$M$25)*32.2266</f>
        <v>32.226599999999998</v>
      </c>
      <c r="V38" s="39">
        <f>(1 - CUSTOS!$M$25)*7.9466</f>
        <v>7.9466000000000001</v>
      </c>
      <c r="W38" s="39">
        <f>(1 - CUSTOS!$M$25)*1.7807</f>
        <v>1.7806999999999999</v>
      </c>
      <c r="X38" s="39">
        <v>0</v>
      </c>
      <c r="Y38" s="39">
        <f>(1 - CUSTOS!$M$25)*0.7491</f>
        <v>0.74909999999999999</v>
      </c>
      <c r="Z38" s="39">
        <v>0</v>
      </c>
      <c r="AA38" s="39">
        <v>0</v>
      </c>
      <c r="AB38" s="39"/>
      <c r="AC38" s="39">
        <f>(1 - CUSTOS!$M$25)*212.0561</f>
        <v>212.05609999999999</v>
      </c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P38" s="39">
        <f>IF((1 - CUSTOS!$M$25)&lt;&gt;0,1/(1 - CUSTOS!$M$25),1)</f>
        <v>1</v>
      </c>
    </row>
    <row r="39" spans="1:42" ht="11.25" customHeight="1" x14ac:dyDescent="0.25">
      <c r="A39" s="136"/>
      <c r="B39" s="136"/>
      <c r="C39" s="136"/>
      <c r="D39" s="40" t="s">
        <v>31</v>
      </c>
      <c r="E39" s="40" t="s">
        <v>25</v>
      </c>
      <c r="F39" s="40" t="s">
        <v>25</v>
      </c>
      <c r="G39" s="21" t="s">
        <v>96</v>
      </c>
      <c r="H39" s="21" t="s">
        <v>90</v>
      </c>
      <c r="I39" s="21">
        <f>'MERCADO TUSD'!$U$36</f>
        <v>0</v>
      </c>
      <c r="J39" s="17"/>
      <c r="L39" s="39"/>
      <c r="M39" s="39"/>
      <c r="N39" s="39"/>
      <c r="O39" s="39"/>
      <c r="P39" s="39"/>
      <c r="Q39" s="39"/>
      <c r="R39" s="39"/>
      <c r="S39" s="39"/>
      <c r="T39" s="39"/>
      <c r="U39" s="39">
        <f>(1 - CUSTOS!$M$26)*32.2266</f>
        <v>32.226599999999998</v>
      </c>
      <c r="V39" s="39">
        <f>(1 - CUSTOS!$M$26)*7.9466</f>
        <v>7.9466000000000001</v>
      </c>
      <c r="W39" s="39">
        <f>(1 - CUSTOS!$M$26)*1.7807</f>
        <v>1.7806999999999999</v>
      </c>
      <c r="X39" s="39">
        <v>0</v>
      </c>
      <c r="Y39" s="39">
        <f>(1 - CUSTOS!$M$26)*0.7491</f>
        <v>0.74909999999999999</v>
      </c>
      <c r="Z39" s="39">
        <v>0</v>
      </c>
      <c r="AA39" s="39">
        <v>0</v>
      </c>
      <c r="AB39" s="39"/>
      <c r="AC39" s="39">
        <f>(1 - CUSTOS!$M$26)*212.0561</f>
        <v>212.05609999999999</v>
      </c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P39" s="39">
        <f>IF((1 - CUSTOS!$M$26)&lt;&gt;0,1/(1 - CUSTOS!$M$26),1)</f>
        <v>1</v>
      </c>
    </row>
    <row r="40" spans="1:42" ht="11.25" customHeight="1" x14ac:dyDescent="0.25">
      <c r="A40" s="136"/>
      <c r="B40" s="136"/>
      <c r="C40" s="136"/>
      <c r="D40" s="40" t="s">
        <v>32</v>
      </c>
      <c r="E40" s="40" t="s">
        <v>25</v>
      </c>
      <c r="F40" s="40" t="s">
        <v>25</v>
      </c>
      <c r="G40" s="21" t="s">
        <v>96</v>
      </c>
      <c r="H40" s="21" t="s">
        <v>90</v>
      </c>
      <c r="I40" s="21">
        <f>'MERCADO TUSD'!$U$37</f>
        <v>0</v>
      </c>
      <c r="J40" s="17"/>
      <c r="L40" s="39"/>
      <c r="M40" s="39"/>
      <c r="N40" s="39"/>
      <c r="O40" s="39"/>
      <c r="P40" s="39"/>
      <c r="Q40" s="39"/>
      <c r="R40" s="39"/>
      <c r="S40" s="39"/>
      <c r="T40" s="39"/>
      <c r="U40" s="39">
        <f>(1 - CUSTOS!$M$27)*32.2266</f>
        <v>32.226599999999998</v>
      </c>
      <c r="V40" s="39">
        <f>(1 - CUSTOS!$M$27)*7.9466</f>
        <v>7.9466000000000001</v>
      </c>
      <c r="W40" s="39">
        <f>(1 - CUSTOS!$M$27)*1.7807</f>
        <v>1.7806999999999999</v>
      </c>
      <c r="X40" s="39">
        <v>0</v>
      </c>
      <c r="Y40" s="39">
        <f>(1 - CUSTOS!$M$27)*0.7491</f>
        <v>0.74909999999999999</v>
      </c>
      <c r="Z40" s="39">
        <v>0</v>
      </c>
      <c r="AA40" s="39">
        <v>0</v>
      </c>
      <c r="AB40" s="39"/>
      <c r="AC40" s="39">
        <f>(1 - CUSTOS!$M$27)*212.0561</f>
        <v>212.05609999999999</v>
      </c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P40" s="39">
        <f>IF((1 - CUSTOS!$M$27)&lt;&gt;0,1/(1 - CUSTOS!$M$27),1)</f>
        <v>1</v>
      </c>
    </row>
    <row r="41" spans="1:42" ht="11.25" customHeight="1" x14ac:dyDescent="0.25">
      <c r="A41" s="136" t="s">
        <v>44</v>
      </c>
      <c r="B41" s="136" t="s">
        <v>37</v>
      </c>
      <c r="C41" s="136" t="s">
        <v>45</v>
      </c>
      <c r="D41" s="136" t="s">
        <v>25</v>
      </c>
      <c r="E41" s="136" t="s">
        <v>25</v>
      </c>
      <c r="F41" s="136" t="s">
        <v>25</v>
      </c>
      <c r="G41" s="21" t="s">
        <v>91</v>
      </c>
      <c r="H41" s="21" t="s">
        <v>90</v>
      </c>
      <c r="I41" s="21">
        <f>'MERCADO TUSD'!$U$38</f>
        <v>3.0000000000000001E-3</v>
      </c>
      <c r="J41" s="17"/>
      <c r="L41" s="39"/>
      <c r="M41" s="39"/>
      <c r="N41" s="39"/>
      <c r="O41" s="39"/>
      <c r="P41" s="39"/>
      <c r="Q41" s="39"/>
      <c r="R41" s="39"/>
      <c r="S41" s="39"/>
      <c r="T41" s="39"/>
      <c r="U41" s="39">
        <f>(1 - CUSTOS!$M$28)*106.3478</f>
        <v>106.34780000000001</v>
      </c>
      <c r="V41" s="39">
        <f>(1 - CUSTOS!$M$28)*26.2238</f>
        <v>26.223800000000001</v>
      </c>
      <c r="W41" s="39">
        <f>(1 - CUSTOS!$M$28)*5.8764</f>
        <v>5.8764000000000003</v>
      </c>
      <c r="X41" s="39">
        <v>0</v>
      </c>
      <c r="Y41" s="39">
        <f>(1 - CUSTOS!$M$28)*2.4721</f>
        <v>2.4721000000000002</v>
      </c>
      <c r="Z41" s="39">
        <v>0</v>
      </c>
      <c r="AA41" s="39">
        <v>0</v>
      </c>
      <c r="AB41" s="39"/>
      <c r="AC41" s="39">
        <f>(1 - CUSTOS!$M$28)*699.7852</f>
        <v>699.78520000000003</v>
      </c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P41" s="39">
        <f>IF((1 - CUSTOS!$M$28)&lt;&gt;0,1/(1 - CUSTOS!$M$28),1)</f>
        <v>1</v>
      </c>
    </row>
    <row r="42" spans="1:42" ht="11.25" customHeight="1" x14ac:dyDescent="0.25">
      <c r="A42" s="136"/>
      <c r="B42" s="136"/>
      <c r="C42" s="136"/>
      <c r="D42" s="136"/>
      <c r="E42" s="136"/>
      <c r="F42" s="136"/>
      <c r="G42" s="21" t="s">
        <v>101</v>
      </c>
      <c r="H42" s="21" t="s">
        <v>90</v>
      </c>
      <c r="I42" s="21">
        <f>'MERCADO TUSD'!$U$39</f>
        <v>3.1E-2</v>
      </c>
      <c r="J42" s="17"/>
      <c r="L42" s="39"/>
      <c r="M42" s="39"/>
      <c r="N42" s="39"/>
      <c r="O42" s="39"/>
      <c r="P42" s="39"/>
      <c r="Q42" s="39"/>
      <c r="R42" s="39"/>
      <c r="S42" s="39"/>
      <c r="T42" s="39"/>
      <c r="U42" s="39">
        <f>(1 - CUSTOS!$M$28)*63.8087</f>
        <v>63.808700000000002</v>
      </c>
      <c r="V42" s="39">
        <f>(1 - CUSTOS!$M$28)*15.7343</f>
        <v>15.734299999999999</v>
      </c>
      <c r="W42" s="39">
        <f>(1 - CUSTOS!$M$28)*3.5259</f>
        <v>3.5259</v>
      </c>
      <c r="X42" s="39">
        <v>0</v>
      </c>
      <c r="Y42" s="39">
        <f>(1 - CUSTOS!$M$28)*1.4833</f>
        <v>1.4833000000000001</v>
      </c>
      <c r="Z42" s="39">
        <v>0</v>
      </c>
      <c r="AA42" s="39">
        <v>0</v>
      </c>
      <c r="AB42" s="39"/>
      <c r="AC42" s="39">
        <f>(1 - CUSTOS!$M$28)*419.8711</f>
        <v>419.87110000000001</v>
      </c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P42" s="39">
        <f>IF((1 - CUSTOS!$M$28)&lt;&gt;0,1/(1 - CUSTOS!$M$28),1)</f>
        <v>1</v>
      </c>
    </row>
    <row r="43" spans="1:42" ht="11.25" customHeight="1" x14ac:dyDescent="0.25">
      <c r="A43" s="136"/>
      <c r="B43" s="136"/>
      <c r="C43" s="136"/>
      <c r="D43" s="136"/>
      <c r="E43" s="136"/>
      <c r="F43" s="136"/>
      <c r="G43" s="21" t="s">
        <v>92</v>
      </c>
      <c r="H43" s="21" t="s">
        <v>90</v>
      </c>
      <c r="I43" s="21">
        <f>'MERCADO TUSD'!$U$40</f>
        <v>8.956999999999999</v>
      </c>
      <c r="J43" s="17"/>
      <c r="L43" s="39"/>
      <c r="M43" s="39"/>
      <c r="N43" s="39"/>
      <c r="O43" s="39"/>
      <c r="P43" s="39"/>
      <c r="Q43" s="39"/>
      <c r="R43" s="39"/>
      <c r="S43" s="39"/>
      <c r="T43" s="39"/>
      <c r="U43" s="39">
        <f>(1 - CUSTOS!$M$28)*21.2696</f>
        <v>21.269600000000001</v>
      </c>
      <c r="V43" s="39">
        <f>(1 - CUSTOS!$M$28)*5.2448</f>
        <v>5.2447999999999997</v>
      </c>
      <c r="W43" s="39">
        <f>(1 - CUSTOS!$M$28)*1.1753</f>
        <v>1.1753</v>
      </c>
      <c r="X43" s="39">
        <v>0</v>
      </c>
      <c r="Y43" s="39">
        <f>(1 - CUSTOS!$M$28)*0.4944</f>
        <v>0.49440000000000001</v>
      </c>
      <c r="Z43" s="39">
        <v>0</v>
      </c>
      <c r="AA43" s="39">
        <v>0</v>
      </c>
      <c r="AB43" s="39"/>
      <c r="AC43" s="39">
        <f>(1 - CUSTOS!$M$28)*139.957</f>
        <v>139.95699999999999</v>
      </c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P43" s="39">
        <f>IF((1 - CUSTOS!$M$28)&lt;&gt;0,1/(1 - CUSTOS!$M$28),1)</f>
        <v>1</v>
      </c>
    </row>
    <row r="44" spans="1:42" ht="11.25" customHeight="1" x14ac:dyDescent="0.25">
      <c r="A44" s="136"/>
      <c r="B44" s="40" t="s">
        <v>23</v>
      </c>
      <c r="C44" s="40" t="s">
        <v>45</v>
      </c>
      <c r="D44" s="40" t="s">
        <v>25</v>
      </c>
      <c r="E44" s="40" t="s">
        <v>25</v>
      </c>
      <c r="F44" s="40" t="s">
        <v>25</v>
      </c>
      <c r="G44" s="21" t="s">
        <v>96</v>
      </c>
      <c r="H44" s="21" t="s">
        <v>90</v>
      </c>
      <c r="I44" s="21">
        <f>'MERCADO TUSD'!$U$41</f>
        <v>60904.316999999995</v>
      </c>
      <c r="J44" s="17"/>
      <c r="L44" s="39"/>
      <c r="M44" s="39"/>
      <c r="N44" s="39"/>
      <c r="O44" s="39"/>
      <c r="P44" s="39"/>
      <c r="Q44" s="39"/>
      <c r="R44" s="39"/>
      <c r="S44" s="39"/>
      <c r="T44" s="39"/>
      <c r="U44" s="39">
        <f>(1 - CUSTOS!$M$28)*32.2266</f>
        <v>32.226599999999998</v>
      </c>
      <c r="V44" s="39">
        <f>(1 - CUSTOS!$M$28)*7.9466</f>
        <v>7.9466000000000001</v>
      </c>
      <c r="W44" s="39">
        <f>(1 - CUSTOS!$M$28)*1.7807</f>
        <v>1.7806999999999999</v>
      </c>
      <c r="X44" s="39">
        <v>0</v>
      </c>
      <c r="Y44" s="39">
        <f>(1 - CUSTOS!$M$28)*0.7491</f>
        <v>0.74909999999999999</v>
      </c>
      <c r="Z44" s="39">
        <v>0</v>
      </c>
      <c r="AA44" s="39">
        <v>0</v>
      </c>
      <c r="AB44" s="39"/>
      <c r="AC44" s="39">
        <f>(1 - CUSTOS!$M$28)*212.0561</f>
        <v>212.05609999999999</v>
      </c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P44" s="39">
        <f>IF((1 - CUSTOS!$M$28)&lt;&gt;0,1/(1 - CUSTOS!$M$28),1)</f>
        <v>1</v>
      </c>
    </row>
    <row r="45" spans="1:42" ht="11.25" customHeight="1" x14ac:dyDescent="0.25">
      <c r="A45" s="136"/>
      <c r="B45" s="136" t="s">
        <v>37</v>
      </c>
      <c r="C45" s="136" t="s">
        <v>45</v>
      </c>
      <c r="D45" s="136" t="s">
        <v>104</v>
      </c>
      <c r="E45" s="136" t="s">
        <v>25</v>
      </c>
      <c r="F45" s="136" t="s">
        <v>25</v>
      </c>
      <c r="G45" s="21" t="s">
        <v>91</v>
      </c>
      <c r="H45" s="21" t="s">
        <v>90</v>
      </c>
      <c r="I45" s="21">
        <f>'MERCADO TUSD'!$U$42</f>
        <v>0</v>
      </c>
      <c r="J45" s="17"/>
      <c r="L45" s="39"/>
      <c r="M45" s="39"/>
      <c r="N45" s="39"/>
      <c r="O45" s="39"/>
      <c r="P45" s="39"/>
      <c r="Q45" s="39"/>
      <c r="R45" s="39"/>
      <c r="S45" s="39"/>
      <c r="T45" s="39"/>
      <c r="U45" s="39">
        <f>(1 - CUSTOS!$M$29)*106.3478</f>
        <v>106.34780000000001</v>
      </c>
      <c r="V45" s="39">
        <f>(1 - CUSTOS!$M$29)*26.2238</f>
        <v>26.223800000000001</v>
      </c>
      <c r="W45" s="39">
        <f>(1 - CUSTOS!$M$29)*5.8764</f>
        <v>5.8764000000000003</v>
      </c>
      <c r="X45" s="39">
        <v>0</v>
      </c>
      <c r="Y45" s="39">
        <f>(1 - CUSTOS!$M$29)*2.4721</f>
        <v>2.4721000000000002</v>
      </c>
      <c r="Z45" s="39">
        <v>0</v>
      </c>
      <c r="AA45" s="39">
        <v>0</v>
      </c>
      <c r="AB45" s="39"/>
      <c r="AC45" s="39">
        <f>(1 - CUSTOS!$M$29)*699.7852</f>
        <v>699.78520000000003</v>
      </c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P45" s="39">
        <f>IF((1 - CUSTOS!$M$29)&lt;&gt;0,1/(1 - CUSTOS!$M$29),1)</f>
        <v>1</v>
      </c>
    </row>
    <row r="46" spans="1:42" ht="11.25" customHeight="1" x14ac:dyDescent="0.25">
      <c r="A46" s="136"/>
      <c r="B46" s="136"/>
      <c r="C46" s="136"/>
      <c r="D46" s="136"/>
      <c r="E46" s="136"/>
      <c r="F46" s="136"/>
      <c r="G46" s="21" t="s">
        <v>101</v>
      </c>
      <c r="H46" s="21" t="s">
        <v>90</v>
      </c>
      <c r="I46" s="21">
        <f>'MERCADO TUSD'!$U$43</f>
        <v>0</v>
      </c>
      <c r="J46" s="17"/>
      <c r="L46" s="39"/>
      <c r="M46" s="39"/>
      <c r="N46" s="39"/>
      <c r="O46" s="39"/>
      <c r="P46" s="39"/>
      <c r="Q46" s="39"/>
      <c r="R46" s="39"/>
      <c r="S46" s="39"/>
      <c r="T46" s="39"/>
      <c r="U46" s="39">
        <f>(1 - CUSTOS!$M$29)*63.8087</f>
        <v>63.808700000000002</v>
      </c>
      <c r="V46" s="39">
        <f>(1 - CUSTOS!$M$29)*15.7343</f>
        <v>15.734299999999999</v>
      </c>
      <c r="W46" s="39">
        <f>(1 - CUSTOS!$M$29)*3.5259</f>
        <v>3.5259</v>
      </c>
      <c r="X46" s="39">
        <v>0</v>
      </c>
      <c r="Y46" s="39">
        <f>(1 - CUSTOS!$M$29)*1.4833</f>
        <v>1.4833000000000001</v>
      </c>
      <c r="Z46" s="39">
        <v>0</v>
      </c>
      <c r="AA46" s="39">
        <v>0</v>
      </c>
      <c r="AB46" s="39"/>
      <c r="AC46" s="39">
        <f>(1 - CUSTOS!$M$29)*419.8711</f>
        <v>419.87110000000001</v>
      </c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P46" s="39">
        <f>IF((1 - CUSTOS!$M$29)&lt;&gt;0,1/(1 - CUSTOS!$M$29),1)</f>
        <v>1</v>
      </c>
    </row>
    <row r="47" spans="1:42" ht="11.25" customHeight="1" x14ac:dyDescent="0.25">
      <c r="A47" s="136"/>
      <c r="B47" s="136"/>
      <c r="C47" s="136"/>
      <c r="D47" s="136"/>
      <c r="E47" s="136"/>
      <c r="F47" s="136"/>
      <c r="G47" s="21" t="s">
        <v>92</v>
      </c>
      <c r="H47" s="21" t="s">
        <v>90</v>
      </c>
      <c r="I47" s="21">
        <f>'MERCADO TUSD'!$U$44</f>
        <v>0</v>
      </c>
      <c r="J47" s="17"/>
      <c r="L47" s="39"/>
      <c r="M47" s="39"/>
      <c r="N47" s="39"/>
      <c r="O47" s="39"/>
      <c r="P47" s="39"/>
      <c r="Q47" s="39"/>
      <c r="R47" s="39"/>
      <c r="S47" s="39"/>
      <c r="T47" s="39"/>
      <c r="U47" s="39">
        <f>(1 - CUSTOS!$M$29)*21.2696</f>
        <v>21.269600000000001</v>
      </c>
      <c r="V47" s="39">
        <f>(1 - CUSTOS!$M$29)*5.2448</f>
        <v>5.2447999999999997</v>
      </c>
      <c r="W47" s="39">
        <f>(1 - CUSTOS!$M$29)*1.1753</f>
        <v>1.1753</v>
      </c>
      <c r="X47" s="39">
        <v>0</v>
      </c>
      <c r="Y47" s="39">
        <f>(1 - CUSTOS!$M$29)*0.4944</f>
        <v>0.49440000000000001</v>
      </c>
      <c r="Z47" s="39">
        <v>0</v>
      </c>
      <c r="AA47" s="39">
        <v>0</v>
      </c>
      <c r="AB47" s="39"/>
      <c r="AC47" s="39">
        <f>(1 - CUSTOS!$M$29)*139.957</f>
        <v>139.95699999999999</v>
      </c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P47" s="39">
        <f>IF((1 - CUSTOS!$M$29)&lt;&gt;0,1/(1 - CUSTOS!$M$29),1)</f>
        <v>1</v>
      </c>
    </row>
    <row r="48" spans="1:42" ht="11.25" customHeight="1" x14ac:dyDescent="0.25">
      <c r="A48" s="136"/>
      <c r="B48" s="40" t="s">
        <v>23</v>
      </c>
      <c r="C48" s="40" t="s">
        <v>45</v>
      </c>
      <c r="D48" s="40" t="s">
        <v>104</v>
      </c>
      <c r="E48" s="40" t="s">
        <v>25</v>
      </c>
      <c r="F48" s="40" t="s">
        <v>25</v>
      </c>
      <c r="G48" s="21" t="s">
        <v>96</v>
      </c>
      <c r="H48" s="21" t="s">
        <v>90</v>
      </c>
      <c r="I48" s="21">
        <f>'MERCADO TUSD'!$U$45</f>
        <v>0</v>
      </c>
      <c r="J48" s="17"/>
      <c r="L48" s="39"/>
      <c r="M48" s="39"/>
      <c r="N48" s="39"/>
      <c r="O48" s="39"/>
      <c r="P48" s="39"/>
      <c r="Q48" s="39"/>
      <c r="R48" s="39"/>
      <c r="S48" s="39"/>
      <c r="T48" s="39"/>
      <c r="U48" s="39">
        <f>(1 - CUSTOS!$M$29)*32.2266</f>
        <v>32.226599999999998</v>
      </c>
      <c r="V48" s="39">
        <f>(1 - CUSTOS!$M$29)*7.9466</f>
        <v>7.9466000000000001</v>
      </c>
      <c r="W48" s="39">
        <f>(1 - CUSTOS!$M$29)*1.7807</f>
        <v>1.7806999999999999</v>
      </c>
      <c r="X48" s="39">
        <v>0</v>
      </c>
      <c r="Y48" s="39">
        <f>(1 - CUSTOS!$M$29)*0.7491</f>
        <v>0.74909999999999999</v>
      </c>
      <c r="Z48" s="39">
        <v>0</v>
      </c>
      <c r="AA48" s="39">
        <v>0</v>
      </c>
      <c r="AB48" s="39"/>
      <c r="AC48" s="39">
        <f>(1 - CUSTOS!$M$29)*212.0561</f>
        <v>212.05609999999999</v>
      </c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P48" s="39">
        <f>IF((1 - CUSTOS!$M$29)&lt;&gt;0,1/(1 - CUSTOS!$M$29),1)</f>
        <v>1</v>
      </c>
    </row>
    <row r="49" spans="1:42" ht="11.25" customHeight="1" x14ac:dyDescent="0.25">
      <c r="A49" s="136"/>
      <c r="B49" s="136" t="s">
        <v>37</v>
      </c>
      <c r="C49" s="136" t="s">
        <v>45</v>
      </c>
      <c r="D49" s="136" t="s">
        <v>105</v>
      </c>
      <c r="E49" s="136" t="s">
        <v>25</v>
      </c>
      <c r="F49" s="136" t="s">
        <v>25</v>
      </c>
      <c r="G49" s="21" t="s">
        <v>91</v>
      </c>
      <c r="H49" s="21" t="s">
        <v>90</v>
      </c>
      <c r="I49" s="21">
        <f>'MERCADO TUSD'!$U$46</f>
        <v>0</v>
      </c>
      <c r="J49" s="17"/>
      <c r="L49" s="39"/>
      <c r="M49" s="39"/>
      <c r="N49" s="39"/>
      <c r="O49" s="39"/>
      <c r="P49" s="39"/>
      <c r="Q49" s="39"/>
      <c r="R49" s="39"/>
      <c r="S49" s="39"/>
      <c r="T49" s="39"/>
      <c r="U49" s="39">
        <f>(1 - CUSTOS!$M$30)*106.3478</f>
        <v>106.34780000000001</v>
      </c>
      <c r="V49" s="39">
        <f>(1 - CUSTOS!$M$30)*26.2238</f>
        <v>26.223800000000001</v>
      </c>
      <c r="W49" s="39">
        <f>(1 - CUSTOS!$M$30)*5.8764</f>
        <v>5.8764000000000003</v>
      </c>
      <c r="X49" s="39">
        <v>0</v>
      </c>
      <c r="Y49" s="39">
        <f>(1 - CUSTOS!$M$30)*2.4721</f>
        <v>2.4721000000000002</v>
      </c>
      <c r="Z49" s="39">
        <v>0</v>
      </c>
      <c r="AA49" s="39">
        <v>0</v>
      </c>
      <c r="AB49" s="39"/>
      <c r="AC49" s="39">
        <f>(1 - CUSTOS!$M$30)*699.7852</f>
        <v>699.78520000000003</v>
      </c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P49" s="39">
        <f>IF((1 - CUSTOS!$M$30)&lt;&gt;0,1/(1 - CUSTOS!$M$30),1)</f>
        <v>1</v>
      </c>
    </row>
    <row r="50" spans="1:42" ht="11.25" customHeight="1" x14ac:dyDescent="0.25">
      <c r="A50" s="136"/>
      <c r="B50" s="136"/>
      <c r="C50" s="136"/>
      <c r="D50" s="136"/>
      <c r="E50" s="136"/>
      <c r="F50" s="136"/>
      <c r="G50" s="21" t="s">
        <v>101</v>
      </c>
      <c r="H50" s="21" t="s">
        <v>90</v>
      </c>
      <c r="I50" s="21">
        <f>'MERCADO TUSD'!$U$47</f>
        <v>0</v>
      </c>
      <c r="J50" s="17"/>
      <c r="L50" s="39"/>
      <c r="M50" s="39"/>
      <c r="N50" s="39"/>
      <c r="O50" s="39"/>
      <c r="P50" s="39"/>
      <c r="Q50" s="39"/>
      <c r="R50" s="39"/>
      <c r="S50" s="39"/>
      <c r="T50" s="39"/>
      <c r="U50" s="39">
        <f>(1 - CUSTOS!$M$30)*63.8087</f>
        <v>63.808700000000002</v>
      </c>
      <c r="V50" s="39">
        <f>(1 - CUSTOS!$M$30)*15.7343</f>
        <v>15.734299999999999</v>
      </c>
      <c r="W50" s="39">
        <f>(1 - CUSTOS!$M$30)*3.5259</f>
        <v>3.5259</v>
      </c>
      <c r="X50" s="39">
        <v>0</v>
      </c>
      <c r="Y50" s="39">
        <f>(1 - CUSTOS!$M$30)*1.4833</f>
        <v>1.4833000000000001</v>
      </c>
      <c r="Z50" s="39">
        <v>0</v>
      </c>
      <c r="AA50" s="39">
        <v>0</v>
      </c>
      <c r="AB50" s="39"/>
      <c r="AC50" s="39">
        <f>(1 - CUSTOS!$M$30)*419.8711</f>
        <v>419.87110000000001</v>
      </c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P50" s="39">
        <f>IF((1 - CUSTOS!$M$30)&lt;&gt;0,1/(1 - CUSTOS!$M$30),1)</f>
        <v>1</v>
      </c>
    </row>
    <row r="51" spans="1:42" ht="11.25" customHeight="1" x14ac:dyDescent="0.25">
      <c r="A51" s="136"/>
      <c r="B51" s="136"/>
      <c r="C51" s="136"/>
      <c r="D51" s="136"/>
      <c r="E51" s="136"/>
      <c r="F51" s="136"/>
      <c r="G51" s="21" t="s">
        <v>92</v>
      </c>
      <c r="H51" s="21" t="s">
        <v>90</v>
      </c>
      <c r="I51" s="21">
        <f>'MERCADO TUSD'!$U$48</f>
        <v>0</v>
      </c>
      <c r="J51" s="17"/>
      <c r="L51" s="39"/>
      <c r="M51" s="39"/>
      <c r="N51" s="39"/>
      <c r="O51" s="39"/>
      <c r="P51" s="39"/>
      <c r="Q51" s="39"/>
      <c r="R51" s="39"/>
      <c r="S51" s="39"/>
      <c r="T51" s="39"/>
      <c r="U51" s="39">
        <f>(1 - CUSTOS!$M$30)*21.2696</f>
        <v>21.269600000000001</v>
      </c>
      <c r="V51" s="39">
        <f>(1 - CUSTOS!$M$30)*5.2448</f>
        <v>5.2447999999999997</v>
      </c>
      <c r="W51" s="39">
        <f>(1 - CUSTOS!$M$30)*1.1753</f>
        <v>1.1753</v>
      </c>
      <c r="X51" s="39">
        <v>0</v>
      </c>
      <c r="Y51" s="39">
        <f>(1 - CUSTOS!$M$30)*0.4944</f>
        <v>0.49440000000000001</v>
      </c>
      <c r="Z51" s="39">
        <v>0</v>
      </c>
      <c r="AA51" s="39">
        <v>0</v>
      </c>
      <c r="AB51" s="39"/>
      <c r="AC51" s="39">
        <f>(1 - CUSTOS!$M$30)*139.957</f>
        <v>139.95699999999999</v>
      </c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P51" s="39">
        <f>IF((1 - CUSTOS!$M$30)&lt;&gt;0,1/(1 - CUSTOS!$M$30),1)</f>
        <v>1</v>
      </c>
    </row>
    <row r="52" spans="1:42" ht="11.25" customHeight="1" x14ac:dyDescent="0.25">
      <c r="A52" s="136"/>
      <c r="B52" s="40" t="s">
        <v>23</v>
      </c>
      <c r="C52" s="40" t="s">
        <v>45</v>
      </c>
      <c r="D52" s="40" t="s">
        <v>105</v>
      </c>
      <c r="E52" s="40" t="s">
        <v>25</v>
      </c>
      <c r="F52" s="40" t="s">
        <v>25</v>
      </c>
      <c r="G52" s="21" t="s">
        <v>96</v>
      </c>
      <c r="H52" s="21" t="s">
        <v>90</v>
      </c>
      <c r="I52" s="21">
        <f>'MERCADO TUSD'!$U$49</f>
        <v>0</v>
      </c>
      <c r="J52" s="17"/>
      <c r="L52" s="39"/>
      <c r="M52" s="39"/>
      <c r="N52" s="39"/>
      <c r="O52" s="39"/>
      <c r="P52" s="39"/>
      <c r="Q52" s="39"/>
      <c r="R52" s="39"/>
      <c r="S52" s="39"/>
      <c r="T52" s="39"/>
      <c r="U52" s="39">
        <f>(1 - CUSTOS!$M$30)*32.2266</f>
        <v>32.226599999999998</v>
      </c>
      <c r="V52" s="39">
        <f>(1 - CUSTOS!$M$30)*7.9466</f>
        <v>7.9466000000000001</v>
      </c>
      <c r="W52" s="39">
        <f>(1 - CUSTOS!$M$30)*1.7807</f>
        <v>1.7806999999999999</v>
      </c>
      <c r="X52" s="39">
        <v>0</v>
      </c>
      <c r="Y52" s="39">
        <f>(1 - CUSTOS!$M$30)*0.7491</f>
        <v>0.74909999999999999</v>
      </c>
      <c r="Z52" s="39">
        <v>0</v>
      </c>
      <c r="AA52" s="39">
        <v>0</v>
      </c>
      <c r="AB52" s="39"/>
      <c r="AC52" s="39">
        <f>(1 - CUSTOS!$M$30)*212.0561</f>
        <v>212.05609999999999</v>
      </c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P52" s="39">
        <f>IF((1 - CUSTOS!$M$30)&lt;&gt;0,1/(1 - CUSTOS!$M$30),1)</f>
        <v>1</v>
      </c>
    </row>
    <row r="53" spans="1:42" ht="11.25" customHeight="1" x14ac:dyDescent="0.25">
      <c r="A53" s="136"/>
      <c r="B53" s="136" t="s">
        <v>103</v>
      </c>
      <c r="C53" s="136" t="s">
        <v>45</v>
      </c>
      <c r="D53" s="40" t="s">
        <v>25</v>
      </c>
      <c r="E53" s="40" t="s">
        <v>25</v>
      </c>
      <c r="F53" s="40" t="s">
        <v>25</v>
      </c>
      <c r="G53" s="21" t="s">
        <v>96</v>
      </c>
      <c r="H53" s="21" t="s">
        <v>90</v>
      </c>
      <c r="I53" s="21">
        <f>'MERCADO TUSD'!$U$50</f>
        <v>0</v>
      </c>
      <c r="J53" s="17"/>
      <c r="L53" s="39"/>
      <c r="M53" s="39"/>
      <c r="N53" s="39"/>
      <c r="O53" s="39"/>
      <c r="P53" s="39"/>
      <c r="Q53" s="39"/>
      <c r="R53" s="39"/>
      <c r="S53" s="39"/>
      <c r="T53" s="39"/>
      <c r="U53" s="39">
        <f>(1 - CUSTOS!$M$28)*32.2266</f>
        <v>32.226599999999998</v>
      </c>
      <c r="V53" s="39">
        <f>(1 - CUSTOS!$M$28)*7.9466</f>
        <v>7.9466000000000001</v>
      </c>
      <c r="W53" s="39">
        <f>(1 - CUSTOS!$M$28)*1.7807</f>
        <v>1.7806999999999999</v>
      </c>
      <c r="X53" s="39">
        <v>0</v>
      </c>
      <c r="Y53" s="39">
        <f>(1 - CUSTOS!$M$28)*0.7491</f>
        <v>0.74909999999999999</v>
      </c>
      <c r="Z53" s="39">
        <v>0</v>
      </c>
      <c r="AA53" s="39">
        <v>0</v>
      </c>
      <c r="AB53" s="39"/>
      <c r="AC53" s="39">
        <f>(1 - CUSTOS!$M$28)*212.0561</f>
        <v>212.05609999999999</v>
      </c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P53" s="39">
        <f>IF((1 - CUSTOS!$M$28)&lt;&gt;0,1/(1 - CUSTOS!$M$28),1)</f>
        <v>1</v>
      </c>
    </row>
    <row r="54" spans="1:42" ht="11.25" customHeight="1" x14ac:dyDescent="0.25">
      <c r="A54" s="136"/>
      <c r="B54" s="136"/>
      <c r="C54" s="136"/>
      <c r="D54" s="40" t="s">
        <v>104</v>
      </c>
      <c r="E54" s="40" t="s">
        <v>25</v>
      </c>
      <c r="F54" s="40" t="s">
        <v>25</v>
      </c>
      <c r="G54" s="21" t="s">
        <v>96</v>
      </c>
      <c r="H54" s="21" t="s">
        <v>90</v>
      </c>
      <c r="I54" s="21">
        <f>'MERCADO TUSD'!$U$51</f>
        <v>0</v>
      </c>
      <c r="J54" s="17"/>
      <c r="L54" s="39"/>
      <c r="M54" s="39"/>
      <c r="N54" s="39"/>
      <c r="O54" s="39"/>
      <c r="P54" s="39"/>
      <c r="Q54" s="39"/>
      <c r="R54" s="39"/>
      <c r="S54" s="39"/>
      <c r="T54" s="39"/>
      <c r="U54" s="39">
        <f>(1 - CUSTOS!$M$29)*32.2266</f>
        <v>32.226599999999998</v>
      </c>
      <c r="V54" s="39">
        <f>(1 - CUSTOS!$M$29)*7.9466</f>
        <v>7.9466000000000001</v>
      </c>
      <c r="W54" s="39">
        <f>(1 - CUSTOS!$M$29)*1.7807</f>
        <v>1.7806999999999999</v>
      </c>
      <c r="X54" s="39">
        <v>0</v>
      </c>
      <c r="Y54" s="39">
        <f>(1 - CUSTOS!$M$29)*0.7491</f>
        <v>0.74909999999999999</v>
      </c>
      <c r="Z54" s="39">
        <v>0</v>
      </c>
      <c r="AA54" s="39">
        <v>0</v>
      </c>
      <c r="AB54" s="39"/>
      <c r="AC54" s="39">
        <f>(1 - CUSTOS!$M$29)*212.0561</f>
        <v>212.05609999999999</v>
      </c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P54" s="39">
        <f>IF((1 - CUSTOS!$M$29)&lt;&gt;0,1/(1 - CUSTOS!$M$29),1)</f>
        <v>1</v>
      </c>
    </row>
    <row r="55" spans="1:42" ht="11.25" customHeight="1" x14ac:dyDescent="0.25">
      <c r="A55" s="136"/>
      <c r="B55" s="136"/>
      <c r="C55" s="136"/>
      <c r="D55" s="40" t="s">
        <v>105</v>
      </c>
      <c r="E55" s="40" t="s">
        <v>25</v>
      </c>
      <c r="F55" s="40" t="s">
        <v>25</v>
      </c>
      <c r="G55" s="21" t="s">
        <v>96</v>
      </c>
      <c r="H55" s="21" t="s">
        <v>90</v>
      </c>
      <c r="I55" s="21">
        <f>'MERCADO TUSD'!$U$52</f>
        <v>0</v>
      </c>
      <c r="J55" s="17"/>
      <c r="L55" s="39"/>
      <c r="M55" s="39"/>
      <c r="N55" s="39"/>
      <c r="O55" s="39"/>
      <c r="P55" s="39"/>
      <c r="Q55" s="39"/>
      <c r="R55" s="39"/>
      <c r="S55" s="39"/>
      <c r="T55" s="39"/>
      <c r="U55" s="39">
        <f>(1 - CUSTOS!$M$30)*32.2266</f>
        <v>32.226599999999998</v>
      </c>
      <c r="V55" s="39">
        <f>(1 - CUSTOS!$M$30)*7.9466</f>
        <v>7.9466000000000001</v>
      </c>
      <c r="W55" s="39">
        <f>(1 - CUSTOS!$M$30)*1.7807</f>
        <v>1.7806999999999999</v>
      </c>
      <c r="X55" s="39">
        <v>0</v>
      </c>
      <c r="Y55" s="39">
        <f>(1 - CUSTOS!$M$30)*0.7491</f>
        <v>0.74909999999999999</v>
      </c>
      <c r="Z55" s="39">
        <v>0</v>
      </c>
      <c r="AA55" s="39">
        <v>0</v>
      </c>
      <c r="AB55" s="39"/>
      <c r="AC55" s="39">
        <f>(1 - CUSTOS!$M$30)*212.0561</f>
        <v>212.05609999999999</v>
      </c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P55" s="39">
        <f>IF((1 - CUSTOS!$M$30)&lt;&gt;0,1/(1 - CUSTOS!$M$30),1)</f>
        <v>1</v>
      </c>
    </row>
    <row r="56" spans="1:42" ht="11.25" customHeight="1" x14ac:dyDescent="0.25">
      <c r="A56" s="136" t="s">
        <v>39</v>
      </c>
      <c r="B56" s="136" t="s">
        <v>37</v>
      </c>
      <c r="C56" s="136" t="s">
        <v>25</v>
      </c>
      <c r="D56" s="136" t="s">
        <v>25</v>
      </c>
      <c r="E56" s="136" t="s">
        <v>25</v>
      </c>
      <c r="F56" s="136" t="s">
        <v>25</v>
      </c>
      <c r="G56" s="21" t="s">
        <v>91</v>
      </c>
      <c r="H56" s="21" t="s">
        <v>90</v>
      </c>
      <c r="I56" s="21">
        <f>'MERCADO TUSD'!$U$53</f>
        <v>133.833</v>
      </c>
      <c r="J56" s="17"/>
      <c r="L56" s="39"/>
      <c r="M56" s="39"/>
      <c r="N56" s="39"/>
      <c r="O56" s="39"/>
      <c r="P56" s="39"/>
      <c r="Q56" s="39"/>
      <c r="R56" s="39"/>
      <c r="S56" s="39"/>
      <c r="T56" s="39"/>
      <c r="U56" s="39">
        <f>(1 - CUSTOS!$M$31)*106.3478</f>
        <v>106.34780000000001</v>
      </c>
      <c r="V56" s="39">
        <f>(1 - CUSTOS!$M$31)*26.2238</f>
        <v>26.223800000000001</v>
      </c>
      <c r="W56" s="39">
        <f>(1 - CUSTOS!$M$31)*5.8764</f>
        <v>5.8764000000000003</v>
      </c>
      <c r="X56" s="39">
        <v>0</v>
      </c>
      <c r="Y56" s="39">
        <f>(1 - CUSTOS!$M$31)*2.4721</f>
        <v>2.4721000000000002</v>
      </c>
      <c r="Z56" s="39">
        <v>0</v>
      </c>
      <c r="AA56" s="39">
        <v>0</v>
      </c>
      <c r="AB56" s="39"/>
      <c r="AC56" s="39">
        <f>(1 - CUSTOS!$M$31)*699.7852</f>
        <v>699.78520000000003</v>
      </c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P56" s="39">
        <f>IF((1 - CUSTOS!$M$31)&lt;&gt;0,1/(1 - CUSTOS!$M$31),1)</f>
        <v>1</v>
      </c>
    </row>
    <row r="57" spans="1:42" ht="11.25" customHeight="1" x14ac:dyDescent="0.25">
      <c r="A57" s="136"/>
      <c r="B57" s="136"/>
      <c r="C57" s="136"/>
      <c r="D57" s="136"/>
      <c r="E57" s="136"/>
      <c r="F57" s="136"/>
      <c r="G57" s="21" t="s">
        <v>101</v>
      </c>
      <c r="H57" s="21" t="s">
        <v>90</v>
      </c>
      <c r="I57" s="21">
        <f>'MERCADO TUSD'!$U$54</f>
        <v>132.79500000000002</v>
      </c>
      <c r="J57" s="17"/>
      <c r="L57" s="39"/>
      <c r="M57" s="39"/>
      <c r="N57" s="39"/>
      <c r="O57" s="39"/>
      <c r="P57" s="39"/>
      <c r="Q57" s="39"/>
      <c r="R57" s="39"/>
      <c r="S57" s="39"/>
      <c r="T57" s="39"/>
      <c r="U57" s="39">
        <f>(1 - CUSTOS!$M$31)*63.8087</f>
        <v>63.808700000000002</v>
      </c>
      <c r="V57" s="39">
        <f>(1 - CUSTOS!$M$31)*15.7343</f>
        <v>15.734299999999999</v>
      </c>
      <c r="W57" s="39">
        <f>(1 - CUSTOS!$M$31)*3.5259</f>
        <v>3.5259</v>
      </c>
      <c r="X57" s="39">
        <v>0</v>
      </c>
      <c r="Y57" s="39">
        <f>(1 - CUSTOS!$M$31)*1.4833</f>
        <v>1.4833000000000001</v>
      </c>
      <c r="Z57" s="39">
        <v>0</v>
      </c>
      <c r="AA57" s="39">
        <v>0</v>
      </c>
      <c r="AB57" s="39"/>
      <c r="AC57" s="39">
        <f>(1 - CUSTOS!$M$31)*419.8711</f>
        <v>419.87110000000001</v>
      </c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P57" s="39">
        <f>IF((1 - CUSTOS!$M$31)&lt;&gt;0,1/(1 - CUSTOS!$M$31),1)</f>
        <v>1</v>
      </c>
    </row>
    <row r="58" spans="1:42" ht="11.25" customHeight="1" x14ac:dyDescent="0.25">
      <c r="A58" s="136"/>
      <c r="B58" s="136"/>
      <c r="C58" s="136"/>
      <c r="D58" s="136"/>
      <c r="E58" s="136"/>
      <c r="F58" s="136"/>
      <c r="G58" s="21" t="s">
        <v>92</v>
      </c>
      <c r="H58" s="21" t="s">
        <v>90</v>
      </c>
      <c r="I58" s="21">
        <f>'MERCADO TUSD'!$U$55</f>
        <v>2117.7150000000001</v>
      </c>
      <c r="J58" s="17"/>
      <c r="L58" s="39"/>
      <c r="M58" s="39"/>
      <c r="N58" s="39"/>
      <c r="O58" s="39"/>
      <c r="P58" s="39"/>
      <c r="Q58" s="39"/>
      <c r="R58" s="39"/>
      <c r="S58" s="39"/>
      <c r="T58" s="39"/>
      <c r="U58" s="39">
        <f>(1 - CUSTOS!$M$31)*21.2696</f>
        <v>21.269600000000001</v>
      </c>
      <c r="V58" s="39">
        <f>(1 - CUSTOS!$M$31)*5.2448</f>
        <v>5.2447999999999997</v>
      </c>
      <c r="W58" s="39">
        <f>(1 - CUSTOS!$M$31)*1.1753</f>
        <v>1.1753</v>
      </c>
      <c r="X58" s="39">
        <v>0</v>
      </c>
      <c r="Y58" s="39">
        <f>(1 - CUSTOS!$M$31)*0.4944</f>
        <v>0.49440000000000001</v>
      </c>
      <c r="Z58" s="39">
        <v>0</v>
      </c>
      <c r="AA58" s="39">
        <v>0</v>
      </c>
      <c r="AB58" s="39"/>
      <c r="AC58" s="39">
        <f>(1 - CUSTOS!$M$31)*139.957</f>
        <v>139.95699999999999</v>
      </c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P58" s="39">
        <f>IF((1 - CUSTOS!$M$31)&lt;&gt;0,1/(1 - CUSTOS!$M$31),1)</f>
        <v>1</v>
      </c>
    </row>
    <row r="59" spans="1:42" ht="11.25" customHeight="1" x14ac:dyDescent="0.25">
      <c r="A59" s="136"/>
      <c r="B59" s="40" t="s">
        <v>23</v>
      </c>
      <c r="C59" s="40" t="s">
        <v>25</v>
      </c>
      <c r="D59" s="40" t="s">
        <v>25</v>
      </c>
      <c r="E59" s="40" t="s">
        <v>25</v>
      </c>
      <c r="F59" s="40" t="s">
        <v>25</v>
      </c>
      <c r="G59" s="21" t="s">
        <v>96</v>
      </c>
      <c r="H59" s="21" t="s">
        <v>90</v>
      </c>
      <c r="I59" s="21">
        <f>'MERCADO TUSD'!$U$56</f>
        <v>505530.49800000002</v>
      </c>
      <c r="J59" s="17"/>
      <c r="L59" s="39"/>
      <c r="M59" s="39"/>
      <c r="N59" s="39"/>
      <c r="O59" s="39"/>
      <c r="P59" s="39"/>
      <c r="Q59" s="39"/>
      <c r="R59" s="39"/>
      <c r="S59" s="39"/>
      <c r="T59" s="39"/>
      <c r="U59" s="39">
        <f>(1 - CUSTOS!$M$31)*32.2266</f>
        <v>32.226599999999998</v>
      </c>
      <c r="V59" s="39">
        <f>(1 - CUSTOS!$M$31)*7.9466</f>
        <v>7.9466000000000001</v>
      </c>
      <c r="W59" s="39">
        <f>(1 - CUSTOS!$M$31)*1.7807</f>
        <v>1.7806999999999999</v>
      </c>
      <c r="X59" s="39">
        <v>0</v>
      </c>
      <c r="Y59" s="39">
        <f>(1 - CUSTOS!$M$31)*0.7491</f>
        <v>0.74909999999999999</v>
      </c>
      <c r="Z59" s="39">
        <v>0</v>
      </c>
      <c r="AA59" s="39">
        <v>0</v>
      </c>
      <c r="AB59" s="39"/>
      <c r="AC59" s="39">
        <f>(1 - CUSTOS!$M$31)*212.0561</f>
        <v>212.05609999999999</v>
      </c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P59" s="39">
        <f>IF((1 - CUSTOS!$M$31)&lt;&gt;0,1/(1 - CUSTOS!$M$31),1)</f>
        <v>1</v>
      </c>
    </row>
    <row r="60" spans="1:42" ht="11.25" customHeight="1" x14ac:dyDescent="0.25">
      <c r="A60" s="136"/>
      <c r="B60" s="40" t="s">
        <v>103</v>
      </c>
      <c r="C60" s="40" t="s">
        <v>25</v>
      </c>
      <c r="D60" s="40" t="s">
        <v>25</v>
      </c>
      <c r="E60" s="40" t="s">
        <v>25</v>
      </c>
      <c r="F60" s="40" t="s">
        <v>25</v>
      </c>
      <c r="G60" s="21" t="s">
        <v>96</v>
      </c>
      <c r="H60" s="21" t="s">
        <v>90</v>
      </c>
      <c r="I60" s="21">
        <f>'MERCADO TUSD'!$U$57</f>
        <v>0</v>
      </c>
      <c r="J60" s="17"/>
      <c r="L60" s="39"/>
      <c r="M60" s="39"/>
      <c r="N60" s="39"/>
      <c r="O60" s="39"/>
      <c r="P60" s="39"/>
      <c r="Q60" s="39"/>
      <c r="R60" s="39"/>
      <c r="S60" s="39"/>
      <c r="T60" s="39"/>
      <c r="U60" s="39">
        <f>(1 - CUSTOS!$M$31)*32.2266</f>
        <v>32.226599999999998</v>
      </c>
      <c r="V60" s="39">
        <f>(1 - CUSTOS!$M$31)*7.9466</f>
        <v>7.9466000000000001</v>
      </c>
      <c r="W60" s="39">
        <f>(1 - CUSTOS!$M$31)*1.7807</f>
        <v>1.7806999999999999</v>
      </c>
      <c r="X60" s="39">
        <v>0</v>
      </c>
      <c r="Y60" s="39">
        <f>(1 - CUSTOS!$M$31)*0.7491</f>
        <v>0.74909999999999999</v>
      </c>
      <c r="Z60" s="39">
        <v>0</v>
      </c>
      <c r="AA60" s="39">
        <v>0</v>
      </c>
      <c r="AB60" s="39"/>
      <c r="AC60" s="39">
        <f>(1 - CUSTOS!$M$31)*212.0561</f>
        <v>212.05609999999999</v>
      </c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P60" s="39">
        <f>IF((1 - CUSTOS!$M$31)&lt;&gt;0,1/(1 - CUSTOS!$M$31),1)</f>
        <v>1</v>
      </c>
    </row>
    <row r="61" spans="1:42" ht="11.25" customHeight="1" x14ac:dyDescent="0.25">
      <c r="A61" s="136" t="s">
        <v>47</v>
      </c>
      <c r="B61" s="136" t="s">
        <v>23</v>
      </c>
      <c r="C61" s="136" t="s">
        <v>48</v>
      </c>
      <c r="D61" s="40" t="s">
        <v>49</v>
      </c>
      <c r="E61" s="40" t="s">
        <v>25</v>
      </c>
      <c r="F61" s="40" t="s">
        <v>25</v>
      </c>
      <c r="G61" s="21" t="s">
        <v>96</v>
      </c>
      <c r="H61" s="21" t="s">
        <v>90</v>
      </c>
      <c r="I61" s="21">
        <f>'MERCADO TUSD'!$U$58</f>
        <v>259602.97000000003</v>
      </c>
      <c r="J61" s="17"/>
      <c r="L61" s="39"/>
      <c r="M61" s="39"/>
      <c r="N61" s="39"/>
      <c r="O61" s="39"/>
      <c r="P61" s="39"/>
      <c r="Q61" s="39"/>
      <c r="R61" s="39"/>
      <c r="S61" s="39"/>
      <c r="T61" s="39"/>
      <c r="U61" s="39">
        <f>(1 - CUSTOS!$M$32)*32.2266</f>
        <v>17.724630000000001</v>
      </c>
      <c r="V61" s="39">
        <f>(1 - CUSTOS!$M$32)*7.9466</f>
        <v>4.3706300000000002</v>
      </c>
      <c r="W61" s="39">
        <f>(1 - CUSTOS!$M$32)*1.7807</f>
        <v>0.97938500000000006</v>
      </c>
      <c r="X61" s="39">
        <v>0</v>
      </c>
      <c r="Y61" s="39">
        <f>(1 - CUSTOS!$M$32)*0.7491</f>
        <v>0.41200500000000001</v>
      </c>
      <c r="Z61" s="39">
        <v>0</v>
      </c>
      <c r="AA61" s="39">
        <v>0</v>
      </c>
      <c r="AB61" s="39"/>
      <c r="AC61" s="39">
        <f>(1 - CUSTOS!$M$32)*212.0561</f>
        <v>116.630855</v>
      </c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P61" s="39">
        <f>IF((1 - CUSTOS!$M$32)&lt;&gt;0,1/(1 - CUSTOS!$M$32),1)</f>
        <v>1.8181818181818181</v>
      </c>
    </row>
    <row r="62" spans="1:42" ht="11.25" customHeight="1" x14ac:dyDescent="0.25">
      <c r="A62" s="136"/>
      <c r="B62" s="136"/>
      <c r="C62" s="136"/>
      <c r="D62" s="21" t="s">
        <v>106</v>
      </c>
      <c r="E62" s="21" t="s">
        <v>25</v>
      </c>
      <c r="F62" s="21" t="s">
        <v>25</v>
      </c>
      <c r="G62" s="21" t="s">
        <v>96</v>
      </c>
      <c r="H62" s="21" t="s">
        <v>90</v>
      </c>
      <c r="I62" s="21">
        <f>'MERCADO TUSD'!$U$59</f>
        <v>0</v>
      </c>
      <c r="J62" s="17"/>
      <c r="L62" s="39"/>
      <c r="M62" s="39"/>
      <c r="N62" s="39"/>
      <c r="O62" s="39"/>
      <c r="P62" s="39"/>
      <c r="Q62" s="39"/>
      <c r="R62" s="39"/>
      <c r="S62" s="39"/>
      <c r="T62" s="39"/>
      <c r="U62" s="39">
        <f>(1 - CUSTOS!$M$33)*32.2266</f>
        <v>19.335959999999996</v>
      </c>
      <c r="V62" s="39">
        <f>(1 - CUSTOS!$M$33)*7.9466</f>
        <v>4.7679599999999995</v>
      </c>
      <c r="W62" s="39">
        <f>(1 - CUSTOS!$M$33)*1.7807</f>
        <v>1.0684199999999999</v>
      </c>
      <c r="X62" s="39">
        <v>0</v>
      </c>
      <c r="Y62" s="39">
        <f>(1 - CUSTOS!$M$33)*0.7491</f>
        <v>0.44945999999999997</v>
      </c>
      <c r="Z62" s="39">
        <v>0</v>
      </c>
      <c r="AA62" s="39">
        <v>0</v>
      </c>
      <c r="AB62" s="39"/>
      <c r="AC62" s="39">
        <f>(1 - CUSTOS!$M$33)*212.0561</f>
        <v>127.23365999999999</v>
      </c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P62" s="39">
        <f>IF((1 - CUSTOS!$M$33)&lt;&gt;0,1/(1 - CUSTOS!$M$33),1)</f>
        <v>1.6666666666666667</v>
      </c>
    </row>
  </sheetData>
  <mergeCells count="89">
    <mergeCell ref="E56:E58"/>
    <mergeCell ref="F56:F58"/>
    <mergeCell ref="A61:A62"/>
    <mergeCell ref="B61:B62"/>
    <mergeCell ref="C61:C62"/>
    <mergeCell ref="D56:D58"/>
    <mergeCell ref="B53:B55"/>
    <mergeCell ref="C53:C55"/>
    <mergeCell ref="A56:A60"/>
    <mergeCell ref="B56:B58"/>
    <mergeCell ref="C56:C58"/>
    <mergeCell ref="A41:A55"/>
    <mergeCell ref="B41:B43"/>
    <mergeCell ref="C41:C43"/>
    <mergeCell ref="B49:B51"/>
    <mergeCell ref="C49:C51"/>
    <mergeCell ref="B45:B47"/>
    <mergeCell ref="C45:C47"/>
    <mergeCell ref="D49:D51"/>
    <mergeCell ref="E49:E51"/>
    <mergeCell ref="F49:F51"/>
    <mergeCell ref="D41:D43"/>
    <mergeCell ref="E41:E43"/>
    <mergeCell ref="F41:F43"/>
    <mergeCell ref="D45:D47"/>
    <mergeCell ref="E45:E47"/>
    <mergeCell ref="F45:F47"/>
    <mergeCell ref="A28:A40"/>
    <mergeCell ref="B28:B30"/>
    <mergeCell ref="C28:C30"/>
    <mergeCell ref="D28:D30"/>
    <mergeCell ref="E28:E30"/>
    <mergeCell ref="F28:F30"/>
    <mergeCell ref="B31:B35"/>
    <mergeCell ref="C31:C35"/>
    <mergeCell ref="B36:B40"/>
    <mergeCell ref="C36:C40"/>
    <mergeCell ref="F24:F25"/>
    <mergeCell ref="A26:A27"/>
    <mergeCell ref="B26:B27"/>
    <mergeCell ref="C26:C27"/>
    <mergeCell ref="D26:D27"/>
    <mergeCell ref="B21:B25"/>
    <mergeCell ref="C21:C25"/>
    <mergeCell ref="D21:D25"/>
    <mergeCell ref="E21:E23"/>
    <mergeCell ref="F21:F23"/>
    <mergeCell ref="A13:A25"/>
    <mergeCell ref="E24:E25"/>
    <mergeCell ref="F13:F15"/>
    <mergeCell ref="B17:B19"/>
    <mergeCell ref="C17:C19"/>
    <mergeCell ref="D17:D19"/>
    <mergeCell ref="E17:E19"/>
    <mergeCell ref="F17:F19"/>
    <mergeCell ref="B13:B16"/>
    <mergeCell ref="C13:C16"/>
    <mergeCell ref="D13:D16"/>
    <mergeCell ref="E13:E15"/>
    <mergeCell ref="A1:A4"/>
    <mergeCell ref="C9:C11"/>
    <mergeCell ref="D9:D11"/>
    <mergeCell ref="E9:E11"/>
    <mergeCell ref="F9:F11"/>
    <mergeCell ref="F5:F7"/>
    <mergeCell ref="B9:B11"/>
    <mergeCell ref="A5:A12"/>
    <mergeCell ref="B5:B8"/>
    <mergeCell ref="C5:C8"/>
    <mergeCell ref="D5:D8"/>
    <mergeCell ref="E5:E7"/>
    <mergeCell ref="B1:B4"/>
    <mergeCell ref="C1:C4"/>
    <mergeCell ref="D1:D4"/>
    <mergeCell ref="E1:E4"/>
    <mergeCell ref="AP1:AP4"/>
    <mergeCell ref="L2:AM2"/>
    <mergeCell ref="L3:T3"/>
    <mergeCell ref="U3:AB3"/>
    <mergeCell ref="AC3:AD3"/>
    <mergeCell ref="AE3:AG3"/>
    <mergeCell ref="AH3:AL3"/>
    <mergeCell ref="AM3:AM4"/>
    <mergeCell ref="F1:F4"/>
    <mergeCell ref="J1:J4"/>
    <mergeCell ref="L1:AM1"/>
    <mergeCell ref="G1:G4"/>
    <mergeCell ref="H1:H4"/>
    <mergeCell ref="I1:I4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5E3C-6DF4-4085-BD64-D0021254C316}">
  <dimension ref="A1:AP82"/>
  <sheetViews>
    <sheetView showGridLines="0" topLeftCell="A40" workbookViewId="0">
      <selection activeCell="K73" sqref="K73:P7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6" width="10" style="9" bestFit="1" customWidth="1"/>
    <col min="17" max="17" width="11.7109375" style="9" bestFit="1" customWidth="1"/>
    <col min="18" max="18" width="10.85546875" style="9" bestFit="1" customWidth="1"/>
    <col min="19" max="19" width="10" style="9" bestFit="1" customWidth="1"/>
    <col min="20" max="21" width="11.7109375" style="9" bestFit="1" customWidth="1"/>
    <col min="22" max="23" width="10.85546875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3.1406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80</v>
      </c>
      <c r="B1" s="132" t="s">
        <v>81</v>
      </c>
      <c r="C1" s="132" t="s">
        <v>82</v>
      </c>
      <c r="D1" s="132" t="s">
        <v>83</v>
      </c>
      <c r="E1" s="132" t="s">
        <v>84</v>
      </c>
      <c r="F1" s="132" t="s">
        <v>15</v>
      </c>
      <c r="G1" s="132" t="s">
        <v>86</v>
      </c>
      <c r="H1" s="132" t="s">
        <v>87</v>
      </c>
      <c r="I1" s="132" t="s">
        <v>854</v>
      </c>
      <c r="J1" s="130"/>
      <c r="L1" s="133" t="s">
        <v>855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856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30"/>
      <c r="L2" s="133" t="s">
        <v>754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30"/>
      <c r="L3" s="133" t="s">
        <v>755</v>
      </c>
      <c r="M3" s="133"/>
      <c r="N3" s="133"/>
      <c r="O3" s="133"/>
      <c r="P3" s="133"/>
      <c r="Q3" s="133"/>
      <c r="R3" s="133"/>
      <c r="S3" s="133"/>
      <c r="T3" s="133"/>
      <c r="U3" s="133" t="s">
        <v>764</v>
      </c>
      <c r="V3" s="133"/>
      <c r="W3" s="133"/>
      <c r="X3" s="133"/>
      <c r="Y3" s="133"/>
      <c r="Z3" s="133"/>
      <c r="AA3" s="133"/>
      <c r="AB3" s="133"/>
      <c r="AC3" s="133" t="s">
        <v>772</v>
      </c>
      <c r="AD3" s="133"/>
      <c r="AE3" s="133" t="s">
        <v>774</v>
      </c>
      <c r="AF3" s="133"/>
      <c r="AG3" s="133"/>
      <c r="AH3" s="133" t="s">
        <v>777</v>
      </c>
      <c r="AI3" s="133"/>
      <c r="AJ3" s="133"/>
      <c r="AK3" s="133"/>
      <c r="AL3" s="133"/>
      <c r="AM3" s="133" t="s">
        <v>763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30"/>
      <c r="L4" s="10" t="s">
        <v>839</v>
      </c>
      <c r="M4" s="10" t="s">
        <v>756</v>
      </c>
      <c r="N4" s="10" t="s">
        <v>757</v>
      </c>
      <c r="O4" s="10" t="s">
        <v>758</v>
      </c>
      <c r="P4" s="10" t="s">
        <v>759</v>
      </c>
      <c r="Q4" s="10" t="s">
        <v>760</v>
      </c>
      <c r="R4" s="10" t="s">
        <v>761</v>
      </c>
      <c r="S4" s="10" t="s">
        <v>762</v>
      </c>
      <c r="T4" s="10" t="s">
        <v>763</v>
      </c>
      <c r="U4" s="10" t="s">
        <v>765</v>
      </c>
      <c r="V4" s="10" t="s">
        <v>766</v>
      </c>
      <c r="W4" s="10" t="s">
        <v>767</v>
      </c>
      <c r="X4" s="10" t="s">
        <v>768</v>
      </c>
      <c r="Y4" s="10" t="s">
        <v>769</v>
      </c>
      <c r="Z4" s="10" t="s">
        <v>770</v>
      </c>
      <c r="AA4" s="10" t="s">
        <v>771</v>
      </c>
      <c r="AB4" s="10" t="s">
        <v>763</v>
      </c>
      <c r="AC4" s="10" t="s">
        <v>773</v>
      </c>
      <c r="AD4" s="10" t="s">
        <v>763</v>
      </c>
      <c r="AE4" s="10" t="s">
        <v>775</v>
      </c>
      <c r="AF4" s="10" t="s">
        <v>776</v>
      </c>
      <c r="AG4" s="10" t="s">
        <v>763</v>
      </c>
      <c r="AH4" s="10" t="s">
        <v>778</v>
      </c>
      <c r="AI4" s="10" t="s">
        <v>779</v>
      </c>
      <c r="AJ4" s="10" t="s">
        <v>780</v>
      </c>
      <c r="AK4" s="10" t="s">
        <v>781</v>
      </c>
      <c r="AL4" s="10" t="s">
        <v>763</v>
      </c>
      <c r="AM4" s="135"/>
      <c r="AP4" s="134"/>
    </row>
    <row r="5" spans="1:42" ht="11.25" customHeight="1" x14ac:dyDescent="0.25">
      <c r="A5" s="136" t="s">
        <v>41</v>
      </c>
      <c r="B5" s="136" t="s">
        <v>42</v>
      </c>
      <c r="C5" s="136" t="s">
        <v>25</v>
      </c>
      <c r="D5" s="136" t="s">
        <v>25</v>
      </c>
      <c r="E5" s="136" t="s">
        <v>25</v>
      </c>
      <c r="F5" s="136" t="s">
        <v>25</v>
      </c>
      <c r="G5" s="21" t="s">
        <v>94</v>
      </c>
      <c r="H5" s="21" t="s">
        <v>93</v>
      </c>
      <c r="I5" s="21">
        <f>'MERCADO TUSD'!$U$2</f>
        <v>1039543</v>
      </c>
      <c r="J5" s="17"/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/>
      <c r="U5" s="19">
        <f>TRANSICAO!$U$5*CUSTOS!$P$3</f>
        <v>11.71814</v>
      </c>
      <c r="V5" s="19">
        <f>TRANSICAO!$V$5*CUSTOS!$P$3</f>
        <v>2.86958</v>
      </c>
      <c r="W5" s="19">
        <f>TRANSICAO!$W$5*CUSTOS!$P$3</f>
        <v>0.64119999999999999</v>
      </c>
      <c r="X5" s="19">
        <f>TRANSICAO!$X$5*CUSTOS!$P$3</f>
        <v>0</v>
      </c>
      <c r="Y5" s="19">
        <f>TRANSICAO!$Y$5*CUSTOS!$P$3</f>
        <v>0.14076999999999998</v>
      </c>
      <c r="Z5" s="19">
        <f>TRANSICAO!$Z$5*CUSTOS!$P$3</f>
        <v>0</v>
      </c>
      <c r="AA5" s="19">
        <f>TRANSICAO!$AA$5*CUSTOS!$P$3</f>
        <v>0</v>
      </c>
      <c r="AB5" s="19">
        <f>TRANSICAO!$AB$5*CUSTOS!$P$3</f>
        <v>0</v>
      </c>
      <c r="AC5" s="19">
        <f>TRANSICAO!$AC$5*CUSTOS!$P$3</f>
        <v>10.83915</v>
      </c>
      <c r="AD5" s="19">
        <f>TRANSICAO!$AD$5*CUSTOS!$P$3</f>
        <v>0</v>
      </c>
      <c r="AE5" s="19">
        <v>0</v>
      </c>
      <c r="AF5" s="19">
        <v>0</v>
      </c>
      <c r="AG5" s="19"/>
      <c r="AH5" s="19">
        <v>0</v>
      </c>
      <c r="AI5" s="19">
        <v>0</v>
      </c>
      <c r="AJ5" s="19">
        <v>0</v>
      </c>
      <c r="AK5" s="19">
        <f t="shared" ref="AK5:AK36" si="0">AJ5</f>
        <v>0</v>
      </c>
      <c r="AL5" s="19"/>
      <c r="AM5" s="19"/>
      <c r="AP5" s="19">
        <v>1</v>
      </c>
    </row>
    <row r="6" spans="1:42" ht="11.25" customHeight="1" x14ac:dyDescent="0.25">
      <c r="A6" s="136"/>
      <c r="B6" s="136"/>
      <c r="C6" s="136"/>
      <c r="D6" s="136"/>
      <c r="E6" s="136"/>
      <c r="F6" s="136"/>
      <c r="G6" s="21" t="s">
        <v>95</v>
      </c>
      <c r="H6" s="21" t="s">
        <v>93</v>
      </c>
      <c r="I6" s="21">
        <f>'MERCADO TUSD'!$U$3</f>
        <v>1376546</v>
      </c>
      <c r="J6" s="17"/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/>
      <c r="U6" s="19">
        <f>TRANSICAO!$U$6*CUSTOS!$P$3</f>
        <v>10.342149999999998</v>
      </c>
      <c r="V6" s="19">
        <f>TRANSICAO!$V$6*CUSTOS!$P$3</f>
        <v>2.5417699999999996</v>
      </c>
      <c r="W6" s="19">
        <f>TRANSICAO!$W$6*CUSTOS!$P$3</f>
        <v>0.57882999999999996</v>
      </c>
      <c r="X6" s="19">
        <f>TRANSICAO!$X$6*CUSTOS!$P$3</f>
        <v>0</v>
      </c>
      <c r="Y6" s="19">
        <f>TRANSICAO!$Y$6*CUSTOS!$P$3</f>
        <v>6.3210000000000002E-2</v>
      </c>
      <c r="Z6" s="19">
        <f>TRANSICAO!$Z$6*CUSTOS!$P$3</f>
        <v>0</v>
      </c>
      <c r="AA6" s="19">
        <f>TRANSICAO!$AA$6*CUSTOS!$P$3</f>
        <v>0</v>
      </c>
      <c r="AB6" s="19">
        <f>TRANSICAO!$AB$6*CUSTOS!$P$3</f>
        <v>0</v>
      </c>
      <c r="AC6" s="19">
        <f>TRANSICAO!$AC$6*CUSTOS!$P$3</f>
        <v>1.08388</v>
      </c>
      <c r="AD6" s="19">
        <f>TRANSICAO!$AD$6*CUSTOS!$P$3</f>
        <v>0</v>
      </c>
      <c r="AE6" s="19">
        <v>0</v>
      </c>
      <c r="AF6" s="19">
        <v>0</v>
      </c>
      <c r="AG6" s="19"/>
      <c r="AH6" s="19">
        <v>0</v>
      </c>
      <c r="AI6" s="19">
        <v>0</v>
      </c>
      <c r="AJ6" s="19">
        <v>0</v>
      </c>
      <c r="AK6" s="19">
        <f t="shared" si="0"/>
        <v>0</v>
      </c>
      <c r="AL6" s="19"/>
      <c r="AM6" s="19"/>
      <c r="AP6" s="19">
        <v>1</v>
      </c>
    </row>
    <row r="7" spans="1:42" ht="11.25" customHeight="1" x14ac:dyDescent="0.25">
      <c r="A7" s="136"/>
      <c r="B7" s="136"/>
      <c r="C7" s="136"/>
      <c r="D7" s="136"/>
      <c r="E7" s="136"/>
      <c r="F7" s="136"/>
      <c r="G7" s="21" t="s">
        <v>96</v>
      </c>
      <c r="H7" s="21" t="s">
        <v>90</v>
      </c>
      <c r="I7" s="21">
        <f>'MERCADO TUSD'!$U$4</f>
        <v>455785.89300000004</v>
      </c>
      <c r="J7" s="17"/>
      <c r="L7" s="19">
        <f>0.62</f>
        <v>0.62</v>
      </c>
      <c r="M7" s="19">
        <f>IF(AND((+$I$7+$I$8)&lt;&gt;0,SUMPRODUCT($I$5:$I$62,$AC$5:$AC$62,$AP$5:$AP$62)&lt;&gt;0),$M$67*SUMPRODUCT($I$5:$I$12,$AC$5:$AC$12,$AP$5:$AP$12)/SUMPRODUCT($I$5:$I$62,$AC$5:$AC$62,$AP$5:$AP$62)/(+$I$7+$I$8),0)</f>
        <v>0.10181089442975388</v>
      </c>
      <c r="N7" s="19">
        <f ca="1">(+M7+O7+R7+U7+V7+W7+X7+Y7+Z7+AA7+AC7+AH7+AI7+AJ7+AK7)*CUSTOS!$M$5</f>
        <v>0.43663451677656751</v>
      </c>
      <c r="O7" s="19">
        <v>1</v>
      </c>
      <c r="P7" s="19">
        <v>1</v>
      </c>
      <c r="Q7" s="19">
        <f>0.62</f>
        <v>0.62</v>
      </c>
      <c r="R7" s="19">
        <v>1</v>
      </c>
      <c r="S7" s="19">
        <v>1</v>
      </c>
      <c r="T7" s="19"/>
      <c r="U7" s="19">
        <f>TRANSICAO!$U$7*CUSTOS!$P$3</f>
        <v>0</v>
      </c>
      <c r="V7" s="19">
        <f>TRANSICAO!$V$7*CUSTOS!$P$3</f>
        <v>0</v>
      </c>
      <c r="W7" s="19">
        <f>TRANSICAO!$W$7*CUSTOS!$P$3</f>
        <v>0</v>
      </c>
      <c r="X7" s="19">
        <f>TRANSICAO!$X$7*CUSTOS!$P$3</f>
        <v>0</v>
      </c>
      <c r="Y7" s="19">
        <f>TRANSICAO!$Y$7*CUSTOS!$P$3</f>
        <v>0</v>
      </c>
      <c r="Z7" s="19">
        <f>TRANSICAO!$Z$7*CUSTOS!$P$3</f>
        <v>0</v>
      </c>
      <c r="AA7" s="19">
        <f>TRANSICAO!$AA$7*CUSTOS!$P$3</f>
        <v>0</v>
      </c>
      <c r="AB7" s="19">
        <f>TRANSICAO!$AB$7*CUSTOS!$P$3</f>
        <v>0</v>
      </c>
      <c r="AC7" s="19">
        <f>TRANSICAO!$AC$7*CUSTOS!$P$3</f>
        <v>0</v>
      </c>
      <c r="AD7" s="19">
        <f>TRANSICAO!$AD$7*CUSTOS!$P$3</f>
        <v>0</v>
      </c>
      <c r="AE7" s="19">
        <v>0</v>
      </c>
      <c r="AF7" s="19">
        <v>0</v>
      </c>
      <c r="AG7" s="19"/>
      <c r="AH7" s="19">
        <v>6.9340000000000002</v>
      </c>
      <c r="AI7" s="19">
        <v>6.9340000000000002</v>
      </c>
      <c r="AJ7" s="19">
        <f ca="1">$N$74</f>
        <v>13.846820391613498</v>
      </c>
      <c r="AK7" s="19">
        <f t="shared" ca="1" si="0"/>
        <v>13.846820391613498</v>
      </c>
      <c r="AL7" s="19"/>
      <c r="AM7" s="19"/>
      <c r="AP7" s="19">
        <v>1</v>
      </c>
    </row>
    <row r="8" spans="1:42" ht="11.25" customHeight="1" x14ac:dyDescent="0.25">
      <c r="A8" s="136"/>
      <c r="B8" s="136"/>
      <c r="C8" s="136"/>
      <c r="D8" s="136"/>
      <c r="E8" s="22" t="s">
        <v>58</v>
      </c>
      <c r="F8" s="22" t="s">
        <v>25</v>
      </c>
      <c r="G8" s="21" t="s">
        <v>96</v>
      </c>
      <c r="H8" s="21" t="s">
        <v>90</v>
      </c>
      <c r="I8" s="21">
        <f>'MERCADO TUSD'!$U$5</f>
        <v>80167.627000000008</v>
      </c>
      <c r="J8" s="17"/>
      <c r="L8" s="19">
        <v>0</v>
      </c>
      <c r="M8" s="19">
        <f>IF(AND((+$I$7+$I$8)&lt;&gt;0,SUMPRODUCT($I$5:$I$62,$AC$5:$AC$62,$AP$5:$AP$62)&lt;&gt;0),$M$67*SUMPRODUCT($I$5:$I$12,$AC$5:$AC$12,$AP$5:$AP$12)/SUMPRODUCT($I$5:$I$62,$AC$5:$AC$62,$AP$5:$AP$62)/(+$I$7+$I$8),0)</f>
        <v>0.10181089442975388</v>
      </c>
      <c r="N8" s="19">
        <f ca="1">(+M8+O8+R8+U8+V8+W8+X8+Y8+Z8+AA8+AC8+AH8+AI8+AJ8+AK8)*CUSTOS!$M$5</f>
        <v>0.42663451677656755</v>
      </c>
      <c r="O8" s="19">
        <v>1</v>
      </c>
      <c r="P8" s="19">
        <v>0</v>
      </c>
      <c r="Q8" s="19">
        <v>0</v>
      </c>
      <c r="R8" s="19">
        <v>0</v>
      </c>
      <c r="S8" s="19">
        <v>0</v>
      </c>
      <c r="T8" s="19"/>
      <c r="U8" s="19">
        <f>TRANSICAO!$U$8*CUSTOS!$P$3</f>
        <v>0</v>
      </c>
      <c r="V8" s="19">
        <f>TRANSICAO!$V$8*CUSTOS!$P$3</f>
        <v>0</v>
      </c>
      <c r="W8" s="19">
        <f>TRANSICAO!$W$8*CUSTOS!$P$3</f>
        <v>0</v>
      </c>
      <c r="X8" s="19">
        <f>TRANSICAO!$X$8*CUSTOS!$P$3</f>
        <v>0</v>
      </c>
      <c r="Y8" s="19">
        <f>TRANSICAO!$Y$8*CUSTOS!$P$3</f>
        <v>0</v>
      </c>
      <c r="Z8" s="19">
        <f>TRANSICAO!$Z$8*CUSTOS!$P$3</f>
        <v>0</v>
      </c>
      <c r="AA8" s="19">
        <f>TRANSICAO!$AA$8*CUSTOS!$P$3</f>
        <v>0</v>
      </c>
      <c r="AB8" s="19">
        <f>TRANSICAO!$AB$8*CUSTOS!$P$3</f>
        <v>0</v>
      </c>
      <c r="AC8" s="19">
        <f>TRANSICAO!$AC$8*CUSTOS!$P$3</f>
        <v>0</v>
      </c>
      <c r="AD8" s="19">
        <f>TRANSICAO!$AD$8*CUSTOS!$P$3</f>
        <v>0</v>
      </c>
      <c r="AE8" s="19">
        <v>0</v>
      </c>
      <c r="AF8" s="19">
        <v>0</v>
      </c>
      <c r="AG8" s="19"/>
      <c r="AH8" s="19">
        <v>6.9340000000000002</v>
      </c>
      <c r="AI8" s="19">
        <v>6.9340000000000002</v>
      </c>
      <c r="AJ8" s="19">
        <f ca="1">$N$74</f>
        <v>13.846820391613498</v>
      </c>
      <c r="AK8" s="19">
        <f t="shared" ca="1" si="0"/>
        <v>13.846820391613498</v>
      </c>
      <c r="AL8" s="19"/>
      <c r="AM8" s="19"/>
      <c r="AP8" s="19">
        <v>1</v>
      </c>
    </row>
    <row r="9" spans="1:42" ht="11.25" customHeight="1" x14ac:dyDescent="0.25">
      <c r="A9" s="136"/>
      <c r="B9" s="136" t="s">
        <v>61</v>
      </c>
      <c r="C9" s="136" t="s">
        <v>25</v>
      </c>
      <c r="D9" s="136" t="s">
        <v>25</v>
      </c>
      <c r="E9" s="136" t="s">
        <v>25</v>
      </c>
      <c r="F9" s="136" t="s">
        <v>62</v>
      </c>
      <c r="G9" s="21" t="s">
        <v>94</v>
      </c>
      <c r="H9" s="21" t="s">
        <v>93</v>
      </c>
      <c r="I9" s="21">
        <f>'MERCADO TUSD'!$U$6</f>
        <v>36090</v>
      </c>
      <c r="J9" s="17"/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/>
      <c r="U9" s="19">
        <f>TRANSICAO!$U$9*CUSTOS!$P$3</f>
        <v>11.71814</v>
      </c>
      <c r="V9" s="19">
        <f>TRANSICAO!$V$9*CUSTOS!$P$3</f>
        <v>2.86958</v>
      </c>
      <c r="W9" s="19">
        <f>TRANSICAO!$W$9*CUSTOS!$P$3</f>
        <v>0.64119999999999999</v>
      </c>
      <c r="X9" s="19">
        <f>TRANSICAO!$X$9*CUSTOS!$P$3</f>
        <v>0</v>
      </c>
      <c r="Y9" s="19">
        <f>TRANSICAO!$Y$9*CUSTOS!$P$3</f>
        <v>0.14076999999999998</v>
      </c>
      <c r="Z9" s="19">
        <f>TRANSICAO!$Z$9*CUSTOS!$P$3</f>
        <v>0</v>
      </c>
      <c r="AA9" s="19">
        <f>TRANSICAO!$AA$9*CUSTOS!$P$3</f>
        <v>0</v>
      </c>
      <c r="AB9" s="19">
        <f>TRANSICAO!$AB$9*CUSTOS!$P$3</f>
        <v>0</v>
      </c>
      <c r="AC9" s="19">
        <f>TRANSICAO!$AC$9*CUSTOS!$P$3</f>
        <v>10.83915</v>
      </c>
      <c r="AD9" s="19">
        <f>TRANSICAO!$AD$9*CUSTOS!$P$3</f>
        <v>0</v>
      </c>
      <c r="AE9" s="19">
        <v>0</v>
      </c>
      <c r="AF9" s="19">
        <v>0</v>
      </c>
      <c r="AG9" s="19"/>
      <c r="AH9" s="19">
        <v>0</v>
      </c>
      <c r="AI9" s="19">
        <v>0</v>
      </c>
      <c r="AJ9" s="19">
        <v>0</v>
      </c>
      <c r="AK9" s="19">
        <f t="shared" si="0"/>
        <v>0</v>
      </c>
      <c r="AL9" s="19"/>
      <c r="AM9" s="19"/>
      <c r="AP9" s="19">
        <v>1</v>
      </c>
    </row>
    <row r="10" spans="1:42" ht="11.25" customHeight="1" x14ac:dyDescent="0.25">
      <c r="A10" s="136"/>
      <c r="B10" s="136"/>
      <c r="C10" s="136"/>
      <c r="D10" s="136"/>
      <c r="E10" s="136"/>
      <c r="F10" s="136"/>
      <c r="G10" s="21" t="s">
        <v>95</v>
      </c>
      <c r="H10" s="21" t="s">
        <v>93</v>
      </c>
      <c r="I10" s="21">
        <f>'MERCADO TUSD'!$U$7</f>
        <v>36090</v>
      </c>
      <c r="J10" s="17"/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/>
      <c r="U10" s="19">
        <f>TRANSICAO!$U$10*CUSTOS!$P$3</f>
        <v>10.342149999999998</v>
      </c>
      <c r="V10" s="19">
        <f>TRANSICAO!$V$10*CUSTOS!$P$3</f>
        <v>2.5417699999999996</v>
      </c>
      <c r="W10" s="19">
        <f>TRANSICAO!$W$10*CUSTOS!$P$3</f>
        <v>0.57882999999999996</v>
      </c>
      <c r="X10" s="19">
        <f>TRANSICAO!$X$10*CUSTOS!$P$3</f>
        <v>0</v>
      </c>
      <c r="Y10" s="19">
        <f>TRANSICAO!$Y$10*CUSTOS!$P$3</f>
        <v>6.3210000000000002E-2</v>
      </c>
      <c r="Z10" s="19">
        <f>TRANSICAO!$Z$10*CUSTOS!$P$3</f>
        <v>0</v>
      </c>
      <c r="AA10" s="19">
        <f>TRANSICAO!$AA$10*CUSTOS!$P$3</f>
        <v>0</v>
      </c>
      <c r="AB10" s="19">
        <f>TRANSICAO!$AB$10*CUSTOS!$P$3</f>
        <v>0</v>
      </c>
      <c r="AC10" s="19">
        <f>TRANSICAO!$AC$10*CUSTOS!$P$3</f>
        <v>1.08388</v>
      </c>
      <c r="AD10" s="19">
        <f>TRANSICAO!$AD$10*CUSTOS!$P$3</f>
        <v>0</v>
      </c>
      <c r="AE10" s="19">
        <v>0</v>
      </c>
      <c r="AF10" s="19">
        <v>0</v>
      </c>
      <c r="AG10" s="19"/>
      <c r="AH10" s="19">
        <v>0</v>
      </c>
      <c r="AI10" s="19">
        <v>0</v>
      </c>
      <c r="AJ10" s="19">
        <v>0</v>
      </c>
      <c r="AK10" s="19">
        <f t="shared" si="0"/>
        <v>0</v>
      </c>
      <c r="AL10" s="19"/>
      <c r="AM10" s="19"/>
      <c r="AP10" s="19">
        <v>1</v>
      </c>
    </row>
    <row r="11" spans="1:42" ht="11.25" customHeight="1" x14ac:dyDescent="0.25">
      <c r="A11" s="136"/>
      <c r="B11" s="136"/>
      <c r="C11" s="136"/>
      <c r="D11" s="136"/>
      <c r="E11" s="136"/>
      <c r="F11" s="136"/>
      <c r="G11" s="21" t="s">
        <v>96</v>
      </c>
      <c r="H11" s="21" t="s">
        <v>90</v>
      </c>
      <c r="I11" s="21">
        <f>'MERCADO TUSD'!$U$8</f>
        <v>14869.070999999996</v>
      </c>
      <c r="J11" s="17"/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/>
      <c r="U11" s="19">
        <f>TRANSICAO!$U$11*CUSTOS!$P$3</f>
        <v>0</v>
      </c>
      <c r="V11" s="19">
        <f>TRANSICAO!$V$11*CUSTOS!$P$3</f>
        <v>0</v>
      </c>
      <c r="W11" s="19">
        <f>TRANSICAO!$W$11*CUSTOS!$P$3</f>
        <v>0</v>
      </c>
      <c r="X11" s="19">
        <f>TRANSICAO!$X$11*CUSTOS!$P$3</f>
        <v>0</v>
      </c>
      <c r="Y11" s="19">
        <f>TRANSICAO!$Y$11*CUSTOS!$P$3</f>
        <v>0</v>
      </c>
      <c r="Z11" s="19">
        <f>TRANSICAO!$Z$11*CUSTOS!$P$3</f>
        <v>0</v>
      </c>
      <c r="AA11" s="19">
        <f>TRANSICAO!$AA$11*CUSTOS!$P$3</f>
        <v>0</v>
      </c>
      <c r="AB11" s="19">
        <f>TRANSICAO!$AB$11*CUSTOS!$P$3</f>
        <v>0</v>
      </c>
      <c r="AC11" s="19">
        <f>TRANSICAO!$AC$11*CUSTOS!$P$3</f>
        <v>0</v>
      </c>
      <c r="AD11" s="19">
        <f>TRANSICAO!$AD$11*CUSTOS!$P$3</f>
        <v>0</v>
      </c>
      <c r="AE11" s="19">
        <v>0</v>
      </c>
      <c r="AF11" s="19">
        <v>0</v>
      </c>
      <c r="AG11" s="19"/>
      <c r="AH11" s="19">
        <v>6.9340000000000002</v>
      </c>
      <c r="AI11" s="19">
        <v>6.9340000000000002</v>
      </c>
      <c r="AJ11" s="19">
        <v>0</v>
      </c>
      <c r="AK11" s="19">
        <f t="shared" si="0"/>
        <v>0</v>
      </c>
      <c r="AL11" s="19"/>
      <c r="AM11" s="19"/>
      <c r="AP11" s="19">
        <v>1</v>
      </c>
    </row>
    <row r="12" spans="1:42" ht="11.25" customHeight="1" x14ac:dyDescent="0.25">
      <c r="A12" s="136"/>
      <c r="B12" s="22" t="s">
        <v>64</v>
      </c>
      <c r="C12" s="22" t="s">
        <v>25</v>
      </c>
      <c r="D12" s="22" t="s">
        <v>25</v>
      </c>
      <c r="E12" s="22" t="s">
        <v>25</v>
      </c>
      <c r="F12" s="22" t="s">
        <v>25</v>
      </c>
      <c r="G12" s="21" t="s">
        <v>9</v>
      </c>
      <c r="H12" s="21" t="s">
        <v>93</v>
      </c>
      <c r="I12" s="21">
        <f>'MERCADO TUSD'!$U$9</f>
        <v>888226</v>
      </c>
      <c r="J12" s="17"/>
      <c r="L12" s="19">
        <v>0</v>
      </c>
      <c r="M12" s="19">
        <f>(1+CUSTOS!$M$4)*0.0716829663870338</f>
        <v>8.2004525177123949E-2</v>
      </c>
      <c r="N12" s="19">
        <f>(1+CUSTOS!$M$4)*0.188633923952783</f>
        <v>0.2157951344050924</v>
      </c>
      <c r="O12" s="19">
        <f>(1+CUSTOS!$M$4)*0.00578382258267918</f>
        <v>6.6166294240736874E-3</v>
      </c>
      <c r="P12" s="19">
        <v>0</v>
      </c>
      <c r="Q12" s="19">
        <v>0</v>
      </c>
      <c r="R12" s="19">
        <v>0</v>
      </c>
      <c r="S12" s="19">
        <v>0</v>
      </c>
      <c r="T12" s="19"/>
      <c r="U12" s="19">
        <f>TRANSICAO!$U$12*CUSTOS!$P$4</f>
        <v>0</v>
      </c>
      <c r="V12" s="19">
        <f>TRANSICAO!$V$12*CUSTOS!$P$4</f>
        <v>0</v>
      </c>
      <c r="W12" s="19">
        <f>TRANSICAO!$W$12*CUSTOS!$P$4</f>
        <v>0.22865608436787244</v>
      </c>
      <c r="X12" s="19">
        <f>TRANSICAO!$X$12*CUSTOS!$P$4</f>
        <v>0</v>
      </c>
      <c r="Y12" s="19">
        <f>TRANSICAO!$Y$12*CUSTOS!$P$4</f>
        <v>0.27417881268932498</v>
      </c>
      <c r="Z12" s="19">
        <f>TRANSICAO!$Z$12*CUSTOS!$P$4</f>
        <v>0</v>
      </c>
      <c r="AA12" s="19">
        <f>TRANSICAO!$AA$12*CUSTOS!$P$4</f>
        <v>0</v>
      </c>
      <c r="AB12" s="19">
        <f>TRANSICAO!$AB$12*CUSTOS!$P$4</f>
        <v>0</v>
      </c>
      <c r="AC12" s="19">
        <f>TRANSICAO!$AC$12*CUSTOS!$P$4</f>
        <v>15.075239725095575</v>
      </c>
      <c r="AD12" s="19">
        <f>TRANSICAO!$AD$12*CUSTOS!$P$4</f>
        <v>0</v>
      </c>
      <c r="AE12" s="19">
        <v>0</v>
      </c>
      <c r="AF12" s="19">
        <v>0</v>
      </c>
      <c r="AG12" s="19"/>
      <c r="AH12" s="19">
        <f>(1+CUSTOS!$M$4)*0.964322275148362</f>
        <v>1.1031740771482539</v>
      </c>
      <c r="AI12" s="19">
        <f>(1+CUSTOS!$M$4)*0.211649919063688</f>
        <v>0.24212517968193198</v>
      </c>
      <c r="AJ12" s="19">
        <v>0</v>
      </c>
      <c r="AK12" s="19">
        <f t="shared" si="0"/>
        <v>0</v>
      </c>
      <c r="AL12" s="19"/>
      <c r="AM12" s="19"/>
      <c r="AP12" s="19"/>
    </row>
    <row r="13" spans="1:42" ht="11.25" customHeight="1" x14ac:dyDescent="0.25">
      <c r="A13" s="136" t="s">
        <v>33</v>
      </c>
      <c r="B13" s="136" t="s">
        <v>42</v>
      </c>
      <c r="C13" s="136" t="s">
        <v>25</v>
      </c>
      <c r="D13" s="136" t="s">
        <v>25</v>
      </c>
      <c r="E13" s="136" t="s">
        <v>25</v>
      </c>
      <c r="F13" s="136" t="s">
        <v>25</v>
      </c>
      <c r="G13" s="21" t="s">
        <v>94</v>
      </c>
      <c r="H13" s="21" t="s">
        <v>93</v>
      </c>
      <c r="I13" s="21">
        <f>'MERCADO TUSD'!$U$10</f>
        <v>565553</v>
      </c>
      <c r="J13" s="17"/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/>
      <c r="U13" s="19">
        <f>TRANSICAO!$U$13*CUSTOS!$R$3</f>
        <v>8.2858000000000001</v>
      </c>
      <c r="V13" s="19">
        <f>TRANSICAO!$V$13*CUSTOS!$R$3</f>
        <v>2.0396000000000001</v>
      </c>
      <c r="W13" s="19">
        <f>TRANSICAO!$W$13*CUSTOS!$R$3</f>
        <v>0.45279999999999998</v>
      </c>
      <c r="X13" s="19">
        <f>TRANSICAO!$X$13*CUSTOS!$R$3</f>
        <v>0</v>
      </c>
      <c r="Y13" s="19">
        <f>TRANSICAO!$Y$13*CUSTOS!$R$3</f>
        <v>0.25729999999999997</v>
      </c>
      <c r="Z13" s="19">
        <f>TRANSICAO!$Z$13*CUSTOS!$R$3</f>
        <v>0</v>
      </c>
      <c r="AA13" s="19">
        <f>TRANSICAO!$AA$13*CUSTOS!$R$3</f>
        <v>0</v>
      </c>
      <c r="AB13" s="19">
        <f>TRANSICAO!$AB$13*CUSTOS!$R$3</f>
        <v>0</v>
      </c>
      <c r="AC13" s="19">
        <f>TRANSICAO!$AC$13*CUSTOS!$R$3</f>
        <v>46.611499999999999</v>
      </c>
      <c r="AD13" s="19">
        <f>TRANSICAO!$AD$13*CUSTOS!$R$3</f>
        <v>0</v>
      </c>
      <c r="AE13" s="19">
        <v>0</v>
      </c>
      <c r="AF13" s="19">
        <v>0</v>
      </c>
      <c r="AG13" s="19"/>
      <c r="AH13" s="19">
        <v>0</v>
      </c>
      <c r="AI13" s="19">
        <v>0</v>
      </c>
      <c r="AJ13" s="19">
        <v>0</v>
      </c>
      <c r="AK13" s="19">
        <f t="shared" si="0"/>
        <v>0</v>
      </c>
      <c r="AL13" s="19"/>
      <c r="AM13" s="19"/>
      <c r="AP13" s="19">
        <v>1</v>
      </c>
    </row>
    <row r="14" spans="1:42" ht="11.25" customHeight="1" x14ac:dyDescent="0.25">
      <c r="A14" s="136"/>
      <c r="B14" s="136"/>
      <c r="C14" s="136"/>
      <c r="D14" s="136"/>
      <c r="E14" s="136"/>
      <c r="F14" s="136"/>
      <c r="G14" s="21" t="s">
        <v>95</v>
      </c>
      <c r="H14" s="21" t="s">
        <v>93</v>
      </c>
      <c r="I14" s="21">
        <f>'MERCADO TUSD'!$U$11</f>
        <v>602292</v>
      </c>
      <c r="J14" s="17"/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/>
      <c r="U14" s="19">
        <f>TRANSICAO!$U$14*CUSTOS!$R$3</f>
        <v>4.5281000000000002</v>
      </c>
      <c r="V14" s="19">
        <f>TRANSICAO!$V$14*CUSTOS!$R$3</f>
        <v>1.1187</v>
      </c>
      <c r="W14" s="19">
        <f>TRANSICAO!$W$14*CUSTOS!$R$3</f>
        <v>0.25309999999999999</v>
      </c>
      <c r="X14" s="19">
        <f>TRANSICAO!$X$14*CUSTOS!$R$3</f>
        <v>0</v>
      </c>
      <c r="Y14" s="19">
        <f>TRANSICAO!$Y$14*CUSTOS!$R$3</f>
        <v>6.8000000000000005E-2</v>
      </c>
      <c r="Z14" s="19">
        <f>TRANSICAO!$Z$14*CUSTOS!$R$3</f>
        <v>0</v>
      </c>
      <c r="AA14" s="19">
        <f>TRANSICAO!$AA$14*CUSTOS!$R$3</f>
        <v>0</v>
      </c>
      <c r="AB14" s="19">
        <f>TRANSICAO!$AB$14*CUSTOS!$R$3</f>
        <v>0</v>
      </c>
      <c r="AC14" s="19">
        <f>TRANSICAO!$AC$14*CUSTOS!$R$3</f>
        <v>14.768700000000001</v>
      </c>
      <c r="AD14" s="19">
        <f>TRANSICAO!$AD$14*CUSTOS!$R$3</f>
        <v>0</v>
      </c>
      <c r="AE14" s="19">
        <v>0</v>
      </c>
      <c r="AF14" s="19">
        <v>0</v>
      </c>
      <c r="AG14" s="19"/>
      <c r="AH14" s="19">
        <v>0</v>
      </c>
      <c r="AI14" s="19">
        <v>0</v>
      </c>
      <c r="AJ14" s="19">
        <v>0</v>
      </c>
      <c r="AK14" s="19">
        <f t="shared" si="0"/>
        <v>0</v>
      </c>
      <c r="AL14" s="19"/>
      <c r="AM14" s="19"/>
      <c r="AP14" s="19">
        <v>1</v>
      </c>
    </row>
    <row r="15" spans="1:42" ht="11.25" customHeight="1" x14ac:dyDescent="0.25">
      <c r="A15" s="136"/>
      <c r="B15" s="136"/>
      <c r="C15" s="136"/>
      <c r="D15" s="136"/>
      <c r="E15" s="136"/>
      <c r="F15" s="136"/>
      <c r="G15" s="21" t="s">
        <v>96</v>
      </c>
      <c r="H15" s="21" t="s">
        <v>90</v>
      </c>
      <c r="I15" s="21">
        <f>'MERCADO TUSD'!$U$12</f>
        <v>263308.96999999997</v>
      </c>
      <c r="J15" s="17"/>
      <c r="L15" s="19">
        <f>0.84</f>
        <v>0.84</v>
      </c>
      <c r="M15" s="19">
        <f>IF(AND((+$I$15+$I$16+$I$22+$I$23+$I$24+$I$25)&lt;&gt;0,SUMPRODUCT($I$5:$I$62,$AC$5:$AC$62,$AP$5:$AP$62)&lt;&gt;0),$M$67*SUMPRODUCT($I$13:$I$25,$AC$13:$AC$25,$AP$13:$AP$25)/SUMPRODUCT($I$5:$I$62,$AC$5:$AC$62,$AP$5:$AP$62)/(+$I$15+$I$16+$I$22+$I$23+$I$24+$I$25),0)</f>
        <v>0.5851484231317472</v>
      </c>
      <c r="N15" s="19">
        <f ca="1">(+M15+O15+R15+U15+V15+W15+X15+Y15+Z15+AA15+AC15+AH15+AI15+AJ15+AK15)*CUSTOS!$M$5</f>
        <v>0.89893573856006204</v>
      </c>
      <c r="O15" s="19">
        <v>1</v>
      </c>
      <c r="P15" s="19">
        <v>1</v>
      </c>
      <c r="Q15" s="19">
        <f>0.84</f>
        <v>0.84</v>
      </c>
      <c r="R15" s="19">
        <v>1</v>
      </c>
      <c r="S15" s="19">
        <v>1</v>
      </c>
      <c r="T15" s="19"/>
      <c r="U15" s="19">
        <f>TRANSICAO!$U$15*CUSTOS!$R$3</f>
        <v>0</v>
      </c>
      <c r="V15" s="19">
        <f>TRANSICAO!$V$15*CUSTOS!$R$3</f>
        <v>0</v>
      </c>
      <c r="W15" s="19">
        <f>TRANSICAO!$W$15*CUSTOS!$R$3</f>
        <v>0</v>
      </c>
      <c r="X15" s="19">
        <f>TRANSICAO!$X$15*CUSTOS!$R$3</f>
        <v>0</v>
      </c>
      <c r="Y15" s="19">
        <f>TRANSICAO!$Y$15*CUSTOS!$R$3</f>
        <v>0</v>
      </c>
      <c r="Z15" s="19">
        <f>TRANSICAO!$Z$15*CUSTOS!$R$3</f>
        <v>0</v>
      </c>
      <c r="AA15" s="19">
        <f>TRANSICAO!$AA$15*CUSTOS!$R$3</f>
        <v>0</v>
      </c>
      <c r="AB15" s="19">
        <f>TRANSICAO!$AB$15*CUSTOS!$R$3</f>
        <v>0</v>
      </c>
      <c r="AC15" s="19">
        <f>TRANSICAO!$AC$15*CUSTOS!$R$3</f>
        <v>0</v>
      </c>
      <c r="AD15" s="19">
        <f>TRANSICAO!$AD$15*CUSTOS!$R$3</f>
        <v>0</v>
      </c>
      <c r="AE15" s="19">
        <v>0</v>
      </c>
      <c r="AF15" s="19">
        <v>0</v>
      </c>
      <c r="AG15" s="19"/>
      <c r="AH15" s="19">
        <v>17.858499999999999</v>
      </c>
      <c r="AI15" s="19">
        <v>17.858499999999999</v>
      </c>
      <c r="AJ15" s="19">
        <f ca="1">$N$75</f>
        <v>25.795712716437222</v>
      </c>
      <c r="AK15" s="19">
        <f t="shared" ca="1" si="0"/>
        <v>25.795712716437222</v>
      </c>
      <c r="AL15" s="19"/>
      <c r="AM15" s="19"/>
      <c r="AP15" s="19">
        <v>1</v>
      </c>
    </row>
    <row r="16" spans="1:42" ht="11.25" customHeight="1" x14ac:dyDescent="0.25">
      <c r="A16" s="136"/>
      <c r="B16" s="136"/>
      <c r="C16" s="136"/>
      <c r="D16" s="136"/>
      <c r="E16" s="22" t="s">
        <v>58</v>
      </c>
      <c r="F16" s="22" t="s">
        <v>25</v>
      </c>
      <c r="G16" s="21" t="s">
        <v>96</v>
      </c>
      <c r="H16" s="21" t="s">
        <v>90</v>
      </c>
      <c r="I16" s="21">
        <f>'MERCADO TUSD'!$U$13</f>
        <v>0</v>
      </c>
      <c r="J16" s="17"/>
      <c r="L16" s="19">
        <v>0</v>
      </c>
      <c r="M16" s="19">
        <f>IF(AND((+$I$15+$I$16+$I$22+$I$23+$I$24+$I$25)&lt;&gt;0,SUMPRODUCT($I$5:$I$62,$AC$5:$AC$62,$AP$5:$AP$62)&lt;&gt;0),$M$67*SUMPRODUCT($I$13:$I$25,$AC$13:$AC$25,$AP$13:$AP$25)/SUMPRODUCT($I$5:$I$62,$AC$5:$AC$62,$AP$5:$AP$62)/(+$I$15+$I$16+$I$22+$I$23+$I$24+$I$25),0)</f>
        <v>0.5851484231317472</v>
      </c>
      <c r="N16" s="19">
        <f ca="1">(+M16+O16+R16+U16+V16+W16+X16+Y16+Z16+AA16+AC16+AH16+AI16+AJ16+AK16)*CUSTOS!$M$5</f>
        <v>0.88893573856006192</v>
      </c>
      <c r="O16" s="19">
        <v>1</v>
      </c>
      <c r="P16" s="19">
        <v>0</v>
      </c>
      <c r="Q16" s="19">
        <v>0</v>
      </c>
      <c r="R16" s="19">
        <v>0</v>
      </c>
      <c r="S16" s="19">
        <v>0</v>
      </c>
      <c r="T16" s="19"/>
      <c r="U16" s="19">
        <f>TRANSICAO!$U$16*CUSTOS!$R$3</f>
        <v>0</v>
      </c>
      <c r="V16" s="19">
        <f>TRANSICAO!$V$16*CUSTOS!$R$3</f>
        <v>0</v>
      </c>
      <c r="W16" s="19">
        <f>TRANSICAO!$W$16*CUSTOS!$R$3</f>
        <v>0</v>
      </c>
      <c r="X16" s="19">
        <f>TRANSICAO!$X$16*CUSTOS!$R$3</f>
        <v>0</v>
      </c>
      <c r="Y16" s="19">
        <f>TRANSICAO!$Y$16*CUSTOS!$R$3</f>
        <v>0</v>
      </c>
      <c r="Z16" s="19">
        <f>TRANSICAO!$Z$16*CUSTOS!$R$3</f>
        <v>0</v>
      </c>
      <c r="AA16" s="19">
        <f>TRANSICAO!$AA$16*CUSTOS!$R$3</f>
        <v>0</v>
      </c>
      <c r="AB16" s="19">
        <f>TRANSICAO!$AB$16*CUSTOS!$R$3</f>
        <v>0</v>
      </c>
      <c r="AC16" s="19">
        <f>TRANSICAO!$AC$16*CUSTOS!$R$3</f>
        <v>0</v>
      </c>
      <c r="AD16" s="19">
        <f>TRANSICAO!$AD$16*CUSTOS!$R$3</f>
        <v>0</v>
      </c>
      <c r="AE16" s="19">
        <v>0</v>
      </c>
      <c r="AF16" s="19">
        <v>0</v>
      </c>
      <c r="AG16" s="19"/>
      <c r="AH16" s="19">
        <v>17.858499999999999</v>
      </c>
      <c r="AI16" s="19">
        <v>17.858499999999999</v>
      </c>
      <c r="AJ16" s="19">
        <f ca="1">$N$75</f>
        <v>25.795712716437222</v>
      </c>
      <c r="AK16" s="19">
        <f t="shared" ca="1" si="0"/>
        <v>25.795712716437222</v>
      </c>
      <c r="AL16" s="19"/>
      <c r="AM16" s="19"/>
      <c r="AP16" s="19">
        <v>1</v>
      </c>
    </row>
    <row r="17" spans="1:42" ht="11.25" customHeight="1" x14ac:dyDescent="0.25">
      <c r="A17" s="136"/>
      <c r="B17" s="136" t="s">
        <v>61</v>
      </c>
      <c r="C17" s="136" t="s">
        <v>25</v>
      </c>
      <c r="D17" s="136" t="s">
        <v>25</v>
      </c>
      <c r="E17" s="136" t="s">
        <v>25</v>
      </c>
      <c r="F17" s="136" t="s">
        <v>62</v>
      </c>
      <c r="G17" s="21" t="s">
        <v>94</v>
      </c>
      <c r="H17" s="21" t="s">
        <v>93</v>
      </c>
      <c r="I17" s="21">
        <f>'MERCADO TUSD'!$U$14</f>
        <v>5691</v>
      </c>
      <c r="J17" s="17"/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/>
      <c r="U17" s="19">
        <f>TRANSICAO!$U$17*CUSTOS!$R$3</f>
        <v>8.2858000000000001</v>
      </c>
      <c r="V17" s="19">
        <f>TRANSICAO!$V$17*CUSTOS!$R$3</f>
        <v>2.0396000000000001</v>
      </c>
      <c r="W17" s="19">
        <f>TRANSICAO!$W$17*CUSTOS!$R$3</f>
        <v>0.45279999999999998</v>
      </c>
      <c r="X17" s="19">
        <f>TRANSICAO!$X$17*CUSTOS!$R$3</f>
        <v>0</v>
      </c>
      <c r="Y17" s="19">
        <f>TRANSICAO!$Y$17*CUSTOS!$R$3</f>
        <v>0.25729999999999997</v>
      </c>
      <c r="Z17" s="19">
        <f>TRANSICAO!$Z$17*CUSTOS!$R$3</f>
        <v>0</v>
      </c>
      <c r="AA17" s="19">
        <f>TRANSICAO!$AA$17*CUSTOS!$R$3</f>
        <v>0</v>
      </c>
      <c r="AB17" s="19">
        <f>TRANSICAO!$AB$17*CUSTOS!$R$3</f>
        <v>0</v>
      </c>
      <c r="AC17" s="19">
        <f>TRANSICAO!$AC$17*CUSTOS!$R$3</f>
        <v>14.8668</v>
      </c>
      <c r="AD17" s="19">
        <f>TRANSICAO!$AD$17*CUSTOS!$R$3</f>
        <v>0</v>
      </c>
      <c r="AE17" s="19">
        <v>0</v>
      </c>
      <c r="AF17" s="19">
        <v>0</v>
      </c>
      <c r="AG17" s="19"/>
      <c r="AH17" s="19">
        <v>0</v>
      </c>
      <c r="AI17" s="19">
        <v>0</v>
      </c>
      <c r="AJ17" s="19">
        <v>0</v>
      </c>
      <c r="AK17" s="19">
        <f t="shared" si="0"/>
        <v>0</v>
      </c>
      <c r="AL17" s="19"/>
      <c r="AM17" s="19"/>
      <c r="AP17" s="19">
        <v>1</v>
      </c>
    </row>
    <row r="18" spans="1:42" ht="11.25" customHeight="1" x14ac:dyDescent="0.25">
      <c r="A18" s="136"/>
      <c r="B18" s="136"/>
      <c r="C18" s="136"/>
      <c r="D18" s="136"/>
      <c r="E18" s="136"/>
      <c r="F18" s="136"/>
      <c r="G18" s="21" t="s">
        <v>95</v>
      </c>
      <c r="H18" s="21" t="s">
        <v>93</v>
      </c>
      <c r="I18" s="21">
        <f>'MERCADO TUSD'!$U$15</f>
        <v>7796</v>
      </c>
      <c r="J18" s="17"/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/>
      <c r="U18" s="19">
        <f>TRANSICAO!$U$18*CUSTOS!$R$3</f>
        <v>4.5281000000000002</v>
      </c>
      <c r="V18" s="19">
        <f>TRANSICAO!$V$18*CUSTOS!$R$3</f>
        <v>1.1187</v>
      </c>
      <c r="W18" s="19">
        <f>TRANSICAO!$W$18*CUSTOS!$R$3</f>
        <v>0.25309999999999999</v>
      </c>
      <c r="X18" s="19">
        <f>TRANSICAO!$X$18*CUSTOS!$R$3</f>
        <v>0</v>
      </c>
      <c r="Y18" s="19">
        <f>TRANSICAO!$Y$18*CUSTOS!$R$3</f>
        <v>6.8000000000000005E-2</v>
      </c>
      <c r="Z18" s="19">
        <f>TRANSICAO!$Z$18*CUSTOS!$R$3</f>
        <v>0</v>
      </c>
      <c r="AA18" s="19">
        <f>TRANSICAO!$AA$18*CUSTOS!$R$3</f>
        <v>0</v>
      </c>
      <c r="AB18" s="19">
        <f>TRANSICAO!$AB$18*CUSTOS!$R$3</f>
        <v>0</v>
      </c>
      <c r="AC18" s="19">
        <f>TRANSICAO!$AC$18*CUSTOS!$R$3</f>
        <v>4.7104999999999997</v>
      </c>
      <c r="AD18" s="19">
        <f>TRANSICAO!$AD$18*CUSTOS!$R$3</f>
        <v>0</v>
      </c>
      <c r="AE18" s="19">
        <v>0</v>
      </c>
      <c r="AF18" s="19">
        <v>0</v>
      </c>
      <c r="AG18" s="19"/>
      <c r="AH18" s="19">
        <v>0</v>
      </c>
      <c r="AI18" s="19">
        <v>0</v>
      </c>
      <c r="AJ18" s="19">
        <v>0</v>
      </c>
      <c r="AK18" s="19">
        <f t="shared" si="0"/>
        <v>0</v>
      </c>
      <c r="AL18" s="19"/>
      <c r="AM18" s="19"/>
      <c r="AP18" s="19">
        <v>1</v>
      </c>
    </row>
    <row r="19" spans="1:42" ht="11.25" customHeight="1" x14ac:dyDescent="0.25">
      <c r="A19" s="136"/>
      <c r="B19" s="136"/>
      <c r="C19" s="136"/>
      <c r="D19" s="136"/>
      <c r="E19" s="136"/>
      <c r="F19" s="136"/>
      <c r="G19" s="21" t="s">
        <v>96</v>
      </c>
      <c r="H19" s="21" t="s">
        <v>90</v>
      </c>
      <c r="I19" s="21">
        <f>'MERCADO TUSD'!$U$16</f>
        <v>2880.6459999999997</v>
      </c>
      <c r="J19" s="17"/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/>
      <c r="U19" s="19">
        <f>TRANSICAO!$U$19*CUSTOS!$R$3</f>
        <v>0</v>
      </c>
      <c r="V19" s="19">
        <f>TRANSICAO!$V$19*CUSTOS!$R$3</f>
        <v>0</v>
      </c>
      <c r="W19" s="19">
        <f>TRANSICAO!$W$19*CUSTOS!$R$3</f>
        <v>0</v>
      </c>
      <c r="X19" s="19">
        <f>TRANSICAO!$X$19*CUSTOS!$R$3</f>
        <v>0</v>
      </c>
      <c r="Y19" s="19">
        <f>TRANSICAO!$Y$19*CUSTOS!$R$3</f>
        <v>0</v>
      </c>
      <c r="Z19" s="19">
        <f>TRANSICAO!$Z$19*CUSTOS!$R$3</f>
        <v>0</v>
      </c>
      <c r="AA19" s="19">
        <f>TRANSICAO!$AA$19*CUSTOS!$R$3</f>
        <v>0</v>
      </c>
      <c r="AB19" s="19">
        <f>TRANSICAO!$AB$19*CUSTOS!$R$3</f>
        <v>0</v>
      </c>
      <c r="AC19" s="19">
        <f>TRANSICAO!$AC$19*CUSTOS!$R$3</f>
        <v>0</v>
      </c>
      <c r="AD19" s="19">
        <f>TRANSICAO!$AD$19*CUSTOS!$R$3</f>
        <v>0</v>
      </c>
      <c r="AE19" s="19">
        <v>0</v>
      </c>
      <c r="AF19" s="19">
        <v>0</v>
      </c>
      <c r="AG19" s="19"/>
      <c r="AH19" s="19">
        <v>17.858499999999999</v>
      </c>
      <c r="AI19" s="19">
        <v>17.858499999999999</v>
      </c>
      <c r="AJ19" s="19">
        <v>0</v>
      </c>
      <c r="AK19" s="19">
        <f t="shared" si="0"/>
        <v>0</v>
      </c>
      <c r="AL19" s="19"/>
      <c r="AM19" s="19"/>
      <c r="AP19" s="19">
        <v>1</v>
      </c>
    </row>
    <row r="20" spans="1:42" ht="11.25" customHeight="1" x14ac:dyDescent="0.25">
      <c r="A20" s="136"/>
      <c r="B20" s="22" t="s">
        <v>64</v>
      </c>
      <c r="C20" s="22" t="s">
        <v>25</v>
      </c>
      <c r="D20" s="22" t="s">
        <v>25</v>
      </c>
      <c r="E20" s="22" t="s">
        <v>25</v>
      </c>
      <c r="F20" s="22" t="s">
        <v>25</v>
      </c>
      <c r="G20" s="21" t="s">
        <v>9</v>
      </c>
      <c r="H20" s="21" t="s">
        <v>93</v>
      </c>
      <c r="I20" s="21">
        <f>'MERCADO TUSD'!$U$17</f>
        <v>38138</v>
      </c>
      <c r="J20" s="17"/>
      <c r="L20" s="19">
        <v>0</v>
      </c>
      <c r="M20" s="19">
        <v>4.8899999999999999E-2</v>
      </c>
      <c r="N20" s="19">
        <f>0.1228</f>
        <v>0.12280000000000001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/>
      <c r="U20" s="19">
        <f>TRANSICAO!$U$20*CUSTOS!$R$4</f>
        <v>0</v>
      </c>
      <c r="V20" s="19">
        <f>TRANSICAO!$V$20*CUSTOS!$R$4</f>
        <v>0</v>
      </c>
      <c r="W20" s="19">
        <f>TRANSICAO!$W$20*CUSTOS!$R$4</f>
        <v>0</v>
      </c>
      <c r="X20" s="19">
        <f>TRANSICAO!$X$20*CUSTOS!$R$4</f>
        <v>0</v>
      </c>
      <c r="Y20" s="19">
        <f>TRANSICAO!$Y$20*CUSTOS!$R$4</f>
        <v>0</v>
      </c>
      <c r="Z20" s="19">
        <f>TRANSICAO!$Z$20*CUSTOS!$R$4</f>
        <v>0</v>
      </c>
      <c r="AA20" s="19">
        <f>TRANSICAO!$AA$20*CUSTOS!$R$4</f>
        <v>0</v>
      </c>
      <c r="AB20" s="19">
        <f>TRANSICAO!$AB$20*CUSTOS!$R$4</f>
        <v>0</v>
      </c>
      <c r="AC20" s="19">
        <f>TRANSICAO!$AC$20*CUSTOS!$R$4</f>
        <v>12.226900000000001</v>
      </c>
      <c r="AD20" s="19">
        <f>TRANSICAO!$AD$20*CUSTOS!$R$4</f>
        <v>0</v>
      </c>
      <c r="AE20" s="19">
        <v>0</v>
      </c>
      <c r="AF20" s="19">
        <v>0</v>
      </c>
      <c r="AG20" s="19"/>
      <c r="AH20" s="19">
        <v>1E-3</v>
      </c>
      <c r="AI20" s="19">
        <v>0</v>
      </c>
      <c r="AJ20" s="19">
        <v>0</v>
      </c>
      <c r="AK20" s="19">
        <f t="shared" si="0"/>
        <v>0</v>
      </c>
      <c r="AL20" s="19"/>
      <c r="AM20" s="19"/>
      <c r="AP20" s="19"/>
    </row>
    <row r="21" spans="1:42" ht="11.25" customHeight="1" x14ac:dyDescent="0.25">
      <c r="A21" s="136"/>
      <c r="B21" s="136" t="s">
        <v>34</v>
      </c>
      <c r="C21" s="136" t="s">
        <v>25</v>
      </c>
      <c r="D21" s="136" t="s">
        <v>25</v>
      </c>
      <c r="E21" s="136" t="s">
        <v>25</v>
      </c>
      <c r="F21" s="136" t="s">
        <v>25</v>
      </c>
      <c r="G21" s="21" t="s">
        <v>9</v>
      </c>
      <c r="H21" s="21" t="s">
        <v>93</v>
      </c>
      <c r="I21" s="21">
        <f>'MERCADO TUSD'!$U$18</f>
        <v>3390140</v>
      </c>
      <c r="J21" s="17"/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/>
      <c r="U21" s="19">
        <f>TRANSICAO!$U$21*CUSTOS!$R$3</f>
        <v>4.5281000000000002</v>
      </c>
      <c r="V21" s="19">
        <f>TRANSICAO!$V$21*CUSTOS!$R$3</f>
        <v>1.1187</v>
      </c>
      <c r="W21" s="19">
        <f>TRANSICAO!$W$21*CUSTOS!$R$3</f>
        <v>0.25309999999999999</v>
      </c>
      <c r="X21" s="19">
        <f>TRANSICAO!$X$21*CUSTOS!$R$3</f>
        <v>0</v>
      </c>
      <c r="Y21" s="19">
        <f>TRANSICAO!$Y$21*CUSTOS!$R$3</f>
        <v>6.8000000000000005E-2</v>
      </c>
      <c r="Z21" s="19">
        <f>TRANSICAO!$Z$21*CUSTOS!$R$3</f>
        <v>0</v>
      </c>
      <c r="AA21" s="19">
        <f>TRANSICAO!$AA$21*CUSTOS!$R$3</f>
        <v>0</v>
      </c>
      <c r="AB21" s="19">
        <f>TRANSICAO!$AB$21*CUSTOS!$R$3</f>
        <v>0</v>
      </c>
      <c r="AC21" s="19">
        <f>TRANSICAO!$AC$21*CUSTOS!$R$3</f>
        <v>14.768700000000001</v>
      </c>
      <c r="AD21" s="19">
        <f>TRANSICAO!$AD$21*CUSTOS!$R$3</f>
        <v>0</v>
      </c>
      <c r="AE21" s="19">
        <v>0</v>
      </c>
      <c r="AF21" s="19">
        <v>0</v>
      </c>
      <c r="AG21" s="19"/>
      <c r="AH21" s="19">
        <v>0</v>
      </c>
      <c r="AI21" s="19">
        <v>0</v>
      </c>
      <c r="AJ21" s="19">
        <v>0</v>
      </c>
      <c r="AK21" s="19">
        <f t="shared" si="0"/>
        <v>0</v>
      </c>
      <c r="AL21" s="19"/>
      <c r="AM21" s="19"/>
      <c r="AP21" s="19">
        <v>1</v>
      </c>
    </row>
    <row r="22" spans="1:42" ht="11.25" customHeight="1" x14ac:dyDescent="0.25">
      <c r="A22" s="136"/>
      <c r="B22" s="136"/>
      <c r="C22" s="136"/>
      <c r="D22" s="136"/>
      <c r="E22" s="136"/>
      <c r="F22" s="136"/>
      <c r="G22" s="21" t="s">
        <v>91</v>
      </c>
      <c r="H22" s="21" t="s">
        <v>90</v>
      </c>
      <c r="I22" s="21">
        <f>'MERCADO TUSD'!$U$19</f>
        <v>49009.922999999995</v>
      </c>
      <c r="J22" s="17"/>
      <c r="L22" s="19">
        <f>0.84</f>
        <v>0.84</v>
      </c>
      <c r="M22" s="19">
        <f>IF(AND((+$I$15+$I$16+$I$22+$I$23+$I$24+$I$25)&lt;&gt;0,SUMPRODUCT($I$5:$I$62,$AC$5:$AC$62,$AP$5:$AP$62)&lt;&gt;0),$M$67*SUMPRODUCT($I$13:$I$25,$AC$13:$AC$25,$AP$13:$AP$25)/SUMPRODUCT($I$5:$I$62,$AC$5:$AC$62,$AP$5:$AP$62)/(+$I$15+$I$16+$I$22+$I$23+$I$24+$I$25),0)</f>
        <v>0.5851484231317472</v>
      </c>
      <c r="N22" s="19">
        <f ca="1">(+M22+O22+R22+U22+V22+W22+X22+Y22+Z22+AA22+AC22+AH22+AI22+AJ22+AK22)*CUSTOS!$M$5</f>
        <v>14.763045738560063</v>
      </c>
      <c r="O22" s="19">
        <v>1</v>
      </c>
      <c r="P22" s="19">
        <v>1</v>
      </c>
      <c r="Q22" s="19">
        <f>0.84</f>
        <v>0.84</v>
      </c>
      <c r="R22" s="19">
        <v>1</v>
      </c>
      <c r="S22" s="19">
        <v>1</v>
      </c>
      <c r="T22" s="19"/>
      <c r="U22" s="19">
        <f>TRANSICAO!$U$22*CUSTOS!$R$3</f>
        <v>199.27269999999999</v>
      </c>
      <c r="V22" s="19">
        <f>TRANSICAO!$V$22*CUSTOS!$R$3</f>
        <v>49.051600000000001</v>
      </c>
      <c r="W22" s="19">
        <f>TRANSICAO!$W$22*CUSTOS!$R$3</f>
        <v>10.8902</v>
      </c>
      <c r="X22" s="19">
        <f>TRANSICAO!$X$22*CUSTOS!$R$3</f>
        <v>0</v>
      </c>
      <c r="Y22" s="19">
        <f>TRANSICAO!$Y$22*CUSTOS!$R$3</f>
        <v>6.1881000000000004</v>
      </c>
      <c r="Z22" s="19">
        <f>TRANSICAO!$Z$22*CUSTOS!$R$3</f>
        <v>0</v>
      </c>
      <c r="AA22" s="19">
        <f>TRANSICAO!$AA$22*CUSTOS!$R$3</f>
        <v>0</v>
      </c>
      <c r="AB22" s="19">
        <f>TRANSICAO!$AB$22*CUSTOS!$R$3</f>
        <v>0</v>
      </c>
      <c r="AC22" s="19">
        <f>TRANSICAO!$AC$22*CUSTOS!$R$3</f>
        <v>1121.0083999999999</v>
      </c>
      <c r="AD22" s="19">
        <f>TRANSICAO!$AD$22*CUSTOS!$R$3</f>
        <v>0</v>
      </c>
      <c r="AE22" s="19">
        <v>0</v>
      </c>
      <c r="AF22" s="19">
        <v>0</v>
      </c>
      <c r="AG22" s="19"/>
      <c r="AH22" s="19">
        <v>17.858499999999999</v>
      </c>
      <c r="AI22" s="19">
        <v>17.858499999999999</v>
      </c>
      <c r="AJ22" s="19">
        <f ca="1">$N$75</f>
        <v>25.795712716437222</v>
      </c>
      <c r="AK22" s="19">
        <f t="shared" ca="1" si="0"/>
        <v>25.795712716437222</v>
      </c>
      <c r="AL22" s="19"/>
      <c r="AM22" s="19"/>
      <c r="AP22" s="19">
        <v>1</v>
      </c>
    </row>
    <row r="23" spans="1:42" ht="11.25" customHeight="1" x14ac:dyDescent="0.25">
      <c r="A23" s="136"/>
      <c r="B23" s="136"/>
      <c r="C23" s="136"/>
      <c r="D23" s="136"/>
      <c r="E23" s="136"/>
      <c r="F23" s="136"/>
      <c r="G23" s="21" t="s">
        <v>92</v>
      </c>
      <c r="H23" s="21" t="s">
        <v>90</v>
      </c>
      <c r="I23" s="21">
        <f>'MERCADO TUSD'!$U$20</f>
        <v>680185.39</v>
      </c>
      <c r="J23" s="17"/>
      <c r="L23" s="19">
        <f>0.84</f>
        <v>0.84</v>
      </c>
      <c r="M23" s="19">
        <f>IF(AND((+$I$15+$I$16+$I$22+$I$23+$I$24+$I$25)&lt;&gt;0,SUMPRODUCT($I$5:$I$62,$AC$5:$AC$62,$AP$5:$AP$62)&lt;&gt;0),$M$67*SUMPRODUCT($I$13:$I$25,$AC$13:$AC$25,$AP$13:$AP$25)/SUMPRODUCT($I$5:$I$62,$AC$5:$AC$62,$AP$5:$AP$62)/(+$I$15+$I$16+$I$22+$I$23+$I$24+$I$25),0)</f>
        <v>0.5851484231317472</v>
      </c>
      <c r="N23" s="19">
        <f ca="1">(+M23+O23+R23+U23+V23+W23+X23+Y23+Z23+AA23+AC23+AH23+AI23+AJ23+AK23)*CUSTOS!$M$5</f>
        <v>0.89893573856006204</v>
      </c>
      <c r="O23" s="19">
        <v>1</v>
      </c>
      <c r="P23" s="19">
        <v>1</v>
      </c>
      <c r="Q23" s="19">
        <f>0.84</f>
        <v>0.84</v>
      </c>
      <c r="R23" s="19">
        <v>1</v>
      </c>
      <c r="S23" s="19">
        <v>1</v>
      </c>
      <c r="T23" s="19"/>
      <c r="U23" s="19">
        <f>TRANSICAO!$U$23*CUSTOS!$R$3</f>
        <v>0</v>
      </c>
      <c r="V23" s="19">
        <f>TRANSICAO!$V$23*CUSTOS!$R$3</f>
        <v>0</v>
      </c>
      <c r="W23" s="19">
        <f>TRANSICAO!$W$23*CUSTOS!$R$3</f>
        <v>0</v>
      </c>
      <c r="X23" s="19">
        <f>TRANSICAO!$X$23*CUSTOS!$R$3</f>
        <v>0</v>
      </c>
      <c r="Y23" s="19">
        <f>TRANSICAO!$Y$23*CUSTOS!$R$3</f>
        <v>0</v>
      </c>
      <c r="Z23" s="19">
        <f>TRANSICAO!$Z$23*CUSTOS!$R$3</f>
        <v>0</v>
      </c>
      <c r="AA23" s="19">
        <f>TRANSICAO!$AA$23*CUSTOS!$R$3</f>
        <v>0</v>
      </c>
      <c r="AB23" s="19">
        <f>TRANSICAO!$AB$23*CUSTOS!$R$3</f>
        <v>0</v>
      </c>
      <c r="AC23" s="19">
        <f>TRANSICAO!$AC$23*CUSTOS!$R$3</f>
        <v>0</v>
      </c>
      <c r="AD23" s="19">
        <f>TRANSICAO!$AD$23*CUSTOS!$R$3</f>
        <v>0</v>
      </c>
      <c r="AE23" s="19">
        <v>0</v>
      </c>
      <c r="AF23" s="19">
        <v>0</v>
      </c>
      <c r="AG23" s="19"/>
      <c r="AH23" s="19">
        <v>17.858499999999999</v>
      </c>
      <c r="AI23" s="19">
        <v>17.858499999999999</v>
      </c>
      <c r="AJ23" s="19">
        <f ca="1">$N$75</f>
        <v>25.795712716437222</v>
      </c>
      <c r="AK23" s="19">
        <f t="shared" ca="1" si="0"/>
        <v>25.795712716437222</v>
      </c>
      <c r="AL23" s="19"/>
      <c r="AM23" s="19"/>
      <c r="AP23" s="19">
        <v>1</v>
      </c>
    </row>
    <row r="24" spans="1:42" ht="11.25" customHeight="1" x14ac:dyDescent="0.25">
      <c r="A24" s="136"/>
      <c r="B24" s="136"/>
      <c r="C24" s="136"/>
      <c r="D24" s="136"/>
      <c r="E24" s="136" t="s">
        <v>58</v>
      </c>
      <c r="F24" s="136" t="s">
        <v>25</v>
      </c>
      <c r="G24" s="21" t="s">
        <v>91</v>
      </c>
      <c r="H24" s="21" t="s">
        <v>90</v>
      </c>
      <c r="I24" s="21">
        <f>'MERCADO TUSD'!$U$21</f>
        <v>0</v>
      </c>
      <c r="J24" s="17"/>
      <c r="L24" s="19">
        <v>0</v>
      </c>
      <c r="M24" s="19">
        <f>IF(AND((+$I$15+$I$16+$I$22+$I$23+$I$24+$I$25)&lt;&gt;0,SUMPRODUCT($I$5:$I$62,$AC$5:$AC$62,$AP$5:$AP$62)&lt;&gt;0),$M$67*SUMPRODUCT($I$13:$I$25,$AC$13:$AC$25,$AP$13:$AP$25)/SUMPRODUCT($I$5:$I$62,$AC$5:$AC$62,$AP$5:$AP$62)/(+$I$15+$I$16+$I$22+$I$23+$I$24+$I$25),0)</f>
        <v>0.5851484231317472</v>
      </c>
      <c r="N24" s="19">
        <f ca="1">(+M24+O24+R24+U24+V24+W24+X24+Y24+Z24+AA24+AC24+AH24+AI24+AJ24+AK24)*CUSTOS!$M$5</f>
        <v>14.753045738560063</v>
      </c>
      <c r="O24" s="19">
        <v>1</v>
      </c>
      <c r="P24" s="19">
        <v>0</v>
      </c>
      <c r="Q24" s="19">
        <v>0</v>
      </c>
      <c r="R24" s="19">
        <v>0</v>
      </c>
      <c r="S24" s="19">
        <v>0</v>
      </c>
      <c r="T24" s="19"/>
      <c r="U24" s="19">
        <f>TRANSICAO!$U$24*CUSTOS!$R$3</f>
        <v>199.27269999999999</v>
      </c>
      <c r="V24" s="19">
        <f>TRANSICAO!$V$24*CUSTOS!$R$3</f>
        <v>49.051600000000001</v>
      </c>
      <c r="W24" s="19">
        <f>TRANSICAO!$W$24*CUSTOS!$R$3</f>
        <v>10.8902</v>
      </c>
      <c r="X24" s="19">
        <f>TRANSICAO!$X$24*CUSTOS!$R$3</f>
        <v>0</v>
      </c>
      <c r="Y24" s="19">
        <f>TRANSICAO!$Y$24*CUSTOS!$R$3</f>
        <v>6.1881000000000004</v>
      </c>
      <c r="Z24" s="19">
        <f>TRANSICAO!$Z$24*CUSTOS!$R$3</f>
        <v>0</v>
      </c>
      <c r="AA24" s="19">
        <f>TRANSICAO!$AA$24*CUSTOS!$R$3</f>
        <v>0</v>
      </c>
      <c r="AB24" s="19">
        <f>TRANSICAO!$AB$24*CUSTOS!$R$3</f>
        <v>0</v>
      </c>
      <c r="AC24" s="19">
        <f>TRANSICAO!$AC$24*CUSTOS!$R$3</f>
        <v>1121.0083999999999</v>
      </c>
      <c r="AD24" s="19">
        <f>TRANSICAO!$AD$24*CUSTOS!$R$3</f>
        <v>0</v>
      </c>
      <c r="AE24" s="19">
        <v>0</v>
      </c>
      <c r="AF24" s="19">
        <v>0</v>
      </c>
      <c r="AG24" s="19"/>
      <c r="AH24" s="19">
        <v>17.858499999999999</v>
      </c>
      <c r="AI24" s="19">
        <v>17.858499999999999</v>
      </c>
      <c r="AJ24" s="19">
        <f ca="1">$N$75</f>
        <v>25.795712716437222</v>
      </c>
      <c r="AK24" s="19">
        <f t="shared" ca="1" si="0"/>
        <v>25.795712716437222</v>
      </c>
      <c r="AL24" s="19"/>
      <c r="AM24" s="19"/>
      <c r="AP24" s="19">
        <v>1</v>
      </c>
    </row>
    <row r="25" spans="1:42" ht="11.25" customHeight="1" x14ac:dyDescent="0.25">
      <c r="A25" s="136"/>
      <c r="B25" s="136"/>
      <c r="C25" s="136"/>
      <c r="D25" s="136"/>
      <c r="E25" s="136"/>
      <c r="F25" s="136"/>
      <c r="G25" s="21" t="s">
        <v>92</v>
      </c>
      <c r="H25" s="21" t="s">
        <v>90</v>
      </c>
      <c r="I25" s="21">
        <f>'MERCADO TUSD'!$U$22</f>
        <v>0</v>
      </c>
      <c r="J25" s="17"/>
      <c r="L25" s="19">
        <v>0</v>
      </c>
      <c r="M25" s="19">
        <f>IF(AND((+$I$15+$I$16+$I$22+$I$23+$I$24+$I$25)&lt;&gt;0,SUMPRODUCT($I$5:$I$62,$AC$5:$AC$62,$AP$5:$AP$62)&lt;&gt;0),$M$67*SUMPRODUCT($I$13:$I$25,$AC$13:$AC$25,$AP$13:$AP$25)/SUMPRODUCT($I$5:$I$62,$AC$5:$AC$62,$AP$5:$AP$62)/(+$I$15+$I$16+$I$22+$I$23+$I$24+$I$25),0)</f>
        <v>0.5851484231317472</v>
      </c>
      <c r="N25" s="19">
        <f ca="1">(+M25+O25+R25+U25+V25+W25+X25+Y25+Z25+AA25+AC25+AH25+AI25+AJ25+AK25)*CUSTOS!$M$5</f>
        <v>0.88893573856006192</v>
      </c>
      <c r="O25" s="19">
        <v>1</v>
      </c>
      <c r="P25" s="19">
        <v>0</v>
      </c>
      <c r="Q25" s="19">
        <v>0</v>
      </c>
      <c r="R25" s="19">
        <v>0</v>
      </c>
      <c r="S25" s="19">
        <v>0</v>
      </c>
      <c r="T25" s="19"/>
      <c r="U25" s="19">
        <f>TRANSICAO!$U$25*CUSTOS!$R$3</f>
        <v>0</v>
      </c>
      <c r="V25" s="19">
        <f>TRANSICAO!$V$25*CUSTOS!$R$3</f>
        <v>0</v>
      </c>
      <c r="W25" s="19">
        <f>TRANSICAO!$W$25*CUSTOS!$R$3</f>
        <v>0</v>
      </c>
      <c r="X25" s="19">
        <f>TRANSICAO!$X$25*CUSTOS!$R$3</f>
        <v>0</v>
      </c>
      <c r="Y25" s="19">
        <f>TRANSICAO!$Y$25*CUSTOS!$R$3</f>
        <v>0</v>
      </c>
      <c r="Z25" s="19">
        <f>TRANSICAO!$Z$25*CUSTOS!$R$3</f>
        <v>0</v>
      </c>
      <c r="AA25" s="19">
        <f>TRANSICAO!$AA$25*CUSTOS!$R$3</f>
        <v>0</v>
      </c>
      <c r="AB25" s="19">
        <f>TRANSICAO!$AB$25*CUSTOS!$R$3</f>
        <v>0</v>
      </c>
      <c r="AC25" s="19">
        <f>TRANSICAO!$AC$25*CUSTOS!$R$3</f>
        <v>0</v>
      </c>
      <c r="AD25" s="19">
        <f>TRANSICAO!$AD$25*CUSTOS!$R$3</f>
        <v>0</v>
      </c>
      <c r="AE25" s="19">
        <v>0</v>
      </c>
      <c r="AF25" s="19">
        <v>0</v>
      </c>
      <c r="AG25" s="19"/>
      <c r="AH25" s="19">
        <v>17.858499999999999</v>
      </c>
      <c r="AI25" s="19">
        <v>17.858499999999999</v>
      </c>
      <c r="AJ25" s="19">
        <f ca="1">$N$75</f>
        <v>25.795712716437222</v>
      </c>
      <c r="AK25" s="19">
        <f t="shared" ca="1" si="0"/>
        <v>25.795712716437222</v>
      </c>
      <c r="AL25" s="19"/>
      <c r="AM25" s="19"/>
      <c r="AP25" s="19">
        <v>1</v>
      </c>
    </row>
    <row r="26" spans="1:42" ht="11.25" customHeight="1" x14ac:dyDescent="0.25">
      <c r="A26" s="136" t="s">
        <v>98</v>
      </c>
      <c r="B26" s="136" t="s">
        <v>64</v>
      </c>
      <c r="C26" s="136" t="s">
        <v>25</v>
      </c>
      <c r="D26" s="136" t="s">
        <v>25</v>
      </c>
      <c r="E26" s="22" t="s">
        <v>99</v>
      </c>
      <c r="F26" s="22" t="s">
        <v>25</v>
      </c>
      <c r="G26" s="21" t="s">
        <v>9</v>
      </c>
      <c r="H26" s="21" t="s">
        <v>93</v>
      </c>
      <c r="I26" s="21">
        <f>'MERCADO TUSD'!$U$23+0.00000001</f>
        <v>1E-8</v>
      </c>
      <c r="J26" s="17"/>
      <c r="L26" s="19">
        <v>0</v>
      </c>
      <c r="M26" s="19">
        <v>2.76E-2</v>
      </c>
      <c r="N26" s="19">
        <f>0.0694</f>
        <v>6.9400000000000003E-2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/>
      <c r="U26" s="19">
        <f>TRANSICAO!$U$26*CUSTOS!$T$4</f>
        <v>0</v>
      </c>
      <c r="V26" s="19">
        <f>TRANSICAO!$V$26*CUSTOS!$T$4</f>
        <v>0</v>
      </c>
      <c r="W26" s="19">
        <f>TRANSICAO!$W$26*CUSTOS!$T$4</f>
        <v>0</v>
      </c>
      <c r="X26" s="19">
        <f>TRANSICAO!$X$26*CUSTOS!$T$4</f>
        <v>0</v>
      </c>
      <c r="Y26" s="19">
        <f>TRANSICAO!$Y$26*CUSTOS!$T$4</f>
        <v>0</v>
      </c>
      <c r="Z26" s="19">
        <f>TRANSICAO!$Z$26*CUSTOS!$T$4</f>
        <v>0</v>
      </c>
      <c r="AA26" s="19">
        <f>TRANSICAO!$AA$26*CUSTOS!$T$4</f>
        <v>0</v>
      </c>
      <c r="AB26" s="19">
        <f>TRANSICAO!$AB$26*CUSTOS!$T$4</f>
        <v>0</v>
      </c>
      <c r="AC26" s="19">
        <f>TRANSICAO!$AC$26*CUSTOS!$T$4</f>
        <v>6.9077999999999999</v>
      </c>
      <c r="AD26" s="19">
        <f>TRANSICAO!$AD$26*CUSTOS!$T$4</f>
        <v>0</v>
      </c>
      <c r="AE26" s="19">
        <v>0</v>
      </c>
      <c r="AF26" s="19">
        <v>0</v>
      </c>
      <c r="AG26" s="19"/>
      <c r="AH26" s="19">
        <v>0</v>
      </c>
      <c r="AI26" s="19">
        <v>0</v>
      </c>
      <c r="AJ26" s="19">
        <v>0</v>
      </c>
      <c r="AK26" s="19">
        <f t="shared" si="0"/>
        <v>0</v>
      </c>
      <c r="AL26" s="19"/>
      <c r="AM26" s="19"/>
      <c r="AP26" s="19"/>
    </row>
    <row r="27" spans="1:42" ht="11.25" customHeight="1" x14ac:dyDescent="0.25">
      <c r="A27" s="136"/>
      <c r="B27" s="136"/>
      <c r="C27" s="136"/>
      <c r="D27" s="136"/>
      <c r="E27" s="22" t="s">
        <v>100</v>
      </c>
      <c r="F27" s="22" t="s">
        <v>25</v>
      </c>
      <c r="G27" s="21" t="s">
        <v>9</v>
      </c>
      <c r="H27" s="21" t="s">
        <v>93</v>
      </c>
      <c r="I27" s="21">
        <f>'MERCADO TUSD'!$U$24+0.00000001</f>
        <v>1E-8</v>
      </c>
      <c r="J27" s="17"/>
      <c r="L27" s="19">
        <v>0</v>
      </c>
      <c r="M27" s="19">
        <v>2.76E-2</v>
      </c>
      <c r="N27" s="19">
        <f>0.0694</f>
        <v>6.9400000000000003E-2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/>
      <c r="U27" s="19">
        <f>TRANSICAO!$U$27*CUSTOS!$T$4</f>
        <v>0</v>
      </c>
      <c r="V27" s="19">
        <f>TRANSICAO!$V$27*CUSTOS!$T$4</f>
        <v>0</v>
      </c>
      <c r="W27" s="19">
        <f>TRANSICAO!$W$27*CUSTOS!$T$4</f>
        <v>0</v>
      </c>
      <c r="X27" s="19">
        <f>TRANSICAO!$X$27*CUSTOS!$T$4</f>
        <v>0</v>
      </c>
      <c r="Y27" s="19">
        <f>TRANSICAO!$Y$27*CUSTOS!$T$4</f>
        <v>0</v>
      </c>
      <c r="Z27" s="19">
        <f>TRANSICAO!$Z$27*CUSTOS!$T$4</f>
        <v>0</v>
      </c>
      <c r="AA27" s="19">
        <f>TRANSICAO!$AA$27*CUSTOS!$T$4</f>
        <v>0</v>
      </c>
      <c r="AB27" s="19">
        <f>TRANSICAO!$AB$27*CUSTOS!$T$4</f>
        <v>0</v>
      </c>
      <c r="AC27" s="19">
        <f>TRANSICAO!$AC$27*CUSTOS!$T$4</f>
        <v>17.636700000000001</v>
      </c>
      <c r="AD27" s="19">
        <f>TRANSICAO!$AD$27*CUSTOS!$T$4</f>
        <v>0</v>
      </c>
      <c r="AE27" s="19">
        <v>0</v>
      </c>
      <c r="AF27" s="19">
        <v>0</v>
      </c>
      <c r="AG27" s="19"/>
      <c r="AH27" s="19">
        <v>0</v>
      </c>
      <c r="AI27" s="19">
        <v>0</v>
      </c>
      <c r="AJ27" s="19">
        <v>0</v>
      </c>
      <c r="AK27" s="19">
        <f t="shared" si="0"/>
        <v>0</v>
      </c>
      <c r="AL27" s="19"/>
      <c r="AM27" s="19"/>
      <c r="AP27" s="19"/>
    </row>
    <row r="28" spans="1:42" ht="11.25" customHeight="1" x14ac:dyDescent="0.25">
      <c r="A28" s="136" t="s">
        <v>22</v>
      </c>
      <c r="B28" s="136" t="s">
        <v>37</v>
      </c>
      <c r="C28" s="136" t="s">
        <v>24</v>
      </c>
      <c r="D28" s="136" t="s">
        <v>24</v>
      </c>
      <c r="E28" s="136" t="s">
        <v>25</v>
      </c>
      <c r="F28" s="136" t="s">
        <v>25</v>
      </c>
      <c r="G28" s="21" t="s">
        <v>91</v>
      </c>
      <c r="H28" s="21" t="s">
        <v>90</v>
      </c>
      <c r="I28" s="21">
        <f>'MERCADO TUSD'!$U$25</f>
        <v>50.420000000000009</v>
      </c>
      <c r="J28" s="17"/>
      <c r="L28" s="19">
        <f>1</f>
        <v>1</v>
      </c>
      <c r="M28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</f>
        <v>0.87712132573973334</v>
      </c>
      <c r="N28" s="19">
        <f ca="1">(+M28+O28+R28+U28+V28+W28+X28+Y28+Z28+AA28+AC28+AH28+AI28+AJ28+AK28)*CUSTOS!$M$5</f>
        <v>9.8181461528349807</v>
      </c>
      <c r="O28" s="19">
        <v>1</v>
      </c>
      <c r="P28" s="19">
        <v>1</v>
      </c>
      <c r="Q28" s="19">
        <f>1</f>
        <v>1</v>
      </c>
      <c r="R28" s="19">
        <v>1</v>
      </c>
      <c r="S28" s="19">
        <v>1</v>
      </c>
      <c r="T28" s="19"/>
      <c r="U28" s="19">
        <f>TRANSICAO!$U$28*CUSTOS!$T$3</f>
        <v>106.34780000000001</v>
      </c>
      <c r="V28" s="19">
        <f>TRANSICAO!$V$28*CUSTOS!$T$3</f>
        <v>26.223800000000001</v>
      </c>
      <c r="W28" s="19">
        <f>TRANSICAO!$W$28*CUSTOS!$T$3</f>
        <v>5.8764000000000003</v>
      </c>
      <c r="X28" s="19">
        <f>TRANSICAO!$X$28*CUSTOS!$T$3</f>
        <v>0</v>
      </c>
      <c r="Y28" s="19">
        <f>TRANSICAO!$Y$28*CUSTOS!$T$3</f>
        <v>2.4721000000000002</v>
      </c>
      <c r="Z28" s="19">
        <f>TRANSICAO!$Z$28*CUSTOS!$T$3</f>
        <v>0</v>
      </c>
      <c r="AA28" s="19">
        <f>TRANSICAO!$AA$28*CUSTOS!$T$3</f>
        <v>0</v>
      </c>
      <c r="AB28" s="19">
        <f>TRANSICAO!$AB$28*CUSTOS!$T$3</f>
        <v>0</v>
      </c>
      <c r="AC28" s="19">
        <f>TRANSICAO!$AC$28*CUSTOS!$T$3</f>
        <v>699.78520000000003</v>
      </c>
      <c r="AD28" s="19">
        <f>TRANSICAO!$AD$28*CUSTOS!$T$3</f>
        <v>0</v>
      </c>
      <c r="AE28" s="19">
        <v>0</v>
      </c>
      <c r="AF28" s="19">
        <v>0</v>
      </c>
      <c r="AG28" s="19"/>
      <c r="AH28" s="19">
        <v>36.427999999999997</v>
      </c>
      <c r="AI28" s="19">
        <v>36.427999999999997</v>
      </c>
      <c r="AJ28" s="19">
        <f ca="1">$N$76</f>
        <v>32.688096978879159</v>
      </c>
      <c r="AK28" s="19">
        <f t="shared" ca="1" si="0"/>
        <v>32.688096978879159</v>
      </c>
      <c r="AL28" s="19"/>
      <c r="AM28" s="19"/>
      <c r="AP28" s="19">
        <v>1</v>
      </c>
    </row>
    <row r="29" spans="1:42" ht="11.25" customHeight="1" x14ac:dyDescent="0.25">
      <c r="A29" s="136"/>
      <c r="B29" s="136"/>
      <c r="C29" s="136"/>
      <c r="D29" s="136"/>
      <c r="E29" s="136"/>
      <c r="F29" s="136"/>
      <c r="G29" s="21" t="s">
        <v>101</v>
      </c>
      <c r="H29" s="21" t="s">
        <v>90</v>
      </c>
      <c r="I29" s="21">
        <f>'MERCADO TUSD'!$U$26</f>
        <v>34.840000000000003</v>
      </c>
      <c r="J29" s="17"/>
      <c r="L29" s="19">
        <f>1</f>
        <v>1</v>
      </c>
      <c r="M29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</f>
        <v>0.87712132573973334</v>
      </c>
      <c r="N29" s="19">
        <f ca="1">(+M29+O29+R29+U29+V29+W29+X29+Y29+Z29+AA29+AC29+AH29+AI29+AJ29+AK29)*CUSTOS!$M$5</f>
        <v>6.4553261528349797</v>
      </c>
      <c r="O29" s="19">
        <v>1</v>
      </c>
      <c r="P29" s="19">
        <v>1</v>
      </c>
      <c r="Q29" s="19">
        <f>1</f>
        <v>1</v>
      </c>
      <c r="R29" s="19">
        <v>1</v>
      </c>
      <c r="S29" s="19">
        <v>1</v>
      </c>
      <c r="T29" s="19"/>
      <c r="U29" s="19">
        <f>TRANSICAO!$U$29*CUSTOS!$T$3</f>
        <v>63.808700000000002</v>
      </c>
      <c r="V29" s="19">
        <f>TRANSICAO!$V$29*CUSTOS!$T$3</f>
        <v>15.734299999999999</v>
      </c>
      <c r="W29" s="19">
        <f>TRANSICAO!$W$29*CUSTOS!$T$3</f>
        <v>3.5259</v>
      </c>
      <c r="X29" s="19">
        <f>TRANSICAO!$X$29*CUSTOS!$T$3</f>
        <v>0</v>
      </c>
      <c r="Y29" s="19">
        <f>TRANSICAO!$Y$29*CUSTOS!$T$3</f>
        <v>1.4833000000000001</v>
      </c>
      <c r="Z29" s="19">
        <f>TRANSICAO!$Z$29*CUSTOS!$T$3</f>
        <v>0</v>
      </c>
      <c r="AA29" s="19">
        <f>TRANSICAO!$AA$29*CUSTOS!$T$3</f>
        <v>0</v>
      </c>
      <c r="AB29" s="19">
        <f>TRANSICAO!$AB$29*CUSTOS!$T$3</f>
        <v>0</v>
      </c>
      <c r="AC29" s="19">
        <f>TRANSICAO!$AC$29*CUSTOS!$T$3</f>
        <v>419.87110000000001</v>
      </c>
      <c r="AD29" s="19">
        <f>TRANSICAO!$AD$29*CUSTOS!$T$3</f>
        <v>0</v>
      </c>
      <c r="AE29" s="19">
        <v>0</v>
      </c>
      <c r="AF29" s="19">
        <v>0</v>
      </c>
      <c r="AG29" s="19"/>
      <c r="AH29" s="19">
        <v>36.427999999999997</v>
      </c>
      <c r="AI29" s="19">
        <v>36.427999999999997</v>
      </c>
      <c r="AJ29" s="19">
        <f ca="1">$N$76</f>
        <v>32.688096978879159</v>
      </c>
      <c r="AK29" s="19">
        <f t="shared" ca="1" si="0"/>
        <v>32.688096978879159</v>
      </c>
      <c r="AL29" s="19"/>
      <c r="AM29" s="19"/>
      <c r="AP29" s="19">
        <v>1</v>
      </c>
    </row>
    <row r="30" spans="1:42" ht="11.25" customHeight="1" x14ac:dyDescent="0.25">
      <c r="A30" s="136"/>
      <c r="B30" s="136"/>
      <c r="C30" s="136"/>
      <c r="D30" s="136"/>
      <c r="E30" s="136"/>
      <c r="F30" s="136"/>
      <c r="G30" s="21" t="s">
        <v>92</v>
      </c>
      <c r="H30" s="21" t="s">
        <v>90</v>
      </c>
      <c r="I30" s="21">
        <f>'MERCADO TUSD'!$U$27</f>
        <v>677.41499999999996</v>
      </c>
      <c r="J30" s="17"/>
      <c r="L30" s="19">
        <f>1</f>
        <v>1</v>
      </c>
      <c r="M30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</f>
        <v>0.87712132573973334</v>
      </c>
      <c r="N30" s="19">
        <f ca="1">(+M30+O30+R30+U30+V30+W30+X30+Y30+Z30+AA30+AC30+AH30+AI30+AJ30+AK30)*CUSTOS!$M$5</f>
        <v>3.0925041528349806</v>
      </c>
      <c r="O30" s="19">
        <v>1</v>
      </c>
      <c r="P30" s="19">
        <v>1</v>
      </c>
      <c r="Q30" s="19">
        <f>1</f>
        <v>1</v>
      </c>
      <c r="R30" s="19">
        <v>1</v>
      </c>
      <c r="S30" s="19">
        <v>1</v>
      </c>
      <c r="T30" s="19"/>
      <c r="U30" s="19">
        <f>TRANSICAO!$U$30*CUSTOS!$T$3</f>
        <v>21.269600000000001</v>
      </c>
      <c r="V30" s="19">
        <f>TRANSICAO!$V$30*CUSTOS!$T$3</f>
        <v>5.2447999999999997</v>
      </c>
      <c r="W30" s="19">
        <f>TRANSICAO!$W$30*CUSTOS!$T$3</f>
        <v>1.1753</v>
      </c>
      <c r="X30" s="19">
        <f>TRANSICAO!$X$30*CUSTOS!$T$3</f>
        <v>0</v>
      </c>
      <c r="Y30" s="19">
        <f>TRANSICAO!$Y$30*CUSTOS!$T$3</f>
        <v>0.49440000000000001</v>
      </c>
      <c r="Z30" s="19">
        <f>TRANSICAO!$Z$30*CUSTOS!$T$3</f>
        <v>0</v>
      </c>
      <c r="AA30" s="19">
        <f>TRANSICAO!$AA$30*CUSTOS!$T$3</f>
        <v>0</v>
      </c>
      <c r="AB30" s="19">
        <f>TRANSICAO!$AB$30*CUSTOS!$T$3</f>
        <v>0</v>
      </c>
      <c r="AC30" s="19">
        <f>TRANSICAO!$AC$30*CUSTOS!$T$3</f>
        <v>139.95699999999999</v>
      </c>
      <c r="AD30" s="19">
        <f>TRANSICAO!$AD$30*CUSTOS!$T$3</f>
        <v>0</v>
      </c>
      <c r="AE30" s="19">
        <v>0</v>
      </c>
      <c r="AF30" s="19">
        <v>0</v>
      </c>
      <c r="AG30" s="19"/>
      <c r="AH30" s="19">
        <v>36.427999999999997</v>
      </c>
      <c r="AI30" s="19">
        <v>36.427999999999997</v>
      </c>
      <c r="AJ30" s="19">
        <f ca="1">$N$76</f>
        <v>32.688096978879159</v>
      </c>
      <c r="AK30" s="19">
        <f t="shared" ca="1" si="0"/>
        <v>32.688096978879159</v>
      </c>
      <c r="AL30" s="19"/>
      <c r="AM30" s="19"/>
      <c r="AP30" s="19">
        <v>1</v>
      </c>
    </row>
    <row r="31" spans="1:42" ht="11.25" customHeight="1" x14ac:dyDescent="0.25">
      <c r="A31" s="136"/>
      <c r="B31" s="136" t="s">
        <v>23</v>
      </c>
      <c r="C31" s="136" t="s">
        <v>24</v>
      </c>
      <c r="D31" s="22" t="s">
        <v>24</v>
      </c>
      <c r="E31" s="22" t="s">
        <v>25</v>
      </c>
      <c r="F31" s="22" t="s">
        <v>25</v>
      </c>
      <c r="G31" s="21" t="s">
        <v>96</v>
      </c>
      <c r="H31" s="21" t="s">
        <v>90</v>
      </c>
      <c r="I31" s="21">
        <f>'MERCADO TUSD'!$U$28</f>
        <v>1165006.6750000003</v>
      </c>
      <c r="J31" s="17"/>
      <c r="L31" s="19">
        <f>1</f>
        <v>1</v>
      </c>
      <c r="M31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</f>
        <v>0.87712132573973334</v>
      </c>
      <c r="N31" s="19">
        <f ca="1">(+M31+O31+R31+U31+V31+W31+X31+Y31+Z31+AA31+AC31+AH31+AI31+AJ31+AK31)*CUSTOS!$M$5</f>
        <v>3.9586841528349805</v>
      </c>
      <c r="O31" s="19">
        <v>1</v>
      </c>
      <c r="P31" s="19">
        <v>1</v>
      </c>
      <c r="Q31" s="19">
        <f>1</f>
        <v>1</v>
      </c>
      <c r="R31" s="19">
        <v>1</v>
      </c>
      <c r="S31" s="19">
        <v>1</v>
      </c>
      <c r="T31" s="19"/>
      <c r="U31" s="19">
        <f>TRANSICAO!$U$31*CUSTOS!$T$3</f>
        <v>32.226599999999998</v>
      </c>
      <c r="V31" s="19">
        <f>TRANSICAO!$V$31*CUSTOS!$T$3</f>
        <v>7.9466000000000001</v>
      </c>
      <c r="W31" s="19">
        <f>TRANSICAO!$W$31*CUSTOS!$T$3</f>
        <v>1.7806999999999999</v>
      </c>
      <c r="X31" s="19">
        <f>TRANSICAO!$X$31*CUSTOS!$T$3</f>
        <v>0</v>
      </c>
      <c r="Y31" s="19">
        <f>TRANSICAO!$Y$31*CUSTOS!$T$3</f>
        <v>0.74909999999999999</v>
      </c>
      <c r="Z31" s="19">
        <f>TRANSICAO!$Z$31*CUSTOS!$T$3</f>
        <v>0</v>
      </c>
      <c r="AA31" s="19">
        <f>TRANSICAO!$AA$31*CUSTOS!$T$3</f>
        <v>0</v>
      </c>
      <c r="AB31" s="19">
        <f>TRANSICAO!$AB$31*CUSTOS!$T$3</f>
        <v>0</v>
      </c>
      <c r="AC31" s="19">
        <f>TRANSICAO!$AC$31*CUSTOS!$T$3</f>
        <v>212.05609999999999</v>
      </c>
      <c r="AD31" s="19">
        <f>TRANSICAO!$AD$31*CUSTOS!$T$3</f>
        <v>0</v>
      </c>
      <c r="AE31" s="19">
        <v>0</v>
      </c>
      <c r="AF31" s="19">
        <v>0</v>
      </c>
      <c r="AG31" s="19"/>
      <c r="AH31" s="19">
        <v>36.427999999999997</v>
      </c>
      <c r="AI31" s="19">
        <v>36.427999999999997</v>
      </c>
      <c r="AJ31" s="19">
        <f ca="1">$N$76</f>
        <v>32.688096978879159</v>
      </c>
      <c r="AK31" s="19">
        <f t="shared" ca="1" si="0"/>
        <v>32.688096978879159</v>
      </c>
      <c r="AL31" s="19"/>
      <c r="AM31" s="19"/>
      <c r="AP31" s="19">
        <v>1</v>
      </c>
    </row>
    <row r="32" spans="1:42" ht="11.25" customHeight="1" x14ac:dyDescent="0.25">
      <c r="A32" s="136"/>
      <c r="B32" s="136"/>
      <c r="C32" s="136"/>
      <c r="D32" s="22" t="s">
        <v>29</v>
      </c>
      <c r="E32" s="22" t="s">
        <v>25</v>
      </c>
      <c r="F32" s="22" t="s">
        <v>25</v>
      </c>
      <c r="G32" s="21" t="s">
        <v>96</v>
      </c>
      <c r="H32" s="21" t="s">
        <v>90</v>
      </c>
      <c r="I32" s="21">
        <f>'MERCADO TUSD'!$U$29</f>
        <v>134316.74400000001</v>
      </c>
      <c r="J32" s="17"/>
      <c r="L32" s="19">
        <v>0</v>
      </c>
      <c r="M32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CUSTOS!$M$24)</f>
        <v>0.87712132573973334</v>
      </c>
      <c r="N32" s="19">
        <f ca="1">(+M32+O32+R32+U32+V32+W32+X32+Y32+Z32+AA32+AC32+AH32+AI32+AJ32+AK32)*CUSTOS!$M$5</f>
        <v>3.9486841528349808</v>
      </c>
      <c r="O32" s="19">
        <f>1 - CUSTOS!$M$24</f>
        <v>1</v>
      </c>
      <c r="P32" s="19">
        <v>0</v>
      </c>
      <c r="Q32" s="19">
        <v>0</v>
      </c>
      <c r="R32" s="19">
        <v>0</v>
      </c>
      <c r="S32" s="19">
        <f>1 - CUSTOS!$M$24</f>
        <v>1</v>
      </c>
      <c r="T32" s="19"/>
      <c r="U32" s="19">
        <f>TRANSICAO!$U$32*CUSTOS!$T$3</f>
        <v>32.226599999999998</v>
      </c>
      <c r="V32" s="19">
        <f>TRANSICAO!$V$32*CUSTOS!$T$3</f>
        <v>7.9466000000000001</v>
      </c>
      <c r="W32" s="19">
        <f>TRANSICAO!$W$32*CUSTOS!$T$3</f>
        <v>1.7806999999999999</v>
      </c>
      <c r="X32" s="19">
        <f>TRANSICAO!$X$32*CUSTOS!$T$3</f>
        <v>0</v>
      </c>
      <c r="Y32" s="19">
        <f>TRANSICAO!$Y$32*CUSTOS!$T$3</f>
        <v>0.74909999999999999</v>
      </c>
      <c r="Z32" s="19">
        <f>TRANSICAO!$Z$32*CUSTOS!$T$3</f>
        <v>0</v>
      </c>
      <c r="AA32" s="19">
        <f>TRANSICAO!$AA$32*CUSTOS!$T$3</f>
        <v>0</v>
      </c>
      <c r="AB32" s="19">
        <f>TRANSICAO!$AB$32*CUSTOS!$T$3</f>
        <v>0</v>
      </c>
      <c r="AC32" s="19">
        <f>TRANSICAO!$AC$32*CUSTOS!$T$3</f>
        <v>212.05609999999999</v>
      </c>
      <c r="AD32" s="19">
        <f>TRANSICAO!$AD$32*CUSTOS!$T$3</f>
        <v>0</v>
      </c>
      <c r="AE32" s="19">
        <v>0</v>
      </c>
      <c r="AF32" s="19">
        <v>0</v>
      </c>
      <c r="AG32" s="19"/>
      <c r="AH32" s="19">
        <f>(1 - CUSTOS!$M$24)*36.428</f>
        <v>36.427999999999997</v>
      </c>
      <c r="AI32" s="19">
        <f>(1 - CUSTOS!$M$24)*36.428</f>
        <v>36.427999999999997</v>
      </c>
      <c r="AJ32" s="19">
        <f ca="1">$N$76*(1-CUSTOS!$M$24)</f>
        <v>32.688096978879159</v>
      </c>
      <c r="AK32" s="19">
        <f t="shared" ca="1" si="0"/>
        <v>32.688096978879159</v>
      </c>
      <c r="AL32" s="19"/>
      <c r="AM32" s="19"/>
      <c r="AP32" s="19">
        <f>IF((1 - CUSTOS!$M$24)&lt;&gt;0,1/(1 - CUSTOS!$M$24),1)</f>
        <v>1</v>
      </c>
    </row>
    <row r="33" spans="1:42" ht="11.25" customHeight="1" x14ac:dyDescent="0.25">
      <c r="A33" s="136"/>
      <c r="B33" s="136"/>
      <c r="C33" s="136"/>
      <c r="D33" s="22" t="s">
        <v>30</v>
      </c>
      <c r="E33" s="22" t="s">
        <v>25</v>
      </c>
      <c r="F33" s="22" t="s">
        <v>25</v>
      </c>
      <c r="G33" s="21" t="s">
        <v>96</v>
      </c>
      <c r="H33" s="21" t="s">
        <v>90</v>
      </c>
      <c r="I33" s="21">
        <f>'MERCADO TUSD'!$U$30</f>
        <v>207428.35200000001</v>
      </c>
      <c r="J33" s="17"/>
      <c r="L33" s="19">
        <v>0</v>
      </c>
      <c r="M33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CUSTOS!$M$25)</f>
        <v>0.87712132573973334</v>
      </c>
      <c r="N33" s="19">
        <f ca="1">(+M33+O33+R33+U33+V33+W33+X33+Y33+Z33+AA33+AC33+AH33+AI33+AJ33+AK33)*CUSTOS!$M$5</f>
        <v>3.9486841528349808</v>
      </c>
      <c r="O33" s="19">
        <f>1 - CUSTOS!$M$25</f>
        <v>1</v>
      </c>
      <c r="P33" s="19">
        <v>0</v>
      </c>
      <c r="Q33" s="19">
        <v>0</v>
      </c>
      <c r="R33" s="19">
        <v>0</v>
      </c>
      <c r="S33" s="19">
        <f>1 - CUSTOS!$M$25</f>
        <v>1</v>
      </c>
      <c r="T33" s="19"/>
      <c r="U33" s="19">
        <f>TRANSICAO!$U$33*CUSTOS!$T$3</f>
        <v>32.226599999999998</v>
      </c>
      <c r="V33" s="19">
        <f>TRANSICAO!$V$33*CUSTOS!$T$3</f>
        <v>7.9466000000000001</v>
      </c>
      <c r="W33" s="19">
        <f>TRANSICAO!$W$33*CUSTOS!$T$3</f>
        <v>1.7806999999999999</v>
      </c>
      <c r="X33" s="19">
        <f>TRANSICAO!$X$33*CUSTOS!$T$3</f>
        <v>0</v>
      </c>
      <c r="Y33" s="19">
        <f>TRANSICAO!$Y$33*CUSTOS!$T$3</f>
        <v>0.74909999999999999</v>
      </c>
      <c r="Z33" s="19">
        <f>TRANSICAO!$Z$33*CUSTOS!$T$3</f>
        <v>0</v>
      </c>
      <c r="AA33" s="19">
        <f>TRANSICAO!$AA$33*CUSTOS!$T$3</f>
        <v>0</v>
      </c>
      <c r="AB33" s="19">
        <f>TRANSICAO!$AB$33*CUSTOS!$T$3</f>
        <v>0</v>
      </c>
      <c r="AC33" s="19">
        <f>TRANSICAO!$AC$33*CUSTOS!$T$3</f>
        <v>212.05609999999999</v>
      </c>
      <c r="AD33" s="19">
        <f>TRANSICAO!$AD$33*CUSTOS!$T$3</f>
        <v>0</v>
      </c>
      <c r="AE33" s="19">
        <v>0</v>
      </c>
      <c r="AF33" s="19">
        <v>0</v>
      </c>
      <c r="AG33" s="19"/>
      <c r="AH33" s="19">
        <f>(1 - CUSTOS!$M$25)*36.428</f>
        <v>36.427999999999997</v>
      </c>
      <c r="AI33" s="19">
        <f>(1 - CUSTOS!$M$25)*36.428</f>
        <v>36.427999999999997</v>
      </c>
      <c r="AJ33" s="19">
        <f ca="1">$N$76*(1-CUSTOS!$M$25)</f>
        <v>32.688096978879159</v>
      </c>
      <c r="AK33" s="19">
        <f t="shared" ca="1" si="0"/>
        <v>32.688096978879159</v>
      </c>
      <c r="AL33" s="19"/>
      <c r="AM33" s="19"/>
      <c r="AP33" s="19">
        <f>IF((1 - CUSTOS!$M$25)&lt;&gt;0,1/(1 - CUSTOS!$M$25),1)</f>
        <v>1</v>
      </c>
    </row>
    <row r="34" spans="1:42" ht="11.25" customHeight="1" x14ac:dyDescent="0.25">
      <c r="A34" s="136"/>
      <c r="B34" s="136"/>
      <c r="C34" s="136"/>
      <c r="D34" s="22" t="s">
        <v>31</v>
      </c>
      <c r="E34" s="22" t="s">
        <v>25</v>
      </c>
      <c r="F34" s="22" t="s">
        <v>25</v>
      </c>
      <c r="G34" s="21" t="s">
        <v>96</v>
      </c>
      <c r="H34" s="21" t="s">
        <v>90</v>
      </c>
      <c r="I34" s="21">
        <f>'MERCADO TUSD'!$U$31</f>
        <v>81316.453999999983</v>
      </c>
      <c r="J34" s="17"/>
      <c r="L34" s="19">
        <v>0</v>
      </c>
      <c r="M34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CUSTOS!$M$26)</f>
        <v>0.87712132573973334</v>
      </c>
      <c r="N34" s="19">
        <f ca="1">(+M34+O34+R34+U34+V34+W34+X34+Y34+Z34+AA34+AC34+AH34+AI34+AJ34+AK34)*CUSTOS!$M$5</f>
        <v>3.9486841528349808</v>
      </c>
      <c r="O34" s="19">
        <f>1 - CUSTOS!$M$26</f>
        <v>1</v>
      </c>
      <c r="P34" s="19">
        <v>0</v>
      </c>
      <c r="Q34" s="19">
        <v>0</v>
      </c>
      <c r="R34" s="19">
        <v>0</v>
      </c>
      <c r="S34" s="19">
        <f>1 - CUSTOS!$M$26</f>
        <v>1</v>
      </c>
      <c r="T34" s="19"/>
      <c r="U34" s="19">
        <f>TRANSICAO!$U$34*CUSTOS!$T$3</f>
        <v>32.226599999999998</v>
      </c>
      <c r="V34" s="19">
        <f>TRANSICAO!$V$34*CUSTOS!$T$3</f>
        <v>7.9466000000000001</v>
      </c>
      <c r="W34" s="19">
        <f>TRANSICAO!$W$34*CUSTOS!$T$3</f>
        <v>1.7806999999999999</v>
      </c>
      <c r="X34" s="19">
        <f>TRANSICAO!$X$34*CUSTOS!$T$3</f>
        <v>0</v>
      </c>
      <c r="Y34" s="19">
        <f>TRANSICAO!$Y$34*CUSTOS!$T$3</f>
        <v>0.74909999999999999</v>
      </c>
      <c r="Z34" s="19">
        <f>TRANSICAO!$Z$34*CUSTOS!$T$3</f>
        <v>0</v>
      </c>
      <c r="AA34" s="19">
        <f>TRANSICAO!$AA$34*CUSTOS!$T$3</f>
        <v>0</v>
      </c>
      <c r="AB34" s="19">
        <f>TRANSICAO!$AB$34*CUSTOS!$T$3</f>
        <v>0</v>
      </c>
      <c r="AC34" s="19">
        <f>TRANSICAO!$AC$34*CUSTOS!$T$3</f>
        <v>212.05609999999999</v>
      </c>
      <c r="AD34" s="19">
        <f>TRANSICAO!$AD$34*CUSTOS!$T$3</f>
        <v>0</v>
      </c>
      <c r="AE34" s="19">
        <v>0</v>
      </c>
      <c r="AF34" s="19">
        <v>0</v>
      </c>
      <c r="AG34" s="19"/>
      <c r="AH34" s="19">
        <f>(1 - CUSTOS!$M$26)*36.428</f>
        <v>36.427999999999997</v>
      </c>
      <c r="AI34" s="19">
        <f>(1 - CUSTOS!$M$26)*36.428</f>
        <v>36.427999999999997</v>
      </c>
      <c r="AJ34" s="19">
        <f ca="1">$N$76*(1-CUSTOS!$M$26)</f>
        <v>32.688096978879159</v>
      </c>
      <c r="AK34" s="19">
        <f t="shared" ca="1" si="0"/>
        <v>32.688096978879159</v>
      </c>
      <c r="AL34" s="19"/>
      <c r="AM34" s="19"/>
      <c r="AP34" s="19">
        <f>IF((1 - CUSTOS!$M$26)&lt;&gt;0,1/(1 - CUSTOS!$M$26),1)</f>
        <v>1</v>
      </c>
    </row>
    <row r="35" spans="1:42" ht="11.25" customHeight="1" x14ac:dyDescent="0.25">
      <c r="A35" s="136"/>
      <c r="B35" s="136"/>
      <c r="C35" s="136"/>
      <c r="D35" s="22" t="s">
        <v>32</v>
      </c>
      <c r="E35" s="22" t="s">
        <v>25</v>
      </c>
      <c r="F35" s="22" t="s">
        <v>25</v>
      </c>
      <c r="G35" s="21" t="s">
        <v>96</v>
      </c>
      <c r="H35" s="21" t="s">
        <v>90</v>
      </c>
      <c r="I35" s="21">
        <f>'MERCADO TUSD'!$U$32</f>
        <v>15947.552</v>
      </c>
      <c r="J35" s="17"/>
      <c r="L35" s="19">
        <v>0</v>
      </c>
      <c r="M35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CUSTOS!$M$27)</f>
        <v>0.87712132573973334</v>
      </c>
      <c r="N35" s="19">
        <f ca="1">(+M35+O35+R35+U35+V35+W35+X35+Y35+Z35+AA35+AC35+AH35+AI35+AJ35+AK35)*CUSTOS!$M$5</f>
        <v>3.9486841528349808</v>
      </c>
      <c r="O35" s="19">
        <f>1 - CUSTOS!$M$27</f>
        <v>1</v>
      </c>
      <c r="P35" s="19">
        <v>0</v>
      </c>
      <c r="Q35" s="19">
        <v>0</v>
      </c>
      <c r="R35" s="19">
        <v>0</v>
      </c>
      <c r="S35" s="19">
        <f>1 - CUSTOS!$M$27</f>
        <v>1</v>
      </c>
      <c r="T35" s="19"/>
      <c r="U35" s="19">
        <f>TRANSICAO!$U$35*CUSTOS!$T$3</f>
        <v>32.226599999999998</v>
      </c>
      <c r="V35" s="19">
        <f>TRANSICAO!$V$35*CUSTOS!$T$3</f>
        <v>7.9466000000000001</v>
      </c>
      <c r="W35" s="19">
        <f>TRANSICAO!$W$35*CUSTOS!$T$3</f>
        <v>1.7806999999999999</v>
      </c>
      <c r="X35" s="19">
        <f>TRANSICAO!$X$35*CUSTOS!$T$3</f>
        <v>0</v>
      </c>
      <c r="Y35" s="19">
        <f>TRANSICAO!$Y$35*CUSTOS!$T$3</f>
        <v>0.74909999999999999</v>
      </c>
      <c r="Z35" s="19">
        <f>TRANSICAO!$Z$35*CUSTOS!$T$3</f>
        <v>0</v>
      </c>
      <c r="AA35" s="19">
        <f>TRANSICAO!$AA$35*CUSTOS!$T$3</f>
        <v>0</v>
      </c>
      <c r="AB35" s="19">
        <f>TRANSICAO!$AB$35*CUSTOS!$T$3</f>
        <v>0</v>
      </c>
      <c r="AC35" s="19">
        <f>TRANSICAO!$AC$35*CUSTOS!$T$3</f>
        <v>212.05609999999999</v>
      </c>
      <c r="AD35" s="19">
        <f>TRANSICAO!$AD$35*CUSTOS!$T$3</f>
        <v>0</v>
      </c>
      <c r="AE35" s="19">
        <v>0</v>
      </c>
      <c r="AF35" s="19">
        <v>0</v>
      </c>
      <c r="AG35" s="19"/>
      <c r="AH35" s="19">
        <f>(1 - CUSTOS!$M$27)*36.428</f>
        <v>36.427999999999997</v>
      </c>
      <c r="AI35" s="19">
        <f>(1 - CUSTOS!$M$27)*36.428</f>
        <v>36.427999999999997</v>
      </c>
      <c r="AJ35" s="19">
        <f ca="1">$N$76*(1-CUSTOS!$M$27)</f>
        <v>32.688096978879159</v>
      </c>
      <c r="AK35" s="19">
        <f t="shared" ca="1" si="0"/>
        <v>32.688096978879159</v>
      </c>
      <c r="AL35" s="19"/>
      <c r="AM35" s="19"/>
      <c r="AP35" s="19">
        <f>IF((1 - CUSTOS!$M$27)&lt;&gt;0,1/(1 - CUSTOS!$M$27),1)</f>
        <v>1</v>
      </c>
    </row>
    <row r="36" spans="1:42" ht="11.25" customHeight="1" x14ac:dyDescent="0.25">
      <c r="A36" s="136"/>
      <c r="B36" s="136" t="s">
        <v>103</v>
      </c>
      <c r="C36" s="136" t="s">
        <v>24</v>
      </c>
      <c r="D36" s="22" t="s">
        <v>24</v>
      </c>
      <c r="E36" s="22" t="s">
        <v>25</v>
      </c>
      <c r="F36" s="22" t="s">
        <v>25</v>
      </c>
      <c r="G36" s="21" t="s">
        <v>96</v>
      </c>
      <c r="H36" s="21" t="s">
        <v>90</v>
      </c>
      <c r="I36" s="21">
        <f>'MERCADO TUSD'!$U$33</f>
        <v>0</v>
      </c>
      <c r="J36" s="17"/>
      <c r="L36" s="19">
        <f>1</f>
        <v>1</v>
      </c>
      <c r="M36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</f>
        <v>0.87712132573973334</v>
      </c>
      <c r="N36" s="19">
        <f ca="1">(+M36+O36+R36+U36+V36+W36+X36+Y36+Z36+AA36+AC36+AH36+AI36+AJ36+AK36)*CUSTOS!$M$5</f>
        <v>3.9586841528349805</v>
      </c>
      <c r="O36" s="19">
        <v>1</v>
      </c>
      <c r="P36" s="19">
        <v>1</v>
      </c>
      <c r="Q36" s="19">
        <f>1</f>
        <v>1</v>
      </c>
      <c r="R36" s="19">
        <v>1</v>
      </c>
      <c r="S36" s="19">
        <v>1</v>
      </c>
      <c r="T36" s="19"/>
      <c r="U36" s="19">
        <f>TRANSICAO!$U$36*CUSTOS!$T$3</f>
        <v>32.226599999999998</v>
      </c>
      <c r="V36" s="19">
        <f>TRANSICAO!$V$36*CUSTOS!$T$3</f>
        <v>7.9466000000000001</v>
      </c>
      <c r="W36" s="19">
        <f>TRANSICAO!$W$36*CUSTOS!$T$3</f>
        <v>1.7806999999999999</v>
      </c>
      <c r="X36" s="19">
        <f>TRANSICAO!$X$36*CUSTOS!$T$3</f>
        <v>0</v>
      </c>
      <c r="Y36" s="19">
        <f>TRANSICAO!$Y$36*CUSTOS!$T$3</f>
        <v>0.74909999999999999</v>
      </c>
      <c r="Z36" s="19">
        <f>TRANSICAO!$Z$36*CUSTOS!$T$3</f>
        <v>0</v>
      </c>
      <c r="AA36" s="19">
        <f>TRANSICAO!$AA$36*CUSTOS!$T$3</f>
        <v>0</v>
      </c>
      <c r="AB36" s="19">
        <f>TRANSICAO!$AB$36*CUSTOS!$T$3</f>
        <v>0</v>
      </c>
      <c r="AC36" s="19">
        <f>TRANSICAO!$AC$36*CUSTOS!$T$3</f>
        <v>212.05609999999999</v>
      </c>
      <c r="AD36" s="19">
        <f>TRANSICAO!$AD$36*CUSTOS!$T$3</f>
        <v>0</v>
      </c>
      <c r="AE36" s="19">
        <v>0</v>
      </c>
      <c r="AF36" s="19">
        <v>0</v>
      </c>
      <c r="AG36" s="19"/>
      <c r="AH36" s="19">
        <v>36.427999999999997</v>
      </c>
      <c r="AI36" s="19">
        <v>36.427999999999997</v>
      </c>
      <c r="AJ36" s="19">
        <f ca="1">$N$76</f>
        <v>32.688096978879159</v>
      </c>
      <c r="AK36" s="19">
        <f t="shared" ca="1" si="0"/>
        <v>32.688096978879159</v>
      </c>
      <c r="AL36" s="19"/>
      <c r="AM36" s="19"/>
      <c r="AP36" s="19">
        <v>1</v>
      </c>
    </row>
    <row r="37" spans="1:42" ht="11.25" customHeight="1" x14ac:dyDescent="0.25">
      <c r="A37" s="136"/>
      <c r="B37" s="136"/>
      <c r="C37" s="136"/>
      <c r="D37" s="22" t="s">
        <v>29</v>
      </c>
      <c r="E37" s="22" t="s">
        <v>25</v>
      </c>
      <c r="F37" s="22" t="s">
        <v>25</v>
      </c>
      <c r="G37" s="21" t="s">
        <v>96</v>
      </c>
      <c r="H37" s="21" t="s">
        <v>90</v>
      </c>
      <c r="I37" s="21">
        <f>'MERCADO TUSD'!$U$34</f>
        <v>0</v>
      </c>
      <c r="J37" s="17"/>
      <c r="L37" s="19">
        <v>0</v>
      </c>
      <c r="M37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CUSTOS!$M$24)</f>
        <v>0.87712132573973334</v>
      </c>
      <c r="N37" s="19">
        <f ca="1">(+M37+O37+R37+U37+V37+W37+X37+Y37+Z37+AA37+AC37+AH37+AI37+AJ37+AK37)*CUSTOS!$M$5</f>
        <v>3.9486841528349808</v>
      </c>
      <c r="O37" s="19">
        <f>1 - CUSTOS!$M$24</f>
        <v>1</v>
      </c>
      <c r="P37" s="19">
        <v>0</v>
      </c>
      <c r="Q37" s="19">
        <v>0</v>
      </c>
      <c r="R37" s="19">
        <v>0</v>
      </c>
      <c r="S37" s="19">
        <f>1 - CUSTOS!$M$24</f>
        <v>1</v>
      </c>
      <c r="T37" s="19"/>
      <c r="U37" s="19">
        <f>TRANSICAO!$U$37*CUSTOS!$T$3</f>
        <v>32.226599999999998</v>
      </c>
      <c r="V37" s="19">
        <f>TRANSICAO!$V$37*CUSTOS!$T$3</f>
        <v>7.9466000000000001</v>
      </c>
      <c r="W37" s="19">
        <f>TRANSICAO!$W$37*CUSTOS!$T$3</f>
        <v>1.7806999999999999</v>
      </c>
      <c r="X37" s="19">
        <f>TRANSICAO!$X$37*CUSTOS!$T$3</f>
        <v>0</v>
      </c>
      <c r="Y37" s="19">
        <f>TRANSICAO!$Y$37*CUSTOS!$T$3</f>
        <v>0.74909999999999999</v>
      </c>
      <c r="Z37" s="19">
        <f>TRANSICAO!$Z$37*CUSTOS!$T$3</f>
        <v>0</v>
      </c>
      <c r="AA37" s="19">
        <f>TRANSICAO!$AA$37*CUSTOS!$T$3</f>
        <v>0</v>
      </c>
      <c r="AB37" s="19">
        <f>TRANSICAO!$AB$37*CUSTOS!$T$3</f>
        <v>0</v>
      </c>
      <c r="AC37" s="19">
        <f>TRANSICAO!$AC$37*CUSTOS!$T$3</f>
        <v>212.05609999999999</v>
      </c>
      <c r="AD37" s="19">
        <f>TRANSICAO!$AD$37*CUSTOS!$T$3</f>
        <v>0</v>
      </c>
      <c r="AE37" s="19">
        <v>0</v>
      </c>
      <c r="AF37" s="19">
        <v>0</v>
      </c>
      <c r="AG37" s="19"/>
      <c r="AH37" s="19">
        <f>(1 - CUSTOS!$M$24)*36.428</f>
        <v>36.427999999999997</v>
      </c>
      <c r="AI37" s="19">
        <f>(1 - CUSTOS!$M$24)*36.428</f>
        <v>36.427999999999997</v>
      </c>
      <c r="AJ37" s="19">
        <f ca="1">$N$76*(1-CUSTOS!$M$24)</f>
        <v>32.688096978879159</v>
      </c>
      <c r="AK37" s="19">
        <f t="shared" ref="AK37:AK62" ca="1" si="1">AJ37</f>
        <v>32.688096978879159</v>
      </c>
      <c r="AL37" s="19"/>
      <c r="AM37" s="19"/>
      <c r="AP37" s="19">
        <f>IF((1 - CUSTOS!$M$24)&lt;&gt;0,1/(1 - CUSTOS!$M$24),1)</f>
        <v>1</v>
      </c>
    </row>
    <row r="38" spans="1:42" ht="11.25" customHeight="1" x14ac:dyDescent="0.25">
      <c r="A38" s="136"/>
      <c r="B38" s="136"/>
      <c r="C38" s="136"/>
      <c r="D38" s="22" t="s">
        <v>30</v>
      </c>
      <c r="E38" s="22" t="s">
        <v>25</v>
      </c>
      <c r="F38" s="22" t="s">
        <v>25</v>
      </c>
      <c r="G38" s="21" t="s">
        <v>96</v>
      </c>
      <c r="H38" s="21" t="s">
        <v>90</v>
      </c>
      <c r="I38" s="21">
        <f>'MERCADO TUSD'!$U$35</f>
        <v>0</v>
      </c>
      <c r="J38" s="17"/>
      <c r="L38" s="19">
        <v>0</v>
      </c>
      <c r="M38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CUSTOS!$M$25)</f>
        <v>0.87712132573973334</v>
      </c>
      <c r="N38" s="19">
        <f ca="1">(+M38+O38+R38+U38+V38+W38+X38+Y38+Z38+AA38+AC38+AH38+AI38+AJ38+AK38)*CUSTOS!$M$5</f>
        <v>3.9486841528349808</v>
      </c>
      <c r="O38" s="19">
        <f>1 - CUSTOS!$M$25</f>
        <v>1</v>
      </c>
      <c r="P38" s="19">
        <v>0</v>
      </c>
      <c r="Q38" s="19">
        <v>0</v>
      </c>
      <c r="R38" s="19">
        <v>0</v>
      </c>
      <c r="S38" s="19">
        <f>1 - CUSTOS!$M$25</f>
        <v>1</v>
      </c>
      <c r="T38" s="19"/>
      <c r="U38" s="19">
        <f>TRANSICAO!$U$38*CUSTOS!$T$3</f>
        <v>32.226599999999998</v>
      </c>
      <c r="V38" s="19">
        <f>TRANSICAO!$V$38*CUSTOS!$T$3</f>
        <v>7.9466000000000001</v>
      </c>
      <c r="W38" s="19">
        <f>TRANSICAO!$W$38*CUSTOS!$T$3</f>
        <v>1.7806999999999999</v>
      </c>
      <c r="X38" s="19">
        <f>TRANSICAO!$X$38*CUSTOS!$T$3</f>
        <v>0</v>
      </c>
      <c r="Y38" s="19">
        <f>TRANSICAO!$Y$38*CUSTOS!$T$3</f>
        <v>0.74909999999999999</v>
      </c>
      <c r="Z38" s="19">
        <f>TRANSICAO!$Z$38*CUSTOS!$T$3</f>
        <v>0</v>
      </c>
      <c r="AA38" s="19">
        <f>TRANSICAO!$AA$38*CUSTOS!$T$3</f>
        <v>0</v>
      </c>
      <c r="AB38" s="19">
        <f>TRANSICAO!$AB$38*CUSTOS!$T$3</f>
        <v>0</v>
      </c>
      <c r="AC38" s="19">
        <f>TRANSICAO!$AC$38*CUSTOS!$T$3</f>
        <v>212.05609999999999</v>
      </c>
      <c r="AD38" s="19">
        <f>TRANSICAO!$AD$38*CUSTOS!$T$3</f>
        <v>0</v>
      </c>
      <c r="AE38" s="19">
        <v>0</v>
      </c>
      <c r="AF38" s="19">
        <v>0</v>
      </c>
      <c r="AG38" s="19"/>
      <c r="AH38" s="19">
        <f>(1 - CUSTOS!$M$25)*36.428</f>
        <v>36.427999999999997</v>
      </c>
      <c r="AI38" s="19">
        <f>(1 - CUSTOS!$M$25)*36.428</f>
        <v>36.427999999999997</v>
      </c>
      <c r="AJ38" s="19">
        <f ca="1">$N$76*(1-CUSTOS!$M$25)</f>
        <v>32.688096978879159</v>
      </c>
      <c r="AK38" s="19">
        <f t="shared" ca="1" si="1"/>
        <v>32.688096978879159</v>
      </c>
      <c r="AL38" s="19"/>
      <c r="AM38" s="19"/>
      <c r="AP38" s="19">
        <f>IF((1 - CUSTOS!$M$25)&lt;&gt;0,1/(1 - CUSTOS!$M$25),1)</f>
        <v>1</v>
      </c>
    </row>
    <row r="39" spans="1:42" ht="11.25" customHeight="1" x14ac:dyDescent="0.25">
      <c r="A39" s="136"/>
      <c r="B39" s="136"/>
      <c r="C39" s="136"/>
      <c r="D39" s="22" t="s">
        <v>31</v>
      </c>
      <c r="E39" s="22" t="s">
        <v>25</v>
      </c>
      <c r="F39" s="22" t="s">
        <v>25</v>
      </c>
      <c r="G39" s="21" t="s">
        <v>96</v>
      </c>
      <c r="H39" s="21" t="s">
        <v>90</v>
      </c>
      <c r="I39" s="21">
        <f>'MERCADO TUSD'!$U$36</f>
        <v>0</v>
      </c>
      <c r="J39" s="17"/>
      <c r="L39" s="19">
        <v>0</v>
      </c>
      <c r="M39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CUSTOS!$M$26)</f>
        <v>0.87712132573973334</v>
      </c>
      <c r="N39" s="19">
        <f ca="1">(+M39+O39+R39+U39+V39+W39+X39+Y39+Z39+AA39+AC39+AH39+AI39+AJ39+AK39)*CUSTOS!$M$5</f>
        <v>3.9486841528349808</v>
      </c>
      <c r="O39" s="19">
        <f>1 - CUSTOS!$M$26</f>
        <v>1</v>
      </c>
      <c r="P39" s="19">
        <v>0</v>
      </c>
      <c r="Q39" s="19">
        <v>0</v>
      </c>
      <c r="R39" s="19">
        <v>0</v>
      </c>
      <c r="S39" s="19">
        <f>1 - CUSTOS!$M$26</f>
        <v>1</v>
      </c>
      <c r="T39" s="19"/>
      <c r="U39" s="19">
        <f>TRANSICAO!$U$39*CUSTOS!$T$3</f>
        <v>32.226599999999998</v>
      </c>
      <c r="V39" s="19">
        <f>TRANSICAO!$V$39*CUSTOS!$T$3</f>
        <v>7.9466000000000001</v>
      </c>
      <c r="W39" s="19">
        <f>TRANSICAO!$W$39*CUSTOS!$T$3</f>
        <v>1.7806999999999999</v>
      </c>
      <c r="X39" s="19">
        <f>TRANSICAO!$X$39*CUSTOS!$T$3</f>
        <v>0</v>
      </c>
      <c r="Y39" s="19">
        <f>TRANSICAO!$Y$39*CUSTOS!$T$3</f>
        <v>0.74909999999999999</v>
      </c>
      <c r="Z39" s="19">
        <f>TRANSICAO!$Z$39*CUSTOS!$T$3</f>
        <v>0</v>
      </c>
      <c r="AA39" s="19">
        <f>TRANSICAO!$AA$39*CUSTOS!$T$3</f>
        <v>0</v>
      </c>
      <c r="AB39" s="19">
        <f>TRANSICAO!$AB$39*CUSTOS!$T$3</f>
        <v>0</v>
      </c>
      <c r="AC39" s="19">
        <f>TRANSICAO!$AC$39*CUSTOS!$T$3</f>
        <v>212.05609999999999</v>
      </c>
      <c r="AD39" s="19">
        <f>TRANSICAO!$AD$39*CUSTOS!$T$3</f>
        <v>0</v>
      </c>
      <c r="AE39" s="19">
        <v>0</v>
      </c>
      <c r="AF39" s="19">
        <v>0</v>
      </c>
      <c r="AG39" s="19"/>
      <c r="AH39" s="19">
        <f>(1 - CUSTOS!$M$26)*36.428</f>
        <v>36.427999999999997</v>
      </c>
      <c r="AI39" s="19">
        <f>(1 - CUSTOS!$M$26)*36.428</f>
        <v>36.427999999999997</v>
      </c>
      <c r="AJ39" s="19">
        <f ca="1">$N$76*(1-CUSTOS!$M$26)</f>
        <v>32.688096978879159</v>
      </c>
      <c r="AK39" s="19">
        <f t="shared" ca="1" si="1"/>
        <v>32.688096978879159</v>
      </c>
      <c r="AL39" s="19"/>
      <c r="AM39" s="19"/>
      <c r="AP39" s="19">
        <f>IF((1 - CUSTOS!$M$26)&lt;&gt;0,1/(1 - CUSTOS!$M$26),1)</f>
        <v>1</v>
      </c>
    </row>
    <row r="40" spans="1:42" ht="11.25" customHeight="1" x14ac:dyDescent="0.25">
      <c r="A40" s="136"/>
      <c r="B40" s="136"/>
      <c r="C40" s="136"/>
      <c r="D40" s="22" t="s">
        <v>32</v>
      </c>
      <c r="E40" s="22" t="s">
        <v>25</v>
      </c>
      <c r="F40" s="22" t="s">
        <v>25</v>
      </c>
      <c r="G40" s="21" t="s">
        <v>96</v>
      </c>
      <c r="H40" s="21" t="s">
        <v>90</v>
      </c>
      <c r="I40" s="21">
        <f>'MERCADO TUSD'!$U$37</f>
        <v>0</v>
      </c>
      <c r="J40" s="17"/>
      <c r="L40" s="19">
        <v>0</v>
      </c>
      <c r="M40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CUSTOS!$M$27)</f>
        <v>0.87712132573973334</v>
      </c>
      <c r="N40" s="19">
        <f ca="1">(+M40+O40+R40+U40+V40+W40+X40+Y40+Z40+AA40+AC40+AH40+AI40+AJ40+AK40)*CUSTOS!$M$5</f>
        <v>3.9486841528349808</v>
      </c>
      <c r="O40" s="19">
        <f>1 - CUSTOS!$M$27</f>
        <v>1</v>
      </c>
      <c r="P40" s="19">
        <v>0</v>
      </c>
      <c r="Q40" s="19">
        <v>0</v>
      </c>
      <c r="R40" s="19">
        <v>0</v>
      </c>
      <c r="S40" s="19">
        <f>1 - CUSTOS!$M$27</f>
        <v>1</v>
      </c>
      <c r="T40" s="19"/>
      <c r="U40" s="19">
        <f>TRANSICAO!$U$40*CUSTOS!$T$3</f>
        <v>32.226599999999998</v>
      </c>
      <c r="V40" s="19">
        <f>TRANSICAO!$V$40*CUSTOS!$T$3</f>
        <v>7.9466000000000001</v>
      </c>
      <c r="W40" s="19">
        <f>TRANSICAO!$W$40*CUSTOS!$T$3</f>
        <v>1.7806999999999999</v>
      </c>
      <c r="X40" s="19">
        <f>TRANSICAO!$X$40*CUSTOS!$T$3</f>
        <v>0</v>
      </c>
      <c r="Y40" s="19">
        <f>TRANSICAO!$Y$40*CUSTOS!$T$3</f>
        <v>0.74909999999999999</v>
      </c>
      <c r="Z40" s="19">
        <f>TRANSICAO!$Z$40*CUSTOS!$T$3</f>
        <v>0</v>
      </c>
      <c r="AA40" s="19">
        <f>TRANSICAO!$AA$40*CUSTOS!$T$3</f>
        <v>0</v>
      </c>
      <c r="AB40" s="19">
        <f>TRANSICAO!$AB$40*CUSTOS!$T$3</f>
        <v>0</v>
      </c>
      <c r="AC40" s="19">
        <f>TRANSICAO!$AC$40*CUSTOS!$T$3</f>
        <v>212.05609999999999</v>
      </c>
      <c r="AD40" s="19">
        <f>TRANSICAO!$AD$40*CUSTOS!$T$3</f>
        <v>0</v>
      </c>
      <c r="AE40" s="19">
        <v>0</v>
      </c>
      <c r="AF40" s="19">
        <v>0</v>
      </c>
      <c r="AG40" s="19"/>
      <c r="AH40" s="19">
        <f>(1 - CUSTOS!$M$27)*36.428</f>
        <v>36.427999999999997</v>
      </c>
      <c r="AI40" s="19">
        <f>(1 - CUSTOS!$M$27)*36.428</f>
        <v>36.427999999999997</v>
      </c>
      <c r="AJ40" s="19">
        <f ca="1">$N$76*(1-CUSTOS!$M$27)</f>
        <v>32.688096978879159</v>
      </c>
      <c r="AK40" s="19">
        <f t="shared" ca="1" si="1"/>
        <v>32.688096978879159</v>
      </c>
      <c r="AL40" s="19"/>
      <c r="AM40" s="19"/>
      <c r="AP40" s="19">
        <f>IF((1 - CUSTOS!$M$27)&lt;&gt;0,1/(1 - CUSTOS!$M$27),1)</f>
        <v>1</v>
      </c>
    </row>
    <row r="41" spans="1:42" ht="11.25" customHeight="1" x14ac:dyDescent="0.25">
      <c r="A41" s="136" t="s">
        <v>44</v>
      </c>
      <c r="B41" s="136" t="s">
        <v>37</v>
      </c>
      <c r="C41" s="136" t="s">
        <v>45</v>
      </c>
      <c r="D41" s="136" t="s">
        <v>25</v>
      </c>
      <c r="E41" s="136" t="s">
        <v>25</v>
      </c>
      <c r="F41" s="136" t="s">
        <v>25</v>
      </c>
      <c r="G41" s="21" t="s">
        <v>91</v>
      </c>
      <c r="H41" s="21" t="s">
        <v>90</v>
      </c>
      <c r="I41" s="21">
        <f>'MERCADO TUSD'!$U$38</f>
        <v>3.0000000000000001E-3</v>
      </c>
      <c r="J41" s="17"/>
      <c r="L41" s="19">
        <f>1*(1 - CUSTOS!$M$28)</f>
        <v>1</v>
      </c>
      <c r="M41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CUSTOS!$M$28)</f>
        <v>0.87712132573973334</v>
      </c>
      <c r="N41" s="19">
        <f ca="1">(+M41+O41+R41+U41+V41+W41+X41+Y41+Z41+AA41+AC41+AH41+AI41+AJ41+AK41)*CUSTOS!$M$5</f>
        <v>9.8181461528349807</v>
      </c>
      <c r="O41" s="19">
        <f>1 - CUSTOS!$M$28</f>
        <v>1</v>
      </c>
      <c r="P41" s="19">
        <f>1 - CUSTOS!$M$28</f>
        <v>1</v>
      </c>
      <c r="Q41" s="19">
        <f>1*(1 - CUSTOS!$M$28)</f>
        <v>1</v>
      </c>
      <c r="R41" s="19">
        <f>1 - CUSTOS!$M$28</f>
        <v>1</v>
      </c>
      <c r="S41" s="19">
        <f>1 - CUSTOS!$M$28</f>
        <v>1</v>
      </c>
      <c r="T41" s="19"/>
      <c r="U41" s="19">
        <f>TRANSICAO!$U$41*CUSTOS!$T$3</f>
        <v>106.34780000000001</v>
      </c>
      <c r="V41" s="19">
        <f>TRANSICAO!$V$41*CUSTOS!$T$3</f>
        <v>26.223800000000001</v>
      </c>
      <c r="W41" s="19">
        <f>TRANSICAO!$W$41*CUSTOS!$T$3</f>
        <v>5.8764000000000003</v>
      </c>
      <c r="X41" s="19">
        <f>TRANSICAO!$X$41*CUSTOS!$T$3</f>
        <v>0</v>
      </c>
      <c r="Y41" s="19">
        <f>TRANSICAO!$Y$41*CUSTOS!$T$3</f>
        <v>2.4721000000000002</v>
      </c>
      <c r="Z41" s="19">
        <f>TRANSICAO!$Z$41*CUSTOS!$T$3</f>
        <v>0</v>
      </c>
      <c r="AA41" s="19">
        <f>TRANSICAO!$AA$41*CUSTOS!$T$3</f>
        <v>0</v>
      </c>
      <c r="AB41" s="19">
        <f>TRANSICAO!$AB$41*CUSTOS!$T$3</f>
        <v>0</v>
      </c>
      <c r="AC41" s="19">
        <f>TRANSICAO!$AC$41*CUSTOS!$T$3</f>
        <v>699.78520000000003</v>
      </c>
      <c r="AD41" s="19">
        <f>TRANSICAO!$AD$41*CUSTOS!$T$3</f>
        <v>0</v>
      </c>
      <c r="AE41" s="19">
        <v>0</v>
      </c>
      <c r="AF41" s="19">
        <v>0</v>
      </c>
      <c r="AG41" s="19"/>
      <c r="AH41" s="19">
        <f>(1 - CUSTOS!$M$28)*36.428</f>
        <v>36.427999999999997</v>
      </c>
      <c r="AI41" s="19">
        <f>(1 - CUSTOS!$M$28)*36.428</f>
        <v>36.427999999999997</v>
      </c>
      <c r="AJ41" s="19">
        <f ca="1">$N$76*(1-CUSTOS!$M$28)</f>
        <v>32.688096978879159</v>
      </c>
      <c r="AK41" s="19">
        <f t="shared" ca="1" si="1"/>
        <v>32.688096978879159</v>
      </c>
      <c r="AL41" s="19"/>
      <c r="AM41" s="19"/>
      <c r="AP41" s="19">
        <f>IF((1 - CUSTOS!$M$28)&lt;&gt;0,1/(1 - CUSTOS!$M$28),1)</f>
        <v>1</v>
      </c>
    </row>
    <row r="42" spans="1:42" ht="11.25" customHeight="1" x14ac:dyDescent="0.25">
      <c r="A42" s="136"/>
      <c r="B42" s="136"/>
      <c r="C42" s="136"/>
      <c r="D42" s="136"/>
      <c r="E42" s="136"/>
      <c r="F42" s="136"/>
      <c r="G42" s="21" t="s">
        <v>101</v>
      </c>
      <c r="H42" s="21" t="s">
        <v>90</v>
      </c>
      <c r="I42" s="21">
        <f>'MERCADO TUSD'!$U$39</f>
        <v>3.1E-2</v>
      </c>
      <c r="J42" s="17"/>
      <c r="L42" s="19">
        <f>1*(1 - CUSTOS!$M$28)</f>
        <v>1</v>
      </c>
      <c r="M42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CUSTOS!$M$28)</f>
        <v>0.87712132573973334</v>
      </c>
      <c r="N42" s="19">
        <f ca="1">(+M42+O42+R42+U42+V42+W42+X42+Y42+Z42+AA42+AC42+AH42+AI42+AJ42+AK42)*CUSTOS!$M$5</f>
        <v>6.4553261528349797</v>
      </c>
      <c r="O42" s="19">
        <f>1 - CUSTOS!$M$28</f>
        <v>1</v>
      </c>
      <c r="P42" s="19">
        <f>1 - CUSTOS!$M$28</f>
        <v>1</v>
      </c>
      <c r="Q42" s="19">
        <f>1*(1 - CUSTOS!$M$28)</f>
        <v>1</v>
      </c>
      <c r="R42" s="19">
        <f>1 - CUSTOS!$M$28</f>
        <v>1</v>
      </c>
      <c r="S42" s="19">
        <f>1 - CUSTOS!$M$28</f>
        <v>1</v>
      </c>
      <c r="T42" s="19"/>
      <c r="U42" s="19">
        <f>TRANSICAO!$U$42*CUSTOS!$T$3</f>
        <v>63.808700000000002</v>
      </c>
      <c r="V42" s="19">
        <f>TRANSICAO!$V$42*CUSTOS!$T$3</f>
        <v>15.734299999999999</v>
      </c>
      <c r="W42" s="19">
        <f>TRANSICAO!$W$42*CUSTOS!$T$3</f>
        <v>3.5259</v>
      </c>
      <c r="X42" s="19">
        <f>TRANSICAO!$X$42*CUSTOS!$T$3</f>
        <v>0</v>
      </c>
      <c r="Y42" s="19">
        <f>TRANSICAO!$Y$42*CUSTOS!$T$3</f>
        <v>1.4833000000000001</v>
      </c>
      <c r="Z42" s="19">
        <f>TRANSICAO!$Z$42*CUSTOS!$T$3</f>
        <v>0</v>
      </c>
      <c r="AA42" s="19">
        <f>TRANSICAO!$AA$42*CUSTOS!$T$3</f>
        <v>0</v>
      </c>
      <c r="AB42" s="19">
        <f>TRANSICAO!$AB$42*CUSTOS!$T$3</f>
        <v>0</v>
      </c>
      <c r="AC42" s="19">
        <f>TRANSICAO!$AC$42*CUSTOS!$T$3</f>
        <v>419.87110000000001</v>
      </c>
      <c r="AD42" s="19">
        <f>TRANSICAO!$AD$42*CUSTOS!$T$3</f>
        <v>0</v>
      </c>
      <c r="AE42" s="19">
        <v>0</v>
      </c>
      <c r="AF42" s="19">
        <v>0</v>
      </c>
      <c r="AG42" s="19"/>
      <c r="AH42" s="19">
        <f>(1 - CUSTOS!$M$28)*36.428</f>
        <v>36.427999999999997</v>
      </c>
      <c r="AI42" s="19">
        <f>(1 - CUSTOS!$M$28)*36.428</f>
        <v>36.427999999999997</v>
      </c>
      <c r="AJ42" s="19">
        <f ca="1">$N$76*(1-CUSTOS!$M$28)</f>
        <v>32.688096978879159</v>
      </c>
      <c r="AK42" s="19">
        <f t="shared" ca="1" si="1"/>
        <v>32.688096978879159</v>
      </c>
      <c r="AL42" s="19"/>
      <c r="AM42" s="19"/>
      <c r="AP42" s="19">
        <f>IF((1 - CUSTOS!$M$28)&lt;&gt;0,1/(1 - CUSTOS!$M$28),1)</f>
        <v>1</v>
      </c>
    </row>
    <row r="43" spans="1:42" ht="11.25" customHeight="1" x14ac:dyDescent="0.25">
      <c r="A43" s="136"/>
      <c r="B43" s="136"/>
      <c r="C43" s="136"/>
      <c r="D43" s="136"/>
      <c r="E43" s="136"/>
      <c r="F43" s="136"/>
      <c r="G43" s="21" t="s">
        <v>92</v>
      </c>
      <c r="H43" s="21" t="s">
        <v>90</v>
      </c>
      <c r="I43" s="21">
        <f>'MERCADO TUSD'!$U$40</f>
        <v>8.956999999999999</v>
      </c>
      <c r="J43" s="17"/>
      <c r="L43" s="19">
        <f>1*(1 - CUSTOS!$M$28)</f>
        <v>1</v>
      </c>
      <c r="M43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CUSTOS!$M$28)</f>
        <v>0.87712132573973334</v>
      </c>
      <c r="N43" s="19">
        <f ca="1">(+M43+O43+R43+U43+V43+W43+X43+Y43+Z43+AA43+AC43+AH43+AI43+AJ43+AK43)*CUSTOS!$M$5</f>
        <v>3.0925041528349806</v>
      </c>
      <c r="O43" s="19">
        <f>1 - CUSTOS!$M$28</f>
        <v>1</v>
      </c>
      <c r="P43" s="19">
        <f>1 - CUSTOS!$M$28</f>
        <v>1</v>
      </c>
      <c r="Q43" s="19">
        <f>1*(1 - CUSTOS!$M$28)</f>
        <v>1</v>
      </c>
      <c r="R43" s="19">
        <f>1 - CUSTOS!$M$28</f>
        <v>1</v>
      </c>
      <c r="S43" s="19">
        <f>1 - CUSTOS!$M$28</f>
        <v>1</v>
      </c>
      <c r="T43" s="19"/>
      <c r="U43" s="19">
        <f>TRANSICAO!$U$43*CUSTOS!$T$3</f>
        <v>21.269600000000001</v>
      </c>
      <c r="V43" s="19">
        <f>TRANSICAO!$V$43*CUSTOS!$T$3</f>
        <v>5.2447999999999997</v>
      </c>
      <c r="W43" s="19">
        <f>TRANSICAO!$W$43*CUSTOS!$T$3</f>
        <v>1.1753</v>
      </c>
      <c r="X43" s="19">
        <f>TRANSICAO!$X$43*CUSTOS!$T$3</f>
        <v>0</v>
      </c>
      <c r="Y43" s="19">
        <f>TRANSICAO!$Y$43*CUSTOS!$T$3</f>
        <v>0.49440000000000001</v>
      </c>
      <c r="Z43" s="19">
        <f>TRANSICAO!$Z$43*CUSTOS!$T$3</f>
        <v>0</v>
      </c>
      <c r="AA43" s="19">
        <f>TRANSICAO!$AA$43*CUSTOS!$T$3</f>
        <v>0</v>
      </c>
      <c r="AB43" s="19">
        <f>TRANSICAO!$AB$43*CUSTOS!$T$3</f>
        <v>0</v>
      </c>
      <c r="AC43" s="19">
        <f>TRANSICAO!$AC$43*CUSTOS!$T$3</f>
        <v>139.95699999999999</v>
      </c>
      <c r="AD43" s="19">
        <f>TRANSICAO!$AD$43*CUSTOS!$T$3</f>
        <v>0</v>
      </c>
      <c r="AE43" s="19">
        <v>0</v>
      </c>
      <c r="AF43" s="19">
        <v>0</v>
      </c>
      <c r="AG43" s="19"/>
      <c r="AH43" s="19">
        <f>(1 - CUSTOS!$M$28)*36.428</f>
        <v>36.427999999999997</v>
      </c>
      <c r="AI43" s="19">
        <f>(1 - CUSTOS!$M$28)*36.428</f>
        <v>36.427999999999997</v>
      </c>
      <c r="AJ43" s="19">
        <f ca="1">$N$76*(1-CUSTOS!$M$28)</f>
        <v>32.688096978879159</v>
      </c>
      <c r="AK43" s="19">
        <f t="shared" ca="1" si="1"/>
        <v>32.688096978879159</v>
      </c>
      <c r="AL43" s="19"/>
      <c r="AM43" s="19"/>
      <c r="AP43" s="19">
        <f>IF((1 - CUSTOS!$M$28)&lt;&gt;0,1/(1 - CUSTOS!$M$28),1)</f>
        <v>1</v>
      </c>
    </row>
    <row r="44" spans="1:42" ht="11.25" customHeight="1" x14ac:dyDescent="0.25">
      <c r="A44" s="136"/>
      <c r="B44" s="22" t="s">
        <v>23</v>
      </c>
      <c r="C44" s="22" t="s">
        <v>45</v>
      </c>
      <c r="D44" s="22" t="s">
        <v>25</v>
      </c>
      <c r="E44" s="22" t="s">
        <v>25</v>
      </c>
      <c r="F44" s="22" t="s">
        <v>25</v>
      </c>
      <c r="G44" s="21" t="s">
        <v>96</v>
      </c>
      <c r="H44" s="21" t="s">
        <v>90</v>
      </c>
      <c r="I44" s="21">
        <f>'MERCADO TUSD'!$U$41</f>
        <v>60904.316999999995</v>
      </c>
      <c r="J44" s="17"/>
      <c r="L44" s="19">
        <f>1*(1 - CUSTOS!$M$28)</f>
        <v>1</v>
      </c>
      <c r="M44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CUSTOS!$M$28)</f>
        <v>0.87712132573973334</v>
      </c>
      <c r="N44" s="19">
        <f ca="1">(+M44+O44+R44+U44+V44+W44+X44+Y44+Z44+AA44+AC44+AH44+AI44+AJ44+AK44)*CUSTOS!$M$5</f>
        <v>3.9586841528349805</v>
      </c>
      <c r="O44" s="19">
        <f>1 - CUSTOS!$M$28</f>
        <v>1</v>
      </c>
      <c r="P44" s="19">
        <f>1 - CUSTOS!$M$28</f>
        <v>1</v>
      </c>
      <c r="Q44" s="19">
        <f>1*(1 - CUSTOS!$M$28)</f>
        <v>1</v>
      </c>
      <c r="R44" s="19">
        <f>1 - CUSTOS!$M$28</f>
        <v>1</v>
      </c>
      <c r="S44" s="19">
        <f>1 - CUSTOS!$M$28</f>
        <v>1</v>
      </c>
      <c r="T44" s="19"/>
      <c r="U44" s="19">
        <f>TRANSICAO!$U$44*CUSTOS!$T$3</f>
        <v>32.226599999999998</v>
      </c>
      <c r="V44" s="19">
        <f>TRANSICAO!$V$44*CUSTOS!$T$3</f>
        <v>7.9466000000000001</v>
      </c>
      <c r="W44" s="19">
        <f>TRANSICAO!$W$44*CUSTOS!$T$3</f>
        <v>1.7806999999999999</v>
      </c>
      <c r="X44" s="19">
        <f>TRANSICAO!$X$44*CUSTOS!$T$3</f>
        <v>0</v>
      </c>
      <c r="Y44" s="19">
        <f>TRANSICAO!$Y$44*CUSTOS!$T$3</f>
        <v>0.74909999999999999</v>
      </c>
      <c r="Z44" s="19">
        <f>TRANSICAO!$Z$44*CUSTOS!$T$3</f>
        <v>0</v>
      </c>
      <c r="AA44" s="19">
        <f>TRANSICAO!$AA$44*CUSTOS!$T$3</f>
        <v>0</v>
      </c>
      <c r="AB44" s="19">
        <f>TRANSICAO!$AB$44*CUSTOS!$T$3</f>
        <v>0</v>
      </c>
      <c r="AC44" s="19">
        <f>TRANSICAO!$AC$44*CUSTOS!$T$3</f>
        <v>212.05609999999999</v>
      </c>
      <c r="AD44" s="19">
        <f>TRANSICAO!$AD$44*CUSTOS!$T$3</f>
        <v>0</v>
      </c>
      <c r="AE44" s="19">
        <v>0</v>
      </c>
      <c r="AF44" s="19">
        <v>0</v>
      </c>
      <c r="AG44" s="19"/>
      <c r="AH44" s="19">
        <f>(1 - CUSTOS!$M$28)*36.428</f>
        <v>36.427999999999997</v>
      </c>
      <c r="AI44" s="19">
        <f>(1 - CUSTOS!$M$28)*36.428</f>
        <v>36.427999999999997</v>
      </c>
      <c r="AJ44" s="19">
        <f ca="1">$N$76*(1-CUSTOS!$M$28)</f>
        <v>32.688096978879159</v>
      </c>
      <c r="AK44" s="19">
        <f t="shared" ca="1" si="1"/>
        <v>32.688096978879159</v>
      </c>
      <c r="AL44" s="19"/>
      <c r="AM44" s="19"/>
      <c r="AP44" s="19">
        <f>IF((1 - CUSTOS!$M$28)&lt;&gt;0,1/(1 - CUSTOS!$M$28),1)</f>
        <v>1</v>
      </c>
    </row>
    <row r="45" spans="1:42" ht="11.25" customHeight="1" x14ac:dyDescent="0.25">
      <c r="A45" s="136"/>
      <c r="B45" s="136" t="s">
        <v>37</v>
      </c>
      <c r="C45" s="136" t="s">
        <v>45</v>
      </c>
      <c r="D45" s="136" t="s">
        <v>104</v>
      </c>
      <c r="E45" s="136" t="s">
        <v>25</v>
      </c>
      <c r="F45" s="136" t="s">
        <v>25</v>
      </c>
      <c r="G45" s="21" t="s">
        <v>91</v>
      </c>
      <c r="H45" s="21" t="s">
        <v>90</v>
      </c>
      <c r="I45" s="21">
        <f>'MERCADO TUSD'!$U$42</f>
        <v>0</v>
      </c>
      <c r="J45" s="17"/>
      <c r="L45" s="19">
        <f>1*(1 - CUSTOS!$M$29)</f>
        <v>1</v>
      </c>
      <c r="M45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CUSTOS!$M$29)</f>
        <v>0.87712132573973334</v>
      </c>
      <c r="N45" s="19">
        <f ca="1">(+M45+O45+R45+U45+V45+W45+X45+Y45+Z45+AA45+AC45+AH45+AI45+AJ45+AK45)*CUSTOS!$M$5</f>
        <v>9.8181461528349807</v>
      </c>
      <c r="O45" s="19">
        <f>1 - CUSTOS!$M$29</f>
        <v>1</v>
      </c>
      <c r="P45" s="19">
        <f>1 - CUSTOS!$M$29</f>
        <v>1</v>
      </c>
      <c r="Q45" s="19">
        <f>1*(1 - CUSTOS!$M$29)</f>
        <v>1</v>
      </c>
      <c r="R45" s="19">
        <f>1 - CUSTOS!$M$29</f>
        <v>1</v>
      </c>
      <c r="S45" s="19">
        <f>1 - CUSTOS!$M$29</f>
        <v>1</v>
      </c>
      <c r="T45" s="19"/>
      <c r="U45" s="19">
        <f>TRANSICAO!$U$45*CUSTOS!$T$3</f>
        <v>106.34780000000001</v>
      </c>
      <c r="V45" s="19">
        <f>TRANSICAO!$V$45*CUSTOS!$T$3</f>
        <v>26.223800000000001</v>
      </c>
      <c r="W45" s="19">
        <f>TRANSICAO!$W$45*CUSTOS!$T$3</f>
        <v>5.8764000000000003</v>
      </c>
      <c r="X45" s="19">
        <f>TRANSICAO!$X$45*CUSTOS!$T$3</f>
        <v>0</v>
      </c>
      <c r="Y45" s="19">
        <f>TRANSICAO!$Y$45*CUSTOS!$T$3</f>
        <v>2.4721000000000002</v>
      </c>
      <c r="Z45" s="19">
        <f>TRANSICAO!$Z$45*CUSTOS!$T$3</f>
        <v>0</v>
      </c>
      <c r="AA45" s="19">
        <f>TRANSICAO!$AA$45*CUSTOS!$T$3</f>
        <v>0</v>
      </c>
      <c r="AB45" s="19">
        <f>TRANSICAO!$AB$45*CUSTOS!$T$3</f>
        <v>0</v>
      </c>
      <c r="AC45" s="19">
        <f>TRANSICAO!$AC$45*CUSTOS!$T$3</f>
        <v>699.78520000000003</v>
      </c>
      <c r="AD45" s="19">
        <f>TRANSICAO!$AD$45*CUSTOS!$T$3</f>
        <v>0</v>
      </c>
      <c r="AE45" s="19">
        <v>0</v>
      </c>
      <c r="AF45" s="19">
        <v>0</v>
      </c>
      <c r="AG45" s="19"/>
      <c r="AH45" s="19">
        <f>(1 - CUSTOS!$M$29)*36.428</f>
        <v>36.427999999999997</v>
      </c>
      <c r="AI45" s="19">
        <f>(1 - CUSTOS!$M$29)*36.428</f>
        <v>36.427999999999997</v>
      </c>
      <c r="AJ45" s="19">
        <f ca="1">$N$76*(1-CUSTOS!$M$29)</f>
        <v>32.688096978879159</v>
      </c>
      <c r="AK45" s="19">
        <f t="shared" ca="1" si="1"/>
        <v>32.688096978879159</v>
      </c>
      <c r="AL45" s="19"/>
      <c r="AM45" s="19"/>
      <c r="AP45" s="19">
        <f>IF((1 - CUSTOS!$M$29)&lt;&gt;0,1/(1 - CUSTOS!$M$29),1)</f>
        <v>1</v>
      </c>
    </row>
    <row r="46" spans="1:42" ht="11.25" customHeight="1" x14ac:dyDescent="0.25">
      <c r="A46" s="136"/>
      <c r="B46" s="136"/>
      <c r="C46" s="136"/>
      <c r="D46" s="136"/>
      <c r="E46" s="136"/>
      <c r="F46" s="136"/>
      <c r="G46" s="21" t="s">
        <v>101</v>
      </c>
      <c r="H46" s="21" t="s">
        <v>90</v>
      </c>
      <c r="I46" s="21">
        <f>'MERCADO TUSD'!$U$43</f>
        <v>0</v>
      </c>
      <c r="J46" s="17"/>
      <c r="L46" s="19">
        <f>1*(1 - CUSTOS!$M$29)</f>
        <v>1</v>
      </c>
      <c r="M46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CUSTOS!$M$29)</f>
        <v>0.87712132573973334</v>
      </c>
      <c r="N46" s="19">
        <f ca="1">(+M46+O46+R46+U46+V46+W46+X46+Y46+Z46+AA46+AC46+AH46+AI46+AJ46+AK46)*CUSTOS!$M$5</f>
        <v>6.4553261528349797</v>
      </c>
      <c r="O46" s="19">
        <f>1 - CUSTOS!$M$29</f>
        <v>1</v>
      </c>
      <c r="P46" s="19">
        <f>1 - CUSTOS!$M$29</f>
        <v>1</v>
      </c>
      <c r="Q46" s="19">
        <f>1*(1 - CUSTOS!$M$29)</f>
        <v>1</v>
      </c>
      <c r="R46" s="19">
        <f>1 - CUSTOS!$M$29</f>
        <v>1</v>
      </c>
      <c r="S46" s="19">
        <f>1 - CUSTOS!$M$29</f>
        <v>1</v>
      </c>
      <c r="T46" s="19"/>
      <c r="U46" s="19">
        <f>TRANSICAO!$U$46*CUSTOS!$T$3</f>
        <v>63.808700000000002</v>
      </c>
      <c r="V46" s="19">
        <f>TRANSICAO!$V$46*CUSTOS!$T$3</f>
        <v>15.734299999999999</v>
      </c>
      <c r="W46" s="19">
        <f>TRANSICAO!$W$46*CUSTOS!$T$3</f>
        <v>3.5259</v>
      </c>
      <c r="X46" s="19">
        <f>TRANSICAO!$X$46*CUSTOS!$T$3</f>
        <v>0</v>
      </c>
      <c r="Y46" s="19">
        <f>TRANSICAO!$Y$46*CUSTOS!$T$3</f>
        <v>1.4833000000000001</v>
      </c>
      <c r="Z46" s="19">
        <f>TRANSICAO!$Z$46*CUSTOS!$T$3</f>
        <v>0</v>
      </c>
      <c r="AA46" s="19">
        <f>TRANSICAO!$AA$46*CUSTOS!$T$3</f>
        <v>0</v>
      </c>
      <c r="AB46" s="19">
        <f>TRANSICAO!$AB$46*CUSTOS!$T$3</f>
        <v>0</v>
      </c>
      <c r="AC46" s="19">
        <f>TRANSICAO!$AC$46*CUSTOS!$T$3</f>
        <v>419.87110000000001</v>
      </c>
      <c r="AD46" s="19">
        <f>TRANSICAO!$AD$46*CUSTOS!$T$3</f>
        <v>0</v>
      </c>
      <c r="AE46" s="19">
        <v>0</v>
      </c>
      <c r="AF46" s="19">
        <v>0</v>
      </c>
      <c r="AG46" s="19"/>
      <c r="AH46" s="19">
        <f>(1 - CUSTOS!$M$29)*36.428</f>
        <v>36.427999999999997</v>
      </c>
      <c r="AI46" s="19">
        <f>(1 - CUSTOS!$M$29)*36.428</f>
        <v>36.427999999999997</v>
      </c>
      <c r="AJ46" s="19">
        <f ca="1">$N$76*(1-CUSTOS!$M$29)</f>
        <v>32.688096978879159</v>
      </c>
      <c r="AK46" s="19">
        <f t="shared" ca="1" si="1"/>
        <v>32.688096978879159</v>
      </c>
      <c r="AL46" s="19"/>
      <c r="AM46" s="19"/>
      <c r="AP46" s="19">
        <f>IF((1 - CUSTOS!$M$29)&lt;&gt;0,1/(1 - CUSTOS!$M$29),1)</f>
        <v>1</v>
      </c>
    </row>
    <row r="47" spans="1:42" ht="11.25" customHeight="1" x14ac:dyDescent="0.25">
      <c r="A47" s="136"/>
      <c r="B47" s="136"/>
      <c r="C47" s="136"/>
      <c r="D47" s="136"/>
      <c r="E47" s="136"/>
      <c r="F47" s="136"/>
      <c r="G47" s="21" t="s">
        <v>92</v>
      </c>
      <c r="H47" s="21" t="s">
        <v>90</v>
      </c>
      <c r="I47" s="21">
        <f>'MERCADO TUSD'!$U$44</f>
        <v>0</v>
      </c>
      <c r="J47" s="17"/>
      <c r="L47" s="19">
        <f>1*(1 - CUSTOS!$M$29)</f>
        <v>1</v>
      </c>
      <c r="M47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CUSTOS!$M$29)</f>
        <v>0.87712132573973334</v>
      </c>
      <c r="N47" s="19">
        <f ca="1">(+M47+O47+R47+U47+V47+W47+X47+Y47+Z47+AA47+AC47+AH47+AI47+AJ47+AK47)*CUSTOS!$M$5</f>
        <v>3.0925041528349806</v>
      </c>
      <c r="O47" s="19">
        <f>1 - CUSTOS!$M$29</f>
        <v>1</v>
      </c>
      <c r="P47" s="19">
        <f>1 - CUSTOS!$M$29</f>
        <v>1</v>
      </c>
      <c r="Q47" s="19">
        <f>1*(1 - CUSTOS!$M$29)</f>
        <v>1</v>
      </c>
      <c r="R47" s="19">
        <f>1 - CUSTOS!$M$29</f>
        <v>1</v>
      </c>
      <c r="S47" s="19">
        <f>1 - CUSTOS!$M$29</f>
        <v>1</v>
      </c>
      <c r="T47" s="19"/>
      <c r="U47" s="19">
        <f>TRANSICAO!$U$47*CUSTOS!$T$3</f>
        <v>21.269600000000001</v>
      </c>
      <c r="V47" s="19">
        <f>TRANSICAO!$V$47*CUSTOS!$T$3</f>
        <v>5.2447999999999997</v>
      </c>
      <c r="W47" s="19">
        <f>TRANSICAO!$W$47*CUSTOS!$T$3</f>
        <v>1.1753</v>
      </c>
      <c r="X47" s="19">
        <f>TRANSICAO!$X$47*CUSTOS!$T$3</f>
        <v>0</v>
      </c>
      <c r="Y47" s="19">
        <f>TRANSICAO!$Y$47*CUSTOS!$T$3</f>
        <v>0.49440000000000001</v>
      </c>
      <c r="Z47" s="19">
        <f>TRANSICAO!$Z$47*CUSTOS!$T$3</f>
        <v>0</v>
      </c>
      <c r="AA47" s="19">
        <f>TRANSICAO!$AA$47*CUSTOS!$T$3</f>
        <v>0</v>
      </c>
      <c r="AB47" s="19">
        <f>TRANSICAO!$AB$47*CUSTOS!$T$3</f>
        <v>0</v>
      </c>
      <c r="AC47" s="19">
        <f>TRANSICAO!$AC$47*CUSTOS!$T$3</f>
        <v>139.95699999999999</v>
      </c>
      <c r="AD47" s="19">
        <f>TRANSICAO!$AD$47*CUSTOS!$T$3</f>
        <v>0</v>
      </c>
      <c r="AE47" s="19">
        <v>0</v>
      </c>
      <c r="AF47" s="19">
        <v>0</v>
      </c>
      <c r="AG47" s="19"/>
      <c r="AH47" s="19">
        <f>(1 - CUSTOS!$M$29)*36.428</f>
        <v>36.427999999999997</v>
      </c>
      <c r="AI47" s="19">
        <f>(1 - CUSTOS!$M$29)*36.428</f>
        <v>36.427999999999997</v>
      </c>
      <c r="AJ47" s="19">
        <f ca="1">$N$76*(1-CUSTOS!$M$29)</f>
        <v>32.688096978879159</v>
      </c>
      <c r="AK47" s="19">
        <f t="shared" ca="1" si="1"/>
        <v>32.688096978879159</v>
      </c>
      <c r="AL47" s="19"/>
      <c r="AM47" s="19"/>
      <c r="AP47" s="19">
        <f>IF((1 - CUSTOS!$M$29)&lt;&gt;0,1/(1 - CUSTOS!$M$29),1)</f>
        <v>1</v>
      </c>
    </row>
    <row r="48" spans="1:42" ht="11.25" customHeight="1" x14ac:dyDescent="0.25">
      <c r="A48" s="136"/>
      <c r="B48" s="22" t="s">
        <v>23</v>
      </c>
      <c r="C48" s="22" t="s">
        <v>45</v>
      </c>
      <c r="D48" s="22" t="s">
        <v>104</v>
      </c>
      <c r="E48" s="22" t="s">
        <v>25</v>
      </c>
      <c r="F48" s="22" t="s">
        <v>25</v>
      </c>
      <c r="G48" s="21" t="s">
        <v>96</v>
      </c>
      <c r="H48" s="21" t="s">
        <v>90</v>
      </c>
      <c r="I48" s="21">
        <f>'MERCADO TUSD'!$U$45</f>
        <v>0</v>
      </c>
      <c r="J48" s="17"/>
      <c r="L48" s="19">
        <f>1*(1 - CUSTOS!$M$29)</f>
        <v>1</v>
      </c>
      <c r="M48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CUSTOS!$M$29)</f>
        <v>0.87712132573973334</v>
      </c>
      <c r="N48" s="19">
        <f ca="1">(+M48+O48+R48+U48+V48+W48+X48+Y48+Z48+AA48+AC48+AH48+AI48+AJ48+AK48)*CUSTOS!$M$5</f>
        <v>3.9586841528349805</v>
      </c>
      <c r="O48" s="19">
        <f>1 - CUSTOS!$M$29</f>
        <v>1</v>
      </c>
      <c r="P48" s="19">
        <f>1 - CUSTOS!$M$29</f>
        <v>1</v>
      </c>
      <c r="Q48" s="19">
        <f>1*(1 - CUSTOS!$M$29)</f>
        <v>1</v>
      </c>
      <c r="R48" s="19">
        <f>1 - CUSTOS!$M$29</f>
        <v>1</v>
      </c>
      <c r="S48" s="19">
        <f>1 - CUSTOS!$M$29</f>
        <v>1</v>
      </c>
      <c r="T48" s="19"/>
      <c r="U48" s="19">
        <f>TRANSICAO!$U$48*CUSTOS!$T$3</f>
        <v>32.226599999999998</v>
      </c>
      <c r="V48" s="19">
        <f>TRANSICAO!$V$48*CUSTOS!$T$3</f>
        <v>7.9466000000000001</v>
      </c>
      <c r="W48" s="19">
        <f>TRANSICAO!$W$48*CUSTOS!$T$3</f>
        <v>1.7806999999999999</v>
      </c>
      <c r="X48" s="19">
        <f>TRANSICAO!$X$48*CUSTOS!$T$3</f>
        <v>0</v>
      </c>
      <c r="Y48" s="19">
        <f>TRANSICAO!$Y$48*CUSTOS!$T$3</f>
        <v>0.74909999999999999</v>
      </c>
      <c r="Z48" s="19">
        <f>TRANSICAO!$Z$48*CUSTOS!$T$3</f>
        <v>0</v>
      </c>
      <c r="AA48" s="19">
        <f>TRANSICAO!$AA$48*CUSTOS!$T$3</f>
        <v>0</v>
      </c>
      <c r="AB48" s="19">
        <f>TRANSICAO!$AB$48*CUSTOS!$T$3</f>
        <v>0</v>
      </c>
      <c r="AC48" s="19">
        <f>TRANSICAO!$AC$48*CUSTOS!$T$3</f>
        <v>212.05609999999999</v>
      </c>
      <c r="AD48" s="19">
        <f>TRANSICAO!$AD$48*CUSTOS!$T$3</f>
        <v>0</v>
      </c>
      <c r="AE48" s="19">
        <v>0</v>
      </c>
      <c r="AF48" s="19">
        <v>0</v>
      </c>
      <c r="AG48" s="19"/>
      <c r="AH48" s="19">
        <f>(1 - CUSTOS!$M$29)*36.428</f>
        <v>36.427999999999997</v>
      </c>
      <c r="AI48" s="19">
        <f>(1 - CUSTOS!$M$29)*36.428</f>
        <v>36.427999999999997</v>
      </c>
      <c r="AJ48" s="19">
        <f ca="1">$N$76*(1-CUSTOS!$M$29)</f>
        <v>32.688096978879159</v>
      </c>
      <c r="AK48" s="19">
        <f t="shared" ca="1" si="1"/>
        <v>32.688096978879159</v>
      </c>
      <c r="AL48" s="19"/>
      <c r="AM48" s="19"/>
      <c r="AP48" s="19">
        <f>IF((1 - CUSTOS!$M$29)&lt;&gt;0,1/(1 - CUSTOS!$M$29),1)</f>
        <v>1</v>
      </c>
    </row>
    <row r="49" spans="1:42" ht="11.25" customHeight="1" x14ac:dyDescent="0.25">
      <c r="A49" s="136"/>
      <c r="B49" s="136" t="s">
        <v>37</v>
      </c>
      <c r="C49" s="136" t="s">
        <v>45</v>
      </c>
      <c r="D49" s="136" t="s">
        <v>105</v>
      </c>
      <c r="E49" s="136" t="s">
        <v>25</v>
      </c>
      <c r="F49" s="136" t="s">
        <v>25</v>
      </c>
      <c r="G49" s="21" t="s">
        <v>91</v>
      </c>
      <c r="H49" s="21" t="s">
        <v>90</v>
      </c>
      <c r="I49" s="21">
        <f>'MERCADO TUSD'!$U$46</f>
        <v>0</v>
      </c>
      <c r="J49" s="17"/>
      <c r="L49" s="19">
        <f>1*(1 - CUSTOS!$M$30)</f>
        <v>1</v>
      </c>
      <c r="M49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CUSTOS!$M$30)</f>
        <v>0.87712132573973334</v>
      </c>
      <c r="N49" s="19">
        <f ca="1">(+M49+O49+R49+U49+V49+W49+X49+Y49+Z49+AA49+AC49+AH49+AI49+AJ49+AK49)*CUSTOS!$M$5</f>
        <v>9.8181461528349807</v>
      </c>
      <c r="O49" s="19">
        <f>1 - CUSTOS!$M$30</f>
        <v>1</v>
      </c>
      <c r="P49" s="19">
        <f>1 - CUSTOS!$M$30</f>
        <v>1</v>
      </c>
      <c r="Q49" s="19">
        <f>1*(1 - CUSTOS!$M$30)</f>
        <v>1</v>
      </c>
      <c r="R49" s="19">
        <f>1 - CUSTOS!$M$30</f>
        <v>1</v>
      </c>
      <c r="S49" s="19">
        <f>1 - CUSTOS!$M$30</f>
        <v>1</v>
      </c>
      <c r="T49" s="19"/>
      <c r="U49" s="19">
        <f>TRANSICAO!$U$49*CUSTOS!$T$3</f>
        <v>106.34780000000001</v>
      </c>
      <c r="V49" s="19">
        <f>TRANSICAO!$V$49*CUSTOS!$T$3</f>
        <v>26.223800000000001</v>
      </c>
      <c r="W49" s="19">
        <f>TRANSICAO!$W$49*CUSTOS!$T$3</f>
        <v>5.8764000000000003</v>
      </c>
      <c r="X49" s="19">
        <f>TRANSICAO!$X$49*CUSTOS!$T$3</f>
        <v>0</v>
      </c>
      <c r="Y49" s="19">
        <f>TRANSICAO!$Y$49*CUSTOS!$T$3</f>
        <v>2.4721000000000002</v>
      </c>
      <c r="Z49" s="19">
        <f>TRANSICAO!$Z$49*CUSTOS!$T$3</f>
        <v>0</v>
      </c>
      <c r="AA49" s="19">
        <f>TRANSICAO!$AA$49*CUSTOS!$T$3</f>
        <v>0</v>
      </c>
      <c r="AB49" s="19">
        <f>TRANSICAO!$AB$49*CUSTOS!$T$3</f>
        <v>0</v>
      </c>
      <c r="AC49" s="19">
        <f>TRANSICAO!$AC$49*CUSTOS!$T$3</f>
        <v>699.78520000000003</v>
      </c>
      <c r="AD49" s="19">
        <f>TRANSICAO!$AD$49*CUSTOS!$T$3</f>
        <v>0</v>
      </c>
      <c r="AE49" s="19">
        <v>0</v>
      </c>
      <c r="AF49" s="19">
        <v>0</v>
      </c>
      <c r="AG49" s="19"/>
      <c r="AH49" s="19">
        <f>(1 - CUSTOS!$M$30)*36.428</f>
        <v>36.427999999999997</v>
      </c>
      <c r="AI49" s="19">
        <f>(1 - CUSTOS!$M$30)*36.428</f>
        <v>36.427999999999997</v>
      </c>
      <c r="AJ49" s="19">
        <f ca="1">$N$76*(1-CUSTOS!$M$30)</f>
        <v>32.688096978879159</v>
      </c>
      <c r="AK49" s="19">
        <f t="shared" ca="1" si="1"/>
        <v>32.688096978879159</v>
      </c>
      <c r="AL49" s="19"/>
      <c r="AM49" s="19"/>
      <c r="AP49" s="19">
        <f>IF((1 - CUSTOS!$M$30)&lt;&gt;0,1/(1 - CUSTOS!$M$30),1)</f>
        <v>1</v>
      </c>
    </row>
    <row r="50" spans="1:42" ht="11.25" customHeight="1" x14ac:dyDescent="0.25">
      <c r="A50" s="136"/>
      <c r="B50" s="136"/>
      <c r="C50" s="136"/>
      <c r="D50" s="136"/>
      <c r="E50" s="136"/>
      <c r="F50" s="136"/>
      <c r="G50" s="21" t="s">
        <v>101</v>
      </c>
      <c r="H50" s="21" t="s">
        <v>90</v>
      </c>
      <c r="I50" s="21">
        <f>'MERCADO TUSD'!$U$47</f>
        <v>0</v>
      </c>
      <c r="J50" s="17"/>
      <c r="L50" s="19">
        <f>1*(1 - CUSTOS!$M$30)</f>
        <v>1</v>
      </c>
      <c r="M50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CUSTOS!$M$30)</f>
        <v>0.87712132573973334</v>
      </c>
      <c r="N50" s="19">
        <f ca="1">(+M50+O50+R50+U50+V50+W50+X50+Y50+Z50+AA50+AC50+AH50+AI50+AJ50+AK50)*CUSTOS!$M$5</f>
        <v>6.4553261528349797</v>
      </c>
      <c r="O50" s="19">
        <f>1 - CUSTOS!$M$30</f>
        <v>1</v>
      </c>
      <c r="P50" s="19">
        <f>1 - CUSTOS!$M$30</f>
        <v>1</v>
      </c>
      <c r="Q50" s="19">
        <f>1*(1 - CUSTOS!$M$30)</f>
        <v>1</v>
      </c>
      <c r="R50" s="19">
        <f>1 - CUSTOS!$M$30</f>
        <v>1</v>
      </c>
      <c r="S50" s="19">
        <f>1 - CUSTOS!$M$30</f>
        <v>1</v>
      </c>
      <c r="T50" s="19"/>
      <c r="U50" s="19">
        <f>TRANSICAO!$U$50*CUSTOS!$T$3</f>
        <v>63.808700000000002</v>
      </c>
      <c r="V50" s="19">
        <f>TRANSICAO!$V$50*CUSTOS!$T$3</f>
        <v>15.734299999999999</v>
      </c>
      <c r="W50" s="19">
        <f>TRANSICAO!$W$50*CUSTOS!$T$3</f>
        <v>3.5259</v>
      </c>
      <c r="X50" s="19">
        <f>TRANSICAO!$X$50*CUSTOS!$T$3</f>
        <v>0</v>
      </c>
      <c r="Y50" s="19">
        <f>TRANSICAO!$Y$50*CUSTOS!$T$3</f>
        <v>1.4833000000000001</v>
      </c>
      <c r="Z50" s="19">
        <f>TRANSICAO!$Z$50*CUSTOS!$T$3</f>
        <v>0</v>
      </c>
      <c r="AA50" s="19">
        <f>TRANSICAO!$AA$50*CUSTOS!$T$3</f>
        <v>0</v>
      </c>
      <c r="AB50" s="19">
        <f>TRANSICAO!$AB$50*CUSTOS!$T$3</f>
        <v>0</v>
      </c>
      <c r="AC50" s="19">
        <f>TRANSICAO!$AC$50*CUSTOS!$T$3</f>
        <v>419.87110000000001</v>
      </c>
      <c r="AD50" s="19">
        <f>TRANSICAO!$AD$50*CUSTOS!$T$3</f>
        <v>0</v>
      </c>
      <c r="AE50" s="19">
        <v>0</v>
      </c>
      <c r="AF50" s="19">
        <v>0</v>
      </c>
      <c r="AG50" s="19"/>
      <c r="AH50" s="19">
        <f>(1 - CUSTOS!$M$30)*36.428</f>
        <v>36.427999999999997</v>
      </c>
      <c r="AI50" s="19">
        <f>(1 - CUSTOS!$M$30)*36.428</f>
        <v>36.427999999999997</v>
      </c>
      <c r="AJ50" s="19">
        <f ca="1">$N$76*(1-CUSTOS!$M$30)</f>
        <v>32.688096978879159</v>
      </c>
      <c r="AK50" s="19">
        <f t="shared" ca="1" si="1"/>
        <v>32.688096978879159</v>
      </c>
      <c r="AL50" s="19"/>
      <c r="AM50" s="19"/>
      <c r="AP50" s="19">
        <f>IF((1 - CUSTOS!$M$30)&lt;&gt;0,1/(1 - CUSTOS!$M$30),1)</f>
        <v>1</v>
      </c>
    </row>
    <row r="51" spans="1:42" ht="11.25" customHeight="1" x14ac:dyDescent="0.25">
      <c r="A51" s="136"/>
      <c r="B51" s="136"/>
      <c r="C51" s="136"/>
      <c r="D51" s="136"/>
      <c r="E51" s="136"/>
      <c r="F51" s="136"/>
      <c r="G51" s="21" t="s">
        <v>92</v>
      </c>
      <c r="H51" s="21" t="s">
        <v>90</v>
      </c>
      <c r="I51" s="21">
        <f>'MERCADO TUSD'!$U$48</f>
        <v>0</v>
      </c>
      <c r="J51" s="17"/>
      <c r="L51" s="19">
        <f>1*(1 - CUSTOS!$M$30)</f>
        <v>1</v>
      </c>
      <c r="M51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CUSTOS!$M$30)</f>
        <v>0.87712132573973334</v>
      </c>
      <c r="N51" s="19">
        <f ca="1">(+M51+O51+R51+U51+V51+W51+X51+Y51+Z51+AA51+AC51+AH51+AI51+AJ51+AK51)*CUSTOS!$M$5</f>
        <v>3.0925041528349806</v>
      </c>
      <c r="O51" s="19">
        <f>1 - CUSTOS!$M$30</f>
        <v>1</v>
      </c>
      <c r="P51" s="19">
        <f>1 - CUSTOS!$M$30</f>
        <v>1</v>
      </c>
      <c r="Q51" s="19">
        <f>1*(1 - CUSTOS!$M$30)</f>
        <v>1</v>
      </c>
      <c r="R51" s="19">
        <f>1 - CUSTOS!$M$30</f>
        <v>1</v>
      </c>
      <c r="S51" s="19">
        <f>1 - CUSTOS!$M$30</f>
        <v>1</v>
      </c>
      <c r="T51" s="19"/>
      <c r="U51" s="19">
        <f>TRANSICAO!$U$51*CUSTOS!$T$3</f>
        <v>21.269600000000001</v>
      </c>
      <c r="V51" s="19">
        <f>TRANSICAO!$V$51*CUSTOS!$T$3</f>
        <v>5.2447999999999997</v>
      </c>
      <c r="W51" s="19">
        <f>TRANSICAO!$W$51*CUSTOS!$T$3</f>
        <v>1.1753</v>
      </c>
      <c r="X51" s="19">
        <f>TRANSICAO!$X$51*CUSTOS!$T$3</f>
        <v>0</v>
      </c>
      <c r="Y51" s="19">
        <f>TRANSICAO!$Y$51*CUSTOS!$T$3</f>
        <v>0.49440000000000001</v>
      </c>
      <c r="Z51" s="19">
        <f>TRANSICAO!$Z$51*CUSTOS!$T$3</f>
        <v>0</v>
      </c>
      <c r="AA51" s="19">
        <f>TRANSICAO!$AA$51*CUSTOS!$T$3</f>
        <v>0</v>
      </c>
      <c r="AB51" s="19">
        <f>TRANSICAO!$AB$51*CUSTOS!$T$3</f>
        <v>0</v>
      </c>
      <c r="AC51" s="19">
        <f>TRANSICAO!$AC$51*CUSTOS!$T$3</f>
        <v>139.95699999999999</v>
      </c>
      <c r="AD51" s="19">
        <f>TRANSICAO!$AD$51*CUSTOS!$T$3</f>
        <v>0</v>
      </c>
      <c r="AE51" s="19">
        <v>0</v>
      </c>
      <c r="AF51" s="19">
        <v>0</v>
      </c>
      <c r="AG51" s="19"/>
      <c r="AH51" s="19">
        <f>(1 - CUSTOS!$M$30)*36.428</f>
        <v>36.427999999999997</v>
      </c>
      <c r="AI51" s="19">
        <f>(1 - CUSTOS!$M$30)*36.428</f>
        <v>36.427999999999997</v>
      </c>
      <c r="AJ51" s="19">
        <f ca="1">$N$76*(1-CUSTOS!$M$30)</f>
        <v>32.688096978879159</v>
      </c>
      <c r="AK51" s="19">
        <f t="shared" ca="1" si="1"/>
        <v>32.688096978879159</v>
      </c>
      <c r="AL51" s="19"/>
      <c r="AM51" s="19"/>
      <c r="AP51" s="19">
        <f>IF((1 - CUSTOS!$M$30)&lt;&gt;0,1/(1 - CUSTOS!$M$30),1)</f>
        <v>1</v>
      </c>
    </row>
    <row r="52" spans="1:42" ht="11.25" customHeight="1" x14ac:dyDescent="0.25">
      <c r="A52" s="136"/>
      <c r="B52" s="22" t="s">
        <v>23</v>
      </c>
      <c r="C52" s="22" t="s">
        <v>45</v>
      </c>
      <c r="D52" s="22" t="s">
        <v>105</v>
      </c>
      <c r="E52" s="22" t="s">
        <v>25</v>
      </c>
      <c r="F52" s="22" t="s">
        <v>25</v>
      </c>
      <c r="G52" s="21" t="s">
        <v>96</v>
      </c>
      <c r="H52" s="21" t="s">
        <v>90</v>
      </c>
      <c r="I52" s="21">
        <f>'MERCADO TUSD'!$U$49</f>
        <v>0</v>
      </c>
      <c r="J52" s="17"/>
      <c r="L52" s="19">
        <f>1*(1 - CUSTOS!$M$30)</f>
        <v>1</v>
      </c>
      <c r="M52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CUSTOS!$M$30)</f>
        <v>0.87712132573973334</v>
      </c>
      <c r="N52" s="19">
        <f ca="1">(+M52+O52+R52+U52+V52+W52+X52+Y52+Z52+AA52+AC52+AH52+AI52+AJ52+AK52)*CUSTOS!$M$5</f>
        <v>3.9586841528349805</v>
      </c>
      <c r="O52" s="19">
        <f>1 - CUSTOS!$M$30</f>
        <v>1</v>
      </c>
      <c r="P52" s="19">
        <f>1 - CUSTOS!$M$30</f>
        <v>1</v>
      </c>
      <c r="Q52" s="19">
        <f>1*(1 - CUSTOS!$M$30)</f>
        <v>1</v>
      </c>
      <c r="R52" s="19">
        <f>1 - CUSTOS!$M$30</f>
        <v>1</v>
      </c>
      <c r="S52" s="19">
        <f>1 - CUSTOS!$M$30</f>
        <v>1</v>
      </c>
      <c r="T52" s="19"/>
      <c r="U52" s="19">
        <f>TRANSICAO!$U$52*CUSTOS!$T$3</f>
        <v>32.226599999999998</v>
      </c>
      <c r="V52" s="19">
        <f>TRANSICAO!$V$52*CUSTOS!$T$3</f>
        <v>7.9466000000000001</v>
      </c>
      <c r="W52" s="19">
        <f>TRANSICAO!$W$52*CUSTOS!$T$3</f>
        <v>1.7806999999999999</v>
      </c>
      <c r="X52" s="19">
        <f>TRANSICAO!$X$52*CUSTOS!$T$3</f>
        <v>0</v>
      </c>
      <c r="Y52" s="19">
        <f>TRANSICAO!$Y$52*CUSTOS!$T$3</f>
        <v>0.74909999999999999</v>
      </c>
      <c r="Z52" s="19">
        <f>TRANSICAO!$Z$52*CUSTOS!$T$3</f>
        <v>0</v>
      </c>
      <c r="AA52" s="19">
        <f>TRANSICAO!$AA$52*CUSTOS!$T$3</f>
        <v>0</v>
      </c>
      <c r="AB52" s="19">
        <f>TRANSICAO!$AB$52*CUSTOS!$T$3</f>
        <v>0</v>
      </c>
      <c r="AC52" s="19">
        <f>TRANSICAO!$AC$52*CUSTOS!$T$3</f>
        <v>212.05609999999999</v>
      </c>
      <c r="AD52" s="19">
        <f>TRANSICAO!$AD$52*CUSTOS!$T$3</f>
        <v>0</v>
      </c>
      <c r="AE52" s="19">
        <v>0</v>
      </c>
      <c r="AF52" s="19">
        <v>0</v>
      </c>
      <c r="AG52" s="19"/>
      <c r="AH52" s="19">
        <f>(1 - CUSTOS!$M$30)*36.428</f>
        <v>36.427999999999997</v>
      </c>
      <c r="AI52" s="19">
        <f>(1 - CUSTOS!$M$30)*36.428</f>
        <v>36.427999999999997</v>
      </c>
      <c r="AJ52" s="19">
        <f ca="1">$N$76*(1-CUSTOS!$M$30)</f>
        <v>32.688096978879159</v>
      </c>
      <c r="AK52" s="19">
        <f t="shared" ca="1" si="1"/>
        <v>32.688096978879159</v>
      </c>
      <c r="AL52" s="19"/>
      <c r="AM52" s="19"/>
      <c r="AP52" s="19">
        <f>IF((1 - CUSTOS!$M$30)&lt;&gt;0,1/(1 - CUSTOS!$M$30),1)</f>
        <v>1</v>
      </c>
    </row>
    <row r="53" spans="1:42" ht="11.25" customHeight="1" x14ac:dyDescent="0.25">
      <c r="A53" s="136"/>
      <c r="B53" s="136" t="s">
        <v>103</v>
      </c>
      <c r="C53" s="136" t="s">
        <v>45</v>
      </c>
      <c r="D53" s="22" t="s">
        <v>25</v>
      </c>
      <c r="E53" s="22" t="s">
        <v>25</v>
      </c>
      <c r="F53" s="22" t="s">
        <v>25</v>
      </c>
      <c r="G53" s="21" t="s">
        <v>96</v>
      </c>
      <c r="H53" s="21" t="s">
        <v>90</v>
      </c>
      <c r="I53" s="21">
        <f>'MERCADO TUSD'!$U$50</f>
        <v>0</v>
      </c>
      <c r="J53" s="17"/>
      <c r="L53" s="19">
        <f>1*(1 - CUSTOS!$M$28)</f>
        <v>1</v>
      </c>
      <c r="M53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CUSTOS!$M$28)</f>
        <v>0.87712132573973334</v>
      </c>
      <c r="N53" s="19">
        <f ca="1">(+M53+O53+R53+U53+V53+W53+X53+Y53+Z53+AA53+AC53+AH53+AI53+AJ53+AK53)*CUSTOS!$M$5</f>
        <v>3.9586841528349805</v>
      </c>
      <c r="O53" s="19">
        <f>1 - CUSTOS!$M$28</f>
        <v>1</v>
      </c>
      <c r="P53" s="19">
        <f>1 - CUSTOS!$M$28</f>
        <v>1</v>
      </c>
      <c r="Q53" s="19">
        <f>1*(1 - CUSTOS!$M$28)</f>
        <v>1</v>
      </c>
      <c r="R53" s="19">
        <f>1 - CUSTOS!$M$28</f>
        <v>1</v>
      </c>
      <c r="S53" s="19">
        <f>1 - CUSTOS!$M$28</f>
        <v>1</v>
      </c>
      <c r="T53" s="19"/>
      <c r="U53" s="19">
        <f>TRANSICAO!$U$53*CUSTOS!$T$3</f>
        <v>32.226599999999998</v>
      </c>
      <c r="V53" s="19">
        <f>TRANSICAO!$V$53*CUSTOS!$T$3</f>
        <v>7.9466000000000001</v>
      </c>
      <c r="W53" s="19">
        <f>TRANSICAO!$W$53*CUSTOS!$T$3</f>
        <v>1.7806999999999999</v>
      </c>
      <c r="X53" s="19">
        <f>TRANSICAO!$X$53*CUSTOS!$T$3</f>
        <v>0</v>
      </c>
      <c r="Y53" s="19">
        <f>TRANSICAO!$Y$53*CUSTOS!$T$3</f>
        <v>0.74909999999999999</v>
      </c>
      <c r="Z53" s="19">
        <f>TRANSICAO!$Z$53*CUSTOS!$T$3</f>
        <v>0</v>
      </c>
      <c r="AA53" s="19">
        <f>TRANSICAO!$AA$53*CUSTOS!$T$3</f>
        <v>0</v>
      </c>
      <c r="AB53" s="19">
        <f>TRANSICAO!$AB$53*CUSTOS!$T$3</f>
        <v>0</v>
      </c>
      <c r="AC53" s="19">
        <f>TRANSICAO!$AC$53*CUSTOS!$T$3</f>
        <v>212.05609999999999</v>
      </c>
      <c r="AD53" s="19">
        <f>TRANSICAO!$AD$53*CUSTOS!$T$3</f>
        <v>0</v>
      </c>
      <c r="AE53" s="19">
        <v>0</v>
      </c>
      <c r="AF53" s="19">
        <v>0</v>
      </c>
      <c r="AG53" s="19"/>
      <c r="AH53" s="19">
        <f>(1 - CUSTOS!$M$28)*36.428</f>
        <v>36.427999999999997</v>
      </c>
      <c r="AI53" s="19">
        <f>(1 - CUSTOS!$M$28)*36.428</f>
        <v>36.427999999999997</v>
      </c>
      <c r="AJ53" s="19">
        <f ca="1">$N$76*(1-CUSTOS!$M$28)</f>
        <v>32.688096978879159</v>
      </c>
      <c r="AK53" s="19">
        <f t="shared" ca="1" si="1"/>
        <v>32.688096978879159</v>
      </c>
      <c r="AL53" s="19"/>
      <c r="AM53" s="19"/>
      <c r="AP53" s="19">
        <f>IF((1 - CUSTOS!$M$28)&lt;&gt;0,1/(1 - CUSTOS!$M$28),1)</f>
        <v>1</v>
      </c>
    </row>
    <row r="54" spans="1:42" ht="11.25" customHeight="1" x14ac:dyDescent="0.25">
      <c r="A54" s="136"/>
      <c r="B54" s="136"/>
      <c r="C54" s="136"/>
      <c r="D54" s="22" t="s">
        <v>104</v>
      </c>
      <c r="E54" s="22" t="s">
        <v>25</v>
      </c>
      <c r="F54" s="22" t="s">
        <v>25</v>
      </c>
      <c r="G54" s="21" t="s">
        <v>96</v>
      </c>
      <c r="H54" s="21" t="s">
        <v>90</v>
      </c>
      <c r="I54" s="21">
        <f>'MERCADO TUSD'!$U$51</f>
        <v>0</v>
      </c>
      <c r="J54" s="17"/>
      <c r="L54" s="19">
        <f>1*(1 - CUSTOS!$M$29)</f>
        <v>1</v>
      </c>
      <c r="M54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CUSTOS!$M$29)</f>
        <v>0.87712132573973334</v>
      </c>
      <c r="N54" s="19">
        <f ca="1">(+M54+O54+R54+U54+V54+W54+X54+Y54+Z54+AA54+AC54+AH54+AI54+AJ54+AK54)*CUSTOS!$M$5</f>
        <v>3.9586841528349805</v>
      </c>
      <c r="O54" s="19">
        <f>1 - CUSTOS!$M$29</f>
        <v>1</v>
      </c>
      <c r="P54" s="19">
        <f>1 - CUSTOS!$M$29</f>
        <v>1</v>
      </c>
      <c r="Q54" s="19">
        <f>1*(1 - CUSTOS!$M$29)</f>
        <v>1</v>
      </c>
      <c r="R54" s="19">
        <f>1 - CUSTOS!$M$29</f>
        <v>1</v>
      </c>
      <c r="S54" s="19">
        <f>1 - CUSTOS!$M$29</f>
        <v>1</v>
      </c>
      <c r="T54" s="19"/>
      <c r="U54" s="19">
        <f>TRANSICAO!$U$54*CUSTOS!$T$3</f>
        <v>32.226599999999998</v>
      </c>
      <c r="V54" s="19">
        <f>TRANSICAO!$V$54*CUSTOS!$T$3</f>
        <v>7.9466000000000001</v>
      </c>
      <c r="W54" s="19">
        <f>TRANSICAO!$W$54*CUSTOS!$T$3</f>
        <v>1.7806999999999999</v>
      </c>
      <c r="X54" s="19">
        <f>TRANSICAO!$X$54*CUSTOS!$T$3</f>
        <v>0</v>
      </c>
      <c r="Y54" s="19">
        <f>TRANSICAO!$Y$54*CUSTOS!$T$3</f>
        <v>0.74909999999999999</v>
      </c>
      <c r="Z54" s="19">
        <f>TRANSICAO!$Z$54*CUSTOS!$T$3</f>
        <v>0</v>
      </c>
      <c r="AA54" s="19">
        <f>TRANSICAO!$AA$54*CUSTOS!$T$3</f>
        <v>0</v>
      </c>
      <c r="AB54" s="19">
        <f>TRANSICAO!$AB$54*CUSTOS!$T$3</f>
        <v>0</v>
      </c>
      <c r="AC54" s="19">
        <f>TRANSICAO!$AC$54*CUSTOS!$T$3</f>
        <v>212.05609999999999</v>
      </c>
      <c r="AD54" s="19">
        <f>TRANSICAO!$AD$54*CUSTOS!$T$3</f>
        <v>0</v>
      </c>
      <c r="AE54" s="19">
        <v>0</v>
      </c>
      <c r="AF54" s="19">
        <v>0</v>
      </c>
      <c r="AG54" s="19"/>
      <c r="AH54" s="19">
        <f>(1 - CUSTOS!$M$29)*36.428</f>
        <v>36.427999999999997</v>
      </c>
      <c r="AI54" s="19">
        <f>(1 - CUSTOS!$M$29)*36.428</f>
        <v>36.427999999999997</v>
      </c>
      <c r="AJ54" s="19">
        <f ca="1">$N$76*(1-CUSTOS!$M$29)</f>
        <v>32.688096978879159</v>
      </c>
      <c r="AK54" s="19">
        <f t="shared" ca="1" si="1"/>
        <v>32.688096978879159</v>
      </c>
      <c r="AL54" s="19"/>
      <c r="AM54" s="19"/>
      <c r="AP54" s="19">
        <f>IF((1 - CUSTOS!$M$29)&lt;&gt;0,1/(1 - CUSTOS!$M$29),1)</f>
        <v>1</v>
      </c>
    </row>
    <row r="55" spans="1:42" ht="11.25" customHeight="1" x14ac:dyDescent="0.25">
      <c r="A55" s="136"/>
      <c r="B55" s="136"/>
      <c r="C55" s="136"/>
      <c r="D55" s="22" t="s">
        <v>105</v>
      </c>
      <c r="E55" s="22" t="s">
        <v>25</v>
      </c>
      <c r="F55" s="22" t="s">
        <v>25</v>
      </c>
      <c r="G55" s="21" t="s">
        <v>96</v>
      </c>
      <c r="H55" s="21" t="s">
        <v>90</v>
      </c>
      <c r="I55" s="21">
        <f>'MERCADO TUSD'!$U$52</f>
        <v>0</v>
      </c>
      <c r="J55" s="17"/>
      <c r="L55" s="19">
        <f>1*(1 - CUSTOS!$M$30)</f>
        <v>1</v>
      </c>
      <c r="M55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CUSTOS!$M$30)</f>
        <v>0.87712132573973334</v>
      </c>
      <c r="N55" s="19">
        <f ca="1">(+M55+O55+R55+U55+V55+W55+X55+Y55+Z55+AA55+AC55+AH55+AI55+AJ55+AK55)*CUSTOS!$M$5</f>
        <v>3.9586841528349805</v>
      </c>
      <c r="O55" s="19">
        <f>1 - CUSTOS!$M$30</f>
        <v>1</v>
      </c>
      <c r="P55" s="19">
        <f>1 - CUSTOS!$M$30</f>
        <v>1</v>
      </c>
      <c r="Q55" s="19">
        <f>1*(1 - CUSTOS!$M$30)</f>
        <v>1</v>
      </c>
      <c r="R55" s="19">
        <f>1 - CUSTOS!$M$30</f>
        <v>1</v>
      </c>
      <c r="S55" s="19">
        <f>1 - CUSTOS!$M$30</f>
        <v>1</v>
      </c>
      <c r="T55" s="19"/>
      <c r="U55" s="19">
        <f>TRANSICAO!$U$55*CUSTOS!$T$3</f>
        <v>32.226599999999998</v>
      </c>
      <c r="V55" s="19">
        <f>TRANSICAO!$V$55*CUSTOS!$T$3</f>
        <v>7.9466000000000001</v>
      </c>
      <c r="W55" s="19">
        <f>TRANSICAO!$W$55*CUSTOS!$T$3</f>
        <v>1.7806999999999999</v>
      </c>
      <c r="X55" s="19">
        <f>TRANSICAO!$X$55*CUSTOS!$T$3</f>
        <v>0</v>
      </c>
      <c r="Y55" s="19">
        <f>TRANSICAO!$Y$55*CUSTOS!$T$3</f>
        <v>0.74909999999999999</v>
      </c>
      <c r="Z55" s="19">
        <f>TRANSICAO!$Z$55*CUSTOS!$T$3</f>
        <v>0</v>
      </c>
      <c r="AA55" s="19">
        <f>TRANSICAO!$AA$55*CUSTOS!$T$3</f>
        <v>0</v>
      </c>
      <c r="AB55" s="19">
        <f>TRANSICAO!$AB$55*CUSTOS!$T$3</f>
        <v>0</v>
      </c>
      <c r="AC55" s="19">
        <f>TRANSICAO!$AC$55*CUSTOS!$T$3</f>
        <v>212.05609999999999</v>
      </c>
      <c r="AD55" s="19">
        <f>TRANSICAO!$AD$55*CUSTOS!$T$3</f>
        <v>0</v>
      </c>
      <c r="AE55" s="19">
        <v>0</v>
      </c>
      <c r="AF55" s="19">
        <v>0</v>
      </c>
      <c r="AG55" s="19"/>
      <c r="AH55" s="19">
        <f>(1 - CUSTOS!$M$30)*36.428</f>
        <v>36.427999999999997</v>
      </c>
      <c r="AI55" s="19">
        <f>(1 - CUSTOS!$M$30)*36.428</f>
        <v>36.427999999999997</v>
      </c>
      <c r="AJ55" s="19">
        <f ca="1">$N$76*(1-CUSTOS!$M$30)</f>
        <v>32.688096978879159</v>
      </c>
      <c r="AK55" s="19">
        <f t="shared" ca="1" si="1"/>
        <v>32.688096978879159</v>
      </c>
      <c r="AL55" s="19"/>
      <c r="AM55" s="19"/>
      <c r="AP55" s="19">
        <f>IF((1 - CUSTOS!$M$30)&lt;&gt;0,1/(1 - CUSTOS!$M$30),1)</f>
        <v>1</v>
      </c>
    </row>
    <row r="56" spans="1:42" ht="11.25" customHeight="1" x14ac:dyDescent="0.25">
      <c r="A56" s="136" t="s">
        <v>39</v>
      </c>
      <c r="B56" s="136" t="s">
        <v>37</v>
      </c>
      <c r="C56" s="136" t="s">
        <v>25</v>
      </c>
      <c r="D56" s="136" t="s">
        <v>25</v>
      </c>
      <c r="E56" s="136" t="s">
        <v>25</v>
      </c>
      <c r="F56" s="136" t="s">
        <v>25</v>
      </c>
      <c r="G56" s="21" t="s">
        <v>91</v>
      </c>
      <c r="H56" s="21" t="s">
        <v>90</v>
      </c>
      <c r="I56" s="21">
        <f>'MERCADO TUSD'!$U$53</f>
        <v>133.833</v>
      </c>
      <c r="J56" s="17"/>
      <c r="L56" s="19">
        <f>1*(1 - CUSTOS!$M$31)</f>
        <v>1</v>
      </c>
      <c r="M56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CUSTOS!$M$31)</f>
        <v>0.87712132573973334</v>
      </c>
      <c r="N56" s="19">
        <f ca="1">(+M56+O56+R56+U56+V56+W56+X56+Y56+Z56+AA56+AC56+AH56+AI56+AJ56+AK56)*CUSTOS!$M$5</f>
        <v>9.8181461528349807</v>
      </c>
      <c r="O56" s="19">
        <f>1 - CUSTOS!$M$31</f>
        <v>1</v>
      </c>
      <c r="P56" s="19">
        <f>1 - CUSTOS!$M$31</f>
        <v>1</v>
      </c>
      <c r="Q56" s="19">
        <f>1*(1 - CUSTOS!$M$31)</f>
        <v>1</v>
      </c>
      <c r="R56" s="19">
        <f>1 - CUSTOS!$M$31</f>
        <v>1</v>
      </c>
      <c r="S56" s="19">
        <f>1 - CUSTOS!$M$31</f>
        <v>1</v>
      </c>
      <c r="T56" s="19"/>
      <c r="U56" s="19">
        <f>TRANSICAO!$U$56*CUSTOS!$T$3</f>
        <v>106.34780000000001</v>
      </c>
      <c r="V56" s="19">
        <f>TRANSICAO!$V$56*CUSTOS!$T$3</f>
        <v>26.223800000000001</v>
      </c>
      <c r="W56" s="19">
        <f>TRANSICAO!$W$56*CUSTOS!$T$3</f>
        <v>5.8764000000000003</v>
      </c>
      <c r="X56" s="19">
        <f>TRANSICAO!$X$56*CUSTOS!$T$3</f>
        <v>0</v>
      </c>
      <c r="Y56" s="19">
        <f>TRANSICAO!$Y$56*CUSTOS!$T$3</f>
        <v>2.4721000000000002</v>
      </c>
      <c r="Z56" s="19">
        <f>TRANSICAO!$Z$56*CUSTOS!$T$3</f>
        <v>0</v>
      </c>
      <c r="AA56" s="19">
        <f>TRANSICAO!$AA$56*CUSTOS!$T$3</f>
        <v>0</v>
      </c>
      <c r="AB56" s="19">
        <f>TRANSICAO!$AB$56*CUSTOS!$T$3</f>
        <v>0</v>
      </c>
      <c r="AC56" s="19">
        <f>TRANSICAO!$AC$56*CUSTOS!$T$3</f>
        <v>699.78520000000003</v>
      </c>
      <c r="AD56" s="19">
        <f>TRANSICAO!$AD$56*CUSTOS!$T$3</f>
        <v>0</v>
      </c>
      <c r="AE56" s="19">
        <v>0</v>
      </c>
      <c r="AF56" s="19">
        <v>0</v>
      </c>
      <c r="AG56" s="19"/>
      <c r="AH56" s="19">
        <f>(1 - CUSTOS!$M$31)*36.428</f>
        <v>36.427999999999997</v>
      </c>
      <c r="AI56" s="19">
        <f>(1 - CUSTOS!$M$31)*36.428</f>
        <v>36.427999999999997</v>
      </c>
      <c r="AJ56" s="19">
        <f ca="1">$N$76*(1-CUSTOS!$M$31)</f>
        <v>32.688096978879159</v>
      </c>
      <c r="AK56" s="19">
        <f t="shared" ca="1" si="1"/>
        <v>32.688096978879159</v>
      </c>
      <c r="AL56" s="19"/>
      <c r="AM56" s="19"/>
      <c r="AP56" s="19">
        <f>IF((1 - CUSTOS!$M$31)&lt;&gt;0,1/(1 - CUSTOS!$M$31),1)</f>
        <v>1</v>
      </c>
    </row>
    <row r="57" spans="1:42" ht="11.25" customHeight="1" x14ac:dyDescent="0.25">
      <c r="A57" s="136"/>
      <c r="B57" s="136"/>
      <c r="C57" s="136"/>
      <c r="D57" s="136"/>
      <c r="E57" s="136"/>
      <c r="F57" s="136"/>
      <c r="G57" s="21" t="s">
        <v>101</v>
      </c>
      <c r="H57" s="21" t="s">
        <v>90</v>
      </c>
      <c r="I57" s="21">
        <f>'MERCADO TUSD'!$U$54</f>
        <v>132.79500000000002</v>
      </c>
      <c r="J57" s="17"/>
      <c r="L57" s="19">
        <f>1*(1 - CUSTOS!$M$31)</f>
        <v>1</v>
      </c>
      <c r="M57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CUSTOS!$M$31)</f>
        <v>0.87712132573973334</v>
      </c>
      <c r="N57" s="19">
        <f ca="1">(+M57+O57+R57+U57+V57+W57+X57+Y57+Z57+AA57+AC57+AH57+AI57+AJ57+AK57)*CUSTOS!$M$5</f>
        <v>6.4553261528349797</v>
      </c>
      <c r="O57" s="19">
        <f>1 - CUSTOS!$M$31</f>
        <v>1</v>
      </c>
      <c r="P57" s="19">
        <f>1 - CUSTOS!$M$31</f>
        <v>1</v>
      </c>
      <c r="Q57" s="19">
        <f>1*(1 - CUSTOS!$M$31)</f>
        <v>1</v>
      </c>
      <c r="R57" s="19">
        <f>1 - CUSTOS!$M$31</f>
        <v>1</v>
      </c>
      <c r="S57" s="19">
        <f>1 - CUSTOS!$M$31</f>
        <v>1</v>
      </c>
      <c r="T57" s="19"/>
      <c r="U57" s="19">
        <f>TRANSICAO!$U$57*CUSTOS!$T$3</f>
        <v>63.808700000000002</v>
      </c>
      <c r="V57" s="19">
        <f>TRANSICAO!$V$57*CUSTOS!$T$3</f>
        <v>15.734299999999999</v>
      </c>
      <c r="W57" s="19">
        <f>TRANSICAO!$W$57*CUSTOS!$T$3</f>
        <v>3.5259</v>
      </c>
      <c r="X57" s="19">
        <f>TRANSICAO!$X$57*CUSTOS!$T$3</f>
        <v>0</v>
      </c>
      <c r="Y57" s="19">
        <f>TRANSICAO!$Y$57*CUSTOS!$T$3</f>
        <v>1.4833000000000001</v>
      </c>
      <c r="Z57" s="19">
        <f>TRANSICAO!$Z$57*CUSTOS!$T$3</f>
        <v>0</v>
      </c>
      <c r="AA57" s="19">
        <f>TRANSICAO!$AA$57*CUSTOS!$T$3</f>
        <v>0</v>
      </c>
      <c r="AB57" s="19">
        <f>TRANSICAO!$AB$57*CUSTOS!$T$3</f>
        <v>0</v>
      </c>
      <c r="AC57" s="19">
        <f>TRANSICAO!$AC$57*CUSTOS!$T$3</f>
        <v>419.87110000000001</v>
      </c>
      <c r="AD57" s="19">
        <f>TRANSICAO!$AD$57*CUSTOS!$T$3</f>
        <v>0</v>
      </c>
      <c r="AE57" s="19">
        <v>0</v>
      </c>
      <c r="AF57" s="19">
        <v>0</v>
      </c>
      <c r="AG57" s="19"/>
      <c r="AH57" s="19">
        <f>(1 - CUSTOS!$M$31)*36.428</f>
        <v>36.427999999999997</v>
      </c>
      <c r="AI57" s="19">
        <f>(1 - CUSTOS!$M$31)*36.428</f>
        <v>36.427999999999997</v>
      </c>
      <c r="AJ57" s="19">
        <f ca="1">$N$76*(1-CUSTOS!$M$31)</f>
        <v>32.688096978879159</v>
      </c>
      <c r="AK57" s="19">
        <f t="shared" ca="1" si="1"/>
        <v>32.688096978879159</v>
      </c>
      <c r="AL57" s="19"/>
      <c r="AM57" s="19"/>
      <c r="AP57" s="19">
        <f>IF((1 - CUSTOS!$M$31)&lt;&gt;0,1/(1 - CUSTOS!$M$31),1)</f>
        <v>1</v>
      </c>
    </row>
    <row r="58" spans="1:42" ht="11.25" customHeight="1" x14ac:dyDescent="0.25">
      <c r="A58" s="136"/>
      <c r="B58" s="136"/>
      <c r="C58" s="136"/>
      <c r="D58" s="136"/>
      <c r="E58" s="136"/>
      <c r="F58" s="136"/>
      <c r="G58" s="21" t="s">
        <v>92</v>
      </c>
      <c r="H58" s="21" t="s">
        <v>90</v>
      </c>
      <c r="I58" s="21">
        <f>'MERCADO TUSD'!$U$55</f>
        <v>2117.7150000000001</v>
      </c>
      <c r="J58" s="17"/>
      <c r="L58" s="19">
        <f>1*(1 - CUSTOS!$M$31)</f>
        <v>1</v>
      </c>
      <c r="M58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CUSTOS!$M$31)</f>
        <v>0.87712132573973334</v>
      </c>
      <c r="N58" s="19">
        <f ca="1">(+M58+O58+R58+U58+V58+W58+X58+Y58+Z58+AA58+AC58+AH58+AI58+AJ58+AK58)*CUSTOS!$M$5</f>
        <v>3.0925041528349806</v>
      </c>
      <c r="O58" s="19">
        <f>1 - CUSTOS!$M$31</f>
        <v>1</v>
      </c>
      <c r="P58" s="19">
        <f>1 - CUSTOS!$M$31</f>
        <v>1</v>
      </c>
      <c r="Q58" s="19">
        <f>1*(1 - CUSTOS!$M$31)</f>
        <v>1</v>
      </c>
      <c r="R58" s="19">
        <f>1 - CUSTOS!$M$31</f>
        <v>1</v>
      </c>
      <c r="S58" s="19">
        <f>1 - CUSTOS!$M$31</f>
        <v>1</v>
      </c>
      <c r="T58" s="19"/>
      <c r="U58" s="19">
        <f>TRANSICAO!$U$58*CUSTOS!$T$3</f>
        <v>21.269600000000001</v>
      </c>
      <c r="V58" s="19">
        <f>TRANSICAO!$V$58*CUSTOS!$T$3</f>
        <v>5.2447999999999997</v>
      </c>
      <c r="W58" s="19">
        <f>TRANSICAO!$W$58*CUSTOS!$T$3</f>
        <v>1.1753</v>
      </c>
      <c r="X58" s="19">
        <f>TRANSICAO!$X$58*CUSTOS!$T$3</f>
        <v>0</v>
      </c>
      <c r="Y58" s="19">
        <f>TRANSICAO!$Y$58*CUSTOS!$T$3</f>
        <v>0.49440000000000001</v>
      </c>
      <c r="Z58" s="19">
        <f>TRANSICAO!$Z$58*CUSTOS!$T$3</f>
        <v>0</v>
      </c>
      <c r="AA58" s="19">
        <f>TRANSICAO!$AA$58*CUSTOS!$T$3</f>
        <v>0</v>
      </c>
      <c r="AB58" s="19">
        <f>TRANSICAO!$AB$58*CUSTOS!$T$3</f>
        <v>0</v>
      </c>
      <c r="AC58" s="19">
        <f>TRANSICAO!$AC$58*CUSTOS!$T$3</f>
        <v>139.95699999999999</v>
      </c>
      <c r="AD58" s="19">
        <f>TRANSICAO!$AD$58*CUSTOS!$T$3</f>
        <v>0</v>
      </c>
      <c r="AE58" s="19">
        <v>0</v>
      </c>
      <c r="AF58" s="19">
        <v>0</v>
      </c>
      <c r="AG58" s="19"/>
      <c r="AH58" s="19">
        <f>(1 - CUSTOS!$M$31)*36.428</f>
        <v>36.427999999999997</v>
      </c>
      <c r="AI58" s="19">
        <f>(1 - CUSTOS!$M$31)*36.428</f>
        <v>36.427999999999997</v>
      </c>
      <c r="AJ58" s="19">
        <f ca="1">$N$76*(1-CUSTOS!$M$31)</f>
        <v>32.688096978879159</v>
      </c>
      <c r="AK58" s="19">
        <f t="shared" ca="1" si="1"/>
        <v>32.688096978879159</v>
      </c>
      <c r="AL58" s="19"/>
      <c r="AM58" s="19"/>
      <c r="AP58" s="19">
        <f>IF((1 - CUSTOS!$M$31)&lt;&gt;0,1/(1 - CUSTOS!$M$31),1)</f>
        <v>1</v>
      </c>
    </row>
    <row r="59" spans="1:42" ht="11.25" customHeight="1" x14ac:dyDescent="0.25">
      <c r="A59" s="136"/>
      <c r="B59" s="22" t="s">
        <v>23</v>
      </c>
      <c r="C59" s="22" t="s">
        <v>25</v>
      </c>
      <c r="D59" s="22" t="s">
        <v>25</v>
      </c>
      <c r="E59" s="22" t="s">
        <v>25</v>
      </c>
      <c r="F59" s="22" t="s">
        <v>25</v>
      </c>
      <c r="G59" s="21" t="s">
        <v>96</v>
      </c>
      <c r="H59" s="21" t="s">
        <v>90</v>
      </c>
      <c r="I59" s="21">
        <f>'MERCADO TUSD'!$U$56</f>
        <v>505530.49800000002</v>
      </c>
      <c r="J59" s="17"/>
      <c r="L59" s="19">
        <f>1*(1 - CUSTOS!$M$31)</f>
        <v>1</v>
      </c>
      <c r="M59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CUSTOS!$M$31)</f>
        <v>0.87712132573973334</v>
      </c>
      <c r="N59" s="19">
        <f ca="1">(+M59+O59+R59+U59+V59+W59+X59+Y59+Z59+AA59+AC59+AH59+AI59+AJ59+AK59)*CUSTOS!$M$5</f>
        <v>3.9586841528349805</v>
      </c>
      <c r="O59" s="19">
        <f>1 - CUSTOS!$M$31</f>
        <v>1</v>
      </c>
      <c r="P59" s="19">
        <f>1 - CUSTOS!$M$31</f>
        <v>1</v>
      </c>
      <c r="Q59" s="19">
        <f>1*(1 - CUSTOS!$M$31)</f>
        <v>1</v>
      </c>
      <c r="R59" s="19">
        <f>1 - CUSTOS!$M$31</f>
        <v>1</v>
      </c>
      <c r="S59" s="19">
        <f>1 - CUSTOS!$M$31</f>
        <v>1</v>
      </c>
      <c r="T59" s="19"/>
      <c r="U59" s="19">
        <f>TRANSICAO!$U$59*CUSTOS!$T$3</f>
        <v>32.226599999999998</v>
      </c>
      <c r="V59" s="19">
        <f>TRANSICAO!$V$59*CUSTOS!$T$3</f>
        <v>7.9466000000000001</v>
      </c>
      <c r="W59" s="19">
        <f>TRANSICAO!$W$59*CUSTOS!$T$3</f>
        <v>1.7806999999999999</v>
      </c>
      <c r="X59" s="19">
        <f>TRANSICAO!$X$59*CUSTOS!$T$3</f>
        <v>0</v>
      </c>
      <c r="Y59" s="19">
        <f>TRANSICAO!$Y$59*CUSTOS!$T$3</f>
        <v>0.74909999999999999</v>
      </c>
      <c r="Z59" s="19">
        <f>TRANSICAO!$Z$59*CUSTOS!$T$3</f>
        <v>0</v>
      </c>
      <c r="AA59" s="19">
        <f>TRANSICAO!$AA$59*CUSTOS!$T$3</f>
        <v>0</v>
      </c>
      <c r="AB59" s="19">
        <f>TRANSICAO!$AB$59*CUSTOS!$T$3</f>
        <v>0</v>
      </c>
      <c r="AC59" s="19">
        <f>TRANSICAO!$AC$59*CUSTOS!$T$3</f>
        <v>212.05609999999999</v>
      </c>
      <c r="AD59" s="19">
        <f>TRANSICAO!$AD$59*CUSTOS!$T$3</f>
        <v>0</v>
      </c>
      <c r="AE59" s="19">
        <v>0</v>
      </c>
      <c r="AF59" s="19">
        <v>0</v>
      </c>
      <c r="AG59" s="19"/>
      <c r="AH59" s="19">
        <f>(1 - CUSTOS!$M$31)*36.428</f>
        <v>36.427999999999997</v>
      </c>
      <c r="AI59" s="19">
        <f>(1 - CUSTOS!$M$31)*36.428</f>
        <v>36.427999999999997</v>
      </c>
      <c r="AJ59" s="19">
        <f ca="1">$N$76*(1-CUSTOS!$M$31)</f>
        <v>32.688096978879159</v>
      </c>
      <c r="AK59" s="19">
        <f t="shared" ca="1" si="1"/>
        <v>32.688096978879159</v>
      </c>
      <c r="AL59" s="19"/>
      <c r="AM59" s="19"/>
      <c r="AP59" s="19">
        <f>IF((1 - CUSTOS!$M$31)&lt;&gt;0,1/(1 - CUSTOS!$M$31),1)</f>
        <v>1</v>
      </c>
    </row>
    <row r="60" spans="1:42" ht="11.25" customHeight="1" x14ac:dyDescent="0.25">
      <c r="A60" s="136"/>
      <c r="B60" s="22" t="s">
        <v>103</v>
      </c>
      <c r="C60" s="22" t="s">
        <v>25</v>
      </c>
      <c r="D60" s="22" t="s">
        <v>25</v>
      </c>
      <c r="E60" s="22" t="s">
        <v>25</v>
      </c>
      <c r="F60" s="22" t="s">
        <v>25</v>
      </c>
      <c r="G60" s="21" t="s">
        <v>96</v>
      </c>
      <c r="H60" s="21" t="s">
        <v>90</v>
      </c>
      <c r="I60" s="21">
        <f>'MERCADO TUSD'!$U$57</f>
        <v>0</v>
      </c>
      <c r="J60" s="17"/>
      <c r="L60" s="19">
        <f>1*(1 - CUSTOS!$M$31)</f>
        <v>1</v>
      </c>
      <c r="M60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CUSTOS!$M$31)</f>
        <v>0.87712132573973334</v>
      </c>
      <c r="N60" s="19">
        <f ca="1">(+M60+O60+R60+U60+V60+W60+X60+Y60+Z60+AA60+AC60+AH60+AI60+AJ60+AK60)*CUSTOS!$M$5</f>
        <v>3.9586841528349805</v>
      </c>
      <c r="O60" s="19">
        <f>1 - CUSTOS!$M$31</f>
        <v>1</v>
      </c>
      <c r="P60" s="19">
        <f>1 - CUSTOS!$M$31</f>
        <v>1</v>
      </c>
      <c r="Q60" s="19">
        <f>1*(1 - CUSTOS!$M$31)</f>
        <v>1</v>
      </c>
      <c r="R60" s="19">
        <f>1 - CUSTOS!$M$31</f>
        <v>1</v>
      </c>
      <c r="S60" s="19">
        <f>1 - CUSTOS!$M$31</f>
        <v>1</v>
      </c>
      <c r="T60" s="19"/>
      <c r="U60" s="19">
        <f>TRANSICAO!$U$60*CUSTOS!$T$3</f>
        <v>32.226599999999998</v>
      </c>
      <c r="V60" s="19">
        <f>TRANSICAO!$V$60*CUSTOS!$T$3</f>
        <v>7.9466000000000001</v>
      </c>
      <c r="W60" s="19">
        <f>TRANSICAO!$W$60*CUSTOS!$T$3</f>
        <v>1.7806999999999999</v>
      </c>
      <c r="X60" s="19">
        <f>TRANSICAO!$X$60*CUSTOS!$T$3</f>
        <v>0</v>
      </c>
      <c r="Y60" s="19">
        <f>TRANSICAO!$Y$60*CUSTOS!$T$3</f>
        <v>0.74909999999999999</v>
      </c>
      <c r="Z60" s="19">
        <f>TRANSICAO!$Z$60*CUSTOS!$T$3</f>
        <v>0</v>
      </c>
      <c r="AA60" s="19">
        <f>TRANSICAO!$AA$60*CUSTOS!$T$3</f>
        <v>0</v>
      </c>
      <c r="AB60" s="19">
        <f>TRANSICAO!$AB$60*CUSTOS!$T$3</f>
        <v>0</v>
      </c>
      <c r="AC60" s="19">
        <f>TRANSICAO!$AC$60*CUSTOS!$T$3</f>
        <v>212.05609999999999</v>
      </c>
      <c r="AD60" s="19">
        <f>TRANSICAO!$AD$60*CUSTOS!$T$3</f>
        <v>0</v>
      </c>
      <c r="AE60" s="19">
        <v>0</v>
      </c>
      <c r="AF60" s="19">
        <v>0</v>
      </c>
      <c r="AG60" s="19"/>
      <c r="AH60" s="19">
        <f>(1 - CUSTOS!$M$31)*36.428</f>
        <v>36.427999999999997</v>
      </c>
      <c r="AI60" s="19">
        <f>(1 - CUSTOS!$M$31)*36.428</f>
        <v>36.427999999999997</v>
      </c>
      <c r="AJ60" s="19">
        <f ca="1">$N$76*(1-CUSTOS!$M$31)</f>
        <v>32.688096978879159</v>
      </c>
      <c r="AK60" s="19">
        <f t="shared" ca="1" si="1"/>
        <v>32.688096978879159</v>
      </c>
      <c r="AL60" s="19"/>
      <c r="AM60" s="19"/>
      <c r="AP60" s="19">
        <f>IF((1 - CUSTOS!$M$31)&lt;&gt;0,1/(1 - CUSTOS!$M$31),1)</f>
        <v>1</v>
      </c>
    </row>
    <row r="61" spans="1:42" ht="11.25" customHeight="1" x14ac:dyDescent="0.25">
      <c r="A61" s="136" t="s">
        <v>47</v>
      </c>
      <c r="B61" s="136" t="s">
        <v>23</v>
      </c>
      <c r="C61" s="136" t="s">
        <v>48</v>
      </c>
      <c r="D61" s="22" t="s">
        <v>49</v>
      </c>
      <c r="E61" s="22" t="s">
        <v>25</v>
      </c>
      <c r="F61" s="22" t="s">
        <v>25</v>
      </c>
      <c r="G61" s="21" t="s">
        <v>96</v>
      </c>
      <c r="H61" s="21" t="s">
        <v>90</v>
      </c>
      <c r="I61" s="21">
        <f>'MERCADO TUSD'!$U$58</f>
        <v>259602.97000000003</v>
      </c>
      <c r="J61" s="17"/>
      <c r="L61" s="19">
        <f>1*(1 - CUSTOS!$M$32)</f>
        <v>0.55000000000000004</v>
      </c>
      <c r="M61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CUSTOS!$M$32)</f>
        <v>0.48241672915685335</v>
      </c>
      <c r="N61" s="19">
        <f ca="1">(+M61+O61+R61+U61+V61+W61+X61+Y61+Z61+AA61+AC61+AH61+AI61+AJ61+AK61)*CUSTOS!$M$5</f>
        <v>2.1772762840592397</v>
      </c>
      <c r="O61" s="19">
        <f>1 - CUSTOS!$M$32</f>
        <v>0.55000000000000004</v>
      </c>
      <c r="P61" s="19">
        <f>1 - CUSTOS!$M$32</f>
        <v>0.55000000000000004</v>
      </c>
      <c r="Q61" s="19">
        <f>1*(1 - CUSTOS!$M$32)</f>
        <v>0.55000000000000004</v>
      </c>
      <c r="R61" s="19">
        <f>1 - CUSTOS!$M$32</f>
        <v>0.55000000000000004</v>
      </c>
      <c r="S61" s="19">
        <f>1 - CUSTOS!$M$32</f>
        <v>0.55000000000000004</v>
      </c>
      <c r="T61" s="19"/>
      <c r="U61" s="19">
        <f>TRANSICAO!$U$61*CUSTOS!$T$3</f>
        <v>17.724630000000001</v>
      </c>
      <c r="V61" s="19">
        <f>TRANSICAO!$V$61*CUSTOS!$T$3</f>
        <v>4.3706300000000002</v>
      </c>
      <c r="W61" s="19">
        <f>TRANSICAO!$W$61*CUSTOS!$T$3</f>
        <v>0.97938500000000006</v>
      </c>
      <c r="X61" s="19">
        <f>TRANSICAO!$X$61*CUSTOS!$T$3</f>
        <v>0</v>
      </c>
      <c r="Y61" s="19">
        <f>TRANSICAO!$Y$61*CUSTOS!$T$3</f>
        <v>0.41200500000000001</v>
      </c>
      <c r="Z61" s="19">
        <f>TRANSICAO!$Z$61*CUSTOS!$T$3</f>
        <v>0</v>
      </c>
      <c r="AA61" s="19">
        <f>TRANSICAO!$AA$61*CUSTOS!$T$3</f>
        <v>0</v>
      </c>
      <c r="AB61" s="19">
        <f>TRANSICAO!$AB$61*CUSTOS!$T$3</f>
        <v>0</v>
      </c>
      <c r="AC61" s="19">
        <f>TRANSICAO!$AC$61*CUSTOS!$T$3</f>
        <v>116.630855</v>
      </c>
      <c r="AD61" s="19">
        <f>TRANSICAO!$AD$61*CUSTOS!$T$3</f>
        <v>0</v>
      </c>
      <c r="AE61" s="19">
        <v>0</v>
      </c>
      <c r="AF61" s="19">
        <v>0</v>
      </c>
      <c r="AG61" s="19"/>
      <c r="AH61" s="19">
        <f>(1 - CUSTOS!$M$32)*36.428</f>
        <v>20.035399999999999</v>
      </c>
      <c r="AI61" s="19">
        <f>(1 - CUSTOS!$M$32)*36.428</f>
        <v>20.035399999999999</v>
      </c>
      <c r="AJ61" s="19">
        <f ca="1">$N$76*(1-CUSTOS!$M$32)</f>
        <v>17.978453338383538</v>
      </c>
      <c r="AK61" s="19">
        <f t="shared" ca="1" si="1"/>
        <v>17.978453338383538</v>
      </c>
      <c r="AL61" s="19"/>
      <c r="AM61" s="19"/>
      <c r="AP61" s="19">
        <f>IF((1 - CUSTOS!$M$32)&lt;&gt;0,1/(1 - CUSTOS!$M$32),1)</f>
        <v>1.8181818181818181</v>
      </c>
    </row>
    <row r="62" spans="1:42" ht="11.25" customHeight="1" x14ac:dyDescent="0.25">
      <c r="A62" s="136"/>
      <c r="B62" s="136"/>
      <c r="C62" s="136"/>
      <c r="D62" s="21" t="s">
        <v>106</v>
      </c>
      <c r="E62" s="21" t="s">
        <v>25</v>
      </c>
      <c r="F62" s="21" t="s">
        <v>25</v>
      </c>
      <c r="G62" s="21" t="s">
        <v>96</v>
      </c>
      <c r="H62" s="21" t="s">
        <v>90</v>
      </c>
      <c r="I62" s="21">
        <f>'MERCADO TUSD'!$U$59</f>
        <v>0</v>
      </c>
      <c r="J62" s="17"/>
      <c r="L62" s="19">
        <f>1*(1 - CUSTOS!$M$33)</f>
        <v>0.6</v>
      </c>
      <c r="M62" s="19">
        <f>IF(AND((+$I$28+$I$29+$I$30+$I$31+$I$32+$I$33+$I$34+$I$35+$I$36+$I$37+$I$38+$I$39+$I$40+$I$41+$I$42+$I$43+$I$44+$I$45+$I$46+$I$47+$I$48+$I$49+$I$50+$I$51+$I$52+$I$53+$I$54+$I$55+$I$56+$I$57+$I$58+$I$59+$I$60+$I$61+$I$62)&lt;&gt;0,SUMPRODUCT($I$5:$I$62,$AC$5:$AC$62,$AP$5:$AP$62)&lt;&gt;0),$M$67*SUMPRODUCT($I$28:$I$62,$AC$28:$AC$62,$AP$28:$AP$62)/SUMPRODUCT($I$5:$I$62,$AC$5:$AC$62,$AP$5:$AP$62)/(+$I$28+$I$29+$I$30+$I$31+$I$32+$I$33+$I$34+$I$35+$I$36+$I$37+$I$38+$I$39+$I$40+$I$41+$I$42+$I$43+$I$44+$I$45+$I$46+$I$47+$I$48+$I$49+$I$50+$I$51+$I$52+$I$53+$I$54+$I$55+$I$56+$I$57+$I$58+$I$59+$I$60+$I$61+$I$62),0)*(1 - CUSTOS!$M$33)</f>
        <v>0.52627279544383998</v>
      </c>
      <c r="N62" s="19">
        <f ca="1">(+M62+O62+R62+U62+V62+W62+X62+Y62+Z62+AA62+AC62+AH62+AI62+AJ62+AK62)*CUSTOS!$M$5</f>
        <v>2.3752104917009884</v>
      </c>
      <c r="O62" s="19">
        <f>1 - CUSTOS!$M$33</f>
        <v>0.6</v>
      </c>
      <c r="P62" s="19">
        <f>1 - CUSTOS!$M$33</f>
        <v>0.6</v>
      </c>
      <c r="Q62" s="19">
        <f>1*(1 - CUSTOS!$M$33)</f>
        <v>0.6</v>
      </c>
      <c r="R62" s="19">
        <f>1 - CUSTOS!$M$33</f>
        <v>0.6</v>
      </c>
      <c r="S62" s="19">
        <f>1 - CUSTOS!$M$33</f>
        <v>0.6</v>
      </c>
      <c r="T62" s="19"/>
      <c r="U62" s="19">
        <f>TRANSICAO!$U$62*CUSTOS!$T$3</f>
        <v>19.335959999999996</v>
      </c>
      <c r="V62" s="19">
        <f>TRANSICAO!$V$62*CUSTOS!$T$3</f>
        <v>4.7679599999999995</v>
      </c>
      <c r="W62" s="19">
        <f>TRANSICAO!$W$62*CUSTOS!$T$3</f>
        <v>1.0684199999999999</v>
      </c>
      <c r="X62" s="19">
        <f>TRANSICAO!$X$62*CUSTOS!$T$3</f>
        <v>0</v>
      </c>
      <c r="Y62" s="19">
        <f>TRANSICAO!$Y$62*CUSTOS!$T$3</f>
        <v>0.44945999999999997</v>
      </c>
      <c r="Z62" s="19">
        <f>TRANSICAO!$Z$62*CUSTOS!$T$3</f>
        <v>0</v>
      </c>
      <c r="AA62" s="19">
        <f>TRANSICAO!$AA$62*CUSTOS!$T$3</f>
        <v>0</v>
      </c>
      <c r="AB62" s="19">
        <f>TRANSICAO!$AB$62*CUSTOS!$T$3</f>
        <v>0</v>
      </c>
      <c r="AC62" s="19">
        <f>TRANSICAO!$AC$62*CUSTOS!$T$3</f>
        <v>127.23365999999999</v>
      </c>
      <c r="AD62" s="19">
        <f>TRANSICAO!$AD$62*CUSTOS!$T$3</f>
        <v>0</v>
      </c>
      <c r="AE62" s="19">
        <v>0</v>
      </c>
      <c r="AF62" s="19">
        <v>0</v>
      </c>
      <c r="AG62" s="19"/>
      <c r="AH62" s="19">
        <f>(1 - CUSTOS!$M$33)*36.428</f>
        <v>21.856799999999996</v>
      </c>
      <c r="AI62" s="19">
        <f>(1 - CUSTOS!$M$33)*36.428</f>
        <v>21.856799999999996</v>
      </c>
      <c r="AJ62" s="19">
        <f ca="1">$N$76*(1-CUSTOS!$M$33)</f>
        <v>19.612858187327493</v>
      </c>
      <c r="AK62" s="19">
        <f t="shared" ca="1" si="1"/>
        <v>19.612858187327493</v>
      </c>
      <c r="AL62" s="19"/>
      <c r="AM62" s="19"/>
      <c r="AP62" s="19">
        <f>IF((1 - CUSTOS!$M$33)&lt;&gt;0,1/(1 - CUSTOS!$M$33),1)</f>
        <v>1.6666666666666667</v>
      </c>
    </row>
    <row r="64" spans="1:42" ht="11.25" customHeight="1" x14ac:dyDescent="0.25">
      <c r="K64" s="18" t="s">
        <v>857</v>
      </c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</row>
    <row r="65" spans="11:39" ht="11.25" customHeight="1" x14ac:dyDescent="0.25">
      <c r="K65" s="18" t="s">
        <v>858</v>
      </c>
      <c r="L65" s="19">
        <f>IF(ISERROR(+SUMPRODUCT($L$12:$L$12,$I$12:$I$12)),0,+SUMPRODUCT($L$12:$L$12,$I$12:$I$12))</f>
        <v>0</v>
      </c>
      <c r="M65" s="19">
        <f>IF(ISERROR(+SUMPRODUCT($M$12:$M$12,$I$12:$I$12)),0,+SUMPRODUCT($M$12:$M$12,$I$12:$I$12))</f>
        <v>72838.551379976096</v>
      </c>
      <c r="N65" s="19">
        <f>IF(ISERROR(+SUMPRODUCT($N$12:$N$12,$I$12:$I$12)),0,+SUMPRODUCT($N$12:$N$12,$I$12:$I$12))</f>
        <v>191674.84905209762</v>
      </c>
      <c r="O65" s="19">
        <f>IF(ISERROR(+SUMPRODUCT($O$12:$O$12,$I$12:$I$12)),0,+SUMPRODUCT($O$12:$O$12,$I$12:$I$12))</f>
        <v>5877.0622868272749</v>
      </c>
      <c r="P65" s="19">
        <f>IF(ISERROR(+SUMPRODUCT($P$12:$P$12,$I$12:$I$12)),0,+SUMPRODUCT($P$12:$P$12,$I$12:$I$12))</f>
        <v>0</v>
      </c>
      <c r="Q65" s="19">
        <f>IF(ISERROR(+SUMPRODUCT($Q$12:$Q$12,$I$12:$I$12)),0,+SUMPRODUCT($Q$12:$Q$12,$I$12:$I$12))</f>
        <v>0</v>
      </c>
      <c r="R65" s="19">
        <f>IF(ISERROR(+SUMPRODUCT($R$12:$R$12,$I$12:$I$12)),0,+SUMPRODUCT($R$12:$R$12,$I$12:$I$12))</f>
        <v>0</v>
      </c>
      <c r="S65" s="19">
        <f>IF(ISERROR(+SUMPRODUCT($S$12:$S$12,$I$12:$I$12)),0,+SUMPRODUCT($S$12:$S$12,$I$12:$I$12))</f>
        <v>0</v>
      </c>
      <c r="T65" s="19"/>
      <c r="U65" s="19">
        <f>IF(ISERROR(+SUMPRODUCT($U$12:$U$12,$I$12:$I$12)),0,+SUMPRODUCT($U$12:$U$12,$I$12:$I$12))</f>
        <v>0</v>
      </c>
      <c r="V65" s="19">
        <f>IF(ISERROR(+SUMPRODUCT($V$12:$V$12,$I$12:$I$12)),0,+SUMPRODUCT($V$12:$V$12,$I$12:$I$12))</f>
        <v>0</v>
      </c>
      <c r="W65" s="19">
        <f>IF(ISERROR(+SUMPRODUCT($W$12:$W$12,$I$12:$I$12)),0,+SUMPRODUCT($W$12:$W$12,$I$12:$I$12))</f>
        <v>203098.27919373786</v>
      </c>
      <c r="X65" s="19">
        <f>IF(ISERROR(+SUMPRODUCT($X$12:$X$12,$I$12:$I$12)),0,+SUMPRODUCT($X$12:$X$12,$I$12:$I$12))</f>
        <v>0</v>
      </c>
      <c r="Y65" s="19">
        <f>IF(ISERROR(+SUMPRODUCT($Y$12:$Y$12,$I$12:$I$12)),0,+SUMPRODUCT($Y$12:$Y$12,$I$12:$I$12))</f>
        <v>243532.75007978838</v>
      </c>
      <c r="Z65" s="19">
        <f>IF(ISERROR(+SUMPRODUCT($Z$12:$Z$12,$I$12:$I$12)),0,+SUMPRODUCT($Z$12:$Z$12,$I$12:$I$12))</f>
        <v>0</v>
      </c>
      <c r="AA65" s="19">
        <f>IF(ISERROR(+SUMPRODUCT($AA$12:$AA$12,$I$12:$I$12)),0,+SUMPRODUCT($AA$12:$AA$12,$I$12:$I$12))</f>
        <v>0</v>
      </c>
      <c r="AB65" s="19"/>
      <c r="AC65" s="19">
        <f>IF(ISERROR(+SUMPRODUCT($AC$12:$AC$12,$I$12:$I$12)),0,+SUMPRODUCT($AC$12:$AC$12,$I$12:$I$12))</f>
        <v>13390219.880062742</v>
      </c>
      <c r="AD65" s="19"/>
      <c r="AE65" s="19">
        <f>IF(ISERROR(+SUMPRODUCT($AE$12:$AE$12,$I$12:$I$12)),0,+SUMPRODUCT($AE$12:$AE$12,$I$12:$I$12))</f>
        <v>0</v>
      </c>
      <c r="AF65" s="19">
        <f>IF(ISERROR(+SUMPRODUCT($AF$12:$AF$12,$I$12:$I$12)),0,+SUMPRODUCT($AF$12:$AF$12,$I$12:$I$12))</f>
        <v>0</v>
      </c>
      <c r="AG65" s="19"/>
      <c r="AH65" s="19">
        <f>IF(ISERROR(+SUMPRODUCT($AH$12:$AH$12,$I$12:$I$12)),0,+SUMPRODUCT($AH$12:$AH$12,$I$12:$I$12))</f>
        <v>979867.89784908493</v>
      </c>
      <c r="AI65" s="19">
        <f>IF(ISERROR(+SUMPRODUCT($AI$12:$AI$12,$I$12:$I$12)),0,+SUMPRODUCT($AI$12:$AI$12,$I$12:$I$12))</f>
        <v>215061.87984816372</v>
      </c>
      <c r="AJ65" s="19">
        <f>IF(ISERROR(+SUMPRODUCT($AJ$12:$AJ$12,$I$12:$I$12)),0,+SUMPRODUCT($AJ$12:$AJ$12,$I$12:$I$12))</f>
        <v>0</v>
      </c>
      <c r="AK65" s="19">
        <f>IF(ISERROR(+SUMPRODUCT($AK$12:$AK$12,$I$12:$I$12)),0,+SUMPRODUCT($AK$12:$AK$12,$I$12:$I$12))</f>
        <v>0</v>
      </c>
      <c r="AL65" s="19"/>
      <c r="AM65" s="19"/>
    </row>
    <row r="66" spans="11:39" ht="11.25" customHeight="1" x14ac:dyDescent="0.25">
      <c r="K66" s="18" t="s">
        <v>859</v>
      </c>
      <c r="L66" s="19">
        <f>IF(ISERROR(+SUMPRODUCT($L$5:$L$8,$I$5:$I$8)+SUMPRODUCT($L$9:$L$11,$I$9:$I$11)+SUMPRODUCT($L$13:$L$16,$I$13:$I$16)+SUMPRODUCT($L$17:$L$19,$I$17:$I$19)+SUMPRODUCT($L$20:$L$20,$I$20:$I$20)+SUMPRODUCT($L$21:$L$25,$I$21:$I$25)+SUMPRODUCT($L$26:$L$27,$I$26:$I$27)+SUMPRODUCT($L$28:$L$30,$I$28:$I$30)+SUMPRODUCT($L$31:$L$35,$I$31:$I$35)+SUMPRODUCT($L$36:$L$40,$I$36:$I$40)+SUMPRODUCT($L$41:$L$43,$I$41:$I$43)+SUMPRODUCT($L$44:$L$44,$I$44:$I$44)+SUMPRODUCT($L$45:$L$47,$I$45:$I$47)+SUMPRODUCT($L$48:$L$48,$I$48:$I$48)+SUMPRODUCT($L$49:$L$51,$I$49:$I$51)+SUMPRODUCT($L$52:$L$52,$I$52:$I$52)+SUMPRODUCT($L$53:$L$55,$I$53:$I$55)+SUMPRODUCT($L$56:$L$58,$I$56:$I$58)+SUMPRODUCT($L$59:$L$59,$I$59:$I$59)+SUMPRODUCT($L$60:$L$60,$I$60:$I$60)+SUMPRODUCT($L$61:$L$62,$I$61:$I$62)),0,+SUMPRODUCT($L$5:$L$8,$I$5:$I$8)+SUMPRODUCT($L$9:$L$11,$I$9:$I$11)+SUMPRODUCT($L$13:$L$16,$I$13:$I$16)+SUMPRODUCT($L$17:$L$19,$I$17:$I$19)+SUMPRODUCT($L$20:$L$20,$I$20:$I$20)+SUMPRODUCT($L$21:$L$25,$I$21:$I$25)+SUMPRODUCT($L$26:$L$27,$I$26:$I$27)+SUMPRODUCT($L$28:$L$30,$I$28:$I$30)+SUMPRODUCT($L$31:$L$35,$I$31:$I$35)+SUMPRODUCT($L$36:$L$40,$I$36:$I$40)+SUMPRODUCT($L$41:$L$43,$I$41:$I$43)+SUMPRODUCT($L$44:$L$44,$I$44:$I$44)+SUMPRODUCT($L$45:$L$47,$I$45:$I$47)+SUMPRODUCT($L$48:$L$48,$I$48:$I$48)+SUMPRODUCT($L$49:$L$51,$I$49:$I$51)+SUMPRODUCT($L$52:$L$52,$I$52:$I$52)+SUMPRODUCT($L$53:$L$55,$I$53:$I$55)+SUMPRODUCT($L$56:$L$58,$I$56:$I$58)+SUMPRODUCT($L$59:$L$59,$I$59:$I$59)+SUMPRODUCT($L$60:$L$60,$I$60:$I$60)+SUMPRODUCT($L$61:$L$62,$I$61:$I$62))</f>
        <v>2993669.9838800002</v>
      </c>
      <c r="M66" s="19">
        <f>IF(ISERROR(+SUMPRODUCT($M$5:$M$8,$I$5:$I$8)+SUMPRODUCT($M$9:$M$11,$I$9:$I$11)+SUMPRODUCT($M$13:$M$16,$I$13:$I$16)+SUMPRODUCT($M$17:$M$19,$I$17:$I$19)+SUMPRODUCT($M$20:$M$20,$I$20:$I$20)+SUMPRODUCT($M$21:$M$25,$I$21:$I$25)+SUMPRODUCT($M$26:$M$27,$I$26:$I$27)+SUMPRODUCT($M$28:$M$30,$I$28:$I$30)+SUMPRODUCT($M$31:$M$35,$I$31:$I$35)+SUMPRODUCT($M$36:$M$40,$I$36:$I$40)+SUMPRODUCT($M$41:$M$43,$I$41:$I$43)+SUMPRODUCT($M$44:$M$44,$I$44:$I$44)+SUMPRODUCT($M$45:$M$47,$I$45:$I$47)+SUMPRODUCT($M$48:$M$48,$I$48:$I$48)+SUMPRODUCT($M$49:$M$51,$I$49:$I$51)+SUMPRODUCT($M$52:$M$52,$I$52:$I$52)+SUMPRODUCT($M$53:$M$55,$I$53:$I$55)+SUMPRODUCT($M$56:$M$58,$I$56:$I$58)+SUMPRODUCT($M$59:$M$59,$I$59:$I$59)+SUMPRODUCT($M$60:$M$60,$I$60:$I$60)+SUMPRODUCT($M$61:$M$62,$I$61:$I$62)),0,+SUMPRODUCT($M$5:$M$8,$I$5:$I$8)+SUMPRODUCT($M$9:$M$11,$I$9:$I$11)+SUMPRODUCT($M$13:$M$16,$I$13:$I$16)+SUMPRODUCT($M$17:$M$19,$I$17:$I$19)+SUMPRODUCT($M$20:$M$20,$I$20:$I$20)+SUMPRODUCT($M$21:$M$25,$I$21:$I$25)+SUMPRODUCT($M$26:$M$27,$I$26:$I$27)+SUMPRODUCT($M$28:$M$30,$I$28:$I$30)+SUMPRODUCT($M$31:$M$35,$I$31:$I$35)+SUMPRODUCT($M$36:$M$40,$I$36:$I$40)+SUMPRODUCT($M$41:$M$43,$I$41:$I$43)+SUMPRODUCT($M$44:$M$44,$I$44:$I$44)+SUMPRODUCT($M$45:$M$47,$I$45:$I$47)+SUMPRODUCT($M$48:$M$48,$I$48:$I$48)+SUMPRODUCT($M$49:$M$51,$I$49:$I$51)+SUMPRODUCT($M$52:$M$52,$I$52:$I$52)+SUMPRODUCT($M$53:$M$55,$I$53:$I$55)+SUMPRODUCT($M$56:$M$58,$I$56:$I$58)+SUMPRODUCT($M$59:$M$59,$I$59:$I$59)+SUMPRODUCT($M$60:$M$60,$I$60:$I$60)+SUMPRODUCT($M$61:$M$62,$I$61:$I$62))</f>
        <v>2668946.6907654912</v>
      </c>
      <c r="N66" s="19">
        <f ca="1">IF(ISERROR(+SUMPRODUCT($N$5:$N$8,$I$5:$I$8)+SUMPRODUCT($N$9:$N$11,$I$9:$I$11)+SUMPRODUCT($N$13:$N$16,$I$13:$I$16)+SUMPRODUCT($N$17:$N$19,$I$17:$I$19)+SUMPRODUCT($N$20:$N$20,$I$20:$I$20)+SUMPRODUCT($N$21:$N$25,$I$21:$I$25)+SUMPRODUCT($N$26:$N$27,$I$26:$I$27)+SUMPRODUCT($N$28:$N$30,$I$28:$I$30)+SUMPRODUCT($N$31:$N$35,$I$31:$I$35)+SUMPRODUCT($N$36:$N$40,$I$36:$I$40)+SUMPRODUCT($N$41:$N$43,$I$41:$I$43)+SUMPRODUCT($N$44:$N$44,$I$44:$I$44)+SUMPRODUCT($N$45:$N$47,$I$45:$I$47)+SUMPRODUCT($N$48:$N$48,$I$48:$I$48)+SUMPRODUCT($N$49:$N$51,$I$49:$I$51)+SUMPRODUCT($N$52:$N$52,$I$52:$I$52)+SUMPRODUCT($N$53:$N$55,$I$53:$I$55)+SUMPRODUCT($N$56:$N$58,$I$56:$I$58)+SUMPRODUCT($N$59:$N$59,$I$59:$I$59)+SUMPRODUCT($N$60:$N$60,$I$60:$I$60)+SUMPRODUCT($N$61:$N$62,$I$61:$I$62)),0,+SUMPRODUCT($N$5:$N$8,$I$5:$I$8)+SUMPRODUCT($N$9:$N$11,$I$9:$I$11)+SUMPRODUCT($N$13:$N$16,$I$13:$I$16)+SUMPRODUCT($N$17:$N$19,$I$17:$I$19)+SUMPRODUCT($N$20:$N$20,$I$20:$I$20)+SUMPRODUCT($N$21:$N$25,$I$21:$I$25)+SUMPRODUCT($N$26:$N$27,$I$26:$I$27)+SUMPRODUCT($N$28:$N$30,$I$28:$I$30)+SUMPRODUCT($N$31:$N$35,$I$31:$I$35)+SUMPRODUCT($N$36:$N$40,$I$36:$I$40)+SUMPRODUCT($N$41:$N$43,$I$41:$I$43)+SUMPRODUCT($N$44:$N$44,$I$44:$I$44)+SUMPRODUCT($N$45:$N$47,$I$45:$I$47)+SUMPRODUCT($N$48:$N$48,$I$48:$I$48)+SUMPRODUCT($N$49:$N$51,$I$49:$I$51)+SUMPRODUCT($N$52:$N$52,$I$52:$I$52)+SUMPRODUCT($N$53:$N$55,$I$53:$I$55)+SUMPRODUCT($N$56:$N$58,$I$56:$I$58)+SUMPRODUCT($N$59:$N$59,$I$59:$I$59)+SUMPRODUCT($N$60:$N$60,$I$60:$I$60)+SUMPRODUCT($N$61:$N$62,$I$61:$I$62))</f>
        <v>10974102.714214798</v>
      </c>
      <c r="O66" s="19">
        <f>IF(ISERROR(+SUMPRODUCT($O$5:$O$8,$I$5:$I$8)+SUMPRODUCT($O$9:$O$11,$I$9:$I$11)+SUMPRODUCT($O$13:$O$16,$I$13:$I$16)+SUMPRODUCT($O$17:$O$19,$I$17:$I$19)+SUMPRODUCT($O$20:$O$20,$I$20:$I$20)+SUMPRODUCT($O$21:$O$25,$I$21:$I$25)+SUMPRODUCT($O$26:$O$27,$I$26:$I$27)+SUMPRODUCT($O$28:$O$30,$I$28:$I$30)+SUMPRODUCT($O$31:$O$35,$I$31:$I$35)+SUMPRODUCT($O$36:$O$40,$I$36:$I$40)+SUMPRODUCT($O$41:$O$43,$I$41:$I$43)+SUMPRODUCT($O$44:$O$44,$I$44:$I$44)+SUMPRODUCT($O$45:$O$47,$I$45:$I$47)+SUMPRODUCT($O$48:$O$48,$I$48:$I$48)+SUMPRODUCT($O$49:$O$51,$I$49:$I$51)+SUMPRODUCT($O$52:$O$52,$I$52:$I$52)+SUMPRODUCT($O$53:$O$55,$I$53:$I$55)+SUMPRODUCT($O$56:$O$58,$I$56:$I$58)+SUMPRODUCT($O$59:$O$59,$I$59:$I$59)+SUMPRODUCT($O$60:$O$60,$I$60:$I$60)+SUMPRODUCT($O$61:$O$62,$I$61:$I$62)),0,+SUMPRODUCT($O$5:$O$8,$I$5:$I$8)+SUMPRODUCT($O$9:$O$11,$I$9:$I$11)+SUMPRODUCT($O$13:$O$16,$I$13:$I$16)+SUMPRODUCT($O$17:$O$19,$I$17:$I$19)+SUMPRODUCT($O$20:$O$20,$I$20:$I$20)+SUMPRODUCT($O$21:$O$25,$I$21:$I$25)+SUMPRODUCT($O$26:$O$27,$I$26:$I$27)+SUMPRODUCT($O$28:$O$30,$I$28:$I$30)+SUMPRODUCT($O$31:$O$35,$I$31:$I$35)+SUMPRODUCT($O$36:$O$40,$I$36:$I$40)+SUMPRODUCT($O$41:$O$43,$I$41:$I$43)+SUMPRODUCT($O$44:$O$44,$I$44:$I$44)+SUMPRODUCT($O$45:$O$47,$I$45:$I$47)+SUMPRODUCT($O$48:$O$48,$I$48:$I$48)+SUMPRODUCT($O$49:$O$51,$I$49:$I$51)+SUMPRODUCT($O$52:$O$52,$I$52:$I$52)+SUMPRODUCT($O$53:$O$55,$I$53:$I$55)+SUMPRODUCT($O$56:$O$58,$I$56:$I$58)+SUMPRODUCT($O$59:$O$59,$I$59:$I$59)+SUMPRODUCT($O$60:$O$60,$I$60:$I$60)+SUMPRODUCT($O$61:$O$62,$I$61:$I$62))</f>
        <v>3844846.0374999996</v>
      </c>
      <c r="P66" s="19">
        <f>IF(ISERROR(+SUMPRODUCT($P$5:$P$8,$I$5:$I$8)+SUMPRODUCT($P$9:$P$11,$I$9:$I$11)+SUMPRODUCT($P$13:$P$16,$I$13:$I$16)+SUMPRODUCT($P$17:$P$19,$I$17:$I$19)+SUMPRODUCT($P$20:$P$20,$I$20:$I$20)+SUMPRODUCT($P$21:$P$25,$I$21:$I$25)+SUMPRODUCT($P$26:$P$27,$I$26:$I$27)+SUMPRODUCT($P$28:$P$30,$I$28:$I$30)+SUMPRODUCT($P$31:$P$35,$I$31:$I$35)+SUMPRODUCT($P$36:$P$40,$I$36:$I$40)+SUMPRODUCT($P$41:$P$43,$I$41:$I$43)+SUMPRODUCT($P$44:$P$44,$I$44:$I$44)+SUMPRODUCT($P$45:$P$47,$I$45:$I$47)+SUMPRODUCT($P$48:$P$48,$I$48:$I$48)+SUMPRODUCT($P$49:$P$51,$I$49:$I$51)+SUMPRODUCT($P$52:$P$52,$I$52:$I$52)+SUMPRODUCT($P$53:$P$55,$I$53:$I$55)+SUMPRODUCT($P$56:$P$58,$I$56:$I$58)+SUMPRODUCT($P$59:$P$59,$I$59:$I$59)+SUMPRODUCT($P$60:$P$60,$I$60:$I$60)+SUMPRODUCT($P$61:$P$62,$I$61:$I$62)),0,+SUMPRODUCT($P$5:$P$8,$I$5:$I$8)+SUMPRODUCT($P$9:$P$11,$I$9:$I$11)+SUMPRODUCT($P$13:$P$16,$I$13:$I$16)+SUMPRODUCT($P$17:$P$19,$I$17:$I$19)+SUMPRODUCT($P$20:$P$20,$I$20:$I$20)+SUMPRODUCT($P$21:$P$25,$I$21:$I$25)+SUMPRODUCT($P$26:$P$27,$I$26:$I$27)+SUMPRODUCT($P$28:$P$30,$I$28:$I$30)+SUMPRODUCT($P$31:$P$35,$I$31:$I$35)+SUMPRODUCT($P$36:$P$40,$I$36:$I$40)+SUMPRODUCT($P$41:$P$43,$I$41:$I$43)+SUMPRODUCT($P$44:$P$44,$I$44:$I$44)+SUMPRODUCT($P$45:$P$47,$I$45:$I$47)+SUMPRODUCT($P$48:$P$48,$I$48:$I$48)+SUMPRODUCT($P$49:$P$51,$I$49:$I$51)+SUMPRODUCT($P$52:$P$52,$I$52:$I$52)+SUMPRODUCT($P$53:$P$55,$I$53:$I$55)+SUMPRODUCT($P$56:$P$58,$I$56:$I$58)+SUMPRODUCT($P$59:$P$59,$I$59:$I$59)+SUMPRODUCT($P$60:$P$60,$I$60:$I$60)+SUMPRODUCT($P$61:$P$62,$I$61:$I$62))</f>
        <v>3325669.3085000003</v>
      </c>
      <c r="Q66" s="19">
        <f>IF(ISERROR(+SUMPRODUCT($Q$5:$Q$8,$I$5:$I$8)+SUMPRODUCT($Q$9:$Q$11,$I$9:$I$11)+SUMPRODUCT($Q$13:$Q$16,$I$13:$I$16)+SUMPRODUCT($Q$17:$Q$19,$I$17:$I$19)+SUMPRODUCT($Q$20:$Q$20,$I$20:$I$20)+SUMPRODUCT($Q$21:$Q$25,$I$21:$I$25)+SUMPRODUCT($Q$26:$Q$27,$I$26:$I$27)+SUMPRODUCT($Q$28:$Q$30,$I$28:$I$30)+SUMPRODUCT($Q$31:$Q$35,$I$31:$I$35)+SUMPRODUCT($Q$36:$Q$40,$I$36:$I$40)+SUMPRODUCT($Q$41:$Q$43,$I$41:$I$43)+SUMPRODUCT($Q$44:$Q$44,$I$44:$I$44)+SUMPRODUCT($Q$45:$Q$47,$I$45:$I$47)+SUMPRODUCT($Q$48:$Q$48,$I$48:$I$48)+SUMPRODUCT($Q$49:$Q$51,$I$49:$I$51)+SUMPRODUCT($Q$52:$Q$52,$I$52:$I$52)+SUMPRODUCT($Q$53:$Q$55,$I$53:$I$55)+SUMPRODUCT($Q$56:$Q$58,$I$56:$I$58)+SUMPRODUCT($Q$59:$Q$59,$I$59:$I$59)+SUMPRODUCT($Q$60:$Q$60,$I$60:$I$60)+SUMPRODUCT($Q$61:$Q$62,$I$61:$I$62)),0,+SUMPRODUCT($Q$5:$Q$8,$I$5:$I$8)+SUMPRODUCT($Q$9:$Q$11,$I$9:$I$11)+SUMPRODUCT($Q$13:$Q$16,$I$13:$I$16)+SUMPRODUCT($Q$17:$Q$19,$I$17:$I$19)+SUMPRODUCT($Q$20:$Q$20,$I$20:$I$20)+SUMPRODUCT($Q$21:$Q$25,$I$21:$I$25)+SUMPRODUCT($Q$26:$Q$27,$I$26:$I$27)+SUMPRODUCT($Q$28:$Q$30,$I$28:$I$30)+SUMPRODUCT($Q$31:$Q$35,$I$31:$I$35)+SUMPRODUCT($Q$36:$Q$40,$I$36:$I$40)+SUMPRODUCT($Q$41:$Q$43,$I$41:$I$43)+SUMPRODUCT($Q$44:$Q$44,$I$44:$I$44)+SUMPRODUCT($Q$45:$Q$47,$I$45:$I$47)+SUMPRODUCT($Q$48:$Q$48,$I$48:$I$48)+SUMPRODUCT($Q$49:$Q$51,$I$49:$I$51)+SUMPRODUCT($Q$52:$Q$52,$I$52:$I$52)+SUMPRODUCT($Q$53:$Q$55,$I$53:$I$55)+SUMPRODUCT($Q$56:$Q$58,$I$56:$I$58)+SUMPRODUCT($Q$59:$Q$59,$I$59:$I$59)+SUMPRODUCT($Q$60:$Q$60,$I$60:$I$60)+SUMPRODUCT($Q$61:$Q$62,$I$61:$I$62))</f>
        <v>2993669.9838800002</v>
      </c>
      <c r="R66" s="19">
        <f>IF(ISERROR(+SUMPRODUCT($R$5:$R$8,$I$5:$I$8)+SUMPRODUCT($R$9:$R$11,$I$9:$I$11)+SUMPRODUCT($R$13:$R$16,$I$13:$I$16)+SUMPRODUCT($R$17:$R$19,$I$17:$I$19)+SUMPRODUCT($R$20:$R$20,$I$20:$I$20)+SUMPRODUCT($R$21:$R$25,$I$21:$I$25)+SUMPRODUCT($R$26:$R$27,$I$26:$I$27)+SUMPRODUCT($R$28:$R$30,$I$28:$I$30)+SUMPRODUCT($R$31:$R$35,$I$31:$I$35)+SUMPRODUCT($R$36:$R$40,$I$36:$I$40)+SUMPRODUCT($R$41:$R$43,$I$41:$I$43)+SUMPRODUCT($R$44:$R$44,$I$44:$I$44)+SUMPRODUCT($R$45:$R$47,$I$45:$I$47)+SUMPRODUCT($R$48:$R$48,$I$48:$I$48)+SUMPRODUCT($R$49:$R$51,$I$49:$I$51)+SUMPRODUCT($R$52:$R$52,$I$52:$I$52)+SUMPRODUCT($R$53:$R$55,$I$53:$I$55)+SUMPRODUCT($R$56:$R$58,$I$56:$I$58)+SUMPRODUCT($R$59:$R$59,$I$59:$I$59)+SUMPRODUCT($R$60:$R$60,$I$60:$I$60)+SUMPRODUCT($R$61:$R$62,$I$61:$I$62)),0,+SUMPRODUCT($R$5:$R$8,$I$5:$I$8)+SUMPRODUCT($R$9:$R$11,$I$9:$I$11)+SUMPRODUCT($R$13:$R$16,$I$13:$I$16)+SUMPRODUCT($R$17:$R$19,$I$17:$I$19)+SUMPRODUCT($R$20:$R$20,$I$20:$I$20)+SUMPRODUCT($R$21:$R$25,$I$21:$I$25)+SUMPRODUCT($R$26:$R$27,$I$26:$I$27)+SUMPRODUCT($R$28:$R$30,$I$28:$I$30)+SUMPRODUCT($R$31:$R$35,$I$31:$I$35)+SUMPRODUCT($R$36:$R$40,$I$36:$I$40)+SUMPRODUCT($R$41:$R$43,$I$41:$I$43)+SUMPRODUCT($R$44:$R$44,$I$44:$I$44)+SUMPRODUCT($R$45:$R$47,$I$45:$I$47)+SUMPRODUCT($R$48:$R$48,$I$48:$I$48)+SUMPRODUCT($R$49:$R$51,$I$49:$I$51)+SUMPRODUCT($R$52:$R$52,$I$52:$I$52)+SUMPRODUCT($R$53:$R$55,$I$53:$I$55)+SUMPRODUCT($R$56:$R$58,$I$56:$I$58)+SUMPRODUCT($R$59:$R$59,$I$59:$I$59)+SUMPRODUCT($R$60:$R$60,$I$60:$I$60)+SUMPRODUCT($R$61:$R$62,$I$61:$I$62))</f>
        <v>3325669.3085000003</v>
      </c>
      <c r="S66" s="19">
        <f>IF(ISERROR(+SUMPRODUCT($S$5:$S$8,$I$5:$I$8)+SUMPRODUCT($S$9:$S$11,$I$9:$I$11)+SUMPRODUCT($S$13:$S$16,$I$13:$I$16)+SUMPRODUCT($S$17:$S$19,$I$17:$I$19)+SUMPRODUCT($S$20:$S$20,$I$20:$I$20)+SUMPRODUCT($S$21:$S$25,$I$21:$I$25)+SUMPRODUCT($S$26:$S$27,$I$26:$I$27)+SUMPRODUCT($S$28:$S$30,$I$28:$I$30)+SUMPRODUCT($S$31:$S$35,$I$31:$I$35)+SUMPRODUCT($S$36:$S$40,$I$36:$I$40)+SUMPRODUCT($S$41:$S$43,$I$41:$I$43)+SUMPRODUCT($S$44:$S$44,$I$44:$I$44)+SUMPRODUCT($S$45:$S$47,$I$45:$I$47)+SUMPRODUCT($S$48:$S$48,$I$48:$I$48)+SUMPRODUCT($S$49:$S$51,$I$49:$I$51)+SUMPRODUCT($S$52:$S$52,$I$52:$I$52)+SUMPRODUCT($S$53:$S$55,$I$53:$I$55)+SUMPRODUCT($S$56:$S$58,$I$56:$I$58)+SUMPRODUCT($S$59:$S$59,$I$59:$I$59)+SUMPRODUCT($S$60:$S$60,$I$60:$I$60)+SUMPRODUCT($S$61:$S$62,$I$61:$I$62)),0,+SUMPRODUCT($S$5:$S$8,$I$5:$I$8)+SUMPRODUCT($S$9:$S$11,$I$9:$I$11)+SUMPRODUCT($S$13:$S$16,$I$13:$I$16)+SUMPRODUCT($S$17:$S$19,$I$17:$I$19)+SUMPRODUCT($S$20:$S$20,$I$20:$I$20)+SUMPRODUCT($S$21:$S$25,$I$21:$I$25)+SUMPRODUCT($S$26:$S$27,$I$26:$I$27)+SUMPRODUCT($S$28:$S$30,$I$28:$I$30)+SUMPRODUCT($S$31:$S$35,$I$31:$I$35)+SUMPRODUCT($S$36:$S$40,$I$36:$I$40)+SUMPRODUCT($S$41:$S$43,$I$41:$I$43)+SUMPRODUCT($S$44:$S$44,$I$44:$I$44)+SUMPRODUCT($S$45:$S$47,$I$45:$I$47)+SUMPRODUCT($S$48:$S$48,$I$48:$I$48)+SUMPRODUCT($S$49:$S$51,$I$49:$I$51)+SUMPRODUCT($S$52:$S$52,$I$52:$I$52)+SUMPRODUCT($S$53:$S$55,$I$53:$I$55)+SUMPRODUCT($S$56:$S$58,$I$56:$I$58)+SUMPRODUCT($S$59:$S$59,$I$59:$I$59)+SUMPRODUCT($S$60:$S$60,$I$60:$I$60)+SUMPRODUCT($S$61:$S$62,$I$61:$I$62))</f>
        <v>3764678.4104999998</v>
      </c>
      <c r="T66" s="19"/>
      <c r="U66" s="19">
        <f>IF(ISERROR(+SUMPRODUCT($U$5:$U$8,$I$5:$I$8)+SUMPRODUCT($U$9:$U$11,$I$9:$I$11)+SUMPRODUCT($U$13:$U$16,$I$13:$I$16)+SUMPRODUCT($U$17:$U$19,$I$17:$I$19)+SUMPRODUCT($U$20:$U$20,$I$20:$I$20)+SUMPRODUCT($U$21:$U$25,$I$21:$I$25)+SUMPRODUCT($U$26:$U$27,$I$26:$I$27)+SUMPRODUCT($U$28:$U$30,$I$28:$I$30)+SUMPRODUCT($U$31:$U$35,$I$31:$I$35)+SUMPRODUCT($U$36:$U$40,$I$36:$I$40)+SUMPRODUCT($U$41:$U$43,$I$41:$I$43)+SUMPRODUCT($U$44:$U$44,$I$44:$I$44)+SUMPRODUCT($U$45:$U$47,$I$45:$I$47)+SUMPRODUCT($U$48:$U$48,$I$48:$I$48)+SUMPRODUCT($U$49:$U$51,$I$49:$I$51)+SUMPRODUCT($U$52:$U$52,$I$52:$I$52)+SUMPRODUCT($U$53:$U$55,$I$53:$I$55)+SUMPRODUCT($U$56:$U$58,$I$56:$I$58)+SUMPRODUCT($U$59:$U$59,$I$59:$I$59)+SUMPRODUCT($U$60:$U$60,$I$60:$I$60)+SUMPRODUCT($U$61:$U$62,$I$61:$I$62)),0,+SUMPRODUCT($U$5:$U$8,$I$5:$I$8)+SUMPRODUCT($U$9:$U$11,$I$9:$I$11)+SUMPRODUCT($U$13:$U$16,$I$13:$I$16)+SUMPRODUCT($U$17:$U$19,$I$17:$I$19)+SUMPRODUCT($U$20:$U$20,$I$20:$I$20)+SUMPRODUCT($U$21:$U$25,$I$21:$I$25)+SUMPRODUCT($U$26:$U$27,$I$26:$I$27)+SUMPRODUCT($U$28:$U$30,$I$28:$I$30)+SUMPRODUCT($U$31:$U$35,$I$31:$I$35)+SUMPRODUCT($U$36:$U$40,$I$36:$I$40)+SUMPRODUCT($U$41:$U$43,$I$41:$I$43)+SUMPRODUCT($U$44:$U$44,$I$44:$I$44)+SUMPRODUCT($U$45:$U$47,$I$45:$I$47)+SUMPRODUCT($U$48:$U$48,$I$48:$I$48)+SUMPRODUCT($U$49:$U$51,$I$49:$I$51)+SUMPRODUCT($U$52:$U$52,$I$52:$I$52)+SUMPRODUCT($U$53:$U$55,$I$53:$I$55)+SUMPRODUCT($U$56:$U$58,$I$56:$I$58)+SUMPRODUCT($U$59:$U$59,$I$59:$I$59)+SUMPRODUCT($U$60:$U$60,$I$60:$I$60)+SUMPRODUCT($U$61:$U$62,$I$61:$I$62))</f>
        <v>134464642.33190659</v>
      </c>
      <c r="V66" s="19">
        <f>IF(ISERROR(+SUMPRODUCT($V$5:$V$8,$I$5:$I$8)+SUMPRODUCT($V$9:$V$11,$I$9:$I$11)+SUMPRODUCT($V$13:$V$16,$I$13:$I$16)+SUMPRODUCT($V$17:$V$19,$I$17:$I$19)+SUMPRODUCT($V$20:$V$20,$I$20:$I$20)+SUMPRODUCT($V$21:$V$25,$I$21:$I$25)+SUMPRODUCT($V$26:$V$27,$I$26:$I$27)+SUMPRODUCT($V$28:$V$30,$I$28:$I$30)+SUMPRODUCT($V$31:$V$35,$I$31:$I$35)+SUMPRODUCT($V$36:$V$40,$I$36:$I$40)+SUMPRODUCT($V$41:$V$43,$I$41:$I$43)+SUMPRODUCT($V$44:$V$44,$I$44:$I$44)+SUMPRODUCT($V$45:$V$47,$I$45:$I$47)+SUMPRODUCT($V$48:$V$48,$I$48:$I$48)+SUMPRODUCT($V$49:$V$51,$I$49:$I$51)+SUMPRODUCT($V$52:$V$52,$I$52:$I$52)+SUMPRODUCT($V$53:$V$55,$I$53:$I$55)+SUMPRODUCT($V$56:$V$58,$I$56:$I$58)+SUMPRODUCT($V$59:$V$59,$I$59:$I$59)+SUMPRODUCT($V$60:$V$60,$I$60:$I$60)+SUMPRODUCT($V$61:$V$62,$I$61:$I$62)),0,+SUMPRODUCT($V$5:$V$8,$I$5:$I$8)+SUMPRODUCT($V$9:$V$11,$I$9:$I$11)+SUMPRODUCT($V$13:$V$16,$I$13:$I$16)+SUMPRODUCT($V$17:$V$19,$I$17:$I$19)+SUMPRODUCT($V$20:$V$20,$I$20:$I$20)+SUMPRODUCT($V$21:$V$25,$I$21:$I$25)+SUMPRODUCT($V$26:$V$27,$I$26:$I$27)+SUMPRODUCT($V$28:$V$30,$I$28:$I$30)+SUMPRODUCT($V$31:$V$35,$I$31:$I$35)+SUMPRODUCT($V$36:$V$40,$I$36:$I$40)+SUMPRODUCT($V$41:$V$43,$I$41:$I$43)+SUMPRODUCT($V$44:$V$44,$I$44:$I$44)+SUMPRODUCT($V$45:$V$47,$I$45:$I$47)+SUMPRODUCT($V$48:$V$48,$I$48:$I$48)+SUMPRODUCT($V$49:$V$51,$I$49:$I$51)+SUMPRODUCT($V$52:$V$52,$I$52:$I$52)+SUMPRODUCT($V$53:$V$55,$I$53:$I$55)+SUMPRODUCT($V$56:$V$58,$I$56:$I$58)+SUMPRODUCT($V$59:$V$59,$I$59:$I$59)+SUMPRODUCT($V$60:$V$60,$I$60:$I$60)+SUMPRODUCT($V$61:$V$62,$I$61:$I$62))</f>
        <v>33125898.2931793</v>
      </c>
      <c r="W66" s="19">
        <f>IF(ISERROR(+SUMPRODUCT($W$5:$W$8,$I$5:$I$8)+SUMPRODUCT($W$9:$W$11,$I$9:$I$11)+SUMPRODUCT($W$13:$W$16,$I$13:$I$16)+SUMPRODUCT($W$17:$W$19,$I$17:$I$19)+SUMPRODUCT($W$20:$W$20,$I$20:$I$20)+SUMPRODUCT($W$21:$W$25,$I$21:$I$25)+SUMPRODUCT($W$26:$W$27,$I$26:$I$27)+SUMPRODUCT($W$28:$W$30,$I$28:$I$30)+SUMPRODUCT($W$31:$W$35,$I$31:$I$35)+SUMPRODUCT($W$36:$W$40,$I$36:$I$40)+SUMPRODUCT($W$41:$W$43,$I$41:$I$43)+SUMPRODUCT($W$44:$W$44,$I$44:$I$44)+SUMPRODUCT($W$45:$W$47,$I$45:$I$47)+SUMPRODUCT($W$48:$W$48,$I$48:$I$48)+SUMPRODUCT($W$49:$W$51,$I$49:$I$51)+SUMPRODUCT($W$52:$W$52,$I$52:$I$52)+SUMPRODUCT($W$53:$W$55,$I$53:$I$55)+SUMPRODUCT($W$56:$W$58,$I$56:$I$58)+SUMPRODUCT($W$59:$W$59,$I$59:$I$59)+SUMPRODUCT($W$60:$W$60,$I$60:$I$60)+SUMPRODUCT($W$61:$W$62,$I$61:$I$62)),0,+SUMPRODUCT($W$5:$W$8,$I$5:$I$8)+SUMPRODUCT($W$9:$W$11,$I$9:$I$11)+SUMPRODUCT($W$13:$W$16,$I$13:$I$16)+SUMPRODUCT($W$17:$W$19,$I$17:$I$19)+SUMPRODUCT($W$20:$W$20,$I$20:$I$20)+SUMPRODUCT($W$21:$W$25,$I$21:$I$25)+SUMPRODUCT($W$26:$W$27,$I$26:$I$27)+SUMPRODUCT($W$28:$W$30,$I$28:$I$30)+SUMPRODUCT($W$31:$W$35,$I$31:$I$35)+SUMPRODUCT($W$36:$W$40,$I$36:$I$40)+SUMPRODUCT($W$41:$W$43,$I$41:$I$43)+SUMPRODUCT($W$44:$W$44,$I$44:$I$44)+SUMPRODUCT($W$45:$W$47,$I$45:$I$47)+SUMPRODUCT($W$48:$W$48,$I$48:$I$48)+SUMPRODUCT($W$49:$W$51,$I$49:$I$51)+SUMPRODUCT($W$52:$W$52,$I$52:$I$52)+SUMPRODUCT($W$53:$W$55,$I$53:$I$55)+SUMPRODUCT($W$56:$W$58,$I$56:$I$58)+SUMPRODUCT($W$59:$W$59,$I$59:$I$59)+SUMPRODUCT($W$60:$W$60,$I$60:$I$60)+SUMPRODUCT($W$61:$W$62,$I$61:$I$62))</f>
        <v>7436359.0318413498</v>
      </c>
      <c r="X66" s="19">
        <f>IF(ISERROR(+SUMPRODUCT($X$5:$X$8,$I$5:$I$8)+SUMPRODUCT($X$9:$X$11,$I$9:$I$11)+SUMPRODUCT($X$13:$X$16,$I$13:$I$16)+SUMPRODUCT($X$17:$X$19,$I$17:$I$19)+SUMPRODUCT($X$20:$X$20,$I$20:$I$20)+SUMPRODUCT($X$21:$X$25,$I$21:$I$25)+SUMPRODUCT($X$26:$X$27,$I$26:$I$27)+SUMPRODUCT($X$28:$X$30,$I$28:$I$30)+SUMPRODUCT($X$31:$X$35,$I$31:$I$35)+SUMPRODUCT($X$36:$X$40,$I$36:$I$40)+SUMPRODUCT($X$41:$X$43,$I$41:$I$43)+SUMPRODUCT($X$44:$X$44,$I$44:$I$44)+SUMPRODUCT($X$45:$X$47,$I$45:$I$47)+SUMPRODUCT($X$48:$X$48,$I$48:$I$48)+SUMPRODUCT($X$49:$X$51,$I$49:$I$51)+SUMPRODUCT($X$52:$X$52,$I$52:$I$52)+SUMPRODUCT($X$53:$X$55,$I$53:$I$55)+SUMPRODUCT($X$56:$X$58,$I$56:$I$58)+SUMPRODUCT($X$59:$X$59,$I$59:$I$59)+SUMPRODUCT($X$60:$X$60,$I$60:$I$60)+SUMPRODUCT($X$61:$X$62,$I$61:$I$62)),0,+SUMPRODUCT($X$5:$X$8,$I$5:$I$8)+SUMPRODUCT($X$9:$X$11,$I$9:$I$11)+SUMPRODUCT($X$13:$X$16,$I$13:$I$16)+SUMPRODUCT($X$17:$X$19,$I$17:$I$19)+SUMPRODUCT($X$20:$X$20,$I$20:$I$20)+SUMPRODUCT($X$21:$X$25,$I$21:$I$25)+SUMPRODUCT($X$26:$X$27,$I$26:$I$27)+SUMPRODUCT($X$28:$X$30,$I$28:$I$30)+SUMPRODUCT($X$31:$X$35,$I$31:$I$35)+SUMPRODUCT($X$36:$X$40,$I$36:$I$40)+SUMPRODUCT($X$41:$X$43,$I$41:$I$43)+SUMPRODUCT($X$44:$X$44,$I$44:$I$44)+SUMPRODUCT($X$45:$X$47,$I$45:$I$47)+SUMPRODUCT($X$48:$X$48,$I$48:$I$48)+SUMPRODUCT($X$49:$X$51,$I$49:$I$51)+SUMPRODUCT($X$52:$X$52,$I$52:$I$52)+SUMPRODUCT($X$53:$X$55,$I$53:$I$55)+SUMPRODUCT($X$56:$X$58,$I$56:$I$58)+SUMPRODUCT($X$59:$X$59,$I$59:$I$59)+SUMPRODUCT($X$60:$X$60,$I$60:$I$60)+SUMPRODUCT($X$61:$X$62,$I$61:$I$62))</f>
        <v>0</v>
      </c>
      <c r="Y66" s="19">
        <f>IF(ISERROR(+SUMPRODUCT($Y$5:$Y$8,$I$5:$I$8)+SUMPRODUCT($Y$9:$Y$11,$I$9:$I$11)+SUMPRODUCT($Y$13:$Y$16,$I$13:$I$16)+SUMPRODUCT($Y$17:$Y$19,$I$17:$I$19)+SUMPRODUCT($Y$20:$Y$20,$I$20:$I$20)+SUMPRODUCT($Y$21:$Y$25,$I$21:$I$25)+SUMPRODUCT($Y$26:$Y$27,$I$26:$I$27)+SUMPRODUCT($Y$28:$Y$30,$I$28:$I$30)+SUMPRODUCT($Y$31:$Y$35,$I$31:$I$35)+SUMPRODUCT($Y$36:$Y$40,$I$36:$I$40)+SUMPRODUCT($Y$41:$Y$43,$I$41:$I$43)+SUMPRODUCT($Y$44:$Y$44,$I$44:$I$44)+SUMPRODUCT($Y$45:$Y$47,$I$45:$I$47)+SUMPRODUCT($Y$48:$Y$48,$I$48:$I$48)+SUMPRODUCT($Y$49:$Y$51,$I$49:$I$51)+SUMPRODUCT($Y$52:$Y$52,$I$52:$I$52)+SUMPRODUCT($Y$53:$Y$55,$I$53:$I$55)+SUMPRODUCT($Y$56:$Y$58,$I$56:$I$58)+SUMPRODUCT($Y$59:$Y$59,$I$59:$I$59)+SUMPRODUCT($Y$60:$Y$60,$I$60:$I$60)+SUMPRODUCT($Y$61:$Y$62,$I$61:$I$62)),0,+SUMPRODUCT($Y$5:$Y$8,$I$5:$I$8)+SUMPRODUCT($Y$9:$Y$11,$I$9:$I$11)+SUMPRODUCT($Y$13:$Y$16,$I$13:$I$16)+SUMPRODUCT($Y$17:$Y$19,$I$17:$I$19)+SUMPRODUCT($Y$20:$Y$20,$I$20:$I$20)+SUMPRODUCT($Y$21:$Y$25,$I$21:$I$25)+SUMPRODUCT($Y$26:$Y$27,$I$26:$I$27)+SUMPRODUCT($Y$28:$Y$30,$I$28:$I$30)+SUMPRODUCT($Y$31:$Y$35,$I$31:$I$35)+SUMPRODUCT($Y$36:$Y$40,$I$36:$I$40)+SUMPRODUCT($Y$41:$Y$43,$I$41:$I$43)+SUMPRODUCT($Y$44:$Y$44,$I$44:$I$44)+SUMPRODUCT($Y$45:$Y$47,$I$45:$I$47)+SUMPRODUCT($Y$48:$Y$48,$I$48:$I$48)+SUMPRODUCT($Y$49:$Y$51,$I$49:$I$51)+SUMPRODUCT($Y$52:$Y$52,$I$52:$I$52)+SUMPRODUCT($Y$53:$Y$55,$I$53:$I$55)+SUMPRODUCT($Y$56:$Y$58,$I$56:$I$58)+SUMPRODUCT($Y$59:$Y$59,$I$59:$I$59)+SUMPRODUCT($Y$60:$Y$60,$I$60:$I$60)+SUMPRODUCT($Y$61:$Y$62,$I$61:$I$62))</f>
        <v>2697917.2676565498</v>
      </c>
      <c r="Z66" s="19">
        <f>IF(ISERROR(+SUMPRODUCT($Z$5:$Z$8,$I$5:$I$8)+SUMPRODUCT($Z$9:$Z$11,$I$9:$I$11)+SUMPRODUCT($Z$13:$Z$16,$I$13:$I$16)+SUMPRODUCT($Z$17:$Z$19,$I$17:$I$19)+SUMPRODUCT($Z$20:$Z$20,$I$20:$I$20)+SUMPRODUCT($Z$21:$Z$25,$I$21:$I$25)+SUMPRODUCT($Z$26:$Z$27,$I$26:$I$27)+SUMPRODUCT($Z$28:$Z$30,$I$28:$I$30)+SUMPRODUCT($Z$31:$Z$35,$I$31:$I$35)+SUMPRODUCT($Z$36:$Z$40,$I$36:$I$40)+SUMPRODUCT($Z$41:$Z$43,$I$41:$I$43)+SUMPRODUCT($Z$44:$Z$44,$I$44:$I$44)+SUMPRODUCT($Z$45:$Z$47,$I$45:$I$47)+SUMPRODUCT($Z$48:$Z$48,$I$48:$I$48)+SUMPRODUCT($Z$49:$Z$51,$I$49:$I$51)+SUMPRODUCT($Z$52:$Z$52,$I$52:$I$52)+SUMPRODUCT($Z$53:$Z$55,$I$53:$I$55)+SUMPRODUCT($Z$56:$Z$58,$I$56:$I$58)+SUMPRODUCT($Z$59:$Z$59,$I$59:$I$59)+SUMPRODUCT($Z$60:$Z$60,$I$60:$I$60)+SUMPRODUCT($Z$61:$Z$62,$I$61:$I$62)),0,+SUMPRODUCT($Z$5:$Z$8,$I$5:$I$8)+SUMPRODUCT($Z$9:$Z$11,$I$9:$I$11)+SUMPRODUCT($Z$13:$Z$16,$I$13:$I$16)+SUMPRODUCT($Z$17:$Z$19,$I$17:$I$19)+SUMPRODUCT($Z$20:$Z$20,$I$20:$I$20)+SUMPRODUCT($Z$21:$Z$25,$I$21:$I$25)+SUMPRODUCT($Z$26:$Z$27,$I$26:$I$27)+SUMPRODUCT($Z$28:$Z$30,$I$28:$I$30)+SUMPRODUCT($Z$31:$Z$35,$I$31:$I$35)+SUMPRODUCT($Z$36:$Z$40,$I$36:$I$40)+SUMPRODUCT($Z$41:$Z$43,$I$41:$I$43)+SUMPRODUCT($Z$44:$Z$44,$I$44:$I$44)+SUMPRODUCT($Z$45:$Z$47,$I$45:$I$47)+SUMPRODUCT($Z$48:$Z$48,$I$48:$I$48)+SUMPRODUCT($Z$49:$Z$51,$I$49:$I$51)+SUMPRODUCT($Z$52:$Z$52,$I$52:$I$52)+SUMPRODUCT($Z$53:$Z$55,$I$53:$I$55)+SUMPRODUCT($Z$56:$Z$58,$I$56:$I$58)+SUMPRODUCT($Z$59:$Z$59,$I$59:$I$59)+SUMPRODUCT($Z$60:$Z$60,$I$60:$I$60)+SUMPRODUCT($Z$61:$Z$62,$I$61:$I$62))</f>
        <v>0</v>
      </c>
      <c r="AA66" s="19">
        <f>IF(ISERROR(+SUMPRODUCT($AA$5:$AA$8,$I$5:$I$8)+SUMPRODUCT($AA$9:$AA$11,$I$9:$I$11)+SUMPRODUCT($AA$13:$AA$16,$I$13:$I$16)+SUMPRODUCT($AA$17:$AA$19,$I$17:$I$19)+SUMPRODUCT($AA$20:$AA$20,$I$20:$I$20)+SUMPRODUCT($AA$21:$AA$25,$I$21:$I$25)+SUMPRODUCT($AA$26:$AA$27,$I$26:$I$27)+SUMPRODUCT($AA$28:$AA$30,$I$28:$I$30)+SUMPRODUCT($AA$31:$AA$35,$I$31:$I$35)+SUMPRODUCT($AA$36:$AA$40,$I$36:$I$40)+SUMPRODUCT($AA$41:$AA$43,$I$41:$I$43)+SUMPRODUCT($AA$44:$AA$44,$I$44:$I$44)+SUMPRODUCT($AA$45:$AA$47,$I$45:$I$47)+SUMPRODUCT($AA$48:$AA$48,$I$48:$I$48)+SUMPRODUCT($AA$49:$AA$51,$I$49:$I$51)+SUMPRODUCT($AA$52:$AA$52,$I$52:$I$52)+SUMPRODUCT($AA$53:$AA$55,$I$53:$I$55)+SUMPRODUCT($AA$56:$AA$58,$I$56:$I$58)+SUMPRODUCT($AA$59:$AA$59,$I$59:$I$59)+SUMPRODUCT($AA$60:$AA$60,$I$60:$I$60)+SUMPRODUCT($AA$61:$AA$62,$I$61:$I$62)),0,+SUMPRODUCT($AA$5:$AA$8,$I$5:$I$8)+SUMPRODUCT($AA$9:$AA$11,$I$9:$I$11)+SUMPRODUCT($AA$13:$AA$16,$I$13:$I$16)+SUMPRODUCT($AA$17:$AA$19,$I$17:$I$19)+SUMPRODUCT($AA$20:$AA$20,$I$20:$I$20)+SUMPRODUCT($AA$21:$AA$25,$I$21:$I$25)+SUMPRODUCT($AA$26:$AA$27,$I$26:$I$27)+SUMPRODUCT($AA$28:$AA$30,$I$28:$I$30)+SUMPRODUCT($AA$31:$AA$35,$I$31:$I$35)+SUMPRODUCT($AA$36:$AA$40,$I$36:$I$40)+SUMPRODUCT($AA$41:$AA$43,$I$41:$I$43)+SUMPRODUCT($AA$44:$AA$44,$I$44:$I$44)+SUMPRODUCT($AA$45:$AA$47,$I$45:$I$47)+SUMPRODUCT($AA$48:$AA$48,$I$48:$I$48)+SUMPRODUCT($AA$49:$AA$51,$I$49:$I$51)+SUMPRODUCT($AA$52:$AA$52,$I$52:$I$52)+SUMPRODUCT($AA$53:$AA$55,$I$53:$I$55)+SUMPRODUCT($AA$56:$AA$58,$I$56:$I$58)+SUMPRODUCT($AA$59:$AA$59,$I$59:$I$59)+SUMPRODUCT($AA$60:$AA$60,$I$60:$I$60)+SUMPRODUCT($AA$61:$AA$62,$I$61:$I$62))</f>
        <v>0</v>
      </c>
      <c r="AB66" s="19"/>
      <c r="AC66" s="19">
        <f>IF(ISERROR(+SUMPRODUCT($AC$5:$AC$8,$I$5:$I$8)+SUMPRODUCT($AC$9:$AC$11,$I$9:$I$11)+SUMPRODUCT($AC$13:$AC$16,$I$13:$I$16)+SUMPRODUCT($AC$17:$AC$19,$I$17:$I$19)+SUMPRODUCT($AC$20:$AC$20,$I$20:$I$20)+SUMPRODUCT($AC$21:$AC$25,$I$21:$I$25)+SUMPRODUCT($AC$26:$AC$27,$I$26:$I$27)+SUMPRODUCT($AC$28:$AC$30,$I$28:$I$30)+SUMPRODUCT($AC$31:$AC$35,$I$31:$I$35)+SUMPRODUCT($AC$36:$AC$40,$I$36:$I$40)+SUMPRODUCT($AC$41:$AC$43,$I$41:$I$43)+SUMPRODUCT($AC$44:$AC$44,$I$44:$I$44)+SUMPRODUCT($AC$45:$AC$47,$I$45:$I$47)+SUMPRODUCT($AC$48:$AC$48,$I$48:$I$48)+SUMPRODUCT($AC$49:$AC$51,$I$49:$I$51)+SUMPRODUCT($AC$52:$AC$52,$I$52:$I$52)+SUMPRODUCT($AC$53:$AC$55,$I$53:$I$55)+SUMPRODUCT($AC$56:$AC$58,$I$56:$I$58)+SUMPRODUCT($AC$59:$AC$59,$I$59:$I$59)+SUMPRODUCT($AC$60:$AC$60,$I$60:$I$60)+SUMPRODUCT($AC$61:$AC$62,$I$61:$I$62)),0,+SUMPRODUCT($AC$5:$AC$8,$I$5:$I$8)+SUMPRODUCT($AC$9:$AC$11,$I$9:$I$11)+SUMPRODUCT($AC$13:$AC$16,$I$13:$I$16)+SUMPRODUCT($AC$17:$AC$19,$I$17:$I$19)+SUMPRODUCT($AC$20:$AC$20,$I$20:$I$20)+SUMPRODUCT($AC$21:$AC$25,$I$21:$I$25)+SUMPRODUCT($AC$26:$AC$27,$I$26:$I$27)+SUMPRODUCT($AC$28:$AC$30,$I$28:$I$30)+SUMPRODUCT($AC$31:$AC$35,$I$31:$I$35)+SUMPRODUCT($AC$36:$AC$40,$I$36:$I$40)+SUMPRODUCT($AC$41:$AC$43,$I$41:$I$43)+SUMPRODUCT($AC$44:$AC$44,$I$44:$I$44)+SUMPRODUCT($AC$45:$AC$47,$I$45:$I$47)+SUMPRODUCT($AC$48:$AC$48,$I$48:$I$48)+SUMPRODUCT($AC$49:$AC$51,$I$49:$I$51)+SUMPRODUCT($AC$52:$AC$52,$I$52:$I$52)+SUMPRODUCT($AC$53:$AC$55,$I$53:$I$55)+SUMPRODUCT($AC$56:$AC$58,$I$56:$I$58)+SUMPRODUCT($AC$59:$AC$59,$I$59:$I$59)+SUMPRODUCT($AC$60:$AC$60,$I$60:$I$60)+SUMPRODUCT($AC$61:$AC$62,$I$61:$I$62))</f>
        <v>645169347.84065688</v>
      </c>
      <c r="AD66" s="19"/>
      <c r="AE66" s="19">
        <f>IF(ISERROR(+SUMPRODUCT($AE$5:$AE$8,$I$5:$I$8)+SUMPRODUCT($AE$9:$AE$11,$I$9:$I$11)+SUMPRODUCT($AE$13:$AE$16,$I$13:$I$16)+SUMPRODUCT($AE$17:$AE$19,$I$17:$I$19)+SUMPRODUCT($AE$20:$AE$20,$I$20:$I$20)+SUMPRODUCT($AE$21:$AE$25,$I$21:$I$25)+SUMPRODUCT($AE$26:$AE$27,$I$26:$I$27)+SUMPRODUCT($AE$28:$AE$30,$I$28:$I$30)+SUMPRODUCT($AE$31:$AE$35,$I$31:$I$35)+SUMPRODUCT($AE$36:$AE$40,$I$36:$I$40)+SUMPRODUCT($AE$41:$AE$43,$I$41:$I$43)+SUMPRODUCT($AE$44:$AE$44,$I$44:$I$44)+SUMPRODUCT($AE$45:$AE$47,$I$45:$I$47)+SUMPRODUCT($AE$48:$AE$48,$I$48:$I$48)+SUMPRODUCT($AE$49:$AE$51,$I$49:$I$51)+SUMPRODUCT($AE$52:$AE$52,$I$52:$I$52)+SUMPRODUCT($AE$53:$AE$55,$I$53:$I$55)+SUMPRODUCT($AE$56:$AE$58,$I$56:$I$58)+SUMPRODUCT($AE$59:$AE$59,$I$59:$I$59)+SUMPRODUCT($AE$60:$AE$60,$I$60:$I$60)+SUMPRODUCT($AE$61:$AE$62,$I$61:$I$62)),0,+SUMPRODUCT($AE$5:$AE$8,$I$5:$I$8)+SUMPRODUCT($AE$9:$AE$11,$I$9:$I$11)+SUMPRODUCT($AE$13:$AE$16,$I$13:$I$16)+SUMPRODUCT($AE$17:$AE$19,$I$17:$I$19)+SUMPRODUCT($AE$20:$AE$20,$I$20:$I$20)+SUMPRODUCT($AE$21:$AE$25,$I$21:$I$25)+SUMPRODUCT($AE$26:$AE$27,$I$26:$I$27)+SUMPRODUCT($AE$28:$AE$30,$I$28:$I$30)+SUMPRODUCT($AE$31:$AE$35,$I$31:$I$35)+SUMPRODUCT($AE$36:$AE$40,$I$36:$I$40)+SUMPRODUCT($AE$41:$AE$43,$I$41:$I$43)+SUMPRODUCT($AE$44:$AE$44,$I$44:$I$44)+SUMPRODUCT($AE$45:$AE$47,$I$45:$I$47)+SUMPRODUCT($AE$48:$AE$48,$I$48:$I$48)+SUMPRODUCT($AE$49:$AE$51,$I$49:$I$51)+SUMPRODUCT($AE$52:$AE$52,$I$52:$I$52)+SUMPRODUCT($AE$53:$AE$55,$I$53:$I$55)+SUMPRODUCT($AE$56:$AE$58,$I$56:$I$58)+SUMPRODUCT($AE$59:$AE$59,$I$59:$I$59)+SUMPRODUCT($AE$60:$AE$60,$I$60:$I$60)+SUMPRODUCT($AE$61:$AE$62,$I$61:$I$62))</f>
        <v>0</v>
      </c>
      <c r="AF66" s="19">
        <f>IF(ISERROR(+SUMPRODUCT($AF$5:$AF$8,$I$5:$I$8)+SUMPRODUCT($AF$9:$AF$11,$I$9:$I$11)+SUMPRODUCT($AF$13:$AF$16,$I$13:$I$16)+SUMPRODUCT($AF$17:$AF$19,$I$17:$I$19)+SUMPRODUCT($AF$20:$AF$20,$I$20:$I$20)+SUMPRODUCT($AF$21:$AF$25,$I$21:$I$25)+SUMPRODUCT($AF$26:$AF$27,$I$26:$I$27)+SUMPRODUCT($AF$28:$AF$30,$I$28:$I$30)+SUMPRODUCT($AF$31:$AF$35,$I$31:$I$35)+SUMPRODUCT($AF$36:$AF$40,$I$36:$I$40)+SUMPRODUCT($AF$41:$AF$43,$I$41:$I$43)+SUMPRODUCT($AF$44:$AF$44,$I$44:$I$44)+SUMPRODUCT($AF$45:$AF$47,$I$45:$I$47)+SUMPRODUCT($AF$48:$AF$48,$I$48:$I$48)+SUMPRODUCT($AF$49:$AF$51,$I$49:$I$51)+SUMPRODUCT($AF$52:$AF$52,$I$52:$I$52)+SUMPRODUCT($AF$53:$AF$55,$I$53:$I$55)+SUMPRODUCT($AF$56:$AF$58,$I$56:$I$58)+SUMPRODUCT($AF$59:$AF$59,$I$59:$I$59)+SUMPRODUCT($AF$60:$AF$60,$I$60:$I$60)+SUMPRODUCT($AF$61:$AF$62,$I$61:$I$62)),0,+SUMPRODUCT($AF$5:$AF$8,$I$5:$I$8)+SUMPRODUCT($AF$9:$AF$11,$I$9:$I$11)+SUMPRODUCT($AF$13:$AF$16,$I$13:$I$16)+SUMPRODUCT($AF$17:$AF$19,$I$17:$I$19)+SUMPRODUCT($AF$20:$AF$20,$I$20:$I$20)+SUMPRODUCT($AF$21:$AF$25,$I$21:$I$25)+SUMPRODUCT($AF$26:$AF$27,$I$26:$I$27)+SUMPRODUCT($AF$28:$AF$30,$I$28:$I$30)+SUMPRODUCT($AF$31:$AF$35,$I$31:$I$35)+SUMPRODUCT($AF$36:$AF$40,$I$36:$I$40)+SUMPRODUCT($AF$41:$AF$43,$I$41:$I$43)+SUMPRODUCT($AF$44:$AF$44,$I$44:$I$44)+SUMPRODUCT($AF$45:$AF$47,$I$45:$I$47)+SUMPRODUCT($AF$48:$AF$48,$I$48:$I$48)+SUMPRODUCT($AF$49:$AF$51,$I$49:$I$51)+SUMPRODUCT($AF$52:$AF$52,$I$52:$I$52)+SUMPRODUCT($AF$53:$AF$55,$I$53:$I$55)+SUMPRODUCT($AF$56:$AF$58,$I$56:$I$58)+SUMPRODUCT($AF$59:$AF$59,$I$59:$I$59)+SUMPRODUCT($AF$60:$AF$60,$I$60:$I$60)+SUMPRODUCT($AF$61:$AF$62,$I$61:$I$62))</f>
        <v>0</v>
      </c>
      <c r="AG66" s="19"/>
      <c r="AH66" s="19">
        <f>IF(ISERROR(+SUMPRODUCT($AH$5:$AH$8,$I$5:$I$8)+SUMPRODUCT($AH$9:$AH$11,$I$9:$I$11)+SUMPRODUCT($AH$13:$AH$16,$I$13:$I$16)+SUMPRODUCT($AH$17:$AH$19,$I$17:$I$19)+SUMPRODUCT($AH$20:$AH$20,$I$20:$I$20)+SUMPRODUCT($AH$21:$AH$25,$I$21:$I$25)+SUMPRODUCT($AH$26:$AH$27,$I$26:$I$27)+SUMPRODUCT($AH$28:$AH$30,$I$28:$I$30)+SUMPRODUCT($AH$31:$AH$35,$I$31:$I$35)+SUMPRODUCT($AH$36:$AH$40,$I$36:$I$40)+SUMPRODUCT($AH$41:$AH$43,$I$41:$I$43)+SUMPRODUCT($AH$44:$AH$44,$I$44:$I$44)+SUMPRODUCT($AH$45:$AH$47,$I$45:$I$47)+SUMPRODUCT($AH$48:$AH$48,$I$48:$I$48)+SUMPRODUCT($AH$49:$AH$51,$I$49:$I$51)+SUMPRODUCT($AH$52:$AH$52,$I$52:$I$52)+SUMPRODUCT($AH$53:$AH$55,$I$53:$I$55)+SUMPRODUCT($AH$56:$AH$58,$I$56:$I$58)+SUMPRODUCT($AH$59:$AH$59,$I$59:$I$59)+SUMPRODUCT($AH$60:$AH$60,$I$60:$I$60)+SUMPRODUCT($AH$61:$AH$62,$I$61:$I$62)),0,+SUMPRODUCT($AH$5:$AH$8,$I$5:$I$8)+SUMPRODUCT($AH$9:$AH$11,$I$9:$I$11)+SUMPRODUCT($AH$13:$AH$16,$I$13:$I$16)+SUMPRODUCT($AH$17:$AH$19,$I$17:$I$19)+SUMPRODUCT($AH$20:$AH$20,$I$20:$I$20)+SUMPRODUCT($AH$21:$AH$25,$I$21:$I$25)+SUMPRODUCT($AH$26:$AH$27,$I$26:$I$27)+SUMPRODUCT($AH$28:$AH$30,$I$28:$I$30)+SUMPRODUCT($AH$31:$AH$35,$I$31:$I$35)+SUMPRODUCT($AH$36:$AH$40,$I$36:$I$40)+SUMPRODUCT($AH$41:$AH$43,$I$41:$I$43)+SUMPRODUCT($AH$44:$AH$44,$I$44:$I$44)+SUMPRODUCT($AH$45:$AH$47,$I$45:$I$47)+SUMPRODUCT($AH$48:$AH$48,$I$48:$I$48)+SUMPRODUCT($AH$49:$AH$51,$I$49:$I$51)+SUMPRODUCT($AH$52:$AH$52,$I$52:$I$52)+SUMPRODUCT($AH$53:$AH$55,$I$53:$I$55)+SUMPRODUCT($AH$56:$AH$58,$I$56:$I$58)+SUMPRODUCT($AH$59:$AH$59,$I$59:$I$59)+SUMPRODUCT($AH$60:$AH$60,$I$60:$I$60)+SUMPRODUCT($AH$61:$AH$62,$I$61:$I$62))</f>
        <v>105976914.34490649</v>
      </c>
      <c r="AI66" s="19">
        <f>IF(ISERROR(+SUMPRODUCT($AI$5:$AI$8,$I$5:$I$8)+SUMPRODUCT($AI$9:$AI$11,$I$9:$I$11)+SUMPRODUCT($AI$13:$AI$16,$I$13:$I$16)+SUMPRODUCT($AI$17:$AI$19,$I$17:$I$19)+SUMPRODUCT($AI$20:$AI$20,$I$20:$I$20)+SUMPRODUCT($AI$21:$AI$25,$I$21:$I$25)+SUMPRODUCT($AI$26:$AI$27,$I$26:$I$27)+SUMPRODUCT($AI$28:$AI$30,$I$28:$I$30)+SUMPRODUCT($AI$31:$AI$35,$I$31:$I$35)+SUMPRODUCT($AI$36:$AI$40,$I$36:$I$40)+SUMPRODUCT($AI$41:$AI$43,$I$41:$I$43)+SUMPRODUCT($AI$44:$AI$44,$I$44:$I$44)+SUMPRODUCT($AI$45:$AI$47,$I$45:$I$47)+SUMPRODUCT($AI$48:$AI$48,$I$48:$I$48)+SUMPRODUCT($AI$49:$AI$51,$I$49:$I$51)+SUMPRODUCT($AI$52:$AI$52,$I$52:$I$52)+SUMPRODUCT($AI$53:$AI$55,$I$53:$I$55)+SUMPRODUCT($AI$56:$AI$58,$I$56:$I$58)+SUMPRODUCT($AI$59:$AI$59,$I$59:$I$59)+SUMPRODUCT($AI$60:$AI$60,$I$60:$I$60)+SUMPRODUCT($AI$61:$AI$62,$I$61:$I$62)),0,+SUMPRODUCT($AI$5:$AI$8,$I$5:$I$8)+SUMPRODUCT($AI$9:$AI$11,$I$9:$I$11)+SUMPRODUCT($AI$13:$AI$16,$I$13:$I$16)+SUMPRODUCT($AI$17:$AI$19,$I$17:$I$19)+SUMPRODUCT($AI$20:$AI$20,$I$20:$I$20)+SUMPRODUCT($AI$21:$AI$25,$I$21:$I$25)+SUMPRODUCT($AI$26:$AI$27,$I$26:$I$27)+SUMPRODUCT($AI$28:$AI$30,$I$28:$I$30)+SUMPRODUCT($AI$31:$AI$35,$I$31:$I$35)+SUMPRODUCT($AI$36:$AI$40,$I$36:$I$40)+SUMPRODUCT($AI$41:$AI$43,$I$41:$I$43)+SUMPRODUCT($AI$44:$AI$44,$I$44:$I$44)+SUMPRODUCT($AI$45:$AI$47,$I$45:$I$47)+SUMPRODUCT($AI$48:$AI$48,$I$48:$I$48)+SUMPRODUCT($AI$49:$AI$51,$I$49:$I$51)+SUMPRODUCT($AI$52:$AI$52,$I$52:$I$52)+SUMPRODUCT($AI$53:$AI$55,$I$53:$I$55)+SUMPRODUCT($AI$56:$AI$58,$I$56:$I$58)+SUMPRODUCT($AI$59:$AI$59,$I$59:$I$59)+SUMPRODUCT($AI$60:$AI$60,$I$60:$I$60)+SUMPRODUCT($AI$61:$AI$62,$I$61:$I$62))</f>
        <v>105976876.20690648</v>
      </c>
      <c r="AJ66" s="19">
        <f ca="1">IF(ISERROR(+SUMPRODUCT($AJ$5:$AJ$8,$I$5:$I$8)+SUMPRODUCT($AJ$9:$AJ$11,$I$9:$I$11)+SUMPRODUCT($AJ$13:$AJ$16,$I$13:$I$16)+SUMPRODUCT($AJ$17:$AJ$19,$I$17:$I$19)+SUMPRODUCT($AJ$20:$AJ$20,$I$20:$I$20)+SUMPRODUCT($AJ$21:$AJ$25,$I$21:$I$25)+SUMPRODUCT($AJ$26:$AJ$27,$I$26:$I$27)+SUMPRODUCT($AJ$28:$AJ$30,$I$28:$I$30)+SUMPRODUCT($AJ$31:$AJ$35,$I$31:$I$35)+SUMPRODUCT($AJ$36:$AJ$40,$I$36:$I$40)+SUMPRODUCT($AJ$41:$AJ$43,$I$41:$I$43)+SUMPRODUCT($AJ$44:$AJ$44,$I$44:$I$44)+SUMPRODUCT($AJ$45:$AJ$47,$I$45:$I$47)+SUMPRODUCT($AJ$48:$AJ$48,$I$48:$I$48)+SUMPRODUCT($AJ$49:$AJ$51,$I$49:$I$51)+SUMPRODUCT($AJ$52:$AJ$52,$I$52:$I$52)+SUMPRODUCT($AJ$53:$AJ$55,$I$53:$I$55)+SUMPRODUCT($AJ$56:$AJ$58,$I$56:$I$58)+SUMPRODUCT($AJ$59:$AJ$59,$I$59:$I$59)+SUMPRODUCT($AJ$60:$AJ$60,$I$60:$I$60)+SUMPRODUCT($AJ$61:$AJ$62,$I$61:$I$62)),0,+SUMPRODUCT($AJ$5:$AJ$8,$I$5:$I$8)+SUMPRODUCT($AJ$9:$AJ$11,$I$9:$I$11)+SUMPRODUCT($AJ$13:$AJ$16,$I$13:$I$16)+SUMPRODUCT($AJ$17:$AJ$19,$I$17:$I$19)+SUMPRODUCT($AJ$20:$AJ$20,$I$20:$I$20)+SUMPRODUCT($AJ$21:$AJ$25,$I$21:$I$25)+SUMPRODUCT($AJ$26:$AJ$27,$I$26:$I$27)+SUMPRODUCT($AJ$28:$AJ$30,$I$28:$I$30)+SUMPRODUCT($AJ$31:$AJ$35,$I$31:$I$35)+SUMPRODUCT($AJ$36:$AJ$40,$I$36:$I$40)+SUMPRODUCT($AJ$41:$AJ$43,$I$41:$I$43)+SUMPRODUCT($AJ$44:$AJ$44,$I$44:$I$44)+SUMPRODUCT($AJ$45:$AJ$47,$I$45:$I$47)+SUMPRODUCT($AJ$48:$AJ$48,$I$48:$I$48)+SUMPRODUCT($AJ$49:$AJ$51,$I$49:$I$51)+SUMPRODUCT($AJ$52:$AJ$52,$I$52:$I$52)+SUMPRODUCT($AJ$53:$AJ$55,$I$53:$I$55)+SUMPRODUCT($AJ$56:$AJ$58,$I$56:$I$58)+SUMPRODUCT($AJ$59:$AJ$59,$I$59:$I$59)+SUMPRODUCT($AJ$60:$AJ$60,$I$60:$I$60)+SUMPRODUCT($AJ$61:$AJ$62,$I$61:$I$62))</f>
        <v>108741930.73386523</v>
      </c>
      <c r="AK66" s="19">
        <f ca="1">IF(ISERROR(+SUMPRODUCT($AK$5:$AK$8,$I$5:$I$8)+SUMPRODUCT($AK$9:$AK$11,$I$9:$I$11)+SUMPRODUCT($AK$13:$AK$16,$I$13:$I$16)+SUMPRODUCT($AK$17:$AK$19,$I$17:$I$19)+SUMPRODUCT($AK$20:$AK$20,$I$20:$I$20)+SUMPRODUCT($AK$21:$AK$25,$I$21:$I$25)+SUMPRODUCT($AK$26:$AK$27,$I$26:$I$27)+SUMPRODUCT($AK$28:$AK$30,$I$28:$I$30)+SUMPRODUCT($AK$31:$AK$35,$I$31:$I$35)+SUMPRODUCT($AK$36:$AK$40,$I$36:$I$40)+SUMPRODUCT($AK$41:$AK$43,$I$41:$I$43)+SUMPRODUCT($AK$44:$AK$44,$I$44:$I$44)+SUMPRODUCT($AK$45:$AK$47,$I$45:$I$47)+SUMPRODUCT($AK$48:$AK$48,$I$48:$I$48)+SUMPRODUCT($AK$49:$AK$51,$I$49:$I$51)+SUMPRODUCT($AK$52:$AK$52,$I$52:$I$52)+SUMPRODUCT($AK$53:$AK$55,$I$53:$I$55)+SUMPRODUCT($AK$56:$AK$58,$I$56:$I$58)+SUMPRODUCT($AK$59:$AK$59,$I$59:$I$59)+SUMPRODUCT($AK$60:$AK$60,$I$60:$I$60)+SUMPRODUCT($AK$61:$AK$62,$I$61:$I$62)),0,+SUMPRODUCT($AK$5:$AK$8,$I$5:$I$8)+SUMPRODUCT($AK$9:$AK$11,$I$9:$I$11)+SUMPRODUCT($AK$13:$AK$16,$I$13:$I$16)+SUMPRODUCT($AK$17:$AK$19,$I$17:$I$19)+SUMPRODUCT($AK$20:$AK$20,$I$20:$I$20)+SUMPRODUCT($AK$21:$AK$25,$I$21:$I$25)+SUMPRODUCT($AK$26:$AK$27,$I$26:$I$27)+SUMPRODUCT($AK$28:$AK$30,$I$28:$I$30)+SUMPRODUCT($AK$31:$AK$35,$I$31:$I$35)+SUMPRODUCT($AK$36:$AK$40,$I$36:$I$40)+SUMPRODUCT($AK$41:$AK$43,$I$41:$I$43)+SUMPRODUCT($AK$44:$AK$44,$I$44:$I$44)+SUMPRODUCT($AK$45:$AK$47,$I$45:$I$47)+SUMPRODUCT($AK$48:$AK$48,$I$48:$I$48)+SUMPRODUCT($AK$49:$AK$51,$I$49:$I$51)+SUMPRODUCT($AK$52:$AK$52,$I$52:$I$52)+SUMPRODUCT($AK$53:$AK$55,$I$53:$I$55)+SUMPRODUCT($AK$56:$AK$58,$I$56:$I$58)+SUMPRODUCT($AK$59:$AK$59,$I$59:$I$59)+SUMPRODUCT($AK$60:$AK$60,$I$60:$I$60)+SUMPRODUCT($AK$61:$AK$62,$I$61:$I$62))</f>
        <v>108741930.73386523</v>
      </c>
      <c r="AL66" s="19"/>
      <c r="AM66" s="19"/>
    </row>
    <row r="67" spans="11:39" ht="11.25" customHeight="1" x14ac:dyDescent="0.25">
      <c r="K67" s="18" t="s">
        <v>795</v>
      </c>
      <c r="L67" s="19">
        <f>CUSTOS!$D$2</f>
        <v>45046098.522711933</v>
      </c>
      <c r="M67" s="19">
        <f>CUSTOS!$D$3</f>
        <v>2769548.228111058</v>
      </c>
      <c r="N67" s="19">
        <f>CUSTOS!$D$4</f>
        <v>12804098.543733332</v>
      </c>
      <c r="O67" s="19">
        <f>CUSTOS!$D$5</f>
        <v>0</v>
      </c>
      <c r="P67" s="19">
        <f>CUSTOS!$D$6</f>
        <v>0</v>
      </c>
      <c r="Q67" s="19">
        <f>CUSTOS!$D$7</f>
        <v>112069673.87837905</v>
      </c>
      <c r="R67" s="19">
        <f>CUSTOS!$D$8</f>
        <v>48847255.695742868</v>
      </c>
      <c r="S67" s="19">
        <f>CUSTOS!$D$9</f>
        <v>0</v>
      </c>
      <c r="T67" s="19">
        <f>CUSTOS!$D$10</f>
        <v>221536674.86867824</v>
      </c>
      <c r="U67" s="19">
        <f>CUSTOS!$D$11</f>
        <v>198072283.4316667</v>
      </c>
      <c r="V67" s="19">
        <f>IF(SUM(V64:V66)&lt;&gt;0,CUSTOS!$D$12+CUSTOS!$D$16+CUSTOS!$D$17-'TR TUSD'!$Z$65-'TR TUSD'!$AA$65,0)</f>
        <v>38770011.883000001</v>
      </c>
      <c r="W67" s="19">
        <f>CUSTOS!$D$13</f>
        <v>10859345.900317101</v>
      </c>
      <c r="X67" s="19">
        <f>CUSTOS!$D$14</f>
        <v>0</v>
      </c>
      <c r="Y67" s="19">
        <f>IF(SUM(V64:V66)=0,CUSTOS!$D$15+CUSTOS!$D$16+CUSTOS!$D$17-'TR TUSD'!$Z$65-'TR TUSD'!$AA$65,CUSTOS!$D$15)</f>
        <v>5752402.4620709997</v>
      </c>
      <c r="Z67" s="19">
        <f>Z65</f>
        <v>0</v>
      </c>
      <c r="AA67" s="19">
        <f>AA65</f>
        <v>0</v>
      </c>
      <c r="AB67" s="19">
        <f>CUSTOS!$D$18</f>
        <v>253454043.67705479</v>
      </c>
      <c r="AC67" s="19">
        <f>CUSTOS!$D$19</f>
        <v>799023843.67477477</v>
      </c>
      <c r="AD67" s="19">
        <f>CUSTOS!$D$20</f>
        <v>799023843.67477477</v>
      </c>
      <c r="AE67" s="19">
        <f>CUSTOS!$D$21</f>
        <v>0</v>
      </c>
      <c r="AF67" s="19">
        <f>CUSTOS!$D$22</f>
        <v>0</v>
      </c>
      <c r="AG67" s="19">
        <f>CUSTOS!$D$23</f>
        <v>0</v>
      </c>
      <c r="AH67" s="19">
        <f>CUSTOS!$D$24</f>
        <v>111076260.92163464</v>
      </c>
      <c r="AI67" s="19">
        <f>CUSTOS!$D$25</f>
        <v>6572544.2354732472</v>
      </c>
      <c r="AJ67" s="19">
        <f>CUSTOS!$D$26</f>
        <v>112560597.91057952</v>
      </c>
      <c r="AK67" s="19">
        <f>CUSTOS!$D$27</f>
        <v>31000935.30029773</v>
      </c>
      <c r="AL67" s="19">
        <f>CUSTOS!$D$28</f>
        <v>261210338.36798513</v>
      </c>
      <c r="AM67" s="19">
        <f>CUSTOS!$D$29</f>
        <v>1535224900.5884929</v>
      </c>
    </row>
    <row r="68" spans="11:39" ht="11.25" customHeight="1" x14ac:dyDescent="0.25">
      <c r="K68" s="18" t="s">
        <v>796</v>
      </c>
      <c r="L68" s="19">
        <f>CUSTOS!$E$2</f>
        <v>-14395974.052707948</v>
      </c>
      <c r="M68" s="19">
        <f>CUSTOS!$E$3</f>
        <v>-50694.141532888345</v>
      </c>
      <c r="N68" s="19">
        <f>CUSTOS!$E$4</f>
        <v>0</v>
      </c>
      <c r="O68" s="19">
        <f>CUSTOS!$E$5</f>
        <v>0</v>
      </c>
      <c r="P68" s="19">
        <f>CUSTOS!$E$6</f>
        <v>0</v>
      </c>
      <c r="Q68" s="19">
        <f>CUSTOS!$E$7</f>
        <v>132011.34470006451</v>
      </c>
      <c r="R68" s="19">
        <f>CUSTOS!$E$8</f>
        <v>556049.04218044598</v>
      </c>
      <c r="S68" s="19">
        <f>CUSTOS!$E$9</f>
        <v>0</v>
      </c>
      <c r="T68" s="19">
        <f>CUSTOS!$E$10</f>
        <v>-13758607.807360325</v>
      </c>
      <c r="U68" s="19">
        <f>CUSTOS!$E$11</f>
        <v>-62777918.103615426</v>
      </c>
      <c r="V68" s="19">
        <f>CUSTOS!$E$12</f>
        <v>-3417080.4985867236</v>
      </c>
      <c r="W68" s="19">
        <f>CUSTOS!$E$13</f>
        <v>-384108.67816110188</v>
      </c>
      <c r="X68" s="19">
        <f>CUSTOS!$E$14</f>
        <v>0</v>
      </c>
      <c r="Y68" s="19">
        <f>CUSTOS!$E$15</f>
        <v>-445013.06078690162</v>
      </c>
      <c r="Z68" s="19">
        <f>CUSTOS!$E$16</f>
        <v>0</v>
      </c>
      <c r="AA68" s="19">
        <f>CUSTOS!$E$17</f>
        <v>0</v>
      </c>
      <c r="AB68" s="19">
        <f>CUSTOS!$E$18</f>
        <v>-67024085.051537625</v>
      </c>
      <c r="AC68" s="19">
        <f>CUSTOS!$E$19</f>
        <v>152456.94405601404</v>
      </c>
      <c r="AD68" s="19">
        <f>CUSTOS!$E$20</f>
        <v>152456.94405601404</v>
      </c>
      <c r="AE68" s="19">
        <f>CUSTOS!$E$21</f>
        <v>1920127.5830976302</v>
      </c>
      <c r="AF68" s="19">
        <f>CUSTOS!$E$22</f>
        <v>0</v>
      </c>
      <c r="AG68" s="19">
        <f>CUSTOS!$E$23</f>
        <v>1920127.5830976302</v>
      </c>
      <c r="AH68" s="19">
        <f>CUSTOS!$E$24</f>
        <v>-6825620.4049783899</v>
      </c>
      <c r="AI68" s="19">
        <f>CUSTOS!$E$25</f>
        <v>-403881.90666518419</v>
      </c>
      <c r="AJ68" s="19">
        <f>CUSTOS!$E$26</f>
        <v>-6916832.701427171</v>
      </c>
      <c r="AK68" s="19">
        <f>CUSTOS!$E$27</f>
        <v>6518294.0356907388</v>
      </c>
      <c r="AL68" s="19">
        <f>CUSTOS!$E$28</f>
        <v>-7628040.9773800066</v>
      </c>
      <c r="AM68" s="19">
        <f>CUSTOS!$E$29</f>
        <v>-86338149.309124306</v>
      </c>
    </row>
    <row r="69" spans="11:39" ht="11.25" customHeight="1" x14ac:dyDescent="0.25">
      <c r="K69" s="18" t="s">
        <v>797</v>
      </c>
      <c r="L69" s="19">
        <f>CUSTOS!$F$2</f>
        <v>273872.01690481725</v>
      </c>
      <c r="M69" s="19">
        <f>CUSTOS!$F$3</f>
        <v>0</v>
      </c>
      <c r="N69" s="19">
        <f>CUSTOS!$F$4</f>
        <v>0</v>
      </c>
      <c r="O69" s="19">
        <f>CUSTOS!$F$5</f>
        <v>0</v>
      </c>
      <c r="P69" s="19">
        <f>CUSTOS!$F$6</f>
        <v>0</v>
      </c>
      <c r="Q69" s="19">
        <f>CUSTOS!$F$7</f>
        <v>9515185.9875000007</v>
      </c>
      <c r="R69" s="19">
        <f>CUSTOS!$F$8</f>
        <v>6104847.8399999999</v>
      </c>
      <c r="S69" s="19">
        <f>CUSTOS!$F$9</f>
        <v>0</v>
      </c>
      <c r="T69" s="19">
        <f>CUSTOS!$F$10</f>
        <v>15893905.844404818</v>
      </c>
      <c r="U69" s="19">
        <f>CUSTOS!$F$11</f>
        <v>10445465.121397715</v>
      </c>
      <c r="V69" s="19">
        <f>CUSTOS!$F$12</f>
        <v>2044560.7021022863</v>
      </c>
      <c r="W69" s="19">
        <f>CUSTOS!$F$13</f>
        <v>0</v>
      </c>
      <c r="X69" s="19">
        <f>CUSTOS!$F$14</f>
        <v>0</v>
      </c>
      <c r="Y69" s="19">
        <f>CUSTOS!$F$15</f>
        <v>0</v>
      </c>
      <c r="Z69" s="19">
        <f>CUSTOS!$F$16</f>
        <v>0</v>
      </c>
      <c r="AA69" s="19">
        <f>CUSTOS!$F$17</f>
        <v>0</v>
      </c>
      <c r="AB69" s="19">
        <f>CUSTOS!$F$18</f>
        <v>12490025.823500002</v>
      </c>
      <c r="AC69" s="19">
        <f>CUSTOS!$F$19</f>
        <v>0</v>
      </c>
      <c r="AD69" s="19">
        <f>CUSTOS!$F$20</f>
        <v>0</v>
      </c>
      <c r="AE69" s="19">
        <f>CUSTOS!$F$21</f>
        <v>0</v>
      </c>
      <c r="AF69" s="19">
        <f>CUSTOS!$F$22</f>
        <v>0</v>
      </c>
      <c r="AG69" s="19">
        <f>CUSTOS!$F$23</f>
        <v>0</v>
      </c>
      <c r="AH69" s="19">
        <f>CUSTOS!$F$24</f>
        <v>9438438.57154564</v>
      </c>
      <c r="AI69" s="19">
        <f>CUSTOS!$F$25</f>
        <v>558486.16536567255</v>
      </c>
      <c r="AJ69" s="19">
        <f>CUSTOS!$F$26</f>
        <v>9564566.5432056971</v>
      </c>
      <c r="AK69" s="19">
        <f>CUSTOS!$F$27</f>
        <v>0</v>
      </c>
      <c r="AL69" s="19">
        <f>CUSTOS!$F$28</f>
        <v>19561491.280117009</v>
      </c>
      <c r="AM69" s="19">
        <f>CUSTOS!$F$29</f>
        <v>47945422.948021829</v>
      </c>
    </row>
    <row r="70" spans="11:39" ht="11.25" customHeight="1" x14ac:dyDescent="0.25">
      <c r="K70" s="18" t="s">
        <v>860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/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/>
      <c r="AC70" s="19">
        <v>0</v>
      </c>
      <c r="AD70" s="19"/>
      <c r="AE70" s="19">
        <v>0</v>
      </c>
      <c r="AF70" s="19">
        <v>0</v>
      </c>
      <c r="AG70" s="19"/>
      <c r="AH70" s="19">
        <v>0</v>
      </c>
      <c r="AI70" s="19">
        <v>0</v>
      </c>
      <c r="AJ70" s="19">
        <v>0</v>
      </c>
      <c r="AK70" s="19">
        <v>0</v>
      </c>
      <c r="AL70" s="19"/>
      <c r="AM70" s="19"/>
    </row>
    <row r="71" spans="11:39" ht="11.25" customHeight="1" x14ac:dyDescent="0.25">
      <c r="K71" s="18" t="s">
        <v>861</v>
      </c>
      <c r="L71" s="19">
        <f t="shared" ref="L71:S71" si="2">IF((L66+L64)&lt;&gt;0,(L67-L65-L70)/(L66+L64),0)</f>
        <v>15.04711566915239</v>
      </c>
      <c r="M71" s="19">
        <f t="shared" si="2"/>
        <v>1.0104022257400831</v>
      </c>
      <c r="N71" s="19">
        <f t="shared" ca="1" si="2"/>
        <v>1.149289743601936</v>
      </c>
      <c r="O71" s="19">
        <f t="shared" si="2"/>
        <v>-1.5285559498368537E-3</v>
      </c>
      <c r="P71" s="19">
        <f t="shared" si="2"/>
        <v>0</v>
      </c>
      <c r="Q71" s="19">
        <f t="shared" si="2"/>
        <v>37.43554716513178</v>
      </c>
      <c r="R71" s="19">
        <f t="shared" si="2"/>
        <v>14.687947346687571</v>
      </c>
      <c r="S71" s="19">
        <f t="shared" si="2"/>
        <v>0</v>
      </c>
      <c r="T71" s="19"/>
      <c r="U71" s="19">
        <f>IF(U66&lt;&gt;0,(U67-U65-U64-U70)/U66,0)</f>
        <v>1.4730436194724992</v>
      </c>
      <c r="V71" s="19">
        <f>IF(V66&lt;&gt;0,(V67-V65-V64-V70)/V66,0)</f>
        <v>1.1703837142729754</v>
      </c>
      <c r="W71" s="19">
        <f>IF(W66&lt;&gt;0,(W67-W65-W64-W70)/W66,0)</f>
        <v>1.432992621186651</v>
      </c>
      <c r="X71" s="19">
        <f>IF(X66&lt;&gt;0,(X67-X65-X64-X70)/X66,0)</f>
        <v>0</v>
      </c>
      <c r="Y71" s="19">
        <f>IF(Y66&lt;&gt;0,(Y67-Y65-Y64-Y70)/Y66,0)</f>
        <v>2.0418971990109598</v>
      </c>
      <c r="Z71" s="19"/>
      <c r="AA71" s="19"/>
      <c r="AB71" s="19"/>
      <c r="AC71" s="19">
        <f>IF(AC66&lt;&gt;0,(AC67-AC65-AC64-AC70)/AC66,0)</f>
        <v>1.217716908628999</v>
      </c>
      <c r="AD71" s="19"/>
      <c r="AE71" s="19">
        <f>IF((AE66+AE64)&lt;&gt;0,(AE67-AE65-AE70)/(AE66+AE64),0)</f>
        <v>0</v>
      </c>
      <c r="AF71" s="19">
        <f>IF((AF66+AF64)&lt;&gt;0,(AF67-AF65-AF70)/(AF66+AF64),0)</f>
        <v>0</v>
      </c>
      <c r="AG71" s="19"/>
      <c r="AH71" s="19">
        <f>IF(AH66&lt;&gt;0,(AH67-AH65-AH64-AH70)/AH66,0)</f>
        <v>1.0388714721913119</v>
      </c>
      <c r="AI71" s="19">
        <f>IF(AI66&lt;&gt;0,(AI67-AI65-AI64-AI70)/AI66,0)</f>
        <v>5.9989335250955136E-2</v>
      </c>
      <c r="AJ71" s="19">
        <f ca="1">IF((AJ66+AJ64)&lt;&gt;0,(AJ67-AJ65-AJ70)/(AJ66+AJ64),0)</f>
        <v>1.03511678660608</v>
      </c>
      <c r="AK71" s="19">
        <f ca="1">IF((AK66+AK64)&lt;&gt;0,(AK67-AK65-AK70)/(AK66+AK64),0)</f>
        <v>0.28508722524128577</v>
      </c>
      <c r="AL71" s="19"/>
      <c r="AM71" s="19"/>
    </row>
    <row r="73" spans="11:39" ht="11.25" customHeight="1" x14ac:dyDescent="0.25">
      <c r="K73" s="29" t="s">
        <v>865</v>
      </c>
      <c r="L73" s="29" t="s">
        <v>866</v>
      </c>
      <c r="M73" s="29" t="s">
        <v>867</v>
      </c>
      <c r="N73" s="29" t="s">
        <v>868</v>
      </c>
      <c r="O73" s="29" t="s">
        <v>869</v>
      </c>
      <c r="P73" s="29" t="s">
        <v>870</v>
      </c>
    </row>
    <row r="74" spans="11:39" ht="11.25" customHeight="1" x14ac:dyDescent="0.25">
      <c r="K74" s="21" t="s">
        <v>41</v>
      </c>
      <c r="L74" s="21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</f>
        <v>90543883.864589825</v>
      </c>
      <c r="M74" s="21">
        <f>+'TUSD BE'!$I$7+'TUSD BE'!$I$8</f>
        <v>535953.52</v>
      </c>
      <c r="N74" s="21">
        <f ca="1">IF(AND($L$82&lt;&gt;0,M74&lt;&gt;0),(L74/$L$82*$AJ$67)/M74,0)</f>
        <v>13.846820391613498</v>
      </c>
      <c r="O74" s="21"/>
      <c r="P74" s="21"/>
    </row>
    <row r="75" spans="11:39" ht="11.25" customHeight="1" x14ac:dyDescent="0.25">
      <c r="K75" s="21" t="s">
        <v>33</v>
      </c>
      <c r="L75" s="21">
        <f ca="1">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BE'!$I$14+(+'TUSD BE'!$L$15+'TUSD BE'!$M$15+'TUSD BE'!$N$15+'TUSD BE'!$O$15+'TUSD BE'!$P$15+'TUSD BE'!$Q$15+'TUSD BE'!$R$15+'TUSD BE'!$S$15+'TUSD BE'!$U$15+'TUSD BE'!$V$15+'TUSD BE'!$W$15+'TUSD BE'!$X$15+'TUSD BE'!$Y$15+'TUSD BE'!$Z$15+'TUSD BE'!$AA$15+'TUSD BE'!$AC$15+'TUSD BE'!$AH$15+'TUSD BE'!$AI$15)*'TUSD BE'!$I$15+(+'TUSD BE'!$L$16+'TUSD BE'!$M$16+'TUSD BE'!$N$16+'TUSD BE'!$O$16+'TUSD BE'!$P$16+'TUSD BE'!$Q$16+'TUSD BE'!$R$16+'TUSD BE'!$S$16+'TUSD BE'!$U$16+'TUSD BE'!$V$16+'TUSD BE'!$W$16+'TUSD BE'!$X$16+'TUSD BE'!$Y$16+'TUSD BE'!$Z$16+'TUSD BE'!$AA$16+'TUSD BE'!$AC$16+'TUSD BE'!$AH$16+'TUSD BE'!$AI$16)*'TUSD BE'!$I$16+(+'TUSD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</f>
        <v>312364631.91523612</v>
      </c>
      <c r="M75" s="21">
        <f>+'TUSD BE'!$I$15+'TUSD BE'!$I$16+'TUSD BE'!$I$22+'TUSD BE'!$I$23+'TUSD BE'!$I$24+'TUSD BE'!$I$25</f>
        <v>992504.28300000005</v>
      </c>
      <c r="N75" s="21">
        <f ca="1">IF(AND($L$82&lt;&gt;0,M75&lt;&gt;0),(L75/$L$82*$AJ$67)/M75,0)</f>
        <v>25.795712716437222</v>
      </c>
      <c r="O75" s="21"/>
      <c r="P75" s="21"/>
    </row>
    <row r="76" spans="11:39" ht="11.25" customHeight="1" x14ac:dyDescent="0.25">
      <c r="K76" s="21" t="s">
        <v>98</v>
      </c>
      <c r="L76" s="21">
        <f ca="1">+$L$77+$L$78+$L$79+$L$80+$L$81</f>
        <v>970400668.01229799</v>
      </c>
      <c r="M76" s="21">
        <f>+$M$77+$M$78+$M$79+$M$80+$M$81</f>
        <v>2433209.571</v>
      </c>
      <c r="N76" s="21">
        <f ca="1">IF(AND($L$82&lt;&gt;0,M76&lt;&gt;0),(L76/$L$82*$AJ$67)/M76,0)</f>
        <v>32.688096978879159</v>
      </c>
      <c r="O76" s="21"/>
      <c r="P76" s="21"/>
    </row>
    <row r="77" spans="11:39" ht="11.25" customHeight="1" x14ac:dyDescent="0.25">
      <c r="K77" s="21" t="s">
        <v>98</v>
      </c>
      <c r="L77" s="21"/>
      <c r="M77" s="21"/>
      <c r="N77" s="21">
        <f ca="1">IF(AND($L$82&lt;&gt;0,M77&lt;&gt;0),(L77/$L$82*$AJ$67)/M77,0)</f>
        <v>0</v>
      </c>
      <c r="O77" s="21"/>
      <c r="P77" s="21"/>
    </row>
    <row r="78" spans="11:39" ht="11.25" customHeight="1" x14ac:dyDescent="0.25">
      <c r="K78" s="21" t="s">
        <v>22</v>
      </c>
      <c r="L78" s="21">
        <f ca="1">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</f>
        <v>663282211.82080019</v>
      </c>
      <c r="M78" s="21">
        <f>+'TUSD BE'!$I$28+'TUSD BE'!$I$29+'TUSD BE'!$I$30+'TUSD BE'!$I$31+'TUSD BE'!$I$32+'TUSD BE'!$I$33+'TUSD BE'!$I$34+'TUSD BE'!$I$35+'TUSD BE'!$I$36+'TUSD BE'!$I$37+'TUSD BE'!$I$38+'TUSD BE'!$I$39+'TUSD BE'!$I$40</f>
        <v>1604778.452</v>
      </c>
      <c r="N78" s="21"/>
      <c r="O78" s="21"/>
      <c r="P78" s="21"/>
    </row>
    <row r="79" spans="11:39" ht="11.25" customHeight="1" x14ac:dyDescent="0.25">
      <c r="K79" s="21" t="s">
        <v>44</v>
      </c>
      <c r="L79" s="21">
        <f ca="1">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BE'!$I$51+(+'TUSD BE'!$L$52+'TUSD BE'!$M$52+'TUSD BE'!$N$52+'TUSD BE'!$O$52+'TUSD BE'!$P$52+'TUSD BE'!$Q$52+'TUSD BE'!$R$52+'TUSD BE'!$S$52+'TUSD BE'!$U$52+'TUSD BE'!$V$52+'TUSD BE'!$W$52+'TUSD BE'!$X$52+'TUSD BE'!$Y$52+'TUSD BE'!$Z$52+'TUSD BE'!$AA$52+'TUSD BE'!$AC$52+'TUSD BE'!$AH$52+'TUSD BE'!$AI$52)*'TUSD BE'!$I$52+(+'TUSD BE'!$L$53+'TUSD BE'!$M$53+'TUSD BE'!$N$53+'TUSD BE'!$O$53+'TUSD BE'!$P$53+'TUSD BE'!$Q$53+'TUSD BE'!$R$53+'TUSD BE'!$S$53+'TUSD BE'!$U$53+'TUSD BE'!$V$53+'TUSD BE'!$W$53+'TUSD BE'!$X$53+'TUSD BE'!$Y$53+'TUSD BE'!$Z$53+'TUSD BE'!$AA$53+'TUSD BE'!$AC$53+'TUSD BE'!$AH$53+'TUSD BE'!$AI$53)*'TUSD BE'!$I$53+(+'TUSD BE'!$L$54+'TUSD BE'!$M$54+'TUSD BE'!$N$54+'TUSD BE'!$O$54+'TUSD BE'!$P$54+'TUSD BE'!$Q$54+'TUSD BE'!$R$54+'TUSD BE'!$S$54+'TUSD BE'!$U$54+'TUSD BE'!$V$54+'TUSD BE'!$W$54+'TUSD BE'!$X$54+'TUSD BE'!$Y$54+'TUSD BE'!$Z$54+'TUSD BE'!$AA$54+'TUSD BE'!$AC$54+'TUSD BE'!$AH$54+'TUSD BE'!$AI$54)*'TUSD BE'!$I$54+(+'TUSD BE'!$L$55+'TUSD BE'!$M$55+'TUSD BE'!$N$55+'TUSD BE'!$O$55+'TUSD BE'!$P$55+'TUSD BE'!$Q$55+'TUSD BE'!$R$55+'TUSD BE'!$S$55+'TUSD BE'!$U$55+'TUSD BE'!$V$55+'TUSD BE'!$W$55+'TUSD BE'!$X$55+'TUSD BE'!$Y$55+'TUSD BE'!$Z$55+'TUSD BE'!$AA$55+'TUSD BE'!$AC$55+'TUSD BE'!$AH$55+'TUSD BE'!$AI$55)*'TUSD BE'!$I$55</f>
        <v>26296017.663492095</v>
      </c>
      <c r="M79" s="21">
        <f>+'TUSD BE'!$I$41+'TUSD BE'!$I$42+'TUSD BE'!$I$43+'TUSD BE'!$I$44+'TUSD BE'!$I$45+'TUSD BE'!$I$46+'TUSD BE'!$I$47+'TUSD BE'!$I$48+'TUSD BE'!$I$49+'TUSD BE'!$I$50+'TUSD BE'!$I$51+'TUSD BE'!$I$52+'TUSD BE'!$I$53+'TUSD BE'!$I$54+'TUSD BE'!$I$55</f>
        <v>60913.307999999997</v>
      </c>
      <c r="N79" s="21"/>
      <c r="O79" s="21"/>
      <c r="P79" s="21"/>
    </row>
    <row r="80" spans="11:39" ht="11.25" customHeight="1" x14ac:dyDescent="0.25">
      <c r="K80" s="21" t="s">
        <v>39</v>
      </c>
      <c r="L80" s="21">
        <f ca="1">+(+'TUSD BE'!$L$56+'TUSD BE'!$M$56+'TUSD BE'!$N$56+'TUSD BE'!$O$56+'TUSD BE'!$P$56+'TUSD BE'!$Q$56+'TUSD BE'!$R$56+'TUSD BE'!$S$56+'TUSD BE'!$U$56+'TUSD BE'!$V$56+'TUSD BE'!$W$56+'TUSD BE'!$X$56+'TUSD BE'!$Y$56+'TUSD BE'!$Z$56+'TUSD BE'!$AA$56+'TUSD BE'!$AC$56+'TUSD BE'!$AH$56+'TUSD BE'!$AI$56)*'TUSD BE'!$I$56+(+'TUSD BE'!$L$57+'TUSD BE'!$M$57+'TUSD BE'!$N$57+'TUSD BE'!$O$57+'TUSD BE'!$P$57+'TUSD BE'!$Q$57+'TUSD BE'!$R$57+'TUSD BE'!$S$57+'TUSD BE'!$U$57+'TUSD BE'!$V$57+'TUSD BE'!$W$57+'TUSD BE'!$X$57+'TUSD BE'!$Y$57+'TUSD BE'!$Z$57+'TUSD BE'!$AA$57+'TUSD BE'!$AC$57+'TUSD BE'!$AH$57+'TUSD BE'!$AI$57)*'TUSD BE'!$I$57+(+'TUSD BE'!$L$58+'TUSD BE'!$M$58+'TUSD BE'!$N$58+'TUSD BE'!$O$58+'TUSD BE'!$P$58+'TUSD BE'!$Q$58+'TUSD BE'!$R$58+'TUSD BE'!$S$58+'TUSD BE'!$U$58+'TUSD BE'!$V$58+'TUSD BE'!$W$58+'TUSD BE'!$X$58+'TUSD BE'!$Y$58+'TUSD BE'!$Z$58+'TUSD BE'!$AA$58+'TUSD BE'!$AC$58+'TUSD BE'!$AH$58+'TUSD BE'!$AI$58)*'TUSD BE'!$I$58+(+'TUSD BE'!$L$59+'TUSD BE'!$M$59+'TUSD BE'!$N$59+'TUSD BE'!$O$59+'TUSD BE'!$P$59+'TUSD BE'!$Q$59+'TUSD BE'!$R$59+'TUSD BE'!$S$59+'TUSD BE'!$U$59+'TUSD BE'!$V$59+'TUSD BE'!$W$59+'TUSD BE'!$X$59+'TUSD BE'!$Y$59+'TUSD BE'!$Z$59+'TUSD BE'!$AA$59+'TUSD BE'!$AC$59+'TUSD BE'!$AH$59+'TUSD BE'!$AI$59)*'TUSD BE'!$I$59+(+'TUSD BE'!$L$60+'TUSD BE'!$M$60+'TUSD BE'!$N$60+'TUSD BE'!$O$60+'TUSD BE'!$P$60+'TUSD BE'!$Q$60+'TUSD BE'!$R$60+'TUSD BE'!$S$60+'TUSD BE'!$U$60+'TUSD BE'!$V$60+'TUSD BE'!$W$60+'TUSD BE'!$X$60+'TUSD BE'!$Y$60+'TUSD BE'!$Z$60+'TUSD BE'!$AA$60+'TUSD BE'!$AC$60+'TUSD BE'!$AH$60+'TUSD BE'!$AI$60)*'TUSD BE'!$I$60</f>
        <v>219181940.22988823</v>
      </c>
      <c r="M80" s="21">
        <f>+'TUSD BE'!$I$56+'TUSD BE'!$I$57+'TUSD BE'!$I$58+'TUSD BE'!$I$59+'TUSD BE'!$I$60</f>
        <v>507914.84100000001</v>
      </c>
      <c r="N80" s="21"/>
      <c r="O80" s="21"/>
      <c r="P80" s="21"/>
    </row>
    <row r="81" spans="11:16" ht="11.25" customHeight="1" x14ac:dyDescent="0.25">
      <c r="K81" s="21" t="s">
        <v>47</v>
      </c>
      <c r="L81" s="21">
        <f ca="1">+(+'TUSD BE'!$L$61+'TUSD BE'!$M$61+'TUSD BE'!$N$61+'TUSD BE'!$O$61+'TUSD BE'!$P$61+'TUSD BE'!$Q$61+'TUSD BE'!$R$61+'TUSD BE'!$S$61+'TUSD BE'!$U$61+'TUSD BE'!$V$61+'TUSD BE'!$W$61+'TUSD BE'!$X$61+'TUSD BE'!$Y$61+'TUSD BE'!$Z$61+'TUSD BE'!$AA$61+'TUSD BE'!$AC$61+'TUSD BE'!$AH$61+'TUSD BE'!$AI$61)*'TUSD BE'!$I$61+(+'TUSD BE'!$L$62+'TUSD BE'!$M$62+'TUSD BE'!$N$62+'TUSD BE'!$O$62+'TUSD BE'!$P$62+'TUSD BE'!$Q$62+'TUSD BE'!$R$62+'TUSD BE'!$S$62+'TUSD BE'!$U$62+'TUSD BE'!$V$62+'TUSD BE'!$W$62+'TUSD BE'!$X$62+'TUSD BE'!$Y$62+'TUSD BE'!$Z$62+'TUSD BE'!$AA$62+'TUSD BE'!$AC$62+'TUSD BE'!$AH$62+'TUSD BE'!$AI$62)*'TUSD BE'!$I$62</f>
        <v>61640498.298117511</v>
      </c>
      <c r="M81" s="21">
        <f>+'TUSD BE'!$I$61+'TUSD BE'!$I$62</f>
        <v>259602.97000000003</v>
      </c>
      <c r="N81" s="21"/>
      <c r="O81" s="21"/>
      <c r="P81" s="21"/>
    </row>
    <row r="82" spans="11:16" ht="11.25" customHeight="1" x14ac:dyDescent="0.25">
      <c r="K82" s="21"/>
      <c r="L82" s="21">
        <f ca="1">SUM($L$74:$L$81,-$L$76)</f>
        <v>1373309183.7921243</v>
      </c>
      <c r="M82" s="21">
        <f>SUM($M$74:$M$81,-$M$76)</f>
        <v>3961667.3739999994</v>
      </c>
      <c r="N82" s="21"/>
      <c r="O82" s="21"/>
      <c r="P82" s="21"/>
    </row>
  </sheetData>
  <mergeCells count="89">
    <mergeCell ref="B9:B11"/>
    <mergeCell ref="C9:C11"/>
    <mergeCell ref="D9:D11"/>
    <mergeCell ref="E9:E11"/>
    <mergeCell ref="F9:F11"/>
    <mergeCell ref="E13:E15"/>
    <mergeCell ref="B21:B25"/>
    <mergeCell ref="C21:C25"/>
    <mergeCell ref="D21:D25"/>
    <mergeCell ref="E21:E23"/>
    <mergeCell ref="F13:F15"/>
    <mergeCell ref="B17:B19"/>
    <mergeCell ref="C17:C19"/>
    <mergeCell ref="D17:D19"/>
    <mergeCell ref="A5:A12"/>
    <mergeCell ref="B5:B8"/>
    <mergeCell ref="C5:C8"/>
    <mergeCell ref="D5:D8"/>
    <mergeCell ref="E5:E7"/>
    <mergeCell ref="F5:F7"/>
    <mergeCell ref="E17:E19"/>
    <mergeCell ref="F17:F19"/>
    <mergeCell ref="A13:A25"/>
    <mergeCell ref="B13:B16"/>
    <mergeCell ref="C13:C16"/>
    <mergeCell ref="D13:D16"/>
    <mergeCell ref="F21:F23"/>
    <mergeCell ref="E24:E25"/>
    <mergeCell ref="F24:F25"/>
    <mergeCell ref="A26:A27"/>
    <mergeCell ref="B26:B27"/>
    <mergeCell ref="C26:C27"/>
    <mergeCell ref="D26:D27"/>
    <mergeCell ref="A28:A40"/>
    <mergeCell ref="B28:B30"/>
    <mergeCell ref="C28:C30"/>
    <mergeCell ref="D28:D30"/>
    <mergeCell ref="E28:E30"/>
    <mergeCell ref="F28:F30"/>
    <mergeCell ref="B31:B35"/>
    <mergeCell ref="C31:C35"/>
    <mergeCell ref="B36:B40"/>
    <mergeCell ref="C36:C40"/>
    <mergeCell ref="E49:E51"/>
    <mergeCell ref="F49:F51"/>
    <mergeCell ref="A41:A55"/>
    <mergeCell ref="B41:B43"/>
    <mergeCell ref="C41:C43"/>
    <mergeCell ref="D41:D43"/>
    <mergeCell ref="E41:E43"/>
    <mergeCell ref="F41:F43"/>
    <mergeCell ref="B45:B47"/>
    <mergeCell ref="C45:C47"/>
    <mergeCell ref="D45:D47"/>
    <mergeCell ref="E45:E47"/>
    <mergeCell ref="F1:F4"/>
    <mergeCell ref="E56:E58"/>
    <mergeCell ref="F56:F58"/>
    <mergeCell ref="A61:A62"/>
    <mergeCell ref="B61:B62"/>
    <mergeCell ref="C61:C62"/>
    <mergeCell ref="B53:B55"/>
    <mergeCell ref="C53:C55"/>
    <mergeCell ref="A56:A60"/>
    <mergeCell ref="B56:B58"/>
    <mergeCell ref="C56:C58"/>
    <mergeCell ref="D56:D58"/>
    <mergeCell ref="F45:F47"/>
    <mergeCell ref="B49:B51"/>
    <mergeCell ref="C49:C51"/>
    <mergeCell ref="D49:D51"/>
    <mergeCell ref="A1:A4"/>
    <mergeCell ref="B1:B4"/>
    <mergeCell ref="C1:C4"/>
    <mergeCell ref="D1:D4"/>
    <mergeCell ref="E1:E4"/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128A-B972-439C-8A0A-89F01195ACD6}">
  <dimension ref="A1:AP69"/>
  <sheetViews>
    <sheetView showGridLines="0" topLeftCell="X40" workbookViewId="0">
      <selection activeCell="AM64" sqref="AM64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5" width="17.7109375" style="9" bestFit="1" customWidth="1"/>
    <col min="16" max="16" width="4.4257812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1" width="11.7109375" style="9" bestFit="1" customWidth="1"/>
    <col min="22" max="23" width="10.85546875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3.14062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32" t="s">
        <v>80</v>
      </c>
      <c r="B1" s="132" t="s">
        <v>81</v>
      </c>
      <c r="C1" s="132" t="s">
        <v>82</v>
      </c>
      <c r="D1" s="132" t="s">
        <v>83</v>
      </c>
      <c r="E1" s="132" t="s">
        <v>84</v>
      </c>
      <c r="F1" s="132" t="s">
        <v>15</v>
      </c>
      <c r="G1" s="132" t="s">
        <v>86</v>
      </c>
      <c r="H1" s="132" t="s">
        <v>87</v>
      </c>
      <c r="I1" s="132" t="s">
        <v>854</v>
      </c>
      <c r="J1" s="130"/>
      <c r="L1" s="133" t="s">
        <v>862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P1" s="133" t="s">
        <v>856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30"/>
      <c r="L2" s="133" t="s">
        <v>754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P2" s="134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30"/>
      <c r="L3" s="133" t="s">
        <v>755</v>
      </c>
      <c r="M3" s="133"/>
      <c r="N3" s="133"/>
      <c r="O3" s="133"/>
      <c r="P3" s="133"/>
      <c r="Q3" s="133"/>
      <c r="R3" s="133"/>
      <c r="S3" s="133"/>
      <c r="T3" s="133"/>
      <c r="U3" s="133" t="s">
        <v>764</v>
      </c>
      <c r="V3" s="133"/>
      <c r="W3" s="133"/>
      <c r="X3" s="133"/>
      <c r="Y3" s="133"/>
      <c r="Z3" s="133"/>
      <c r="AA3" s="133"/>
      <c r="AB3" s="133"/>
      <c r="AC3" s="133" t="s">
        <v>772</v>
      </c>
      <c r="AD3" s="133"/>
      <c r="AE3" s="133" t="s">
        <v>774</v>
      </c>
      <c r="AF3" s="133"/>
      <c r="AG3" s="133"/>
      <c r="AH3" s="133" t="s">
        <v>777</v>
      </c>
      <c r="AI3" s="133"/>
      <c r="AJ3" s="133"/>
      <c r="AK3" s="133"/>
      <c r="AL3" s="133"/>
      <c r="AM3" s="133" t="s">
        <v>763</v>
      </c>
      <c r="AP3" s="134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30"/>
      <c r="L4" s="23" t="s">
        <v>839</v>
      </c>
      <c r="M4" s="23" t="s">
        <v>756</v>
      </c>
      <c r="N4" s="23" t="s">
        <v>757</v>
      </c>
      <c r="O4" s="23" t="s">
        <v>758</v>
      </c>
      <c r="P4" s="23" t="s">
        <v>759</v>
      </c>
      <c r="Q4" s="23" t="s">
        <v>760</v>
      </c>
      <c r="R4" s="23" t="s">
        <v>761</v>
      </c>
      <c r="S4" s="23" t="s">
        <v>762</v>
      </c>
      <c r="T4" s="23" t="s">
        <v>763</v>
      </c>
      <c r="U4" s="23" t="s">
        <v>765</v>
      </c>
      <c r="V4" s="23" t="s">
        <v>766</v>
      </c>
      <c r="W4" s="23" t="s">
        <v>767</v>
      </c>
      <c r="X4" s="23" t="s">
        <v>768</v>
      </c>
      <c r="Y4" s="23" t="s">
        <v>769</v>
      </c>
      <c r="Z4" s="23" t="s">
        <v>770</v>
      </c>
      <c r="AA4" s="23" t="s">
        <v>771</v>
      </c>
      <c r="AB4" s="23" t="s">
        <v>763</v>
      </c>
      <c r="AC4" s="23" t="s">
        <v>773</v>
      </c>
      <c r="AD4" s="23" t="s">
        <v>763</v>
      </c>
      <c r="AE4" s="23" t="s">
        <v>775</v>
      </c>
      <c r="AF4" s="23" t="s">
        <v>776</v>
      </c>
      <c r="AG4" s="23" t="s">
        <v>763</v>
      </c>
      <c r="AH4" s="23" t="s">
        <v>778</v>
      </c>
      <c r="AI4" s="23" t="s">
        <v>779</v>
      </c>
      <c r="AJ4" s="23" t="s">
        <v>780</v>
      </c>
      <c r="AK4" s="23" t="s">
        <v>781</v>
      </c>
      <c r="AL4" s="23" t="s">
        <v>763</v>
      </c>
      <c r="AM4" s="135"/>
      <c r="AP4" s="134"/>
    </row>
    <row r="5" spans="1:42" ht="11.25" customHeight="1" x14ac:dyDescent="0.25">
      <c r="A5" s="136" t="s">
        <v>41</v>
      </c>
      <c r="B5" s="136" t="s">
        <v>42</v>
      </c>
      <c r="C5" s="136" t="s">
        <v>25</v>
      </c>
      <c r="D5" s="136" t="s">
        <v>25</v>
      </c>
      <c r="E5" s="136" t="s">
        <v>25</v>
      </c>
      <c r="F5" s="136" t="s">
        <v>25</v>
      </c>
      <c r="G5" s="21" t="s">
        <v>94</v>
      </c>
      <c r="H5" s="21" t="s">
        <v>93</v>
      </c>
      <c r="I5" s="21">
        <f>'MERCADO TUSD'!$U$2</f>
        <v>1039543</v>
      </c>
      <c r="J5" s="17"/>
      <c r="L5" s="20">
        <f>'TR TUSD'!$L$5*'TR TUSD'!$L$71</f>
        <v>0</v>
      </c>
      <c r="M5" s="20">
        <f>'TR TUSD'!$M$5*'TR TUSD'!$M$71</f>
        <v>0</v>
      </c>
      <c r="N5" s="20">
        <f ca="1">'TR TUSD'!$N$5*'TR TUSD'!$N$71</f>
        <v>0</v>
      </c>
      <c r="O5" s="20">
        <f>'TR TUSD'!$O$5*'TR TUSD'!$O$71</f>
        <v>0</v>
      </c>
      <c r="P5" s="20">
        <f>'TR TUSD'!$P$5*'TR TUSD'!$P$71</f>
        <v>0</v>
      </c>
      <c r="Q5" s="20">
        <f>'TR TUSD'!$Q$5*'TR TUSD'!$Q$71</f>
        <v>0</v>
      </c>
      <c r="R5" s="20">
        <f>'TR TUSD'!$R$5*'TR TUSD'!$R$71</f>
        <v>0</v>
      </c>
      <c r="S5" s="20">
        <f>'TR TUSD'!$S$5*'TR TUSD'!$S$71</f>
        <v>0</v>
      </c>
      <c r="T5" s="20">
        <f ca="1">SUM($L$5:$S$5)</f>
        <v>0</v>
      </c>
      <c r="U5" s="20">
        <f>'TR TUSD'!$U$5*'TR TUSD'!$U$71</f>
        <v>17.261331359085471</v>
      </c>
      <c r="V5" s="20">
        <f>'TR TUSD'!$V$5*'TR TUSD'!$V$71</f>
        <v>3.3585096988034446</v>
      </c>
      <c r="W5" s="20">
        <f>'TR TUSD'!$W$5*'TR TUSD'!$W$71</f>
        <v>0.91883486870488063</v>
      </c>
      <c r="X5" s="20">
        <f>'TR TUSD'!$X$5*'TR TUSD'!$X$71</f>
        <v>0</v>
      </c>
      <c r="Y5" s="20">
        <f>'TR TUSD'!$Y$5*'TR TUSD'!$Y$71</f>
        <v>0.28743786870477278</v>
      </c>
      <c r="Z5" s="20">
        <f>'TR TUSD'!$Z$5</f>
        <v>0</v>
      </c>
      <c r="AA5" s="20">
        <f>'TR TUSD'!$AA$5</f>
        <v>0</v>
      </c>
      <c r="AB5" s="20">
        <f>SUM($U$5:$AA$5)</f>
        <v>21.826113795298571</v>
      </c>
      <c r="AC5" s="20">
        <f>'TR TUSD'!$AC$5*'TR TUSD'!$AC$71</f>
        <v>13.199016230166015</v>
      </c>
      <c r="AD5" s="20">
        <f>SUM($AC$5:$AC$5)</f>
        <v>13.199016230166015</v>
      </c>
      <c r="AE5" s="20">
        <v>0</v>
      </c>
      <c r="AF5" s="20">
        <v>0</v>
      </c>
      <c r="AG5" s="20">
        <f>SUM($AE$5:$AF$5)</f>
        <v>0</v>
      </c>
      <c r="AH5" s="20">
        <f>'TR TUSD'!$AH$5*'TR TUSD'!$AH$71</f>
        <v>0</v>
      </c>
      <c r="AI5" s="20">
        <f>'TR TUSD'!$AI$5*'TR TUSD'!$AI$71</f>
        <v>0</v>
      </c>
      <c r="AJ5" s="20">
        <f ca="1">'TR TUSD'!$AJ$5*'TR TUSD'!$AJ$71</f>
        <v>0</v>
      </c>
      <c r="AK5" s="20">
        <f ca="1">'TR TUSD'!$AK$5*'TR TUSD'!$AK$71</f>
        <v>0</v>
      </c>
      <c r="AL5" s="20">
        <f ca="1">SUM($AH$5:$AK$5)</f>
        <v>0</v>
      </c>
      <c r="AM5" s="20">
        <f ca="1">SUMIF($L$4:$AL$4,"SUBTOTAL",$L$5:$AL$5)</f>
        <v>35.025130025464584</v>
      </c>
      <c r="AP5" s="20">
        <v>1</v>
      </c>
    </row>
    <row r="6" spans="1:42" ht="11.25" customHeight="1" x14ac:dyDescent="0.25">
      <c r="A6" s="136"/>
      <c r="B6" s="136"/>
      <c r="C6" s="136"/>
      <c r="D6" s="136"/>
      <c r="E6" s="136"/>
      <c r="F6" s="136"/>
      <c r="G6" s="21" t="s">
        <v>95</v>
      </c>
      <c r="H6" s="21" t="s">
        <v>93</v>
      </c>
      <c r="I6" s="21">
        <f>'MERCADO TUSD'!$U$3</f>
        <v>1376546</v>
      </c>
      <c r="J6" s="17"/>
      <c r="L6" s="20">
        <f>'TR TUSD'!$L$6*'TR TUSD'!$L$71</f>
        <v>0</v>
      </c>
      <c r="M6" s="20">
        <f>'TR TUSD'!$M$6*'TR TUSD'!$M$71</f>
        <v>0</v>
      </c>
      <c r="N6" s="20">
        <f ca="1">'TR TUSD'!$N$6*'TR TUSD'!$N$71</f>
        <v>0</v>
      </c>
      <c r="O6" s="20">
        <f>'TR TUSD'!$O$6*'TR TUSD'!$O$71</f>
        <v>0</v>
      </c>
      <c r="P6" s="20">
        <f>'TR TUSD'!$P$6*'TR TUSD'!$P$71</f>
        <v>0</v>
      </c>
      <c r="Q6" s="20">
        <f>'TR TUSD'!$Q$6*'TR TUSD'!$Q$71</f>
        <v>0</v>
      </c>
      <c r="R6" s="20">
        <f>'TR TUSD'!$R$6*'TR TUSD'!$R$71</f>
        <v>0</v>
      </c>
      <c r="S6" s="20">
        <f>'TR TUSD'!$S$6*'TR TUSD'!$S$71</f>
        <v>0</v>
      </c>
      <c r="T6" s="20">
        <f ca="1">SUM($L$6:$S$6)</f>
        <v>0</v>
      </c>
      <c r="U6" s="20">
        <f>'TR TUSD'!$U$6*'TR TUSD'!$U$71</f>
        <v>15.234438069127505</v>
      </c>
      <c r="V6" s="20">
        <f>'TR TUSD'!$V$6*'TR TUSD'!$V$71</f>
        <v>2.9748462134276203</v>
      </c>
      <c r="W6" s="20">
        <f>'TR TUSD'!$W$6*'TR TUSD'!$W$71</f>
        <v>0.82945911892146917</v>
      </c>
      <c r="X6" s="20">
        <f>'TR TUSD'!$X$6*'TR TUSD'!$X$71</f>
        <v>0</v>
      </c>
      <c r="Y6" s="20">
        <f>'TR TUSD'!$Y$6*'TR TUSD'!$Y$71</f>
        <v>0.12906832194948278</v>
      </c>
      <c r="Z6" s="20">
        <f>'TR TUSD'!$Z$6</f>
        <v>0</v>
      </c>
      <c r="AA6" s="20">
        <f>'TR TUSD'!$AA$6</f>
        <v>0</v>
      </c>
      <c r="AB6" s="20">
        <f>SUM($U$6:$AA$6)</f>
        <v>19.167811723426077</v>
      </c>
      <c r="AC6" s="20">
        <f>'TR TUSD'!$AC$6*'TR TUSD'!$AC$71</f>
        <v>1.3198590029247994</v>
      </c>
      <c r="AD6" s="20">
        <f>SUM($AC$6:$AC$6)</f>
        <v>1.3198590029247994</v>
      </c>
      <c r="AE6" s="20">
        <v>0</v>
      </c>
      <c r="AF6" s="20">
        <v>0</v>
      </c>
      <c r="AG6" s="20">
        <f>SUM($AE$6:$AF$6)</f>
        <v>0</v>
      </c>
      <c r="AH6" s="20">
        <f>'TR TUSD'!$AH$6*'TR TUSD'!$AH$71</f>
        <v>0</v>
      </c>
      <c r="AI6" s="20">
        <f>'TR TUSD'!$AI$6*'TR TUSD'!$AI$71</f>
        <v>0</v>
      </c>
      <c r="AJ6" s="20">
        <f ca="1">'TR TUSD'!$AJ$6*'TR TUSD'!$AJ$71</f>
        <v>0</v>
      </c>
      <c r="AK6" s="20">
        <f ca="1">'TR TUSD'!$AK$6*'TR TUSD'!$AK$71</f>
        <v>0</v>
      </c>
      <c r="AL6" s="20">
        <f ca="1">SUM($AH$6:$AK$6)</f>
        <v>0</v>
      </c>
      <c r="AM6" s="20">
        <f ca="1">SUMIF($L$4:$AL$4,"SUBTOTAL",$L$6:$AL$6)</f>
        <v>20.487670726350878</v>
      </c>
      <c r="AP6" s="20">
        <v>1</v>
      </c>
    </row>
    <row r="7" spans="1:42" ht="11.25" customHeight="1" x14ac:dyDescent="0.25">
      <c r="A7" s="136"/>
      <c r="B7" s="136"/>
      <c r="C7" s="136"/>
      <c r="D7" s="136"/>
      <c r="E7" s="136"/>
      <c r="F7" s="136"/>
      <c r="G7" s="21" t="s">
        <v>96</v>
      </c>
      <c r="H7" s="21" t="s">
        <v>90</v>
      </c>
      <c r="I7" s="21">
        <f>'MERCADO TUSD'!$U$4</f>
        <v>455785.89300000004</v>
      </c>
      <c r="J7" s="17"/>
      <c r="L7" s="20">
        <f>'TR TUSD'!$L$7*'TR TUSD'!$L$71</f>
        <v>9.3292117148744822</v>
      </c>
      <c r="M7" s="20">
        <f>'TR TUSD'!$M$7*'TR TUSD'!$M$71</f>
        <v>0.10286995433641195</v>
      </c>
      <c r="N7" s="20">
        <f ca="1">'TR TUSD'!$N$7*'TR TUSD'!$N$71</f>
        <v>0.50181957183389647</v>
      </c>
      <c r="O7" s="20">
        <f>'TR TUSD'!$O$7*'TR TUSD'!$O$71</f>
        <v>-1.5285559498368537E-3</v>
      </c>
      <c r="P7" s="20">
        <f>'TR TUSD'!$P$7*'TR TUSD'!$P$71</f>
        <v>0</v>
      </c>
      <c r="Q7" s="20">
        <f>'TR TUSD'!$Q$7*'TR TUSD'!$Q$71</f>
        <v>23.210039242381704</v>
      </c>
      <c r="R7" s="20">
        <f>'TR TUSD'!$R$7*'TR TUSD'!$R$71</f>
        <v>14.687947346687571</v>
      </c>
      <c r="S7" s="20">
        <f>'TR TUSD'!$S$7*'TR TUSD'!$S$71</f>
        <v>0</v>
      </c>
      <c r="T7" s="20">
        <f ca="1">SUM($L$7:$S$7)</f>
        <v>47.83035927416423</v>
      </c>
      <c r="U7" s="20">
        <f>'TR TUSD'!$U$7*'TR TUSD'!$U$71</f>
        <v>0</v>
      </c>
      <c r="V7" s="20">
        <f>'TR TUSD'!$V$7*'TR TUSD'!$V$71</f>
        <v>0</v>
      </c>
      <c r="W7" s="20">
        <f>'TR TUSD'!$W$7*'TR TUSD'!$W$71</f>
        <v>0</v>
      </c>
      <c r="X7" s="20">
        <f>'TR TUSD'!$X$7*'TR TUSD'!$X$71</f>
        <v>0</v>
      </c>
      <c r="Y7" s="20">
        <f>'TR TUSD'!$Y$7*'TR TUSD'!$Y$71</f>
        <v>0</v>
      </c>
      <c r="Z7" s="20">
        <f>'TR TUSD'!$Z$7</f>
        <v>0</v>
      </c>
      <c r="AA7" s="20">
        <f>'TR TUSD'!$AA$7</f>
        <v>0</v>
      </c>
      <c r="AB7" s="20">
        <f>SUM($U$7:$AA$7)</f>
        <v>0</v>
      </c>
      <c r="AC7" s="20">
        <f>'TR TUSD'!$AC$7*'TR TUSD'!$AC$71</f>
        <v>0</v>
      </c>
      <c r="AD7" s="20">
        <f>SUM($AC$7:$AC$7)</f>
        <v>0</v>
      </c>
      <c r="AE7" s="20">
        <v>0</v>
      </c>
      <c r="AF7" s="20">
        <v>0</v>
      </c>
      <c r="AG7" s="20">
        <f>SUM($AE$7:$AF$7)</f>
        <v>0</v>
      </c>
      <c r="AH7" s="20">
        <f>'TR TUSD'!$AH$7*'TR TUSD'!$AH$71</f>
        <v>7.2035347881745571</v>
      </c>
      <c r="AI7" s="20">
        <f>'TR TUSD'!$AI$7*'TR TUSD'!$AI$71</f>
        <v>0.41596605063012293</v>
      </c>
      <c r="AJ7" s="20">
        <f ca="1">'TR TUSD'!$AJ$7*'TR TUSD'!$AJ$71</f>
        <v>14.333076228478506</v>
      </c>
      <c r="AK7" s="20">
        <f ca="1">'TR TUSD'!$AK$7*'TR TUSD'!$AK$71</f>
        <v>3.9475516038595462</v>
      </c>
      <c r="AL7" s="20">
        <f ca="1">SUM($AH$7:$AK$7)</f>
        <v>25.900128671142731</v>
      </c>
      <c r="AM7" s="20">
        <f ca="1">SUMIF($L$4:$AL$4,"SUBTOTAL",$L$7:$AL$7)</f>
        <v>73.730487945306962</v>
      </c>
      <c r="AP7" s="20">
        <v>1</v>
      </c>
    </row>
    <row r="8" spans="1:42" ht="11.25" customHeight="1" x14ac:dyDescent="0.25">
      <c r="A8" s="136"/>
      <c r="B8" s="136"/>
      <c r="C8" s="136"/>
      <c r="D8" s="136"/>
      <c r="E8" s="22" t="s">
        <v>58</v>
      </c>
      <c r="F8" s="22" t="s">
        <v>25</v>
      </c>
      <c r="G8" s="21" t="s">
        <v>96</v>
      </c>
      <c r="H8" s="21" t="s">
        <v>90</v>
      </c>
      <c r="I8" s="21">
        <f>'MERCADO TUSD'!$U$5</f>
        <v>80167.627000000008</v>
      </c>
      <c r="J8" s="17"/>
      <c r="L8" s="20">
        <f>'TR TUSD'!$L$8*'TR TUSD'!$L$71</f>
        <v>0</v>
      </c>
      <c r="M8" s="20">
        <f>'TR TUSD'!$M$8*'TR TUSD'!$M$71</f>
        <v>0.10286995433641195</v>
      </c>
      <c r="N8" s="20">
        <f ca="1">'TR TUSD'!$N$8*'TR TUSD'!$N$71</f>
        <v>0.49032667439787719</v>
      </c>
      <c r="O8" s="20">
        <f>'TR TUSD'!$O$8*'TR TUSD'!$O$71</f>
        <v>-1.5285559498368537E-3</v>
      </c>
      <c r="P8" s="20">
        <f>'TR TUSD'!$P$8*'TR TUSD'!$P$71</f>
        <v>0</v>
      </c>
      <c r="Q8" s="20">
        <f>'TR TUSD'!$Q$8*'TR TUSD'!$Q$71</f>
        <v>0</v>
      </c>
      <c r="R8" s="20">
        <f>'TR TUSD'!$R$8*'TR TUSD'!$R$71</f>
        <v>0</v>
      </c>
      <c r="S8" s="20">
        <f>'TR TUSD'!$S$8*'TR TUSD'!$S$71</f>
        <v>0</v>
      </c>
      <c r="T8" s="20">
        <f ca="1">SUM($L$8:$S$8)</f>
        <v>0.59166807278445233</v>
      </c>
      <c r="U8" s="20">
        <f>'TR TUSD'!$U$8*'TR TUSD'!$U$71</f>
        <v>0</v>
      </c>
      <c r="V8" s="20">
        <f>'TR TUSD'!$V$8*'TR TUSD'!$V$71</f>
        <v>0</v>
      </c>
      <c r="W8" s="20">
        <f>'TR TUSD'!$W$8*'TR TUSD'!$W$71</f>
        <v>0</v>
      </c>
      <c r="X8" s="20">
        <f>'TR TUSD'!$X$8*'TR TUSD'!$X$71</f>
        <v>0</v>
      </c>
      <c r="Y8" s="20">
        <f>'TR TUSD'!$Y$8*'TR TUSD'!$Y$71</f>
        <v>0</v>
      </c>
      <c r="Z8" s="20">
        <f>'TR TUSD'!$Z$8</f>
        <v>0</v>
      </c>
      <c r="AA8" s="20">
        <f>'TR TUSD'!$AA$8</f>
        <v>0</v>
      </c>
      <c r="AB8" s="20">
        <f>SUM($U$8:$AA$8)</f>
        <v>0</v>
      </c>
      <c r="AC8" s="20">
        <f>'TR TUSD'!$AC$8*'TR TUSD'!$AC$71</f>
        <v>0</v>
      </c>
      <c r="AD8" s="20">
        <f>SUM($AC$8:$AC$8)</f>
        <v>0</v>
      </c>
      <c r="AE8" s="20">
        <v>0</v>
      </c>
      <c r="AF8" s="20">
        <v>0</v>
      </c>
      <c r="AG8" s="20">
        <f>SUM($AE$8:$AF$8)</f>
        <v>0</v>
      </c>
      <c r="AH8" s="20">
        <f>'TR TUSD'!$AH$8*'TR TUSD'!$AH$71</f>
        <v>7.2035347881745571</v>
      </c>
      <c r="AI8" s="20">
        <f>'TR TUSD'!$AI$8*'TR TUSD'!$AI$71</f>
        <v>0.41596605063012293</v>
      </c>
      <c r="AJ8" s="20">
        <f ca="1">'TR TUSD'!$AJ$8*'TR TUSD'!$AJ$71</f>
        <v>14.333076228478506</v>
      </c>
      <c r="AK8" s="20">
        <f ca="1">'TR TUSD'!$AK$8*'TR TUSD'!$AK$71</f>
        <v>3.9475516038595462</v>
      </c>
      <c r="AL8" s="20">
        <f ca="1">SUM($AH$8:$AK$8)</f>
        <v>25.900128671142731</v>
      </c>
      <c r="AM8" s="20">
        <f ca="1">SUMIF($L$4:$AL$4,"SUBTOTAL",$L$8:$AL$8)</f>
        <v>26.491796743927182</v>
      </c>
      <c r="AP8" s="20">
        <v>1</v>
      </c>
    </row>
    <row r="9" spans="1:42" ht="11.25" customHeight="1" x14ac:dyDescent="0.25">
      <c r="A9" s="136"/>
      <c r="B9" s="136" t="s">
        <v>61</v>
      </c>
      <c r="C9" s="136" t="s">
        <v>25</v>
      </c>
      <c r="D9" s="136" t="s">
        <v>25</v>
      </c>
      <c r="E9" s="136" t="s">
        <v>25</v>
      </c>
      <c r="F9" s="136" t="s">
        <v>62</v>
      </c>
      <c r="G9" s="21" t="s">
        <v>94</v>
      </c>
      <c r="H9" s="21" t="s">
        <v>93</v>
      </c>
      <c r="I9" s="21">
        <f>'MERCADO TUSD'!$U$6</f>
        <v>36090</v>
      </c>
      <c r="J9" s="17"/>
      <c r="L9" s="20">
        <f>'TR TUSD'!$L$9*'TR TUSD'!$L$71</f>
        <v>0</v>
      </c>
      <c r="M9" s="20">
        <f>'TR TUSD'!$M$9*'TR TUSD'!$M$71</f>
        <v>0</v>
      </c>
      <c r="N9" s="20">
        <f ca="1">'TR TUSD'!$N$9*'TR TUSD'!$N$71</f>
        <v>0</v>
      </c>
      <c r="O9" s="20">
        <f>'TR TUSD'!$O$9*'TR TUSD'!$O$71</f>
        <v>0</v>
      </c>
      <c r="P9" s="20">
        <f>'TR TUSD'!$P$9*'TR TUSD'!$P$71</f>
        <v>0</v>
      </c>
      <c r="Q9" s="20">
        <f>'TR TUSD'!$Q$9*'TR TUSD'!$Q$71</f>
        <v>0</v>
      </c>
      <c r="R9" s="20">
        <f>'TR TUSD'!$R$9*'TR TUSD'!$R$71</f>
        <v>0</v>
      </c>
      <c r="S9" s="20">
        <f>'TR TUSD'!$S$9*'TR TUSD'!$S$71</f>
        <v>0</v>
      </c>
      <c r="T9" s="20">
        <f ca="1">SUM($L$9:$S$9)</f>
        <v>0</v>
      </c>
      <c r="U9" s="20">
        <f>'TR TUSD'!$U$9*'TR TUSD'!$U$71</f>
        <v>17.261331359085471</v>
      </c>
      <c r="V9" s="20">
        <f>'TR TUSD'!$V$9*'TR TUSD'!$V$71</f>
        <v>3.3585096988034446</v>
      </c>
      <c r="W9" s="20">
        <f>'TR TUSD'!$W$9*'TR TUSD'!$W$71</f>
        <v>0.91883486870488063</v>
      </c>
      <c r="X9" s="20">
        <f>'TR TUSD'!$X$9*'TR TUSD'!$X$71</f>
        <v>0</v>
      </c>
      <c r="Y9" s="20">
        <f>'TR TUSD'!$Y$9*'TR TUSD'!$Y$71</f>
        <v>0.28743786870477278</v>
      </c>
      <c r="Z9" s="20">
        <f>'TR TUSD'!$Z$9</f>
        <v>0</v>
      </c>
      <c r="AA9" s="20">
        <f>'TR TUSD'!$AA$9</f>
        <v>0</v>
      </c>
      <c r="AB9" s="20">
        <f>SUM($U$9:$AA$9)</f>
        <v>21.826113795298571</v>
      </c>
      <c r="AC9" s="20">
        <f>'TR TUSD'!$AC$9*'TR TUSD'!$AC$71</f>
        <v>13.199016230166015</v>
      </c>
      <c r="AD9" s="20">
        <f>SUM($AC$9:$AC$9)</f>
        <v>13.199016230166015</v>
      </c>
      <c r="AE9" s="20">
        <v>0</v>
      </c>
      <c r="AF9" s="20">
        <v>0</v>
      </c>
      <c r="AG9" s="20">
        <f>SUM($AE$9:$AF$9)</f>
        <v>0</v>
      </c>
      <c r="AH9" s="20">
        <f>'TR TUSD'!$AH$9*'TR TUSD'!$AH$71</f>
        <v>0</v>
      </c>
      <c r="AI9" s="20">
        <f>'TR TUSD'!$AI$9*'TR TUSD'!$AI$71</f>
        <v>0</v>
      </c>
      <c r="AJ9" s="20">
        <f ca="1">'TR TUSD'!$AJ$9*'TR TUSD'!$AJ$71</f>
        <v>0</v>
      </c>
      <c r="AK9" s="20">
        <f ca="1">'TR TUSD'!$AK$9*'TR TUSD'!$AK$71</f>
        <v>0</v>
      </c>
      <c r="AL9" s="20">
        <f ca="1">SUM($AH$9:$AK$9)</f>
        <v>0</v>
      </c>
      <c r="AM9" s="20">
        <f ca="1">SUMIF($L$4:$AL$4,"SUBTOTAL",$L$9:$AL$9)</f>
        <v>35.025130025464584</v>
      </c>
      <c r="AP9" s="20">
        <v>1</v>
      </c>
    </row>
    <row r="10" spans="1:42" ht="11.25" customHeight="1" x14ac:dyDescent="0.25">
      <c r="A10" s="136"/>
      <c r="B10" s="136"/>
      <c r="C10" s="136"/>
      <c r="D10" s="136"/>
      <c r="E10" s="136"/>
      <c r="F10" s="136"/>
      <c r="G10" s="21" t="s">
        <v>95</v>
      </c>
      <c r="H10" s="21" t="s">
        <v>93</v>
      </c>
      <c r="I10" s="21">
        <f>'MERCADO TUSD'!$U$7</f>
        <v>36090</v>
      </c>
      <c r="J10" s="17"/>
      <c r="L10" s="20">
        <f>'TR TUSD'!$L$10*'TR TUSD'!$L$71</f>
        <v>0</v>
      </c>
      <c r="M10" s="20">
        <f>'TR TUSD'!$M$10*'TR TUSD'!$M$71</f>
        <v>0</v>
      </c>
      <c r="N10" s="20">
        <f ca="1">'TR TUSD'!$N$10*'TR TUSD'!$N$71</f>
        <v>0</v>
      </c>
      <c r="O10" s="20">
        <f>'TR TUSD'!$O$10*'TR TUSD'!$O$71</f>
        <v>0</v>
      </c>
      <c r="P10" s="20">
        <f>'TR TUSD'!$P$10*'TR TUSD'!$P$71</f>
        <v>0</v>
      </c>
      <c r="Q10" s="20">
        <f>'TR TUSD'!$Q$10*'TR TUSD'!$Q$71</f>
        <v>0</v>
      </c>
      <c r="R10" s="20">
        <f>'TR TUSD'!$R$10*'TR TUSD'!$R$71</f>
        <v>0</v>
      </c>
      <c r="S10" s="20">
        <f>'TR TUSD'!$S$10*'TR TUSD'!$S$71</f>
        <v>0</v>
      </c>
      <c r="T10" s="20">
        <f ca="1">SUM($L$10:$S$10)</f>
        <v>0</v>
      </c>
      <c r="U10" s="20">
        <f>'TR TUSD'!$U$10*'TR TUSD'!$U$71</f>
        <v>15.234438069127505</v>
      </c>
      <c r="V10" s="20">
        <f>'TR TUSD'!$V$10*'TR TUSD'!$V$71</f>
        <v>2.9748462134276203</v>
      </c>
      <c r="W10" s="20">
        <f>'TR TUSD'!$W$10*'TR TUSD'!$W$71</f>
        <v>0.82945911892146917</v>
      </c>
      <c r="X10" s="20">
        <f>'TR TUSD'!$X$10*'TR TUSD'!$X$71</f>
        <v>0</v>
      </c>
      <c r="Y10" s="20">
        <f>'TR TUSD'!$Y$10*'TR TUSD'!$Y$71</f>
        <v>0.12906832194948278</v>
      </c>
      <c r="Z10" s="20">
        <f>'TR TUSD'!$Z$10</f>
        <v>0</v>
      </c>
      <c r="AA10" s="20">
        <f>'TR TUSD'!$AA$10</f>
        <v>0</v>
      </c>
      <c r="AB10" s="20">
        <f>SUM($U$10:$AA$10)</f>
        <v>19.167811723426077</v>
      </c>
      <c r="AC10" s="20">
        <f>'TR TUSD'!$AC$10*'TR TUSD'!$AC$71</f>
        <v>1.3198590029247994</v>
      </c>
      <c r="AD10" s="20">
        <f>SUM($AC$10:$AC$10)</f>
        <v>1.3198590029247994</v>
      </c>
      <c r="AE10" s="20">
        <v>0</v>
      </c>
      <c r="AF10" s="20">
        <v>0</v>
      </c>
      <c r="AG10" s="20">
        <f>SUM($AE$10:$AF$10)</f>
        <v>0</v>
      </c>
      <c r="AH10" s="20">
        <f>'TR TUSD'!$AH$10*'TR TUSD'!$AH$71</f>
        <v>0</v>
      </c>
      <c r="AI10" s="20">
        <f>'TR TUSD'!$AI$10*'TR TUSD'!$AI$71</f>
        <v>0</v>
      </c>
      <c r="AJ10" s="20">
        <f ca="1">'TR TUSD'!$AJ$10*'TR TUSD'!$AJ$71</f>
        <v>0</v>
      </c>
      <c r="AK10" s="20">
        <f ca="1">'TR TUSD'!$AK$10*'TR TUSD'!$AK$71</f>
        <v>0</v>
      </c>
      <c r="AL10" s="20">
        <f ca="1">SUM($AH$10:$AK$10)</f>
        <v>0</v>
      </c>
      <c r="AM10" s="20">
        <f ca="1">SUMIF($L$4:$AL$4,"SUBTOTAL",$L$10:$AL$10)</f>
        <v>20.487670726350878</v>
      </c>
      <c r="AP10" s="20">
        <v>1</v>
      </c>
    </row>
    <row r="11" spans="1:42" ht="11.25" customHeight="1" x14ac:dyDescent="0.25">
      <c r="A11" s="136"/>
      <c r="B11" s="136"/>
      <c r="C11" s="136"/>
      <c r="D11" s="136"/>
      <c r="E11" s="136"/>
      <c r="F11" s="136"/>
      <c r="G11" s="21" t="s">
        <v>96</v>
      </c>
      <c r="H11" s="21" t="s">
        <v>90</v>
      </c>
      <c r="I11" s="21">
        <f>'MERCADO TUSD'!$U$8</f>
        <v>14869.070999999996</v>
      </c>
      <c r="J11" s="17"/>
      <c r="L11" s="20">
        <f>'TR TUSD'!$L$11*'TR TUSD'!$L$71</f>
        <v>0</v>
      </c>
      <c r="M11" s="20">
        <f>'TR TUSD'!$M$11*'TR TUSD'!$M$71</f>
        <v>0</v>
      </c>
      <c r="N11" s="20">
        <f ca="1">'TR TUSD'!$N$11*'TR TUSD'!$N$71</f>
        <v>0</v>
      </c>
      <c r="O11" s="20">
        <f>'TR TUSD'!$O$11*'TR TUSD'!$O$71</f>
        <v>0</v>
      </c>
      <c r="P11" s="20">
        <f>'TR TUSD'!$P$11*'TR TUSD'!$P$71</f>
        <v>0</v>
      </c>
      <c r="Q11" s="20">
        <f>'TR TUSD'!$Q$11*'TR TUSD'!$Q$71</f>
        <v>0</v>
      </c>
      <c r="R11" s="20">
        <f>'TR TUSD'!$R$11*'TR TUSD'!$R$71</f>
        <v>0</v>
      </c>
      <c r="S11" s="20">
        <f>'TR TUSD'!$S$11*'TR TUSD'!$S$71</f>
        <v>0</v>
      </c>
      <c r="T11" s="20">
        <f ca="1">SUM($L$11:$S$11)</f>
        <v>0</v>
      </c>
      <c r="U11" s="20">
        <f>'TR TUSD'!$U$11*'TR TUSD'!$U$71</f>
        <v>0</v>
      </c>
      <c r="V11" s="20">
        <f>'TR TUSD'!$V$11*'TR TUSD'!$V$71</f>
        <v>0</v>
      </c>
      <c r="W11" s="20">
        <f>'TR TUSD'!$W$11*'TR TUSD'!$W$71</f>
        <v>0</v>
      </c>
      <c r="X11" s="20">
        <f>'TR TUSD'!$X$11*'TR TUSD'!$X$71</f>
        <v>0</v>
      </c>
      <c r="Y11" s="20">
        <f>'TR TUSD'!$Y$11*'TR TUSD'!$Y$71</f>
        <v>0</v>
      </c>
      <c r="Z11" s="20">
        <f>'TR TUSD'!$Z$11</f>
        <v>0</v>
      </c>
      <c r="AA11" s="20">
        <f>'TR TUSD'!$AA$11</f>
        <v>0</v>
      </c>
      <c r="AB11" s="20">
        <f>SUM($U$11:$AA$11)</f>
        <v>0</v>
      </c>
      <c r="AC11" s="20">
        <f>'TR TUSD'!$AC$11*'TR TUSD'!$AC$71</f>
        <v>0</v>
      </c>
      <c r="AD11" s="20">
        <f>SUM($AC$11:$AC$11)</f>
        <v>0</v>
      </c>
      <c r="AE11" s="20">
        <v>0</v>
      </c>
      <c r="AF11" s="20">
        <v>0</v>
      </c>
      <c r="AG11" s="20">
        <f>SUM($AE$11:$AF$11)</f>
        <v>0</v>
      </c>
      <c r="AH11" s="20">
        <f>'TR TUSD'!$AH$11*'TR TUSD'!$AH$71</f>
        <v>7.2035347881745571</v>
      </c>
      <c r="AI11" s="20">
        <f>'TR TUSD'!$AI$11*'TR TUSD'!$AI$71</f>
        <v>0.41596605063012293</v>
      </c>
      <c r="AJ11" s="20">
        <f ca="1">'TR TUSD'!$AJ$11*'TR TUSD'!$AJ$71</f>
        <v>0</v>
      </c>
      <c r="AK11" s="20">
        <f ca="1">'TR TUSD'!$AK$11*'TR TUSD'!$AK$71</f>
        <v>0</v>
      </c>
      <c r="AL11" s="20">
        <f ca="1">SUM($AH$11:$AK$11)</f>
        <v>7.6195008388046803</v>
      </c>
      <c r="AM11" s="20">
        <f ca="1">SUMIF($L$4:$AL$4,"SUBTOTAL",$L$11:$AL$11)</f>
        <v>7.6195008388046803</v>
      </c>
      <c r="AP11" s="20">
        <v>1</v>
      </c>
    </row>
    <row r="12" spans="1:42" ht="11.25" customHeight="1" x14ac:dyDescent="0.25">
      <c r="A12" s="136"/>
      <c r="B12" s="22" t="s">
        <v>64</v>
      </c>
      <c r="C12" s="22" t="s">
        <v>25</v>
      </c>
      <c r="D12" s="22" t="s">
        <v>25</v>
      </c>
      <c r="E12" s="22" t="s">
        <v>25</v>
      </c>
      <c r="F12" s="22" t="s">
        <v>25</v>
      </c>
      <c r="G12" s="21" t="s">
        <v>9</v>
      </c>
      <c r="H12" s="21" t="s">
        <v>93</v>
      </c>
      <c r="I12" s="21">
        <f>'MERCADO TUSD'!$U$9</f>
        <v>888226</v>
      </c>
      <c r="J12" s="17"/>
      <c r="L12" s="20">
        <f>'TR TUSD'!$L$12</f>
        <v>0</v>
      </c>
      <c r="M12" s="20">
        <f>'TR TUSD'!$M$12</f>
        <v>8.2004525177123949E-2</v>
      </c>
      <c r="N12" s="20">
        <f>'TR TUSD'!$N$12</f>
        <v>0.2157951344050924</v>
      </c>
      <c r="O12" s="20">
        <f>'TR TUSD'!$O$12</f>
        <v>6.6166294240736874E-3</v>
      </c>
      <c r="P12" s="20">
        <f>'TR TUSD'!$P$12</f>
        <v>0</v>
      </c>
      <c r="Q12" s="20">
        <f>'TR TUSD'!$Q$12</f>
        <v>0</v>
      </c>
      <c r="R12" s="20">
        <f>'TR TUSD'!$R$12</f>
        <v>0</v>
      </c>
      <c r="S12" s="20">
        <f>'TR TUSD'!$S$12</f>
        <v>0</v>
      </c>
      <c r="T12" s="20">
        <f>SUM($L$12:$S$12)</f>
        <v>0.30441628900629003</v>
      </c>
      <c r="U12" s="20">
        <f>'TR TUSD'!$U$12</f>
        <v>0</v>
      </c>
      <c r="V12" s="20">
        <f>'TR TUSD'!$V$12</f>
        <v>0</v>
      </c>
      <c r="W12" s="20">
        <f>'TR TUSD'!$W$12</f>
        <v>0.22865608436787244</v>
      </c>
      <c r="X12" s="20">
        <f>'TR TUSD'!$X$12</f>
        <v>0</v>
      </c>
      <c r="Y12" s="20">
        <f>'TR TUSD'!$Y$12</f>
        <v>0.27417881268932498</v>
      </c>
      <c r="Z12" s="20">
        <f>'TR TUSD'!$Z$12</f>
        <v>0</v>
      </c>
      <c r="AA12" s="20">
        <f>'TR TUSD'!$AA$12</f>
        <v>0</v>
      </c>
      <c r="AB12" s="20">
        <f>SUM($U$12:$AA$12)</f>
        <v>0.50283489705719742</v>
      </c>
      <c r="AC12" s="20">
        <f>'TR TUSD'!$AC$12</f>
        <v>15.075239725095575</v>
      </c>
      <c r="AD12" s="20">
        <f>SUM($AC$12:$AC$12)</f>
        <v>15.075239725095575</v>
      </c>
      <c r="AE12" s="20">
        <v>0</v>
      </c>
      <c r="AF12" s="20">
        <v>0</v>
      </c>
      <c r="AG12" s="20">
        <f>SUM($AE$12:$AF$12)</f>
        <v>0</v>
      </c>
      <c r="AH12" s="20">
        <f>'TR TUSD'!$AH$12</f>
        <v>1.1031740771482539</v>
      </c>
      <c r="AI12" s="20">
        <f>'TR TUSD'!$AI$12</f>
        <v>0.24212517968193198</v>
      </c>
      <c r="AJ12" s="20">
        <f>'TR TUSD'!$AJ$12</f>
        <v>0</v>
      </c>
      <c r="AK12" s="20">
        <f>'TR TUSD'!$AK$12</f>
        <v>0</v>
      </c>
      <c r="AL12" s="20">
        <f>SUM($AH$12:$AK$12)</f>
        <v>1.3452992568301858</v>
      </c>
      <c r="AM12" s="20">
        <f>SUMIF($L$4:$AL$4,"SUBTOTAL",$L$12:$AL$12)</f>
        <v>17.227790167989248</v>
      </c>
      <c r="AP12" s="20"/>
    </row>
    <row r="13" spans="1:42" ht="11.25" customHeight="1" x14ac:dyDescent="0.25">
      <c r="A13" s="136" t="s">
        <v>33</v>
      </c>
      <c r="B13" s="136" t="s">
        <v>42</v>
      </c>
      <c r="C13" s="136" t="s">
        <v>25</v>
      </c>
      <c r="D13" s="136" t="s">
        <v>25</v>
      </c>
      <c r="E13" s="136" t="s">
        <v>25</v>
      </c>
      <c r="F13" s="136" t="s">
        <v>25</v>
      </c>
      <c r="G13" s="21" t="s">
        <v>94</v>
      </c>
      <c r="H13" s="21" t="s">
        <v>93</v>
      </c>
      <c r="I13" s="21">
        <f>'MERCADO TUSD'!$U$10</f>
        <v>565553</v>
      </c>
      <c r="J13" s="17"/>
      <c r="L13" s="20">
        <f>'TR TUSD'!$L$13*'TR TUSD'!$L$71</f>
        <v>0</v>
      </c>
      <c r="M13" s="20">
        <f>'TR TUSD'!$M$13*'TR TUSD'!$M$71</f>
        <v>0</v>
      </c>
      <c r="N13" s="20">
        <f ca="1">'TR TUSD'!$N$13*'TR TUSD'!$N$71</f>
        <v>0</v>
      </c>
      <c r="O13" s="20">
        <f>'TR TUSD'!$O$13*'TR TUSD'!$O$71</f>
        <v>0</v>
      </c>
      <c r="P13" s="20">
        <f>'TR TUSD'!$P$13*'TR TUSD'!$P$71</f>
        <v>0</v>
      </c>
      <c r="Q13" s="20">
        <f>'TR TUSD'!$Q$13*'TR TUSD'!$Q$71</f>
        <v>0</v>
      </c>
      <c r="R13" s="20">
        <f>'TR TUSD'!$R$13*'TR TUSD'!$R$71</f>
        <v>0</v>
      </c>
      <c r="S13" s="20">
        <f>'TR TUSD'!$S$13*'TR TUSD'!$S$71</f>
        <v>0</v>
      </c>
      <c r="T13" s="20">
        <f ca="1">SUM($L$13:$S$13)</f>
        <v>0</v>
      </c>
      <c r="U13" s="20">
        <f>'TR TUSD'!$U$13*'TR TUSD'!$U$71</f>
        <v>12.205344822225234</v>
      </c>
      <c r="V13" s="20">
        <f>'TR TUSD'!$V$13*'TR TUSD'!$V$71</f>
        <v>2.3871146236311609</v>
      </c>
      <c r="W13" s="20">
        <f>'TR TUSD'!$W$13*'TR TUSD'!$W$71</f>
        <v>0.64885905887331552</v>
      </c>
      <c r="X13" s="20">
        <f>'TR TUSD'!$X$13*'TR TUSD'!$X$71</f>
        <v>0</v>
      </c>
      <c r="Y13" s="20">
        <f>'TR TUSD'!$Y$13*'TR TUSD'!$Y$71</f>
        <v>0.52538014930551991</v>
      </c>
      <c r="Z13" s="20">
        <f>'TR TUSD'!$Z$13</f>
        <v>0</v>
      </c>
      <c r="AA13" s="20">
        <f>'TR TUSD'!$AA$13</f>
        <v>0</v>
      </c>
      <c r="AB13" s="20">
        <f>SUM($U$13:$AA$13)</f>
        <v>15.766698654035229</v>
      </c>
      <c r="AC13" s="20">
        <f>'TR TUSD'!$AC$13*'TR TUSD'!$AC$71</f>
        <v>56.759611686560582</v>
      </c>
      <c r="AD13" s="20">
        <f>SUM($AC$13:$AC$13)</f>
        <v>56.759611686560582</v>
      </c>
      <c r="AE13" s="20">
        <v>0</v>
      </c>
      <c r="AF13" s="20">
        <v>0</v>
      </c>
      <c r="AG13" s="20">
        <f>SUM($AE$13:$AF$13)</f>
        <v>0</v>
      </c>
      <c r="AH13" s="20">
        <f>'TR TUSD'!$AH$13*'TR TUSD'!$AH$71</f>
        <v>0</v>
      </c>
      <c r="AI13" s="20">
        <f>'TR TUSD'!$AI$13*'TR TUSD'!$AI$71</f>
        <v>0</v>
      </c>
      <c r="AJ13" s="20">
        <f ca="1">'TR TUSD'!$AJ$13*'TR TUSD'!$AJ$71</f>
        <v>0</v>
      </c>
      <c r="AK13" s="20">
        <f ca="1">'TR TUSD'!$AK$13*'TR TUSD'!$AK$71</f>
        <v>0</v>
      </c>
      <c r="AL13" s="20">
        <f ca="1">SUM($AH$13:$AK$13)</f>
        <v>0</v>
      </c>
      <c r="AM13" s="20">
        <f ca="1">SUMIF($L$4:$AL$4,"SUBTOTAL",$L$13:$AL$13)</f>
        <v>72.526310340595813</v>
      </c>
      <c r="AP13" s="20">
        <v>1</v>
      </c>
    </row>
    <row r="14" spans="1:42" ht="11.25" customHeight="1" x14ac:dyDescent="0.25">
      <c r="A14" s="136"/>
      <c r="B14" s="136"/>
      <c r="C14" s="136"/>
      <c r="D14" s="136"/>
      <c r="E14" s="136"/>
      <c r="F14" s="136"/>
      <c r="G14" s="21" t="s">
        <v>95</v>
      </c>
      <c r="H14" s="21" t="s">
        <v>93</v>
      </c>
      <c r="I14" s="21">
        <f>'MERCADO TUSD'!$U$11</f>
        <v>602292</v>
      </c>
      <c r="J14" s="17"/>
      <c r="L14" s="20">
        <f>'TR TUSD'!$L$14*'TR TUSD'!$L$71</f>
        <v>0</v>
      </c>
      <c r="M14" s="20">
        <f>'TR TUSD'!$M$14*'TR TUSD'!$M$71</f>
        <v>0</v>
      </c>
      <c r="N14" s="20">
        <f ca="1">'TR TUSD'!$N$14*'TR TUSD'!$N$71</f>
        <v>0</v>
      </c>
      <c r="O14" s="20">
        <f>'TR TUSD'!$O$14*'TR TUSD'!$O$71</f>
        <v>0</v>
      </c>
      <c r="P14" s="20">
        <f>'TR TUSD'!$P$14*'TR TUSD'!$P$71</f>
        <v>0</v>
      </c>
      <c r="Q14" s="20">
        <f>'TR TUSD'!$Q$14*'TR TUSD'!$Q$71</f>
        <v>0</v>
      </c>
      <c r="R14" s="20">
        <f>'TR TUSD'!$R$14*'TR TUSD'!$R$71</f>
        <v>0</v>
      </c>
      <c r="S14" s="20">
        <f>'TR TUSD'!$S$14*'TR TUSD'!$S$71</f>
        <v>0</v>
      </c>
      <c r="T14" s="20">
        <f ca="1">SUM($L$14:$S$14)</f>
        <v>0</v>
      </c>
      <c r="U14" s="20">
        <f>'TR TUSD'!$U$14*'TR TUSD'!$U$71</f>
        <v>6.6700888133334235</v>
      </c>
      <c r="V14" s="20">
        <f>'TR TUSD'!$V$14*'TR TUSD'!$V$71</f>
        <v>1.3093082611571776</v>
      </c>
      <c r="W14" s="20">
        <f>'TR TUSD'!$W$14*'TR TUSD'!$W$71</f>
        <v>0.36269043242234139</v>
      </c>
      <c r="X14" s="20">
        <f>'TR TUSD'!$X$14*'TR TUSD'!$X$71</f>
        <v>0</v>
      </c>
      <c r="Y14" s="20">
        <f>'TR TUSD'!$Y$14*'TR TUSD'!$Y$71</f>
        <v>0.13884900953274529</v>
      </c>
      <c r="Z14" s="20">
        <f>'TR TUSD'!$Z$14</f>
        <v>0</v>
      </c>
      <c r="AA14" s="20">
        <f>'TR TUSD'!$AA$14</f>
        <v>0</v>
      </c>
      <c r="AB14" s="20">
        <f>SUM($U$14:$AA$14)</f>
        <v>8.4809365164456878</v>
      </c>
      <c r="AC14" s="20">
        <f>'TR TUSD'!$AC$14*'TR TUSD'!$AC$71</f>
        <v>17.984095708469098</v>
      </c>
      <c r="AD14" s="20">
        <f>SUM($AC$14:$AC$14)</f>
        <v>17.984095708469098</v>
      </c>
      <c r="AE14" s="20">
        <v>0</v>
      </c>
      <c r="AF14" s="20">
        <v>0</v>
      </c>
      <c r="AG14" s="20">
        <f>SUM($AE$14:$AF$14)</f>
        <v>0</v>
      </c>
      <c r="AH14" s="20">
        <f>'TR TUSD'!$AH$14*'TR TUSD'!$AH$71</f>
        <v>0</v>
      </c>
      <c r="AI14" s="20">
        <f>'TR TUSD'!$AI$14*'TR TUSD'!$AI$71</f>
        <v>0</v>
      </c>
      <c r="AJ14" s="20">
        <f ca="1">'TR TUSD'!$AJ$14*'TR TUSD'!$AJ$71</f>
        <v>0</v>
      </c>
      <c r="AK14" s="20">
        <f ca="1">'TR TUSD'!$AK$14*'TR TUSD'!$AK$71</f>
        <v>0</v>
      </c>
      <c r="AL14" s="20">
        <f ca="1">SUM($AH$14:$AK$14)</f>
        <v>0</v>
      </c>
      <c r="AM14" s="20">
        <f ca="1">SUMIF($L$4:$AL$4,"SUBTOTAL",$L$14:$AL$14)</f>
        <v>26.465032224914786</v>
      </c>
      <c r="AP14" s="20">
        <v>1</v>
      </c>
    </row>
    <row r="15" spans="1:42" ht="11.25" customHeight="1" x14ac:dyDescent="0.25">
      <c r="A15" s="136"/>
      <c r="B15" s="136"/>
      <c r="C15" s="136"/>
      <c r="D15" s="136"/>
      <c r="E15" s="136"/>
      <c r="F15" s="136"/>
      <c r="G15" s="21" t="s">
        <v>96</v>
      </c>
      <c r="H15" s="21" t="s">
        <v>90</v>
      </c>
      <c r="I15" s="21">
        <f>'MERCADO TUSD'!$U$12</f>
        <v>263308.96999999997</v>
      </c>
      <c r="J15" s="17"/>
      <c r="L15" s="20">
        <f>'TR TUSD'!$L$15*'TR TUSD'!$L$71</f>
        <v>12.639577162088008</v>
      </c>
      <c r="M15" s="20">
        <f>'TR TUSD'!$M$15*'TR TUSD'!$M$71</f>
        <v>0.5912352691206173</v>
      </c>
      <c r="N15" s="20">
        <f ca="1">'TR TUSD'!$N$15*'TR TUSD'!$N$71</f>
        <v>1.0331376244843107</v>
      </c>
      <c r="O15" s="20">
        <f>'TR TUSD'!$O$15*'TR TUSD'!$O$71</f>
        <v>-1.5285559498368537E-3</v>
      </c>
      <c r="P15" s="20">
        <f>'TR TUSD'!$P$15*'TR TUSD'!$P$71</f>
        <v>0</v>
      </c>
      <c r="Q15" s="20">
        <f>'TR TUSD'!$Q$15*'TR TUSD'!$Q$71</f>
        <v>31.445859618710696</v>
      </c>
      <c r="R15" s="20">
        <f>'TR TUSD'!$R$15*'TR TUSD'!$R$71</f>
        <v>14.687947346687571</v>
      </c>
      <c r="S15" s="20">
        <f>'TR TUSD'!$S$15*'TR TUSD'!$S$71</f>
        <v>0</v>
      </c>
      <c r="T15" s="20">
        <f ca="1">SUM($L$15:$S$15)</f>
        <v>60.39622846514137</v>
      </c>
      <c r="U15" s="20">
        <f>'TR TUSD'!$U$15*'TR TUSD'!$U$71</f>
        <v>0</v>
      </c>
      <c r="V15" s="20">
        <f>'TR TUSD'!$V$15*'TR TUSD'!$V$71</f>
        <v>0</v>
      </c>
      <c r="W15" s="20">
        <f>'TR TUSD'!$W$15*'TR TUSD'!$W$71</f>
        <v>0</v>
      </c>
      <c r="X15" s="20">
        <f>'TR TUSD'!$X$15*'TR TUSD'!$X$71</f>
        <v>0</v>
      </c>
      <c r="Y15" s="20">
        <f>'TR TUSD'!$Y$15*'TR TUSD'!$Y$71</f>
        <v>0</v>
      </c>
      <c r="Z15" s="20">
        <f>'TR TUSD'!$Z$15</f>
        <v>0</v>
      </c>
      <c r="AA15" s="20">
        <f>'TR TUSD'!$AA$15</f>
        <v>0</v>
      </c>
      <c r="AB15" s="20">
        <f>SUM($U$15:$AA$15)</f>
        <v>0</v>
      </c>
      <c r="AC15" s="20">
        <f>'TR TUSD'!$AC$15*'TR TUSD'!$AC$71</f>
        <v>0</v>
      </c>
      <c r="AD15" s="20">
        <f>SUM($AC$15:$AC$15)</f>
        <v>0</v>
      </c>
      <c r="AE15" s="20">
        <v>0</v>
      </c>
      <c r="AF15" s="20">
        <v>0</v>
      </c>
      <c r="AG15" s="20">
        <f>SUM($AE$15:$AF$15)</f>
        <v>0</v>
      </c>
      <c r="AH15" s="20">
        <f>'TR TUSD'!$AH$15*'TR TUSD'!$AH$71</f>
        <v>18.552686186128543</v>
      </c>
      <c r="AI15" s="20">
        <f>'TR TUSD'!$AI$15*'TR TUSD'!$AI$71</f>
        <v>1.0713195435791822</v>
      </c>
      <c r="AJ15" s="20">
        <f ca="1">'TR TUSD'!$AJ$15*'TR TUSD'!$AJ$71</f>
        <v>26.701575255252092</v>
      </c>
      <c r="AK15" s="20">
        <f ca="1">'TR TUSD'!$AK$15*'TR TUSD'!$AK$71</f>
        <v>7.3540281614504384</v>
      </c>
      <c r="AL15" s="20">
        <f ca="1">SUM($AH$15:$AK$15)</f>
        <v>53.67960914641025</v>
      </c>
      <c r="AM15" s="20">
        <f ca="1">SUMIF($L$4:$AL$4,"SUBTOTAL",$L$15:$AL$15)</f>
        <v>114.07583761155162</v>
      </c>
      <c r="AP15" s="20">
        <v>1</v>
      </c>
    </row>
    <row r="16" spans="1:42" ht="11.25" customHeight="1" x14ac:dyDescent="0.25">
      <c r="A16" s="136"/>
      <c r="B16" s="136"/>
      <c r="C16" s="136"/>
      <c r="D16" s="136"/>
      <c r="E16" s="22" t="s">
        <v>58</v>
      </c>
      <c r="F16" s="22" t="s">
        <v>25</v>
      </c>
      <c r="G16" s="21" t="s">
        <v>96</v>
      </c>
      <c r="H16" s="21" t="s">
        <v>90</v>
      </c>
      <c r="I16" s="21">
        <f>'MERCADO TUSD'!$U$13</f>
        <v>0</v>
      </c>
      <c r="J16" s="17"/>
      <c r="L16" s="20">
        <f>'TR TUSD'!$L$16*'TR TUSD'!$L$71</f>
        <v>0</v>
      </c>
      <c r="M16" s="20">
        <f>'TR TUSD'!$M$16*'TR TUSD'!$M$71</f>
        <v>0.5912352691206173</v>
      </c>
      <c r="N16" s="20">
        <f ca="1">'TR TUSD'!$N$16*'TR TUSD'!$N$71</f>
        <v>1.0216447270482911</v>
      </c>
      <c r="O16" s="20">
        <f>'TR TUSD'!$O$16*'TR TUSD'!$O$71</f>
        <v>-1.5285559498368537E-3</v>
      </c>
      <c r="P16" s="20">
        <f>'TR TUSD'!$P$16*'TR TUSD'!$P$71</f>
        <v>0</v>
      </c>
      <c r="Q16" s="20">
        <f>'TR TUSD'!$Q$16*'TR TUSD'!$Q$71</f>
        <v>0</v>
      </c>
      <c r="R16" s="20">
        <f>'TR TUSD'!$R$16*'TR TUSD'!$R$71</f>
        <v>0</v>
      </c>
      <c r="S16" s="20">
        <f>'TR TUSD'!$S$16*'TR TUSD'!$S$71</f>
        <v>0</v>
      </c>
      <c r="T16" s="20">
        <f ca="1">SUM($L$16:$S$16)</f>
        <v>1.6113514402190716</v>
      </c>
      <c r="U16" s="20">
        <f>'TR TUSD'!$U$16*'TR TUSD'!$U$71</f>
        <v>0</v>
      </c>
      <c r="V16" s="20">
        <f>'TR TUSD'!$V$16*'TR TUSD'!$V$71</f>
        <v>0</v>
      </c>
      <c r="W16" s="20">
        <f>'TR TUSD'!$W$16*'TR TUSD'!$W$71</f>
        <v>0</v>
      </c>
      <c r="X16" s="20">
        <f>'TR TUSD'!$X$16*'TR TUSD'!$X$71</f>
        <v>0</v>
      </c>
      <c r="Y16" s="20">
        <f>'TR TUSD'!$Y$16*'TR TUSD'!$Y$71</f>
        <v>0</v>
      </c>
      <c r="Z16" s="20">
        <f>'TR TUSD'!$Z$16</f>
        <v>0</v>
      </c>
      <c r="AA16" s="20">
        <f>'TR TUSD'!$AA$16</f>
        <v>0</v>
      </c>
      <c r="AB16" s="20">
        <f>SUM($U$16:$AA$16)</f>
        <v>0</v>
      </c>
      <c r="AC16" s="20">
        <f>'TR TUSD'!$AC$16*'TR TUSD'!$AC$71</f>
        <v>0</v>
      </c>
      <c r="AD16" s="20">
        <f>SUM($AC$16:$AC$16)</f>
        <v>0</v>
      </c>
      <c r="AE16" s="20">
        <v>0</v>
      </c>
      <c r="AF16" s="20">
        <v>0</v>
      </c>
      <c r="AG16" s="20">
        <f>SUM($AE$16:$AF$16)</f>
        <v>0</v>
      </c>
      <c r="AH16" s="20">
        <f>'TR TUSD'!$AH$16*'TR TUSD'!$AH$71</f>
        <v>18.552686186128543</v>
      </c>
      <c r="AI16" s="20">
        <f>'TR TUSD'!$AI$16*'TR TUSD'!$AI$71</f>
        <v>1.0713195435791822</v>
      </c>
      <c r="AJ16" s="20">
        <f ca="1">'TR TUSD'!$AJ$16*'TR TUSD'!$AJ$71</f>
        <v>26.701575255252092</v>
      </c>
      <c r="AK16" s="20">
        <f ca="1">'TR TUSD'!$AK$16*'TR TUSD'!$AK$71</f>
        <v>7.3540281614504384</v>
      </c>
      <c r="AL16" s="20">
        <f ca="1">SUM($AH$16:$AK$16)</f>
        <v>53.67960914641025</v>
      </c>
      <c r="AM16" s="20">
        <f ca="1">SUMIF($L$4:$AL$4,"SUBTOTAL",$L$16:$AL$16)</f>
        <v>55.290960586629325</v>
      </c>
      <c r="AP16" s="20">
        <v>1</v>
      </c>
    </row>
    <row r="17" spans="1:42" ht="11.25" customHeight="1" x14ac:dyDescent="0.25">
      <c r="A17" s="136"/>
      <c r="B17" s="136" t="s">
        <v>61</v>
      </c>
      <c r="C17" s="136" t="s">
        <v>25</v>
      </c>
      <c r="D17" s="136" t="s">
        <v>25</v>
      </c>
      <c r="E17" s="136" t="s">
        <v>25</v>
      </c>
      <c r="F17" s="136" t="s">
        <v>62</v>
      </c>
      <c r="G17" s="21" t="s">
        <v>94</v>
      </c>
      <c r="H17" s="21" t="s">
        <v>93</v>
      </c>
      <c r="I17" s="21">
        <f>'MERCADO TUSD'!$U$14</f>
        <v>5691</v>
      </c>
      <c r="J17" s="17"/>
      <c r="L17" s="20">
        <f>'TR TUSD'!$L$17*'TR TUSD'!$L$71</f>
        <v>0</v>
      </c>
      <c r="M17" s="20">
        <f>'TR TUSD'!$M$17*'TR TUSD'!$M$71</f>
        <v>0</v>
      </c>
      <c r="N17" s="20">
        <f ca="1">'TR TUSD'!$N$17*'TR TUSD'!$N$71</f>
        <v>0</v>
      </c>
      <c r="O17" s="20">
        <f>'TR TUSD'!$O$17*'TR TUSD'!$O$71</f>
        <v>0</v>
      </c>
      <c r="P17" s="20">
        <f>'TR TUSD'!$P$17*'TR TUSD'!$P$71</f>
        <v>0</v>
      </c>
      <c r="Q17" s="20">
        <f>'TR TUSD'!$Q$17*'TR TUSD'!$Q$71</f>
        <v>0</v>
      </c>
      <c r="R17" s="20">
        <f>'TR TUSD'!$R$17*'TR TUSD'!$R$71</f>
        <v>0</v>
      </c>
      <c r="S17" s="20">
        <f>'TR TUSD'!$S$17*'TR TUSD'!$S$71</f>
        <v>0</v>
      </c>
      <c r="T17" s="20">
        <f ca="1">SUM($L$17:$S$17)</f>
        <v>0</v>
      </c>
      <c r="U17" s="20">
        <f>'TR TUSD'!$U$17*'TR TUSD'!$U$71</f>
        <v>12.205344822225234</v>
      </c>
      <c r="V17" s="20">
        <f>'TR TUSD'!$V$17*'TR TUSD'!$V$71</f>
        <v>2.3871146236311609</v>
      </c>
      <c r="W17" s="20">
        <f>'TR TUSD'!$W$17*'TR TUSD'!$W$71</f>
        <v>0.64885905887331552</v>
      </c>
      <c r="X17" s="20">
        <f>'TR TUSD'!$X$17*'TR TUSD'!$X$71</f>
        <v>0</v>
      </c>
      <c r="Y17" s="20">
        <f>'TR TUSD'!$Y$17*'TR TUSD'!$Y$71</f>
        <v>0.52538014930551991</v>
      </c>
      <c r="Z17" s="20">
        <f>'TR TUSD'!$Z$17</f>
        <v>0</v>
      </c>
      <c r="AA17" s="20">
        <f>'TR TUSD'!$AA$17</f>
        <v>0</v>
      </c>
      <c r="AB17" s="20">
        <f>SUM($U$17:$AA$17)</f>
        <v>15.766698654035229</v>
      </c>
      <c r="AC17" s="20">
        <f>'TR TUSD'!$AC$17*'TR TUSD'!$AC$71</f>
        <v>18.103553737205601</v>
      </c>
      <c r="AD17" s="20">
        <f>SUM($AC$17:$AC$17)</f>
        <v>18.103553737205601</v>
      </c>
      <c r="AE17" s="20">
        <v>0</v>
      </c>
      <c r="AF17" s="20">
        <v>0</v>
      </c>
      <c r="AG17" s="20">
        <f>SUM($AE$17:$AF$17)</f>
        <v>0</v>
      </c>
      <c r="AH17" s="20">
        <f>'TR TUSD'!$AH$17*'TR TUSD'!$AH$71</f>
        <v>0</v>
      </c>
      <c r="AI17" s="20">
        <f>'TR TUSD'!$AI$17*'TR TUSD'!$AI$71</f>
        <v>0</v>
      </c>
      <c r="AJ17" s="20">
        <f ca="1">'TR TUSD'!$AJ$17*'TR TUSD'!$AJ$71</f>
        <v>0</v>
      </c>
      <c r="AK17" s="20">
        <f ca="1">'TR TUSD'!$AK$17*'TR TUSD'!$AK$71</f>
        <v>0</v>
      </c>
      <c r="AL17" s="20">
        <f ca="1">SUM($AH$17:$AK$17)</f>
        <v>0</v>
      </c>
      <c r="AM17" s="20">
        <f ca="1">SUMIF($L$4:$AL$4,"SUBTOTAL",$L$17:$AL$17)</f>
        <v>33.870252391240832</v>
      </c>
      <c r="AP17" s="20">
        <v>1</v>
      </c>
    </row>
    <row r="18" spans="1:42" ht="11.25" customHeight="1" x14ac:dyDescent="0.25">
      <c r="A18" s="136"/>
      <c r="B18" s="136"/>
      <c r="C18" s="136"/>
      <c r="D18" s="136"/>
      <c r="E18" s="136"/>
      <c r="F18" s="136"/>
      <c r="G18" s="21" t="s">
        <v>95</v>
      </c>
      <c r="H18" s="21" t="s">
        <v>93</v>
      </c>
      <c r="I18" s="21">
        <f>'MERCADO TUSD'!$U$15</f>
        <v>7796</v>
      </c>
      <c r="J18" s="17"/>
      <c r="L18" s="20">
        <f>'TR TUSD'!$L$18*'TR TUSD'!$L$71</f>
        <v>0</v>
      </c>
      <c r="M18" s="20">
        <f>'TR TUSD'!$M$18*'TR TUSD'!$M$71</f>
        <v>0</v>
      </c>
      <c r="N18" s="20">
        <f ca="1">'TR TUSD'!$N$18*'TR TUSD'!$N$71</f>
        <v>0</v>
      </c>
      <c r="O18" s="20">
        <f>'TR TUSD'!$O$18*'TR TUSD'!$O$71</f>
        <v>0</v>
      </c>
      <c r="P18" s="20">
        <f>'TR TUSD'!$P$18*'TR TUSD'!$P$71</f>
        <v>0</v>
      </c>
      <c r="Q18" s="20">
        <f>'TR TUSD'!$Q$18*'TR TUSD'!$Q$71</f>
        <v>0</v>
      </c>
      <c r="R18" s="20">
        <f>'TR TUSD'!$R$18*'TR TUSD'!$R$71</f>
        <v>0</v>
      </c>
      <c r="S18" s="20">
        <f>'TR TUSD'!$S$18*'TR TUSD'!$S$71</f>
        <v>0</v>
      </c>
      <c r="T18" s="20">
        <f ca="1">SUM($L$18:$S$18)</f>
        <v>0</v>
      </c>
      <c r="U18" s="20">
        <f>'TR TUSD'!$U$18*'TR TUSD'!$U$71</f>
        <v>6.6700888133334235</v>
      </c>
      <c r="V18" s="20">
        <f>'TR TUSD'!$V$18*'TR TUSD'!$V$71</f>
        <v>1.3093082611571776</v>
      </c>
      <c r="W18" s="20">
        <f>'TR TUSD'!$W$18*'TR TUSD'!$W$71</f>
        <v>0.36269043242234139</v>
      </c>
      <c r="X18" s="20">
        <f>'TR TUSD'!$X$18*'TR TUSD'!$X$71</f>
        <v>0</v>
      </c>
      <c r="Y18" s="20">
        <f>'TR TUSD'!$Y$18*'TR TUSD'!$Y$71</f>
        <v>0.13884900953274529</v>
      </c>
      <c r="Z18" s="20">
        <f>'TR TUSD'!$Z$18</f>
        <v>0</v>
      </c>
      <c r="AA18" s="20">
        <f>'TR TUSD'!$AA$18</f>
        <v>0</v>
      </c>
      <c r="AB18" s="20">
        <f>SUM($U$18:$AA$18)</f>
        <v>8.4809365164456878</v>
      </c>
      <c r="AC18" s="20">
        <f>'TR TUSD'!$AC$18*'TR TUSD'!$AC$71</f>
        <v>5.7360554980968992</v>
      </c>
      <c r="AD18" s="20">
        <f>SUM($AC$18:$AC$18)</f>
        <v>5.7360554980968992</v>
      </c>
      <c r="AE18" s="20">
        <v>0</v>
      </c>
      <c r="AF18" s="20">
        <v>0</v>
      </c>
      <c r="AG18" s="20">
        <f>SUM($AE$18:$AF$18)</f>
        <v>0</v>
      </c>
      <c r="AH18" s="20">
        <f>'TR TUSD'!$AH$18*'TR TUSD'!$AH$71</f>
        <v>0</v>
      </c>
      <c r="AI18" s="20">
        <f>'TR TUSD'!$AI$18*'TR TUSD'!$AI$71</f>
        <v>0</v>
      </c>
      <c r="AJ18" s="20">
        <f ca="1">'TR TUSD'!$AJ$18*'TR TUSD'!$AJ$71</f>
        <v>0</v>
      </c>
      <c r="AK18" s="20">
        <f ca="1">'TR TUSD'!$AK$18*'TR TUSD'!$AK$71</f>
        <v>0</v>
      </c>
      <c r="AL18" s="20">
        <f ca="1">SUM($AH$18:$AK$18)</f>
        <v>0</v>
      </c>
      <c r="AM18" s="20">
        <f ca="1">SUMIF($L$4:$AL$4,"SUBTOTAL",$L$18:$AL$18)</f>
        <v>14.216992014542587</v>
      </c>
      <c r="AP18" s="20">
        <v>1</v>
      </c>
    </row>
    <row r="19" spans="1:42" ht="11.25" customHeight="1" x14ac:dyDescent="0.25">
      <c r="A19" s="136"/>
      <c r="B19" s="136"/>
      <c r="C19" s="136"/>
      <c r="D19" s="136"/>
      <c r="E19" s="136"/>
      <c r="F19" s="136"/>
      <c r="G19" s="21" t="s">
        <v>96</v>
      </c>
      <c r="H19" s="21" t="s">
        <v>90</v>
      </c>
      <c r="I19" s="21">
        <f>'MERCADO TUSD'!$U$16</f>
        <v>2880.6459999999997</v>
      </c>
      <c r="J19" s="17"/>
      <c r="L19" s="20">
        <f>'TR TUSD'!$L$19*'TR TUSD'!$L$71</f>
        <v>0</v>
      </c>
      <c r="M19" s="20">
        <f>'TR TUSD'!$M$19*'TR TUSD'!$M$71</f>
        <v>0</v>
      </c>
      <c r="N19" s="20">
        <f ca="1">'TR TUSD'!$N$19*'TR TUSD'!$N$71</f>
        <v>0</v>
      </c>
      <c r="O19" s="20">
        <f>'TR TUSD'!$O$19*'TR TUSD'!$O$71</f>
        <v>0</v>
      </c>
      <c r="P19" s="20">
        <f>'TR TUSD'!$P$19*'TR TUSD'!$P$71</f>
        <v>0</v>
      </c>
      <c r="Q19" s="20">
        <f>'TR TUSD'!$Q$19*'TR TUSD'!$Q$71</f>
        <v>0</v>
      </c>
      <c r="R19" s="20">
        <f>'TR TUSD'!$R$19*'TR TUSD'!$R$71</f>
        <v>0</v>
      </c>
      <c r="S19" s="20">
        <f>'TR TUSD'!$S$19*'TR TUSD'!$S$71</f>
        <v>0</v>
      </c>
      <c r="T19" s="20">
        <f ca="1">SUM($L$19:$S$19)</f>
        <v>0</v>
      </c>
      <c r="U19" s="20">
        <f>'TR TUSD'!$U$19*'TR TUSD'!$U$71</f>
        <v>0</v>
      </c>
      <c r="V19" s="20">
        <f>'TR TUSD'!$V$19*'TR TUSD'!$V$71</f>
        <v>0</v>
      </c>
      <c r="W19" s="20">
        <f>'TR TUSD'!$W$19*'TR TUSD'!$W$71</f>
        <v>0</v>
      </c>
      <c r="X19" s="20">
        <f>'TR TUSD'!$X$19*'TR TUSD'!$X$71</f>
        <v>0</v>
      </c>
      <c r="Y19" s="20">
        <f>'TR TUSD'!$Y$19*'TR TUSD'!$Y$71</f>
        <v>0</v>
      </c>
      <c r="Z19" s="20">
        <f>'TR TUSD'!$Z$19</f>
        <v>0</v>
      </c>
      <c r="AA19" s="20">
        <f>'TR TUSD'!$AA$19</f>
        <v>0</v>
      </c>
      <c r="AB19" s="20">
        <f>SUM($U$19:$AA$19)</f>
        <v>0</v>
      </c>
      <c r="AC19" s="20">
        <f>'TR TUSD'!$AC$19*'TR TUSD'!$AC$71</f>
        <v>0</v>
      </c>
      <c r="AD19" s="20">
        <f>SUM($AC$19:$AC$19)</f>
        <v>0</v>
      </c>
      <c r="AE19" s="20">
        <v>0</v>
      </c>
      <c r="AF19" s="20">
        <v>0</v>
      </c>
      <c r="AG19" s="20">
        <f>SUM($AE$19:$AF$19)</f>
        <v>0</v>
      </c>
      <c r="AH19" s="20">
        <f>'TR TUSD'!$AH$19*'TR TUSD'!$AH$71</f>
        <v>18.552686186128543</v>
      </c>
      <c r="AI19" s="20">
        <f>'TR TUSD'!$AI$19*'TR TUSD'!$AI$71</f>
        <v>1.0713195435791822</v>
      </c>
      <c r="AJ19" s="20">
        <f ca="1">'TR TUSD'!$AJ$19*'TR TUSD'!$AJ$71</f>
        <v>0</v>
      </c>
      <c r="AK19" s="20">
        <f ca="1">'TR TUSD'!$AK$19*'TR TUSD'!$AK$71</f>
        <v>0</v>
      </c>
      <c r="AL19" s="20">
        <f ca="1">SUM($AH$19:$AK$19)</f>
        <v>19.624005729707726</v>
      </c>
      <c r="AM19" s="20">
        <f ca="1">SUMIF($L$4:$AL$4,"SUBTOTAL",$L$19:$AL$19)</f>
        <v>19.624005729707726</v>
      </c>
      <c r="AP19" s="20">
        <v>1</v>
      </c>
    </row>
    <row r="20" spans="1:42" ht="11.25" customHeight="1" x14ac:dyDescent="0.25">
      <c r="A20" s="136"/>
      <c r="B20" s="22" t="s">
        <v>64</v>
      </c>
      <c r="C20" s="22" t="s">
        <v>25</v>
      </c>
      <c r="D20" s="22" t="s">
        <v>25</v>
      </c>
      <c r="E20" s="22" t="s">
        <v>25</v>
      </c>
      <c r="F20" s="22" t="s">
        <v>25</v>
      </c>
      <c r="G20" s="21" t="s">
        <v>9</v>
      </c>
      <c r="H20" s="21" t="s">
        <v>93</v>
      </c>
      <c r="I20" s="21">
        <f>'MERCADO TUSD'!$U$17</f>
        <v>38138</v>
      </c>
      <c r="J20" s="17"/>
      <c r="L20" s="20">
        <f>'TR TUSD'!$L$20*'TR TUSD'!$L$71</f>
        <v>0</v>
      </c>
      <c r="M20" s="20">
        <f>'TR TUSD'!$M$20*'TR TUSD'!$M$71</f>
        <v>4.9408668838690065E-2</v>
      </c>
      <c r="N20" s="20">
        <f ca="1">'TR TUSD'!$N$20*'TR TUSD'!$N$71</f>
        <v>0.14113278051431774</v>
      </c>
      <c r="O20" s="20">
        <f>'TR TUSD'!$O$20*'TR TUSD'!$O$71</f>
        <v>0</v>
      </c>
      <c r="P20" s="20">
        <f>'TR TUSD'!$P$20*'TR TUSD'!$P$71</f>
        <v>0</v>
      </c>
      <c r="Q20" s="20">
        <f>'TR TUSD'!$Q$20*'TR TUSD'!$Q$71</f>
        <v>0</v>
      </c>
      <c r="R20" s="20">
        <f>'TR TUSD'!$R$20*'TR TUSD'!$R$71</f>
        <v>0</v>
      </c>
      <c r="S20" s="20">
        <f>'TR TUSD'!$S$20*'TR TUSD'!$S$71</f>
        <v>0</v>
      </c>
      <c r="T20" s="20">
        <f ca="1">SUM($L$20:$S$20)</f>
        <v>0.19054144935300782</v>
      </c>
      <c r="U20" s="20">
        <f>'TR TUSD'!$U$20*'TR TUSD'!$U$71</f>
        <v>0</v>
      </c>
      <c r="V20" s="20">
        <f>'TR TUSD'!$V$20*'TR TUSD'!$V$71</f>
        <v>0</v>
      </c>
      <c r="W20" s="20">
        <f>'TR TUSD'!$W$20*'TR TUSD'!$W$71</f>
        <v>0</v>
      </c>
      <c r="X20" s="20">
        <f>'TR TUSD'!$X$20*'TR TUSD'!$X$71</f>
        <v>0</v>
      </c>
      <c r="Y20" s="20">
        <f>'TR TUSD'!$Y$20*'TR TUSD'!$Y$71</f>
        <v>0</v>
      </c>
      <c r="Z20" s="20">
        <f>'TR TUSD'!$Z$20*'TR TUSD'!$Z$71</f>
        <v>0</v>
      </c>
      <c r="AA20" s="20">
        <f>'TR TUSD'!$AA$20*'TR TUSD'!$AA$71</f>
        <v>0</v>
      </c>
      <c r="AB20" s="20">
        <f>SUM($U$20:$AA$20)</f>
        <v>0</v>
      </c>
      <c r="AC20" s="20">
        <f>'TR TUSD'!$AC$20*'TR TUSD'!$AC$71</f>
        <v>14.888902870115908</v>
      </c>
      <c r="AD20" s="20">
        <f>SUM($AC$20:$AC$20)</f>
        <v>14.888902870115908</v>
      </c>
      <c r="AE20" s="20">
        <v>0</v>
      </c>
      <c r="AF20" s="20">
        <v>0</v>
      </c>
      <c r="AG20" s="20">
        <f>SUM($AE$20:$AF$20)</f>
        <v>0</v>
      </c>
      <c r="AH20" s="20">
        <f>'TR TUSD'!$AH$20*'TR TUSD'!$AH$71</f>
        <v>1.0388714721913119E-3</v>
      </c>
      <c r="AI20" s="20">
        <f>'TR TUSD'!$AI$20*'TR TUSD'!$AI$71</f>
        <v>0</v>
      </c>
      <c r="AJ20" s="20">
        <f ca="1">'TR TUSD'!$AJ$20*'TR TUSD'!$AJ$71</f>
        <v>0</v>
      </c>
      <c r="AK20" s="20">
        <f ca="1">'TR TUSD'!$AK$20*'TR TUSD'!$AK$71</f>
        <v>0</v>
      </c>
      <c r="AL20" s="20">
        <f ca="1">SUM($AH$20:$AK$20)</f>
        <v>1.0388714721913119E-3</v>
      </c>
      <c r="AM20" s="20">
        <f ca="1">SUMIF($L$4:$AL$4,"SUBTOTAL",$L$20:$AL$20)</f>
        <v>15.080483190941107</v>
      </c>
      <c r="AP20" s="20"/>
    </row>
    <row r="21" spans="1:42" ht="11.25" customHeight="1" x14ac:dyDescent="0.25">
      <c r="A21" s="136"/>
      <c r="B21" s="136" t="s">
        <v>34</v>
      </c>
      <c r="C21" s="136" t="s">
        <v>25</v>
      </c>
      <c r="D21" s="136" t="s">
        <v>25</v>
      </c>
      <c r="E21" s="136" t="s">
        <v>25</v>
      </c>
      <c r="F21" s="136" t="s">
        <v>25</v>
      </c>
      <c r="G21" s="21" t="s">
        <v>9</v>
      </c>
      <c r="H21" s="21" t="s">
        <v>93</v>
      </c>
      <c r="I21" s="21">
        <f>'MERCADO TUSD'!$U$18</f>
        <v>3390140</v>
      </c>
      <c r="J21" s="17"/>
      <c r="L21" s="20">
        <f>'TR TUSD'!$L$21*'TR TUSD'!$L$71</f>
        <v>0</v>
      </c>
      <c r="M21" s="20">
        <f>'TR TUSD'!$M$21*'TR TUSD'!$M$71</f>
        <v>0</v>
      </c>
      <c r="N21" s="20">
        <f ca="1">'TR TUSD'!$N$21*'TR TUSD'!$N$71</f>
        <v>0</v>
      </c>
      <c r="O21" s="20">
        <f>'TR TUSD'!$O$21*'TR TUSD'!$O$71</f>
        <v>0</v>
      </c>
      <c r="P21" s="20">
        <f>'TR TUSD'!$P$21*'TR TUSD'!$P$71</f>
        <v>0</v>
      </c>
      <c r="Q21" s="20">
        <f>'TR TUSD'!$Q$21*'TR TUSD'!$Q$71</f>
        <v>0</v>
      </c>
      <c r="R21" s="20">
        <f>'TR TUSD'!$R$21*'TR TUSD'!$R$71</f>
        <v>0</v>
      </c>
      <c r="S21" s="20">
        <f>'TR TUSD'!$S$21*'TR TUSD'!$S$71</f>
        <v>0</v>
      </c>
      <c r="T21" s="20">
        <f ca="1">SUM($L$21:$S$21)</f>
        <v>0</v>
      </c>
      <c r="U21" s="20">
        <f>'TR TUSD'!$U$21*'TR TUSD'!$U$71</f>
        <v>6.6700888133334235</v>
      </c>
      <c r="V21" s="20">
        <f>'TR TUSD'!$V$21*'TR TUSD'!$V$71</f>
        <v>1.3093082611571776</v>
      </c>
      <c r="W21" s="20">
        <f>'TR TUSD'!$W$21*'TR TUSD'!$W$71</f>
        <v>0.36269043242234139</v>
      </c>
      <c r="X21" s="20">
        <f>'TR TUSD'!$X$21*'TR TUSD'!$X$71</f>
        <v>0</v>
      </c>
      <c r="Y21" s="20">
        <f>'TR TUSD'!$Y$21*'TR TUSD'!$Y$71</f>
        <v>0.13884900953274529</v>
      </c>
      <c r="Z21" s="20">
        <f>'TR TUSD'!$Z$21</f>
        <v>0</v>
      </c>
      <c r="AA21" s="20">
        <f>'TR TUSD'!$AA$21</f>
        <v>0</v>
      </c>
      <c r="AB21" s="20">
        <f>SUM($U$21:$AA$21)</f>
        <v>8.4809365164456878</v>
      </c>
      <c r="AC21" s="20">
        <f>'TR TUSD'!$AC$21*'TR TUSD'!$AC$71</f>
        <v>17.984095708469098</v>
      </c>
      <c r="AD21" s="20">
        <f>SUM($AC$21:$AC$21)</f>
        <v>17.984095708469098</v>
      </c>
      <c r="AE21" s="20">
        <v>0</v>
      </c>
      <c r="AF21" s="20">
        <v>0</v>
      </c>
      <c r="AG21" s="20">
        <f>SUM($AE$21:$AF$21)</f>
        <v>0</v>
      </c>
      <c r="AH21" s="20">
        <f>'TR TUSD'!$AH$21*'TR TUSD'!$AH$71</f>
        <v>0</v>
      </c>
      <c r="AI21" s="20">
        <f>'TR TUSD'!$AI$21*'TR TUSD'!$AI$71</f>
        <v>0</v>
      </c>
      <c r="AJ21" s="20">
        <f ca="1">'TR TUSD'!$AJ$21*'TR TUSD'!$AJ$71</f>
        <v>0</v>
      </c>
      <c r="AK21" s="20">
        <f ca="1">'TR TUSD'!$AK$21*'TR TUSD'!$AK$71</f>
        <v>0</v>
      </c>
      <c r="AL21" s="20">
        <f ca="1">SUM($AH$21:$AK$21)</f>
        <v>0</v>
      </c>
      <c r="AM21" s="20">
        <f ca="1">SUMIF($L$4:$AL$4,"SUBTOTAL",$L$21:$AL$21)</f>
        <v>26.465032224914786</v>
      </c>
      <c r="AP21" s="20">
        <v>1</v>
      </c>
    </row>
    <row r="22" spans="1:42" ht="11.25" customHeight="1" x14ac:dyDescent="0.25">
      <c r="A22" s="136"/>
      <c r="B22" s="136"/>
      <c r="C22" s="136"/>
      <c r="D22" s="136"/>
      <c r="E22" s="136"/>
      <c r="F22" s="136"/>
      <c r="G22" s="21" t="s">
        <v>91</v>
      </c>
      <c r="H22" s="21" t="s">
        <v>90</v>
      </c>
      <c r="I22" s="21">
        <f>'MERCADO TUSD'!$U$19</f>
        <v>49009.922999999995</v>
      </c>
      <c r="J22" s="17"/>
      <c r="L22" s="20">
        <f>'TR TUSD'!$L$22*'TR TUSD'!$L$71</f>
        <v>12.639577162088008</v>
      </c>
      <c r="M22" s="20">
        <f>'TR TUSD'!$M$22*'TR TUSD'!$M$71</f>
        <v>0.5912352691206173</v>
      </c>
      <c r="N22" s="20">
        <f ca="1">'TR TUSD'!$N$22*'TR TUSD'!$N$71</f>
        <v>16.96701705165335</v>
      </c>
      <c r="O22" s="20">
        <f>'TR TUSD'!$O$22*'TR TUSD'!$O$71</f>
        <v>-1.5285559498368537E-3</v>
      </c>
      <c r="P22" s="20">
        <f>'TR TUSD'!$P$22*'TR TUSD'!$P$71</f>
        <v>0</v>
      </c>
      <c r="Q22" s="20">
        <f>'TR TUSD'!$Q$22*'TR TUSD'!$Q$71</f>
        <v>31.445859618710696</v>
      </c>
      <c r="R22" s="20">
        <f>'TR TUSD'!$R$22*'TR TUSD'!$R$71</f>
        <v>14.687947346687571</v>
      </c>
      <c r="S22" s="20">
        <f>'TR TUSD'!$S$22*'TR TUSD'!$S$71</f>
        <v>0</v>
      </c>
      <c r="T22" s="20">
        <f ca="1">SUM($L$22:$S$22)</f>
        <v>76.330107892310409</v>
      </c>
      <c r="U22" s="20">
        <f>'TR TUSD'!$U$22*'TR TUSD'!$U$71</f>
        <v>293.53737927005744</v>
      </c>
      <c r="V22" s="20">
        <f>'TR TUSD'!$V$22*'TR TUSD'!$V$71</f>
        <v>57.40919379903228</v>
      </c>
      <c r="W22" s="20">
        <f>'TR TUSD'!$W$22*'TR TUSD'!$W$71</f>
        <v>15.605576243246867</v>
      </c>
      <c r="X22" s="20">
        <f>'TR TUSD'!$X$22*'TR TUSD'!$X$71</f>
        <v>0</v>
      </c>
      <c r="Y22" s="20">
        <f>'TR TUSD'!$Y$22*'TR TUSD'!$Y$71</f>
        <v>12.635464057199721</v>
      </c>
      <c r="Z22" s="20">
        <f>'TR TUSD'!$Z$22</f>
        <v>0</v>
      </c>
      <c r="AA22" s="20">
        <f>'TR TUSD'!$AA$22</f>
        <v>0</v>
      </c>
      <c r="AB22" s="20">
        <f>SUM($U$22:$AA$22)</f>
        <v>379.18761336953628</v>
      </c>
      <c r="AC22" s="20">
        <f>'TR TUSD'!$AC$22*'TR TUSD'!$AC$71</f>
        <v>1365.0708833951403</v>
      </c>
      <c r="AD22" s="20">
        <f>SUM($AC$22:$AC$22)</f>
        <v>1365.0708833951403</v>
      </c>
      <c r="AE22" s="20">
        <v>0</v>
      </c>
      <c r="AF22" s="20">
        <v>0</v>
      </c>
      <c r="AG22" s="20">
        <f>SUM($AE$22:$AF$22)</f>
        <v>0</v>
      </c>
      <c r="AH22" s="20">
        <f>'TR TUSD'!$AH$22*'TR TUSD'!$AH$71</f>
        <v>18.552686186128543</v>
      </c>
      <c r="AI22" s="20">
        <f>'TR TUSD'!$AI$22*'TR TUSD'!$AI$71</f>
        <v>1.0713195435791822</v>
      </c>
      <c r="AJ22" s="20">
        <f ca="1">'TR TUSD'!$AJ$22*'TR TUSD'!$AJ$71</f>
        <v>26.701575255252092</v>
      </c>
      <c r="AK22" s="20">
        <f ca="1">'TR TUSD'!$AK$22*'TR TUSD'!$AK$71</f>
        <v>7.3540281614504384</v>
      </c>
      <c r="AL22" s="20">
        <f ca="1">SUM($AH$22:$AK$22)</f>
        <v>53.67960914641025</v>
      </c>
      <c r="AM22" s="20">
        <f ca="1">SUMIF($L$4:$AL$4,"SUBTOTAL",$L$22:$AL$22)</f>
        <v>1874.2682138033972</v>
      </c>
      <c r="AP22" s="20">
        <v>1</v>
      </c>
    </row>
    <row r="23" spans="1:42" ht="11.25" customHeight="1" x14ac:dyDescent="0.25">
      <c r="A23" s="136"/>
      <c r="B23" s="136"/>
      <c r="C23" s="136"/>
      <c r="D23" s="136"/>
      <c r="E23" s="136"/>
      <c r="F23" s="136"/>
      <c r="G23" s="21" t="s">
        <v>92</v>
      </c>
      <c r="H23" s="21" t="s">
        <v>90</v>
      </c>
      <c r="I23" s="21">
        <f>'MERCADO TUSD'!$U$20</f>
        <v>680185.39</v>
      </c>
      <c r="J23" s="17"/>
      <c r="L23" s="20">
        <f>'TR TUSD'!$L$23*'TR TUSD'!$L$71</f>
        <v>12.639577162088008</v>
      </c>
      <c r="M23" s="20">
        <f>'TR TUSD'!$M$23*'TR TUSD'!$M$71</f>
        <v>0.5912352691206173</v>
      </c>
      <c r="N23" s="20">
        <f ca="1">'TR TUSD'!$N$23*'TR TUSD'!$N$71</f>
        <v>1.0331376244843107</v>
      </c>
      <c r="O23" s="20">
        <f>'TR TUSD'!$O$23*'TR TUSD'!$O$71</f>
        <v>-1.5285559498368537E-3</v>
      </c>
      <c r="P23" s="20">
        <f>'TR TUSD'!$P$23*'TR TUSD'!$P$71</f>
        <v>0</v>
      </c>
      <c r="Q23" s="20">
        <f>'TR TUSD'!$Q$23*'TR TUSD'!$Q$71</f>
        <v>31.445859618710696</v>
      </c>
      <c r="R23" s="20">
        <f>'TR TUSD'!$R$23*'TR TUSD'!$R$71</f>
        <v>14.687947346687571</v>
      </c>
      <c r="S23" s="20">
        <f>'TR TUSD'!$S$23*'TR TUSD'!$S$71</f>
        <v>0</v>
      </c>
      <c r="T23" s="20">
        <f ca="1">SUM($L$23:$S$23)</f>
        <v>60.39622846514137</v>
      </c>
      <c r="U23" s="20">
        <f>'TR TUSD'!$U$23*'TR TUSD'!$U$71</f>
        <v>0</v>
      </c>
      <c r="V23" s="20">
        <f>'TR TUSD'!$V$23*'TR TUSD'!$V$71</f>
        <v>0</v>
      </c>
      <c r="W23" s="20">
        <f>'TR TUSD'!$W$23*'TR TUSD'!$W$71</f>
        <v>0</v>
      </c>
      <c r="X23" s="20">
        <f>'TR TUSD'!$X$23*'TR TUSD'!$X$71</f>
        <v>0</v>
      </c>
      <c r="Y23" s="20">
        <f>'TR TUSD'!$Y$23*'TR TUSD'!$Y$71</f>
        <v>0</v>
      </c>
      <c r="Z23" s="20">
        <f>'TR TUSD'!$Z$23</f>
        <v>0</v>
      </c>
      <c r="AA23" s="20">
        <f>'TR TUSD'!$AA$23</f>
        <v>0</v>
      </c>
      <c r="AB23" s="20">
        <f>SUM($U$23:$AA$23)</f>
        <v>0</v>
      </c>
      <c r="AC23" s="20">
        <f>'TR TUSD'!$AC$23*'TR TUSD'!$AC$71</f>
        <v>0</v>
      </c>
      <c r="AD23" s="20">
        <f>SUM($AC$23:$AC$23)</f>
        <v>0</v>
      </c>
      <c r="AE23" s="20">
        <v>0</v>
      </c>
      <c r="AF23" s="20">
        <v>0</v>
      </c>
      <c r="AG23" s="20">
        <f>SUM($AE$23:$AF$23)</f>
        <v>0</v>
      </c>
      <c r="AH23" s="20">
        <f>'TR TUSD'!$AH$23*'TR TUSD'!$AH$71</f>
        <v>18.552686186128543</v>
      </c>
      <c r="AI23" s="20">
        <f>'TR TUSD'!$AI$23*'TR TUSD'!$AI$71</f>
        <v>1.0713195435791822</v>
      </c>
      <c r="AJ23" s="20">
        <f ca="1">'TR TUSD'!$AJ$23*'TR TUSD'!$AJ$71</f>
        <v>26.701575255252092</v>
      </c>
      <c r="AK23" s="20">
        <f ca="1">'TR TUSD'!$AK$23*'TR TUSD'!$AK$71</f>
        <v>7.3540281614504384</v>
      </c>
      <c r="AL23" s="20">
        <f ca="1">SUM($AH$23:$AK$23)</f>
        <v>53.67960914641025</v>
      </c>
      <c r="AM23" s="20">
        <f ca="1">SUMIF($L$4:$AL$4,"SUBTOTAL",$L$23:$AL$23)</f>
        <v>114.07583761155162</v>
      </c>
      <c r="AP23" s="20">
        <v>1</v>
      </c>
    </row>
    <row r="24" spans="1:42" ht="11.25" customHeight="1" x14ac:dyDescent="0.25">
      <c r="A24" s="136"/>
      <c r="B24" s="136"/>
      <c r="C24" s="136"/>
      <c r="D24" s="136"/>
      <c r="E24" s="136" t="s">
        <v>58</v>
      </c>
      <c r="F24" s="136" t="s">
        <v>25</v>
      </c>
      <c r="G24" s="21" t="s">
        <v>91</v>
      </c>
      <c r="H24" s="21" t="s">
        <v>90</v>
      </c>
      <c r="I24" s="21">
        <f>'MERCADO TUSD'!$U$21</f>
        <v>0</v>
      </c>
      <c r="J24" s="17"/>
      <c r="L24" s="20">
        <f>'TR TUSD'!$L$24*'TR TUSD'!$L$71</f>
        <v>0</v>
      </c>
      <c r="M24" s="20">
        <f>'TR TUSD'!$M$24*'TR TUSD'!$M$71</f>
        <v>0.5912352691206173</v>
      </c>
      <c r="N24" s="20">
        <f ca="1">'TR TUSD'!$N$24*'TR TUSD'!$N$71</f>
        <v>16.955524154217329</v>
      </c>
      <c r="O24" s="20">
        <f>'TR TUSD'!$O$24*'TR TUSD'!$O$71</f>
        <v>-1.5285559498368537E-3</v>
      </c>
      <c r="P24" s="20">
        <f>'TR TUSD'!$P$24*'TR TUSD'!$P$71</f>
        <v>0</v>
      </c>
      <c r="Q24" s="20">
        <f>'TR TUSD'!$Q$24*'TR TUSD'!$Q$71</f>
        <v>0</v>
      </c>
      <c r="R24" s="20">
        <f>'TR TUSD'!$R$24*'TR TUSD'!$R$71</f>
        <v>0</v>
      </c>
      <c r="S24" s="20">
        <f>'TR TUSD'!$S$24*'TR TUSD'!$S$71</f>
        <v>0</v>
      </c>
      <c r="T24" s="20">
        <f ca="1">SUM($L$24:$S$24)</f>
        <v>17.54523086738811</v>
      </c>
      <c r="U24" s="20">
        <f>'TR TUSD'!$U$24*'TR TUSD'!$U$71</f>
        <v>293.53737927005744</v>
      </c>
      <c r="V24" s="20">
        <f>'TR TUSD'!$V$24*'TR TUSD'!$V$71</f>
        <v>57.40919379903228</v>
      </c>
      <c r="W24" s="20">
        <f>'TR TUSD'!$W$24*'TR TUSD'!$W$71</f>
        <v>15.605576243246867</v>
      </c>
      <c r="X24" s="20">
        <f>'TR TUSD'!$X$24*'TR TUSD'!$X$71</f>
        <v>0</v>
      </c>
      <c r="Y24" s="20">
        <f>'TR TUSD'!$Y$24*'TR TUSD'!$Y$71</f>
        <v>12.635464057199721</v>
      </c>
      <c r="Z24" s="20">
        <f>'TR TUSD'!$Z$24</f>
        <v>0</v>
      </c>
      <c r="AA24" s="20">
        <f>'TR TUSD'!$AA$24</f>
        <v>0</v>
      </c>
      <c r="AB24" s="20">
        <f>SUM($U$24:$AA$24)</f>
        <v>379.18761336953628</v>
      </c>
      <c r="AC24" s="20">
        <f>'TR TUSD'!$AC$24*'TR TUSD'!$AC$71</f>
        <v>1365.0708833951403</v>
      </c>
      <c r="AD24" s="20">
        <f>SUM($AC$24:$AC$24)</f>
        <v>1365.0708833951403</v>
      </c>
      <c r="AE24" s="20">
        <v>0</v>
      </c>
      <c r="AF24" s="20">
        <v>0</v>
      </c>
      <c r="AG24" s="20">
        <f>SUM($AE$24:$AF$24)</f>
        <v>0</v>
      </c>
      <c r="AH24" s="20">
        <f>'TR TUSD'!$AH$24*'TR TUSD'!$AH$71</f>
        <v>18.552686186128543</v>
      </c>
      <c r="AI24" s="20">
        <f>'TR TUSD'!$AI$24*'TR TUSD'!$AI$71</f>
        <v>1.0713195435791822</v>
      </c>
      <c r="AJ24" s="20">
        <f ca="1">'TR TUSD'!$AJ$24*'TR TUSD'!$AJ$71</f>
        <v>26.701575255252092</v>
      </c>
      <c r="AK24" s="20">
        <f ca="1">'TR TUSD'!$AK$24*'TR TUSD'!$AK$71</f>
        <v>7.3540281614504384</v>
      </c>
      <c r="AL24" s="20">
        <f ca="1">SUM($AH$24:$AK$24)</f>
        <v>53.67960914641025</v>
      </c>
      <c r="AM24" s="20">
        <f ca="1">SUMIF($L$4:$AL$4,"SUBTOTAL",$L$24:$AL$24)</f>
        <v>1815.4833367784749</v>
      </c>
      <c r="AP24" s="20">
        <v>1</v>
      </c>
    </row>
    <row r="25" spans="1:42" ht="11.25" customHeight="1" x14ac:dyDescent="0.25">
      <c r="A25" s="136"/>
      <c r="B25" s="136"/>
      <c r="C25" s="136"/>
      <c r="D25" s="136"/>
      <c r="E25" s="136"/>
      <c r="F25" s="136"/>
      <c r="G25" s="21" t="s">
        <v>92</v>
      </c>
      <c r="H25" s="21" t="s">
        <v>90</v>
      </c>
      <c r="I25" s="21">
        <f>'MERCADO TUSD'!$U$22</f>
        <v>0</v>
      </c>
      <c r="J25" s="17"/>
      <c r="L25" s="20">
        <f>'TR TUSD'!$L$25*'TR TUSD'!$L$71</f>
        <v>0</v>
      </c>
      <c r="M25" s="20">
        <f>'TR TUSD'!$M$25*'TR TUSD'!$M$71</f>
        <v>0.5912352691206173</v>
      </c>
      <c r="N25" s="20">
        <f ca="1">'TR TUSD'!$N$25*'TR TUSD'!$N$71</f>
        <v>1.0216447270482911</v>
      </c>
      <c r="O25" s="20">
        <f>'TR TUSD'!$O$25*'TR TUSD'!$O$71</f>
        <v>-1.5285559498368537E-3</v>
      </c>
      <c r="P25" s="20">
        <f>'TR TUSD'!$P$25*'TR TUSD'!$P$71</f>
        <v>0</v>
      </c>
      <c r="Q25" s="20">
        <f>'TR TUSD'!$Q$25*'TR TUSD'!$Q$71</f>
        <v>0</v>
      </c>
      <c r="R25" s="20">
        <f>'TR TUSD'!$R$25*'TR TUSD'!$R$71</f>
        <v>0</v>
      </c>
      <c r="S25" s="20">
        <f>'TR TUSD'!$S$25*'TR TUSD'!$S$71</f>
        <v>0</v>
      </c>
      <c r="T25" s="20">
        <f ca="1">SUM($L$25:$S$25)</f>
        <v>1.6113514402190716</v>
      </c>
      <c r="U25" s="20">
        <f>'TR TUSD'!$U$25*'TR TUSD'!$U$71</f>
        <v>0</v>
      </c>
      <c r="V25" s="20">
        <f>'TR TUSD'!$V$25*'TR TUSD'!$V$71</f>
        <v>0</v>
      </c>
      <c r="W25" s="20">
        <f>'TR TUSD'!$W$25*'TR TUSD'!$W$71</f>
        <v>0</v>
      </c>
      <c r="X25" s="20">
        <f>'TR TUSD'!$X$25*'TR TUSD'!$X$71</f>
        <v>0</v>
      </c>
      <c r="Y25" s="20">
        <f>'TR TUSD'!$Y$25*'TR TUSD'!$Y$71</f>
        <v>0</v>
      </c>
      <c r="Z25" s="20">
        <f>'TR TUSD'!$Z$25</f>
        <v>0</v>
      </c>
      <c r="AA25" s="20">
        <f>'TR TUSD'!$AA$25</f>
        <v>0</v>
      </c>
      <c r="AB25" s="20">
        <f>SUM($U$25:$AA$25)</f>
        <v>0</v>
      </c>
      <c r="AC25" s="20">
        <f>'TR TUSD'!$AC$25*'TR TUSD'!$AC$71</f>
        <v>0</v>
      </c>
      <c r="AD25" s="20">
        <f>SUM($AC$25:$AC$25)</f>
        <v>0</v>
      </c>
      <c r="AE25" s="20">
        <v>0</v>
      </c>
      <c r="AF25" s="20">
        <v>0</v>
      </c>
      <c r="AG25" s="20">
        <f>SUM($AE$25:$AF$25)</f>
        <v>0</v>
      </c>
      <c r="AH25" s="20">
        <f>'TR TUSD'!$AH$25*'TR TUSD'!$AH$71</f>
        <v>18.552686186128543</v>
      </c>
      <c r="AI25" s="20">
        <f>'TR TUSD'!$AI$25*'TR TUSD'!$AI$71</f>
        <v>1.0713195435791822</v>
      </c>
      <c r="AJ25" s="20">
        <f ca="1">'TR TUSD'!$AJ$25*'TR TUSD'!$AJ$71</f>
        <v>26.701575255252092</v>
      </c>
      <c r="AK25" s="20">
        <f ca="1">'TR TUSD'!$AK$25*'TR TUSD'!$AK$71</f>
        <v>7.3540281614504384</v>
      </c>
      <c r="AL25" s="20">
        <f ca="1">SUM($AH$25:$AK$25)</f>
        <v>53.67960914641025</v>
      </c>
      <c r="AM25" s="20">
        <f ca="1">SUMIF($L$4:$AL$4,"SUBTOTAL",$L$25:$AL$25)</f>
        <v>55.290960586629325</v>
      </c>
      <c r="AP25" s="20">
        <v>1</v>
      </c>
    </row>
    <row r="26" spans="1:42" ht="11.25" customHeight="1" x14ac:dyDescent="0.25">
      <c r="A26" s="136" t="s">
        <v>98</v>
      </c>
      <c r="B26" s="136" t="s">
        <v>64</v>
      </c>
      <c r="C26" s="136" t="s">
        <v>25</v>
      </c>
      <c r="D26" s="136" t="s">
        <v>25</v>
      </c>
      <c r="E26" s="22" t="s">
        <v>99</v>
      </c>
      <c r="F26" s="22" t="s">
        <v>25</v>
      </c>
      <c r="G26" s="21" t="s">
        <v>9</v>
      </c>
      <c r="H26" s="21" t="s">
        <v>93</v>
      </c>
      <c r="I26" s="21">
        <f>'MERCADO TUSD'!$U$23+0.00000001</f>
        <v>1E-8</v>
      </c>
      <c r="J26" s="17"/>
      <c r="L26" s="20">
        <f>'TR TUSD'!$L$26*'TR TUSD'!$L$71</f>
        <v>0</v>
      </c>
      <c r="M26" s="20">
        <f>'TR TUSD'!$M$26*'TR TUSD'!$M$71</f>
        <v>2.7887101430426293E-2</v>
      </c>
      <c r="N26" s="20">
        <f ca="1">'TR TUSD'!$N$26*'TR TUSD'!$N$71</f>
        <v>7.9760708205974362E-2</v>
      </c>
      <c r="O26" s="20">
        <f>'TR TUSD'!$O$26*'TR TUSD'!$O$71</f>
        <v>0</v>
      </c>
      <c r="P26" s="20">
        <f>'TR TUSD'!$P$26*'TR TUSD'!$P$71</f>
        <v>0</v>
      </c>
      <c r="Q26" s="20">
        <f>'TR TUSD'!$Q$26*'TR TUSD'!$Q$71</f>
        <v>0</v>
      </c>
      <c r="R26" s="20">
        <f>'TR TUSD'!$R$26*'TR TUSD'!$R$71</f>
        <v>0</v>
      </c>
      <c r="S26" s="20">
        <f>'TR TUSD'!$S$26*'TR TUSD'!$S$71</f>
        <v>0</v>
      </c>
      <c r="T26" s="20">
        <f ca="1">SUM($L$26:$S$26)</f>
        <v>0.10764780963640065</v>
      </c>
      <c r="U26" s="20">
        <f>'TR TUSD'!$U$26*'TR TUSD'!$U$71</f>
        <v>0</v>
      </c>
      <c r="V26" s="20">
        <f>'TR TUSD'!$V$26*'TR TUSD'!$V$71</f>
        <v>0</v>
      </c>
      <c r="W26" s="20">
        <f>'TR TUSD'!$W$26*'TR TUSD'!$W$71</f>
        <v>0</v>
      </c>
      <c r="X26" s="20">
        <f>'TR TUSD'!$X$26*'TR TUSD'!$X$71</f>
        <v>0</v>
      </c>
      <c r="Y26" s="20">
        <f>'TR TUSD'!$Y$26*'TR TUSD'!$Y$71</f>
        <v>0</v>
      </c>
      <c r="Z26" s="20">
        <f>'TR TUSD'!$Z$26*'TR TUSD'!$Z$71</f>
        <v>0</v>
      </c>
      <c r="AA26" s="20">
        <f>'TR TUSD'!$AA$26*'TR TUSD'!$AA$71</f>
        <v>0</v>
      </c>
      <c r="AB26" s="20">
        <f>SUM($U$26:$AA$26)</f>
        <v>0</v>
      </c>
      <c r="AC26" s="20">
        <f>'TR TUSD'!$AC$26*'TR TUSD'!$AC$71</f>
        <v>8.4117448614273993</v>
      </c>
      <c r="AD26" s="20">
        <f>SUM($AC$26:$AC$26)</f>
        <v>8.4117448614273993</v>
      </c>
      <c r="AE26" s="20">
        <v>0</v>
      </c>
      <c r="AF26" s="20">
        <v>0</v>
      </c>
      <c r="AG26" s="20">
        <f>SUM($AE$26:$AF$26)</f>
        <v>0</v>
      </c>
      <c r="AH26" s="20">
        <f>'TR TUSD'!$AH$26*'TR TUSD'!$AH$71</f>
        <v>0</v>
      </c>
      <c r="AI26" s="20">
        <f>'TR TUSD'!$AI$26*'TR TUSD'!$AI$71</f>
        <v>0</v>
      </c>
      <c r="AJ26" s="20">
        <f ca="1">'TR TUSD'!$AJ$26*'TR TUSD'!$AJ$71</f>
        <v>0</v>
      </c>
      <c r="AK26" s="20">
        <f ca="1">'TR TUSD'!$AK$26*'TR TUSD'!$AK$71</f>
        <v>0</v>
      </c>
      <c r="AL26" s="20">
        <f ca="1">SUM($AH$26:$AK$26)</f>
        <v>0</v>
      </c>
      <c r="AM26" s="20">
        <f ca="1">SUMIF($L$4:$AL$4,"SUBTOTAL",$L$26:$AL$26)</f>
        <v>8.5193926710637999</v>
      </c>
      <c r="AP26" s="20"/>
    </row>
    <row r="27" spans="1:42" ht="11.25" customHeight="1" x14ac:dyDescent="0.25">
      <c r="A27" s="136"/>
      <c r="B27" s="136"/>
      <c r="C27" s="136"/>
      <c r="D27" s="136"/>
      <c r="E27" s="22" t="s">
        <v>100</v>
      </c>
      <c r="F27" s="22" t="s">
        <v>25</v>
      </c>
      <c r="G27" s="21" t="s">
        <v>9</v>
      </c>
      <c r="H27" s="21" t="s">
        <v>93</v>
      </c>
      <c r="I27" s="21">
        <f>'MERCADO TUSD'!$U$24+0.00000001</f>
        <v>1E-8</v>
      </c>
      <c r="J27" s="17"/>
      <c r="L27" s="20">
        <f>'TR TUSD'!$L$27*'TR TUSD'!$L$71</f>
        <v>0</v>
      </c>
      <c r="M27" s="20">
        <f>'TR TUSD'!$M$27*'TR TUSD'!$M$71</f>
        <v>2.7887101430426293E-2</v>
      </c>
      <c r="N27" s="20">
        <f ca="1">'TR TUSD'!$N$27*'TR TUSD'!$N$71</f>
        <v>7.9760708205974362E-2</v>
      </c>
      <c r="O27" s="20">
        <f>'TR TUSD'!$O$27*'TR TUSD'!$O$71</f>
        <v>0</v>
      </c>
      <c r="P27" s="20">
        <f>'TR TUSD'!$P$27*'TR TUSD'!$P$71</f>
        <v>0</v>
      </c>
      <c r="Q27" s="20">
        <f>'TR TUSD'!$Q$27*'TR TUSD'!$Q$71</f>
        <v>0</v>
      </c>
      <c r="R27" s="20">
        <f>'TR TUSD'!$R$27*'TR TUSD'!$R$71</f>
        <v>0</v>
      </c>
      <c r="S27" s="20">
        <f>'TR TUSD'!$S$27*'TR TUSD'!$S$71</f>
        <v>0</v>
      </c>
      <c r="T27" s="20">
        <f ca="1">SUM($L$27:$S$27)</f>
        <v>0.10764780963640065</v>
      </c>
      <c r="U27" s="20">
        <f>'TR TUSD'!$U$27*'TR TUSD'!$U$71</f>
        <v>0</v>
      </c>
      <c r="V27" s="20">
        <f>'TR TUSD'!$V$27*'TR TUSD'!$V$71</f>
        <v>0</v>
      </c>
      <c r="W27" s="20">
        <f>'TR TUSD'!$W$27*'TR TUSD'!$W$71</f>
        <v>0</v>
      </c>
      <c r="X27" s="20">
        <f>'TR TUSD'!$X$27*'TR TUSD'!$X$71</f>
        <v>0</v>
      </c>
      <c r="Y27" s="20">
        <f>'TR TUSD'!$Y$27*'TR TUSD'!$Y$71</f>
        <v>0</v>
      </c>
      <c r="Z27" s="20">
        <f>'TR TUSD'!$Z$27*'TR TUSD'!$Z$71</f>
        <v>0</v>
      </c>
      <c r="AA27" s="20">
        <f>'TR TUSD'!$AA$27*'TR TUSD'!$AA$71</f>
        <v>0</v>
      </c>
      <c r="AB27" s="20">
        <f>SUM($U$27:$AA$27)</f>
        <v>0</v>
      </c>
      <c r="AC27" s="20">
        <f>'TR TUSD'!$AC$27*'TR TUSD'!$AC$71</f>
        <v>21.476507802417068</v>
      </c>
      <c r="AD27" s="20">
        <f>SUM($AC$27:$AC$27)</f>
        <v>21.476507802417068</v>
      </c>
      <c r="AE27" s="20">
        <v>0</v>
      </c>
      <c r="AF27" s="20">
        <v>0</v>
      </c>
      <c r="AG27" s="20">
        <f>SUM($AE$27:$AF$27)</f>
        <v>0</v>
      </c>
      <c r="AH27" s="20">
        <f>'TR TUSD'!$AH$27*'TR TUSD'!$AH$71</f>
        <v>0</v>
      </c>
      <c r="AI27" s="20">
        <f>'TR TUSD'!$AI$27*'TR TUSD'!$AI$71</f>
        <v>0</v>
      </c>
      <c r="AJ27" s="20">
        <f ca="1">'TR TUSD'!$AJ$27*'TR TUSD'!$AJ$71</f>
        <v>0</v>
      </c>
      <c r="AK27" s="20">
        <f ca="1">'TR TUSD'!$AK$27*'TR TUSD'!$AK$71</f>
        <v>0</v>
      </c>
      <c r="AL27" s="20">
        <f ca="1">SUM($AH$27:$AK$27)</f>
        <v>0</v>
      </c>
      <c r="AM27" s="20">
        <f ca="1">SUMIF($L$4:$AL$4,"SUBTOTAL",$L$27:$AL$27)</f>
        <v>21.584155612053468</v>
      </c>
      <c r="AP27" s="20"/>
    </row>
    <row r="28" spans="1:42" ht="11.25" customHeight="1" x14ac:dyDescent="0.25">
      <c r="A28" s="136" t="s">
        <v>22</v>
      </c>
      <c r="B28" s="136" t="s">
        <v>37</v>
      </c>
      <c r="C28" s="136" t="s">
        <v>24</v>
      </c>
      <c r="D28" s="136" t="s">
        <v>24</v>
      </c>
      <c r="E28" s="136" t="s">
        <v>25</v>
      </c>
      <c r="F28" s="136" t="s">
        <v>25</v>
      </c>
      <c r="G28" s="21" t="s">
        <v>91</v>
      </c>
      <c r="H28" s="21" t="s">
        <v>90</v>
      </c>
      <c r="I28" s="21">
        <f>'MERCADO TUSD'!$U$25</f>
        <v>50.420000000000009</v>
      </c>
      <c r="J28" s="17"/>
      <c r="L28" s="20">
        <f>'TR TUSD'!$L$28*'TR TUSD'!$L$71</f>
        <v>15.04711566915239</v>
      </c>
      <c r="M28" s="20">
        <f>'TR TUSD'!$M$28*'TR TUSD'!$M$71</f>
        <v>0.88624533977151898</v>
      </c>
      <c r="N28" s="20">
        <f ca="1">'TR TUSD'!$N$28*'TR TUSD'!$N$71</f>
        <v>11.28389467463805</v>
      </c>
      <c r="O28" s="20">
        <f>'TR TUSD'!$O$28*'TR TUSD'!$O$71</f>
        <v>-1.5285559498368537E-3</v>
      </c>
      <c r="P28" s="20">
        <f>'TR TUSD'!$P$28*'TR TUSD'!$P$71</f>
        <v>0</v>
      </c>
      <c r="Q28" s="20">
        <f>'TR TUSD'!$Q$28*'TR TUSD'!$Q$71</f>
        <v>37.43554716513178</v>
      </c>
      <c r="R28" s="20">
        <f>'TR TUSD'!$R$28*'TR TUSD'!$R$71</f>
        <v>14.687947346687571</v>
      </c>
      <c r="S28" s="20">
        <f>'TR TUSD'!$S$28*'TR TUSD'!$S$71</f>
        <v>0</v>
      </c>
      <c r="T28" s="20">
        <f ca="1">SUM($L$28:$S$28)</f>
        <v>79.339221639431472</v>
      </c>
      <c r="U28" s="20">
        <f>'TR TUSD'!$U$28*'TR TUSD'!$U$71</f>
        <v>156.65494823493745</v>
      </c>
      <c r="V28" s="20">
        <f>'TR TUSD'!$V$28*'TR TUSD'!$V$71</f>
        <v>30.691908446351654</v>
      </c>
      <c r="W28" s="20">
        <f>'TR TUSD'!$W$28*'TR TUSD'!$W$71</f>
        <v>8.4208378391412371</v>
      </c>
      <c r="X28" s="20">
        <f>'TR TUSD'!$X$28*'TR TUSD'!$X$71</f>
        <v>0</v>
      </c>
      <c r="Y28" s="20">
        <f>'TR TUSD'!$Y$28*'TR TUSD'!$Y$71</f>
        <v>5.0477740656749939</v>
      </c>
      <c r="Z28" s="20">
        <f>'TR TUSD'!$Z$28</f>
        <v>0</v>
      </c>
      <c r="AA28" s="20">
        <f>'TR TUSD'!$AA$28</f>
        <v>0</v>
      </c>
      <c r="AB28" s="20">
        <f>SUM($U$28:$AA$28)</f>
        <v>200.81546858610531</v>
      </c>
      <c r="AC28" s="20">
        <f>'TR TUSD'!$AC$28*'TR TUSD'!$AC$71</f>
        <v>852.14027044832585</v>
      </c>
      <c r="AD28" s="20">
        <f>SUM($AC$28:$AC$28)</f>
        <v>852.14027044832585</v>
      </c>
      <c r="AE28" s="20">
        <v>0</v>
      </c>
      <c r="AF28" s="20">
        <v>0</v>
      </c>
      <c r="AG28" s="20">
        <f>SUM($AE$28:$AF$28)</f>
        <v>0</v>
      </c>
      <c r="AH28" s="20">
        <f>'TR TUSD'!$AH$28*'TR TUSD'!$AH$71</f>
        <v>37.844009988985107</v>
      </c>
      <c r="AI28" s="20">
        <f>'TR TUSD'!$AI$28*'TR TUSD'!$AI$71</f>
        <v>2.1852915045217935</v>
      </c>
      <c r="AJ28" s="20">
        <f ca="1">'TR TUSD'!$AJ$28*'TR TUSD'!$AJ$71</f>
        <v>33.835997905045303</v>
      </c>
      <c r="AK28" s="20">
        <f ca="1">'TR TUSD'!$AK$28*'TR TUSD'!$AK$71</f>
        <v>9.3189588661267155</v>
      </c>
      <c r="AL28" s="20">
        <f ca="1">SUM($AH$28:$AK$28)</f>
        <v>83.184258264678917</v>
      </c>
      <c r="AM28" s="20">
        <f ca="1">SUMIF($L$4:$AL$4,"SUBTOTAL",$L$28:$AL$28)</f>
        <v>1215.4792189385414</v>
      </c>
      <c r="AP28" s="20">
        <v>1</v>
      </c>
    </row>
    <row r="29" spans="1:42" ht="11.25" customHeight="1" x14ac:dyDescent="0.25">
      <c r="A29" s="136"/>
      <c r="B29" s="136"/>
      <c r="C29" s="136"/>
      <c r="D29" s="136"/>
      <c r="E29" s="136"/>
      <c r="F29" s="136"/>
      <c r="G29" s="21" t="s">
        <v>101</v>
      </c>
      <c r="H29" s="21" t="s">
        <v>90</v>
      </c>
      <c r="I29" s="21">
        <f>'MERCADO TUSD'!$U$26</f>
        <v>34.840000000000003</v>
      </c>
      <c r="J29" s="17"/>
      <c r="L29" s="20">
        <f>'TR TUSD'!$L$29*'TR TUSD'!$L$71</f>
        <v>15.04711566915239</v>
      </c>
      <c r="M29" s="20">
        <f>'TR TUSD'!$M$29*'TR TUSD'!$M$71</f>
        <v>0.88624533977151898</v>
      </c>
      <c r="N29" s="20">
        <f ca="1">'TR TUSD'!$N$29*'TR TUSD'!$N$71</f>
        <v>7.4190401390585858</v>
      </c>
      <c r="O29" s="20">
        <f>'TR TUSD'!$O$29*'TR TUSD'!$O$71</f>
        <v>-1.5285559498368537E-3</v>
      </c>
      <c r="P29" s="20">
        <f>'TR TUSD'!$P$29*'TR TUSD'!$P$71</f>
        <v>0</v>
      </c>
      <c r="Q29" s="20">
        <f>'TR TUSD'!$Q$29*'TR TUSD'!$Q$71</f>
        <v>37.43554716513178</v>
      </c>
      <c r="R29" s="20">
        <f>'TR TUSD'!$R$29*'TR TUSD'!$R$71</f>
        <v>14.687947346687571</v>
      </c>
      <c r="S29" s="20">
        <f>'TR TUSD'!$S$29*'TR TUSD'!$S$71</f>
        <v>0</v>
      </c>
      <c r="T29" s="20">
        <f ca="1">SUM($L$29:$S$29)</f>
        <v>75.474367103852003</v>
      </c>
      <c r="U29" s="20">
        <f>'TR TUSD'!$U$29*'TR TUSD'!$U$71</f>
        <v>93.992998401834868</v>
      </c>
      <c r="V29" s="20">
        <f>'TR TUSD'!$V$29*'TR TUSD'!$V$71</f>
        <v>18.415168475485277</v>
      </c>
      <c r="W29" s="20">
        <f>'TR TUSD'!$W$29*'TR TUSD'!$W$71</f>
        <v>5.0525886830420133</v>
      </c>
      <c r="X29" s="20">
        <f>'TR TUSD'!$X$29*'TR TUSD'!$X$71</f>
        <v>0</v>
      </c>
      <c r="Y29" s="20">
        <f>'TR TUSD'!$Y$29*'TR TUSD'!$Y$71</f>
        <v>3.0287461152929569</v>
      </c>
      <c r="Z29" s="20">
        <f>'TR TUSD'!$Z$29</f>
        <v>0</v>
      </c>
      <c r="AA29" s="20">
        <f>'TR TUSD'!$AA$29</f>
        <v>0</v>
      </c>
      <c r="AB29" s="20">
        <f>SUM($U$29:$AA$29)</f>
        <v>120.48950167565512</v>
      </c>
      <c r="AC29" s="20">
        <f>'TR TUSD'!$AC$29*'TR TUSD'!$AC$71</f>
        <v>511.28413791465732</v>
      </c>
      <c r="AD29" s="20">
        <f>SUM($AC$29:$AC$29)</f>
        <v>511.28413791465732</v>
      </c>
      <c r="AE29" s="20">
        <v>0</v>
      </c>
      <c r="AF29" s="20">
        <v>0</v>
      </c>
      <c r="AG29" s="20">
        <f>SUM($AE$29:$AF$29)</f>
        <v>0</v>
      </c>
      <c r="AH29" s="20">
        <f>'TR TUSD'!$AH$29*'TR TUSD'!$AH$71</f>
        <v>37.844009988985107</v>
      </c>
      <c r="AI29" s="20">
        <f>'TR TUSD'!$AI$29*'TR TUSD'!$AI$71</f>
        <v>2.1852915045217935</v>
      </c>
      <c r="AJ29" s="20">
        <f ca="1">'TR TUSD'!$AJ$29*'TR TUSD'!$AJ$71</f>
        <v>33.835997905045303</v>
      </c>
      <c r="AK29" s="20">
        <f ca="1">'TR TUSD'!$AK$29*'TR TUSD'!$AK$71</f>
        <v>9.3189588661267155</v>
      </c>
      <c r="AL29" s="20">
        <f ca="1">SUM($AH$29:$AK$29)</f>
        <v>83.184258264678917</v>
      </c>
      <c r="AM29" s="20">
        <f ca="1">SUMIF($L$4:$AL$4,"SUBTOTAL",$L$29:$AL$29)</f>
        <v>790.43226495884335</v>
      </c>
      <c r="AP29" s="20">
        <v>1</v>
      </c>
    </row>
    <row r="30" spans="1:42" ht="11.25" customHeight="1" x14ac:dyDescent="0.25">
      <c r="A30" s="136"/>
      <c r="B30" s="136"/>
      <c r="C30" s="136"/>
      <c r="D30" s="136"/>
      <c r="E30" s="136"/>
      <c r="F30" s="136"/>
      <c r="G30" s="21" t="s">
        <v>92</v>
      </c>
      <c r="H30" s="21" t="s">
        <v>90</v>
      </c>
      <c r="I30" s="21">
        <f>'MERCADO TUSD'!$U$27</f>
        <v>677.41499999999996</v>
      </c>
      <c r="J30" s="17"/>
      <c r="L30" s="20">
        <f>'TR TUSD'!$L$30*'TR TUSD'!$L$71</f>
        <v>15.04711566915239</v>
      </c>
      <c r="M30" s="20">
        <f>'TR TUSD'!$M$30*'TR TUSD'!$M$71</f>
        <v>0.88624533977151898</v>
      </c>
      <c r="N30" s="20">
        <f ca="1">'TR TUSD'!$N$30*'TR TUSD'!$N$71</f>
        <v>3.5541833048996372</v>
      </c>
      <c r="O30" s="20">
        <f>'TR TUSD'!$O$30*'TR TUSD'!$O$71</f>
        <v>-1.5285559498368537E-3</v>
      </c>
      <c r="P30" s="20">
        <f>'TR TUSD'!$P$30*'TR TUSD'!$P$71</f>
        <v>0</v>
      </c>
      <c r="Q30" s="20">
        <f>'TR TUSD'!$Q$30*'TR TUSD'!$Q$71</f>
        <v>37.43554716513178</v>
      </c>
      <c r="R30" s="20">
        <f>'TR TUSD'!$R$30*'TR TUSD'!$R$71</f>
        <v>14.687947346687571</v>
      </c>
      <c r="S30" s="20">
        <f>'TR TUSD'!$S$30*'TR TUSD'!$S$71</f>
        <v>0</v>
      </c>
      <c r="T30" s="20">
        <f ca="1">SUM($L$30:$S$30)</f>
        <v>71.609510269693061</v>
      </c>
      <c r="U30" s="20">
        <f>'TR TUSD'!$U$30*'TR TUSD'!$U$71</f>
        <v>31.331048568732268</v>
      </c>
      <c r="V30" s="20">
        <f>'TR TUSD'!$V$30*'TR TUSD'!$V$71</f>
        <v>6.1384285046189007</v>
      </c>
      <c r="W30" s="20">
        <f>'TR TUSD'!$W$30*'TR TUSD'!$W$71</f>
        <v>1.684196227680671</v>
      </c>
      <c r="X30" s="20">
        <f>'TR TUSD'!$X$30*'TR TUSD'!$X$71</f>
        <v>0</v>
      </c>
      <c r="Y30" s="20">
        <f>'TR TUSD'!$Y$30*'TR TUSD'!$Y$71</f>
        <v>1.0095139751910185</v>
      </c>
      <c r="Z30" s="20">
        <f>'TR TUSD'!$Z$30</f>
        <v>0</v>
      </c>
      <c r="AA30" s="20">
        <f>'TR TUSD'!$AA$30</f>
        <v>0</v>
      </c>
      <c r="AB30" s="20">
        <f>SUM($U$30:$AA$30)</f>
        <v>40.163187276222864</v>
      </c>
      <c r="AC30" s="20">
        <f>'TR TUSD'!$AC$30*'TR TUSD'!$AC$71</f>
        <v>170.42800538098879</v>
      </c>
      <c r="AD30" s="20">
        <f>SUM($AC$30:$AC$30)</f>
        <v>170.42800538098879</v>
      </c>
      <c r="AE30" s="20">
        <v>0</v>
      </c>
      <c r="AF30" s="20">
        <v>0</v>
      </c>
      <c r="AG30" s="20">
        <f>SUM($AE$30:$AF$30)</f>
        <v>0</v>
      </c>
      <c r="AH30" s="20">
        <f>'TR TUSD'!$AH$30*'TR TUSD'!$AH$71</f>
        <v>37.844009988985107</v>
      </c>
      <c r="AI30" s="20">
        <f>'TR TUSD'!$AI$30*'TR TUSD'!$AI$71</f>
        <v>2.1852915045217935</v>
      </c>
      <c r="AJ30" s="20">
        <f ca="1">'TR TUSD'!$AJ$30*'TR TUSD'!$AJ$71</f>
        <v>33.835997905045303</v>
      </c>
      <c r="AK30" s="20">
        <f ca="1">'TR TUSD'!$AK$30*'TR TUSD'!$AK$71</f>
        <v>9.3189588661267155</v>
      </c>
      <c r="AL30" s="20">
        <f ca="1">SUM($AH$30:$AK$30)</f>
        <v>83.184258264678917</v>
      </c>
      <c r="AM30" s="20">
        <f ca="1">SUMIF($L$4:$AL$4,"SUBTOTAL",$L$30:$AL$30)</f>
        <v>365.38496119158361</v>
      </c>
      <c r="AP30" s="20">
        <v>1</v>
      </c>
    </row>
    <row r="31" spans="1:42" ht="11.25" customHeight="1" x14ac:dyDescent="0.25">
      <c r="A31" s="136"/>
      <c r="B31" s="136" t="s">
        <v>23</v>
      </c>
      <c r="C31" s="136" t="s">
        <v>24</v>
      </c>
      <c r="D31" s="22" t="s">
        <v>24</v>
      </c>
      <c r="E31" s="22" t="s">
        <v>25</v>
      </c>
      <c r="F31" s="22" t="s">
        <v>25</v>
      </c>
      <c r="G31" s="21" t="s">
        <v>96</v>
      </c>
      <c r="H31" s="21" t="s">
        <v>90</v>
      </c>
      <c r="I31" s="21">
        <f>'MERCADO TUSD'!$U$28</f>
        <v>1165006.6750000003</v>
      </c>
      <c r="J31" s="17"/>
      <c r="L31" s="20">
        <f>'TR TUSD'!$L$31*'TR TUSD'!$L$71</f>
        <v>15.04711566915239</v>
      </c>
      <c r="M31" s="20">
        <f>'TR TUSD'!$M$31*'TR TUSD'!$M$71</f>
        <v>0.88624533977151898</v>
      </c>
      <c r="N31" s="20">
        <f ca="1">'TR TUSD'!$N$31*'TR TUSD'!$N$71</f>
        <v>4.5496750950127618</v>
      </c>
      <c r="O31" s="20">
        <f>'TR TUSD'!$O$31*'TR TUSD'!$O$71</f>
        <v>-1.5285559498368537E-3</v>
      </c>
      <c r="P31" s="20">
        <f>'TR TUSD'!$P$31*'TR TUSD'!$P$71</f>
        <v>0</v>
      </c>
      <c r="Q31" s="20">
        <f>'TR TUSD'!$Q$31*'TR TUSD'!$Q$71</f>
        <v>37.43554716513178</v>
      </c>
      <c r="R31" s="20">
        <f>'TR TUSD'!$R$31*'TR TUSD'!$R$71</f>
        <v>14.687947346687571</v>
      </c>
      <c r="S31" s="20">
        <f>'TR TUSD'!$S$31*'TR TUSD'!$S$71</f>
        <v>0</v>
      </c>
      <c r="T31" s="20">
        <f ca="1">SUM($L$31:$S$31)</f>
        <v>72.605002059806182</v>
      </c>
      <c r="U31" s="20">
        <f>'TR TUSD'!$U$31*'TR TUSD'!$U$71</f>
        <v>47.471187507292441</v>
      </c>
      <c r="V31" s="20">
        <f>'TR TUSD'!$V$31*'TR TUSD'!$V$71</f>
        <v>9.3005712238416258</v>
      </c>
      <c r="W31" s="20">
        <f>'TR TUSD'!$W$31*'TR TUSD'!$W$71</f>
        <v>2.5517299605470694</v>
      </c>
      <c r="X31" s="20">
        <f>'TR TUSD'!$X$31*'TR TUSD'!$X$71</f>
        <v>0</v>
      </c>
      <c r="Y31" s="20">
        <f>'TR TUSD'!$Y$31*'TR TUSD'!$Y$71</f>
        <v>1.5295851917791099</v>
      </c>
      <c r="Z31" s="20">
        <f>'TR TUSD'!$Z$31</f>
        <v>0</v>
      </c>
      <c r="AA31" s="20">
        <f>'TR TUSD'!$AA$31</f>
        <v>0</v>
      </c>
      <c r="AB31" s="20">
        <f>SUM($U$31:$AA$31)</f>
        <v>60.853073883460254</v>
      </c>
      <c r="AC31" s="20">
        <f>'TR TUSD'!$AC$31*'TR TUSD'!$AC$71</f>
        <v>258.22429854792188</v>
      </c>
      <c r="AD31" s="20">
        <f>SUM($AC$31:$AC$31)</f>
        <v>258.22429854792188</v>
      </c>
      <c r="AE31" s="20">
        <v>0</v>
      </c>
      <c r="AF31" s="20">
        <v>0</v>
      </c>
      <c r="AG31" s="20">
        <f>SUM($AE$31:$AF$31)</f>
        <v>0</v>
      </c>
      <c r="AH31" s="20">
        <f>'TR TUSD'!$AH$31*'TR TUSD'!$AH$71</f>
        <v>37.844009988985107</v>
      </c>
      <c r="AI31" s="20">
        <f>'TR TUSD'!$AI$31*'TR TUSD'!$AI$71</f>
        <v>2.1852915045217935</v>
      </c>
      <c r="AJ31" s="20">
        <f ca="1">'TR TUSD'!$AJ$31*'TR TUSD'!$AJ$71</f>
        <v>33.835997905045303</v>
      </c>
      <c r="AK31" s="20">
        <f ca="1">'TR TUSD'!$AK$31*'TR TUSD'!$AK$71</f>
        <v>9.3189588661267155</v>
      </c>
      <c r="AL31" s="20">
        <f ca="1">SUM($AH$31:$AK$31)</f>
        <v>83.184258264678917</v>
      </c>
      <c r="AM31" s="20">
        <f ca="1">SUMIF($L$4:$AL$4,"SUBTOTAL",$L$31:$AL$31)</f>
        <v>474.86663275586722</v>
      </c>
      <c r="AP31" s="20">
        <v>1</v>
      </c>
    </row>
    <row r="32" spans="1:42" ht="11.25" customHeight="1" x14ac:dyDescent="0.25">
      <c r="A32" s="136"/>
      <c r="B32" s="136"/>
      <c r="C32" s="136"/>
      <c r="D32" s="22" t="s">
        <v>29</v>
      </c>
      <c r="E32" s="22" t="s">
        <v>25</v>
      </c>
      <c r="F32" s="22" t="s">
        <v>25</v>
      </c>
      <c r="G32" s="21" t="s">
        <v>96</v>
      </c>
      <c r="H32" s="21" t="s">
        <v>90</v>
      </c>
      <c r="I32" s="21">
        <f>'MERCADO TUSD'!$U$29</f>
        <v>134316.74400000001</v>
      </c>
      <c r="J32" s="17"/>
      <c r="L32" s="20">
        <f>'TR TUSD'!$L$32*'TR TUSD'!$L$71</f>
        <v>0</v>
      </c>
      <c r="M32" s="20">
        <f>'TR TUSD'!$M$32*'TR TUSD'!$M$71</f>
        <v>0.88624533977151898</v>
      </c>
      <c r="N32" s="20">
        <f ca="1">'TR TUSD'!$N$32*'TR TUSD'!$N$71</f>
        <v>4.5381821975767433</v>
      </c>
      <c r="O32" s="20">
        <f>'TR TUSD'!$O$32*'TR TUSD'!$O$71</f>
        <v>-1.5285559498368537E-3</v>
      </c>
      <c r="P32" s="20">
        <f>'TR TUSD'!$P$32*'TR TUSD'!$P$71</f>
        <v>0</v>
      </c>
      <c r="Q32" s="20">
        <f>'TR TUSD'!$Q$32*'TR TUSD'!$Q$71</f>
        <v>0</v>
      </c>
      <c r="R32" s="20">
        <f>'TR TUSD'!$R$32*'TR TUSD'!$R$71</f>
        <v>0</v>
      </c>
      <c r="S32" s="20">
        <f>'TR TUSD'!$S$32*'TR TUSD'!$S$71</f>
        <v>0</v>
      </c>
      <c r="T32" s="20">
        <f ca="1">SUM($L$32:$S$32)</f>
        <v>5.4228989813984256</v>
      </c>
      <c r="U32" s="20">
        <f>'TR TUSD'!$U$32*'TR TUSD'!$U$71</f>
        <v>47.471187507292441</v>
      </c>
      <c r="V32" s="20">
        <f>'TR TUSD'!$V$32*'TR TUSD'!$V$71</f>
        <v>9.3005712238416258</v>
      </c>
      <c r="W32" s="20">
        <f>'TR TUSD'!$W$32*'TR TUSD'!$W$71</f>
        <v>2.5517299605470694</v>
      </c>
      <c r="X32" s="20">
        <f>'TR TUSD'!$X$32*'TR TUSD'!$X$71</f>
        <v>0</v>
      </c>
      <c r="Y32" s="20">
        <f>'TR TUSD'!$Y$32*'TR TUSD'!$Y$71</f>
        <v>1.5295851917791099</v>
      </c>
      <c r="Z32" s="20">
        <f>'TR TUSD'!$Z$32</f>
        <v>0</v>
      </c>
      <c r="AA32" s="20">
        <f>'TR TUSD'!$AA$32</f>
        <v>0</v>
      </c>
      <c r="AB32" s="20">
        <f>SUM($U$32:$AA$32)</f>
        <v>60.853073883460254</v>
      </c>
      <c r="AC32" s="20">
        <f>'TR TUSD'!$AC$32*'TR TUSD'!$AC$71</f>
        <v>258.22429854792188</v>
      </c>
      <c r="AD32" s="20">
        <f>SUM($AC$32:$AC$32)</f>
        <v>258.22429854792188</v>
      </c>
      <c r="AE32" s="20">
        <v>0</v>
      </c>
      <c r="AF32" s="20">
        <v>0</v>
      </c>
      <c r="AG32" s="20">
        <f>SUM($AE$32:$AF$32)</f>
        <v>0</v>
      </c>
      <c r="AH32" s="20">
        <f>'TR TUSD'!$AH$32*'TR TUSD'!$AH$71</f>
        <v>37.844009988985107</v>
      </c>
      <c r="AI32" s="20">
        <f>'TR TUSD'!$AI$32*'TR TUSD'!$AI$71</f>
        <v>2.1852915045217935</v>
      </c>
      <c r="AJ32" s="20">
        <f ca="1">'TR TUSD'!$AJ$32*'TR TUSD'!$AJ$71</f>
        <v>33.835997905045303</v>
      </c>
      <c r="AK32" s="20">
        <f ca="1">'TR TUSD'!$AK$32*'TR TUSD'!$AK$71</f>
        <v>9.3189588661267155</v>
      </c>
      <c r="AL32" s="20">
        <f ca="1">SUM($AH$32:$AK$32)</f>
        <v>83.184258264678917</v>
      </c>
      <c r="AM32" s="20">
        <f ca="1">SUMIF($L$4:$AL$4,"SUBTOTAL",$L$32:$AL$32)</f>
        <v>407.68452967745947</v>
      </c>
      <c r="AP32" s="20">
        <f>IF((1 - CUSTOS!$M$24)&lt;&gt;0,1/(1 - CUSTOS!$M$24),1)</f>
        <v>1</v>
      </c>
    </row>
    <row r="33" spans="1:42" ht="11.25" customHeight="1" x14ac:dyDescent="0.25">
      <c r="A33" s="136"/>
      <c r="B33" s="136"/>
      <c r="C33" s="136"/>
      <c r="D33" s="22" t="s">
        <v>30</v>
      </c>
      <c r="E33" s="22" t="s">
        <v>25</v>
      </c>
      <c r="F33" s="22" t="s">
        <v>25</v>
      </c>
      <c r="G33" s="21" t="s">
        <v>96</v>
      </c>
      <c r="H33" s="21" t="s">
        <v>90</v>
      </c>
      <c r="I33" s="21">
        <f>'MERCADO TUSD'!$U$30</f>
        <v>207428.35200000001</v>
      </c>
      <c r="J33" s="17"/>
      <c r="L33" s="20">
        <f>'TR TUSD'!$L$33*'TR TUSD'!$L$71</f>
        <v>0</v>
      </c>
      <c r="M33" s="20">
        <f>'TR TUSD'!$M$33*'TR TUSD'!$M$71</f>
        <v>0.88624533977151898</v>
      </c>
      <c r="N33" s="20">
        <f ca="1">'TR TUSD'!$N$33*'TR TUSD'!$N$71</f>
        <v>4.5381821975767433</v>
      </c>
      <c r="O33" s="20">
        <f>'TR TUSD'!$O$33*'TR TUSD'!$O$71</f>
        <v>-1.5285559498368537E-3</v>
      </c>
      <c r="P33" s="20">
        <f>'TR TUSD'!$P$33*'TR TUSD'!$P$71</f>
        <v>0</v>
      </c>
      <c r="Q33" s="20">
        <f>'TR TUSD'!$Q$33*'TR TUSD'!$Q$71</f>
        <v>0</v>
      </c>
      <c r="R33" s="20">
        <f>'TR TUSD'!$R$33*'TR TUSD'!$R$71</f>
        <v>0</v>
      </c>
      <c r="S33" s="20">
        <f>'TR TUSD'!$S$33*'TR TUSD'!$S$71</f>
        <v>0</v>
      </c>
      <c r="T33" s="20">
        <f ca="1">SUM($L$33:$S$33)</f>
        <v>5.4228989813984256</v>
      </c>
      <c r="U33" s="20">
        <f>'TR TUSD'!$U$33*'TR TUSD'!$U$71</f>
        <v>47.471187507292441</v>
      </c>
      <c r="V33" s="20">
        <f>'TR TUSD'!$V$33*'TR TUSD'!$V$71</f>
        <v>9.3005712238416258</v>
      </c>
      <c r="W33" s="20">
        <f>'TR TUSD'!$W$33*'TR TUSD'!$W$71</f>
        <v>2.5517299605470694</v>
      </c>
      <c r="X33" s="20">
        <f>'TR TUSD'!$X$33*'TR TUSD'!$X$71</f>
        <v>0</v>
      </c>
      <c r="Y33" s="20">
        <f>'TR TUSD'!$Y$33*'TR TUSD'!$Y$71</f>
        <v>1.5295851917791099</v>
      </c>
      <c r="Z33" s="20">
        <f>'TR TUSD'!$Z$33</f>
        <v>0</v>
      </c>
      <c r="AA33" s="20">
        <f>'TR TUSD'!$AA$33</f>
        <v>0</v>
      </c>
      <c r="AB33" s="20">
        <f>SUM($U$33:$AA$33)</f>
        <v>60.853073883460254</v>
      </c>
      <c r="AC33" s="20">
        <f>'TR TUSD'!$AC$33*'TR TUSD'!$AC$71</f>
        <v>258.22429854792188</v>
      </c>
      <c r="AD33" s="20">
        <f>SUM($AC$33:$AC$33)</f>
        <v>258.22429854792188</v>
      </c>
      <c r="AE33" s="20">
        <v>0</v>
      </c>
      <c r="AF33" s="20">
        <v>0</v>
      </c>
      <c r="AG33" s="20">
        <f>SUM($AE$33:$AF$33)</f>
        <v>0</v>
      </c>
      <c r="AH33" s="20">
        <f>'TR TUSD'!$AH$33*'TR TUSD'!$AH$71</f>
        <v>37.844009988985107</v>
      </c>
      <c r="AI33" s="20">
        <f>'TR TUSD'!$AI$33*'TR TUSD'!$AI$71</f>
        <v>2.1852915045217935</v>
      </c>
      <c r="AJ33" s="20">
        <f ca="1">'TR TUSD'!$AJ$33*'TR TUSD'!$AJ$71</f>
        <v>33.835997905045303</v>
      </c>
      <c r="AK33" s="20">
        <f ca="1">'TR TUSD'!$AK$33*'TR TUSD'!$AK$71</f>
        <v>9.3189588661267155</v>
      </c>
      <c r="AL33" s="20">
        <f ca="1">SUM($AH$33:$AK$33)</f>
        <v>83.184258264678917</v>
      </c>
      <c r="AM33" s="20">
        <f ca="1">SUMIF($L$4:$AL$4,"SUBTOTAL",$L$33:$AL$33)</f>
        <v>407.68452967745947</v>
      </c>
      <c r="AP33" s="20">
        <f>IF((1 - CUSTOS!$M$25)&lt;&gt;0,1/(1 - CUSTOS!$M$25),1)</f>
        <v>1</v>
      </c>
    </row>
    <row r="34" spans="1:42" ht="11.25" customHeight="1" x14ac:dyDescent="0.25">
      <c r="A34" s="136"/>
      <c r="B34" s="136"/>
      <c r="C34" s="136"/>
      <c r="D34" s="22" t="s">
        <v>31</v>
      </c>
      <c r="E34" s="22" t="s">
        <v>25</v>
      </c>
      <c r="F34" s="22" t="s">
        <v>25</v>
      </c>
      <c r="G34" s="21" t="s">
        <v>96</v>
      </c>
      <c r="H34" s="21" t="s">
        <v>90</v>
      </c>
      <c r="I34" s="21">
        <f>'MERCADO TUSD'!$U$31</f>
        <v>81316.453999999983</v>
      </c>
      <c r="J34" s="17"/>
      <c r="L34" s="20">
        <f>'TR TUSD'!$L$34*'TR TUSD'!$L$71</f>
        <v>0</v>
      </c>
      <c r="M34" s="20">
        <f>'TR TUSD'!$M$34*'TR TUSD'!$M$71</f>
        <v>0.88624533977151898</v>
      </c>
      <c r="N34" s="20">
        <f ca="1">'TR TUSD'!$N$34*'TR TUSD'!$N$71</f>
        <v>4.5381821975767433</v>
      </c>
      <c r="O34" s="20">
        <f>'TR TUSD'!$O$34*'TR TUSD'!$O$71</f>
        <v>-1.5285559498368537E-3</v>
      </c>
      <c r="P34" s="20">
        <f>'TR TUSD'!$P$34*'TR TUSD'!$P$71</f>
        <v>0</v>
      </c>
      <c r="Q34" s="20">
        <f>'TR TUSD'!$Q$34*'TR TUSD'!$Q$71</f>
        <v>0</v>
      </c>
      <c r="R34" s="20">
        <f>'TR TUSD'!$R$34*'TR TUSD'!$R$71</f>
        <v>0</v>
      </c>
      <c r="S34" s="20">
        <f>'TR TUSD'!$S$34*'TR TUSD'!$S$71</f>
        <v>0</v>
      </c>
      <c r="T34" s="20">
        <f ca="1">SUM($L$34:$S$34)</f>
        <v>5.4228989813984256</v>
      </c>
      <c r="U34" s="20">
        <f>'TR TUSD'!$U$34*'TR TUSD'!$U$71</f>
        <v>47.471187507292441</v>
      </c>
      <c r="V34" s="20">
        <f>'TR TUSD'!$V$34*'TR TUSD'!$V$71</f>
        <v>9.3005712238416258</v>
      </c>
      <c r="W34" s="20">
        <f>'TR TUSD'!$W$34*'TR TUSD'!$W$71</f>
        <v>2.5517299605470694</v>
      </c>
      <c r="X34" s="20">
        <f>'TR TUSD'!$X$34*'TR TUSD'!$X$71</f>
        <v>0</v>
      </c>
      <c r="Y34" s="20">
        <f>'TR TUSD'!$Y$34*'TR TUSD'!$Y$71</f>
        <v>1.5295851917791099</v>
      </c>
      <c r="Z34" s="20">
        <f>'TR TUSD'!$Z$34</f>
        <v>0</v>
      </c>
      <c r="AA34" s="20">
        <f>'TR TUSD'!$AA$34</f>
        <v>0</v>
      </c>
      <c r="AB34" s="20">
        <f>SUM($U$34:$AA$34)</f>
        <v>60.853073883460254</v>
      </c>
      <c r="AC34" s="20">
        <f>'TR TUSD'!$AC$34*'TR TUSD'!$AC$71</f>
        <v>258.22429854792188</v>
      </c>
      <c r="AD34" s="20">
        <f>SUM($AC$34:$AC$34)</f>
        <v>258.22429854792188</v>
      </c>
      <c r="AE34" s="20">
        <v>0</v>
      </c>
      <c r="AF34" s="20">
        <v>0</v>
      </c>
      <c r="AG34" s="20">
        <f>SUM($AE$34:$AF$34)</f>
        <v>0</v>
      </c>
      <c r="AH34" s="20">
        <f>'TR TUSD'!$AH$34*'TR TUSD'!$AH$71</f>
        <v>37.844009988985107</v>
      </c>
      <c r="AI34" s="20">
        <f>'TR TUSD'!$AI$34*'TR TUSD'!$AI$71</f>
        <v>2.1852915045217935</v>
      </c>
      <c r="AJ34" s="20">
        <f ca="1">'TR TUSD'!$AJ$34*'TR TUSD'!$AJ$71</f>
        <v>33.835997905045303</v>
      </c>
      <c r="AK34" s="20">
        <f ca="1">'TR TUSD'!$AK$34*'TR TUSD'!$AK$71</f>
        <v>9.3189588661267155</v>
      </c>
      <c r="AL34" s="20">
        <f ca="1">SUM($AH$34:$AK$34)</f>
        <v>83.184258264678917</v>
      </c>
      <c r="AM34" s="20">
        <f ca="1">SUMIF($L$4:$AL$4,"SUBTOTAL",$L$34:$AL$34)</f>
        <v>407.68452967745947</v>
      </c>
      <c r="AP34" s="20">
        <f>IF((1 - CUSTOS!$M$26)&lt;&gt;0,1/(1 - CUSTOS!$M$26),1)</f>
        <v>1</v>
      </c>
    </row>
    <row r="35" spans="1:42" ht="11.25" customHeight="1" x14ac:dyDescent="0.25">
      <c r="A35" s="136"/>
      <c r="B35" s="136"/>
      <c r="C35" s="136"/>
      <c r="D35" s="22" t="s">
        <v>32</v>
      </c>
      <c r="E35" s="22" t="s">
        <v>25</v>
      </c>
      <c r="F35" s="22" t="s">
        <v>25</v>
      </c>
      <c r="G35" s="21" t="s">
        <v>96</v>
      </c>
      <c r="H35" s="21" t="s">
        <v>90</v>
      </c>
      <c r="I35" s="21">
        <f>'MERCADO TUSD'!$U$32</f>
        <v>15947.552</v>
      </c>
      <c r="J35" s="17"/>
      <c r="L35" s="20">
        <f>'TR TUSD'!$L$35*'TR TUSD'!$L$71</f>
        <v>0</v>
      </c>
      <c r="M35" s="20">
        <f>'TR TUSD'!$M$35*'TR TUSD'!$M$71</f>
        <v>0.88624533977151898</v>
      </c>
      <c r="N35" s="20">
        <f ca="1">'TR TUSD'!$N$35*'TR TUSD'!$N$71</f>
        <v>4.5381821975767433</v>
      </c>
      <c r="O35" s="20">
        <f>'TR TUSD'!$O$35*'TR TUSD'!$O$71</f>
        <v>-1.5285559498368537E-3</v>
      </c>
      <c r="P35" s="20">
        <f>'TR TUSD'!$P$35*'TR TUSD'!$P$71</f>
        <v>0</v>
      </c>
      <c r="Q35" s="20">
        <f>'TR TUSD'!$Q$35*'TR TUSD'!$Q$71</f>
        <v>0</v>
      </c>
      <c r="R35" s="20">
        <f>'TR TUSD'!$R$35*'TR TUSD'!$R$71</f>
        <v>0</v>
      </c>
      <c r="S35" s="20">
        <f>'TR TUSD'!$S$35*'TR TUSD'!$S$71</f>
        <v>0</v>
      </c>
      <c r="T35" s="20">
        <f ca="1">SUM($L$35:$S$35)</f>
        <v>5.4228989813984256</v>
      </c>
      <c r="U35" s="20">
        <f>'TR TUSD'!$U$35*'TR TUSD'!$U$71</f>
        <v>47.471187507292441</v>
      </c>
      <c r="V35" s="20">
        <f>'TR TUSD'!$V$35*'TR TUSD'!$V$71</f>
        <v>9.3005712238416258</v>
      </c>
      <c r="W35" s="20">
        <f>'TR TUSD'!$W$35*'TR TUSD'!$W$71</f>
        <v>2.5517299605470694</v>
      </c>
      <c r="X35" s="20">
        <f>'TR TUSD'!$X$35*'TR TUSD'!$X$71</f>
        <v>0</v>
      </c>
      <c r="Y35" s="20">
        <f>'TR TUSD'!$Y$35*'TR TUSD'!$Y$71</f>
        <v>1.5295851917791099</v>
      </c>
      <c r="Z35" s="20">
        <f>'TR TUSD'!$Z$35</f>
        <v>0</v>
      </c>
      <c r="AA35" s="20">
        <f>'TR TUSD'!$AA$35</f>
        <v>0</v>
      </c>
      <c r="AB35" s="20">
        <f>SUM($U$35:$AA$35)</f>
        <v>60.853073883460254</v>
      </c>
      <c r="AC35" s="20">
        <f>'TR TUSD'!$AC$35*'TR TUSD'!$AC$71</f>
        <v>258.22429854792188</v>
      </c>
      <c r="AD35" s="20">
        <f>SUM($AC$35:$AC$35)</f>
        <v>258.22429854792188</v>
      </c>
      <c r="AE35" s="20">
        <v>0</v>
      </c>
      <c r="AF35" s="20">
        <v>0</v>
      </c>
      <c r="AG35" s="20">
        <f>SUM($AE$35:$AF$35)</f>
        <v>0</v>
      </c>
      <c r="AH35" s="20">
        <f>'TR TUSD'!$AH$35*'TR TUSD'!$AH$71</f>
        <v>37.844009988985107</v>
      </c>
      <c r="AI35" s="20">
        <f>'TR TUSD'!$AI$35*'TR TUSD'!$AI$71</f>
        <v>2.1852915045217935</v>
      </c>
      <c r="AJ35" s="20">
        <f ca="1">'TR TUSD'!$AJ$35*'TR TUSD'!$AJ$71</f>
        <v>33.835997905045303</v>
      </c>
      <c r="AK35" s="20">
        <f ca="1">'TR TUSD'!$AK$35*'TR TUSD'!$AK$71</f>
        <v>9.3189588661267155</v>
      </c>
      <c r="AL35" s="20">
        <f ca="1">SUM($AH$35:$AK$35)</f>
        <v>83.184258264678917</v>
      </c>
      <c r="AM35" s="20">
        <f ca="1">SUMIF($L$4:$AL$4,"SUBTOTAL",$L$35:$AL$35)</f>
        <v>407.68452967745947</v>
      </c>
      <c r="AP35" s="20">
        <f>IF((1 - CUSTOS!$M$27)&lt;&gt;0,1/(1 - CUSTOS!$M$27),1)</f>
        <v>1</v>
      </c>
    </row>
    <row r="36" spans="1:42" ht="11.25" customHeight="1" x14ac:dyDescent="0.25">
      <c r="A36" s="136"/>
      <c r="B36" s="136" t="s">
        <v>103</v>
      </c>
      <c r="C36" s="136" t="s">
        <v>24</v>
      </c>
      <c r="D36" s="22" t="s">
        <v>24</v>
      </c>
      <c r="E36" s="22" t="s">
        <v>25</v>
      </c>
      <c r="F36" s="22" t="s">
        <v>25</v>
      </c>
      <c r="G36" s="21" t="s">
        <v>96</v>
      </c>
      <c r="H36" s="21" t="s">
        <v>90</v>
      </c>
      <c r="I36" s="21">
        <f>'MERCADO TUSD'!$U$33</f>
        <v>0</v>
      </c>
      <c r="J36" s="17"/>
      <c r="L36" s="20">
        <f>'TR TUSD'!$L$36*'TR TUSD'!$L$71</f>
        <v>15.04711566915239</v>
      </c>
      <c r="M36" s="20">
        <f>'TR TUSD'!$M$36*'TR TUSD'!$M$71</f>
        <v>0.88624533977151898</v>
      </c>
      <c r="N36" s="20">
        <f ca="1">'TR TUSD'!$N$36*'TR TUSD'!$N$71</f>
        <v>4.5496750950127618</v>
      </c>
      <c r="O36" s="20">
        <f>'TR TUSD'!$O$36*'TR TUSD'!$O$71</f>
        <v>-1.5285559498368537E-3</v>
      </c>
      <c r="P36" s="20">
        <f>'TR TUSD'!$P$36*'TR TUSD'!$P$71</f>
        <v>0</v>
      </c>
      <c r="Q36" s="20">
        <f>'TR TUSD'!$Q$36*'TR TUSD'!$Q$71</f>
        <v>37.43554716513178</v>
      </c>
      <c r="R36" s="20">
        <f>'TR TUSD'!$R$36*'TR TUSD'!$R$71</f>
        <v>14.687947346687571</v>
      </c>
      <c r="S36" s="20">
        <f>'TR TUSD'!$S$36*'TR TUSD'!$S$71</f>
        <v>0</v>
      </c>
      <c r="T36" s="20">
        <f ca="1">SUM($L$36:$S$36)</f>
        <v>72.605002059806182</v>
      </c>
      <c r="U36" s="20">
        <f>'TR TUSD'!$U$36*'TR TUSD'!$U$71</f>
        <v>47.471187507292441</v>
      </c>
      <c r="V36" s="20">
        <f>'TR TUSD'!$V$36*'TR TUSD'!$V$71</f>
        <v>9.3005712238416258</v>
      </c>
      <c r="W36" s="20">
        <f>'TR TUSD'!$W$36*'TR TUSD'!$W$71</f>
        <v>2.5517299605470694</v>
      </c>
      <c r="X36" s="20">
        <f>'TR TUSD'!$X$36*'TR TUSD'!$X$71</f>
        <v>0</v>
      </c>
      <c r="Y36" s="20">
        <f>'TR TUSD'!$Y$36*'TR TUSD'!$Y$71</f>
        <v>1.5295851917791099</v>
      </c>
      <c r="Z36" s="20">
        <f>'TR TUSD'!$Z$36</f>
        <v>0</v>
      </c>
      <c r="AA36" s="20">
        <f>'TR TUSD'!$AA$36</f>
        <v>0</v>
      </c>
      <c r="AB36" s="20">
        <f>SUM($U$36:$AA$36)</f>
        <v>60.853073883460254</v>
      </c>
      <c r="AC36" s="20">
        <f>'TR TUSD'!$AC$36*'TR TUSD'!$AC$71</f>
        <v>258.22429854792188</v>
      </c>
      <c r="AD36" s="20">
        <f>SUM($AC$36:$AC$36)</f>
        <v>258.22429854792188</v>
      </c>
      <c r="AE36" s="20">
        <v>0</v>
      </c>
      <c r="AF36" s="20">
        <v>0</v>
      </c>
      <c r="AG36" s="20">
        <f>SUM($AE$36:$AF$36)</f>
        <v>0</v>
      </c>
      <c r="AH36" s="20">
        <f>'TR TUSD'!$AH$36*'TR TUSD'!$AH$71</f>
        <v>37.844009988985107</v>
      </c>
      <c r="AI36" s="20">
        <f>'TR TUSD'!$AI$36*'TR TUSD'!$AI$71</f>
        <v>2.1852915045217935</v>
      </c>
      <c r="AJ36" s="20">
        <f ca="1">'TR TUSD'!$AJ$36*'TR TUSD'!$AJ$71</f>
        <v>33.835997905045303</v>
      </c>
      <c r="AK36" s="20">
        <f ca="1">'TR TUSD'!$AK$36*'TR TUSD'!$AK$71</f>
        <v>9.3189588661267155</v>
      </c>
      <c r="AL36" s="20">
        <f ca="1">SUM($AH$36:$AK$36)</f>
        <v>83.184258264678917</v>
      </c>
      <c r="AM36" s="20">
        <f ca="1">SUMIF($L$4:$AL$4,"SUBTOTAL",$L$36:$AL$36)</f>
        <v>474.86663275586722</v>
      </c>
      <c r="AP36" s="20">
        <v>1</v>
      </c>
    </row>
    <row r="37" spans="1:42" ht="11.25" customHeight="1" x14ac:dyDescent="0.25">
      <c r="A37" s="136"/>
      <c r="B37" s="136"/>
      <c r="C37" s="136"/>
      <c r="D37" s="22" t="s">
        <v>29</v>
      </c>
      <c r="E37" s="22" t="s">
        <v>25</v>
      </c>
      <c r="F37" s="22" t="s">
        <v>25</v>
      </c>
      <c r="G37" s="21" t="s">
        <v>96</v>
      </c>
      <c r="H37" s="21" t="s">
        <v>90</v>
      </c>
      <c r="I37" s="21">
        <f>'MERCADO TUSD'!$U$34</f>
        <v>0</v>
      </c>
      <c r="J37" s="17"/>
      <c r="L37" s="20">
        <f>'TR TUSD'!$L$37*'TR TUSD'!$L$71</f>
        <v>0</v>
      </c>
      <c r="M37" s="20">
        <f>'TR TUSD'!$M$37*'TR TUSD'!$M$71</f>
        <v>0.88624533977151898</v>
      </c>
      <c r="N37" s="20">
        <f ca="1">'TR TUSD'!$N$37*'TR TUSD'!$N$71</f>
        <v>4.5381821975767433</v>
      </c>
      <c r="O37" s="20">
        <f>'TR TUSD'!$O$37*'TR TUSD'!$O$71</f>
        <v>-1.5285559498368537E-3</v>
      </c>
      <c r="P37" s="20">
        <f>'TR TUSD'!$P$37*'TR TUSD'!$P$71</f>
        <v>0</v>
      </c>
      <c r="Q37" s="20">
        <f>'TR TUSD'!$Q$37*'TR TUSD'!$Q$71</f>
        <v>0</v>
      </c>
      <c r="R37" s="20">
        <f>'TR TUSD'!$R$37*'TR TUSD'!$R$71</f>
        <v>0</v>
      </c>
      <c r="S37" s="20">
        <f>'TR TUSD'!$S$37*'TR TUSD'!$S$71</f>
        <v>0</v>
      </c>
      <c r="T37" s="20">
        <f ca="1">SUM($L$37:$S$37)</f>
        <v>5.4228989813984256</v>
      </c>
      <c r="U37" s="20">
        <f>'TR TUSD'!$U$37*'TR TUSD'!$U$71</f>
        <v>47.471187507292441</v>
      </c>
      <c r="V37" s="20">
        <f>'TR TUSD'!$V$37*'TR TUSD'!$V$71</f>
        <v>9.3005712238416258</v>
      </c>
      <c r="W37" s="20">
        <f>'TR TUSD'!$W$37*'TR TUSD'!$W$71</f>
        <v>2.5517299605470694</v>
      </c>
      <c r="X37" s="20">
        <f>'TR TUSD'!$X$37*'TR TUSD'!$X$71</f>
        <v>0</v>
      </c>
      <c r="Y37" s="20">
        <f>'TR TUSD'!$Y$37*'TR TUSD'!$Y$71</f>
        <v>1.5295851917791099</v>
      </c>
      <c r="Z37" s="20">
        <f>'TR TUSD'!$Z$37</f>
        <v>0</v>
      </c>
      <c r="AA37" s="20">
        <f>'TR TUSD'!$AA$37</f>
        <v>0</v>
      </c>
      <c r="AB37" s="20">
        <f>SUM($U$37:$AA$37)</f>
        <v>60.853073883460254</v>
      </c>
      <c r="AC37" s="20">
        <f>'TR TUSD'!$AC$37*'TR TUSD'!$AC$71</f>
        <v>258.22429854792188</v>
      </c>
      <c r="AD37" s="20">
        <f>SUM($AC$37:$AC$37)</f>
        <v>258.22429854792188</v>
      </c>
      <c r="AE37" s="20">
        <v>0</v>
      </c>
      <c r="AF37" s="20">
        <v>0</v>
      </c>
      <c r="AG37" s="20">
        <f>SUM($AE$37:$AF$37)</f>
        <v>0</v>
      </c>
      <c r="AH37" s="20">
        <f>'TR TUSD'!$AH$37*'TR TUSD'!$AH$71</f>
        <v>37.844009988985107</v>
      </c>
      <c r="AI37" s="20">
        <f>'TR TUSD'!$AI$37*'TR TUSD'!$AI$71</f>
        <v>2.1852915045217935</v>
      </c>
      <c r="AJ37" s="20">
        <f ca="1">'TR TUSD'!$AJ$37*'TR TUSD'!$AJ$71</f>
        <v>33.835997905045303</v>
      </c>
      <c r="AK37" s="20">
        <f ca="1">'TR TUSD'!$AK$37*'TR TUSD'!$AK$71</f>
        <v>9.3189588661267155</v>
      </c>
      <c r="AL37" s="20">
        <f ca="1">SUM($AH$37:$AK$37)</f>
        <v>83.184258264678917</v>
      </c>
      <c r="AM37" s="20">
        <f ca="1">SUMIF($L$4:$AL$4,"SUBTOTAL",$L$37:$AL$37)</f>
        <v>407.68452967745947</v>
      </c>
      <c r="AP37" s="20">
        <f>IF((1 - CUSTOS!$M$24)&lt;&gt;0,1/(1 - CUSTOS!$M$24),1)</f>
        <v>1</v>
      </c>
    </row>
    <row r="38" spans="1:42" ht="11.25" customHeight="1" x14ac:dyDescent="0.25">
      <c r="A38" s="136"/>
      <c r="B38" s="136"/>
      <c r="C38" s="136"/>
      <c r="D38" s="22" t="s">
        <v>30</v>
      </c>
      <c r="E38" s="22" t="s">
        <v>25</v>
      </c>
      <c r="F38" s="22" t="s">
        <v>25</v>
      </c>
      <c r="G38" s="21" t="s">
        <v>96</v>
      </c>
      <c r="H38" s="21" t="s">
        <v>90</v>
      </c>
      <c r="I38" s="21">
        <f>'MERCADO TUSD'!$U$35</f>
        <v>0</v>
      </c>
      <c r="J38" s="17"/>
      <c r="L38" s="20">
        <f>'TR TUSD'!$L$38*'TR TUSD'!$L$71</f>
        <v>0</v>
      </c>
      <c r="M38" s="20">
        <f>'TR TUSD'!$M$38*'TR TUSD'!$M$71</f>
        <v>0.88624533977151898</v>
      </c>
      <c r="N38" s="20">
        <f ca="1">'TR TUSD'!$N$38*'TR TUSD'!$N$71</f>
        <v>4.5381821975767433</v>
      </c>
      <c r="O38" s="20">
        <f>'TR TUSD'!$O$38*'TR TUSD'!$O$71</f>
        <v>-1.5285559498368537E-3</v>
      </c>
      <c r="P38" s="20">
        <f>'TR TUSD'!$P$38*'TR TUSD'!$P$71</f>
        <v>0</v>
      </c>
      <c r="Q38" s="20">
        <f>'TR TUSD'!$Q$38*'TR TUSD'!$Q$71</f>
        <v>0</v>
      </c>
      <c r="R38" s="20">
        <f>'TR TUSD'!$R$38*'TR TUSD'!$R$71</f>
        <v>0</v>
      </c>
      <c r="S38" s="20">
        <f>'TR TUSD'!$S$38*'TR TUSD'!$S$71</f>
        <v>0</v>
      </c>
      <c r="T38" s="20">
        <f ca="1">SUM($L$38:$S$38)</f>
        <v>5.4228989813984256</v>
      </c>
      <c r="U38" s="20">
        <f>'TR TUSD'!$U$38*'TR TUSD'!$U$71</f>
        <v>47.471187507292441</v>
      </c>
      <c r="V38" s="20">
        <f>'TR TUSD'!$V$38*'TR TUSD'!$V$71</f>
        <v>9.3005712238416258</v>
      </c>
      <c r="W38" s="20">
        <f>'TR TUSD'!$W$38*'TR TUSD'!$W$71</f>
        <v>2.5517299605470694</v>
      </c>
      <c r="X38" s="20">
        <f>'TR TUSD'!$X$38*'TR TUSD'!$X$71</f>
        <v>0</v>
      </c>
      <c r="Y38" s="20">
        <f>'TR TUSD'!$Y$38*'TR TUSD'!$Y$71</f>
        <v>1.5295851917791099</v>
      </c>
      <c r="Z38" s="20">
        <f>'TR TUSD'!$Z$38</f>
        <v>0</v>
      </c>
      <c r="AA38" s="20">
        <f>'TR TUSD'!$AA$38</f>
        <v>0</v>
      </c>
      <c r="AB38" s="20">
        <f>SUM($U$38:$AA$38)</f>
        <v>60.853073883460254</v>
      </c>
      <c r="AC38" s="20">
        <f>'TR TUSD'!$AC$38*'TR TUSD'!$AC$71</f>
        <v>258.22429854792188</v>
      </c>
      <c r="AD38" s="20">
        <f>SUM($AC$38:$AC$38)</f>
        <v>258.22429854792188</v>
      </c>
      <c r="AE38" s="20">
        <v>0</v>
      </c>
      <c r="AF38" s="20">
        <v>0</v>
      </c>
      <c r="AG38" s="20">
        <f>SUM($AE$38:$AF$38)</f>
        <v>0</v>
      </c>
      <c r="AH38" s="20">
        <f>'TR TUSD'!$AH$38*'TR TUSD'!$AH$71</f>
        <v>37.844009988985107</v>
      </c>
      <c r="AI38" s="20">
        <f>'TR TUSD'!$AI$38*'TR TUSD'!$AI$71</f>
        <v>2.1852915045217935</v>
      </c>
      <c r="AJ38" s="20">
        <f ca="1">'TR TUSD'!$AJ$38*'TR TUSD'!$AJ$71</f>
        <v>33.835997905045303</v>
      </c>
      <c r="AK38" s="20">
        <f ca="1">'TR TUSD'!$AK$38*'TR TUSD'!$AK$71</f>
        <v>9.3189588661267155</v>
      </c>
      <c r="AL38" s="20">
        <f ca="1">SUM($AH$38:$AK$38)</f>
        <v>83.184258264678917</v>
      </c>
      <c r="AM38" s="20">
        <f ca="1">SUMIF($L$4:$AL$4,"SUBTOTAL",$L$38:$AL$38)</f>
        <v>407.68452967745947</v>
      </c>
      <c r="AP38" s="20">
        <f>IF((1 - CUSTOS!$M$25)&lt;&gt;0,1/(1 - CUSTOS!$M$25),1)</f>
        <v>1</v>
      </c>
    </row>
    <row r="39" spans="1:42" ht="11.25" customHeight="1" x14ac:dyDescent="0.25">
      <c r="A39" s="136"/>
      <c r="B39" s="136"/>
      <c r="C39" s="136"/>
      <c r="D39" s="22" t="s">
        <v>31</v>
      </c>
      <c r="E39" s="22" t="s">
        <v>25</v>
      </c>
      <c r="F39" s="22" t="s">
        <v>25</v>
      </c>
      <c r="G39" s="21" t="s">
        <v>96</v>
      </c>
      <c r="H39" s="21" t="s">
        <v>90</v>
      </c>
      <c r="I39" s="21">
        <f>'MERCADO TUSD'!$U$36</f>
        <v>0</v>
      </c>
      <c r="J39" s="17"/>
      <c r="L39" s="20">
        <f>'TR TUSD'!$L$39*'TR TUSD'!$L$71</f>
        <v>0</v>
      </c>
      <c r="M39" s="20">
        <f>'TR TUSD'!$M$39*'TR TUSD'!$M$71</f>
        <v>0.88624533977151898</v>
      </c>
      <c r="N39" s="20">
        <f ca="1">'TR TUSD'!$N$39*'TR TUSD'!$N$71</f>
        <v>4.5381821975767433</v>
      </c>
      <c r="O39" s="20">
        <f>'TR TUSD'!$O$39*'TR TUSD'!$O$71</f>
        <v>-1.5285559498368537E-3</v>
      </c>
      <c r="P39" s="20">
        <f>'TR TUSD'!$P$39*'TR TUSD'!$P$71</f>
        <v>0</v>
      </c>
      <c r="Q39" s="20">
        <f>'TR TUSD'!$Q$39*'TR TUSD'!$Q$71</f>
        <v>0</v>
      </c>
      <c r="R39" s="20">
        <f>'TR TUSD'!$R$39*'TR TUSD'!$R$71</f>
        <v>0</v>
      </c>
      <c r="S39" s="20">
        <f>'TR TUSD'!$S$39*'TR TUSD'!$S$71</f>
        <v>0</v>
      </c>
      <c r="T39" s="20">
        <f ca="1">SUM($L$39:$S$39)</f>
        <v>5.4228989813984256</v>
      </c>
      <c r="U39" s="20">
        <f>'TR TUSD'!$U$39*'TR TUSD'!$U$71</f>
        <v>47.471187507292441</v>
      </c>
      <c r="V39" s="20">
        <f>'TR TUSD'!$V$39*'TR TUSD'!$V$71</f>
        <v>9.3005712238416258</v>
      </c>
      <c r="W39" s="20">
        <f>'TR TUSD'!$W$39*'TR TUSD'!$W$71</f>
        <v>2.5517299605470694</v>
      </c>
      <c r="X39" s="20">
        <f>'TR TUSD'!$X$39*'TR TUSD'!$X$71</f>
        <v>0</v>
      </c>
      <c r="Y39" s="20">
        <f>'TR TUSD'!$Y$39*'TR TUSD'!$Y$71</f>
        <v>1.5295851917791099</v>
      </c>
      <c r="Z39" s="20">
        <f>'TR TUSD'!$Z$39</f>
        <v>0</v>
      </c>
      <c r="AA39" s="20">
        <f>'TR TUSD'!$AA$39</f>
        <v>0</v>
      </c>
      <c r="AB39" s="20">
        <f>SUM($U$39:$AA$39)</f>
        <v>60.853073883460254</v>
      </c>
      <c r="AC39" s="20">
        <f>'TR TUSD'!$AC$39*'TR TUSD'!$AC$71</f>
        <v>258.22429854792188</v>
      </c>
      <c r="AD39" s="20">
        <f>SUM($AC$39:$AC$39)</f>
        <v>258.22429854792188</v>
      </c>
      <c r="AE39" s="20">
        <v>0</v>
      </c>
      <c r="AF39" s="20">
        <v>0</v>
      </c>
      <c r="AG39" s="20">
        <f>SUM($AE$39:$AF$39)</f>
        <v>0</v>
      </c>
      <c r="AH39" s="20">
        <f>'TR TUSD'!$AH$39*'TR TUSD'!$AH$71</f>
        <v>37.844009988985107</v>
      </c>
      <c r="AI39" s="20">
        <f>'TR TUSD'!$AI$39*'TR TUSD'!$AI$71</f>
        <v>2.1852915045217935</v>
      </c>
      <c r="AJ39" s="20">
        <f ca="1">'TR TUSD'!$AJ$39*'TR TUSD'!$AJ$71</f>
        <v>33.835997905045303</v>
      </c>
      <c r="AK39" s="20">
        <f ca="1">'TR TUSD'!$AK$39*'TR TUSD'!$AK$71</f>
        <v>9.3189588661267155</v>
      </c>
      <c r="AL39" s="20">
        <f ca="1">SUM($AH$39:$AK$39)</f>
        <v>83.184258264678917</v>
      </c>
      <c r="AM39" s="20">
        <f ca="1">SUMIF($L$4:$AL$4,"SUBTOTAL",$L$39:$AL$39)</f>
        <v>407.68452967745947</v>
      </c>
      <c r="AP39" s="20">
        <f>IF((1 - CUSTOS!$M$26)&lt;&gt;0,1/(1 - CUSTOS!$M$26),1)</f>
        <v>1</v>
      </c>
    </row>
    <row r="40" spans="1:42" ht="11.25" customHeight="1" x14ac:dyDescent="0.25">
      <c r="A40" s="136"/>
      <c r="B40" s="136"/>
      <c r="C40" s="136"/>
      <c r="D40" s="22" t="s">
        <v>32</v>
      </c>
      <c r="E40" s="22" t="s">
        <v>25</v>
      </c>
      <c r="F40" s="22" t="s">
        <v>25</v>
      </c>
      <c r="G40" s="21" t="s">
        <v>96</v>
      </c>
      <c r="H40" s="21" t="s">
        <v>90</v>
      </c>
      <c r="I40" s="21">
        <f>'MERCADO TUSD'!$U$37</f>
        <v>0</v>
      </c>
      <c r="J40" s="17"/>
      <c r="L40" s="20">
        <f>'TR TUSD'!$L$40*'TR TUSD'!$L$71</f>
        <v>0</v>
      </c>
      <c r="M40" s="20">
        <f>'TR TUSD'!$M$40*'TR TUSD'!$M$71</f>
        <v>0.88624533977151898</v>
      </c>
      <c r="N40" s="20">
        <f ca="1">'TR TUSD'!$N$40*'TR TUSD'!$N$71</f>
        <v>4.5381821975767433</v>
      </c>
      <c r="O40" s="20">
        <f>'TR TUSD'!$O$40*'TR TUSD'!$O$71</f>
        <v>-1.5285559498368537E-3</v>
      </c>
      <c r="P40" s="20">
        <f>'TR TUSD'!$P$40*'TR TUSD'!$P$71</f>
        <v>0</v>
      </c>
      <c r="Q40" s="20">
        <f>'TR TUSD'!$Q$40*'TR TUSD'!$Q$71</f>
        <v>0</v>
      </c>
      <c r="R40" s="20">
        <f>'TR TUSD'!$R$40*'TR TUSD'!$R$71</f>
        <v>0</v>
      </c>
      <c r="S40" s="20">
        <f>'TR TUSD'!$S$40*'TR TUSD'!$S$71</f>
        <v>0</v>
      </c>
      <c r="T40" s="20">
        <f ca="1">SUM($L$40:$S$40)</f>
        <v>5.4228989813984256</v>
      </c>
      <c r="U40" s="20">
        <f>'TR TUSD'!$U$40*'TR TUSD'!$U$71</f>
        <v>47.471187507292441</v>
      </c>
      <c r="V40" s="20">
        <f>'TR TUSD'!$V$40*'TR TUSD'!$V$71</f>
        <v>9.3005712238416258</v>
      </c>
      <c r="W40" s="20">
        <f>'TR TUSD'!$W$40*'TR TUSD'!$W$71</f>
        <v>2.5517299605470694</v>
      </c>
      <c r="X40" s="20">
        <f>'TR TUSD'!$X$40*'TR TUSD'!$X$71</f>
        <v>0</v>
      </c>
      <c r="Y40" s="20">
        <f>'TR TUSD'!$Y$40*'TR TUSD'!$Y$71</f>
        <v>1.5295851917791099</v>
      </c>
      <c r="Z40" s="20">
        <f>'TR TUSD'!$Z$40</f>
        <v>0</v>
      </c>
      <c r="AA40" s="20">
        <f>'TR TUSD'!$AA$40</f>
        <v>0</v>
      </c>
      <c r="AB40" s="20">
        <f>SUM($U$40:$AA$40)</f>
        <v>60.853073883460254</v>
      </c>
      <c r="AC40" s="20">
        <f>'TR TUSD'!$AC$40*'TR TUSD'!$AC$71</f>
        <v>258.22429854792188</v>
      </c>
      <c r="AD40" s="20">
        <f>SUM($AC$40:$AC$40)</f>
        <v>258.22429854792188</v>
      </c>
      <c r="AE40" s="20">
        <v>0</v>
      </c>
      <c r="AF40" s="20">
        <v>0</v>
      </c>
      <c r="AG40" s="20">
        <f>SUM($AE$40:$AF$40)</f>
        <v>0</v>
      </c>
      <c r="AH40" s="20">
        <f>'TR TUSD'!$AH$40*'TR TUSD'!$AH$71</f>
        <v>37.844009988985107</v>
      </c>
      <c r="AI40" s="20">
        <f>'TR TUSD'!$AI$40*'TR TUSD'!$AI$71</f>
        <v>2.1852915045217935</v>
      </c>
      <c r="AJ40" s="20">
        <f ca="1">'TR TUSD'!$AJ$40*'TR TUSD'!$AJ$71</f>
        <v>33.835997905045303</v>
      </c>
      <c r="AK40" s="20">
        <f ca="1">'TR TUSD'!$AK$40*'TR TUSD'!$AK$71</f>
        <v>9.3189588661267155</v>
      </c>
      <c r="AL40" s="20">
        <f ca="1">SUM($AH$40:$AK$40)</f>
        <v>83.184258264678917</v>
      </c>
      <c r="AM40" s="20">
        <f ca="1">SUMIF($L$4:$AL$4,"SUBTOTAL",$L$40:$AL$40)</f>
        <v>407.68452967745947</v>
      </c>
      <c r="AP40" s="20">
        <f>IF((1 - CUSTOS!$M$27)&lt;&gt;0,1/(1 - CUSTOS!$M$27),1)</f>
        <v>1</v>
      </c>
    </row>
    <row r="41" spans="1:42" ht="11.25" customHeight="1" x14ac:dyDescent="0.25">
      <c r="A41" s="136" t="s">
        <v>44</v>
      </c>
      <c r="B41" s="136" t="s">
        <v>37</v>
      </c>
      <c r="C41" s="136" t="s">
        <v>45</v>
      </c>
      <c r="D41" s="136" t="s">
        <v>25</v>
      </c>
      <c r="E41" s="136" t="s">
        <v>25</v>
      </c>
      <c r="F41" s="136" t="s">
        <v>25</v>
      </c>
      <c r="G41" s="21" t="s">
        <v>91</v>
      </c>
      <c r="H41" s="21" t="s">
        <v>90</v>
      </c>
      <c r="I41" s="21">
        <f>'MERCADO TUSD'!$U$38</f>
        <v>3.0000000000000001E-3</v>
      </c>
      <c r="J41" s="17"/>
      <c r="L41" s="20">
        <f>'TR TUSD'!$L$41*'TR TUSD'!$L$71</f>
        <v>15.04711566915239</v>
      </c>
      <c r="M41" s="20">
        <f>'TR TUSD'!$M$41*'TR TUSD'!$M$71</f>
        <v>0.88624533977151898</v>
      </c>
      <c r="N41" s="20">
        <f ca="1">'TR TUSD'!$N$41*'TR TUSD'!$N$71</f>
        <v>11.28389467463805</v>
      </c>
      <c r="O41" s="20">
        <f>'TR TUSD'!$O$41*'TR TUSD'!$O$71</f>
        <v>-1.5285559498368537E-3</v>
      </c>
      <c r="P41" s="20">
        <f>'TR TUSD'!$P$41*'TR TUSD'!$P$71</f>
        <v>0</v>
      </c>
      <c r="Q41" s="20">
        <f>'TR TUSD'!$Q$41*'TR TUSD'!$Q$71</f>
        <v>37.43554716513178</v>
      </c>
      <c r="R41" s="20">
        <f>'TR TUSD'!$R$41*'TR TUSD'!$R$71</f>
        <v>14.687947346687571</v>
      </c>
      <c r="S41" s="20">
        <f>'TR TUSD'!$S$41*'TR TUSD'!$S$71</f>
        <v>0</v>
      </c>
      <c r="T41" s="20">
        <f ca="1">SUM($L$41:$S$41)</f>
        <v>79.339221639431472</v>
      </c>
      <c r="U41" s="20">
        <f>'TR TUSD'!$U$41*'TR TUSD'!$U$71</f>
        <v>156.65494823493745</v>
      </c>
      <c r="V41" s="20">
        <f>'TR TUSD'!$V$41*'TR TUSD'!$V$71</f>
        <v>30.691908446351654</v>
      </c>
      <c r="W41" s="20">
        <f>'TR TUSD'!$W$41*'TR TUSD'!$W$71</f>
        <v>8.4208378391412371</v>
      </c>
      <c r="X41" s="20">
        <f>'TR TUSD'!$X$41*'TR TUSD'!$X$71</f>
        <v>0</v>
      </c>
      <c r="Y41" s="20">
        <f>'TR TUSD'!$Y$41*'TR TUSD'!$Y$71</f>
        <v>5.0477740656749939</v>
      </c>
      <c r="Z41" s="20">
        <f>'TR TUSD'!$Z$41</f>
        <v>0</v>
      </c>
      <c r="AA41" s="20">
        <f>'TR TUSD'!$AA$41</f>
        <v>0</v>
      </c>
      <c r="AB41" s="20">
        <f>SUM($U$41:$AA$41)</f>
        <v>200.81546858610531</v>
      </c>
      <c r="AC41" s="20">
        <f>'TR TUSD'!$AC$41*'TR TUSD'!$AC$71</f>
        <v>852.14027044832585</v>
      </c>
      <c r="AD41" s="20">
        <f>SUM($AC$41:$AC$41)</f>
        <v>852.14027044832585</v>
      </c>
      <c r="AE41" s="20">
        <v>0</v>
      </c>
      <c r="AF41" s="20">
        <v>0</v>
      </c>
      <c r="AG41" s="20">
        <f>SUM($AE$41:$AF$41)</f>
        <v>0</v>
      </c>
      <c r="AH41" s="20">
        <f>'TR TUSD'!$AH$41*'TR TUSD'!$AH$71</f>
        <v>37.844009988985107</v>
      </c>
      <c r="AI41" s="20">
        <f>'TR TUSD'!$AI$41*'TR TUSD'!$AI$71</f>
        <v>2.1852915045217935</v>
      </c>
      <c r="AJ41" s="20">
        <f ca="1">'TR TUSD'!$AJ$41*'TR TUSD'!$AJ$71</f>
        <v>33.835997905045303</v>
      </c>
      <c r="AK41" s="20">
        <f ca="1">'TR TUSD'!$AK$41*'TR TUSD'!$AK$71</f>
        <v>9.3189588661267155</v>
      </c>
      <c r="AL41" s="20">
        <f ca="1">SUM($AH$41:$AK$41)</f>
        <v>83.184258264678917</v>
      </c>
      <c r="AM41" s="20">
        <f ca="1">SUMIF($L$4:$AL$4,"SUBTOTAL",$L$41:$AL$41)</f>
        <v>1215.4792189385414</v>
      </c>
      <c r="AP41" s="20">
        <f>IF((1 - CUSTOS!$M$28)&lt;&gt;0,1/(1 - CUSTOS!$M$28),1)</f>
        <v>1</v>
      </c>
    </row>
    <row r="42" spans="1:42" ht="11.25" customHeight="1" x14ac:dyDescent="0.25">
      <c r="A42" s="136"/>
      <c r="B42" s="136"/>
      <c r="C42" s="136"/>
      <c r="D42" s="136"/>
      <c r="E42" s="136"/>
      <c r="F42" s="136"/>
      <c r="G42" s="21" t="s">
        <v>101</v>
      </c>
      <c r="H42" s="21" t="s">
        <v>90</v>
      </c>
      <c r="I42" s="21">
        <f>'MERCADO TUSD'!$U$39</f>
        <v>3.1E-2</v>
      </c>
      <c r="J42" s="17"/>
      <c r="L42" s="20">
        <f>'TR TUSD'!$L$42*'TR TUSD'!$L$71</f>
        <v>15.04711566915239</v>
      </c>
      <c r="M42" s="20">
        <f>'TR TUSD'!$M$42*'TR TUSD'!$M$71</f>
        <v>0.88624533977151898</v>
      </c>
      <c r="N42" s="20">
        <f ca="1">'TR TUSD'!$N$42*'TR TUSD'!$N$71</f>
        <v>7.4190401390585858</v>
      </c>
      <c r="O42" s="20">
        <f>'TR TUSD'!$O$42*'TR TUSD'!$O$71</f>
        <v>-1.5285559498368537E-3</v>
      </c>
      <c r="P42" s="20">
        <f>'TR TUSD'!$P$42*'TR TUSD'!$P$71</f>
        <v>0</v>
      </c>
      <c r="Q42" s="20">
        <f>'TR TUSD'!$Q$42*'TR TUSD'!$Q$71</f>
        <v>37.43554716513178</v>
      </c>
      <c r="R42" s="20">
        <f>'TR TUSD'!$R$42*'TR TUSD'!$R$71</f>
        <v>14.687947346687571</v>
      </c>
      <c r="S42" s="20">
        <f>'TR TUSD'!$S$42*'TR TUSD'!$S$71</f>
        <v>0</v>
      </c>
      <c r="T42" s="20">
        <f ca="1">SUM($L$42:$S$42)</f>
        <v>75.474367103852003</v>
      </c>
      <c r="U42" s="20">
        <f>'TR TUSD'!$U$42*'TR TUSD'!$U$71</f>
        <v>93.992998401834868</v>
      </c>
      <c r="V42" s="20">
        <f>'TR TUSD'!$V$42*'TR TUSD'!$V$71</f>
        <v>18.415168475485277</v>
      </c>
      <c r="W42" s="20">
        <f>'TR TUSD'!$W$42*'TR TUSD'!$W$71</f>
        <v>5.0525886830420133</v>
      </c>
      <c r="X42" s="20">
        <f>'TR TUSD'!$X$42*'TR TUSD'!$X$71</f>
        <v>0</v>
      </c>
      <c r="Y42" s="20">
        <f>'TR TUSD'!$Y$42*'TR TUSD'!$Y$71</f>
        <v>3.0287461152929569</v>
      </c>
      <c r="Z42" s="20">
        <f>'TR TUSD'!$Z$42</f>
        <v>0</v>
      </c>
      <c r="AA42" s="20">
        <f>'TR TUSD'!$AA$42</f>
        <v>0</v>
      </c>
      <c r="AB42" s="20">
        <f>SUM($U$42:$AA$42)</f>
        <v>120.48950167565512</v>
      </c>
      <c r="AC42" s="20">
        <f>'TR TUSD'!$AC$42*'TR TUSD'!$AC$71</f>
        <v>511.28413791465732</v>
      </c>
      <c r="AD42" s="20">
        <f>SUM($AC$42:$AC$42)</f>
        <v>511.28413791465732</v>
      </c>
      <c r="AE42" s="20">
        <v>0</v>
      </c>
      <c r="AF42" s="20">
        <v>0</v>
      </c>
      <c r="AG42" s="20">
        <f>SUM($AE$42:$AF$42)</f>
        <v>0</v>
      </c>
      <c r="AH42" s="20">
        <f>'TR TUSD'!$AH$42*'TR TUSD'!$AH$71</f>
        <v>37.844009988985107</v>
      </c>
      <c r="AI42" s="20">
        <f>'TR TUSD'!$AI$42*'TR TUSD'!$AI$71</f>
        <v>2.1852915045217935</v>
      </c>
      <c r="AJ42" s="20">
        <f ca="1">'TR TUSD'!$AJ$42*'TR TUSD'!$AJ$71</f>
        <v>33.835997905045303</v>
      </c>
      <c r="AK42" s="20">
        <f ca="1">'TR TUSD'!$AK$42*'TR TUSD'!$AK$71</f>
        <v>9.3189588661267155</v>
      </c>
      <c r="AL42" s="20">
        <f ca="1">SUM($AH$42:$AK$42)</f>
        <v>83.184258264678917</v>
      </c>
      <c r="AM42" s="20">
        <f ca="1">SUMIF($L$4:$AL$4,"SUBTOTAL",$L$42:$AL$42)</f>
        <v>790.43226495884335</v>
      </c>
      <c r="AP42" s="20">
        <f>IF((1 - CUSTOS!$M$28)&lt;&gt;0,1/(1 - CUSTOS!$M$28),1)</f>
        <v>1</v>
      </c>
    </row>
    <row r="43" spans="1:42" ht="11.25" customHeight="1" x14ac:dyDescent="0.25">
      <c r="A43" s="136"/>
      <c r="B43" s="136"/>
      <c r="C43" s="136"/>
      <c r="D43" s="136"/>
      <c r="E43" s="136"/>
      <c r="F43" s="136"/>
      <c r="G43" s="21" t="s">
        <v>92</v>
      </c>
      <c r="H43" s="21" t="s">
        <v>90</v>
      </c>
      <c r="I43" s="21">
        <f>'MERCADO TUSD'!$U$40</f>
        <v>8.956999999999999</v>
      </c>
      <c r="J43" s="17"/>
      <c r="L43" s="20">
        <f>'TR TUSD'!$L$43*'TR TUSD'!$L$71</f>
        <v>15.04711566915239</v>
      </c>
      <c r="M43" s="20">
        <f>'TR TUSD'!$M$43*'TR TUSD'!$M$71</f>
        <v>0.88624533977151898</v>
      </c>
      <c r="N43" s="20">
        <f ca="1">'TR TUSD'!$N$43*'TR TUSD'!$N$71</f>
        <v>3.5541833048996372</v>
      </c>
      <c r="O43" s="20">
        <f>'TR TUSD'!$O$43*'TR TUSD'!$O$71</f>
        <v>-1.5285559498368537E-3</v>
      </c>
      <c r="P43" s="20">
        <f>'TR TUSD'!$P$43*'TR TUSD'!$P$71</f>
        <v>0</v>
      </c>
      <c r="Q43" s="20">
        <f>'TR TUSD'!$Q$43*'TR TUSD'!$Q$71</f>
        <v>37.43554716513178</v>
      </c>
      <c r="R43" s="20">
        <f>'TR TUSD'!$R$43*'TR TUSD'!$R$71</f>
        <v>14.687947346687571</v>
      </c>
      <c r="S43" s="20">
        <f>'TR TUSD'!$S$43*'TR TUSD'!$S$71</f>
        <v>0</v>
      </c>
      <c r="T43" s="20">
        <f ca="1">SUM($L$43:$S$43)</f>
        <v>71.609510269693061</v>
      </c>
      <c r="U43" s="20">
        <f>'TR TUSD'!$U$43*'TR TUSD'!$U$71</f>
        <v>31.331048568732268</v>
      </c>
      <c r="V43" s="20">
        <f>'TR TUSD'!$V$43*'TR TUSD'!$V$71</f>
        <v>6.1384285046189007</v>
      </c>
      <c r="W43" s="20">
        <f>'TR TUSD'!$W$43*'TR TUSD'!$W$71</f>
        <v>1.684196227680671</v>
      </c>
      <c r="X43" s="20">
        <f>'TR TUSD'!$X$43*'TR TUSD'!$X$71</f>
        <v>0</v>
      </c>
      <c r="Y43" s="20">
        <f>'TR TUSD'!$Y$43*'TR TUSD'!$Y$71</f>
        <v>1.0095139751910185</v>
      </c>
      <c r="Z43" s="20">
        <f>'TR TUSD'!$Z$43</f>
        <v>0</v>
      </c>
      <c r="AA43" s="20">
        <f>'TR TUSD'!$AA$43</f>
        <v>0</v>
      </c>
      <c r="AB43" s="20">
        <f>SUM($U$43:$AA$43)</f>
        <v>40.163187276222864</v>
      </c>
      <c r="AC43" s="20">
        <f>'TR TUSD'!$AC$43*'TR TUSD'!$AC$71</f>
        <v>170.42800538098879</v>
      </c>
      <c r="AD43" s="20">
        <f>SUM($AC$43:$AC$43)</f>
        <v>170.42800538098879</v>
      </c>
      <c r="AE43" s="20">
        <v>0</v>
      </c>
      <c r="AF43" s="20">
        <v>0</v>
      </c>
      <c r="AG43" s="20">
        <f>SUM($AE$43:$AF$43)</f>
        <v>0</v>
      </c>
      <c r="AH43" s="20">
        <f>'TR TUSD'!$AH$43*'TR TUSD'!$AH$71</f>
        <v>37.844009988985107</v>
      </c>
      <c r="AI43" s="20">
        <f>'TR TUSD'!$AI$43*'TR TUSD'!$AI$71</f>
        <v>2.1852915045217935</v>
      </c>
      <c r="AJ43" s="20">
        <f ca="1">'TR TUSD'!$AJ$43*'TR TUSD'!$AJ$71</f>
        <v>33.835997905045303</v>
      </c>
      <c r="AK43" s="20">
        <f ca="1">'TR TUSD'!$AK$43*'TR TUSD'!$AK$71</f>
        <v>9.3189588661267155</v>
      </c>
      <c r="AL43" s="20">
        <f ca="1">SUM($AH$43:$AK$43)</f>
        <v>83.184258264678917</v>
      </c>
      <c r="AM43" s="20">
        <f ca="1">SUMIF($L$4:$AL$4,"SUBTOTAL",$L$43:$AL$43)</f>
        <v>365.38496119158361</v>
      </c>
      <c r="AP43" s="20">
        <f>IF((1 - CUSTOS!$M$28)&lt;&gt;0,1/(1 - CUSTOS!$M$28),1)</f>
        <v>1</v>
      </c>
    </row>
    <row r="44" spans="1:42" ht="11.25" customHeight="1" x14ac:dyDescent="0.25">
      <c r="A44" s="136"/>
      <c r="B44" s="22" t="s">
        <v>23</v>
      </c>
      <c r="C44" s="22" t="s">
        <v>45</v>
      </c>
      <c r="D44" s="22" t="s">
        <v>25</v>
      </c>
      <c r="E44" s="22" t="s">
        <v>25</v>
      </c>
      <c r="F44" s="22" t="s">
        <v>25</v>
      </c>
      <c r="G44" s="21" t="s">
        <v>96</v>
      </c>
      <c r="H44" s="21" t="s">
        <v>90</v>
      </c>
      <c r="I44" s="21">
        <f>'MERCADO TUSD'!$U$41</f>
        <v>60904.316999999995</v>
      </c>
      <c r="J44" s="17"/>
      <c r="L44" s="20">
        <f>'TR TUSD'!$L$44*'TR TUSD'!$L$71</f>
        <v>15.04711566915239</v>
      </c>
      <c r="M44" s="20">
        <f>'TR TUSD'!$M$44*'TR TUSD'!$M$71</f>
        <v>0.88624533977151898</v>
      </c>
      <c r="N44" s="20">
        <f ca="1">'TR TUSD'!$N$44*'TR TUSD'!$N$71</f>
        <v>4.5496750950127618</v>
      </c>
      <c r="O44" s="20">
        <f>'TR TUSD'!$O$44*'TR TUSD'!$O$71</f>
        <v>-1.5285559498368537E-3</v>
      </c>
      <c r="P44" s="20">
        <f>'TR TUSD'!$P$44*'TR TUSD'!$P$71</f>
        <v>0</v>
      </c>
      <c r="Q44" s="20">
        <f>'TR TUSD'!$Q$44*'TR TUSD'!$Q$71</f>
        <v>37.43554716513178</v>
      </c>
      <c r="R44" s="20">
        <f>'TR TUSD'!$R$44*'TR TUSD'!$R$71</f>
        <v>14.687947346687571</v>
      </c>
      <c r="S44" s="20">
        <f>'TR TUSD'!$S$44*'TR TUSD'!$S$71</f>
        <v>0</v>
      </c>
      <c r="T44" s="20">
        <f ca="1">SUM($L$44:$S$44)</f>
        <v>72.605002059806182</v>
      </c>
      <c r="U44" s="20">
        <f>'TR TUSD'!$U$44*'TR TUSD'!$U$71</f>
        <v>47.471187507292441</v>
      </c>
      <c r="V44" s="20">
        <f>'TR TUSD'!$V$44*'TR TUSD'!$V$71</f>
        <v>9.3005712238416258</v>
      </c>
      <c r="W44" s="20">
        <f>'TR TUSD'!$W$44*'TR TUSD'!$W$71</f>
        <v>2.5517299605470694</v>
      </c>
      <c r="X44" s="20">
        <f>'TR TUSD'!$X$44*'TR TUSD'!$X$71</f>
        <v>0</v>
      </c>
      <c r="Y44" s="20">
        <f>'TR TUSD'!$Y$44*'TR TUSD'!$Y$71</f>
        <v>1.5295851917791099</v>
      </c>
      <c r="Z44" s="20">
        <f>'TR TUSD'!$Z$44</f>
        <v>0</v>
      </c>
      <c r="AA44" s="20">
        <f>'TR TUSD'!$AA$44</f>
        <v>0</v>
      </c>
      <c r="AB44" s="20">
        <f>SUM($U$44:$AA$44)</f>
        <v>60.853073883460254</v>
      </c>
      <c r="AC44" s="20">
        <f>'TR TUSD'!$AC$44*'TR TUSD'!$AC$71</f>
        <v>258.22429854792188</v>
      </c>
      <c r="AD44" s="20">
        <f>SUM($AC$44:$AC$44)</f>
        <v>258.22429854792188</v>
      </c>
      <c r="AE44" s="20">
        <v>0</v>
      </c>
      <c r="AF44" s="20">
        <v>0</v>
      </c>
      <c r="AG44" s="20">
        <f>SUM($AE$44:$AF$44)</f>
        <v>0</v>
      </c>
      <c r="AH44" s="20">
        <f>'TR TUSD'!$AH$44*'TR TUSD'!$AH$71</f>
        <v>37.844009988985107</v>
      </c>
      <c r="AI44" s="20">
        <f>'TR TUSD'!$AI$44*'TR TUSD'!$AI$71</f>
        <v>2.1852915045217935</v>
      </c>
      <c r="AJ44" s="20">
        <f ca="1">'TR TUSD'!$AJ$44*'TR TUSD'!$AJ$71</f>
        <v>33.835997905045303</v>
      </c>
      <c r="AK44" s="20">
        <f ca="1">'TR TUSD'!$AK$44*'TR TUSD'!$AK$71</f>
        <v>9.3189588661267155</v>
      </c>
      <c r="AL44" s="20">
        <f ca="1">SUM($AH$44:$AK$44)</f>
        <v>83.184258264678917</v>
      </c>
      <c r="AM44" s="20">
        <f ca="1">SUMIF($L$4:$AL$4,"SUBTOTAL",$L$44:$AL$44)</f>
        <v>474.86663275586722</v>
      </c>
      <c r="AP44" s="20">
        <f>IF((1 - CUSTOS!$M$28)&lt;&gt;0,1/(1 - CUSTOS!$M$28),1)</f>
        <v>1</v>
      </c>
    </row>
    <row r="45" spans="1:42" ht="11.25" customHeight="1" x14ac:dyDescent="0.25">
      <c r="A45" s="136"/>
      <c r="B45" s="136" t="s">
        <v>37</v>
      </c>
      <c r="C45" s="136" t="s">
        <v>45</v>
      </c>
      <c r="D45" s="136" t="s">
        <v>104</v>
      </c>
      <c r="E45" s="136" t="s">
        <v>25</v>
      </c>
      <c r="F45" s="136" t="s">
        <v>25</v>
      </c>
      <c r="G45" s="21" t="s">
        <v>91</v>
      </c>
      <c r="H45" s="21" t="s">
        <v>90</v>
      </c>
      <c r="I45" s="21">
        <f>'MERCADO TUSD'!$U$42</f>
        <v>0</v>
      </c>
      <c r="J45" s="17"/>
      <c r="L45" s="20">
        <f>'TR TUSD'!$L$45*'TR TUSD'!$L$71</f>
        <v>15.04711566915239</v>
      </c>
      <c r="M45" s="20">
        <f>'TR TUSD'!$M$45*'TR TUSD'!$M$71</f>
        <v>0.88624533977151898</v>
      </c>
      <c r="N45" s="20">
        <f ca="1">'TR TUSD'!$N$45*'TR TUSD'!$N$71</f>
        <v>11.28389467463805</v>
      </c>
      <c r="O45" s="20">
        <f>'TR TUSD'!$O$45*'TR TUSD'!$O$71</f>
        <v>-1.5285559498368537E-3</v>
      </c>
      <c r="P45" s="20">
        <f>'TR TUSD'!$P$45*'TR TUSD'!$P$71</f>
        <v>0</v>
      </c>
      <c r="Q45" s="20">
        <f>'TR TUSD'!$Q$45*'TR TUSD'!$Q$71</f>
        <v>37.43554716513178</v>
      </c>
      <c r="R45" s="20">
        <f>'TR TUSD'!$R$45*'TR TUSD'!$R$71</f>
        <v>14.687947346687571</v>
      </c>
      <c r="S45" s="20">
        <f>'TR TUSD'!$S$45*'TR TUSD'!$S$71</f>
        <v>0</v>
      </c>
      <c r="T45" s="20">
        <f ca="1">SUM($L$45:$S$45)</f>
        <v>79.339221639431472</v>
      </c>
      <c r="U45" s="20">
        <f>'TR TUSD'!$U$45*'TR TUSD'!$U$71</f>
        <v>156.65494823493745</v>
      </c>
      <c r="V45" s="20">
        <f>'TR TUSD'!$V$45*'TR TUSD'!$V$71</f>
        <v>30.691908446351654</v>
      </c>
      <c r="W45" s="20">
        <f>'TR TUSD'!$W$45*'TR TUSD'!$W$71</f>
        <v>8.4208378391412371</v>
      </c>
      <c r="X45" s="20">
        <f>'TR TUSD'!$X$45*'TR TUSD'!$X$71</f>
        <v>0</v>
      </c>
      <c r="Y45" s="20">
        <f>'TR TUSD'!$Y$45*'TR TUSD'!$Y$71</f>
        <v>5.0477740656749939</v>
      </c>
      <c r="Z45" s="20">
        <f>'TR TUSD'!$Z$45</f>
        <v>0</v>
      </c>
      <c r="AA45" s="20">
        <f>'TR TUSD'!$AA$45</f>
        <v>0</v>
      </c>
      <c r="AB45" s="20">
        <f>SUM($U$45:$AA$45)</f>
        <v>200.81546858610531</v>
      </c>
      <c r="AC45" s="20">
        <f>'TR TUSD'!$AC$45*'TR TUSD'!$AC$71</f>
        <v>852.14027044832585</v>
      </c>
      <c r="AD45" s="20">
        <f>SUM($AC$45:$AC$45)</f>
        <v>852.14027044832585</v>
      </c>
      <c r="AE45" s="20">
        <v>0</v>
      </c>
      <c r="AF45" s="20">
        <v>0</v>
      </c>
      <c r="AG45" s="20">
        <f>SUM($AE$45:$AF$45)</f>
        <v>0</v>
      </c>
      <c r="AH45" s="20">
        <f>'TR TUSD'!$AH$45*'TR TUSD'!$AH$71</f>
        <v>37.844009988985107</v>
      </c>
      <c r="AI45" s="20">
        <f>'TR TUSD'!$AI$45*'TR TUSD'!$AI$71</f>
        <v>2.1852915045217935</v>
      </c>
      <c r="AJ45" s="20">
        <f ca="1">'TR TUSD'!$AJ$45*'TR TUSD'!$AJ$71</f>
        <v>33.835997905045303</v>
      </c>
      <c r="AK45" s="20">
        <f ca="1">'TR TUSD'!$AK$45*'TR TUSD'!$AK$71</f>
        <v>9.3189588661267155</v>
      </c>
      <c r="AL45" s="20">
        <f ca="1">SUM($AH$45:$AK$45)</f>
        <v>83.184258264678917</v>
      </c>
      <c r="AM45" s="20">
        <f ca="1">SUMIF($L$4:$AL$4,"SUBTOTAL",$L$45:$AL$45)</f>
        <v>1215.4792189385414</v>
      </c>
      <c r="AP45" s="20">
        <f>IF((1 - CUSTOS!$M$29)&lt;&gt;0,1/(1 - CUSTOS!$M$29),1)</f>
        <v>1</v>
      </c>
    </row>
    <row r="46" spans="1:42" ht="11.25" customHeight="1" x14ac:dyDescent="0.25">
      <c r="A46" s="136"/>
      <c r="B46" s="136"/>
      <c r="C46" s="136"/>
      <c r="D46" s="136"/>
      <c r="E46" s="136"/>
      <c r="F46" s="136"/>
      <c r="G46" s="21" t="s">
        <v>101</v>
      </c>
      <c r="H46" s="21" t="s">
        <v>90</v>
      </c>
      <c r="I46" s="21">
        <f>'MERCADO TUSD'!$U$43</f>
        <v>0</v>
      </c>
      <c r="J46" s="17"/>
      <c r="L46" s="20">
        <f>'TR TUSD'!$L$46*'TR TUSD'!$L$71</f>
        <v>15.04711566915239</v>
      </c>
      <c r="M46" s="20">
        <f>'TR TUSD'!$M$46*'TR TUSD'!$M$71</f>
        <v>0.88624533977151898</v>
      </c>
      <c r="N46" s="20">
        <f ca="1">'TR TUSD'!$N$46*'TR TUSD'!$N$71</f>
        <v>7.4190401390585858</v>
      </c>
      <c r="O46" s="20">
        <f>'TR TUSD'!$O$46*'TR TUSD'!$O$71</f>
        <v>-1.5285559498368537E-3</v>
      </c>
      <c r="P46" s="20">
        <f>'TR TUSD'!$P$46*'TR TUSD'!$P$71</f>
        <v>0</v>
      </c>
      <c r="Q46" s="20">
        <f>'TR TUSD'!$Q$46*'TR TUSD'!$Q$71</f>
        <v>37.43554716513178</v>
      </c>
      <c r="R46" s="20">
        <f>'TR TUSD'!$R$46*'TR TUSD'!$R$71</f>
        <v>14.687947346687571</v>
      </c>
      <c r="S46" s="20">
        <f>'TR TUSD'!$S$46*'TR TUSD'!$S$71</f>
        <v>0</v>
      </c>
      <c r="T46" s="20">
        <f ca="1">SUM($L$46:$S$46)</f>
        <v>75.474367103852003</v>
      </c>
      <c r="U46" s="20">
        <f>'TR TUSD'!$U$46*'TR TUSD'!$U$71</f>
        <v>93.992998401834868</v>
      </c>
      <c r="V46" s="20">
        <f>'TR TUSD'!$V$46*'TR TUSD'!$V$71</f>
        <v>18.415168475485277</v>
      </c>
      <c r="W46" s="20">
        <f>'TR TUSD'!$W$46*'TR TUSD'!$W$71</f>
        <v>5.0525886830420133</v>
      </c>
      <c r="X46" s="20">
        <f>'TR TUSD'!$X$46*'TR TUSD'!$X$71</f>
        <v>0</v>
      </c>
      <c r="Y46" s="20">
        <f>'TR TUSD'!$Y$46*'TR TUSD'!$Y$71</f>
        <v>3.0287461152929569</v>
      </c>
      <c r="Z46" s="20">
        <f>'TR TUSD'!$Z$46</f>
        <v>0</v>
      </c>
      <c r="AA46" s="20">
        <f>'TR TUSD'!$AA$46</f>
        <v>0</v>
      </c>
      <c r="AB46" s="20">
        <f>SUM($U$46:$AA$46)</f>
        <v>120.48950167565512</v>
      </c>
      <c r="AC46" s="20">
        <f>'TR TUSD'!$AC$46*'TR TUSD'!$AC$71</f>
        <v>511.28413791465732</v>
      </c>
      <c r="AD46" s="20">
        <f>SUM($AC$46:$AC$46)</f>
        <v>511.28413791465732</v>
      </c>
      <c r="AE46" s="20">
        <v>0</v>
      </c>
      <c r="AF46" s="20">
        <v>0</v>
      </c>
      <c r="AG46" s="20">
        <f>SUM($AE$46:$AF$46)</f>
        <v>0</v>
      </c>
      <c r="AH46" s="20">
        <f>'TR TUSD'!$AH$46*'TR TUSD'!$AH$71</f>
        <v>37.844009988985107</v>
      </c>
      <c r="AI46" s="20">
        <f>'TR TUSD'!$AI$46*'TR TUSD'!$AI$71</f>
        <v>2.1852915045217935</v>
      </c>
      <c r="AJ46" s="20">
        <f ca="1">'TR TUSD'!$AJ$46*'TR TUSD'!$AJ$71</f>
        <v>33.835997905045303</v>
      </c>
      <c r="AK46" s="20">
        <f ca="1">'TR TUSD'!$AK$46*'TR TUSD'!$AK$71</f>
        <v>9.3189588661267155</v>
      </c>
      <c r="AL46" s="20">
        <f ca="1">SUM($AH$46:$AK$46)</f>
        <v>83.184258264678917</v>
      </c>
      <c r="AM46" s="20">
        <f ca="1">SUMIF($L$4:$AL$4,"SUBTOTAL",$L$46:$AL$46)</f>
        <v>790.43226495884335</v>
      </c>
      <c r="AP46" s="20">
        <f>IF((1 - CUSTOS!$M$29)&lt;&gt;0,1/(1 - CUSTOS!$M$29),1)</f>
        <v>1</v>
      </c>
    </row>
    <row r="47" spans="1:42" ht="11.25" customHeight="1" x14ac:dyDescent="0.25">
      <c r="A47" s="136"/>
      <c r="B47" s="136"/>
      <c r="C47" s="136"/>
      <c r="D47" s="136"/>
      <c r="E47" s="136"/>
      <c r="F47" s="136"/>
      <c r="G47" s="21" t="s">
        <v>92</v>
      </c>
      <c r="H47" s="21" t="s">
        <v>90</v>
      </c>
      <c r="I47" s="21">
        <f>'MERCADO TUSD'!$U$44</f>
        <v>0</v>
      </c>
      <c r="J47" s="17"/>
      <c r="L47" s="20">
        <f>'TR TUSD'!$L$47*'TR TUSD'!$L$71</f>
        <v>15.04711566915239</v>
      </c>
      <c r="M47" s="20">
        <f>'TR TUSD'!$M$47*'TR TUSD'!$M$71</f>
        <v>0.88624533977151898</v>
      </c>
      <c r="N47" s="20">
        <f ca="1">'TR TUSD'!$N$47*'TR TUSD'!$N$71</f>
        <v>3.5541833048996372</v>
      </c>
      <c r="O47" s="20">
        <f>'TR TUSD'!$O$47*'TR TUSD'!$O$71</f>
        <v>-1.5285559498368537E-3</v>
      </c>
      <c r="P47" s="20">
        <f>'TR TUSD'!$P$47*'TR TUSD'!$P$71</f>
        <v>0</v>
      </c>
      <c r="Q47" s="20">
        <f>'TR TUSD'!$Q$47*'TR TUSD'!$Q$71</f>
        <v>37.43554716513178</v>
      </c>
      <c r="R47" s="20">
        <f>'TR TUSD'!$R$47*'TR TUSD'!$R$71</f>
        <v>14.687947346687571</v>
      </c>
      <c r="S47" s="20">
        <f>'TR TUSD'!$S$47*'TR TUSD'!$S$71</f>
        <v>0</v>
      </c>
      <c r="T47" s="20">
        <f ca="1">SUM($L$47:$S$47)</f>
        <v>71.609510269693061</v>
      </c>
      <c r="U47" s="20">
        <f>'TR TUSD'!$U$47*'TR TUSD'!$U$71</f>
        <v>31.331048568732268</v>
      </c>
      <c r="V47" s="20">
        <f>'TR TUSD'!$V$47*'TR TUSD'!$V$71</f>
        <v>6.1384285046189007</v>
      </c>
      <c r="W47" s="20">
        <f>'TR TUSD'!$W$47*'TR TUSD'!$W$71</f>
        <v>1.684196227680671</v>
      </c>
      <c r="X47" s="20">
        <f>'TR TUSD'!$X$47*'TR TUSD'!$X$71</f>
        <v>0</v>
      </c>
      <c r="Y47" s="20">
        <f>'TR TUSD'!$Y$47*'TR TUSD'!$Y$71</f>
        <v>1.0095139751910185</v>
      </c>
      <c r="Z47" s="20">
        <f>'TR TUSD'!$Z$47</f>
        <v>0</v>
      </c>
      <c r="AA47" s="20">
        <f>'TR TUSD'!$AA$47</f>
        <v>0</v>
      </c>
      <c r="AB47" s="20">
        <f>SUM($U$47:$AA$47)</f>
        <v>40.163187276222864</v>
      </c>
      <c r="AC47" s="20">
        <f>'TR TUSD'!$AC$47*'TR TUSD'!$AC$71</f>
        <v>170.42800538098879</v>
      </c>
      <c r="AD47" s="20">
        <f>SUM($AC$47:$AC$47)</f>
        <v>170.42800538098879</v>
      </c>
      <c r="AE47" s="20">
        <v>0</v>
      </c>
      <c r="AF47" s="20">
        <v>0</v>
      </c>
      <c r="AG47" s="20">
        <f>SUM($AE$47:$AF$47)</f>
        <v>0</v>
      </c>
      <c r="AH47" s="20">
        <f>'TR TUSD'!$AH$47*'TR TUSD'!$AH$71</f>
        <v>37.844009988985107</v>
      </c>
      <c r="AI47" s="20">
        <f>'TR TUSD'!$AI$47*'TR TUSD'!$AI$71</f>
        <v>2.1852915045217935</v>
      </c>
      <c r="AJ47" s="20">
        <f ca="1">'TR TUSD'!$AJ$47*'TR TUSD'!$AJ$71</f>
        <v>33.835997905045303</v>
      </c>
      <c r="AK47" s="20">
        <f ca="1">'TR TUSD'!$AK$47*'TR TUSD'!$AK$71</f>
        <v>9.3189588661267155</v>
      </c>
      <c r="AL47" s="20">
        <f ca="1">SUM($AH$47:$AK$47)</f>
        <v>83.184258264678917</v>
      </c>
      <c r="AM47" s="20">
        <f ca="1">SUMIF($L$4:$AL$4,"SUBTOTAL",$L$47:$AL$47)</f>
        <v>365.38496119158361</v>
      </c>
      <c r="AP47" s="20">
        <f>IF((1 - CUSTOS!$M$29)&lt;&gt;0,1/(1 - CUSTOS!$M$29),1)</f>
        <v>1</v>
      </c>
    </row>
    <row r="48" spans="1:42" ht="11.25" customHeight="1" x14ac:dyDescent="0.25">
      <c r="A48" s="136"/>
      <c r="B48" s="22" t="s">
        <v>23</v>
      </c>
      <c r="C48" s="22" t="s">
        <v>45</v>
      </c>
      <c r="D48" s="22" t="s">
        <v>104</v>
      </c>
      <c r="E48" s="22" t="s">
        <v>25</v>
      </c>
      <c r="F48" s="22" t="s">
        <v>25</v>
      </c>
      <c r="G48" s="21" t="s">
        <v>96</v>
      </c>
      <c r="H48" s="21" t="s">
        <v>90</v>
      </c>
      <c r="I48" s="21">
        <f>'MERCADO TUSD'!$U$45</f>
        <v>0</v>
      </c>
      <c r="J48" s="17"/>
      <c r="L48" s="20">
        <f>'TR TUSD'!$L$48*'TR TUSD'!$L$71</f>
        <v>15.04711566915239</v>
      </c>
      <c r="M48" s="20">
        <f>'TR TUSD'!$M$48*'TR TUSD'!$M$71</f>
        <v>0.88624533977151898</v>
      </c>
      <c r="N48" s="20">
        <f ca="1">'TR TUSD'!$N$48*'TR TUSD'!$N$71</f>
        <v>4.5496750950127618</v>
      </c>
      <c r="O48" s="20">
        <f>'TR TUSD'!$O$48*'TR TUSD'!$O$71</f>
        <v>-1.5285559498368537E-3</v>
      </c>
      <c r="P48" s="20">
        <f>'TR TUSD'!$P$48*'TR TUSD'!$P$71</f>
        <v>0</v>
      </c>
      <c r="Q48" s="20">
        <f>'TR TUSD'!$Q$48*'TR TUSD'!$Q$71</f>
        <v>37.43554716513178</v>
      </c>
      <c r="R48" s="20">
        <f>'TR TUSD'!$R$48*'TR TUSD'!$R$71</f>
        <v>14.687947346687571</v>
      </c>
      <c r="S48" s="20">
        <f>'TR TUSD'!$S$48*'TR TUSD'!$S$71</f>
        <v>0</v>
      </c>
      <c r="T48" s="20">
        <f ca="1">SUM($L$48:$S$48)</f>
        <v>72.605002059806182</v>
      </c>
      <c r="U48" s="20">
        <f>'TR TUSD'!$U$48*'TR TUSD'!$U$71</f>
        <v>47.471187507292441</v>
      </c>
      <c r="V48" s="20">
        <f>'TR TUSD'!$V$48*'TR TUSD'!$V$71</f>
        <v>9.3005712238416258</v>
      </c>
      <c r="W48" s="20">
        <f>'TR TUSD'!$W$48*'TR TUSD'!$W$71</f>
        <v>2.5517299605470694</v>
      </c>
      <c r="X48" s="20">
        <f>'TR TUSD'!$X$48*'TR TUSD'!$X$71</f>
        <v>0</v>
      </c>
      <c r="Y48" s="20">
        <f>'TR TUSD'!$Y$48*'TR TUSD'!$Y$71</f>
        <v>1.5295851917791099</v>
      </c>
      <c r="Z48" s="20">
        <f>'TR TUSD'!$Z$48</f>
        <v>0</v>
      </c>
      <c r="AA48" s="20">
        <f>'TR TUSD'!$AA$48</f>
        <v>0</v>
      </c>
      <c r="AB48" s="20">
        <f>SUM($U$48:$AA$48)</f>
        <v>60.853073883460254</v>
      </c>
      <c r="AC48" s="20">
        <f>'TR TUSD'!$AC$48*'TR TUSD'!$AC$71</f>
        <v>258.22429854792188</v>
      </c>
      <c r="AD48" s="20">
        <f>SUM($AC$48:$AC$48)</f>
        <v>258.22429854792188</v>
      </c>
      <c r="AE48" s="20">
        <v>0</v>
      </c>
      <c r="AF48" s="20">
        <v>0</v>
      </c>
      <c r="AG48" s="20">
        <f>SUM($AE$48:$AF$48)</f>
        <v>0</v>
      </c>
      <c r="AH48" s="20">
        <f>'TR TUSD'!$AH$48*'TR TUSD'!$AH$71</f>
        <v>37.844009988985107</v>
      </c>
      <c r="AI48" s="20">
        <f>'TR TUSD'!$AI$48*'TR TUSD'!$AI$71</f>
        <v>2.1852915045217935</v>
      </c>
      <c r="AJ48" s="20">
        <f ca="1">'TR TUSD'!$AJ$48*'TR TUSD'!$AJ$71</f>
        <v>33.835997905045303</v>
      </c>
      <c r="AK48" s="20">
        <f ca="1">'TR TUSD'!$AK$48*'TR TUSD'!$AK$71</f>
        <v>9.3189588661267155</v>
      </c>
      <c r="AL48" s="20">
        <f ca="1">SUM($AH$48:$AK$48)</f>
        <v>83.184258264678917</v>
      </c>
      <c r="AM48" s="20">
        <f ca="1">SUMIF($L$4:$AL$4,"SUBTOTAL",$L$48:$AL$48)</f>
        <v>474.86663275586722</v>
      </c>
      <c r="AP48" s="20">
        <f>IF((1 - CUSTOS!$M$29)&lt;&gt;0,1/(1 - CUSTOS!$M$29),1)</f>
        <v>1</v>
      </c>
    </row>
    <row r="49" spans="1:42" ht="11.25" customHeight="1" x14ac:dyDescent="0.25">
      <c r="A49" s="136"/>
      <c r="B49" s="136" t="s">
        <v>37</v>
      </c>
      <c r="C49" s="136" t="s">
        <v>45</v>
      </c>
      <c r="D49" s="136" t="s">
        <v>105</v>
      </c>
      <c r="E49" s="136" t="s">
        <v>25</v>
      </c>
      <c r="F49" s="136" t="s">
        <v>25</v>
      </c>
      <c r="G49" s="21" t="s">
        <v>91</v>
      </c>
      <c r="H49" s="21" t="s">
        <v>90</v>
      </c>
      <c r="I49" s="21">
        <f>'MERCADO TUSD'!$U$46</f>
        <v>0</v>
      </c>
      <c r="J49" s="17"/>
      <c r="L49" s="20">
        <f>'TR TUSD'!$L$49*'TR TUSD'!$L$71</f>
        <v>15.04711566915239</v>
      </c>
      <c r="M49" s="20">
        <f>'TR TUSD'!$M$49*'TR TUSD'!$M$71</f>
        <v>0.88624533977151898</v>
      </c>
      <c r="N49" s="20">
        <f ca="1">'TR TUSD'!$N$49*'TR TUSD'!$N$71</f>
        <v>11.28389467463805</v>
      </c>
      <c r="O49" s="20">
        <f>'TR TUSD'!$O$49*'TR TUSD'!$O$71</f>
        <v>-1.5285559498368537E-3</v>
      </c>
      <c r="P49" s="20">
        <f>'TR TUSD'!$P$49*'TR TUSD'!$P$71</f>
        <v>0</v>
      </c>
      <c r="Q49" s="20">
        <f>'TR TUSD'!$Q$49*'TR TUSD'!$Q$71</f>
        <v>37.43554716513178</v>
      </c>
      <c r="R49" s="20">
        <f>'TR TUSD'!$R$49*'TR TUSD'!$R$71</f>
        <v>14.687947346687571</v>
      </c>
      <c r="S49" s="20">
        <f>'TR TUSD'!$S$49*'TR TUSD'!$S$71</f>
        <v>0</v>
      </c>
      <c r="T49" s="20">
        <f ca="1">SUM($L$49:$S$49)</f>
        <v>79.339221639431472</v>
      </c>
      <c r="U49" s="20">
        <f>'TR TUSD'!$U$49*'TR TUSD'!$U$71</f>
        <v>156.65494823493745</v>
      </c>
      <c r="V49" s="20">
        <f>'TR TUSD'!$V$49*'TR TUSD'!$V$71</f>
        <v>30.691908446351654</v>
      </c>
      <c r="W49" s="20">
        <f>'TR TUSD'!$W$49*'TR TUSD'!$W$71</f>
        <v>8.4208378391412371</v>
      </c>
      <c r="X49" s="20">
        <f>'TR TUSD'!$X$49*'TR TUSD'!$X$71</f>
        <v>0</v>
      </c>
      <c r="Y49" s="20">
        <f>'TR TUSD'!$Y$49*'TR TUSD'!$Y$71</f>
        <v>5.0477740656749939</v>
      </c>
      <c r="Z49" s="20">
        <f>'TR TUSD'!$Z$49</f>
        <v>0</v>
      </c>
      <c r="AA49" s="20">
        <f>'TR TUSD'!$AA$49</f>
        <v>0</v>
      </c>
      <c r="AB49" s="20">
        <f>SUM($U$49:$AA$49)</f>
        <v>200.81546858610531</v>
      </c>
      <c r="AC49" s="20">
        <f>'TR TUSD'!$AC$49*'TR TUSD'!$AC$71</f>
        <v>852.14027044832585</v>
      </c>
      <c r="AD49" s="20">
        <f>SUM($AC$49:$AC$49)</f>
        <v>852.14027044832585</v>
      </c>
      <c r="AE49" s="20">
        <v>0</v>
      </c>
      <c r="AF49" s="20">
        <v>0</v>
      </c>
      <c r="AG49" s="20">
        <f>SUM($AE$49:$AF$49)</f>
        <v>0</v>
      </c>
      <c r="AH49" s="20">
        <f>'TR TUSD'!$AH$49*'TR TUSD'!$AH$71</f>
        <v>37.844009988985107</v>
      </c>
      <c r="AI49" s="20">
        <f>'TR TUSD'!$AI$49*'TR TUSD'!$AI$71</f>
        <v>2.1852915045217935</v>
      </c>
      <c r="AJ49" s="20">
        <f ca="1">'TR TUSD'!$AJ$49*'TR TUSD'!$AJ$71</f>
        <v>33.835997905045303</v>
      </c>
      <c r="AK49" s="20">
        <f ca="1">'TR TUSD'!$AK$49*'TR TUSD'!$AK$71</f>
        <v>9.3189588661267155</v>
      </c>
      <c r="AL49" s="20">
        <f ca="1">SUM($AH$49:$AK$49)</f>
        <v>83.184258264678917</v>
      </c>
      <c r="AM49" s="20">
        <f ca="1">SUMIF($L$4:$AL$4,"SUBTOTAL",$L$49:$AL$49)</f>
        <v>1215.4792189385414</v>
      </c>
      <c r="AP49" s="20">
        <f>IF((1 - CUSTOS!$M$30)&lt;&gt;0,1/(1 - CUSTOS!$M$30),1)</f>
        <v>1</v>
      </c>
    </row>
    <row r="50" spans="1:42" ht="11.25" customHeight="1" x14ac:dyDescent="0.25">
      <c r="A50" s="136"/>
      <c r="B50" s="136"/>
      <c r="C50" s="136"/>
      <c r="D50" s="136"/>
      <c r="E50" s="136"/>
      <c r="F50" s="136"/>
      <c r="G50" s="21" t="s">
        <v>101</v>
      </c>
      <c r="H50" s="21" t="s">
        <v>90</v>
      </c>
      <c r="I50" s="21">
        <f>'MERCADO TUSD'!$U$47</f>
        <v>0</v>
      </c>
      <c r="J50" s="17"/>
      <c r="L50" s="20">
        <f>'TR TUSD'!$L$50*'TR TUSD'!$L$71</f>
        <v>15.04711566915239</v>
      </c>
      <c r="M50" s="20">
        <f>'TR TUSD'!$M$50*'TR TUSD'!$M$71</f>
        <v>0.88624533977151898</v>
      </c>
      <c r="N50" s="20">
        <f ca="1">'TR TUSD'!$N$50*'TR TUSD'!$N$71</f>
        <v>7.4190401390585858</v>
      </c>
      <c r="O50" s="20">
        <f>'TR TUSD'!$O$50*'TR TUSD'!$O$71</f>
        <v>-1.5285559498368537E-3</v>
      </c>
      <c r="P50" s="20">
        <f>'TR TUSD'!$P$50*'TR TUSD'!$P$71</f>
        <v>0</v>
      </c>
      <c r="Q50" s="20">
        <f>'TR TUSD'!$Q$50*'TR TUSD'!$Q$71</f>
        <v>37.43554716513178</v>
      </c>
      <c r="R50" s="20">
        <f>'TR TUSD'!$R$50*'TR TUSD'!$R$71</f>
        <v>14.687947346687571</v>
      </c>
      <c r="S50" s="20">
        <f>'TR TUSD'!$S$50*'TR TUSD'!$S$71</f>
        <v>0</v>
      </c>
      <c r="T50" s="20">
        <f ca="1">SUM($L$50:$S$50)</f>
        <v>75.474367103852003</v>
      </c>
      <c r="U50" s="20">
        <f>'TR TUSD'!$U$50*'TR TUSD'!$U$71</f>
        <v>93.992998401834868</v>
      </c>
      <c r="V50" s="20">
        <f>'TR TUSD'!$V$50*'TR TUSD'!$V$71</f>
        <v>18.415168475485277</v>
      </c>
      <c r="W50" s="20">
        <f>'TR TUSD'!$W$50*'TR TUSD'!$W$71</f>
        <v>5.0525886830420133</v>
      </c>
      <c r="X50" s="20">
        <f>'TR TUSD'!$X$50*'TR TUSD'!$X$71</f>
        <v>0</v>
      </c>
      <c r="Y50" s="20">
        <f>'TR TUSD'!$Y$50*'TR TUSD'!$Y$71</f>
        <v>3.0287461152929569</v>
      </c>
      <c r="Z50" s="20">
        <f>'TR TUSD'!$Z$50</f>
        <v>0</v>
      </c>
      <c r="AA50" s="20">
        <f>'TR TUSD'!$AA$50</f>
        <v>0</v>
      </c>
      <c r="AB50" s="20">
        <f>SUM($U$50:$AA$50)</f>
        <v>120.48950167565512</v>
      </c>
      <c r="AC50" s="20">
        <f>'TR TUSD'!$AC$50*'TR TUSD'!$AC$71</f>
        <v>511.28413791465732</v>
      </c>
      <c r="AD50" s="20">
        <f>SUM($AC$50:$AC$50)</f>
        <v>511.28413791465732</v>
      </c>
      <c r="AE50" s="20">
        <v>0</v>
      </c>
      <c r="AF50" s="20">
        <v>0</v>
      </c>
      <c r="AG50" s="20">
        <f>SUM($AE$50:$AF$50)</f>
        <v>0</v>
      </c>
      <c r="AH50" s="20">
        <f>'TR TUSD'!$AH$50*'TR TUSD'!$AH$71</f>
        <v>37.844009988985107</v>
      </c>
      <c r="AI50" s="20">
        <f>'TR TUSD'!$AI$50*'TR TUSD'!$AI$71</f>
        <v>2.1852915045217935</v>
      </c>
      <c r="AJ50" s="20">
        <f ca="1">'TR TUSD'!$AJ$50*'TR TUSD'!$AJ$71</f>
        <v>33.835997905045303</v>
      </c>
      <c r="AK50" s="20">
        <f ca="1">'TR TUSD'!$AK$50*'TR TUSD'!$AK$71</f>
        <v>9.3189588661267155</v>
      </c>
      <c r="AL50" s="20">
        <f ca="1">SUM($AH$50:$AK$50)</f>
        <v>83.184258264678917</v>
      </c>
      <c r="AM50" s="20">
        <f ca="1">SUMIF($L$4:$AL$4,"SUBTOTAL",$L$50:$AL$50)</f>
        <v>790.43226495884335</v>
      </c>
      <c r="AP50" s="20">
        <f>IF((1 - CUSTOS!$M$30)&lt;&gt;0,1/(1 - CUSTOS!$M$30),1)</f>
        <v>1</v>
      </c>
    </row>
    <row r="51" spans="1:42" ht="11.25" customHeight="1" x14ac:dyDescent="0.25">
      <c r="A51" s="136"/>
      <c r="B51" s="136"/>
      <c r="C51" s="136"/>
      <c r="D51" s="136"/>
      <c r="E51" s="136"/>
      <c r="F51" s="136"/>
      <c r="G51" s="21" t="s">
        <v>92</v>
      </c>
      <c r="H51" s="21" t="s">
        <v>90</v>
      </c>
      <c r="I51" s="21">
        <f>'MERCADO TUSD'!$U$48</f>
        <v>0</v>
      </c>
      <c r="J51" s="17"/>
      <c r="L51" s="20">
        <f>'TR TUSD'!$L$51*'TR TUSD'!$L$71</f>
        <v>15.04711566915239</v>
      </c>
      <c r="M51" s="20">
        <f>'TR TUSD'!$M$51*'TR TUSD'!$M$71</f>
        <v>0.88624533977151898</v>
      </c>
      <c r="N51" s="20">
        <f ca="1">'TR TUSD'!$N$51*'TR TUSD'!$N$71</f>
        <v>3.5541833048996372</v>
      </c>
      <c r="O51" s="20">
        <f>'TR TUSD'!$O$51*'TR TUSD'!$O$71</f>
        <v>-1.5285559498368537E-3</v>
      </c>
      <c r="P51" s="20">
        <f>'TR TUSD'!$P$51*'TR TUSD'!$P$71</f>
        <v>0</v>
      </c>
      <c r="Q51" s="20">
        <f>'TR TUSD'!$Q$51*'TR TUSD'!$Q$71</f>
        <v>37.43554716513178</v>
      </c>
      <c r="R51" s="20">
        <f>'TR TUSD'!$R$51*'TR TUSD'!$R$71</f>
        <v>14.687947346687571</v>
      </c>
      <c r="S51" s="20">
        <f>'TR TUSD'!$S$51*'TR TUSD'!$S$71</f>
        <v>0</v>
      </c>
      <c r="T51" s="20">
        <f ca="1">SUM($L$51:$S$51)</f>
        <v>71.609510269693061</v>
      </c>
      <c r="U51" s="20">
        <f>'TR TUSD'!$U$51*'TR TUSD'!$U$71</f>
        <v>31.331048568732268</v>
      </c>
      <c r="V51" s="20">
        <f>'TR TUSD'!$V$51*'TR TUSD'!$V$71</f>
        <v>6.1384285046189007</v>
      </c>
      <c r="W51" s="20">
        <f>'TR TUSD'!$W$51*'TR TUSD'!$W$71</f>
        <v>1.684196227680671</v>
      </c>
      <c r="X51" s="20">
        <f>'TR TUSD'!$X$51*'TR TUSD'!$X$71</f>
        <v>0</v>
      </c>
      <c r="Y51" s="20">
        <f>'TR TUSD'!$Y$51*'TR TUSD'!$Y$71</f>
        <v>1.0095139751910185</v>
      </c>
      <c r="Z51" s="20">
        <f>'TR TUSD'!$Z$51</f>
        <v>0</v>
      </c>
      <c r="AA51" s="20">
        <f>'TR TUSD'!$AA$51</f>
        <v>0</v>
      </c>
      <c r="AB51" s="20">
        <f>SUM($U$51:$AA$51)</f>
        <v>40.163187276222864</v>
      </c>
      <c r="AC51" s="20">
        <f>'TR TUSD'!$AC$51*'TR TUSD'!$AC$71</f>
        <v>170.42800538098879</v>
      </c>
      <c r="AD51" s="20">
        <f>SUM($AC$51:$AC$51)</f>
        <v>170.42800538098879</v>
      </c>
      <c r="AE51" s="20">
        <v>0</v>
      </c>
      <c r="AF51" s="20">
        <v>0</v>
      </c>
      <c r="AG51" s="20">
        <f>SUM($AE$51:$AF$51)</f>
        <v>0</v>
      </c>
      <c r="AH51" s="20">
        <f>'TR TUSD'!$AH$51*'TR TUSD'!$AH$71</f>
        <v>37.844009988985107</v>
      </c>
      <c r="AI51" s="20">
        <f>'TR TUSD'!$AI$51*'TR TUSD'!$AI$71</f>
        <v>2.1852915045217935</v>
      </c>
      <c r="AJ51" s="20">
        <f ca="1">'TR TUSD'!$AJ$51*'TR TUSD'!$AJ$71</f>
        <v>33.835997905045303</v>
      </c>
      <c r="AK51" s="20">
        <f ca="1">'TR TUSD'!$AK$51*'TR TUSD'!$AK$71</f>
        <v>9.3189588661267155</v>
      </c>
      <c r="AL51" s="20">
        <f ca="1">SUM($AH$51:$AK$51)</f>
        <v>83.184258264678917</v>
      </c>
      <c r="AM51" s="20">
        <f ca="1">SUMIF($L$4:$AL$4,"SUBTOTAL",$L$51:$AL$51)</f>
        <v>365.38496119158361</v>
      </c>
      <c r="AP51" s="20">
        <f>IF((1 - CUSTOS!$M$30)&lt;&gt;0,1/(1 - CUSTOS!$M$30),1)</f>
        <v>1</v>
      </c>
    </row>
    <row r="52" spans="1:42" ht="11.25" customHeight="1" x14ac:dyDescent="0.25">
      <c r="A52" s="136"/>
      <c r="B52" s="22" t="s">
        <v>23</v>
      </c>
      <c r="C52" s="22" t="s">
        <v>45</v>
      </c>
      <c r="D52" s="22" t="s">
        <v>105</v>
      </c>
      <c r="E52" s="22" t="s">
        <v>25</v>
      </c>
      <c r="F52" s="22" t="s">
        <v>25</v>
      </c>
      <c r="G52" s="21" t="s">
        <v>96</v>
      </c>
      <c r="H52" s="21" t="s">
        <v>90</v>
      </c>
      <c r="I52" s="21">
        <f>'MERCADO TUSD'!$U$49</f>
        <v>0</v>
      </c>
      <c r="J52" s="17"/>
      <c r="L52" s="20">
        <f>'TR TUSD'!$L$52*'TR TUSD'!$L$71</f>
        <v>15.04711566915239</v>
      </c>
      <c r="M52" s="20">
        <f>'TR TUSD'!$M$52*'TR TUSD'!$M$71</f>
        <v>0.88624533977151898</v>
      </c>
      <c r="N52" s="20">
        <f ca="1">'TR TUSD'!$N$52*'TR TUSD'!$N$71</f>
        <v>4.5496750950127618</v>
      </c>
      <c r="O52" s="20">
        <f>'TR TUSD'!$O$52*'TR TUSD'!$O$71</f>
        <v>-1.5285559498368537E-3</v>
      </c>
      <c r="P52" s="20">
        <f>'TR TUSD'!$P$52*'TR TUSD'!$P$71</f>
        <v>0</v>
      </c>
      <c r="Q52" s="20">
        <f>'TR TUSD'!$Q$52*'TR TUSD'!$Q$71</f>
        <v>37.43554716513178</v>
      </c>
      <c r="R52" s="20">
        <f>'TR TUSD'!$R$52*'TR TUSD'!$R$71</f>
        <v>14.687947346687571</v>
      </c>
      <c r="S52" s="20">
        <f>'TR TUSD'!$S$52*'TR TUSD'!$S$71</f>
        <v>0</v>
      </c>
      <c r="T52" s="20">
        <f ca="1">SUM($L$52:$S$52)</f>
        <v>72.605002059806182</v>
      </c>
      <c r="U52" s="20">
        <f>'TR TUSD'!$U$52*'TR TUSD'!$U$71</f>
        <v>47.471187507292441</v>
      </c>
      <c r="V52" s="20">
        <f>'TR TUSD'!$V$52*'TR TUSD'!$V$71</f>
        <v>9.3005712238416258</v>
      </c>
      <c r="W52" s="20">
        <f>'TR TUSD'!$W$52*'TR TUSD'!$W$71</f>
        <v>2.5517299605470694</v>
      </c>
      <c r="X52" s="20">
        <f>'TR TUSD'!$X$52*'TR TUSD'!$X$71</f>
        <v>0</v>
      </c>
      <c r="Y52" s="20">
        <f>'TR TUSD'!$Y$52*'TR TUSD'!$Y$71</f>
        <v>1.5295851917791099</v>
      </c>
      <c r="Z52" s="20">
        <f>'TR TUSD'!$Z$52</f>
        <v>0</v>
      </c>
      <c r="AA52" s="20">
        <f>'TR TUSD'!$AA$52</f>
        <v>0</v>
      </c>
      <c r="AB52" s="20">
        <f>SUM($U$52:$AA$52)</f>
        <v>60.853073883460254</v>
      </c>
      <c r="AC52" s="20">
        <f>'TR TUSD'!$AC$52*'TR TUSD'!$AC$71</f>
        <v>258.22429854792188</v>
      </c>
      <c r="AD52" s="20">
        <f>SUM($AC$52:$AC$52)</f>
        <v>258.22429854792188</v>
      </c>
      <c r="AE52" s="20">
        <v>0</v>
      </c>
      <c r="AF52" s="20">
        <v>0</v>
      </c>
      <c r="AG52" s="20">
        <f>SUM($AE$52:$AF$52)</f>
        <v>0</v>
      </c>
      <c r="AH52" s="20">
        <f>'TR TUSD'!$AH$52*'TR TUSD'!$AH$71</f>
        <v>37.844009988985107</v>
      </c>
      <c r="AI52" s="20">
        <f>'TR TUSD'!$AI$52*'TR TUSD'!$AI$71</f>
        <v>2.1852915045217935</v>
      </c>
      <c r="AJ52" s="20">
        <f ca="1">'TR TUSD'!$AJ$52*'TR TUSD'!$AJ$71</f>
        <v>33.835997905045303</v>
      </c>
      <c r="AK52" s="20">
        <f ca="1">'TR TUSD'!$AK$52*'TR TUSD'!$AK$71</f>
        <v>9.3189588661267155</v>
      </c>
      <c r="AL52" s="20">
        <f ca="1">SUM($AH$52:$AK$52)</f>
        <v>83.184258264678917</v>
      </c>
      <c r="AM52" s="20">
        <f ca="1">SUMIF($L$4:$AL$4,"SUBTOTAL",$L$52:$AL$52)</f>
        <v>474.86663275586722</v>
      </c>
      <c r="AP52" s="20">
        <f>IF((1 - CUSTOS!$M$30)&lt;&gt;0,1/(1 - CUSTOS!$M$30),1)</f>
        <v>1</v>
      </c>
    </row>
    <row r="53" spans="1:42" ht="11.25" customHeight="1" x14ac:dyDescent="0.25">
      <c r="A53" s="136"/>
      <c r="B53" s="136" t="s">
        <v>103</v>
      </c>
      <c r="C53" s="136" t="s">
        <v>45</v>
      </c>
      <c r="D53" s="22" t="s">
        <v>25</v>
      </c>
      <c r="E53" s="22" t="s">
        <v>25</v>
      </c>
      <c r="F53" s="22" t="s">
        <v>25</v>
      </c>
      <c r="G53" s="21" t="s">
        <v>96</v>
      </c>
      <c r="H53" s="21" t="s">
        <v>90</v>
      </c>
      <c r="I53" s="21">
        <f>'MERCADO TUSD'!$U$50</f>
        <v>0</v>
      </c>
      <c r="J53" s="17"/>
      <c r="L53" s="20">
        <f>'TR TUSD'!$L$53*'TR TUSD'!$L$71</f>
        <v>15.04711566915239</v>
      </c>
      <c r="M53" s="20">
        <f>'TR TUSD'!$M$53*'TR TUSD'!$M$71</f>
        <v>0.88624533977151898</v>
      </c>
      <c r="N53" s="20">
        <f ca="1">'TR TUSD'!$N$53*'TR TUSD'!$N$71</f>
        <v>4.5496750950127618</v>
      </c>
      <c r="O53" s="20">
        <f>'TR TUSD'!$O$53*'TR TUSD'!$O$71</f>
        <v>-1.5285559498368537E-3</v>
      </c>
      <c r="P53" s="20">
        <f>'TR TUSD'!$P$53*'TR TUSD'!$P$71</f>
        <v>0</v>
      </c>
      <c r="Q53" s="20">
        <f>'TR TUSD'!$Q$53*'TR TUSD'!$Q$71</f>
        <v>37.43554716513178</v>
      </c>
      <c r="R53" s="20">
        <f>'TR TUSD'!$R$53*'TR TUSD'!$R$71</f>
        <v>14.687947346687571</v>
      </c>
      <c r="S53" s="20">
        <f>'TR TUSD'!$S$53*'TR TUSD'!$S$71</f>
        <v>0</v>
      </c>
      <c r="T53" s="20">
        <f ca="1">SUM($L$53:$S$53)</f>
        <v>72.605002059806182</v>
      </c>
      <c r="U53" s="20">
        <f>'TR TUSD'!$U$53*'TR TUSD'!$U$71</f>
        <v>47.471187507292441</v>
      </c>
      <c r="V53" s="20">
        <f>'TR TUSD'!$V$53*'TR TUSD'!$V$71</f>
        <v>9.3005712238416258</v>
      </c>
      <c r="W53" s="20">
        <f>'TR TUSD'!$W$53*'TR TUSD'!$W$71</f>
        <v>2.5517299605470694</v>
      </c>
      <c r="X53" s="20">
        <f>'TR TUSD'!$X$53*'TR TUSD'!$X$71</f>
        <v>0</v>
      </c>
      <c r="Y53" s="20">
        <f>'TR TUSD'!$Y$53*'TR TUSD'!$Y$71</f>
        <v>1.5295851917791099</v>
      </c>
      <c r="Z53" s="20">
        <f>'TR TUSD'!$Z$53</f>
        <v>0</v>
      </c>
      <c r="AA53" s="20">
        <f>'TR TUSD'!$AA$53</f>
        <v>0</v>
      </c>
      <c r="AB53" s="20">
        <f>SUM($U$53:$AA$53)</f>
        <v>60.853073883460254</v>
      </c>
      <c r="AC53" s="20">
        <f>'TR TUSD'!$AC$53*'TR TUSD'!$AC$71</f>
        <v>258.22429854792188</v>
      </c>
      <c r="AD53" s="20">
        <f>SUM($AC$53:$AC$53)</f>
        <v>258.22429854792188</v>
      </c>
      <c r="AE53" s="20">
        <v>0</v>
      </c>
      <c r="AF53" s="20">
        <v>0</v>
      </c>
      <c r="AG53" s="20">
        <f>SUM($AE$53:$AF$53)</f>
        <v>0</v>
      </c>
      <c r="AH53" s="20">
        <f>'TR TUSD'!$AH$53*'TR TUSD'!$AH$71</f>
        <v>37.844009988985107</v>
      </c>
      <c r="AI53" s="20">
        <f>'TR TUSD'!$AI$53*'TR TUSD'!$AI$71</f>
        <v>2.1852915045217935</v>
      </c>
      <c r="AJ53" s="20">
        <f ca="1">'TR TUSD'!$AJ$53*'TR TUSD'!$AJ$71</f>
        <v>33.835997905045303</v>
      </c>
      <c r="AK53" s="20">
        <f ca="1">'TR TUSD'!$AK$53*'TR TUSD'!$AK$71</f>
        <v>9.3189588661267155</v>
      </c>
      <c r="AL53" s="20">
        <f ca="1">SUM($AH$53:$AK$53)</f>
        <v>83.184258264678917</v>
      </c>
      <c r="AM53" s="20">
        <f ca="1">SUMIF($L$4:$AL$4,"SUBTOTAL",$L$53:$AL$53)</f>
        <v>474.86663275586722</v>
      </c>
      <c r="AP53" s="20">
        <f>IF((1 - CUSTOS!$M$28)&lt;&gt;0,1/(1 - CUSTOS!$M$28),1)</f>
        <v>1</v>
      </c>
    </row>
    <row r="54" spans="1:42" ht="11.25" customHeight="1" x14ac:dyDescent="0.25">
      <c r="A54" s="136"/>
      <c r="B54" s="136"/>
      <c r="C54" s="136"/>
      <c r="D54" s="22" t="s">
        <v>104</v>
      </c>
      <c r="E54" s="22" t="s">
        <v>25</v>
      </c>
      <c r="F54" s="22" t="s">
        <v>25</v>
      </c>
      <c r="G54" s="21" t="s">
        <v>96</v>
      </c>
      <c r="H54" s="21" t="s">
        <v>90</v>
      </c>
      <c r="I54" s="21">
        <f>'MERCADO TUSD'!$U$51</f>
        <v>0</v>
      </c>
      <c r="J54" s="17"/>
      <c r="L54" s="20">
        <f>'TR TUSD'!$L$54*'TR TUSD'!$L$71</f>
        <v>15.04711566915239</v>
      </c>
      <c r="M54" s="20">
        <f>'TR TUSD'!$M$54*'TR TUSD'!$M$71</f>
        <v>0.88624533977151898</v>
      </c>
      <c r="N54" s="20">
        <f ca="1">'TR TUSD'!$N$54*'TR TUSD'!$N$71</f>
        <v>4.5496750950127618</v>
      </c>
      <c r="O54" s="20">
        <f>'TR TUSD'!$O$54*'TR TUSD'!$O$71</f>
        <v>-1.5285559498368537E-3</v>
      </c>
      <c r="P54" s="20">
        <f>'TR TUSD'!$P$54*'TR TUSD'!$P$71</f>
        <v>0</v>
      </c>
      <c r="Q54" s="20">
        <f>'TR TUSD'!$Q$54*'TR TUSD'!$Q$71</f>
        <v>37.43554716513178</v>
      </c>
      <c r="R54" s="20">
        <f>'TR TUSD'!$R$54*'TR TUSD'!$R$71</f>
        <v>14.687947346687571</v>
      </c>
      <c r="S54" s="20">
        <f>'TR TUSD'!$S$54*'TR TUSD'!$S$71</f>
        <v>0</v>
      </c>
      <c r="T54" s="20">
        <f ca="1">SUM($L$54:$S$54)</f>
        <v>72.605002059806182</v>
      </c>
      <c r="U54" s="20">
        <f>'TR TUSD'!$U$54*'TR TUSD'!$U$71</f>
        <v>47.471187507292441</v>
      </c>
      <c r="V54" s="20">
        <f>'TR TUSD'!$V$54*'TR TUSD'!$V$71</f>
        <v>9.3005712238416258</v>
      </c>
      <c r="W54" s="20">
        <f>'TR TUSD'!$W$54*'TR TUSD'!$W$71</f>
        <v>2.5517299605470694</v>
      </c>
      <c r="X54" s="20">
        <f>'TR TUSD'!$X$54*'TR TUSD'!$X$71</f>
        <v>0</v>
      </c>
      <c r="Y54" s="20">
        <f>'TR TUSD'!$Y$54*'TR TUSD'!$Y$71</f>
        <v>1.5295851917791099</v>
      </c>
      <c r="Z54" s="20">
        <f>'TR TUSD'!$Z$54</f>
        <v>0</v>
      </c>
      <c r="AA54" s="20">
        <f>'TR TUSD'!$AA$54</f>
        <v>0</v>
      </c>
      <c r="AB54" s="20">
        <f>SUM($U$54:$AA$54)</f>
        <v>60.853073883460254</v>
      </c>
      <c r="AC54" s="20">
        <f>'TR TUSD'!$AC$54*'TR TUSD'!$AC$71</f>
        <v>258.22429854792188</v>
      </c>
      <c r="AD54" s="20">
        <f>SUM($AC$54:$AC$54)</f>
        <v>258.22429854792188</v>
      </c>
      <c r="AE54" s="20">
        <v>0</v>
      </c>
      <c r="AF54" s="20">
        <v>0</v>
      </c>
      <c r="AG54" s="20">
        <f>SUM($AE$54:$AF$54)</f>
        <v>0</v>
      </c>
      <c r="AH54" s="20">
        <f>'TR TUSD'!$AH$54*'TR TUSD'!$AH$71</f>
        <v>37.844009988985107</v>
      </c>
      <c r="AI54" s="20">
        <f>'TR TUSD'!$AI$54*'TR TUSD'!$AI$71</f>
        <v>2.1852915045217935</v>
      </c>
      <c r="AJ54" s="20">
        <f ca="1">'TR TUSD'!$AJ$54*'TR TUSD'!$AJ$71</f>
        <v>33.835997905045303</v>
      </c>
      <c r="AK54" s="20">
        <f ca="1">'TR TUSD'!$AK$54*'TR TUSD'!$AK$71</f>
        <v>9.3189588661267155</v>
      </c>
      <c r="AL54" s="20">
        <f ca="1">SUM($AH$54:$AK$54)</f>
        <v>83.184258264678917</v>
      </c>
      <c r="AM54" s="20">
        <f ca="1">SUMIF($L$4:$AL$4,"SUBTOTAL",$L$54:$AL$54)</f>
        <v>474.86663275586722</v>
      </c>
      <c r="AP54" s="20">
        <f>IF((1 - CUSTOS!$M$29)&lt;&gt;0,1/(1 - CUSTOS!$M$29),1)</f>
        <v>1</v>
      </c>
    </row>
    <row r="55" spans="1:42" ht="11.25" customHeight="1" x14ac:dyDescent="0.25">
      <c r="A55" s="136"/>
      <c r="B55" s="136"/>
      <c r="C55" s="136"/>
      <c r="D55" s="22" t="s">
        <v>105</v>
      </c>
      <c r="E55" s="22" t="s">
        <v>25</v>
      </c>
      <c r="F55" s="22" t="s">
        <v>25</v>
      </c>
      <c r="G55" s="21" t="s">
        <v>96</v>
      </c>
      <c r="H55" s="21" t="s">
        <v>90</v>
      </c>
      <c r="I55" s="21">
        <f>'MERCADO TUSD'!$U$52</f>
        <v>0</v>
      </c>
      <c r="J55" s="17"/>
      <c r="L55" s="20">
        <f>'TR TUSD'!$L$55*'TR TUSD'!$L$71</f>
        <v>15.04711566915239</v>
      </c>
      <c r="M55" s="20">
        <f>'TR TUSD'!$M$55*'TR TUSD'!$M$71</f>
        <v>0.88624533977151898</v>
      </c>
      <c r="N55" s="20">
        <f ca="1">'TR TUSD'!$N$55*'TR TUSD'!$N$71</f>
        <v>4.5496750950127618</v>
      </c>
      <c r="O55" s="20">
        <f>'TR TUSD'!$O$55*'TR TUSD'!$O$71</f>
        <v>-1.5285559498368537E-3</v>
      </c>
      <c r="P55" s="20">
        <f>'TR TUSD'!$P$55*'TR TUSD'!$P$71</f>
        <v>0</v>
      </c>
      <c r="Q55" s="20">
        <f>'TR TUSD'!$Q$55*'TR TUSD'!$Q$71</f>
        <v>37.43554716513178</v>
      </c>
      <c r="R55" s="20">
        <f>'TR TUSD'!$R$55*'TR TUSD'!$R$71</f>
        <v>14.687947346687571</v>
      </c>
      <c r="S55" s="20">
        <f>'TR TUSD'!$S$55*'TR TUSD'!$S$71</f>
        <v>0</v>
      </c>
      <c r="T55" s="20">
        <f ca="1">SUM($L$55:$S$55)</f>
        <v>72.605002059806182</v>
      </c>
      <c r="U55" s="20">
        <f>'TR TUSD'!$U$55*'TR TUSD'!$U$71</f>
        <v>47.471187507292441</v>
      </c>
      <c r="V55" s="20">
        <f>'TR TUSD'!$V$55*'TR TUSD'!$V$71</f>
        <v>9.3005712238416258</v>
      </c>
      <c r="W55" s="20">
        <f>'TR TUSD'!$W$55*'TR TUSD'!$W$71</f>
        <v>2.5517299605470694</v>
      </c>
      <c r="X55" s="20">
        <f>'TR TUSD'!$X$55*'TR TUSD'!$X$71</f>
        <v>0</v>
      </c>
      <c r="Y55" s="20">
        <f>'TR TUSD'!$Y$55*'TR TUSD'!$Y$71</f>
        <v>1.5295851917791099</v>
      </c>
      <c r="Z55" s="20">
        <f>'TR TUSD'!$Z$55</f>
        <v>0</v>
      </c>
      <c r="AA55" s="20">
        <f>'TR TUSD'!$AA$55</f>
        <v>0</v>
      </c>
      <c r="AB55" s="20">
        <f>SUM($U$55:$AA$55)</f>
        <v>60.853073883460254</v>
      </c>
      <c r="AC55" s="20">
        <f>'TR TUSD'!$AC$55*'TR TUSD'!$AC$71</f>
        <v>258.22429854792188</v>
      </c>
      <c r="AD55" s="20">
        <f>SUM($AC$55:$AC$55)</f>
        <v>258.22429854792188</v>
      </c>
      <c r="AE55" s="20">
        <v>0</v>
      </c>
      <c r="AF55" s="20">
        <v>0</v>
      </c>
      <c r="AG55" s="20">
        <f>SUM($AE$55:$AF$55)</f>
        <v>0</v>
      </c>
      <c r="AH55" s="20">
        <f>'TR TUSD'!$AH$55*'TR TUSD'!$AH$71</f>
        <v>37.844009988985107</v>
      </c>
      <c r="AI55" s="20">
        <f>'TR TUSD'!$AI$55*'TR TUSD'!$AI$71</f>
        <v>2.1852915045217935</v>
      </c>
      <c r="AJ55" s="20">
        <f ca="1">'TR TUSD'!$AJ$55*'TR TUSD'!$AJ$71</f>
        <v>33.835997905045303</v>
      </c>
      <c r="AK55" s="20">
        <f ca="1">'TR TUSD'!$AK$55*'TR TUSD'!$AK$71</f>
        <v>9.3189588661267155</v>
      </c>
      <c r="AL55" s="20">
        <f ca="1">SUM($AH$55:$AK$55)</f>
        <v>83.184258264678917</v>
      </c>
      <c r="AM55" s="20">
        <f ca="1">SUMIF($L$4:$AL$4,"SUBTOTAL",$L$55:$AL$55)</f>
        <v>474.86663275586722</v>
      </c>
      <c r="AP55" s="20">
        <f>IF((1 - CUSTOS!$M$30)&lt;&gt;0,1/(1 - CUSTOS!$M$30),1)</f>
        <v>1</v>
      </c>
    </row>
    <row r="56" spans="1:42" ht="11.25" customHeight="1" x14ac:dyDescent="0.25">
      <c r="A56" s="136" t="s">
        <v>39</v>
      </c>
      <c r="B56" s="136" t="s">
        <v>37</v>
      </c>
      <c r="C56" s="136" t="s">
        <v>25</v>
      </c>
      <c r="D56" s="136" t="s">
        <v>25</v>
      </c>
      <c r="E56" s="136" t="s">
        <v>25</v>
      </c>
      <c r="F56" s="136" t="s">
        <v>25</v>
      </c>
      <c r="G56" s="21" t="s">
        <v>91</v>
      </c>
      <c r="H56" s="21" t="s">
        <v>90</v>
      </c>
      <c r="I56" s="21">
        <f>'MERCADO TUSD'!$U$53</f>
        <v>133.833</v>
      </c>
      <c r="J56" s="17"/>
      <c r="L56" s="20">
        <f>'TR TUSD'!$L$56*'TR TUSD'!$L$71</f>
        <v>15.04711566915239</v>
      </c>
      <c r="M56" s="20">
        <f>'TR TUSD'!$M$56*'TR TUSD'!$M$71</f>
        <v>0.88624533977151898</v>
      </c>
      <c r="N56" s="20">
        <f ca="1">'TR TUSD'!$N$56*'TR TUSD'!$N$71</f>
        <v>11.28389467463805</v>
      </c>
      <c r="O56" s="20">
        <f>'TR TUSD'!$O$56*'TR TUSD'!$O$71</f>
        <v>-1.5285559498368537E-3</v>
      </c>
      <c r="P56" s="20">
        <f>'TR TUSD'!$P$56*'TR TUSD'!$P$71</f>
        <v>0</v>
      </c>
      <c r="Q56" s="20">
        <f>'TR TUSD'!$Q$56*'TR TUSD'!$Q$71</f>
        <v>37.43554716513178</v>
      </c>
      <c r="R56" s="20">
        <f>'TR TUSD'!$R$56*'TR TUSD'!$R$71</f>
        <v>14.687947346687571</v>
      </c>
      <c r="S56" s="20">
        <f>'TR TUSD'!$S$56*'TR TUSD'!$S$71</f>
        <v>0</v>
      </c>
      <c r="T56" s="20">
        <f ca="1">SUM($L$56:$S$56)</f>
        <v>79.339221639431472</v>
      </c>
      <c r="U56" s="20">
        <f>'TR TUSD'!$U$56*'TR TUSD'!$U$71</f>
        <v>156.65494823493745</v>
      </c>
      <c r="V56" s="20">
        <f>'TR TUSD'!$V$56*'TR TUSD'!$V$71</f>
        <v>30.691908446351654</v>
      </c>
      <c r="W56" s="20">
        <f>'TR TUSD'!$W$56*'TR TUSD'!$W$71</f>
        <v>8.4208378391412371</v>
      </c>
      <c r="X56" s="20">
        <f>'TR TUSD'!$X$56*'TR TUSD'!$X$71</f>
        <v>0</v>
      </c>
      <c r="Y56" s="20">
        <f>'TR TUSD'!$Y$56*'TR TUSD'!$Y$71</f>
        <v>5.0477740656749939</v>
      </c>
      <c r="Z56" s="20">
        <f>'TR TUSD'!$Z$56</f>
        <v>0</v>
      </c>
      <c r="AA56" s="20">
        <f>'TR TUSD'!$AA$56</f>
        <v>0</v>
      </c>
      <c r="AB56" s="20">
        <f>SUM($U$56:$AA$56)</f>
        <v>200.81546858610531</v>
      </c>
      <c r="AC56" s="20">
        <f>'TR TUSD'!$AC$56*'TR TUSD'!$AC$71</f>
        <v>852.14027044832585</v>
      </c>
      <c r="AD56" s="20">
        <f>SUM($AC$56:$AC$56)</f>
        <v>852.14027044832585</v>
      </c>
      <c r="AE56" s="20">
        <v>0</v>
      </c>
      <c r="AF56" s="20">
        <v>0</v>
      </c>
      <c r="AG56" s="20">
        <f>SUM($AE$56:$AF$56)</f>
        <v>0</v>
      </c>
      <c r="AH56" s="20">
        <f>'TR TUSD'!$AH$56*'TR TUSD'!$AH$71</f>
        <v>37.844009988985107</v>
      </c>
      <c r="AI56" s="20">
        <f>'TR TUSD'!$AI$56*'TR TUSD'!$AI$71</f>
        <v>2.1852915045217935</v>
      </c>
      <c r="AJ56" s="20">
        <f ca="1">'TR TUSD'!$AJ$56*'TR TUSD'!$AJ$71</f>
        <v>33.835997905045303</v>
      </c>
      <c r="AK56" s="20">
        <f ca="1">'TR TUSD'!$AK$56*'TR TUSD'!$AK$71</f>
        <v>9.3189588661267155</v>
      </c>
      <c r="AL56" s="20">
        <f ca="1">SUM($AH$56:$AK$56)</f>
        <v>83.184258264678917</v>
      </c>
      <c r="AM56" s="20">
        <f ca="1">SUMIF($L$4:$AL$4,"SUBTOTAL",$L$56:$AL$56)</f>
        <v>1215.4792189385414</v>
      </c>
      <c r="AP56" s="20">
        <f>IF((1 - CUSTOS!$M$31)&lt;&gt;0,1/(1 - CUSTOS!$M$31),1)</f>
        <v>1</v>
      </c>
    </row>
    <row r="57" spans="1:42" ht="11.25" customHeight="1" x14ac:dyDescent="0.25">
      <c r="A57" s="136"/>
      <c r="B57" s="136"/>
      <c r="C57" s="136"/>
      <c r="D57" s="136"/>
      <c r="E57" s="136"/>
      <c r="F57" s="136"/>
      <c r="G57" s="21" t="s">
        <v>101</v>
      </c>
      <c r="H57" s="21" t="s">
        <v>90</v>
      </c>
      <c r="I57" s="21">
        <f>'MERCADO TUSD'!$U$54</f>
        <v>132.79500000000002</v>
      </c>
      <c r="J57" s="17"/>
      <c r="L57" s="20">
        <f>'TR TUSD'!$L$57*'TR TUSD'!$L$71</f>
        <v>15.04711566915239</v>
      </c>
      <c r="M57" s="20">
        <f>'TR TUSD'!$M$57*'TR TUSD'!$M$71</f>
        <v>0.88624533977151898</v>
      </c>
      <c r="N57" s="20">
        <f ca="1">'TR TUSD'!$N$57*'TR TUSD'!$N$71</f>
        <v>7.4190401390585858</v>
      </c>
      <c r="O57" s="20">
        <f>'TR TUSD'!$O$57*'TR TUSD'!$O$71</f>
        <v>-1.5285559498368537E-3</v>
      </c>
      <c r="P57" s="20">
        <f>'TR TUSD'!$P$57*'TR TUSD'!$P$71</f>
        <v>0</v>
      </c>
      <c r="Q57" s="20">
        <f>'TR TUSD'!$Q$57*'TR TUSD'!$Q$71</f>
        <v>37.43554716513178</v>
      </c>
      <c r="R57" s="20">
        <f>'TR TUSD'!$R$57*'TR TUSD'!$R$71</f>
        <v>14.687947346687571</v>
      </c>
      <c r="S57" s="20">
        <f>'TR TUSD'!$S$57*'TR TUSD'!$S$71</f>
        <v>0</v>
      </c>
      <c r="T57" s="20">
        <f ca="1">SUM($L$57:$S$57)</f>
        <v>75.474367103852003</v>
      </c>
      <c r="U57" s="20">
        <f>'TR TUSD'!$U$57*'TR TUSD'!$U$71</f>
        <v>93.992998401834868</v>
      </c>
      <c r="V57" s="20">
        <f>'TR TUSD'!$V$57*'TR TUSD'!$V$71</f>
        <v>18.415168475485277</v>
      </c>
      <c r="W57" s="20">
        <f>'TR TUSD'!$W$57*'TR TUSD'!$W$71</f>
        <v>5.0525886830420133</v>
      </c>
      <c r="X57" s="20">
        <f>'TR TUSD'!$X$57*'TR TUSD'!$X$71</f>
        <v>0</v>
      </c>
      <c r="Y57" s="20">
        <f>'TR TUSD'!$Y$57*'TR TUSD'!$Y$71</f>
        <v>3.0287461152929569</v>
      </c>
      <c r="Z57" s="20">
        <f>'TR TUSD'!$Z$57</f>
        <v>0</v>
      </c>
      <c r="AA57" s="20">
        <f>'TR TUSD'!$AA$57</f>
        <v>0</v>
      </c>
      <c r="AB57" s="20">
        <f>SUM($U$57:$AA$57)</f>
        <v>120.48950167565512</v>
      </c>
      <c r="AC57" s="20">
        <f>'TR TUSD'!$AC$57*'TR TUSD'!$AC$71</f>
        <v>511.28413791465732</v>
      </c>
      <c r="AD57" s="20">
        <f>SUM($AC$57:$AC$57)</f>
        <v>511.28413791465732</v>
      </c>
      <c r="AE57" s="20">
        <v>0</v>
      </c>
      <c r="AF57" s="20">
        <v>0</v>
      </c>
      <c r="AG57" s="20">
        <f>SUM($AE$57:$AF$57)</f>
        <v>0</v>
      </c>
      <c r="AH57" s="20">
        <f>'TR TUSD'!$AH$57*'TR TUSD'!$AH$71</f>
        <v>37.844009988985107</v>
      </c>
      <c r="AI57" s="20">
        <f>'TR TUSD'!$AI$57*'TR TUSD'!$AI$71</f>
        <v>2.1852915045217935</v>
      </c>
      <c r="AJ57" s="20">
        <f ca="1">'TR TUSD'!$AJ$57*'TR TUSD'!$AJ$71</f>
        <v>33.835997905045303</v>
      </c>
      <c r="AK57" s="20">
        <f ca="1">'TR TUSD'!$AK$57*'TR TUSD'!$AK$71</f>
        <v>9.3189588661267155</v>
      </c>
      <c r="AL57" s="20">
        <f ca="1">SUM($AH$57:$AK$57)</f>
        <v>83.184258264678917</v>
      </c>
      <c r="AM57" s="20">
        <f ca="1">SUMIF($L$4:$AL$4,"SUBTOTAL",$L$57:$AL$57)</f>
        <v>790.43226495884335</v>
      </c>
      <c r="AP57" s="20">
        <f>IF((1 - CUSTOS!$M$31)&lt;&gt;0,1/(1 - CUSTOS!$M$31),1)</f>
        <v>1</v>
      </c>
    </row>
    <row r="58" spans="1:42" ht="11.25" customHeight="1" x14ac:dyDescent="0.25">
      <c r="A58" s="136"/>
      <c r="B58" s="136"/>
      <c r="C58" s="136"/>
      <c r="D58" s="136"/>
      <c r="E58" s="136"/>
      <c r="F58" s="136"/>
      <c r="G58" s="21" t="s">
        <v>92</v>
      </c>
      <c r="H58" s="21" t="s">
        <v>90</v>
      </c>
      <c r="I58" s="21">
        <f>'MERCADO TUSD'!$U$55</f>
        <v>2117.7150000000001</v>
      </c>
      <c r="J58" s="17"/>
      <c r="L58" s="20">
        <f>'TR TUSD'!$L$58*'TR TUSD'!$L$71</f>
        <v>15.04711566915239</v>
      </c>
      <c r="M58" s="20">
        <f>'TR TUSD'!$M$58*'TR TUSD'!$M$71</f>
        <v>0.88624533977151898</v>
      </c>
      <c r="N58" s="20">
        <f ca="1">'TR TUSD'!$N$58*'TR TUSD'!$N$71</f>
        <v>3.5541833048996372</v>
      </c>
      <c r="O58" s="20">
        <f>'TR TUSD'!$O$58*'TR TUSD'!$O$71</f>
        <v>-1.5285559498368537E-3</v>
      </c>
      <c r="P58" s="20">
        <f>'TR TUSD'!$P$58*'TR TUSD'!$P$71</f>
        <v>0</v>
      </c>
      <c r="Q58" s="20">
        <f>'TR TUSD'!$Q$58*'TR TUSD'!$Q$71</f>
        <v>37.43554716513178</v>
      </c>
      <c r="R58" s="20">
        <f>'TR TUSD'!$R$58*'TR TUSD'!$R$71</f>
        <v>14.687947346687571</v>
      </c>
      <c r="S58" s="20">
        <f>'TR TUSD'!$S$58*'TR TUSD'!$S$71</f>
        <v>0</v>
      </c>
      <c r="T58" s="20">
        <f ca="1">SUM($L$58:$S$58)</f>
        <v>71.609510269693061</v>
      </c>
      <c r="U58" s="20">
        <f>'TR TUSD'!$U$58*'TR TUSD'!$U$71</f>
        <v>31.331048568732268</v>
      </c>
      <c r="V58" s="20">
        <f>'TR TUSD'!$V$58*'TR TUSD'!$V$71</f>
        <v>6.1384285046189007</v>
      </c>
      <c r="W58" s="20">
        <f>'TR TUSD'!$W$58*'TR TUSD'!$W$71</f>
        <v>1.684196227680671</v>
      </c>
      <c r="X58" s="20">
        <f>'TR TUSD'!$X$58*'TR TUSD'!$X$71</f>
        <v>0</v>
      </c>
      <c r="Y58" s="20">
        <f>'TR TUSD'!$Y$58*'TR TUSD'!$Y$71</f>
        <v>1.0095139751910185</v>
      </c>
      <c r="Z58" s="20">
        <f>'TR TUSD'!$Z$58</f>
        <v>0</v>
      </c>
      <c r="AA58" s="20">
        <f>'TR TUSD'!$AA$58</f>
        <v>0</v>
      </c>
      <c r="AB58" s="20">
        <f>SUM($U$58:$AA$58)</f>
        <v>40.163187276222864</v>
      </c>
      <c r="AC58" s="20">
        <f>'TR TUSD'!$AC$58*'TR TUSD'!$AC$71</f>
        <v>170.42800538098879</v>
      </c>
      <c r="AD58" s="20">
        <f>SUM($AC$58:$AC$58)</f>
        <v>170.42800538098879</v>
      </c>
      <c r="AE58" s="20">
        <v>0</v>
      </c>
      <c r="AF58" s="20">
        <v>0</v>
      </c>
      <c r="AG58" s="20">
        <f>SUM($AE$58:$AF$58)</f>
        <v>0</v>
      </c>
      <c r="AH58" s="20">
        <f>'TR TUSD'!$AH$58*'TR TUSD'!$AH$71</f>
        <v>37.844009988985107</v>
      </c>
      <c r="AI58" s="20">
        <f>'TR TUSD'!$AI$58*'TR TUSD'!$AI$71</f>
        <v>2.1852915045217935</v>
      </c>
      <c r="AJ58" s="20">
        <f ca="1">'TR TUSD'!$AJ$58*'TR TUSD'!$AJ$71</f>
        <v>33.835997905045303</v>
      </c>
      <c r="AK58" s="20">
        <f ca="1">'TR TUSD'!$AK$58*'TR TUSD'!$AK$71</f>
        <v>9.3189588661267155</v>
      </c>
      <c r="AL58" s="20">
        <f ca="1">SUM($AH$58:$AK$58)</f>
        <v>83.184258264678917</v>
      </c>
      <c r="AM58" s="20">
        <f ca="1">SUMIF($L$4:$AL$4,"SUBTOTAL",$L$58:$AL$58)</f>
        <v>365.38496119158361</v>
      </c>
      <c r="AP58" s="20">
        <f>IF((1 - CUSTOS!$M$31)&lt;&gt;0,1/(1 - CUSTOS!$M$31),1)</f>
        <v>1</v>
      </c>
    </row>
    <row r="59" spans="1:42" ht="11.25" customHeight="1" x14ac:dyDescent="0.25">
      <c r="A59" s="136"/>
      <c r="B59" s="22" t="s">
        <v>23</v>
      </c>
      <c r="C59" s="22" t="s">
        <v>25</v>
      </c>
      <c r="D59" s="22" t="s">
        <v>25</v>
      </c>
      <c r="E59" s="22" t="s">
        <v>25</v>
      </c>
      <c r="F59" s="22" t="s">
        <v>25</v>
      </c>
      <c r="G59" s="21" t="s">
        <v>96</v>
      </c>
      <c r="H59" s="21" t="s">
        <v>90</v>
      </c>
      <c r="I59" s="21">
        <f>'MERCADO TUSD'!$U$56</f>
        <v>505530.49800000002</v>
      </c>
      <c r="J59" s="17"/>
      <c r="L59" s="20">
        <f>'TR TUSD'!$L$59*'TR TUSD'!$L$71</f>
        <v>15.04711566915239</v>
      </c>
      <c r="M59" s="20">
        <f>'TR TUSD'!$M$59*'TR TUSD'!$M$71</f>
        <v>0.88624533977151898</v>
      </c>
      <c r="N59" s="20">
        <f ca="1">'TR TUSD'!$N$59*'TR TUSD'!$N$71</f>
        <v>4.5496750950127618</v>
      </c>
      <c r="O59" s="20">
        <f>'TR TUSD'!$O$59*'TR TUSD'!$O$71</f>
        <v>-1.5285559498368537E-3</v>
      </c>
      <c r="P59" s="20">
        <f>'TR TUSD'!$P$59*'TR TUSD'!$P$71</f>
        <v>0</v>
      </c>
      <c r="Q59" s="20">
        <f>'TR TUSD'!$Q$59*'TR TUSD'!$Q$71</f>
        <v>37.43554716513178</v>
      </c>
      <c r="R59" s="20">
        <f>'TR TUSD'!$R$59*'TR TUSD'!$R$71</f>
        <v>14.687947346687571</v>
      </c>
      <c r="S59" s="20">
        <f>'TR TUSD'!$S$59*'TR TUSD'!$S$71</f>
        <v>0</v>
      </c>
      <c r="T59" s="20">
        <f ca="1">SUM($L$59:$S$59)</f>
        <v>72.605002059806182</v>
      </c>
      <c r="U59" s="20">
        <f>'TR TUSD'!$U$59*'TR TUSD'!$U$71</f>
        <v>47.471187507292441</v>
      </c>
      <c r="V59" s="20">
        <f>'TR TUSD'!$V$59*'TR TUSD'!$V$71</f>
        <v>9.3005712238416258</v>
      </c>
      <c r="W59" s="20">
        <f>'TR TUSD'!$W$59*'TR TUSD'!$W$71</f>
        <v>2.5517299605470694</v>
      </c>
      <c r="X59" s="20">
        <f>'TR TUSD'!$X$59*'TR TUSD'!$X$71</f>
        <v>0</v>
      </c>
      <c r="Y59" s="20">
        <f>'TR TUSD'!$Y$59*'TR TUSD'!$Y$71</f>
        <v>1.5295851917791099</v>
      </c>
      <c r="Z59" s="20">
        <f>'TR TUSD'!$Z$59</f>
        <v>0</v>
      </c>
      <c r="AA59" s="20">
        <f>'TR TUSD'!$AA$59</f>
        <v>0</v>
      </c>
      <c r="AB59" s="20">
        <f>SUM($U$59:$AA$59)</f>
        <v>60.853073883460254</v>
      </c>
      <c r="AC59" s="20">
        <f>'TR TUSD'!$AC$59*'TR TUSD'!$AC$71</f>
        <v>258.22429854792188</v>
      </c>
      <c r="AD59" s="20">
        <f>SUM($AC$59:$AC$59)</f>
        <v>258.22429854792188</v>
      </c>
      <c r="AE59" s="20">
        <v>0</v>
      </c>
      <c r="AF59" s="20">
        <v>0</v>
      </c>
      <c r="AG59" s="20">
        <f>SUM($AE$59:$AF$59)</f>
        <v>0</v>
      </c>
      <c r="AH59" s="20">
        <f>'TR TUSD'!$AH$59*'TR TUSD'!$AH$71</f>
        <v>37.844009988985107</v>
      </c>
      <c r="AI59" s="20">
        <f>'TR TUSD'!$AI$59*'TR TUSD'!$AI$71</f>
        <v>2.1852915045217935</v>
      </c>
      <c r="AJ59" s="20">
        <f ca="1">'TR TUSD'!$AJ$59*'TR TUSD'!$AJ$71</f>
        <v>33.835997905045303</v>
      </c>
      <c r="AK59" s="20">
        <f ca="1">'TR TUSD'!$AK$59*'TR TUSD'!$AK$71</f>
        <v>9.3189588661267155</v>
      </c>
      <c r="AL59" s="20">
        <f ca="1">SUM($AH$59:$AK$59)</f>
        <v>83.184258264678917</v>
      </c>
      <c r="AM59" s="20">
        <f ca="1">SUMIF($L$4:$AL$4,"SUBTOTAL",$L$59:$AL$59)</f>
        <v>474.86663275586722</v>
      </c>
      <c r="AP59" s="20">
        <f>IF((1 - CUSTOS!$M$31)&lt;&gt;0,1/(1 - CUSTOS!$M$31),1)</f>
        <v>1</v>
      </c>
    </row>
    <row r="60" spans="1:42" ht="11.25" customHeight="1" x14ac:dyDescent="0.25">
      <c r="A60" s="136"/>
      <c r="B60" s="22" t="s">
        <v>103</v>
      </c>
      <c r="C60" s="22" t="s">
        <v>25</v>
      </c>
      <c r="D60" s="22" t="s">
        <v>25</v>
      </c>
      <c r="E60" s="22" t="s">
        <v>25</v>
      </c>
      <c r="F60" s="22" t="s">
        <v>25</v>
      </c>
      <c r="G60" s="21" t="s">
        <v>96</v>
      </c>
      <c r="H60" s="21" t="s">
        <v>90</v>
      </c>
      <c r="I60" s="21">
        <f>'MERCADO TUSD'!$U$57</f>
        <v>0</v>
      </c>
      <c r="J60" s="17"/>
      <c r="L60" s="20">
        <f>'TR TUSD'!$L$60*'TR TUSD'!$L$71</f>
        <v>15.04711566915239</v>
      </c>
      <c r="M60" s="20">
        <f>'TR TUSD'!$M$60*'TR TUSD'!$M$71</f>
        <v>0.88624533977151898</v>
      </c>
      <c r="N60" s="20">
        <f ca="1">'TR TUSD'!$N$60*'TR TUSD'!$N$71</f>
        <v>4.5496750950127618</v>
      </c>
      <c r="O60" s="20">
        <f>'TR TUSD'!$O$60*'TR TUSD'!$O$71</f>
        <v>-1.5285559498368537E-3</v>
      </c>
      <c r="P60" s="20">
        <f>'TR TUSD'!$P$60*'TR TUSD'!$P$71</f>
        <v>0</v>
      </c>
      <c r="Q60" s="20">
        <f>'TR TUSD'!$Q$60*'TR TUSD'!$Q$71</f>
        <v>37.43554716513178</v>
      </c>
      <c r="R60" s="20">
        <f>'TR TUSD'!$R$60*'TR TUSD'!$R$71</f>
        <v>14.687947346687571</v>
      </c>
      <c r="S60" s="20">
        <f>'TR TUSD'!$S$60*'TR TUSD'!$S$71</f>
        <v>0</v>
      </c>
      <c r="T60" s="20">
        <f ca="1">SUM($L$60:$S$60)</f>
        <v>72.605002059806182</v>
      </c>
      <c r="U60" s="20">
        <f>'TR TUSD'!$U$60*'TR TUSD'!$U$71</f>
        <v>47.471187507292441</v>
      </c>
      <c r="V60" s="20">
        <f>'TR TUSD'!$V$60*'TR TUSD'!$V$71</f>
        <v>9.3005712238416258</v>
      </c>
      <c r="W60" s="20">
        <f>'TR TUSD'!$W$60*'TR TUSD'!$W$71</f>
        <v>2.5517299605470694</v>
      </c>
      <c r="X60" s="20">
        <f>'TR TUSD'!$X$60*'TR TUSD'!$X$71</f>
        <v>0</v>
      </c>
      <c r="Y60" s="20">
        <f>'TR TUSD'!$Y$60*'TR TUSD'!$Y$71</f>
        <v>1.5295851917791099</v>
      </c>
      <c r="Z60" s="20">
        <f>'TR TUSD'!$Z$60</f>
        <v>0</v>
      </c>
      <c r="AA60" s="20">
        <f>'TR TUSD'!$AA$60</f>
        <v>0</v>
      </c>
      <c r="AB60" s="20">
        <f>SUM($U$60:$AA$60)</f>
        <v>60.853073883460254</v>
      </c>
      <c r="AC60" s="20">
        <f>'TR TUSD'!$AC$60*'TR TUSD'!$AC$71</f>
        <v>258.22429854792188</v>
      </c>
      <c r="AD60" s="20">
        <f>SUM($AC$60:$AC$60)</f>
        <v>258.22429854792188</v>
      </c>
      <c r="AE60" s="20">
        <v>0</v>
      </c>
      <c r="AF60" s="20">
        <v>0</v>
      </c>
      <c r="AG60" s="20">
        <f>SUM($AE$60:$AF$60)</f>
        <v>0</v>
      </c>
      <c r="AH60" s="20">
        <f>'TR TUSD'!$AH$60*'TR TUSD'!$AH$71</f>
        <v>37.844009988985107</v>
      </c>
      <c r="AI60" s="20">
        <f>'TR TUSD'!$AI$60*'TR TUSD'!$AI$71</f>
        <v>2.1852915045217935</v>
      </c>
      <c r="AJ60" s="20">
        <f ca="1">'TR TUSD'!$AJ$60*'TR TUSD'!$AJ$71</f>
        <v>33.835997905045303</v>
      </c>
      <c r="AK60" s="20">
        <f ca="1">'TR TUSD'!$AK$60*'TR TUSD'!$AK$71</f>
        <v>9.3189588661267155</v>
      </c>
      <c r="AL60" s="20">
        <f ca="1">SUM($AH$60:$AK$60)</f>
        <v>83.184258264678917</v>
      </c>
      <c r="AM60" s="20">
        <f ca="1">SUMIF($L$4:$AL$4,"SUBTOTAL",$L$60:$AL$60)</f>
        <v>474.86663275586722</v>
      </c>
      <c r="AP60" s="20">
        <f>IF((1 - CUSTOS!$M$31)&lt;&gt;0,1/(1 - CUSTOS!$M$31),1)</f>
        <v>1</v>
      </c>
    </row>
    <row r="61" spans="1:42" ht="11.25" customHeight="1" x14ac:dyDescent="0.25">
      <c r="A61" s="136" t="s">
        <v>47</v>
      </c>
      <c r="B61" s="136" t="s">
        <v>23</v>
      </c>
      <c r="C61" s="136" t="s">
        <v>48</v>
      </c>
      <c r="D61" s="22" t="s">
        <v>49</v>
      </c>
      <c r="E61" s="22" t="s">
        <v>25</v>
      </c>
      <c r="F61" s="22" t="s">
        <v>25</v>
      </c>
      <c r="G61" s="21" t="s">
        <v>96</v>
      </c>
      <c r="H61" s="21" t="s">
        <v>90</v>
      </c>
      <c r="I61" s="21">
        <f>'MERCADO TUSD'!$U$58</f>
        <v>259602.97000000003</v>
      </c>
      <c r="J61" s="17"/>
      <c r="L61" s="20">
        <f>'TR TUSD'!$L$61*'TR TUSD'!$L$71</f>
        <v>8.2759136180338153</v>
      </c>
      <c r="M61" s="20">
        <f>'TR TUSD'!$M$61*'TR TUSD'!$M$71</f>
        <v>0.48743493687433548</v>
      </c>
      <c r="N61" s="20">
        <f ca="1">'TR TUSD'!$N$61*'TR TUSD'!$N$71</f>
        <v>2.5023213022570197</v>
      </c>
      <c r="O61" s="20">
        <f>'TR TUSD'!$O$61*'TR TUSD'!$O$71</f>
        <v>-8.4070577241026961E-4</v>
      </c>
      <c r="P61" s="20">
        <f>'TR TUSD'!$P$61*'TR TUSD'!$P$71</f>
        <v>0</v>
      </c>
      <c r="Q61" s="20">
        <f>'TR TUSD'!$Q$61*'TR TUSD'!$Q$71</f>
        <v>20.58955094082248</v>
      </c>
      <c r="R61" s="20">
        <f>'TR TUSD'!$R$61*'TR TUSD'!$R$71</f>
        <v>8.0783710406781637</v>
      </c>
      <c r="S61" s="20">
        <f>'TR TUSD'!$S$61*'TR TUSD'!$S$71</f>
        <v>0</v>
      </c>
      <c r="T61" s="20">
        <f ca="1">SUM($L$61:$S$61)</f>
        <v>39.932751132893401</v>
      </c>
      <c r="U61" s="20">
        <f>'TR TUSD'!$U$61*'TR TUSD'!$U$71</f>
        <v>26.109153129010846</v>
      </c>
      <c r="V61" s="20">
        <f>'TR TUSD'!$V$61*'TR TUSD'!$V$71</f>
        <v>5.1153141731128944</v>
      </c>
      <c r="W61" s="20">
        <f>'TR TUSD'!$W$61*'TR TUSD'!$W$71</f>
        <v>1.4034514783008882</v>
      </c>
      <c r="X61" s="20">
        <f>'TR TUSD'!$X$61*'TR TUSD'!$X$71</f>
        <v>0</v>
      </c>
      <c r="Y61" s="20">
        <f>'TR TUSD'!$Y$61*'TR TUSD'!$Y$71</f>
        <v>0.84127185547851047</v>
      </c>
      <c r="Z61" s="20">
        <f>'TR TUSD'!$Z$61</f>
        <v>0</v>
      </c>
      <c r="AA61" s="20">
        <f>'TR TUSD'!$AA$61</f>
        <v>0</v>
      </c>
      <c r="AB61" s="20">
        <f>SUM($U$61:$AA$61)</f>
        <v>33.469190635903139</v>
      </c>
      <c r="AC61" s="20">
        <f>'TR TUSD'!$AC$61*'TR TUSD'!$AC$71</f>
        <v>142.02336420135703</v>
      </c>
      <c r="AD61" s="20">
        <f>SUM($AC$61:$AC$61)</f>
        <v>142.02336420135703</v>
      </c>
      <c r="AE61" s="20">
        <v>0</v>
      </c>
      <c r="AF61" s="20">
        <v>0</v>
      </c>
      <c r="AG61" s="20">
        <f>SUM($AE$61:$AF$61)</f>
        <v>0</v>
      </c>
      <c r="AH61" s="20">
        <f>'TR TUSD'!$AH$61*'TR TUSD'!$AH$71</f>
        <v>20.81420549394181</v>
      </c>
      <c r="AI61" s="20">
        <f>'TR TUSD'!$AI$61*'TR TUSD'!$AI$71</f>
        <v>1.2019103274869865</v>
      </c>
      <c r="AJ61" s="20">
        <f ca="1">'TR TUSD'!$AJ$61*'TR TUSD'!$AJ$71</f>
        <v>18.609798847774918</v>
      </c>
      <c r="AK61" s="20">
        <f ca="1">'TR TUSD'!$AK$61*'TR TUSD'!$AK$71</f>
        <v>5.1254273763696938</v>
      </c>
      <c r="AL61" s="20">
        <f ca="1">SUM($AH$61:$AK$61)</f>
        <v>45.751342045573402</v>
      </c>
      <c r="AM61" s="20">
        <f ca="1">SUMIF($L$4:$AL$4,"SUBTOTAL",$L$61:$AL$61)</f>
        <v>261.17664801572698</v>
      </c>
      <c r="AP61" s="20">
        <f>IF((1 - CUSTOS!$M$32)&lt;&gt;0,1/(1 - CUSTOS!$M$32),1)</f>
        <v>1.8181818181818181</v>
      </c>
    </row>
    <row r="62" spans="1:42" ht="11.25" customHeight="1" x14ac:dyDescent="0.25">
      <c r="A62" s="136"/>
      <c r="B62" s="136"/>
      <c r="C62" s="136"/>
      <c r="D62" s="21" t="s">
        <v>106</v>
      </c>
      <c r="E62" s="21" t="s">
        <v>25</v>
      </c>
      <c r="F62" s="21" t="s">
        <v>25</v>
      </c>
      <c r="G62" s="21" t="s">
        <v>96</v>
      </c>
      <c r="H62" s="21" t="s">
        <v>90</v>
      </c>
      <c r="I62" s="21">
        <f>'MERCADO TUSD'!$U$59</f>
        <v>0</v>
      </c>
      <c r="J62" s="17"/>
      <c r="L62" s="20">
        <f>'TR TUSD'!$L$62*'TR TUSD'!$L$71</f>
        <v>9.0282694014914338</v>
      </c>
      <c r="M62" s="20">
        <f>'TR TUSD'!$M$62*'TR TUSD'!$M$71</f>
        <v>0.53174720386291141</v>
      </c>
      <c r="N62" s="20">
        <f ca="1">'TR TUSD'!$N$62*'TR TUSD'!$N$71</f>
        <v>2.7298050570076575</v>
      </c>
      <c r="O62" s="20">
        <f>'TR TUSD'!$O$62*'TR TUSD'!$O$71</f>
        <v>-9.1713356990211214E-4</v>
      </c>
      <c r="P62" s="20">
        <f>'TR TUSD'!$P$62*'TR TUSD'!$P$71</f>
        <v>0</v>
      </c>
      <c r="Q62" s="20">
        <f>'TR TUSD'!$Q$62*'TR TUSD'!$Q$71</f>
        <v>22.461328299079067</v>
      </c>
      <c r="R62" s="20">
        <f>'TR TUSD'!$R$62*'TR TUSD'!$R$71</f>
        <v>8.8127684080125412</v>
      </c>
      <c r="S62" s="20">
        <f>'TR TUSD'!$S$62*'TR TUSD'!$S$71</f>
        <v>0</v>
      </c>
      <c r="T62" s="20">
        <f ca="1">SUM($L$62:$S$62)</f>
        <v>43.563001235883704</v>
      </c>
      <c r="U62" s="20">
        <f>'TR TUSD'!$U$62*'TR TUSD'!$U$71</f>
        <v>28.48271250437546</v>
      </c>
      <c r="V62" s="20">
        <f>'TR TUSD'!$V$62*'TR TUSD'!$V$71</f>
        <v>5.580342734304975</v>
      </c>
      <c r="W62" s="20">
        <f>'TR TUSD'!$W$62*'TR TUSD'!$W$71</f>
        <v>1.5310379763282416</v>
      </c>
      <c r="X62" s="20">
        <f>'TR TUSD'!$X$62*'TR TUSD'!$X$71</f>
        <v>0</v>
      </c>
      <c r="Y62" s="20">
        <f>'TR TUSD'!$Y$62*'TR TUSD'!$Y$71</f>
        <v>0.91775111506746587</v>
      </c>
      <c r="Z62" s="20">
        <f>'TR TUSD'!$Z$62</f>
        <v>0</v>
      </c>
      <c r="AA62" s="20">
        <f>'TR TUSD'!$AA$62</f>
        <v>0</v>
      </c>
      <c r="AB62" s="20">
        <f>SUM($U$62:$AA$62)</f>
        <v>36.511844330076144</v>
      </c>
      <c r="AC62" s="20">
        <f>'TR TUSD'!$AC$62*'TR TUSD'!$AC$71</f>
        <v>154.93457912875311</v>
      </c>
      <c r="AD62" s="20">
        <f>SUM($AC$62:$AC$62)</f>
        <v>154.93457912875311</v>
      </c>
      <c r="AE62" s="20">
        <v>0</v>
      </c>
      <c r="AF62" s="20">
        <v>0</v>
      </c>
      <c r="AG62" s="20">
        <f>SUM($AE$62:$AF$62)</f>
        <v>0</v>
      </c>
      <c r="AH62" s="20">
        <f>'TR TUSD'!$AH$62*'TR TUSD'!$AH$71</f>
        <v>22.706405993391062</v>
      </c>
      <c r="AI62" s="20">
        <f>'TR TUSD'!$AI$62*'TR TUSD'!$AI$71</f>
        <v>1.3111749027130759</v>
      </c>
      <c r="AJ62" s="20">
        <f ca="1">'TR TUSD'!$AJ$62*'TR TUSD'!$AJ$71</f>
        <v>20.301598743027181</v>
      </c>
      <c r="AK62" s="20">
        <f ca="1">'TR TUSD'!$AK$62*'TR TUSD'!$AK$71</f>
        <v>5.591375319676029</v>
      </c>
      <c r="AL62" s="20">
        <f ca="1">SUM($AH$62:$AK$62)</f>
        <v>49.910554958807353</v>
      </c>
      <c r="AM62" s="20">
        <f ca="1">SUMIF($L$4:$AL$4,"SUBTOTAL",$L$62:$AL$62)</f>
        <v>284.91997965352027</v>
      </c>
      <c r="AP62" s="20">
        <f>IF((1 - CUSTOS!$M$33)&lt;&gt;0,1/(1 - CUSTOS!$M$33),1)</f>
        <v>1.6666666666666667</v>
      </c>
    </row>
    <row r="64" spans="1:42" ht="11.25" customHeight="1" x14ac:dyDescent="0.25">
      <c r="K64" s="24" t="s">
        <v>863</v>
      </c>
      <c r="L64" s="20">
        <f>SUMPRODUCT($I$5:$I62,$L$5:$L62)</f>
        <v>45046098.522711933</v>
      </c>
      <c r="M64" s="20">
        <f>SUMPRODUCT($I$5:$I62,$M$5:$M62)</f>
        <v>2769548.2281110575</v>
      </c>
      <c r="N64" s="20">
        <f ca="1">SUMPRODUCT($I$5:$I62,$N$5:$N62)</f>
        <v>12804098.543733329</v>
      </c>
      <c r="O64" s="20">
        <f>SUMPRODUCT($I$5:$I62,$O$5:$O62)</f>
        <v>-1.8758328224066645E-12</v>
      </c>
      <c r="P64" s="20">
        <f>SUMPRODUCT($I$5:$I62,$P$5:$P62)</f>
        <v>0</v>
      </c>
      <c r="Q64" s="20">
        <f>SUMPRODUCT($I$5:$I62,$Q$5:$Q62)</f>
        <v>112069673.87837905</v>
      </c>
      <c r="R64" s="20">
        <f>SUMPRODUCT($I$5:$I62,$R$5:$R62)</f>
        <v>48847255.695742868</v>
      </c>
      <c r="S64" s="20">
        <f>SUMPRODUCT($I$5:$I62,$S$5:$S62)</f>
        <v>0</v>
      </c>
      <c r="T64" s="20">
        <f ca="1">SUMPRODUCT($I$5:$I62,$T$5:$T62)</f>
        <v>221536674.86867827</v>
      </c>
      <c r="U64" s="20">
        <f>SUMPRODUCT($I$5:$I62,$U$5:$U62)</f>
        <v>198072283.43166679</v>
      </c>
      <c r="V64" s="20">
        <f>SUMPRODUCT($I$5:$I62,$V$5:$V62)</f>
        <v>38770011.883000009</v>
      </c>
      <c r="W64" s="20">
        <f>SUMPRODUCT($I$5:$I62,$W$5:$W62)</f>
        <v>10859345.900317101</v>
      </c>
      <c r="X64" s="20">
        <f>SUMPRODUCT($I$5:$I62,$X$5:$X62)</f>
        <v>0</v>
      </c>
      <c r="Y64" s="20">
        <f>SUMPRODUCT($I$5:$I62,$Y$5:$Y62)</f>
        <v>5752402.4620710015</v>
      </c>
      <c r="Z64" s="20">
        <f>SUMPRODUCT($I$5:$I62,$Z$5:$Z62)</f>
        <v>0</v>
      </c>
      <c r="AA64" s="20">
        <f>SUMPRODUCT($I$5:$I62,$AA$5:$AA62)</f>
        <v>0</v>
      </c>
      <c r="AB64" s="20">
        <f>SUMPRODUCT($I$5:$I62,$AB$5:$AB62)</f>
        <v>253454043.67705488</v>
      </c>
      <c r="AC64" s="20">
        <f>SUMPRODUCT($I$5:$I62,$AC$5:$AC62)</f>
        <v>799023843.67477477</v>
      </c>
      <c r="AD64" s="20">
        <f>SUMPRODUCT($I$5:$I62,$AD$5:$AD62)</f>
        <v>799023843.67477477</v>
      </c>
      <c r="AE64" s="20">
        <f>SUMPRODUCT($I$5:$I62,$AE$5:$AE62)</f>
        <v>0</v>
      </c>
      <c r="AF64" s="20">
        <f>SUMPRODUCT($I$5:$I62,$AF$5:$AF62)</f>
        <v>0</v>
      </c>
      <c r="AG64" s="20">
        <f>SUMPRODUCT($I$5:$I62,$AG$5:$AG62)</f>
        <v>0</v>
      </c>
      <c r="AH64" s="20">
        <f>SUMPRODUCT($I$5:$I62,$AH$5:$AH62)</f>
        <v>111076260.92163469</v>
      </c>
      <c r="AI64" s="20">
        <f>SUMPRODUCT($I$5:$I62,$AI$5:$AI62)</f>
        <v>6572544.2354732482</v>
      </c>
      <c r="AJ64" s="20">
        <f ca="1">SUMPRODUCT($I$5:$I62,$AJ$5:$AJ62)</f>
        <v>112560597.91057952</v>
      </c>
      <c r="AK64" s="20">
        <f ca="1">SUMPRODUCT($I$5:$I62,$AK$5:$AK62)</f>
        <v>31000935.300297733</v>
      </c>
      <c r="AL64" s="20">
        <f ca="1">SUMPRODUCT($I$5:$I62,$AL$5:$AL62)</f>
        <v>261210338.36798519</v>
      </c>
      <c r="AM64" s="20">
        <f ca="1">SUMPRODUCT($I$5:$I62,$AM$5:$AM62)</f>
        <v>1535224900.5884933</v>
      </c>
    </row>
    <row r="65" spans="11:39" ht="11.25" customHeight="1" x14ac:dyDescent="0.25">
      <c r="K65" s="24" t="s">
        <v>795</v>
      </c>
      <c r="L65" s="20">
        <f>'TR TUSD'!$L$67</f>
        <v>45046098.522711933</v>
      </c>
      <c r="M65" s="20">
        <f>'TR TUSD'!$M$67</f>
        <v>2769548.228111058</v>
      </c>
      <c r="N65" s="20">
        <f>'TR TUSD'!$N$67</f>
        <v>12804098.543733332</v>
      </c>
      <c r="O65" s="20">
        <f>'TR TUSD'!$O$67</f>
        <v>0</v>
      </c>
      <c r="P65" s="20">
        <f>'TR TUSD'!$P$67</f>
        <v>0</v>
      </c>
      <c r="Q65" s="20">
        <f>'TR TUSD'!$Q$67</f>
        <v>112069673.87837905</v>
      </c>
      <c r="R65" s="20">
        <f>'TR TUSD'!$R$67</f>
        <v>48847255.695742868</v>
      </c>
      <c r="S65" s="20">
        <f>'TR TUSD'!$S$67</f>
        <v>0</v>
      </c>
      <c r="T65" s="20">
        <f>'TR TUSD'!$T$67</f>
        <v>221536674.86867824</v>
      </c>
      <c r="U65" s="20">
        <f>'TR TUSD'!$U$67</f>
        <v>198072283.4316667</v>
      </c>
      <c r="V65" s="20">
        <f>'TR TUSD'!$V$67</f>
        <v>38770011.883000001</v>
      </c>
      <c r="W65" s="20">
        <f>'TR TUSD'!$W$67</f>
        <v>10859345.900317101</v>
      </c>
      <c r="X65" s="20">
        <f>'TR TUSD'!$X$67</f>
        <v>0</v>
      </c>
      <c r="Y65" s="20">
        <f>'TR TUSD'!$Y$67</f>
        <v>5752402.4620709997</v>
      </c>
      <c r="Z65" s="20">
        <f>'TR TUSD'!$Z$67</f>
        <v>0</v>
      </c>
      <c r="AA65" s="20">
        <f>'TR TUSD'!$AA$67</f>
        <v>0</v>
      </c>
      <c r="AB65" s="20">
        <f>'TR TUSD'!$AB$67</f>
        <v>253454043.67705479</v>
      </c>
      <c r="AC65" s="20">
        <f>'TR TUSD'!$AC$67</f>
        <v>799023843.67477477</v>
      </c>
      <c r="AD65" s="20">
        <f>'TR TUSD'!$AD$67</f>
        <v>799023843.67477477</v>
      </c>
      <c r="AE65" s="20">
        <f>'TR TUSD'!$AE$67</f>
        <v>0</v>
      </c>
      <c r="AF65" s="20">
        <f>'TR TUSD'!$AF$67</f>
        <v>0</v>
      </c>
      <c r="AG65" s="20">
        <f>'TR TUSD'!$AG$67</f>
        <v>0</v>
      </c>
      <c r="AH65" s="20">
        <f>'TR TUSD'!$AH$67</f>
        <v>111076260.92163464</v>
      </c>
      <c r="AI65" s="20">
        <f>'TR TUSD'!$AI$67</f>
        <v>6572544.2354732472</v>
      </c>
      <c r="AJ65" s="20">
        <f>'TR TUSD'!$AJ$67</f>
        <v>112560597.91057952</v>
      </c>
      <c r="AK65" s="20">
        <f>'TR TUSD'!$AK$67</f>
        <v>31000935.30029773</v>
      </c>
      <c r="AL65" s="20">
        <f>'TR TUSD'!$AL$67</f>
        <v>261210338.36798513</v>
      </c>
      <c r="AM65" s="20">
        <f>CUSTOS!$D$29</f>
        <v>1535224900.5884929</v>
      </c>
    </row>
    <row r="66" spans="11:39" ht="11.25" customHeight="1" x14ac:dyDescent="0.25">
      <c r="K66" s="24" t="s">
        <v>796</v>
      </c>
      <c r="L66" s="20">
        <f>CUSTOS!$E$2</f>
        <v>-14395974.052707948</v>
      </c>
      <c r="M66" s="20">
        <f>CUSTOS!$E$3</f>
        <v>-50694.141532888345</v>
      </c>
      <c r="N66" s="20">
        <f>CUSTOS!$E$4</f>
        <v>0</v>
      </c>
      <c r="O66" s="20">
        <f>CUSTOS!$E$5</f>
        <v>0</v>
      </c>
      <c r="P66" s="20">
        <f>CUSTOS!$E$6</f>
        <v>0</v>
      </c>
      <c r="Q66" s="20">
        <f>CUSTOS!$E$7</f>
        <v>132011.34470006451</v>
      </c>
      <c r="R66" s="20">
        <f>CUSTOS!$E$8</f>
        <v>556049.04218044598</v>
      </c>
      <c r="S66" s="20">
        <f>CUSTOS!$E$9</f>
        <v>0</v>
      </c>
      <c r="T66" s="20">
        <f>CUSTOS!$E$10</f>
        <v>-13758607.807360325</v>
      </c>
      <c r="U66" s="20">
        <f>CUSTOS!$E$11</f>
        <v>-62777918.103615426</v>
      </c>
      <c r="V66" s="20">
        <f>CUSTOS!$E$12</f>
        <v>-3417080.4985867236</v>
      </c>
      <c r="W66" s="20">
        <f>CUSTOS!$E$13</f>
        <v>-384108.67816110188</v>
      </c>
      <c r="X66" s="20">
        <f>CUSTOS!$E$14</f>
        <v>0</v>
      </c>
      <c r="Y66" s="20">
        <f>CUSTOS!$E$15</f>
        <v>-445013.06078690162</v>
      </c>
      <c r="Z66" s="20">
        <f>CUSTOS!$E$16</f>
        <v>0</v>
      </c>
      <c r="AA66" s="20">
        <f>CUSTOS!$E$17</f>
        <v>0</v>
      </c>
      <c r="AB66" s="20">
        <f>CUSTOS!$E$18</f>
        <v>-67024085.051537625</v>
      </c>
      <c r="AC66" s="20">
        <f>CUSTOS!$E$19</f>
        <v>152456.94405601404</v>
      </c>
      <c r="AD66" s="20">
        <f>CUSTOS!$E$20</f>
        <v>152456.94405601404</v>
      </c>
      <c r="AE66" s="20">
        <f>CUSTOS!$E$21</f>
        <v>1920127.5830976302</v>
      </c>
      <c r="AF66" s="20">
        <f>CUSTOS!$E$22</f>
        <v>0</v>
      </c>
      <c r="AG66" s="20">
        <f>CUSTOS!$E$23</f>
        <v>1920127.5830976302</v>
      </c>
      <c r="AH66" s="20">
        <f>CUSTOS!$E$24</f>
        <v>-6825620.4049783899</v>
      </c>
      <c r="AI66" s="20">
        <f>CUSTOS!$E$25</f>
        <v>-403881.90666518419</v>
      </c>
      <c r="AJ66" s="20">
        <f>CUSTOS!$E$26</f>
        <v>-6916832.701427171</v>
      </c>
      <c r="AK66" s="20">
        <f>CUSTOS!$E$27</f>
        <v>6518294.0356907388</v>
      </c>
      <c r="AL66" s="20">
        <f>CUSTOS!$E$28</f>
        <v>-7628040.9773800066</v>
      </c>
      <c r="AM66" s="20">
        <f>CUSTOS!$E$29</f>
        <v>-86338149.309124306</v>
      </c>
    </row>
    <row r="67" spans="11:39" ht="11.25" customHeight="1" x14ac:dyDescent="0.25">
      <c r="K67" s="24" t="s">
        <v>797</v>
      </c>
      <c r="L67" s="20">
        <f>CUSTOS!$F$2</f>
        <v>273872.01690481725</v>
      </c>
      <c r="M67" s="20">
        <f>CUSTOS!$F$3</f>
        <v>0</v>
      </c>
      <c r="N67" s="20">
        <f>CUSTOS!$F$4</f>
        <v>0</v>
      </c>
      <c r="O67" s="20">
        <f>CUSTOS!$F$5</f>
        <v>0</v>
      </c>
      <c r="P67" s="20">
        <f>CUSTOS!$F$6</f>
        <v>0</v>
      </c>
      <c r="Q67" s="20">
        <f>CUSTOS!$F$7</f>
        <v>9515185.9875000007</v>
      </c>
      <c r="R67" s="20">
        <f>CUSTOS!$F$8</f>
        <v>6104847.8399999999</v>
      </c>
      <c r="S67" s="20">
        <f>CUSTOS!$F$9</f>
        <v>0</v>
      </c>
      <c r="T67" s="20">
        <f>CUSTOS!$F$10</f>
        <v>15893905.844404818</v>
      </c>
      <c r="U67" s="20">
        <f>CUSTOS!$F$11</f>
        <v>10445465.121397715</v>
      </c>
      <c r="V67" s="20">
        <f>CUSTOS!$F$12</f>
        <v>2044560.7021022863</v>
      </c>
      <c r="W67" s="20">
        <f>CUSTOS!$F$13</f>
        <v>0</v>
      </c>
      <c r="X67" s="20">
        <f>CUSTOS!$F$14</f>
        <v>0</v>
      </c>
      <c r="Y67" s="20">
        <f>CUSTOS!$F$15</f>
        <v>0</v>
      </c>
      <c r="Z67" s="20">
        <f>CUSTOS!$F$16</f>
        <v>0</v>
      </c>
      <c r="AA67" s="20">
        <f>CUSTOS!$F$17</f>
        <v>0</v>
      </c>
      <c r="AB67" s="20">
        <f>CUSTOS!$F$18</f>
        <v>12490025.823500002</v>
      </c>
      <c r="AC67" s="20">
        <f>CUSTOS!$F$19</f>
        <v>0</v>
      </c>
      <c r="AD67" s="20">
        <f>CUSTOS!$F$20</f>
        <v>0</v>
      </c>
      <c r="AE67" s="20">
        <f>CUSTOS!$F$21</f>
        <v>0</v>
      </c>
      <c r="AF67" s="20">
        <f>CUSTOS!$F$22</f>
        <v>0</v>
      </c>
      <c r="AG67" s="20">
        <f>CUSTOS!$F$23</f>
        <v>0</v>
      </c>
      <c r="AH67" s="20">
        <f>CUSTOS!$F$24</f>
        <v>9438438.57154564</v>
      </c>
      <c r="AI67" s="20">
        <f>CUSTOS!$F$25</f>
        <v>558486.16536567255</v>
      </c>
      <c r="AJ67" s="20">
        <f>CUSTOS!$F$26</f>
        <v>9564566.5432056971</v>
      </c>
      <c r="AK67" s="20">
        <f>CUSTOS!$F$27</f>
        <v>0</v>
      </c>
      <c r="AL67" s="20">
        <f>CUSTOS!$F$28</f>
        <v>19561491.280117009</v>
      </c>
      <c r="AM67" s="20">
        <f>CUSTOS!$F$29</f>
        <v>47945422.948021829</v>
      </c>
    </row>
    <row r="68" spans="11:39" ht="11.25" customHeight="1" x14ac:dyDescent="0.25">
      <c r="K68" s="24" t="s">
        <v>860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f>SUM($L$68:$S$68)</f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0</v>
      </c>
      <c r="AB68" s="20">
        <f>SUM($U$68:$AA$68)</f>
        <v>0</v>
      </c>
      <c r="AC68" s="20">
        <v>0</v>
      </c>
      <c r="AD68" s="20">
        <f>SUM($AC$68:$AC$68)</f>
        <v>0</v>
      </c>
      <c r="AE68" s="20">
        <v>0</v>
      </c>
      <c r="AF68" s="20">
        <v>0</v>
      </c>
      <c r="AG68" s="20">
        <f>SUM($AE$68:$AF$68)</f>
        <v>0</v>
      </c>
      <c r="AH68" s="20">
        <v>0</v>
      </c>
      <c r="AI68" s="20">
        <v>0</v>
      </c>
      <c r="AJ68" s="20">
        <v>0</v>
      </c>
      <c r="AK68" s="20">
        <v>0</v>
      </c>
      <c r="AL68" s="20">
        <f>SUM($AH$68:$AK$68)</f>
        <v>0</v>
      </c>
      <c r="AM68" s="20">
        <f>SUMIF($L$4:$AL$4,"SUBTOTAL",$L$68:$AL$68)</f>
        <v>0</v>
      </c>
    </row>
    <row r="69" spans="11:39" ht="11.25" customHeight="1" x14ac:dyDescent="0.25">
      <c r="K69" s="24" t="s">
        <v>864</v>
      </c>
      <c r="L69" s="20">
        <f t="shared" ref="L69:R69" si="0">IF((L64-(0))&lt;&gt;0,(L66)/(L64-(0)),0)</f>
        <v>-0.31958314981373132</v>
      </c>
      <c r="M69" s="20">
        <f t="shared" si="0"/>
        <v>-1.8304119429421808E-2</v>
      </c>
      <c r="N69" s="20">
        <f t="shared" ca="1" si="0"/>
        <v>0</v>
      </c>
      <c r="O69" s="20">
        <f t="shared" si="0"/>
        <v>0</v>
      </c>
      <c r="P69" s="20">
        <f t="shared" si="0"/>
        <v>0</v>
      </c>
      <c r="Q69" s="20">
        <f t="shared" si="0"/>
        <v>1.1779399380007717E-3</v>
      </c>
      <c r="R69" s="20">
        <f t="shared" si="0"/>
        <v>1.1383424396325026E-2</v>
      </c>
      <c r="S69" s="20">
        <f>IF((R64-(0)&lt;&gt;0),(S66)/(R64-(0)),0)</f>
        <v>0</v>
      </c>
      <c r="T69" s="20"/>
      <c r="U69" s="20">
        <f t="shared" ref="U69:AA69" si="1">IF((U64-(0))&lt;&gt;0,(U66)/(U64-(0)),0)</f>
        <v>-0.31694448620456916</v>
      </c>
      <c r="V69" s="20">
        <f t="shared" si="1"/>
        <v>-8.8137205345687683E-2</v>
      </c>
      <c r="W69" s="20">
        <f t="shared" si="1"/>
        <v>-3.5371253635993458E-2</v>
      </c>
      <c r="X69" s="20">
        <f t="shared" si="1"/>
        <v>0</v>
      </c>
      <c r="Y69" s="20">
        <f t="shared" si="1"/>
        <v>-7.7361252749809567E-2</v>
      </c>
      <c r="Z69" s="20">
        <f t="shared" si="1"/>
        <v>0</v>
      </c>
      <c r="AA69" s="20">
        <f t="shared" si="1"/>
        <v>0</v>
      </c>
      <c r="AB69" s="20"/>
      <c r="AC69" s="20">
        <f>IF((AC64-(0))&lt;&gt;0,(AC66)/(AC64-(0)),0)</f>
        <v>1.9080399823220834E-4</v>
      </c>
      <c r="AD69" s="20"/>
      <c r="AE69" s="20">
        <f ca="1">IF(($AM64-(0))&lt;&gt;0,(AE66)/($AM64-(0)),0)</f>
        <v>1.2507141998293495E-3</v>
      </c>
      <c r="AF69" s="20">
        <f ca="1">IF(($AM64-(0))&lt;&gt;0,(AF66)/($AM64-(0)),0)</f>
        <v>0</v>
      </c>
      <c r="AG69" s="20"/>
      <c r="AH69" s="20">
        <f>IF((AH64-(0))&lt;&gt;0,(AH66)/(AH64-(0)),0)</f>
        <v>-6.1449857497399257E-2</v>
      </c>
      <c r="AI69" s="20">
        <f>IF((AI64-(0))&lt;&gt;0,(AI66)/(AI64-(0)),0)</f>
        <v>-6.1449857497399278E-2</v>
      </c>
      <c r="AJ69" s="20">
        <f ca="1">IF((AJ64-(0))&lt;&gt;0,(AJ66)/(AJ64-(0)),0)</f>
        <v>-6.1449857497399285E-2</v>
      </c>
      <c r="AK69" s="20">
        <f ca="1">IF((AK64-(0))&lt;&gt;0,(AK66)/(AK64-(0)),0)</f>
        <v>0.2102612057523354</v>
      </c>
      <c r="AL69" s="20"/>
      <c r="AM69" s="20"/>
    </row>
  </sheetData>
  <mergeCells count="89">
    <mergeCell ref="E56:E58"/>
    <mergeCell ref="F56:F58"/>
    <mergeCell ref="A61:A62"/>
    <mergeCell ref="B61:B62"/>
    <mergeCell ref="C61:C62"/>
    <mergeCell ref="D56:D58"/>
    <mergeCell ref="B53:B55"/>
    <mergeCell ref="C53:C55"/>
    <mergeCell ref="A56:A60"/>
    <mergeCell ref="B56:B58"/>
    <mergeCell ref="C56:C58"/>
    <mergeCell ref="A41:A55"/>
    <mergeCell ref="B41:B43"/>
    <mergeCell ref="C41:C43"/>
    <mergeCell ref="B49:B51"/>
    <mergeCell ref="C49:C51"/>
    <mergeCell ref="B45:B47"/>
    <mergeCell ref="C45:C47"/>
    <mergeCell ref="D49:D51"/>
    <mergeCell ref="E49:E51"/>
    <mergeCell ref="F49:F51"/>
    <mergeCell ref="D41:D43"/>
    <mergeCell ref="E41:E43"/>
    <mergeCell ref="F41:F43"/>
    <mergeCell ref="D45:D47"/>
    <mergeCell ref="E45:E47"/>
    <mergeCell ref="F45:F47"/>
    <mergeCell ref="A28:A40"/>
    <mergeCell ref="B28:B30"/>
    <mergeCell ref="C28:C30"/>
    <mergeCell ref="D28:D30"/>
    <mergeCell ref="E28:E30"/>
    <mergeCell ref="F28:F30"/>
    <mergeCell ref="B31:B35"/>
    <mergeCell ref="C31:C35"/>
    <mergeCell ref="B36:B40"/>
    <mergeCell ref="C36:C40"/>
    <mergeCell ref="F24:F25"/>
    <mergeCell ref="A26:A27"/>
    <mergeCell ref="B26:B27"/>
    <mergeCell ref="C26:C27"/>
    <mergeCell ref="D26:D27"/>
    <mergeCell ref="B21:B25"/>
    <mergeCell ref="C21:C25"/>
    <mergeCell ref="D21:D25"/>
    <mergeCell ref="E21:E23"/>
    <mergeCell ref="F21:F23"/>
    <mergeCell ref="A13:A25"/>
    <mergeCell ref="E24:E25"/>
    <mergeCell ref="F13:F15"/>
    <mergeCell ref="B17:B19"/>
    <mergeCell ref="C17:C19"/>
    <mergeCell ref="D17:D19"/>
    <mergeCell ref="E17:E19"/>
    <mergeCell ref="F17:F19"/>
    <mergeCell ref="B13:B16"/>
    <mergeCell ref="C13:C16"/>
    <mergeCell ref="D13:D16"/>
    <mergeCell ref="E13:E15"/>
    <mergeCell ref="A1:A4"/>
    <mergeCell ref="C9:C11"/>
    <mergeCell ref="D9:D11"/>
    <mergeCell ref="E9:E11"/>
    <mergeCell ref="F9:F11"/>
    <mergeCell ref="F5:F7"/>
    <mergeCell ref="B9:B11"/>
    <mergeCell ref="A5:A12"/>
    <mergeCell ref="B5:B8"/>
    <mergeCell ref="C5:C8"/>
    <mergeCell ref="D5:D8"/>
    <mergeCell ref="E5:E7"/>
    <mergeCell ref="B1:B4"/>
    <mergeCell ref="C1:C4"/>
    <mergeCell ref="D1:D4"/>
    <mergeCell ref="E1:E4"/>
    <mergeCell ref="AP1:AP4"/>
    <mergeCell ref="L2:AM2"/>
    <mergeCell ref="L3:T3"/>
    <mergeCell ref="U3:AB3"/>
    <mergeCell ref="AC3:AD3"/>
    <mergeCell ref="AE3:AG3"/>
    <mergeCell ref="AH3:AL3"/>
    <mergeCell ref="AM3:AM4"/>
    <mergeCell ref="F1:F4"/>
    <mergeCell ref="J1:J4"/>
    <mergeCell ref="L1:AM1"/>
    <mergeCell ref="G1:G4"/>
    <mergeCell ref="H1:H4"/>
    <mergeCell ref="I1:I4"/>
  </mergeCells>
  <conditionalFormatting sqref="L64">
    <cfRule type="cellIs" dxfId="1539" priority="55" operator="notEqual">
      <formula>$L$65-$L$68</formula>
    </cfRule>
    <cfRule type="cellIs" dxfId="1538" priority="56" operator="equal">
      <formula>$L$65-$L$68</formula>
    </cfRule>
  </conditionalFormatting>
  <conditionalFormatting sqref="M64">
    <cfRule type="cellIs" dxfId="1537" priority="53" operator="notEqual">
      <formula>$M$65-$M$68</formula>
    </cfRule>
    <cfRule type="cellIs" dxfId="1536" priority="54" operator="equal">
      <formula>$M$65-$M$68</formula>
    </cfRule>
  </conditionalFormatting>
  <conditionalFormatting sqref="N64">
    <cfRule type="cellIs" dxfId="1535" priority="51" operator="notEqual">
      <formula>$N$65-$N$68</formula>
    </cfRule>
    <cfRule type="cellIs" dxfId="1534" priority="52" operator="equal">
      <formula>$N$65-$N$68</formula>
    </cfRule>
  </conditionalFormatting>
  <conditionalFormatting sqref="O64">
    <cfRule type="cellIs" dxfId="1533" priority="49" operator="notEqual">
      <formula>$O$65-$O$68</formula>
    </cfRule>
    <cfRule type="cellIs" dxfId="1532" priority="50" operator="equal">
      <formula>$O$65-$O$68</formula>
    </cfRule>
  </conditionalFormatting>
  <conditionalFormatting sqref="P64">
    <cfRule type="cellIs" dxfId="1531" priority="47" operator="notEqual">
      <formula>$P$65-$P$68</formula>
    </cfRule>
    <cfRule type="cellIs" dxfId="1530" priority="48" operator="equal">
      <formula>$P$65-$P$68</formula>
    </cfRule>
  </conditionalFormatting>
  <conditionalFormatting sqref="Q64">
    <cfRule type="cellIs" dxfId="1529" priority="45" operator="notEqual">
      <formula>$Q$65-$Q$68</formula>
    </cfRule>
    <cfRule type="cellIs" dxfId="1528" priority="46" operator="equal">
      <formula>$Q$65-$Q$68</formula>
    </cfRule>
  </conditionalFormatting>
  <conditionalFormatting sqref="R64">
    <cfRule type="cellIs" dxfId="1527" priority="43" operator="notEqual">
      <formula>$R$65-$R$68</formula>
    </cfRule>
    <cfRule type="cellIs" dxfId="1526" priority="44" operator="equal">
      <formula>$R$65-$R$68</formula>
    </cfRule>
  </conditionalFormatting>
  <conditionalFormatting sqref="S64">
    <cfRule type="cellIs" dxfId="1525" priority="41" operator="notEqual">
      <formula>$S$65-$S$68</formula>
    </cfRule>
    <cfRule type="cellIs" dxfId="1524" priority="42" operator="equal">
      <formula>$S$65-$S$68</formula>
    </cfRule>
  </conditionalFormatting>
  <conditionalFormatting sqref="T64">
    <cfRule type="cellIs" dxfId="1523" priority="39" operator="notEqual">
      <formula>$T$65-$T$68</formula>
    </cfRule>
    <cfRule type="cellIs" dxfId="1522" priority="40" operator="equal">
      <formula>$T$65-$T$68</formula>
    </cfRule>
  </conditionalFormatting>
  <conditionalFormatting sqref="U64">
    <cfRule type="cellIs" dxfId="1521" priority="37" operator="notEqual">
      <formula>$U$65-$U$68</formula>
    </cfRule>
    <cfRule type="cellIs" dxfId="1520" priority="38" operator="equal">
      <formula>$U$65-$U$68</formula>
    </cfRule>
  </conditionalFormatting>
  <conditionalFormatting sqref="V64">
    <cfRule type="cellIs" dxfId="1519" priority="35" operator="notEqual">
      <formula>$V$65-$V$68</formula>
    </cfRule>
    <cfRule type="cellIs" dxfId="1518" priority="36" operator="equal">
      <formula>$V$65-$V$68</formula>
    </cfRule>
  </conditionalFormatting>
  <conditionalFormatting sqref="W64">
    <cfRule type="cellIs" dxfId="1517" priority="33" operator="notEqual">
      <formula>$W$65-$W$68</formula>
    </cfRule>
    <cfRule type="cellIs" dxfId="1516" priority="34" operator="equal">
      <formula>$W$65-$W$68</formula>
    </cfRule>
  </conditionalFormatting>
  <conditionalFormatting sqref="X64">
    <cfRule type="cellIs" dxfId="1515" priority="31" operator="notEqual">
      <formula>$X$65-$X$68</formula>
    </cfRule>
    <cfRule type="cellIs" dxfId="1514" priority="32" operator="equal">
      <formula>$X$65-$X$68</formula>
    </cfRule>
  </conditionalFormatting>
  <conditionalFormatting sqref="Y64">
    <cfRule type="cellIs" dxfId="1513" priority="29" operator="notEqual">
      <formula>$Y$65-$Y$68</formula>
    </cfRule>
    <cfRule type="cellIs" dxfId="1512" priority="30" operator="equal">
      <formula>$Y$65-$Y$68</formula>
    </cfRule>
  </conditionalFormatting>
  <conditionalFormatting sqref="Z64">
    <cfRule type="cellIs" dxfId="1511" priority="27" operator="notEqual">
      <formula>$Z$65-$Z$68</formula>
    </cfRule>
    <cfRule type="cellIs" dxfId="1510" priority="28" operator="equal">
      <formula>$Z$65-$Z$68</formula>
    </cfRule>
  </conditionalFormatting>
  <conditionalFormatting sqref="AA64">
    <cfRule type="cellIs" dxfId="1509" priority="25" operator="notEqual">
      <formula>$AA$65-$AA$68</formula>
    </cfRule>
    <cfRule type="cellIs" dxfId="1508" priority="26" operator="equal">
      <formula>$AA$65-$AA$68</formula>
    </cfRule>
  </conditionalFormatting>
  <conditionalFormatting sqref="AB64">
    <cfRule type="cellIs" dxfId="1507" priority="23" operator="notEqual">
      <formula>$AB$65-$AB$68</formula>
    </cfRule>
    <cfRule type="cellIs" dxfId="1506" priority="24" operator="equal">
      <formula>$AB$65-$AB$68</formula>
    </cfRule>
  </conditionalFormatting>
  <conditionalFormatting sqref="AC64">
    <cfRule type="cellIs" dxfId="1505" priority="21" operator="notEqual">
      <formula>$AC$65-$AC$68</formula>
    </cfRule>
    <cfRule type="cellIs" dxfId="1504" priority="22" operator="equal">
      <formula>$AC$65-$AC$68</formula>
    </cfRule>
  </conditionalFormatting>
  <conditionalFormatting sqref="AD64">
    <cfRule type="cellIs" dxfId="1503" priority="19" operator="notEqual">
      <formula>$AD$65-$AD$68</formula>
    </cfRule>
    <cfRule type="cellIs" dxfId="1502" priority="20" operator="equal">
      <formula>$AD$65-$AD$68</formula>
    </cfRule>
  </conditionalFormatting>
  <conditionalFormatting sqref="AE64">
    <cfRule type="cellIs" dxfId="1501" priority="17" operator="notEqual">
      <formula>$AE$65-$AE$68</formula>
    </cfRule>
    <cfRule type="cellIs" dxfId="1500" priority="18" operator="equal">
      <formula>$AE$65-$AE$68</formula>
    </cfRule>
  </conditionalFormatting>
  <conditionalFormatting sqref="AF64">
    <cfRule type="cellIs" dxfId="1499" priority="16" operator="equal">
      <formula>$AF$65-$AF$68</formula>
    </cfRule>
  </conditionalFormatting>
  <conditionalFormatting sqref="AF64">
    <cfRule type="cellIs" dxfId="1498" priority="15" operator="notEqual">
      <formula>$AF$65-$AF$68</formula>
    </cfRule>
  </conditionalFormatting>
  <conditionalFormatting sqref="AG64">
    <cfRule type="cellIs" dxfId="1497" priority="14" operator="equal">
      <formula>$AG$65-$AG$68</formula>
    </cfRule>
  </conditionalFormatting>
  <conditionalFormatting sqref="AG64">
    <cfRule type="cellIs" dxfId="1496" priority="13" operator="notEqual">
      <formula>$AG$65-$AG$68</formula>
    </cfRule>
  </conditionalFormatting>
  <conditionalFormatting sqref="AH64">
    <cfRule type="cellIs" dxfId="1495" priority="12" operator="equal">
      <formula>$AH$65-$AH$68</formula>
    </cfRule>
  </conditionalFormatting>
  <conditionalFormatting sqref="AH64">
    <cfRule type="cellIs" dxfId="1494" priority="11" operator="notEqual">
      <formula>$AH$65-$AH$68</formula>
    </cfRule>
  </conditionalFormatting>
  <conditionalFormatting sqref="AI64">
    <cfRule type="cellIs" dxfId="1493" priority="10" operator="equal">
      <formula>$AI$65-$AI$68</formula>
    </cfRule>
  </conditionalFormatting>
  <conditionalFormatting sqref="AI64">
    <cfRule type="cellIs" dxfId="1492" priority="9" operator="notEqual">
      <formula>$AI$65-$AI$68</formula>
    </cfRule>
  </conditionalFormatting>
  <conditionalFormatting sqref="AJ64">
    <cfRule type="cellIs" dxfId="1491" priority="8" operator="equal">
      <formula>$AJ$65-$AJ$68</formula>
    </cfRule>
  </conditionalFormatting>
  <conditionalFormatting sqref="AJ64">
    <cfRule type="cellIs" dxfId="1490" priority="7" operator="notEqual">
      <formula>$AJ$65-$AJ$68</formula>
    </cfRule>
  </conditionalFormatting>
  <conditionalFormatting sqref="AK64">
    <cfRule type="cellIs" dxfId="1489" priority="6" operator="equal">
      <formula>$AK$65-$AK$68</formula>
    </cfRule>
  </conditionalFormatting>
  <conditionalFormatting sqref="AK64">
    <cfRule type="cellIs" dxfId="1488" priority="5" operator="notEqual">
      <formula>$AK$65-$AK$68</formula>
    </cfRule>
  </conditionalFormatting>
  <conditionalFormatting sqref="AL64">
    <cfRule type="cellIs" dxfId="1487" priority="4" operator="equal">
      <formula>$AL$65-$AL$68</formula>
    </cfRule>
  </conditionalFormatting>
  <conditionalFormatting sqref="AL64">
    <cfRule type="cellIs" dxfId="1486" priority="3" operator="notEqual">
      <formula>$AL$65-$AL$68</formula>
    </cfRule>
  </conditionalFormatting>
  <conditionalFormatting sqref="AM64">
    <cfRule type="cellIs" dxfId="1485" priority="2" operator="equal">
      <formula>$AM$65-$AM$68</formula>
    </cfRule>
  </conditionalFormatting>
  <conditionalFormatting sqref="AM64">
    <cfRule type="cellIs" dxfId="1484" priority="1" operator="notEqual">
      <formula>$AM$65-$AM$68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38AB-DD1C-4E8A-8C09-50DD66460FF8}">
  <dimension ref="A1:AP69"/>
  <sheetViews>
    <sheetView showGridLines="0" topLeftCell="X40" workbookViewId="0">
      <selection activeCell="AO64" sqref="AO64:AP6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5" width="15.42578125" style="9" bestFit="1" customWidth="1"/>
    <col min="16" max="16" width="4.4257812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0" width="15.42578125" style="9" bestFit="1" customWidth="1"/>
    <col min="21" max="21" width="11.7109375" style="9" bestFit="1" customWidth="1"/>
    <col min="22" max="23" width="10.85546875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5.42578125" style="9" bestFit="1" customWidth="1"/>
    <col min="40" max="40" width="9.140625" style="9"/>
    <col min="41" max="42" width="13.140625" style="9" bestFit="1" customWidth="1"/>
    <col min="43" max="16384" width="9.140625" style="9"/>
  </cols>
  <sheetData>
    <row r="1" spans="1:42" ht="11.25" customHeight="1" x14ac:dyDescent="0.25">
      <c r="A1" s="132" t="s">
        <v>80</v>
      </c>
      <c r="B1" s="132" t="s">
        <v>81</v>
      </c>
      <c r="C1" s="132" t="s">
        <v>82</v>
      </c>
      <c r="D1" s="132" t="s">
        <v>83</v>
      </c>
      <c r="E1" s="132" t="s">
        <v>84</v>
      </c>
      <c r="F1" s="132" t="s">
        <v>15</v>
      </c>
      <c r="G1" s="132" t="s">
        <v>86</v>
      </c>
      <c r="H1" s="132" t="s">
        <v>87</v>
      </c>
      <c r="I1" s="132" t="s">
        <v>854</v>
      </c>
      <c r="J1" s="130"/>
      <c r="L1" s="133" t="s">
        <v>871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30"/>
      <c r="AP1" s="137" t="s">
        <v>856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30"/>
      <c r="L2" s="133" t="s">
        <v>754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30"/>
      <c r="AP2" s="138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30"/>
      <c r="L3" s="133" t="s">
        <v>755</v>
      </c>
      <c r="M3" s="133"/>
      <c r="N3" s="133"/>
      <c r="O3" s="133"/>
      <c r="P3" s="133"/>
      <c r="Q3" s="133"/>
      <c r="R3" s="133"/>
      <c r="S3" s="133"/>
      <c r="T3" s="133"/>
      <c r="U3" s="133" t="s">
        <v>764</v>
      </c>
      <c r="V3" s="133"/>
      <c r="W3" s="133"/>
      <c r="X3" s="133"/>
      <c r="Y3" s="133"/>
      <c r="Z3" s="133"/>
      <c r="AA3" s="133"/>
      <c r="AB3" s="133"/>
      <c r="AC3" s="133" t="s">
        <v>772</v>
      </c>
      <c r="AD3" s="133"/>
      <c r="AE3" s="133" t="s">
        <v>774</v>
      </c>
      <c r="AF3" s="133"/>
      <c r="AG3" s="133"/>
      <c r="AH3" s="133" t="s">
        <v>777</v>
      </c>
      <c r="AI3" s="133"/>
      <c r="AJ3" s="133"/>
      <c r="AK3" s="133"/>
      <c r="AL3" s="133"/>
      <c r="AM3" s="133" t="s">
        <v>763</v>
      </c>
      <c r="AO3" s="30"/>
      <c r="AP3" s="138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30"/>
      <c r="L4" s="26" t="s">
        <v>839</v>
      </c>
      <c r="M4" s="26" t="s">
        <v>756</v>
      </c>
      <c r="N4" s="26" t="s">
        <v>757</v>
      </c>
      <c r="O4" s="26" t="s">
        <v>758</v>
      </c>
      <c r="P4" s="26" t="s">
        <v>759</v>
      </c>
      <c r="Q4" s="26" t="s">
        <v>760</v>
      </c>
      <c r="R4" s="26" t="s">
        <v>761</v>
      </c>
      <c r="S4" s="26" t="s">
        <v>762</v>
      </c>
      <c r="T4" s="26" t="s">
        <v>763</v>
      </c>
      <c r="U4" s="26" t="s">
        <v>765</v>
      </c>
      <c r="V4" s="26" t="s">
        <v>766</v>
      </c>
      <c r="W4" s="26" t="s">
        <v>767</v>
      </c>
      <c r="X4" s="26" t="s">
        <v>768</v>
      </c>
      <c r="Y4" s="26" t="s">
        <v>769</v>
      </c>
      <c r="Z4" s="26" t="s">
        <v>770</v>
      </c>
      <c r="AA4" s="26" t="s">
        <v>771</v>
      </c>
      <c r="AB4" s="26" t="s">
        <v>763</v>
      </c>
      <c r="AC4" s="26" t="s">
        <v>773</v>
      </c>
      <c r="AD4" s="26" t="s">
        <v>763</v>
      </c>
      <c r="AE4" s="26" t="s">
        <v>775</v>
      </c>
      <c r="AF4" s="26" t="s">
        <v>776</v>
      </c>
      <c r="AG4" s="26" t="s">
        <v>763</v>
      </c>
      <c r="AH4" s="26" t="s">
        <v>778</v>
      </c>
      <c r="AI4" s="26" t="s">
        <v>779</v>
      </c>
      <c r="AJ4" s="26" t="s">
        <v>780</v>
      </c>
      <c r="AK4" s="26" t="s">
        <v>781</v>
      </c>
      <c r="AL4" s="26" t="s">
        <v>763</v>
      </c>
      <c r="AM4" s="135"/>
      <c r="AO4" s="31" t="s">
        <v>873</v>
      </c>
      <c r="AP4" s="139"/>
    </row>
    <row r="5" spans="1:42" ht="11.25" customHeight="1" x14ac:dyDescent="0.25">
      <c r="A5" s="136" t="s">
        <v>41</v>
      </c>
      <c r="B5" s="136" t="s">
        <v>42</v>
      </c>
      <c r="C5" s="136" t="s">
        <v>25</v>
      </c>
      <c r="D5" s="136" t="s">
        <v>25</v>
      </c>
      <c r="E5" s="136" t="s">
        <v>25</v>
      </c>
      <c r="F5" s="136" t="s">
        <v>25</v>
      </c>
      <c r="G5" s="21" t="s">
        <v>94</v>
      </c>
      <c r="H5" s="21" t="s">
        <v>93</v>
      </c>
      <c r="I5" s="21">
        <f>'MERCADO TUSD'!$U$2</f>
        <v>1039543</v>
      </c>
      <c r="J5" s="17"/>
      <c r="L5" s="25">
        <f>'TUSD BE'!$L$5*'TUSD BE'!$L$69</f>
        <v>0</v>
      </c>
      <c r="M5" s="25">
        <f>'TUSD BE'!$M$5*'TUSD BE'!$M$69</f>
        <v>0</v>
      </c>
      <c r="N5" s="25">
        <f ca="1">'TUSD BE'!$N$5*'TUSD BE'!$N$69</f>
        <v>0</v>
      </c>
      <c r="O5" s="25">
        <f>'TUSD BE'!$O$5*'TUSD BE'!$O$69</f>
        <v>0</v>
      </c>
      <c r="P5" s="25">
        <f>'TUSD BE'!$P$5*'TUSD BE'!$P$69</f>
        <v>0</v>
      </c>
      <c r="Q5" s="25">
        <f>'TUSD BE'!$Q$5*'TUSD BE'!$Q$69</f>
        <v>0</v>
      </c>
      <c r="R5" s="25">
        <f>'TUSD BE'!$R$5*'TUSD BE'!$R$69</f>
        <v>0</v>
      </c>
      <c r="S5" s="25">
        <f>'TUSD BE'!$R$5*'TUSD BE'!$S$69</f>
        <v>0</v>
      </c>
      <c r="T5" s="25">
        <f ca="1">SUM($L$5:$S$5)</f>
        <v>0</v>
      </c>
      <c r="U5" s="25">
        <f>'TUSD BE'!$U$5*'TUSD BE'!$U$69</f>
        <v>-5.4708837988121619</v>
      </c>
      <c r="V5" s="25">
        <f>'TUSD BE'!$V$5*'TUSD BE'!$V$69</f>
        <v>-0.2960096589789229</v>
      </c>
      <c r="W5" s="25">
        <f>'TUSD BE'!$W$5*'TUSD BE'!$W$69</f>
        <v>-3.2500341190555081E-2</v>
      </c>
      <c r="X5" s="25">
        <f>'TUSD BE'!$X$5*'TUSD BE'!$X$69</f>
        <v>0</v>
      </c>
      <c r="Y5" s="25">
        <f>'TUSD BE'!$Y$5*'TUSD BE'!$Y$69</f>
        <v>-2.2236553610736506E-2</v>
      </c>
      <c r="Z5" s="25">
        <f>'TUSD BE'!$Z$5*'TUSD BE'!$Z$69</f>
        <v>0</v>
      </c>
      <c r="AA5" s="25">
        <f>'TUSD BE'!$AA$5*'TUSD BE'!$AA$69</f>
        <v>0</v>
      </c>
      <c r="AB5" s="25">
        <f>SUM($U$5:$AA$5)</f>
        <v>-5.8216303525923756</v>
      </c>
      <c r="AC5" s="25">
        <f>'TUSD BE'!$AC$5*'TUSD BE'!$AC$69</f>
        <v>2.5184250694474854E-3</v>
      </c>
      <c r="AD5" s="25">
        <f>SUM($AC$5:$AC$5)</f>
        <v>2.5184250694474854E-3</v>
      </c>
      <c r="AE5" s="25">
        <f ca="1">$AO$5*$AO$66</f>
        <v>4.3877217293094836E-2</v>
      </c>
      <c r="AF5" s="25">
        <f ca="1">$AP$5*$AP$66</f>
        <v>0</v>
      </c>
      <c r="AG5" s="25">
        <f ca="1">SUM($AE$5:$AF$5)</f>
        <v>4.3877217293094836E-2</v>
      </c>
      <c r="AH5" s="25">
        <f>'TUSD BE'!$AH$5*'TUSD BE'!$AH$69</f>
        <v>0</v>
      </c>
      <c r="AI5" s="25">
        <f>'TUSD BE'!$AI$5*'TUSD BE'!$AI$69</f>
        <v>0</v>
      </c>
      <c r="AJ5" s="25">
        <f ca="1">'TUSD BE'!$AJ$5*'TUSD BE'!$AJ$69</f>
        <v>0</v>
      </c>
      <c r="AK5" s="25">
        <f ca="1">'TUSD BE'!$AK$5*'TUSD BE'!$AK$69</f>
        <v>0</v>
      </c>
      <c r="AL5" s="25">
        <f ca="1">SUM($AH$5:$AK$5)</f>
        <v>0</v>
      </c>
      <c r="AM5" s="25">
        <f ca="1">SUMIF($L$4:$AL$4,"SUBTOTAL",$L$5:$AL$5)</f>
        <v>-5.7752347102298334</v>
      </c>
      <c r="AO5" s="30">
        <f ca="1">+'TUSD BE'!$T$5+'TUSD BE'!$AB$5+'TUSD BE'!$AD$5+'TUSD BE'!$AL$5</f>
        <v>35.025130025464584</v>
      </c>
      <c r="AP5" s="30">
        <f ca="1">+'TUSD BE'!$T$5+'TUSD BE'!$AB$5+'TUSD BE'!$AD$5+'TUSD BE'!$AL$5</f>
        <v>35.025130025464584</v>
      </c>
    </row>
    <row r="6" spans="1:42" ht="11.25" customHeight="1" x14ac:dyDescent="0.25">
      <c r="A6" s="136"/>
      <c r="B6" s="136"/>
      <c r="C6" s="136"/>
      <c r="D6" s="136"/>
      <c r="E6" s="136"/>
      <c r="F6" s="136"/>
      <c r="G6" s="21" t="s">
        <v>95</v>
      </c>
      <c r="H6" s="21" t="s">
        <v>93</v>
      </c>
      <c r="I6" s="21">
        <f>'MERCADO TUSD'!$U$3</f>
        <v>1376546</v>
      </c>
      <c r="J6" s="17"/>
      <c r="L6" s="25">
        <f>'TUSD BE'!$L$6*'TUSD BE'!$L$69</f>
        <v>0</v>
      </c>
      <c r="M6" s="25">
        <f>'TUSD BE'!$M$6*'TUSD BE'!$M$69</f>
        <v>0</v>
      </c>
      <c r="N6" s="25">
        <f ca="1">'TUSD BE'!$N$6*'TUSD BE'!$N$69</f>
        <v>0</v>
      </c>
      <c r="O6" s="25">
        <f>'TUSD BE'!$O$6*'TUSD BE'!$O$69</f>
        <v>0</v>
      </c>
      <c r="P6" s="25">
        <f>'TUSD BE'!$P$6*'TUSD BE'!$P$69</f>
        <v>0</v>
      </c>
      <c r="Q6" s="25">
        <f>'TUSD BE'!$Q$6*'TUSD BE'!$Q$69</f>
        <v>0</v>
      </c>
      <c r="R6" s="25">
        <f>'TUSD BE'!$R$6*'TUSD BE'!$R$69</f>
        <v>0</v>
      </c>
      <c r="S6" s="25">
        <f>'TUSD BE'!$R$6*'TUSD BE'!$S$69</f>
        <v>0</v>
      </c>
      <c r="T6" s="25">
        <f ca="1">SUM($L$6:$S$6)</f>
        <v>0</v>
      </c>
      <c r="U6" s="25">
        <f>'TUSD BE'!$U$6*'TUSD BE'!$U$69</f>
        <v>-4.8284711464349455</v>
      </c>
      <c r="V6" s="25">
        <f>'TUSD BE'!$V$6*'TUSD BE'!$V$69</f>
        <v>-0.26219463158471162</v>
      </c>
      <c r="W6" s="25">
        <f>'TUSD BE'!$W$6*'TUSD BE'!$W$69</f>
        <v>-2.9339008876058947E-2</v>
      </c>
      <c r="X6" s="25">
        <f>'TUSD BE'!$X$6*'TUSD BE'!$X$69</f>
        <v>0</v>
      </c>
      <c r="Y6" s="25">
        <f>'TUSD BE'!$Y$6*'TUSD BE'!$Y$69</f>
        <v>-9.9848870763277319E-3</v>
      </c>
      <c r="Z6" s="25">
        <f>'TUSD BE'!$Z$6*'TUSD BE'!$Z$69</f>
        <v>0</v>
      </c>
      <c r="AA6" s="25">
        <f>'TUSD BE'!$AA$6*'TUSD BE'!$AA$69</f>
        <v>0</v>
      </c>
      <c r="AB6" s="25">
        <f>SUM($U$6:$AA$6)</f>
        <v>-5.1299896739720445</v>
      </c>
      <c r="AC6" s="25">
        <f>'TUSD BE'!$AC$6*'TUSD BE'!$AC$69</f>
        <v>2.518343748608277E-4</v>
      </c>
      <c r="AD6" s="25">
        <f>SUM($AC$6:$AC$6)</f>
        <v>2.518343748608277E-4</v>
      </c>
      <c r="AE6" s="25">
        <f ca="1">$AO$6*$AO$66</f>
        <v>2.5665628639662749E-2</v>
      </c>
      <c r="AF6" s="25">
        <f ca="1">$AP$6*$AP$66</f>
        <v>0</v>
      </c>
      <c r="AG6" s="25">
        <f ca="1">SUM($AE$6:$AF$6)</f>
        <v>2.5665628639662749E-2</v>
      </c>
      <c r="AH6" s="25">
        <f>'TUSD BE'!$AH$6*'TUSD BE'!$AH$69</f>
        <v>0</v>
      </c>
      <c r="AI6" s="25">
        <f>'TUSD BE'!$AI$6*'TUSD BE'!$AI$69</f>
        <v>0</v>
      </c>
      <c r="AJ6" s="25">
        <f ca="1">'TUSD BE'!$AJ$6*'TUSD BE'!$AJ$69</f>
        <v>0</v>
      </c>
      <c r="AK6" s="25">
        <f ca="1">'TUSD BE'!$AK$6*'TUSD BE'!$AK$69</f>
        <v>0</v>
      </c>
      <c r="AL6" s="25">
        <f ca="1">SUM($AH$6:$AK$6)</f>
        <v>0</v>
      </c>
      <c r="AM6" s="25">
        <f ca="1">SUMIF($L$4:$AL$4,"SUBTOTAL",$L$6:$AL$6)</f>
        <v>-5.1040722109575203</v>
      </c>
      <c r="AO6" s="30">
        <f ca="1">+'TUSD BE'!$T$6+'TUSD BE'!$AB$6+'TUSD BE'!$AD$6+'TUSD BE'!$AL$6</f>
        <v>20.487670726350878</v>
      </c>
      <c r="AP6" s="30">
        <f ca="1">+'TUSD BE'!$T$6+'TUSD BE'!$AB$6+'TUSD BE'!$AD$6+'TUSD BE'!$AL$6</f>
        <v>20.487670726350878</v>
      </c>
    </row>
    <row r="7" spans="1:42" ht="11.25" customHeight="1" x14ac:dyDescent="0.25">
      <c r="A7" s="136"/>
      <c r="B7" s="136"/>
      <c r="C7" s="136"/>
      <c r="D7" s="136"/>
      <c r="E7" s="136"/>
      <c r="F7" s="136"/>
      <c r="G7" s="21" t="s">
        <v>96</v>
      </c>
      <c r="H7" s="21" t="s">
        <v>90</v>
      </c>
      <c r="I7" s="21">
        <f>'MERCADO TUSD'!$U$4</f>
        <v>455785.89300000004</v>
      </c>
      <c r="J7" s="17"/>
      <c r="L7" s="25">
        <f>'TUSD BE'!$L$7*'TUSD BE'!$L$69</f>
        <v>-2.981458865118749</v>
      </c>
      <c r="M7" s="25">
        <f>'TUSD BE'!$M$7*'TUSD BE'!$M$69</f>
        <v>-1.8829439298728521E-3</v>
      </c>
      <c r="N7" s="25">
        <f ca="1">'TUSD BE'!$N$7*'TUSD BE'!$N$69</f>
        <v>0</v>
      </c>
      <c r="O7" s="25">
        <f>'TUSD BE'!$O$7*'TUSD BE'!$O$69</f>
        <v>0</v>
      </c>
      <c r="P7" s="25">
        <f>'TUSD BE'!$P$7*'TUSD BE'!$P$69</f>
        <v>0</v>
      </c>
      <c r="Q7" s="25">
        <f>'TUSD BE'!$Q$7*'TUSD BE'!$Q$69</f>
        <v>2.7340032186166582E-2</v>
      </c>
      <c r="R7" s="25">
        <f>'TUSD BE'!$R$7*'TUSD BE'!$R$69</f>
        <v>0.16719913815822074</v>
      </c>
      <c r="S7" s="25">
        <f>'TUSD BE'!$R$7*'TUSD BE'!$S$69</f>
        <v>0</v>
      </c>
      <c r="T7" s="25">
        <f ca="1">SUM($L$7:$S$7)</f>
        <v>-2.7888026387042339</v>
      </c>
      <c r="U7" s="25">
        <f>'TUSD BE'!$U$7*'TUSD BE'!$U$69</f>
        <v>0</v>
      </c>
      <c r="V7" s="25">
        <f>'TUSD BE'!$V$7*'TUSD BE'!$V$69</f>
        <v>0</v>
      </c>
      <c r="W7" s="25">
        <f>'TUSD BE'!$W$7*'TUSD BE'!$W$69</f>
        <v>0</v>
      </c>
      <c r="X7" s="25">
        <f>'TUSD BE'!$X$7*'TUSD BE'!$X$69</f>
        <v>0</v>
      </c>
      <c r="Y7" s="25">
        <f>'TUSD BE'!$Y$7*'TUSD BE'!$Y$69</f>
        <v>0</v>
      </c>
      <c r="Z7" s="25">
        <f>'TUSD BE'!$Z$7*'TUSD BE'!$Z$69</f>
        <v>0</v>
      </c>
      <c r="AA7" s="25">
        <f>'TUSD BE'!$AA$7*'TUSD BE'!$AA$69</f>
        <v>0</v>
      </c>
      <c r="AB7" s="25">
        <f>SUM($U$7:$AA$7)</f>
        <v>0</v>
      </c>
      <c r="AC7" s="25">
        <f>'TUSD BE'!$AC$7*'TUSD BE'!$AC$69</f>
        <v>0</v>
      </c>
      <c r="AD7" s="25">
        <f>SUM($AC$7:$AC$7)</f>
        <v>0</v>
      </c>
      <c r="AE7" s="25">
        <f ca="1">$AO$7*$AO$66</f>
        <v>9.2364786036486152E-2</v>
      </c>
      <c r="AF7" s="25">
        <f ca="1">$AP$7*$AP$66</f>
        <v>0</v>
      </c>
      <c r="AG7" s="25">
        <f ca="1">SUM($AE$7:$AF$7)</f>
        <v>9.2364786036486152E-2</v>
      </c>
      <c r="AH7" s="25">
        <f>'TUSD BE'!$AH$7*'TUSD BE'!$AH$69</f>
        <v>-0.44265618621088465</v>
      </c>
      <c r="AI7" s="25">
        <f>'TUSD BE'!$AI$7*'TUSD BE'!$AI$69</f>
        <v>-2.5561054534977028E-2</v>
      </c>
      <c r="AJ7" s="25">
        <f ca="1">'TUSD BE'!$AJ$7*'TUSD BE'!$AJ$69</f>
        <v>-0.88076549173936536</v>
      </c>
      <c r="AK7" s="25">
        <f ca="1">'TUSD BE'!$AK$7*'TUSD BE'!$AK$69</f>
        <v>0.83001695999707359</v>
      </c>
      <c r="AL7" s="25">
        <f ca="1">SUM($AH$7:$AK$7)</f>
        <v>-0.51896577248815345</v>
      </c>
      <c r="AM7" s="25">
        <f ca="1">SUMIF($L$4:$AL$4,"SUBTOTAL",$L$7:$AL$7)</f>
        <v>-3.2154036251559015</v>
      </c>
      <c r="AO7" s="30">
        <f ca="1">+'TUSD BE'!$T$7+'TUSD BE'!$AB$7+'TUSD BE'!$AD$7+'TUSD BE'!$AL$7</f>
        <v>73.730487945306962</v>
      </c>
      <c r="AP7" s="30">
        <f ca="1">+'TUSD BE'!$T$7+'TUSD BE'!$AB$7+'TUSD BE'!$AD$7+'TUSD BE'!$AL$7</f>
        <v>73.730487945306962</v>
      </c>
    </row>
    <row r="8" spans="1:42" ht="11.25" customHeight="1" x14ac:dyDescent="0.25">
      <c r="A8" s="136"/>
      <c r="B8" s="136"/>
      <c r="C8" s="136"/>
      <c r="D8" s="136"/>
      <c r="E8" s="28" t="s">
        <v>58</v>
      </c>
      <c r="F8" s="28" t="s">
        <v>25</v>
      </c>
      <c r="G8" s="21" t="s">
        <v>96</v>
      </c>
      <c r="H8" s="21" t="s">
        <v>90</v>
      </c>
      <c r="I8" s="21">
        <f>'MERCADO TUSD'!$U$5</f>
        <v>80167.627000000008</v>
      </c>
      <c r="J8" s="17"/>
      <c r="L8" s="25">
        <f>'TUSD BE'!$L$8*'TUSD BE'!$L$69</f>
        <v>0</v>
      </c>
      <c r="M8" s="25">
        <f>'TUSD BE'!$M$8*'TUSD BE'!$M$69</f>
        <v>-1.8829439298728521E-3</v>
      </c>
      <c r="N8" s="25">
        <f ca="1">'TUSD BE'!$N$8*'TUSD BE'!$N$69</f>
        <v>0</v>
      </c>
      <c r="O8" s="25">
        <f>'TUSD BE'!$O$8*'TUSD BE'!$O$69</f>
        <v>0</v>
      </c>
      <c r="P8" s="25">
        <f>'TUSD BE'!$P$8*'TUSD BE'!$P$69</f>
        <v>0</v>
      </c>
      <c r="Q8" s="25">
        <f>'TUSD BE'!$Q$8*'TUSD BE'!$Q$69</f>
        <v>0</v>
      </c>
      <c r="R8" s="25">
        <f>'TUSD BE'!$R$8*'TUSD BE'!$R$69</f>
        <v>0</v>
      </c>
      <c r="S8" s="25">
        <f>'TUSD BE'!$R$8*'TUSD BE'!$S$69</f>
        <v>0</v>
      </c>
      <c r="T8" s="25">
        <f ca="1">SUM($L$8:$S$8)</f>
        <v>-1.8829439298728521E-3</v>
      </c>
      <c r="U8" s="25">
        <f>'TUSD BE'!$U$8*'TUSD BE'!$U$69</f>
        <v>0</v>
      </c>
      <c r="V8" s="25">
        <f>'TUSD BE'!$V$8*'TUSD BE'!$V$69</f>
        <v>0</v>
      </c>
      <c r="W8" s="25">
        <f>'TUSD BE'!$W$8*'TUSD BE'!$W$69</f>
        <v>0</v>
      </c>
      <c r="X8" s="25">
        <f>'TUSD BE'!$X$8*'TUSD BE'!$X$69</f>
        <v>0</v>
      </c>
      <c r="Y8" s="25">
        <f>'TUSD BE'!$Y$8*'TUSD BE'!$Y$69</f>
        <v>0</v>
      </c>
      <c r="Z8" s="25">
        <f>'TUSD BE'!$Z$8*'TUSD BE'!$Z$69</f>
        <v>0</v>
      </c>
      <c r="AA8" s="25">
        <f>'TUSD BE'!$AA$8*'TUSD BE'!$AA$69</f>
        <v>0</v>
      </c>
      <c r="AB8" s="25">
        <f>SUM($U$8:$AA$8)</f>
        <v>0</v>
      </c>
      <c r="AC8" s="25">
        <f>'TUSD BE'!$AC$8*'TUSD BE'!$AC$69</f>
        <v>0</v>
      </c>
      <c r="AD8" s="25">
        <f>SUM($AC$8:$AC$8)</f>
        <v>0</v>
      </c>
      <c r="AE8" s="25">
        <f ca="1">$AO$8*$AO$66</f>
        <v>3.3187209337201512E-2</v>
      </c>
      <c r="AF8" s="25">
        <f ca="1">$AP$8*$AP$66</f>
        <v>0</v>
      </c>
      <c r="AG8" s="25">
        <f ca="1">SUM($AE$8:$AF$8)</f>
        <v>3.3187209337201512E-2</v>
      </c>
      <c r="AH8" s="25">
        <f>'TUSD BE'!$AH$8*'TUSD BE'!$AH$69</f>
        <v>-0.44265618621088465</v>
      </c>
      <c r="AI8" s="25">
        <f>'TUSD BE'!$AI$8*'TUSD BE'!$AI$69</f>
        <v>-2.5561054534977028E-2</v>
      </c>
      <c r="AJ8" s="25">
        <f ca="1">'TUSD BE'!$AJ$8*'TUSD BE'!$AJ$69</f>
        <v>-0.88076549173936536</v>
      </c>
      <c r="AK8" s="25">
        <f ca="1">'TUSD BE'!$AK$8*'TUSD BE'!$AK$69</f>
        <v>0.83001695999707359</v>
      </c>
      <c r="AL8" s="25">
        <f ca="1">SUM($AH$8:$AK$8)</f>
        <v>-0.51896577248815345</v>
      </c>
      <c r="AM8" s="25">
        <f ca="1">SUMIF($L$4:$AL$4,"SUBTOTAL",$L$8:$AL$8)</f>
        <v>-0.48766150708082479</v>
      </c>
      <c r="AO8" s="30">
        <f ca="1">+'TUSD BE'!$T$8+'TUSD BE'!$AB$8+'TUSD BE'!$AD$8+'TUSD BE'!$AL$8</f>
        <v>26.491796743927182</v>
      </c>
      <c r="AP8" s="30">
        <f ca="1">+'TUSD BE'!$T$8+'TUSD BE'!$AB$8+'TUSD BE'!$AD$8+'TUSD BE'!$AL$8</f>
        <v>26.491796743927182</v>
      </c>
    </row>
    <row r="9" spans="1:42" ht="11.25" customHeight="1" x14ac:dyDescent="0.25">
      <c r="A9" s="136"/>
      <c r="B9" s="136" t="s">
        <v>61</v>
      </c>
      <c r="C9" s="136" t="s">
        <v>25</v>
      </c>
      <c r="D9" s="136" t="s">
        <v>25</v>
      </c>
      <c r="E9" s="136" t="s">
        <v>25</v>
      </c>
      <c r="F9" s="136" t="s">
        <v>62</v>
      </c>
      <c r="G9" s="21" t="s">
        <v>94</v>
      </c>
      <c r="H9" s="21" t="s">
        <v>93</v>
      </c>
      <c r="I9" s="21">
        <f>'MERCADO TUSD'!$U$6</f>
        <v>36090</v>
      </c>
      <c r="J9" s="17"/>
      <c r="L9" s="25">
        <f>'TUSD BE'!$L$9*'TUSD BE'!$L$69</f>
        <v>0</v>
      </c>
      <c r="M9" s="25">
        <f>'TUSD BE'!$M$9*'TUSD BE'!$M$69</f>
        <v>0</v>
      </c>
      <c r="N9" s="25">
        <f ca="1">'TUSD BE'!$N$9*'TUSD BE'!$N$69</f>
        <v>0</v>
      </c>
      <c r="O9" s="25">
        <f>'TUSD BE'!$O$9*'TUSD BE'!$O$69</f>
        <v>0</v>
      </c>
      <c r="P9" s="25">
        <f>'TUSD BE'!$P$9*'TUSD BE'!$P$69</f>
        <v>0</v>
      </c>
      <c r="Q9" s="25">
        <f>'TUSD BE'!$Q$9*'TUSD BE'!$Q$69</f>
        <v>0</v>
      </c>
      <c r="R9" s="25">
        <f>'TUSD BE'!$R$9*'TUSD BE'!$R$69</f>
        <v>0</v>
      </c>
      <c r="S9" s="25">
        <f>'TUSD BE'!$R$9*'TUSD BE'!$S$69</f>
        <v>0</v>
      </c>
      <c r="T9" s="25">
        <f ca="1">SUM($L$9:$S$9)</f>
        <v>0</v>
      </c>
      <c r="U9" s="25">
        <f>'TUSD BE'!$U$9*'TUSD BE'!$U$69</f>
        <v>-5.4708837988121619</v>
      </c>
      <c r="V9" s="25">
        <f>'TUSD BE'!$V$9*'TUSD BE'!$V$69</f>
        <v>-0.2960096589789229</v>
      </c>
      <c r="W9" s="25">
        <f>'TUSD BE'!$W$9*'TUSD BE'!$W$69</f>
        <v>-3.2500341190555081E-2</v>
      </c>
      <c r="X9" s="25">
        <f>'TUSD BE'!$X$9*'TUSD BE'!$X$69</f>
        <v>0</v>
      </c>
      <c r="Y9" s="25">
        <f>'TUSD BE'!$Y$9*'TUSD BE'!$Y$69</f>
        <v>-2.2236553610736506E-2</v>
      </c>
      <c r="Z9" s="25">
        <f>'TUSD BE'!$Z$9*'TUSD BE'!$Z$69</f>
        <v>0</v>
      </c>
      <c r="AA9" s="25">
        <f>'TUSD BE'!$AA$9*'TUSD BE'!$AA$69</f>
        <v>0</v>
      </c>
      <c r="AB9" s="25">
        <f>SUM($U$9:$AA$9)</f>
        <v>-5.8216303525923756</v>
      </c>
      <c r="AC9" s="25">
        <f>'TUSD BE'!$AC$9*'TUSD BE'!$AC$69</f>
        <v>2.5184250694474854E-3</v>
      </c>
      <c r="AD9" s="25">
        <f>SUM($AC$9:$AC$9)</f>
        <v>2.5184250694474854E-3</v>
      </c>
      <c r="AE9" s="25">
        <v>0</v>
      </c>
      <c r="AF9" s="25">
        <f ca="1">$AP$9*$AP$66</f>
        <v>0</v>
      </c>
      <c r="AG9" s="25">
        <f ca="1">SUM($AE$9:$AF$9)</f>
        <v>0</v>
      </c>
      <c r="AH9" s="25">
        <f>'TUSD BE'!$AH$9*'TUSD BE'!$AH$69</f>
        <v>0</v>
      </c>
      <c r="AI9" s="25">
        <f>'TUSD BE'!$AI$9*'TUSD BE'!$AI$69</f>
        <v>0</v>
      </c>
      <c r="AJ9" s="25">
        <f ca="1">'TUSD BE'!$AJ$9*'TUSD BE'!$AJ$69</f>
        <v>0</v>
      </c>
      <c r="AK9" s="25">
        <f ca="1">'TUSD BE'!$AK$9*'TUSD BE'!$AK$69</f>
        <v>0</v>
      </c>
      <c r="AL9" s="25">
        <f ca="1">SUM($AH$9:$AK$9)</f>
        <v>0</v>
      </c>
      <c r="AM9" s="25">
        <f ca="1">SUMIF($L$4:$AL$4,"SUBTOTAL",$L$9:$AL$9)</f>
        <v>-5.8191119275229282</v>
      </c>
      <c r="AO9" s="30"/>
      <c r="AP9" s="30">
        <f ca="1">+'TUSD BE'!$T$9+'TUSD BE'!$AB$9+'TUSD BE'!$AD$9+'TUSD BE'!$AL$9</f>
        <v>35.025130025464584</v>
      </c>
    </row>
    <row r="10" spans="1:42" ht="11.25" customHeight="1" x14ac:dyDescent="0.25">
      <c r="A10" s="136"/>
      <c r="B10" s="136"/>
      <c r="C10" s="136"/>
      <c r="D10" s="136"/>
      <c r="E10" s="136"/>
      <c r="F10" s="136"/>
      <c r="G10" s="21" t="s">
        <v>95</v>
      </c>
      <c r="H10" s="21" t="s">
        <v>93</v>
      </c>
      <c r="I10" s="21">
        <f>'MERCADO TUSD'!$U$7</f>
        <v>36090</v>
      </c>
      <c r="J10" s="17"/>
      <c r="L10" s="25">
        <f>'TUSD BE'!$L$10*'TUSD BE'!$L$69</f>
        <v>0</v>
      </c>
      <c r="M10" s="25">
        <f>'TUSD BE'!$M$10*'TUSD BE'!$M$69</f>
        <v>0</v>
      </c>
      <c r="N10" s="25">
        <f ca="1">'TUSD BE'!$N$10*'TUSD BE'!$N$69</f>
        <v>0</v>
      </c>
      <c r="O10" s="25">
        <f>'TUSD BE'!$O$10*'TUSD BE'!$O$69</f>
        <v>0</v>
      </c>
      <c r="P10" s="25">
        <f>'TUSD BE'!$P$10*'TUSD BE'!$P$69</f>
        <v>0</v>
      </c>
      <c r="Q10" s="25">
        <f>'TUSD BE'!$Q$10*'TUSD BE'!$Q$69</f>
        <v>0</v>
      </c>
      <c r="R10" s="25">
        <f>'TUSD BE'!$R$10*'TUSD BE'!$R$69</f>
        <v>0</v>
      </c>
      <c r="S10" s="25">
        <f>'TUSD BE'!$R$10*'TUSD BE'!$S$69</f>
        <v>0</v>
      </c>
      <c r="T10" s="25">
        <f ca="1">SUM($L$10:$S$10)</f>
        <v>0</v>
      </c>
      <c r="U10" s="25">
        <f>'TUSD BE'!$U$10*'TUSD BE'!$U$69</f>
        <v>-4.8284711464349455</v>
      </c>
      <c r="V10" s="25">
        <f>'TUSD BE'!$V$10*'TUSD BE'!$V$69</f>
        <v>-0.26219463158471162</v>
      </c>
      <c r="W10" s="25">
        <f>'TUSD BE'!$W$10*'TUSD BE'!$W$69</f>
        <v>-2.9339008876058947E-2</v>
      </c>
      <c r="X10" s="25">
        <f>'TUSD BE'!$X$10*'TUSD BE'!$X$69</f>
        <v>0</v>
      </c>
      <c r="Y10" s="25">
        <f>'TUSD BE'!$Y$10*'TUSD BE'!$Y$69</f>
        <v>-9.9848870763277319E-3</v>
      </c>
      <c r="Z10" s="25">
        <f>'TUSD BE'!$Z$10*'TUSD BE'!$Z$69</f>
        <v>0</v>
      </c>
      <c r="AA10" s="25">
        <f>'TUSD BE'!$AA$10*'TUSD BE'!$AA$69</f>
        <v>0</v>
      </c>
      <c r="AB10" s="25">
        <f>SUM($U$10:$AA$10)</f>
        <v>-5.1299896739720445</v>
      </c>
      <c r="AC10" s="25">
        <f>'TUSD BE'!$AC$10*'TUSD BE'!$AC$69</f>
        <v>2.518343748608277E-4</v>
      </c>
      <c r="AD10" s="25">
        <f>SUM($AC$10:$AC$10)</f>
        <v>2.518343748608277E-4</v>
      </c>
      <c r="AE10" s="25">
        <v>0</v>
      </c>
      <c r="AF10" s="25">
        <f ca="1">$AP$10*$AP$66</f>
        <v>0</v>
      </c>
      <c r="AG10" s="25">
        <f ca="1">SUM($AE$10:$AF$10)</f>
        <v>0</v>
      </c>
      <c r="AH10" s="25">
        <f>'TUSD BE'!$AH$10*'TUSD BE'!$AH$69</f>
        <v>0</v>
      </c>
      <c r="AI10" s="25">
        <f>'TUSD BE'!$AI$10*'TUSD BE'!$AI$69</f>
        <v>0</v>
      </c>
      <c r="AJ10" s="25">
        <f ca="1">'TUSD BE'!$AJ$10*'TUSD BE'!$AJ$69</f>
        <v>0</v>
      </c>
      <c r="AK10" s="25">
        <f ca="1">'TUSD BE'!$AK$10*'TUSD BE'!$AK$69</f>
        <v>0</v>
      </c>
      <c r="AL10" s="25">
        <f ca="1">SUM($AH$10:$AK$10)</f>
        <v>0</v>
      </c>
      <c r="AM10" s="25">
        <f ca="1">SUMIF($L$4:$AL$4,"SUBTOTAL",$L$10:$AL$10)</f>
        <v>-5.1297378395971833</v>
      </c>
      <c r="AO10" s="30"/>
      <c r="AP10" s="30">
        <f ca="1">+'TUSD BE'!$T$10+'TUSD BE'!$AB$10+'TUSD BE'!$AD$10+'TUSD BE'!$AL$10</f>
        <v>20.487670726350878</v>
      </c>
    </row>
    <row r="11" spans="1:42" ht="11.25" customHeight="1" x14ac:dyDescent="0.25">
      <c r="A11" s="136"/>
      <c r="B11" s="136"/>
      <c r="C11" s="136"/>
      <c r="D11" s="136"/>
      <c r="E11" s="136"/>
      <c r="F11" s="136"/>
      <c r="G11" s="21" t="s">
        <v>96</v>
      </c>
      <c r="H11" s="21" t="s">
        <v>90</v>
      </c>
      <c r="I11" s="21">
        <f>'MERCADO TUSD'!$U$8</f>
        <v>14869.070999999996</v>
      </c>
      <c r="J11" s="17"/>
      <c r="L11" s="25">
        <f>'TUSD BE'!$L$11*'TUSD BE'!$L$69</f>
        <v>0</v>
      </c>
      <c r="M11" s="25">
        <f>'TUSD BE'!$M$11*'TUSD BE'!$M$69</f>
        <v>0</v>
      </c>
      <c r="N11" s="25">
        <f ca="1">'TUSD BE'!$N$11*'TUSD BE'!$N$69</f>
        <v>0</v>
      </c>
      <c r="O11" s="25">
        <f>'TUSD BE'!$O$11*'TUSD BE'!$O$69</f>
        <v>0</v>
      </c>
      <c r="P11" s="25">
        <f>'TUSD BE'!$P$11*'TUSD BE'!$P$69</f>
        <v>0</v>
      </c>
      <c r="Q11" s="25">
        <f>'TUSD BE'!$Q$11*'TUSD BE'!$Q$69</f>
        <v>0</v>
      </c>
      <c r="R11" s="25">
        <f>'TUSD BE'!$R$11*'TUSD BE'!$R$69</f>
        <v>0</v>
      </c>
      <c r="S11" s="25">
        <f>'TUSD BE'!$R$11*'TUSD BE'!$S$69</f>
        <v>0</v>
      </c>
      <c r="T11" s="25">
        <f ca="1">SUM($L$11:$S$11)</f>
        <v>0</v>
      </c>
      <c r="U11" s="25">
        <f>'TUSD BE'!$U$11*'TUSD BE'!$U$69</f>
        <v>0</v>
      </c>
      <c r="V11" s="25">
        <f>'TUSD BE'!$V$11*'TUSD BE'!$V$69</f>
        <v>0</v>
      </c>
      <c r="W11" s="25">
        <f>'TUSD BE'!$W$11*'TUSD BE'!$W$69</f>
        <v>0</v>
      </c>
      <c r="X11" s="25">
        <f>'TUSD BE'!$X$11*'TUSD BE'!$X$69</f>
        <v>0</v>
      </c>
      <c r="Y11" s="25">
        <f>'TUSD BE'!$Y$11*'TUSD BE'!$Y$69</f>
        <v>0</v>
      </c>
      <c r="Z11" s="25">
        <f>'TUSD BE'!$Z$11*'TUSD BE'!$Z$69</f>
        <v>0</v>
      </c>
      <c r="AA11" s="25">
        <f>'TUSD BE'!$AA$11*'TUSD BE'!$AA$69</f>
        <v>0</v>
      </c>
      <c r="AB11" s="25">
        <f>SUM($U$11:$AA$11)</f>
        <v>0</v>
      </c>
      <c r="AC11" s="25">
        <f>'TUSD BE'!$AC$11*'TUSD BE'!$AC$69</f>
        <v>0</v>
      </c>
      <c r="AD11" s="25">
        <f>SUM($AC$11:$AC$11)</f>
        <v>0</v>
      </c>
      <c r="AE11" s="25">
        <v>0</v>
      </c>
      <c r="AF11" s="25">
        <f ca="1">$AP$11*$AP$66</f>
        <v>0</v>
      </c>
      <c r="AG11" s="25">
        <f ca="1">SUM($AE$11:$AF$11)</f>
        <v>0</v>
      </c>
      <c r="AH11" s="25">
        <f>'TUSD BE'!$AH$11*'TUSD BE'!$AH$69</f>
        <v>-0.44265618621088465</v>
      </c>
      <c r="AI11" s="25">
        <f>'TUSD BE'!$AI$11*'TUSD BE'!$AI$69</f>
        <v>-2.5561054534977028E-2</v>
      </c>
      <c r="AJ11" s="25">
        <f ca="1">'TUSD BE'!$AJ$11*'TUSD BE'!$AJ$69</f>
        <v>0</v>
      </c>
      <c r="AK11" s="25">
        <f ca="1">'TUSD BE'!$AK$11*'TUSD BE'!$AK$69</f>
        <v>0</v>
      </c>
      <c r="AL11" s="25">
        <f ca="1">SUM($AH$11:$AK$11)</f>
        <v>-0.46821724074586168</v>
      </c>
      <c r="AM11" s="25">
        <f ca="1">SUMIF($L$4:$AL$4,"SUBTOTAL",$L$11:$AL$11)</f>
        <v>-0.46821724074586168</v>
      </c>
      <c r="AO11" s="30"/>
      <c r="AP11" s="30">
        <f ca="1">+'TUSD BE'!$T$11+'TUSD BE'!$AB$11+'TUSD BE'!$AD$11+'TUSD BE'!$AL$11</f>
        <v>7.6195008388046803</v>
      </c>
    </row>
    <row r="12" spans="1:42" ht="11.25" customHeight="1" x14ac:dyDescent="0.25">
      <c r="A12" s="136"/>
      <c r="B12" s="28" t="s">
        <v>64</v>
      </c>
      <c r="C12" s="28" t="s">
        <v>25</v>
      </c>
      <c r="D12" s="28" t="s">
        <v>25</v>
      </c>
      <c r="E12" s="28" t="s">
        <v>25</v>
      </c>
      <c r="F12" s="28" t="s">
        <v>25</v>
      </c>
      <c r="G12" s="21" t="s">
        <v>9</v>
      </c>
      <c r="H12" s="21" t="s">
        <v>93</v>
      </c>
      <c r="I12" s="21">
        <f>'MERCADO TUSD'!$U$9</f>
        <v>888226</v>
      </c>
      <c r="J12" s="17"/>
      <c r="L12" s="25">
        <f>'TUSD BE'!$L$12*'TUSD BE'!$L$69</f>
        <v>0</v>
      </c>
      <c r="M12" s="25">
        <f>'TUSD BE'!$M$12*'TUSD BE'!$M$69</f>
        <v>-1.5010206225951042E-3</v>
      </c>
      <c r="N12" s="25">
        <f ca="1">'TUSD BE'!$N$12*'TUSD BE'!$N$69</f>
        <v>0</v>
      </c>
      <c r="O12" s="25">
        <f>'TUSD BE'!$O$12*'TUSD BE'!$O$69</f>
        <v>0</v>
      </c>
      <c r="P12" s="25">
        <f>'TUSD BE'!$P$12*'TUSD BE'!$P$69</f>
        <v>0</v>
      </c>
      <c r="Q12" s="25">
        <f>'TUSD BE'!$Q$12*'TUSD BE'!$Q$69</f>
        <v>0</v>
      </c>
      <c r="R12" s="25">
        <f>'TUSD BE'!$R$12*'TUSD BE'!$R$69</f>
        <v>0</v>
      </c>
      <c r="S12" s="25">
        <f>'TUSD BE'!$R$12*'TUSD BE'!$S$69</f>
        <v>0</v>
      </c>
      <c r="T12" s="25">
        <f ca="1">SUM($L$12:$S$12)</f>
        <v>-1.5010206225951042E-3</v>
      </c>
      <c r="U12" s="25">
        <f>'TUSD BE'!$U$12*'TUSD BE'!$U$69</f>
        <v>0</v>
      </c>
      <c r="V12" s="25">
        <f>'TUSD BE'!$V$12*'TUSD BE'!$V$69</f>
        <v>0</v>
      </c>
      <c r="W12" s="25">
        <f>'TUSD BE'!$W$12*'TUSD BE'!$W$69</f>
        <v>-8.0878523555891341E-3</v>
      </c>
      <c r="X12" s="25">
        <f>'TUSD BE'!$X$12*'TUSD BE'!$X$69</f>
        <v>0</v>
      </c>
      <c r="Y12" s="25">
        <f>'TUSD BE'!$Y$12*'TUSD BE'!$Y$69</f>
        <v>-2.1210816427101563E-2</v>
      </c>
      <c r="Z12" s="25">
        <f>'TUSD BE'!$Z$12*'TUSD BE'!$Z$69</f>
        <v>0</v>
      </c>
      <c r="AA12" s="25">
        <f>'TUSD BE'!$AA$12*'TUSD BE'!$AA$69</f>
        <v>0</v>
      </c>
      <c r="AB12" s="25">
        <f>SUM($U$12:$AA$12)</f>
        <v>-2.9298668782690697E-2</v>
      </c>
      <c r="AC12" s="25">
        <f>'TUSD BE'!$AC$12*'TUSD BE'!$AC$69</f>
        <v>2.8764160138572531E-3</v>
      </c>
      <c r="AD12" s="25">
        <f>SUM($AC$12:$AC$12)</f>
        <v>2.8764160138572531E-3</v>
      </c>
      <c r="AE12" s="25">
        <f ca="1">$AO$12*$AO$66</f>
        <v>2.1581861141732633E-2</v>
      </c>
      <c r="AF12" s="25">
        <f ca="1">$AP$12*$AP$66</f>
        <v>0</v>
      </c>
      <c r="AG12" s="25">
        <f ca="1">SUM($AE$12:$AF$12)</f>
        <v>2.1581861141732633E-2</v>
      </c>
      <c r="AH12" s="25">
        <f>'TUSD BE'!$AH$12*'TUSD BE'!$AH$69</f>
        <v>-6.7789889835585135E-2</v>
      </c>
      <c r="AI12" s="25">
        <f>'TUSD BE'!$AI$12*'TUSD BE'!$AI$69</f>
        <v>-1.4878557787986916E-2</v>
      </c>
      <c r="AJ12" s="25">
        <f ca="1">'TUSD BE'!$AJ$12*'TUSD BE'!$AJ$69</f>
        <v>0</v>
      </c>
      <c r="AK12" s="25">
        <f ca="1">'TUSD BE'!$AK$12*'TUSD BE'!$AK$69</f>
        <v>0</v>
      </c>
      <c r="AL12" s="25">
        <f ca="1">SUM($AH$12:$AK$12)</f>
        <v>-8.2668447623572047E-2</v>
      </c>
      <c r="AM12" s="25">
        <f ca="1">SUMIF($L$4:$AL$4,"SUBTOTAL",$L$12:$AL$12)</f>
        <v>-8.9009859873267955E-2</v>
      </c>
      <c r="AO12" s="30">
        <f>+'TUSD BE'!$T$12+'TUSD BE'!$AB$12+'TUSD BE'!$AD$12+'TUSD BE'!$AL$12</f>
        <v>17.227790167989248</v>
      </c>
      <c r="AP12" s="30">
        <f>+'TUSD BE'!$T$12+'TUSD BE'!$AB$12+'TUSD BE'!$AD$12+'TUSD BE'!$AL$12</f>
        <v>17.227790167989248</v>
      </c>
    </row>
    <row r="13" spans="1:42" ht="11.25" customHeight="1" x14ac:dyDescent="0.25">
      <c r="A13" s="136" t="s">
        <v>33</v>
      </c>
      <c r="B13" s="136" t="s">
        <v>42</v>
      </c>
      <c r="C13" s="136" t="s">
        <v>25</v>
      </c>
      <c r="D13" s="136" t="s">
        <v>25</v>
      </c>
      <c r="E13" s="136" t="s">
        <v>25</v>
      </c>
      <c r="F13" s="136" t="s">
        <v>25</v>
      </c>
      <c r="G13" s="21" t="s">
        <v>94</v>
      </c>
      <c r="H13" s="21" t="s">
        <v>93</v>
      </c>
      <c r="I13" s="21">
        <f>'MERCADO TUSD'!$U$10</f>
        <v>565553</v>
      </c>
      <c r="J13" s="17"/>
      <c r="L13" s="25">
        <f>'TUSD BE'!$L$13*'TUSD BE'!$L$69</f>
        <v>0</v>
      </c>
      <c r="M13" s="25">
        <f>'TUSD BE'!$M$13*'TUSD BE'!$M$69</f>
        <v>0</v>
      </c>
      <c r="N13" s="25">
        <f ca="1">'TUSD BE'!$N$13*'TUSD BE'!$N$69</f>
        <v>0</v>
      </c>
      <c r="O13" s="25">
        <f>'TUSD BE'!$O$13*'TUSD BE'!$O$69</f>
        <v>0</v>
      </c>
      <c r="P13" s="25">
        <f>'TUSD BE'!$P$13*'TUSD BE'!$P$69</f>
        <v>0</v>
      </c>
      <c r="Q13" s="25">
        <f>'TUSD BE'!$Q$13*'TUSD BE'!$Q$69</f>
        <v>0</v>
      </c>
      <c r="R13" s="25">
        <f>'TUSD BE'!$R$13*'TUSD BE'!$R$69</f>
        <v>0</v>
      </c>
      <c r="S13" s="25">
        <f>'TUSD BE'!$R$13*'TUSD BE'!$S$69</f>
        <v>0</v>
      </c>
      <c r="T13" s="25">
        <f ca="1">SUM($L$13:$S$13)</f>
        <v>0</v>
      </c>
      <c r="U13" s="25">
        <f>'TUSD BE'!$U$13*'TUSD BE'!$U$69</f>
        <v>-3.8684167436297754</v>
      </c>
      <c r="V13" s="25">
        <f>'TUSD BE'!$V$13*'TUSD BE'!$V$69</f>
        <v>-0.21039361176667359</v>
      </c>
      <c r="W13" s="25">
        <f>'TUSD BE'!$W$13*'TUSD BE'!$W$69</f>
        <v>-2.2950958345420054E-2</v>
      </c>
      <c r="X13" s="25">
        <f>'TUSD BE'!$X$13*'TUSD BE'!$X$69</f>
        <v>0</v>
      </c>
      <c r="Y13" s="25">
        <f>'TUSD BE'!$Y$13*'TUSD BE'!$Y$69</f>
        <v>-4.0644066520157014E-2</v>
      </c>
      <c r="Z13" s="25">
        <f>'TUSD BE'!$Z$13*'TUSD BE'!$Z$69</f>
        <v>0</v>
      </c>
      <c r="AA13" s="25">
        <f>'TUSD BE'!$AA$13*'TUSD BE'!$AA$69</f>
        <v>0</v>
      </c>
      <c r="AB13" s="25">
        <f>SUM($U$13:$AA$13)</f>
        <v>-4.1424053802620255</v>
      </c>
      <c r="AC13" s="25">
        <f>'TUSD BE'!$AC$13*'TUSD BE'!$AC$69</f>
        <v>1.0829960847903337E-2</v>
      </c>
      <c r="AD13" s="25">
        <f>SUM($AC$13:$AC$13)</f>
        <v>1.0829960847903337E-2</v>
      </c>
      <c r="AE13" s="25">
        <f ca="1">$AO$13*$AO$66</f>
        <v>9.0856270225610478E-2</v>
      </c>
      <c r="AF13" s="25">
        <f ca="1">$AP$13*$AP$66</f>
        <v>0</v>
      </c>
      <c r="AG13" s="25">
        <f ca="1">SUM($AE$13:$AF$13)</f>
        <v>9.0856270225610478E-2</v>
      </c>
      <c r="AH13" s="25">
        <f>'TUSD BE'!$AH$13*'TUSD BE'!$AH$69</f>
        <v>0</v>
      </c>
      <c r="AI13" s="25">
        <f>'TUSD BE'!$AI$13*'TUSD BE'!$AI$69</f>
        <v>0</v>
      </c>
      <c r="AJ13" s="25">
        <f ca="1">'TUSD BE'!$AJ$13*'TUSD BE'!$AJ$69</f>
        <v>0</v>
      </c>
      <c r="AK13" s="25">
        <f ca="1">'TUSD BE'!$AK$13*'TUSD BE'!$AK$69</f>
        <v>0</v>
      </c>
      <c r="AL13" s="25">
        <f ca="1">SUM($AH$13:$AK$13)</f>
        <v>0</v>
      </c>
      <c r="AM13" s="25">
        <f ca="1">SUMIF($L$4:$AL$4,"SUBTOTAL",$L$13:$AL$13)</f>
        <v>-4.0407191491885115</v>
      </c>
      <c r="AO13" s="30">
        <f ca="1">+'TUSD BE'!$T$13+'TUSD BE'!$AB$13+'TUSD BE'!$AD$13+'TUSD BE'!$AL$13</f>
        <v>72.526310340595813</v>
      </c>
      <c r="AP13" s="30">
        <f ca="1">+'TUSD BE'!$T$13+'TUSD BE'!$AB$13+'TUSD BE'!$AD$13+'TUSD BE'!$AL$13</f>
        <v>72.526310340595813</v>
      </c>
    </row>
    <row r="14" spans="1:42" ht="11.25" customHeight="1" x14ac:dyDescent="0.25">
      <c r="A14" s="136"/>
      <c r="B14" s="136"/>
      <c r="C14" s="136"/>
      <c r="D14" s="136"/>
      <c r="E14" s="136"/>
      <c r="F14" s="136"/>
      <c r="G14" s="21" t="s">
        <v>95</v>
      </c>
      <c r="H14" s="21" t="s">
        <v>93</v>
      </c>
      <c r="I14" s="21">
        <f>'MERCADO TUSD'!$U$11</f>
        <v>602292</v>
      </c>
      <c r="J14" s="17"/>
      <c r="L14" s="25">
        <f>'TUSD BE'!$L$14*'TUSD BE'!$L$69</f>
        <v>0</v>
      </c>
      <c r="M14" s="25">
        <f>'TUSD BE'!$M$14*'TUSD BE'!$M$69</f>
        <v>0</v>
      </c>
      <c r="N14" s="25">
        <f ca="1">'TUSD BE'!$N$14*'TUSD BE'!$N$69</f>
        <v>0</v>
      </c>
      <c r="O14" s="25">
        <f>'TUSD BE'!$O$14*'TUSD BE'!$O$69</f>
        <v>0</v>
      </c>
      <c r="P14" s="25">
        <f>'TUSD BE'!$P$14*'TUSD BE'!$P$69</f>
        <v>0</v>
      </c>
      <c r="Q14" s="25">
        <f>'TUSD BE'!$Q$14*'TUSD BE'!$Q$69</f>
        <v>0</v>
      </c>
      <c r="R14" s="25">
        <f>'TUSD BE'!$R$14*'TUSD BE'!$R$69</f>
        <v>0</v>
      </c>
      <c r="S14" s="25">
        <f>'TUSD BE'!$R$14*'TUSD BE'!$S$69</f>
        <v>0</v>
      </c>
      <c r="T14" s="25">
        <f ca="1">SUM($L$14:$S$14)</f>
        <v>0</v>
      </c>
      <c r="U14" s="25">
        <f>'TUSD BE'!$U$14*'TUSD BE'!$U$69</f>
        <v>-2.1140478718808065</v>
      </c>
      <c r="V14" s="25">
        <f>'TUSD BE'!$V$14*'TUSD BE'!$V$69</f>
        <v>-0.11539877107441544</v>
      </c>
      <c r="W14" s="25">
        <f>'TUSD BE'!$W$14*'TUSD BE'!$W$69</f>
        <v>-1.2828815276558783E-2</v>
      </c>
      <c r="X14" s="25">
        <f>'TUSD BE'!$X$14*'TUSD BE'!$X$69</f>
        <v>0</v>
      </c>
      <c r="Y14" s="25">
        <f>'TUSD BE'!$Y$14*'TUSD BE'!$Y$69</f>
        <v>-1.0741533320523427E-2</v>
      </c>
      <c r="Z14" s="25">
        <f>'TUSD BE'!$Z$14*'TUSD BE'!$Z$69</f>
        <v>0</v>
      </c>
      <c r="AA14" s="25">
        <f>'TUSD BE'!$AA$14*'TUSD BE'!$AA$69</f>
        <v>0</v>
      </c>
      <c r="AB14" s="25">
        <f>SUM($U$14:$AA$14)</f>
        <v>-2.2530169915523044</v>
      </c>
      <c r="AC14" s="25">
        <f>'TUSD BE'!$AC$14*'TUSD BE'!$AC$69</f>
        <v>3.4314373657666035E-3</v>
      </c>
      <c r="AD14" s="25">
        <f>SUM($AC$14:$AC$14)</f>
        <v>3.4314373657666035E-3</v>
      </c>
      <c r="AE14" s="25">
        <f ca="1">$AO$14*$AO$66</f>
        <v>3.3153680479047425E-2</v>
      </c>
      <c r="AF14" s="25">
        <f ca="1">$AP$14*$AP$66</f>
        <v>0</v>
      </c>
      <c r="AG14" s="25">
        <f ca="1">SUM($AE$14:$AF$14)</f>
        <v>3.3153680479047425E-2</v>
      </c>
      <c r="AH14" s="25">
        <f>'TUSD BE'!$AH$14*'TUSD BE'!$AH$69</f>
        <v>0</v>
      </c>
      <c r="AI14" s="25">
        <f>'TUSD BE'!$AI$14*'TUSD BE'!$AI$69</f>
        <v>0</v>
      </c>
      <c r="AJ14" s="25">
        <f ca="1">'TUSD BE'!$AJ$14*'TUSD BE'!$AJ$69</f>
        <v>0</v>
      </c>
      <c r="AK14" s="25">
        <f ca="1">'TUSD BE'!$AK$14*'TUSD BE'!$AK$69</f>
        <v>0</v>
      </c>
      <c r="AL14" s="25">
        <f ca="1">SUM($AH$14:$AK$14)</f>
        <v>0</v>
      </c>
      <c r="AM14" s="25">
        <f ca="1">SUMIF($L$4:$AL$4,"SUBTOTAL",$L$14:$AL$14)</f>
        <v>-2.2164318737074904</v>
      </c>
      <c r="AO14" s="30">
        <f ca="1">+'TUSD BE'!$T$14+'TUSD BE'!$AB$14+'TUSD BE'!$AD$14+'TUSD BE'!$AL$14</f>
        <v>26.465032224914786</v>
      </c>
      <c r="AP14" s="30">
        <f ca="1">+'TUSD BE'!$T$14+'TUSD BE'!$AB$14+'TUSD BE'!$AD$14+'TUSD BE'!$AL$14</f>
        <v>26.465032224914786</v>
      </c>
    </row>
    <row r="15" spans="1:42" ht="11.25" customHeight="1" x14ac:dyDescent="0.25">
      <c r="A15" s="136"/>
      <c r="B15" s="136"/>
      <c r="C15" s="136"/>
      <c r="D15" s="136"/>
      <c r="E15" s="136"/>
      <c r="F15" s="136"/>
      <c r="G15" s="21" t="s">
        <v>96</v>
      </c>
      <c r="H15" s="21" t="s">
        <v>90</v>
      </c>
      <c r="I15" s="21">
        <f>'MERCADO TUSD'!$U$12</f>
        <v>263308.96999999997</v>
      </c>
      <c r="J15" s="17"/>
      <c r="L15" s="25">
        <f>'TUSD BE'!$L$15*'TUSD BE'!$L$69</f>
        <v>-4.0393958817737889</v>
      </c>
      <c r="M15" s="25">
        <f>'TUSD BE'!$M$15*'TUSD BE'!$M$69</f>
        <v>-1.0822040976870123E-2</v>
      </c>
      <c r="N15" s="25">
        <f ca="1">'TUSD BE'!$N$15*'TUSD BE'!$N$69</f>
        <v>0</v>
      </c>
      <c r="O15" s="25">
        <f>'TUSD BE'!$O$15*'TUSD BE'!$O$69</f>
        <v>0</v>
      </c>
      <c r="P15" s="25">
        <f>'TUSD BE'!$P$15*'TUSD BE'!$P$69</f>
        <v>0</v>
      </c>
      <c r="Q15" s="25">
        <f>'TUSD BE'!$Q$15*'TUSD BE'!$Q$69</f>
        <v>3.7041333929645044E-2</v>
      </c>
      <c r="R15" s="25">
        <f>'TUSD BE'!$R$15*'TUSD BE'!$R$69</f>
        <v>0.16719913815822074</v>
      </c>
      <c r="S15" s="25">
        <f>'TUSD BE'!$R$15*'TUSD BE'!$S$69</f>
        <v>0</v>
      </c>
      <c r="T15" s="25">
        <f ca="1">SUM($L$15:$S$15)</f>
        <v>-3.8459774506627928</v>
      </c>
      <c r="U15" s="25">
        <f>'TUSD BE'!$U$15*'TUSD BE'!$U$69</f>
        <v>0</v>
      </c>
      <c r="V15" s="25">
        <f>'TUSD BE'!$V$15*'TUSD BE'!$V$69</f>
        <v>0</v>
      </c>
      <c r="W15" s="25">
        <f>'TUSD BE'!$W$15*'TUSD BE'!$W$69</f>
        <v>0</v>
      </c>
      <c r="X15" s="25">
        <f>'TUSD BE'!$X$15*'TUSD BE'!$X$69</f>
        <v>0</v>
      </c>
      <c r="Y15" s="25">
        <f>'TUSD BE'!$Y$15*'TUSD BE'!$Y$69</f>
        <v>0</v>
      </c>
      <c r="Z15" s="25">
        <f>'TUSD BE'!$Z$15*'TUSD BE'!$Z$69</f>
        <v>0</v>
      </c>
      <c r="AA15" s="25">
        <f>'TUSD BE'!$AA$15*'TUSD BE'!$AA$69</f>
        <v>0</v>
      </c>
      <c r="AB15" s="25">
        <f>SUM($U$15:$AA$15)</f>
        <v>0</v>
      </c>
      <c r="AC15" s="25">
        <f>'TUSD BE'!$AC$15*'TUSD BE'!$AC$69</f>
        <v>0</v>
      </c>
      <c r="AD15" s="25">
        <f>SUM($AC$15:$AC$15)</f>
        <v>0</v>
      </c>
      <c r="AE15" s="25">
        <f ca="1">$AO$15*$AO$66</f>
        <v>0.14290683035679777</v>
      </c>
      <c r="AF15" s="25">
        <f ca="1">$AP$15*$AP$66</f>
        <v>0</v>
      </c>
      <c r="AG15" s="25">
        <f ca="1">SUM($AE$15:$AF$15)</f>
        <v>0.14290683035679777</v>
      </c>
      <c r="AH15" s="25">
        <f>'TUSD BE'!$AH$15*'TUSD BE'!$AH$69</f>
        <v>-1.1400599223315666</v>
      </c>
      <c r="AI15" s="25">
        <f>'TUSD BE'!$AI$15*'TUSD BE'!$AI$69</f>
        <v>-6.5832433287119588E-2</v>
      </c>
      <c r="AJ15" s="25">
        <f ca="1">'TUSD BE'!$AJ$15*'TUSD BE'!$AJ$69</f>
        <v>-1.6408079943913239</v>
      </c>
      <c r="AK15" s="25">
        <f ca="1">'TUSD BE'!$AK$15*'TUSD BE'!$AK$69</f>
        <v>1.5462668283631995</v>
      </c>
      <c r="AL15" s="25">
        <f ca="1">SUM($AH$15:$AK$15)</f>
        <v>-1.3004335216468106</v>
      </c>
      <c r="AM15" s="25">
        <f ca="1">SUMIF($L$4:$AL$4,"SUBTOTAL",$L$15:$AL$15)</f>
        <v>-5.0035041419528055</v>
      </c>
      <c r="AO15" s="30">
        <f ca="1">+'TUSD BE'!$T$15+'TUSD BE'!$AB$15+'TUSD BE'!$AD$15+'TUSD BE'!$AL$15</f>
        <v>114.07583761155162</v>
      </c>
      <c r="AP15" s="30">
        <f ca="1">+'TUSD BE'!$T$15+'TUSD BE'!$AB$15+'TUSD BE'!$AD$15+'TUSD BE'!$AL$15</f>
        <v>114.07583761155162</v>
      </c>
    </row>
    <row r="16" spans="1:42" ht="11.25" customHeight="1" x14ac:dyDescent="0.25">
      <c r="A16" s="136"/>
      <c r="B16" s="136"/>
      <c r="C16" s="136"/>
      <c r="D16" s="136"/>
      <c r="E16" s="28" t="s">
        <v>58</v>
      </c>
      <c r="F16" s="28" t="s">
        <v>25</v>
      </c>
      <c r="G16" s="21" t="s">
        <v>96</v>
      </c>
      <c r="H16" s="21" t="s">
        <v>90</v>
      </c>
      <c r="I16" s="21">
        <f>'MERCADO TUSD'!$U$13</f>
        <v>0</v>
      </c>
      <c r="J16" s="17"/>
      <c r="L16" s="25">
        <f>'TUSD BE'!$L$16*'TUSD BE'!$L$69</f>
        <v>0</v>
      </c>
      <c r="M16" s="25">
        <f>'TUSD BE'!$M$16*'TUSD BE'!$M$69</f>
        <v>-1.0822040976870123E-2</v>
      </c>
      <c r="N16" s="25">
        <f ca="1">'TUSD BE'!$N$16*'TUSD BE'!$N$69</f>
        <v>0</v>
      </c>
      <c r="O16" s="25">
        <f>'TUSD BE'!$O$16*'TUSD BE'!$O$69</f>
        <v>0</v>
      </c>
      <c r="P16" s="25">
        <f>'TUSD BE'!$P$16*'TUSD BE'!$P$69</f>
        <v>0</v>
      </c>
      <c r="Q16" s="25">
        <f>'TUSD BE'!$Q$16*'TUSD BE'!$Q$69</f>
        <v>0</v>
      </c>
      <c r="R16" s="25">
        <f>'TUSD BE'!$R$16*'TUSD BE'!$R$69</f>
        <v>0</v>
      </c>
      <c r="S16" s="25">
        <f>'TUSD BE'!$R$16*'TUSD BE'!$S$69</f>
        <v>0</v>
      </c>
      <c r="T16" s="25">
        <f ca="1">SUM($L$16:$S$16)</f>
        <v>-1.0822040976870123E-2</v>
      </c>
      <c r="U16" s="25">
        <f>'TUSD BE'!$U$16*'TUSD BE'!$U$69</f>
        <v>0</v>
      </c>
      <c r="V16" s="25">
        <f>'TUSD BE'!$V$16*'TUSD BE'!$V$69</f>
        <v>0</v>
      </c>
      <c r="W16" s="25">
        <f>'TUSD BE'!$W$16*'TUSD BE'!$W$69</f>
        <v>0</v>
      </c>
      <c r="X16" s="25">
        <f>'TUSD BE'!$X$16*'TUSD BE'!$X$69</f>
        <v>0</v>
      </c>
      <c r="Y16" s="25">
        <f>'TUSD BE'!$Y$16*'TUSD BE'!$Y$69</f>
        <v>0</v>
      </c>
      <c r="Z16" s="25">
        <f>'TUSD BE'!$Z$16*'TUSD BE'!$Z$69</f>
        <v>0</v>
      </c>
      <c r="AA16" s="25">
        <f>'TUSD BE'!$AA$16*'TUSD BE'!$AA$69</f>
        <v>0</v>
      </c>
      <c r="AB16" s="25">
        <f>SUM($U$16:$AA$16)</f>
        <v>0</v>
      </c>
      <c r="AC16" s="25">
        <f>'TUSD BE'!$AC$16*'TUSD BE'!$AC$69</f>
        <v>0</v>
      </c>
      <c r="AD16" s="25">
        <f>SUM($AC$16:$AC$16)</f>
        <v>0</v>
      </c>
      <c r="AE16" s="25">
        <f ca="1">$AO$16*$AO$66</f>
        <v>6.9264938923557867E-2</v>
      </c>
      <c r="AF16" s="25">
        <f ca="1">$AP$16*$AP$66</f>
        <v>0</v>
      </c>
      <c r="AG16" s="25">
        <f ca="1">SUM($AE$16:$AF$16)</f>
        <v>6.9264938923557867E-2</v>
      </c>
      <c r="AH16" s="25">
        <f>'TUSD BE'!$AH$16*'TUSD BE'!$AH$69</f>
        <v>-1.1400599223315666</v>
      </c>
      <c r="AI16" s="25">
        <f>'TUSD BE'!$AI$16*'TUSD BE'!$AI$69</f>
        <v>-6.5832433287119588E-2</v>
      </c>
      <c r="AJ16" s="25">
        <f ca="1">'TUSD BE'!$AJ$16*'TUSD BE'!$AJ$69</f>
        <v>-1.6408079943913239</v>
      </c>
      <c r="AK16" s="25">
        <f ca="1">'TUSD BE'!$AK$16*'TUSD BE'!$AK$69</f>
        <v>1.5462668283631995</v>
      </c>
      <c r="AL16" s="25">
        <f ca="1">SUM($AH$16:$AK$16)</f>
        <v>-1.3004335216468106</v>
      </c>
      <c r="AM16" s="25">
        <f ca="1">SUMIF($L$4:$AL$4,"SUBTOTAL",$L$16:$AL$16)</f>
        <v>-1.2419906237001228</v>
      </c>
      <c r="AO16" s="30">
        <f ca="1">+'TUSD BE'!$T$16+'TUSD BE'!$AB$16+'TUSD BE'!$AD$16+'TUSD BE'!$AL$16</f>
        <v>55.290960586629325</v>
      </c>
      <c r="AP16" s="30">
        <f ca="1">+'TUSD BE'!$T$16+'TUSD BE'!$AB$16+'TUSD BE'!$AD$16+'TUSD BE'!$AL$16</f>
        <v>55.290960586629325</v>
      </c>
    </row>
    <row r="17" spans="1:42" ht="11.25" customHeight="1" x14ac:dyDescent="0.25">
      <c r="A17" s="136"/>
      <c r="B17" s="136" t="s">
        <v>61</v>
      </c>
      <c r="C17" s="136" t="s">
        <v>25</v>
      </c>
      <c r="D17" s="136" t="s">
        <v>25</v>
      </c>
      <c r="E17" s="136" t="s">
        <v>25</v>
      </c>
      <c r="F17" s="136" t="s">
        <v>62</v>
      </c>
      <c r="G17" s="21" t="s">
        <v>94</v>
      </c>
      <c r="H17" s="21" t="s">
        <v>93</v>
      </c>
      <c r="I17" s="21">
        <f>'MERCADO TUSD'!$U$14</f>
        <v>5691</v>
      </c>
      <c r="J17" s="17"/>
      <c r="L17" s="25">
        <f>'TUSD BE'!$L$17*'TUSD BE'!$L$69</f>
        <v>0</v>
      </c>
      <c r="M17" s="25">
        <f>'TUSD BE'!$M$17*'TUSD BE'!$M$69</f>
        <v>0</v>
      </c>
      <c r="N17" s="25">
        <f ca="1">'TUSD BE'!$N$17*'TUSD BE'!$N$69</f>
        <v>0</v>
      </c>
      <c r="O17" s="25">
        <f>'TUSD BE'!$O$17*'TUSD BE'!$O$69</f>
        <v>0</v>
      </c>
      <c r="P17" s="25">
        <f>'TUSD BE'!$P$17*'TUSD BE'!$P$69</f>
        <v>0</v>
      </c>
      <c r="Q17" s="25">
        <f>'TUSD BE'!$Q$17*'TUSD BE'!$Q$69</f>
        <v>0</v>
      </c>
      <c r="R17" s="25">
        <f>'TUSD BE'!$R$17*'TUSD BE'!$R$69</f>
        <v>0</v>
      </c>
      <c r="S17" s="25">
        <f>'TUSD BE'!$R$17*'TUSD BE'!$S$69</f>
        <v>0</v>
      </c>
      <c r="T17" s="25">
        <f ca="1">SUM($L$17:$S$17)</f>
        <v>0</v>
      </c>
      <c r="U17" s="25">
        <f>'TUSD BE'!$U$17*'TUSD BE'!$U$69</f>
        <v>-3.8684167436297754</v>
      </c>
      <c r="V17" s="25">
        <f>'TUSD BE'!$V$17*'TUSD BE'!$V$69</f>
        <v>-0.21039361176667359</v>
      </c>
      <c r="W17" s="25">
        <f>'TUSD BE'!$W$17*'TUSD BE'!$W$69</f>
        <v>-2.2950958345420054E-2</v>
      </c>
      <c r="X17" s="25">
        <f>'TUSD BE'!$X$17*'TUSD BE'!$X$69</f>
        <v>0</v>
      </c>
      <c r="Y17" s="25">
        <f>'TUSD BE'!$Y$17*'TUSD BE'!$Y$69</f>
        <v>-4.0644066520157014E-2</v>
      </c>
      <c r="Z17" s="25">
        <f>'TUSD BE'!$Z$17*'TUSD BE'!$Z$69</f>
        <v>0</v>
      </c>
      <c r="AA17" s="25">
        <f>'TUSD BE'!$AA$17*'TUSD BE'!$AA$69</f>
        <v>0</v>
      </c>
      <c r="AB17" s="25">
        <f>SUM($U$17:$AA$17)</f>
        <v>-4.1424053802620255</v>
      </c>
      <c r="AC17" s="25">
        <f>'TUSD BE'!$AC$17*'TUSD BE'!$AC$69</f>
        <v>3.4542304352704663E-3</v>
      </c>
      <c r="AD17" s="25">
        <f>SUM($AC$17:$AC$17)</f>
        <v>3.4542304352704663E-3</v>
      </c>
      <c r="AE17" s="25">
        <v>0</v>
      </c>
      <c r="AF17" s="25">
        <f ca="1">$AP$17*$AP$66</f>
        <v>0</v>
      </c>
      <c r="AG17" s="25">
        <f ca="1">SUM($AE$17:$AF$17)</f>
        <v>0</v>
      </c>
      <c r="AH17" s="25">
        <f>'TUSD BE'!$AH$17*'TUSD BE'!$AH$69</f>
        <v>0</v>
      </c>
      <c r="AI17" s="25">
        <f>'TUSD BE'!$AI$17*'TUSD BE'!$AI$69</f>
        <v>0</v>
      </c>
      <c r="AJ17" s="25">
        <f ca="1">'TUSD BE'!$AJ$17*'TUSD BE'!$AJ$69</f>
        <v>0</v>
      </c>
      <c r="AK17" s="25">
        <f ca="1">'TUSD BE'!$AK$17*'TUSD BE'!$AK$69</f>
        <v>0</v>
      </c>
      <c r="AL17" s="25">
        <f ca="1">SUM($AH$17:$AK$17)</f>
        <v>0</v>
      </c>
      <c r="AM17" s="25">
        <f ca="1">SUMIF($L$4:$AL$4,"SUBTOTAL",$L$17:$AL$17)</f>
        <v>-4.138951149826755</v>
      </c>
      <c r="AO17" s="30"/>
      <c r="AP17" s="30">
        <f ca="1">+'TUSD BE'!$T$17+'TUSD BE'!$AB$17+'TUSD BE'!$AD$17+'TUSD BE'!$AL$17</f>
        <v>33.870252391240832</v>
      </c>
    </row>
    <row r="18" spans="1:42" ht="11.25" customHeight="1" x14ac:dyDescent="0.25">
      <c r="A18" s="136"/>
      <c r="B18" s="136"/>
      <c r="C18" s="136"/>
      <c r="D18" s="136"/>
      <c r="E18" s="136"/>
      <c r="F18" s="136"/>
      <c r="G18" s="21" t="s">
        <v>95</v>
      </c>
      <c r="H18" s="21" t="s">
        <v>93</v>
      </c>
      <c r="I18" s="21">
        <f>'MERCADO TUSD'!$U$15</f>
        <v>7796</v>
      </c>
      <c r="J18" s="17"/>
      <c r="L18" s="25">
        <f>'TUSD BE'!$L$18*'TUSD BE'!$L$69</f>
        <v>0</v>
      </c>
      <c r="M18" s="25">
        <f>'TUSD BE'!$M$18*'TUSD BE'!$M$69</f>
        <v>0</v>
      </c>
      <c r="N18" s="25">
        <f ca="1">'TUSD BE'!$N$18*'TUSD BE'!$N$69</f>
        <v>0</v>
      </c>
      <c r="O18" s="25">
        <f>'TUSD BE'!$O$18*'TUSD BE'!$O$69</f>
        <v>0</v>
      </c>
      <c r="P18" s="25">
        <f>'TUSD BE'!$P$18*'TUSD BE'!$P$69</f>
        <v>0</v>
      </c>
      <c r="Q18" s="25">
        <f>'TUSD BE'!$Q$18*'TUSD BE'!$Q$69</f>
        <v>0</v>
      </c>
      <c r="R18" s="25">
        <f>'TUSD BE'!$R$18*'TUSD BE'!$R$69</f>
        <v>0</v>
      </c>
      <c r="S18" s="25">
        <f>'TUSD BE'!$R$18*'TUSD BE'!$S$69</f>
        <v>0</v>
      </c>
      <c r="T18" s="25">
        <f ca="1">SUM($L$18:$S$18)</f>
        <v>0</v>
      </c>
      <c r="U18" s="25">
        <f>'TUSD BE'!$U$18*'TUSD BE'!$U$69</f>
        <v>-2.1140478718808065</v>
      </c>
      <c r="V18" s="25">
        <f>'TUSD BE'!$V$18*'TUSD BE'!$V$69</f>
        <v>-0.11539877107441544</v>
      </c>
      <c r="W18" s="25">
        <f>'TUSD BE'!$W$18*'TUSD BE'!$W$69</f>
        <v>-1.2828815276558783E-2</v>
      </c>
      <c r="X18" s="25">
        <f>'TUSD BE'!$X$18*'TUSD BE'!$X$69</f>
        <v>0</v>
      </c>
      <c r="Y18" s="25">
        <f>'TUSD BE'!$Y$18*'TUSD BE'!$Y$69</f>
        <v>-1.0741533320523427E-2</v>
      </c>
      <c r="Z18" s="25">
        <f>'TUSD BE'!$Z$18*'TUSD BE'!$Z$69</f>
        <v>0</v>
      </c>
      <c r="AA18" s="25">
        <f>'TUSD BE'!$AA$18*'TUSD BE'!$AA$69</f>
        <v>0</v>
      </c>
      <c r="AB18" s="25">
        <f>SUM($U$18:$AA$18)</f>
        <v>-2.2530169915523044</v>
      </c>
      <c r="AC18" s="25">
        <f>'TUSD BE'!$AC$18*'TUSD BE'!$AC$69</f>
        <v>1.0944623231187297E-3</v>
      </c>
      <c r="AD18" s="25">
        <f>SUM($AC$18:$AC$18)</f>
        <v>1.0944623231187297E-3</v>
      </c>
      <c r="AE18" s="25">
        <v>0</v>
      </c>
      <c r="AF18" s="25">
        <f ca="1">$AP$18*$AP$66</f>
        <v>0</v>
      </c>
      <c r="AG18" s="25">
        <f ca="1">SUM($AE$18:$AF$18)</f>
        <v>0</v>
      </c>
      <c r="AH18" s="25">
        <f>'TUSD BE'!$AH$18*'TUSD BE'!$AH$69</f>
        <v>0</v>
      </c>
      <c r="AI18" s="25">
        <f>'TUSD BE'!$AI$18*'TUSD BE'!$AI$69</f>
        <v>0</v>
      </c>
      <c r="AJ18" s="25">
        <f ca="1">'TUSD BE'!$AJ$18*'TUSD BE'!$AJ$69</f>
        <v>0</v>
      </c>
      <c r="AK18" s="25">
        <f ca="1">'TUSD BE'!$AK$18*'TUSD BE'!$AK$69</f>
        <v>0</v>
      </c>
      <c r="AL18" s="25">
        <f ca="1">SUM($AH$18:$AK$18)</f>
        <v>0</v>
      </c>
      <c r="AM18" s="25">
        <f ca="1">SUMIF($L$4:$AL$4,"SUBTOTAL",$L$18:$AL$18)</f>
        <v>-2.2519225292291858</v>
      </c>
      <c r="AO18" s="30"/>
      <c r="AP18" s="30">
        <f ca="1">+'TUSD BE'!$T$18+'TUSD BE'!$AB$18+'TUSD BE'!$AD$18+'TUSD BE'!$AL$18</f>
        <v>14.216992014542587</v>
      </c>
    </row>
    <row r="19" spans="1:42" ht="11.25" customHeight="1" x14ac:dyDescent="0.25">
      <c r="A19" s="136"/>
      <c r="B19" s="136"/>
      <c r="C19" s="136"/>
      <c r="D19" s="136"/>
      <c r="E19" s="136"/>
      <c r="F19" s="136"/>
      <c r="G19" s="21" t="s">
        <v>96</v>
      </c>
      <c r="H19" s="21" t="s">
        <v>90</v>
      </c>
      <c r="I19" s="21">
        <f>'MERCADO TUSD'!$U$16</f>
        <v>2880.6459999999997</v>
      </c>
      <c r="J19" s="17"/>
      <c r="L19" s="25">
        <f>'TUSD BE'!$L$19*'TUSD BE'!$L$69</f>
        <v>0</v>
      </c>
      <c r="M19" s="25">
        <f>'TUSD BE'!$M$19*'TUSD BE'!$M$69</f>
        <v>0</v>
      </c>
      <c r="N19" s="25">
        <f ca="1">'TUSD BE'!$N$19*'TUSD BE'!$N$69</f>
        <v>0</v>
      </c>
      <c r="O19" s="25">
        <f>'TUSD BE'!$O$19*'TUSD BE'!$O$69</f>
        <v>0</v>
      </c>
      <c r="P19" s="25">
        <f>'TUSD BE'!$P$19*'TUSD BE'!$P$69</f>
        <v>0</v>
      </c>
      <c r="Q19" s="25">
        <f>'TUSD BE'!$Q$19*'TUSD BE'!$Q$69</f>
        <v>0</v>
      </c>
      <c r="R19" s="25">
        <f>'TUSD BE'!$R$19*'TUSD BE'!$R$69</f>
        <v>0</v>
      </c>
      <c r="S19" s="25">
        <f>'TUSD BE'!$R$19*'TUSD BE'!$S$69</f>
        <v>0</v>
      </c>
      <c r="T19" s="25">
        <f ca="1">SUM($L$19:$S$19)</f>
        <v>0</v>
      </c>
      <c r="U19" s="25">
        <f>'TUSD BE'!$U$19*'TUSD BE'!$U$69</f>
        <v>0</v>
      </c>
      <c r="V19" s="25">
        <f>'TUSD BE'!$V$19*'TUSD BE'!$V$69</f>
        <v>0</v>
      </c>
      <c r="W19" s="25">
        <f>'TUSD BE'!$W$19*'TUSD BE'!$W$69</f>
        <v>0</v>
      </c>
      <c r="X19" s="25">
        <f>'TUSD BE'!$X$19*'TUSD BE'!$X$69</f>
        <v>0</v>
      </c>
      <c r="Y19" s="25">
        <f>'TUSD BE'!$Y$19*'TUSD BE'!$Y$69</f>
        <v>0</v>
      </c>
      <c r="Z19" s="25">
        <f>'TUSD BE'!$Z$19*'TUSD BE'!$Z$69</f>
        <v>0</v>
      </c>
      <c r="AA19" s="25">
        <f>'TUSD BE'!$AA$19*'TUSD BE'!$AA$69</f>
        <v>0</v>
      </c>
      <c r="AB19" s="25">
        <f>SUM($U$19:$AA$19)</f>
        <v>0</v>
      </c>
      <c r="AC19" s="25">
        <f>'TUSD BE'!$AC$19*'TUSD BE'!$AC$69</f>
        <v>0</v>
      </c>
      <c r="AD19" s="25">
        <f>SUM($AC$19:$AC$19)</f>
        <v>0</v>
      </c>
      <c r="AE19" s="25">
        <v>0</v>
      </c>
      <c r="AF19" s="25">
        <f ca="1">$AP$19*$AP$66</f>
        <v>0</v>
      </c>
      <c r="AG19" s="25">
        <f ca="1">SUM($AE$19:$AF$19)</f>
        <v>0</v>
      </c>
      <c r="AH19" s="25">
        <f>'TUSD BE'!$AH$19*'TUSD BE'!$AH$69</f>
        <v>-1.1400599223315666</v>
      </c>
      <c r="AI19" s="25">
        <f>'TUSD BE'!$AI$19*'TUSD BE'!$AI$69</f>
        <v>-6.5832433287119588E-2</v>
      </c>
      <c r="AJ19" s="25">
        <f ca="1">'TUSD BE'!$AJ$19*'TUSD BE'!$AJ$69</f>
        <v>0</v>
      </c>
      <c r="AK19" s="25">
        <f ca="1">'TUSD BE'!$AK$19*'TUSD BE'!$AK$69</f>
        <v>0</v>
      </c>
      <c r="AL19" s="25">
        <f ca="1">SUM($AH$19:$AK$19)</f>
        <v>-1.2058923556186862</v>
      </c>
      <c r="AM19" s="25">
        <f ca="1">SUMIF($L$4:$AL$4,"SUBTOTAL",$L$19:$AL$19)</f>
        <v>-1.2058923556186862</v>
      </c>
      <c r="AO19" s="30"/>
      <c r="AP19" s="30">
        <f ca="1">+'TUSD BE'!$T$19+'TUSD BE'!$AB$19+'TUSD BE'!$AD$19+'TUSD BE'!$AL$19</f>
        <v>19.624005729707726</v>
      </c>
    </row>
    <row r="20" spans="1:42" ht="11.25" customHeight="1" x14ac:dyDescent="0.25">
      <c r="A20" s="136"/>
      <c r="B20" s="28" t="s">
        <v>64</v>
      </c>
      <c r="C20" s="28" t="s">
        <v>25</v>
      </c>
      <c r="D20" s="28" t="s">
        <v>25</v>
      </c>
      <c r="E20" s="28" t="s">
        <v>25</v>
      </c>
      <c r="F20" s="28" t="s">
        <v>25</v>
      </c>
      <c r="G20" s="21" t="s">
        <v>9</v>
      </c>
      <c r="H20" s="21" t="s">
        <v>93</v>
      </c>
      <c r="I20" s="21">
        <f>'MERCADO TUSD'!$U$17</f>
        <v>38138</v>
      </c>
      <c r="J20" s="17"/>
      <c r="L20" s="25">
        <f>'TUSD BE'!$L$20*'TUSD BE'!$L$69</f>
        <v>0</v>
      </c>
      <c r="M20" s="25">
        <f>'TUSD BE'!$M$20*'TUSD BE'!$M$69</f>
        <v>-9.043821752721346E-4</v>
      </c>
      <c r="N20" s="25">
        <f ca="1">'TUSD BE'!$N$20*'TUSD BE'!$N$69</f>
        <v>0</v>
      </c>
      <c r="O20" s="25">
        <f>'TUSD BE'!$O$20*'TUSD BE'!$O$69</f>
        <v>0</v>
      </c>
      <c r="P20" s="25">
        <f>'TUSD BE'!$P$20*'TUSD BE'!$P$69</f>
        <v>0</v>
      </c>
      <c r="Q20" s="25">
        <f>'TUSD BE'!$Q$20*'TUSD BE'!$Q$69</f>
        <v>0</v>
      </c>
      <c r="R20" s="25">
        <f>'TUSD BE'!$R$20*'TUSD BE'!$R$69</f>
        <v>0</v>
      </c>
      <c r="S20" s="25">
        <f>'TUSD BE'!$R$20*'TUSD BE'!$S$69</f>
        <v>0</v>
      </c>
      <c r="T20" s="25">
        <f ca="1">SUM($L$20:$S$20)</f>
        <v>-9.043821752721346E-4</v>
      </c>
      <c r="U20" s="25">
        <f>'TUSD BE'!$U$20*'TUSD BE'!$U$69</f>
        <v>0</v>
      </c>
      <c r="V20" s="25">
        <f>'TUSD BE'!$V$20*'TUSD BE'!$V$69</f>
        <v>0</v>
      </c>
      <c r="W20" s="25">
        <f>'TUSD BE'!$W$20*'TUSD BE'!$W$69</f>
        <v>0</v>
      </c>
      <c r="X20" s="25">
        <f>'TUSD BE'!$X$20*'TUSD BE'!$X$69</f>
        <v>0</v>
      </c>
      <c r="Y20" s="25">
        <f>'TUSD BE'!$Y$20*'TUSD BE'!$Y$69</f>
        <v>0</v>
      </c>
      <c r="Z20" s="25">
        <f>'TUSD BE'!$Z$20*'TUSD BE'!$Z$69</f>
        <v>0</v>
      </c>
      <c r="AA20" s="25">
        <f>'TUSD BE'!$AA$20*'TUSD BE'!$AA$69</f>
        <v>0</v>
      </c>
      <c r="AB20" s="25">
        <f>SUM($U$20:$AA$20)</f>
        <v>0</v>
      </c>
      <c r="AC20" s="25">
        <f>'TUSD BE'!$AC$20*'TUSD BE'!$AC$69</f>
        <v>2.8408621969091175E-3</v>
      </c>
      <c r="AD20" s="25">
        <f>SUM($AC$20:$AC$20)</f>
        <v>2.8408621969091175E-3</v>
      </c>
      <c r="AE20" s="25">
        <f ca="1">$AO$20*$AO$66</f>
        <v>1.8891853859577791E-2</v>
      </c>
      <c r="AF20" s="25">
        <f ca="1">$AP$20*$AP$66</f>
        <v>0</v>
      </c>
      <c r="AG20" s="25">
        <f ca="1">SUM($AE$20:$AF$20)</f>
        <v>1.8891853859577791E-2</v>
      </c>
      <c r="AH20" s="25">
        <f>'TUSD BE'!$AH$20*'TUSD BE'!$AH$69</f>
        <v>-6.3838503924269494E-5</v>
      </c>
      <c r="AI20" s="25">
        <f>'TUSD BE'!$AI$20*'TUSD BE'!$AI$69</f>
        <v>0</v>
      </c>
      <c r="AJ20" s="25">
        <f ca="1">'TUSD BE'!$AJ$20*'TUSD BE'!$AJ$69</f>
        <v>0</v>
      </c>
      <c r="AK20" s="25">
        <f ca="1">'TUSD BE'!$AK$20*'TUSD BE'!$AK$69</f>
        <v>0</v>
      </c>
      <c r="AL20" s="25">
        <f ca="1">SUM($AH$20:$AK$20)</f>
        <v>-6.3838503924269494E-5</v>
      </c>
      <c r="AM20" s="25">
        <f ca="1">SUMIF($L$4:$AL$4,"SUBTOTAL",$L$20:$AL$20)</f>
        <v>2.0764495377290502E-2</v>
      </c>
      <c r="AO20" s="30">
        <f ca="1">+'TUSD BE'!$T$20+'TUSD BE'!$AB$20+'TUSD BE'!$AD$20+'TUSD BE'!$AL$20</f>
        <v>15.080483190941107</v>
      </c>
      <c r="AP20" s="30">
        <f ca="1">+'TUSD BE'!$T$20+'TUSD BE'!$AB$20+'TUSD BE'!$AD$20+'TUSD BE'!$AL$20</f>
        <v>15.080483190941107</v>
      </c>
    </row>
    <row r="21" spans="1:42" ht="11.25" customHeight="1" x14ac:dyDescent="0.25">
      <c r="A21" s="136"/>
      <c r="B21" s="136" t="s">
        <v>34</v>
      </c>
      <c r="C21" s="136" t="s">
        <v>25</v>
      </c>
      <c r="D21" s="136" t="s">
        <v>25</v>
      </c>
      <c r="E21" s="136" t="s">
        <v>25</v>
      </c>
      <c r="F21" s="136" t="s">
        <v>25</v>
      </c>
      <c r="G21" s="21" t="s">
        <v>9</v>
      </c>
      <c r="H21" s="21" t="s">
        <v>93</v>
      </c>
      <c r="I21" s="21">
        <f>'MERCADO TUSD'!$U$18</f>
        <v>3390140</v>
      </c>
      <c r="J21" s="17"/>
      <c r="L21" s="25">
        <f>'TUSD BE'!$L$21*'TUSD BE'!$L$69</f>
        <v>0</v>
      </c>
      <c r="M21" s="25">
        <f>'TUSD BE'!$M$21*'TUSD BE'!$M$69</f>
        <v>0</v>
      </c>
      <c r="N21" s="25">
        <f ca="1">'TUSD BE'!$N$21*'TUSD BE'!$N$69</f>
        <v>0</v>
      </c>
      <c r="O21" s="25">
        <f>'TUSD BE'!$O$21*'TUSD BE'!$O$69</f>
        <v>0</v>
      </c>
      <c r="P21" s="25">
        <f>'TUSD BE'!$P$21*'TUSD BE'!$P$69</f>
        <v>0</v>
      </c>
      <c r="Q21" s="25">
        <f>'TUSD BE'!$Q$21*'TUSD BE'!$Q$69</f>
        <v>0</v>
      </c>
      <c r="R21" s="25">
        <f>'TUSD BE'!$R$21*'TUSD BE'!$R$69</f>
        <v>0</v>
      </c>
      <c r="S21" s="25">
        <f>'TUSD BE'!$R$21*'TUSD BE'!$S$69</f>
        <v>0</v>
      </c>
      <c r="T21" s="25">
        <f ca="1">SUM($L$21:$S$21)</f>
        <v>0</v>
      </c>
      <c r="U21" s="25">
        <f>'TUSD BE'!$U$21*'TUSD BE'!$U$69</f>
        <v>-2.1140478718808065</v>
      </c>
      <c r="V21" s="25">
        <f>'TUSD BE'!$V$21*'TUSD BE'!$V$69</f>
        <v>-0.11539877107441544</v>
      </c>
      <c r="W21" s="25">
        <f>'TUSD BE'!$W$21*'TUSD BE'!$W$69</f>
        <v>-1.2828815276558783E-2</v>
      </c>
      <c r="X21" s="25">
        <f>'TUSD BE'!$X$21*'TUSD BE'!$X$69</f>
        <v>0</v>
      </c>
      <c r="Y21" s="25">
        <f>'TUSD BE'!$Y$21*'TUSD BE'!$Y$69</f>
        <v>-1.0741533320523427E-2</v>
      </c>
      <c r="Z21" s="25">
        <f>'TUSD BE'!$Z$21*'TUSD BE'!$Z$69</f>
        <v>0</v>
      </c>
      <c r="AA21" s="25">
        <f>'TUSD BE'!$AA$21*'TUSD BE'!$AA$69</f>
        <v>0</v>
      </c>
      <c r="AB21" s="25">
        <f>SUM($U$21:$AA$21)</f>
        <v>-2.2530169915523044</v>
      </c>
      <c r="AC21" s="25">
        <f>'TUSD BE'!$AC$21*'TUSD BE'!$AC$69</f>
        <v>3.4314373657666035E-3</v>
      </c>
      <c r="AD21" s="25">
        <f>SUM($AC$21:$AC$21)</f>
        <v>3.4314373657666035E-3</v>
      </c>
      <c r="AE21" s="25">
        <f ca="1">$AO$21*$AO$66</f>
        <v>3.3153680479047425E-2</v>
      </c>
      <c r="AF21" s="25">
        <f ca="1">$AP$21*$AP$66</f>
        <v>0</v>
      </c>
      <c r="AG21" s="25">
        <f ca="1">SUM($AE$21:$AF$21)</f>
        <v>3.3153680479047425E-2</v>
      </c>
      <c r="AH21" s="25">
        <f>'TUSD BE'!$AH$21*'TUSD BE'!$AH$69</f>
        <v>0</v>
      </c>
      <c r="AI21" s="25">
        <f>'TUSD BE'!$AI$21*'TUSD BE'!$AI$69</f>
        <v>0</v>
      </c>
      <c r="AJ21" s="25">
        <f ca="1">'TUSD BE'!$AJ$21*'TUSD BE'!$AJ$69</f>
        <v>0</v>
      </c>
      <c r="AK21" s="25">
        <f ca="1">'TUSD BE'!$AK$21*'TUSD BE'!$AK$69</f>
        <v>0</v>
      </c>
      <c r="AL21" s="25">
        <f ca="1">SUM($AH$21:$AK$21)</f>
        <v>0</v>
      </c>
      <c r="AM21" s="25">
        <f ca="1">SUMIF($L$4:$AL$4,"SUBTOTAL",$L$21:$AL$21)</f>
        <v>-2.2164318737074904</v>
      </c>
      <c r="AO21" s="30">
        <f ca="1">+'TUSD BE'!$T$21+'TUSD BE'!$AB$21+'TUSD BE'!$AD$21+'TUSD BE'!$AL$21</f>
        <v>26.465032224914786</v>
      </c>
      <c r="AP21" s="30">
        <f ca="1">+'TUSD BE'!$T$21+'TUSD BE'!$AB$21+'TUSD BE'!$AD$21+'TUSD BE'!$AL$21</f>
        <v>26.465032224914786</v>
      </c>
    </row>
    <row r="22" spans="1:42" ht="11.25" customHeight="1" x14ac:dyDescent="0.25">
      <c r="A22" s="136"/>
      <c r="B22" s="136"/>
      <c r="C22" s="136"/>
      <c r="D22" s="136"/>
      <c r="E22" s="136"/>
      <c r="F22" s="136"/>
      <c r="G22" s="21" t="s">
        <v>91</v>
      </c>
      <c r="H22" s="21" t="s">
        <v>90</v>
      </c>
      <c r="I22" s="21">
        <f>'MERCADO TUSD'!$U$19</f>
        <v>49009.922999999995</v>
      </c>
      <c r="J22" s="17"/>
      <c r="L22" s="25">
        <f>'TUSD BE'!$L$22*'TUSD BE'!$L$69</f>
        <v>-4.0393958817737889</v>
      </c>
      <c r="M22" s="25">
        <f>'TUSD BE'!$M$22*'TUSD BE'!$M$69</f>
        <v>-1.0822040976870123E-2</v>
      </c>
      <c r="N22" s="25">
        <f ca="1">'TUSD BE'!$N$22*'TUSD BE'!$N$69</f>
        <v>0</v>
      </c>
      <c r="O22" s="25">
        <f>'TUSD BE'!$O$22*'TUSD BE'!$O$69</f>
        <v>0</v>
      </c>
      <c r="P22" s="25">
        <f>'TUSD BE'!$P$22*'TUSD BE'!$P$69</f>
        <v>0</v>
      </c>
      <c r="Q22" s="25">
        <f>'TUSD BE'!$Q$22*'TUSD BE'!$Q$69</f>
        <v>3.7041333929645044E-2</v>
      </c>
      <c r="R22" s="25">
        <f>'TUSD BE'!$R$22*'TUSD BE'!$R$69</f>
        <v>0.16719913815822074</v>
      </c>
      <c r="S22" s="25">
        <f>'TUSD BE'!$R$22*'TUSD BE'!$S$69</f>
        <v>0</v>
      </c>
      <c r="T22" s="25">
        <f ca="1">SUM($L$22:$S$22)</f>
        <v>-3.8459774506627928</v>
      </c>
      <c r="U22" s="25">
        <f>'TUSD BE'!$U$22*'TUSD BE'!$U$69</f>
        <v>-93.035053854584106</v>
      </c>
      <c r="V22" s="25">
        <f>'TUSD BE'!$V$22*'TUSD BE'!$V$69</f>
        <v>-5.0598859025956884</v>
      </c>
      <c r="W22" s="25">
        <f>'TUSD BE'!$W$22*'TUSD BE'!$W$69</f>
        <v>-0.55198879543571888</v>
      </c>
      <c r="X22" s="25">
        <f>'TUSD BE'!$X$22*'TUSD BE'!$X$69</f>
        <v>0</v>
      </c>
      <c r="Y22" s="25">
        <f>'TUSD BE'!$Y$22*'TUSD BE'!$Y$69</f>
        <v>-0.97749532854016186</v>
      </c>
      <c r="Z22" s="25">
        <f>'TUSD BE'!$Z$22*'TUSD BE'!$Z$69</f>
        <v>0</v>
      </c>
      <c r="AA22" s="25">
        <f>'TUSD BE'!$AA$22*'TUSD BE'!$AA$69</f>
        <v>0</v>
      </c>
      <c r="AB22" s="25">
        <f>SUM($U$22:$AA$22)</f>
        <v>-99.624423881155664</v>
      </c>
      <c r="AC22" s="25">
        <f>'TUSD BE'!$AC$22*'TUSD BE'!$AC$69</f>
        <v>0.26046098242216542</v>
      </c>
      <c r="AD22" s="25">
        <f>SUM($AC$22:$AC$22)</f>
        <v>0.26046098242216542</v>
      </c>
      <c r="AE22" s="25">
        <f ca="1">$AO$22*$AO$66</f>
        <v>2.3479619810919337</v>
      </c>
      <c r="AF22" s="25">
        <f ca="1">$AP$22*$AP$66</f>
        <v>0</v>
      </c>
      <c r="AG22" s="25">
        <f ca="1">SUM($AE$22:$AF$22)</f>
        <v>2.3479619810919337</v>
      </c>
      <c r="AH22" s="25">
        <f>'TUSD BE'!$AH$22*'TUSD BE'!$AH$69</f>
        <v>-1.1400599223315666</v>
      </c>
      <c r="AI22" s="25">
        <f>'TUSD BE'!$AI$22*'TUSD BE'!$AI$69</f>
        <v>-6.5832433287119588E-2</v>
      </c>
      <c r="AJ22" s="25">
        <f ca="1">'TUSD BE'!$AJ$22*'TUSD BE'!$AJ$69</f>
        <v>-1.6408079943913239</v>
      </c>
      <c r="AK22" s="25">
        <f ca="1">'TUSD BE'!$AK$22*'TUSD BE'!$AK$69</f>
        <v>1.5462668283631995</v>
      </c>
      <c r="AL22" s="25">
        <f ca="1">SUM($AH$22:$AK$22)</f>
        <v>-1.3004335216468106</v>
      </c>
      <c r="AM22" s="25">
        <f ca="1">SUMIF($L$4:$AL$4,"SUBTOTAL",$L$22:$AL$22)</f>
        <v>-102.16241188995117</v>
      </c>
      <c r="AO22" s="30">
        <f ca="1">+'TUSD BE'!$T$22+'TUSD BE'!$AB$22+'TUSD BE'!$AD$22+'TUSD BE'!$AL$22</f>
        <v>1874.2682138033972</v>
      </c>
      <c r="AP22" s="30">
        <f ca="1">+'TUSD BE'!$T$22+'TUSD BE'!$AB$22+'TUSD BE'!$AD$22+'TUSD BE'!$AL$22</f>
        <v>1874.2682138033972</v>
      </c>
    </row>
    <row r="23" spans="1:42" ht="11.25" customHeight="1" x14ac:dyDescent="0.25">
      <c r="A23" s="136"/>
      <c r="B23" s="136"/>
      <c r="C23" s="136"/>
      <c r="D23" s="136"/>
      <c r="E23" s="136"/>
      <c r="F23" s="136"/>
      <c r="G23" s="21" t="s">
        <v>92</v>
      </c>
      <c r="H23" s="21" t="s">
        <v>90</v>
      </c>
      <c r="I23" s="21">
        <f>'MERCADO TUSD'!$U$20</f>
        <v>680185.39</v>
      </c>
      <c r="J23" s="17"/>
      <c r="L23" s="25">
        <f>'TUSD BE'!$L$23*'TUSD BE'!$L$69</f>
        <v>-4.0393958817737889</v>
      </c>
      <c r="M23" s="25">
        <f>'TUSD BE'!$M$23*'TUSD BE'!$M$69</f>
        <v>-1.0822040976870123E-2</v>
      </c>
      <c r="N23" s="25">
        <f ca="1">'TUSD BE'!$N$23*'TUSD BE'!$N$69</f>
        <v>0</v>
      </c>
      <c r="O23" s="25">
        <f>'TUSD BE'!$O$23*'TUSD BE'!$O$69</f>
        <v>0</v>
      </c>
      <c r="P23" s="25">
        <f>'TUSD BE'!$P$23*'TUSD BE'!$P$69</f>
        <v>0</v>
      </c>
      <c r="Q23" s="25">
        <f>'TUSD BE'!$Q$23*'TUSD BE'!$Q$69</f>
        <v>3.7041333929645044E-2</v>
      </c>
      <c r="R23" s="25">
        <f>'TUSD BE'!$R$23*'TUSD BE'!$R$69</f>
        <v>0.16719913815822074</v>
      </c>
      <c r="S23" s="25">
        <f>'TUSD BE'!$R$23*'TUSD BE'!$S$69</f>
        <v>0</v>
      </c>
      <c r="T23" s="25">
        <f ca="1">SUM($L$23:$S$23)</f>
        <v>-3.8459774506627928</v>
      </c>
      <c r="U23" s="25">
        <f>'TUSD BE'!$U$23*'TUSD BE'!$U$69</f>
        <v>0</v>
      </c>
      <c r="V23" s="25">
        <f>'TUSD BE'!$V$23*'TUSD BE'!$V$69</f>
        <v>0</v>
      </c>
      <c r="W23" s="25">
        <f>'TUSD BE'!$W$23*'TUSD BE'!$W$69</f>
        <v>0</v>
      </c>
      <c r="X23" s="25">
        <f>'TUSD BE'!$X$23*'TUSD BE'!$X$69</f>
        <v>0</v>
      </c>
      <c r="Y23" s="25">
        <f>'TUSD BE'!$Y$23*'TUSD BE'!$Y$69</f>
        <v>0</v>
      </c>
      <c r="Z23" s="25">
        <f>'TUSD BE'!$Z$23*'TUSD BE'!$Z$69</f>
        <v>0</v>
      </c>
      <c r="AA23" s="25">
        <f>'TUSD BE'!$AA$23*'TUSD BE'!$AA$69</f>
        <v>0</v>
      </c>
      <c r="AB23" s="25">
        <f>SUM($U$23:$AA$23)</f>
        <v>0</v>
      </c>
      <c r="AC23" s="25">
        <f>'TUSD BE'!$AC$23*'TUSD BE'!$AC$69</f>
        <v>0</v>
      </c>
      <c r="AD23" s="25">
        <f>SUM($AC$23:$AC$23)</f>
        <v>0</v>
      </c>
      <c r="AE23" s="25">
        <f ca="1">$AO$23*$AO$66</f>
        <v>0.14290683035679777</v>
      </c>
      <c r="AF23" s="25">
        <f ca="1">$AP$23*$AP$66</f>
        <v>0</v>
      </c>
      <c r="AG23" s="25">
        <f ca="1">SUM($AE$23:$AF$23)</f>
        <v>0.14290683035679777</v>
      </c>
      <c r="AH23" s="25">
        <f>'TUSD BE'!$AH$23*'TUSD BE'!$AH$69</f>
        <v>-1.1400599223315666</v>
      </c>
      <c r="AI23" s="25">
        <f>'TUSD BE'!$AI$23*'TUSD BE'!$AI$69</f>
        <v>-6.5832433287119588E-2</v>
      </c>
      <c r="AJ23" s="25">
        <f ca="1">'TUSD BE'!$AJ$23*'TUSD BE'!$AJ$69</f>
        <v>-1.6408079943913239</v>
      </c>
      <c r="AK23" s="25">
        <f ca="1">'TUSD BE'!$AK$23*'TUSD BE'!$AK$69</f>
        <v>1.5462668283631995</v>
      </c>
      <c r="AL23" s="25">
        <f ca="1">SUM($AH$23:$AK$23)</f>
        <v>-1.3004335216468106</v>
      </c>
      <c r="AM23" s="25">
        <f ca="1">SUMIF($L$4:$AL$4,"SUBTOTAL",$L$23:$AL$23)</f>
        <v>-5.0035041419528055</v>
      </c>
      <c r="AO23" s="30">
        <f ca="1">+'TUSD BE'!$T$23+'TUSD BE'!$AB$23+'TUSD BE'!$AD$23+'TUSD BE'!$AL$23</f>
        <v>114.07583761155162</v>
      </c>
      <c r="AP23" s="30">
        <f ca="1">+'TUSD BE'!$T$23+'TUSD BE'!$AB$23+'TUSD BE'!$AD$23+'TUSD BE'!$AL$23</f>
        <v>114.07583761155162</v>
      </c>
    </row>
    <row r="24" spans="1:42" ht="11.25" customHeight="1" x14ac:dyDescent="0.25">
      <c r="A24" s="136"/>
      <c r="B24" s="136"/>
      <c r="C24" s="136"/>
      <c r="D24" s="136"/>
      <c r="E24" s="136" t="s">
        <v>58</v>
      </c>
      <c r="F24" s="136" t="s">
        <v>25</v>
      </c>
      <c r="G24" s="21" t="s">
        <v>91</v>
      </c>
      <c r="H24" s="21" t="s">
        <v>90</v>
      </c>
      <c r="I24" s="21">
        <f>'MERCADO TUSD'!$U$21</f>
        <v>0</v>
      </c>
      <c r="J24" s="17"/>
      <c r="L24" s="25">
        <f>'TUSD BE'!$L$24*'TUSD BE'!$L$69</f>
        <v>0</v>
      </c>
      <c r="M24" s="25">
        <f>'TUSD BE'!$M$24*'TUSD BE'!$M$69</f>
        <v>-1.0822040976870123E-2</v>
      </c>
      <c r="N24" s="25">
        <f ca="1">'TUSD BE'!$N$24*'TUSD BE'!$N$69</f>
        <v>0</v>
      </c>
      <c r="O24" s="25">
        <f>'TUSD BE'!$O$24*'TUSD BE'!$O$69</f>
        <v>0</v>
      </c>
      <c r="P24" s="25">
        <f>'TUSD BE'!$P$24*'TUSD BE'!$P$69</f>
        <v>0</v>
      </c>
      <c r="Q24" s="25">
        <f>'TUSD BE'!$Q$24*'TUSD BE'!$Q$69</f>
        <v>0</v>
      </c>
      <c r="R24" s="25">
        <f>'TUSD BE'!$R$24*'TUSD BE'!$R$69</f>
        <v>0</v>
      </c>
      <c r="S24" s="25">
        <f>'TUSD BE'!$R$24*'TUSD BE'!$S$69</f>
        <v>0</v>
      </c>
      <c r="T24" s="25">
        <f ca="1">SUM($L$24:$S$24)</f>
        <v>-1.0822040976870123E-2</v>
      </c>
      <c r="U24" s="25">
        <f>'TUSD BE'!$U$24*'TUSD BE'!$U$69</f>
        <v>-93.035053854584106</v>
      </c>
      <c r="V24" s="25">
        <f>'TUSD BE'!$V$24*'TUSD BE'!$V$69</f>
        <v>-5.0598859025956884</v>
      </c>
      <c r="W24" s="25">
        <f>'TUSD BE'!$W$24*'TUSD BE'!$W$69</f>
        <v>-0.55198879543571888</v>
      </c>
      <c r="X24" s="25">
        <f>'TUSD BE'!$X$24*'TUSD BE'!$X$69</f>
        <v>0</v>
      </c>
      <c r="Y24" s="25">
        <f>'TUSD BE'!$Y$24*'TUSD BE'!$Y$69</f>
        <v>-0.97749532854016186</v>
      </c>
      <c r="Z24" s="25">
        <f>'TUSD BE'!$Z$24*'TUSD BE'!$Z$69</f>
        <v>0</v>
      </c>
      <c r="AA24" s="25">
        <f>'TUSD BE'!$AA$24*'TUSD BE'!$AA$69</f>
        <v>0</v>
      </c>
      <c r="AB24" s="25">
        <f>SUM($U$24:$AA$24)</f>
        <v>-99.624423881155664</v>
      </c>
      <c r="AC24" s="25">
        <f>'TUSD BE'!$AC$24*'TUSD BE'!$AC$69</f>
        <v>0.26046098242216542</v>
      </c>
      <c r="AD24" s="25">
        <f>SUM($AC$24:$AC$24)</f>
        <v>0.26046098242216542</v>
      </c>
      <c r="AE24" s="25">
        <f ca="1">$AO$24*$AO$66</f>
        <v>2.2743200896586937</v>
      </c>
      <c r="AF24" s="25">
        <f ca="1">$AP$24*$AP$66</f>
        <v>0</v>
      </c>
      <c r="AG24" s="25">
        <f ca="1">SUM($AE$24:$AF$24)</f>
        <v>2.2743200896586937</v>
      </c>
      <c r="AH24" s="25">
        <f>'TUSD BE'!$AH$24*'TUSD BE'!$AH$69</f>
        <v>-1.1400599223315666</v>
      </c>
      <c r="AI24" s="25">
        <f>'TUSD BE'!$AI$24*'TUSD BE'!$AI$69</f>
        <v>-6.5832433287119588E-2</v>
      </c>
      <c r="AJ24" s="25">
        <f ca="1">'TUSD BE'!$AJ$24*'TUSD BE'!$AJ$69</f>
        <v>-1.6408079943913239</v>
      </c>
      <c r="AK24" s="25">
        <f ca="1">'TUSD BE'!$AK$24*'TUSD BE'!$AK$69</f>
        <v>1.5462668283631995</v>
      </c>
      <c r="AL24" s="25">
        <f ca="1">SUM($AH$24:$AK$24)</f>
        <v>-1.3004335216468106</v>
      </c>
      <c r="AM24" s="25">
        <f ca="1">SUMIF($L$4:$AL$4,"SUBTOTAL",$L$24:$AL$24)</f>
        <v>-98.400898371698503</v>
      </c>
      <c r="AO24" s="30">
        <f ca="1">+'TUSD BE'!$T$24+'TUSD BE'!$AB$24+'TUSD BE'!$AD$24+'TUSD BE'!$AL$24</f>
        <v>1815.4833367784749</v>
      </c>
      <c r="AP24" s="30">
        <f ca="1">+'TUSD BE'!$T$24+'TUSD BE'!$AB$24+'TUSD BE'!$AD$24+'TUSD BE'!$AL$24</f>
        <v>1815.4833367784749</v>
      </c>
    </row>
    <row r="25" spans="1:42" ht="11.25" customHeight="1" x14ac:dyDescent="0.25">
      <c r="A25" s="136"/>
      <c r="B25" s="136"/>
      <c r="C25" s="136"/>
      <c r="D25" s="136"/>
      <c r="E25" s="136"/>
      <c r="F25" s="136"/>
      <c r="G25" s="21" t="s">
        <v>92</v>
      </c>
      <c r="H25" s="21" t="s">
        <v>90</v>
      </c>
      <c r="I25" s="21">
        <f>'MERCADO TUSD'!$U$22</f>
        <v>0</v>
      </c>
      <c r="J25" s="17"/>
      <c r="L25" s="25">
        <f>'TUSD BE'!$L$25*'TUSD BE'!$L$69</f>
        <v>0</v>
      </c>
      <c r="M25" s="25">
        <f>'TUSD BE'!$M$25*'TUSD BE'!$M$69</f>
        <v>-1.0822040976870123E-2</v>
      </c>
      <c r="N25" s="25">
        <f ca="1">'TUSD BE'!$N$25*'TUSD BE'!$N$69</f>
        <v>0</v>
      </c>
      <c r="O25" s="25">
        <f>'TUSD BE'!$O$25*'TUSD BE'!$O$69</f>
        <v>0</v>
      </c>
      <c r="P25" s="25">
        <f>'TUSD BE'!$P$25*'TUSD BE'!$P$69</f>
        <v>0</v>
      </c>
      <c r="Q25" s="25">
        <f>'TUSD BE'!$Q$25*'TUSD BE'!$Q$69</f>
        <v>0</v>
      </c>
      <c r="R25" s="25">
        <f>'TUSD BE'!$R$25*'TUSD BE'!$R$69</f>
        <v>0</v>
      </c>
      <c r="S25" s="25">
        <f>'TUSD BE'!$R$25*'TUSD BE'!$S$69</f>
        <v>0</v>
      </c>
      <c r="T25" s="25">
        <f ca="1">SUM($L$25:$S$25)</f>
        <v>-1.0822040976870123E-2</v>
      </c>
      <c r="U25" s="25">
        <f>'TUSD BE'!$U$25*'TUSD BE'!$U$69</f>
        <v>0</v>
      </c>
      <c r="V25" s="25">
        <f>'TUSD BE'!$V$25*'TUSD BE'!$V$69</f>
        <v>0</v>
      </c>
      <c r="W25" s="25">
        <f>'TUSD BE'!$W$25*'TUSD BE'!$W$69</f>
        <v>0</v>
      </c>
      <c r="X25" s="25">
        <f>'TUSD BE'!$X$25*'TUSD BE'!$X$69</f>
        <v>0</v>
      </c>
      <c r="Y25" s="25">
        <f>'TUSD BE'!$Y$25*'TUSD BE'!$Y$69</f>
        <v>0</v>
      </c>
      <c r="Z25" s="25">
        <f>'TUSD BE'!$Z$25*'TUSD BE'!$Z$69</f>
        <v>0</v>
      </c>
      <c r="AA25" s="25">
        <f>'TUSD BE'!$AA$25*'TUSD BE'!$AA$69</f>
        <v>0</v>
      </c>
      <c r="AB25" s="25">
        <f>SUM($U$25:$AA$25)</f>
        <v>0</v>
      </c>
      <c r="AC25" s="25">
        <f>'TUSD BE'!$AC$25*'TUSD BE'!$AC$69</f>
        <v>0</v>
      </c>
      <c r="AD25" s="25">
        <f>SUM($AC$25:$AC$25)</f>
        <v>0</v>
      </c>
      <c r="AE25" s="25">
        <f ca="1">$AO$25*$AO$66</f>
        <v>6.9264938923557867E-2</v>
      </c>
      <c r="AF25" s="25">
        <f ca="1">$AP$25*$AP$66</f>
        <v>0</v>
      </c>
      <c r="AG25" s="25">
        <f ca="1">SUM($AE$25:$AF$25)</f>
        <v>6.9264938923557867E-2</v>
      </c>
      <c r="AH25" s="25">
        <f>'TUSD BE'!$AH$25*'TUSD BE'!$AH$69</f>
        <v>-1.1400599223315666</v>
      </c>
      <c r="AI25" s="25">
        <f>'TUSD BE'!$AI$25*'TUSD BE'!$AI$69</f>
        <v>-6.5832433287119588E-2</v>
      </c>
      <c r="AJ25" s="25">
        <f ca="1">'TUSD BE'!$AJ$25*'TUSD BE'!$AJ$69</f>
        <v>-1.6408079943913239</v>
      </c>
      <c r="AK25" s="25">
        <f ca="1">'TUSD BE'!$AK$25*'TUSD BE'!$AK$69</f>
        <v>1.5462668283631995</v>
      </c>
      <c r="AL25" s="25">
        <f ca="1">SUM($AH$25:$AK$25)</f>
        <v>-1.3004335216468106</v>
      </c>
      <c r="AM25" s="25">
        <f ca="1">SUMIF($L$4:$AL$4,"SUBTOTAL",$L$25:$AL$25)</f>
        <v>-1.2419906237001228</v>
      </c>
      <c r="AO25" s="30">
        <f ca="1">+'TUSD BE'!$T$25+'TUSD BE'!$AB$25+'TUSD BE'!$AD$25+'TUSD BE'!$AL$25</f>
        <v>55.290960586629325</v>
      </c>
      <c r="AP25" s="30">
        <f ca="1">+'TUSD BE'!$T$25+'TUSD BE'!$AB$25+'TUSD BE'!$AD$25+'TUSD BE'!$AL$25</f>
        <v>55.290960586629325</v>
      </c>
    </row>
    <row r="26" spans="1:42" ht="11.25" customHeight="1" x14ac:dyDescent="0.25">
      <c r="A26" s="136" t="s">
        <v>98</v>
      </c>
      <c r="B26" s="136" t="s">
        <v>64</v>
      </c>
      <c r="C26" s="136" t="s">
        <v>25</v>
      </c>
      <c r="D26" s="136" t="s">
        <v>25</v>
      </c>
      <c r="E26" s="28" t="s">
        <v>99</v>
      </c>
      <c r="F26" s="28" t="s">
        <v>25</v>
      </c>
      <c r="G26" s="21" t="s">
        <v>9</v>
      </c>
      <c r="H26" s="21" t="s">
        <v>93</v>
      </c>
      <c r="I26" s="21">
        <f>'MERCADO TUSD'!$U$23+0.00000001</f>
        <v>1E-8</v>
      </c>
      <c r="J26" s="17"/>
      <c r="L26" s="25">
        <f>'TUSD BE'!$L$26*'TUSD BE'!$L$69</f>
        <v>0</v>
      </c>
      <c r="M26" s="25">
        <f>'TUSD BE'!$M$26*'TUSD BE'!$M$69</f>
        <v>-5.1044883512292257E-4</v>
      </c>
      <c r="N26" s="25">
        <f ca="1">'TUSD BE'!$N$26*'TUSD BE'!$N$69</f>
        <v>0</v>
      </c>
      <c r="O26" s="25">
        <f>'TUSD BE'!$O$26*'TUSD BE'!$O$69</f>
        <v>0</v>
      </c>
      <c r="P26" s="25">
        <f>'TUSD BE'!$P$26*'TUSD BE'!$P$69</f>
        <v>0</v>
      </c>
      <c r="Q26" s="25">
        <f>'TUSD BE'!$Q$26*'TUSD BE'!$Q$69</f>
        <v>0</v>
      </c>
      <c r="R26" s="25">
        <f>'TUSD BE'!$R$26*'TUSD BE'!$R$69</f>
        <v>0</v>
      </c>
      <c r="S26" s="25">
        <f>'TUSD BE'!$R$26*'TUSD BE'!$S$69</f>
        <v>0</v>
      </c>
      <c r="T26" s="25">
        <f ca="1">SUM($L$26:$S$26)</f>
        <v>-5.1044883512292257E-4</v>
      </c>
      <c r="U26" s="25">
        <f>'TUSD BE'!$U$26*'TUSD BE'!$U$69</f>
        <v>0</v>
      </c>
      <c r="V26" s="25">
        <f>'TUSD BE'!$V$26*'TUSD BE'!$V$69</f>
        <v>0</v>
      </c>
      <c r="W26" s="25">
        <f>'TUSD BE'!$W$26*'TUSD BE'!$W$69</f>
        <v>0</v>
      </c>
      <c r="X26" s="25">
        <f>'TUSD BE'!$X$26*'TUSD BE'!$X$69</f>
        <v>0</v>
      </c>
      <c r="Y26" s="25">
        <f>'TUSD BE'!$Y$26*'TUSD BE'!$Y$69</f>
        <v>0</v>
      </c>
      <c r="Z26" s="25">
        <f>'TUSD BE'!$Z$26*'TUSD BE'!$Z$69</f>
        <v>0</v>
      </c>
      <c r="AA26" s="25">
        <f>'TUSD BE'!$AA$26*'TUSD BE'!$AA$69</f>
        <v>0</v>
      </c>
      <c r="AB26" s="25">
        <f>SUM($U$26:$AA$26)</f>
        <v>0</v>
      </c>
      <c r="AC26" s="25">
        <f>'TUSD BE'!$AC$26*'TUSD BE'!$AC$69</f>
        <v>1.6049945516695811E-3</v>
      </c>
      <c r="AD26" s="25">
        <f>SUM($AC$26:$AC$26)</f>
        <v>1.6049945516695811E-3</v>
      </c>
      <c r="AE26" s="25">
        <f ca="1">$AO$26*$AO$66</f>
        <v>1.0672544060841289E-2</v>
      </c>
      <c r="AF26" s="25">
        <f ca="1">$AP$26*$AP$66</f>
        <v>0</v>
      </c>
      <c r="AG26" s="25">
        <f ca="1">SUM($AE$26:$AF$26)</f>
        <v>1.0672544060841289E-2</v>
      </c>
      <c r="AH26" s="25">
        <f>'TUSD BE'!$AH$26*'TUSD BE'!$AH$69</f>
        <v>0</v>
      </c>
      <c r="AI26" s="25">
        <f>'TUSD BE'!$AI$26*'TUSD BE'!$AI$69</f>
        <v>0</v>
      </c>
      <c r="AJ26" s="25">
        <f ca="1">'TUSD BE'!$AJ$26*'TUSD BE'!$AJ$69</f>
        <v>0</v>
      </c>
      <c r="AK26" s="25">
        <f ca="1">'TUSD BE'!$AK$26*'TUSD BE'!$AK$69</f>
        <v>0</v>
      </c>
      <c r="AL26" s="25">
        <f ca="1">SUM($AH$26:$AK$26)</f>
        <v>0</v>
      </c>
      <c r="AM26" s="25">
        <f ca="1">SUMIF($L$4:$AL$4,"SUBTOTAL",$L$26:$AL$26)</f>
        <v>1.1767089777387947E-2</v>
      </c>
      <c r="AO26" s="30">
        <f ca="1">+'TUSD BE'!$T$26+'TUSD BE'!$AB$26+'TUSD BE'!$AD$26+'TUSD BE'!$AL$26</f>
        <v>8.5193926710637999</v>
      </c>
      <c r="AP26" s="30">
        <f ca="1">+'TUSD BE'!$T$26+'TUSD BE'!$AB$26+'TUSD BE'!$AD$26+'TUSD BE'!$AL$26</f>
        <v>8.5193926710637999</v>
      </c>
    </row>
    <row r="27" spans="1:42" ht="11.25" customHeight="1" x14ac:dyDescent="0.25">
      <c r="A27" s="136"/>
      <c r="B27" s="136"/>
      <c r="C27" s="136"/>
      <c r="D27" s="136"/>
      <c r="E27" s="28" t="s">
        <v>100</v>
      </c>
      <c r="F27" s="28" t="s">
        <v>25</v>
      </c>
      <c r="G27" s="21" t="s">
        <v>9</v>
      </c>
      <c r="H27" s="21" t="s">
        <v>93</v>
      </c>
      <c r="I27" s="21">
        <f>'MERCADO TUSD'!$U$24+0.00000001</f>
        <v>1E-8</v>
      </c>
      <c r="J27" s="17"/>
      <c r="L27" s="25">
        <f>'TUSD BE'!$L$27*'TUSD BE'!$L$69</f>
        <v>0</v>
      </c>
      <c r="M27" s="25">
        <f>'TUSD BE'!$M$27*'TUSD BE'!$M$69</f>
        <v>-5.1044883512292257E-4</v>
      </c>
      <c r="N27" s="25">
        <f ca="1">'TUSD BE'!$N$27*'TUSD BE'!$N$69</f>
        <v>0</v>
      </c>
      <c r="O27" s="25">
        <f>'TUSD BE'!$O$27*'TUSD BE'!$O$69</f>
        <v>0</v>
      </c>
      <c r="P27" s="25">
        <f>'TUSD BE'!$P$27*'TUSD BE'!$P$69</f>
        <v>0</v>
      </c>
      <c r="Q27" s="25">
        <f>'TUSD BE'!$Q$27*'TUSD BE'!$Q$69</f>
        <v>0</v>
      </c>
      <c r="R27" s="25">
        <f>'TUSD BE'!$R$27*'TUSD BE'!$R$69</f>
        <v>0</v>
      </c>
      <c r="S27" s="25">
        <f>'TUSD BE'!$R$27*'TUSD BE'!$S$69</f>
        <v>0</v>
      </c>
      <c r="T27" s="25">
        <f ca="1">SUM($L$27:$S$27)</f>
        <v>-5.1044883512292257E-4</v>
      </c>
      <c r="U27" s="25">
        <f>'TUSD BE'!$U$27*'TUSD BE'!$U$69</f>
        <v>0</v>
      </c>
      <c r="V27" s="25">
        <f>'TUSD BE'!$V$27*'TUSD BE'!$V$69</f>
        <v>0</v>
      </c>
      <c r="W27" s="25">
        <f>'TUSD BE'!$W$27*'TUSD BE'!$W$69</f>
        <v>0</v>
      </c>
      <c r="X27" s="25">
        <f>'TUSD BE'!$X$27*'TUSD BE'!$X$69</f>
        <v>0</v>
      </c>
      <c r="Y27" s="25">
        <f>'TUSD BE'!$Y$27*'TUSD BE'!$Y$69</f>
        <v>0</v>
      </c>
      <c r="Z27" s="25">
        <f>'TUSD BE'!$Z$27*'TUSD BE'!$Z$69</f>
        <v>0</v>
      </c>
      <c r="AA27" s="25">
        <f>'TUSD BE'!$AA$27*'TUSD BE'!$AA$69</f>
        <v>0</v>
      </c>
      <c r="AB27" s="25">
        <f>SUM($U$27:$AA$27)</f>
        <v>0</v>
      </c>
      <c r="AC27" s="25">
        <f>'TUSD BE'!$AC$27*'TUSD BE'!$AC$69</f>
        <v>4.0978035567663948E-3</v>
      </c>
      <c r="AD27" s="25">
        <f>SUM($AC$27:$AC$27)</f>
        <v>4.0978035567663948E-3</v>
      </c>
      <c r="AE27" s="25">
        <f ca="1">$AO$27*$AO$66</f>
        <v>2.7039233978275012E-2</v>
      </c>
      <c r="AF27" s="25">
        <f ca="1">$AP$27*$AP$66</f>
        <v>0</v>
      </c>
      <c r="AG27" s="25">
        <f ca="1">SUM($AE$27:$AF$27)</f>
        <v>2.7039233978275012E-2</v>
      </c>
      <c r="AH27" s="25">
        <f>'TUSD BE'!$AH$27*'TUSD BE'!$AH$69</f>
        <v>0</v>
      </c>
      <c r="AI27" s="25">
        <f>'TUSD BE'!$AI$27*'TUSD BE'!$AI$69</f>
        <v>0</v>
      </c>
      <c r="AJ27" s="25">
        <f ca="1">'TUSD BE'!$AJ$27*'TUSD BE'!$AJ$69</f>
        <v>0</v>
      </c>
      <c r="AK27" s="25">
        <f ca="1">'TUSD BE'!$AK$27*'TUSD BE'!$AK$69</f>
        <v>0</v>
      </c>
      <c r="AL27" s="25">
        <f ca="1">SUM($AH$27:$AK$27)</f>
        <v>0</v>
      </c>
      <c r="AM27" s="25">
        <f ca="1">SUMIF($L$4:$AL$4,"SUBTOTAL",$L$27:$AL$27)</f>
        <v>3.0626588699918484E-2</v>
      </c>
      <c r="AO27" s="30">
        <f ca="1">+'TUSD BE'!$T$27+'TUSD BE'!$AB$27+'TUSD BE'!$AD$27+'TUSD BE'!$AL$27</f>
        <v>21.584155612053468</v>
      </c>
      <c r="AP27" s="30">
        <f ca="1">+'TUSD BE'!$T$27+'TUSD BE'!$AB$27+'TUSD BE'!$AD$27+'TUSD BE'!$AL$27</f>
        <v>21.584155612053468</v>
      </c>
    </row>
    <row r="28" spans="1:42" ht="11.25" customHeight="1" x14ac:dyDescent="0.25">
      <c r="A28" s="136" t="s">
        <v>22</v>
      </c>
      <c r="B28" s="136" t="s">
        <v>37</v>
      </c>
      <c r="C28" s="136" t="s">
        <v>24</v>
      </c>
      <c r="D28" s="136" t="s">
        <v>24</v>
      </c>
      <c r="E28" s="136" t="s">
        <v>25</v>
      </c>
      <c r="F28" s="136" t="s">
        <v>25</v>
      </c>
      <c r="G28" s="21" t="s">
        <v>91</v>
      </c>
      <c r="H28" s="21" t="s">
        <v>90</v>
      </c>
      <c r="I28" s="21">
        <f>'MERCADO TUSD'!$U$25</f>
        <v>50.420000000000009</v>
      </c>
      <c r="J28" s="17"/>
      <c r="L28" s="25">
        <f>'TUSD BE'!$L$28*'TUSD BE'!$L$69</f>
        <v>-4.8088046211592719</v>
      </c>
      <c r="M28" s="25">
        <f>'TUSD BE'!$M$28*'TUSD BE'!$M$69</f>
        <v>-1.6221940542946393E-2</v>
      </c>
      <c r="N28" s="25">
        <f ca="1">'TUSD BE'!$N$28*'TUSD BE'!$N$69</f>
        <v>0</v>
      </c>
      <c r="O28" s="25">
        <f>'TUSD BE'!$O$28*'TUSD BE'!$O$69</f>
        <v>0</v>
      </c>
      <c r="P28" s="25">
        <f>'TUSD BE'!$P$28*'TUSD BE'!$P$69</f>
        <v>0</v>
      </c>
      <c r="Q28" s="25">
        <f>'TUSD BE'!$Q$28*'TUSD BE'!$Q$69</f>
        <v>4.4096826106720291E-2</v>
      </c>
      <c r="R28" s="25">
        <f>'TUSD BE'!$R$28*'TUSD BE'!$R$69</f>
        <v>0.16719913815822074</v>
      </c>
      <c r="S28" s="25">
        <f>'TUSD BE'!$R$28*'TUSD BE'!$S$69</f>
        <v>0</v>
      </c>
      <c r="T28" s="25">
        <f ca="1">SUM($L$28:$S$28)</f>
        <v>-4.6137305974372769</v>
      </c>
      <c r="U28" s="25">
        <f>'TUSD BE'!$U$28*'TUSD BE'!$U$69</f>
        <v>-49.650922079725632</v>
      </c>
      <c r="V28" s="25">
        <f>'TUSD BE'!$V$28*'TUSD BE'!$V$69</f>
        <v>-2.705099037187142</v>
      </c>
      <c r="W28" s="25">
        <f>'TUSD BE'!$W$28*'TUSD BE'!$W$69</f>
        <v>-0.29785559103583575</v>
      </c>
      <c r="X28" s="25">
        <f>'TUSD BE'!$X$28*'TUSD BE'!$X$69</f>
        <v>0</v>
      </c>
      <c r="Y28" s="25">
        <f>'TUSD BE'!$Y$28*'TUSD BE'!$Y$69</f>
        <v>-0.39050212531861705</v>
      </c>
      <c r="Z28" s="25">
        <f>'TUSD BE'!$Z$28*'TUSD BE'!$Z$69</f>
        <v>0</v>
      </c>
      <c r="AA28" s="25">
        <f>'TUSD BE'!$AA$28*'TUSD BE'!$AA$69</f>
        <v>0</v>
      </c>
      <c r="AB28" s="25">
        <f>SUM($U$28:$AA$28)</f>
        <v>-53.044378833267224</v>
      </c>
      <c r="AC28" s="25">
        <f>'TUSD BE'!$AC$28*'TUSD BE'!$AC$69</f>
        <v>0.16259177065621591</v>
      </c>
      <c r="AD28" s="25">
        <f>SUM($AC$28:$AC$28)</f>
        <v>0.16259177065621591</v>
      </c>
      <c r="AE28" s="25">
        <f ca="1">$AO$28*$AO$66</f>
        <v>1.5226737421340997</v>
      </c>
      <c r="AF28" s="25">
        <f ca="1">$AP$28*$AP$66</f>
        <v>0</v>
      </c>
      <c r="AG28" s="25">
        <f ca="1">SUM($AE$28:$AF$28)</f>
        <v>1.5226737421340997</v>
      </c>
      <c r="AH28" s="25">
        <f>'TUSD BE'!$AH$28*'TUSD BE'!$AH$69</f>
        <v>-2.3255090209532887</v>
      </c>
      <c r="AI28" s="25">
        <f>'TUSD BE'!$AI$28*'TUSD BE'!$AI$69</f>
        <v>-0.13428585154314149</v>
      </c>
      <c r="AJ28" s="25">
        <f ca="1">'TUSD BE'!$AJ$28*'TUSD BE'!$AJ$69</f>
        <v>-2.0792172495473347</v>
      </c>
      <c r="AK28" s="25">
        <f ca="1">'TUSD BE'!$AK$28*'TUSD BE'!$AK$69</f>
        <v>1.9594155275482195</v>
      </c>
      <c r="AL28" s="25">
        <f ca="1">SUM($AH$28:$AK$28)</f>
        <v>-2.5795965944955457</v>
      </c>
      <c r="AM28" s="25">
        <f ca="1">SUMIF($L$4:$AL$4,"SUBTOTAL",$L$28:$AL$28)</f>
        <v>-58.552440512409731</v>
      </c>
      <c r="AO28" s="30">
        <f ca="1">+'TUSD BE'!$T$28+'TUSD BE'!$AB$28+'TUSD BE'!$AD$28+'TUSD BE'!$AL$28</f>
        <v>1215.4792189385414</v>
      </c>
      <c r="AP28" s="30">
        <f ca="1">+'TUSD BE'!$T$28+'TUSD BE'!$AB$28+'TUSD BE'!$AD$28+'TUSD BE'!$AL$28</f>
        <v>1215.4792189385414</v>
      </c>
    </row>
    <row r="29" spans="1:42" ht="11.25" customHeight="1" x14ac:dyDescent="0.25">
      <c r="A29" s="136"/>
      <c r="B29" s="136"/>
      <c r="C29" s="136"/>
      <c r="D29" s="136"/>
      <c r="E29" s="136"/>
      <c r="F29" s="136"/>
      <c r="G29" s="21" t="s">
        <v>101</v>
      </c>
      <c r="H29" s="21" t="s">
        <v>90</v>
      </c>
      <c r="I29" s="21">
        <f>'MERCADO TUSD'!$U$26</f>
        <v>34.840000000000003</v>
      </c>
      <c r="J29" s="17"/>
      <c r="L29" s="25">
        <f>'TUSD BE'!$L$29*'TUSD BE'!$L$69</f>
        <v>-4.8088046211592719</v>
      </c>
      <c r="M29" s="25">
        <f>'TUSD BE'!$M$29*'TUSD BE'!$M$69</f>
        <v>-1.6221940542946393E-2</v>
      </c>
      <c r="N29" s="25">
        <f ca="1">'TUSD BE'!$N$29*'TUSD BE'!$N$69</f>
        <v>0</v>
      </c>
      <c r="O29" s="25">
        <f>'TUSD BE'!$O$29*'TUSD BE'!$O$69</f>
        <v>0</v>
      </c>
      <c r="P29" s="25">
        <f>'TUSD BE'!$P$29*'TUSD BE'!$P$69</f>
        <v>0</v>
      </c>
      <c r="Q29" s="25">
        <f>'TUSD BE'!$Q$29*'TUSD BE'!$Q$69</f>
        <v>4.4096826106720291E-2</v>
      </c>
      <c r="R29" s="25">
        <f>'TUSD BE'!$R$29*'TUSD BE'!$R$69</f>
        <v>0.16719913815822074</v>
      </c>
      <c r="S29" s="25">
        <f>'TUSD BE'!$R$29*'TUSD BE'!$S$69</f>
        <v>0</v>
      </c>
      <c r="T29" s="25">
        <f ca="1">SUM($L$29:$S$29)</f>
        <v>-4.6137305974372769</v>
      </c>
      <c r="U29" s="25">
        <f>'TUSD BE'!$U$29*'TUSD BE'!$U$69</f>
        <v>-29.790562585296442</v>
      </c>
      <c r="V29" s="25">
        <f>'TUSD BE'!$V$29*'TUSD BE'!$V$69</f>
        <v>-1.6230614853992802</v>
      </c>
      <c r="W29" s="25">
        <f>'TUSD BE'!$W$29*'TUSD BE'!$W$69</f>
        <v>-0.1787163958262292</v>
      </c>
      <c r="X29" s="25">
        <f>'TUSD BE'!$X$29*'TUSD BE'!$X$69</f>
        <v>0</v>
      </c>
      <c r="Y29" s="25">
        <f>'TUSD BE'!$Y$29*'TUSD BE'!$Y$69</f>
        <v>-0.23430759374018231</v>
      </c>
      <c r="Z29" s="25">
        <f>'TUSD BE'!$Z$29*'TUSD BE'!$Z$69</f>
        <v>0</v>
      </c>
      <c r="AA29" s="25">
        <f>'TUSD BE'!$AA$29*'TUSD BE'!$AA$69</f>
        <v>0</v>
      </c>
      <c r="AB29" s="25">
        <f>SUM($U$29:$AA$29)</f>
        <v>-31.826648060262134</v>
      </c>
      <c r="AC29" s="25">
        <f>'TUSD BE'!$AC$29*'TUSD BE'!$AC$69</f>
        <v>9.7555057746824436E-2</v>
      </c>
      <c r="AD29" s="25">
        <f>SUM($AC$29:$AC$29)</f>
        <v>9.7555057746824436E-2</v>
      </c>
      <c r="AE29" s="25">
        <f ca="1">$AO$29*$AO$66</f>
        <v>0.9902024123781179</v>
      </c>
      <c r="AF29" s="25">
        <f ca="1">$AP$29*$AP$66</f>
        <v>0</v>
      </c>
      <c r="AG29" s="25">
        <f ca="1">SUM($AE$29:$AF$29)</f>
        <v>0.9902024123781179</v>
      </c>
      <c r="AH29" s="25">
        <f>'TUSD BE'!$AH$29*'TUSD BE'!$AH$69</f>
        <v>-2.3255090209532887</v>
      </c>
      <c r="AI29" s="25">
        <f>'TUSD BE'!$AI$29*'TUSD BE'!$AI$69</f>
        <v>-0.13428585154314149</v>
      </c>
      <c r="AJ29" s="25">
        <f ca="1">'TUSD BE'!$AJ$29*'TUSD BE'!$AJ$69</f>
        <v>-2.0792172495473347</v>
      </c>
      <c r="AK29" s="25">
        <f ca="1">'TUSD BE'!$AK$29*'TUSD BE'!$AK$69</f>
        <v>1.9594155275482195</v>
      </c>
      <c r="AL29" s="25">
        <f ca="1">SUM($AH$29:$AK$29)</f>
        <v>-2.5795965944955457</v>
      </c>
      <c r="AM29" s="25">
        <f ca="1">SUMIF($L$4:$AL$4,"SUBTOTAL",$L$29:$AL$29)</f>
        <v>-37.932217782070019</v>
      </c>
      <c r="AO29" s="30">
        <f ca="1">+'TUSD BE'!$T$29+'TUSD BE'!$AB$29+'TUSD BE'!$AD$29+'TUSD BE'!$AL$29</f>
        <v>790.43226495884335</v>
      </c>
      <c r="AP29" s="30">
        <f ca="1">+'TUSD BE'!$T$29+'TUSD BE'!$AB$29+'TUSD BE'!$AD$29+'TUSD BE'!$AL$29</f>
        <v>790.43226495884335</v>
      </c>
    </row>
    <row r="30" spans="1:42" ht="11.25" customHeight="1" x14ac:dyDescent="0.25">
      <c r="A30" s="136"/>
      <c r="B30" s="136"/>
      <c r="C30" s="136"/>
      <c r="D30" s="136"/>
      <c r="E30" s="136"/>
      <c r="F30" s="136"/>
      <c r="G30" s="21" t="s">
        <v>92</v>
      </c>
      <c r="H30" s="21" t="s">
        <v>90</v>
      </c>
      <c r="I30" s="21">
        <f>'MERCADO TUSD'!$U$27</f>
        <v>677.41499999999996</v>
      </c>
      <c r="J30" s="17"/>
      <c r="L30" s="25">
        <f>'TUSD BE'!$L$30*'TUSD BE'!$L$69</f>
        <v>-4.8088046211592719</v>
      </c>
      <c r="M30" s="25">
        <f>'TUSD BE'!$M$30*'TUSD BE'!$M$69</f>
        <v>-1.6221940542946393E-2</v>
      </c>
      <c r="N30" s="25">
        <f ca="1">'TUSD BE'!$N$30*'TUSD BE'!$N$69</f>
        <v>0</v>
      </c>
      <c r="O30" s="25">
        <f>'TUSD BE'!$O$30*'TUSD BE'!$O$69</f>
        <v>0</v>
      </c>
      <c r="P30" s="25">
        <f>'TUSD BE'!$P$30*'TUSD BE'!$P$69</f>
        <v>0</v>
      </c>
      <c r="Q30" s="25">
        <f>'TUSD BE'!$Q$30*'TUSD BE'!$Q$69</f>
        <v>4.4096826106720291E-2</v>
      </c>
      <c r="R30" s="25">
        <f>'TUSD BE'!$R$30*'TUSD BE'!$R$69</f>
        <v>0.16719913815822074</v>
      </c>
      <c r="S30" s="25">
        <f>'TUSD BE'!$R$30*'TUSD BE'!$S$69</f>
        <v>0</v>
      </c>
      <c r="T30" s="25">
        <f ca="1">SUM($L$30:$S$30)</f>
        <v>-4.6137305974372769</v>
      </c>
      <c r="U30" s="25">
        <f>'TUSD BE'!$U$30*'TUSD BE'!$U$69</f>
        <v>-9.9302030908672503</v>
      </c>
      <c r="V30" s="25">
        <f>'TUSD BE'!$V$30*'TUSD BE'!$V$69</f>
        <v>-0.54102393361141865</v>
      </c>
      <c r="W30" s="25">
        <f>'TUSD BE'!$W$30*'TUSD BE'!$W$69</f>
        <v>-5.9572131942076396E-2</v>
      </c>
      <c r="X30" s="25">
        <f>'TUSD BE'!$X$30*'TUSD BE'!$X$69</f>
        <v>0</v>
      </c>
      <c r="Y30" s="25">
        <f>'TUSD BE'!$Y$30*'TUSD BE'!$Y$69</f>
        <v>-7.8097265789217371E-2</v>
      </c>
      <c r="Z30" s="25">
        <f>'TUSD BE'!$Z$30*'TUSD BE'!$Z$69</f>
        <v>0</v>
      </c>
      <c r="AA30" s="25">
        <f>'TUSD BE'!$AA$30*'TUSD BE'!$AA$69</f>
        <v>0</v>
      </c>
      <c r="AB30" s="25">
        <f>SUM($U$30:$AA$30)</f>
        <v>-10.608896422209963</v>
      </c>
      <c r="AC30" s="25">
        <f>'TUSD BE'!$AC$30*'TUSD BE'!$AC$69</f>
        <v>3.2518344837432982E-2</v>
      </c>
      <c r="AD30" s="25">
        <f>SUM($AC$30:$AC$30)</f>
        <v>3.2518344837432982E-2</v>
      </c>
      <c r="AE30" s="25">
        <f ca="1">$AO$30*$AO$66</f>
        <v>0.45773064443090483</v>
      </c>
      <c r="AF30" s="25">
        <f ca="1">$AP$30*$AP$66</f>
        <v>0</v>
      </c>
      <c r="AG30" s="25">
        <f ca="1">SUM($AE$30:$AF$30)</f>
        <v>0.45773064443090483</v>
      </c>
      <c r="AH30" s="25">
        <f>'TUSD BE'!$AH$30*'TUSD BE'!$AH$69</f>
        <v>-2.3255090209532887</v>
      </c>
      <c r="AI30" s="25">
        <f>'TUSD BE'!$AI$30*'TUSD BE'!$AI$69</f>
        <v>-0.13428585154314149</v>
      </c>
      <c r="AJ30" s="25">
        <f ca="1">'TUSD BE'!$AJ$30*'TUSD BE'!$AJ$69</f>
        <v>-2.0792172495473347</v>
      </c>
      <c r="AK30" s="25">
        <f ca="1">'TUSD BE'!$AK$30*'TUSD BE'!$AK$69</f>
        <v>1.9594155275482195</v>
      </c>
      <c r="AL30" s="25">
        <f ca="1">SUM($AH$30:$AK$30)</f>
        <v>-2.5795965944955457</v>
      </c>
      <c r="AM30" s="25">
        <f ca="1">SUMIF($L$4:$AL$4,"SUBTOTAL",$L$30:$AL$30)</f>
        <v>-17.311974624874448</v>
      </c>
      <c r="AO30" s="30">
        <f ca="1">+'TUSD BE'!$T$30+'TUSD BE'!$AB$30+'TUSD BE'!$AD$30+'TUSD BE'!$AL$30</f>
        <v>365.38496119158361</v>
      </c>
      <c r="AP30" s="30">
        <f ca="1">+'TUSD BE'!$T$30+'TUSD BE'!$AB$30+'TUSD BE'!$AD$30+'TUSD BE'!$AL$30</f>
        <v>365.38496119158361</v>
      </c>
    </row>
    <row r="31" spans="1:42" ht="11.25" customHeight="1" x14ac:dyDescent="0.25">
      <c r="A31" s="136"/>
      <c r="B31" s="136" t="s">
        <v>23</v>
      </c>
      <c r="C31" s="136" t="s">
        <v>24</v>
      </c>
      <c r="D31" s="28" t="s">
        <v>24</v>
      </c>
      <c r="E31" s="28" t="s">
        <v>25</v>
      </c>
      <c r="F31" s="28" t="s">
        <v>25</v>
      </c>
      <c r="G31" s="21" t="s">
        <v>96</v>
      </c>
      <c r="H31" s="21" t="s">
        <v>90</v>
      </c>
      <c r="I31" s="21">
        <f>'MERCADO TUSD'!$U$28</f>
        <v>1165006.6750000003</v>
      </c>
      <c r="J31" s="17"/>
      <c r="L31" s="25">
        <f>'TUSD BE'!$L$31*'TUSD BE'!$L$69</f>
        <v>-4.8088046211592719</v>
      </c>
      <c r="M31" s="25">
        <f>'TUSD BE'!$M$31*'TUSD BE'!$M$69</f>
        <v>-1.6221940542946393E-2</v>
      </c>
      <c r="N31" s="25">
        <f ca="1">'TUSD BE'!$N$31*'TUSD BE'!$N$69</f>
        <v>0</v>
      </c>
      <c r="O31" s="25">
        <f>'TUSD BE'!$O$31*'TUSD BE'!$O$69</f>
        <v>0</v>
      </c>
      <c r="P31" s="25">
        <f>'TUSD BE'!$P$31*'TUSD BE'!$P$69</f>
        <v>0</v>
      </c>
      <c r="Q31" s="25">
        <f>'TUSD BE'!$Q$31*'TUSD BE'!$Q$69</f>
        <v>4.4096826106720291E-2</v>
      </c>
      <c r="R31" s="25">
        <f>'TUSD BE'!$R$31*'TUSD BE'!$R$69</f>
        <v>0.16719913815822074</v>
      </c>
      <c r="S31" s="25">
        <f>'TUSD BE'!$R$31*'TUSD BE'!$S$69</f>
        <v>0</v>
      </c>
      <c r="T31" s="25">
        <f ca="1">SUM($L$31:$S$31)</f>
        <v>-4.6137305974372769</v>
      </c>
      <c r="U31" s="25">
        <f>'TUSD BE'!$U$31*'TUSD BE'!$U$69</f>
        <v>-15.045731134019565</v>
      </c>
      <c r="V31" s="25">
        <f>'TUSD BE'!$V$31*'TUSD BE'!$V$69</f>
        <v>-0.81972635578792319</v>
      </c>
      <c r="W31" s="25">
        <f>'TUSD BE'!$W$31*'TUSD BE'!$W$69</f>
        <v>-9.0257887645073975E-2</v>
      </c>
      <c r="X31" s="25">
        <f>'TUSD BE'!$X$31*'TUSD BE'!$X$69</f>
        <v>0</v>
      </c>
      <c r="Y31" s="25">
        <f>'TUSD BE'!$Y$31*'TUSD BE'!$Y$69</f>
        <v>-0.11833062662358966</v>
      </c>
      <c r="Z31" s="25">
        <f>'TUSD BE'!$Z$31*'TUSD BE'!$Z$69</f>
        <v>0</v>
      </c>
      <c r="AA31" s="25">
        <f>'TUSD BE'!$AA$31*'TUSD BE'!$AA$69</f>
        <v>0</v>
      </c>
      <c r="AB31" s="25">
        <f>SUM($U$31:$AA$31)</f>
        <v>-16.074046004076152</v>
      </c>
      <c r="AC31" s="25">
        <f>'TUSD BE'!$AC$31*'TUSD BE'!$AC$69</f>
        <v>4.9270228603650927E-2</v>
      </c>
      <c r="AD31" s="25">
        <f>SUM($AC$31:$AC$31)</f>
        <v>4.9270228603650927E-2</v>
      </c>
      <c r="AE31" s="25">
        <f ca="1">$AO$31*$AO$66</f>
        <v>0.59488220073761389</v>
      </c>
      <c r="AF31" s="25">
        <f ca="1">$AP$31*$AP$66</f>
        <v>0</v>
      </c>
      <c r="AG31" s="25">
        <f ca="1">SUM($AE$31:$AF$31)</f>
        <v>0.59488220073761389</v>
      </c>
      <c r="AH31" s="25">
        <f>'TUSD BE'!$AH$31*'TUSD BE'!$AH$69</f>
        <v>-2.3255090209532887</v>
      </c>
      <c r="AI31" s="25">
        <f>'TUSD BE'!$AI$31*'TUSD BE'!$AI$69</f>
        <v>-0.13428585154314149</v>
      </c>
      <c r="AJ31" s="25">
        <f ca="1">'TUSD BE'!$AJ$31*'TUSD BE'!$AJ$69</f>
        <v>-2.0792172495473347</v>
      </c>
      <c r="AK31" s="25">
        <f ca="1">'TUSD BE'!$AK$31*'TUSD BE'!$AK$69</f>
        <v>1.9594155275482195</v>
      </c>
      <c r="AL31" s="25">
        <f ca="1">SUM($AH$31:$AK$31)</f>
        <v>-2.5795965944955457</v>
      </c>
      <c r="AM31" s="25">
        <f ca="1">SUMIF($L$4:$AL$4,"SUBTOTAL",$L$31:$AL$31)</f>
        <v>-22.623220766667707</v>
      </c>
      <c r="AO31" s="30">
        <f ca="1">+'TUSD BE'!$T$31+'TUSD BE'!$AB$31+'TUSD BE'!$AD$31+'TUSD BE'!$AL$31</f>
        <v>474.86663275586722</v>
      </c>
      <c r="AP31" s="30">
        <f ca="1">+'TUSD BE'!$T$31+'TUSD BE'!$AB$31+'TUSD BE'!$AD$31+'TUSD BE'!$AL$31</f>
        <v>474.86663275586722</v>
      </c>
    </row>
    <row r="32" spans="1:42" ht="11.25" customHeight="1" x14ac:dyDescent="0.25">
      <c r="A32" s="136"/>
      <c r="B32" s="136"/>
      <c r="C32" s="136"/>
      <c r="D32" s="28" t="s">
        <v>29</v>
      </c>
      <c r="E32" s="28" t="s">
        <v>25</v>
      </c>
      <c r="F32" s="28" t="s">
        <v>25</v>
      </c>
      <c r="G32" s="21" t="s">
        <v>96</v>
      </c>
      <c r="H32" s="21" t="s">
        <v>90</v>
      </c>
      <c r="I32" s="21">
        <f>'MERCADO TUSD'!$U$29</f>
        <v>134316.74400000001</v>
      </c>
      <c r="J32" s="17"/>
      <c r="L32" s="25">
        <f>'TUSD BE'!$L$32*'TUSD BE'!$L$69</f>
        <v>0</v>
      </c>
      <c r="M32" s="25">
        <f>'TUSD BE'!$M$32*'TUSD BE'!$M$69</f>
        <v>-1.6221940542946393E-2</v>
      </c>
      <c r="N32" s="25">
        <f ca="1">'TUSD BE'!$N$32*'TUSD BE'!$N$69</f>
        <v>0</v>
      </c>
      <c r="O32" s="25">
        <f>'TUSD BE'!$O$32*'TUSD BE'!$O$69</f>
        <v>0</v>
      </c>
      <c r="P32" s="25">
        <f>'TUSD BE'!$P$32*'TUSD BE'!$P$69</f>
        <v>0</v>
      </c>
      <c r="Q32" s="25">
        <f>'TUSD BE'!$Q$32*'TUSD BE'!$Q$69</f>
        <v>0</v>
      </c>
      <c r="R32" s="25">
        <f>'TUSD BE'!$R$32*'TUSD BE'!$R$69</f>
        <v>0</v>
      </c>
      <c r="S32" s="25">
        <f>'TUSD BE'!$R$32*'TUSD BE'!$S$69</f>
        <v>0</v>
      </c>
      <c r="T32" s="25">
        <f ca="1">SUM($L$32:$S$32)</f>
        <v>-1.6221940542946393E-2</v>
      </c>
      <c r="U32" s="25">
        <f>'TUSD BE'!$U$32*'TUSD BE'!$U$69</f>
        <v>-15.045731134019565</v>
      </c>
      <c r="V32" s="25">
        <f>'TUSD BE'!$V$32*'TUSD BE'!$V$69</f>
        <v>-0.81972635578792319</v>
      </c>
      <c r="W32" s="25">
        <f>'TUSD BE'!$W$32*'TUSD BE'!$W$69</f>
        <v>-9.0257887645073975E-2</v>
      </c>
      <c r="X32" s="25">
        <f>'TUSD BE'!$X$32*'TUSD BE'!$X$69</f>
        <v>0</v>
      </c>
      <c r="Y32" s="25">
        <f>'TUSD BE'!$Y$32*'TUSD BE'!$Y$69</f>
        <v>-0.11833062662358966</v>
      </c>
      <c r="Z32" s="25">
        <f>'TUSD BE'!$Z$32*'TUSD BE'!$Z$69</f>
        <v>0</v>
      </c>
      <c r="AA32" s="25">
        <f>'TUSD BE'!$AA$32*'TUSD BE'!$AA$69</f>
        <v>0</v>
      </c>
      <c r="AB32" s="25">
        <f>SUM($U$32:$AA$32)</f>
        <v>-16.074046004076152</v>
      </c>
      <c r="AC32" s="25">
        <f>'TUSD BE'!$AC$32*'TUSD BE'!$AC$69</f>
        <v>4.9270228603650927E-2</v>
      </c>
      <c r="AD32" s="25">
        <f>SUM($AC$32:$AC$32)</f>
        <v>4.9270228603650927E-2</v>
      </c>
      <c r="AE32" s="25">
        <f ca="1">$AO$32*$AO$66</f>
        <v>0.51072080767967931</v>
      </c>
      <c r="AF32" s="25">
        <f ca="1">$AP$32*$AP$66</f>
        <v>0</v>
      </c>
      <c r="AG32" s="25">
        <f ca="1">SUM($AE$32:$AF$32)</f>
        <v>0.51072080767967931</v>
      </c>
      <c r="AH32" s="25">
        <f>'TUSD BE'!$AH$32*'TUSD BE'!$AH$69</f>
        <v>-2.3255090209532887</v>
      </c>
      <c r="AI32" s="25">
        <f>'TUSD BE'!$AI$32*'TUSD BE'!$AI$69</f>
        <v>-0.13428585154314149</v>
      </c>
      <c r="AJ32" s="25">
        <f ca="1">'TUSD BE'!$AJ$32*'TUSD BE'!$AJ$69</f>
        <v>-2.0792172495473347</v>
      </c>
      <c r="AK32" s="25">
        <f ca="1">'TUSD BE'!$AK$32*'TUSD BE'!$AK$69</f>
        <v>1.9594155275482195</v>
      </c>
      <c r="AL32" s="25">
        <f ca="1">SUM($AH$32:$AK$32)</f>
        <v>-2.5795965944955457</v>
      </c>
      <c r="AM32" s="25">
        <f ca="1">SUMIF($L$4:$AL$4,"SUBTOTAL",$L$32:$AL$32)</f>
        <v>-18.109873502831313</v>
      </c>
      <c r="AO32" s="30">
        <f ca="1">+'TUSD BE'!$T$32+'TUSD BE'!$AB$32+'TUSD BE'!$AD$32+'TUSD BE'!$AL$32</f>
        <v>407.68452967745947</v>
      </c>
      <c r="AP32" s="30">
        <f ca="1">+'TUSD BE'!$T$32+'TUSD BE'!$AB$32+'TUSD BE'!$AD$32+'TUSD BE'!$AL$32</f>
        <v>407.68452967745947</v>
      </c>
    </row>
    <row r="33" spans="1:42" ht="11.25" customHeight="1" x14ac:dyDescent="0.25">
      <c r="A33" s="136"/>
      <c r="B33" s="136"/>
      <c r="C33" s="136"/>
      <c r="D33" s="28" t="s">
        <v>30</v>
      </c>
      <c r="E33" s="28" t="s">
        <v>25</v>
      </c>
      <c r="F33" s="28" t="s">
        <v>25</v>
      </c>
      <c r="G33" s="21" t="s">
        <v>96</v>
      </c>
      <c r="H33" s="21" t="s">
        <v>90</v>
      </c>
      <c r="I33" s="21">
        <f>'MERCADO TUSD'!$U$30</f>
        <v>207428.35200000001</v>
      </c>
      <c r="J33" s="17"/>
      <c r="L33" s="25">
        <f>'TUSD BE'!$L$33*'TUSD BE'!$L$69</f>
        <v>0</v>
      </c>
      <c r="M33" s="25">
        <f>'TUSD BE'!$M$33*'TUSD BE'!$M$69</f>
        <v>-1.6221940542946393E-2</v>
      </c>
      <c r="N33" s="25">
        <f ca="1">'TUSD BE'!$N$33*'TUSD BE'!$N$69</f>
        <v>0</v>
      </c>
      <c r="O33" s="25">
        <f>'TUSD BE'!$O$33*'TUSD BE'!$O$69</f>
        <v>0</v>
      </c>
      <c r="P33" s="25">
        <f>'TUSD BE'!$P$33*'TUSD BE'!$P$69</f>
        <v>0</v>
      </c>
      <c r="Q33" s="25">
        <f>'TUSD BE'!$Q$33*'TUSD BE'!$Q$69</f>
        <v>0</v>
      </c>
      <c r="R33" s="25">
        <f>'TUSD BE'!$R$33*'TUSD BE'!$R$69</f>
        <v>0</v>
      </c>
      <c r="S33" s="25">
        <f>'TUSD BE'!$R$33*'TUSD BE'!$S$69</f>
        <v>0</v>
      </c>
      <c r="T33" s="25">
        <f ca="1">SUM($L$33:$S$33)</f>
        <v>-1.6221940542946393E-2</v>
      </c>
      <c r="U33" s="25">
        <f>'TUSD BE'!$U$33*'TUSD BE'!$U$69</f>
        <v>-15.045731134019565</v>
      </c>
      <c r="V33" s="25">
        <f>'TUSD BE'!$V$33*'TUSD BE'!$V$69</f>
        <v>-0.81972635578792319</v>
      </c>
      <c r="W33" s="25">
        <f>'TUSD BE'!$W$33*'TUSD BE'!$W$69</f>
        <v>-9.0257887645073975E-2</v>
      </c>
      <c r="X33" s="25">
        <f>'TUSD BE'!$X$33*'TUSD BE'!$X$69</f>
        <v>0</v>
      </c>
      <c r="Y33" s="25">
        <f>'TUSD BE'!$Y$33*'TUSD BE'!$Y$69</f>
        <v>-0.11833062662358966</v>
      </c>
      <c r="Z33" s="25">
        <f>'TUSD BE'!$Z$33*'TUSD BE'!$Z$69</f>
        <v>0</v>
      </c>
      <c r="AA33" s="25">
        <f>'TUSD BE'!$AA$33*'TUSD BE'!$AA$69</f>
        <v>0</v>
      </c>
      <c r="AB33" s="25">
        <f>SUM($U$33:$AA$33)</f>
        <v>-16.074046004076152</v>
      </c>
      <c r="AC33" s="25">
        <f>'TUSD BE'!$AC$33*'TUSD BE'!$AC$69</f>
        <v>4.9270228603650927E-2</v>
      </c>
      <c r="AD33" s="25">
        <f>SUM($AC$33:$AC$33)</f>
        <v>4.9270228603650927E-2</v>
      </c>
      <c r="AE33" s="25">
        <f ca="1">$AO$33*$AO$66</f>
        <v>0.51072080767967931</v>
      </c>
      <c r="AF33" s="25">
        <f ca="1">$AP$33*$AP$66</f>
        <v>0</v>
      </c>
      <c r="AG33" s="25">
        <f ca="1">SUM($AE$33:$AF$33)</f>
        <v>0.51072080767967931</v>
      </c>
      <c r="AH33" s="25">
        <f>'TUSD BE'!$AH$33*'TUSD BE'!$AH$69</f>
        <v>-2.3255090209532887</v>
      </c>
      <c r="AI33" s="25">
        <f>'TUSD BE'!$AI$33*'TUSD BE'!$AI$69</f>
        <v>-0.13428585154314149</v>
      </c>
      <c r="AJ33" s="25">
        <f ca="1">'TUSD BE'!$AJ$33*'TUSD BE'!$AJ$69</f>
        <v>-2.0792172495473347</v>
      </c>
      <c r="AK33" s="25">
        <f ca="1">'TUSD BE'!$AK$33*'TUSD BE'!$AK$69</f>
        <v>1.9594155275482195</v>
      </c>
      <c r="AL33" s="25">
        <f ca="1">SUM($AH$33:$AK$33)</f>
        <v>-2.5795965944955457</v>
      </c>
      <c r="AM33" s="25">
        <f ca="1">SUMIF($L$4:$AL$4,"SUBTOTAL",$L$33:$AL$33)</f>
        <v>-18.109873502831313</v>
      </c>
      <c r="AO33" s="30">
        <f ca="1">+'TUSD BE'!$T$33+'TUSD BE'!$AB$33+'TUSD BE'!$AD$33+'TUSD BE'!$AL$33</f>
        <v>407.68452967745947</v>
      </c>
      <c r="AP33" s="30">
        <f ca="1">+'TUSD BE'!$T$33+'TUSD BE'!$AB$33+'TUSD BE'!$AD$33+'TUSD BE'!$AL$33</f>
        <v>407.68452967745947</v>
      </c>
    </row>
    <row r="34" spans="1:42" ht="11.25" customHeight="1" x14ac:dyDescent="0.25">
      <c r="A34" s="136"/>
      <c r="B34" s="136"/>
      <c r="C34" s="136"/>
      <c r="D34" s="28" t="s">
        <v>31</v>
      </c>
      <c r="E34" s="28" t="s">
        <v>25</v>
      </c>
      <c r="F34" s="28" t="s">
        <v>25</v>
      </c>
      <c r="G34" s="21" t="s">
        <v>96</v>
      </c>
      <c r="H34" s="21" t="s">
        <v>90</v>
      </c>
      <c r="I34" s="21">
        <f>'MERCADO TUSD'!$U$31</f>
        <v>81316.453999999983</v>
      </c>
      <c r="J34" s="17"/>
      <c r="L34" s="25">
        <f>'TUSD BE'!$L$34*'TUSD BE'!$L$69</f>
        <v>0</v>
      </c>
      <c r="M34" s="25">
        <f>'TUSD BE'!$M$34*'TUSD BE'!$M$69</f>
        <v>-1.6221940542946393E-2</v>
      </c>
      <c r="N34" s="25">
        <f ca="1">'TUSD BE'!$N$34*'TUSD BE'!$N$69</f>
        <v>0</v>
      </c>
      <c r="O34" s="25">
        <f>'TUSD BE'!$O$34*'TUSD BE'!$O$69</f>
        <v>0</v>
      </c>
      <c r="P34" s="25">
        <f>'TUSD BE'!$P$34*'TUSD BE'!$P$69</f>
        <v>0</v>
      </c>
      <c r="Q34" s="25">
        <f>'TUSD BE'!$Q$34*'TUSD BE'!$Q$69</f>
        <v>0</v>
      </c>
      <c r="R34" s="25">
        <f>'TUSD BE'!$R$34*'TUSD BE'!$R$69</f>
        <v>0</v>
      </c>
      <c r="S34" s="25">
        <f>'TUSD BE'!$R$34*'TUSD BE'!$S$69</f>
        <v>0</v>
      </c>
      <c r="T34" s="25">
        <f ca="1">SUM($L$34:$S$34)</f>
        <v>-1.6221940542946393E-2</v>
      </c>
      <c r="U34" s="25">
        <f>'TUSD BE'!$U$34*'TUSD BE'!$U$69</f>
        <v>-15.045731134019565</v>
      </c>
      <c r="V34" s="25">
        <f>'TUSD BE'!$V$34*'TUSD BE'!$V$69</f>
        <v>-0.81972635578792319</v>
      </c>
      <c r="W34" s="25">
        <f>'TUSD BE'!$W$34*'TUSD BE'!$W$69</f>
        <v>-9.0257887645073975E-2</v>
      </c>
      <c r="X34" s="25">
        <f>'TUSD BE'!$X$34*'TUSD BE'!$X$69</f>
        <v>0</v>
      </c>
      <c r="Y34" s="25">
        <f>'TUSD BE'!$Y$34*'TUSD BE'!$Y$69</f>
        <v>-0.11833062662358966</v>
      </c>
      <c r="Z34" s="25">
        <f>'TUSD BE'!$Z$34*'TUSD BE'!$Z$69</f>
        <v>0</v>
      </c>
      <c r="AA34" s="25">
        <f>'TUSD BE'!$AA$34*'TUSD BE'!$AA$69</f>
        <v>0</v>
      </c>
      <c r="AB34" s="25">
        <f>SUM($U$34:$AA$34)</f>
        <v>-16.074046004076152</v>
      </c>
      <c r="AC34" s="25">
        <f>'TUSD BE'!$AC$34*'TUSD BE'!$AC$69</f>
        <v>4.9270228603650927E-2</v>
      </c>
      <c r="AD34" s="25">
        <f>SUM($AC$34:$AC$34)</f>
        <v>4.9270228603650927E-2</v>
      </c>
      <c r="AE34" s="25">
        <f ca="1">$AO$34*$AO$66</f>
        <v>0.51072080767967931</v>
      </c>
      <c r="AF34" s="25">
        <f ca="1">$AP$34*$AP$66</f>
        <v>0</v>
      </c>
      <c r="AG34" s="25">
        <f ca="1">SUM($AE$34:$AF$34)</f>
        <v>0.51072080767967931</v>
      </c>
      <c r="AH34" s="25">
        <f>'TUSD BE'!$AH$34*'TUSD BE'!$AH$69</f>
        <v>-2.3255090209532887</v>
      </c>
      <c r="AI34" s="25">
        <f>'TUSD BE'!$AI$34*'TUSD BE'!$AI$69</f>
        <v>-0.13428585154314149</v>
      </c>
      <c r="AJ34" s="25">
        <f ca="1">'TUSD BE'!$AJ$34*'TUSD BE'!$AJ$69</f>
        <v>-2.0792172495473347</v>
      </c>
      <c r="AK34" s="25">
        <f ca="1">'TUSD BE'!$AK$34*'TUSD BE'!$AK$69</f>
        <v>1.9594155275482195</v>
      </c>
      <c r="AL34" s="25">
        <f ca="1">SUM($AH$34:$AK$34)</f>
        <v>-2.5795965944955457</v>
      </c>
      <c r="AM34" s="25">
        <f ca="1">SUMIF($L$4:$AL$4,"SUBTOTAL",$L$34:$AL$34)</f>
        <v>-18.109873502831313</v>
      </c>
      <c r="AO34" s="30">
        <f ca="1">+'TUSD BE'!$T$34+'TUSD BE'!$AB$34+'TUSD BE'!$AD$34+'TUSD BE'!$AL$34</f>
        <v>407.68452967745947</v>
      </c>
      <c r="AP34" s="30">
        <f ca="1">+'TUSD BE'!$T$34+'TUSD BE'!$AB$34+'TUSD BE'!$AD$34+'TUSD BE'!$AL$34</f>
        <v>407.68452967745947</v>
      </c>
    </row>
    <row r="35" spans="1:42" ht="11.25" customHeight="1" x14ac:dyDescent="0.25">
      <c r="A35" s="136"/>
      <c r="B35" s="136"/>
      <c r="C35" s="136"/>
      <c r="D35" s="28" t="s">
        <v>32</v>
      </c>
      <c r="E35" s="28" t="s">
        <v>25</v>
      </c>
      <c r="F35" s="28" t="s">
        <v>25</v>
      </c>
      <c r="G35" s="21" t="s">
        <v>96</v>
      </c>
      <c r="H35" s="21" t="s">
        <v>90</v>
      </c>
      <c r="I35" s="21">
        <f>'MERCADO TUSD'!$U$32</f>
        <v>15947.552</v>
      </c>
      <c r="J35" s="17"/>
      <c r="L35" s="25">
        <f>'TUSD BE'!$L$35*'TUSD BE'!$L$69</f>
        <v>0</v>
      </c>
      <c r="M35" s="25">
        <f>'TUSD BE'!$M$35*'TUSD BE'!$M$69</f>
        <v>-1.6221940542946393E-2</v>
      </c>
      <c r="N35" s="25">
        <f ca="1">'TUSD BE'!$N$35*'TUSD BE'!$N$69</f>
        <v>0</v>
      </c>
      <c r="O35" s="25">
        <f>'TUSD BE'!$O$35*'TUSD BE'!$O$69</f>
        <v>0</v>
      </c>
      <c r="P35" s="25">
        <f>'TUSD BE'!$P$35*'TUSD BE'!$P$69</f>
        <v>0</v>
      </c>
      <c r="Q35" s="25">
        <f>'TUSD BE'!$Q$35*'TUSD BE'!$Q$69</f>
        <v>0</v>
      </c>
      <c r="R35" s="25">
        <f>'TUSD BE'!$R$35*'TUSD BE'!$R$69</f>
        <v>0</v>
      </c>
      <c r="S35" s="25">
        <f>'TUSD BE'!$R$35*'TUSD BE'!$S$69</f>
        <v>0</v>
      </c>
      <c r="T35" s="25">
        <f ca="1">SUM($L$35:$S$35)</f>
        <v>-1.6221940542946393E-2</v>
      </c>
      <c r="U35" s="25">
        <f>'TUSD BE'!$U$35*'TUSD BE'!$U$69</f>
        <v>-15.045731134019565</v>
      </c>
      <c r="V35" s="25">
        <f>'TUSD BE'!$V$35*'TUSD BE'!$V$69</f>
        <v>-0.81972635578792319</v>
      </c>
      <c r="W35" s="25">
        <f>'TUSD BE'!$W$35*'TUSD BE'!$W$69</f>
        <v>-9.0257887645073975E-2</v>
      </c>
      <c r="X35" s="25">
        <f>'TUSD BE'!$X$35*'TUSD BE'!$X$69</f>
        <v>0</v>
      </c>
      <c r="Y35" s="25">
        <f>'TUSD BE'!$Y$35*'TUSD BE'!$Y$69</f>
        <v>-0.11833062662358966</v>
      </c>
      <c r="Z35" s="25">
        <f>'TUSD BE'!$Z$35*'TUSD BE'!$Z$69</f>
        <v>0</v>
      </c>
      <c r="AA35" s="25">
        <f>'TUSD BE'!$AA$35*'TUSD BE'!$AA$69</f>
        <v>0</v>
      </c>
      <c r="AB35" s="25">
        <f>SUM($U$35:$AA$35)</f>
        <v>-16.074046004076152</v>
      </c>
      <c r="AC35" s="25">
        <f>'TUSD BE'!$AC$35*'TUSD BE'!$AC$69</f>
        <v>4.9270228603650927E-2</v>
      </c>
      <c r="AD35" s="25">
        <f>SUM($AC$35:$AC$35)</f>
        <v>4.9270228603650927E-2</v>
      </c>
      <c r="AE35" s="25">
        <f ca="1">$AO$35*$AO$66</f>
        <v>0.51072080767967931</v>
      </c>
      <c r="AF35" s="25">
        <f ca="1">$AP$35*$AP$66</f>
        <v>0</v>
      </c>
      <c r="AG35" s="25">
        <f ca="1">SUM($AE$35:$AF$35)</f>
        <v>0.51072080767967931</v>
      </c>
      <c r="AH35" s="25">
        <f>'TUSD BE'!$AH$35*'TUSD BE'!$AH$69</f>
        <v>-2.3255090209532887</v>
      </c>
      <c r="AI35" s="25">
        <f>'TUSD BE'!$AI$35*'TUSD BE'!$AI$69</f>
        <v>-0.13428585154314149</v>
      </c>
      <c r="AJ35" s="25">
        <f ca="1">'TUSD BE'!$AJ$35*'TUSD BE'!$AJ$69</f>
        <v>-2.0792172495473347</v>
      </c>
      <c r="AK35" s="25">
        <f ca="1">'TUSD BE'!$AK$35*'TUSD BE'!$AK$69</f>
        <v>1.9594155275482195</v>
      </c>
      <c r="AL35" s="25">
        <f ca="1">SUM($AH$35:$AK$35)</f>
        <v>-2.5795965944955457</v>
      </c>
      <c r="AM35" s="25">
        <f ca="1">SUMIF($L$4:$AL$4,"SUBTOTAL",$L$35:$AL$35)</f>
        <v>-18.109873502831313</v>
      </c>
      <c r="AO35" s="30">
        <f ca="1">+'TUSD BE'!$T$35+'TUSD BE'!$AB$35+'TUSD BE'!$AD$35+'TUSD BE'!$AL$35</f>
        <v>407.68452967745947</v>
      </c>
      <c r="AP35" s="30">
        <f ca="1">+'TUSD BE'!$T$35+'TUSD BE'!$AB$35+'TUSD BE'!$AD$35+'TUSD BE'!$AL$35</f>
        <v>407.68452967745947</v>
      </c>
    </row>
    <row r="36" spans="1:42" ht="11.25" customHeight="1" x14ac:dyDescent="0.25">
      <c r="A36" s="136"/>
      <c r="B36" s="136" t="s">
        <v>103</v>
      </c>
      <c r="C36" s="136" t="s">
        <v>24</v>
      </c>
      <c r="D36" s="28" t="s">
        <v>24</v>
      </c>
      <c r="E36" s="28" t="s">
        <v>25</v>
      </c>
      <c r="F36" s="28" t="s">
        <v>25</v>
      </c>
      <c r="G36" s="21" t="s">
        <v>96</v>
      </c>
      <c r="H36" s="21" t="s">
        <v>90</v>
      </c>
      <c r="I36" s="21">
        <f>'MERCADO TUSD'!$U$33</f>
        <v>0</v>
      </c>
      <c r="J36" s="17"/>
      <c r="L36" s="25">
        <f>'TUSD BE'!$L$36*'TUSD BE'!$L$69</f>
        <v>-4.8088046211592719</v>
      </c>
      <c r="M36" s="25">
        <f>'TUSD BE'!$M$36*'TUSD BE'!$M$69</f>
        <v>-1.6221940542946393E-2</v>
      </c>
      <c r="N36" s="25">
        <f ca="1">'TUSD BE'!$N$36*'TUSD BE'!$N$69</f>
        <v>0</v>
      </c>
      <c r="O36" s="25">
        <f>'TUSD BE'!$O$36*'TUSD BE'!$O$69</f>
        <v>0</v>
      </c>
      <c r="P36" s="25">
        <f>'TUSD BE'!$P$36*'TUSD BE'!$P$69</f>
        <v>0</v>
      </c>
      <c r="Q36" s="25">
        <f>'TUSD BE'!$Q$36*'TUSD BE'!$Q$69</f>
        <v>4.4096826106720291E-2</v>
      </c>
      <c r="R36" s="25">
        <f>'TUSD BE'!$R$36*'TUSD BE'!$R$69</f>
        <v>0.16719913815822074</v>
      </c>
      <c r="S36" s="25">
        <f>'TUSD BE'!$R$36*'TUSD BE'!$S$69</f>
        <v>0</v>
      </c>
      <c r="T36" s="25">
        <f ca="1">SUM($L$36:$S$36)</f>
        <v>-4.6137305974372769</v>
      </c>
      <c r="U36" s="25">
        <f>'TUSD BE'!$U$36*'TUSD BE'!$U$69</f>
        <v>-15.045731134019565</v>
      </c>
      <c r="V36" s="25">
        <f>'TUSD BE'!$V$36*'TUSD BE'!$V$69</f>
        <v>-0.81972635578792319</v>
      </c>
      <c r="W36" s="25">
        <f>'TUSD BE'!$W$36*'TUSD BE'!$W$69</f>
        <v>-9.0257887645073975E-2</v>
      </c>
      <c r="X36" s="25">
        <f>'TUSD BE'!$X$36*'TUSD BE'!$X$69</f>
        <v>0</v>
      </c>
      <c r="Y36" s="25">
        <f>'TUSD BE'!$Y$36*'TUSD BE'!$Y$69</f>
        <v>-0.11833062662358966</v>
      </c>
      <c r="Z36" s="25">
        <f>'TUSD BE'!$Z$36*'TUSD BE'!$Z$69</f>
        <v>0</v>
      </c>
      <c r="AA36" s="25">
        <f>'TUSD BE'!$AA$36*'TUSD BE'!$AA$69</f>
        <v>0</v>
      </c>
      <c r="AB36" s="25">
        <f>SUM($U$36:$AA$36)</f>
        <v>-16.074046004076152</v>
      </c>
      <c r="AC36" s="25">
        <f>'TUSD BE'!$AC$36*'TUSD BE'!$AC$69</f>
        <v>4.9270228603650927E-2</v>
      </c>
      <c r="AD36" s="25">
        <f>SUM($AC$36:$AC$36)</f>
        <v>4.9270228603650927E-2</v>
      </c>
      <c r="AE36" s="25">
        <f ca="1">$AO$36*$AO$66</f>
        <v>0.59488220073761389</v>
      </c>
      <c r="AF36" s="25">
        <f ca="1">$AP$36*$AP$66</f>
        <v>0</v>
      </c>
      <c r="AG36" s="25">
        <f ca="1">SUM($AE$36:$AF$36)</f>
        <v>0.59488220073761389</v>
      </c>
      <c r="AH36" s="25">
        <f>'TUSD BE'!$AH$36*'TUSD BE'!$AH$69</f>
        <v>-2.3255090209532887</v>
      </c>
      <c r="AI36" s="25">
        <f>'TUSD BE'!$AI$36*'TUSD BE'!$AI$69</f>
        <v>-0.13428585154314149</v>
      </c>
      <c r="AJ36" s="25">
        <f ca="1">'TUSD BE'!$AJ$36*'TUSD BE'!$AJ$69</f>
        <v>-2.0792172495473347</v>
      </c>
      <c r="AK36" s="25">
        <f ca="1">'TUSD BE'!$AK$36*'TUSD BE'!$AK$69</f>
        <v>1.9594155275482195</v>
      </c>
      <c r="AL36" s="25">
        <f ca="1">SUM($AH$36:$AK$36)</f>
        <v>-2.5795965944955457</v>
      </c>
      <c r="AM36" s="25">
        <f ca="1">SUMIF($L$4:$AL$4,"SUBTOTAL",$L$36:$AL$36)</f>
        <v>-22.623220766667707</v>
      </c>
      <c r="AO36" s="30">
        <f ca="1">+'TUSD BE'!$T$36+'TUSD BE'!$AB$36+'TUSD BE'!$AD$36+'TUSD BE'!$AL$36</f>
        <v>474.86663275586722</v>
      </c>
      <c r="AP36" s="30">
        <f ca="1">+'TUSD BE'!$T$36+'TUSD BE'!$AB$36+'TUSD BE'!$AD$36+'TUSD BE'!$AL$36</f>
        <v>474.86663275586722</v>
      </c>
    </row>
    <row r="37" spans="1:42" ht="11.25" customHeight="1" x14ac:dyDescent="0.25">
      <c r="A37" s="136"/>
      <c r="B37" s="136"/>
      <c r="C37" s="136"/>
      <c r="D37" s="28" t="s">
        <v>29</v>
      </c>
      <c r="E37" s="28" t="s">
        <v>25</v>
      </c>
      <c r="F37" s="28" t="s">
        <v>25</v>
      </c>
      <c r="G37" s="21" t="s">
        <v>96</v>
      </c>
      <c r="H37" s="21" t="s">
        <v>90</v>
      </c>
      <c r="I37" s="21">
        <f>'MERCADO TUSD'!$U$34</f>
        <v>0</v>
      </c>
      <c r="J37" s="17"/>
      <c r="L37" s="25">
        <f>'TUSD BE'!$L$37*'TUSD BE'!$L$69</f>
        <v>0</v>
      </c>
      <c r="M37" s="25">
        <f>'TUSD BE'!$M$37*'TUSD BE'!$M$69</f>
        <v>-1.6221940542946393E-2</v>
      </c>
      <c r="N37" s="25">
        <f ca="1">'TUSD BE'!$N$37*'TUSD BE'!$N$69</f>
        <v>0</v>
      </c>
      <c r="O37" s="25">
        <f>'TUSD BE'!$O$37*'TUSD BE'!$O$69</f>
        <v>0</v>
      </c>
      <c r="P37" s="25">
        <f>'TUSD BE'!$P$37*'TUSD BE'!$P$69</f>
        <v>0</v>
      </c>
      <c r="Q37" s="25">
        <f>'TUSD BE'!$Q$37*'TUSD BE'!$Q$69</f>
        <v>0</v>
      </c>
      <c r="R37" s="25">
        <f>'TUSD BE'!$R$37*'TUSD BE'!$R$69</f>
        <v>0</v>
      </c>
      <c r="S37" s="25">
        <f>'TUSD BE'!$R$37*'TUSD BE'!$S$69</f>
        <v>0</v>
      </c>
      <c r="T37" s="25">
        <f ca="1">SUM($L$37:$S$37)</f>
        <v>-1.6221940542946393E-2</v>
      </c>
      <c r="U37" s="25">
        <f>'TUSD BE'!$U$37*'TUSD BE'!$U$69</f>
        <v>-15.045731134019565</v>
      </c>
      <c r="V37" s="25">
        <f>'TUSD BE'!$V$37*'TUSD BE'!$V$69</f>
        <v>-0.81972635578792319</v>
      </c>
      <c r="W37" s="25">
        <f>'TUSD BE'!$W$37*'TUSD BE'!$W$69</f>
        <v>-9.0257887645073975E-2</v>
      </c>
      <c r="X37" s="25">
        <f>'TUSD BE'!$X$37*'TUSD BE'!$X$69</f>
        <v>0</v>
      </c>
      <c r="Y37" s="25">
        <f>'TUSD BE'!$Y$37*'TUSD BE'!$Y$69</f>
        <v>-0.11833062662358966</v>
      </c>
      <c r="Z37" s="25">
        <f>'TUSD BE'!$Z$37*'TUSD BE'!$Z$69</f>
        <v>0</v>
      </c>
      <c r="AA37" s="25">
        <f>'TUSD BE'!$AA$37*'TUSD BE'!$AA$69</f>
        <v>0</v>
      </c>
      <c r="AB37" s="25">
        <f>SUM($U$37:$AA$37)</f>
        <v>-16.074046004076152</v>
      </c>
      <c r="AC37" s="25">
        <f>'TUSD BE'!$AC$37*'TUSD BE'!$AC$69</f>
        <v>4.9270228603650927E-2</v>
      </c>
      <c r="AD37" s="25">
        <f>SUM($AC$37:$AC$37)</f>
        <v>4.9270228603650927E-2</v>
      </c>
      <c r="AE37" s="25">
        <f ca="1">$AO$37*$AO$66</f>
        <v>0.51072080767967931</v>
      </c>
      <c r="AF37" s="25">
        <f ca="1">$AP$37*$AP$66</f>
        <v>0</v>
      </c>
      <c r="AG37" s="25">
        <f ca="1">SUM($AE$37:$AF$37)</f>
        <v>0.51072080767967931</v>
      </c>
      <c r="AH37" s="25">
        <f>'TUSD BE'!$AH$37*'TUSD BE'!$AH$69</f>
        <v>-2.3255090209532887</v>
      </c>
      <c r="AI37" s="25">
        <f>'TUSD BE'!$AI$37*'TUSD BE'!$AI$69</f>
        <v>-0.13428585154314149</v>
      </c>
      <c r="AJ37" s="25">
        <f ca="1">'TUSD BE'!$AJ$37*'TUSD BE'!$AJ$69</f>
        <v>-2.0792172495473347</v>
      </c>
      <c r="AK37" s="25">
        <f ca="1">'TUSD BE'!$AK$37*'TUSD BE'!$AK$69</f>
        <v>1.9594155275482195</v>
      </c>
      <c r="AL37" s="25">
        <f ca="1">SUM($AH$37:$AK$37)</f>
        <v>-2.5795965944955457</v>
      </c>
      <c r="AM37" s="25">
        <f ca="1">SUMIF($L$4:$AL$4,"SUBTOTAL",$L$37:$AL$37)</f>
        <v>-18.109873502831313</v>
      </c>
      <c r="AO37" s="30">
        <f ca="1">+'TUSD BE'!$T$37+'TUSD BE'!$AB$37+'TUSD BE'!$AD$37+'TUSD BE'!$AL$37</f>
        <v>407.68452967745947</v>
      </c>
      <c r="AP37" s="30">
        <f ca="1">+'TUSD BE'!$T$37+'TUSD BE'!$AB$37+'TUSD BE'!$AD$37+'TUSD BE'!$AL$37</f>
        <v>407.68452967745947</v>
      </c>
    </row>
    <row r="38" spans="1:42" ht="11.25" customHeight="1" x14ac:dyDescent="0.25">
      <c r="A38" s="136"/>
      <c r="B38" s="136"/>
      <c r="C38" s="136"/>
      <c r="D38" s="28" t="s">
        <v>30</v>
      </c>
      <c r="E38" s="28" t="s">
        <v>25</v>
      </c>
      <c r="F38" s="28" t="s">
        <v>25</v>
      </c>
      <c r="G38" s="21" t="s">
        <v>96</v>
      </c>
      <c r="H38" s="21" t="s">
        <v>90</v>
      </c>
      <c r="I38" s="21">
        <f>'MERCADO TUSD'!$U$35</f>
        <v>0</v>
      </c>
      <c r="J38" s="17"/>
      <c r="L38" s="25">
        <f>'TUSD BE'!$L$38*'TUSD BE'!$L$69</f>
        <v>0</v>
      </c>
      <c r="M38" s="25">
        <f>'TUSD BE'!$M$38*'TUSD BE'!$M$69</f>
        <v>-1.6221940542946393E-2</v>
      </c>
      <c r="N38" s="25">
        <f ca="1">'TUSD BE'!$N$38*'TUSD BE'!$N$69</f>
        <v>0</v>
      </c>
      <c r="O38" s="25">
        <f>'TUSD BE'!$O$38*'TUSD BE'!$O$69</f>
        <v>0</v>
      </c>
      <c r="P38" s="25">
        <f>'TUSD BE'!$P$38*'TUSD BE'!$P$69</f>
        <v>0</v>
      </c>
      <c r="Q38" s="25">
        <f>'TUSD BE'!$Q$38*'TUSD BE'!$Q$69</f>
        <v>0</v>
      </c>
      <c r="R38" s="25">
        <f>'TUSD BE'!$R$38*'TUSD BE'!$R$69</f>
        <v>0</v>
      </c>
      <c r="S38" s="25">
        <f>'TUSD BE'!$R$38*'TUSD BE'!$S$69</f>
        <v>0</v>
      </c>
      <c r="T38" s="25">
        <f ca="1">SUM($L$38:$S$38)</f>
        <v>-1.6221940542946393E-2</v>
      </c>
      <c r="U38" s="25">
        <f>'TUSD BE'!$U$38*'TUSD BE'!$U$69</f>
        <v>-15.045731134019565</v>
      </c>
      <c r="V38" s="25">
        <f>'TUSD BE'!$V$38*'TUSD BE'!$V$69</f>
        <v>-0.81972635578792319</v>
      </c>
      <c r="W38" s="25">
        <f>'TUSD BE'!$W$38*'TUSD BE'!$W$69</f>
        <v>-9.0257887645073975E-2</v>
      </c>
      <c r="X38" s="25">
        <f>'TUSD BE'!$X$38*'TUSD BE'!$X$69</f>
        <v>0</v>
      </c>
      <c r="Y38" s="25">
        <f>'TUSD BE'!$Y$38*'TUSD BE'!$Y$69</f>
        <v>-0.11833062662358966</v>
      </c>
      <c r="Z38" s="25">
        <f>'TUSD BE'!$Z$38*'TUSD BE'!$Z$69</f>
        <v>0</v>
      </c>
      <c r="AA38" s="25">
        <f>'TUSD BE'!$AA$38*'TUSD BE'!$AA$69</f>
        <v>0</v>
      </c>
      <c r="AB38" s="25">
        <f>SUM($U$38:$AA$38)</f>
        <v>-16.074046004076152</v>
      </c>
      <c r="AC38" s="25">
        <f>'TUSD BE'!$AC$38*'TUSD BE'!$AC$69</f>
        <v>4.9270228603650927E-2</v>
      </c>
      <c r="AD38" s="25">
        <f>SUM($AC$38:$AC$38)</f>
        <v>4.9270228603650927E-2</v>
      </c>
      <c r="AE38" s="25">
        <f ca="1">$AO$38*$AO$66</f>
        <v>0.51072080767967931</v>
      </c>
      <c r="AF38" s="25">
        <f ca="1">$AP$38*$AP$66</f>
        <v>0</v>
      </c>
      <c r="AG38" s="25">
        <f ca="1">SUM($AE$38:$AF$38)</f>
        <v>0.51072080767967931</v>
      </c>
      <c r="AH38" s="25">
        <f>'TUSD BE'!$AH$38*'TUSD BE'!$AH$69</f>
        <v>-2.3255090209532887</v>
      </c>
      <c r="AI38" s="25">
        <f>'TUSD BE'!$AI$38*'TUSD BE'!$AI$69</f>
        <v>-0.13428585154314149</v>
      </c>
      <c r="AJ38" s="25">
        <f ca="1">'TUSD BE'!$AJ$38*'TUSD BE'!$AJ$69</f>
        <v>-2.0792172495473347</v>
      </c>
      <c r="AK38" s="25">
        <f ca="1">'TUSD BE'!$AK$38*'TUSD BE'!$AK$69</f>
        <v>1.9594155275482195</v>
      </c>
      <c r="AL38" s="25">
        <f ca="1">SUM($AH$38:$AK$38)</f>
        <v>-2.5795965944955457</v>
      </c>
      <c r="AM38" s="25">
        <f ca="1">SUMIF($L$4:$AL$4,"SUBTOTAL",$L$38:$AL$38)</f>
        <v>-18.109873502831313</v>
      </c>
      <c r="AO38" s="30">
        <f ca="1">+'TUSD BE'!$T$38+'TUSD BE'!$AB$38+'TUSD BE'!$AD$38+'TUSD BE'!$AL$38</f>
        <v>407.68452967745947</v>
      </c>
      <c r="AP38" s="30">
        <f ca="1">+'TUSD BE'!$T$38+'TUSD BE'!$AB$38+'TUSD BE'!$AD$38+'TUSD BE'!$AL$38</f>
        <v>407.68452967745947</v>
      </c>
    </row>
    <row r="39" spans="1:42" ht="11.25" customHeight="1" x14ac:dyDescent="0.25">
      <c r="A39" s="136"/>
      <c r="B39" s="136"/>
      <c r="C39" s="136"/>
      <c r="D39" s="28" t="s">
        <v>31</v>
      </c>
      <c r="E39" s="28" t="s">
        <v>25</v>
      </c>
      <c r="F39" s="28" t="s">
        <v>25</v>
      </c>
      <c r="G39" s="21" t="s">
        <v>96</v>
      </c>
      <c r="H39" s="21" t="s">
        <v>90</v>
      </c>
      <c r="I39" s="21">
        <f>'MERCADO TUSD'!$U$36</f>
        <v>0</v>
      </c>
      <c r="J39" s="17"/>
      <c r="L39" s="25">
        <f>'TUSD BE'!$L$39*'TUSD BE'!$L$69</f>
        <v>0</v>
      </c>
      <c r="M39" s="25">
        <f>'TUSD BE'!$M$39*'TUSD BE'!$M$69</f>
        <v>-1.6221940542946393E-2</v>
      </c>
      <c r="N39" s="25">
        <f ca="1">'TUSD BE'!$N$39*'TUSD BE'!$N$69</f>
        <v>0</v>
      </c>
      <c r="O39" s="25">
        <f>'TUSD BE'!$O$39*'TUSD BE'!$O$69</f>
        <v>0</v>
      </c>
      <c r="P39" s="25">
        <f>'TUSD BE'!$P$39*'TUSD BE'!$P$69</f>
        <v>0</v>
      </c>
      <c r="Q39" s="25">
        <f>'TUSD BE'!$Q$39*'TUSD BE'!$Q$69</f>
        <v>0</v>
      </c>
      <c r="R39" s="25">
        <f>'TUSD BE'!$R$39*'TUSD BE'!$R$69</f>
        <v>0</v>
      </c>
      <c r="S39" s="25">
        <f>'TUSD BE'!$R$39*'TUSD BE'!$S$69</f>
        <v>0</v>
      </c>
      <c r="T39" s="25">
        <f ca="1">SUM($L$39:$S$39)</f>
        <v>-1.6221940542946393E-2</v>
      </c>
      <c r="U39" s="25">
        <f>'TUSD BE'!$U$39*'TUSD BE'!$U$69</f>
        <v>-15.045731134019565</v>
      </c>
      <c r="V39" s="25">
        <f>'TUSD BE'!$V$39*'TUSD BE'!$V$69</f>
        <v>-0.81972635578792319</v>
      </c>
      <c r="W39" s="25">
        <f>'TUSD BE'!$W$39*'TUSD BE'!$W$69</f>
        <v>-9.0257887645073975E-2</v>
      </c>
      <c r="X39" s="25">
        <f>'TUSD BE'!$X$39*'TUSD BE'!$X$69</f>
        <v>0</v>
      </c>
      <c r="Y39" s="25">
        <f>'TUSD BE'!$Y$39*'TUSD BE'!$Y$69</f>
        <v>-0.11833062662358966</v>
      </c>
      <c r="Z39" s="25">
        <f>'TUSD BE'!$Z$39*'TUSD BE'!$Z$69</f>
        <v>0</v>
      </c>
      <c r="AA39" s="25">
        <f>'TUSD BE'!$AA$39*'TUSD BE'!$AA$69</f>
        <v>0</v>
      </c>
      <c r="AB39" s="25">
        <f>SUM($U$39:$AA$39)</f>
        <v>-16.074046004076152</v>
      </c>
      <c r="AC39" s="25">
        <f>'TUSD BE'!$AC$39*'TUSD BE'!$AC$69</f>
        <v>4.9270228603650927E-2</v>
      </c>
      <c r="AD39" s="25">
        <f>SUM($AC$39:$AC$39)</f>
        <v>4.9270228603650927E-2</v>
      </c>
      <c r="AE39" s="25">
        <f ca="1">$AO$39*$AO$66</f>
        <v>0.51072080767967931</v>
      </c>
      <c r="AF39" s="25">
        <f ca="1">$AP$39*$AP$66</f>
        <v>0</v>
      </c>
      <c r="AG39" s="25">
        <f ca="1">SUM($AE$39:$AF$39)</f>
        <v>0.51072080767967931</v>
      </c>
      <c r="AH39" s="25">
        <f>'TUSD BE'!$AH$39*'TUSD BE'!$AH$69</f>
        <v>-2.3255090209532887</v>
      </c>
      <c r="AI39" s="25">
        <f>'TUSD BE'!$AI$39*'TUSD BE'!$AI$69</f>
        <v>-0.13428585154314149</v>
      </c>
      <c r="AJ39" s="25">
        <f ca="1">'TUSD BE'!$AJ$39*'TUSD BE'!$AJ$69</f>
        <v>-2.0792172495473347</v>
      </c>
      <c r="AK39" s="25">
        <f ca="1">'TUSD BE'!$AK$39*'TUSD BE'!$AK$69</f>
        <v>1.9594155275482195</v>
      </c>
      <c r="AL39" s="25">
        <f ca="1">SUM($AH$39:$AK$39)</f>
        <v>-2.5795965944955457</v>
      </c>
      <c r="AM39" s="25">
        <f ca="1">SUMIF($L$4:$AL$4,"SUBTOTAL",$L$39:$AL$39)</f>
        <v>-18.109873502831313</v>
      </c>
      <c r="AO39" s="30">
        <f ca="1">+'TUSD BE'!$T$39+'TUSD BE'!$AB$39+'TUSD BE'!$AD$39+'TUSD BE'!$AL$39</f>
        <v>407.68452967745947</v>
      </c>
      <c r="AP39" s="30">
        <f ca="1">+'TUSD BE'!$T$39+'TUSD BE'!$AB$39+'TUSD BE'!$AD$39+'TUSD BE'!$AL$39</f>
        <v>407.68452967745947</v>
      </c>
    </row>
    <row r="40" spans="1:42" ht="11.25" customHeight="1" x14ac:dyDescent="0.25">
      <c r="A40" s="136"/>
      <c r="B40" s="136"/>
      <c r="C40" s="136"/>
      <c r="D40" s="28" t="s">
        <v>32</v>
      </c>
      <c r="E40" s="28" t="s">
        <v>25</v>
      </c>
      <c r="F40" s="28" t="s">
        <v>25</v>
      </c>
      <c r="G40" s="21" t="s">
        <v>96</v>
      </c>
      <c r="H40" s="21" t="s">
        <v>90</v>
      </c>
      <c r="I40" s="21">
        <f>'MERCADO TUSD'!$U$37</f>
        <v>0</v>
      </c>
      <c r="J40" s="17"/>
      <c r="L40" s="25">
        <f>'TUSD BE'!$L$40*'TUSD BE'!$L$69</f>
        <v>0</v>
      </c>
      <c r="M40" s="25">
        <f>'TUSD BE'!$M$40*'TUSD BE'!$M$69</f>
        <v>-1.6221940542946393E-2</v>
      </c>
      <c r="N40" s="25">
        <f ca="1">'TUSD BE'!$N$40*'TUSD BE'!$N$69</f>
        <v>0</v>
      </c>
      <c r="O40" s="25">
        <f>'TUSD BE'!$O$40*'TUSD BE'!$O$69</f>
        <v>0</v>
      </c>
      <c r="P40" s="25">
        <f>'TUSD BE'!$P$40*'TUSD BE'!$P$69</f>
        <v>0</v>
      </c>
      <c r="Q40" s="25">
        <f>'TUSD BE'!$Q$40*'TUSD BE'!$Q$69</f>
        <v>0</v>
      </c>
      <c r="R40" s="25">
        <f>'TUSD BE'!$R$40*'TUSD BE'!$R$69</f>
        <v>0</v>
      </c>
      <c r="S40" s="25">
        <f>'TUSD BE'!$R$40*'TUSD BE'!$S$69</f>
        <v>0</v>
      </c>
      <c r="T40" s="25">
        <f ca="1">SUM($L$40:$S$40)</f>
        <v>-1.6221940542946393E-2</v>
      </c>
      <c r="U40" s="25">
        <f>'TUSD BE'!$U$40*'TUSD BE'!$U$69</f>
        <v>-15.045731134019565</v>
      </c>
      <c r="V40" s="25">
        <f>'TUSD BE'!$V$40*'TUSD BE'!$V$69</f>
        <v>-0.81972635578792319</v>
      </c>
      <c r="W40" s="25">
        <f>'TUSD BE'!$W$40*'TUSD BE'!$W$69</f>
        <v>-9.0257887645073975E-2</v>
      </c>
      <c r="X40" s="25">
        <f>'TUSD BE'!$X$40*'TUSD BE'!$X$69</f>
        <v>0</v>
      </c>
      <c r="Y40" s="25">
        <f>'TUSD BE'!$Y$40*'TUSD BE'!$Y$69</f>
        <v>-0.11833062662358966</v>
      </c>
      <c r="Z40" s="25">
        <f>'TUSD BE'!$Z$40*'TUSD BE'!$Z$69</f>
        <v>0</v>
      </c>
      <c r="AA40" s="25">
        <f>'TUSD BE'!$AA$40*'TUSD BE'!$AA$69</f>
        <v>0</v>
      </c>
      <c r="AB40" s="25">
        <f>SUM($U$40:$AA$40)</f>
        <v>-16.074046004076152</v>
      </c>
      <c r="AC40" s="25">
        <f>'TUSD BE'!$AC$40*'TUSD BE'!$AC$69</f>
        <v>4.9270228603650927E-2</v>
      </c>
      <c r="AD40" s="25">
        <f>SUM($AC$40:$AC$40)</f>
        <v>4.9270228603650927E-2</v>
      </c>
      <c r="AE40" s="25">
        <f ca="1">$AO$40*$AO$66</f>
        <v>0.51072080767967931</v>
      </c>
      <c r="AF40" s="25">
        <f ca="1">$AP$40*$AP$66</f>
        <v>0</v>
      </c>
      <c r="AG40" s="25">
        <f ca="1">SUM($AE$40:$AF$40)</f>
        <v>0.51072080767967931</v>
      </c>
      <c r="AH40" s="25">
        <f>'TUSD BE'!$AH$40*'TUSD BE'!$AH$69</f>
        <v>-2.3255090209532887</v>
      </c>
      <c r="AI40" s="25">
        <f>'TUSD BE'!$AI$40*'TUSD BE'!$AI$69</f>
        <v>-0.13428585154314149</v>
      </c>
      <c r="AJ40" s="25">
        <f ca="1">'TUSD BE'!$AJ$40*'TUSD BE'!$AJ$69</f>
        <v>-2.0792172495473347</v>
      </c>
      <c r="AK40" s="25">
        <f ca="1">'TUSD BE'!$AK$40*'TUSD BE'!$AK$69</f>
        <v>1.9594155275482195</v>
      </c>
      <c r="AL40" s="25">
        <f ca="1">SUM($AH$40:$AK$40)</f>
        <v>-2.5795965944955457</v>
      </c>
      <c r="AM40" s="25">
        <f ca="1">SUMIF($L$4:$AL$4,"SUBTOTAL",$L$40:$AL$40)</f>
        <v>-18.109873502831313</v>
      </c>
      <c r="AO40" s="30">
        <f ca="1">+'TUSD BE'!$T$40+'TUSD BE'!$AB$40+'TUSD BE'!$AD$40+'TUSD BE'!$AL$40</f>
        <v>407.68452967745947</v>
      </c>
      <c r="AP40" s="30">
        <f ca="1">+'TUSD BE'!$T$40+'TUSD BE'!$AB$40+'TUSD BE'!$AD$40+'TUSD BE'!$AL$40</f>
        <v>407.68452967745947</v>
      </c>
    </row>
    <row r="41" spans="1:42" ht="11.25" customHeight="1" x14ac:dyDescent="0.25">
      <c r="A41" s="136" t="s">
        <v>44</v>
      </c>
      <c r="B41" s="136" t="s">
        <v>37</v>
      </c>
      <c r="C41" s="136" t="s">
        <v>45</v>
      </c>
      <c r="D41" s="136" t="s">
        <v>25</v>
      </c>
      <c r="E41" s="136" t="s">
        <v>25</v>
      </c>
      <c r="F41" s="136" t="s">
        <v>25</v>
      </c>
      <c r="G41" s="21" t="s">
        <v>91</v>
      </c>
      <c r="H41" s="21" t="s">
        <v>90</v>
      </c>
      <c r="I41" s="21">
        <f>'MERCADO TUSD'!$U$38</f>
        <v>3.0000000000000001E-3</v>
      </c>
      <c r="J41" s="17"/>
      <c r="L41" s="25">
        <f>'TUSD BE'!$L$41*'TUSD BE'!$L$69</f>
        <v>-4.8088046211592719</v>
      </c>
      <c r="M41" s="25">
        <f>'TUSD BE'!$M$41*'TUSD BE'!$M$69</f>
        <v>-1.6221940542946393E-2</v>
      </c>
      <c r="N41" s="25">
        <f ca="1">'TUSD BE'!$N$41*'TUSD BE'!$N$69</f>
        <v>0</v>
      </c>
      <c r="O41" s="25">
        <f>'TUSD BE'!$O$41*'TUSD BE'!$O$69</f>
        <v>0</v>
      </c>
      <c r="P41" s="25">
        <f>'TUSD BE'!$P$41*'TUSD BE'!$P$69</f>
        <v>0</v>
      </c>
      <c r="Q41" s="25">
        <f>'TUSD BE'!$Q$41*'TUSD BE'!$Q$69</f>
        <v>4.4096826106720291E-2</v>
      </c>
      <c r="R41" s="25">
        <f>'TUSD BE'!$R$41*'TUSD BE'!$R$69</f>
        <v>0.16719913815822074</v>
      </c>
      <c r="S41" s="25">
        <f>'TUSD BE'!$R$41*'TUSD BE'!$S$69</f>
        <v>0</v>
      </c>
      <c r="T41" s="25">
        <f ca="1">SUM($L$41:$S$41)</f>
        <v>-4.6137305974372769</v>
      </c>
      <c r="U41" s="25">
        <f>'TUSD BE'!$U$41*'TUSD BE'!$U$69</f>
        <v>-49.650922079725632</v>
      </c>
      <c r="V41" s="25">
        <f>'TUSD BE'!$V$41*'TUSD BE'!$V$69</f>
        <v>-2.705099037187142</v>
      </c>
      <c r="W41" s="25">
        <f>'TUSD BE'!$W$41*'TUSD BE'!$W$69</f>
        <v>-0.29785559103583575</v>
      </c>
      <c r="X41" s="25">
        <f>'TUSD BE'!$X$41*'TUSD BE'!$X$69</f>
        <v>0</v>
      </c>
      <c r="Y41" s="25">
        <f>'TUSD BE'!$Y$41*'TUSD BE'!$Y$69</f>
        <v>-0.39050212531861705</v>
      </c>
      <c r="Z41" s="25">
        <f>'TUSD BE'!$Z$41*'TUSD BE'!$Z$69</f>
        <v>0</v>
      </c>
      <c r="AA41" s="25">
        <f>'TUSD BE'!$AA$41*'TUSD BE'!$AA$69</f>
        <v>0</v>
      </c>
      <c r="AB41" s="25">
        <f>SUM($U$41:$AA$41)</f>
        <v>-53.044378833267224</v>
      </c>
      <c r="AC41" s="25">
        <f>'TUSD BE'!$AC$41*'TUSD BE'!$AC$69</f>
        <v>0.16259177065621591</v>
      </c>
      <c r="AD41" s="25">
        <f>SUM($AC$41:$AC$41)</f>
        <v>0.16259177065621591</v>
      </c>
      <c r="AE41" s="25">
        <f ca="1">$AO$41*$AO$66</f>
        <v>1.5226737421340997</v>
      </c>
      <c r="AF41" s="25">
        <f ca="1">$AP$41*$AP$66</f>
        <v>0</v>
      </c>
      <c r="AG41" s="25">
        <f ca="1">SUM($AE$41:$AF$41)</f>
        <v>1.5226737421340997</v>
      </c>
      <c r="AH41" s="25">
        <f>'TUSD BE'!$AH$41*'TUSD BE'!$AH$69</f>
        <v>-2.3255090209532887</v>
      </c>
      <c r="AI41" s="25">
        <f>'TUSD BE'!$AI$41*'TUSD BE'!$AI$69</f>
        <v>-0.13428585154314149</v>
      </c>
      <c r="AJ41" s="25">
        <f ca="1">'TUSD BE'!$AJ$41*'TUSD BE'!$AJ$69</f>
        <v>-2.0792172495473347</v>
      </c>
      <c r="AK41" s="25">
        <f ca="1">'TUSD BE'!$AK$41*'TUSD BE'!$AK$69</f>
        <v>1.9594155275482195</v>
      </c>
      <c r="AL41" s="25">
        <f ca="1">SUM($AH$41:$AK$41)</f>
        <v>-2.5795965944955457</v>
      </c>
      <c r="AM41" s="25">
        <f ca="1">SUMIF($L$4:$AL$4,"SUBTOTAL",$L$41:$AL$41)</f>
        <v>-58.552440512409731</v>
      </c>
      <c r="AO41" s="30">
        <f ca="1">+'TUSD BE'!$T$41+'TUSD BE'!$AB$41+'TUSD BE'!$AD$41+'TUSD BE'!$AL$41</f>
        <v>1215.4792189385414</v>
      </c>
      <c r="AP41" s="30">
        <f ca="1">+'TUSD BE'!$T$41+'TUSD BE'!$AB$41+'TUSD BE'!$AD$41+'TUSD BE'!$AL$41</f>
        <v>1215.4792189385414</v>
      </c>
    </row>
    <row r="42" spans="1:42" ht="11.25" customHeight="1" x14ac:dyDescent="0.25">
      <c r="A42" s="136"/>
      <c r="B42" s="136"/>
      <c r="C42" s="136"/>
      <c r="D42" s="136"/>
      <c r="E42" s="136"/>
      <c r="F42" s="136"/>
      <c r="G42" s="21" t="s">
        <v>101</v>
      </c>
      <c r="H42" s="21" t="s">
        <v>90</v>
      </c>
      <c r="I42" s="21">
        <f>'MERCADO TUSD'!$U$39</f>
        <v>3.1E-2</v>
      </c>
      <c r="J42" s="17"/>
      <c r="L42" s="25">
        <f>'TUSD BE'!$L$42*'TUSD BE'!$L$69</f>
        <v>-4.8088046211592719</v>
      </c>
      <c r="M42" s="25">
        <f>'TUSD BE'!$M$42*'TUSD BE'!$M$69</f>
        <v>-1.6221940542946393E-2</v>
      </c>
      <c r="N42" s="25">
        <f ca="1">'TUSD BE'!$N$42*'TUSD BE'!$N$69</f>
        <v>0</v>
      </c>
      <c r="O42" s="25">
        <f>'TUSD BE'!$O$42*'TUSD BE'!$O$69</f>
        <v>0</v>
      </c>
      <c r="P42" s="25">
        <f>'TUSD BE'!$P$42*'TUSD BE'!$P$69</f>
        <v>0</v>
      </c>
      <c r="Q42" s="25">
        <f>'TUSD BE'!$Q$42*'TUSD BE'!$Q$69</f>
        <v>4.4096826106720291E-2</v>
      </c>
      <c r="R42" s="25">
        <f>'TUSD BE'!$R$42*'TUSD BE'!$R$69</f>
        <v>0.16719913815822074</v>
      </c>
      <c r="S42" s="25">
        <f>'TUSD BE'!$R$42*'TUSD BE'!$S$69</f>
        <v>0</v>
      </c>
      <c r="T42" s="25">
        <f ca="1">SUM($L$42:$S$42)</f>
        <v>-4.6137305974372769</v>
      </c>
      <c r="U42" s="25">
        <f>'TUSD BE'!$U$42*'TUSD BE'!$U$69</f>
        <v>-29.790562585296442</v>
      </c>
      <c r="V42" s="25">
        <f>'TUSD BE'!$V$42*'TUSD BE'!$V$69</f>
        <v>-1.6230614853992802</v>
      </c>
      <c r="W42" s="25">
        <f>'TUSD BE'!$W$42*'TUSD BE'!$W$69</f>
        <v>-0.1787163958262292</v>
      </c>
      <c r="X42" s="25">
        <f>'TUSD BE'!$X$42*'TUSD BE'!$X$69</f>
        <v>0</v>
      </c>
      <c r="Y42" s="25">
        <f>'TUSD BE'!$Y$42*'TUSD BE'!$Y$69</f>
        <v>-0.23430759374018231</v>
      </c>
      <c r="Z42" s="25">
        <f>'TUSD BE'!$Z$42*'TUSD BE'!$Z$69</f>
        <v>0</v>
      </c>
      <c r="AA42" s="25">
        <f>'TUSD BE'!$AA$42*'TUSD BE'!$AA$69</f>
        <v>0</v>
      </c>
      <c r="AB42" s="25">
        <f>SUM($U$42:$AA$42)</f>
        <v>-31.826648060262134</v>
      </c>
      <c r="AC42" s="25">
        <f>'TUSD BE'!$AC$42*'TUSD BE'!$AC$69</f>
        <v>9.7555057746824436E-2</v>
      </c>
      <c r="AD42" s="25">
        <f>SUM($AC$42:$AC$42)</f>
        <v>9.7555057746824436E-2</v>
      </c>
      <c r="AE42" s="25">
        <f ca="1">$AO$42*$AO$66</f>
        <v>0.9902024123781179</v>
      </c>
      <c r="AF42" s="25">
        <f ca="1">$AP$42*$AP$66</f>
        <v>0</v>
      </c>
      <c r="AG42" s="25">
        <f ca="1">SUM($AE$42:$AF$42)</f>
        <v>0.9902024123781179</v>
      </c>
      <c r="AH42" s="25">
        <f>'TUSD BE'!$AH$42*'TUSD BE'!$AH$69</f>
        <v>-2.3255090209532887</v>
      </c>
      <c r="AI42" s="25">
        <f>'TUSD BE'!$AI$42*'TUSD BE'!$AI$69</f>
        <v>-0.13428585154314149</v>
      </c>
      <c r="AJ42" s="25">
        <f ca="1">'TUSD BE'!$AJ$42*'TUSD BE'!$AJ$69</f>
        <v>-2.0792172495473347</v>
      </c>
      <c r="AK42" s="25">
        <f ca="1">'TUSD BE'!$AK$42*'TUSD BE'!$AK$69</f>
        <v>1.9594155275482195</v>
      </c>
      <c r="AL42" s="25">
        <f ca="1">SUM($AH$42:$AK$42)</f>
        <v>-2.5795965944955457</v>
      </c>
      <c r="AM42" s="25">
        <f ca="1">SUMIF($L$4:$AL$4,"SUBTOTAL",$L$42:$AL$42)</f>
        <v>-37.932217782070019</v>
      </c>
      <c r="AO42" s="30">
        <f ca="1">+'TUSD BE'!$T$42+'TUSD BE'!$AB$42+'TUSD BE'!$AD$42+'TUSD BE'!$AL$42</f>
        <v>790.43226495884335</v>
      </c>
      <c r="AP42" s="30">
        <f ca="1">+'TUSD BE'!$T$42+'TUSD BE'!$AB$42+'TUSD BE'!$AD$42+'TUSD BE'!$AL$42</f>
        <v>790.43226495884335</v>
      </c>
    </row>
    <row r="43" spans="1:42" ht="11.25" customHeight="1" x14ac:dyDescent="0.25">
      <c r="A43" s="136"/>
      <c r="B43" s="136"/>
      <c r="C43" s="136"/>
      <c r="D43" s="136"/>
      <c r="E43" s="136"/>
      <c r="F43" s="136"/>
      <c r="G43" s="21" t="s">
        <v>92</v>
      </c>
      <c r="H43" s="21" t="s">
        <v>90</v>
      </c>
      <c r="I43" s="21">
        <f>'MERCADO TUSD'!$U$40</f>
        <v>8.956999999999999</v>
      </c>
      <c r="J43" s="17"/>
      <c r="L43" s="25">
        <f>'TUSD BE'!$L$43*'TUSD BE'!$L$69</f>
        <v>-4.8088046211592719</v>
      </c>
      <c r="M43" s="25">
        <f>'TUSD BE'!$M$43*'TUSD BE'!$M$69</f>
        <v>-1.6221940542946393E-2</v>
      </c>
      <c r="N43" s="25">
        <f ca="1">'TUSD BE'!$N$43*'TUSD BE'!$N$69</f>
        <v>0</v>
      </c>
      <c r="O43" s="25">
        <f>'TUSD BE'!$O$43*'TUSD BE'!$O$69</f>
        <v>0</v>
      </c>
      <c r="P43" s="25">
        <f>'TUSD BE'!$P$43*'TUSD BE'!$P$69</f>
        <v>0</v>
      </c>
      <c r="Q43" s="25">
        <f>'TUSD BE'!$Q$43*'TUSD BE'!$Q$69</f>
        <v>4.4096826106720291E-2</v>
      </c>
      <c r="R43" s="25">
        <f>'TUSD BE'!$R$43*'TUSD BE'!$R$69</f>
        <v>0.16719913815822074</v>
      </c>
      <c r="S43" s="25">
        <f>'TUSD BE'!$R$43*'TUSD BE'!$S$69</f>
        <v>0</v>
      </c>
      <c r="T43" s="25">
        <f ca="1">SUM($L$43:$S$43)</f>
        <v>-4.6137305974372769</v>
      </c>
      <c r="U43" s="25">
        <f>'TUSD BE'!$U$43*'TUSD BE'!$U$69</f>
        <v>-9.9302030908672503</v>
      </c>
      <c r="V43" s="25">
        <f>'TUSD BE'!$V$43*'TUSD BE'!$V$69</f>
        <v>-0.54102393361141865</v>
      </c>
      <c r="W43" s="25">
        <f>'TUSD BE'!$W$43*'TUSD BE'!$W$69</f>
        <v>-5.9572131942076396E-2</v>
      </c>
      <c r="X43" s="25">
        <f>'TUSD BE'!$X$43*'TUSD BE'!$X$69</f>
        <v>0</v>
      </c>
      <c r="Y43" s="25">
        <f>'TUSD BE'!$Y$43*'TUSD BE'!$Y$69</f>
        <v>-7.8097265789217371E-2</v>
      </c>
      <c r="Z43" s="25">
        <f>'TUSD BE'!$Z$43*'TUSD BE'!$Z$69</f>
        <v>0</v>
      </c>
      <c r="AA43" s="25">
        <f>'TUSD BE'!$AA$43*'TUSD BE'!$AA$69</f>
        <v>0</v>
      </c>
      <c r="AB43" s="25">
        <f>SUM($U$43:$AA$43)</f>
        <v>-10.608896422209963</v>
      </c>
      <c r="AC43" s="25">
        <f>'TUSD BE'!$AC$43*'TUSD BE'!$AC$69</f>
        <v>3.2518344837432982E-2</v>
      </c>
      <c r="AD43" s="25">
        <f>SUM($AC$43:$AC$43)</f>
        <v>3.2518344837432982E-2</v>
      </c>
      <c r="AE43" s="25">
        <f ca="1">$AO$43*$AO$66</f>
        <v>0.45773064443090483</v>
      </c>
      <c r="AF43" s="25">
        <f ca="1">$AP$43*$AP$66</f>
        <v>0</v>
      </c>
      <c r="AG43" s="25">
        <f ca="1">SUM($AE$43:$AF$43)</f>
        <v>0.45773064443090483</v>
      </c>
      <c r="AH43" s="25">
        <f>'TUSD BE'!$AH$43*'TUSD BE'!$AH$69</f>
        <v>-2.3255090209532887</v>
      </c>
      <c r="AI43" s="25">
        <f>'TUSD BE'!$AI$43*'TUSD BE'!$AI$69</f>
        <v>-0.13428585154314149</v>
      </c>
      <c r="AJ43" s="25">
        <f ca="1">'TUSD BE'!$AJ$43*'TUSD BE'!$AJ$69</f>
        <v>-2.0792172495473347</v>
      </c>
      <c r="AK43" s="25">
        <f ca="1">'TUSD BE'!$AK$43*'TUSD BE'!$AK$69</f>
        <v>1.9594155275482195</v>
      </c>
      <c r="AL43" s="25">
        <f ca="1">SUM($AH$43:$AK$43)</f>
        <v>-2.5795965944955457</v>
      </c>
      <c r="AM43" s="25">
        <f ca="1">SUMIF($L$4:$AL$4,"SUBTOTAL",$L$43:$AL$43)</f>
        <v>-17.311974624874448</v>
      </c>
      <c r="AO43" s="30">
        <f ca="1">+'TUSD BE'!$T$43+'TUSD BE'!$AB$43+'TUSD BE'!$AD$43+'TUSD BE'!$AL$43</f>
        <v>365.38496119158361</v>
      </c>
      <c r="AP43" s="30">
        <f ca="1">+'TUSD BE'!$T$43+'TUSD BE'!$AB$43+'TUSD BE'!$AD$43+'TUSD BE'!$AL$43</f>
        <v>365.38496119158361</v>
      </c>
    </row>
    <row r="44" spans="1:42" ht="11.25" customHeight="1" x14ac:dyDescent="0.25">
      <c r="A44" s="136"/>
      <c r="B44" s="28" t="s">
        <v>23</v>
      </c>
      <c r="C44" s="28" t="s">
        <v>45</v>
      </c>
      <c r="D44" s="28" t="s">
        <v>25</v>
      </c>
      <c r="E44" s="28" t="s">
        <v>25</v>
      </c>
      <c r="F44" s="28" t="s">
        <v>25</v>
      </c>
      <c r="G44" s="21" t="s">
        <v>96</v>
      </c>
      <c r="H44" s="21" t="s">
        <v>90</v>
      </c>
      <c r="I44" s="21">
        <f>'MERCADO TUSD'!$U$41</f>
        <v>60904.316999999995</v>
      </c>
      <c r="J44" s="17"/>
      <c r="L44" s="25">
        <f>'TUSD BE'!$L$44*'TUSD BE'!$L$69</f>
        <v>-4.8088046211592719</v>
      </c>
      <c r="M44" s="25">
        <f>'TUSD BE'!$M$44*'TUSD BE'!$M$69</f>
        <v>-1.6221940542946393E-2</v>
      </c>
      <c r="N44" s="25">
        <f ca="1">'TUSD BE'!$N$44*'TUSD BE'!$N$69</f>
        <v>0</v>
      </c>
      <c r="O44" s="25">
        <f>'TUSD BE'!$O$44*'TUSD BE'!$O$69</f>
        <v>0</v>
      </c>
      <c r="P44" s="25">
        <f>'TUSD BE'!$P$44*'TUSD BE'!$P$69</f>
        <v>0</v>
      </c>
      <c r="Q44" s="25">
        <f>'TUSD BE'!$Q$44*'TUSD BE'!$Q$69</f>
        <v>4.4096826106720291E-2</v>
      </c>
      <c r="R44" s="25">
        <f>'TUSD BE'!$R$44*'TUSD BE'!$R$69</f>
        <v>0.16719913815822074</v>
      </c>
      <c r="S44" s="25">
        <f>'TUSD BE'!$R$44*'TUSD BE'!$S$69</f>
        <v>0</v>
      </c>
      <c r="T44" s="25">
        <f ca="1">SUM($L$44:$S$44)</f>
        <v>-4.6137305974372769</v>
      </c>
      <c r="U44" s="25">
        <f>'TUSD BE'!$U$44*'TUSD BE'!$U$69</f>
        <v>-15.045731134019565</v>
      </c>
      <c r="V44" s="25">
        <f>'TUSD BE'!$V$44*'TUSD BE'!$V$69</f>
        <v>-0.81972635578792319</v>
      </c>
      <c r="W44" s="25">
        <f>'TUSD BE'!$W$44*'TUSD BE'!$W$69</f>
        <v>-9.0257887645073975E-2</v>
      </c>
      <c r="X44" s="25">
        <f>'TUSD BE'!$X$44*'TUSD BE'!$X$69</f>
        <v>0</v>
      </c>
      <c r="Y44" s="25">
        <f>'TUSD BE'!$Y$44*'TUSD BE'!$Y$69</f>
        <v>-0.11833062662358966</v>
      </c>
      <c r="Z44" s="25">
        <f>'TUSD BE'!$Z$44*'TUSD BE'!$Z$69</f>
        <v>0</v>
      </c>
      <c r="AA44" s="25">
        <f>'TUSD BE'!$AA$44*'TUSD BE'!$AA$69</f>
        <v>0</v>
      </c>
      <c r="AB44" s="25">
        <f>SUM($U$44:$AA$44)</f>
        <v>-16.074046004076152</v>
      </c>
      <c r="AC44" s="25">
        <f>'TUSD BE'!$AC$44*'TUSD BE'!$AC$69</f>
        <v>4.9270228603650927E-2</v>
      </c>
      <c r="AD44" s="25">
        <f>SUM($AC$44:$AC$44)</f>
        <v>4.9270228603650927E-2</v>
      </c>
      <c r="AE44" s="25">
        <f ca="1">$AO$44*$AO$66</f>
        <v>0.59488220073761389</v>
      </c>
      <c r="AF44" s="25">
        <f ca="1">$AP$44*$AP$66</f>
        <v>0</v>
      </c>
      <c r="AG44" s="25">
        <f ca="1">SUM($AE$44:$AF$44)</f>
        <v>0.59488220073761389</v>
      </c>
      <c r="AH44" s="25">
        <f>'TUSD BE'!$AH$44*'TUSD BE'!$AH$69</f>
        <v>-2.3255090209532887</v>
      </c>
      <c r="AI44" s="25">
        <f>'TUSD BE'!$AI$44*'TUSD BE'!$AI$69</f>
        <v>-0.13428585154314149</v>
      </c>
      <c r="AJ44" s="25">
        <f ca="1">'TUSD BE'!$AJ$44*'TUSD BE'!$AJ$69</f>
        <v>-2.0792172495473347</v>
      </c>
      <c r="AK44" s="25">
        <f ca="1">'TUSD BE'!$AK$44*'TUSD BE'!$AK$69</f>
        <v>1.9594155275482195</v>
      </c>
      <c r="AL44" s="25">
        <f ca="1">SUM($AH$44:$AK$44)</f>
        <v>-2.5795965944955457</v>
      </c>
      <c r="AM44" s="25">
        <f ca="1">SUMIF($L$4:$AL$4,"SUBTOTAL",$L$44:$AL$44)</f>
        <v>-22.623220766667707</v>
      </c>
      <c r="AO44" s="30">
        <f ca="1">+'TUSD BE'!$T$44+'TUSD BE'!$AB$44+'TUSD BE'!$AD$44+'TUSD BE'!$AL$44</f>
        <v>474.86663275586722</v>
      </c>
      <c r="AP44" s="30">
        <f ca="1">+'TUSD BE'!$T$44+'TUSD BE'!$AB$44+'TUSD BE'!$AD$44+'TUSD BE'!$AL$44</f>
        <v>474.86663275586722</v>
      </c>
    </row>
    <row r="45" spans="1:42" ht="11.25" customHeight="1" x14ac:dyDescent="0.25">
      <c r="A45" s="136"/>
      <c r="B45" s="136" t="s">
        <v>37</v>
      </c>
      <c r="C45" s="136" t="s">
        <v>45</v>
      </c>
      <c r="D45" s="136" t="s">
        <v>104</v>
      </c>
      <c r="E45" s="136" t="s">
        <v>25</v>
      </c>
      <c r="F45" s="136" t="s">
        <v>25</v>
      </c>
      <c r="G45" s="21" t="s">
        <v>91</v>
      </c>
      <c r="H45" s="21" t="s">
        <v>90</v>
      </c>
      <c r="I45" s="21">
        <f>'MERCADO TUSD'!$U$42</f>
        <v>0</v>
      </c>
      <c r="J45" s="17"/>
      <c r="L45" s="25">
        <f>'TUSD BE'!$L$45*'TUSD BE'!$L$69</f>
        <v>-4.8088046211592719</v>
      </c>
      <c r="M45" s="25">
        <f>'TUSD BE'!$M$45*'TUSD BE'!$M$69</f>
        <v>-1.6221940542946393E-2</v>
      </c>
      <c r="N45" s="25">
        <f ca="1">'TUSD BE'!$N$45*'TUSD BE'!$N$69</f>
        <v>0</v>
      </c>
      <c r="O45" s="25">
        <f>'TUSD BE'!$O$45*'TUSD BE'!$O$69</f>
        <v>0</v>
      </c>
      <c r="P45" s="25">
        <f>'TUSD BE'!$P$45*'TUSD BE'!$P$69</f>
        <v>0</v>
      </c>
      <c r="Q45" s="25">
        <f>'TUSD BE'!$Q$45*'TUSD BE'!$Q$69</f>
        <v>4.4096826106720291E-2</v>
      </c>
      <c r="R45" s="25">
        <f>'TUSD BE'!$R$45*'TUSD BE'!$R$69</f>
        <v>0.16719913815822074</v>
      </c>
      <c r="S45" s="25">
        <f>'TUSD BE'!$R$45*'TUSD BE'!$S$69</f>
        <v>0</v>
      </c>
      <c r="T45" s="25">
        <f ca="1">SUM($L$45:$S$45)</f>
        <v>-4.6137305974372769</v>
      </c>
      <c r="U45" s="25">
        <f>'TUSD BE'!$U$45*'TUSD BE'!$U$69</f>
        <v>-49.650922079725632</v>
      </c>
      <c r="V45" s="25">
        <f>'TUSD BE'!$V$45*'TUSD BE'!$V$69</f>
        <v>-2.705099037187142</v>
      </c>
      <c r="W45" s="25">
        <f>'TUSD BE'!$W$45*'TUSD BE'!$W$69</f>
        <v>-0.29785559103583575</v>
      </c>
      <c r="X45" s="25">
        <f>'TUSD BE'!$X$45*'TUSD BE'!$X$69</f>
        <v>0</v>
      </c>
      <c r="Y45" s="25">
        <f>'TUSD BE'!$Y$45*'TUSD BE'!$Y$69</f>
        <v>-0.39050212531861705</v>
      </c>
      <c r="Z45" s="25">
        <f>'TUSD BE'!$Z$45*'TUSD BE'!$Z$69</f>
        <v>0</v>
      </c>
      <c r="AA45" s="25">
        <f>'TUSD BE'!$AA$45*'TUSD BE'!$AA$69</f>
        <v>0</v>
      </c>
      <c r="AB45" s="25">
        <f>SUM($U$45:$AA$45)</f>
        <v>-53.044378833267224</v>
      </c>
      <c r="AC45" s="25">
        <f>'TUSD BE'!$AC$45*'TUSD BE'!$AC$69</f>
        <v>0.16259177065621591</v>
      </c>
      <c r="AD45" s="25">
        <f>SUM($AC$45:$AC$45)</f>
        <v>0.16259177065621591</v>
      </c>
      <c r="AE45" s="25">
        <f ca="1">$AO$45*$AO$66</f>
        <v>1.5226737421340997</v>
      </c>
      <c r="AF45" s="25">
        <f ca="1">$AP$45*$AP$66</f>
        <v>0</v>
      </c>
      <c r="AG45" s="25">
        <f ca="1">SUM($AE$45:$AF$45)</f>
        <v>1.5226737421340997</v>
      </c>
      <c r="AH45" s="25">
        <f>'TUSD BE'!$AH$45*'TUSD BE'!$AH$69</f>
        <v>-2.3255090209532887</v>
      </c>
      <c r="AI45" s="25">
        <f>'TUSD BE'!$AI$45*'TUSD BE'!$AI$69</f>
        <v>-0.13428585154314149</v>
      </c>
      <c r="AJ45" s="25">
        <f ca="1">'TUSD BE'!$AJ$45*'TUSD BE'!$AJ$69</f>
        <v>-2.0792172495473347</v>
      </c>
      <c r="AK45" s="25">
        <f ca="1">'TUSD BE'!$AK$45*'TUSD BE'!$AK$69</f>
        <v>1.9594155275482195</v>
      </c>
      <c r="AL45" s="25">
        <f ca="1">SUM($AH$45:$AK$45)</f>
        <v>-2.5795965944955457</v>
      </c>
      <c r="AM45" s="25">
        <f ca="1">SUMIF($L$4:$AL$4,"SUBTOTAL",$L$45:$AL$45)</f>
        <v>-58.552440512409731</v>
      </c>
      <c r="AO45" s="30">
        <f ca="1">+'TUSD BE'!$T$45+'TUSD BE'!$AB$45+'TUSD BE'!$AD$45+'TUSD BE'!$AL$45</f>
        <v>1215.4792189385414</v>
      </c>
      <c r="AP45" s="30">
        <f ca="1">+'TUSD BE'!$T$45+'TUSD BE'!$AB$45+'TUSD BE'!$AD$45+'TUSD BE'!$AL$45</f>
        <v>1215.4792189385414</v>
      </c>
    </row>
    <row r="46" spans="1:42" ht="11.25" customHeight="1" x14ac:dyDescent="0.25">
      <c r="A46" s="136"/>
      <c r="B46" s="136"/>
      <c r="C46" s="136"/>
      <c r="D46" s="136"/>
      <c r="E46" s="136"/>
      <c r="F46" s="136"/>
      <c r="G46" s="21" t="s">
        <v>101</v>
      </c>
      <c r="H46" s="21" t="s">
        <v>90</v>
      </c>
      <c r="I46" s="21">
        <f>'MERCADO TUSD'!$U$43</f>
        <v>0</v>
      </c>
      <c r="J46" s="17"/>
      <c r="L46" s="25">
        <f>'TUSD BE'!$L$46*'TUSD BE'!$L$69</f>
        <v>-4.8088046211592719</v>
      </c>
      <c r="M46" s="25">
        <f>'TUSD BE'!$M$46*'TUSD BE'!$M$69</f>
        <v>-1.6221940542946393E-2</v>
      </c>
      <c r="N46" s="25">
        <f ca="1">'TUSD BE'!$N$46*'TUSD BE'!$N$69</f>
        <v>0</v>
      </c>
      <c r="O46" s="25">
        <f>'TUSD BE'!$O$46*'TUSD BE'!$O$69</f>
        <v>0</v>
      </c>
      <c r="P46" s="25">
        <f>'TUSD BE'!$P$46*'TUSD BE'!$P$69</f>
        <v>0</v>
      </c>
      <c r="Q46" s="25">
        <f>'TUSD BE'!$Q$46*'TUSD BE'!$Q$69</f>
        <v>4.4096826106720291E-2</v>
      </c>
      <c r="R46" s="25">
        <f>'TUSD BE'!$R$46*'TUSD BE'!$R$69</f>
        <v>0.16719913815822074</v>
      </c>
      <c r="S46" s="25">
        <f>'TUSD BE'!$R$46*'TUSD BE'!$S$69</f>
        <v>0</v>
      </c>
      <c r="T46" s="25">
        <f ca="1">SUM($L$46:$S$46)</f>
        <v>-4.6137305974372769</v>
      </c>
      <c r="U46" s="25">
        <f>'TUSD BE'!$U$46*'TUSD BE'!$U$69</f>
        <v>-29.790562585296442</v>
      </c>
      <c r="V46" s="25">
        <f>'TUSD BE'!$V$46*'TUSD BE'!$V$69</f>
        <v>-1.6230614853992802</v>
      </c>
      <c r="W46" s="25">
        <f>'TUSD BE'!$W$46*'TUSD BE'!$W$69</f>
        <v>-0.1787163958262292</v>
      </c>
      <c r="X46" s="25">
        <f>'TUSD BE'!$X$46*'TUSD BE'!$X$69</f>
        <v>0</v>
      </c>
      <c r="Y46" s="25">
        <f>'TUSD BE'!$Y$46*'TUSD BE'!$Y$69</f>
        <v>-0.23430759374018231</v>
      </c>
      <c r="Z46" s="25">
        <f>'TUSD BE'!$Z$46*'TUSD BE'!$Z$69</f>
        <v>0</v>
      </c>
      <c r="AA46" s="25">
        <f>'TUSD BE'!$AA$46*'TUSD BE'!$AA$69</f>
        <v>0</v>
      </c>
      <c r="AB46" s="25">
        <f>SUM($U$46:$AA$46)</f>
        <v>-31.826648060262134</v>
      </c>
      <c r="AC46" s="25">
        <f>'TUSD BE'!$AC$46*'TUSD BE'!$AC$69</f>
        <v>9.7555057746824436E-2</v>
      </c>
      <c r="AD46" s="25">
        <f>SUM($AC$46:$AC$46)</f>
        <v>9.7555057746824436E-2</v>
      </c>
      <c r="AE46" s="25">
        <f ca="1">$AO$46*$AO$66</f>
        <v>0.9902024123781179</v>
      </c>
      <c r="AF46" s="25">
        <f ca="1">$AP$46*$AP$66</f>
        <v>0</v>
      </c>
      <c r="AG46" s="25">
        <f ca="1">SUM($AE$46:$AF$46)</f>
        <v>0.9902024123781179</v>
      </c>
      <c r="AH46" s="25">
        <f>'TUSD BE'!$AH$46*'TUSD BE'!$AH$69</f>
        <v>-2.3255090209532887</v>
      </c>
      <c r="AI46" s="25">
        <f>'TUSD BE'!$AI$46*'TUSD BE'!$AI$69</f>
        <v>-0.13428585154314149</v>
      </c>
      <c r="AJ46" s="25">
        <f ca="1">'TUSD BE'!$AJ$46*'TUSD BE'!$AJ$69</f>
        <v>-2.0792172495473347</v>
      </c>
      <c r="AK46" s="25">
        <f ca="1">'TUSD BE'!$AK$46*'TUSD BE'!$AK$69</f>
        <v>1.9594155275482195</v>
      </c>
      <c r="AL46" s="25">
        <f ca="1">SUM($AH$46:$AK$46)</f>
        <v>-2.5795965944955457</v>
      </c>
      <c r="AM46" s="25">
        <f ca="1">SUMIF($L$4:$AL$4,"SUBTOTAL",$L$46:$AL$46)</f>
        <v>-37.932217782070019</v>
      </c>
      <c r="AO46" s="30">
        <f ca="1">+'TUSD BE'!$T$46+'TUSD BE'!$AB$46+'TUSD BE'!$AD$46+'TUSD BE'!$AL$46</f>
        <v>790.43226495884335</v>
      </c>
      <c r="AP46" s="30">
        <f ca="1">+'TUSD BE'!$T$46+'TUSD BE'!$AB$46+'TUSD BE'!$AD$46+'TUSD BE'!$AL$46</f>
        <v>790.43226495884335</v>
      </c>
    </row>
    <row r="47" spans="1:42" ht="11.25" customHeight="1" x14ac:dyDescent="0.25">
      <c r="A47" s="136"/>
      <c r="B47" s="136"/>
      <c r="C47" s="136"/>
      <c r="D47" s="136"/>
      <c r="E47" s="136"/>
      <c r="F47" s="136"/>
      <c r="G47" s="21" t="s">
        <v>92</v>
      </c>
      <c r="H47" s="21" t="s">
        <v>90</v>
      </c>
      <c r="I47" s="21">
        <f>'MERCADO TUSD'!$U$44</f>
        <v>0</v>
      </c>
      <c r="J47" s="17"/>
      <c r="L47" s="25">
        <f>'TUSD BE'!$L$47*'TUSD BE'!$L$69</f>
        <v>-4.8088046211592719</v>
      </c>
      <c r="M47" s="25">
        <f>'TUSD BE'!$M$47*'TUSD BE'!$M$69</f>
        <v>-1.6221940542946393E-2</v>
      </c>
      <c r="N47" s="25">
        <f ca="1">'TUSD BE'!$N$47*'TUSD BE'!$N$69</f>
        <v>0</v>
      </c>
      <c r="O47" s="25">
        <f>'TUSD BE'!$O$47*'TUSD BE'!$O$69</f>
        <v>0</v>
      </c>
      <c r="P47" s="25">
        <f>'TUSD BE'!$P$47*'TUSD BE'!$P$69</f>
        <v>0</v>
      </c>
      <c r="Q47" s="25">
        <f>'TUSD BE'!$Q$47*'TUSD BE'!$Q$69</f>
        <v>4.4096826106720291E-2</v>
      </c>
      <c r="R47" s="25">
        <f>'TUSD BE'!$R$47*'TUSD BE'!$R$69</f>
        <v>0.16719913815822074</v>
      </c>
      <c r="S47" s="25">
        <f>'TUSD BE'!$R$47*'TUSD BE'!$S$69</f>
        <v>0</v>
      </c>
      <c r="T47" s="25">
        <f ca="1">SUM($L$47:$S$47)</f>
        <v>-4.6137305974372769</v>
      </c>
      <c r="U47" s="25">
        <f>'TUSD BE'!$U$47*'TUSD BE'!$U$69</f>
        <v>-9.9302030908672503</v>
      </c>
      <c r="V47" s="25">
        <f>'TUSD BE'!$V$47*'TUSD BE'!$V$69</f>
        <v>-0.54102393361141865</v>
      </c>
      <c r="W47" s="25">
        <f>'TUSD BE'!$W$47*'TUSD BE'!$W$69</f>
        <v>-5.9572131942076396E-2</v>
      </c>
      <c r="X47" s="25">
        <f>'TUSD BE'!$X$47*'TUSD BE'!$X$69</f>
        <v>0</v>
      </c>
      <c r="Y47" s="25">
        <f>'TUSD BE'!$Y$47*'TUSD BE'!$Y$69</f>
        <v>-7.8097265789217371E-2</v>
      </c>
      <c r="Z47" s="25">
        <f>'TUSD BE'!$Z$47*'TUSD BE'!$Z$69</f>
        <v>0</v>
      </c>
      <c r="AA47" s="25">
        <f>'TUSD BE'!$AA$47*'TUSD BE'!$AA$69</f>
        <v>0</v>
      </c>
      <c r="AB47" s="25">
        <f>SUM($U$47:$AA$47)</f>
        <v>-10.608896422209963</v>
      </c>
      <c r="AC47" s="25">
        <f>'TUSD BE'!$AC$47*'TUSD BE'!$AC$69</f>
        <v>3.2518344837432982E-2</v>
      </c>
      <c r="AD47" s="25">
        <f>SUM($AC$47:$AC$47)</f>
        <v>3.2518344837432982E-2</v>
      </c>
      <c r="AE47" s="25">
        <f ca="1">$AO$47*$AO$66</f>
        <v>0.45773064443090483</v>
      </c>
      <c r="AF47" s="25">
        <f ca="1">$AP$47*$AP$66</f>
        <v>0</v>
      </c>
      <c r="AG47" s="25">
        <f ca="1">SUM($AE$47:$AF$47)</f>
        <v>0.45773064443090483</v>
      </c>
      <c r="AH47" s="25">
        <f>'TUSD BE'!$AH$47*'TUSD BE'!$AH$69</f>
        <v>-2.3255090209532887</v>
      </c>
      <c r="AI47" s="25">
        <f>'TUSD BE'!$AI$47*'TUSD BE'!$AI$69</f>
        <v>-0.13428585154314149</v>
      </c>
      <c r="AJ47" s="25">
        <f ca="1">'TUSD BE'!$AJ$47*'TUSD BE'!$AJ$69</f>
        <v>-2.0792172495473347</v>
      </c>
      <c r="AK47" s="25">
        <f ca="1">'TUSD BE'!$AK$47*'TUSD BE'!$AK$69</f>
        <v>1.9594155275482195</v>
      </c>
      <c r="AL47" s="25">
        <f ca="1">SUM($AH$47:$AK$47)</f>
        <v>-2.5795965944955457</v>
      </c>
      <c r="AM47" s="25">
        <f ca="1">SUMIF($L$4:$AL$4,"SUBTOTAL",$L$47:$AL$47)</f>
        <v>-17.311974624874448</v>
      </c>
      <c r="AO47" s="30">
        <f ca="1">+'TUSD BE'!$T$47+'TUSD BE'!$AB$47+'TUSD BE'!$AD$47+'TUSD BE'!$AL$47</f>
        <v>365.38496119158361</v>
      </c>
      <c r="AP47" s="30">
        <f ca="1">+'TUSD BE'!$T$47+'TUSD BE'!$AB$47+'TUSD BE'!$AD$47+'TUSD BE'!$AL$47</f>
        <v>365.38496119158361</v>
      </c>
    </row>
    <row r="48" spans="1:42" ht="11.25" customHeight="1" x14ac:dyDescent="0.25">
      <c r="A48" s="136"/>
      <c r="B48" s="28" t="s">
        <v>23</v>
      </c>
      <c r="C48" s="28" t="s">
        <v>45</v>
      </c>
      <c r="D48" s="28" t="s">
        <v>104</v>
      </c>
      <c r="E48" s="28" t="s">
        <v>25</v>
      </c>
      <c r="F48" s="28" t="s">
        <v>25</v>
      </c>
      <c r="G48" s="21" t="s">
        <v>96</v>
      </c>
      <c r="H48" s="21" t="s">
        <v>90</v>
      </c>
      <c r="I48" s="21">
        <f>'MERCADO TUSD'!$U$45</f>
        <v>0</v>
      </c>
      <c r="J48" s="17"/>
      <c r="L48" s="25">
        <f>'TUSD BE'!$L$48*'TUSD BE'!$L$69</f>
        <v>-4.8088046211592719</v>
      </c>
      <c r="M48" s="25">
        <f>'TUSD BE'!$M$48*'TUSD BE'!$M$69</f>
        <v>-1.6221940542946393E-2</v>
      </c>
      <c r="N48" s="25">
        <f ca="1">'TUSD BE'!$N$48*'TUSD BE'!$N$69</f>
        <v>0</v>
      </c>
      <c r="O48" s="25">
        <f>'TUSD BE'!$O$48*'TUSD BE'!$O$69</f>
        <v>0</v>
      </c>
      <c r="P48" s="25">
        <f>'TUSD BE'!$P$48*'TUSD BE'!$P$69</f>
        <v>0</v>
      </c>
      <c r="Q48" s="25">
        <f>'TUSD BE'!$Q$48*'TUSD BE'!$Q$69</f>
        <v>4.4096826106720291E-2</v>
      </c>
      <c r="R48" s="25">
        <f>'TUSD BE'!$R$48*'TUSD BE'!$R$69</f>
        <v>0.16719913815822074</v>
      </c>
      <c r="S48" s="25">
        <f>'TUSD BE'!$R$48*'TUSD BE'!$S$69</f>
        <v>0</v>
      </c>
      <c r="T48" s="25">
        <f ca="1">SUM($L$48:$S$48)</f>
        <v>-4.6137305974372769</v>
      </c>
      <c r="U48" s="25">
        <f>'TUSD BE'!$U$48*'TUSD BE'!$U$69</f>
        <v>-15.045731134019565</v>
      </c>
      <c r="V48" s="25">
        <f>'TUSD BE'!$V$48*'TUSD BE'!$V$69</f>
        <v>-0.81972635578792319</v>
      </c>
      <c r="W48" s="25">
        <f>'TUSD BE'!$W$48*'TUSD BE'!$W$69</f>
        <v>-9.0257887645073975E-2</v>
      </c>
      <c r="X48" s="25">
        <f>'TUSD BE'!$X$48*'TUSD BE'!$X$69</f>
        <v>0</v>
      </c>
      <c r="Y48" s="25">
        <f>'TUSD BE'!$Y$48*'TUSD BE'!$Y$69</f>
        <v>-0.11833062662358966</v>
      </c>
      <c r="Z48" s="25">
        <f>'TUSD BE'!$Z$48*'TUSD BE'!$Z$69</f>
        <v>0</v>
      </c>
      <c r="AA48" s="25">
        <f>'TUSD BE'!$AA$48*'TUSD BE'!$AA$69</f>
        <v>0</v>
      </c>
      <c r="AB48" s="25">
        <f>SUM($U$48:$AA$48)</f>
        <v>-16.074046004076152</v>
      </c>
      <c r="AC48" s="25">
        <f>'TUSD BE'!$AC$48*'TUSD BE'!$AC$69</f>
        <v>4.9270228603650927E-2</v>
      </c>
      <c r="AD48" s="25">
        <f>SUM($AC$48:$AC$48)</f>
        <v>4.9270228603650927E-2</v>
      </c>
      <c r="AE48" s="25">
        <f ca="1">$AO$48*$AO$66</f>
        <v>0.59488220073761389</v>
      </c>
      <c r="AF48" s="25">
        <f ca="1">$AP$48*$AP$66</f>
        <v>0</v>
      </c>
      <c r="AG48" s="25">
        <f ca="1">SUM($AE$48:$AF$48)</f>
        <v>0.59488220073761389</v>
      </c>
      <c r="AH48" s="25">
        <f>'TUSD BE'!$AH$48*'TUSD BE'!$AH$69</f>
        <v>-2.3255090209532887</v>
      </c>
      <c r="AI48" s="25">
        <f>'TUSD BE'!$AI$48*'TUSD BE'!$AI$69</f>
        <v>-0.13428585154314149</v>
      </c>
      <c r="AJ48" s="25">
        <f ca="1">'TUSD BE'!$AJ$48*'TUSD BE'!$AJ$69</f>
        <v>-2.0792172495473347</v>
      </c>
      <c r="AK48" s="25">
        <f ca="1">'TUSD BE'!$AK$48*'TUSD BE'!$AK$69</f>
        <v>1.9594155275482195</v>
      </c>
      <c r="AL48" s="25">
        <f ca="1">SUM($AH$48:$AK$48)</f>
        <v>-2.5795965944955457</v>
      </c>
      <c r="AM48" s="25">
        <f ca="1">SUMIF($L$4:$AL$4,"SUBTOTAL",$L$48:$AL$48)</f>
        <v>-22.623220766667707</v>
      </c>
      <c r="AO48" s="30">
        <f ca="1">+'TUSD BE'!$T$48+'TUSD BE'!$AB$48+'TUSD BE'!$AD$48+'TUSD BE'!$AL$48</f>
        <v>474.86663275586722</v>
      </c>
      <c r="AP48" s="30">
        <f ca="1">+'TUSD BE'!$T$48+'TUSD BE'!$AB$48+'TUSD BE'!$AD$48+'TUSD BE'!$AL$48</f>
        <v>474.86663275586722</v>
      </c>
    </row>
    <row r="49" spans="1:42" ht="11.25" customHeight="1" x14ac:dyDescent="0.25">
      <c r="A49" s="136"/>
      <c r="B49" s="136" t="s">
        <v>37</v>
      </c>
      <c r="C49" s="136" t="s">
        <v>45</v>
      </c>
      <c r="D49" s="136" t="s">
        <v>105</v>
      </c>
      <c r="E49" s="136" t="s">
        <v>25</v>
      </c>
      <c r="F49" s="136" t="s">
        <v>25</v>
      </c>
      <c r="G49" s="21" t="s">
        <v>91</v>
      </c>
      <c r="H49" s="21" t="s">
        <v>90</v>
      </c>
      <c r="I49" s="21">
        <f>'MERCADO TUSD'!$U$46</f>
        <v>0</v>
      </c>
      <c r="J49" s="17"/>
      <c r="L49" s="25">
        <f>'TUSD BE'!$L$49*'TUSD BE'!$L$69</f>
        <v>-4.8088046211592719</v>
      </c>
      <c r="M49" s="25">
        <f>'TUSD BE'!$M$49*'TUSD BE'!$M$69</f>
        <v>-1.6221940542946393E-2</v>
      </c>
      <c r="N49" s="25">
        <f ca="1">'TUSD BE'!$N$49*'TUSD BE'!$N$69</f>
        <v>0</v>
      </c>
      <c r="O49" s="25">
        <f>'TUSD BE'!$O$49*'TUSD BE'!$O$69</f>
        <v>0</v>
      </c>
      <c r="P49" s="25">
        <f>'TUSD BE'!$P$49*'TUSD BE'!$P$69</f>
        <v>0</v>
      </c>
      <c r="Q49" s="25">
        <f>'TUSD BE'!$Q$49*'TUSD BE'!$Q$69</f>
        <v>4.4096826106720291E-2</v>
      </c>
      <c r="R49" s="25">
        <f>'TUSD BE'!$R$49*'TUSD BE'!$R$69</f>
        <v>0.16719913815822074</v>
      </c>
      <c r="S49" s="25">
        <f>'TUSD BE'!$R$49*'TUSD BE'!$S$69</f>
        <v>0</v>
      </c>
      <c r="T49" s="25">
        <f ca="1">SUM($L$49:$S$49)</f>
        <v>-4.6137305974372769</v>
      </c>
      <c r="U49" s="25">
        <f>'TUSD BE'!$U$49*'TUSD BE'!$U$69</f>
        <v>-49.650922079725632</v>
      </c>
      <c r="V49" s="25">
        <f>'TUSD BE'!$V$49*'TUSD BE'!$V$69</f>
        <v>-2.705099037187142</v>
      </c>
      <c r="W49" s="25">
        <f>'TUSD BE'!$W$49*'TUSD BE'!$W$69</f>
        <v>-0.29785559103583575</v>
      </c>
      <c r="X49" s="25">
        <f>'TUSD BE'!$X$49*'TUSD BE'!$X$69</f>
        <v>0</v>
      </c>
      <c r="Y49" s="25">
        <f>'TUSD BE'!$Y$49*'TUSD BE'!$Y$69</f>
        <v>-0.39050212531861705</v>
      </c>
      <c r="Z49" s="25">
        <f>'TUSD BE'!$Z$49*'TUSD BE'!$Z$69</f>
        <v>0</v>
      </c>
      <c r="AA49" s="25">
        <f>'TUSD BE'!$AA$49*'TUSD BE'!$AA$69</f>
        <v>0</v>
      </c>
      <c r="AB49" s="25">
        <f>SUM($U$49:$AA$49)</f>
        <v>-53.044378833267224</v>
      </c>
      <c r="AC49" s="25">
        <f>'TUSD BE'!$AC$49*'TUSD BE'!$AC$69</f>
        <v>0.16259177065621591</v>
      </c>
      <c r="AD49" s="25">
        <f>SUM($AC$49:$AC$49)</f>
        <v>0.16259177065621591</v>
      </c>
      <c r="AE49" s="25">
        <f ca="1">$AO$49*$AO$66</f>
        <v>1.5226737421340997</v>
      </c>
      <c r="AF49" s="25">
        <f ca="1">$AP$49*$AP$66</f>
        <v>0</v>
      </c>
      <c r="AG49" s="25">
        <f ca="1">SUM($AE$49:$AF$49)</f>
        <v>1.5226737421340997</v>
      </c>
      <c r="AH49" s="25">
        <f>'TUSD BE'!$AH$49*'TUSD BE'!$AH$69</f>
        <v>-2.3255090209532887</v>
      </c>
      <c r="AI49" s="25">
        <f>'TUSD BE'!$AI$49*'TUSD BE'!$AI$69</f>
        <v>-0.13428585154314149</v>
      </c>
      <c r="AJ49" s="25">
        <f ca="1">'TUSD BE'!$AJ$49*'TUSD BE'!$AJ$69</f>
        <v>-2.0792172495473347</v>
      </c>
      <c r="AK49" s="25">
        <f ca="1">'TUSD BE'!$AK$49*'TUSD BE'!$AK$69</f>
        <v>1.9594155275482195</v>
      </c>
      <c r="AL49" s="25">
        <f ca="1">SUM($AH$49:$AK$49)</f>
        <v>-2.5795965944955457</v>
      </c>
      <c r="AM49" s="25">
        <f ca="1">SUMIF($L$4:$AL$4,"SUBTOTAL",$L$49:$AL$49)</f>
        <v>-58.552440512409731</v>
      </c>
      <c r="AO49" s="30">
        <f ca="1">+'TUSD BE'!$T$49+'TUSD BE'!$AB$49+'TUSD BE'!$AD$49+'TUSD BE'!$AL$49</f>
        <v>1215.4792189385414</v>
      </c>
      <c r="AP49" s="30">
        <f ca="1">+'TUSD BE'!$T$49+'TUSD BE'!$AB$49+'TUSD BE'!$AD$49+'TUSD BE'!$AL$49</f>
        <v>1215.4792189385414</v>
      </c>
    </row>
    <row r="50" spans="1:42" ht="11.25" customHeight="1" x14ac:dyDescent="0.25">
      <c r="A50" s="136"/>
      <c r="B50" s="136"/>
      <c r="C50" s="136"/>
      <c r="D50" s="136"/>
      <c r="E50" s="136"/>
      <c r="F50" s="136"/>
      <c r="G50" s="21" t="s">
        <v>101</v>
      </c>
      <c r="H50" s="21" t="s">
        <v>90</v>
      </c>
      <c r="I50" s="21">
        <f>'MERCADO TUSD'!$U$47</f>
        <v>0</v>
      </c>
      <c r="J50" s="17"/>
      <c r="L50" s="25">
        <f>'TUSD BE'!$L$50*'TUSD BE'!$L$69</f>
        <v>-4.8088046211592719</v>
      </c>
      <c r="M50" s="25">
        <f>'TUSD BE'!$M$50*'TUSD BE'!$M$69</f>
        <v>-1.6221940542946393E-2</v>
      </c>
      <c r="N50" s="25">
        <f ca="1">'TUSD BE'!$N$50*'TUSD BE'!$N$69</f>
        <v>0</v>
      </c>
      <c r="O50" s="25">
        <f>'TUSD BE'!$O$50*'TUSD BE'!$O$69</f>
        <v>0</v>
      </c>
      <c r="P50" s="25">
        <f>'TUSD BE'!$P$50*'TUSD BE'!$P$69</f>
        <v>0</v>
      </c>
      <c r="Q50" s="25">
        <f>'TUSD BE'!$Q$50*'TUSD BE'!$Q$69</f>
        <v>4.4096826106720291E-2</v>
      </c>
      <c r="R50" s="25">
        <f>'TUSD BE'!$R$50*'TUSD BE'!$R$69</f>
        <v>0.16719913815822074</v>
      </c>
      <c r="S50" s="25">
        <f>'TUSD BE'!$R$50*'TUSD BE'!$S$69</f>
        <v>0</v>
      </c>
      <c r="T50" s="25">
        <f ca="1">SUM($L$50:$S$50)</f>
        <v>-4.6137305974372769</v>
      </c>
      <c r="U50" s="25">
        <f>'TUSD BE'!$U$50*'TUSD BE'!$U$69</f>
        <v>-29.790562585296442</v>
      </c>
      <c r="V50" s="25">
        <f>'TUSD BE'!$V$50*'TUSD BE'!$V$69</f>
        <v>-1.6230614853992802</v>
      </c>
      <c r="W50" s="25">
        <f>'TUSD BE'!$W$50*'TUSD BE'!$W$69</f>
        <v>-0.1787163958262292</v>
      </c>
      <c r="X50" s="25">
        <f>'TUSD BE'!$X$50*'TUSD BE'!$X$69</f>
        <v>0</v>
      </c>
      <c r="Y50" s="25">
        <f>'TUSD BE'!$Y$50*'TUSD BE'!$Y$69</f>
        <v>-0.23430759374018231</v>
      </c>
      <c r="Z50" s="25">
        <f>'TUSD BE'!$Z$50*'TUSD BE'!$Z$69</f>
        <v>0</v>
      </c>
      <c r="AA50" s="25">
        <f>'TUSD BE'!$AA$50*'TUSD BE'!$AA$69</f>
        <v>0</v>
      </c>
      <c r="AB50" s="25">
        <f>SUM($U$50:$AA$50)</f>
        <v>-31.826648060262134</v>
      </c>
      <c r="AC50" s="25">
        <f>'TUSD BE'!$AC$50*'TUSD BE'!$AC$69</f>
        <v>9.7555057746824436E-2</v>
      </c>
      <c r="AD50" s="25">
        <f>SUM($AC$50:$AC$50)</f>
        <v>9.7555057746824436E-2</v>
      </c>
      <c r="AE50" s="25">
        <f ca="1">$AO$50*$AO$66</f>
        <v>0.9902024123781179</v>
      </c>
      <c r="AF50" s="25">
        <f ca="1">$AP$50*$AP$66</f>
        <v>0</v>
      </c>
      <c r="AG50" s="25">
        <f ca="1">SUM($AE$50:$AF$50)</f>
        <v>0.9902024123781179</v>
      </c>
      <c r="AH50" s="25">
        <f>'TUSD BE'!$AH$50*'TUSD BE'!$AH$69</f>
        <v>-2.3255090209532887</v>
      </c>
      <c r="AI50" s="25">
        <f>'TUSD BE'!$AI$50*'TUSD BE'!$AI$69</f>
        <v>-0.13428585154314149</v>
      </c>
      <c r="AJ50" s="25">
        <f ca="1">'TUSD BE'!$AJ$50*'TUSD BE'!$AJ$69</f>
        <v>-2.0792172495473347</v>
      </c>
      <c r="AK50" s="25">
        <f ca="1">'TUSD BE'!$AK$50*'TUSD BE'!$AK$69</f>
        <v>1.9594155275482195</v>
      </c>
      <c r="AL50" s="25">
        <f ca="1">SUM($AH$50:$AK$50)</f>
        <v>-2.5795965944955457</v>
      </c>
      <c r="AM50" s="25">
        <f ca="1">SUMIF($L$4:$AL$4,"SUBTOTAL",$L$50:$AL$50)</f>
        <v>-37.932217782070019</v>
      </c>
      <c r="AO50" s="30">
        <f ca="1">+'TUSD BE'!$T$50+'TUSD BE'!$AB$50+'TUSD BE'!$AD$50+'TUSD BE'!$AL$50</f>
        <v>790.43226495884335</v>
      </c>
      <c r="AP50" s="30">
        <f ca="1">+'TUSD BE'!$T$50+'TUSD BE'!$AB$50+'TUSD BE'!$AD$50+'TUSD BE'!$AL$50</f>
        <v>790.43226495884335</v>
      </c>
    </row>
    <row r="51" spans="1:42" ht="11.25" customHeight="1" x14ac:dyDescent="0.25">
      <c r="A51" s="136"/>
      <c r="B51" s="136"/>
      <c r="C51" s="136"/>
      <c r="D51" s="136"/>
      <c r="E51" s="136"/>
      <c r="F51" s="136"/>
      <c r="G51" s="21" t="s">
        <v>92</v>
      </c>
      <c r="H51" s="21" t="s">
        <v>90</v>
      </c>
      <c r="I51" s="21">
        <f>'MERCADO TUSD'!$U$48</f>
        <v>0</v>
      </c>
      <c r="J51" s="17"/>
      <c r="L51" s="25">
        <f>'TUSD BE'!$L$51*'TUSD BE'!$L$69</f>
        <v>-4.8088046211592719</v>
      </c>
      <c r="M51" s="25">
        <f>'TUSD BE'!$M$51*'TUSD BE'!$M$69</f>
        <v>-1.6221940542946393E-2</v>
      </c>
      <c r="N51" s="25">
        <f ca="1">'TUSD BE'!$N$51*'TUSD BE'!$N$69</f>
        <v>0</v>
      </c>
      <c r="O51" s="25">
        <f>'TUSD BE'!$O$51*'TUSD BE'!$O$69</f>
        <v>0</v>
      </c>
      <c r="P51" s="25">
        <f>'TUSD BE'!$P$51*'TUSD BE'!$P$69</f>
        <v>0</v>
      </c>
      <c r="Q51" s="25">
        <f>'TUSD BE'!$Q$51*'TUSD BE'!$Q$69</f>
        <v>4.4096826106720291E-2</v>
      </c>
      <c r="R51" s="25">
        <f>'TUSD BE'!$R$51*'TUSD BE'!$R$69</f>
        <v>0.16719913815822074</v>
      </c>
      <c r="S51" s="25">
        <f>'TUSD BE'!$R$51*'TUSD BE'!$S$69</f>
        <v>0</v>
      </c>
      <c r="T51" s="25">
        <f ca="1">SUM($L$51:$S$51)</f>
        <v>-4.6137305974372769</v>
      </c>
      <c r="U51" s="25">
        <f>'TUSD BE'!$U$51*'TUSD BE'!$U$69</f>
        <v>-9.9302030908672503</v>
      </c>
      <c r="V51" s="25">
        <f>'TUSD BE'!$V$51*'TUSD BE'!$V$69</f>
        <v>-0.54102393361141865</v>
      </c>
      <c r="W51" s="25">
        <f>'TUSD BE'!$W$51*'TUSD BE'!$W$69</f>
        <v>-5.9572131942076396E-2</v>
      </c>
      <c r="X51" s="25">
        <f>'TUSD BE'!$X$51*'TUSD BE'!$X$69</f>
        <v>0</v>
      </c>
      <c r="Y51" s="25">
        <f>'TUSD BE'!$Y$51*'TUSD BE'!$Y$69</f>
        <v>-7.8097265789217371E-2</v>
      </c>
      <c r="Z51" s="25">
        <f>'TUSD BE'!$Z$51*'TUSD BE'!$Z$69</f>
        <v>0</v>
      </c>
      <c r="AA51" s="25">
        <f>'TUSD BE'!$AA$51*'TUSD BE'!$AA$69</f>
        <v>0</v>
      </c>
      <c r="AB51" s="25">
        <f>SUM($U$51:$AA$51)</f>
        <v>-10.608896422209963</v>
      </c>
      <c r="AC51" s="25">
        <f>'TUSD BE'!$AC$51*'TUSD BE'!$AC$69</f>
        <v>3.2518344837432982E-2</v>
      </c>
      <c r="AD51" s="25">
        <f>SUM($AC$51:$AC$51)</f>
        <v>3.2518344837432982E-2</v>
      </c>
      <c r="AE51" s="25">
        <f ca="1">$AO$51*$AO$66</f>
        <v>0.45773064443090483</v>
      </c>
      <c r="AF51" s="25">
        <f ca="1">$AP$51*$AP$66</f>
        <v>0</v>
      </c>
      <c r="AG51" s="25">
        <f ca="1">SUM($AE$51:$AF$51)</f>
        <v>0.45773064443090483</v>
      </c>
      <c r="AH51" s="25">
        <f>'TUSD BE'!$AH$51*'TUSD BE'!$AH$69</f>
        <v>-2.3255090209532887</v>
      </c>
      <c r="AI51" s="25">
        <f>'TUSD BE'!$AI$51*'TUSD BE'!$AI$69</f>
        <v>-0.13428585154314149</v>
      </c>
      <c r="AJ51" s="25">
        <f ca="1">'TUSD BE'!$AJ$51*'TUSD BE'!$AJ$69</f>
        <v>-2.0792172495473347</v>
      </c>
      <c r="AK51" s="25">
        <f ca="1">'TUSD BE'!$AK$51*'TUSD BE'!$AK$69</f>
        <v>1.9594155275482195</v>
      </c>
      <c r="AL51" s="25">
        <f ca="1">SUM($AH$51:$AK$51)</f>
        <v>-2.5795965944955457</v>
      </c>
      <c r="AM51" s="25">
        <f ca="1">SUMIF($L$4:$AL$4,"SUBTOTAL",$L$51:$AL$51)</f>
        <v>-17.311974624874448</v>
      </c>
      <c r="AO51" s="30">
        <f ca="1">+'TUSD BE'!$T$51+'TUSD BE'!$AB$51+'TUSD BE'!$AD$51+'TUSD BE'!$AL$51</f>
        <v>365.38496119158361</v>
      </c>
      <c r="AP51" s="30">
        <f ca="1">+'TUSD BE'!$T$51+'TUSD BE'!$AB$51+'TUSD BE'!$AD$51+'TUSD BE'!$AL$51</f>
        <v>365.38496119158361</v>
      </c>
    </row>
    <row r="52" spans="1:42" ht="11.25" customHeight="1" x14ac:dyDescent="0.25">
      <c r="A52" s="136"/>
      <c r="B52" s="28" t="s">
        <v>23</v>
      </c>
      <c r="C52" s="28" t="s">
        <v>45</v>
      </c>
      <c r="D52" s="28" t="s">
        <v>105</v>
      </c>
      <c r="E52" s="28" t="s">
        <v>25</v>
      </c>
      <c r="F52" s="28" t="s">
        <v>25</v>
      </c>
      <c r="G52" s="21" t="s">
        <v>96</v>
      </c>
      <c r="H52" s="21" t="s">
        <v>90</v>
      </c>
      <c r="I52" s="21">
        <f>'MERCADO TUSD'!$U$49</f>
        <v>0</v>
      </c>
      <c r="J52" s="17"/>
      <c r="L52" s="25">
        <f>'TUSD BE'!$L$52*'TUSD BE'!$L$69</f>
        <v>-4.8088046211592719</v>
      </c>
      <c r="M52" s="25">
        <f>'TUSD BE'!$M$52*'TUSD BE'!$M$69</f>
        <v>-1.6221940542946393E-2</v>
      </c>
      <c r="N52" s="25">
        <f ca="1">'TUSD BE'!$N$52*'TUSD BE'!$N$69</f>
        <v>0</v>
      </c>
      <c r="O52" s="25">
        <f>'TUSD BE'!$O$52*'TUSD BE'!$O$69</f>
        <v>0</v>
      </c>
      <c r="P52" s="25">
        <f>'TUSD BE'!$P$52*'TUSD BE'!$P$69</f>
        <v>0</v>
      </c>
      <c r="Q52" s="25">
        <f>'TUSD BE'!$Q$52*'TUSD BE'!$Q$69</f>
        <v>4.4096826106720291E-2</v>
      </c>
      <c r="R52" s="25">
        <f>'TUSD BE'!$R$52*'TUSD BE'!$R$69</f>
        <v>0.16719913815822074</v>
      </c>
      <c r="S52" s="25">
        <f>'TUSD BE'!$R$52*'TUSD BE'!$S$69</f>
        <v>0</v>
      </c>
      <c r="T52" s="25">
        <f ca="1">SUM($L$52:$S$52)</f>
        <v>-4.6137305974372769</v>
      </c>
      <c r="U52" s="25">
        <f>'TUSD BE'!$U$52*'TUSD BE'!$U$69</f>
        <v>-15.045731134019565</v>
      </c>
      <c r="V52" s="25">
        <f>'TUSD BE'!$V$52*'TUSD BE'!$V$69</f>
        <v>-0.81972635578792319</v>
      </c>
      <c r="W52" s="25">
        <f>'TUSD BE'!$W$52*'TUSD BE'!$W$69</f>
        <v>-9.0257887645073975E-2</v>
      </c>
      <c r="X52" s="25">
        <f>'TUSD BE'!$X$52*'TUSD BE'!$X$69</f>
        <v>0</v>
      </c>
      <c r="Y52" s="25">
        <f>'TUSD BE'!$Y$52*'TUSD BE'!$Y$69</f>
        <v>-0.11833062662358966</v>
      </c>
      <c r="Z52" s="25">
        <f>'TUSD BE'!$Z$52*'TUSD BE'!$Z$69</f>
        <v>0</v>
      </c>
      <c r="AA52" s="25">
        <f>'TUSD BE'!$AA$52*'TUSD BE'!$AA$69</f>
        <v>0</v>
      </c>
      <c r="AB52" s="25">
        <f>SUM($U$52:$AA$52)</f>
        <v>-16.074046004076152</v>
      </c>
      <c r="AC52" s="25">
        <f>'TUSD BE'!$AC$52*'TUSD BE'!$AC$69</f>
        <v>4.9270228603650927E-2</v>
      </c>
      <c r="AD52" s="25">
        <f>SUM($AC$52:$AC$52)</f>
        <v>4.9270228603650927E-2</v>
      </c>
      <c r="AE52" s="25">
        <f ca="1">$AO$52*$AO$66</f>
        <v>0.59488220073761389</v>
      </c>
      <c r="AF52" s="25">
        <f ca="1">$AP$52*$AP$66</f>
        <v>0</v>
      </c>
      <c r="AG52" s="25">
        <f ca="1">SUM($AE$52:$AF$52)</f>
        <v>0.59488220073761389</v>
      </c>
      <c r="AH52" s="25">
        <f>'TUSD BE'!$AH$52*'TUSD BE'!$AH$69</f>
        <v>-2.3255090209532887</v>
      </c>
      <c r="AI52" s="25">
        <f>'TUSD BE'!$AI$52*'TUSD BE'!$AI$69</f>
        <v>-0.13428585154314149</v>
      </c>
      <c r="AJ52" s="25">
        <f ca="1">'TUSD BE'!$AJ$52*'TUSD BE'!$AJ$69</f>
        <v>-2.0792172495473347</v>
      </c>
      <c r="AK52" s="25">
        <f ca="1">'TUSD BE'!$AK$52*'TUSD BE'!$AK$69</f>
        <v>1.9594155275482195</v>
      </c>
      <c r="AL52" s="25">
        <f ca="1">SUM($AH$52:$AK$52)</f>
        <v>-2.5795965944955457</v>
      </c>
      <c r="AM52" s="25">
        <f ca="1">SUMIF($L$4:$AL$4,"SUBTOTAL",$L$52:$AL$52)</f>
        <v>-22.623220766667707</v>
      </c>
      <c r="AO52" s="30">
        <f ca="1">+'TUSD BE'!$T$52+'TUSD BE'!$AB$52+'TUSD BE'!$AD$52+'TUSD BE'!$AL$52</f>
        <v>474.86663275586722</v>
      </c>
      <c r="AP52" s="30">
        <f ca="1">+'TUSD BE'!$T$52+'TUSD BE'!$AB$52+'TUSD BE'!$AD$52+'TUSD BE'!$AL$52</f>
        <v>474.86663275586722</v>
      </c>
    </row>
    <row r="53" spans="1:42" ht="11.25" customHeight="1" x14ac:dyDescent="0.25">
      <c r="A53" s="136"/>
      <c r="B53" s="136" t="s">
        <v>103</v>
      </c>
      <c r="C53" s="136" t="s">
        <v>45</v>
      </c>
      <c r="D53" s="28" t="s">
        <v>25</v>
      </c>
      <c r="E53" s="28" t="s">
        <v>25</v>
      </c>
      <c r="F53" s="28" t="s">
        <v>25</v>
      </c>
      <c r="G53" s="21" t="s">
        <v>96</v>
      </c>
      <c r="H53" s="21" t="s">
        <v>90</v>
      </c>
      <c r="I53" s="21">
        <f>'MERCADO TUSD'!$U$50</f>
        <v>0</v>
      </c>
      <c r="J53" s="17"/>
      <c r="L53" s="25">
        <f>'TUSD BE'!$L$53*'TUSD BE'!$L$69</f>
        <v>-4.8088046211592719</v>
      </c>
      <c r="M53" s="25">
        <f>'TUSD BE'!$M$53*'TUSD BE'!$M$69</f>
        <v>-1.6221940542946393E-2</v>
      </c>
      <c r="N53" s="25">
        <f ca="1">'TUSD BE'!$N$53*'TUSD BE'!$N$69</f>
        <v>0</v>
      </c>
      <c r="O53" s="25">
        <f>'TUSD BE'!$O$53*'TUSD BE'!$O$69</f>
        <v>0</v>
      </c>
      <c r="P53" s="25">
        <f>'TUSD BE'!$P$53*'TUSD BE'!$P$69</f>
        <v>0</v>
      </c>
      <c r="Q53" s="25">
        <f>'TUSD BE'!$Q$53*'TUSD BE'!$Q$69</f>
        <v>4.4096826106720291E-2</v>
      </c>
      <c r="R53" s="25">
        <f>'TUSD BE'!$R$53*'TUSD BE'!$R$69</f>
        <v>0.16719913815822074</v>
      </c>
      <c r="S53" s="25">
        <f>'TUSD BE'!$R$53*'TUSD BE'!$S$69</f>
        <v>0</v>
      </c>
      <c r="T53" s="25">
        <f ca="1">SUM($L$53:$S$53)</f>
        <v>-4.6137305974372769</v>
      </c>
      <c r="U53" s="25">
        <f>'TUSD BE'!$U$53*'TUSD BE'!$U$69</f>
        <v>-15.045731134019565</v>
      </c>
      <c r="V53" s="25">
        <f>'TUSD BE'!$V$53*'TUSD BE'!$V$69</f>
        <v>-0.81972635578792319</v>
      </c>
      <c r="W53" s="25">
        <f>'TUSD BE'!$W$53*'TUSD BE'!$W$69</f>
        <v>-9.0257887645073975E-2</v>
      </c>
      <c r="X53" s="25">
        <f>'TUSD BE'!$X$53*'TUSD BE'!$X$69</f>
        <v>0</v>
      </c>
      <c r="Y53" s="25">
        <f>'TUSD BE'!$Y$53*'TUSD BE'!$Y$69</f>
        <v>-0.11833062662358966</v>
      </c>
      <c r="Z53" s="25">
        <f>'TUSD BE'!$Z$53*'TUSD BE'!$Z$69</f>
        <v>0</v>
      </c>
      <c r="AA53" s="25">
        <f>'TUSD BE'!$AA$53*'TUSD BE'!$AA$69</f>
        <v>0</v>
      </c>
      <c r="AB53" s="25">
        <f>SUM($U$53:$AA$53)</f>
        <v>-16.074046004076152</v>
      </c>
      <c r="AC53" s="25">
        <f>'TUSD BE'!$AC$53*'TUSD BE'!$AC$69</f>
        <v>4.9270228603650927E-2</v>
      </c>
      <c r="AD53" s="25">
        <f>SUM($AC$53:$AC$53)</f>
        <v>4.9270228603650927E-2</v>
      </c>
      <c r="AE53" s="25">
        <f ca="1">$AO$53*$AO$66</f>
        <v>0.59488220073761389</v>
      </c>
      <c r="AF53" s="25">
        <f ca="1">$AP$53*$AP$66</f>
        <v>0</v>
      </c>
      <c r="AG53" s="25">
        <f ca="1">SUM($AE$53:$AF$53)</f>
        <v>0.59488220073761389</v>
      </c>
      <c r="AH53" s="25">
        <f>'TUSD BE'!$AH$53*'TUSD BE'!$AH$69</f>
        <v>-2.3255090209532887</v>
      </c>
      <c r="AI53" s="25">
        <f>'TUSD BE'!$AI$53*'TUSD BE'!$AI$69</f>
        <v>-0.13428585154314149</v>
      </c>
      <c r="AJ53" s="25">
        <f ca="1">'TUSD BE'!$AJ$53*'TUSD BE'!$AJ$69</f>
        <v>-2.0792172495473347</v>
      </c>
      <c r="AK53" s="25">
        <f ca="1">'TUSD BE'!$AK$53*'TUSD BE'!$AK$69</f>
        <v>1.9594155275482195</v>
      </c>
      <c r="AL53" s="25">
        <f ca="1">SUM($AH$53:$AK$53)</f>
        <v>-2.5795965944955457</v>
      </c>
      <c r="AM53" s="25">
        <f ca="1">SUMIF($L$4:$AL$4,"SUBTOTAL",$L$53:$AL$53)</f>
        <v>-22.623220766667707</v>
      </c>
      <c r="AO53" s="30">
        <f ca="1">+'TUSD BE'!$T$53+'TUSD BE'!$AB$53+'TUSD BE'!$AD$53+'TUSD BE'!$AL$53</f>
        <v>474.86663275586722</v>
      </c>
      <c r="AP53" s="30">
        <f ca="1">+'TUSD BE'!$T$53+'TUSD BE'!$AB$53+'TUSD BE'!$AD$53+'TUSD BE'!$AL$53</f>
        <v>474.86663275586722</v>
      </c>
    </row>
    <row r="54" spans="1:42" ht="11.25" customHeight="1" x14ac:dyDescent="0.25">
      <c r="A54" s="136"/>
      <c r="B54" s="136"/>
      <c r="C54" s="136"/>
      <c r="D54" s="28" t="s">
        <v>104</v>
      </c>
      <c r="E54" s="28" t="s">
        <v>25</v>
      </c>
      <c r="F54" s="28" t="s">
        <v>25</v>
      </c>
      <c r="G54" s="21" t="s">
        <v>96</v>
      </c>
      <c r="H54" s="21" t="s">
        <v>90</v>
      </c>
      <c r="I54" s="21">
        <f>'MERCADO TUSD'!$U$51</f>
        <v>0</v>
      </c>
      <c r="J54" s="17"/>
      <c r="L54" s="25">
        <f>'TUSD BE'!$L$54*'TUSD BE'!$L$69</f>
        <v>-4.8088046211592719</v>
      </c>
      <c r="M54" s="25">
        <f>'TUSD BE'!$M$54*'TUSD BE'!$M$69</f>
        <v>-1.6221940542946393E-2</v>
      </c>
      <c r="N54" s="25">
        <f ca="1">'TUSD BE'!$N$54*'TUSD BE'!$N$69</f>
        <v>0</v>
      </c>
      <c r="O54" s="25">
        <f>'TUSD BE'!$O$54*'TUSD BE'!$O$69</f>
        <v>0</v>
      </c>
      <c r="P54" s="25">
        <f>'TUSD BE'!$P$54*'TUSD BE'!$P$69</f>
        <v>0</v>
      </c>
      <c r="Q54" s="25">
        <f>'TUSD BE'!$Q$54*'TUSD BE'!$Q$69</f>
        <v>4.4096826106720291E-2</v>
      </c>
      <c r="R54" s="25">
        <f>'TUSD BE'!$R$54*'TUSD BE'!$R$69</f>
        <v>0.16719913815822074</v>
      </c>
      <c r="S54" s="25">
        <f>'TUSD BE'!$R$54*'TUSD BE'!$S$69</f>
        <v>0</v>
      </c>
      <c r="T54" s="25">
        <f ca="1">SUM($L$54:$S$54)</f>
        <v>-4.6137305974372769</v>
      </c>
      <c r="U54" s="25">
        <f>'TUSD BE'!$U$54*'TUSD BE'!$U$69</f>
        <v>-15.045731134019565</v>
      </c>
      <c r="V54" s="25">
        <f>'TUSD BE'!$V$54*'TUSD BE'!$V$69</f>
        <v>-0.81972635578792319</v>
      </c>
      <c r="W54" s="25">
        <f>'TUSD BE'!$W$54*'TUSD BE'!$W$69</f>
        <v>-9.0257887645073975E-2</v>
      </c>
      <c r="X54" s="25">
        <f>'TUSD BE'!$X$54*'TUSD BE'!$X$69</f>
        <v>0</v>
      </c>
      <c r="Y54" s="25">
        <f>'TUSD BE'!$Y$54*'TUSD BE'!$Y$69</f>
        <v>-0.11833062662358966</v>
      </c>
      <c r="Z54" s="25">
        <f>'TUSD BE'!$Z$54*'TUSD BE'!$Z$69</f>
        <v>0</v>
      </c>
      <c r="AA54" s="25">
        <f>'TUSD BE'!$AA$54*'TUSD BE'!$AA$69</f>
        <v>0</v>
      </c>
      <c r="AB54" s="25">
        <f>SUM($U$54:$AA$54)</f>
        <v>-16.074046004076152</v>
      </c>
      <c r="AC54" s="25">
        <f>'TUSD BE'!$AC$54*'TUSD BE'!$AC$69</f>
        <v>4.9270228603650927E-2</v>
      </c>
      <c r="AD54" s="25">
        <f>SUM($AC$54:$AC$54)</f>
        <v>4.9270228603650927E-2</v>
      </c>
      <c r="AE54" s="25">
        <f ca="1">$AO$54*$AO$66</f>
        <v>0.59488220073761389</v>
      </c>
      <c r="AF54" s="25">
        <f ca="1">$AP$54*$AP$66</f>
        <v>0</v>
      </c>
      <c r="AG54" s="25">
        <f ca="1">SUM($AE$54:$AF$54)</f>
        <v>0.59488220073761389</v>
      </c>
      <c r="AH54" s="25">
        <f>'TUSD BE'!$AH$54*'TUSD BE'!$AH$69</f>
        <v>-2.3255090209532887</v>
      </c>
      <c r="AI54" s="25">
        <f>'TUSD BE'!$AI$54*'TUSD BE'!$AI$69</f>
        <v>-0.13428585154314149</v>
      </c>
      <c r="AJ54" s="25">
        <f ca="1">'TUSD BE'!$AJ$54*'TUSD BE'!$AJ$69</f>
        <v>-2.0792172495473347</v>
      </c>
      <c r="AK54" s="25">
        <f ca="1">'TUSD BE'!$AK$54*'TUSD BE'!$AK$69</f>
        <v>1.9594155275482195</v>
      </c>
      <c r="AL54" s="25">
        <f ca="1">SUM($AH$54:$AK$54)</f>
        <v>-2.5795965944955457</v>
      </c>
      <c r="AM54" s="25">
        <f ca="1">SUMIF($L$4:$AL$4,"SUBTOTAL",$L$54:$AL$54)</f>
        <v>-22.623220766667707</v>
      </c>
      <c r="AO54" s="30">
        <f ca="1">+'TUSD BE'!$T$54+'TUSD BE'!$AB$54+'TUSD BE'!$AD$54+'TUSD BE'!$AL$54</f>
        <v>474.86663275586722</v>
      </c>
      <c r="AP54" s="30">
        <f ca="1">+'TUSD BE'!$T$54+'TUSD BE'!$AB$54+'TUSD BE'!$AD$54+'TUSD BE'!$AL$54</f>
        <v>474.86663275586722</v>
      </c>
    </row>
    <row r="55" spans="1:42" ht="11.25" customHeight="1" x14ac:dyDescent="0.25">
      <c r="A55" s="136"/>
      <c r="B55" s="136"/>
      <c r="C55" s="136"/>
      <c r="D55" s="28" t="s">
        <v>105</v>
      </c>
      <c r="E55" s="28" t="s">
        <v>25</v>
      </c>
      <c r="F55" s="28" t="s">
        <v>25</v>
      </c>
      <c r="G55" s="21" t="s">
        <v>96</v>
      </c>
      <c r="H55" s="21" t="s">
        <v>90</v>
      </c>
      <c r="I55" s="21">
        <f>'MERCADO TUSD'!$U$52</f>
        <v>0</v>
      </c>
      <c r="J55" s="17"/>
      <c r="L55" s="25">
        <f>'TUSD BE'!$L$55*'TUSD BE'!$L$69</f>
        <v>-4.8088046211592719</v>
      </c>
      <c r="M55" s="25">
        <f>'TUSD BE'!$M$55*'TUSD BE'!$M$69</f>
        <v>-1.6221940542946393E-2</v>
      </c>
      <c r="N55" s="25">
        <f ca="1">'TUSD BE'!$N$55*'TUSD BE'!$N$69</f>
        <v>0</v>
      </c>
      <c r="O55" s="25">
        <f>'TUSD BE'!$O$55*'TUSD BE'!$O$69</f>
        <v>0</v>
      </c>
      <c r="P55" s="25">
        <f>'TUSD BE'!$P$55*'TUSD BE'!$P$69</f>
        <v>0</v>
      </c>
      <c r="Q55" s="25">
        <f>'TUSD BE'!$Q$55*'TUSD BE'!$Q$69</f>
        <v>4.4096826106720291E-2</v>
      </c>
      <c r="R55" s="25">
        <f>'TUSD BE'!$R$55*'TUSD BE'!$R$69</f>
        <v>0.16719913815822074</v>
      </c>
      <c r="S55" s="25">
        <f>'TUSD BE'!$R$55*'TUSD BE'!$S$69</f>
        <v>0</v>
      </c>
      <c r="T55" s="25">
        <f ca="1">SUM($L$55:$S$55)</f>
        <v>-4.6137305974372769</v>
      </c>
      <c r="U55" s="25">
        <f>'TUSD BE'!$U$55*'TUSD BE'!$U$69</f>
        <v>-15.045731134019565</v>
      </c>
      <c r="V55" s="25">
        <f>'TUSD BE'!$V$55*'TUSD BE'!$V$69</f>
        <v>-0.81972635578792319</v>
      </c>
      <c r="W55" s="25">
        <f>'TUSD BE'!$W$55*'TUSD BE'!$W$69</f>
        <v>-9.0257887645073975E-2</v>
      </c>
      <c r="X55" s="25">
        <f>'TUSD BE'!$X$55*'TUSD BE'!$X$69</f>
        <v>0</v>
      </c>
      <c r="Y55" s="25">
        <f>'TUSD BE'!$Y$55*'TUSD BE'!$Y$69</f>
        <v>-0.11833062662358966</v>
      </c>
      <c r="Z55" s="25">
        <f>'TUSD BE'!$Z$55*'TUSD BE'!$Z$69</f>
        <v>0</v>
      </c>
      <c r="AA55" s="25">
        <f>'TUSD BE'!$AA$55*'TUSD BE'!$AA$69</f>
        <v>0</v>
      </c>
      <c r="AB55" s="25">
        <f>SUM($U$55:$AA$55)</f>
        <v>-16.074046004076152</v>
      </c>
      <c r="AC55" s="25">
        <f>'TUSD BE'!$AC$55*'TUSD BE'!$AC$69</f>
        <v>4.9270228603650927E-2</v>
      </c>
      <c r="AD55" s="25">
        <f>SUM($AC$55:$AC$55)</f>
        <v>4.9270228603650927E-2</v>
      </c>
      <c r="AE55" s="25">
        <f ca="1">$AO$55*$AO$66</f>
        <v>0.59488220073761389</v>
      </c>
      <c r="AF55" s="25">
        <f ca="1">$AP$55*$AP$66</f>
        <v>0</v>
      </c>
      <c r="AG55" s="25">
        <f ca="1">SUM($AE$55:$AF$55)</f>
        <v>0.59488220073761389</v>
      </c>
      <c r="AH55" s="25">
        <f>'TUSD BE'!$AH$55*'TUSD BE'!$AH$69</f>
        <v>-2.3255090209532887</v>
      </c>
      <c r="AI55" s="25">
        <f>'TUSD BE'!$AI$55*'TUSD BE'!$AI$69</f>
        <v>-0.13428585154314149</v>
      </c>
      <c r="AJ55" s="25">
        <f ca="1">'TUSD BE'!$AJ$55*'TUSD BE'!$AJ$69</f>
        <v>-2.0792172495473347</v>
      </c>
      <c r="AK55" s="25">
        <f ca="1">'TUSD BE'!$AK$55*'TUSD BE'!$AK$69</f>
        <v>1.9594155275482195</v>
      </c>
      <c r="AL55" s="25">
        <f ca="1">SUM($AH$55:$AK$55)</f>
        <v>-2.5795965944955457</v>
      </c>
      <c r="AM55" s="25">
        <f ca="1">SUMIF($L$4:$AL$4,"SUBTOTAL",$L$55:$AL$55)</f>
        <v>-22.623220766667707</v>
      </c>
      <c r="AO55" s="30">
        <f ca="1">+'TUSD BE'!$T$55+'TUSD BE'!$AB$55+'TUSD BE'!$AD$55+'TUSD BE'!$AL$55</f>
        <v>474.86663275586722</v>
      </c>
      <c r="AP55" s="30">
        <f ca="1">+'TUSD BE'!$T$55+'TUSD BE'!$AB$55+'TUSD BE'!$AD$55+'TUSD BE'!$AL$55</f>
        <v>474.86663275586722</v>
      </c>
    </row>
    <row r="56" spans="1:42" ht="11.25" customHeight="1" x14ac:dyDescent="0.25">
      <c r="A56" s="136" t="s">
        <v>39</v>
      </c>
      <c r="B56" s="136" t="s">
        <v>37</v>
      </c>
      <c r="C56" s="136" t="s">
        <v>25</v>
      </c>
      <c r="D56" s="136" t="s">
        <v>25</v>
      </c>
      <c r="E56" s="136" t="s">
        <v>25</v>
      </c>
      <c r="F56" s="136" t="s">
        <v>25</v>
      </c>
      <c r="G56" s="21" t="s">
        <v>91</v>
      </c>
      <c r="H56" s="21" t="s">
        <v>90</v>
      </c>
      <c r="I56" s="21">
        <f>'MERCADO TUSD'!$U$53</f>
        <v>133.833</v>
      </c>
      <c r="J56" s="17"/>
      <c r="L56" s="25">
        <f>'TUSD BE'!$L$56*'TUSD BE'!$L$69</f>
        <v>-4.8088046211592719</v>
      </c>
      <c r="M56" s="25">
        <f>'TUSD BE'!$M$56*'TUSD BE'!$M$69</f>
        <v>-1.6221940542946393E-2</v>
      </c>
      <c r="N56" s="25">
        <f ca="1">'TUSD BE'!$N$56*'TUSD BE'!$N$69</f>
        <v>0</v>
      </c>
      <c r="O56" s="25">
        <f>'TUSD BE'!$O$56*'TUSD BE'!$O$69</f>
        <v>0</v>
      </c>
      <c r="P56" s="25">
        <f>'TUSD BE'!$P$56*'TUSD BE'!$P$69</f>
        <v>0</v>
      </c>
      <c r="Q56" s="25">
        <f>'TUSD BE'!$Q$56*'TUSD BE'!$Q$69</f>
        <v>4.4096826106720291E-2</v>
      </c>
      <c r="R56" s="25">
        <f>'TUSD BE'!$R$56*'TUSD BE'!$R$69</f>
        <v>0.16719913815822074</v>
      </c>
      <c r="S56" s="25">
        <f>'TUSD BE'!$R$56*'TUSD BE'!$S$69</f>
        <v>0</v>
      </c>
      <c r="T56" s="25">
        <f ca="1">SUM($L$56:$S$56)</f>
        <v>-4.6137305974372769</v>
      </c>
      <c r="U56" s="25">
        <f>'TUSD BE'!$U$56*'TUSD BE'!$U$69</f>
        <v>-49.650922079725632</v>
      </c>
      <c r="V56" s="25">
        <f>'TUSD BE'!$V$56*'TUSD BE'!$V$69</f>
        <v>-2.705099037187142</v>
      </c>
      <c r="W56" s="25">
        <f>'TUSD BE'!$W$56*'TUSD BE'!$W$69</f>
        <v>-0.29785559103583575</v>
      </c>
      <c r="X56" s="25">
        <f>'TUSD BE'!$X$56*'TUSD BE'!$X$69</f>
        <v>0</v>
      </c>
      <c r="Y56" s="25">
        <f>'TUSD BE'!$Y$56*'TUSD BE'!$Y$69</f>
        <v>-0.39050212531861705</v>
      </c>
      <c r="Z56" s="25">
        <f>'TUSD BE'!$Z$56*'TUSD BE'!$Z$69</f>
        <v>0</v>
      </c>
      <c r="AA56" s="25">
        <f>'TUSD BE'!$AA$56*'TUSD BE'!$AA$69</f>
        <v>0</v>
      </c>
      <c r="AB56" s="25">
        <f>SUM($U$56:$AA$56)</f>
        <v>-53.044378833267224</v>
      </c>
      <c r="AC56" s="25">
        <f>'TUSD BE'!$AC$56*'TUSD BE'!$AC$69</f>
        <v>0.16259177065621591</v>
      </c>
      <c r="AD56" s="25">
        <f>SUM($AC$56:$AC$56)</f>
        <v>0.16259177065621591</v>
      </c>
      <c r="AE56" s="25">
        <f ca="1">$AO$56*$AO$66</f>
        <v>1.5226737421340997</v>
      </c>
      <c r="AF56" s="25">
        <f ca="1">$AP$56*$AP$66</f>
        <v>0</v>
      </c>
      <c r="AG56" s="25">
        <f ca="1">SUM($AE$56:$AF$56)</f>
        <v>1.5226737421340997</v>
      </c>
      <c r="AH56" s="25">
        <f>'TUSD BE'!$AH$56*'TUSD BE'!$AH$69</f>
        <v>-2.3255090209532887</v>
      </c>
      <c r="AI56" s="25">
        <f>'TUSD BE'!$AI$56*'TUSD BE'!$AI$69</f>
        <v>-0.13428585154314149</v>
      </c>
      <c r="AJ56" s="25">
        <f ca="1">'TUSD BE'!$AJ$56*'TUSD BE'!$AJ$69</f>
        <v>-2.0792172495473347</v>
      </c>
      <c r="AK56" s="25">
        <f ca="1">'TUSD BE'!$AK$56*'TUSD BE'!$AK$69</f>
        <v>1.9594155275482195</v>
      </c>
      <c r="AL56" s="25">
        <f ca="1">SUM($AH$56:$AK$56)</f>
        <v>-2.5795965944955457</v>
      </c>
      <c r="AM56" s="25">
        <f ca="1">SUMIF($L$4:$AL$4,"SUBTOTAL",$L$56:$AL$56)</f>
        <v>-58.552440512409731</v>
      </c>
      <c r="AO56" s="30">
        <f ca="1">+'TUSD BE'!$T$56+'TUSD BE'!$AB$56+'TUSD BE'!$AD$56+'TUSD BE'!$AL$56</f>
        <v>1215.4792189385414</v>
      </c>
      <c r="AP56" s="30">
        <f ca="1">+'TUSD BE'!$T$56+'TUSD BE'!$AB$56+'TUSD BE'!$AD$56+'TUSD BE'!$AL$56</f>
        <v>1215.4792189385414</v>
      </c>
    </row>
    <row r="57" spans="1:42" ht="11.25" customHeight="1" x14ac:dyDescent="0.25">
      <c r="A57" s="136"/>
      <c r="B57" s="136"/>
      <c r="C57" s="136"/>
      <c r="D57" s="136"/>
      <c r="E57" s="136"/>
      <c r="F57" s="136"/>
      <c r="G57" s="21" t="s">
        <v>101</v>
      </c>
      <c r="H57" s="21" t="s">
        <v>90</v>
      </c>
      <c r="I57" s="21">
        <f>'MERCADO TUSD'!$U$54</f>
        <v>132.79500000000002</v>
      </c>
      <c r="J57" s="17"/>
      <c r="L57" s="25">
        <f>'TUSD BE'!$L$57*'TUSD BE'!$L$69</f>
        <v>-4.8088046211592719</v>
      </c>
      <c r="M57" s="25">
        <f>'TUSD BE'!$M$57*'TUSD BE'!$M$69</f>
        <v>-1.6221940542946393E-2</v>
      </c>
      <c r="N57" s="25">
        <f ca="1">'TUSD BE'!$N$57*'TUSD BE'!$N$69</f>
        <v>0</v>
      </c>
      <c r="O57" s="25">
        <f>'TUSD BE'!$O$57*'TUSD BE'!$O$69</f>
        <v>0</v>
      </c>
      <c r="P57" s="25">
        <f>'TUSD BE'!$P$57*'TUSD BE'!$P$69</f>
        <v>0</v>
      </c>
      <c r="Q57" s="25">
        <f>'TUSD BE'!$Q$57*'TUSD BE'!$Q$69</f>
        <v>4.4096826106720291E-2</v>
      </c>
      <c r="R57" s="25">
        <f>'TUSD BE'!$R$57*'TUSD BE'!$R$69</f>
        <v>0.16719913815822074</v>
      </c>
      <c r="S57" s="25">
        <f>'TUSD BE'!$R$57*'TUSD BE'!$S$69</f>
        <v>0</v>
      </c>
      <c r="T57" s="25">
        <f ca="1">SUM($L$57:$S$57)</f>
        <v>-4.6137305974372769</v>
      </c>
      <c r="U57" s="25">
        <f>'TUSD BE'!$U$57*'TUSD BE'!$U$69</f>
        <v>-29.790562585296442</v>
      </c>
      <c r="V57" s="25">
        <f>'TUSD BE'!$V$57*'TUSD BE'!$V$69</f>
        <v>-1.6230614853992802</v>
      </c>
      <c r="W57" s="25">
        <f>'TUSD BE'!$W$57*'TUSD BE'!$W$69</f>
        <v>-0.1787163958262292</v>
      </c>
      <c r="X57" s="25">
        <f>'TUSD BE'!$X$57*'TUSD BE'!$X$69</f>
        <v>0</v>
      </c>
      <c r="Y57" s="25">
        <f>'TUSD BE'!$Y$57*'TUSD BE'!$Y$69</f>
        <v>-0.23430759374018231</v>
      </c>
      <c r="Z57" s="25">
        <f>'TUSD BE'!$Z$57*'TUSD BE'!$Z$69</f>
        <v>0</v>
      </c>
      <c r="AA57" s="25">
        <f>'TUSD BE'!$AA$57*'TUSD BE'!$AA$69</f>
        <v>0</v>
      </c>
      <c r="AB57" s="25">
        <f>SUM($U$57:$AA$57)</f>
        <v>-31.826648060262134</v>
      </c>
      <c r="AC57" s="25">
        <f>'TUSD BE'!$AC$57*'TUSD BE'!$AC$69</f>
        <v>9.7555057746824436E-2</v>
      </c>
      <c r="AD57" s="25">
        <f>SUM($AC$57:$AC$57)</f>
        <v>9.7555057746824436E-2</v>
      </c>
      <c r="AE57" s="25">
        <f ca="1">$AO$57*$AO$66</f>
        <v>0.9902024123781179</v>
      </c>
      <c r="AF57" s="25">
        <f ca="1">$AP$57*$AP$66</f>
        <v>0</v>
      </c>
      <c r="AG57" s="25">
        <f ca="1">SUM($AE$57:$AF$57)</f>
        <v>0.9902024123781179</v>
      </c>
      <c r="AH57" s="25">
        <f>'TUSD BE'!$AH$57*'TUSD BE'!$AH$69</f>
        <v>-2.3255090209532887</v>
      </c>
      <c r="AI57" s="25">
        <f>'TUSD BE'!$AI$57*'TUSD BE'!$AI$69</f>
        <v>-0.13428585154314149</v>
      </c>
      <c r="AJ57" s="25">
        <f ca="1">'TUSD BE'!$AJ$57*'TUSD BE'!$AJ$69</f>
        <v>-2.0792172495473347</v>
      </c>
      <c r="AK57" s="25">
        <f ca="1">'TUSD BE'!$AK$57*'TUSD BE'!$AK$69</f>
        <v>1.9594155275482195</v>
      </c>
      <c r="AL57" s="25">
        <f ca="1">SUM($AH$57:$AK$57)</f>
        <v>-2.5795965944955457</v>
      </c>
      <c r="AM57" s="25">
        <f ca="1">SUMIF($L$4:$AL$4,"SUBTOTAL",$L$57:$AL$57)</f>
        <v>-37.932217782070019</v>
      </c>
      <c r="AO57" s="30">
        <f ca="1">+'TUSD BE'!$T$57+'TUSD BE'!$AB$57+'TUSD BE'!$AD$57+'TUSD BE'!$AL$57</f>
        <v>790.43226495884335</v>
      </c>
      <c r="AP57" s="30">
        <f ca="1">+'TUSD BE'!$T$57+'TUSD BE'!$AB$57+'TUSD BE'!$AD$57+'TUSD BE'!$AL$57</f>
        <v>790.43226495884335</v>
      </c>
    </row>
    <row r="58" spans="1:42" ht="11.25" customHeight="1" x14ac:dyDescent="0.25">
      <c r="A58" s="136"/>
      <c r="B58" s="136"/>
      <c r="C58" s="136"/>
      <c r="D58" s="136"/>
      <c r="E58" s="136"/>
      <c r="F58" s="136"/>
      <c r="G58" s="21" t="s">
        <v>92</v>
      </c>
      <c r="H58" s="21" t="s">
        <v>90</v>
      </c>
      <c r="I58" s="21">
        <f>'MERCADO TUSD'!$U$55</f>
        <v>2117.7150000000001</v>
      </c>
      <c r="J58" s="17"/>
      <c r="L58" s="25">
        <f>'TUSD BE'!$L$58*'TUSD BE'!$L$69</f>
        <v>-4.8088046211592719</v>
      </c>
      <c r="M58" s="25">
        <f>'TUSD BE'!$M$58*'TUSD BE'!$M$69</f>
        <v>-1.6221940542946393E-2</v>
      </c>
      <c r="N58" s="25">
        <f ca="1">'TUSD BE'!$N$58*'TUSD BE'!$N$69</f>
        <v>0</v>
      </c>
      <c r="O58" s="25">
        <f>'TUSD BE'!$O$58*'TUSD BE'!$O$69</f>
        <v>0</v>
      </c>
      <c r="P58" s="25">
        <f>'TUSD BE'!$P$58*'TUSD BE'!$P$69</f>
        <v>0</v>
      </c>
      <c r="Q58" s="25">
        <f>'TUSD BE'!$Q$58*'TUSD BE'!$Q$69</f>
        <v>4.4096826106720291E-2</v>
      </c>
      <c r="R58" s="25">
        <f>'TUSD BE'!$R$58*'TUSD BE'!$R$69</f>
        <v>0.16719913815822074</v>
      </c>
      <c r="S58" s="25">
        <f>'TUSD BE'!$R$58*'TUSD BE'!$S$69</f>
        <v>0</v>
      </c>
      <c r="T58" s="25">
        <f ca="1">SUM($L$58:$S$58)</f>
        <v>-4.6137305974372769</v>
      </c>
      <c r="U58" s="25">
        <f>'TUSD BE'!$U$58*'TUSD BE'!$U$69</f>
        <v>-9.9302030908672503</v>
      </c>
      <c r="V58" s="25">
        <f>'TUSD BE'!$V$58*'TUSD BE'!$V$69</f>
        <v>-0.54102393361141865</v>
      </c>
      <c r="W58" s="25">
        <f>'TUSD BE'!$W$58*'TUSD BE'!$W$69</f>
        <v>-5.9572131942076396E-2</v>
      </c>
      <c r="X58" s="25">
        <f>'TUSD BE'!$X$58*'TUSD BE'!$X$69</f>
        <v>0</v>
      </c>
      <c r="Y58" s="25">
        <f>'TUSD BE'!$Y$58*'TUSD BE'!$Y$69</f>
        <v>-7.8097265789217371E-2</v>
      </c>
      <c r="Z58" s="25">
        <f>'TUSD BE'!$Z$58*'TUSD BE'!$Z$69</f>
        <v>0</v>
      </c>
      <c r="AA58" s="25">
        <f>'TUSD BE'!$AA$58*'TUSD BE'!$AA$69</f>
        <v>0</v>
      </c>
      <c r="AB58" s="25">
        <f>SUM($U$58:$AA$58)</f>
        <v>-10.608896422209963</v>
      </c>
      <c r="AC58" s="25">
        <f>'TUSD BE'!$AC$58*'TUSD BE'!$AC$69</f>
        <v>3.2518344837432982E-2</v>
      </c>
      <c r="AD58" s="25">
        <f>SUM($AC$58:$AC$58)</f>
        <v>3.2518344837432982E-2</v>
      </c>
      <c r="AE58" s="25">
        <f ca="1">$AO$58*$AO$66</f>
        <v>0.45773064443090483</v>
      </c>
      <c r="AF58" s="25">
        <f ca="1">$AP$58*$AP$66</f>
        <v>0</v>
      </c>
      <c r="AG58" s="25">
        <f ca="1">SUM($AE$58:$AF$58)</f>
        <v>0.45773064443090483</v>
      </c>
      <c r="AH58" s="25">
        <f>'TUSD BE'!$AH$58*'TUSD BE'!$AH$69</f>
        <v>-2.3255090209532887</v>
      </c>
      <c r="AI58" s="25">
        <f>'TUSD BE'!$AI$58*'TUSD BE'!$AI$69</f>
        <v>-0.13428585154314149</v>
      </c>
      <c r="AJ58" s="25">
        <f ca="1">'TUSD BE'!$AJ$58*'TUSD BE'!$AJ$69</f>
        <v>-2.0792172495473347</v>
      </c>
      <c r="AK58" s="25">
        <f ca="1">'TUSD BE'!$AK$58*'TUSD BE'!$AK$69</f>
        <v>1.9594155275482195</v>
      </c>
      <c r="AL58" s="25">
        <f ca="1">SUM($AH$58:$AK$58)</f>
        <v>-2.5795965944955457</v>
      </c>
      <c r="AM58" s="25">
        <f ca="1">SUMIF($L$4:$AL$4,"SUBTOTAL",$L$58:$AL$58)</f>
        <v>-17.311974624874448</v>
      </c>
      <c r="AO58" s="30">
        <f ca="1">+'TUSD BE'!$T$58+'TUSD BE'!$AB$58+'TUSD BE'!$AD$58+'TUSD BE'!$AL$58</f>
        <v>365.38496119158361</v>
      </c>
      <c r="AP58" s="30">
        <f ca="1">+'TUSD BE'!$T$58+'TUSD BE'!$AB$58+'TUSD BE'!$AD$58+'TUSD BE'!$AL$58</f>
        <v>365.38496119158361</v>
      </c>
    </row>
    <row r="59" spans="1:42" ht="11.25" customHeight="1" x14ac:dyDescent="0.25">
      <c r="A59" s="136"/>
      <c r="B59" s="28" t="s">
        <v>23</v>
      </c>
      <c r="C59" s="28" t="s">
        <v>25</v>
      </c>
      <c r="D59" s="28" t="s">
        <v>25</v>
      </c>
      <c r="E59" s="28" t="s">
        <v>25</v>
      </c>
      <c r="F59" s="28" t="s">
        <v>25</v>
      </c>
      <c r="G59" s="21" t="s">
        <v>96</v>
      </c>
      <c r="H59" s="21" t="s">
        <v>90</v>
      </c>
      <c r="I59" s="21">
        <f>'MERCADO TUSD'!$U$56</f>
        <v>505530.49800000002</v>
      </c>
      <c r="J59" s="17"/>
      <c r="L59" s="25">
        <f>'TUSD BE'!$L$59*'TUSD BE'!$L$69</f>
        <v>-4.8088046211592719</v>
      </c>
      <c r="M59" s="25">
        <f>'TUSD BE'!$M$59*'TUSD BE'!$M$69</f>
        <v>-1.6221940542946393E-2</v>
      </c>
      <c r="N59" s="25">
        <f ca="1">'TUSD BE'!$N$59*'TUSD BE'!$N$69</f>
        <v>0</v>
      </c>
      <c r="O59" s="25">
        <f>'TUSD BE'!$O$59*'TUSD BE'!$O$69</f>
        <v>0</v>
      </c>
      <c r="P59" s="25">
        <f>'TUSD BE'!$P$59*'TUSD BE'!$P$69</f>
        <v>0</v>
      </c>
      <c r="Q59" s="25">
        <f>'TUSD BE'!$Q$59*'TUSD BE'!$Q$69</f>
        <v>4.4096826106720291E-2</v>
      </c>
      <c r="R59" s="25">
        <f>'TUSD BE'!$R$59*'TUSD BE'!$R$69</f>
        <v>0.16719913815822074</v>
      </c>
      <c r="S59" s="25">
        <f>'TUSD BE'!$R$59*'TUSD BE'!$S$69</f>
        <v>0</v>
      </c>
      <c r="T59" s="25">
        <f ca="1">SUM($L$59:$S$59)</f>
        <v>-4.6137305974372769</v>
      </c>
      <c r="U59" s="25">
        <f>'TUSD BE'!$U$59*'TUSD BE'!$U$69</f>
        <v>-15.045731134019565</v>
      </c>
      <c r="V59" s="25">
        <f>'TUSD BE'!$V$59*'TUSD BE'!$V$69</f>
        <v>-0.81972635578792319</v>
      </c>
      <c r="W59" s="25">
        <f>'TUSD BE'!$W$59*'TUSD BE'!$W$69</f>
        <v>-9.0257887645073975E-2</v>
      </c>
      <c r="X59" s="25">
        <f>'TUSD BE'!$X$59*'TUSD BE'!$X$69</f>
        <v>0</v>
      </c>
      <c r="Y59" s="25">
        <f>'TUSD BE'!$Y$59*'TUSD BE'!$Y$69</f>
        <v>-0.11833062662358966</v>
      </c>
      <c r="Z59" s="25">
        <f>'TUSD BE'!$Z$59*'TUSD BE'!$Z$69</f>
        <v>0</v>
      </c>
      <c r="AA59" s="25">
        <f>'TUSD BE'!$AA$59*'TUSD BE'!$AA$69</f>
        <v>0</v>
      </c>
      <c r="AB59" s="25">
        <f>SUM($U$59:$AA$59)</f>
        <v>-16.074046004076152</v>
      </c>
      <c r="AC59" s="25">
        <f>'TUSD BE'!$AC$59*'TUSD BE'!$AC$69</f>
        <v>4.9270228603650927E-2</v>
      </c>
      <c r="AD59" s="25">
        <f>SUM($AC$59:$AC$59)</f>
        <v>4.9270228603650927E-2</v>
      </c>
      <c r="AE59" s="25">
        <f ca="1">$AO$59*$AO$66</f>
        <v>0.59488220073761389</v>
      </c>
      <c r="AF59" s="25">
        <f ca="1">$AP$59*$AP$66</f>
        <v>0</v>
      </c>
      <c r="AG59" s="25">
        <f ca="1">SUM($AE$59:$AF$59)</f>
        <v>0.59488220073761389</v>
      </c>
      <c r="AH59" s="25">
        <f>'TUSD BE'!$AH$59*'TUSD BE'!$AH$69</f>
        <v>-2.3255090209532887</v>
      </c>
      <c r="AI59" s="25">
        <f>'TUSD BE'!$AI$59*'TUSD BE'!$AI$69</f>
        <v>-0.13428585154314149</v>
      </c>
      <c r="AJ59" s="25">
        <f ca="1">'TUSD BE'!$AJ$59*'TUSD BE'!$AJ$69</f>
        <v>-2.0792172495473347</v>
      </c>
      <c r="AK59" s="25">
        <f ca="1">'TUSD BE'!$AK$59*'TUSD BE'!$AK$69</f>
        <v>1.9594155275482195</v>
      </c>
      <c r="AL59" s="25">
        <f ca="1">SUM($AH$59:$AK$59)</f>
        <v>-2.5795965944955457</v>
      </c>
      <c r="AM59" s="25">
        <f ca="1">SUMIF($L$4:$AL$4,"SUBTOTAL",$L$59:$AL$59)</f>
        <v>-22.623220766667707</v>
      </c>
      <c r="AO59" s="30">
        <f ca="1">+'TUSD BE'!$T$59+'TUSD BE'!$AB$59+'TUSD BE'!$AD$59+'TUSD BE'!$AL$59</f>
        <v>474.86663275586722</v>
      </c>
      <c r="AP59" s="30">
        <f ca="1">+'TUSD BE'!$T$59+'TUSD BE'!$AB$59+'TUSD BE'!$AD$59+'TUSD BE'!$AL$59</f>
        <v>474.86663275586722</v>
      </c>
    </row>
    <row r="60" spans="1:42" ht="11.25" customHeight="1" x14ac:dyDescent="0.25">
      <c r="A60" s="136"/>
      <c r="B60" s="28" t="s">
        <v>103</v>
      </c>
      <c r="C60" s="28" t="s">
        <v>25</v>
      </c>
      <c r="D60" s="28" t="s">
        <v>25</v>
      </c>
      <c r="E60" s="28" t="s">
        <v>25</v>
      </c>
      <c r="F60" s="28" t="s">
        <v>25</v>
      </c>
      <c r="G60" s="21" t="s">
        <v>96</v>
      </c>
      <c r="H60" s="21" t="s">
        <v>90</v>
      </c>
      <c r="I60" s="21">
        <f>'MERCADO TUSD'!$U$57</f>
        <v>0</v>
      </c>
      <c r="J60" s="17"/>
      <c r="L60" s="25">
        <f>'TUSD BE'!$L$60*'TUSD BE'!$L$69</f>
        <v>-4.8088046211592719</v>
      </c>
      <c r="M60" s="25">
        <f>'TUSD BE'!$M$60*'TUSD BE'!$M$69</f>
        <v>-1.6221940542946393E-2</v>
      </c>
      <c r="N60" s="25">
        <f ca="1">'TUSD BE'!$N$60*'TUSD BE'!$N$69</f>
        <v>0</v>
      </c>
      <c r="O60" s="25">
        <f>'TUSD BE'!$O$60*'TUSD BE'!$O$69</f>
        <v>0</v>
      </c>
      <c r="P60" s="25">
        <f>'TUSD BE'!$P$60*'TUSD BE'!$P$69</f>
        <v>0</v>
      </c>
      <c r="Q60" s="25">
        <f>'TUSD BE'!$Q$60*'TUSD BE'!$Q$69</f>
        <v>4.4096826106720291E-2</v>
      </c>
      <c r="R60" s="25">
        <f>'TUSD BE'!$R$60*'TUSD BE'!$R$69</f>
        <v>0.16719913815822074</v>
      </c>
      <c r="S60" s="25">
        <f>'TUSD BE'!$R$60*'TUSD BE'!$S$69</f>
        <v>0</v>
      </c>
      <c r="T60" s="25">
        <f ca="1">SUM($L$60:$S$60)</f>
        <v>-4.6137305974372769</v>
      </c>
      <c r="U60" s="25">
        <f>'TUSD BE'!$U$60*'TUSD BE'!$U$69</f>
        <v>-15.045731134019565</v>
      </c>
      <c r="V60" s="25">
        <f>'TUSD BE'!$V$60*'TUSD BE'!$V$69</f>
        <v>-0.81972635578792319</v>
      </c>
      <c r="W60" s="25">
        <f>'TUSD BE'!$W$60*'TUSD BE'!$W$69</f>
        <v>-9.0257887645073975E-2</v>
      </c>
      <c r="X60" s="25">
        <f>'TUSD BE'!$X$60*'TUSD BE'!$X$69</f>
        <v>0</v>
      </c>
      <c r="Y60" s="25">
        <f>'TUSD BE'!$Y$60*'TUSD BE'!$Y$69</f>
        <v>-0.11833062662358966</v>
      </c>
      <c r="Z60" s="25">
        <f>'TUSD BE'!$Z$60*'TUSD BE'!$Z$69</f>
        <v>0</v>
      </c>
      <c r="AA60" s="25">
        <f>'TUSD BE'!$AA$60*'TUSD BE'!$AA$69</f>
        <v>0</v>
      </c>
      <c r="AB60" s="25">
        <f>SUM($U$60:$AA$60)</f>
        <v>-16.074046004076152</v>
      </c>
      <c r="AC60" s="25">
        <f>'TUSD BE'!$AC$60*'TUSD BE'!$AC$69</f>
        <v>4.9270228603650927E-2</v>
      </c>
      <c r="AD60" s="25">
        <f>SUM($AC$60:$AC$60)</f>
        <v>4.9270228603650927E-2</v>
      </c>
      <c r="AE60" s="25">
        <f ca="1">$AO$60*$AO$66</f>
        <v>0.59488220073761389</v>
      </c>
      <c r="AF60" s="25">
        <f ca="1">$AP$60*$AP$66</f>
        <v>0</v>
      </c>
      <c r="AG60" s="25">
        <f ca="1">SUM($AE$60:$AF$60)</f>
        <v>0.59488220073761389</v>
      </c>
      <c r="AH60" s="25">
        <f>'TUSD BE'!$AH$60*'TUSD BE'!$AH$69</f>
        <v>-2.3255090209532887</v>
      </c>
      <c r="AI60" s="25">
        <f>'TUSD BE'!$AI$60*'TUSD BE'!$AI$69</f>
        <v>-0.13428585154314149</v>
      </c>
      <c r="AJ60" s="25">
        <f ca="1">'TUSD BE'!$AJ$60*'TUSD BE'!$AJ$69</f>
        <v>-2.0792172495473347</v>
      </c>
      <c r="AK60" s="25">
        <f ca="1">'TUSD BE'!$AK$60*'TUSD BE'!$AK$69</f>
        <v>1.9594155275482195</v>
      </c>
      <c r="AL60" s="25">
        <f ca="1">SUM($AH$60:$AK$60)</f>
        <v>-2.5795965944955457</v>
      </c>
      <c r="AM60" s="25">
        <f ca="1">SUMIF($L$4:$AL$4,"SUBTOTAL",$L$60:$AL$60)</f>
        <v>-22.623220766667707</v>
      </c>
      <c r="AO60" s="30">
        <f ca="1">+'TUSD BE'!$T$60+'TUSD BE'!$AB$60+'TUSD BE'!$AD$60+'TUSD BE'!$AL$60</f>
        <v>474.86663275586722</v>
      </c>
      <c r="AP60" s="30">
        <f ca="1">+'TUSD BE'!$T$60+'TUSD BE'!$AB$60+'TUSD BE'!$AD$60+'TUSD BE'!$AL$60</f>
        <v>474.86663275586722</v>
      </c>
    </row>
    <row r="61" spans="1:42" ht="11.25" customHeight="1" x14ac:dyDescent="0.25">
      <c r="A61" s="136" t="s">
        <v>47</v>
      </c>
      <c r="B61" s="136" t="s">
        <v>23</v>
      </c>
      <c r="C61" s="136" t="s">
        <v>48</v>
      </c>
      <c r="D61" s="28" t="s">
        <v>49</v>
      </c>
      <c r="E61" s="28" t="s">
        <v>25</v>
      </c>
      <c r="F61" s="28" t="s">
        <v>25</v>
      </c>
      <c r="G61" s="21" t="s">
        <v>96</v>
      </c>
      <c r="H61" s="21" t="s">
        <v>90</v>
      </c>
      <c r="I61" s="21">
        <f>'MERCADO TUSD'!$U$58</f>
        <v>259602.97000000003</v>
      </c>
      <c r="J61" s="17"/>
      <c r="L61" s="25">
        <f>'TUSD BE'!$L$61*'TUSD BE'!$L$69</f>
        <v>-2.6448425416375998</v>
      </c>
      <c r="M61" s="25">
        <f>'TUSD BE'!$M$61*'TUSD BE'!$M$69</f>
        <v>-8.922067298620516E-3</v>
      </c>
      <c r="N61" s="25">
        <f ca="1">'TUSD BE'!$N$61*'TUSD BE'!$N$69</f>
        <v>0</v>
      </c>
      <c r="O61" s="25">
        <f>'TUSD BE'!$O$61*'TUSD BE'!$O$69</f>
        <v>0</v>
      </c>
      <c r="P61" s="25">
        <f>'TUSD BE'!$P$61*'TUSD BE'!$P$69</f>
        <v>0</v>
      </c>
      <c r="Q61" s="25">
        <f>'TUSD BE'!$Q$61*'TUSD BE'!$Q$69</f>
        <v>2.4253254358696161E-2</v>
      </c>
      <c r="R61" s="25">
        <f>'TUSD BE'!$R$61*'TUSD BE'!$R$69</f>
        <v>9.1959525987021395E-2</v>
      </c>
      <c r="S61" s="25">
        <f>'TUSD BE'!$R$61*'TUSD BE'!$S$69</f>
        <v>0</v>
      </c>
      <c r="T61" s="25">
        <f ca="1">SUM($L$61:$S$61)</f>
        <v>-2.5375518285905025</v>
      </c>
      <c r="U61" s="25">
        <f>'TUSD BE'!$U$61*'TUSD BE'!$U$69</f>
        <v>-8.275152123710761</v>
      </c>
      <c r="V61" s="25">
        <f>'TUSD BE'!$V$61*'TUSD BE'!$V$69</f>
        <v>-0.45084949568335775</v>
      </c>
      <c r="W61" s="25">
        <f>'TUSD BE'!$W$61*'TUSD BE'!$W$69</f>
        <v>-4.9641838204790685E-2</v>
      </c>
      <c r="X61" s="25">
        <f>'TUSD BE'!$X$61*'TUSD BE'!$X$69</f>
        <v>0</v>
      </c>
      <c r="Y61" s="25">
        <f>'TUSD BE'!$Y$61*'TUSD BE'!$Y$69</f>
        <v>-6.5081844642974312E-2</v>
      </c>
      <c r="Z61" s="25">
        <f>'TUSD BE'!$Z$61*'TUSD BE'!$Z$69</f>
        <v>0</v>
      </c>
      <c r="AA61" s="25">
        <f>'TUSD BE'!$AA$61*'TUSD BE'!$AA$69</f>
        <v>0</v>
      </c>
      <c r="AB61" s="25">
        <f>SUM($U$61:$AA$61)</f>
        <v>-8.8407253022418821</v>
      </c>
      <c r="AC61" s="25">
        <f>'TUSD BE'!$AC$61*'TUSD BE'!$AC$69</f>
        <v>2.7098625732008007E-2</v>
      </c>
      <c r="AD61" s="25">
        <f>SUM($AC$61:$AC$61)</f>
        <v>2.7098625732008007E-2</v>
      </c>
      <c r="AE61" s="25">
        <f ca="1">$AO$61*$AO$66</f>
        <v>0.32718521040568765</v>
      </c>
      <c r="AF61" s="25">
        <f ca="1">$AP$61*$AP$66</f>
        <v>0</v>
      </c>
      <c r="AG61" s="25">
        <f ca="1">SUM($AE$61:$AF$61)</f>
        <v>0.32718521040568765</v>
      </c>
      <c r="AH61" s="25">
        <f>'TUSD BE'!$AH$61*'TUSD BE'!$AH$69</f>
        <v>-1.2790299615243088</v>
      </c>
      <c r="AI61" s="25">
        <f>'TUSD BE'!$AI$61*'TUSD BE'!$AI$69</f>
        <v>-7.3857218348727813E-2</v>
      </c>
      <c r="AJ61" s="25">
        <f ca="1">'TUSD BE'!$AJ$61*'TUSD BE'!$AJ$69</f>
        <v>-1.1435694872510342</v>
      </c>
      <c r="AK61" s="25">
        <f ca="1">'TUSD BE'!$AK$61*'TUSD BE'!$AK$69</f>
        <v>1.0776785401515208</v>
      </c>
      <c r="AL61" s="25">
        <f ca="1">SUM($AH$61:$AK$61)</f>
        <v>-1.4187781269725501</v>
      </c>
      <c r="AM61" s="25">
        <f ca="1">SUMIF($L$4:$AL$4,"SUBTOTAL",$L$61:$AL$61)</f>
        <v>-12.442771421667238</v>
      </c>
      <c r="AO61" s="30">
        <f ca="1">+'TUSD BE'!$T$61+'TUSD BE'!$AB$61+'TUSD BE'!$AD$61+'TUSD BE'!$AL$61</f>
        <v>261.17664801572698</v>
      </c>
      <c r="AP61" s="30">
        <f ca="1">+'TUSD BE'!$T$61+'TUSD BE'!$AB$61+'TUSD BE'!$AD$61+'TUSD BE'!$AL$61</f>
        <v>261.17664801572698</v>
      </c>
    </row>
    <row r="62" spans="1:42" ht="11.25" customHeight="1" x14ac:dyDescent="0.25">
      <c r="A62" s="136"/>
      <c r="B62" s="136"/>
      <c r="C62" s="136"/>
      <c r="D62" s="21" t="s">
        <v>106</v>
      </c>
      <c r="E62" s="21" t="s">
        <v>25</v>
      </c>
      <c r="F62" s="21" t="s">
        <v>25</v>
      </c>
      <c r="G62" s="21" t="s">
        <v>96</v>
      </c>
      <c r="H62" s="21" t="s">
        <v>90</v>
      </c>
      <c r="I62" s="21">
        <f>'MERCADO TUSD'!$U$59</f>
        <v>0</v>
      </c>
      <c r="J62" s="17"/>
      <c r="L62" s="25">
        <f>'TUSD BE'!$L$62*'TUSD BE'!$L$69</f>
        <v>-2.8852827726955632</v>
      </c>
      <c r="M62" s="25">
        <f>'TUSD BE'!$M$62*'TUSD BE'!$M$69</f>
        <v>-9.7331643257678353E-3</v>
      </c>
      <c r="N62" s="25">
        <f ca="1">'TUSD BE'!$N$62*'TUSD BE'!$N$69</f>
        <v>0</v>
      </c>
      <c r="O62" s="25">
        <f>'TUSD BE'!$O$62*'TUSD BE'!$O$69</f>
        <v>0</v>
      </c>
      <c r="P62" s="25">
        <f>'TUSD BE'!$P$62*'TUSD BE'!$P$69</f>
        <v>0</v>
      </c>
      <c r="Q62" s="25">
        <f>'TUSD BE'!$Q$62*'TUSD BE'!$Q$69</f>
        <v>2.6458095664032174E-2</v>
      </c>
      <c r="R62" s="25">
        <f>'TUSD BE'!$R$62*'TUSD BE'!$R$69</f>
        <v>0.10031948289493242</v>
      </c>
      <c r="S62" s="25">
        <f>'TUSD BE'!$R$62*'TUSD BE'!$S$69</f>
        <v>0</v>
      </c>
      <c r="T62" s="25">
        <f ca="1">SUM($L$62:$S$62)</f>
        <v>-2.7682383584623667</v>
      </c>
      <c r="U62" s="25">
        <f>'TUSD BE'!$U$62*'TUSD BE'!$U$69</f>
        <v>-9.0274386804117377</v>
      </c>
      <c r="V62" s="25">
        <f>'TUSD BE'!$V$62*'TUSD BE'!$V$69</f>
        <v>-0.49183581347275385</v>
      </c>
      <c r="W62" s="25">
        <f>'TUSD BE'!$W$62*'TUSD BE'!$W$69</f>
        <v>-5.4154732587044382E-2</v>
      </c>
      <c r="X62" s="25">
        <f>'TUSD BE'!$X$62*'TUSD BE'!$X$69</f>
        <v>0</v>
      </c>
      <c r="Y62" s="25">
        <f>'TUSD BE'!$Y$62*'TUSD BE'!$Y$69</f>
        <v>-7.0998375974153788E-2</v>
      </c>
      <c r="Z62" s="25">
        <f>'TUSD BE'!$Z$62*'TUSD BE'!$Z$69</f>
        <v>0</v>
      </c>
      <c r="AA62" s="25">
        <f>'TUSD BE'!$AA$62*'TUSD BE'!$AA$69</f>
        <v>0</v>
      </c>
      <c r="AB62" s="25">
        <f>SUM($U$62:$AA$62)</f>
        <v>-9.6444276024456901</v>
      </c>
      <c r="AC62" s="25">
        <f>'TUSD BE'!$AC$62*'TUSD BE'!$AC$69</f>
        <v>2.9562137162190551E-2</v>
      </c>
      <c r="AD62" s="25">
        <f>SUM($AC$62:$AC$62)</f>
        <v>2.9562137162190551E-2</v>
      </c>
      <c r="AE62" s="25">
        <f ca="1">$AO$62*$AO$66</f>
        <v>0.35692932044256825</v>
      </c>
      <c r="AF62" s="25">
        <f ca="1">$AP$62*$AP$66</f>
        <v>0</v>
      </c>
      <c r="AG62" s="25">
        <f ca="1">SUM($AE$62:$AF$62)</f>
        <v>0.35692932044256825</v>
      </c>
      <c r="AH62" s="25">
        <f>'TUSD BE'!$AH$62*'TUSD BE'!$AH$69</f>
        <v>-1.3953054125719733</v>
      </c>
      <c r="AI62" s="25">
        <f>'TUSD BE'!$AI$62*'TUSD BE'!$AI$69</f>
        <v>-8.0571510925884882E-2</v>
      </c>
      <c r="AJ62" s="25">
        <f ca="1">'TUSD BE'!$AJ$62*'TUSD BE'!$AJ$69</f>
        <v>-1.2475303497284007</v>
      </c>
      <c r="AK62" s="25">
        <f ca="1">'TUSD BE'!$AK$62*'TUSD BE'!$AK$69</f>
        <v>1.1756493165289317</v>
      </c>
      <c r="AL62" s="25">
        <f ca="1">SUM($AH$62:$AK$62)</f>
        <v>-1.5477579566973272</v>
      </c>
      <c r="AM62" s="25">
        <f ca="1">SUMIF($L$4:$AL$4,"SUBTOTAL",$L$62:$AL$62)</f>
        <v>-13.573932460000625</v>
      </c>
      <c r="AO62" s="30">
        <f ca="1">+'TUSD BE'!$T$62+'TUSD BE'!$AB$62+'TUSD BE'!$AD$62+'TUSD BE'!$AL$62</f>
        <v>284.91997965352027</v>
      </c>
      <c r="AP62" s="30">
        <f ca="1">+'TUSD BE'!$T$62+'TUSD BE'!$AB$62+'TUSD BE'!$AD$62+'TUSD BE'!$AL$62</f>
        <v>284.91997965352027</v>
      </c>
    </row>
    <row r="64" spans="1:42" ht="11.25" customHeight="1" x14ac:dyDescent="0.25">
      <c r="K64" s="27" t="s">
        <v>863</v>
      </c>
      <c r="L64" s="25">
        <f>SUMPRODUCT($I$5:$I62,$L$5:$L62)</f>
        <v>-14395974.05270795</v>
      </c>
      <c r="M64" s="25">
        <f>SUMPRODUCT($I$5:$I62,$M$5:$M62)</f>
        <v>-50694.141532888367</v>
      </c>
      <c r="N64" s="25">
        <f ca="1">SUMPRODUCT($I$5:$I62,$N$5:$N62)</f>
        <v>0</v>
      </c>
      <c r="O64" s="25">
        <f>SUMPRODUCT($I$5:$I62,$O$5:$O62)</f>
        <v>0</v>
      </c>
      <c r="P64" s="25">
        <f>SUMPRODUCT($I$5:$I62,$P$5:$P62)</f>
        <v>0</v>
      </c>
      <c r="Q64" s="25">
        <f>SUMPRODUCT($I$5:$I62,$Q$5:$Q62)</f>
        <v>132011.34470006448</v>
      </c>
      <c r="R64" s="25">
        <f>SUMPRODUCT($I$5:$I62,$R$5:$R62)</f>
        <v>556049.04218044598</v>
      </c>
      <c r="S64" s="25">
        <f>SUMPRODUCT($I$5:$I62,$S$5:$S62)</f>
        <v>0</v>
      </c>
      <c r="T64" s="25">
        <f ca="1">SUMPRODUCT($I$5:$I62,$T$5:$T62)</f>
        <v>-13758607.807360325</v>
      </c>
      <c r="U64" s="25">
        <f>SUMPRODUCT($I$5:$I62,$U$5:$U62)</f>
        <v>-62777918.103615396</v>
      </c>
      <c r="V64" s="25">
        <f>SUMPRODUCT($I$5:$I62,$V$5:$V62)</f>
        <v>-3417080.498586724</v>
      </c>
      <c r="W64" s="25">
        <f>SUMPRODUCT($I$5:$I62,$W$5:$W62)</f>
        <v>-384108.67816110176</v>
      </c>
      <c r="X64" s="25">
        <f>SUMPRODUCT($I$5:$I62,$X$5:$X62)</f>
        <v>0</v>
      </c>
      <c r="Y64" s="25">
        <f>SUMPRODUCT($I$5:$I62,$Y$5:$Y62)</f>
        <v>-445013.06078690157</v>
      </c>
      <c r="Z64" s="25">
        <f>SUMPRODUCT($I$5:$I62,$Z$5:$Z62)</f>
        <v>0</v>
      </c>
      <c r="AA64" s="25">
        <f>SUMPRODUCT($I$5:$I62,$AA$5:$AA62)</f>
        <v>0</v>
      </c>
      <c r="AB64" s="25">
        <f>SUMPRODUCT($I$5:$I62,$AB$5:$AB62)</f>
        <v>-67024120.341150127</v>
      </c>
      <c r="AC64" s="25">
        <f>SUMPRODUCT($I$5:$I62,$AC$5:$AC62)</f>
        <v>152456.94405601404</v>
      </c>
      <c r="AD64" s="25">
        <f>SUMPRODUCT($I$5:$I62,$AD$5:$AD62)</f>
        <v>152456.94405601404</v>
      </c>
      <c r="AE64" s="25">
        <f ca="1">SUMPRODUCT($I$5:$I62,$AE$5:$AE62)</f>
        <v>1920127.5830976295</v>
      </c>
      <c r="AF64" s="25">
        <f ca="1">SUMPRODUCT($I$5:$I62,$AF$5:$AF62)</f>
        <v>0</v>
      </c>
      <c r="AG64" s="25">
        <f ca="1">SUMPRODUCT($I$5:$I62,$AG$5:$AG62)</f>
        <v>1920127.5830976295</v>
      </c>
      <c r="AH64" s="25">
        <f>SUMPRODUCT($I$5:$I62,$AH$5:$AH62)</f>
        <v>-6825620.4049783861</v>
      </c>
      <c r="AI64" s="25">
        <f>SUMPRODUCT($I$5:$I62,$AI$5:$AI62)</f>
        <v>-403881.90666518413</v>
      </c>
      <c r="AJ64" s="25">
        <f ca="1">SUMPRODUCT($I$5:$I62,$AJ$5:$AJ62)</f>
        <v>-6916832.7014271701</v>
      </c>
      <c r="AK64" s="25">
        <f ca="1">SUMPRODUCT($I$5:$I62,$AK$5:$AK62)</f>
        <v>6518294.035690737</v>
      </c>
      <c r="AL64" s="25">
        <f ca="1">SUMPRODUCT($I$5:$I62,$AL$5:$AL62)</f>
        <v>-7628040.9773800028</v>
      </c>
      <c r="AM64" s="25">
        <f ca="1">SUMPRODUCT($I$5:$I62,$AM$5:$AM62)</f>
        <v>-86338184.598736838</v>
      </c>
      <c r="AO64" s="21">
        <f ca="1">SUMPRODUCT($I$5:$I62,$AO$5:$AO62)</f>
        <v>1532748027.6206903</v>
      </c>
      <c r="AP64" s="21">
        <f ca="1">SUMPRODUCT($I$5:$I62,$AP$5:$AP62)</f>
        <v>1535224900.5884933</v>
      </c>
    </row>
    <row r="65" spans="11:42" ht="11.25" customHeight="1" x14ac:dyDescent="0.25">
      <c r="K65" s="27" t="s">
        <v>795</v>
      </c>
      <c r="L65" s="25">
        <f>'TR TUSD'!$L$67</f>
        <v>45046098.522711933</v>
      </c>
      <c r="M65" s="25">
        <f>'TR TUSD'!$M$67</f>
        <v>2769548.228111058</v>
      </c>
      <c r="N65" s="25">
        <f>'TR TUSD'!$N$67</f>
        <v>12804098.543733332</v>
      </c>
      <c r="O65" s="25">
        <f>'TR TUSD'!$O$67</f>
        <v>0</v>
      </c>
      <c r="P65" s="25">
        <f>'TR TUSD'!$P$67</f>
        <v>0</v>
      </c>
      <c r="Q65" s="25">
        <f>'TR TUSD'!$Q$67</f>
        <v>112069673.87837905</v>
      </c>
      <c r="R65" s="25">
        <f>'TR TUSD'!$R$67</f>
        <v>48847255.695742868</v>
      </c>
      <c r="S65" s="25">
        <f>'TR TUSD'!$S$67</f>
        <v>0</v>
      </c>
      <c r="T65" s="25">
        <f>'TR TUSD'!$T$67</f>
        <v>221536674.86867824</v>
      </c>
      <c r="U65" s="25">
        <f>'TR TUSD'!$U$67</f>
        <v>198072283.4316667</v>
      </c>
      <c r="V65" s="25">
        <f>'TR TUSD'!$V$67</f>
        <v>38770011.883000001</v>
      </c>
      <c r="W65" s="25">
        <f>'TR TUSD'!$W$67</f>
        <v>10859345.900317101</v>
      </c>
      <c r="X65" s="25">
        <f>'TR TUSD'!$X$67</f>
        <v>0</v>
      </c>
      <c r="Y65" s="25">
        <f>'TR TUSD'!$Y$67</f>
        <v>5752402.4620709997</v>
      </c>
      <c r="Z65" s="25">
        <f>'TR TUSD'!$Z$67</f>
        <v>0</v>
      </c>
      <c r="AA65" s="25">
        <f>'TR TUSD'!$AA$67</f>
        <v>0</v>
      </c>
      <c r="AB65" s="25">
        <f>'TR TUSD'!$AB$67</f>
        <v>253454043.67705479</v>
      </c>
      <c r="AC65" s="25">
        <f>'TR TUSD'!$AC$67</f>
        <v>799023843.67477477</v>
      </c>
      <c r="AD65" s="25">
        <f>'TR TUSD'!$AD$67</f>
        <v>799023843.67477477</v>
      </c>
      <c r="AE65" s="25">
        <f>'TR TUSD'!$AE$67</f>
        <v>0</v>
      </c>
      <c r="AF65" s="25">
        <f>'TR TUSD'!$AF$67</f>
        <v>0</v>
      </c>
      <c r="AG65" s="25">
        <f>'TR TUSD'!$AG$67</f>
        <v>0</v>
      </c>
      <c r="AH65" s="25">
        <f>'TR TUSD'!$AH$67</f>
        <v>111076260.92163464</v>
      </c>
      <c r="AI65" s="25">
        <f>'TR TUSD'!$AI$67</f>
        <v>6572544.2354732472</v>
      </c>
      <c r="AJ65" s="25">
        <f>'TR TUSD'!$AJ$67</f>
        <v>112560597.91057952</v>
      </c>
      <c r="AK65" s="25">
        <f>'TR TUSD'!$AK$67</f>
        <v>31000935.30029773</v>
      </c>
      <c r="AL65" s="25">
        <f>'TR TUSD'!$AL$67</f>
        <v>261210338.36798513</v>
      </c>
      <c r="AM65" s="25">
        <f>'TUSD BE'!$AM$65</f>
        <v>1535224900.5884929</v>
      </c>
      <c r="AO65" s="21">
        <f>$AE$66</f>
        <v>1920127.5830976302</v>
      </c>
      <c r="AP65" s="21">
        <f>$AF$66</f>
        <v>0</v>
      </c>
    </row>
    <row r="66" spans="11:42" ht="11.25" customHeight="1" x14ac:dyDescent="0.25">
      <c r="K66" s="27" t="s">
        <v>796</v>
      </c>
      <c r="L66" s="25">
        <f>CUSTOS!$E$2</f>
        <v>-14395974.052707948</v>
      </c>
      <c r="M66" s="25">
        <f>CUSTOS!$E$3</f>
        <v>-50694.141532888345</v>
      </c>
      <c r="N66" s="25">
        <f>CUSTOS!$E$4</f>
        <v>0</v>
      </c>
      <c r="O66" s="25">
        <f>CUSTOS!$E$5</f>
        <v>0</v>
      </c>
      <c r="P66" s="25">
        <f>CUSTOS!$E$6</f>
        <v>0</v>
      </c>
      <c r="Q66" s="25">
        <f>CUSTOS!$E$7</f>
        <v>132011.34470006451</v>
      </c>
      <c r="R66" s="25">
        <f>CUSTOS!$E$8</f>
        <v>556049.04218044598</v>
      </c>
      <c r="S66" s="25">
        <f>CUSTOS!$E$9</f>
        <v>0</v>
      </c>
      <c r="T66" s="25">
        <f>CUSTOS!$E$10</f>
        <v>-13758607.807360325</v>
      </c>
      <c r="U66" s="25">
        <f>CUSTOS!$E$11</f>
        <v>-62777918.103615426</v>
      </c>
      <c r="V66" s="25">
        <f>CUSTOS!$E$12</f>
        <v>-3417080.4985867236</v>
      </c>
      <c r="W66" s="25">
        <f>CUSTOS!$E$13</f>
        <v>-384108.67816110188</v>
      </c>
      <c r="X66" s="25">
        <f>CUSTOS!$E$14</f>
        <v>0</v>
      </c>
      <c r="Y66" s="25">
        <f>CUSTOS!$E$15</f>
        <v>-445013.06078690162</v>
      </c>
      <c r="Z66" s="25">
        <f>CUSTOS!$E$16</f>
        <v>0</v>
      </c>
      <c r="AA66" s="25">
        <f>CUSTOS!$E$17</f>
        <v>0</v>
      </c>
      <c r="AB66" s="25">
        <f>CUSTOS!$E$18</f>
        <v>-67024085.051537625</v>
      </c>
      <c r="AC66" s="25">
        <f>CUSTOS!$E$19</f>
        <v>152456.94405601404</v>
      </c>
      <c r="AD66" s="25">
        <f>CUSTOS!$E$20</f>
        <v>152456.94405601404</v>
      </c>
      <c r="AE66" s="25">
        <f>CUSTOS!$E$21</f>
        <v>1920127.5830976302</v>
      </c>
      <c r="AF66" s="25">
        <f>CUSTOS!$E$22</f>
        <v>0</v>
      </c>
      <c r="AG66" s="25">
        <f>CUSTOS!$E$23</f>
        <v>1920127.5830976302</v>
      </c>
      <c r="AH66" s="25">
        <f>CUSTOS!$E$24</f>
        <v>-6825620.4049783899</v>
      </c>
      <c r="AI66" s="25">
        <f>CUSTOS!$E$25</f>
        <v>-403881.90666518419</v>
      </c>
      <c r="AJ66" s="25">
        <f>CUSTOS!$E$26</f>
        <v>-6916832.701427171</v>
      </c>
      <c r="AK66" s="25">
        <f>CUSTOS!$E$27</f>
        <v>6518294.0356907388</v>
      </c>
      <c r="AL66" s="25">
        <f>CUSTOS!$E$28</f>
        <v>-7628040.9773800066</v>
      </c>
      <c r="AM66" s="25">
        <f>CUSTOS!$E$29</f>
        <v>-86338149.309124306</v>
      </c>
      <c r="AO66" s="21">
        <f ca="1">IF(AO64&lt;&gt;0,AO65/AO64,0)</f>
        <v>1.2527353149351466E-3</v>
      </c>
      <c r="AP66" s="21">
        <f ca="1">IF(AP64&lt;&gt;0,AP65/AP64,0)</f>
        <v>0</v>
      </c>
    </row>
    <row r="67" spans="11:42" ht="11.25" customHeight="1" x14ac:dyDescent="0.25">
      <c r="K67" s="27" t="s">
        <v>797</v>
      </c>
      <c r="L67" s="25">
        <f>CUSTOS!$F$2</f>
        <v>273872.01690481725</v>
      </c>
      <c r="M67" s="25">
        <f>CUSTOS!$F$3</f>
        <v>0</v>
      </c>
      <c r="N67" s="25">
        <f>CUSTOS!$F$4</f>
        <v>0</v>
      </c>
      <c r="O67" s="25">
        <f>CUSTOS!$F$5</f>
        <v>0</v>
      </c>
      <c r="P67" s="25">
        <f>CUSTOS!$F$6</f>
        <v>0</v>
      </c>
      <c r="Q67" s="25">
        <f>CUSTOS!$F$7</f>
        <v>9515185.9875000007</v>
      </c>
      <c r="R67" s="25">
        <f>CUSTOS!$F$8</f>
        <v>6104847.8399999999</v>
      </c>
      <c r="S67" s="25">
        <f>CUSTOS!$F$9</f>
        <v>0</v>
      </c>
      <c r="T67" s="25">
        <f>CUSTOS!$F$10</f>
        <v>15893905.844404818</v>
      </c>
      <c r="U67" s="25">
        <f>CUSTOS!$F$11</f>
        <v>10445465.121397715</v>
      </c>
      <c r="V67" s="25">
        <f>CUSTOS!$F$12</f>
        <v>2044560.7021022863</v>
      </c>
      <c r="W67" s="25">
        <f>CUSTOS!$F$13</f>
        <v>0</v>
      </c>
      <c r="X67" s="25">
        <f>CUSTOS!$F$14</f>
        <v>0</v>
      </c>
      <c r="Y67" s="25">
        <f>CUSTOS!$F$15</f>
        <v>0</v>
      </c>
      <c r="Z67" s="25">
        <f>CUSTOS!$F$16</f>
        <v>0</v>
      </c>
      <c r="AA67" s="25">
        <f>CUSTOS!$F$17</f>
        <v>0</v>
      </c>
      <c r="AB67" s="25">
        <f>CUSTOS!$F$18</f>
        <v>12490025.823500002</v>
      </c>
      <c r="AC67" s="25">
        <f>CUSTOS!$F$19</f>
        <v>0</v>
      </c>
      <c r="AD67" s="25">
        <f>CUSTOS!$F$20</f>
        <v>0</v>
      </c>
      <c r="AE67" s="25">
        <f>CUSTOS!$F$21</f>
        <v>0</v>
      </c>
      <c r="AF67" s="25">
        <f>CUSTOS!$F$22</f>
        <v>0</v>
      </c>
      <c r="AG67" s="25">
        <f>CUSTOS!$F$23</f>
        <v>0</v>
      </c>
      <c r="AH67" s="25">
        <f>CUSTOS!$F$24</f>
        <v>9438438.57154564</v>
      </c>
      <c r="AI67" s="25">
        <f>CUSTOS!$F$25</f>
        <v>558486.16536567255</v>
      </c>
      <c r="AJ67" s="25">
        <f>CUSTOS!$F$26</f>
        <v>9564566.5432056971</v>
      </c>
      <c r="AK67" s="25">
        <f>CUSTOS!$F$27</f>
        <v>0</v>
      </c>
      <c r="AL67" s="25">
        <f>CUSTOS!$F$28</f>
        <v>19561491.280117009</v>
      </c>
      <c r="AM67" s="25">
        <f>CUSTOS!$F$29</f>
        <v>47945422.948021829</v>
      </c>
    </row>
    <row r="68" spans="11:42" ht="11.25" customHeight="1" x14ac:dyDescent="0.25">
      <c r="K68" s="27" t="s">
        <v>860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  <c r="T68" s="25">
        <f>SUM($L$68:$S$68)</f>
        <v>0</v>
      </c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5">
        <v>0</v>
      </c>
      <c r="AB68" s="25">
        <f>SUM($U$68:$AA$68)</f>
        <v>0</v>
      </c>
      <c r="AC68" s="25">
        <v>0</v>
      </c>
      <c r="AD68" s="25">
        <f>SUM($AC$68:$AC$68)</f>
        <v>0</v>
      </c>
      <c r="AE68" s="25">
        <v>0</v>
      </c>
      <c r="AF68" s="25">
        <v>0</v>
      </c>
      <c r="AG68" s="25">
        <f>SUM($AE$68:$AF$68)</f>
        <v>0</v>
      </c>
      <c r="AH68" s="25">
        <v>0</v>
      </c>
      <c r="AI68" s="25">
        <v>0</v>
      </c>
      <c r="AJ68" s="25">
        <v>0</v>
      </c>
      <c r="AK68" s="25">
        <v>0</v>
      </c>
      <c r="AL68" s="25">
        <f>SUM($AH$68:$AK$68)</f>
        <v>0</v>
      </c>
      <c r="AM68" s="25"/>
    </row>
    <row r="69" spans="11:42" ht="11.25" customHeight="1" x14ac:dyDescent="0.25">
      <c r="K69" s="27" t="s">
        <v>872</v>
      </c>
      <c r="L69" s="25">
        <f t="shared" ref="L69:R69" si="0">IF((L65-(0))&lt;&gt;0,(L67)/(L65-(0)),0)</f>
        <v>6.0798165853749326E-3</v>
      </c>
      <c r="M69" s="25">
        <f t="shared" si="0"/>
        <v>0</v>
      </c>
      <c r="N69" s="25">
        <f t="shared" si="0"/>
        <v>0</v>
      </c>
      <c r="O69" s="25">
        <f t="shared" si="0"/>
        <v>0</v>
      </c>
      <c r="P69" s="25">
        <f t="shared" si="0"/>
        <v>0</v>
      </c>
      <c r="Q69" s="25">
        <f t="shared" si="0"/>
        <v>8.490419984469777E-2</v>
      </c>
      <c r="R69" s="25">
        <f t="shared" si="0"/>
        <v>0.12497831767715968</v>
      </c>
      <c r="S69" s="25">
        <f>IF((R64-(0)&lt;&gt;0),(S66)/(R64-(0)),0)</f>
        <v>0</v>
      </c>
      <c r="T69" s="25"/>
      <c r="U69" s="25">
        <f t="shared" ref="U69:AA69" si="1">IF((U65-(0))&lt;&gt;0,(U67)/(U65-(0)),0)</f>
        <v>5.2735622270953998E-2</v>
      </c>
      <c r="V69" s="25">
        <f t="shared" si="1"/>
        <v>5.2735622270954005E-2</v>
      </c>
      <c r="W69" s="25">
        <f t="shared" si="1"/>
        <v>0</v>
      </c>
      <c r="X69" s="25">
        <f t="shared" si="1"/>
        <v>0</v>
      </c>
      <c r="Y69" s="25">
        <f t="shared" si="1"/>
        <v>0</v>
      </c>
      <c r="Z69" s="25">
        <f t="shared" si="1"/>
        <v>0</v>
      </c>
      <c r="AA69" s="25">
        <f t="shared" si="1"/>
        <v>0</v>
      </c>
      <c r="AB69" s="25"/>
      <c r="AC69" s="25">
        <f>IF((AC65-(0))&lt;&gt;0,(AC67)/(AC65-(0)),0)</f>
        <v>0</v>
      </c>
      <c r="AD69" s="25"/>
      <c r="AE69" s="25">
        <f ca="1">IF(($AM64-(0))&lt;&gt;0,(AE66)/($AM64-(0)),0)</f>
        <v>-2.2239610341838509E-2</v>
      </c>
      <c r="AF69" s="25">
        <f ca="1">IF(($AM64-(0))&lt;&gt;0,(AF66)/($AM64-(0)),0)</f>
        <v>0</v>
      </c>
      <c r="AG69" s="25"/>
      <c r="AH69" s="25">
        <f>IF((AH65-(0))&lt;&gt;0,(AH67)/(AH65-(0)),0)</f>
        <v>8.4972598944472469E-2</v>
      </c>
      <c r="AI69" s="25">
        <f>IF((AI65-(0))&lt;&gt;0,(AI67)/(AI65-(0)),0)</f>
        <v>8.4972598944472455E-2</v>
      </c>
      <c r="AJ69" s="25">
        <f>IF((AJ65-(0))&lt;&gt;0,(AJ67)/(AJ65-(0)),0)</f>
        <v>8.4972598944472455E-2</v>
      </c>
      <c r="AK69" s="25">
        <f>IF((AK65-(0))&lt;&gt;0,(AK67)/(AK65-(0)),0)</f>
        <v>0</v>
      </c>
      <c r="AL69" s="25"/>
      <c r="AM69" s="25"/>
    </row>
  </sheetData>
  <mergeCells count="89"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9:C11"/>
    <mergeCell ref="D9:D11"/>
    <mergeCell ref="E9:E11"/>
    <mergeCell ref="F9:F11"/>
    <mergeCell ref="F5:F7"/>
    <mergeCell ref="B9:B11"/>
    <mergeCell ref="A5:A12"/>
    <mergeCell ref="B5:B8"/>
    <mergeCell ref="C5:C8"/>
    <mergeCell ref="D5:D8"/>
    <mergeCell ref="E5:E7"/>
    <mergeCell ref="B1:B4"/>
    <mergeCell ref="C1:C4"/>
    <mergeCell ref="D1:D4"/>
    <mergeCell ref="E1:E4"/>
    <mergeCell ref="E17:E19"/>
    <mergeCell ref="F17:F19"/>
    <mergeCell ref="B13:B16"/>
    <mergeCell ref="C13:C16"/>
    <mergeCell ref="D13:D16"/>
    <mergeCell ref="E13:E15"/>
    <mergeCell ref="F24:F25"/>
    <mergeCell ref="A26:A27"/>
    <mergeCell ref="B26:B27"/>
    <mergeCell ref="C26:C27"/>
    <mergeCell ref="D26:D27"/>
    <mergeCell ref="B21:B25"/>
    <mergeCell ref="C21:C25"/>
    <mergeCell ref="D21:D25"/>
    <mergeCell ref="E21:E23"/>
    <mergeCell ref="F21:F23"/>
    <mergeCell ref="A13:A25"/>
    <mergeCell ref="E24:E25"/>
    <mergeCell ref="F13:F15"/>
    <mergeCell ref="B17:B19"/>
    <mergeCell ref="C17:C19"/>
    <mergeCell ref="D17:D19"/>
    <mergeCell ref="F28:F30"/>
    <mergeCell ref="B31:B35"/>
    <mergeCell ref="C31:C35"/>
    <mergeCell ref="B36:B40"/>
    <mergeCell ref="C36:C40"/>
    <mergeCell ref="A28:A40"/>
    <mergeCell ref="B28:B30"/>
    <mergeCell ref="C28:C30"/>
    <mergeCell ref="D28:D30"/>
    <mergeCell ref="E28:E30"/>
    <mergeCell ref="D49:D51"/>
    <mergeCell ref="E49:E51"/>
    <mergeCell ref="F49:F51"/>
    <mergeCell ref="D41:D43"/>
    <mergeCell ref="E41:E43"/>
    <mergeCell ref="F41:F43"/>
    <mergeCell ref="D45:D47"/>
    <mergeCell ref="E45:E47"/>
    <mergeCell ref="F45:F47"/>
    <mergeCell ref="B53:B55"/>
    <mergeCell ref="C53:C55"/>
    <mergeCell ref="A56:A60"/>
    <mergeCell ref="B56:B58"/>
    <mergeCell ref="C56:C58"/>
    <mergeCell ref="A41:A55"/>
    <mergeCell ref="B41:B43"/>
    <mergeCell ref="C41:C43"/>
    <mergeCell ref="B49:B51"/>
    <mergeCell ref="C49:C51"/>
    <mergeCell ref="B45:B47"/>
    <mergeCell ref="C45:C47"/>
    <mergeCell ref="E56:E58"/>
    <mergeCell ref="F56:F58"/>
    <mergeCell ref="A61:A62"/>
    <mergeCell ref="B61:B62"/>
    <mergeCell ref="C61:C62"/>
    <mergeCell ref="D56:D58"/>
  </mergeCells>
  <conditionalFormatting sqref="L64">
    <cfRule type="cellIs" dxfId="1483" priority="55" operator="notEqual">
      <formula>$L$66</formula>
    </cfRule>
    <cfRule type="cellIs" dxfId="1482" priority="56" operator="equal">
      <formula>$L$66</formula>
    </cfRule>
  </conditionalFormatting>
  <conditionalFormatting sqref="M64">
    <cfRule type="cellIs" dxfId="1481" priority="53" operator="notEqual">
      <formula>$M$66</formula>
    </cfRule>
    <cfRule type="cellIs" dxfId="1480" priority="54" operator="equal">
      <formula>$M$66</formula>
    </cfRule>
  </conditionalFormatting>
  <conditionalFormatting sqref="N64">
    <cfRule type="cellIs" dxfId="1479" priority="51" operator="notEqual">
      <formula>$N$66</formula>
    </cfRule>
    <cfRule type="cellIs" dxfId="1478" priority="52" operator="equal">
      <formula>$N$66</formula>
    </cfRule>
  </conditionalFormatting>
  <conditionalFormatting sqref="O64">
    <cfRule type="cellIs" dxfId="1477" priority="49" operator="notEqual">
      <formula>$O$66</formula>
    </cfRule>
    <cfRule type="cellIs" dxfId="1476" priority="50" operator="equal">
      <formula>$O$66</formula>
    </cfRule>
  </conditionalFormatting>
  <conditionalFormatting sqref="P64">
    <cfRule type="cellIs" dxfId="1475" priority="47" operator="notEqual">
      <formula>$P$66</formula>
    </cfRule>
    <cfRule type="cellIs" dxfId="1474" priority="48" operator="equal">
      <formula>$P$66</formula>
    </cfRule>
  </conditionalFormatting>
  <conditionalFormatting sqref="Q64">
    <cfRule type="cellIs" dxfId="1473" priority="45" operator="notEqual">
      <formula>$Q$66</formula>
    </cfRule>
    <cfRule type="cellIs" dxfId="1472" priority="46" operator="equal">
      <formula>$Q$66</formula>
    </cfRule>
  </conditionalFormatting>
  <conditionalFormatting sqref="R64">
    <cfRule type="cellIs" dxfId="1471" priority="43" operator="notEqual">
      <formula>$R$66</formula>
    </cfRule>
    <cfRule type="cellIs" dxfId="1470" priority="44" operator="equal">
      <formula>$R$66</formula>
    </cfRule>
  </conditionalFormatting>
  <conditionalFormatting sqref="S64">
    <cfRule type="cellIs" dxfId="1469" priority="41" operator="notEqual">
      <formula>$S$66</formula>
    </cfRule>
    <cfRule type="cellIs" dxfId="1468" priority="42" operator="equal">
      <formula>$S$66</formula>
    </cfRule>
  </conditionalFormatting>
  <conditionalFormatting sqref="T64">
    <cfRule type="cellIs" dxfId="1467" priority="39" operator="notEqual">
      <formula>$T$66</formula>
    </cfRule>
    <cfRule type="cellIs" dxfId="1466" priority="40" operator="equal">
      <formula>$T$66</formula>
    </cfRule>
  </conditionalFormatting>
  <conditionalFormatting sqref="U64">
    <cfRule type="cellIs" dxfId="1465" priority="37" operator="notEqual">
      <formula>$U$66</formula>
    </cfRule>
    <cfRule type="cellIs" dxfId="1464" priority="38" operator="equal">
      <formula>$U$66</formula>
    </cfRule>
  </conditionalFormatting>
  <conditionalFormatting sqref="V64">
    <cfRule type="cellIs" dxfId="1463" priority="35" operator="notEqual">
      <formula>$V$66</formula>
    </cfRule>
    <cfRule type="cellIs" dxfId="1462" priority="36" operator="equal">
      <formula>$V$66</formula>
    </cfRule>
  </conditionalFormatting>
  <conditionalFormatting sqref="W64">
    <cfRule type="cellIs" dxfId="1461" priority="33" operator="notEqual">
      <formula>$W$66</formula>
    </cfRule>
    <cfRule type="cellIs" dxfId="1460" priority="34" operator="equal">
      <formula>$W$66</formula>
    </cfRule>
  </conditionalFormatting>
  <conditionalFormatting sqref="X64">
    <cfRule type="cellIs" dxfId="1459" priority="31" operator="notEqual">
      <formula>$X$66</formula>
    </cfRule>
    <cfRule type="cellIs" dxfId="1458" priority="32" operator="equal">
      <formula>$X$66</formula>
    </cfRule>
  </conditionalFormatting>
  <conditionalFormatting sqref="Y64">
    <cfRule type="cellIs" dxfId="1457" priority="29" operator="notEqual">
      <formula>$Y$66</formula>
    </cfRule>
    <cfRule type="cellIs" dxfId="1456" priority="30" operator="equal">
      <formula>$Y$66</formula>
    </cfRule>
  </conditionalFormatting>
  <conditionalFormatting sqref="Z64">
    <cfRule type="cellIs" dxfId="1455" priority="27" operator="notEqual">
      <formula>$Z$66</formula>
    </cfRule>
    <cfRule type="cellIs" dxfId="1454" priority="28" operator="equal">
      <formula>$Z$66</formula>
    </cfRule>
  </conditionalFormatting>
  <conditionalFormatting sqref="AA64">
    <cfRule type="cellIs" dxfId="1453" priority="25" operator="notEqual">
      <formula>$AA$66</formula>
    </cfRule>
    <cfRule type="cellIs" dxfId="1452" priority="26" operator="equal">
      <formula>$AA$66</formula>
    </cfRule>
  </conditionalFormatting>
  <conditionalFormatting sqref="AB64">
    <cfRule type="cellIs" dxfId="1451" priority="23" operator="notEqual">
      <formula>$AB$66</formula>
    </cfRule>
    <cfRule type="cellIs" dxfId="1450" priority="24" operator="equal">
      <formula>$AB$66</formula>
    </cfRule>
  </conditionalFormatting>
  <conditionalFormatting sqref="AC64">
    <cfRule type="cellIs" dxfId="1449" priority="21" operator="notEqual">
      <formula>$AC$66</formula>
    </cfRule>
    <cfRule type="cellIs" dxfId="1448" priority="22" operator="equal">
      <formula>$AC$66</formula>
    </cfRule>
  </conditionalFormatting>
  <conditionalFormatting sqref="AD64">
    <cfRule type="cellIs" dxfId="1447" priority="19" operator="notEqual">
      <formula>$AD$66</formula>
    </cfRule>
    <cfRule type="cellIs" dxfId="1446" priority="20" operator="equal">
      <formula>$AD$66</formula>
    </cfRule>
  </conditionalFormatting>
  <conditionalFormatting sqref="AE64">
    <cfRule type="cellIs" dxfId="1445" priority="17" operator="notEqual">
      <formula>$AE$66</formula>
    </cfRule>
    <cfRule type="cellIs" dxfId="1444" priority="18" operator="equal">
      <formula>$AE$66</formula>
    </cfRule>
  </conditionalFormatting>
  <conditionalFormatting sqref="AF64">
    <cfRule type="cellIs" dxfId="1443" priority="16" operator="equal">
      <formula>$AF$66</formula>
    </cfRule>
  </conditionalFormatting>
  <conditionalFormatting sqref="AF64">
    <cfRule type="cellIs" dxfId="1442" priority="15" operator="notEqual">
      <formula>$AF$66</formula>
    </cfRule>
  </conditionalFormatting>
  <conditionalFormatting sqref="AG64">
    <cfRule type="cellIs" dxfId="1441" priority="14" operator="equal">
      <formula>$AG$66</formula>
    </cfRule>
  </conditionalFormatting>
  <conditionalFormatting sqref="AG64">
    <cfRule type="cellIs" dxfId="1440" priority="13" operator="notEqual">
      <formula>$AG$66</formula>
    </cfRule>
  </conditionalFormatting>
  <conditionalFormatting sqref="AH64">
    <cfRule type="cellIs" dxfId="1439" priority="12" operator="equal">
      <formula>$AH$66</formula>
    </cfRule>
  </conditionalFormatting>
  <conditionalFormatting sqref="AH64">
    <cfRule type="cellIs" dxfId="1438" priority="11" operator="notEqual">
      <formula>$AH$66</formula>
    </cfRule>
  </conditionalFormatting>
  <conditionalFormatting sqref="AI64">
    <cfRule type="cellIs" dxfId="1437" priority="10" operator="equal">
      <formula>$AI$66</formula>
    </cfRule>
  </conditionalFormatting>
  <conditionalFormatting sqref="AI64">
    <cfRule type="cellIs" dxfId="1436" priority="9" operator="notEqual">
      <formula>$AI$66</formula>
    </cfRule>
  </conditionalFormatting>
  <conditionalFormatting sqref="AJ64">
    <cfRule type="cellIs" dxfId="1435" priority="8" operator="equal">
      <formula>$AJ$66</formula>
    </cfRule>
  </conditionalFormatting>
  <conditionalFormatting sqref="AJ64">
    <cfRule type="cellIs" dxfId="1434" priority="7" operator="notEqual">
      <formula>$AJ$66</formula>
    </cfRule>
  </conditionalFormatting>
  <conditionalFormatting sqref="AK64">
    <cfRule type="cellIs" dxfId="1433" priority="6" operator="equal">
      <formula>$AK$66</formula>
    </cfRule>
  </conditionalFormatting>
  <conditionalFormatting sqref="AK64">
    <cfRule type="cellIs" dxfId="1432" priority="5" operator="notEqual">
      <formula>$AK$66</formula>
    </cfRule>
  </conditionalFormatting>
  <conditionalFormatting sqref="AL64">
    <cfRule type="cellIs" dxfId="1431" priority="4" operator="equal">
      <formula>$AL$66</formula>
    </cfRule>
  </conditionalFormatting>
  <conditionalFormatting sqref="AL64">
    <cfRule type="cellIs" dxfId="1430" priority="3" operator="notEqual">
      <formula>$AL$66</formula>
    </cfRule>
  </conditionalFormatting>
  <conditionalFormatting sqref="AM64">
    <cfRule type="cellIs" dxfId="1429" priority="2" operator="equal">
      <formula>$AM$66</formula>
    </cfRule>
  </conditionalFormatting>
  <conditionalFormatting sqref="AM64">
    <cfRule type="cellIs" dxfId="1428" priority="1" operator="notEqual">
      <formula>$AM$66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979B-8B05-4F24-91AF-0E7641BF9A3E}">
  <dimension ref="A1:AP68"/>
  <sheetViews>
    <sheetView showGridLines="0" topLeftCell="X40" workbookViewId="0">
      <selection activeCell="AO64" sqref="AO64:AP66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" style="9" bestFit="1" customWidth="1"/>
    <col min="14" max="14" width="10.85546875" style="9" bestFit="1" customWidth="1"/>
    <col min="15" max="16" width="4.85546875" style="9" bestFit="1" customWidth="1"/>
    <col min="17" max="17" width="11.7109375" style="9" bestFit="1" customWidth="1"/>
    <col min="18" max="18" width="10.85546875" style="9" bestFit="1" customWidth="1"/>
    <col min="19" max="19" width="8.7109375" style="9" bestFit="1" customWidth="1"/>
    <col min="20" max="21" width="11.7109375" style="9" bestFit="1" customWidth="1"/>
    <col min="22" max="22" width="10.5703125" style="9" bestFit="1" customWidth="1"/>
    <col min="23" max="23" width="10.85546875" style="9" bestFit="1" customWidth="1"/>
    <col min="24" max="24" width="9.85546875" style="9" bestFit="1" customWidth="1"/>
    <col min="25" max="25" width="10" style="9" bestFit="1" customWidth="1"/>
    <col min="26" max="26" width="7.7109375" style="9" bestFit="1" customWidth="1"/>
    <col min="27" max="27" width="9.85546875" style="9" bestFit="1" customWidth="1"/>
    <col min="28" max="30" width="11.7109375" style="9" bestFit="1" customWidth="1"/>
    <col min="31" max="31" width="10" style="9" bestFit="1" customWidth="1"/>
    <col min="32" max="32" width="7.28515625" style="9" bestFit="1" customWidth="1"/>
    <col min="33" max="33" width="10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.85546875" style="9" bestFit="1" customWidth="1"/>
    <col min="38" max="38" width="11.7109375" style="9" bestFit="1" customWidth="1"/>
    <col min="39" max="39" width="13.140625" style="9" bestFit="1" customWidth="1"/>
    <col min="40" max="40" width="9.140625" style="9"/>
    <col min="41" max="42" width="13.140625" style="9" bestFit="1" customWidth="1"/>
    <col min="43" max="16384" width="9.140625" style="9"/>
  </cols>
  <sheetData>
    <row r="1" spans="1:42" ht="11.25" customHeight="1" x14ac:dyDescent="0.25">
      <c r="A1" s="132" t="s">
        <v>80</v>
      </c>
      <c r="B1" s="132" t="s">
        <v>81</v>
      </c>
      <c r="C1" s="132" t="s">
        <v>82</v>
      </c>
      <c r="D1" s="132" t="s">
        <v>83</v>
      </c>
      <c r="E1" s="132" t="s">
        <v>84</v>
      </c>
      <c r="F1" s="132" t="s">
        <v>15</v>
      </c>
      <c r="G1" s="132" t="s">
        <v>86</v>
      </c>
      <c r="H1" s="132" t="s">
        <v>87</v>
      </c>
      <c r="I1" s="132" t="s">
        <v>854</v>
      </c>
      <c r="J1" s="130"/>
      <c r="L1" s="133" t="s">
        <v>874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O1" s="30"/>
      <c r="AP1" s="137" t="s">
        <v>856</v>
      </c>
    </row>
    <row r="2" spans="1:42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30"/>
      <c r="L2" s="133" t="s">
        <v>754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O2" s="30"/>
      <c r="AP2" s="138"/>
    </row>
    <row r="3" spans="1:42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30"/>
      <c r="L3" s="133" t="s">
        <v>755</v>
      </c>
      <c r="M3" s="133"/>
      <c r="N3" s="133"/>
      <c r="O3" s="133"/>
      <c r="P3" s="133"/>
      <c r="Q3" s="133"/>
      <c r="R3" s="133"/>
      <c r="S3" s="133"/>
      <c r="T3" s="133"/>
      <c r="U3" s="133" t="s">
        <v>764</v>
      </c>
      <c r="V3" s="133"/>
      <c r="W3" s="133"/>
      <c r="X3" s="133"/>
      <c r="Y3" s="133"/>
      <c r="Z3" s="133"/>
      <c r="AA3" s="133"/>
      <c r="AB3" s="133"/>
      <c r="AC3" s="133" t="s">
        <v>772</v>
      </c>
      <c r="AD3" s="133"/>
      <c r="AE3" s="133" t="s">
        <v>774</v>
      </c>
      <c r="AF3" s="133"/>
      <c r="AG3" s="133"/>
      <c r="AH3" s="133" t="s">
        <v>777</v>
      </c>
      <c r="AI3" s="133"/>
      <c r="AJ3" s="133"/>
      <c r="AK3" s="133"/>
      <c r="AL3" s="133"/>
      <c r="AM3" s="133" t="s">
        <v>763</v>
      </c>
      <c r="AO3" s="30"/>
      <c r="AP3" s="138"/>
    </row>
    <row r="4" spans="1:42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30"/>
      <c r="L4" s="26" t="s">
        <v>839</v>
      </c>
      <c r="M4" s="26" t="s">
        <v>756</v>
      </c>
      <c r="N4" s="26" t="s">
        <v>757</v>
      </c>
      <c r="O4" s="26" t="s">
        <v>758</v>
      </c>
      <c r="P4" s="26" t="s">
        <v>759</v>
      </c>
      <c r="Q4" s="26" t="s">
        <v>760</v>
      </c>
      <c r="R4" s="26" t="s">
        <v>761</v>
      </c>
      <c r="S4" s="26" t="s">
        <v>762</v>
      </c>
      <c r="T4" s="26" t="s">
        <v>763</v>
      </c>
      <c r="U4" s="26" t="s">
        <v>765</v>
      </c>
      <c r="V4" s="26" t="s">
        <v>766</v>
      </c>
      <c r="W4" s="26" t="s">
        <v>767</v>
      </c>
      <c r="X4" s="26" t="s">
        <v>768</v>
      </c>
      <c r="Y4" s="26" t="s">
        <v>769</v>
      </c>
      <c r="Z4" s="26" t="s">
        <v>770</v>
      </c>
      <c r="AA4" s="26" t="s">
        <v>771</v>
      </c>
      <c r="AB4" s="26" t="s">
        <v>763</v>
      </c>
      <c r="AC4" s="26" t="s">
        <v>773</v>
      </c>
      <c r="AD4" s="26" t="s">
        <v>763</v>
      </c>
      <c r="AE4" s="26" t="s">
        <v>775</v>
      </c>
      <c r="AF4" s="26" t="s">
        <v>776</v>
      </c>
      <c r="AG4" s="26" t="s">
        <v>763</v>
      </c>
      <c r="AH4" s="26" t="s">
        <v>778</v>
      </c>
      <c r="AI4" s="26" t="s">
        <v>779</v>
      </c>
      <c r="AJ4" s="26" t="s">
        <v>780</v>
      </c>
      <c r="AK4" s="26" t="s">
        <v>781</v>
      </c>
      <c r="AL4" s="26" t="s">
        <v>763</v>
      </c>
      <c r="AM4" s="135"/>
      <c r="AO4" s="31" t="s">
        <v>873</v>
      </c>
      <c r="AP4" s="139"/>
    </row>
    <row r="5" spans="1:42" ht="11.25" customHeight="1" x14ac:dyDescent="0.25">
      <c r="A5" s="136" t="s">
        <v>41</v>
      </c>
      <c r="B5" s="136" t="s">
        <v>42</v>
      </c>
      <c r="C5" s="136" t="s">
        <v>25</v>
      </c>
      <c r="D5" s="136" t="s">
        <v>25</v>
      </c>
      <c r="E5" s="136" t="s">
        <v>25</v>
      </c>
      <c r="F5" s="136" t="s">
        <v>25</v>
      </c>
      <c r="G5" s="21" t="s">
        <v>94</v>
      </c>
      <c r="H5" s="21" t="s">
        <v>93</v>
      </c>
      <c r="I5" s="21">
        <f>'MERCADO TUSD'!$U$2</f>
        <v>1039543</v>
      </c>
      <c r="J5" s="17"/>
      <c r="L5" s="25">
        <f>'TUSD BE'!$L$5*'TUSD BF'!$L$69</f>
        <v>0</v>
      </c>
      <c r="M5" s="25">
        <f>'TUSD BE'!$M$5*'TUSD BF'!$M$69</f>
        <v>0</v>
      </c>
      <c r="N5" s="25">
        <f ca="1">'TUSD BE'!$N$5*'TUSD BF'!$N$69</f>
        <v>0</v>
      </c>
      <c r="O5" s="25">
        <f>'TUSD BE'!$O$5*'TUSD BF'!$O$69</f>
        <v>0</v>
      </c>
      <c r="P5" s="25">
        <f>'TUSD BE'!$P$5*'TUSD BF'!$P$69</f>
        <v>0</v>
      </c>
      <c r="Q5" s="25">
        <f>'TUSD BE'!$Q$5*'TUSD BF'!$Q$69</f>
        <v>0</v>
      </c>
      <c r="R5" s="25">
        <f>'TUSD BE'!$R$5*'TUSD BF'!$R$69</f>
        <v>0</v>
      </c>
      <c r="S5" s="25">
        <f>'TUSD BE'!$R$5*'TUSD BF'!$S$69</f>
        <v>0</v>
      </c>
      <c r="T5" s="25">
        <f ca="1">SUM($L$5:$S$5)</f>
        <v>0</v>
      </c>
      <c r="U5" s="25">
        <f>'TUSD BE'!$U$5*'TUSD BF'!$U$69</f>
        <v>0.91028705044650438</v>
      </c>
      <c r="V5" s="25">
        <f>'TUSD BE'!$V$5*'TUSD BF'!$V$69</f>
        <v>0.17711309886943397</v>
      </c>
      <c r="W5" s="25">
        <f>'TUSD BE'!$W$5*'TUSD BF'!$W$69</f>
        <v>0</v>
      </c>
      <c r="X5" s="25">
        <f>'TUSD BE'!$X$5*'TUSD BF'!$X$69</f>
        <v>0</v>
      </c>
      <c r="Y5" s="25">
        <f>'TUSD BE'!$Y$5*'TUSD BF'!$Y$69</f>
        <v>0</v>
      </c>
      <c r="Z5" s="25">
        <f>'TUSD BE'!$Z$5*'TUSD BF'!$Z$69</f>
        <v>0</v>
      </c>
      <c r="AA5" s="25">
        <f>'TUSD BE'!$AA$5*'TUSD BF'!$AA$69</f>
        <v>0</v>
      </c>
      <c r="AB5" s="25">
        <f>SUM($U$5:$AA$5)</f>
        <v>1.0874001493159384</v>
      </c>
      <c r="AC5" s="25">
        <f>'TUSD BE'!$AC$5*'TUSD BF'!$AC$69</f>
        <v>0</v>
      </c>
      <c r="AD5" s="25">
        <f>SUM($AC$5:$AC$5)</f>
        <v>0</v>
      </c>
      <c r="AE5" s="25">
        <f ca="1">$AO$5*$AO$66</f>
        <v>0</v>
      </c>
      <c r="AF5" s="25">
        <f ca="1">$AP$5*$AP$66</f>
        <v>0</v>
      </c>
      <c r="AG5" s="25">
        <f ca="1">SUM($AE$5:$AF$5)</f>
        <v>0</v>
      </c>
      <c r="AH5" s="25">
        <f>'TUSD BE'!$AH$5*'TUSD BF'!$AH$69</f>
        <v>0</v>
      </c>
      <c r="AI5" s="25">
        <f>'TUSD BE'!$AI$5*'TUSD BF'!$AI$69</f>
        <v>0</v>
      </c>
      <c r="AJ5" s="25">
        <f ca="1">'TUSD BE'!$AJ$5*'TUSD BF'!$AJ$69</f>
        <v>0</v>
      </c>
      <c r="AK5" s="25">
        <f ca="1">'TUSD BE'!$AK$5*'TUSD BF'!$AK$69</f>
        <v>0</v>
      </c>
      <c r="AL5" s="25">
        <f ca="1">SUM($AH$5:$AK$5)</f>
        <v>0</v>
      </c>
      <c r="AM5" s="25">
        <f ca="1">SUMIF($L$4:$AL$4,"SUBTOTAL",$L$5:$AL$5)</f>
        <v>1.0874001493159384</v>
      </c>
      <c r="AO5" s="30">
        <f ca="1">+'TUSD BE'!$T$5+'TUSD BE'!$AB$5+'TUSD BE'!$AD$5+'TUSD BE'!$AL$5</f>
        <v>35.025130025464584</v>
      </c>
      <c r="AP5" s="30">
        <f ca="1">+'TUSD BE'!$T$5+'TUSD BE'!$AB$5+'TUSD BE'!$AD$5+'TUSD BE'!$AL$5</f>
        <v>35.025130025464584</v>
      </c>
    </row>
    <row r="6" spans="1:42" ht="11.25" customHeight="1" x14ac:dyDescent="0.25">
      <c r="A6" s="136"/>
      <c r="B6" s="136"/>
      <c r="C6" s="136"/>
      <c r="D6" s="136"/>
      <c r="E6" s="136"/>
      <c r="F6" s="136"/>
      <c r="G6" s="21" t="s">
        <v>95</v>
      </c>
      <c r="H6" s="21" t="s">
        <v>93</v>
      </c>
      <c r="I6" s="21">
        <f>'MERCADO TUSD'!$U$3</f>
        <v>1376546</v>
      </c>
      <c r="J6" s="17"/>
      <c r="L6" s="25">
        <f>'TUSD BE'!$L$6*'TUSD BF'!$L$69</f>
        <v>0</v>
      </c>
      <c r="M6" s="25">
        <f>'TUSD BE'!$M$6*'TUSD BF'!$M$69</f>
        <v>0</v>
      </c>
      <c r="N6" s="25">
        <f ca="1">'TUSD BE'!$N$6*'TUSD BF'!$N$69</f>
        <v>0</v>
      </c>
      <c r="O6" s="25">
        <f>'TUSD BE'!$O$6*'TUSD BF'!$O$69</f>
        <v>0</v>
      </c>
      <c r="P6" s="25">
        <f>'TUSD BE'!$P$6*'TUSD BF'!$P$69</f>
        <v>0</v>
      </c>
      <c r="Q6" s="25">
        <f>'TUSD BE'!$Q$6*'TUSD BF'!$Q$69</f>
        <v>0</v>
      </c>
      <c r="R6" s="25">
        <f>'TUSD BE'!$R$6*'TUSD BF'!$R$69</f>
        <v>0</v>
      </c>
      <c r="S6" s="25">
        <f>'TUSD BE'!$R$6*'TUSD BF'!$S$69</f>
        <v>0</v>
      </c>
      <c r="T6" s="25">
        <f ca="1">SUM($L$6:$S$6)</f>
        <v>0</v>
      </c>
      <c r="U6" s="25">
        <f>'TUSD BE'!$U$6*'TUSD BF'!$U$69</f>
        <v>0.8033975715237498</v>
      </c>
      <c r="V6" s="25">
        <f>'TUSD BE'!$V$6*'TUSD BF'!$V$69</f>
        <v>0.15688036622549681</v>
      </c>
      <c r="W6" s="25">
        <f>'TUSD BE'!$W$6*'TUSD BF'!$W$69</f>
        <v>0</v>
      </c>
      <c r="X6" s="25">
        <f>'TUSD BE'!$X$6*'TUSD BF'!$X$69</f>
        <v>0</v>
      </c>
      <c r="Y6" s="25">
        <f>'TUSD BE'!$Y$6*'TUSD BF'!$Y$69</f>
        <v>0</v>
      </c>
      <c r="Z6" s="25">
        <f>'TUSD BE'!$Z$6*'TUSD BF'!$Z$69</f>
        <v>0</v>
      </c>
      <c r="AA6" s="25">
        <f>'TUSD BE'!$AA$6*'TUSD BF'!$AA$69</f>
        <v>0</v>
      </c>
      <c r="AB6" s="25">
        <f>SUM($U$6:$AA$6)</f>
        <v>0.96027793774924664</v>
      </c>
      <c r="AC6" s="25">
        <f>'TUSD BE'!$AC$6*'TUSD BF'!$AC$69</f>
        <v>0</v>
      </c>
      <c r="AD6" s="25">
        <f>SUM($AC$6:$AC$6)</f>
        <v>0</v>
      </c>
      <c r="AE6" s="25">
        <f ca="1">$AO$6*$AO$66</f>
        <v>0</v>
      </c>
      <c r="AF6" s="25">
        <f ca="1">$AP$6*$AP$66</f>
        <v>0</v>
      </c>
      <c r="AG6" s="25">
        <f ca="1">SUM($AE$6:$AF$6)</f>
        <v>0</v>
      </c>
      <c r="AH6" s="25">
        <f>'TUSD BE'!$AH$6*'TUSD BF'!$AH$69</f>
        <v>0</v>
      </c>
      <c r="AI6" s="25">
        <f>'TUSD BE'!$AI$6*'TUSD BF'!$AI$69</f>
        <v>0</v>
      </c>
      <c r="AJ6" s="25">
        <f ca="1">'TUSD BE'!$AJ$6*'TUSD BF'!$AJ$69</f>
        <v>0</v>
      </c>
      <c r="AK6" s="25">
        <f ca="1">'TUSD BE'!$AK$6*'TUSD BF'!$AK$69</f>
        <v>0</v>
      </c>
      <c r="AL6" s="25">
        <f ca="1">SUM($AH$6:$AK$6)</f>
        <v>0</v>
      </c>
      <c r="AM6" s="25">
        <f ca="1">SUMIF($L$4:$AL$4,"SUBTOTAL",$L$6:$AL$6)</f>
        <v>0.96027793774924664</v>
      </c>
      <c r="AO6" s="30">
        <f ca="1">+'TUSD BE'!$T$6+'TUSD BE'!$AB$6+'TUSD BE'!$AD$6+'TUSD BE'!$AL$6</f>
        <v>20.487670726350878</v>
      </c>
      <c r="AP6" s="30">
        <f ca="1">+'TUSD BE'!$T$6+'TUSD BE'!$AB$6+'TUSD BE'!$AD$6+'TUSD BE'!$AL$6</f>
        <v>20.487670726350878</v>
      </c>
    </row>
    <row r="7" spans="1:42" ht="11.25" customHeight="1" x14ac:dyDescent="0.25">
      <c r="A7" s="136"/>
      <c r="B7" s="136"/>
      <c r="C7" s="136"/>
      <c r="D7" s="136"/>
      <c r="E7" s="136"/>
      <c r="F7" s="136"/>
      <c r="G7" s="21" t="s">
        <v>96</v>
      </c>
      <c r="H7" s="21" t="s">
        <v>90</v>
      </c>
      <c r="I7" s="21">
        <f>'MERCADO TUSD'!$U$4</f>
        <v>455785.89300000004</v>
      </c>
      <c r="J7" s="17"/>
      <c r="L7" s="25">
        <f>'TUSD BE'!$L$7*'TUSD BF'!$L$69</f>
        <v>5.6719896112567995E-2</v>
      </c>
      <c r="M7" s="25">
        <f>'TUSD BE'!$M$7*'TUSD BF'!$M$69</f>
        <v>0</v>
      </c>
      <c r="N7" s="25">
        <f ca="1">'TUSD BE'!$N$7*'TUSD BF'!$N$69</f>
        <v>0</v>
      </c>
      <c r="O7" s="25">
        <f>'TUSD BE'!$O$7*'TUSD BF'!$O$69</f>
        <v>0</v>
      </c>
      <c r="P7" s="25">
        <f>'TUSD BE'!$P$7*'TUSD BF'!$P$69</f>
        <v>0</v>
      </c>
      <c r="Q7" s="25">
        <f>'TUSD BE'!$Q$7*'TUSD BF'!$Q$69</f>
        <v>1.9706298102384538</v>
      </c>
      <c r="R7" s="25">
        <f>'TUSD BE'!$R$7*'TUSD BF'!$R$69</f>
        <v>1.8356749495197138</v>
      </c>
      <c r="S7" s="25">
        <f>'TUSD BE'!$R$7*'TUSD BF'!$S$69</f>
        <v>0</v>
      </c>
      <c r="T7" s="25">
        <f ca="1">SUM($L$7:$S$7)</f>
        <v>3.8630246558707357</v>
      </c>
      <c r="U7" s="25">
        <f>'TUSD BE'!$U$7*'TUSD BF'!$U$69</f>
        <v>0</v>
      </c>
      <c r="V7" s="25">
        <f>'TUSD BE'!$V$7*'TUSD BF'!$V$69</f>
        <v>0</v>
      </c>
      <c r="W7" s="25">
        <f>'TUSD BE'!$W$7*'TUSD BF'!$W$69</f>
        <v>0</v>
      </c>
      <c r="X7" s="25">
        <f>'TUSD BE'!$X$7*'TUSD BF'!$X$69</f>
        <v>0</v>
      </c>
      <c r="Y7" s="25">
        <f>'TUSD BE'!$Y$7*'TUSD BF'!$Y$69</f>
        <v>0</v>
      </c>
      <c r="Z7" s="25">
        <f>'TUSD BE'!$Z$7*'TUSD BF'!$Z$69</f>
        <v>0</v>
      </c>
      <c r="AA7" s="25">
        <f>'TUSD BE'!$AA$7*'TUSD BF'!$AA$69</f>
        <v>0</v>
      </c>
      <c r="AB7" s="25">
        <f>SUM($U$7:$AA$7)</f>
        <v>0</v>
      </c>
      <c r="AC7" s="25">
        <f>'TUSD BE'!$AC$7*'TUSD BF'!$AC$69</f>
        <v>0</v>
      </c>
      <c r="AD7" s="25">
        <f>SUM($AC$7:$AC$7)</f>
        <v>0</v>
      </c>
      <c r="AE7" s="25">
        <f ca="1">$AO$7*$AO$66</f>
        <v>0</v>
      </c>
      <c r="AF7" s="25">
        <f ca="1">$AP$7*$AP$66</f>
        <v>0</v>
      </c>
      <c r="AG7" s="25">
        <f ca="1">SUM($AE$7:$AF$7)</f>
        <v>0</v>
      </c>
      <c r="AH7" s="25">
        <f>'TUSD BE'!$AH$7*'TUSD BF'!$AH$69</f>
        <v>0.61210307253811203</v>
      </c>
      <c r="AI7" s="25">
        <f>'TUSD BE'!$AI$7*'TUSD BF'!$AI$69</f>
        <v>3.5345716394709563E-2</v>
      </c>
      <c r="AJ7" s="25">
        <f ca="1">'TUSD BE'!$AJ$7*'TUSD BF'!$AJ$69</f>
        <v>1.2179187380030558</v>
      </c>
      <c r="AK7" s="25">
        <f ca="1">'TUSD BE'!$AK$7*'TUSD BF'!$AK$69</f>
        <v>0</v>
      </c>
      <c r="AL7" s="25">
        <f ca="1">SUM($AH$7:$AK$7)</f>
        <v>1.8653675269358774</v>
      </c>
      <c r="AM7" s="25">
        <f ca="1">SUMIF($L$4:$AL$4,"SUBTOTAL",$L$7:$AL$7)</f>
        <v>5.7283921828066129</v>
      </c>
      <c r="AO7" s="30">
        <f ca="1">+'TUSD BE'!$T$7+'TUSD BE'!$AB$7+'TUSD BE'!$AD$7+'TUSD BE'!$AL$7</f>
        <v>73.730487945306962</v>
      </c>
      <c r="AP7" s="30">
        <f ca="1">+'TUSD BE'!$T$7+'TUSD BE'!$AB$7+'TUSD BE'!$AD$7+'TUSD BE'!$AL$7</f>
        <v>73.730487945306962</v>
      </c>
    </row>
    <row r="8" spans="1:42" ht="11.25" customHeight="1" x14ac:dyDescent="0.25">
      <c r="A8" s="136"/>
      <c r="B8" s="136"/>
      <c r="C8" s="136"/>
      <c r="D8" s="136"/>
      <c r="E8" s="28" t="s">
        <v>58</v>
      </c>
      <c r="F8" s="28" t="s">
        <v>25</v>
      </c>
      <c r="G8" s="21" t="s">
        <v>96</v>
      </c>
      <c r="H8" s="21" t="s">
        <v>90</v>
      </c>
      <c r="I8" s="21">
        <f>'MERCADO TUSD'!$U$5</f>
        <v>80167.627000000008</v>
      </c>
      <c r="J8" s="17"/>
      <c r="L8" s="25">
        <f>'TUSD BE'!$L$8*'TUSD BF'!$L$69</f>
        <v>0</v>
      </c>
      <c r="M8" s="25">
        <f>'TUSD BE'!$M$8*'TUSD BF'!$M$69</f>
        <v>0</v>
      </c>
      <c r="N8" s="25">
        <f ca="1">'TUSD BE'!$N$8*'TUSD BF'!$N$69</f>
        <v>0</v>
      </c>
      <c r="O8" s="25">
        <f>'TUSD BE'!$O$8*'TUSD BF'!$O$69</f>
        <v>0</v>
      </c>
      <c r="P8" s="25">
        <f>'TUSD BE'!$P$8*'TUSD BF'!$P$69</f>
        <v>0</v>
      </c>
      <c r="Q8" s="25">
        <f>'TUSD BE'!$Q$8*'TUSD BF'!$Q$69</f>
        <v>0</v>
      </c>
      <c r="R8" s="25">
        <f>'TUSD BE'!$R$8*'TUSD BF'!$R$69</f>
        <v>0</v>
      </c>
      <c r="S8" s="25">
        <f>'TUSD BE'!$R$8*'TUSD BF'!$S$69</f>
        <v>0</v>
      </c>
      <c r="T8" s="25">
        <f ca="1">SUM($L$8:$S$8)</f>
        <v>0</v>
      </c>
      <c r="U8" s="25">
        <f>'TUSD BE'!$U$8*'TUSD BF'!$U$69</f>
        <v>0</v>
      </c>
      <c r="V8" s="25">
        <f>'TUSD BE'!$V$8*'TUSD BF'!$V$69</f>
        <v>0</v>
      </c>
      <c r="W8" s="25">
        <f>'TUSD BE'!$W$8*'TUSD BF'!$W$69</f>
        <v>0</v>
      </c>
      <c r="X8" s="25">
        <f>'TUSD BE'!$X$8*'TUSD BF'!$X$69</f>
        <v>0</v>
      </c>
      <c r="Y8" s="25">
        <f>'TUSD BE'!$Y$8*'TUSD BF'!$Y$69</f>
        <v>0</v>
      </c>
      <c r="Z8" s="25">
        <f>'TUSD BE'!$Z$8*'TUSD BF'!$Z$69</f>
        <v>0</v>
      </c>
      <c r="AA8" s="25">
        <f>'TUSD BE'!$AA$8*'TUSD BF'!$AA$69</f>
        <v>0</v>
      </c>
      <c r="AB8" s="25">
        <f>SUM($U$8:$AA$8)</f>
        <v>0</v>
      </c>
      <c r="AC8" s="25">
        <f>'TUSD BE'!$AC$8*'TUSD BF'!$AC$69</f>
        <v>0</v>
      </c>
      <c r="AD8" s="25">
        <f>SUM($AC$8:$AC$8)</f>
        <v>0</v>
      </c>
      <c r="AE8" s="25">
        <f ca="1">$AO$8*$AO$66</f>
        <v>0</v>
      </c>
      <c r="AF8" s="25">
        <f ca="1">$AP$8*$AP$66</f>
        <v>0</v>
      </c>
      <c r="AG8" s="25">
        <f ca="1">SUM($AE$8:$AF$8)</f>
        <v>0</v>
      </c>
      <c r="AH8" s="25">
        <f>'TUSD BE'!$AH$8*'TUSD BF'!$AH$69</f>
        <v>0.61210307253811203</v>
      </c>
      <c r="AI8" s="25">
        <f>'TUSD BE'!$AI$8*'TUSD BF'!$AI$69</f>
        <v>3.5345716394709563E-2</v>
      </c>
      <c r="AJ8" s="25">
        <f ca="1">'TUSD BE'!$AJ$8*'TUSD BF'!$AJ$69</f>
        <v>1.2179187380030558</v>
      </c>
      <c r="AK8" s="25">
        <f ca="1">'TUSD BE'!$AK$8*'TUSD BF'!$AK$69</f>
        <v>0</v>
      </c>
      <c r="AL8" s="25">
        <f ca="1">SUM($AH$8:$AK$8)</f>
        <v>1.8653675269358774</v>
      </c>
      <c r="AM8" s="25">
        <f ca="1">SUMIF($L$4:$AL$4,"SUBTOTAL",$L$8:$AL$8)</f>
        <v>1.8653675269358774</v>
      </c>
      <c r="AO8" s="30">
        <f ca="1">+'TUSD BE'!$T$8+'TUSD BE'!$AB$8+'TUSD BE'!$AD$8+'TUSD BE'!$AL$8</f>
        <v>26.491796743927182</v>
      </c>
      <c r="AP8" s="30">
        <f ca="1">+'TUSD BE'!$T$8+'TUSD BE'!$AB$8+'TUSD BE'!$AD$8+'TUSD BE'!$AL$8</f>
        <v>26.491796743927182</v>
      </c>
    </row>
    <row r="9" spans="1:42" ht="11.25" customHeight="1" x14ac:dyDescent="0.25">
      <c r="A9" s="136"/>
      <c r="B9" s="136" t="s">
        <v>61</v>
      </c>
      <c r="C9" s="136" t="s">
        <v>25</v>
      </c>
      <c r="D9" s="136" t="s">
        <v>25</v>
      </c>
      <c r="E9" s="136" t="s">
        <v>25</v>
      </c>
      <c r="F9" s="136" t="s">
        <v>62</v>
      </c>
      <c r="G9" s="21" t="s">
        <v>94</v>
      </c>
      <c r="H9" s="21" t="s">
        <v>93</v>
      </c>
      <c r="I9" s="21">
        <f>'MERCADO TUSD'!$U$6</f>
        <v>36090</v>
      </c>
      <c r="J9" s="17"/>
      <c r="L9" s="25">
        <f>'TUSD BE'!$L$9*'TUSD BF'!$L$69</f>
        <v>0</v>
      </c>
      <c r="M9" s="25">
        <f>'TUSD BE'!$M$9*'TUSD BF'!$M$69</f>
        <v>0</v>
      </c>
      <c r="N9" s="25">
        <f ca="1">'TUSD BE'!$N$9*'TUSD BF'!$N$69</f>
        <v>0</v>
      </c>
      <c r="O9" s="25">
        <f>'TUSD BE'!$O$9*'TUSD BF'!$O$69</f>
        <v>0</v>
      </c>
      <c r="P9" s="25">
        <f>'TUSD BE'!$P$9*'TUSD BF'!$P$69</f>
        <v>0</v>
      </c>
      <c r="Q9" s="25">
        <f>'TUSD BE'!$Q$9*'TUSD BF'!$Q$69</f>
        <v>0</v>
      </c>
      <c r="R9" s="25">
        <f>'TUSD BE'!$R$9*'TUSD BF'!$R$69</f>
        <v>0</v>
      </c>
      <c r="S9" s="25">
        <f>'TUSD BE'!$R$9*'TUSD BF'!$S$69</f>
        <v>0</v>
      </c>
      <c r="T9" s="25">
        <f ca="1">SUM($L$9:$S$9)</f>
        <v>0</v>
      </c>
      <c r="U9" s="25">
        <f>'TUSD BE'!$U$9*'TUSD BF'!$U$69</f>
        <v>0.91028705044650438</v>
      </c>
      <c r="V9" s="25">
        <f>'TUSD BE'!$V$9*'TUSD BF'!$V$69</f>
        <v>0.17711309886943397</v>
      </c>
      <c r="W9" s="25">
        <f>'TUSD BE'!$W$9*'TUSD BF'!$W$69</f>
        <v>0</v>
      </c>
      <c r="X9" s="25">
        <f>'TUSD BE'!$X$9*'TUSD BF'!$X$69</f>
        <v>0</v>
      </c>
      <c r="Y9" s="25">
        <f>'TUSD BE'!$Y$9*'TUSD BF'!$Y$69</f>
        <v>0</v>
      </c>
      <c r="Z9" s="25">
        <f>'TUSD BE'!$Z$9*'TUSD BF'!$Z$69</f>
        <v>0</v>
      </c>
      <c r="AA9" s="25">
        <f>'TUSD BE'!$AA$9*'TUSD BF'!$AA$69</f>
        <v>0</v>
      </c>
      <c r="AB9" s="25">
        <f>SUM($U$9:$AA$9)</f>
        <v>1.0874001493159384</v>
      </c>
      <c r="AC9" s="25">
        <f>'TUSD BE'!$AC$9*'TUSD BF'!$AC$69</f>
        <v>0</v>
      </c>
      <c r="AD9" s="25">
        <f>SUM($AC$9:$AC$9)</f>
        <v>0</v>
      </c>
      <c r="AE9" s="25">
        <v>0</v>
      </c>
      <c r="AF9" s="25">
        <f ca="1">$AP$9*$AP$66</f>
        <v>0</v>
      </c>
      <c r="AG9" s="25">
        <f ca="1">SUM($AE$9:$AF$9)</f>
        <v>0</v>
      </c>
      <c r="AH9" s="25">
        <f>'TUSD BE'!$AH$9*'TUSD BF'!$AH$69</f>
        <v>0</v>
      </c>
      <c r="AI9" s="25">
        <f>'TUSD BE'!$AI$9*'TUSD BF'!$AI$69</f>
        <v>0</v>
      </c>
      <c r="AJ9" s="25">
        <f ca="1">'TUSD BE'!$AJ$9*'TUSD BF'!$AJ$69</f>
        <v>0</v>
      </c>
      <c r="AK9" s="25">
        <f ca="1">'TUSD BE'!$AK$9*'TUSD BF'!$AK$69</f>
        <v>0</v>
      </c>
      <c r="AL9" s="25">
        <f ca="1">SUM($AH$9:$AK$9)</f>
        <v>0</v>
      </c>
      <c r="AM9" s="25">
        <f ca="1">SUMIF($L$4:$AL$4,"SUBTOTAL",$L$9:$AL$9)</f>
        <v>1.0874001493159384</v>
      </c>
      <c r="AO9" s="30"/>
      <c r="AP9" s="30">
        <f ca="1">+'TUSD BE'!$T$9+'TUSD BE'!$AB$9+'TUSD BE'!$AD$9+'TUSD BE'!$AL$9</f>
        <v>35.025130025464584</v>
      </c>
    </row>
    <row r="10" spans="1:42" ht="11.25" customHeight="1" x14ac:dyDescent="0.25">
      <c r="A10" s="136"/>
      <c r="B10" s="136"/>
      <c r="C10" s="136"/>
      <c r="D10" s="136"/>
      <c r="E10" s="136"/>
      <c r="F10" s="136"/>
      <c r="G10" s="21" t="s">
        <v>95</v>
      </c>
      <c r="H10" s="21" t="s">
        <v>93</v>
      </c>
      <c r="I10" s="21">
        <f>'MERCADO TUSD'!$U$7</f>
        <v>36090</v>
      </c>
      <c r="J10" s="17"/>
      <c r="L10" s="25">
        <f>'TUSD BE'!$L$10*'TUSD BF'!$L$69</f>
        <v>0</v>
      </c>
      <c r="M10" s="25">
        <f>'TUSD BE'!$M$10*'TUSD BF'!$M$69</f>
        <v>0</v>
      </c>
      <c r="N10" s="25">
        <f ca="1">'TUSD BE'!$N$10*'TUSD BF'!$N$69</f>
        <v>0</v>
      </c>
      <c r="O10" s="25">
        <f>'TUSD BE'!$O$10*'TUSD BF'!$O$69</f>
        <v>0</v>
      </c>
      <c r="P10" s="25">
        <f>'TUSD BE'!$P$10*'TUSD BF'!$P$69</f>
        <v>0</v>
      </c>
      <c r="Q10" s="25">
        <f>'TUSD BE'!$Q$10*'TUSD BF'!$Q$69</f>
        <v>0</v>
      </c>
      <c r="R10" s="25">
        <f>'TUSD BE'!$R$10*'TUSD BF'!$R$69</f>
        <v>0</v>
      </c>
      <c r="S10" s="25">
        <f>'TUSD BE'!$R$10*'TUSD BF'!$S$69</f>
        <v>0</v>
      </c>
      <c r="T10" s="25">
        <f ca="1">SUM($L$10:$S$10)</f>
        <v>0</v>
      </c>
      <c r="U10" s="25">
        <f>'TUSD BE'!$U$10*'TUSD BF'!$U$69</f>
        <v>0.8033975715237498</v>
      </c>
      <c r="V10" s="25">
        <f>'TUSD BE'!$V$10*'TUSD BF'!$V$69</f>
        <v>0.15688036622549681</v>
      </c>
      <c r="W10" s="25">
        <f>'TUSD BE'!$W$10*'TUSD BF'!$W$69</f>
        <v>0</v>
      </c>
      <c r="X10" s="25">
        <f>'TUSD BE'!$X$10*'TUSD BF'!$X$69</f>
        <v>0</v>
      </c>
      <c r="Y10" s="25">
        <f>'TUSD BE'!$Y$10*'TUSD BF'!$Y$69</f>
        <v>0</v>
      </c>
      <c r="Z10" s="25">
        <f>'TUSD BE'!$Z$10*'TUSD BF'!$Z$69</f>
        <v>0</v>
      </c>
      <c r="AA10" s="25">
        <f>'TUSD BE'!$AA$10*'TUSD BF'!$AA$69</f>
        <v>0</v>
      </c>
      <c r="AB10" s="25">
        <f>SUM($U$10:$AA$10)</f>
        <v>0.96027793774924664</v>
      </c>
      <c r="AC10" s="25">
        <f>'TUSD BE'!$AC$10*'TUSD BF'!$AC$69</f>
        <v>0</v>
      </c>
      <c r="AD10" s="25">
        <f>SUM($AC$10:$AC$10)</f>
        <v>0</v>
      </c>
      <c r="AE10" s="25">
        <v>0</v>
      </c>
      <c r="AF10" s="25">
        <f ca="1">$AP$10*$AP$66</f>
        <v>0</v>
      </c>
      <c r="AG10" s="25">
        <f ca="1">SUM($AE$10:$AF$10)</f>
        <v>0</v>
      </c>
      <c r="AH10" s="25">
        <f>'TUSD BE'!$AH$10*'TUSD BF'!$AH$69</f>
        <v>0</v>
      </c>
      <c r="AI10" s="25">
        <f>'TUSD BE'!$AI$10*'TUSD BF'!$AI$69</f>
        <v>0</v>
      </c>
      <c r="AJ10" s="25">
        <f ca="1">'TUSD BE'!$AJ$10*'TUSD BF'!$AJ$69</f>
        <v>0</v>
      </c>
      <c r="AK10" s="25">
        <f ca="1">'TUSD BE'!$AK$10*'TUSD BF'!$AK$69</f>
        <v>0</v>
      </c>
      <c r="AL10" s="25">
        <f ca="1">SUM($AH$10:$AK$10)</f>
        <v>0</v>
      </c>
      <c r="AM10" s="25">
        <f ca="1">SUMIF($L$4:$AL$4,"SUBTOTAL",$L$10:$AL$10)</f>
        <v>0.96027793774924664</v>
      </c>
      <c r="AO10" s="30"/>
      <c r="AP10" s="30">
        <f ca="1">+'TUSD BE'!$T$10+'TUSD BE'!$AB$10+'TUSD BE'!$AD$10+'TUSD BE'!$AL$10</f>
        <v>20.487670726350878</v>
      </c>
    </row>
    <row r="11" spans="1:42" ht="11.25" customHeight="1" x14ac:dyDescent="0.25">
      <c r="A11" s="136"/>
      <c r="B11" s="136"/>
      <c r="C11" s="136"/>
      <c r="D11" s="136"/>
      <c r="E11" s="136"/>
      <c r="F11" s="136"/>
      <c r="G11" s="21" t="s">
        <v>96</v>
      </c>
      <c r="H11" s="21" t="s">
        <v>90</v>
      </c>
      <c r="I11" s="21">
        <f>'MERCADO TUSD'!$U$8</f>
        <v>14869.070999999996</v>
      </c>
      <c r="J11" s="17"/>
      <c r="L11" s="25">
        <f>'TUSD BE'!$L$11*'TUSD BF'!$L$69</f>
        <v>0</v>
      </c>
      <c r="M11" s="25">
        <f>'TUSD BE'!$M$11*'TUSD BF'!$M$69</f>
        <v>0</v>
      </c>
      <c r="N11" s="25">
        <f ca="1">'TUSD BE'!$N$11*'TUSD BF'!$N$69</f>
        <v>0</v>
      </c>
      <c r="O11" s="25">
        <f>'TUSD BE'!$O$11*'TUSD BF'!$O$69</f>
        <v>0</v>
      </c>
      <c r="P11" s="25">
        <f>'TUSD BE'!$P$11*'TUSD BF'!$P$69</f>
        <v>0</v>
      </c>
      <c r="Q11" s="25">
        <f>'TUSD BE'!$Q$11*'TUSD BF'!$Q$69</f>
        <v>0</v>
      </c>
      <c r="R11" s="25">
        <f>'TUSD BE'!$R$11*'TUSD BF'!$R$69</f>
        <v>0</v>
      </c>
      <c r="S11" s="25">
        <f>'TUSD BE'!$R$11*'TUSD BF'!$S$69</f>
        <v>0</v>
      </c>
      <c r="T11" s="25">
        <f ca="1">SUM($L$11:$S$11)</f>
        <v>0</v>
      </c>
      <c r="U11" s="25">
        <f>'TUSD BE'!$U$11*'TUSD BF'!$U$69</f>
        <v>0</v>
      </c>
      <c r="V11" s="25">
        <f>'TUSD BE'!$V$11*'TUSD BF'!$V$69</f>
        <v>0</v>
      </c>
      <c r="W11" s="25">
        <f>'TUSD BE'!$W$11*'TUSD BF'!$W$69</f>
        <v>0</v>
      </c>
      <c r="X11" s="25">
        <f>'TUSD BE'!$X$11*'TUSD BF'!$X$69</f>
        <v>0</v>
      </c>
      <c r="Y11" s="25">
        <f>'TUSD BE'!$Y$11*'TUSD BF'!$Y$69</f>
        <v>0</v>
      </c>
      <c r="Z11" s="25">
        <f>'TUSD BE'!$Z$11*'TUSD BF'!$Z$69</f>
        <v>0</v>
      </c>
      <c r="AA11" s="25">
        <f>'TUSD BE'!$AA$11*'TUSD BF'!$AA$69</f>
        <v>0</v>
      </c>
      <c r="AB11" s="25">
        <f>SUM($U$11:$AA$11)</f>
        <v>0</v>
      </c>
      <c r="AC11" s="25">
        <f>'TUSD BE'!$AC$11*'TUSD BF'!$AC$69</f>
        <v>0</v>
      </c>
      <c r="AD11" s="25">
        <f>SUM($AC$11:$AC$11)</f>
        <v>0</v>
      </c>
      <c r="AE11" s="25">
        <v>0</v>
      </c>
      <c r="AF11" s="25">
        <f ca="1">$AP$11*$AP$66</f>
        <v>0</v>
      </c>
      <c r="AG11" s="25">
        <f ca="1">SUM($AE$11:$AF$11)</f>
        <v>0</v>
      </c>
      <c r="AH11" s="25">
        <f>'TUSD BE'!$AH$11*'TUSD BF'!$AH$69</f>
        <v>0.61210307253811203</v>
      </c>
      <c r="AI11" s="25">
        <f>'TUSD BE'!$AI$11*'TUSD BF'!$AI$69</f>
        <v>3.5345716394709563E-2</v>
      </c>
      <c r="AJ11" s="25">
        <f ca="1">'TUSD BE'!$AJ$11*'TUSD BF'!$AJ$69</f>
        <v>0</v>
      </c>
      <c r="AK11" s="25">
        <f ca="1">'TUSD BE'!$AK$11*'TUSD BF'!$AK$69</f>
        <v>0</v>
      </c>
      <c r="AL11" s="25">
        <f ca="1">SUM($AH$11:$AK$11)</f>
        <v>0.64744878893282154</v>
      </c>
      <c r="AM11" s="25">
        <f ca="1">SUMIF($L$4:$AL$4,"SUBTOTAL",$L$11:$AL$11)</f>
        <v>0.64744878893282154</v>
      </c>
      <c r="AO11" s="30"/>
      <c r="AP11" s="30">
        <f ca="1">+'TUSD BE'!$T$11+'TUSD BE'!$AB$11+'TUSD BE'!$AD$11+'TUSD BE'!$AL$11</f>
        <v>7.6195008388046803</v>
      </c>
    </row>
    <row r="12" spans="1:42" ht="11.25" customHeight="1" x14ac:dyDescent="0.25">
      <c r="A12" s="136"/>
      <c r="B12" s="28" t="s">
        <v>64</v>
      </c>
      <c r="C12" s="28" t="s">
        <v>25</v>
      </c>
      <c r="D12" s="28" t="s">
        <v>25</v>
      </c>
      <c r="E12" s="28" t="s">
        <v>25</v>
      </c>
      <c r="F12" s="28" t="s">
        <v>25</v>
      </c>
      <c r="G12" s="21" t="s">
        <v>9</v>
      </c>
      <c r="H12" s="21" t="s">
        <v>93</v>
      </c>
      <c r="I12" s="21">
        <f>'MERCADO TUSD'!$U$9</f>
        <v>888226</v>
      </c>
      <c r="J12" s="17"/>
      <c r="L12" s="25">
        <f>'TUSD BE'!$L$12*'TUSD BF'!$L$69</f>
        <v>0</v>
      </c>
      <c r="M12" s="25">
        <f>'TUSD BE'!$M$12*'TUSD BF'!$M$69</f>
        <v>0</v>
      </c>
      <c r="N12" s="25">
        <f>'TUSD BE'!$N$12*'TUSD BF'!$N$69</f>
        <v>0</v>
      </c>
      <c r="O12" s="25">
        <f>'TUSD BE'!$O$12*'TUSD BF'!$O$69</f>
        <v>0</v>
      </c>
      <c r="P12" s="25">
        <f>'TUSD BE'!$P$12*'TUSD BF'!$P$69</f>
        <v>0</v>
      </c>
      <c r="Q12" s="25">
        <f>'TUSD BE'!$Q$12*'TUSD BF'!$Q$69</f>
        <v>0</v>
      </c>
      <c r="R12" s="25">
        <f>'TUSD BE'!$R$12*'TUSD BF'!$R$69</f>
        <v>0</v>
      </c>
      <c r="S12" s="25">
        <f>'TUSD BE'!$R$12*'TUSD BF'!$S$69</f>
        <v>0</v>
      </c>
      <c r="T12" s="25">
        <f>SUM($L$12:$S$12)</f>
        <v>0</v>
      </c>
      <c r="U12" s="25">
        <f>'TUSD BE'!$U$12*'TUSD BF'!$U$69</f>
        <v>0</v>
      </c>
      <c r="V12" s="25">
        <f>'TUSD BE'!$V$12*'TUSD BF'!$V$69</f>
        <v>0</v>
      </c>
      <c r="W12" s="25">
        <f>'TUSD BE'!$W$12*'TUSD BF'!$W$69</f>
        <v>0</v>
      </c>
      <c r="X12" s="25">
        <f>'TUSD BE'!$X$12*'TUSD BF'!$X$69</f>
        <v>0</v>
      </c>
      <c r="Y12" s="25">
        <f>'TUSD BE'!$Y$12*'TUSD BF'!$Y$69</f>
        <v>0</v>
      </c>
      <c r="Z12" s="25">
        <f>'TUSD BE'!$Z$12*'TUSD BF'!$Z$69</f>
        <v>0</v>
      </c>
      <c r="AA12" s="25">
        <f>'TUSD BE'!$AA$12*'TUSD BF'!$AA$69</f>
        <v>0</v>
      </c>
      <c r="AB12" s="25">
        <f>SUM($U$12:$AA$12)</f>
        <v>0</v>
      </c>
      <c r="AC12" s="25">
        <f>'TUSD BE'!$AC$12*'TUSD BF'!$AC$69</f>
        <v>0</v>
      </c>
      <c r="AD12" s="25">
        <f>SUM($AC$12:$AC$12)</f>
        <v>0</v>
      </c>
      <c r="AE12" s="25">
        <f ca="1">$AO$12*$AO$66</f>
        <v>0</v>
      </c>
      <c r="AF12" s="25">
        <f ca="1">$AP$12*$AP$66</f>
        <v>0</v>
      </c>
      <c r="AG12" s="25">
        <f ca="1">SUM($AE$12:$AF$12)</f>
        <v>0</v>
      </c>
      <c r="AH12" s="25">
        <f>'TUSD BE'!$AH$12*'TUSD BF'!$AH$69</f>
        <v>9.3739568423457112E-2</v>
      </c>
      <c r="AI12" s="25">
        <f>'TUSD BE'!$AI$12*'TUSD BF'!$AI$69</f>
        <v>2.0574005787471136E-2</v>
      </c>
      <c r="AJ12" s="25">
        <f>'TUSD BE'!$AJ$12*'TUSD BF'!$AJ$69</f>
        <v>0</v>
      </c>
      <c r="AK12" s="25">
        <f>'TUSD BE'!$AK$12*'TUSD BF'!$AK$69</f>
        <v>0</v>
      </c>
      <c r="AL12" s="25">
        <f>SUM($AH$12:$AK$12)</f>
        <v>0.11431357421092825</v>
      </c>
      <c r="AM12" s="25">
        <f ca="1">SUMIF($L$4:$AL$4,"SUBTOTAL",$L$12:$AL$12)</f>
        <v>0.11431357421092825</v>
      </c>
      <c r="AO12" s="30">
        <f>+'TUSD BE'!$T$12+'TUSD BE'!$AB$12+'TUSD BE'!$AD$12+'TUSD BE'!$AL$12</f>
        <v>17.227790167989248</v>
      </c>
      <c r="AP12" s="30">
        <f>+'TUSD BE'!$T$12+'TUSD BE'!$AB$12+'TUSD BE'!$AD$12+'TUSD BE'!$AL$12</f>
        <v>17.227790167989248</v>
      </c>
    </row>
    <row r="13" spans="1:42" ht="11.25" customHeight="1" x14ac:dyDescent="0.25">
      <c r="A13" s="136" t="s">
        <v>33</v>
      </c>
      <c r="B13" s="136" t="s">
        <v>42</v>
      </c>
      <c r="C13" s="136" t="s">
        <v>25</v>
      </c>
      <c r="D13" s="136" t="s">
        <v>25</v>
      </c>
      <c r="E13" s="136" t="s">
        <v>25</v>
      </c>
      <c r="F13" s="136" t="s">
        <v>25</v>
      </c>
      <c r="G13" s="21" t="s">
        <v>94</v>
      </c>
      <c r="H13" s="21" t="s">
        <v>93</v>
      </c>
      <c r="I13" s="21">
        <f>'MERCADO TUSD'!$U$10</f>
        <v>565553</v>
      </c>
      <c r="J13" s="17"/>
      <c r="L13" s="25">
        <f>'TUSD BE'!$L$13*'TUSD BF'!$L$69</f>
        <v>0</v>
      </c>
      <c r="M13" s="25">
        <f>'TUSD BE'!$M$13*'TUSD BF'!$M$69</f>
        <v>0</v>
      </c>
      <c r="N13" s="25">
        <f ca="1">'TUSD BE'!$N$13*'TUSD BF'!$N$69</f>
        <v>0</v>
      </c>
      <c r="O13" s="25">
        <f>'TUSD BE'!$O$13*'TUSD BF'!$O$69</f>
        <v>0</v>
      </c>
      <c r="P13" s="25">
        <f>'TUSD BE'!$P$13*'TUSD BF'!$P$69</f>
        <v>0</v>
      </c>
      <c r="Q13" s="25">
        <f>'TUSD BE'!$Q$13*'TUSD BF'!$Q$69</f>
        <v>0</v>
      </c>
      <c r="R13" s="25">
        <f>'TUSD BE'!$R$13*'TUSD BF'!$R$69</f>
        <v>0</v>
      </c>
      <c r="S13" s="25">
        <f>'TUSD BE'!$R$13*'TUSD BF'!$S$69</f>
        <v>0</v>
      </c>
      <c r="T13" s="25">
        <f ca="1">SUM($L$13:$S$13)</f>
        <v>0</v>
      </c>
      <c r="U13" s="25">
        <f>'TUSD BE'!$U$13*'TUSD BF'!$U$69</f>
        <v>0.64365645423161411</v>
      </c>
      <c r="V13" s="25">
        <f>'TUSD BE'!$V$13*'TUSD BF'!$V$69</f>
        <v>0.12588597510928343</v>
      </c>
      <c r="W13" s="25">
        <f>'TUSD BE'!$W$13*'TUSD BF'!$W$69</f>
        <v>0</v>
      </c>
      <c r="X13" s="25">
        <f>'TUSD BE'!$X$13*'TUSD BF'!$X$69</f>
        <v>0</v>
      </c>
      <c r="Y13" s="25">
        <f>'TUSD BE'!$Y$13*'TUSD BF'!$Y$69</f>
        <v>0</v>
      </c>
      <c r="Z13" s="25">
        <f>'TUSD BE'!$Z$13*'TUSD BF'!$Z$69</f>
        <v>0</v>
      </c>
      <c r="AA13" s="25">
        <f>'TUSD BE'!$AA$13*'TUSD BF'!$AA$69</f>
        <v>0</v>
      </c>
      <c r="AB13" s="25">
        <f>SUM($U$13:$AA$13)</f>
        <v>0.76954242934089756</v>
      </c>
      <c r="AC13" s="25">
        <f>'TUSD BE'!$AC$13*'TUSD BF'!$AC$69</f>
        <v>0</v>
      </c>
      <c r="AD13" s="25">
        <f>SUM($AC$13:$AC$13)</f>
        <v>0</v>
      </c>
      <c r="AE13" s="25">
        <f ca="1">$AO$13*$AO$66</f>
        <v>0</v>
      </c>
      <c r="AF13" s="25">
        <f ca="1">$AP$13*$AP$66</f>
        <v>0</v>
      </c>
      <c r="AG13" s="25">
        <f ca="1">SUM($AE$13:$AF$13)</f>
        <v>0</v>
      </c>
      <c r="AH13" s="25">
        <f>'TUSD BE'!$AH$13*'TUSD BF'!$AH$69</f>
        <v>0</v>
      </c>
      <c r="AI13" s="25">
        <f>'TUSD BE'!$AI$13*'TUSD BF'!$AI$69</f>
        <v>0</v>
      </c>
      <c r="AJ13" s="25">
        <f ca="1">'TUSD BE'!$AJ$13*'TUSD BF'!$AJ$69</f>
        <v>0</v>
      </c>
      <c r="AK13" s="25">
        <f ca="1">'TUSD BE'!$AK$13*'TUSD BF'!$AK$69</f>
        <v>0</v>
      </c>
      <c r="AL13" s="25">
        <f ca="1">SUM($AH$13:$AK$13)</f>
        <v>0</v>
      </c>
      <c r="AM13" s="25">
        <f ca="1">SUMIF($L$4:$AL$4,"SUBTOTAL",$L$13:$AL$13)</f>
        <v>0.76954242934089756</v>
      </c>
      <c r="AO13" s="30">
        <f ca="1">+'TUSD BE'!$T$13+'TUSD BE'!$AB$13+'TUSD BE'!$AD$13+'TUSD BE'!$AL$13</f>
        <v>72.526310340595813</v>
      </c>
      <c r="AP13" s="30">
        <f ca="1">+'TUSD BE'!$T$13+'TUSD BE'!$AB$13+'TUSD BE'!$AD$13+'TUSD BE'!$AL$13</f>
        <v>72.526310340595813</v>
      </c>
    </row>
    <row r="14" spans="1:42" ht="11.25" customHeight="1" x14ac:dyDescent="0.25">
      <c r="A14" s="136"/>
      <c r="B14" s="136"/>
      <c r="C14" s="136"/>
      <c r="D14" s="136"/>
      <c r="E14" s="136"/>
      <c r="F14" s="136"/>
      <c r="G14" s="21" t="s">
        <v>95</v>
      </c>
      <c r="H14" s="21" t="s">
        <v>93</v>
      </c>
      <c r="I14" s="21">
        <f>'MERCADO TUSD'!$U$11</f>
        <v>602292</v>
      </c>
      <c r="J14" s="17"/>
      <c r="L14" s="25">
        <f>'TUSD BE'!$L$14*'TUSD BF'!$L$69</f>
        <v>0</v>
      </c>
      <c r="M14" s="25">
        <f>'TUSD BE'!$M$14*'TUSD BF'!$M$69</f>
        <v>0</v>
      </c>
      <c r="N14" s="25">
        <f ca="1">'TUSD BE'!$N$14*'TUSD BF'!$N$69</f>
        <v>0</v>
      </c>
      <c r="O14" s="25">
        <f>'TUSD BE'!$O$14*'TUSD BF'!$O$69</f>
        <v>0</v>
      </c>
      <c r="P14" s="25">
        <f>'TUSD BE'!$P$14*'TUSD BF'!$P$69</f>
        <v>0</v>
      </c>
      <c r="Q14" s="25">
        <f>'TUSD BE'!$Q$14*'TUSD BF'!$Q$69</f>
        <v>0</v>
      </c>
      <c r="R14" s="25">
        <f>'TUSD BE'!$R$14*'TUSD BF'!$R$69</f>
        <v>0</v>
      </c>
      <c r="S14" s="25">
        <f>'TUSD BE'!$R$14*'TUSD BF'!$S$69</f>
        <v>0</v>
      </c>
      <c r="T14" s="25">
        <f ca="1">SUM($L$14:$S$14)</f>
        <v>0</v>
      </c>
      <c r="U14" s="25">
        <f>'TUSD BE'!$U$14*'TUSD BF'!$U$69</f>
        <v>0.35175128417366719</v>
      </c>
      <c r="V14" s="25">
        <f>'TUSD BE'!$V$14*'TUSD BF'!$V$69</f>
        <v>6.9047185896624522E-2</v>
      </c>
      <c r="W14" s="25">
        <f>'TUSD BE'!$W$14*'TUSD BF'!$W$69</f>
        <v>0</v>
      </c>
      <c r="X14" s="25">
        <f>'TUSD BE'!$X$14*'TUSD BF'!$X$69</f>
        <v>0</v>
      </c>
      <c r="Y14" s="25">
        <f>'TUSD BE'!$Y$14*'TUSD BF'!$Y$69</f>
        <v>0</v>
      </c>
      <c r="Z14" s="25">
        <f>'TUSD BE'!$Z$14*'TUSD BF'!$Z$69</f>
        <v>0</v>
      </c>
      <c r="AA14" s="25">
        <f>'TUSD BE'!$AA$14*'TUSD BF'!$AA$69</f>
        <v>0</v>
      </c>
      <c r="AB14" s="25">
        <f>SUM($U$14:$AA$14)</f>
        <v>0.4207984700702917</v>
      </c>
      <c r="AC14" s="25">
        <f>'TUSD BE'!$AC$14*'TUSD BF'!$AC$69</f>
        <v>0</v>
      </c>
      <c r="AD14" s="25">
        <f>SUM($AC$14:$AC$14)</f>
        <v>0</v>
      </c>
      <c r="AE14" s="25">
        <f ca="1">$AO$14*$AO$66</f>
        <v>0</v>
      </c>
      <c r="AF14" s="25">
        <f ca="1">$AP$14*$AP$66</f>
        <v>0</v>
      </c>
      <c r="AG14" s="25">
        <f ca="1">SUM($AE$14:$AF$14)</f>
        <v>0</v>
      </c>
      <c r="AH14" s="25">
        <f>'TUSD BE'!$AH$14*'TUSD BF'!$AH$69</f>
        <v>0</v>
      </c>
      <c r="AI14" s="25">
        <f>'TUSD BE'!$AI$14*'TUSD BF'!$AI$69</f>
        <v>0</v>
      </c>
      <c r="AJ14" s="25">
        <f ca="1">'TUSD BE'!$AJ$14*'TUSD BF'!$AJ$69</f>
        <v>0</v>
      </c>
      <c r="AK14" s="25">
        <f ca="1">'TUSD BE'!$AK$14*'TUSD BF'!$AK$69</f>
        <v>0</v>
      </c>
      <c r="AL14" s="25">
        <f ca="1">SUM($AH$14:$AK$14)</f>
        <v>0</v>
      </c>
      <c r="AM14" s="25">
        <f ca="1">SUMIF($L$4:$AL$4,"SUBTOTAL",$L$14:$AL$14)</f>
        <v>0.4207984700702917</v>
      </c>
      <c r="AO14" s="30">
        <f ca="1">+'TUSD BE'!$T$14+'TUSD BE'!$AB$14+'TUSD BE'!$AD$14+'TUSD BE'!$AL$14</f>
        <v>26.465032224914786</v>
      </c>
      <c r="AP14" s="30">
        <f ca="1">+'TUSD BE'!$T$14+'TUSD BE'!$AB$14+'TUSD BE'!$AD$14+'TUSD BE'!$AL$14</f>
        <v>26.465032224914786</v>
      </c>
    </row>
    <row r="15" spans="1:42" ht="11.25" customHeight="1" x14ac:dyDescent="0.25">
      <c r="A15" s="136"/>
      <c r="B15" s="136"/>
      <c r="C15" s="136"/>
      <c r="D15" s="136"/>
      <c r="E15" s="136"/>
      <c r="F15" s="136"/>
      <c r="G15" s="21" t="s">
        <v>96</v>
      </c>
      <c r="H15" s="21" t="s">
        <v>90</v>
      </c>
      <c r="I15" s="21">
        <f>'MERCADO TUSD'!$U$12</f>
        <v>263308.96999999997</v>
      </c>
      <c r="J15" s="17"/>
      <c r="L15" s="25">
        <f>'TUSD BE'!$L$15*'TUSD BF'!$L$69</f>
        <v>7.6846310862188891E-2</v>
      </c>
      <c r="M15" s="25">
        <f>'TUSD BE'!$M$15*'TUSD BF'!$M$69</f>
        <v>0</v>
      </c>
      <c r="N15" s="25">
        <f ca="1">'TUSD BE'!$N$15*'TUSD BF'!$N$69</f>
        <v>0</v>
      </c>
      <c r="O15" s="25">
        <f>'TUSD BE'!$O$15*'TUSD BF'!$O$69</f>
        <v>0</v>
      </c>
      <c r="P15" s="25">
        <f>'TUSD BE'!$P$15*'TUSD BF'!$P$69</f>
        <v>0</v>
      </c>
      <c r="Q15" s="25">
        <f>'TUSD BE'!$Q$15*'TUSD BF'!$Q$69</f>
        <v>2.6698855493553246</v>
      </c>
      <c r="R15" s="25">
        <f>'TUSD BE'!$R$15*'TUSD BF'!$R$69</f>
        <v>1.8356749495197138</v>
      </c>
      <c r="S15" s="25">
        <f>'TUSD BE'!$R$15*'TUSD BF'!$S$69</f>
        <v>0</v>
      </c>
      <c r="T15" s="25">
        <f ca="1">SUM($L$15:$S$15)</f>
        <v>4.5824068097372272</v>
      </c>
      <c r="U15" s="25">
        <f>'TUSD BE'!$U$15*'TUSD BF'!$U$69</f>
        <v>0</v>
      </c>
      <c r="V15" s="25">
        <f>'TUSD BE'!$V$15*'TUSD BF'!$V$69</f>
        <v>0</v>
      </c>
      <c r="W15" s="25">
        <f>'TUSD BE'!$W$15*'TUSD BF'!$W$69</f>
        <v>0</v>
      </c>
      <c r="X15" s="25">
        <f>'TUSD BE'!$X$15*'TUSD BF'!$X$69</f>
        <v>0</v>
      </c>
      <c r="Y15" s="25">
        <f>'TUSD BE'!$Y$15*'TUSD BF'!$Y$69</f>
        <v>0</v>
      </c>
      <c r="Z15" s="25">
        <f>'TUSD BE'!$Z$15*'TUSD BF'!$Z$69</f>
        <v>0</v>
      </c>
      <c r="AA15" s="25">
        <f>'TUSD BE'!$AA$15*'TUSD BF'!$AA$69</f>
        <v>0</v>
      </c>
      <c r="AB15" s="25">
        <f>SUM($U$15:$AA$15)</f>
        <v>0</v>
      </c>
      <c r="AC15" s="25">
        <f>'TUSD BE'!$AC$15*'TUSD BF'!$AC$69</f>
        <v>0</v>
      </c>
      <c r="AD15" s="25">
        <f>SUM($AC$15:$AC$15)</f>
        <v>0</v>
      </c>
      <c r="AE15" s="25">
        <f ca="1">$AO$15*$AO$66</f>
        <v>0</v>
      </c>
      <c r="AF15" s="25">
        <f ca="1">$AP$15*$AP$66</f>
        <v>0</v>
      </c>
      <c r="AG15" s="25">
        <f ca="1">SUM($AE$15:$AF$15)</f>
        <v>0</v>
      </c>
      <c r="AH15" s="25">
        <f>'TUSD BE'!$AH$15*'TUSD BF'!$AH$69</f>
        <v>1.5764699626365553</v>
      </c>
      <c r="AI15" s="25">
        <f>'TUSD BE'!$AI$15*'TUSD BF'!$AI$69</f>
        <v>9.103280591792913E-2</v>
      </c>
      <c r="AJ15" s="25">
        <f ca="1">'TUSD BE'!$AJ$15*'TUSD BF'!$AJ$69</f>
        <v>2.2689022453501857</v>
      </c>
      <c r="AK15" s="25">
        <f ca="1">'TUSD BE'!$AK$15*'TUSD BF'!$AK$69</f>
        <v>0</v>
      </c>
      <c r="AL15" s="25">
        <f ca="1">SUM($AH$15:$AK$15)</f>
        <v>3.93640501390467</v>
      </c>
      <c r="AM15" s="25">
        <f ca="1">SUMIF($L$4:$AL$4,"SUBTOTAL",$L$15:$AL$15)</f>
        <v>8.5188118236418973</v>
      </c>
      <c r="AO15" s="30">
        <f ca="1">+'TUSD BE'!$T$15+'TUSD BE'!$AB$15+'TUSD BE'!$AD$15+'TUSD BE'!$AL$15</f>
        <v>114.07583761155162</v>
      </c>
      <c r="AP15" s="30">
        <f ca="1">+'TUSD BE'!$T$15+'TUSD BE'!$AB$15+'TUSD BE'!$AD$15+'TUSD BE'!$AL$15</f>
        <v>114.07583761155162</v>
      </c>
    </row>
    <row r="16" spans="1:42" ht="11.25" customHeight="1" x14ac:dyDescent="0.25">
      <c r="A16" s="136"/>
      <c r="B16" s="136"/>
      <c r="C16" s="136"/>
      <c r="D16" s="136"/>
      <c r="E16" s="28" t="s">
        <v>58</v>
      </c>
      <c r="F16" s="28" t="s">
        <v>25</v>
      </c>
      <c r="G16" s="21" t="s">
        <v>96</v>
      </c>
      <c r="H16" s="21" t="s">
        <v>90</v>
      </c>
      <c r="I16" s="21">
        <f>'MERCADO TUSD'!$U$13</f>
        <v>0</v>
      </c>
      <c r="J16" s="17"/>
      <c r="L16" s="25">
        <f>'TUSD BE'!$L$16*'TUSD BF'!$L$69</f>
        <v>0</v>
      </c>
      <c r="M16" s="25">
        <f>'TUSD BE'!$M$16*'TUSD BF'!$M$69</f>
        <v>0</v>
      </c>
      <c r="N16" s="25">
        <f ca="1">'TUSD BE'!$N$16*'TUSD BF'!$N$69</f>
        <v>0</v>
      </c>
      <c r="O16" s="25">
        <f>'TUSD BE'!$O$16*'TUSD BF'!$O$69</f>
        <v>0</v>
      </c>
      <c r="P16" s="25">
        <f>'TUSD BE'!$P$16*'TUSD BF'!$P$69</f>
        <v>0</v>
      </c>
      <c r="Q16" s="25">
        <f>'TUSD BE'!$Q$16*'TUSD BF'!$Q$69</f>
        <v>0</v>
      </c>
      <c r="R16" s="25">
        <f>'TUSD BE'!$R$16*'TUSD BF'!$R$69</f>
        <v>0</v>
      </c>
      <c r="S16" s="25">
        <f>'TUSD BE'!$R$16*'TUSD BF'!$S$69</f>
        <v>0</v>
      </c>
      <c r="T16" s="25">
        <f ca="1">SUM($L$16:$S$16)</f>
        <v>0</v>
      </c>
      <c r="U16" s="25">
        <f>'TUSD BE'!$U$16*'TUSD BF'!$U$69</f>
        <v>0</v>
      </c>
      <c r="V16" s="25">
        <f>'TUSD BE'!$V$16*'TUSD BF'!$V$69</f>
        <v>0</v>
      </c>
      <c r="W16" s="25">
        <f>'TUSD BE'!$W$16*'TUSD BF'!$W$69</f>
        <v>0</v>
      </c>
      <c r="X16" s="25">
        <f>'TUSD BE'!$X$16*'TUSD BF'!$X$69</f>
        <v>0</v>
      </c>
      <c r="Y16" s="25">
        <f>'TUSD BE'!$Y$16*'TUSD BF'!$Y$69</f>
        <v>0</v>
      </c>
      <c r="Z16" s="25">
        <f>'TUSD BE'!$Z$16*'TUSD BF'!$Z$69</f>
        <v>0</v>
      </c>
      <c r="AA16" s="25">
        <f>'TUSD BE'!$AA$16*'TUSD BF'!$AA$69</f>
        <v>0</v>
      </c>
      <c r="AB16" s="25">
        <f>SUM($U$16:$AA$16)</f>
        <v>0</v>
      </c>
      <c r="AC16" s="25">
        <f>'TUSD BE'!$AC$16*'TUSD BF'!$AC$69</f>
        <v>0</v>
      </c>
      <c r="AD16" s="25">
        <f>SUM($AC$16:$AC$16)</f>
        <v>0</v>
      </c>
      <c r="AE16" s="25">
        <f ca="1">$AO$16*$AO$66</f>
        <v>0</v>
      </c>
      <c r="AF16" s="25">
        <f ca="1">$AP$16*$AP$66</f>
        <v>0</v>
      </c>
      <c r="AG16" s="25">
        <f ca="1">SUM($AE$16:$AF$16)</f>
        <v>0</v>
      </c>
      <c r="AH16" s="25">
        <f>'TUSD BE'!$AH$16*'TUSD BF'!$AH$69</f>
        <v>1.5764699626365553</v>
      </c>
      <c r="AI16" s="25">
        <f>'TUSD BE'!$AI$16*'TUSD BF'!$AI$69</f>
        <v>9.103280591792913E-2</v>
      </c>
      <c r="AJ16" s="25">
        <f ca="1">'TUSD BE'!$AJ$16*'TUSD BF'!$AJ$69</f>
        <v>2.2689022453501857</v>
      </c>
      <c r="AK16" s="25">
        <f ca="1">'TUSD BE'!$AK$16*'TUSD BF'!$AK$69</f>
        <v>0</v>
      </c>
      <c r="AL16" s="25">
        <f ca="1">SUM($AH$16:$AK$16)</f>
        <v>3.93640501390467</v>
      </c>
      <c r="AM16" s="25">
        <f ca="1">SUMIF($L$4:$AL$4,"SUBTOTAL",$L$16:$AL$16)</f>
        <v>3.93640501390467</v>
      </c>
      <c r="AO16" s="30">
        <f ca="1">+'TUSD BE'!$T$16+'TUSD BE'!$AB$16+'TUSD BE'!$AD$16+'TUSD BE'!$AL$16</f>
        <v>55.290960586629325</v>
      </c>
      <c r="AP16" s="30">
        <f ca="1">+'TUSD BE'!$T$16+'TUSD BE'!$AB$16+'TUSD BE'!$AD$16+'TUSD BE'!$AL$16</f>
        <v>55.290960586629325</v>
      </c>
    </row>
    <row r="17" spans="1:42" ht="11.25" customHeight="1" x14ac:dyDescent="0.25">
      <c r="A17" s="136"/>
      <c r="B17" s="136" t="s">
        <v>61</v>
      </c>
      <c r="C17" s="136" t="s">
        <v>25</v>
      </c>
      <c r="D17" s="136" t="s">
        <v>25</v>
      </c>
      <c r="E17" s="136" t="s">
        <v>25</v>
      </c>
      <c r="F17" s="136" t="s">
        <v>62</v>
      </c>
      <c r="G17" s="21" t="s">
        <v>94</v>
      </c>
      <c r="H17" s="21" t="s">
        <v>93</v>
      </c>
      <c r="I17" s="21">
        <f>'MERCADO TUSD'!$U$14</f>
        <v>5691</v>
      </c>
      <c r="J17" s="17"/>
      <c r="L17" s="25">
        <f>'TUSD BE'!$L$17*'TUSD BF'!$L$69</f>
        <v>0</v>
      </c>
      <c r="M17" s="25">
        <f>'TUSD BE'!$M$17*'TUSD BF'!$M$69</f>
        <v>0</v>
      </c>
      <c r="N17" s="25">
        <f ca="1">'TUSD BE'!$N$17*'TUSD BF'!$N$69</f>
        <v>0</v>
      </c>
      <c r="O17" s="25">
        <f>'TUSD BE'!$O$17*'TUSD BF'!$O$69</f>
        <v>0</v>
      </c>
      <c r="P17" s="25">
        <f>'TUSD BE'!$P$17*'TUSD BF'!$P$69</f>
        <v>0</v>
      </c>
      <c r="Q17" s="25">
        <f>'TUSD BE'!$Q$17*'TUSD BF'!$Q$69</f>
        <v>0</v>
      </c>
      <c r="R17" s="25">
        <f>'TUSD BE'!$R$17*'TUSD BF'!$R$69</f>
        <v>0</v>
      </c>
      <c r="S17" s="25">
        <f>'TUSD BE'!$R$17*'TUSD BF'!$S$69</f>
        <v>0</v>
      </c>
      <c r="T17" s="25">
        <f ca="1">SUM($L$17:$S$17)</f>
        <v>0</v>
      </c>
      <c r="U17" s="25">
        <f>'TUSD BE'!$U$17*'TUSD BF'!$U$69</f>
        <v>0.64365645423161411</v>
      </c>
      <c r="V17" s="25">
        <f>'TUSD BE'!$V$17*'TUSD BF'!$V$69</f>
        <v>0.12588597510928343</v>
      </c>
      <c r="W17" s="25">
        <f>'TUSD BE'!$W$17*'TUSD BF'!$W$69</f>
        <v>0</v>
      </c>
      <c r="X17" s="25">
        <f>'TUSD BE'!$X$17*'TUSD BF'!$X$69</f>
        <v>0</v>
      </c>
      <c r="Y17" s="25">
        <f>'TUSD BE'!$Y$17*'TUSD BF'!$Y$69</f>
        <v>0</v>
      </c>
      <c r="Z17" s="25">
        <f>'TUSD BE'!$Z$17*'TUSD BF'!$Z$69</f>
        <v>0</v>
      </c>
      <c r="AA17" s="25">
        <f>'TUSD BE'!$AA$17*'TUSD BF'!$AA$69</f>
        <v>0</v>
      </c>
      <c r="AB17" s="25">
        <f>SUM($U$17:$AA$17)</f>
        <v>0.76954242934089756</v>
      </c>
      <c r="AC17" s="25">
        <f>'TUSD BE'!$AC$17*'TUSD BF'!$AC$69</f>
        <v>0</v>
      </c>
      <c r="AD17" s="25">
        <f>SUM($AC$17:$AC$17)</f>
        <v>0</v>
      </c>
      <c r="AE17" s="25">
        <v>0</v>
      </c>
      <c r="AF17" s="25">
        <f ca="1">$AP$17*$AP$66</f>
        <v>0</v>
      </c>
      <c r="AG17" s="25">
        <f ca="1">SUM($AE$17:$AF$17)</f>
        <v>0</v>
      </c>
      <c r="AH17" s="25">
        <f>'TUSD BE'!$AH$17*'TUSD BF'!$AH$69</f>
        <v>0</v>
      </c>
      <c r="AI17" s="25">
        <f>'TUSD BE'!$AI$17*'TUSD BF'!$AI$69</f>
        <v>0</v>
      </c>
      <c r="AJ17" s="25">
        <f ca="1">'TUSD BE'!$AJ$17*'TUSD BF'!$AJ$69</f>
        <v>0</v>
      </c>
      <c r="AK17" s="25">
        <f ca="1">'TUSD BE'!$AK$17*'TUSD BF'!$AK$69</f>
        <v>0</v>
      </c>
      <c r="AL17" s="25">
        <f ca="1">SUM($AH$17:$AK$17)</f>
        <v>0</v>
      </c>
      <c r="AM17" s="25">
        <f ca="1">SUMIF($L$4:$AL$4,"SUBTOTAL",$L$17:$AL$17)</f>
        <v>0.76954242934089756</v>
      </c>
      <c r="AO17" s="30"/>
      <c r="AP17" s="30">
        <f ca="1">+'TUSD BE'!$T$17+'TUSD BE'!$AB$17+'TUSD BE'!$AD$17+'TUSD BE'!$AL$17</f>
        <v>33.870252391240832</v>
      </c>
    </row>
    <row r="18" spans="1:42" ht="11.25" customHeight="1" x14ac:dyDescent="0.25">
      <c r="A18" s="136"/>
      <c r="B18" s="136"/>
      <c r="C18" s="136"/>
      <c r="D18" s="136"/>
      <c r="E18" s="136"/>
      <c r="F18" s="136"/>
      <c r="G18" s="21" t="s">
        <v>95</v>
      </c>
      <c r="H18" s="21" t="s">
        <v>93</v>
      </c>
      <c r="I18" s="21">
        <f>'MERCADO TUSD'!$U$15</f>
        <v>7796</v>
      </c>
      <c r="J18" s="17"/>
      <c r="L18" s="25">
        <f>'TUSD BE'!$L$18*'TUSD BF'!$L$69</f>
        <v>0</v>
      </c>
      <c r="M18" s="25">
        <f>'TUSD BE'!$M$18*'TUSD BF'!$M$69</f>
        <v>0</v>
      </c>
      <c r="N18" s="25">
        <f ca="1">'TUSD BE'!$N$18*'TUSD BF'!$N$69</f>
        <v>0</v>
      </c>
      <c r="O18" s="25">
        <f>'TUSD BE'!$O$18*'TUSD BF'!$O$69</f>
        <v>0</v>
      </c>
      <c r="P18" s="25">
        <f>'TUSD BE'!$P$18*'TUSD BF'!$P$69</f>
        <v>0</v>
      </c>
      <c r="Q18" s="25">
        <f>'TUSD BE'!$Q$18*'TUSD BF'!$Q$69</f>
        <v>0</v>
      </c>
      <c r="R18" s="25">
        <f>'TUSD BE'!$R$18*'TUSD BF'!$R$69</f>
        <v>0</v>
      </c>
      <c r="S18" s="25">
        <f>'TUSD BE'!$R$18*'TUSD BF'!$S$69</f>
        <v>0</v>
      </c>
      <c r="T18" s="25">
        <f ca="1">SUM($L$18:$S$18)</f>
        <v>0</v>
      </c>
      <c r="U18" s="25">
        <f>'TUSD BE'!$U$18*'TUSD BF'!$U$69</f>
        <v>0.35175128417366719</v>
      </c>
      <c r="V18" s="25">
        <f>'TUSD BE'!$V$18*'TUSD BF'!$V$69</f>
        <v>6.9047185896624522E-2</v>
      </c>
      <c r="W18" s="25">
        <f>'TUSD BE'!$W$18*'TUSD BF'!$W$69</f>
        <v>0</v>
      </c>
      <c r="X18" s="25">
        <f>'TUSD BE'!$X$18*'TUSD BF'!$X$69</f>
        <v>0</v>
      </c>
      <c r="Y18" s="25">
        <f>'TUSD BE'!$Y$18*'TUSD BF'!$Y$69</f>
        <v>0</v>
      </c>
      <c r="Z18" s="25">
        <f>'TUSD BE'!$Z$18*'TUSD BF'!$Z$69</f>
        <v>0</v>
      </c>
      <c r="AA18" s="25">
        <f>'TUSD BE'!$AA$18*'TUSD BF'!$AA$69</f>
        <v>0</v>
      </c>
      <c r="AB18" s="25">
        <f>SUM($U$18:$AA$18)</f>
        <v>0.4207984700702917</v>
      </c>
      <c r="AC18" s="25">
        <f>'TUSD BE'!$AC$18*'TUSD BF'!$AC$69</f>
        <v>0</v>
      </c>
      <c r="AD18" s="25">
        <f>SUM($AC$18:$AC$18)</f>
        <v>0</v>
      </c>
      <c r="AE18" s="25">
        <v>0</v>
      </c>
      <c r="AF18" s="25">
        <f ca="1">$AP$18*$AP$66</f>
        <v>0</v>
      </c>
      <c r="AG18" s="25">
        <f ca="1">SUM($AE$18:$AF$18)</f>
        <v>0</v>
      </c>
      <c r="AH18" s="25">
        <f>'TUSD BE'!$AH$18*'TUSD BF'!$AH$69</f>
        <v>0</v>
      </c>
      <c r="AI18" s="25">
        <f>'TUSD BE'!$AI$18*'TUSD BF'!$AI$69</f>
        <v>0</v>
      </c>
      <c r="AJ18" s="25">
        <f ca="1">'TUSD BE'!$AJ$18*'TUSD BF'!$AJ$69</f>
        <v>0</v>
      </c>
      <c r="AK18" s="25">
        <f ca="1">'TUSD BE'!$AK$18*'TUSD BF'!$AK$69</f>
        <v>0</v>
      </c>
      <c r="AL18" s="25">
        <f ca="1">SUM($AH$18:$AK$18)</f>
        <v>0</v>
      </c>
      <c r="AM18" s="25">
        <f ca="1">SUMIF($L$4:$AL$4,"SUBTOTAL",$L$18:$AL$18)</f>
        <v>0.4207984700702917</v>
      </c>
      <c r="AO18" s="30"/>
      <c r="AP18" s="30">
        <f ca="1">+'TUSD BE'!$T$18+'TUSD BE'!$AB$18+'TUSD BE'!$AD$18+'TUSD BE'!$AL$18</f>
        <v>14.216992014542587</v>
      </c>
    </row>
    <row r="19" spans="1:42" ht="11.25" customHeight="1" x14ac:dyDescent="0.25">
      <c r="A19" s="136"/>
      <c r="B19" s="136"/>
      <c r="C19" s="136"/>
      <c r="D19" s="136"/>
      <c r="E19" s="136"/>
      <c r="F19" s="136"/>
      <c r="G19" s="21" t="s">
        <v>96</v>
      </c>
      <c r="H19" s="21" t="s">
        <v>90</v>
      </c>
      <c r="I19" s="21">
        <f>'MERCADO TUSD'!$U$16</f>
        <v>2880.6459999999997</v>
      </c>
      <c r="J19" s="17"/>
      <c r="L19" s="25">
        <f>'TUSD BE'!$L$19*'TUSD BF'!$L$69</f>
        <v>0</v>
      </c>
      <c r="M19" s="25">
        <f>'TUSD BE'!$M$19*'TUSD BF'!$M$69</f>
        <v>0</v>
      </c>
      <c r="N19" s="25">
        <f ca="1">'TUSD BE'!$N$19*'TUSD BF'!$N$69</f>
        <v>0</v>
      </c>
      <c r="O19" s="25">
        <f>'TUSD BE'!$O$19*'TUSD BF'!$O$69</f>
        <v>0</v>
      </c>
      <c r="P19" s="25">
        <f>'TUSD BE'!$P$19*'TUSD BF'!$P$69</f>
        <v>0</v>
      </c>
      <c r="Q19" s="25">
        <f>'TUSD BE'!$Q$19*'TUSD BF'!$Q$69</f>
        <v>0</v>
      </c>
      <c r="R19" s="25">
        <f>'TUSD BE'!$R$19*'TUSD BF'!$R$69</f>
        <v>0</v>
      </c>
      <c r="S19" s="25">
        <f>'TUSD BE'!$R$19*'TUSD BF'!$S$69</f>
        <v>0</v>
      </c>
      <c r="T19" s="25">
        <f ca="1">SUM($L$19:$S$19)</f>
        <v>0</v>
      </c>
      <c r="U19" s="25">
        <f>'TUSD BE'!$U$19*'TUSD BF'!$U$69</f>
        <v>0</v>
      </c>
      <c r="V19" s="25">
        <f>'TUSD BE'!$V$19*'TUSD BF'!$V$69</f>
        <v>0</v>
      </c>
      <c r="W19" s="25">
        <f>'TUSD BE'!$W$19*'TUSD BF'!$W$69</f>
        <v>0</v>
      </c>
      <c r="X19" s="25">
        <f>'TUSD BE'!$X$19*'TUSD BF'!$X$69</f>
        <v>0</v>
      </c>
      <c r="Y19" s="25">
        <f>'TUSD BE'!$Y$19*'TUSD BF'!$Y$69</f>
        <v>0</v>
      </c>
      <c r="Z19" s="25">
        <f>'TUSD BE'!$Z$19*'TUSD BF'!$Z$69</f>
        <v>0</v>
      </c>
      <c r="AA19" s="25">
        <f>'TUSD BE'!$AA$19*'TUSD BF'!$AA$69</f>
        <v>0</v>
      </c>
      <c r="AB19" s="25">
        <f>SUM($U$19:$AA$19)</f>
        <v>0</v>
      </c>
      <c r="AC19" s="25">
        <f>'TUSD BE'!$AC$19*'TUSD BF'!$AC$69</f>
        <v>0</v>
      </c>
      <c r="AD19" s="25">
        <f>SUM($AC$19:$AC$19)</f>
        <v>0</v>
      </c>
      <c r="AE19" s="25">
        <v>0</v>
      </c>
      <c r="AF19" s="25">
        <f ca="1">$AP$19*$AP$66</f>
        <v>0</v>
      </c>
      <c r="AG19" s="25">
        <f ca="1">SUM($AE$19:$AF$19)</f>
        <v>0</v>
      </c>
      <c r="AH19" s="25">
        <f>'TUSD BE'!$AH$19*'TUSD BF'!$AH$69</f>
        <v>1.5764699626365553</v>
      </c>
      <c r="AI19" s="25">
        <f>'TUSD BE'!$AI$19*'TUSD BF'!$AI$69</f>
        <v>9.103280591792913E-2</v>
      </c>
      <c r="AJ19" s="25">
        <f ca="1">'TUSD BE'!$AJ$19*'TUSD BF'!$AJ$69</f>
        <v>0</v>
      </c>
      <c r="AK19" s="25">
        <f ca="1">'TUSD BE'!$AK$19*'TUSD BF'!$AK$69</f>
        <v>0</v>
      </c>
      <c r="AL19" s="25">
        <f ca="1">SUM($AH$19:$AK$19)</f>
        <v>1.6675027685544843</v>
      </c>
      <c r="AM19" s="25">
        <f ca="1">SUMIF($L$4:$AL$4,"SUBTOTAL",$L$19:$AL$19)</f>
        <v>1.6675027685544843</v>
      </c>
      <c r="AO19" s="30"/>
      <c r="AP19" s="30">
        <f ca="1">+'TUSD BE'!$T$19+'TUSD BE'!$AB$19+'TUSD BE'!$AD$19+'TUSD BE'!$AL$19</f>
        <v>19.624005729707726</v>
      </c>
    </row>
    <row r="20" spans="1:42" ht="11.25" customHeight="1" x14ac:dyDescent="0.25">
      <c r="A20" s="136"/>
      <c r="B20" s="28" t="s">
        <v>64</v>
      </c>
      <c r="C20" s="28" t="s">
        <v>25</v>
      </c>
      <c r="D20" s="28" t="s">
        <v>25</v>
      </c>
      <c r="E20" s="28" t="s">
        <v>25</v>
      </c>
      <c r="F20" s="28" t="s">
        <v>25</v>
      </c>
      <c r="G20" s="21" t="s">
        <v>9</v>
      </c>
      <c r="H20" s="21" t="s">
        <v>93</v>
      </c>
      <c r="I20" s="21">
        <f>'MERCADO TUSD'!$U$17</f>
        <v>38138</v>
      </c>
      <c r="J20" s="17"/>
      <c r="L20" s="25">
        <f>'TUSD BE'!$L$20*'TUSD BF'!$L$69</f>
        <v>0</v>
      </c>
      <c r="M20" s="25">
        <f>'TUSD BE'!$M$20*'TUSD BF'!$M$69</f>
        <v>0</v>
      </c>
      <c r="N20" s="25">
        <f ca="1">'TUSD BE'!$N$20*'TUSD BF'!$N$69</f>
        <v>0</v>
      </c>
      <c r="O20" s="25">
        <f>'TUSD BE'!$O$20*'TUSD BF'!$O$69</f>
        <v>0</v>
      </c>
      <c r="P20" s="25">
        <f>'TUSD BE'!$P$20*'TUSD BF'!$P$69</f>
        <v>0</v>
      </c>
      <c r="Q20" s="25">
        <f>'TUSD BE'!$Q$20*'TUSD BF'!$Q$69</f>
        <v>0</v>
      </c>
      <c r="R20" s="25">
        <f>'TUSD BE'!$R$20*'TUSD BF'!$R$69</f>
        <v>0</v>
      </c>
      <c r="S20" s="25">
        <f>'TUSD BE'!$R$20*'TUSD BF'!$S$69</f>
        <v>0</v>
      </c>
      <c r="T20" s="25">
        <f ca="1">SUM($L$20:$S$20)</f>
        <v>0</v>
      </c>
      <c r="U20" s="25">
        <f>'TUSD BE'!$U$20*'TUSD BF'!$U$69</f>
        <v>0</v>
      </c>
      <c r="V20" s="25">
        <f>'TUSD BE'!$V$20*'TUSD BF'!$V$69</f>
        <v>0</v>
      </c>
      <c r="W20" s="25">
        <f>'TUSD BE'!$W$20*'TUSD BF'!$W$69</f>
        <v>0</v>
      </c>
      <c r="X20" s="25">
        <f>'TUSD BE'!$X$20*'TUSD BF'!$X$69</f>
        <v>0</v>
      </c>
      <c r="Y20" s="25">
        <f>'TUSD BE'!$Y$20*'TUSD BF'!$Y$69</f>
        <v>0</v>
      </c>
      <c r="Z20" s="25">
        <f>'TUSD BE'!$Z$20*'TUSD BF'!$Z$69</f>
        <v>0</v>
      </c>
      <c r="AA20" s="25">
        <f>'TUSD BE'!$AA$20*'TUSD BF'!$AA$69</f>
        <v>0</v>
      </c>
      <c r="AB20" s="25">
        <f>SUM($U$20:$AA$20)</f>
        <v>0</v>
      </c>
      <c r="AC20" s="25">
        <f>'TUSD BE'!$AC$20*'TUSD BF'!$AC$69</f>
        <v>0</v>
      </c>
      <c r="AD20" s="25">
        <f>SUM($AC$20:$AC$20)</f>
        <v>0</v>
      </c>
      <c r="AE20" s="25">
        <f ca="1">$AO$20*$AO$66</f>
        <v>0</v>
      </c>
      <c r="AF20" s="25">
        <f ca="1">$AP$20*$AP$66</f>
        <v>0</v>
      </c>
      <c r="AG20" s="25">
        <f ca="1">SUM($AE$20:$AF$20)</f>
        <v>0</v>
      </c>
      <c r="AH20" s="25">
        <f>'TUSD BE'!$AH$20*'TUSD BF'!$AH$69</f>
        <v>8.8275608961366025E-5</v>
      </c>
      <c r="AI20" s="25">
        <f>'TUSD BE'!$AI$20*'TUSD BF'!$AI$69</f>
        <v>0</v>
      </c>
      <c r="AJ20" s="25">
        <f ca="1">'TUSD BE'!$AJ$20*'TUSD BF'!$AJ$69</f>
        <v>0</v>
      </c>
      <c r="AK20" s="25">
        <f ca="1">'TUSD BE'!$AK$20*'TUSD BF'!$AK$69</f>
        <v>0</v>
      </c>
      <c r="AL20" s="25">
        <f ca="1">SUM($AH$20:$AK$20)</f>
        <v>8.8275608961366025E-5</v>
      </c>
      <c r="AM20" s="25">
        <f ca="1">SUMIF($L$4:$AL$4,"SUBTOTAL",$L$20:$AL$20)</f>
        <v>8.8275608961366025E-5</v>
      </c>
      <c r="AO20" s="30">
        <f ca="1">+'TUSD BE'!$T$20+'TUSD BE'!$AB$20+'TUSD BE'!$AD$20+'TUSD BE'!$AL$20</f>
        <v>15.080483190941107</v>
      </c>
      <c r="AP20" s="30">
        <f ca="1">+'TUSD BE'!$T$20+'TUSD BE'!$AB$20+'TUSD BE'!$AD$20+'TUSD BE'!$AL$20</f>
        <v>15.080483190941107</v>
      </c>
    </row>
    <row r="21" spans="1:42" ht="11.25" customHeight="1" x14ac:dyDescent="0.25">
      <c r="A21" s="136"/>
      <c r="B21" s="136" t="s">
        <v>34</v>
      </c>
      <c r="C21" s="136" t="s">
        <v>25</v>
      </c>
      <c r="D21" s="136" t="s">
        <v>25</v>
      </c>
      <c r="E21" s="136" t="s">
        <v>25</v>
      </c>
      <c r="F21" s="136" t="s">
        <v>25</v>
      </c>
      <c r="G21" s="21" t="s">
        <v>9</v>
      </c>
      <c r="H21" s="21" t="s">
        <v>93</v>
      </c>
      <c r="I21" s="21">
        <f>'MERCADO TUSD'!$U$18</f>
        <v>3390140</v>
      </c>
      <c r="J21" s="17"/>
      <c r="L21" s="25">
        <f>'TUSD BE'!$L$21*'TUSD BF'!$L$69</f>
        <v>0</v>
      </c>
      <c r="M21" s="25">
        <f>'TUSD BE'!$M$21*'TUSD BF'!$M$69</f>
        <v>0</v>
      </c>
      <c r="N21" s="25">
        <f ca="1">'TUSD BE'!$N$21*'TUSD BF'!$N$69</f>
        <v>0</v>
      </c>
      <c r="O21" s="25">
        <f>'TUSD BE'!$O$21*'TUSD BF'!$O$69</f>
        <v>0</v>
      </c>
      <c r="P21" s="25">
        <f>'TUSD BE'!$P$21*'TUSD BF'!$P$69</f>
        <v>0</v>
      </c>
      <c r="Q21" s="25">
        <f>'TUSD BE'!$Q$21*'TUSD BF'!$Q$69</f>
        <v>0</v>
      </c>
      <c r="R21" s="25">
        <f>'TUSD BE'!$R$21*'TUSD BF'!$R$69</f>
        <v>0</v>
      </c>
      <c r="S21" s="25">
        <f>'TUSD BE'!$R$21*'TUSD BF'!$S$69</f>
        <v>0</v>
      </c>
      <c r="T21" s="25">
        <f ca="1">SUM($L$21:$S$21)</f>
        <v>0</v>
      </c>
      <c r="U21" s="25">
        <f>'TUSD BE'!$U$21*'TUSD BF'!$U$69</f>
        <v>0.35175128417366719</v>
      </c>
      <c r="V21" s="25">
        <f>'TUSD BE'!$V$21*'TUSD BF'!$V$69</f>
        <v>6.9047185896624522E-2</v>
      </c>
      <c r="W21" s="25">
        <f>'TUSD BE'!$W$21*'TUSD BF'!$W$69</f>
        <v>0</v>
      </c>
      <c r="X21" s="25">
        <f>'TUSD BE'!$X$21*'TUSD BF'!$X$69</f>
        <v>0</v>
      </c>
      <c r="Y21" s="25">
        <f>'TUSD BE'!$Y$21*'TUSD BF'!$Y$69</f>
        <v>0</v>
      </c>
      <c r="Z21" s="25">
        <f>'TUSD BE'!$Z$21*'TUSD BF'!$Z$69</f>
        <v>0</v>
      </c>
      <c r="AA21" s="25">
        <f>'TUSD BE'!$AA$21*'TUSD BF'!$AA$69</f>
        <v>0</v>
      </c>
      <c r="AB21" s="25">
        <f>SUM($U$21:$AA$21)</f>
        <v>0.4207984700702917</v>
      </c>
      <c r="AC21" s="25">
        <f>'TUSD BE'!$AC$21*'TUSD BF'!$AC$69</f>
        <v>0</v>
      </c>
      <c r="AD21" s="25">
        <f>SUM($AC$21:$AC$21)</f>
        <v>0</v>
      </c>
      <c r="AE21" s="25">
        <f ca="1">$AO$21*$AO$66</f>
        <v>0</v>
      </c>
      <c r="AF21" s="25">
        <f ca="1">$AP$21*$AP$66</f>
        <v>0</v>
      </c>
      <c r="AG21" s="25">
        <f ca="1">SUM($AE$21:$AF$21)</f>
        <v>0</v>
      </c>
      <c r="AH21" s="25">
        <f>'TUSD BE'!$AH$21*'TUSD BF'!$AH$69</f>
        <v>0</v>
      </c>
      <c r="AI21" s="25">
        <f>'TUSD BE'!$AI$21*'TUSD BF'!$AI$69</f>
        <v>0</v>
      </c>
      <c r="AJ21" s="25">
        <f ca="1">'TUSD BE'!$AJ$21*'TUSD BF'!$AJ$69</f>
        <v>0</v>
      </c>
      <c r="AK21" s="25">
        <f ca="1">'TUSD BE'!$AK$21*'TUSD BF'!$AK$69</f>
        <v>0</v>
      </c>
      <c r="AL21" s="25">
        <f ca="1">SUM($AH$21:$AK$21)</f>
        <v>0</v>
      </c>
      <c r="AM21" s="25">
        <f ca="1">SUMIF($L$4:$AL$4,"SUBTOTAL",$L$21:$AL$21)</f>
        <v>0.4207984700702917</v>
      </c>
      <c r="AO21" s="30">
        <f ca="1">+'TUSD BE'!$T$21+'TUSD BE'!$AB$21+'TUSD BE'!$AD$21+'TUSD BE'!$AL$21</f>
        <v>26.465032224914786</v>
      </c>
      <c r="AP21" s="30">
        <f ca="1">+'TUSD BE'!$T$21+'TUSD BE'!$AB$21+'TUSD BE'!$AD$21+'TUSD BE'!$AL$21</f>
        <v>26.465032224914786</v>
      </c>
    </row>
    <row r="22" spans="1:42" ht="11.25" customHeight="1" x14ac:dyDescent="0.25">
      <c r="A22" s="136"/>
      <c r="B22" s="136"/>
      <c r="C22" s="136"/>
      <c r="D22" s="136"/>
      <c r="E22" s="136"/>
      <c r="F22" s="136"/>
      <c r="G22" s="21" t="s">
        <v>91</v>
      </c>
      <c r="H22" s="21" t="s">
        <v>90</v>
      </c>
      <c r="I22" s="21">
        <f>'MERCADO TUSD'!$U$19</f>
        <v>49009.922999999995</v>
      </c>
      <c r="J22" s="17"/>
      <c r="L22" s="25">
        <f>'TUSD BE'!$L$22*'TUSD BF'!$L$69</f>
        <v>7.6846310862188891E-2</v>
      </c>
      <c r="M22" s="25">
        <f>'TUSD BE'!$M$22*'TUSD BF'!$M$69</f>
        <v>0</v>
      </c>
      <c r="N22" s="25">
        <f ca="1">'TUSD BE'!$N$22*'TUSD BF'!$N$69</f>
        <v>0</v>
      </c>
      <c r="O22" s="25">
        <f>'TUSD BE'!$O$22*'TUSD BF'!$O$69</f>
        <v>0</v>
      </c>
      <c r="P22" s="25">
        <f>'TUSD BE'!$P$22*'TUSD BF'!$P$69</f>
        <v>0</v>
      </c>
      <c r="Q22" s="25">
        <f>'TUSD BE'!$Q$22*'TUSD BF'!$Q$69</f>
        <v>2.6698855493553246</v>
      </c>
      <c r="R22" s="25">
        <f>'TUSD BE'!$R$22*'TUSD BF'!$R$69</f>
        <v>1.8356749495197138</v>
      </c>
      <c r="S22" s="25">
        <f>'TUSD BE'!$R$22*'TUSD BF'!$S$69</f>
        <v>0</v>
      </c>
      <c r="T22" s="25">
        <f ca="1">SUM($L$22:$S$22)</f>
        <v>4.5824068097372272</v>
      </c>
      <c r="U22" s="25">
        <f>'TUSD BE'!$U$22*'TUSD BF'!$U$69</f>
        <v>15.479876355591511</v>
      </c>
      <c r="V22" s="25">
        <f>'TUSD BE'!$V$22*'TUSD BF'!$V$69</f>
        <v>3.0275095590657615</v>
      </c>
      <c r="W22" s="25">
        <f>'TUSD BE'!$W$22*'TUSD BF'!$W$69</f>
        <v>0</v>
      </c>
      <c r="X22" s="25">
        <f>'TUSD BE'!$X$22*'TUSD BF'!$X$69</f>
        <v>0</v>
      </c>
      <c r="Y22" s="25">
        <f>'TUSD BE'!$Y$22*'TUSD BF'!$Y$69</f>
        <v>0</v>
      </c>
      <c r="Z22" s="25">
        <f>'TUSD BE'!$Z$22*'TUSD BF'!$Z$69</f>
        <v>0</v>
      </c>
      <c r="AA22" s="25">
        <f>'TUSD BE'!$AA$22*'TUSD BF'!$AA$69</f>
        <v>0</v>
      </c>
      <c r="AB22" s="25">
        <f>SUM($U$22:$AA$22)</f>
        <v>18.507385914657274</v>
      </c>
      <c r="AC22" s="25">
        <f>'TUSD BE'!$AC$22*'TUSD BF'!$AC$69</f>
        <v>0</v>
      </c>
      <c r="AD22" s="25">
        <f>SUM($AC$22:$AC$22)</f>
        <v>0</v>
      </c>
      <c r="AE22" s="25">
        <f ca="1">$AO$22*$AO$66</f>
        <v>0</v>
      </c>
      <c r="AF22" s="25">
        <f ca="1">$AP$22*$AP$66</f>
        <v>0</v>
      </c>
      <c r="AG22" s="25">
        <f ca="1">SUM($AE$22:$AF$22)</f>
        <v>0</v>
      </c>
      <c r="AH22" s="25">
        <f>'TUSD BE'!$AH$22*'TUSD BF'!$AH$69</f>
        <v>1.5764699626365553</v>
      </c>
      <c r="AI22" s="25">
        <f>'TUSD BE'!$AI$22*'TUSD BF'!$AI$69</f>
        <v>9.103280591792913E-2</v>
      </c>
      <c r="AJ22" s="25">
        <f ca="1">'TUSD BE'!$AJ$22*'TUSD BF'!$AJ$69</f>
        <v>2.2689022453501857</v>
      </c>
      <c r="AK22" s="25">
        <f ca="1">'TUSD BE'!$AK$22*'TUSD BF'!$AK$69</f>
        <v>0</v>
      </c>
      <c r="AL22" s="25">
        <f ca="1">SUM($AH$22:$AK$22)</f>
        <v>3.93640501390467</v>
      </c>
      <c r="AM22" s="25">
        <f ca="1">SUMIF($L$4:$AL$4,"SUBTOTAL",$L$22:$AL$22)</f>
        <v>27.026197738299167</v>
      </c>
      <c r="AO22" s="30">
        <f ca="1">+'TUSD BE'!$T$22+'TUSD BE'!$AB$22+'TUSD BE'!$AD$22+'TUSD BE'!$AL$22</f>
        <v>1874.2682138033972</v>
      </c>
      <c r="AP22" s="30">
        <f ca="1">+'TUSD BE'!$T$22+'TUSD BE'!$AB$22+'TUSD BE'!$AD$22+'TUSD BE'!$AL$22</f>
        <v>1874.2682138033972</v>
      </c>
    </row>
    <row r="23" spans="1:42" ht="11.25" customHeight="1" x14ac:dyDescent="0.25">
      <c r="A23" s="136"/>
      <c r="B23" s="136"/>
      <c r="C23" s="136"/>
      <c r="D23" s="136"/>
      <c r="E23" s="136"/>
      <c r="F23" s="136"/>
      <c r="G23" s="21" t="s">
        <v>92</v>
      </c>
      <c r="H23" s="21" t="s">
        <v>90</v>
      </c>
      <c r="I23" s="21">
        <f>'MERCADO TUSD'!$U$20</f>
        <v>680185.39</v>
      </c>
      <c r="J23" s="17"/>
      <c r="L23" s="25">
        <f>'TUSD BE'!$L$23*'TUSD BF'!$L$69</f>
        <v>7.6846310862188891E-2</v>
      </c>
      <c r="M23" s="25">
        <f>'TUSD BE'!$M$23*'TUSD BF'!$M$69</f>
        <v>0</v>
      </c>
      <c r="N23" s="25">
        <f ca="1">'TUSD BE'!$N$23*'TUSD BF'!$N$69</f>
        <v>0</v>
      </c>
      <c r="O23" s="25">
        <f>'TUSD BE'!$O$23*'TUSD BF'!$O$69</f>
        <v>0</v>
      </c>
      <c r="P23" s="25">
        <f>'TUSD BE'!$P$23*'TUSD BF'!$P$69</f>
        <v>0</v>
      </c>
      <c r="Q23" s="25">
        <f>'TUSD BE'!$Q$23*'TUSD BF'!$Q$69</f>
        <v>2.6698855493553246</v>
      </c>
      <c r="R23" s="25">
        <f>'TUSD BE'!$R$23*'TUSD BF'!$R$69</f>
        <v>1.8356749495197138</v>
      </c>
      <c r="S23" s="25">
        <f>'TUSD BE'!$R$23*'TUSD BF'!$S$69</f>
        <v>0</v>
      </c>
      <c r="T23" s="25">
        <f ca="1">SUM($L$23:$S$23)</f>
        <v>4.5824068097372272</v>
      </c>
      <c r="U23" s="25">
        <f>'TUSD BE'!$U$23*'TUSD BF'!$U$69</f>
        <v>0</v>
      </c>
      <c r="V23" s="25">
        <f>'TUSD BE'!$V$23*'TUSD BF'!$V$69</f>
        <v>0</v>
      </c>
      <c r="W23" s="25">
        <f>'TUSD BE'!$W$23*'TUSD BF'!$W$69</f>
        <v>0</v>
      </c>
      <c r="X23" s="25">
        <f>'TUSD BE'!$X$23*'TUSD BF'!$X$69</f>
        <v>0</v>
      </c>
      <c r="Y23" s="25">
        <f>'TUSD BE'!$Y$23*'TUSD BF'!$Y$69</f>
        <v>0</v>
      </c>
      <c r="Z23" s="25">
        <f>'TUSD BE'!$Z$23*'TUSD BF'!$Z$69</f>
        <v>0</v>
      </c>
      <c r="AA23" s="25">
        <f>'TUSD BE'!$AA$23*'TUSD BF'!$AA$69</f>
        <v>0</v>
      </c>
      <c r="AB23" s="25">
        <f>SUM($U$23:$AA$23)</f>
        <v>0</v>
      </c>
      <c r="AC23" s="25">
        <f>'TUSD BE'!$AC$23*'TUSD BF'!$AC$69</f>
        <v>0</v>
      </c>
      <c r="AD23" s="25">
        <f>SUM($AC$23:$AC$23)</f>
        <v>0</v>
      </c>
      <c r="AE23" s="25">
        <f ca="1">$AO$23*$AO$66</f>
        <v>0</v>
      </c>
      <c r="AF23" s="25">
        <f ca="1">$AP$23*$AP$66</f>
        <v>0</v>
      </c>
      <c r="AG23" s="25">
        <f ca="1">SUM($AE$23:$AF$23)</f>
        <v>0</v>
      </c>
      <c r="AH23" s="25">
        <f>'TUSD BE'!$AH$23*'TUSD BF'!$AH$69</f>
        <v>1.5764699626365553</v>
      </c>
      <c r="AI23" s="25">
        <f>'TUSD BE'!$AI$23*'TUSD BF'!$AI$69</f>
        <v>9.103280591792913E-2</v>
      </c>
      <c r="AJ23" s="25">
        <f ca="1">'TUSD BE'!$AJ$23*'TUSD BF'!$AJ$69</f>
        <v>2.2689022453501857</v>
      </c>
      <c r="AK23" s="25">
        <f ca="1">'TUSD BE'!$AK$23*'TUSD BF'!$AK$69</f>
        <v>0</v>
      </c>
      <c r="AL23" s="25">
        <f ca="1">SUM($AH$23:$AK$23)</f>
        <v>3.93640501390467</v>
      </c>
      <c r="AM23" s="25">
        <f ca="1">SUMIF($L$4:$AL$4,"SUBTOTAL",$L$23:$AL$23)</f>
        <v>8.5188118236418973</v>
      </c>
      <c r="AO23" s="30">
        <f ca="1">+'TUSD BE'!$T$23+'TUSD BE'!$AB$23+'TUSD BE'!$AD$23+'TUSD BE'!$AL$23</f>
        <v>114.07583761155162</v>
      </c>
      <c r="AP23" s="30">
        <f ca="1">+'TUSD BE'!$T$23+'TUSD BE'!$AB$23+'TUSD BE'!$AD$23+'TUSD BE'!$AL$23</f>
        <v>114.07583761155162</v>
      </c>
    </row>
    <row r="24" spans="1:42" ht="11.25" customHeight="1" x14ac:dyDescent="0.25">
      <c r="A24" s="136"/>
      <c r="B24" s="136"/>
      <c r="C24" s="136"/>
      <c r="D24" s="136"/>
      <c r="E24" s="136" t="s">
        <v>58</v>
      </c>
      <c r="F24" s="136" t="s">
        <v>25</v>
      </c>
      <c r="G24" s="21" t="s">
        <v>91</v>
      </c>
      <c r="H24" s="21" t="s">
        <v>90</v>
      </c>
      <c r="I24" s="21">
        <f>'MERCADO TUSD'!$U$21</f>
        <v>0</v>
      </c>
      <c r="J24" s="17"/>
      <c r="L24" s="25">
        <f>'TUSD BE'!$L$24*'TUSD BF'!$L$69</f>
        <v>0</v>
      </c>
      <c r="M24" s="25">
        <f>'TUSD BE'!$M$24*'TUSD BF'!$M$69</f>
        <v>0</v>
      </c>
      <c r="N24" s="25">
        <f ca="1">'TUSD BE'!$N$24*'TUSD BF'!$N$69</f>
        <v>0</v>
      </c>
      <c r="O24" s="25">
        <f>'TUSD BE'!$O$24*'TUSD BF'!$O$69</f>
        <v>0</v>
      </c>
      <c r="P24" s="25">
        <f>'TUSD BE'!$P$24*'TUSD BF'!$P$69</f>
        <v>0</v>
      </c>
      <c r="Q24" s="25">
        <f>'TUSD BE'!$Q$24*'TUSD BF'!$Q$69</f>
        <v>0</v>
      </c>
      <c r="R24" s="25">
        <f>'TUSD BE'!$R$24*'TUSD BF'!$R$69</f>
        <v>0</v>
      </c>
      <c r="S24" s="25">
        <f>'TUSD BE'!$R$24*'TUSD BF'!$S$69</f>
        <v>0</v>
      </c>
      <c r="T24" s="25">
        <f ca="1">SUM($L$24:$S$24)</f>
        <v>0</v>
      </c>
      <c r="U24" s="25">
        <f>'TUSD BE'!$U$24*'TUSD BF'!$U$69</f>
        <v>15.479876355591511</v>
      </c>
      <c r="V24" s="25">
        <f>'TUSD BE'!$V$24*'TUSD BF'!$V$69</f>
        <v>3.0275095590657615</v>
      </c>
      <c r="W24" s="25">
        <f>'TUSD BE'!$W$24*'TUSD BF'!$W$69</f>
        <v>0</v>
      </c>
      <c r="X24" s="25">
        <f>'TUSD BE'!$X$24*'TUSD BF'!$X$69</f>
        <v>0</v>
      </c>
      <c r="Y24" s="25">
        <f>'TUSD BE'!$Y$24*'TUSD BF'!$Y$69</f>
        <v>0</v>
      </c>
      <c r="Z24" s="25">
        <f>'TUSD BE'!$Z$24*'TUSD BF'!$Z$69</f>
        <v>0</v>
      </c>
      <c r="AA24" s="25">
        <f>'TUSD BE'!$AA$24*'TUSD BF'!$AA$69</f>
        <v>0</v>
      </c>
      <c r="AB24" s="25">
        <f>SUM($U$24:$AA$24)</f>
        <v>18.507385914657274</v>
      </c>
      <c r="AC24" s="25">
        <f>'TUSD BE'!$AC$24*'TUSD BF'!$AC$69</f>
        <v>0</v>
      </c>
      <c r="AD24" s="25">
        <f>SUM($AC$24:$AC$24)</f>
        <v>0</v>
      </c>
      <c r="AE24" s="25">
        <f ca="1">$AO$24*$AO$66</f>
        <v>0</v>
      </c>
      <c r="AF24" s="25">
        <f ca="1">$AP$24*$AP$66</f>
        <v>0</v>
      </c>
      <c r="AG24" s="25">
        <f ca="1">SUM($AE$24:$AF$24)</f>
        <v>0</v>
      </c>
      <c r="AH24" s="25">
        <f>'TUSD BE'!$AH$24*'TUSD BF'!$AH$69</f>
        <v>1.5764699626365553</v>
      </c>
      <c r="AI24" s="25">
        <f>'TUSD BE'!$AI$24*'TUSD BF'!$AI$69</f>
        <v>9.103280591792913E-2</v>
      </c>
      <c r="AJ24" s="25">
        <f ca="1">'TUSD BE'!$AJ$24*'TUSD BF'!$AJ$69</f>
        <v>2.2689022453501857</v>
      </c>
      <c r="AK24" s="25">
        <f ca="1">'TUSD BE'!$AK$24*'TUSD BF'!$AK$69</f>
        <v>0</v>
      </c>
      <c r="AL24" s="25">
        <f ca="1">SUM($AH$24:$AK$24)</f>
        <v>3.93640501390467</v>
      </c>
      <c r="AM24" s="25">
        <f ca="1">SUMIF($L$4:$AL$4,"SUBTOTAL",$L$24:$AL$24)</f>
        <v>22.443790928561945</v>
      </c>
      <c r="AO24" s="30">
        <f ca="1">+'TUSD BE'!$T$24+'TUSD BE'!$AB$24+'TUSD BE'!$AD$24+'TUSD BE'!$AL$24</f>
        <v>1815.4833367784749</v>
      </c>
      <c r="AP24" s="30">
        <f ca="1">+'TUSD BE'!$T$24+'TUSD BE'!$AB$24+'TUSD BE'!$AD$24+'TUSD BE'!$AL$24</f>
        <v>1815.4833367784749</v>
      </c>
    </row>
    <row r="25" spans="1:42" ht="11.25" customHeight="1" x14ac:dyDescent="0.25">
      <c r="A25" s="136"/>
      <c r="B25" s="136"/>
      <c r="C25" s="136"/>
      <c r="D25" s="136"/>
      <c r="E25" s="136"/>
      <c r="F25" s="136"/>
      <c r="G25" s="21" t="s">
        <v>92</v>
      </c>
      <c r="H25" s="21" t="s">
        <v>90</v>
      </c>
      <c r="I25" s="21">
        <f>'MERCADO TUSD'!$U$22</f>
        <v>0</v>
      </c>
      <c r="J25" s="17"/>
      <c r="L25" s="25">
        <f>'TUSD BE'!$L$25*'TUSD BF'!$L$69</f>
        <v>0</v>
      </c>
      <c r="M25" s="25">
        <f>'TUSD BE'!$M$25*'TUSD BF'!$M$69</f>
        <v>0</v>
      </c>
      <c r="N25" s="25">
        <f ca="1">'TUSD BE'!$N$25*'TUSD BF'!$N$69</f>
        <v>0</v>
      </c>
      <c r="O25" s="25">
        <f>'TUSD BE'!$O$25*'TUSD BF'!$O$69</f>
        <v>0</v>
      </c>
      <c r="P25" s="25">
        <f>'TUSD BE'!$P$25*'TUSD BF'!$P$69</f>
        <v>0</v>
      </c>
      <c r="Q25" s="25">
        <f>'TUSD BE'!$Q$25*'TUSD BF'!$Q$69</f>
        <v>0</v>
      </c>
      <c r="R25" s="25">
        <f>'TUSD BE'!$R$25*'TUSD BF'!$R$69</f>
        <v>0</v>
      </c>
      <c r="S25" s="25">
        <f>'TUSD BE'!$R$25*'TUSD BF'!$S$69</f>
        <v>0</v>
      </c>
      <c r="T25" s="25">
        <f ca="1">SUM($L$25:$S$25)</f>
        <v>0</v>
      </c>
      <c r="U25" s="25">
        <f>'TUSD BE'!$U$25*'TUSD BF'!$U$69</f>
        <v>0</v>
      </c>
      <c r="V25" s="25">
        <f>'TUSD BE'!$V$25*'TUSD BF'!$V$69</f>
        <v>0</v>
      </c>
      <c r="W25" s="25">
        <f>'TUSD BE'!$W$25*'TUSD BF'!$W$69</f>
        <v>0</v>
      </c>
      <c r="X25" s="25">
        <f>'TUSD BE'!$X$25*'TUSD BF'!$X$69</f>
        <v>0</v>
      </c>
      <c r="Y25" s="25">
        <f>'TUSD BE'!$Y$25*'TUSD BF'!$Y$69</f>
        <v>0</v>
      </c>
      <c r="Z25" s="25">
        <f>'TUSD BE'!$Z$25*'TUSD BF'!$Z$69</f>
        <v>0</v>
      </c>
      <c r="AA25" s="25">
        <f>'TUSD BE'!$AA$25*'TUSD BF'!$AA$69</f>
        <v>0</v>
      </c>
      <c r="AB25" s="25">
        <f>SUM($U$25:$AA$25)</f>
        <v>0</v>
      </c>
      <c r="AC25" s="25">
        <f>'TUSD BE'!$AC$25*'TUSD BF'!$AC$69</f>
        <v>0</v>
      </c>
      <c r="AD25" s="25">
        <f>SUM($AC$25:$AC$25)</f>
        <v>0</v>
      </c>
      <c r="AE25" s="25">
        <f ca="1">$AO$25*$AO$66</f>
        <v>0</v>
      </c>
      <c r="AF25" s="25">
        <f ca="1">$AP$25*$AP$66</f>
        <v>0</v>
      </c>
      <c r="AG25" s="25">
        <f ca="1">SUM($AE$25:$AF$25)</f>
        <v>0</v>
      </c>
      <c r="AH25" s="25">
        <f>'TUSD BE'!$AH$25*'TUSD BF'!$AH$69</f>
        <v>1.5764699626365553</v>
      </c>
      <c r="AI25" s="25">
        <f>'TUSD BE'!$AI$25*'TUSD BF'!$AI$69</f>
        <v>9.103280591792913E-2</v>
      </c>
      <c r="AJ25" s="25">
        <f ca="1">'TUSD BE'!$AJ$25*'TUSD BF'!$AJ$69</f>
        <v>2.2689022453501857</v>
      </c>
      <c r="AK25" s="25">
        <f ca="1">'TUSD BE'!$AK$25*'TUSD BF'!$AK$69</f>
        <v>0</v>
      </c>
      <c r="AL25" s="25">
        <f ca="1">SUM($AH$25:$AK$25)</f>
        <v>3.93640501390467</v>
      </c>
      <c r="AM25" s="25">
        <f ca="1">SUMIF($L$4:$AL$4,"SUBTOTAL",$L$25:$AL$25)</f>
        <v>3.93640501390467</v>
      </c>
      <c r="AO25" s="30">
        <f ca="1">+'TUSD BE'!$T$25+'TUSD BE'!$AB$25+'TUSD BE'!$AD$25+'TUSD BE'!$AL$25</f>
        <v>55.290960586629325</v>
      </c>
      <c r="AP25" s="30">
        <f ca="1">+'TUSD BE'!$T$25+'TUSD BE'!$AB$25+'TUSD BE'!$AD$25+'TUSD BE'!$AL$25</f>
        <v>55.290960586629325</v>
      </c>
    </row>
    <row r="26" spans="1:42" ht="11.25" customHeight="1" x14ac:dyDescent="0.25">
      <c r="A26" s="136" t="s">
        <v>98</v>
      </c>
      <c r="B26" s="136" t="s">
        <v>64</v>
      </c>
      <c r="C26" s="136" t="s">
        <v>25</v>
      </c>
      <c r="D26" s="136" t="s">
        <v>25</v>
      </c>
      <c r="E26" s="28" t="s">
        <v>99</v>
      </c>
      <c r="F26" s="28" t="s">
        <v>25</v>
      </c>
      <c r="G26" s="21" t="s">
        <v>9</v>
      </c>
      <c r="H26" s="21" t="s">
        <v>93</v>
      </c>
      <c r="I26" s="21">
        <f>'MERCADO TUSD'!$U$23+0.00000001</f>
        <v>1E-8</v>
      </c>
      <c r="J26" s="17"/>
      <c r="L26" s="25">
        <f>'TUSD BE'!$L$26*'TUSD BF'!$L$69</f>
        <v>0</v>
      </c>
      <c r="M26" s="25">
        <f>'TUSD BE'!$M$26*'TUSD BF'!$M$69</f>
        <v>0</v>
      </c>
      <c r="N26" s="25">
        <f ca="1">'TUSD BE'!$N$26*'TUSD BF'!$N$69</f>
        <v>0</v>
      </c>
      <c r="O26" s="25">
        <f>'TUSD BE'!$O$26*'TUSD BF'!$O$69</f>
        <v>0</v>
      </c>
      <c r="P26" s="25">
        <f>'TUSD BE'!$P$26*'TUSD BF'!$P$69</f>
        <v>0</v>
      </c>
      <c r="Q26" s="25">
        <f>'TUSD BE'!$Q$26*'TUSD BF'!$Q$69</f>
        <v>0</v>
      </c>
      <c r="R26" s="25">
        <f>'TUSD BE'!$R$26*'TUSD BF'!$R$69</f>
        <v>0</v>
      </c>
      <c r="S26" s="25">
        <f>'TUSD BE'!$R$26*'TUSD BF'!$S$69</f>
        <v>0</v>
      </c>
      <c r="T26" s="25">
        <f ca="1">SUM($L$26:$S$26)</f>
        <v>0</v>
      </c>
      <c r="U26" s="25">
        <f>'TUSD BE'!$U$26*'TUSD BF'!$U$69</f>
        <v>0</v>
      </c>
      <c r="V26" s="25">
        <f>'TUSD BE'!$V$26*'TUSD BF'!$V$69</f>
        <v>0</v>
      </c>
      <c r="W26" s="25">
        <f>'TUSD BE'!$W$26*'TUSD BF'!$W$69</f>
        <v>0</v>
      </c>
      <c r="X26" s="25">
        <f>'TUSD BE'!$X$26*'TUSD BF'!$X$69</f>
        <v>0</v>
      </c>
      <c r="Y26" s="25">
        <f>'TUSD BE'!$Y$26*'TUSD BF'!$Y$69</f>
        <v>0</v>
      </c>
      <c r="Z26" s="25">
        <f>'TUSD BE'!$Z$26*'TUSD BF'!$Z$69</f>
        <v>0</v>
      </c>
      <c r="AA26" s="25">
        <f>'TUSD BE'!$AA$26*'TUSD BF'!$AA$69</f>
        <v>0</v>
      </c>
      <c r="AB26" s="25">
        <f>SUM($U$26:$AA$26)</f>
        <v>0</v>
      </c>
      <c r="AC26" s="25">
        <f>'TUSD BE'!$AC$26*'TUSD BF'!$AC$69</f>
        <v>0</v>
      </c>
      <c r="AD26" s="25">
        <f>SUM($AC$26:$AC$26)</f>
        <v>0</v>
      </c>
      <c r="AE26" s="25">
        <f ca="1">$AO$26*$AO$66</f>
        <v>0</v>
      </c>
      <c r="AF26" s="25">
        <f ca="1">$AP$26*$AP$66</f>
        <v>0</v>
      </c>
      <c r="AG26" s="25">
        <f ca="1">SUM($AE$26:$AF$26)</f>
        <v>0</v>
      </c>
      <c r="AH26" s="25">
        <f>'TUSD BE'!$AH$26*'TUSD BF'!$AH$69</f>
        <v>0</v>
      </c>
      <c r="AI26" s="25">
        <f>'TUSD BE'!$AI$26*'TUSD BF'!$AI$69</f>
        <v>0</v>
      </c>
      <c r="AJ26" s="25">
        <f ca="1">'TUSD BE'!$AJ$26*'TUSD BF'!$AJ$69</f>
        <v>0</v>
      </c>
      <c r="AK26" s="25">
        <f ca="1">'TUSD BE'!$AK$26*'TUSD BF'!$AK$69</f>
        <v>0</v>
      </c>
      <c r="AL26" s="25">
        <f ca="1">SUM($AH$26:$AK$26)</f>
        <v>0</v>
      </c>
      <c r="AM26" s="25">
        <f ca="1">SUMIF($L$4:$AL$4,"SUBTOTAL",$L$26:$AL$26)</f>
        <v>0</v>
      </c>
      <c r="AO26" s="30">
        <f ca="1">+'TUSD BE'!$T$26+'TUSD BE'!$AB$26+'TUSD BE'!$AD$26+'TUSD BE'!$AL$26</f>
        <v>8.5193926710637999</v>
      </c>
      <c r="AP26" s="30">
        <f ca="1">+'TUSD BE'!$T$26+'TUSD BE'!$AB$26+'TUSD BE'!$AD$26+'TUSD BE'!$AL$26</f>
        <v>8.5193926710637999</v>
      </c>
    </row>
    <row r="27" spans="1:42" ht="11.25" customHeight="1" x14ac:dyDescent="0.25">
      <c r="A27" s="136"/>
      <c r="B27" s="136"/>
      <c r="C27" s="136"/>
      <c r="D27" s="136"/>
      <c r="E27" s="28" t="s">
        <v>100</v>
      </c>
      <c r="F27" s="28" t="s">
        <v>25</v>
      </c>
      <c r="G27" s="21" t="s">
        <v>9</v>
      </c>
      <c r="H27" s="21" t="s">
        <v>93</v>
      </c>
      <c r="I27" s="21">
        <f>'MERCADO TUSD'!$U$24+0.00000001</f>
        <v>1E-8</v>
      </c>
      <c r="J27" s="17"/>
      <c r="L27" s="25">
        <f>'TUSD BE'!$L$27*'TUSD BF'!$L$69</f>
        <v>0</v>
      </c>
      <c r="M27" s="25">
        <f>'TUSD BE'!$M$27*'TUSD BF'!$M$69</f>
        <v>0</v>
      </c>
      <c r="N27" s="25">
        <f ca="1">'TUSD BE'!$N$27*'TUSD BF'!$N$69</f>
        <v>0</v>
      </c>
      <c r="O27" s="25">
        <f>'TUSD BE'!$O$27*'TUSD BF'!$O$69</f>
        <v>0</v>
      </c>
      <c r="P27" s="25">
        <f>'TUSD BE'!$P$27*'TUSD BF'!$P$69</f>
        <v>0</v>
      </c>
      <c r="Q27" s="25">
        <f>'TUSD BE'!$Q$27*'TUSD BF'!$Q$69</f>
        <v>0</v>
      </c>
      <c r="R27" s="25">
        <f>'TUSD BE'!$R$27*'TUSD BF'!$R$69</f>
        <v>0</v>
      </c>
      <c r="S27" s="25">
        <f>'TUSD BE'!$R$27*'TUSD BF'!$S$69</f>
        <v>0</v>
      </c>
      <c r="T27" s="25">
        <f ca="1">SUM($L$27:$S$27)</f>
        <v>0</v>
      </c>
      <c r="U27" s="25">
        <f>'TUSD BE'!$U$27*'TUSD BF'!$U$69</f>
        <v>0</v>
      </c>
      <c r="V27" s="25">
        <f>'TUSD BE'!$V$27*'TUSD BF'!$V$69</f>
        <v>0</v>
      </c>
      <c r="W27" s="25">
        <f>'TUSD BE'!$W$27*'TUSD BF'!$W$69</f>
        <v>0</v>
      </c>
      <c r="X27" s="25">
        <f>'TUSD BE'!$X$27*'TUSD BF'!$X$69</f>
        <v>0</v>
      </c>
      <c r="Y27" s="25">
        <f>'TUSD BE'!$Y$27*'TUSD BF'!$Y$69</f>
        <v>0</v>
      </c>
      <c r="Z27" s="25">
        <f>'TUSD BE'!$Z$27*'TUSD BF'!$Z$69</f>
        <v>0</v>
      </c>
      <c r="AA27" s="25">
        <f>'TUSD BE'!$AA$27*'TUSD BF'!$AA$69</f>
        <v>0</v>
      </c>
      <c r="AB27" s="25">
        <f>SUM($U$27:$AA$27)</f>
        <v>0</v>
      </c>
      <c r="AC27" s="25">
        <f>'TUSD BE'!$AC$27*'TUSD BF'!$AC$69</f>
        <v>0</v>
      </c>
      <c r="AD27" s="25">
        <f>SUM($AC$27:$AC$27)</f>
        <v>0</v>
      </c>
      <c r="AE27" s="25">
        <f ca="1">$AO$27*$AO$66</f>
        <v>0</v>
      </c>
      <c r="AF27" s="25">
        <f ca="1">$AP$27*$AP$66</f>
        <v>0</v>
      </c>
      <c r="AG27" s="25">
        <f ca="1">SUM($AE$27:$AF$27)</f>
        <v>0</v>
      </c>
      <c r="AH27" s="25">
        <f>'TUSD BE'!$AH$27*'TUSD BF'!$AH$69</f>
        <v>0</v>
      </c>
      <c r="AI27" s="25">
        <f>'TUSD BE'!$AI$27*'TUSD BF'!$AI$69</f>
        <v>0</v>
      </c>
      <c r="AJ27" s="25">
        <f ca="1">'TUSD BE'!$AJ$27*'TUSD BF'!$AJ$69</f>
        <v>0</v>
      </c>
      <c r="AK27" s="25">
        <f ca="1">'TUSD BE'!$AK$27*'TUSD BF'!$AK$69</f>
        <v>0</v>
      </c>
      <c r="AL27" s="25">
        <f ca="1">SUM($AH$27:$AK$27)</f>
        <v>0</v>
      </c>
      <c r="AM27" s="25">
        <f ca="1">SUMIF($L$4:$AL$4,"SUBTOTAL",$L$27:$AL$27)</f>
        <v>0</v>
      </c>
      <c r="AO27" s="30">
        <f ca="1">+'TUSD BE'!$T$27+'TUSD BE'!$AB$27+'TUSD BE'!$AD$27+'TUSD BE'!$AL$27</f>
        <v>21.584155612053468</v>
      </c>
      <c r="AP27" s="30">
        <f ca="1">+'TUSD BE'!$T$27+'TUSD BE'!$AB$27+'TUSD BE'!$AD$27+'TUSD BE'!$AL$27</f>
        <v>21.584155612053468</v>
      </c>
    </row>
    <row r="28" spans="1:42" ht="11.25" customHeight="1" x14ac:dyDescent="0.25">
      <c r="A28" s="136" t="s">
        <v>22</v>
      </c>
      <c r="B28" s="136" t="s">
        <v>37</v>
      </c>
      <c r="C28" s="136" t="s">
        <v>24</v>
      </c>
      <c r="D28" s="136" t="s">
        <v>24</v>
      </c>
      <c r="E28" s="136" t="s">
        <v>25</v>
      </c>
      <c r="F28" s="136" t="s">
        <v>25</v>
      </c>
      <c r="G28" s="21" t="s">
        <v>91</v>
      </c>
      <c r="H28" s="21" t="s">
        <v>90</v>
      </c>
      <c r="I28" s="21">
        <f>'MERCADO TUSD'!$U$25</f>
        <v>50.420000000000009</v>
      </c>
      <c r="J28" s="17"/>
      <c r="L28" s="25">
        <f>'TUSD BE'!$L$28*'TUSD BF'!$L$69</f>
        <v>9.1483703407367722E-2</v>
      </c>
      <c r="M28" s="25">
        <f>'TUSD BE'!$M$28*'TUSD BF'!$M$69</f>
        <v>0</v>
      </c>
      <c r="N28" s="25">
        <f ca="1">'TUSD BE'!$N$28*'TUSD BF'!$N$69</f>
        <v>0</v>
      </c>
      <c r="O28" s="25">
        <f>'TUSD BE'!$O$28*'TUSD BF'!$O$69</f>
        <v>0</v>
      </c>
      <c r="P28" s="25">
        <f>'TUSD BE'!$P$28*'TUSD BF'!$P$69</f>
        <v>0</v>
      </c>
      <c r="Q28" s="25">
        <f>'TUSD BE'!$Q$28*'TUSD BF'!$Q$69</f>
        <v>3.1784351778039577</v>
      </c>
      <c r="R28" s="25">
        <f>'TUSD BE'!$R$28*'TUSD BF'!$R$69</f>
        <v>1.8356749495197138</v>
      </c>
      <c r="S28" s="25">
        <f>'TUSD BE'!$R$28*'TUSD BF'!$S$69</f>
        <v>0</v>
      </c>
      <c r="T28" s="25">
        <f ca="1">SUM($L$28:$S$28)</f>
        <v>5.1055938307310393</v>
      </c>
      <c r="U28" s="25">
        <f>'TUSD BE'!$U$28*'TUSD BF'!$U$69</f>
        <v>8.2612961769935129</v>
      </c>
      <c r="V28" s="25">
        <f>'TUSD BE'!$V$28*'TUSD BF'!$V$69</f>
        <v>1.6185568906015035</v>
      </c>
      <c r="W28" s="25">
        <f>'TUSD BE'!$W$28*'TUSD BF'!$W$69</f>
        <v>0</v>
      </c>
      <c r="X28" s="25">
        <f>'TUSD BE'!$X$28*'TUSD BF'!$X$69</f>
        <v>0</v>
      </c>
      <c r="Y28" s="25">
        <f>'TUSD BE'!$Y$28*'TUSD BF'!$Y$69</f>
        <v>0</v>
      </c>
      <c r="Z28" s="25">
        <f>'TUSD BE'!$Z$28*'TUSD BF'!$Z$69</f>
        <v>0</v>
      </c>
      <c r="AA28" s="25">
        <f>'TUSD BE'!$AA$28*'TUSD BF'!$AA$69</f>
        <v>0</v>
      </c>
      <c r="AB28" s="25">
        <f>SUM($U$28:$AA$28)</f>
        <v>9.8798530675950165</v>
      </c>
      <c r="AC28" s="25">
        <f>'TUSD BE'!$AC$28*'TUSD BF'!$AC$69</f>
        <v>0</v>
      </c>
      <c r="AD28" s="25">
        <f>SUM($AC$28:$AC$28)</f>
        <v>0</v>
      </c>
      <c r="AE28" s="25">
        <f ca="1">$AO$28*$AO$66</f>
        <v>0</v>
      </c>
      <c r="AF28" s="25">
        <f ca="1">$AP$28*$AP$66</f>
        <v>0</v>
      </c>
      <c r="AG28" s="25">
        <f ca="1">SUM($AE$28:$AF$28)</f>
        <v>0</v>
      </c>
      <c r="AH28" s="25">
        <f>'TUSD BE'!$AH$28*'TUSD BF'!$AH$69</f>
        <v>3.2157038832446414</v>
      </c>
      <c r="AI28" s="25">
        <f>'TUSD BE'!$AI$28*'TUSD BF'!$AI$69</f>
        <v>0.18568989859049317</v>
      </c>
      <c r="AJ28" s="25">
        <f ca="1">'TUSD BE'!$AJ$28*'TUSD BF'!$AJ$69</f>
        <v>2.8751326798714247</v>
      </c>
      <c r="AK28" s="25">
        <f ca="1">'TUSD BE'!$AK$28*'TUSD BF'!$AK$69</f>
        <v>0</v>
      </c>
      <c r="AL28" s="25">
        <f ca="1">SUM($AH$28:$AK$28)</f>
        <v>6.2765264617065597</v>
      </c>
      <c r="AM28" s="25">
        <f ca="1">SUMIF($L$4:$AL$4,"SUBTOTAL",$L$28:$AL$28)</f>
        <v>21.261973360032616</v>
      </c>
      <c r="AO28" s="30">
        <f ca="1">+'TUSD BE'!$T$28+'TUSD BE'!$AB$28+'TUSD BE'!$AD$28+'TUSD BE'!$AL$28</f>
        <v>1215.4792189385414</v>
      </c>
      <c r="AP28" s="30">
        <f ca="1">+'TUSD BE'!$T$28+'TUSD BE'!$AB$28+'TUSD BE'!$AD$28+'TUSD BE'!$AL$28</f>
        <v>1215.4792189385414</v>
      </c>
    </row>
    <row r="29" spans="1:42" ht="11.25" customHeight="1" x14ac:dyDescent="0.25">
      <c r="A29" s="136"/>
      <c r="B29" s="136"/>
      <c r="C29" s="136"/>
      <c r="D29" s="136"/>
      <c r="E29" s="136"/>
      <c r="F29" s="136"/>
      <c r="G29" s="21" t="s">
        <v>101</v>
      </c>
      <c r="H29" s="21" t="s">
        <v>90</v>
      </c>
      <c r="I29" s="21">
        <f>'MERCADO TUSD'!$U$26</f>
        <v>34.840000000000003</v>
      </c>
      <c r="J29" s="17"/>
      <c r="L29" s="25">
        <f>'TUSD BE'!$L$29*'TUSD BF'!$L$69</f>
        <v>9.1483703407367722E-2</v>
      </c>
      <c r="M29" s="25">
        <f>'TUSD BE'!$M$29*'TUSD BF'!$M$69</f>
        <v>0</v>
      </c>
      <c r="N29" s="25">
        <f ca="1">'TUSD BE'!$N$29*'TUSD BF'!$N$69</f>
        <v>0</v>
      </c>
      <c r="O29" s="25">
        <f>'TUSD BE'!$O$29*'TUSD BF'!$O$69</f>
        <v>0</v>
      </c>
      <c r="P29" s="25">
        <f>'TUSD BE'!$P$29*'TUSD BF'!$P$69</f>
        <v>0</v>
      </c>
      <c r="Q29" s="25">
        <f>'TUSD BE'!$Q$29*'TUSD BF'!$Q$69</f>
        <v>3.1784351778039577</v>
      </c>
      <c r="R29" s="25">
        <f>'TUSD BE'!$R$29*'TUSD BF'!$R$69</f>
        <v>1.8356749495197138</v>
      </c>
      <c r="S29" s="25">
        <f>'TUSD BE'!$R$29*'TUSD BF'!$S$69</f>
        <v>0</v>
      </c>
      <c r="T29" s="25">
        <f ca="1">SUM($L$29:$S$29)</f>
        <v>5.1055938307310393</v>
      </c>
      <c r="U29" s="25">
        <f>'TUSD BE'!$U$29*'TUSD BF'!$U$69</f>
        <v>4.9567792598335467</v>
      </c>
      <c r="V29" s="25">
        <f>'TUSD BE'!$V$29*'TUSD BF'!$V$69</f>
        <v>0.9711353687791715</v>
      </c>
      <c r="W29" s="25">
        <f>'TUSD BE'!$W$29*'TUSD BF'!$W$69</f>
        <v>0</v>
      </c>
      <c r="X29" s="25">
        <f>'TUSD BE'!$X$29*'TUSD BF'!$X$69</f>
        <v>0</v>
      </c>
      <c r="Y29" s="25">
        <f>'TUSD BE'!$Y$29*'TUSD BF'!$Y$69</f>
        <v>0</v>
      </c>
      <c r="Z29" s="25">
        <f>'TUSD BE'!$Z$29*'TUSD BF'!$Z$69</f>
        <v>0</v>
      </c>
      <c r="AA29" s="25">
        <f>'TUSD BE'!$AA$29*'TUSD BF'!$AA$69</f>
        <v>0</v>
      </c>
      <c r="AB29" s="25">
        <f>SUM($U$29:$AA$29)</f>
        <v>5.9279146286127187</v>
      </c>
      <c r="AC29" s="25">
        <f>'TUSD BE'!$AC$29*'TUSD BF'!$AC$69</f>
        <v>0</v>
      </c>
      <c r="AD29" s="25">
        <f>SUM($AC$29:$AC$29)</f>
        <v>0</v>
      </c>
      <c r="AE29" s="25">
        <f ca="1">$AO$29*$AO$66</f>
        <v>0</v>
      </c>
      <c r="AF29" s="25">
        <f ca="1">$AP$29*$AP$66</f>
        <v>0</v>
      </c>
      <c r="AG29" s="25">
        <f ca="1">SUM($AE$29:$AF$29)</f>
        <v>0</v>
      </c>
      <c r="AH29" s="25">
        <f>'TUSD BE'!$AH$29*'TUSD BF'!$AH$69</f>
        <v>3.2157038832446414</v>
      </c>
      <c r="AI29" s="25">
        <f>'TUSD BE'!$AI$29*'TUSD BF'!$AI$69</f>
        <v>0.18568989859049317</v>
      </c>
      <c r="AJ29" s="25">
        <f ca="1">'TUSD BE'!$AJ$29*'TUSD BF'!$AJ$69</f>
        <v>2.8751326798714247</v>
      </c>
      <c r="AK29" s="25">
        <f ca="1">'TUSD BE'!$AK$29*'TUSD BF'!$AK$69</f>
        <v>0</v>
      </c>
      <c r="AL29" s="25">
        <f ca="1">SUM($AH$29:$AK$29)</f>
        <v>6.2765264617065597</v>
      </c>
      <c r="AM29" s="25">
        <f ca="1">SUMIF($L$4:$AL$4,"SUBTOTAL",$L$29:$AL$29)</f>
        <v>17.310034921050317</v>
      </c>
      <c r="AO29" s="30">
        <f ca="1">+'TUSD BE'!$T$29+'TUSD BE'!$AB$29+'TUSD BE'!$AD$29+'TUSD BE'!$AL$29</f>
        <v>790.43226495884335</v>
      </c>
      <c r="AP29" s="30">
        <f ca="1">+'TUSD BE'!$T$29+'TUSD BE'!$AB$29+'TUSD BE'!$AD$29+'TUSD BE'!$AL$29</f>
        <v>790.43226495884335</v>
      </c>
    </row>
    <row r="30" spans="1:42" ht="11.25" customHeight="1" x14ac:dyDescent="0.25">
      <c r="A30" s="136"/>
      <c r="B30" s="136"/>
      <c r="C30" s="136"/>
      <c r="D30" s="136"/>
      <c r="E30" s="136"/>
      <c r="F30" s="136"/>
      <c r="G30" s="21" t="s">
        <v>92</v>
      </c>
      <c r="H30" s="21" t="s">
        <v>90</v>
      </c>
      <c r="I30" s="21">
        <f>'MERCADO TUSD'!$U$27</f>
        <v>677.41499999999996</v>
      </c>
      <c r="J30" s="17"/>
      <c r="L30" s="25">
        <f>'TUSD BE'!$L$30*'TUSD BF'!$L$69</f>
        <v>9.1483703407367722E-2</v>
      </c>
      <c r="M30" s="25">
        <f>'TUSD BE'!$M$30*'TUSD BF'!$M$69</f>
        <v>0</v>
      </c>
      <c r="N30" s="25">
        <f ca="1">'TUSD BE'!$N$30*'TUSD BF'!$N$69</f>
        <v>0</v>
      </c>
      <c r="O30" s="25">
        <f>'TUSD BE'!$O$30*'TUSD BF'!$O$69</f>
        <v>0</v>
      </c>
      <c r="P30" s="25">
        <f>'TUSD BE'!$P$30*'TUSD BF'!$P$69</f>
        <v>0</v>
      </c>
      <c r="Q30" s="25">
        <f>'TUSD BE'!$Q$30*'TUSD BF'!$Q$69</f>
        <v>3.1784351778039577</v>
      </c>
      <c r="R30" s="25">
        <f>'TUSD BE'!$R$30*'TUSD BF'!$R$69</f>
        <v>1.8356749495197138</v>
      </c>
      <c r="S30" s="25">
        <f>'TUSD BE'!$R$30*'TUSD BF'!$S$69</f>
        <v>0</v>
      </c>
      <c r="T30" s="25">
        <f ca="1">SUM($L$30:$S$30)</f>
        <v>5.1055938307310393</v>
      </c>
      <c r="U30" s="25">
        <f>'TUSD BE'!$U$30*'TUSD BF'!$U$69</f>
        <v>1.6522623426735787</v>
      </c>
      <c r="V30" s="25">
        <f>'TUSD BE'!$V$30*'TUSD BF'!$V$69</f>
        <v>0.32371384695683941</v>
      </c>
      <c r="W30" s="25">
        <f>'TUSD BE'!$W$30*'TUSD BF'!$W$69</f>
        <v>0</v>
      </c>
      <c r="X30" s="25">
        <f>'TUSD BE'!$X$30*'TUSD BF'!$X$69</f>
        <v>0</v>
      </c>
      <c r="Y30" s="25">
        <f>'TUSD BE'!$Y$30*'TUSD BF'!$Y$69</f>
        <v>0</v>
      </c>
      <c r="Z30" s="25">
        <f>'TUSD BE'!$Z$30*'TUSD BF'!$Z$69</f>
        <v>0</v>
      </c>
      <c r="AA30" s="25">
        <f>'TUSD BE'!$AA$30*'TUSD BF'!$AA$69</f>
        <v>0</v>
      </c>
      <c r="AB30" s="25">
        <f>SUM($U$30:$AA$30)</f>
        <v>1.9759761896304182</v>
      </c>
      <c r="AC30" s="25">
        <f>'TUSD BE'!$AC$30*'TUSD BF'!$AC$69</f>
        <v>0</v>
      </c>
      <c r="AD30" s="25">
        <f>SUM($AC$30:$AC$30)</f>
        <v>0</v>
      </c>
      <c r="AE30" s="25">
        <f ca="1">$AO$30*$AO$66</f>
        <v>0</v>
      </c>
      <c r="AF30" s="25">
        <f ca="1">$AP$30*$AP$66</f>
        <v>0</v>
      </c>
      <c r="AG30" s="25">
        <f ca="1">SUM($AE$30:$AF$30)</f>
        <v>0</v>
      </c>
      <c r="AH30" s="25">
        <f>'TUSD BE'!$AH$30*'TUSD BF'!$AH$69</f>
        <v>3.2157038832446414</v>
      </c>
      <c r="AI30" s="25">
        <f>'TUSD BE'!$AI$30*'TUSD BF'!$AI$69</f>
        <v>0.18568989859049317</v>
      </c>
      <c r="AJ30" s="25">
        <f ca="1">'TUSD BE'!$AJ$30*'TUSD BF'!$AJ$69</f>
        <v>2.8751326798714247</v>
      </c>
      <c r="AK30" s="25">
        <f ca="1">'TUSD BE'!$AK$30*'TUSD BF'!$AK$69</f>
        <v>0</v>
      </c>
      <c r="AL30" s="25">
        <f ca="1">SUM($AH$30:$AK$30)</f>
        <v>6.2765264617065597</v>
      </c>
      <c r="AM30" s="25">
        <f ca="1">SUMIF($L$4:$AL$4,"SUBTOTAL",$L$30:$AL$30)</f>
        <v>13.358096482068017</v>
      </c>
      <c r="AO30" s="30">
        <f ca="1">+'TUSD BE'!$T$30+'TUSD BE'!$AB$30+'TUSD BE'!$AD$30+'TUSD BE'!$AL$30</f>
        <v>365.38496119158361</v>
      </c>
      <c r="AP30" s="30">
        <f ca="1">+'TUSD BE'!$T$30+'TUSD BE'!$AB$30+'TUSD BE'!$AD$30+'TUSD BE'!$AL$30</f>
        <v>365.38496119158361</v>
      </c>
    </row>
    <row r="31" spans="1:42" ht="11.25" customHeight="1" x14ac:dyDescent="0.25">
      <c r="A31" s="136"/>
      <c r="B31" s="136" t="s">
        <v>23</v>
      </c>
      <c r="C31" s="136" t="s">
        <v>24</v>
      </c>
      <c r="D31" s="28" t="s">
        <v>24</v>
      </c>
      <c r="E31" s="28" t="s">
        <v>25</v>
      </c>
      <c r="F31" s="28" t="s">
        <v>25</v>
      </c>
      <c r="G31" s="21" t="s">
        <v>96</v>
      </c>
      <c r="H31" s="21" t="s">
        <v>90</v>
      </c>
      <c r="I31" s="21">
        <f>'MERCADO TUSD'!$U$28</f>
        <v>1165006.6750000003</v>
      </c>
      <c r="J31" s="17"/>
      <c r="L31" s="25">
        <f>'TUSD BE'!$L$31*'TUSD BF'!$L$69</f>
        <v>9.1483703407367722E-2</v>
      </c>
      <c r="M31" s="25">
        <f>'TUSD BE'!$M$31*'TUSD BF'!$M$69</f>
        <v>0</v>
      </c>
      <c r="N31" s="25">
        <f ca="1">'TUSD BE'!$N$31*'TUSD BF'!$N$69</f>
        <v>0</v>
      </c>
      <c r="O31" s="25">
        <f>'TUSD BE'!$O$31*'TUSD BF'!$O$69</f>
        <v>0</v>
      </c>
      <c r="P31" s="25">
        <f>'TUSD BE'!$P$31*'TUSD BF'!$P$69</f>
        <v>0</v>
      </c>
      <c r="Q31" s="25">
        <f>'TUSD BE'!$Q$31*'TUSD BF'!$Q$69</f>
        <v>3.1784351778039577</v>
      </c>
      <c r="R31" s="25">
        <f>'TUSD BE'!$R$31*'TUSD BF'!$R$69</f>
        <v>1.8356749495197138</v>
      </c>
      <c r="S31" s="25">
        <f>'TUSD BE'!$R$31*'TUSD BF'!$S$69</f>
        <v>0</v>
      </c>
      <c r="T31" s="25">
        <f ca="1">SUM($L$31:$S$31)</f>
        <v>5.1055938307310393</v>
      </c>
      <c r="U31" s="25">
        <f>'TUSD BE'!$U$31*'TUSD BF'!$U$69</f>
        <v>2.5034226131382047</v>
      </c>
      <c r="V31" s="25">
        <f>'TUSD BE'!$V$31*'TUSD BF'!$V$69</f>
        <v>0.49047141096461638</v>
      </c>
      <c r="W31" s="25">
        <f>'TUSD BE'!$W$31*'TUSD BF'!$W$69</f>
        <v>0</v>
      </c>
      <c r="X31" s="25">
        <f>'TUSD BE'!$X$31*'TUSD BF'!$X$69</f>
        <v>0</v>
      </c>
      <c r="Y31" s="25">
        <f>'TUSD BE'!$Y$31*'TUSD BF'!$Y$69</f>
        <v>0</v>
      </c>
      <c r="Z31" s="25">
        <f>'TUSD BE'!$Z$31*'TUSD BF'!$Z$69</f>
        <v>0</v>
      </c>
      <c r="AA31" s="25">
        <f>'TUSD BE'!$AA$31*'TUSD BF'!$AA$69</f>
        <v>0</v>
      </c>
      <c r="AB31" s="25">
        <f>SUM($U$31:$AA$31)</f>
        <v>2.9938940241028211</v>
      </c>
      <c r="AC31" s="25">
        <f>'TUSD BE'!$AC$31*'TUSD BF'!$AC$69</f>
        <v>0</v>
      </c>
      <c r="AD31" s="25">
        <f>SUM($AC$31:$AC$31)</f>
        <v>0</v>
      </c>
      <c r="AE31" s="25">
        <f ca="1">$AO$31*$AO$66</f>
        <v>0</v>
      </c>
      <c r="AF31" s="25">
        <f ca="1">$AP$31*$AP$66</f>
        <v>0</v>
      </c>
      <c r="AG31" s="25">
        <f ca="1">SUM($AE$31:$AF$31)</f>
        <v>0</v>
      </c>
      <c r="AH31" s="25">
        <f>'TUSD BE'!$AH$31*'TUSD BF'!$AH$69</f>
        <v>3.2157038832446414</v>
      </c>
      <c r="AI31" s="25">
        <f>'TUSD BE'!$AI$31*'TUSD BF'!$AI$69</f>
        <v>0.18568989859049317</v>
      </c>
      <c r="AJ31" s="25">
        <f ca="1">'TUSD BE'!$AJ$31*'TUSD BF'!$AJ$69</f>
        <v>2.8751326798714247</v>
      </c>
      <c r="AK31" s="25">
        <f ca="1">'TUSD BE'!$AK$31*'TUSD BF'!$AK$69</f>
        <v>0</v>
      </c>
      <c r="AL31" s="25">
        <f ca="1">SUM($AH$31:$AK$31)</f>
        <v>6.2765264617065597</v>
      </c>
      <c r="AM31" s="25">
        <f ca="1">SUMIF($L$4:$AL$4,"SUBTOTAL",$L$31:$AL$31)</f>
        <v>14.37601431654042</v>
      </c>
      <c r="AO31" s="30">
        <f ca="1">+'TUSD BE'!$T$31+'TUSD BE'!$AB$31+'TUSD BE'!$AD$31+'TUSD BE'!$AL$31</f>
        <v>474.86663275586722</v>
      </c>
      <c r="AP31" s="30">
        <f ca="1">+'TUSD BE'!$T$31+'TUSD BE'!$AB$31+'TUSD BE'!$AD$31+'TUSD BE'!$AL$31</f>
        <v>474.86663275586722</v>
      </c>
    </row>
    <row r="32" spans="1:42" ht="11.25" customHeight="1" x14ac:dyDescent="0.25">
      <c r="A32" s="136"/>
      <c r="B32" s="136"/>
      <c r="C32" s="136"/>
      <c r="D32" s="28" t="s">
        <v>29</v>
      </c>
      <c r="E32" s="28" t="s">
        <v>25</v>
      </c>
      <c r="F32" s="28" t="s">
        <v>25</v>
      </c>
      <c r="G32" s="21" t="s">
        <v>96</v>
      </c>
      <c r="H32" s="21" t="s">
        <v>90</v>
      </c>
      <c r="I32" s="21">
        <f>'MERCADO TUSD'!$U$29</f>
        <v>134316.74400000001</v>
      </c>
      <c r="J32" s="17"/>
      <c r="L32" s="25">
        <f>'TUSD BE'!$L$32*'TUSD BF'!$L$69</f>
        <v>0</v>
      </c>
      <c r="M32" s="25">
        <f>'TUSD BE'!$M$32*'TUSD BF'!$M$69</f>
        <v>0</v>
      </c>
      <c r="N32" s="25">
        <f ca="1">'TUSD BE'!$N$32*'TUSD BF'!$N$69</f>
        <v>0</v>
      </c>
      <c r="O32" s="25">
        <f>'TUSD BE'!$O$32*'TUSD BF'!$O$69</f>
        <v>0</v>
      </c>
      <c r="P32" s="25">
        <f>'TUSD BE'!$P$32*'TUSD BF'!$P$69</f>
        <v>0</v>
      </c>
      <c r="Q32" s="25">
        <f>'TUSD BE'!$Q$32*'TUSD BF'!$Q$69</f>
        <v>0</v>
      </c>
      <c r="R32" s="25">
        <f>'TUSD BE'!$R$32*'TUSD BF'!$R$69</f>
        <v>0</v>
      </c>
      <c r="S32" s="25">
        <f>'TUSD BE'!$R$32*'TUSD BF'!$S$69</f>
        <v>0</v>
      </c>
      <c r="T32" s="25">
        <f ca="1">SUM($L$32:$S$32)</f>
        <v>0</v>
      </c>
      <c r="U32" s="25">
        <f>'TUSD BE'!$U$32*'TUSD BF'!$U$69</f>
        <v>2.5034226131382047</v>
      </c>
      <c r="V32" s="25">
        <f>'TUSD BE'!$V$32*'TUSD BF'!$V$69</f>
        <v>0.49047141096461638</v>
      </c>
      <c r="W32" s="25">
        <f>'TUSD BE'!$W$32*'TUSD BF'!$W$69</f>
        <v>0</v>
      </c>
      <c r="X32" s="25">
        <f>'TUSD BE'!$X$32*'TUSD BF'!$X$69</f>
        <v>0</v>
      </c>
      <c r="Y32" s="25">
        <f>'TUSD BE'!$Y$32*'TUSD BF'!$Y$69</f>
        <v>0</v>
      </c>
      <c r="Z32" s="25">
        <f>'TUSD BE'!$Z$32*'TUSD BF'!$Z$69</f>
        <v>0</v>
      </c>
      <c r="AA32" s="25">
        <f>'TUSD BE'!$AA$32*'TUSD BF'!$AA$69</f>
        <v>0</v>
      </c>
      <c r="AB32" s="25">
        <f>SUM($U$32:$AA$32)</f>
        <v>2.9938940241028211</v>
      </c>
      <c r="AC32" s="25">
        <f>'TUSD BE'!$AC$32*'TUSD BF'!$AC$69</f>
        <v>0</v>
      </c>
      <c r="AD32" s="25">
        <f>SUM($AC$32:$AC$32)</f>
        <v>0</v>
      </c>
      <c r="AE32" s="25">
        <f ca="1">$AO$32*$AO$66</f>
        <v>0</v>
      </c>
      <c r="AF32" s="25">
        <f ca="1">$AP$32*$AP$66</f>
        <v>0</v>
      </c>
      <c r="AG32" s="25">
        <f ca="1">SUM($AE$32:$AF$32)</f>
        <v>0</v>
      </c>
      <c r="AH32" s="25">
        <f>'TUSD BE'!$AH$32*'TUSD BF'!$AH$69</f>
        <v>3.2157038832446414</v>
      </c>
      <c r="AI32" s="25">
        <f>'TUSD BE'!$AI$32*'TUSD BF'!$AI$69</f>
        <v>0.18568989859049317</v>
      </c>
      <c r="AJ32" s="25">
        <f ca="1">'TUSD BE'!$AJ$32*'TUSD BF'!$AJ$69</f>
        <v>2.8751326798714247</v>
      </c>
      <c r="AK32" s="25">
        <f ca="1">'TUSD BE'!$AK$32*'TUSD BF'!$AK$69</f>
        <v>0</v>
      </c>
      <c r="AL32" s="25">
        <f ca="1">SUM($AH$32:$AK$32)</f>
        <v>6.2765264617065597</v>
      </c>
      <c r="AM32" s="25">
        <f ca="1">SUMIF($L$4:$AL$4,"SUBTOTAL",$L$32:$AL$32)</f>
        <v>9.2704204858093817</v>
      </c>
      <c r="AO32" s="30">
        <f ca="1">+'TUSD BE'!$T$32+'TUSD BE'!$AB$32+'TUSD BE'!$AD$32+'TUSD BE'!$AL$32</f>
        <v>407.68452967745947</v>
      </c>
      <c r="AP32" s="30">
        <f ca="1">+'TUSD BE'!$T$32+'TUSD BE'!$AB$32+'TUSD BE'!$AD$32+'TUSD BE'!$AL$32</f>
        <v>407.68452967745947</v>
      </c>
    </row>
    <row r="33" spans="1:42" ht="11.25" customHeight="1" x14ac:dyDescent="0.25">
      <c r="A33" s="136"/>
      <c r="B33" s="136"/>
      <c r="C33" s="136"/>
      <c r="D33" s="28" t="s">
        <v>30</v>
      </c>
      <c r="E33" s="28" t="s">
        <v>25</v>
      </c>
      <c r="F33" s="28" t="s">
        <v>25</v>
      </c>
      <c r="G33" s="21" t="s">
        <v>96</v>
      </c>
      <c r="H33" s="21" t="s">
        <v>90</v>
      </c>
      <c r="I33" s="21">
        <f>'MERCADO TUSD'!$U$30</f>
        <v>207428.35200000001</v>
      </c>
      <c r="J33" s="17"/>
      <c r="L33" s="25">
        <f>'TUSD BE'!$L$33*'TUSD BF'!$L$69</f>
        <v>0</v>
      </c>
      <c r="M33" s="25">
        <f>'TUSD BE'!$M$33*'TUSD BF'!$M$69</f>
        <v>0</v>
      </c>
      <c r="N33" s="25">
        <f ca="1">'TUSD BE'!$N$33*'TUSD BF'!$N$69</f>
        <v>0</v>
      </c>
      <c r="O33" s="25">
        <f>'TUSD BE'!$O$33*'TUSD BF'!$O$69</f>
        <v>0</v>
      </c>
      <c r="P33" s="25">
        <f>'TUSD BE'!$P$33*'TUSD BF'!$P$69</f>
        <v>0</v>
      </c>
      <c r="Q33" s="25">
        <f>'TUSD BE'!$Q$33*'TUSD BF'!$Q$69</f>
        <v>0</v>
      </c>
      <c r="R33" s="25">
        <f>'TUSD BE'!$R$33*'TUSD BF'!$R$69</f>
        <v>0</v>
      </c>
      <c r="S33" s="25">
        <f>'TUSD BE'!$R$33*'TUSD BF'!$S$69</f>
        <v>0</v>
      </c>
      <c r="T33" s="25">
        <f ca="1">SUM($L$33:$S$33)</f>
        <v>0</v>
      </c>
      <c r="U33" s="25">
        <f>'TUSD BE'!$U$33*'TUSD BF'!$U$69</f>
        <v>2.5034226131382047</v>
      </c>
      <c r="V33" s="25">
        <f>'TUSD BE'!$V$33*'TUSD BF'!$V$69</f>
        <v>0.49047141096461638</v>
      </c>
      <c r="W33" s="25">
        <f>'TUSD BE'!$W$33*'TUSD BF'!$W$69</f>
        <v>0</v>
      </c>
      <c r="X33" s="25">
        <f>'TUSD BE'!$X$33*'TUSD BF'!$X$69</f>
        <v>0</v>
      </c>
      <c r="Y33" s="25">
        <f>'TUSD BE'!$Y$33*'TUSD BF'!$Y$69</f>
        <v>0</v>
      </c>
      <c r="Z33" s="25">
        <f>'TUSD BE'!$Z$33*'TUSD BF'!$Z$69</f>
        <v>0</v>
      </c>
      <c r="AA33" s="25">
        <f>'TUSD BE'!$AA$33*'TUSD BF'!$AA$69</f>
        <v>0</v>
      </c>
      <c r="AB33" s="25">
        <f>SUM($U$33:$AA$33)</f>
        <v>2.9938940241028211</v>
      </c>
      <c r="AC33" s="25">
        <f>'TUSD BE'!$AC$33*'TUSD BF'!$AC$69</f>
        <v>0</v>
      </c>
      <c r="AD33" s="25">
        <f>SUM($AC$33:$AC$33)</f>
        <v>0</v>
      </c>
      <c r="AE33" s="25">
        <f ca="1">$AO$33*$AO$66</f>
        <v>0</v>
      </c>
      <c r="AF33" s="25">
        <f ca="1">$AP$33*$AP$66</f>
        <v>0</v>
      </c>
      <c r="AG33" s="25">
        <f ca="1">SUM($AE$33:$AF$33)</f>
        <v>0</v>
      </c>
      <c r="AH33" s="25">
        <f>'TUSD BE'!$AH$33*'TUSD BF'!$AH$69</f>
        <v>3.2157038832446414</v>
      </c>
      <c r="AI33" s="25">
        <f>'TUSD BE'!$AI$33*'TUSD BF'!$AI$69</f>
        <v>0.18568989859049317</v>
      </c>
      <c r="AJ33" s="25">
        <f ca="1">'TUSD BE'!$AJ$33*'TUSD BF'!$AJ$69</f>
        <v>2.8751326798714247</v>
      </c>
      <c r="AK33" s="25">
        <f ca="1">'TUSD BE'!$AK$33*'TUSD BF'!$AK$69</f>
        <v>0</v>
      </c>
      <c r="AL33" s="25">
        <f ca="1">SUM($AH$33:$AK$33)</f>
        <v>6.2765264617065597</v>
      </c>
      <c r="AM33" s="25">
        <f ca="1">SUMIF($L$4:$AL$4,"SUBTOTAL",$L$33:$AL$33)</f>
        <v>9.2704204858093817</v>
      </c>
      <c r="AO33" s="30">
        <f ca="1">+'TUSD BE'!$T$33+'TUSD BE'!$AB$33+'TUSD BE'!$AD$33+'TUSD BE'!$AL$33</f>
        <v>407.68452967745947</v>
      </c>
      <c r="AP33" s="30">
        <f ca="1">+'TUSD BE'!$T$33+'TUSD BE'!$AB$33+'TUSD BE'!$AD$33+'TUSD BE'!$AL$33</f>
        <v>407.68452967745947</v>
      </c>
    </row>
    <row r="34" spans="1:42" ht="11.25" customHeight="1" x14ac:dyDescent="0.25">
      <c r="A34" s="136"/>
      <c r="B34" s="136"/>
      <c r="C34" s="136"/>
      <c r="D34" s="28" t="s">
        <v>31</v>
      </c>
      <c r="E34" s="28" t="s">
        <v>25</v>
      </c>
      <c r="F34" s="28" t="s">
        <v>25</v>
      </c>
      <c r="G34" s="21" t="s">
        <v>96</v>
      </c>
      <c r="H34" s="21" t="s">
        <v>90</v>
      </c>
      <c r="I34" s="21">
        <f>'MERCADO TUSD'!$U$31</f>
        <v>81316.453999999983</v>
      </c>
      <c r="J34" s="17"/>
      <c r="L34" s="25">
        <f>'TUSD BE'!$L$34*'TUSD BF'!$L$69</f>
        <v>0</v>
      </c>
      <c r="M34" s="25">
        <f>'TUSD BE'!$M$34*'TUSD BF'!$M$69</f>
        <v>0</v>
      </c>
      <c r="N34" s="25">
        <f ca="1">'TUSD BE'!$N$34*'TUSD BF'!$N$69</f>
        <v>0</v>
      </c>
      <c r="O34" s="25">
        <f>'TUSD BE'!$O$34*'TUSD BF'!$O$69</f>
        <v>0</v>
      </c>
      <c r="P34" s="25">
        <f>'TUSD BE'!$P$34*'TUSD BF'!$P$69</f>
        <v>0</v>
      </c>
      <c r="Q34" s="25">
        <f>'TUSD BE'!$Q$34*'TUSD BF'!$Q$69</f>
        <v>0</v>
      </c>
      <c r="R34" s="25">
        <f>'TUSD BE'!$R$34*'TUSD BF'!$R$69</f>
        <v>0</v>
      </c>
      <c r="S34" s="25">
        <f>'TUSD BE'!$R$34*'TUSD BF'!$S$69</f>
        <v>0</v>
      </c>
      <c r="T34" s="25">
        <f ca="1">SUM($L$34:$S$34)</f>
        <v>0</v>
      </c>
      <c r="U34" s="25">
        <f>'TUSD BE'!$U$34*'TUSD BF'!$U$69</f>
        <v>2.5034226131382047</v>
      </c>
      <c r="V34" s="25">
        <f>'TUSD BE'!$V$34*'TUSD BF'!$V$69</f>
        <v>0.49047141096461638</v>
      </c>
      <c r="W34" s="25">
        <f>'TUSD BE'!$W$34*'TUSD BF'!$W$69</f>
        <v>0</v>
      </c>
      <c r="X34" s="25">
        <f>'TUSD BE'!$X$34*'TUSD BF'!$X$69</f>
        <v>0</v>
      </c>
      <c r="Y34" s="25">
        <f>'TUSD BE'!$Y$34*'TUSD BF'!$Y$69</f>
        <v>0</v>
      </c>
      <c r="Z34" s="25">
        <f>'TUSD BE'!$Z$34*'TUSD BF'!$Z$69</f>
        <v>0</v>
      </c>
      <c r="AA34" s="25">
        <f>'TUSD BE'!$AA$34*'TUSD BF'!$AA$69</f>
        <v>0</v>
      </c>
      <c r="AB34" s="25">
        <f>SUM($U$34:$AA$34)</f>
        <v>2.9938940241028211</v>
      </c>
      <c r="AC34" s="25">
        <f>'TUSD BE'!$AC$34*'TUSD BF'!$AC$69</f>
        <v>0</v>
      </c>
      <c r="AD34" s="25">
        <f>SUM($AC$34:$AC$34)</f>
        <v>0</v>
      </c>
      <c r="AE34" s="25">
        <f ca="1">$AO$34*$AO$66</f>
        <v>0</v>
      </c>
      <c r="AF34" s="25">
        <f ca="1">$AP$34*$AP$66</f>
        <v>0</v>
      </c>
      <c r="AG34" s="25">
        <f ca="1">SUM($AE$34:$AF$34)</f>
        <v>0</v>
      </c>
      <c r="AH34" s="25">
        <f>'TUSD BE'!$AH$34*'TUSD BF'!$AH$69</f>
        <v>3.2157038832446414</v>
      </c>
      <c r="AI34" s="25">
        <f>'TUSD BE'!$AI$34*'TUSD BF'!$AI$69</f>
        <v>0.18568989859049317</v>
      </c>
      <c r="AJ34" s="25">
        <f ca="1">'TUSD BE'!$AJ$34*'TUSD BF'!$AJ$69</f>
        <v>2.8751326798714247</v>
      </c>
      <c r="AK34" s="25">
        <f ca="1">'TUSD BE'!$AK$34*'TUSD BF'!$AK$69</f>
        <v>0</v>
      </c>
      <c r="AL34" s="25">
        <f ca="1">SUM($AH$34:$AK$34)</f>
        <v>6.2765264617065597</v>
      </c>
      <c r="AM34" s="25">
        <f ca="1">SUMIF($L$4:$AL$4,"SUBTOTAL",$L$34:$AL$34)</f>
        <v>9.2704204858093817</v>
      </c>
      <c r="AO34" s="30">
        <f ca="1">+'TUSD BE'!$T$34+'TUSD BE'!$AB$34+'TUSD BE'!$AD$34+'TUSD BE'!$AL$34</f>
        <v>407.68452967745947</v>
      </c>
      <c r="AP34" s="30">
        <f ca="1">+'TUSD BE'!$T$34+'TUSD BE'!$AB$34+'TUSD BE'!$AD$34+'TUSD BE'!$AL$34</f>
        <v>407.68452967745947</v>
      </c>
    </row>
    <row r="35" spans="1:42" ht="11.25" customHeight="1" x14ac:dyDescent="0.25">
      <c r="A35" s="136"/>
      <c r="B35" s="136"/>
      <c r="C35" s="136"/>
      <c r="D35" s="28" t="s">
        <v>32</v>
      </c>
      <c r="E35" s="28" t="s">
        <v>25</v>
      </c>
      <c r="F35" s="28" t="s">
        <v>25</v>
      </c>
      <c r="G35" s="21" t="s">
        <v>96</v>
      </c>
      <c r="H35" s="21" t="s">
        <v>90</v>
      </c>
      <c r="I35" s="21">
        <f>'MERCADO TUSD'!$U$32</f>
        <v>15947.552</v>
      </c>
      <c r="J35" s="17"/>
      <c r="L35" s="25">
        <f>'TUSD BE'!$L$35*'TUSD BF'!$L$69</f>
        <v>0</v>
      </c>
      <c r="M35" s="25">
        <f>'TUSD BE'!$M$35*'TUSD BF'!$M$69</f>
        <v>0</v>
      </c>
      <c r="N35" s="25">
        <f ca="1">'TUSD BE'!$N$35*'TUSD BF'!$N$69</f>
        <v>0</v>
      </c>
      <c r="O35" s="25">
        <f>'TUSD BE'!$O$35*'TUSD BF'!$O$69</f>
        <v>0</v>
      </c>
      <c r="P35" s="25">
        <f>'TUSD BE'!$P$35*'TUSD BF'!$P$69</f>
        <v>0</v>
      </c>
      <c r="Q35" s="25">
        <f>'TUSD BE'!$Q$35*'TUSD BF'!$Q$69</f>
        <v>0</v>
      </c>
      <c r="R35" s="25">
        <f>'TUSD BE'!$R$35*'TUSD BF'!$R$69</f>
        <v>0</v>
      </c>
      <c r="S35" s="25">
        <f>'TUSD BE'!$R$35*'TUSD BF'!$S$69</f>
        <v>0</v>
      </c>
      <c r="T35" s="25">
        <f ca="1">SUM($L$35:$S$35)</f>
        <v>0</v>
      </c>
      <c r="U35" s="25">
        <f>'TUSD BE'!$U$35*'TUSD BF'!$U$69</f>
        <v>2.5034226131382047</v>
      </c>
      <c r="V35" s="25">
        <f>'TUSD BE'!$V$35*'TUSD BF'!$V$69</f>
        <v>0.49047141096461638</v>
      </c>
      <c r="W35" s="25">
        <f>'TUSD BE'!$W$35*'TUSD BF'!$W$69</f>
        <v>0</v>
      </c>
      <c r="X35" s="25">
        <f>'TUSD BE'!$X$35*'TUSD BF'!$X$69</f>
        <v>0</v>
      </c>
      <c r="Y35" s="25">
        <f>'TUSD BE'!$Y$35*'TUSD BF'!$Y$69</f>
        <v>0</v>
      </c>
      <c r="Z35" s="25">
        <f>'TUSD BE'!$Z$35*'TUSD BF'!$Z$69</f>
        <v>0</v>
      </c>
      <c r="AA35" s="25">
        <f>'TUSD BE'!$AA$35*'TUSD BF'!$AA$69</f>
        <v>0</v>
      </c>
      <c r="AB35" s="25">
        <f>SUM($U$35:$AA$35)</f>
        <v>2.9938940241028211</v>
      </c>
      <c r="AC35" s="25">
        <f>'TUSD BE'!$AC$35*'TUSD BF'!$AC$69</f>
        <v>0</v>
      </c>
      <c r="AD35" s="25">
        <f>SUM($AC$35:$AC$35)</f>
        <v>0</v>
      </c>
      <c r="AE35" s="25">
        <f ca="1">$AO$35*$AO$66</f>
        <v>0</v>
      </c>
      <c r="AF35" s="25">
        <f ca="1">$AP$35*$AP$66</f>
        <v>0</v>
      </c>
      <c r="AG35" s="25">
        <f ca="1">SUM($AE$35:$AF$35)</f>
        <v>0</v>
      </c>
      <c r="AH35" s="25">
        <f>'TUSD BE'!$AH$35*'TUSD BF'!$AH$69</f>
        <v>3.2157038832446414</v>
      </c>
      <c r="AI35" s="25">
        <f>'TUSD BE'!$AI$35*'TUSD BF'!$AI$69</f>
        <v>0.18568989859049317</v>
      </c>
      <c r="AJ35" s="25">
        <f ca="1">'TUSD BE'!$AJ$35*'TUSD BF'!$AJ$69</f>
        <v>2.8751326798714247</v>
      </c>
      <c r="AK35" s="25">
        <f ca="1">'TUSD BE'!$AK$35*'TUSD BF'!$AK$69</f>
        <v>0</v>
      </c>
      <c r="AL35" s="25">
        <f ca="1">SUM($AH$35:$AK$35)</f>
        <v>6.2765264617065597</v>
      </c>
      <c r="AM35" s="25">
        <f ca="1">SUMIF($L$4:$AL$4,"SUBTOTAL",$L$35:$AL$35)</f>
        <v>9.2704204858093817</v>
      </c>
      <c r="AO35" s="30">
        <f ca="1">+'TUSD BE'!$T$35+'TUSD BE'!$AB$35+'TUSD BE'!$AD$35+'TUSD BE'!$AL$35</f>
        <v>407.68452967745947</v>
      </c>
      <c r="AP35" s="30">
        <f ca="1">+'TUSD BE'!$T$35+'TUSD BE'!$AB$35+'TUSD BE'!$AD$35+'TUSD BE'!$AL$35</f>
        <v>407.68452967745947</v>
      </c>
    </row>
    <row r="36" spans="1:42" ht="11.25" customHeight="1" x14ac:dyDescent="0.25">
      <c r="A36" s="136"/>
      <c r="B36" s="136" t="s">
        <v>103</v>
      </c>
      <c r="C36" s="136" t="s">
        <v>24</v>
      </c>
      <c r="D36" s="28" t="s">
        <v>24</v>
      </c>
      <c r="E36" s="28" t="s">
        <v>25</v>
      </c>
      <c r="F36" s="28" t="s">
        <v>25</v>
      </c>
      <c r="G36" s="21" t="s">
        <v>96</v>
      </c>
      <c r="H36" s="21" t="s">
        <v>90</v>
      </c>
      <c r="I36" s="21">
        <f>'MERCADO TUSD'!$U$33</f>
        <v>0</v>
      </c>
      <c r="J36" s="17"/>
      <c r="L36" s="25">
        <f>'TUSD BE'!$L$36*'TUSD BF'!$L$69</f>
        <v>9.1483703407367722E-2</v>
      </c>
      <c r="M36" s="25">
        <f>'TUSD BE'!$M$36*'TUSD BF'!$M$69</f>
        <v>0</v>
      </c>
      <c r="N36" s="25">
        <f ca="1">'TUSD BE'!$N$36*'TUSD BF'!$N$69</f>
        <v>0</v>
      </c>
      <c r="O36" s="25">
        <f>'TUSD BE'!$O$36*'TUSD BF'!$O$69</f>
        <v>0</v>
      </c>
      <c r="P36" s="25">
        <f>'TUSD BE'!$P$36*'TUSD BF'!$P$69</f>
        <v>0</v>
      </c>
      <c r="Q36" s="25">
        <f>'TUSD BE'!$Q$36*'TUSD BF'!$Q$69</f>
        <v>3.1784351778039577</v>
      </c>
      <c r="R36" s="25">
        <f>'TUSD BE'!$R$36*'TUSD BF'!$R$69</f>
        <v>1.8356749495197138</v>
      </c>
      <c r="S36" s="25">
        <f>'TUSD BE'!$R$36*'TUSD BF'!$S$69</f>
        <v>0</v>
      </c>
      <c r="T36" s="25">
        <f ca="1">SUM($L$36:$S$36)</f>
        <v>5.1055938307310393</v>
      </c>
      <c r="U36" s="25">
        <f>'TUSD BE'!$U$36*'TUSD BF'!$U$69</f>
        <v>2.5034226131382047</v>
      </c>
      <c r="V36" s="25">
        <f>'TUSD BE'!$V$36*'TUSD BF'!$V$69</f>
        <v>0.49047141096461638</v>
      </c>
      <c r="W36" s="25">
        <f>'TUSD BE'!$W$36*'TUSD BF'!$W$69</f>
        <v>0</v>
      </c>
      <c r="X36" s="25">
        <f>'TUSD BE'!$X$36*'TUSD BF'!$X$69</f>
        <v>0</v>
      </c>
      <c r="Y36" s="25">
        <f>'TUSD BE'!$Y$36*'TUSD BF'!$Y$69</f>
        <v>0</v>
      </c>
      <c r="Z36" s="25">
        <f>'TUSD BE'!$Z$36*'TUSD BF'!$Z$69</f>
        <v>0</v>
      </c>
      <c r="AA36" s="25">
        <f>'TUSD BE'!$AA$36*'TUSD BF'!$AA$69</f>
        <v>0</v>
      </c>
      <c r="AB36" s="25">
        <f>SUM($U$36:$AA$36)</f>
        <v>2.9938940241028211</v>
      </c>
      <c r="AC36" s="25">
        <f>'TUSD BE'!$AC$36*'TUSD BF'!$AC$69</f>
        <v>0</v>
      </c>
      <c r="AD36" s="25">
        <f>SUM($AC$36:$AC$36)</f>
        <v>0</v>
      </c>
      <c r="AE36" s="25">
        <f ca="1">$AO$36*$AO$66</f>
        <v>0</v>
      </c>
      <c r="AF36" s="25">
        <f ca="1">$AP$36*$AP$66</f>
        <v>0</v>
      </c>
      <c r="AG36" s="25">
        <f ca="1">SUM($AE$36:$AF$36)</f>
        <v>0</v>
      </c>
      <c r="AH36" s="25">
        <f>'TUSD BE'!$AH$36*'TUSD BF'!$AH$69</f>
        <v>3.2157038832446414</v>
      </c>
      <c r="AI36" s="25">
        <f>'TUSD BE'!$AI$36*'TUSD BF'!$AI$69</f>
        <v>0.18568989859049317</v>
      </c>
      <c r="AJ36" s="25">
        <f ca="1">'TUSD BE'!$AJ$36*'TUSD BF'!$AJ$69</f>
        <v>2.8751326798714247</v>
      </c>
      <c r="AK36" s="25">
        <f ca="1">'TUSD BE'!$AK$36*'TUSD BF'!$AK$69</f>
        <v>0</v>
      </c>
      <c r="AL36" s="25">
        <f ca="1">SUM($AH$36:$AK$36)</f>
        <v>6.2765264617065597</v>
      </c>
      <c r="AM36" s="25">
        <f ca="1">SUMIF($L$4:$AL$4,"SUBTOTAL",$L$36:$AL$36)</f>
        <v>14.37601431654042</v>
      </c>
      <c r="AO36" s="30">
        <f ca="1">+'TUSD BE'!$T$36+'TUSD BE'!$AB$36+'TUSD BE'!$AD$36+'TUSD BE'!$AL$36</f>
        <v>474.86663275586722</v>
      </c>
      <c r="AP36" s="30">
        <f ca="1">+'TUSD BE'!$T$36+'TUSD BE'!$AB$36+'TUSD BE'!$AD$36+'TUSD BE'!$AL$36</f>
        <v>474.86663275586722</v>
      </c>
    </row>
    <row r="37" spans="1:42" ht="11.25" customHeight="1" x14ac:dyDescent="0.25">
      <c r="A37" s="136"/>
      <c r="B37" s="136"/>
      <c r="C37" s="136"/>
      <c r="D37" s="28" t="s">
        <v>29</v>
      </c>
      <c r="E37" s="28" t="s">
        <v>25</v>
      </c>
      <c r="F37" s="28" t="s">
        <v>25</v>
      </c>
      <c r="G37" s="21" t="s">
        <v>96</v>
      </c>
      <c r="H37" s="21" t="s">
        <v>90</v>
      </c>
      <c r="I37" s="21">
        <f>'MERCADO TUSD'!$U$34</f>
        <v>0</v>
      </c>
      <c r="J37" s="17"/>
      <c r="L37" s="25">
        <f>'TUSD BE'!$L$37*'TUSD BF'!$L$69</f>
        <v>0</v>
      </c>
      <c r="M37" s="25">
        <f>'TUSD BE'!$M$37*'TUSD BF'!$M$69</f>
        <v>0</v>
      </c>
      <c r="N37" s="25">
        <f ca="1">'TUSD BE'!$N$37*'TUSD BF'!$N$69</f>
        <v>0</v>
      </c>
      <c r="O37" s="25">
        <f>'TUSD BE'!$O$37*'TUSD BF'!$O$69</f>
        <v>0</v>
      </c>
      <c r="P37" s="25">
        <f>'TUSD BE'!$P$37*'TUSD BF'!$P$69</f>
        <v>0</v>
      </c>
      <c r="Q37" s="25">
        <f>'TUSD BE'!$Q$37*'TUSD BF'!$Q$69</f>
        <v>0</v>
      </c>
      <c r="R37" s="25">
        <f>'TUSD BE'!$R$37*'TUSD BF'!$R$69</f>
        <v>0</v>
      </c>
      <c r="S37" s="25">
        <f>'TUSD BE'!$R$37*'TUSD BF'!$S$69</f>
        <v>0</v>
      </c>
      <c r="T37" s="25">
        <f ca="1">SUM($L$37:$S$37)</f>
        <v>0</v>
      </c>
      <c r="U37" s="25">
        <f>'TUSD BE'!$U$37*'TUSD BF'!$U$69</f>
        <v>2.5034226131382047</v>
      </c>
      <c r="V37" s="25">
        <f>'TUSD BE'!$V$37*'TUSD BF'!$V$69</f>
        <v>0.49047141096461638</v>
      </c>
      <c r="W37" s="25">
        <f>'TUSD BE'!$W$37*'TUSD BF'!$W$69</f>
        <v>0</v>
      </c>
      <c r="X37" s="25">
        <f>'TUSD BE'!$X$37*'TUSD BF'!$X$69</f>
        <v>0</v>
      </c>
      <c r="Y37" s="25">
        <f>'TUSD BE'!$Y$37*'TUSD BF'!$Y$69</f>
        <v>0</v>
      </c>
      <c r="Z37" s="25">
        <f>'TUSD BE'!$Z$37*'TUSD BF'!$Z$69</f>
        <v>0</v>
      </c>
      <c r="AA37" s="25">
        <f>'TUSD BE'!$AA$37*'TUSD BF'!$AA$69</f>
        <v>0</v>
      </c>
      <c r="AB37" s="25">
        <f>SUM($U$37:$AA$37)</f>
        <v>2.9938940241028211</v>
      </c>
      <c r="AC37" s="25">
        <f>'TUSD BE'!$AC$37*'TUSD BF'!$AC$69</f>
        <v>0</v>
      </c>
      <c r="AD37" s="25">
        <f>SUM($AC$37:$AC$37)</f>
        <v>0</v>
      </c>
      <c r="AE37" s="25">
        <f ca="1">$AO$37*$AO$66</f>
        <v>0</v>
      </c>
      <c r="AF37" s="25">
        <f ca="1">$AP$37*$AP$66</f>
        <v>0</v>
      </c>
      <c r="AG37" s="25">
        <f ca="1">SUM($AE$37:$AF$37)</f>
        <v>0</v>
      </c>
      <c r="AH37" s="25">
        <f>'TUSD BE'!$AH$37*'TUSD BF'!$AH$69</f>
        <v>3.2157038832446414</v>
      </c>
      <c r="AI37" s="25">
        <f>'TUSD BE'!$AI$37*'TUSD BF'!$AI$69</f>
        <v>0.18568989859049317</v>
      </c>
      <c r="AJ37" s="25">
        <f ca="1">'TUSD BE'!$AJ$37*'TUSD BF'!$AJ$69</f>
        <v>2.8751326798714247</v>
      </c>
      <c r="AK37" s="25">
        <f ca="1">'TUSD BE'!$AK$37*'TUSD BF'!$AK$69</f>
        <v>0</v>
      </c>
      <c r="AL37" s="25">
        <f ca="1">SUM($AH$37:$AK$37)</f>
        <v>6.2765264617065597</v>
      </c>
      <c r="AM37" s="25">
        <f ca="1">SUMIF($L$4:$AL$4,"SUBTOTAL",$L$37:$AL$37)</f>
        <v>9.2704204858093817</v>
      </c>
      <c r="AO37" s="30">
        <f ca="1">+'TUSD BE'!$T$37+'TUSD BE'!$AB$37+'TUSD BE'!$AD$37+'TUSD BE'!$AL$37</f>
        <v>407.68452967745947</v>
      </c>
      <c r="AP37" s="30">
        <f ca="1">+'TUSD BE'!$T$37+'TUSD BE'!$AB$37+'TUSD BE'!$AD$37+'TUSD BE'!$AL$37</f>
        <v>407.68452967745947</v>
      </c>
    </row>
    <row r="38" spans="1:42" ht="11.25" customHeight="1" x14ac:dyDescent="0.25">
      <c r="A38" s="136"/>
      <c r="B38" s="136"/>
      <c r="C38" s="136"/>
      <c r="D38" s="28" t="s">
        <v>30</v>
      </c>
      <c r="E38" s="28" t="s">
        <v>25</v>
      </c>
      <c r="F38" s="28" t="s">
        <v>25</v>
      </c>
      <c r="G38" s="21" t="s">
        <v>96</v>
      </c>
      <c r="H38" s="21" t="s">
        <v>90</v>
      </c>
      <c r="I38" s="21">
        <f>'MERCADO TUSD'!$U$35</f>
        <v>0</v>
      </c>
      <c r="J38" s="17"/>
      <c r="L38" s="25">
        <f>'TUSD BE'!$L$38*'TUSD BF'!$L$69</f>
        <v>0</v>
      </c>
      <c r="M38" s="25">
        <f>'TUSD BE'!$M$38*'TUSD BF'!$M$69</f>
        <v>0</v>
      </c>
      <c r="N38" s="25">
        <f ca="1">'TUSD BE'!$N$38*'TUSD BF'!$N$69</f>
        <v>0</v>
      </c>
      <c r="O38" s="25">
        <f>'TUSD BE'!$O$38*'TUSD BF'!$O$69</f>
        <v>0</v>
      </c>
      <c r="P38" s="25">
        <f>'TUSD BE'!$P$38*'TUSD BF'!$P$69</f>
        <v>0</v>
      </c>
      <c r="Q38" s="25">
        <f>'TUSD BE'!$Q$38*'TUSD BF'!$Q$69</f>
        <v>0</v>
      </c>
      <c r="R38" s="25">
        <f>'TUSD BE'!$R$38*'TUSD BF'!$R$69</f>
        <v>0</v>
      </c>
      <c r="S38" s="25">
        <f>'TUSD BE'!$R$38*'TUSD BF'!$S$69</f>
        <v>0</v>
      </c>
      <c r="T38" s="25">
        <f ca="1">SUM($L$38:$S$38)</f>
        <v>0</v>
      </c>
      <c r="U38" s="25">
        <f>'TUSD BE'!$U$38*'TUSD BF'!$U$69</f>
        <v>2.5034226131382047</v>
      </c>
      <c r="V38" s="25">
        <f>'TUSD BE'!$V$38*'TUSD BF'!$V$69</f>
        <v>0.49047141096461638</v>
      </c>
      <c r="W38" s="25">
        <f>'TUSD BE'!$W$38*'TUSD BF'!$W$69</f>
        <v>0</v>
      </c>
      <c r="X38" s="25">
        <f>'TUSD BE'!$X$38*'TUSD BF'!$X$69</f>
        <v>0</v>
      </c>
      <c r="Y38" s="25">
        <f>'TUSD BE'!$Y$38*'TUSD BF'!$Y$69</f>
        <v>0</v>
      </c>
      <c r="Z38" s="25">
        <f>'TUSD BE'!$Z$38*'TUSD BF'!$Z$69</f>
        <v>0</v>
      </c>
      <c r="AA38" s="25">
        <f>'TUSD BE'!$AA$38*'TUSD BF'!$AA$69</f>
        <v>0</v>
      </c>
      <c r="AB38" s="25">
        <f>SUM($U$38:$AA$38)</f>
        <v>2.9938940241028211</v>
      </c>
      <c r="AC38" s="25">
        <f>'TUSD BE'!$AC$38*'TUSD BF'!$AC$69</f>
        <v>0</v>
      </c>
      <c r="AD38" s="25">
        <f>SUM($AC$38:$AC$38)</f>
        <v>0</v>
      </c>
      <c r="AE38" s="25">
        <f ca="1">$AO$38*$AO$66</f>
        <v>0</v>
      </c>
      <c r="AF38" s="25">
        <f ca="1">$AP$38*$AP$66</f>
        <v>0</v>
      </c>
      <c r="AG38" s="25">
        <f ca="1">SUM($AE$38:$AF$38)</f>
        <v>0</v>
      </c>
      <c r="AH38" s="25">
        <f>'TUSD BE'!$AH$38*'TUSD BF'!$AH$69</f>
        <v>3.2157038832446414</v>
      </c>
      <c r="AI38" s="25">
        <f>'TUSD BE'!$AI$38*'TUSD BF'!$AI$69</f>
        <v>0.18568989859049317</v>
      </c>
      <c r="AJ38" s="25">
        <f ca="1">'TUSD BE'!$AJ$38*'TUSD BF'!$AJ$69</f>
        <v>2.8751326798714247</v>
      </c>
      <c r="AK38" s="25">
        <f ca="1">'TUSD BE'!$AK$38*'TUSD BF'!$AK$69</f>
        <v>0</v>
      </c>
      <c r="AL38" s="25">
        <f ca="1">SUM($AH$38:$AK$38)</f>
        <v>6.2765264617065597</v>
      </c>
      <c r="AM38" s="25">
        <f ca="1">SUMIF($L$4:$AL$4,"SUBTOTAL",$L$38:$AL$38)</f>
        <v>9.2704204858093817</v>
      </c>
      <c r="AO38" s="30">
        <f ca="1">+'TUSD BE'!$T$38+'TUSD BE'!$AB$38+'TUSD BE'!$AD$38+'TUSD BE'!$AL$38</f>
        <v>407.68452967745947</v>
      </c>
      <c r="AP38" s="30">
        <f ca="1">+'TUSD BE'!$T$38+'TUSD BE'!$AB$38+'TUSD BE'!$AD$38+'TUSD BE'!$AL$38</f>
        <v>407.68452967745947</v>
      </c>
    </row>
    <row r="39" spans="1:42" ht="11.25" customHeight="1" x14ac:dyDescent="0.25">
      <c r="A39" s="136"/>
      <c r="B39" s="136"/>
      <c r="C39" s="136"/>
      <c r="D39" s="28" t="s">
        <v>31</v>
      </c>
      <c r="E39" s="28" t="s">
        <v>25</v>
      </c>
      <c r="F39" s="28" t="s">
        <v>25</v>
      </c>
      <c r="G39" s="21" t="s">
        <v>96</v>
      </c>
      <c r="H39" s="21" t="s">
        <v>90</v>
      </c>
      <c r="I39" s="21">
        <f>'MERCADO TUSD'!$U$36</f>
        <v>0</v>
      </c>
      <c r="J39" s="17"/>
      <c r="L39" s="25">
        <f>'TUSD BE'!$L$39*'TUSD BF'!$L$69</f>
        <v>0</v>
      </c>
      <c r="M39" s="25">
        <f>'TUSD BE'!$M$39*'TUSD BF'!$M$69</f>
        <v>0</v>
      </c>
      <c r="N39" s="25">
        <f ca="1">'TUSD BE'!$N$39*'TUSD BF'!$N$69</f>
        <v>0</v>
      </c>
      <c r="O39" s="25">
        <f>'TUSD BE'!$O$39*'TUSD BF'!$O$69</f>
        <v>0</v>
      </c>
      <c r="P39" s="25">
        <f>'TUSD BE'!$P$39*'TUSD BF'!$P$69</f>
        <v>0</v>
      </c>
      <c r="Q39" s="25">
        <f>'TUSD BE'!$Q$39*'TUSD BF'!$Q$69</f>
        <v>0</v>
      </c>
      <c r="R39" s="25">
        <f>'TUSD BE'!$R$39*'TUSD BF'!$R$69</f>
        <v>0</v>
      </c>
      <c r="S39" s="25">
        <f>'TUSD BE'!$R$39*'TUSD BF'!$S$69</f>
        <v>0</v>
      </c>
      <c r="T39" s="25">
        <f ca="1">SUM($L$39:$S$39)</f>
        <v>0</v>
      </c>
      <c r="U39" s="25">
        <f>'TUSD BE'!$U$39*'TUSD BF'!$U$69</f>
        <v>2.5034226131382047</v>
      </c>
      <c r="V39" s="25">
        <f>'TUSD BE'!$V$39*'TUSD BF'!$V$69</f>
        <v>0.49047141096461638</v>
      </c>
      <c r="W39" s="25">
        <f>'TUSD BE'!$W$39*'TUSD BF'!$W$69</f>
        <v>0</v>
      </c>
      <c r="X39" s="25">
        <f>'TUSD BE'!$X$39*'TUSD BF'!$X$69</f>
        <v>0</v>
      </c>
      <c r="Y39" s="25">
        <f>'TUSD BE'!$Y$39*'TUSD BF'!$Y$69</f>
        <v>0</v>
      </c>
      <c r="Z39" s="25">
        <f>'TUSD BE'!$Z$39*'TUSD BF'!$Z$69</f>
        <v>0</v>
      </c>
      <c r="AA39" s="25">
        <f>'TUSD BE'!$AA$39*'TUSD BF'!$AA$69</f>
        <v>0</v>
      </c>
      <c r="AB39" s="25">
        <f>SUM($U$39:$AA$39)</f>
        <v>2.9938940241028211</v>
      </c>
      <c r="AC39" s="25">
        <f>'TUSD BE'!$AC$39*'TUSD BF'!$AC$69</f>
        <v>0</v>
      </c>
      <c r="AD39" s="25">
        <f>SUM($AC$39:$AC$39)</f>
        <v>0</v>
      </c>
      <c r="AE39" s="25">
        <f ca="1">$AO$39*$AO$66</f>
        <v>0</v>
      </c>
      <c r="AF39" s="25">
        <f ca="1">$AP$39*$AP$66</f>
        <v>0</v>
      </c>
      <c r="AG39" s="25">
        <f ca="1">SUM($AE$39:$AF$39)</f>
        <v>0</v>
      </c>
      <c r="AH39" s="25">
        <f>'TUSD BE'!$AH$39*'TUSD BF'!$AH$69</f>
        <v>3.2157038832446414</v>
      </c>
      <c r="AI39" s="25">
        <f>'TUSD BE'!$AI$39*'TUSD BF'!$AI$69</f>
        <v>0.18568989859049317</v>
      </c>
      <c r="AJ39" s="25">
        <f ca="1">'TUSD BE'!$AJ$39*'TUSD BF'!$AJ$69</f>
        <v>2.8751326798714247</v>
      </c>
      <c r="AK39" s="25">
        <f ca="1">'TUSD BE'!$AK$39*'TUSD BF'!$AK$69</f>
        <v>0</v>
      </c>
      <c r="AL39" s="25">
        <f ca="1">SUM($AH$39:$AK$39)</f>
        <v>6.2765264617065597</v>
      </c>
      <c r="AM39" s="25">
        <f ca="1">SUMIF($L$4:$AL$4,"SUBTOTAL",$L$39:$AL$39)</f>
        <v>9.2704204858093817</v>
      </c>
      <c r="AO39" s="30">
        <f ca="1">+'TUSD BE'!$T$39+'TUSD BE'!$AB$39+'TUSD BE'!$AD$39+'TUSD BE'!$AL$39</f>
        <v>407.68452967745947</v>
      </c>
      <c r="AP39" s="30">
        <f ca="1">+'TUSD BE'!$T$39+'TUSD BE'!$AB$39+'TUSD BE'!$AD$39+'TUSD BE'!$AL$39</f>
        <v>407.68452967745947</v>
      </c>
    </row>
    <row r="40" spans="1:42" ht="11.25" customHeight="1" x14ac:dyDescent="0.25">
      <c r="A40" s="136"/>
      <c r="B40" s="136"/>
      <c r="C40" s="136"/>
      <c r="D40" s="28" t="s">
        <v>32</v>
      </c>
      <c r="E40" s="28" t="s">
        <v>25</v>
      </c>
      <c r="F40" s="28" t="s">
        <v>25</v>
      </c>
      <c r="G40" s="21" t="s">
        <v>96</v>
      </c>
      <c r="H40" s="21" t="s">
        <v>90</v>
      </c>
      <c r="I40" s="21">
        <f>'MERCADO TUSD'!$U$37</f>
        <v>0</v>
      </c>
      <c r="J40" s="17"/>
      <c r="L40" s="25">
        <f>'TUSD BE'!$L$40*'TUSD BF'!$L$69</f>
        <v>0</v>
      </c>
      <c r="M40" s="25">
        <f>'TUSD BE'!$M$40*'TUSD BF'!$M$69</f>
        <v>0</v>
      </c>
      <c r="N40" s="25">
        <f ca="1">'TUSD BE'!$N$40*'TUSD BF'!$N$69</f>
        <v>0</v>
      </c>
      <c r="O40" s="25">
        <f>'TUSD BE'!$O$40*'TUSD BF'!$O$69</f>
        <v>0</v>
      </c>
      <c r="P40" s="25">
        <f>'TUSD BE'!$P$40*'TUSD BF'!$P$69</f>
        <v>0</v>
      </c>
      <c r="Q40" s="25">
        <f>'TUSD BE'!$Q$40*'TUSD BF'!$Q$69</f>
        <v>0</v>
      </c>
      <c r="R40" s="25">
        <f>'TUSD BE'!$R$40*'TUSD BF'!$R$69</f>
        <v>0</v>
      </c>
      <c r="S40" s="25">
        <f>'TUSD BE'!$R$40*'TUSD BF'!$S$69</f>
        <v>0</v>
      </c>
      <c r="T40" s="25">
        <f ca="1">SUM($L$40:$S$40)</f>
        <v>0</v>
      </c>
      <c r="U40" s="25">
        <f>'TUSD BE'!$U$40*'TUSD BF'!$U$69</f>
        <v>2.5034226131382047</v>
      </c>
      <c r="V40" s="25">
        <f>'TUSD BE'!$V$40*'TUSD BF'!$V$69</f>
        <v>0.49047141096461638</v>
      </c>
      <c r="W40" s="25">
        <f>'TUSD BE'!$W$40*'TUSD BF'!$W$69</f>
        <v>0</v>
      </c>
      <c r="X40" s="25">
        <f>'TUSD BE'!$X$40*'TUSD BF'!$X$69</f>
        <v>0</v>
      </c>
      <c r="Y40" s="25">
        <f>'TUSD BE'!$Y$40*'TUSD BF'!$Y$69</f>
        <v>0</v>
      </c>
      <c r="Z40" s="25">
        <f>'TUSD BE'!$Z$40*'TUSD BF'!$Z$69</f>
        <v>0</v>
      </c>
      <c r="AA40" s="25">
        <f>'TUSD BE'!$AA$40*'TUSD BF'!$AA$69</f>
        <v>0</v>
      </c>
      <c r="AB40" s="25">
        <f>SUM($U$40:$AA$40)</f>
        <v>2.9938940241028211</v>
      </c>
      <c r="AC40" s="25">
        <f>'TUSD BE'!$AC$40*'TUSD BF'!$AC$69</f>
        <v>0</v>
      </c>
      <c r="AD40" s="25">
        <f>SUM($AC$40:$AC$40)</f>
        <v>0</v>
      </c>
      <c r="AE40" s="25">
        <f ca="1">$AO$40*$AO$66</f>
        <v>0</v>
      </c>
      <c r="AF40" s="25">
        <f ca="1">$AP$40*$AP$66</f>
        <v>0</v>
      </c>
      <c r="AG40" s="25">
        <f ca="1">SUM($AE$40:$AF$40)</f>
        <v>0</v>
      </c>
      <c r="AH40" s="25">
        <f>'TUSD BE'!$AH$40*'TUSD BF'!$AH$69</f>
        <v>3.2157038832446414</v>
      </c>
      <c r="AI40" s="25">
        <f>'TUSD BE'!$AI$40*'TUSD BF'!$AI$69</f>
        <v>0.18568989859049317</v>
      </c>
      <c r="AJ40" s="25">
        <f ca="1">'TUSD BE'!$AJ$40*'TUSD BF'!$AJ$69</f>
        <v>2.8751326798714247</v>
      </c>
      <c r="AK40" s="25">
        <f ca="1">'TUSD BE'!$AK$40*'TUSD BF'!$AK$69</f>
        <v>0</v>
      </c>
      <c r="AL40" s="25">
        <f ca="1">SUM($AH$40:$AK$40)</f>
        <v>6.2765264617065597</v>
      </c>
      <c r="AM40" s="25">
        <f ca="1">SUMIF($L$4:$AL$4,"SUBTOTAL",$L$40:$AL$40)</f>
        <v>9.2704204858093817</v>
      </c>
      <c r="AO40" s="30">
        <f ca="1">+'TUSD BE'!$T$40+'TUSD BE'!$AB$40+'TUSD BE'!$AD$40+'TUSD BE'!$AL$40</f>
        <v>407.68452967745947</v>
      </c>
      <c r="AP40" s="30">
        <f ca="1">+'TUSD BE'!$T$40+'TUSD BE'!$AB$40+'TUSD BE'!$AD$40+'TUSD BE'!$AL$40</f>
        <v>407.68452967745947</v>
      </c>
    </row>
    <row r="41" spans="1:42" ht="11.25" customHeight="1" x14ac:dyDescent="0.25">
      <c r="A41" s="136" t="s">
        <v>44</v>
      </c>
      <c r="B41" s="136" t="s">
        <v>37</v>
      </c>
      <c r="C41" s="136" t="s">
        <v>45</v>
      </c>
      <c r="D41" s="136" t="s">
        <v>25</v>
      </c>
      <c r="E41" s="136" t="s">
        <v>25</v>
      </c>
      <c r="F41" s="136" t="s">
        <v>25</v>
      </c>
      <c r="G41" s="21" t="s">
        <v>91</v>
      </c>
      <c r="H41" s="21" t="s">
        <v>90</v>
      </c>
      <c r="I41" s="21">
        <f>'MERCADO TUSD'!$U$38</f>
        <v>3.0000000000000001E-3</v>
      </c>
      <c r="J41" s="17"/>
      <c r="L41" s="25">
        <f>'TUSD BE'!$L$41*'TUSD BF'!$L$69</f>
        <v>9.1483703407367722E-2</v>
      </c>
      <c r="M41" s="25">
        <f>'TUSD BE'!$M$41*'TUSD BF'!$M$69</f>
        <v>0</v>
      </c>
      <c r="N41" s="25">
        <f ca="1">'TUSD BE'!$N$41*'TUSD BF'!$N$69</f>
        <v>0</v>
      </c>
      <c r="O41" s="25">
        <f>'TUSD BE'!$O$41*'TUSD BF'!$O$69</f>
        <v>0</v>
      </c>
      <c r="P41" s="25">
        <f>'TUSD BE'!$P$41*'TUSD BF'!$P$69</f>
        <v>0</v>
      </c>
      <c r="Q41" s="25">
        <f>'TUSD BE'!$Q$41*'TUSD BF'!$Q$69</f>
        <v>3.1784351778039577</v>
      </c>
      <c r="R41" s="25">
        <f>'TUSD BE'!$R$41*'TUSD BF'!$R$69</f>
        <v>1.8356749495197138</v>
      </c>
      <c r="S41" s="25">
        <f>'TUSD BE'!$R$41*'TUSD BF'!$S$69</f>
        <v>0</v>
      </c>
      <c r="T41" s="25">
        <f ca="1">SUM($L$41:$S$41)</f>
        <v>5.1055938307310393</v>
      </c>
      <c r="U41" s="25">
        <f>'TUSD BE'!$U$41*'TUSD BF'!$U$69</f>
        <v>8.2612961769935129</v>
      </c>
      <c r="V41" s="25">
        <f>'TUSD BE'!$V$41*'TUSD BF'!$V$69</f>
        <v>1.6185568906015035</v>
      </c>
      <c r="W41" s="25">
        <f>'TUSD BE'!$W$41*'TUSD BF'!$W$69</f>
        <v>0</v>
      </c>
      <c r="X41" s="25">
        <f>'TUSD BE'!$X$41*'TUSD BF'!$X$69</f>
        <v>0</v>
      </c>
      <c r="Y41" s="25">
        <f>'TUSD BE'!$Y$41*'TUSD BF'!$Y$69</f>
        <v>0</v>
      </c>
      <c r="Z41" s="25">
        <f>'TUSD BE'!$Z$41*'TUSD BF'!$Z$69</f>
        <v>0</v>
      </c>
      <c r="AA41" s="25">
        <f>'TUSD BE'!$AA$41*'TUSD BF'!$AA$69</f>
        <v>0</v>
      </c>
      <c r="AB41" s="25">
        <f>SUM($U$41:$AA$41)</f>
        <v>9.8798530675950165</v>
      </c>
      <c r="AC41" s="25">
        <f>'TUSD BE'!$AC$41*'TUSD BF'!$AC$69</f>
        <v>0</v>
      </c>
      <c r="AD41" s="25">
        <f>SUM($AC$41:$AC$41)</f>
        <v>0</v>
      </c>
      <c r="AE41" s="25">
        <f ca="1">$AO$41*$AO$66</f>
        <v>0</v>
      </c>
      <c r="AF41" s="25">
        <f ca="1">$AP$41*$AP$66</f>
        <v>0</v>
      </c>
      <c r="AG41" s="25">
        <f ca="1">SUM($AE$41:$AF$41)</f>
        <v>0</v>
      </c>
      <c r="AH41" s="25">
        <f>'TUSD BE'!$AH$41*'TUSD BF'!$AH$69</f>
        <v>3.2157038832446414</v>
      </c>
      <c r="AI41" s="25">
        <f>'TUSD BE'!$AI$41*'TUSD BF'!$AI$69</f>
        <v>0.18568989859049317</v>
      </c>
      <c r="AJ41" s="25">
        <f ca="1">'TUSD BE'!$AJ$41*'TUSD BF'!$AJ$69</f>
        <v>2.8751326798714247</v>
      </c>
      <c r="AK41" s="25">
        <f ca="1">'TUSD BE'!$AK$41*'TUSD BF'!$AK$69</f>
        <v>0</v>
      </c>
      <c r="AL41" s="25">
        <f ca="1">SUM($AH$41:$AK$41)</f>
        <v>6.2765264617065597</v>
      </c>
      <c r="AM41" s="25">
        <f ca="1">SUMIF($L$4:$AL$4,"SUBTOTAL",$L$41:$AL$41)</f>
        <v>21.261973360032616</v>
      </c>
      <c r="AO41" s="30">
        <f ca="1">+'TUSD BE'!$T$41+'TUSD BE'!$AB$41+'TUSD BE'!$AD$41+'TUSD BE'!$AL$41</f>
        <v>1215.4792189385414</v>
      </c>
      <c r="AP41" s="30">
        <f ca="1">+'TUSD BE'!$T$41+'TUSD BE'!$AB$41+'TUSD BE'!$AD$41+'TUSD BE'!$AL$41</f>
        <v>1215.4792189385414</v>
      </c>
    </row>
    <row r="42" spans="1:42" ht="11.25" customHeight="1" x14ac:dyDescent="0.25">
      <c r="A42" s="136"/>
      <c r="B42" s="136"/>
      <c r="C42" s="136"/>
      <c r="D42" s="136"/>
      <c r="E42" s="136"/>
      <c r="F42" s="136"/>
      <c r="G42" s="21" t="s">
        <v>101</v>
      </c>
      <c r="H42" s="21" t="s">
        <v>90</v>
      </c>
      <c r="I42" s="21">
        <f>'MERCADO TUSD'!$U$39</f>
        <v>3.1E-2</v>
      </c>
      <c r="J42" s="17"/>
      <c r="L42" s="25">
        <f>'TUSD BE'!$L$42*'TUSD BF'!$L$69</f>
        <v>9.1483703407367722E-2</v>
      </c>
      <c r="M42" s="25">
        <f>'TUSD BE'!$M$42*'TUSD BF'!$M$69</f>
        <v>0</v>
      </c>
      <c r="N42" s="25">
        <f ca="1">'TUSD BE'!$N$42*'TUSD BF'!$N$69</f>
        <v>0</v>
      </c>
      <c r="O42" s="25">
        <f>'TUSD BE'!$O$42*'TUSD BF'!$O$69</f>
        <v>0</v>
      </c>
      <c r="P42" s="25">
        <f>'TUSD BE'!$P$42*'TUSD BF'!$P$69</f>
        <v>0</v>
      </c>
      <c r="Q42" s="25">
        <f>'TUSD BE'!$Q$42*'TUSD BF'!$Q$69</f>
        <v>3.1784351778039577</v>
      </c>
      <c r="R42" s="25">
        <f>'TUSD BE'!$R$42*'TUSD BF'!$R$69</f>
        <v>1.8356749495197138</v>
      </c>
      <c r="S42" s="25">
        <f>'TUSD BE'!$R$42*'TUSD BF'!$S$69</f>
        <v>0</v>
      </c>
      <c r="T42" s="25">
        <f ca="1">SUM($L$42:$S$42)</f>
        <v>5.1055938307310393</v>
      </c>
      <c r="U42" s="25">
        <f>'TUSD BE'!$U$42*'TUSD BF'!$U$69</f>
        <v>4.9567792598335467</v>
      </c>
      <c r="V42" s="25">
        <f>'TUSD BE'!$V$42*'TUSD BF'!$V$69</f>
        <v>0.9711353687791715</v>
      </c>
      <c r="W42" s="25">
        <f>'TUSD BE'!$W$42*'TUSD BF'!$W$69</f>
        <v>0</v>
      </c>
      <c r="X42" s="25">
        <f>'TUSD BE'!$X$42*'TUSD BF'!$X$69</f>
        <v>0</v>
      </c>
      <c r="Y42" s="25">
        <f>'TUSD BE'!$Y$42*'TUSD BF'!$Y$69</f>
        <v>0</v>
      </c>
      <c r="Z42" s="25">
        <f>'TUSD BE'!$Z$42*'TUSD BF'!$Z$69</f>
        <v>0</v>
      </c>
      <c r="AA42" s="25">
        <f>'TUSD BE'!$AA$42*'TUSD BF'!$AA$69</f>
        <v>0</v>
      </c>
      <c r="AB42" s="25">
        <f>SUM($U$42:$AA$42)</f>
        <v>5.9279146286127187</v>
      </c>
      <c r="AC42" s="25">
        <f>'TUSD BE'!$AC$42*'TUSD BF'!$AC$69</f>
        <v>0</v>
      </c>
      <c r="AD42" s="25">
        <f>SUM($AC$42:$AC$42)</f>
        <v>0</v>
      </c>
      <c r="AE42" s="25">
        <f ca="1">$AO$42*$AO$66</f>
        <v>0</v>
      </c>
      <c r="AF42" s="25">
        <f ca="1">$AP$42*$AP$66</f>
        <v>0</v>
      </c>
      <c r="AG42" s="25">
        <f ca="1">SUM($AE$42:$AF$42)</f>
        <v>0</v>
      </c>
      <c r="AH42" s="25">
        <f>'TUSD BE'!$AH$42*'TUSD BF'!$AH$69</f>
        <v>3.2157038832446414</v>
      </c>
      <c r="AI42" s="25">
        <f>'TUSD BE'!$AI$42*'TUSD BF'!$AI$69</f>
        <v>0.18568989859049317</v>
      </c>
      <c r="AJ42" s="25">
        <f ca="1">'TUSD BE'!$AJ$42*'TUSD BF'!$AJ$69</f>
        <v>2.8751326798714247</v>
      </c>
      <c r="AK42" s="25">
        <f ca="1">'TUSD BE'!$AK$42*'TUSD BF'!$AK$69</f>
        <v>0</v>
      </c>
      <c r="AL42" s="25">
        <f ca="1">SUM($AH$42:$AK$42)</f>
        <v>6.2765264617065597</v>
      </c>
      <c r="AM42" s="25">
        <f ca="1">SUMIF($L$4:$AL$4,"SUBTOTAL",$L$42:$AL$42)</f>
        <v>17.310034921050317</v>
      </c>
      <c r="AO42" s="30">
        <f ca="1">+'TUSD BE'!$T$42+'TUSD BE'!$AB$42+'TUSD BE'!$AD$42+'TUSD BE'!$AL$42</f>
        <v>790.43226495884335</v>
      </c>
      <c r="AP42" s="30">
        <f ca="1">+'TUSD BE'!$T$42+'TUSD BE'!$AB$42+'TUSD BE'!$AD$42+'TUSD BE'!$AL$42</f>
        <v>790.43226495884335</v>
      </c>
    </row>
    <row r="43" spans="1:42" ht="11.25" customHeight="1" x14ac:dyDescent="0.25">
      <c r="A43" s="136"/>
      <c r="B43" s="136"/>
      <c r="C43" s="136"/>
      <c r="D43" s="136"/>
      <c r="E43" s="136"/>
      <c r="F43" s="136"/>
      <c r="G43" s="21" t="s">
        <v>92</v>
      </c>
      <c r="H43" s="21" t="s">
        <v>90</v>
      </c>
      <c r="I43" s="21">
        <f>'MERCADO TUSD'!$U$40</f>
        <v>8.956999999999999</v>
      </c>
      <c r="J43" s="17"/>
      <c r="L43" s="25">
        <f>'TUSD BE'!$L$43*'TUSD BF'!$L$69</f>
        <v>9.1483703407367722E-2</v>
      </c>
      <c r="M43" s="25">
        <f>'TUSD BE'!$M$43*'TUSD BF'!$M$69</f>
        <v>0</v>
      </c>
      <c r="N43" s="25">
        <f ca="1">'TUSD BE'!$N$43*'TUSD BF'!$N$69</f>
        <v>0</v>
      </c>
      <c r="O43" s="25">
        <f>'TUSD BE'!$O$43*'TUSD BF'!$O$69</f>
        <v>0</v>
      </c>
      <c r="P43" s="25">
        <f>'TUSD BE'!$P$43*'TUSD BF'!$P$69</f>
        <v>0</v>
      </c>
      <c r="Q43" s="25">
        <f>'TUSD BE'!$Q$43*'TUSD BF'!$Q$69</f>
        <v>3.1784351778039577</v>
      </c>
      <c r="R43" s="25">
        <f>'TUSD BE'!$R$43*'TUSD BF'!$R$69</f>
        <v>1.8356749495197138</v>
      </c>
      <c r="S43" s="25">
        <f>'TUSD BE'!$R$43*'TUSD BF'!$S$69</f>
        <v>0</v>
      </c>
      <c r="T43" s="25">
        <f ca="1">SUM($L$43:$S$43)</f>
        <v>5.1055938307310393</v>
      </c>
      <c r="U43" s="25">
        <f>'TUSD BE'!$U$43*'TUSD BF'!$U$69</f>
        <v>1.6522623426735787</v>
      </c>
      <c r="V43" s="25">
        <f>'TUSD BE'!$V$43*'TUSD BF'!$V$69</f>
        <v>0.32371384695683941</v>
      </c>
      <c r="W43" s="25">
        <f>'TUSD BE'!$W$43*'TUSD BF'!$W$69</f>
        <v>0</v>
      </c>
      <c r="X43" s="25">
        <f>'TUSD BE'!$X$43*'TUSD BF'!$X$69</f>
        <v>0</v>
      </c>
      <c r="Y43" s="25">
        <f>'TUSD BE'!$Y$43*'TUSD BF'!$Y$69</f>
        <v>0</v>
      </c>
      <c r="Z43" s="25">
        <f>'TUSD BE'!$Z$43*'TUSD BF'!$Z$69</f>
        <v>0</v>
      </c>
      <c r="AA43" s="25">
        <f>'TUSD BE'!$AA$43*'TUSD BF'!$AA$69</f>
        <v>0</v>
      </c>
      <c r="AB43" s="25">
        <f>SUM($U$43:$AA$43)</f>
        <v>1.9759761896304182</v>
      </c>
      <c r="AC43" s="25">
        <f>'TUSD BE'!$AC$43*'TUSD BF'!$AC$69</f>
        <v>0</v>
      </c>
      <c r="AD43" s="25">
        <f>SUM($AC$43:$AC$43)</f>
        <v>0</v>
      </c>
      <c r="AE43" s="25">
        <f ca="1">$AO$43*$AO$66</f>
        <v>0</v>
      </c>
      <c r="AF43" s="25">
        <f ca="1">$AP$43*$AP$66</f>
        <v>0</v>
      </c>
      <c r="AG43" s="25">
        <f ca="1">SUM($AE$43:$AF$43)</f>
        <v>0</v>
      </c>
      <c r="AH43" s="25">
        <f>'TUSD BE'!$AH$43*'TUSD BF'!$AH$69</f>
        <v>3.2157038832446414</v>
      </c>
      <c r="AI43" s="25">
        <f>'TUSD BE'!$AI$43*'TUSD BF'!$AI$69</f>
        <v>0.18568989859049317</v>
      </c>
      <c r="AJ43" s="25">
        <f ca="1">'TUSD BE'!$AJ$43*'TUSD BF'!$AJ$69</f>
        <v>2.8751326798714247</v>
      </c>
      <c r="AK43" s="25">
        <f ca="1">'TUSD BE'!$AK$43*'TUSD BF'!$AK$69</f>
        <v>0</v>
      </c>
      <c r="AL43" s="25">
        <f ca="1">SUM($AH$43:$AK$43)</f>
        <v>6.2765264617065597</v>
      </c>
      <c r="AM43" s="25">
        <f ca="1">SUMIF($L$4:$AL$4,"SUBTOTAL",$L$43:$AL$43)</f>
        <v>13.358096482068017</v>
      </c>
      <c r="AO43" s="30">
        <f ca="1">+'TUSD BE'!$T$43+'TUSD BE'!$AB$43+'TUSD BE'!$AD$43+'TUSD BE'!$AL$43</f>
        <v>365.38496119158361</v>
      </c>
      <c r="AP43" s="30">
        <f ca="1">+'TUSD BE'!$T$43+'TUSD BE'!$AB$43+'TUSD BE'!$AD$43+'TUSD BE'!$AL$43</f>
        <v>365.38496119158361</v>
      </c>
    </row>
    <row r="44" spans="1:42" ht="11.25" customHeight="1" x14ac:dyDescent="0.25">
      <c r="A44" s="136"/>
      <c r="B44" s="28" t="s">
        <v>23</v>
      </c>
      <c r="C44" s="28" t="s">
        <v>45</v>
      </c>
      <c r="D44" s="28" t="s">
        <v>25</v>
      </c>
      <c r="E44" s="28" t="s">
        <v>25</v>
      </c>
      <c r="F44" s="28" t="s">
        <v>25</v>
      </c>
      <c r="G44" s="21" t="s">
        <v>96</v>
      </c>
      <c r="H44" s="21" t="s">
        <v>90</v>
      </c>
      <c r="I44" s="21">
        <f>'MERCADO TUSD'!$U$41</f>
        <v>60904.316999999995</v>
      </c>
      <c r="J44" s="17"/>
      <c r="L44" s="25">
        <f>'TUSD BE'!$L$44*'TUSD BF'!$L$69</f>
        <v>9.1483703407367722E-2</v>
      </c>
      <c r="M44" s="25">
        <f>'TUSD BE'!$M$44*'TUSD BF'!$M$69</f>
        <v>0</v>
      </c>
      <c r="N44" s="25">
        <f ca="1">'TUSD BE'!$N$44*'TUSD BF'!$N$69</f>
        <v>0</v>
      </c>
      <c r="O44" s="25">
        <f>'TUSD BE'!$O$44*'TUSD BF'!$O$69</f>
        <v>0</v>
      </c>
      <c r="P44" s="25">
        <f>'TUSD BE'!$P$44*'TUSD BF'!$P$69</f>
        <v>0</v>
      </c>
      <c r="Q44" s="25">
        <f>'TUSD BE'!$Q$44*'TUSD BF'!$Q$69</f>
        <v>3.1784351778039577</v>
      </c>
      <c r="R44" s="25">
        <f>'TUSD BE'!$R$44*'TUSD BF'!$R$69</f>
        <v>1.8356749495197138</v>
      </c>
      <c r="S44" s="25">
        <f>'TUSD BE'!$R$44*'TUSD BF'!$S$69</f>
        <v>0</v>
      </c>
      <c r="T44" s="25">
        <f ca="1">SUM($L$44:$S$44)</f>
        <v>5.1055938307310393</v>
      </c>
      <c r="U44" s="25">
        <f>'TUSD BE'!$U$44*'TUSD BF'!$U$69</f>
        <v>2.5034226131382047</v>
      </c>
      <c r="V44" s="25">
        <f>'TUSD BE'!$V$44*'TUSD BF'!$V$69</f>
        <v>0.49047141096461638</v>
      </c>
      <c r="W44" s="25">
        <f>'TUSD BE'!$W$44*'TUSD BF'!$W$69</f>
        <v>0</v>
      </c>
      <c r="X44" s="25">
        <f>'TUSD BE'!$X$44*'TUSD BF'!$X$69</f>
        <v>0</v>
      </c>
      <c r="Y44" s="25">
        <f>'TUSD BE'!$Y$44*'TUSD BF'!$Y$69</f>
        <v>0</v>
      </c>
      <c r="Z44" s="25">
        <f>'TUSD BE'!$Z$44*'TUSD BF'!$Z$69</f>
        <v>0</v>
      </c>
      <c r="AA44" s="25">
        <f>'TUSD BE'!$AA$44*'TUSD BF'!$AA$69</f>
        <v>0</v>
      </c>
      <c r="AB44" s="25">
        <f>SUM($U$44:$AA$44)</f>
        <v>2.9938940241028211</v>
      </c>
      <c r="AC44" s="25">
        <f>'TUSD BE'!$AC$44*'TUSD BF'!$AC$69</f>
        <v>0</v>
      </c>
      <c r="AD44" s="25">
        <f>SUM($AC$44:$AC$44)</f>
        <v>0</v>
      </c>
      <c r="AE44" s="25">
        <f ca="1">$AO$44*$AO$66</f>
        <v>0</v>
      </c>
      <c r="AF44" s="25">
        <f ca="1">$AP$44*$AP$66</f>
        <v>0</v>
      </c>
      <c r="AG44" s="25">
        <f ca="1">SUM($AE$44:$AF$44)</f>
        <v>0</v>
      </c>
      <c r="AH44" s="25">
        <f>'TUSD BE'!$AH$44*'TUSD BF'!$AH$69</f>
        <v>3.2157038832446414</v>
      </c>
      <c r="AI44" s="25">
        <f>'TUSD BE'!$AI$44*'TUSD BF'!$AI$69</f>
        <v>0.18568989859049317</v>
      </c>
      <c r="AJ44" s="25">
        <f ca="1">'TUSD BE'!$AJ$44*'TUSD BF'!$AJ$69</f>
        <v>2.8751326798714247</v>
      </c>
      <c r="AK44" s="25">
        <f ca="1">'TUSD BE'!$AK$44*'TUSD BF'!$AK$69</f>
        <v>0</v>
      </c>
      <c r="AL44" s="25">
        <f ca="1">SUM($AH$44:$AK$44)</f>
        <v>6.2765264617065597</v>
      </c>
      <c r="AM44" s="25">
        <f ca="1">SUMIF($L$4:$AL$4,"SUBTOTAL",$L$44:$AL$44)</f>
        <v>14.37601431654042</v>
      </c>
      <c r="AO44" s="30">
        <f ca="1">+'TUSD BE'!$T$44+'TUSD BE'!$AB$44+'TUSD BE'!$AD$44+'TUSD BE'!$AL$44</f>
        <v>474.86663275586722</v>
      </c>
      <c r="AP44" s="30">
        <f ca="1">+'TUSD BE'!$T$44+'TUSD BE'!$AB$44+'TUSD BE'!$AD$44+'TUSD BE'!$AL$44</f>
        <v>474.86663275586722</v>
      </c>
    </row>
    <row r="45" spans="1:42" ht="11.25" customHeight="1" x14ac:dyDescent="0.25">
      <c r="A45" s="136"/>
      <c r="B45" s="136" t="s">
        <v>37</v>
      </c>
      <c r="C45" s="136" t="s">
        <v>45</v>
      </c>
      <c r="D45" s="136" t="s">
        <v>104</v>
      </c>
      <c r="E45" s="136" t="s">
        <v>25</v>
      </c>
      <c r="F45" s="136" t="s">
        <v>25</v>
      </c>
      <c r="G45" s="21" t="s">
        <v>91</v>
      </c>
      <c r="H45" s="21" t="s">
        <v>90</v>
      </c>
      <c r="I45" s="21">
        <f>'MERCADO TUSD'!$U$42</f>
        <v>0</v>
      </c>
      <c r="J45" s="17"/>
      <c r="L45" s="25">
        <f>'TUSD BE'!$L$45*'TUSD BF'!$L$69</f>
        <v>9.1483703407367722E-2</v>
      </c>
      <c r="M45" s="25">
        <f>'TUSD BE'!$M$45*'TUSD BF'!$M$69</f>
        <v>0</v>
      </c>
      <c r="N45" s="25">
        <f ca="1">'TUSD BE'!$N$45*'TUSD BF'!$N$69</f>
        <v>0</v>
      </c>
      <c r="O45" s="25">
        <f>'TUSD BE'!$O$45*'TUSD BF'!$O$69</f>
        <v>0</v>
      </c>
      <c r="P45" s="25">
        <f>'TUSD BE'!$P$45*'TUSD BF'!$P$69</f>
        <v>0</v>
      </c>
      <c r="Q45" s="25">
        <f>'TUSD BE'!$Q$45*'TUSD BF'!$Q$69</f>
        <v>3.1784351778039577</v>
      </c>
      <c r="R45" s="25">
        <f>'TUSD BE'!$R$45*'TUSD BF'!$R$69</f>
        <v>1.8356749495197138</v>
      </c>
      <c r="S45" s="25">
        <f>'TUSD BE'!$R$45*'TUSD BF'!$S$69</f>
        <v>0</v>
      </c>
      <c r="T45" s="25">
        <f ca="1">SUM($L$45:$S$45)</f>
        <v>5.1055938307310393</v>
      </c>
      <c r="U45" s="25">
        <f>'TUSD BE'!$U$45*'TUSD BF'!$U$69</f>
        <v>8.2612961769935129</v>
      </c>
      <c r="V45" s="25">
        <f>'TUSD BE'!$V$45*'TUSD BF'!$V$69</f>
        <v>1.6185568906015035</v>
      </c>
      <c r="W45" s="25">
        <f>'TUSD BE'!$W$45*'TUSD BF'!$W$69</f>
        <v>0</v>
      </c>
      <c r="X45" s="25">
        <f>'TUSD BE'!$X$45*'TUSD BF'!$X$69</f>
        <v>0</v>
      </c>
      <c r="Y45" s="25">
        <f>'TUSD BE'!$Y$45*'TUSD BF'!$Y$69</f>
        <v>0</v>
      </c>
      <c r="Z45" s="25">
        <f>'TUSD BE'!$Z$45*'TUSD BF'!$Z$69</f>
        <v>0</v>
      </c>
      <c r="AA45" s="25">
        <f>'TUSD BE'!$AA$45*'TUSD BF'!$AA$69</f>
        <v>0</v>
      </c>
      <c r="AB45" s="25">
        <f>SUM($U$45:$AA$45)</f>
        <v>9.8798530675950165</v>
      </c>
      <c r="AC45" s="25">
        <f>'TUSD BE'!$AC$45*'TUSD BF'!$AC$69</f>
        <v>0</v>
      </c>
      <c r="AD45" s="25">
        <f>SUM($AC$45:$AC$45)</f>
        <v>0</v>
      </c>
      <c r="AE45" s="25">
        <f ca="1">$AO$45*$AO$66</f>
        <v>0</v>
      </c>
      <c r="AF45" s="25">
        <f ca="1">$AP$45*$AP$66</f>
        <v>0</v>
      </c>
      <c r="AG45" s="25">
        <f ca="1">SUM($AE$45:$AF$45)</f>
        <v>0</v>
      </c>
      <c r="AH45" s="25">
        <f>'TUSD BE'!$AH$45*'TUSD BF'!$AH$69</f>
        <v>3.2157038832446414</v>
      </c>
      <c r="AI45" s="25">
        <f>'TUSD BE'!$AI$45*'TUSD BF'!$AI$69</f>
        <v>0.18568989859049317</v>
      </c>
      <c r="AJ45" s="25">
        <f ca="1">'TUSD BE'!$AJ$45*'TUSD BF'!$AJ$69</f>
        <v>2.8751326798714247</v>
      </c>
      <c r="AK45" s="25">
        <f ca="1">'TUSD BE'!$AK$45*'TUSD BF'!$AK$69</f>
        <v>0</v>
      </c>
      <c r="AL45" s="25">
        <f ca="1">SUM($AH$45:$AK$45)</f>
        <v>6.2765264617065597</v>
      </c>
      <c r="AM45" s="25">
        <f ca="1">SUMIF($L$4:$AL$4,"SUBTOTAL",$L$45:$AL$45)</f>
        <v>21.261973360032616</v>
      </c>
      <c r="AO45" s="30">
        <f ca="1">+'TUSD BE'!$T$45+'TUSD BE'!$AB$45+'TUSD BE'!$AD$45+'TUSD BE'!$AL$45</f>
        <v>1215.4792189385414</v>
      </c>
      <c r="AP45" s="30">
        <f ca="1">+'TUSD BE'!$T$45+'TUSD BE'!$AB$45+'TUSD BE'!$AD$45+'TUSD BE'!$AL$45</f>
        <v>1215.4792189385414</v>
      </c>
    </row>
    <row r="46" spans="1:42" ht="11.25" customHeight="1" x14ac:dyDescent="0.25">
      <c r="A46" s="136"/>
      <c r="B46" s="136"/>
      <c r="C46" s="136"/>
      <c r="D46" s="136"/>
      <c r="E46" s="136"/>
      <c r="F46" s="136"/>
      <c r="G46" s="21" t="s">
        <v>101</v>
      </c>
      <c r="H46" s="21" t="s">
        <v>90</v>
      </c>
      <c r="I46" s="21">
        <f>'MERCADO TUSD'!$U$43</f>
        <v>0</v>
      </c>
      <c r="J46" s="17"/>
      <c r="L46" s="25">
        <f>'TUSD BE'!$L$46*'TUSD BF'!$L$69</f>
        <v>9.1483703407367722E-2</v>
      </c>
      <c r="M46" s="25">
        <f>'TUSD BE'!$M$46*'TUSD BF'!$M$69</f>
        <v>0</v>
      </c>
      <c r="N46" s="25">
        <f ca="1">'TUSD BE'!$N$46*'TUSD BF'!$N$69</f>
        <v>0</v>
      </c>
      <c r="O46" s="25">
        <f>'TUSD BE'!$O$46*'TUSD BF'!$O$69</f>
        <v>0</v>
      </c>
      <c r="P46" s="25">
        <f>'TUSD BE'!$P$46*'TUSD BF'!$P$69</f>
        <v>0</v>
      </c>
      <c r="Q46" s="25">
        <f>'TUSD BE'!$Q$46*'TUSD BF'!$Q$69</f>
        <v>3.1784351778039577</v>
      </c>
      <c r="R46" s="25">
        <f>'TUSD BE'!$R$46*'TUSD BF'!$R$69</f>
        <v>1.8356749495197138</v>
      </c>
      <c r="S46" s="25">
        <f>'TUSD BE'!$R$46*'TUSD BF'!$S$69</f>
        <v>0</v>
      </c>
      <c r="T46" s="25">
        <f ca="1">SUM($L$46:$S$46)</f>
        <v>5.1055938307310393</v>
      </c>
      <c r="U46" s="25">
        <f>'TUSD BE'!$U$46*'TUSD BF'!$U$69</f>
        <v>4.9567792598335467</v>
      </c>
      <c r="V46" s="25">
        <f>'TUSD BE'!$V$46*'TUSD BF'!$V$69</f>
        <v>0.9711353687791715</v>
      </c>
      <c r="W46" s="25">
        <f>'TUSD BE'!$W$46*'TUSD BF'!$W$69</f>
        <v>0</v>
      </c>
      <c r="X46" s="25">
        <f>'TUSD BE'!$X$46*'TUSD BF'!$X$69</f>
        <v>0</v>
      </c>
      <c r="Y46" s="25">
        <f>'TUSD BE'!$Y$46*'TUSD BF'!$Y$69</f>
        <v>0</v>
      </c>
      <c r="Z46" s="25">
        <f>'TUSD BE'!$Z$46*'TUSD BF'!$Z$69</f>
        <v>0</v>
      </c>
      <c r="AA46" s="25">
        <f>'TUSD BE'!$AA$46*'TUSD BF'!$AA$69</f>
        <v>0</v>
      </c>
      <c r="AB46" s="25">
        <f>SUM($U$46:$AA$46)</f>
        <v>5.9279146286127187</v>
      </c>
      <c r="AC46" s="25">
        <f>'TUSD BE'!$AC$46*'TUSD BF'!$AC$69</f>
        <v>0</v>
      </c>
      <c r="AD46" s="25">
        <f>SUM($AC$46:$AC$46)</f>
        <v>0</v>
      </c>
      <c r="AE46" s="25">
        <f ca="1">$AO$46*$AO$66</f>
        <v>0</v>
      </c>
      <c r="AF46" s="25">
        <f ca="1">$AP$46*$AP$66</f>
        <v>0</v>
      </c>
      <c r="AG46" s="25">
        <f ca="1">SUM($AE$46:$AF$46)</f>
        <v>0</v>
      </c>
      <c r="AH46" s="25">
        <f>'TUSD BE'!$AH$46*'TUSD BF'!$AH$69</f>
        <v>3.2157038832446414</v>
      </c>
      <c r="AI46" s="25">
        <f>'TUSD BE'!$AI$46*'TUSD BF'!$AI$69</f>
        <v>0.18568989859049317</v>
      </c>
      <c r="AJ46" s="25">
        <f ca="1">'TUSD BE'!$AJ$46*'TUSD BF'!$AJ$69</f>
        <v>2.8751326798714247</v>
      </c>
      <c r="AK46" s="25">
        <f ca="1">'TUSD BE'!$AK$46*'TUSD BF'!$AK$69</f>
        <v>0</v>
      </c>
      <c r="AL46" s="25">
        <f ca="1">SUM($AH$46:$AK$46)</f>
        <v>6.2765264617065597</v>
      </c>
      <c r="AM46" s="25">
        <f ca="1">SUMIF($L$4:$AL$4,"SUBTOTAL",$L$46:$AL$46)</f>
        <v>17.310034921050317</v>
      </c>
      <c r="AO46" s="30">
        <f ca="1">+'TUSD BE'!$T$46+'TUSD BE'!$AB$46+'TUSD BE'!$AD$46+'TUSD BE'!$AL$46</f>
        <v>790.43226495884335</v>
      </c>
      <c r="AP46" s="30">
        <f ca="1">+'TUSD BE'!$T$46+'TUSD BE'!$AB$46+'TUSD BE'!$AD$46+'TUSD BE'!$AL$46</f>
        <v>790.43226495884335</v>
      </c>
    </row>
    <row r="47" spans="1:42" ht="11.25" customHeight="1" x14ac:dyDescent="0.25">
      <c r="A47" s="136"/>
      <c r="B47" s="136"/>
      <c r="C47" s="136"/>
      <c r="D47" s="136"/>
      <c r="E47" s="136"/>
      <c r="F47" s="136"/>
      <c r="G47" s="21" t="s">
        <v>92</v>
      </c>
      <c r="H47" s="21" t="s">
        <v>90</v>
      </c>
      <c r="I47" s="21">
        <f>'MERCADO TUSD'!$U$44</f>
        <v>0</v>
      </c>
      <c r="J47" s="17"/>
      <c r="L47" s="25">
        <f>'TUSD BE'!$L$47*'TUSD BF'!$L$69</f>
        <v>9.1483703407367722E-2</v>
      </c>
      <c r="M47" s="25">
        <f>'TUSD BE'!$M$47*'TUSD BF'!$M$69</f>
        <v>0</v>
      </c>
      <c r="N47" s="25">
        <f ca="1">'TUSD BE'!$N$47*'TUSD BF'!$N$69</f>
        <v>0</v>
      </c>
      <c r="O47" s="25">
        <f>'TUSD BE'!$O$47*'TUSD BF'!$O$69</f>
        <v>0</v>
      </c>
      <c r="P47" s="25">
        <f>'TUSD BE'!$P$47*'TUSD BF'!$P$69</f>
        <v>0</v>
      </c>
      <c r="Q47" s="25">
        <f>'TUSD BE'!$Q$47*'TUSD BF'!$Q$69</f>
        <v>3.1784351778039577</v>
      </c>
      <c r="R47" s="25">
        <f>'TUSD BE'!$R$47*'TUSD BF'!$R$69</f>
        <v>1.8356749495197138</v>
      </c>
      <c r="S47" s="25">
        <f>'TUSD BE'!$R$47*'TUSD BF'!$S$69</f>
        <v>0</v>
      </c>
      <c r="T47" s="25">
        <f ca="1">SUM($L$47:$S$47)</f>
        <v>5.1055938307310393</v>
      </c>
      <c r="U47" s="25">
        <f>'TUSD BE'!$U$47*'TUSD BF'!$U$69</f>
        <v>1.6522623426735787</v>
      </c>
      <c r="V47" s="25">
        <f>'TUSD BE'!$V$47*'TUSD BF'!$V$69</f>
        <v>0.32371384695683941</v>
      </c>
      <c r="W47" s="25">
        <f>'TUSD BE'!$W$47*'TUSD BF'!$W$69</f>
        <v>0</v>
      </c>
      <c r="X47" s="25">
        <f>'TUSD BE'!$X$47*'TUSD BF'!$X$69</f>
        <v>0</v>
      </c>
      <c r="Y47" s="25">
        <f>'TUSD BE'!$Y$47*'TUSD BF'!$Y$69</f>
        <v>0</v>
      </c>
      <c r="Z47" s="25">
        <f>'TUSD BE'!$Z$47*'TUSD BF'!$Z$69</f>
        <v>0</v>
      </c>
      <c r="AA47" s="25">
        <f>'TUSD BE'!$AA$47*'TUSD BF'!$AA$69</f>
        <v>0</v>
      </c>
      <c r="AB47" s="25">
        <f>SUM($U$47:$AA$47)</f>
        <v>1.9759761896304182</v>
      </c>
      <c r="AC47" s="25">
        <f>'TUSD BE'!$AC$47*'TUSD BF'!$AC$69</f>
        <v>0</v>
      </c>
      <c r="AD47" s="25">
        <f>SUM($AC$47:$AC$47)</f>
        <v>0</v>
      </c>
      <c r="AE47" s="25">
        <f ca="1">$AO$47*$AO$66</f>
        <v>0</v>
      </c>
      <c r="AF47" s="25">
        <f ca="1">$AP$47*$AP$66</f>
        <v>0</v>
      </c>
      <c r="AG47" s="25">
        <f ca="1">SUM($AE$47:$AF$47)</f>
        <v>0</v>
      </c>
      <c r="AH47" s="25">
        <f>'TUSD BE'!$AH$47*'TUSD BF'!$AH$69</f>
        <v>3.2157038832446414</v>
      </c>
      <c r="AI47" s="25">
        <f>'TUSD BE'!$AI$47*'TUSD BF'!$AI$69</f>
        <v>0.18568989859049317</v>
      </c>
      <c r="AJ47" s="25">
        <f ca="1">'TUSD BE'!$AJ$47*'TUSD BF'!$AJ$69</f>
        <v>2.8751326798714247</v>
      </c>
      <c r="AK47" s="25">
        <f ca="1">'TUSD BE'!$AK$47*'TUSD BF'!$AK$69</f>
        <v>0</v>
      </c>
      <c r="AL47" s="25">
        <f ca="1">SUM($AH$47:$AK$47)</f>
        <v>6.2765264617065597</v>
      </c>
      <c r="AM47" s="25">
        <f ca="1">SUMIF($L$4:$AL$4,"SUBTOTAL",$L$47:$AL$47)</f>
        <v>13.358096482068017</v>
      </c>
      <c r="AO47" s="30">
        <f ca="1">+'TUSD BE'!$T$47+'TUSD BE'!$AB$47+'TUSD BE'!$AD$47+'TUSD BE'!$AL$47</f>
        <v>365.38496119158361</v>
      </c>
      <c r="AP47" s="30">
        <f ca="1">+'TUSD BE'!$T$47+'TUSD BE'!$AB$47+'TUSD BE'!$AD$47+'TUSD BE'!$AL$47</f>
        <v>365.38496119158361</v>
      </c>
    </row>
    <row r="48" spans="1:42" ht="11.25" customHeight="1" x14ac:dyDescent="0.25">
      <c r="A48" s="136"/>
      <c r="B48" s="28" t="s">
        <v>23</v>
      </c>
      <c r="C48" s="28" t="s">
        <v>45</v>
      </c>
      <c r="D48" s="28" t="s">
        <v>104</v>
      </c>
      <c r="E48" s="28" t="s">
        <v>25</v>
      </c>
      <c r="F48" s="28" t="s">
        <v>25</v>
      </c>
      <c r="G48" s="21" t="s">
        <v>96</v>
      </c>
      <c r="H48" s="21" t="s">
        <v>90</v>
      </c>
      <c r="I48" s="21">
        <f>'MERCADO TUSD'!$U$45</f>
        <v>0</v>
      </c>
      <c r="J48" s="17"/>
      <c r="L48" s="25">
        <f>'TUSD BE'!$L$48*'TUSD BF'!$L$69</f>
        <v>9.1483703407367722E-2</v>
      </c>
      <c r="M48" s="25">
        <f>'TUSD BE'!$M$48*'TUSD BF'!$M$69</f>
        <v>0</v>
      </c>
      <c r="N48" s="25">
        <f ca="1">'TUSD BE'!$N$48*'TUSD BF'!$N$69</f>
        <v>0</v>
      </c>
      <c r="O48" s="25">
        <f>'TUSD BE'!$O$48*'TUSD BF'!$O$69</f>
        <v>0</v>
      </c>
      <c r="P48" s="25">
        <f>'TUSD BE'!$P$48*'TUSD BF'!$P$69</f>
        <v>0</v>
      </c>
      <c r="Q48" s="25">
        <f>'TUSD BE'!$Q$48*'TUSD BF'!$Q$69</f>
        <v>3.1784351778039577</v>
      </c>
      <c r="R48" s="25">
        <f>'TUSD BE'!$R$48*'TUSD BF'!$R$69</f>
        <v>1.8356749495197138</v>
      </c>
      <c r="S48" s="25">
        <f>'TUSD BE'!$R$48*'TUSD BF'!$S$69</f>
        <v>0</v>
      </c>
      <c r="T48" s="25">
        <f ca="1">SUM($L$48:$S$48)</f>
        <v>5.1055938307310393</v>
      </c>
      <c r="U48" s="25">
        <f>'TUSD BE'!$U$48*'TUSD BF'!$U$69</f>
        <v>2.5034226131382047</v>
      </c>
      <c r="V48" s="25">
        <f>'TUSD BE'!$V$48*'TUSD BF'!$V$69</f>
        <v>0.49047141096461638</v>
      </c>
      <c r="W48" s="25">
        <f>'TUSD BE'!$W$48*'TUSD BF'!$W$69</f>
        <v>0</v>
      </c>
      <c r="X48" s="25">
        <f>'TUSD BE'!$X$48*'TUSD BF'!$X$69</f>
        <v>0</v>
      </c>
      <c r="Y48" s="25">
        <f>'TUSD BE'!$Y$48*'TUSD BF'!$Y$69</f>
        <v>0</v>
      </c>
      <c r="Z48" s="25">
        <f>'TUSD BE'!$Z$48*'TUSD BF'!$Z$69</f>
        <v>0</v>
      </c>
      <c r="AA48" s="25">
        <f>'TUSD BE'!$AA$48*'TUSD BF'!$AA$69</f>
        <v>0</v>
      </c>
      <c r="AB48" s="25">
        <f>SUM($U$48:$AA$48)</f>
        <v>2.9938940241028211</v>
      </c>
      <c r="AC48" s="25">
        <f>'TUSD BE'!$AC$48*'TUSD BF'!$AC$69</f>
        <v>0</v>
      </c>
      <c r="AD48" s="25">
        <f>SUM($AC$48:$AC$48)</f>
        <v>0</v>
      </c>
      <c r="AE48" s="25">
        <f ca="1">$AO$48*$AO$66</f>
        <v>0</v>
      </c>
      <c r="AF48" s="25">
        <f ca="1">$AP$48*$AP$66</f>
        <v>0</v>
      </c>
      <c r="AG48" s="25">
        <f ca="1">SUM($AE$48:$AF$48)</f>
        <v>0</v>
      </c>
      <c r="AH48" s="25">
        <f>'TUSD BE'!$AH$48*'TUSD BF'!$AH$69</f>
        <v>3.2157038832446414</v>
      </c>
      <c r="AI48" s="25">
        <f>'TUSD BE'!$AI$48*'TUSD BF'!$AI$69</f>
        <v>0.18568989859049317</v>
      </c>
      <c r="AJ48" s="25">
        <f ca="1">'TUSD BE'!$AJ$48*'TUSD BF'!$AJ$69</f>
        <v>2.8751326798714247</v>
      </c>
      <c r="AK48" s="25">
        <f ca="1">'TUSD BE'!$AK$48*'TUSD BF'!$AK$69</f>
        <v>0</v>
      </c>
      <c r="AL48" s="25">
        <f ca="1">SUM($AH$48:$AK$48)</f>
        <v>6.2765264617065597</v>
      </c>
      <c r="AM48" s="25">
        <f ca="1">SUMIF($L$4:$AL$4,"SUBTOTAL",$L$48:$AL$48)</f>
        <v>14.37601431654042</v>
      </c>
      <c r="AO48" s="30">
        <f ca="1">+'TUSD BE'!$T$48+'TUSD BE'!$AB$48+'TUSD BE'!$AD$48+'TUSD BE'!$AL$48</f>
        <v>474.86663275586722</v>
      </c>
      <c r="AP48" s="30">
        <f ca="1">+'TUSD BE'!$T$48+'TUSD BE'!$AB$48+'TUSD BE'!$AD$48+'TUSD BE'!$AL$48</f>
        <v>474.86663275586722</v>
      </c>
    </row>
    <row r="49" spans="1:42" ht="11.25" customHeight="1" x14ac:dyDescent="0.25">
      <c r="A49" s="136"/>
      <c r="B49" s="136" t="s">
        <v>37</v>
      </c>
      <c r="C49" s="136" t="s">
        <v>45</v>
      </c>
      <c r="D49" s="136" t="s">
        <v>105</v>
      </c>
      <c r="E49" s="136" t="s">
        <v>25</v>
      </c>
      <c r="F49" s="136" t="s">
        <v>25</v>
      </c>
      <c r="G49" s="21" t="s">
        <v>91</v>
      </c>
      <c r="H49" s="21" t="s">
        <v>90</v>
      </c>
      <c r="I49" s="21">
        <f>'MERCADO TUSD'!$U$46</f>
        <v>0</v>
      </c>
      <c r="J49" s="17"/>
      <c r="L49" s="25">
        <f>'TUSD BE'!$L$49*'TUSD BF'!$L$69</f>
        <v>9.1483703407367722E-2</v>
      </c>
      <c r="M49" s="25">
        <f>'TUSD BE'!$M$49*'TUSD BF'!$M$69</f>
        <v>0</v>
      </c>
      <c r="N49" s="25">
        <f ca="1">'TUSD BE'!$N$49*'TUSD BF'!$N$69</f>
        <v>0</v>
      </c>
      <c r="O49" s="25">
        <f>'TUSD BE'!$O$49*'TUSD BF'!$O$69</f>
        <v>0</v>
      </c>
      <c r="P49" s="25">
        <f>'TUSD BE'!$P$49*'TUSD BF'!$P$69</f>
        <v>0</v>
      </c>
      <c r="Q49" s="25">
        <f>'TUSD BE'!$Q$49*'TUSD BF'!$Q$69</f>
        <v>3.1784351778039577</v>
      </c>
      <c r="R49" s="25">
        <f>'TUSD BE'!$R$49*'TUSD BF'!$R$69</f>
        <v>1.8356749495197138</v>
      </c>
      <c r="S49" s="25">
        <f>'TUSD BE'!$R$49*'TUSD BF'!$S$69</f>
        <v>0</v>
      </c>
      <c r="T49" s="25">
        <f ca="1">SUM($L$49:$S$49)</f>
        <v>5.1055938307310393</v>
      </c>
      <c r="U49" s="25">
        <f>'TUSD BE'!$U$49*'TUSD BF'!$U$69</f>
        <v>8.2612961769935129</v>
      </c>
      <c r="V49" s="25">
        <f>'TUSD BE'!$V$49*'TUSD BF'!$V$69</f>
        <v>1.6185568906015035</v>
      </c>
      <c r="W49" s="25">
        <f>'TUSD BE'!$W$49*'TUSD BF'!$W$69</f>
        <v>0</v>
      </c>
      <c r="X49" s="25">
        <f>'TUSD BE'!$X$49*'TUSD BF'!$X$69</f>
        <v>0</v>
      </c>
      <c r="Y49" s="25">
        <f>'TUSD BE'!$Y$49*'TUSD BF'!$Y$69</f>
        <v>0</v>
      </c>
      <c r="Z49" s="25">
        <f>'TUSD BE'!$Z$49*'TUSD BF'!$Z$69</f>
        <v>0</v>
      </c>
      <c r="AA49" s="25">
        <f>'TUSD BE'!$AA$49*'TUSD BF'!$AA$69</f>
        <v>0</v>
      </c>
      <c r="AB49" s="25">
        <f>SUM($U$49:$AA$49)</f>
        <v>9.8798530675950165</v>
      </c>
      <c r="AC49" s="25">
        <f>'TUSD BE'!$AC$49*'TUSD BF'!$AC$69</f>
        <v>0</v>
      </c>
      <c r="AD49" s="25">
        <f>SUM($AC$49:$AC$49)</f>
        <v>0</v>
      </c>
      <c r="AE49" s="25">
        <f ca="1">$AO$49*$AO$66</f>
        <v>0</v>
      </c>
      <c r="AF49" s="25">
        <f ca="1">$AP$49*$AP$66</f>
        <v>0</v>
      </c>
      <c r="AG49" s="25">
        <f ca="1">SUM($AE$49:$AF$49)</f>
        <v>0</v>
      </c>
      <c r="AH49" s="25">
        <f>'TUSD BE'!$AH$49*'TUSD BF'!$AH$69</f>
        <v>3.2157038832446414</v>
      </c>
      <c r="AI49" s="25">
        <f>'TUSD BE'!$AI$49*'TUSD BF'!$AI$69</f>
        <v>0.18568989859049317</v>
      </c>
      <c r="AJ49" s="25">
        <f ca="1">'TUSD BE'!$AJ$49*'TUSD BF'!$AJ$69</f>
        <v>2.8751326798714247</v>
      </c>
      <c r="AK49" s="25">
        <f ca="1">'TUSD BE'!$AK$49*'TUSD BF'!$AK$69</f>
        <v>0</v>
      </c>
      <c r="AL49" s="25">
        <f ca="1">SUM($AH$49:$AK$49)</f>
        <v>6.2765264617065597</v>
      </c>
      <c r="AM49" s="25">
        <f ca="1">SUMIF($L$4:$AL$4,"SUBTOTAL",$L$49:$AL$49)</f>
        <v>21.261973360032616</v>
      </c>
      <c r="AO49" s="30">
        <f ca="1">+'TUSD BE'!$T$49+'TUSD BE'!$AB$49+'TUSD BE'!$AD$49+'TUSD BE'!$AL$49</f>
        <v>1215.4792189385414</v>
      </c>
      <c r="AP49" s="30">
        <f ca="1">+'TUSD BE'!$T$49+'TUSD BE'!$AB$49+'TUSD BE'!$AD$49+'TUSD BE'!$AL$49</f>
        <v>1215.4792189385414</v>
      </c>
    </row>
    <row r="50" spans="1:42" ht="11.25" customHeight="1" x14ac:dyDescent="0.25">
      <c r="A50" s="136"/>
      <c r="B50" s="136"/>
      <c r="C50" s="136"/>
      <c r="D50" s="136"/>
      <c r="E50" s="136"/>
      <c r="F50" s="136"/>
      <c r="G50" s="21" t="s">
        <v>101</v>
      </c>
      <c r="H50" s="21" t="s">
        <v>90</v>
      </c>
      <c r="I50" s="21">
        <f>'MERCADO TUSD'!$U$47</f>
        <v>0</v>
      </c>
      <c r="J50" s="17"/>
      <c r="L50" s="25">
        <f>'TUSD BE'!$L$50*'TUSD BF'!$L$69</f>
        <v>9.1483703407367722E-2</v>
      </c>
      <c r="M50" s="25">
        <f>'TUSD BE'!$M$50*'TUSD BF'!$M$69</f>
        <v>0</v>
      </c>
      <c r="N50" s="25">
        <f ca="1">'TUSD BE'!$N$50*'TUSD BF'!$N$69</f>
        <v>0</v>
      </c>
      <c r="O50" s="25">
        <f>'TUSD BE'!$O$50*'TUSD BF'!$O$69</f>
        <v>0</v>
      </c>
      <c r="P50" s="25">
        <f>'TUSD BE'!$P$50*'TUSD BF'!$P$69</f>
        <v>0</v>
      </c>
      <c r="Q50" s="25">
        <f>'TUSD BE'!$Q$50*'TUSD BF'!$Q$69</f>
        <v>3.1784351778039577</v>
      </c>
      <c r="R50" s="25">
        <f>'TUSD BE'!$R$50*'TUSD BF'!$R$69</f>
        <v>1.8356749495197138</v>
      </c>
      <c r="S50" s="25">
        <f>'TUSD BE'!$R$50*'TUSD BF'!$S$69</f>
        <v>0</v>
      </c>
      <c r="T50" s="25">
        <f ca="1">SUM($L$50:$S$50)</f>
        <v>5.1055938307310393</v>
      </c>
      <c r="U50" s="25">
        <f>'TUSD BE'!$U$50*'TUSD BF'!$U$69</f>
        <v>4.9567792598335467</v>
      </c>
      <c r="V50" s="25">
        <f>'TUSD BE'!$V$50*'TUSD BF'!$V$69</f>
        <v>0.9711353687791715</v>
      </c>
      <c r="W50" s="25">
        <f>'TUSD BE'!$W$50*'TUSD BF'!$W$69</f>
        <v>0</v>
      </c>
      <c r="X50" s="25">
        <f>'TUSD BE'!$X$50*'TUSD BF'!$X$69</f>
        <v>0</v>
      </c>
      <c r="Y50" s="25">
        <f>'TUSD BE'!$Y$50*'TUSD BF'!$Y$69</f>
        <v>0</v>
      </c>
      <c r="Z50" s="25">
        <f>'TUSD BE'!$Z$50*'TUSD BF'!$Z$69</f>
        <v>0</v>
      </c>
      <c r="AA50" s="25">
        <f>'TUSD BE'!$AA$50*'TUSD BF'!$AA$69</f>
        <v>0</v>
      </c>
      <c r="AB50" s="25">
        <f>SUM($U$50:$AA$50)</f>
        <v>5.9279146286127187</v>
      </c>
      <c r="AC50" s="25">
        <f>'TUSD BE'!$AC$50*'TUSD BF'!$AC$69</f>
        <v>0</v>
      </c>
      <c r="AD50" s="25">
        <f>SUM($AC$50:$AC$50)</f>
        <v>0</v>
      </c>
      <c r="AE50" s="25">
        <f ca="1">$AO$50*$AO$66</f>
        <v>0</v>
      </c>
      <c r="AF50" s="25">
        <f ca="1">$AP$50*$AP$66</f>
        <v>0</v>
      </c>
      <c r="AG50" s="25">
        <f ca="1">SUM($AE$50:$AF$50)</f>
        <v>0</v>
      </c>
      <c r="AH50" s="25">
        <f>'TUSD BE'!$AH$50*'TUSD BF'!$AH$69</f>
        <v>3.2157038832446414</v>
      </c>
      <c r="AI50" s="25">
        <f>'TUSD BE'!$AI$50*'TUSD BF'!$AI$69</f>
        <v>0.18568989859049317</v>
      </c>
      <c r="AJ50" s="25">
        <f ca="1">'TUSD BE'!$AJ$50*'TUSD BF'!$AJ$69</f>
        <v>2.8751326798714247</v>
      </c>
      <c r="AK50" s="25">
        <f ca="1">'TUSD BE'!$AK$50*'TUSD BF'!$AK$69</f>
        <v>0</v>
      </c>
      <c r="AL50" s="25">
        <f ca="1">SUM($AH$50:$AK$50)</f>
        <v>6.2765264617065597</v>
      </c>
      <c r="AM50" s="25">
        <f ca="1">SUMIF($L$4:$AL$4,"SUBTOTAL",$L$50:$AL$50)</f>
        <v>17.310034921050317</v>
      </c>
      <c r="AO50" s="30">
        <f ca="1">+'TUSD BE'!$T$50+'TUSD BE'!$AB$50+'TUSD BE'!$AD$50+'TUSD BE'!$AL$50</f>
        <v>790.43226495884335</v>
      </c>
      <c r="AP50" s="30">
        <f ca="1">+'TUSD BE'!$T$50+'TUSD BE'!$AB$50+'TUSD BE'!$AD$50+'TUSD BE'!$AL$50</f>
        <v>790.43226495884335</v>
      </c>
    </row>
    <row r="51" spans="1:42" ht="11.25" customHeight="1" x14ac:dyDescent="0.25">
      <c r="A51" s="136"/>
      <c r="B51" s="136"/>
      <c r="C51" s="136"/>
      <c r="D51" s="136"/>
      <c r="E51" s="136"/>
      <c r="F51" s="136"/>
      <c r="G51" s="21" t="s">
        <v>92</v>
      </c>
      <c r="H51" s="21" t="s">
        <v>90</v>
      </c>
      <c r="I51" s="21">
        <f>'MERCADO TUSD'!$U$48</f>
        <v>0</v>
      </c>
      <c r="J51" s="17"/>
      <c r="L51" s="25">
        <f>'TUSD BE'!$L$51*'TUSD BF'!$L$69</f>
        <v>9.1483703407367722E-2</v>
      </c>
      <c r="M51" s="25">
        <f>'TUSD BE'!$M$51*'TUSD BF'!$M$69</f>
        <v>0</v>
      </c>
      <c r="N51" s="25">
        <f ca="1">'TUSD BE'!$N$51*'TUSD BF'!$N$69</f>
        <v>0</v>
      </c>
      <c r="O51" s="25">
        <f>'TUSD BE'!$O$51*'TUSD BF'!$O$69</f>
        <v>0</v>
      </c>
      <c r="P51" s="25">
        <f>'TUSD BE'!$P$51*'TUSD BF'!$P$69</f>
        <v>0</v>
      </c>
      <c r="Q51" s="25">
        <f>'TUSD BE'!$Q$51*'TUSD BF'!$Q$69</f>
        <v>3.1784351778039577</v>
      </c>
      <c r="R51" s="25">
        <f>'TUSD BE'!$R$51*'TUSD BF'!$R$69</f>
        <v>1.8356749495197138</v>
      </c>
      <c r="S51" s="25">
        <f>'TUSD BE'!$R$51*'TUSD BF'!$S$69</f>
        <v>0</v>
      </c>
      <c r="T51" s="25">
        <f ca="1">SUM($L$51:$S$51)</f>
        <v>5.1055938307310393</v>
      </c>
      <c r="U51" s="25">
        <f>'TUSD BE'!$U$51*'TUSD BF'!$U$69</f>
        <v>1.6522623426735787</v>
      </c>
      <c r="V51" s="25">
        <f>'TUSD BE'!$V$51*'TUSD BF'!$V$69</f>
        <v>0.32371384695683941</v>
      </c>
      <c r="W51" s="25">
        <f>'TUSD BE'!$W$51*'TUSD BF'!$W$69</f>
        <v>0</v>
      </c>
      <c r="X51" s="25">
        <f>'TUSD BE'!$X$51*'TUSD BF'!$X$69</f>
        <v>0</v>
      </c>
      <c r="Y51" s="25">
        <f>'TUSD BE'!$Y$51*'TUSD BF'!$Y$69</f>
        <v>0</v>
      </c>
      <c r="Z51" s="25">
        <f>'TUSD BE'!$Z$51*'TUSD BF'!$Z$69</f>
        <v>0</v>
      </c>
      <c r="AA51" s="25">
        <f>'TUSD BE'!$AA$51*'TUSD BF'!$AA$69</f>
        <v>0</v>
      </c>
      <c r="AB51" s="25">
        <f>SUM($U$51:$AA$51)</f>
        <v>1.9759761896304182</v>
      </c>
      <c r="AC51" s="25">
        <f>'TUSD BE'!$AC$51*'TUSD BF'!$AC$69</f>
        <v>0</v>
      </c>
      <c r="AD51" s="25">
        <f>SUM($AC$51:$AC$51)</f>
        <v>0</v>
      </c>
      <c r="AE51" s="25">
        <f ca="1">$AO$51*$AO$66</f>
        <v>0</v>
      </c>
      <c r="AF51" s="25">
        <f ca="1">$AP$51*$AP$66</f>
        <v>0</v>
      </c>
      <c r="AG51" s="25">
        <f ca="1">SUM($AE$51:$AF$51)</f>
        <v>0</v>
      </c>
      <c r="AH51" s="25">
        <f>'TUSD BE'!$AH$51*'TUSD BF'!$AH$69</f>
        <v>3.2157038832446414</v>
      </c>
      <c r="AI51" s="25">
        <f>'TUSD BE'!$AI$51*'TUSD BF'!$AI$69</f>
        <v>0.18568989859049317</v>
      </c>
      <c r="AJ51" s="25">
        <f ca="1">'TUSD BE'!$AJ$51*'TUSD BF'!$AJ$69</f>
        <v>2.8751326798714247</v>
      </c>
      <c r="AK51" s="25">
        <f ca="1">'TUSD BE'!$AK$51*'TUSD BF'!$AK$69</f>
        <v>0</v>
      </c>
      <c r="AL51" s="25">
        <f ca="1">SUM($AH$51:$AK$51)</f>
        <v>6.2765264617065597</v>
      </c>
      <c r="AM51" s="25">
        <f ca="1">SUMIF($L$4:$AL$4,"SUBTOTAL",$L$51:$AL$51)</f>
        <v>13.358096482068017</v>
      </c>
      <c r="AO51" s="30">
        <f ca="1">+'TUSD BE'!$T$51+'TUSD BE'!$AB$51+'TUSD BE'!$AD$51+'TUSD BE'!$AL$51</f>
        <v>365.38496119158361</v>
      </c>
      <c r="AP51" s="30">
        <f ca="1">+'TUSD BE'!$T$51+'TUSD BE'!$AB$51+'TUSD BE'!$AD$51+'TUSD BE'!$AL$51</f>
        <v>365.38496119158361</v>
      </c>
    </row>
    <row r="52" spans="1:42" ht="11.25" customHeight="1" x14ac:dyDescent="0.25">
      <c r="A52" s="136"/>
      <c r="B52" s="28" t="s">
        <v>23</v>
      </c>
      <c r="C52" s="28" t="s">
        <v>45</v>
      </c>
      <c r="D52" s="28" t="s">
        <v>105</v>
      </c>
      <c r="E52" s="28" t="s">
        <v>25</v>
      </c>
      <c r="F52" s="28" t="s">
        <v>25</v>
      </c>
      <c r="G52" s="21" t="s">
        <v>96</v>
      </c>
      <c r="H52" s="21" t="s">
        <v>90</v>
      </c>
      <c r="I52" s="21">
        <f>'MERCADO TUSD'!$U$49</f>
        <v>0</v>
      </c>
      <c r="J52" s="17"/>
      <c r="L52" s="25">
        <f>'TUSD BE'!$L$52*'TUSD BF'!$L$69</f>
        <v>9.1483703407367722E-2</v>
      </c>
      <c r="M52" s="25">
        <f>'TUSD BE'!$M$52*'TUSD BF'!$M$69</f>
        <v>0</v>
      </c>
      <c r="N52" s="25">
        <f ca="1">'TUSD BE'!$N$52*'TUSD BF'!$N$69</f>
        <v>0</v>
      </c>
      <c r="O52" s="25">
        <f>'TUSD BE'!$O$52*'TUSD BF'!$O$69</f>
        <v>0</v>
      </c>
      <c r="P52" s="25">
        <f>'TUSD BE'!$P$52*'TUSD BF'!$P$69</f>
        <v>0</v>
      </c>
      <c r="Q52" s="25">
        <f>'TUSD BE'!$Q$52*'TUSD BF'!$Q$69</f>
        <v>3.1784351778039577</v>
      </c>
      <c r="R52" s="25">
        <f>'TUSD BE'!$R$52*'TUSD BF'!$R$69</f>
        <v>1.8356749495197138</v>
      </c>
      <c r="S52" s="25">
        <f>'TUSD BE'!$R$52*'TUSD BF'!$S$69</f>
        <v>0</v>
      </c>
      <c r="T52" s="25">
        <f ca="1">SUM($L$52:$S$52)</f>
        <v>5.1055938307310393</v>
      </c>
      <c r="U52" s="25">
        <f>'TUSD BE'!$U$52*'TUSD BF'!$U$69</f>
        <v>2.5034226131382047</v>
      </c>
      <c r="V52" s="25">
        <f>'TUSD BE'!$V$52*'TUSD BF'!$V$69</f>
        <v>0.49047141096461638</v>
      </c>
      <c r="W52" s="25">
        <f>'TUSD BE'!$W$52*'TUSD BF'!$W$69</f>
        <v>0</v>
      </c>
      <c r="X52" s="25">
        <f>'TUSD BE'!$X$52*'TUSD BF'!$X$69</f>
        <v>0</v>
      </c>
      <c r="Y52" s="25">
        <f>'TUSD BE'!$Y$52*'TUSD BF'!$Y$69</f>
        <v>0</v>
      </c>
      <c r="Z52" s="25">
        <f>'TUSD BE'!$Z$52*'TUSD BF'!$Z$69</f>
        <v>0</v>
      </c>
      <c r="AA52" s="25">
        <f>'TUSD BE'!$AA$52*'TUSD BF'!$AA$69</f>
        <v>0</v>
      </c>
      <c r="AB52" s="25">
        <f>SUM($U$52:$AA$52)</f>
        <v>2.9938940241028211</v>
      </c>
      <c r="AC52" s="25">
        <f>'TUSD BE'!$AC$52*'TUSD BF'!$AC$69</f>
        <v>0</v>
      </c>
      <c r="AD52" s="25">
        <f>SUM($AC$52:$AC$52)</f>
        <v>0</v>
      </c>
      <c r="AE52" s="25">
        <f ca="1">$AO$52*$AO$66</f>
        <v>0</v>
      </c>
      <c r="AF52" s="25">
        <f ca="1">$AP$52*$AP$66</f>
        <v>0</v>
      </c>
      <c r="AG52" s="25">
        <f ca="1">SUM($AE$52:$AF$52)</f>
        <v>0</v>
      </c>
      <c r="AH52" s="25">
        <f>'TUSD BE'!$AH$52*'TUSD BF'!$AH$69</f>
        <v>3.2157038832446414</v>
      </c>
      <c r="AI52" s="25">
        <f>'TUSD BE'!$AI$52*'TUSD BF'!$AI$69</f>
        <v>0.18568989859049317</v>
      </c>
      <c r="AJ52" s="25">
        <f ca="1">'TUSD BE'!$AJ$52*'TUSD BF'!$AJ$69</f>
        <v>2.8751326798714247</v>
      </c>
      <c r="AK52" s="25">
        <f ca="1">'TUSD BE'!$AK$52*'TUSD BF'!$AK$69</f>
        <v>0</v>
      </c>
      <c r="AL52" s="25">
        <f ca="1">SUM($AH$52:$AK$52)</f>
        <v>6.2765264617065597</v>
      </c>
      <c r="AM52" s="25">
        <f ca="1">SUMIF($L$4:$AL$4,"SUBTOTAL",$L$52:$AL$52)</f>
        <v>14.37601431654042</v>
      </c>
      <c r="AO52" s="30">
        <f ca="1">+'TUSD BE'!$T$52+'TUSD BE'!$AB$52+'TUSD BE'!$AD$52+'TUSD BE'!$AL$52</f>
        <v>474.86663275586722</v>
      </c>
      <c r="AP52" s="30">
        <f ca="1">+'TUSD BE'!$T$52+'TUSD BE'!$AB$52+'TUSD BE'!$AD$52+'TUSD BE'!$AL$52</f>
        <v>474.86663275586722</v>
      </c>
    </row>
    <row r="53" spans="1:42" ht="11.25" customHeight="1" x14ac:dyDescent="0.25">
      <c r="A53" s="136"/>
      <c r="B53" s="136" t="s">
        <v>103</v>
      </c>
      <c r="C53" s="136" t="s">
        <v>45</v>
      </c>
      <c r="D53" s="28" t="s">
        <v>25</v>
      </c>
      <c r="E53" s="28" t="s">
        <v>25</v>
      </c>
      <c r="F53" s="28" t="s">
        <v>25</v>
      </c>
      <c r="G53" s="21" t="s">
        <v>96</v>
      </c>
      <c r="H53" s="21" t="s">
        <v>90</v>
      </c>
      <c r="I53" s="21">
        <f>'MERCADO TUSD'!$U$50</f>
        <v>0</v>
      </c>
      <c r="J53" s="17"/>
      <c r="L53" s="25">
        <f>'TUSD BE'!$L$53*'TUSD BF'!$L$69</f>
        <v>9.1483703407367722E-2</v>
      </c>
      <c r="M53" s="25">
        <f>'TUSD BE'!$M$53*'TUSD BF'!$M$69</f>
        <v>0</v>
      </c>
      <c r="N53" s="25">
        <f ca="1">'TUSD BE'!$N$53*'TUSD BF'!$N$69</f>
        <v>0</v>
      </c>
      <c r="O53" s="25">
        <f>'TUSD BE'!$O$53*'TUSD BF'!$O$69</f>
        <v>0</v>
      </c>
      <c r="P53" s="25">
        <f>'TUSD BE'!$P$53*'TUSD BF'!$P$69</f>
        <v>0</v>
      </c>
      <c r="Q53" s="25">
        <f>'TUSD BE'!$Q$53*'TUSD BF'!$Q$69</f>
        <v>3.1784351778039577</v>
      </c>
      <c r="R53" s="25">
        <f>'TUSD BE'!$R$53*'TUSD BF'!$R$69</f>
        <v>1.8356749495197138</v>
      </c>
      <c r="S53" s="25">
        <f>'TUSD BE'!$R$53*'TUSD BF'!$S$69</f>
        <v>0</v>
      </c>
      <c r="T53" s="25">
        <f ca="1">SUM($L$53:$S$53)</f>
        <v>5.1055938307310393</v>
      </c>
      <c r="U53" s="25">
        <f>'TUSD BE'!$U$53*'TUSD BF'!$U$69</f>
        <v>2.5034226131382047</v>
      </c>
      <c r="V53" s="25">
        <f>'TUSD BE'!$V$53*'TUSD BF'!$V$69</f>
        <v>0.49047141096461638</v>
      </c>
      <c r="W53" s="25">
        <f>'TUSD BE'!$W$53*'TUSD BF'!$W$69</f>
        <v>0</v>
      </c>
      <c r="X53" s="25">
        <f>'TUSD BE'!$X$53*'TUSD BF'!$X$69</f>
        <v>0</v>
      </c>
      <c r="Y53" s="25">
        <f>'TUSD BE'!$Y$53*'TUSD BF'!$Y$69</f>
        <v>0</v>
      </c>
      <c r="Z53" s="25">
        <f>'TUSD BE'!$Z$53*'TUSD BF'!$Z$69</f>
        <v>0</v>
      </c>
      <c r="AA53" s="25">
        <f>'TUSD BE'!$AA$53*'TUSD BF'!$AA$69</f>
        <v>0</v>
      </c>
      <c r="AB53" s="25">
        <f>SUM($U$53:$AA$53)</f>
        <v>2.9938940241028211</v>
      </c>
      <c r="AC53" s="25">
        <f>'TUSD BE'!$AC$53*'TUSD BF'!$AC$69</f>
        <v>0</v>
      </c>
      <c r="AD53" s="25">
        <f>SUM($AC$53:$AC$53)</f>
        <v>0</v>
      </c>
      <c r="AE53" s="25">
        <f ca="1">$AO$53*$AO$66</f>
        <v>0</v>
      </c>
      <c r="AF53" s="25">
        <f ca="1">$AP$53*$AP$66</f>
        <v>0</v>
      </c>
      <c r="AG53" s="25">
        <f ca="1">SUM($AE$53:$AF$53)</f>
        <v>0</v>
      </c>
      <c r="AH53" s="25">
        <f>'TUSD BE'!$AH$53*'TUSD BF'!$AH$69</f>
        <v>3.2157038832446414</v>
      </c>
      <c r="AI53" s="25">
        <f>'TUSD BE'!$AI$53*'TUSD BF'!$AI$69</f>
        <v>0.18568989859049317</v>
      </c>
      <c r="AJ53" s="25">
        <f ca="1">'TUSD BE'!$AJ$53*'TUSD BF'!$AJ$69</f>
        <v>2.8751326798714247</v>
      </c>
      <c r="AK53" s="25">
        <f ca="1">'TUSD BE'!$AK$53*'TUSD BF'!$AK$69</f>
        <v>0</v>
      </c>
      <c r="AL53" s="25">
        <f ca="1">SUM($AH$53:$AK$53)</f>
        <v>6.2765264617065597</v>
      </c>
      <c r="AM53" s="25">
        <f ca="1">SUMIF($L$4:$AL$4,"SUBTOTAL",$L$53:$AL$53)</f>
        <v>14.37601431654042</v>
      </c>
      <c r="AO53" s="30">
        <f ca="1">+'TUSD BE'!$T$53+'TUSD BE'!$AB$53+'TUSD BE'!$AD$53+'TUSD BE'!$AL$53</f>
        <v>474.86663275586722</v>
      </c>
      <c r="AP53" s="30">
        <f ca="1">+'TUSD BE'!$T$53+'TUSD BE'!$AB$53+'TUSD BE'!$AD$53+'TUSD BE'!$AL$53</f>
        <v>474.86663275586722</v>
      </c>
    </row>
    <row r="54" spans="1:42" ht="11.25" customHeight="1" x14ac:dyDescent="0.25">
      <c r="A54" s="136"/>
      <c r="B54" s="136"/>
      <c r="C54" s="136"/>
      <c r="D54" s="28" t="s">
        <v>104</v>
      </c>
      <c r="E54" s="28" t="s">
        <v>25</v>
      </c>
      <c r="F54" s="28" t="s">
        <v>25</v>
      </c>
      <c r="G54" s="21" t="s">
        <v>96</v>
      </c>
      <c r="H54" s="21" t="s">
        <v>90</v>
      </c>
      <c r="I54" s="21">
        <f>'MERCADO TUSD'!$U$51</f>
        <v>0</v>
      </c>
      <c r="J54" s="17"/>
      <c r="L54" s="25">
        <f>'TUSD BE'!$L$54*'TUSD BF'!$L$69</f>
        <v>9.1483703407367722E-2</v>
      </c>
      <c r="M54" s="25">
        <f>'TUSD BE'!$M$54*'TUSD BF'!$M$69</f>
        <v>0</v>
      </c>
      <c r="N54" s="25">
        <f ca="1">'TUSD BE'!$N$54*'TUSD BF'!$N$69</f>
        <v>0</v>
      </c>
      <c r="O54" s="25">
        <f>'TUSD BE'!$O$54*'TUSD BF'!$O$69</f>
        <v>0</v>
      </c>
      <c r="P54" s="25">
        <f>'TUSD BE'!$P$54*'TUSD BF'!$P$69</f>
        <v>0</v>
      </c>
      <c r="Q54" s="25">
        <f>'TUSD BE'!$Q$54*'TUSD BF'!$Q$69</f>
        <v>3.1784351778039577</v>
      </c>
      <c r="R54" s="25">
        <f>'TUSD BE'!$R$54*'TUSD BF'!$R$69</f>
        <v>1.8356749495197138</v>
      </c>
      <c r="S54" s="25">
        <f>'TUSD BE'!$R$54*'TUSD BF'!$S$69</f>
        <v>0</v>
      </c>
      <c r="T54" s="25">
        <f ca="1">SUM($L$54:$S$54)</f>
        <v>5.1055938307310393</v>
      </c>
      <c r="U54" s="25">
        <f>'TUSD BE'!$U$54*'TUSD BF'!$U$69</f>
        <v>2.5034226131382047</v>
      </c>
      <c r="V54" s="25">
        <f>'TUSD BE'!$V$54*'TUSD BF'!$V$69</f>
        <v>0.49047141096461638</v>
      </c>
      <c r="W54" s="25">
        <f>'TUSD BE'!$W$54*'TUSD BF'!$W$69</f>
        <v>0</v>
      </c>
      <c r="X54" s="25">
        <f>'TUSD BE'!$X$54*'TUSD BF'!$X$69</f>
        <v>0</v>
      </c>
      <c r="Y54" s="25">
        <f>'TUSD BE'!$Y$54*'TUSD BF'!$Y$69</f>
        <v>0</v>
      </c>
      <c r="Z54" s="25">
        <f>'TUSD BE'!$Z$54*'TUSD BF'!$Z$69</f>
        <v>0</v>
      </c>
      <c r="AA54" s="25">
        <f>'TUSD BE'!$AA$54*'TUSD BF'!$AA$69</f>
        <v>0</v>
      </c>
      <c r="AB54" s="25">
        <f>SUM($U$54:$AA$54)</f>
        <v>2.9938940241028211</v>
      </c>
      <c r="AC54" s="25">
        <f>'TUSD BE'!$AC$54*'TUSD BF'!$AC$69</f>
        <v>0</v>
      </c>
      <c r="AD54" s="25">
        <f>SUM($AC$54:$AC$54)</f>
        <v>0</v>
      </c>
      <c r="AE54" s="25">
        <f ca="1">$AO$54*$AO$66</f>
        <v>0</v>
      </c>
      <c r="AF54" s="25">
        <f ca="1">$AP$54*$AP$66</f>
        <v>0</v>
      </c>
      <c r="AG54" s="25">
        <f ca="1">SUM($AE$54:$AF$54)</f>
        <v>0</v>
      </c>
      <c r="AH54" s="25">
        <f>'TUSD BE'!$AH$54*'TUSD BF'!$AH$69</f>
        <v>3.2157038832446414</v>
      </c>
      <c r="AI54" s="25">
        <f>'TUSD BE'!$AI$54*'TUSD BF'!$AI$69</f>
        <v>0.18568989859049317</v>
      </c>
      <c r="AJ54" s="25">
        <f ca="1">'TUSD BE'!$AJ$54*'TUSD BF'!$AJ$69</f>
        <v>2.8751326798714247</v>
      </c>
      <c r="AK54" s="25">
        <f ca="1">'TUSD BE'!$AK$54*'TUSD BF'!$AK$69</f>
        <v>0</v>
      </c>
      <c r="AL54" s="25">
        <f ca="1">SUM($AH$54:$AK$54)</f>
        <v>6.2765264617065597</v>
      </c>
      <c r="AM54" s="25">
        <f ca="1">SUMIF($L$4:$AL$4,"SUBTOTAL",$L$54:$AL$54)</f>
        <v>14.37601431654042</v>
      </c>
      <c r="AO54" s="30">
        <f ca="1">+'TUSD BE'!$T$54+'TUSD BE'!$AB$54+'TUSD BE'!$AD$54+'TUSD BE'!$AL$54</f>
        <v>474.86663275586722</v>
      </c>
      <c r="AP54" s="30">
        <f ca="1">+'TUSD BE'!$T$54+'TUSD BE'!$AB$54+'TUSD BE'!$AD$54+'TUSD BE'!$AL$54</f>
        <v>474.86663275586722</v>
      </c>
    </row>
    <row r="55" spans="1:42" ht="11.25" customHeight="1" x14ac:dyDescent="0.25">
      <c r="A55" s="136"/>
      <c r="B55" s="136"/>
      <c r="C55" s="136"/>
      <c r="D55" s="28" t="s">
        <v>105</v>
      </c>
      <c r="E55" s="28" t="s">
        <v>25</v>
      </c>
      <c r="F55" s="28" t="s">
        <v>25</v>
      </c>
      <c r="G55" s="21" t="s">
        <v>96</v>
      </c>
      <c r="H55" s="21" t="s">
        <v>90</v>
      </c>
      <c r="I55" s="21">
        <f>'MERCADO TUSD'!$U$52</f>
        <v>0</v>
      </c>
      <c r="J55" s="17"/>
      <c r="L55" s="25">
        <f>'TUSD BE'!$L$55*'TUSD BF'!$L$69</f>
        <v>9.1483703407367722E-2</v>
      </c>
      <c r="M55" s="25">
        <f>'TUSD BE'!$M$55*'TUSD BF'!$M$69</f>
        <v>0</v>
      </c>
      <c r="N55" s="25">
        <f ca="1">'TUSD BE'!$N$55*'TUSD BF'!$N$69</f>
        <v>0</v>
      </c>
      <c r="O55" s="25">
        <f>'TUSD BE'!$O$55*'TUSD BF'!$O$69</f>
        <v>0</v>
      </c>
      <c r="P55" s="25">
        <f>'TUSD BE'!$P$55*'TUSD BF'!$P$69</f>
        <v>0</v>
      </c>
      <c r="Q55" s="25">
        <f>'TUSD BE'!$Q$55*'TUSD BF'!$Q$69</f>
        <v>3.1784351778039577</v>
      </c>
      <c r="R55" s="25">
        <f>'TUSD BE'!$R$55*'TUSD BF'!$R$69</f>
        <v>1.8356749495197138</v>
      </c>
      <c r="S55" s="25">
        <f>'TUSD BE'!$R$55*'TUSD BF'!$S$69</f>
        <v>0</v>
      </c>
      <c r="T55" s="25">
        <f ca="1">SUM($L$55:$S$55)</f>
        <v>5.1055938307310393</v>
      </c>
      <c r="U55" s="25">
        <f>'TUSD BE'!$U$55*'TUSD BF'!$U$69</f>
        <v>2.5034226131382047</v>
      </c>
      <c r="V55" s="25">
        <f>'TUSD BE'!$V$55*'TUSD BF'!$V$69</f>
        <v>0.49047141096461638</v>
      </c>
      <c r="W55" s="25">
        <f>'TUSD BE'!$W$55*'TUSD BF'!$W$69</f>
        <v>0</v>
      </c>
      <c r="X55" s="25">
        <f>'TUSD BE'!$X$55*'TUSD BF'!$X$69</f>
        <v>0</v>
      </c>
      <c r="Y55" s="25">
        <f>'TUSD BE'!$Y$55*'TUSD BF'!$Y$69</f>
        <v>0</v>
      </c>
      <c r="Z55" s="25">
        <f>'TUSD BE'!$Z$55*'TUSD BF'!$Z$69</f>
        <v>0</v>
      </c>
      <c r="AA55" s="25">
        <f>'TUSD BE'!$AA$55*'TUSD BF'!$AA$69</f>
        <v>0</v>
      </c>
      <c r="AB55" s="25">
        <f>SUM($U$55:$AA$55)</f>
        <v>2.9938940241028211</v>
      </c>
      <c r="AC55" s="25">
        <f>'TUSD BE'!$AC$55*'TUSD BF'!$AC$69</f>
        <v>0</v>
      </c>
      <c r="AD55" s="25">
        <f>SUM($AC$55:$AC$55)</f>
        <v>0</v>
      </c>
      <c r="AE55" s="25">
        <f ca="1">$AO$55*$AO$66</f>
        <v>0</v>
      </c>
      <c r="AF55" s="25">
        <f ca="1">$AP$55*$AP$66</f>
        <v>0</v>
      </c>
      <c r="AG55" s="25">
        <f ca="1">SUM($AE$55:$AF$55)</f>
        <v>0</v>
      </c>
      <c r="AH55" s="25">
        <f>'TUSD BE'!$AH$55*'TUSD BF'!$AH$69</f>
        <v>3.2157038832446414</v>
      </c>
      <c r="AI55" s="25">
        <f>'TUSD BE'!$AI$55*'TUSD BF'!$AI$69</f>
        <v>0.18568989859049317</v>
      </c>
      <c r="AJ55" s="25">
        <f ca="1">'TUSD BE'!$AJ$55*'TUSD BF'!$AJ$69</f>
        <v>2.8751326798714247</v>
      </c>
      <c r="AK55" s="25">
        <f ca="1">'TUSD BE'!$AK$55*'TUSD BF'!$AK$69</f>
        <v>0</v>
      </c>
      <c r="AL55" s="25">
        <f ca="1">SUM($AH$55:$AK$55)</f>
        <v>6.2765264617065597</v>
      </c>
      <c r="AM55" s="25">
        <f ca="1">SUMIF($L$4:$AL$4,"SUBTOTAL",$L$55:$AL$55)</f>
        <v>14.37601431654042</v>
      </c>
      <c r="AO55" s="30">
        <f ca="1">+'TUSD BE'!$T$55+'TUSD BE'!$AB$55+'TUSD BE'!$AD$55+'TUSD BE'!$AL$55</f>
        <v>474.86663275586722</v>
      </c>
      <c r="AP55" s="30">
        <f ca="1">+'TUSD BE'!$T$55+'TUSD BE'!$AB$55+'TUSD BE'!$AD$55+'TUSD BE'!$AL$55</f>
        <v>474.86663275586722</v>
      </c>
    </row>
    <row r="56" spans="1:42" ht="11.25" customHeight="1" x14ac:dyDescent="0.25">
      <c r="A56" s="136" t="s">
        <v>39</v>
      </c>
      <c r="B56" s="136" t="s">
        <v>37</v>
      </c>
      <c r="C56" s="136" t="s">
        <v>25</v>
      </c>
      <c r="D56" s="136" t="s">
        <v>25</v>
      </c>
      <c r="E56" s="136" t="s">
        <v>25</v>
      </c>
      <c r="F56" s="136" t="s">
        <v>25</v>
      </c>
      <c r="G56" s="21" t="s">
        <v>91</v>
      </c>
      <c r="H56" s="21" t="s">
        <v>90</v>
      </c>
      <c r="I56" s="21">
        <f>'MERCADO TUSD'!$U$53</f>
        <v>133.833</v>
      </c>
      <c r="J56" s="17"/>
      <c r="L56" s="25">
        <f>'TUSD BE'!$L$56*'TUSD BF'!$L$69</f>
        <v>9.1483703407367722E-2</v>
      </c>
      <c r="M56" s="25">
        <f>'TUSD BE'!$M$56*'TUSD BF'!$M$69</f>
        <v>0</v>
      </c>
      <c r="N56" s="25">
        <f ca="1">'TUSD BE'!$N$56*'TUSD BF'!$N$69</f>
        <v>0</v>
      </c>
      <c r="O56" s="25">
        <f>'TUSD BE'!$O$56*'TUSD BF'!$O$69</f>
        <v>0</v>
      </c>
      <c r="P56" s="25">
        <f>'TUSD BE'!$P$56*'TUSD BF'!$P$69</f>
        <v>0</v>
      </c>
      <c r="Q56" s="25">
        <f>'TUSD BE'!$Q$56*'TUSD BF'!$Q$69</f>
        <v>3.1784351778039577</v>
      </c>
      <c r="R56" s="25">
        <f>'TUSD BE'!$R$56*'TUSD BF'!$R$69</f>
        <v>1.8356749495197138</v>
      </c>
      <c r="S56" s="25">
        <f>'TUSD BE'!$R$56*'TUSD BF'!$S$69</f>
        <v>0</v>
      </c>
      <c r="T56" s="25">
        <f ca="1">SUM($L$56:$S$56)</f>
        <v>5.1055938307310393</v>
      </c>
      <c r="U56" s="25">
        <f>'TUSD BE'!$U$56*'TUSD BF'!$U$69</f>
        <v>8.2612961769935129</v>
      </c>
      <c r="V56" s="25">
        <f>'TUSD BE'!$V$56*'TUSD BF'!$V$69</f>
        <v>1.6185568906015035</v>
      </c>
      <c r="W56" s="25">
        <f>'TUSD BE'!$W$56*'TUSD BF'!$W$69</f>
        <v>0</v>
      </c>
      <c r="X56" s="25">
        <f>'TUSD BE'!$X$56*'TUSD BF'!$X$69</f>
        <v>0</v>
      </c>
      <c r="Y56" s="25">
        <f>'TUSD BE'!$Y$56*'TUSD BF'!$Y$69</f>
        <v>0</v>
      </c>
      <c r="Z56" s="25">
        <f>'TUSD BE'!$Z$56*'TUSD BF'!$Z$69</f>
        <v>0</v>
      </c>
      <c r="AA56" s="25">
        <f>'TUSD BE'!$AA$56*'TUSD BF'!$AA$69</f>
        <v>0</v>
      </c>
      <c r="AB56" s="25">
        <f>SUM($U$56:$AA$56)</f>
        <v>9.8798530675950165</v>
      </c>
      <c r="AC56" s="25">
        <f>'TUSD BE'!$AC$56*'TUSD BF'!$AC$69</f>
        <v>0</v>
      </c>
      <c r="AD56" s="25">
        <f>SUM($AC$56:$AC$56)</f>
        <v>0</v>
      </c>
      <c r="AE56" s="25">
        <f ca="1">$AO$56*$AO$66</f>
        <v>0</v>
      </c>
      <c r="AF56" s="25">
        <f ca="1">$AP$56*$AP$66</f>
        <v>0</v>
      </c>
      <c r="AG56" s="25">
        <f ca="1">SUM($AE$56:$AF$56)</f>
        <v>0</v>
      </c>
      <c r="AH56" s="25">
        <f>'TUSD BE'!$AH$56*'TUSD BF'!$AH$69</f>
        <v>3.2157038832446414</v>
      </c>
      <c r="AI56" s="25">
        <f>'TUSD BE'!$AI$56*'TUSD BF'!$AI$69</f>
        <v>0.18568989859049317</v>
      </c>
      <c r="AJ56" s="25">
        <f ca="1">'TUSD BE'!$AJ$56*'TUSD BF'!$AJ$69</f>
        <v>2.8751326798714247</v>
      </c>
      <c r="AK56" s="25">
        <f ca="1">'TUSD BE'!$AK$56*'TUSD BF'!$AK$69</f>
        <v>0</v>
      </c>
      <c r="AL56" s="25">
        <f ca="1">SUM($AH$56:$AK$56)</f>
        <v>6.2765264617065597</v>
      </c>
      <c r="AM56" s="25">
        <f ca="1">SUMIF($L$4:$AL$4,"SUBTOTAL",$L$56:$AL$56)</f>
        <v>21.261973360032616</v>
      </c>
      <c r="AO56" s="30">
        <f ca="1">+'TUSD BE'!$T$56+'TUSD BE'!$AB$56+'TUSD BE'!$AD$56+'TUSD BE'!$AL$56</f>
        <v>1215.4792189385414</v>
      </c>
      <c r="AP56" s="30">
        <f ca="1">+'TUSD BE'!$T$56+'TUSD BE'!$AB$56+'TUSD BE'!$AD$56+'TUSD BE'!$AL$56</f>
        <v>1215.4792189385414</v>
      </c>
    </row>
    <row r="57" spans="1:42" ht="11.25" customHeight="1" x14ac:dyDescent="0.25">
      <c r="A57" s="136"/>
      <c r="B57" s="136"/>
      <c r="C57" s="136"/>
      <c r="D57" s="136"/>
      <c r="E57" s="136"/>
      <c r="F57" s="136"/>
      <c r="G57" s="21" t="s">
        <v>101</v>
      </c>
      <c r="H57" s="21" t="s">
        <v>90</v>
      </c>
      <c r="I57" s="21">
        <f>'MERCADO TUSD'!$U$54</f>
        <v>132.79500000000002</v>
      </c>
      <c r="J57" s="17"/>
      <c r="L57" s="25">
        <f>'TUSD BE'!$L$57*'TUSD BF'!$L$69</f>
        <v>9.1483703407367722E-2</v>
      </c>
      <c r="M57" s="25">
        <f>'TUSD BE'!$M$57*'TUSD BF'!$M$69</f>
        <v>0</v>
      </c>
      <c r="N57" s="25">
        <f ca="1">'TUSD BE'!$N$57*'TUSD BF'!$N$69</f>
        <v>0</v>
      </c>
      <c r="O57" s="25">
        <f>'TUSD BE'!$O$57*'TUSD BF'!$O$69</f>
        <v>0</v>
      </c>
      <c r="P57" s="25">
        <f>'TUSD BE'!$P$57*'TUSD BF'!$P$69</f>
        <v>0</v>
      </c>
      <c r="Q57" s="25">
        <f>'TUSD BE'!$Q$57*'TUSD BF'!$Q$69</f>
        <v>3.1784351778039577</v>
      </c>
      <c r="R57" s="25">
        <f>'TUSD BE'!$R$57*'TUSD BF'!$R$69</f>
        <v>1.8356749495197138</v>
      </c>
      <c r="S57" s="25">
        <f>'TUSD BE'!$R$57*'TUSD BF'!$S$69</f>
        <v>0</v>
      </c>
      <c r="T57" s="25">
        <f ca="1">SUM($L$57:$S$57)</f>
        <v>5.1055938307310393</v>
      </c>
      <c r="U57" s="25">
        <f>'TUSD BE'!$U$57*'TUSD BF'!$U$69</f>
        <v>4.9567792598335467</v>
      </c>
      <c r="V57" s="25">
        <f>'TUSD BE'!$V$57*'TUSD BF'!$V$69</f>
        <v>0.9711353687791715</v>
      </c>
      <c r="W57" s="25">
        <f>'TUSD BE'!$W$57*'TUSD BF'!$W$69</f>
        <v>0</v>
      </c>
      <c r="X57" s="25">
        <f>'TUSD BE'!$X$57*'TUSD BF'!$X$69</f>
        <v>0</v>
      </c>
      <c r="Y57" s="25">
        <f>'TUSD BE'!$Y$57*'TUSD BF'!$Y$69</f>
        <v>0</v>
      </c>
      <c r="Z57" s="25">
        <f>'TUSD BE'!$Z$57*'TUSD BF'!$Z$69</f>
        <v>0</v>
      </c>
      <c r="AA57" s="25">
        <f>'TUSD BE'!$AA$57*'TUSD BF'!$AA$69</f>
        <v>0</v>
      </c>
      <c r="AB57" s="25">
        <f>SUM($U$57:$AA$57)</f>
        <v>5.9279146286127187</v>
      </c>
      <c r="AC57" s="25">
        <f>'TUSD BE'!$AC$57*'TUSD BF'!$AC$69</f>
        <v>0</v>
      </c>
      <c r="AD57" s="25">
        <f>SUM($AC$57:$AC$57)</f>
        <v>0</v>
      </c>
      <c r="AE57" s="25">
        <f ca="1">$AO$57*$AO$66</f>
        <v>0</v>
      </c>
      <c r="AF57" s="25">
        <f ca="1">$AP$57*$AP$66</f>
        <v>0</v>
      </c>
      <c r="AG57" s="25">
        <f ca="1">SUM($AE$57:$AF$57)</f>
        <v>0</v>
      </c>
      <c r="AH57" s="25">
        <f>'TUSD BE'!$AH$57*'TUSD BF'!$AH$69</f>
        <v>3.2157038832446414</v>
      </c>
      <c r="AI57" s="25">
        <f>'TUSD BE'!$AI$57*'TUSD BF'!$AI$69</f>
        <v>0.18568989859049317</v>
      </c>
      <c r="AJ57" s="25">
        <f ca="1">'TUSD BE'!$AJ$57*'TUSD BF'!$AJ$69</f>
        <v>2.8751326798714247</v>
      </c>
      <c r="AK57" s="25">
        <f ca="1">'TUSD BE'!$AK$57*'TUSD BF'!$AK$69</f>
        <v>0</v>
      </c>
      <c r="AL57" s="25">
        <f ca="1">SUM($AH$57:$AK$57)</f>
        <v>6.2765264617065597</v>
      </c>
      <c r="AM57" s="25">
        <f ca="1">SUMIF($L$4:$AL$4,"SUBTOTAL",$L$57:$AL$57)</f>
        <v>17.310034921050317</v>
      </c>
      <c r="AO57" s="30">
        <f ca="1">+'TUSD BE'!$T$57+'TUSD BE'!$AB$57+'TUSD BE'!$AD$57+'TUSD BE'!$AL$57</f>
        <v>790.43226495884335</v>
      </c>
      <c r="AP57" s="30">
        <f ca="1">+'TUSD BE'!$T$57+'TUSD BE'!$AB$57+'TUSD BE'!$AD$57+'TUSD BE'!$AL$57</f>
        <v>790.43226495884335</v>
      </c>
    </row>
    <row r="58" spans="1:42" ht="11.25" customHeight="1" x14ac:dyDescent="0.25">
      <c r="A58" s="136"/>
      <c r="B58" s="136"/>
      <c r="C58" s="136"/>
      <c r="D58" s="136"/>
      <c r="E58" s="136"/>
      <c r="F58" s="136"/>
      <c r="G58" s="21" t="s">
        <v>92</v>
      </c>
      <c r="H58" s="21" t="s">
        <v>90</v>
      </c>
      <c r="I58" s="21">
        <f>'MERCADO TUSD'!$U$55</f>
        <v>2117.7150000000001</v>
      </c>
      <c r="J58" s="17"/>
      <c r="L58" s="25">
        <f>'TUSD BE'!$L$58*'TUSD BF'!$L$69</f>
        <v>9.1483703407367722E-2</v>
      </c>
      <c r="M58" s="25">
        <f>'TUSD BE'!$M$58*'TUSD BF'!$M$69</f>
        <v>0</v>
      </c>
      <c r="N58" s="25">
        <f ca="1">'TUSD BE'!$N$58*'TUSD BF'!$N$69</f>
        <v>0</v>
      </c>
      <c r="O58" s="25">
        <f>'TUSD BE'!$O$58*'TUSD BF'!$O$69</f>
        <v>0</v>
      </c>
      <c r="P58" s="25">
        <f>'TUSD BE'!$P$58*'TUSD BF'!$P$69</f>
        <v>0</v>
      </c>
      <c r="Q58" s="25">
        <f>'TUSD BE'!$Q$58*'TUSD BF'!$Q$69</f>
        <v>3.1784351778039577</v>
      </c>
      <c r="R58" s="25">
        <f>'TUSD BE'!$R$58*'TUSD BF'!$R$69</f>
        <v>1.8356749495197138</v>
      </c>
      <c r="S58" s="25">
        <f>'TUSD BE'!$R$58*'TUSD BF'!$S$69</f>
        <v>0</v>
      </c>
      <c r="T58" s="25">
        <f ca="1">SUM($L$58:$S$58)</f>
        <v>5.1055938307310393</v>
      </c>
      <c r="U58" s="25">
        <f>'TUSD BE'!$U$58*'TUSD BF'!$U$69</f>
        <v>1.6522623426735787</v>
      </c>
      <c r="V58" s="25">
        <f>'TUSD BE'!$V$58*'TUSD BF'!$V$69</f>
        <v>0.32371384695683941</v>
      </c>
      <c r="W58" s="25">
        <f>'TUSD BE'!$W$58*'TUSD BF'!$W$69</f>
        <v>0</v>
      </c>
      <c r="X58" s="25">
        <f>'TUSD BE'!$X$58*'TUSD BF'!$X$69</f>
        <v>0</v>
      </c>
      <c r="Y58" s="25">
        <f>'TUSD BE'!$Y$58*'TUSD BF'!$Y$69</f>
        <v>0</v>
      </c>
      <c r="Z58" s="25">
        <f>'TUSD BE'!$Z$58*'TUSD BF'!$Z$69</f>
        <v>0</v>
      </c>
      <c r="AA58" s="25">
        <f>'TUSD BE'!$AA$58*'TUSD BF'!$AA$69</f>
        <v>0</v>
      </c>
      <c r="AB58" s="25">
        <f>SUM($U$58:$AA$58)</f>
        <v>1.9759761896304182</v>
      </c>
      <c r="AC58" s="25">
        <f>'TUSD BE'!$AC$58*'TUSD BF'!$AC$69</f>
        <v>0</v>
      </c>
      <c r="AD58" s="25">
        <f>SUM($AC$58:$AC$58)</f>
        <v>0</v>
      </c>
      <c r="AE58" s="25">
        <f ca="1">$AO$58*$AO$66</f>
        <v>0</v>
      </c>
      <c r="AF58" s="25">
        <f ca="1">$AP$58*$AP$66</f>
        <v>0</v>
      </c>
      <c r="AG58" s="25">
        <f ca="1">SUM($AE$58:$AF$58)</f>
        <v>0</v>
      </c>
      <c r="AH58" s="25">
        <f>'TUSD BE'!$AH$58*'TUSD BF'!$AH$69</f>
        <v>3.2157038832446414</v>
      </c>
      <c r="AI58" s="25">
        <f>'TUSD BE'!$AI$58*'TUSD BF'!$AI$69</f>
        <v>0.18568989859049317</v>
      </c>
      <c r="AJ58" s="25">
        <f ca="1">'TUSD BE'!$AJ$58*'TUSD BF'!$AJ$69</f>
        <v>2.8751326798714247</v>
      </c>
      <c r="AK58" s="25">
        <f ca="1">'TUSD BE'!$AK$58*'TUSD BF'!$AK$69</f>
        <v>0</v>
      </c>
      <c r="AL58" s="25">
        <f ca="1">SUM($AH$58:$AK$58)</f>
        <v>6.2765264617065597</v>
      </c>
      <c r="AM58" s="25">
        <f ca="1">SUMIF($L$4:$AL$4,"SUBTOTAL",$L$58:$AL$58)</f>
        <v>13.358096482068017</v>
      </c>
      <c r="AO58" s="30">
        <f ca="1">+'TUSD BE'!$T$58+'TUSD BE'!$AB$58+'TUSD BE'!$AD$58+'TUSD BE'!$AL$58</f>
        <v>365.38496119158361</v>
      </c>
      <c r="AP58" s="30">
        <f ca="1">+'TUSD BE'!$T$58+'TUSD BE'!$AB$58+'TUSD BE'!$AD$58+'TUSD BE'!$AL$58</f>
        <v>365.38496119158361</v>
      </c>
    </row>
    <row r="59" spans="1:42" ht="11.25" customHeight="1" x14ac:dyDescent="0.25">
      <c r="A59" s="136"/>
      <c r="B59" s="28" t="s">
        <v>23</v>
      </c>
      <c r="C59" s="28" t="s">
        <v>25</v>
      </c>
      <c r="D59" s="28" t="s">
        <v>25</v>
      </c>
      <c r="E59" s="28" t="s">
        <v>25</v>
      </c>
      <c r="F59" s="28" t="s">
        <v>25</v>
      </c>
      <c r="G59" s="21" t="s">
        <v>96</v>
      </c>
      <c r="H59" s="21" t="s">
        <v>90</v>
      </c>
      <c r="I59" s="21">
        <f>'MERCADO TUSD'!$U$56</f>
        <v>505530.49800000002</v>
      </c>
      <c r="J59" s="17"/>
      <c r="L59" s="25">
        <f>'TUSD BE'!$L$59*'TUSD BF'!$L$69</f>
        <v>9.1483703407367722E-2</v>
      </c>
      <c r="M59" s="25">
        <f>'TUSD BE'!$M$59*'TUSD BF'!$M$69</f>
        <v>0</v>
      </c>
      <c r="N59" s="25">
        <f ca="1">'TUSD BE'!$N$59*'TUSD BF'!$N$69</f>
        <v>0</v>
      </c>
      <c r="O59" s="25">
        <f>'TUSD BE'!$O$59*'TUSD BF'!$O$69</f>
        <v>0</v>
      </c>
      <c r="P59" s="25">
        <f>'TUSD BE'!$P$59*'TUSD BF'!$P$69</f>
        <v>0</v>
      </c>
      <c r="Q59" s="25">
        <f>'TUSD BE'!$Q$59*'TUSD BF'!$Q$69</f>
        <v>3.1784351778039577</v>
      </c>
      <c r="R59" s="25">
        <f>'TUSD BE'!$R$59*'TUSD BF'!$R$69</f>
        <v>1.8356749495197138</v>
      </c>
      <c r="S59" s="25">
        <f>'TUSD BE'!$R$59*'TUSD BF'!$S$69</f>
        <v>0</v>
      </c>
      <c r="T59" s="25">
        <f ca="1">SUM($L$59:$S$59)</f>
        <v>5.1055938307310393</v>
      </c>
      <c r="U59" s="25">
        <f>'TUSD BE'!$U$59*'TUSD BF'!$U$69</f>
        <v>2.5034226131382047</v>
      </c>
      <c r="V59" s="25">
        <f>'TUSD BE'!$V$59*'TUSD BF'!$V$69</f>
        <v>0.49047141096461638</v>
      </c>
      <c r="W59" s="25">
        <f>'TUSD BE'!$W$59*'TUSD BF'!$W$69</f>
        <v>0</v>
      </c>
      <c r="X59" s="25">
        <f>'TUSD BE'!$X$59*'TUSD BF'!$X$69</f>
        <v>0</v>
      </c>
      <c r="Y59" s="25">
        <f>'TUSD BE'!$Y$59*'TUSD BF'!$Y$69</f>
        <v>0</v>
      </c>
      <c r="Z59" s="25">
        <f>'TUSD BE'!$Z$59*'TUSD BF'!$Z$69</f>
        <v>0</v>
      </c>
      <c r="AA59" s="25">
        <f>'TUSD BE'!$AA$59*'TUSD BF'!$AA$69</f>
        <v>0</v>
      </c>
      <c r="AB59" s="25">
        <f>SUM($U$59:$AA$59)</f>
        <v>2.9938940241028211</v>
      </c>
      <c r="AC59" s="25">
        <f>'TUSD BE'!$AC$59*'TUSD BF'!$AC$69</f>
        <v>0</v>
      </c>
      <c r="AD59" s="25">
        <f>SUM($AC$59:$AC$59)</f>
        <v>0</v>
      </c>
      <c r="AE59" s="25">
        <f ca="1">$AO$59*$AO$66</f>
        <v>0</v>
      </c>
      <c r="AF59" s="25">
        <f ca="1">$AP$59*$AP$66</f>
        <v>0</v>
      </c>
      <c r="AG59" s="25">
        <f ca="1">SUM($AE$59:$AF$59)</f>
        <v>0</v>
      </c>
      <c r="AH59" s="25">
        <f>'TUSD BE'!$AH$59*'TUSD BF'!$AH$69</f>
        <v>3.2157038832446414</v>
      </c>
      <c r="AI59" s="25">
        <f>'TUSD BE'!$AI$59*'TUSD BF'!$AI$69</f>
        <v>0.18568989859049317</v>
      </c>
      <c r="AJ59" s="25">
        <f ca="1">'TUSD BE'!$AJ$59*'TUSD BF'!$AJ$69</f>
        <v>2.8751326798714247</v>
      </c>
      <c r="AK59" s="25">
        <f ca="1">'TUSD BE'!$AK$59*'TUSD BF'!$AK$69</f>
        <v>0</v>
      </c>
      <c r="AL59" s="25">
        <f ca="1">SUM($AH$59:$AK$59)</f>
        <v>6.2765264617065597</v>
      </c>
      <c r="AM59" s="25">
        <f ca="1">SUMIF($L$4:$AL$4,"SUBTOTAL",$L$59:$AL$59)</f>
        <v>14.37601431654042</v>
      </c>
      <c r="AO59" s="30">
        <f ca="1">+'TUSD BE'!$T$59+'TUSD BE'!$AB$59+'TUSD BE'!$AD$59+'TUSD BE'!$AL$59</f>
        <v>474.86663275586722</v>
      </c>
      <c r="AP59" s="30">
        <f ca="1">+'TUSD BE'!$T$59+'TUSD BE'!$AB$59+'TUSD BE'!$AD$59+'TUSD BE'!$AL$59</f>
        <v>474.86663275586722</v>
      </c>
    </row>
    <row r="60" spans="1:42" ht="11.25" customHeight="1" x14ac:dyDescent="0.25">
      <c r="A60" s="136"/>
      <c r="B60" s="28" t="s">
        <v>103</v>
      </c>
      <c r="C60" s="28" t="s">
        <v>25</v>
      </c>
      <c r="D60" s="28" t="s">
        <v>25</v>
      </c>
      <c r="E60" s="28" t="s">
        <v>25</v>
      </c>
      <c r="F60" s="28" t="s">
        <v>25</v>
      </c>
      <c r="G60" s="21" t="s">
        <v>96</v>
      </c>
      <c r="H60" s="21" t="s">
        <v>90</v>
      </c>
      <c r="I60" s="21">
        <f>'MERCADO TUSD'!$U$57</f>
        <v>0</v>
      </c>
      <c r="J60" s="17"/>
      <c r="L60" s="25">
        <f>'TUSD BE'!$L$60*'TUSD BF'!$L$69</f>
        <v>9.1483703407367722E-2</v>
      </c>
      <c r="M60" s="25">
        <f>'TUSD BE'!$M$60*'TUSD BF'!$M$69</f>
        <v>0</v>
      </c>
      <c r="N60" s="25">
        <f ca="1">'TUSD BE'!$N$60*'TUSD BF'!$N$69</f>
        <v>0</v>
      </c>
      <c r="O60" s="25">
        <f>'TUSD BE'!$O$60*'TUSD BF'!$O$69</f>
        <v>0</v>
      </c>
      <c r="P60" s="25">
        <f>'TUSD BE'!$P$60*'TUSD BF'!$P$69</f>
        <v>0</v>
      </c>
      <c r="Q60" s="25">
        <f>'TUSD BE'!$Q$60*'TUSD BF'!$Q$69</f>
        <v>3.1784351778039577</v>
      </c>
      <c r="R60" s="25">
        <f>'TUSD BE'!$R$60*'TUSD BF'!$R$69</f>
        <v>1.8356749495197138</v>
      </c>
      <c r="S60" s="25">
        <f>'TUSD BE'!$R$60*'TUSD BF'!$S$69</f>
        <v>0</v>
      </c>
      <c r="T60" s="25">
        <f ca="1">SUM($L$60:$S$60)</f>
        <v>5.1055938307310393</v>
      </c>
      <c r="U60" s="25">
        <f>'TUSD BE'!$U$60*'TUSD BF'!$U$69</f>
        <v>2.5034226131382047</v>
      </c>
      <c r="V60" s="25">
        <f>'TUSD BE'!$V$60*'TUSD BF'!$V$69</f>
        <v>0.49047141096461638</v>
      </c>
      <c r="W60" s="25">
        <f>'TUSD BE'!$W$60*'TUSD BF'!$W$69</f>
        <v>0</v>
      </c>
      <c r="X60" s="25">
        <f>'TUSD BE'!$X$60*'TUSD BF'!$X$69</f>
        <v>0</v>
      </c>
      <c r="Y60" s="25">
        <f>'TUSD BE'!$Y$60*'TUSD BF'!$Y$69</f>
        <v>0</v>
      </c>
      <c r="Z60" s="25">
        <f>'TUSD BE'!$Z$60*'TUSD BF'!$Z$69</f>
        <v>0</v>
      </c>
      <c r="AA60" s="25">
        <f>'TUSD BE'!$AA$60*'TUSD BF'!$AA$69</f>
        <v>0</v>
      </c>
      <c r="AB60" s="25">
        <f>SUM($U$60:$AA$60)</f>
        <v>2.9938940241028211</v>
      </c>
      <c r="AC60" s="25">
        <f>'TUSD BE'!$AC$60*'TUSD BF'!$AC$69</f>
        <v>0</v>
      </c>
      <c r="AD60" s="25">
        <f>SUM($AC$60:$AC$60)</f>
        <v>0</v>
      </c>
      <c r="AE60" s="25">
        <f ca="1">$AO$60*$AO$66</f>
        <v>0</v>
      </c>
      <c r="AF60" s="25">
        <f ca="1">$AP$60*$AP$66</f>
        <v>0</v>
      </c>
      <c r="AG60" s="25">
        <f ca="1">SUM($AE$60:$AF$60)</f>
        <v>0</v>
      </c>
      <c r="AH60" s="25">
        <f>'TUSD BE'!$AH$60*'TUSD BF'!$AH$69</f>
        <v>3.2157038832446414</v>
      </c>
      <c r="AI60" s="25">
        <f>'TUSD BE'!$AI$60*'TUSD BF'!$AI$69</f>
        <v>0.18568989859049317</v>
      </c>
      <c r="AJ60" s="25">
        <f ca="1">'TUSD BE'!$AJ$60*'TUSD BF'!$AJ$69</f>
        <v>2.8751326798714247</v>
      </c>
      <c r="AK60" s="25">
        <f ca="1">'TUSD BE'!$AK$60*'TUSD BF'!$AK$69</f>
        <v>0</v>
      </c>
      <c r="AL60" s="25">
        <f ca="1">SUM($AH$60:$AK$60)</f>
        <v>6.2765264617065597</v>
      </c>
      <c r="AM60" s="25">
        <f ca="1">SUMIF($L$4:$AL$4,"SUBTOTAL",$L$60:$AL$60)</f>
        <v>14.37601431654042</v>
      </c>
      <c r="AO60" s="30">
        <f ca="1">+'TUSD BE'!$T$60+'TUSD BE'!$AB$60+'TUSD BE'!$AD$60+'TUSD BE'!$AL$60</f>
        <v>474.86663275586722</v>
      </c>
      <c r="AP60" s="30">
        <f ca="1">+'TUSD BE'!$T$60+'TUSD BE'!$AB$60+'TUSD BE'!$AD$60+'TUSD BE'!$AL$60</f>
        <v>474.86663275586722</v>
      </c>
    </row>
    <row r="61" spans="1:42" ht="11.25" customHeight="1" x14ac:dyDescent="0.25">
      <c r="A61" s="136" t="s">
        <v>47</v>
      </c>
      <c r="B61" s="136" t="s">
        <v>23</v>
      </c>
      <c r="C61" s="136" t="s">
        <v>48</v>
      </c>
      <c r="D61" s="28" t="s">
        <v>49</v>
      </c>
      <c r="E61" s="28" t="s">
        <v>25</v>
      </c>
      <c r="F61" s="28" t="s">
        <v>25</v>
      </c>
      <c r="G61" s="21" t="s">
        <v>96</v>
      </c>
      <c r="H61" s="21" t="s">
        <v>90</v>
      </c>
      <c r="I61" s="21">
        <f>'MERCADO TUSD'!$U$58</f>
        <v>259602.97000000003</v>
      </c>
      <c r="J61" s="17"/>
      <c r="L61" s="25">
        <f>'TUSD BE'!$L$61*'TUSD BF'!$L$69</f>
        <v>5.0316036874052256E-2</v>
      </c>
      <c r="M61" s="25">
        <f>'TUSD BE'!$M$61*'TUSD BF'!$M$69</f>
        <v>0</v>
      </c>
      <c r="N61" s="25">
        <f ca="1">'TUSD BE'!$N$61*'TUSD BF'!$N$69</f>
        <v>0</v>
      </c>
      <c r="O61" s="25">
        <f>'TUSD BE'!$O$61*'TUSD BF'!$O$69</f>
        <v>0</v>
      </c>
      <c r="P61" s="25">
        <f>'TUSD BE'!$P$61*'TUSD BF'!$P$69</f>
        <v>0</v>
      </c>
      <c r="Q61" s="25">
        <f>'TUSD BE'!$Q$61*'TUSD BF'!$Q$69</f>
        <v>1.7481393477921769</v>
      </c>
      <c r="R61" s="25">
        <f>'TUSD BE'!$R$61*'TUSD BF'!$R$69</f>
        <v>1.0096212222358425</v>
      </c>
      <c r="S61" s="25">
        <f>'TUSD BE'!$R$61*'TUSD BF'!$S$69</f>
        <v>0</v>
      </c>
      <c r="T61" s="25">
        <f ca="1">SUM($L$61:$S$61)</f>
        <v>2.8080766069020715</v>
      </c>
      <c r="U61" s="25">
        <f>'TUSD BE'!$U$61*'TUSD BF'!$U$69</f>
        <v>1.3768824372260127</v>
      </c>
      <c r="V61" s="25">
        <f>'TUSD BE'!$V$61*'TUSD BF'!$V$69</f>
        <v>0.26975927603053901</v>
      </c>
      <c r="W61" s="25">
        <f>'TUSD BE'!$W$61*'TUSD BF'!$W$69</f>
        <v>0</v>
      </c>
      <c r="X61" s="25">
        <f>'TUSD BE'!$X$61*'TUSD BF'!$X$69</f>
        <v>0</v>
      </c>
      <c r="Y61" s="25">
        <f>'TUSD BE'!$Y$61*'TUSD BF'!$Y$69</f>
        <v>0</v>
      </c>
      <c r="Z61" s="25">
        <f>'TUSD BE'!$Z$61*'TUSD BF'!$Z$69</f>
        <v>0</v>
      </c>
      <c r="AA61" s="25">
        <f>'TUSD BE'!$AA$61*'TUSD BF'!$AA$69</f>
        <v>0</v>
      </c>
      <c r="AB61" s="25">
        <f>SUM($U$61:$AA$61)</f>
        <v>1.6466417132565516</v>
      </c>
      <c r="AC61" s="25">
        <f>'TUSD BE'!$AC$61*'TUSD BF'!$AC$69</f>
        <v>0</v>
      </c>
      <c r="AD61" s="25">
        <f>SUM($AC$61:$AC$61)</f>
        <v>0</v>
      </c>
      <c r="AE61" s="25">
        <f ca="1">$AO$61*$AO$66</f>
        <v>0</v>
      </c>
      <c r="AF61" s="25">
        <f ca="1">$AP$61*$AP$66</f>
        <v>0</v>
      </c>
      <c r="AG61" s="25">
        <f ca="1">SUM($AE$61:$AF$61)</f>
        <v>0</v>
      </c>
      <c r="AH61" s="25">
        <f>'TUSD BE'!$AH$61*'TUSD BF'!$AH$69</f>
        <v>1.7686371357845529</v>
      </c>
      <c r="AI61" s="25">
        <f>'TUSD BE'!$AI$61*'TUSD BF'!$AI$69</f>
        <v>0.10212944422477124</v>
      </c>
      <c r="AJ61" s="25">
        <f ca="1">'TUSD BE'!$AJ$61*'TUSD BF'!$AJ$69</f>
        <v>1.5813229739292838</v>
      </c>
      <c r="AK61" s="25">
        <f ca="1">'TUSD BE'!$AK$61*'TUSD BF'!$AK$69</f>
        <v>0</v>
      </c>
      <c r="AL61" s="25">
        <f ca="1">SUM($AH$61:$AK$61)</f>
        <v>3.4520895539386078</v>
      </c>
      <c r="AM61" s="25">
        <f ca="1">SUMIF($L$4:$AL$4,"SUBTOTAL",$L$61:$AL$61)</f>
        <v>7.9068078740972307</v>
      </c>
      <c r="AO61" s="30">
        <f ca="1">+'TUSD BE'!$T$61+'TUSD BE'!$AB$61+'TUSD BE'!$AD$61+'TUSD BE'!$AL$61</f>
        <v>261.17664801572698</v>
      </c>
      <c r="AP61" s="30">
        <f ca="1">+'TUSD BE'!$T$61+'TUSD BE'!$AB$61+'TUSD BE'!$AD$61+'TUSD BE'!$AL$61</f>
        <v>261.17664801572698</v>
      </c>
    </row>
    <row r="62" spans="1:42" ht="11.25" customHeight="1" x14ac:dyDescent="0.25">
      <c r="A62" s="136"/>
      <c r="B62" s="136"/>
      <c r="C62" s="136"/>
      <c r="D62" s="21" t="s">
        <v>106</v>
      </c>
      <c r="E62" s="21" t="s">
        <v>25</v>
      </c>
      <c r="F62" s="21" t="s">
        <v>25</v>
      </c>
      <c r="G62" s="21" t="s">
        <v>96</v>
      </c>
      <c r="H62" s="21" t="s">
        <v>90</v>
      </c>
      <c r="I62" s="21">
        <f>'MERCADO TUSD'!$U$59</f>
        <v>0</v>
      </c>
      <c r="J62" s="17"/>
      <c r="L62" s="25">
        <f>'TUSD BE'!$L$62*'TUSD BF'!$L$69</f>
        <v>5.4890222044420636E-2</v>
      </c>
      <c r="M62" s="25">
        <f>'TUSD BE'!$M$62*'TUSD BF'!$M$69</f>
        <v>0</v>
      </c>
      <c r="N62" s="25">
        <f ca="1">'TUSD BE'!$N$62*'TUSD BF'!$N$69</f>
        <v>0</v>
      </c>
      <c r="O62" s="25">
        <f>'TUSD BE'!$O$62*'TUSD BF'!$O$69</f>
        <v>0</v>
      </c>
      <c r="P62" s="25">
        <f>'TUSD BE'!$P$62*'TUSD BF'!$P$69</f>
        <v>0</v>
      </c>
      <c r="Q62" s="25">
        <f>'TUSD BE'!$Q$62*'TUSD BF'!$Q$69</f>
        <v>1.9070611066823746</v>
      </c>
      <c r="R62" s="25">
        <f>'TUSD BE'!$R$62*'TUSD BF'!$R$69</f>
        <v>1.1014049697118282</v>
      </c>
      <c r="S62" s="25">
        <f>'TUSD BE'!$R$62*'TUSD BF'!$S$69</f>
        <v>0</v>
      </c>
      <c r="T62" s="25">
        <f ca="1">SUM($L$62:$S$62)</f>
        <v>3.0633562984386238</v>
      </c>
      <c r="U62" s="25">
        <f>'TUSD BE'!$U$62*'TUSD BF'!$U$69</f>
        <v>1.5020535678829223</v>
      </c>
      <c r="V62" s="25">
        <f>'TUSD BE'!$V$62*'TUSD BF'!$V$69</f>
        <v>0.2942828465787698</v>
      </c>
      <c r="W62" s="25">
        <f>'TUSD BE'!$W$62*'TUSD BF'!$W$69</f>
        <v>0</v>
      </c>
      <c r="X62" s="25">
        <f>'TUSD BE'!$X$62*'TUSD BF'!$X$69</f>
        <v>0</v>
      </c>
      <c r="Y62" s="25">
        <f>'TUSD BE'!$Y$62*'TUSD BF'!$Y$69</f>
        <v>0</v>
      </c>
      <c r="Z62" s="25">
        <f>'TUSD BE'!$Z$62*'TUSD BF'!$Z$69</f>
        <v>0</v>
      </c>
      <c r="AA62" s="25">
        <f>'TUSD BE'!$AA$62*'TUSD BF'!$AA$69</f>
        <v>0</v>
      </c>
      <c r="AB62" s="25">
        <f>SUM($U$62:$AA$62)</f>
        <v>1.7963364144616922</v>
      </c>
      <c r="AC62" s="25">
        <f>'TUSD BE'!$AC$62*'TUSD BF'!$AC$69</f>
        <v>0</v>
      </c>
      <c r="AD62" s="25">
        <f>SUM($AC$62:$AC$62)</f>
        <v>0</v>
      </c>
      <c r="AE62" s="25">
        <f ca="1">$AO$62*$AO$66</f>
        <v>0</v>
      </c>
      <c r="AF62" s="25">
        <f ca="1">$AP$62*$AP$66</f>
        <v>0</v>
      </c>
      <c r="AG62" s="25">
        <f ca="1">SUM($AE$62:$AF$62)</f>
        <v>0</v>
      </c>
      <c r="AH62" s="25">
        <f>'TUSD BE'!$AH$62*'TUSD BF'!$AH$69</f>
        <v>1.9294223299467848</v>
      </c>
      <c r="AI62" s="25">
        <f>'TUSD BE'!$AI$62*'TUSD BF'!$AI$69</f>
        <v>0.11141393915429589</v>
      </c>
      <c r="AJ62" s="25">
        <f ca="1">'TUSD BE'!$AJ$62*'TUSD BF'!$AJ$69</f>
        <v>1.7250796079228548</v>
      </c>
      <c r="AK62" s="25">
        <f ca="1">'TUSD BE'!$AK$62*'TUSD BF'!$AK$69</f>
        <v>0</v>
      </c>
      <c r="AL62" s="25">
        <f ca="1">SUM($AH$62:$AK$62)</f>
        <v>3.7659158770239354</v>
      </c>
      <c r="AM62" s="25">
        <f ca="1">SUMIF($L$4:$AL$4,"SUBTOTAL",$L$62:$AL$62)</f>
        <v>8.6256085899242514</v>
      </c>
      <c r="AO62" s="30">
        <f ca="1">+'TUSD BE'!$T$62+'TUSD BE'!$AB$62+'TUSD BE'!$AD$62+'TUSD BE'!$AL$62</f>
        <v>284.91997965352027</v>
      </c>
      <c r="AP62" s="30">
        <f ca="1">+'TUSD BE'!$T$62+'TUSD BE'!$AB$62+'TUSD BE'!$AD$62+'TUSD BE'!$AL$62</f>
        <v>284.91997965352027</v>
      </c>
    </row>
    <row r="64" spans="1:42" ht="11.25" customHeight="1" x14ac:dyDescent="0.25">
      <c r="K64" s="27" t="s">
        <v>863</v>
      </c>
      <c r="L64" s="25">
        <f>SUMPRODUCT($I$5:$I62,$L$5:$L62)</f>
        <v>273872.01690481731</v>
      </c>
      <c r="M64" s="25">
        <f>SUMPRODUCT($I$5:$I62,$M$5:$M62)</f>
        <v>0</v>
      </c>
      <c r="N64" s="25">
        <f ca="1">SUMPRODUCT($I$5:$I62,$N$5:$N62)</f>
        <v>0</v>
      </c>
      <c r="O64" s="25">
        <f>SUMPRODUCT($I$5:$I62,$O$5:$O62)</f>
        <v>0</v>
      </c>
      <c r="P64" s="25">
        <f>SUMPRODUCT($I$5:$I62,$P$5:$P62)</f>
        <v>0</v>
      </c>
      <c r="Q64" s="25">
        <f>SUMPRODUCT($I$5:$I62,$Q$5:$Q62)</f>
        <v>9515185.9874999989</v>
      </c>
      <c r="R64" s="25">
        <f>SUMPRODUCT($I$5:$I62,$R$5:$R62)</f>
        <v>6104847.839999998</v>
      </c>
      <c r="S64" s="25">
        <f>SUMPRODUCT($I$5:$I62,$S$5:$S62)</f>
        <v>0</v>
      </c>
      <c r="T64" s="25">
        <f ca="1">SUMPRODUCT($I$5:$I62,$T$5:$T62)</f>
        <v>15893905.844404817</v>
      </c>
      <c r="U64" s="25">
        <f>SUMPRODUCT($I$5:$I62,$U$5:$U62)</f>
        <v>10445465.121397719</v>
      </c>
      <c r="V64" s="25">
        <f>SUMPRODUCT($I$5:$I62,$V$5:$V62)</f>
        <v>2044560.7021022867</v>
      </c>
      <c r="W64" s="25">
        <f>SUMPRODUCT($I$5:$I62,$W$5:$W62)</f>
        <v>0</v>
      </c>
      <c r="X64" s="25">
        <f>SUMPRODUCT($I$5:$I62,$X$5:$X62)</f>
        <v>0</v>
      </c>
      <c r="Y64" s="25">
        <f>SUMPRODUCT($I$5:$I62,$Y$5:$Y62)</f>
        <v>0</v>
      </c>
      <c r="Z64" s="25">
        <f>SUMPRODUCT($I$5:$I62,$Z$5:$Z62)</f>
        <v>0</v>
      </c>
      <c r="AA64" s="25">
        <f>SUMPRODUCT($I$5:$I62,$AA$5:$AA62)</f>
        <v>0</v>
      </c>
      <c r="AB64" s="25">
        <f>SUMPRODUCT($I$5:$I62,$AB$5:$AB62)</f>
        <v>12490025.823500002</v>
      </c>
      <c r="AC64" s="25">
        <f>SUMPRODUCT($I$5:$I62,$AC$5:$AC62)</f>
        <v>0</v>
      </c>
      <c r="AD64" s="25">
        <f>SUMPRODUCT($I$5:$I62,$AD$5:$AD62)</f>
        <v>0</v>
      </c>
      <c r="AE64" s="25">
        <f ca="1">SUMPRODUCT($I$5:$I62,$AE$5:$AE62)</f>
        <v>0</v>
      </c>
      <c r="AF64" s="25">
        <f ca="1">SUMPRODUCT($I$5:$I62,$AF$5:$AF62)</f>
        <v>0</v>
      </c>
      <c r="AG64" s="25">
        <f ca="1">SUMPRODUCT($I$5:$I62,$AG$5:$AG62)</f>
        <v>0</v>
      </c>
      <c r="AH64" s="25">
        <f>SUMPRODUCT($I$5:$I62,$AH$5:$AH62)</f>
        <v>9438438.5715456419</v>
      </c>
      <c r="AI64" s="25">
        <f>SUMPRODUCT($I$5:$I62,$AI$5:$AI62)</f>
        <v>558486.16536567255</v>
      </c>
      <c r="AJ64" s="25">
        <f ca="1">SUMPRODUCT($I$5:$I62,$AJ$5:$AJ62)</f>
        <v>9564566.5432056952</v>
      </c>
      <c r="AK64" s="25">
        <f ca="1">SUMPRODUCT($I$5:$I62,$AK$5:$AK62)</f>
        <v>0</v>
      </c>
      <c r="AL64" s="25">
        <f ca="1">SUMPRODUCT($I$5:$I62,$AL$5:$AL62)</f>
        <v>19561491.280117005</v>
      </c>
      <c r="AM64" s="25">
        <f ca="1">SUMPRODUCT($I$5:$I62,$AM$5:$AM62)</f>
        <v>47945422.948021837</v>
      </c>
      <c r="AO64" s="21">
        <f ca="1">SUMPRODUCT($I$5:$I62,$AO$5:$AO62)</f>
        <v>1532748027.6206903</v>
      </c>
      <c r="AP64" s="21">
        <f ca="1">SUMPRODUCT($I$5:$I62,$AP$5:$AP62)</f>
        <v>1535224900.5884933</v>
      </c>
    </row>
    <row r="65" spans="11:42" ht="11.25" customHeight="1" x14ac:dyDescent="0.25">
      <c r="K65" s="27" t="s">
        <v>795</v>
      </c>
      <c r="L65" s="25">
        <f>'TR TUSD'!$L$67</f>
        <v>45046098.522711933</v>
      </c>
      <c r="M65" s="25">
        <f>'TR TUSD'!$M$67</f>
        <v>2769548.228111058</v>
      </c>
      <c r="N65" s="25">
        <f>'TR TUSD'!$N$67</f>
        <v>12804098.543733332</v>
      </c>
      <c r="O65" s="25">
        <f>'TR TUSD'!$O$67</f>
        <v>0</v>
      </c>
      <c r="P65" s="25">
        <f>'TR TUSD'!$P$67</f>
        <v>0</v>
      </c>
      <c r="Q65" s="25">
        <f>'TR TUSD'!$Q$67</f>
        <v>112069673.87837905</v>
      </c>
      <c r="R65" s="25">
        <f>'TR TUSD'!$R$67</f>
        <v>48847255.695742868</v>
      </c>
      <c r="S65" s="25">
        <f>'TR TUSD'!$S$67</f>
        <v>0</v>
      </c>
      <c r="T65" s="25">
        <f>'TR TUSD'!$T$67</f>
        <v>221536674.86867824</v>
      </c>
      <c r="U65" s="25">
        <f>'TR TUSD'!$U$67</f>
        <v>198072283.4316667</v>
      </c>
      <c r="V65" s="25">
        <f>'TR TUSD'!$V$67</f>
        <v>38770011.883000001</v>
      </c>
      <c r="W65" s="25">
        <f>'TR TUSD'!$W$67</f>
        <v>10859345.900317101</v>
      </c>
      <c r="X65" s="25">
        <f>'TR TUSD'!$X$67</f>
        <v>0</v>
      </c>
      <c r="Y65" s="25">
        <f>'TR TUSD'!$Y$67</f>
        <v>5752402.4620709997</v>
      </c>
      <c r="Z65" s="25">
        <f>'TR TUSD'!$Z$67</f>
        <v>0</v>
      </c>
      <c r="AA65" s="25">
        <f>'TR TUSD'!$AA$67</f>
        <v>0</v>
      </c>
      <c r="AB65" s="25">
        <f>'TR TUSD'!$AB$67</f>
        <v>253454043.67705479</v>
      </c>
      <c r="AC65" s="25">
        <f>'TR TUSD'!$AC$67</f>
        <v>799023843.67477477</v>
      </c>
      <c r="AD65" s="25">
        <f>'TR TUSD'!$AD$67</f>
        <v>799023843.67477477</v>
      </c>
      <c r="AE65" s="25">
        <f>'TR TUSD'!$AE$67</f>
        <v>0</v>
      </c>
      <c r="AF65" s="25">
        <f>'TR TUSD'!$AF$67</f>
        <v>0</v>
      </c>
      <c r="AG65" s="25">
        <f>'TR TUSD'!$AG$67</f>
        <v>0</v>
      </c>
      <c r="AH65" s="25">
        <f>'TR TUSD'!$AH$67</f>
        <v>111076260.92163464</v>
      </c>
      <c r="AI65" s="25">
        <f>'TR TUSD'!$AI$67</f>
        <v>6572544.2354732472</v>
      </c>
      <c r="AJ65" s="25">
        <f>'TR TUSD'!$AJ$67</f>
        <v>112560597.91057952</v>
      </c>
      <c r="AK65" s="25">
        <f>'TR TUSD'!$AK$67</f>
        <v>31000935.30029773</v>
      </c>
      <c r="AL65" s="25">
        <f>'TR TUSD'!$AL$67</f>
        <v>261210338.36798513</v>
      </c>
      <c r="AM65" s="25">
        <f>CUSTOS!$D$29</f>
        <v>1535224900.5884929</v>
      </c>
      <c r="AO65" s="21">
        <f>$AE$67</f>
        <v>0</v>
      </c>
      <c r="AP65" s="21">
        <f>$AF$67</f>
        <v>0</v>
      </c>
    </row>
    <row r="66" spans="11:42" ht="11.25" customHeight="1" x14ac:dyDescent="0.25">
      <c r="K66" s="27" t="s">
        <v>796</v>
      </c>
      <c r="L66" s="25">
        <f>CUSTOS!$E$2</f>
        <v>-14395974.052707948</v>
      </c>
      <c r="M66" s="25">
        <f>CUSTOS!$E$3</f>
        <v>-50694.141532888345</v>
      </c>
      <c r="N66" s="25">
        <f>CUSTOS!$E$4</f>
        <v>0</v>
      </c>
      <c r="O66" s="25">
        <f>CUSTOS!$E$5</f>
        <v>0</v>
      </c>
      <c r="P66" s="25">
        <f>CUSTOS!$E$6</f>
        <v>0</v>
      </c>
      <c r="Q66" s="25">
        <f>CUSTOS!$E$7</f>
        <v>132011.34470006451</v>
      </c>
      <c r="R66" s="25">
        <f>CUSTOS!$E$8</f>
        <v>556049.04218044598</v>
      </c>
      <c r="S66" s="25">
        <f>CUSTOS!$E$9</f>
        <v>0</v>
      </c>
      <c r="T66" s="25">
        <f>CUSTOS!$E$10</f>
        <v>-13758607.807360325</v>
      </c>
      <c r="U66" s="25">
        <f>CUSTOS!$E$11</f>
        <v>-62777918.103615426</v>
      </c>
      <c r="V66" s="25">
        <f>CUSTOS!$E$12</f>
        <v>-3417080.4985867236</v>
      </c>
      <c r="W66" s="25">
        <f>CUSTOS!$E$13</f>
        <v>-384108.67816110188</v>
      </c>
      <c r="X66" s="25">
        <f>CUSTOS!$E$14</f>
        <v>0</v>
      </c>
      <c r="Y66" s="25">
        <f>CUSTOS!$E$15</f>
        <v>-445013.06078690162</v>
      </c>
      <c r="Z66" s="25">
        <f>CUSTOS!$E$16</f>
        <v>0</v>
      </c>
      <c r="AA66" s="25">
        <f>CUSTOS!$E$17</f>
        <v>0</v>
      </c>
      <c r="AB66" s="25">
        <f>CUSTOS!$E$18</f>
        <v>-67024085.051537625</v>
      </c>
      <c r="AC66" s="25">
        <f>CUSTOS!$E$19</f>
        <v>152456.94405601404</v>
      </c>
      <c r="AD66" s="25">
        <f>CUSTOS!$E$20</f>
        <v>152456.94405601404</v>
      </c>
      <c r="AE66" s="25">
        <f>CUSTOS!$E$21</f>
        <v>1920127.5830976302</v>
      </c>
      <c r="AF66" s="25">
        <f>CUSTOS!$E$22</f>
        <v>0</v>
      </c>
      <c r="AG66" s="25">
        <f>CUSTOS!$E$23</f>
        <v>1920127.5830976302</v>
      </c>
      <c r="AH66" s="25">
        <f>CUSTOS!$E$24</f>
        <v>-6825620.4049783899</v>
      </c>
      <c r="AI66" s="25">
        <f>CUSTOS!$E$25</f>
        <v>-403881.90666518419</v>
      </c>
      <c r="AJ66" s="25">
        <f>CUSTOS!$E$26</f>
        <v>-6916832.701427171</v>
      </c>
      <c r="AK66" s="25">
        <f>CUSTOS!$E$27</f>
        <v>6518294.0356907388</v>
      </c>
      <c r="AL66" s="25">
        <f>CUSTOS!$E$28</f>
        <v>-7628040.9773800066</v>
      </c>
      <c r="AM66" s="25">
        <f>CUSTOS!$E$29</f>
        <v>-86338149.309124306</v>
      </c>
      <c r="AO66" s="21">
        <f ca="1">IF(AO64&lt;&gt;0,AO65/AO64,0)</f>
        <v>0</v>
      </c>
      <c r="AP66" s="21">
        <f ca="1">IF(AP64&lt;&gt;0,AP65/AP64,0)</f>
        <v>0</v>
      </c>
    </row>
    <row r="67" spans="11:42" ht="11.25" customHeight="1" x14ac:dyDescent="0.25">
      <c r="K67" s="27" t="s">
        <v>797</v>
      </c>
      <c r="L67" s="25">
        <f>CUSTOS!$F$2</f>
        <v>273872.01690481725</v>
      </c>
      <c r="M67" s="25">
        <f>CUSTOS!$F$3</f>
        <v>0</v>
      </c>
      <c r="N67" s="25">
        <f>CUSTOS!$F$4</f>
        <v>0</v>
      </c>
      <c r="O67" s="25">
        <f>CUSTOS!$F$5</f>
        <v>0</v>
      </c>
      <c r="P67" s="25">
        <f>CUSTOS!$F$6</f>
        <v>0</v>
      </c>
      <c r="Q67" s="25">
        <f>CUSTOS!$F$7</f>
        <v>9515185.9875000007</v>
      </c>
      <c r="R67" s="25">
        <f>CUSTOS!$F$8</f>
        <v>6104847.8399999999</v>
      </c>
      <c r="S67" s="25">
        <f>CUSTOS!$F$9</f>
        <v>0</v>
      </c>
      <c r="T67" s="25">
        <f>CUSTOS!$F$10</f>
        <v>15893905.844404818</v>
      </c>
      <c r="U67" s="25">
        <f>CUSTOS!$F$11</f>
        <v>10445465.121397715</v>
      </c>
      <c r="V67" s="25">
        <f>CUSTOS!$F$12</f>
        <v>2044560.7021022863</v>
      </c>
      <c r="W67" s="25">
        <f>CUSTOS!$F$13</f>
        <v>0</v>
      </c>
      <c r="X67" s="25">
        <f>CUSTOS!$F$14</f>
        <v>0</v>
      </c>
      <c r="Y67" s="25">
        <f>CUSTOS!$F$15</f>
        <v>0</v>
      </c>
      <c r="Z67" s="25">
        <f>CUSTOS!$F$16</f>
        <v>0</v>
      </c>
      <c r="AA67" s="25">
        <f>CUSTOS!$F$17</f>
        <v>0</v>
      </c>
      <c r="AB67" s="25">
        <f>CUSTOS!$F$18</f>
        <v>12490025.823500002</v>
      </c>
      <c r="AC67" s="25">
        <f>CUSTOS!$F$19</f>
        <v>0</v>
      </c>
      <c r="AD67" s="25">
        <f>CUSTOS!$F$20</f>
        <v>0</v>
      </c>
      <c r="AE67" s="25">
        <f>CUSTOS!$F$21</f>
        <v>0</v>
      </c>
      <c r="AF67" s="25">
        <f>CUSTOS!$F$22</f>
        <v>0</v>
      </c>
      <c r="AG67" s="25">
        <f>CUSTOS!$F$23</f>
        <v>0</v>
      </c>
      <c r="AH67" s="25">
        <f>CUSTOS!$F$24</f>
        <v>9438438.57154564</v>
      </c>
      <c r="AI67" s="25">
        <f>CUSTOS!$F$25</f>
        <v>558486.16536567255</v>
      </c>
      <c r="AJ67" s="25">
        <f>CUSTOS!$F$26</f>
        <v>9564566.5432056971</v>
      </c>
      <c r="AK67" s="25">
        <f>CUSTOS!$F$27</f>
        <v>0</v>
      </c>
      <c r="AL67" s="25">
        <f>CUSTOS!$F$28</f>
        <v>19561491.280117009</v>
      </c>
      <c r="AM67" s="25">
        <f>CUSTOS!$F$29</f>
        <v>47945422.948021829</v>
      </c>
    </row>
    <row r="68" spans="11:42" ht="11.25" customHeight="1" x14ac:dyDescent="0.25">
      <c r="K68" s="27" t="s">
        <v>860</v>
      </c>
      <c r="L68" s="25">
        <v>0</v>
      </c>
      <c r="M68" s="25">
        <v>0</v>
      </c>
      <c r="N68" s="25">
        <v>0</v>
      </c>
      <c r="O68" s="25">
        <v>0</v>
      </c>
      <c r="P68" s="25">
        <v>0</v>
      </c>
      <c r="Q68" s="25">
        <v>0</v>
      </c>
      <c r="R68" s="25">
        <v>0</v>
      </c>
      <c r="S68" s="25">
        <v>0</v>
      </c>
      <c r="T68" s="25"/>
      <c r="U68" s="25">
        <v>0</v>
      </c>
      <c r="V68" s="25">
        <v>0</v>
      </c>
      <c r="W68" s="25">
        <v>0</v>
      </c>
      <c r="X68" s="25">
        <v>0</v>
      </c>
      <c r="Y68" s="25">
        <v>0</v>
      </c>
      <c r="Z68" s="25">
        <v>0</v>
      </c>
      <c r="AA68" s="25">
        <v>0</v>
      </c>
      <c r="AB68" s="25"/>
      <c r="AC68" s="25">
        <v>0</v>
      </c>
      <c r="AD68" s="25"/>
      <c r="AE68" s="25">
        <v>0</v>
      </c>
      <c r="AF68" s="25">
        <v>0</v>
      </c>
      <c r="AG68" s="25"/>
      <c r="AH68" s="25">
        <v>0</v>
      </c>
      <c r="AI68" s="25">
        <v>0</v>
      </c>
      <c r="AJ68" s="25">
        <v>0</v>
      </c>
      <c r="AK68" s="25">
        <v>0</v>
      </c>
      <c r="AL68" s="25"/>
      <c r="AM68" s="25"/>
    </row>
  </sheetData>
  <mergeCells count="89"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9:C11"/>
    <mergeCell ref="D9:D11"/>
    <mergeCell ref="E9:E11"/>
    <mergeCell ref="F9:F11"/>
    <mergeCell ref="F5:F7"/>
    <mergeCell ref="B9:B11"/>
    <mergeCell ref="A5:A12"/>
    <mergeCell ref="B5:B8"/>
    <mergeCell ref="C5:C8"/>
    <mergeCell ref="D5:D8"/>
    <mergeCell ref="E5:E7"/>
    <mergeCell ref="B1:B4"/>
    <mergeCell ref="C1:C4"/>
    <mergeCell ref="D1:D4"/>
    <mergeCell ref="E1:E4"/>
    <mergeCell ref="E17:E19"/>
    <mergeCell ref="F17:F19"/>
    <mergeCell ref="B13:B16"/>
    <mergeCell ref="C13:C16"/>
    <mergeCell ref="D13:D16"/>
    <mergeCell ref="E13:E15"/>
    <mergeCell ref="F24:F25"/>
    <mergeCell ref="A26:A27"/>
    <mergeCell ref="B26:B27"/>
    <mergeCell ref="C26:C27"/>
    <mergeCell ref="D26:D27"/>
    <mergeCell ref="B21:B25"/>
    <mergeCell ref="C21:C25"/>
    <mergeCell ref="D21:D25"/>
    <mergeCell ref="E21:E23"/>
    <mergeCell ref="F21:F23"/>
    <mergeCell ref="A13:A25"/>
    <mergeCell ref="E24:E25"/>
    <mergeCell ref="F13:F15"/>
    <mergeCell ref="B17:B19"/>
    <mergeCell ref="C17:C19"/>
    <mergeCell ref="D17:D19"/>
    <mergeCell ref="F28:F30"/>
    <mergeCell ref="B31:B35"/>
    <mergeCell ref="C31:C35"/>
    <mergeCell ref="B36:B40"/>
    <mergeCell ref="C36:C40"/>
    <mergeCell ref="A28:A40"/>
    <mergeCell ref="B28:B30"/>
    <mergeCell ref="C28:C30"/>
    <mergeCell ref="D28:D30"/>
    <mergeCell ref="E28:E30"/>
    <mergeCell ref="D49:D51"/>
    <mergeCell ref="E49:E51"/>
    <mergeCell ref="F49:F51"/>
    <mergeCell ref="D41:D43"/>
    <mergeCell ref="E41:E43"/>
    <mergeCell ref="F41:F43"/>
    <mergeCell ref="D45:D47"/>
    <mergeCell ref="E45:E47"/>
    <mergeCell ref="F45:F47"/>
    <mergeCell ref="B53:B55"/>
    <mergeCell ref="C53:C55"/>
    <mergeCell ref="A56:A60"/>
    <mergeCell ref="B56:B58"/>
    <mergeCell ref="C56:C58"/>
    <mergeCell ref="A41:A55"/>
    <mergeCell ref="B41:B43"/>
    <mergeCell ref="C41:C43"/>
    <mergeCell ref="B49:B51"/>
    <mergeCell ref="C49:C51"/>
    <mergeCell ref="B45:B47"/>
    <mergeCell ref="C45:C47"/>
    <mergeCell ref="E56:E58"/>
    <mergeCell ref="F56:F58"/>
    <mergeCell ref="A61:A62"/>
    <mergeCell ref="B61:B62"/>
    <mergeCell ref="C61:C62"/>
    <mergeCell ref="D56:D58"/>
  </mergeCells>
  <conditionalFormatting sqref="L64">
    <cfRule type="cellIs" dxfId="1427" priority="55" operator="notEqual">
      <formula>$L$67</formula>
    </cfRule>
    <cfRule type="cellIs" dxfId="1426" priority="56" operator="equal">
      <formula>$L$67</formula>
    </cfRule>
  </conditionalFormatting>
  <conditionalFormatting sqref="M64">
    <cfRule type="cellIs" dxfId="1425" priority="53" operator="notEqual">
      <formula>$M$67</formula>
    </cfRule>
    <cfRule type="cellIs" dxfId="1424" priority="54" operator="equal">
      <formula>$M$67</formula>
    </cfRule>
  </conditionalFormatting>
  <conditionalFormatting sqref="N64">
    <cfRule type="cellIs" dxfId="1423" priority="51" operator="notEqual">
      <formula>$N$67</formula>
    </cfRule>
    <cfRule type="cellIs" dxfId="1422" priority="52" operator="equal">
      <formula>$N$67</formula>
    </cfRule>
  </conditionalFormatting>
  <conditionalFormatting sqref="O64">
    <cfRule type="cellIs" dxfId="1421" priority="49" operator="notEqual">
      <formula>$O$67</formula>
    </cfRule>
    <cfRule type="cellIs" dxfId="1420" priority="50" operator="equal">
      <formula>$O$67</formula>
    </cfRule>
  </conditionalFormatting>
  <conditionalFormatting sqref="P64">
    <cfRule type="cellIs" dxfId="1419" priority="47" operator="notEqual">
      <formula>$P$67</formula>
    </cfRule>
    <cfRule type="cellIs" dxfId="1418" priority="48" operator="equal">
      <formula>$P$67</formula>
    </cfRule>
  </conditionalFormatting>
  <conditionalFormatting sqref="Q64">
    <cfRule type="cellIs" dxfId="1417" priority="45" operator="notEqual">
      <formula>$Q$67</formula>
    </cfRule>
    <cfRule type="cellIs" dxfId="1416" priority="46" operator="equal">
      <formula>$Q$67</formula>
    </cfRule>
  </conditionalFormatting>
  <conditionalFormatting sqref="R64">
    <cfRule type="cellIs" dxfId="1415" priority="43" operator="notEqual">
      <formula>$R$67</formula>
    </cfRule>
    <cfRule type="cellIs" dxfId="1414" priority="44" operator="equal">
      <formula>$R$67</formula>
    </cfRule>
  </conditionalFormatting>
  <conditionalFormatting sqref="S64">
    <cfRule type="cellIs" dxfId="1413" priority="41" operator="notEqual">
      <formula>$S$67</formula>
    </cfRule>
    <cfRule type="cellIs" dxfId="1412" priority="42" operator="equal">
      <formula>$S$67</formula>
    </cfRule>
  </conditionalFormatting>
  <conditionalFormatting sqref="T64">
    <cfRule type="cellIs" dxfId="1411" priority="39" operator="notEqual">
      <formula>$T$67</formula>
    </cfRule>
    <cfRule type="cellIs" dxfId="1410" priority="40" operator="equal">
      <formula>$T$67</formula>
    </cfRule>
  </conditionalFormatting>
  <conditionalFormatting sqref="U64">
    <cfRule type="cellIs" dxfId="1409" priority="37" operator="notEqual">
      <formula>$U$67</formula>
    </cfRule>
    <cfRule type="cellIs" dxfId="1408" priority="38" operator="equal">
      <formula>$U$67</formula>
    </cfRule>
  </conditionalFormatting>
  <conditionalFormatting sqref="V64">
    <cfRule type="cellIs" dxfId="1407" priority="35" operator="notEqual">
      <formula>$V$67</formula>
    </cfRule>
    <cfRule type="cellIs" dxfId="1406" priority="36" operator="equal">
      <formula>$V$67</formula>
    </cfRule>
  </conditionalFormatting>
  <conditionalFormatting sqref="W64">
    <cfRule type="cellIs" dxfId="1405" priority="33" operator="notEqual">
      <formula>$W$67</formula>
    </cfRule>
    <cfRule type="cellIs" dxfId="1404" priority="34" operator="equal">
      <formula>$W$67</formula>
    </cfRule>
  </conditionalFormatting>
  <conditionalFormatting sqref="X64">
    <cfRule type="cellIs" dxfId="1403" priority="31" operator="notEqual">
      <formula>$X$67</formula>
    </cfRule>
    <cfRule type="cellIs" dxfId="1402" priority="32" operator="equal">
      <formula>$X$67</formula>
    </cfRule>
  </conditionalFormatting>
  <conditionalFormatting sqref="Y64">
    <cfRule type="cellIs" dxfId="1401" priority="29" operator="notEqual">
      <formula>$Y$67</formula>
    </cfRule>
    <cfRule type="cellIs" dxfId="1400" priority="30" operator="equal">
      <formula>$Y$67</formula>
    </cfRule>
  </conditionalFormatting>
  <conditionalFormatting sqref="Z64">
    <cfRule type="cellIs" dxfId="1399" priority="27" operator="notEqual">
      <formula>$Z$67</formula>
    </cfRule>
    <cfRule type="cellIs" dxfId="1398" priority="28" operator="equal">
      <formula>$Z$67</formula>
    </cfRule>
  </conditionalFormatting>
  <conditionalFormatting sqref="AA64">
    <cfRule type="cellIs" dxfId="1397" priority="25" operator="notEqual">
      <formula>$AA$67</formula>
    </cfRule>
    <cfRule type="cellIs" dxfId="1396" priority="26" operator="equal">
      <formula>$AA$67</formula>
    </cfRule>
  </conditionalFormatting>
  <conditionalFormatting sqref="AB64">
    <cfRule type="cellIs" dxfId="1395" priority="23" operator="notEqual">
      <formula>$AB$67</formula>
    </cfRule>
    <cfRule type="cellIs" dxfId="1394" priority="24" operator="equal">
      <formula>$AB$67</formula>
    </cfRule>
  </conditionalFormatting>
  <conditionalFormatting sqref="AC64">
    <cfRule type="cellIs" dxfId="1393" priority="21" operator="notEqual">
      <formula>$AC$67</formula>
    </cfRule>
    <cfRule type="cellIs" dxfId="1392" priority="22" operator="equal">
      <formula>$AC$67</formula>
    </cfRule>
  </conditionalFormatting>
  <conditionalFormatting sqref="AD64">
    <cfRule type="cellIs" dxfId="1391" priority="19" operator="notEqual">
      <formula>$AD$67</formula>
    </cfRule>
    <cfRule type="cellIs" dxfId="1390" priority="20" operator="equal">
      <formula>$AD$67</formula>
    </cfRule>
  </conditionalFormatting>
  <conditionalFormatting sqref="AE64">
    <cfRule type="cellIs" dxfId="1389" priority="17" operator="notEqual">
      <formula>$AE$67</formula>
    </cfRule>
    <cfRule type="cellIs" dxfId="1388" priority="18" operator="equal">
      <formula>$AE$67</formula>
    </cfRule>
  </conditionalFormatting>
  <conditionalFormatting sqref="AF64">
    <cfRule type="cellIs" dxfId="1387" priority="16" operator="equal">
      <formula>$AF$67</formula>
    </cfRule>
  </conditionalFormatting>
  <conditionalFormatting sqref="AF64">
    <cfRule type="cellIs" dxfId="1386" priority="15" operator="notEqual">
      <formula>$AF$67</formula>
    </cfRule>
  </conditionalFormatting>
  <conditionalFormatting sqref="AG64">
    <cfRule type="cellIs" dxfId="1385" priority="14" operator="equal">
      <formula>$AG$67</formula>
    </cfRule>
  </conditionalFormatting>
  <conditionalFormatting sqref="AG64">
    <cfRule type="cellIs" dxfId="1384" priority="13" operator="notEqual">
      <formula>$AG$67</formula>
    </cfRule>
  </conditionalFormatting>
  <conditionalFormatting sqref="AH64">
    <cfRule type="cellIs" dxfId="1383" priority="12" operator="equal">
      <formula>$AH$67</formula>
    </cfRule>
  </conditionalFormatting>
  <conditionalFormatting sqref="AH64">
    <cfRule type="cellIs" dxfId="1382" priority="11" operator="notEqual">
      <formula>$AH$67</formula>
    </cfRule>
  </conditionalFormatting>
  <conditionalFormatting sqref="AI64">
    <cfRule type="cellIs" dxfId="1381" priority="10" operator="equal">
      <formula>$AI$67</formula>
    </cfRule>
  </conditionalFormatting>
  <conditionalFormatting sqref="AI64">
    <cfRule type="cellIs" dxfId="1380" priority="9" operator="notEqual">
      <formula>$AI$67</formula>
    </cfRule>
  </conditionalFormatting>
  <conditionalFormatting sqref="AJ64">
    <cfRule type="cellIs" dxfId="1379" priority="8" operator="equal">
      <formula>$AJ$67</formula>
    </cfRule>
  </conditionalFormatting>
  <conditionalFormatting sqref="AJ64">
    <cfRule type="cellIs" dxfId="1378" priority="7" operator="notEqual">
      <formula>$AJ$67</formula>
    </cfRule>
  </conditionalFormatting>
  <conditionalFormatting sqref="AK64">
    <cfRule type="cellIs" dxfId="1377" priority="6" operator="equal">
      <formula>$AK$67</formula>
    </cfRule>
  </conditionalFormatting>
  <conditionalFormatting sqref="AK64">
    <cfRule type="cellIs" dxfId="1376" priority="5" operator="notEqual">
      <formula>$AK$67</formula>
    </cfRule>
  </conditionalFormatting>
  <conditionalFormatting sqref="AL64">
    <cfRule type="cellIs" dxfId="1375" priority="4" operator="equal">
      <formula>$AL$67</formula>
    </cfRule>
  </conditionalFormatting>
  <conditionalFormatting sqref="AL64">
    <cfRule type="cellIs" dxfId="1374" priority="3" operator="notEqual">
      <formula>$AL$67</formula>
    </cfRule>
  </conditionalFormatting>
  <conditionalFormatting sqref="AM64">
    <cfRule type="cellIs" dxfId="1373" priority="2" operator="equal">
      <formula>$AM$67</formula>
    </cfRule>
  </conditionalFormatting>
  <conditionalFormatting sqref="AM64">
    <cfRule type="cellIs" dxfId="1372" priority="1" operator="notEqual">
      <formula>$AM$67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04863-77EF-422A-8FDD-B207EF566498}">
  <dimension ref="A1:AA52"/>
  <sheetViews>
    <sheetView showGridLines="0" workbookViewId="0">
      <selection activeCell="K46" sqref="K46:AA5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7109375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4" width="10" style="9" bestFit="1" customWidth="1"/>
    <col min="25" max="25" width="11" style="9" bestFit="1" customWidth="1"/>
    <col min="26" max="26" width="10.85546875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41" t="s">
        <v>80</v>
      </c>
      <c r="B1" s="141" t="s">
        <v>81</v>
      </c>
      <c r="C1" s="141" t="s">
        <v>82</v>
      </c>
      <c r="D1" s="141" t="s">
        <v>83</v>
      </c>
      <c r="E1" s="141" t="s">
        <v>84</v>
      </c>
      <c r="F1" s="141" t="s">
        <v>15</v>
      </c>
      <c r="G1" s="141" t="s">
        <v>86</v>
      </c>
      <c r="H1" s="141" t="s">
        <v>87</v>
      </c>
      <c r="I1" s="141" t="s">
        <v>854</v>
      </c>
      <c r="J1" s="130"/>
      <c r="L1" s="142" t="s">
        <v>875</v>
      </c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30"/>
      <c r="L2" s="142" t="s">
        <v>782</v>
      </c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30"/>
      <c r="L3" s="142" t="s">
        <v>755</v>
      </c>
      <c r="M3" s="142"/>
      <c r="N3" s="142"/>
      <c r="O3" s="142"/>
      <c r="P3" s="142"/>
      <c r="Q3" s="142" t="s">
        <v>785</v>
      </c>
      <c r="R3" s="142"/>
      <c r="S3" s="142" t="s">
        <v>764</v>
      </c>
      <c r="T3" s="142"/>
      <c r="U3" s="142"/>
      <c r="V3" s="142"/>
      <c r="W3" s="142" t="s">
        <v>774</v>
      </c>
      <c r="X3" s="142"/>
      <c r="Y3" s="142" t="s">
        <v>777</v>
      </c>
      <c r="Z3" s="142"/>
      <c r="AA3" s="142" t="s">
        <v>763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30"/>
      <c r="L4" s="34" t="s">
        <v>757</v>
      </c>
      <c r="M4" s="34" t="s">
        <v>783</v>
      </c>
      <c r="N4" s="34" t="s">
        <v>784</v>
      </c>
      <c r="O4" s="34" t="s">
        <v>842</v>
      </c>
      <c r="P4" s="34" t="s">
        <v>763</v>
      </c>
      <c r="Q4" s="34" t="s">
        <v>786</v>
      </c>
      <c r="R4" s="34" t="s">
        <v>763</v>
      </c>
      <c r="S4" s="34" t="s">
        <v>787</v>
      </c>
      <c r="T4" s="34" t="s">
        <v>788</v>
      </c>
      <c r="U4" s="34" t="s">
        <v>789</v>
      </c>
      <c r="V4" s="34" t="s">
        <v>763</v>
      </c>
      <c r="W4" s="34" t="s">
        <v>775</v>
      </c>
      <c r="X4" s="34" t="s">
        <v>763</v>
      </c>
      <c r="Y4" s="34" t="s">
        <v>790</v>
      </c>
      <c r="Z4" s="34" t="s">
        <v>763</v>
      </c>
      <c r="AA4" s="143"/>
    </row>
    <row r="5" spans="1:27" ht="11.25" customHeight="1" x14ac:dyDescent="0.25">
      <c r="A5" s="140" t="s">
        <v>41</v>
      </c>
      <c r="B5" s="140" t="s">
        <v>89</v>
      </c>
      <c r="C5" s="140" t="s">
        <v>25</v>
      </c>
      <c r="D5" s="140" t="s">
        <v>25</v>
      </c>
      <c r="E5" s="140" t="s">
        <v>25</v>
      </c>
      <c r="F5" s="140" t="s">
        <v>25</v>
      </c>
      <c r="G5" s="32" t="s">
        <v>91</v>
      </c>
      <c r="H5" s="32" t="s">
        <v>90</v>
      </c>
      <c r="I5" s="32">
        <f>'MERCADO TE'!$U$2</f>
        <v>3168.23</v>
      </c>
      <c r="J5" s="17"/>
      <c r="L5" s="30">
        <v>1</v>
      </c>
      <c r="M5" s="30">
        <v>1</v>
      </c>
      <c r="N5" s="30">
        <v>1</v>
      </c>
      <c r="O5" s="30">
        <v>1</v>
      </c>
      <c r="P5" s="30"/>
      <c r="Q5" s="30">
        <v>1.72</v>
      </c>
      <c r="R5" s="30"/>
      <c r="S5" s="30">
        <v>1</v>
      </c>
      <c r="T5" s="30">
        <v>1</v>
      </c>
      <c r="U5" s="30">
        <v>1</v>
      </c>
      <c r="V5" s="30"/>
      <c r="W5" s="30"/>
      <c r="X5" s="30"/>
      <c r="Y5" s="30">
        <v>1</v>
      </c>
      <c r="Z5" s="30"/>
      <c r="AA5" s="30"/>
    </row>
    <row r="6" spans="1:27" ht="11.25" customHeight="1" x14ac:dyDescent="0.25">
      <c r="A6" s="140"/>
      <c r="B6" s="140"/>
      <c r="C6" s="140"/>
      <c r="D6" s="140"/>
      <c r="E6" s="140"/>
      <c r="F6" s="140"/>
      <c r="G6" s="32" t="s">
        <v>92</v>
      </c>
      <c r="H6" s="32" t="s">
        <v>90</v>
      </c>
      <c r="I6" s="32">
        <f>'MERCADO TE'!$U$3</f>
        <v>107910.84700000001</v>
      </c>
      <c r="J6" s="17"/>
      <c r="L6" s="30">
        <v>1</v>
      </c>
      <c r="M6" s="30">
        <v>1</v>
      </c>
      <c r="N6" s="30">
        <v>1</v>
      </c>
      <c r="O6" s="30">
        <v>1</v>
      </c>
      <c r="P6" s="30"/>
      <c r="Q6" s="30">
        <v>1</v>
      </c>
      <c r="R6" s="30"/>
      <c r="S6" s="30">
        <v>1</v>
      </c>
      <c r="T6" s="30">
        <v>1</v>
      </c>
      <c r="U6" s="30">
        <v>1</v>
      </c>
      <c r="V6" s="30"/>
      <c r="W6" s="30"/>
      <c r="X6" s="30"/>
      <c r="Y6" s="30">
        <v>1</v>
      </c>
      <c r="Z6" s="30"/>
      <c r="AA6" s="30"/>
    </row>
    <row r="7" spans="1:27" ht="11.25" customHeight="1" x14ac:dyDescent="0.25">
      <c r="A7" s="140" t="s">
        <v>33</v>
      </c>
      <c r="B7" s="140" t="s">
        <v>89</v>
      </c>
      <c r="C7" s="140" t="s">
        <v>25</v>
      </c>
      <c r="D7" s="140" t="s">
        <v>25</v>
      </c>
      <c r="E7" s="140" t="s">
        <v>25</v>
      </c>
      <c r="F7" s="140" t="s">
        <v>25</v>
      </c>
      <c r="G7" s="32" t="s">
        <v>91</v>
      </c>
      <c r="H7" s="32" t="s">
        <v>90</v>
      </c>
      <c r="I7" s="32">
        <f>'MERCADO TE'!$U$4</f>
        <v>47285.341999999997</v>
      </c>
      <c r="J7" s="17"/>
      <c r="L7" s="30">
        <v>1</v>
      </c>
      <c r="M7" s="30">
        <v>1</v>
      </c>
      <c r="N7" s="30">
        <v>1</v>
      </c>
      <c r="O7" s="30">
        <v>1</v>
      </c>
      <c r="P7" s="30"/>
      <c r="Q7" s="30">
        <v>1.72</v>
      </c>
      <c r="R7" s="30"/>
      <c r="S7" s="30">
        <v>1</v>
      </c>
      <c r="T7" s="30">
        <v>1</v>
      </c>
      <c r="U7" s="30">
        <v>1</v>
      </c>
      <c r="V7" s="30"/>
      <c r="W7" s="30"/>
      <c r="X7" s="30"/>
      <c r="Y7" s="30">
        <v>1</v>
      </c>
      <c r="Z7" s="30"/>
      <c r="AA7" s="30"/>
    </row>
    <row r="8" spans="1:27" ht="11.25" customHeight="1" x14ac:dyDescent="0.25">
      <c r="A8" s="140"/>
      <c r="B8" s="140"/>
      <c r="C8" s="140"/>
      <c r="D8" s="140"/>
      <c r="E8" s="140"/>
      <c r="F8" s="140"/>
      <c r="G8" s="32" t="s">
        <v>92</v>
      </c>
      <c r="H8" s="32" t="s">
        <v>90</v>
      </c>
      <c r="I8" s="32">
        <f>'MERCADO TE'!$U$5</f>
        <v>661995.96299999999</v>
      </c>
      <c r="J8" s="17"/>
      <c r="L8" s="30">
        <v>1</v>
      </c>
      <c r="M8" s="30">
        <v>1</v>
      </c>
      <c r="N8" s="30">
        <v>1</v>
      </c>
      <c r="O8" s="30">
        <v>1</v>
      </c>
      <c r="P8" s="30"/>
      <c r="Q8" s="30">
        <v>1</v>
      </c>
      <c r="R8" s="30"/>
      <c r="S8" s="30">
        <v>1</v>
      </c>
      <c r="T8" s="30">
        <v>1</v>
      </c>
      <c r="U8" s="30">
        <v>1</v>
      </c>
      <c r="V8" s="30"/>
      <c r="W8" s="30"/>
      <c r="X8" s="30"/>
      <c r="Y8" s="30">
        <v>1</v>
      </c>
      <c r="Z8" s="30"/>
      <c r="AA8" s="30"/>
    </row>
    <row r="9" spans="1:27" ht="11.25" customHeight="1" x14ac:dyDescent="0.25">
      <c r="A9" s="140"/>
      <c r="B9" s="33" t="s">
        <v>97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96</v>
      </c>
      <c r="H9" s="32" t="s">
        <v>90</v>
      </c>
      <c r="I9" s="32">
        <f>'MERCADO TE'!$U$6</f>
        <v>0</v>
      </c>
      <c r="J9" s="17"/>
      <c r="L9" s="30">
        <v>1</v>
      </c>
      <c r="M9" s="30">
        <v>1</v>
      </c>
      <c r="N9" s="30">
        <v>1</v>
      </c>
      <c r="O9" s="30">
        <v>1</v>
      </c>
      <c r="P9" s="30"/>
      <c r="Q9" s="30">
        <v>1.06</v>
      </c>
      <c r="R9" s="30"/>
      <c r="S9" s="30">
        <v>1</v>
      </c>
      <c r="T9" s="30">
        <v>1</v>
      </c>
      <c r="U9" s="30">
        <v>1</v>
      </c>
      <c r="V9" s="30"/>
      <c r="W9" s="30"/>
      <c r="X9" s="30"/>
      <c r="Y9" s="30">
        <v>1</v>
      </c>
      <c r="Z9" s="30"/>
      <c r="AA9" s="30"/>
    </row>
    <row r="10" spans="1:27" ht="11.25" customHeight="1" x14ac:dyDescent="0.25">
      <c r="A10" s="140" t="s">
        <v>22</v>
      </c>
      <c r="B10" s="140" t="s">
        <v>89</v>
      </c>
      <c r="C10" s="140" t="s">
        <v>24</v>
      </c>
      <c r="D10" s="140" t="s">
        <v>24</v>
      </c>
      <c r="E10" s="140" t="s">
        <v>25</v>
      </c>
      <c r="F10" s="140" t="s">
        <v>25</v>
      </c>
      <c r="G10" s="32" t="s">
        <v>91</v>
      </c>
      <c r="H10" s="32" t="s">
        <v>90</v>
      </c>
      <c r="I10" s="32">
        <f>'MERCADO TE'!$U$7</f>
        <v>50.420000000000009</v>
      </c>
      <c r="J10" s="17"/>
      <c r="L10" s="30">
        <v>1</v>
      </c>
      <c r="M10" s="30">
        <v>1</v>
      </c>
      <c r="N10" s="30">
        <v>1</v>
      </c>
      <c r="O10" s="30">
        <v>1</v>
      </c>
      <c r="P10" s="30"/>
      <c r="Q10" s="30">
        <v>1.72</v>
      </c>
      <c r="R10" s="30"/>
      <c r="S10" s="30">
        <v>1</v>
      </c>
      <c r="T10" s="30">
        <v>1</v>
      </c>
      <c r="U10" s="30">
        <v>1</v>
      </c>
      <c r="V10" s="30"/>
      <c r="W10" s="30"/>
      <c r="X10" s="30"/>
      <c r="Y10" s="30">
        <v>1</v>
      </c>
      <c r="Z10" s="30"/>
      <c r="AA10" s="30"/>
    </row>
    <row r="11" spans="1:27" ht="11.25" customHeight="1" x14ac:dyDescent="0.25">
      <c r="A11" s="140"/>
      <c r="B11" s="140"/>
      <c r="C11" s="140"/>
      <c r="D11" s="140"/>
      <c r="E11" s="140"/>
      <c r="F11" s="140"/>
      <c r="G11" s="32" t="s">
        <v>101</v>
      </c>
      <c r="H11" s="32" t="s">
        <v>90</v>
      </c>
      <c r="I11" s="32">
        <f>'MERCADO TE'!$U$8</f>
        <v>34.840000000000003</v>
      </c>
      <c r="J11" s="17"/>
      <c r="L11" s="30">
        <v>1</v>
      </c>
      <c r="M11" s="30">
        <v>1</v>
      </c>
      <c r="N11" s="30">
        <v>1</v>
      </c>
      <c r="O11" s="30">
        <v>1</v>
      </c>
      <c r="P11" s="30"/>
      <c r="Q11" s="30">
        <v>1</v>
      </c>
      <c r="R11" s="30"/>
      <c r="S11" s="30">
        <v>1</v>
      </c>
      <c r="T11" s="30">
        <v>1</v>
      </c>
      <c r="U11" s="30">
        <v>1</v>
      </c>
      <c r="V11" s="30"/>
      <c r="W11" s="30"/>
      <c r="X11" s="30"/>
      <c r="Y11" s="30">
        <v>1</v>
      </c>
      <c r="Z11" s="30"/>
      <c r="AA11" s="30"/>
    </row>
    <row r="12" spans="1:27" ht="11.25" customHeight="1" x14ac:dyDescent="0.25">
      <c r="A12" s="140"/>
      <c r="B12" s="140"/>
      <c r="C12" s="140"/>
      <c r="D12" s="140"/>
      <c r="E12" s="140"/>
      <c r="F12" s="140"/>
      <c r="G12" s="32" t="s">
        <v>92</v>
      </c>
      <c r="H12" s="32" t="s">
        <v>90</v>
      </c>
      <c r="I12" s="32">
        <f>'MERCADO TE'!$U$9</f>
        <v>677.41499999999996</v>
      </c>
      <c r="J12" s="17"/>
      <c r="L12" s="30">
        <v>1</v>
      </c>
      <c r="M12" s="30">
        <v>1</v>
      </c>
      <c r="N12" s="30">
        <v>1</v>
      </c>
      <c r="O12" s="30">
        <v>1</v>
      </c>
      <c r="P12" s="30"/>
      <c r="Q12" s="30">
        <v>1</v>
      </c>
      <c r="R12" s="30"/>
      <c r="S12" s="30">
        <v>1</v>
      </c>
      <c r="T12" s="30">
        <v>1</v>
      </c>
      <c r="U12" s="30">
        <v>1</v>
      </c>
      <c r="V12" s="30"/>
      <c r="W12" s="30"/>
      <c r="X12" s="30"/>
      <c r="Y12" s="30">
        <v>1</v>
      </c>
      <c r="Z12" s="30"/>
      <c r="AA12" s="30"/>
    </row>
    <row r="13" spans="1:27" ht="11.25" customHeight="1" x14ac:dyDescent="0.25">
      <c r="A13" s="140"/>
      <c r="B13" s="140" t="s">
        <v>97</v>
      </c>
      <c r="C13" s="140" t="s">
        <v>24</v>
      </c>
      <c r="D13" s="33" t="s">
        <v>24</v>
      </c>
      <c r="E13" s="33" t="s">
        <v>25</v>
      </c>
      <c r="F13" s="33" t="s">
        <v>25</v>
      </c>
      <c r="G13" s="32" t="s">
        <v>96</v>
      </c>
      <c r="H13" s="32" t="s">
        <v>90</v>
      </c>
      <c r="I13" s="32">
        <f>'MERCADO TE'!$U$10</f>
        <v>1165006.6750000003</v>
      </c>
      <c r="J13" s="17"/>
      <c r="L13" s="30">
        <v>1</v>
      </c>
      <c r="M13" s="30">
        <v>1</v>
      </c>
      <c r="N13" s="30">
        <v>1</v>
      </c>
      <c r="O13" s="30">
        <v>1</v>
      </c>
      <c r="P13" s="30"/>
      <c r="Q13" s="30">
        <v>1.06</v>
      </c>
      <c r="R13" s="30"/>
      <c r="S13" s="30">
        <v>1</v>
      </c>
      <c r="T13" s="30">
        <v>1</v>
      </c>
      <c r="U13" s="30">
        <v>1</v>
      </c>
      <c r="V13" s="30"/>
      <c r="W13" s="30"/>
      <c r="X13" s="30"/>
      <c r="Y13" s="30">
        <v>1</v>
      </c>
      <c r="Z13" s="30"/>
      <c r="AA13" s="30"/>
    </row>
    <row r="14" spans="1:27" ht="11.25" customHeight="1" x14ac:dyDescent="0.25">
      <c r="A14" s="140"/>
      <c r="B14" s="140"/>
      <c r="C14" s="140"/>
      <c r="D14" s="33" t="s">
        <v>29</v>
      </c>
      <c r="E14" s="33" t="s">
        <v>25</v>
      </c>
      <c r="F14" s="33" t="s">
        <v>25</v>
      </c>
      <c r="G14" s="32" t="s">
        <v>96</v>
      </c>
      <c r="H14" s="32" t="s">
        <v>90</v>
      </c>
      <c r="I14" s="32">
        <f>'MERCADO TE'!$U$11</f>
        <v>134316.74400000001</v>
      </c>
      <c r="J14" s="17"/>
      <c r="L14" s="30">
        <f>1 - CUSTOS!$M$24</f>
        <v>1</v>
      </c>
      <c r="M14" s="30">
        <f>1 - CUSTOS!$M$24</f>
        <v>1</v>
      </c>
      <c r="N14" s="30">
        <f>1 - CUSTOS!$M$24</f>
        <v>1</v>
      </c>
      <c r="O14" s="30">
        <f>1 - CUSTOS!$M$24</f>
        <v>1</v>
      </c>
      <c r="P14" s="30"/>
      <c r="Q14" s="30">
        <f>(1 - CUSTOS!$M$24)*1.06</f>
        <v>1.06</v>
      </c>
      <c r="R14" s="30"/>
      <c r="S14" s="30">
        <f>1 - CUSTOS!$M$24</f>
        <v>1</v>
      </c>
      <c r="T14" s="30">
        <f>1 - CUSTOS!$M$24</f>
        <v>1</v>
      </c>
      <c r="U14" s="30">
        <f>1 - CUSTOS!$M$24</f>
        <v>1</v>
      </c>
      <c r="V14" s="30"/>
      <c r="W14" s="30"/>
      <c r="X14" s="30"/>
      <c r="Y14" s="30">
        <f>1 - CUSTOS!$M$24</f>
        <v>1</v>
      </c>
      <c r="Z14" s="30"/>
      <c r="AA14" s="30"/>
    </row>
    <row r="15" spans="1:27" ht="11.25" customHeight="1" x14ac:dyDescent="0.25">
      <c r="A15" s="140"/>
      <c r="B15" s="140"/>
      <c r="C15" s="140"/>
      <c r="D15" s="33" t="s">
        <v>30</v>
      </c>
      <c r="E15" s="33" t="s">
        <v>25</v>
      </c>
      <c r="F15" s="33" t="s">
        <v>25</v>
      </c>
      <c r="G15" s="32" t="s">
        <v>96</v>
      </c>
      <c r="H15" s="32" t="s">
        <v>90</v>
      </c>
      <c r="I15" s="32">
        <f>'MERCADO TE'!$U$12</f>
        <v>207428.35200000001</v>
      </c>
      <c r="J15" s="17"/>
      <c r="L15" s="30">
        <f>1 - CUSTOS!$M$25</f>
        <v>1</v>
      </c>
      <c r="M15" s="30">
        <f>1 - CUSTOS!$M$25</f>
        <v>1</v>
      </c>
      <c r="N15" s="30">
        <f>1 - CUSTOS!$M$25</f>
        <v>1</v>
      </c>
      <c r="O15" s="30">
        <f>1 - CUSTOS!$M$25</f>
        <v>1</v>
      </c>
      <c r="P15" s="30"/>
      <c r="Q15" s="30">
        <f>(1 - CUSTOS!$M$25)*1.06</f>
        <v>1.06</v>
      </c>
      <c r="R15" s="30"/>
      <c r="S15" s="30">
        <f>1 - CUSTOS!$M$25</f>
        <v>1</v>
      </c>
      <c r="T15" s="30">
        <f>1 - CUSTOS!$M$25</f>
        <v>1</v>
      </c>
      <c r="U15" s="30">
        <f>1 - CUSTOS!$M$25</f>
        <v>1</v>
      </c>
      <c r="V15" s="30"/>
      <c r="W15" s="30"/>
      <c r="X15" s="30"/>
      <c r="Y15" s="30">
        <f>1 - CUSTOS!$M$25</f>
        <v>1</v>
      </c>
      <c r="Z15" s="30"/>
      <c r="AA15" s="30"/>
    </row>
    <row r="16" spans="1:27" ht="11.25" customHeight="1" x14ac:dyDescent="0.25">
      <c r="A16" s="140"/>
      <c r="B16" s="140"/>
      <c r="C16" s="140"/>
      <c r="D16" s="33" t="s">
        <v>31</v>
      </c>
      <c r="E16" s="33" t="s">
        <v>25</v>
      </c>
      <c r="F16" s="33" t="s">
        <v>25</v>
      </c>
      <c r="G16" s="32" t="s">
        <v>96</v>
      </c>
      <c r="H16" s="32" t="s">
        <v>90</v>
      </c>
      <c r="I16" s="32">
        <f>'MERCADO TE'!$U$13</f>
        <v>81316.453999999983</v>
      </c>
      <c r="J16" s="17"/>
      <c r="L16" s="30">
        <f>1 - CUSTOS!$M$26</f>
        <v>1</v>
      </c>
      <c r="M16" s="30">
        <f>1 - CUSTOS!$M$26</f>
        <v>1</v>
      </c>
      <c r="N16" s="30">
        <f>1 - CUSTOS!$M$26</f>
        <v>1</v>
      </c>
      <c r="O16" s="30">
        <f>1 - CUSTOS!$M$26</f>
        <v>1</v>
      </c>
      <c r="P16" s="30"/>
      <c r="Q16" s="30">
        <f>(1 - CUSTOS!$M$26)*1.06</f>
        <v>1.06</v>
      </c>
      <c r="R16" s="30"/>
      <c r="S16" s="30">
        <f>1 - CUSTOS!$M$26</f>
        <v>1</v>
      </c>
      <c r="T16" s="30">
        <f>1 - CUSTOS!$M$26</f>
        <v>1</v>
      </c>
      <c r="U16" s="30">
        <f>1 - CUSTOS!$M$26</f>
        <v>1</v>
      </c>
      <c r="V16" s="30"/>
      <c r="W16" s="30"/>
      <c r="X16" s="30"/>
      <c r="Y16" s="30">
        <f>1 - CUSTOS!$M$26</f>
        <v>1</v>
      </c>
      <c r="Z16" s="30"/>
      <c r="AA16" s="30"/>
    </row>
    <row r="17" spans="1:27" ht="11.25" customHeight="1" x14ac:dyDescent="0.25">
      <c r="A17" s="140"/>
      <c r="B17" s="140"/>
      <c r="C17" s="140"/>
      <c r="D17" s="33" t="s">
        <v>32</v>
      </c>
      <c r="E17" s="33" t="s">
        <v>25</v>
      </c>
      <c r="F17" s="33" t="s">
        <v>25</v>
      </c>
      <c r="G17" s="32" t="s">
        <v>96</v>
      </c>
      <c r="H17" s="32" t="s">
        <v>90</v>
      </c>
      <c r="I17" s="32">
        <f>'MERCADO TE'!$U$14</f>
        <v>15947.552</v>
      </c>
      <c r="J17" s="17"/>
      <c r="L17" s="30">
        <f>1 - CUSTOS!$M$27</f>
        <v>1</v>
      </c>
      <c r="M17" s="30">
        <f>1 - CUSTOS!$M$27</f>
        <v>1</v>
      </c>
      <c r="N17" s="30">
        <f>1 - CUSTOS!$M$27</f>
        <v>1</v>
      </c>
      <c r="O17" s="30">
        <f>1 - CUSTOS!$M$27</f>
        <v>1</v>
      </c>
      <c r="P17" s="30"/>
      <c r="Q17" s="30">
        <f>(1 - CUSTOS!$M$27)*1.06</f>
        <v>1.06</v>
      </c>
      <c r="R17" s="30"/>
      <c r="S17" s="30">
        <f>1 - CUSTOS!$M$27</f>
        <v>1</v>
      </c>
      <c r="T17" s="30">
        <f>1 - CUSTOS!$M$27</f>
        <v>1</v>
      </c>
      <c r="U17" s="30">
        <f>1 - CUSTOS!$M$27</f>
        <v>1</v>
      </c>
      <c r="V17" s="30"/>
      <c r="W17" s="30"/>
      <c r="X17" s="30"/>
      <c r="Y17" s="30">
        <f>1 - CUSTOS!$M$27</f>
        <v>1</v>
      </c>
      <c r="Z17" s="30"/>
      <c r="AA17" s="30"/>
    </row>
    <row r="18" spans="1:27" ht="11.25" customHeight="1" x14ac:dyDescent="0.25">
      <c r="A18" s="140"/>
      <c r="B18" s="140" t="s">
        <v>102</v>
      </c>
      <c r="C18" s="140" t="s">
        <v>24</v>
      </c>
      <c r="D18" s="33" t="s">
        <v>24</v>
      </c>
      <c r="E18" s="33" t="s">
        <v>25</v>
      </c>
      <c r="F18" s="33" t="s">
        <v>25</v>
      </c>
      <c r="G18" s="32" t="s">
        <v>96</v>
      </c>
      <c r="H18" s="32" t="s">
        <v>90</v>
      </c>
      <c r="I18" s="32">
        <f>'MERCADO TE'!$U$15</f>
        <v>0</v>
      </c>
      <c r="J18" s="17"/>
      <c r="L18" s="30">
        <v>1</v>
      </c>
      <c r="M18" s="30">
        <v>1</v>
      </c>
      <c r="N18" s="30">
        <v>1</v>
      </c>
      <c r="O18" s="30">
        <v>1</v>
      </c>
      <c r="P18" s="30"/>
      <c r="Q18" s="30">
        <v>1.06</v>
      </c>
      <c r="R18" s="30"/>
      <c r="S18" s="30">
        <v>1</v>
      </c>
      <c r="T18" s="30">
        <v>1</v>
      </c>
      <c r="U18" s="30">
        <v>1</v>
      </c>
      <c r="V18" s="30"/>
      <c r="W18" s="30"/>
      <c r="X18" s="30"/>
      <c r="Y18" s="30">
        <v>1</v>
      </c>
      <c r="Z18" s="30"/>
      <c r="AA18" s="30"/>
    </row>
    <row r="19" spans="1:27" ht="11.25" customHeight="1" x14ac:dyDescent="0.25">
      <c r="A19" s="140"/>
      <c r="B19" s="140"/>
      <c r="C19" s="140"/>
      <c r="D19" s="33" t="s">
        <v>29</v>
      </c>
      <c r="E19" s="33" t="s">
        <v>25</v>
      </c>
      <c r="F19" s="33" t="s">
        <v>25</v>
      </c>
      <c r="G19" s="32" t="s">
        <v>96</v>
      </c>
      <c r="H19" s="32" t="s">
        <v>90</v>
      </c>
      <c r="I19" s="32">
        <f>'MERCADO TE'!$U$16</f>
        <v>0</v>
      </c>
      <c r="J19" s="17"/>
      <c r="L19" s="30">
        <f>1 - CUSTOS!$M$24</f>
        <v>1</v>
      </c>
      <c r="M19" s="30">
        <f>1 - CUSTOS!$M$24</f>
        <v>1</v>
      </c>
      <c r="N19" s="30">
        <f>1 - CUSTOS!$M$24</f>
        <v>1</v>
      </c>
      <c r="O19" s="30">
        <f>1 - CUSTOS!$M$24</f>
        <v>1</v>
      </c>
      <c r="P19" s="30"/>
      <c r="Q19" s="30">
        <f>(1 - CUSTOS!$M$24)*1.06</f>
        <v>1.06</v>
      </c>
      <c r="R19" s="30"/>
      <c r="S19" s="30">
        <f>1 - CUSTOS!$M$24</f>
        <v>1</v>
      </c>
      <c r="T19" s="30">
        <f>1 - CUSTOS!$M$24</f>
        <v>1</v>
      </c>
      <c r="U19" s="30">
        <f>1 - CUSTOS!$M$24</f>
        <v>1</v>
      </c>
      <c r="V19" s="30"/>
      <c r="W19" s="30"/>
      <c r="X19" s="30"/>
      <c r="Y19" s="30">
        <f>1 - CUSTOS!$M$24</f>
        <v>1</v>
      </c>
      <c r="Z19" s="30"/>
      <c r="AA19" s="30"/>
    </row>
    <row r="20" spans="1:27" ht="11.25" customHeight="1" x14ac:dyDescent="0.25">
      <c r="A20" s="140"/>
      <c r="B20" s="140"/>
      <c r="C20" s="140"/>
      <c r="D20" s="33" t="s">
        <v>30</v>
      </c>
      <c r="E20" s="33" t="s">
        <v>25</v>
      </c>
      <c r="F20" s="33" t="s">
        <v>25</v>
      </c>
      <c r="G20" s="32" t="s">
        <v>96</v>
      </c>
      <c r="H20" s="32" t="s">
        <v>90</v>
      </c>
      <c r="I20" s="32">
        <f>'MERCADO TE'!$U$17</f>
        <v>0</v>
      </c>
      <c r="J20" s="17"/>
      <c r="L20" s="30">
        <f>1 - CUSTOS!$M$25</f>
        <v>1</v>
      </c>
      <c r="M20" s="30">
        <f>1 - CUSTOS!$M$25</f>
        <v>1</v>
      </c>
      <c r="N20" s="30">
        <f>1 - CUSTOS!$M$25</f>
        <v>1</v>
      </c>
      <c r="O20" s="30">
        <f>1 - CUSTOS!$M$25</f>
        <v>1</v>
      </c>
      <c r="P20" s="30"/>
      <c r="Q20" s="30">
        <f>(1 - CUSTOS!$M$25)*1.06</f>
        <v>1.06</v>
      </c>
      <c r="R20" s="30"/>
      <c r="S20" s="30">
        <f>1 - CUSTOS!$M$25</f>
        <v>1</v>
      </c>
      <c r="T20" s="30">
        <f>1 - CUSTOS!$M$25</f>
        <v>1</v>
      </c>
      <c r="U20" s="30">
        <f>1 - CUSTOS!$M$25</f>
        <v>1</v>
      </c>
      <c r="V20" s="30"/>
      <c r="W20" s="30"/>
      <c r="X20" s="30"/>
      <c r="Y20" s="30">
        <f>1 - CUSTOS!$M$25</f>
        <v>1</v>
      </c>
      <c r="Z20" s="30"/>
      <c r="AA20" s="30"/>
    </row>
    <row r="21" spans="1:27" ht="11.25" customHeight="1" x14ac:dyDescent="0.25">
      <c r="A21" s="140"/>
      <c r="B21" s="140"/>
      <c r="C21" s="140"/>
      <c r="D21" s="33" t="s">
        <v>31</v>
      </c>
      <c r="E21" s="33" t="s">
        <v>25</v>
      </c>
      <c r="F21" s="33" t="s">
        <v>25</v>
      </c>
      <c r="G21" s="32" t="s">
        <v>96</v>
      </c>
      <c r="H21" s="32" t="s">
        <v>90</v>
      </c>
      <c r="I21" s="32">
        <f>'MERCADO TE'!$U$18</f>
        <v>0</v>
      </c>
      <c r="J21" s="17"/>
      <c r="L21" s="30">
        <f>1 - CUSTOS!$M$26</f>
        <v>1</v>
      </c>
      <c r="M21" s="30">
        <f>1 - CUSTOS!$M$26</f>
        <v>1</v>
      </c>
      <c r="N21" s="30">
        <f>1 - CUSTOS!$M$26</f>
        <v>1</v>
      </c>
      <c r="O21" s="30">
        <f>1 - CUSTOS!$M$26</f>
        <v>1</v>
      </c>
      <c r="P21" s="30"/>
      <c r="Q21" s="30">
        <f>(1 - CUSTOS!$M$26)*1.06</f>
        <v>1.06</v>
      </c>
      <c r="R21" s="30"/>
      <c r="S21" s="30">
        <f>1 - CUSTOS!$M$26</f>
        <v>1</v>
      </c>
      <c r="T21" s="30">
        <f>1 - CUSTOS!$M$26</f>
        <v>1</v>
      </c>
      <c r="U21" s="30">
        <f>1 - CUSTOS!$M$26</f>
        <v>1</v>
      </c>
      <c r="V21" s="30"/>
      <c r="W21" s="30"/>
      <c r="X21" s="30"/>
      <c r="Y21" s="30">
        <f>1 - CUSTOS!$M$26</f>
        <v>1</v>
      </c>
      <c r="Z21" s="30"/>
      <c r="AA21" s="30"/>
    </row>
    <row r="22" spans="1:27" ht="11.25" customHeight="1" x14ac:dyDescent="0.25">
      <c r="A22" s="140"/>
      <c r="B22" s="140"/>
      <c r="C22" s="140"/>
      <c r="D22" s="33" t="s">
        <v>32</v>
      </c>
      <c r="E22" s="33" t="s">
        <v>25</v>
      </c>
      <c r="F22" s="33" t="s">
        <v>25</v>
      </c>
      <c r="G22" s="32" t="s">
        <v>96</v>
      </c>
      <c r="H22" s="32" t="s">
        <v>90</v>
      </c>
      <c r="I22" s="32">
        <f>'MERCADO TE'!$U$19</f>
        <v>0</v>
      </c>
      <c r="J22" s="17"/>
      <c r="L22" s="30">
        <f>1 - CUSTOS!$M$27</f>
        <v>1</v>
      </c>
      <c r="M22" s="30">
        <f>1 - CUSTOS!$M$27</f>
        <v>1</v>
      </c>
      <c r="N22" s="30">
        <f>1 - CUSTOS!$M$27</f>
        <v>1</v>
      </c>
      <c r="O22" s="30">
        <f>1 - CUSTOS!$M$27</f>
        <v>1</v>
      </c>
      <c r="P22" s="30"/>
      <c r="Q22" s="30">
        <f>(1 - CUSTOS!$M$27)*1.06</f>
        <v>1.06</v>
      </c>
      <c r="R22" s="30"/>
      <c r="S22" s="30">
        <f>1 - CUSTOS!$M$27</f>
        <v>1</v>
      </c>
      <c r="T22" s="30">
        <f>1 - CUSTOS!$M$27</f>
        <v>1</v>
      </c>
      <c r="U22" s="30">
        <f>1 - CUSTOS!$M$27</f>
        <v>1</v>
      </c>
      <c r="V22" s="30"/>
      <c r="W22" s="30"/>
      <c r="X22" s="30"/>
      <c r="Y22" s="30">
        <f>1 - CUSTOS!$M$27</f>
        <v>1</v>
      </c>
      <c r="Z22" s="30"/>
      <c r="AA22" s="30"/>
    </row>
    <row r="23" spans="1:27" ht="11.25" customHeight="1" x14ac:dyDescent="0.25">
      <c r="A23" s="140" t="s">
        <v>44</v>
      </c>
      <c r="B23" s="140" t="s">
        <v>89</v>
      </c>
      <c r="C23" s="140" t="s">
        <v>45</v>
      </c>
      <c r="D23" s="140" t="s">
        <v>25</v>
      </c>
      <c r="E23" s="140" t="s">
        <v>25</v>
      </c>
      <c r="F23" s="140" t="s">
        <v>25</v>
      </c>
      <c r="G23" s="32" t="s">
        <v>91</v>
      </c>
      <c r="H23" s="32" t="s">
        <v>90</v>
      </c>
      <c r="I23" s="32">
        <f>'MERCADO TE'!$U$20</f>
        <v>3.0000000000000001E-3</v>
      </c>
      <c r="J23" s="17"/>
      <c r="L23" s="30">
        <f>1 - CUSTOS!$M$28</f>
        <v>1</v>
      </c>
      <c r="M23" s="30">
        <f>1 - CUSTOS!$M$28</f>
        <v>1</v>
      </c>
      <c r="N23" s="30">
        <f>1 - CUSTOS!$M$28</f>
        <v>1</v>
      </c>
      <c r="O23" s="30">
        <f>1 - CUSTOS!$M$28</f>
        <v>1</v>
      </c>
      <c r="P23" s="30"/>
      <c r="Q23" s="30">
        <f>(1 - CUSTOS!$M$28)*1.72</f>
        <v>1.72</v>
      </c>
      <c r="R23" s="30"/>
      <c r="S23" s="30">
        <f>1 - CUSTOS!$M$28</f>
        <v>1</v>
      </c>
      <c r="T23" s="30">
        <f>1 - CUSTOS!$M$28</f>
        <v>1</v>
      </c>
      <c r="U23" s="30">
        <f>1 - CUSTOS!$M$28</f>
        <v>1</v>
      </c>
      <c r="V23" s="30"/>
      <c r="W23" s="30"/>
      <c r="X23" s="30"/>
      <c r="Y23" s="30">
        <f>1 - CUSTOS!$M$28</f>
        <v>1</v>
      </c>
      <c r="Z23" s="30"/>
      <c r="AA23" s="30"/>
    </row>
    <row r="24" spans="1:27" ht="11.25" customHeight="1" x14ac:dyDescent="0.25">
      <c r="A24" s="140"/>
      <c r="B24" s="140"/>
      <c r="C24" s="140"/>
      <c r="D24" s="140"/>
      <c r="E24" s="140"/>
      <c r="F24" s="140"/>
      <c r="G24" s="32" t="s">
        <v>101</v>
      </c>
      <c r="H24" s="32" t="s">
        <v>90</v>
      </c>
      <c r="I24" s="32">
        <f>'MERCADO TE'!$U$21</f>
        <v>3.1E-2</v>
      </c>
      <c r="J24" s="17"/>
      <c r="L24" s="30">
        <f>1 - CUSTOS!$M$28</f>
        <v>1</v>
      </c>
      <c r="M24" s="30">
        <f>1 - CUSTOS!$M$28</f>
        <v>1</v>
      </c>
      <c r="N24" s="30">
        <f>1 - CUSTOS!$M$28</f>
        <v>1</v>
      </c>
      <c r="O24" s="30">
        <f>1 - CUSTOS!$M$28</f>
        <v>1</v>
      </c>
      <c r="P24" s="30"/>
      <c r="Q24" s="30">
        <f>(1 - CUSTOS!$M$28)*1</f>
        <v>1</v>
      </c>
      <c r="R24" s="30"/>
      <c r="S24" s="30">
        <f>1 - CUSTOS!$M$28</f>
        <v>1</v>
      </c>
      <c r="T24" s="30">
        <f>1 - CUSTOS!$M$28</f>
        <v>1</v>
      </c>
      <c r="U24" s="30">
        <f>1 - CUSTOS!$M$28</f>
        <v>1</v>
      </c>
      <c r="V24" s="30"/>
      <c r="W24" s="30"/>
      <c r="X24" s="30"/>
      <c r="Y24" s="30">
        <f>1 - CUSTOS!$M$28</f>
        <v>1</v>
      </c>
      <c r="Z24" s="30"/>
      <c r="AA24" s="30"/>
    </row>
    <row r="25" spans="1:27" ht="11.25" customHeight="1" x14ac:dyDescent="0.25">
      <c r="A25" s="140"/>
      <c r="B25" s="140"/>
      <c r="C25" s="140"/>
      <c r="D25" s="140"/>
      <c r="E25" s="140"/>
      <c r="F25" s="140"/>
      <c r="G25" s="32" t="s">
        <v>92</v>
      </c>
      <c r="H25" s="32" t="s">
        <v>90</v>
      </c>
      <c r="I25" s="32">
        <f>'MERCADO TE'!$U$22</f>
        <v>8.956999999999999</v>
      </c>
      <c r="J25" s="17"/>
      <c r="L25" s="30">
        <f>1 - CUSTOS!$M$28</f>
        <v>1</v>
      </c>
      <c r="M25" s="30">
        <f>1 - CUSTOS!$M$28</f>
        <v>1</v>
      </c>
      <c r="N25" s="30">
        <f>1 - CUSTOS!$M$28</f>
        <v>1</v>
      </c>
      <c r="O25" s="30">
        <f>1 - CUSTOS!$M$28</f>
        <v>1</v>
      </c>
      <c r="P25" s="30"/>
      <c r="Q25" s="30">
        <f>(1 - CUSTOS!$M$28)*1</f>
        <v>1</v>
      </c>
      <c r="R25" s="30"/>
      <c r="S25" s="30">
        <f>1 - CUSTOS!$M$28</f>
        <v>1</v>
      </c>
      <c r="T25" s="30">
        <f>1 - CUSTOS!$M$28</f>
        <v>1</v>
      </c>
      <c r="U25" s="30">
        <f>1 - CUSTOS!$M$28</f>
        <v>1</v>
      </c>
      <c r="V25" s="30"/>
      <c r="W25" s="30"/>
      <c r="X25" s="30"/>
      <c r="Y25" s="30">
        <f>1 - CUSTOS!$M$28</f>
        <v>1</v>
      </c>
      <c r="Z25" s="30"/>
      <c r="AA25" s="30"/>
    </row>
    <row r="26" spans="1:27" ht="11.25" customHeight="1" x14ac:dyDescent="0.25">
      <c r="A26" s="140"/>
      <c r="B26" s="33" t="s">
        <v>97</v>
      </c>
      <c r="C26" s="33" t="s">
        <v>45</v>
      </c>
      <c r="D26" s="33" t="s">
        <v>25</v>
      </c>
      <c r="E26" s="33" t="s">
        <v>25</v>
      </c>
      <c r="F26" s="33" t="s">
        <v>25</v>
      </c>
      <c r="G26" s="32" t="s">
        <v>96</v>
      </c>
      <c r="H26" s="32" t="s">
        <v>90</v>
      </c>
      <c r="I26" s="32">
        <f>'MERCADO TE'!$U$23</f>
        <v>60904.316999999995</v>
      </c>
      <c r="J26" s="17"/>
      <c r="L26" s="30">
        <f>1 - CUSTOS!$M$28</f>
        <v>1</v>
      </c>
      <c r="M26" s="30">
        <f>1 - CUSTOS!$M$28</f>
        <v>1</v>
      </c>
      <c r="N26" s="30">
        <f>1 - CUSTOS!$M$28</f>
        <v>1</v>
      </c>
      <c r="O26" s="30">
        <f>1 - CUSTOS!$M$28</f>
        <v>1</v>
      </c>
      <c r="P26" s="30"/>
      <c r="Q26" s="30">
        <f>(1 - CUSTOS!$M$28)*1.06</f>
        <v>1.06</v>
      </c>
      <c r="R26" s="30"/>
      <c r="S26" s="30">
        <f>1 - CUSTOS!$M$28</f>
        <v>1</v>
      </c>
      <c r="T26" s="30">
        <f>1 - CUSTOS!$M$28</f>
        <v>1</v>
      </c>
      <c r="U26" s="30">
        <f>1 - CUSTOS!$M$28</f>
        <v>1</v>
      </c>
      <c r="V26" s="30"/>
      <c r="W26" s="30"/>
      <c r="X26" s="30"/>
      <c r="Y26" s="30">
        <f>1 - CUSTOS!$M$28</f>
        <v>1</v>
      </c>
      <c r="Z26" s="30"/>
      <c r="AA26" s="30"/>
    </row>
    <row r="27" spans="1:27" ht="11.25" customHeight="1" x14ac:dyDescent="0.25">
      <c r="A27" s="140"/>
      <c r="B27" s="140" t="s">
        <v>89</v>
      </c>
      <c r="C27" s="140" t="s">
        <v>45</v>
      </c>
      <c r="D27" s="140" t="s">
        <v>104</v>
      </c>
      <c r="E27" s="140" t="s">
        <v>25</v>
      </c>
      <c r="F27" s="140" t="s">
        <v>25</v>
      </c>
      <c r="G27" s="32" t="s">
        <v>91</v>
      </c>
      <c r="H27" s="32" t="s">
        <v>90</v>
      </c>
      <c r="I27" s="32">
        <f>'MERCADO TE'!$U$24</f>
        <v>0</v>
      </c>
      <c r="J27" s="17"/>
      <c r="L27" s="30">
        <f>1 - CUSTOS!$M$29</f>
        <v>1</v>
      </c>
      <c r="M27" s="30">
        <f>1 - CUSTOS!$M$29</f>
        <v>1</v>
      </c>
      <c r="N27" s="30">
        <f>1 - CUSTOS!$M$29</f>
        <v>1</v>
      </c>
      <c r="O27" s="30">
        <f>1 - CUSTOS!$M$29</f>
        <v>1</v>
      </c>
      <c r="P27" s="30"/>
      <c r="Q27" s="30">
        <f>(1 - CUSTOS!$M$29)*1.72</f>
        <v>1.72</v>
      </c>
      <c r="R27" s="30"/>
      <c r="S27" s="30">
        <f>1 - CUSTOS!$M$29</f>
        <v>1</v>
      </c>
      <c r="T27" s="30">
        <f>1 - CUSTOS!$M$29</f>
        <v>1</v>
      </c>
      <c r="U27" s="30">
        <f>1 - CUSTOS!$M$29</f>
        <v>1</v>
      </c>
      <c r="V27" s="30"/>
      <c r="W27" s="30"/>
      <c r="X27" s="30"/>
      <c r="Y27" s="30">
        <f>1 - CUSTOS!$M$29</f>
        <v>1</v>
      </c>
      <c r="Z27" s="30"/>
      <c r="AA27" s="30"/>
    </row>
    <row r="28" spans="1:27" ht="11.25" customHeight="1" x14ac:dyDescent="0.25">
      <c r="A28" s="140"/>
      <c r="B28" s="140"/>
      <c r="C28" s="140"/>
      <c r="D28" s="140"/>
      <c r="E28" s="140"/>
      <c r="F28" s="140"/>
      <c r="G28" s="32" t="s">
        <v>101</v>
      </c>
      <c r="H28" s="32" t="s">
        <v>90</v>
      </c>
      <c r="I28" s="32">
        <f>'MERCADO TE'!$U$25</f>
        <v>0</v>
      </c>
      <c r="J28" s="17"/>
      <c r="L28" s="30">
        <f>1 - CUSTOS!$M$29</f>
        <v>1</v>
      </c>
      <c r="M28" s="30">
        <f>1 - CUSTOS!$M$29</f>
        <v>1</v>
      </c>
      <c r="N28" s="30">
        <f>1 - CUSTOS!$M$29</f>
        <v>1</v>
      </c>
      <c r="O28" s="30">
        <f>1 - CUSTOS!$M$29</f>
        <v>1</v>
      </c>
      <c r="P28" s="30"/>
      <c r="Q28" s="30">
        <f>(1 - CUSTOS!$M$29)*1</f>
        <v>1</v>
      </c>
      <c r="R28" s="30"/>
      <c r="S28" s="30">
        <f>1 - CUSTOS!$M$29</f>
        <v>1</v>
      </c>
      <c r="T28" s="30">
        <f>1 - CUSTOS!$M$29</f>
        <v>1</v>
      </c>
      <c r="U28" s="30">
        <f>1 - CUSTOS!$M$29</f>
        <v>1</v>
      </c>
      <c r="V28" s="30"/>
      <c r="W28" s="30"/>
      <c r="X28" s="30"/>
      <c r="Y28" s="30">
        <f>1 - CUSTOS!$M$29</f>
        <v>1</v>
      </c>
      <c r="Z28" s="30"/>
      <c r="AA28" s="30"/>
    </row>
    <row r="29" spans="1:27" ht="11.25" customHeight="1" x14ac:dyDescent="0.25">
      <c r="A29" s="140"/>
      <c r="B29" s="140"/>
      <c r="C29" s="140"/>
      <c r="D29" s="140"/>
      <c r="E29" s="140"/>
      <c r="F29" s="140"/>
      <c r="G29" s="32" t="s">
        <v>92</v>
      </c>
      <c r="H29" s="32" t="s">
        <v>90</v>
      </c>
      <c r="I29" s="32">
        <f>'MERCADO TE'!$U$26</f>
        <v>0</v>
      </c>
      <c r="J29" s="17"/>
      <c r="L29" s="30">
        <f>1 - CUSTOS!$M$29</f>
        <v>1</v>
      </c>
      <c r="M29" s="30">
        <f>1 - CUSTOS!$M$29</f>
        <v>1</v>
      </c>
      <c r="N29" s="30">
        <f>1 - CUSTOS!$M$29</f>
        <v>1</v>
      </c>
      <c r="O29" s="30">
        <f>1 - CUSTOS!$M$29</f>
        <v>1</v>
      </c>
      <c r="P29" s="30"/>
      <c r="Q29" s="30">
        <f>(1 - CUSTOS!$M$29)*1</f>
        <v>1</v>
      </c>
      <c r="R29" s="30"/>
      <c r="S29" s="30">
        <f>1 - CUSTOS!$M$29</f>
        <v>1</v>
      </c>
      <c r="T29" s="30">
        <f>1 - CUSTOS!$M$29</f>
        <v>1</v>
      </c>
      <c r="U29" s="30">
        <f>1 - CUSTOS!$M$29</f>
        <v>1</v>
      </c>
      <c r="V29" s="30"/>
      <c r="W29" s="30"/>
      <c r="X29" s="30"/>
      <c r="Y29" s="30">
        <f>1 - CUSTOS!$M$29</f>
        <v>1</v>
      </c>
      <c r="Z29" s="30"/>
      <c r="AA29" s="30"/>
    </row>
    <row r="30" spans="1:27" ht="11.25" customHeight="1" x14ac:dyDescent="0.25">
      <c r="A30" s="140"/>
      <c r="B30" s="33" t="s">
        <v>97</v>
      </c>
      <c r="C30" s="33" t="s">
        <v>45</v>
      </c>
      <c r="D30" s="33" t="s">
        <v>104</v>
      </c>
      <c r="E30" s="33" t="s">
        <v>25</v>
      </c>
      <c r="F30" s="33" t="s">
        <v>25</v>
      </c>
      <c r="G30" s="32" t="s">
        <v>96</v>
      </c>
      <c r="H30" s="32" t="s">
        <v>90</v>
      </c>
      <c r="I30" s="32">
        <f>'MERCADO TE'!$U$27</f>
        <v>0</v>
      </c>
      <c r="J30" s="17"/>
      <c r="L30" s="30">
        <f>1 - CUSTOS!$M$29</f>
        <v>1</v>
      </c>
      <c r="M30" s="30">
        <f>1 - CUSTOS!$M$29</f>
        <v>1</v>
      </c>
      <c r="N30" s="30">
        <f>1 - CUSTOS!$M$29</f>
        <v>1</v>
      </c>
      <c r="O30" s="30">
        <f>1 - CUSTOS!$M$29</f>
        <v>1</v>
      </c>
      <c r="P30" s="30"/>
      <c r="Q30" s="30">
        <f>(1 - CUSTOS!$M$29)*1.06</f>
        <v>1.06</v>
      </c>
      <c r="R30" s="30"/>
      <c r="S30" s="30">
        <f>1 - CUSTOS!$M$29</f>
        <v>1</v>
      </c>
      <c r="T30" s="30">
        <f>1 - CUSTOS!$M$29</f>
        <v>1</v>
      </c>
      <c r="U30" s="30">
        <f>1 - CUSTOS!$M$29</f>
        <v>1</v>
      </c>
      <c r="V30" s="30"/>
      <c r="W30" s="30"/>
      <c r="X30" s="30"/>
      <c r="Y30" s="30">
        <f>1 - CUSTOS!$M$29</f>
        <v>1</v>
      </c>
      <c r="Z30" s="30"/>
      <c r="AA30" s="30"/>
    </row>
    <row r="31" spans="1:27" ht="11.25" customHeight="1" x14ac:dyDescent="0.25">
      <c r="A31" s="140"/>
      <c r="B31" s="140" t="s">
        <v>89</v>
      </c>
      <c r="C31" s="140" t="s">
        <v>45</v>
      </c>
      <c r="D31" s="140" t="s">
        <v>105</v>
      </c>
      <c r="E31" s="140" t="s">
        <v>25</v>
      </c>
      <c r="F31" s="140" t="s">
        <v>25</v>
      </c>
      <c r="G31" s="32" t="s">
        <v>91</v>
      </c>
      <c r="H31" s="32" t="s">
        <v>90</v>
      </c>
      <c r="I31" s="32">
        <f>'MERCADO TE'!$U$28</f>
        <v>0</v>
      </c>
      <c r="J31" s="17"/>
      <c r="L31" s="30">
        <f>1 - CUSTOS!$M$30</f>
        <v>1</v>
      </c>
      <c r="M31" s="30">
        <f>1 - CUSTOS!$M$30</f>
        <v>1</v>
      </c>
      <c r="N31" s="30">
        <f>1 - CUSTOS!$M$30</f>
        <v>1</v>
      </c>
      <c r="O31" s="30">
        <f>1 - CUSTOS!$M$30</f>
        <v>1</v>
      </c>
      <c r="P31" s="30"/>
      <c r="Q31" s="30">
        <f>(1 - CUSTOS!$M$30)*1.72</f>
        <v>1.72</v>
      </c>
      <c r="R31" s="30"/>
      <c r="S31" s="30">
        <f>1 - CUSTOS!$M$30</f>
        <v>1</v>
      </c>
      <c r="T31" s="30">
        <f>1 - CUSTOS!$M$30</f>
        <v>1</v>
      </c>
      <c r="U31" s="30">
        <f>1 - CUSTOS!$M$30</f>
        <v>1</v>
      </c>
      <c r="V31" s="30"/>
      <c r="W31" s="30"/>
      <c r="X31" s="30"/>
      <c r="Y31" s="30">
        <f>1 - CUSTOS!$M$30</f>
        <v>1</v>
      </c>
      <c r="Z31" s="30"/>
      <c r="AA31" s="30"/>
    </row>
    <row r="32" spans="1:27" ht="11.25" customHeight="1" x14ac:dyDescent="0.25">
      <c r="A32" s="140"/>
      <c r="B32" s="140"/>
      <c r="C32" s="140"/>
      <c r="D32" s="140"/>
      <c r="E32" s="140"/>
      <c r="F32" s="140"/>
      <c r="G32" s="32" t="s">
        <v>101</v>
      </c>
      <c r="H32" s="32" t="s">
        <v>90</v>
      </c>
      <c r="I32" s="32">
        <f>'MERCADO TE'!$U$29</f>
        <v>0</v>
      </c>
      <c r="J32" s="17"/>
      <c r="L32" s="30">
        <f>1 - CUSTOS!$M$30</f>
        <v>1</v>
      </c>
      <c r="M32" s="30">
        <f>1 - CUSTOS!$M$30</f>
        <v>1</v>
      </c>
      <c r="N32" s="30">
        <f>1 - CUSTOS!$M$30</f>
        <v>1</v>
      </c>
      <c r="O32" s="30">
        <f>1 - CUSTOS!$M$30</f>
        <v>1</v>
      </c>
      <c r="P32" s="30"/>
      <c r="Q32" s="30">
        <f>(1 - CUSTOS!$M$30)*1</f>
        <v>1</v>
      </c>
      <c r="R32" s="30"/>
      <c r="S32" s="30">
        <f>1 - CUSTOS!$M$30</f>
        <v>1</v>
      </c>
      <c r="T32" s="30">
        <f>1 - CUSTOS!$M$30</f>
        <v>1</v>
      </c>
      <c r="U32" s="30">
        <f>1 - CUSTOS!$M$30</f>
        <v>1</v>
      </c>
      <c r="V32" s="30"/>
      <c r="W32" s="30"/>
      <c r="X32" s="30"/>
      <c r="Y32" s="30">
        <f>1 - CUSTOS!$M$30</f>
        <v>1</v>
      </c>
      <c r="Z32" s="30"/>
      <c r="AA32" s="30"/>
    </row>
    <row r="33" spans="1:27" ht="11.25" customHeight="1" x14ac:dyDescent="0.25">
      <c r="A33" s="140"/>
      <c r="B33" s="140"/>
      <c r="C33" s="140"/>
      <c r="D33" s="140"/>
      <c r="E33" s="140"/>
      <c r="F33" s="140"/>
      <c r="G33" s="32" t="s">
        <v>92</v>
      </c>
      <c r="H33" s="32" t="s">
        <v>90</v>
      </c>
      <c r="I33" s="32">
        <f>'MERCADO TE'!$U$30</f>
        <v>0</v>
      </c>
      <c r="J33" s="17"/>
      <c r="L33" s="30">
        <f>1 - CUSTOS!$M$30</f>
        <v>1</v>
      </c>
      <c r="M33" s="30">
        <f>1 - CUSTOS!$M$30</f>
        <v>1</v>
      </c>
      <c r="N33" s="30">
        <f>1 - CUSTOS!$M$30</f>
        <v>1</v>
      </c>
      <c r="O33" s="30">
        <f>1 - CUSTOS!$M$30</f>
        <v>1</v>
      </c>
      <c r="P33" s="30"/>
      <c r="Q33" s="30">
        <f>(1 - CUSTOS!$M$30)*1</f>
        <v>1</v>
      </c>
      <c r="R33" s="30"/>
      <c r="S33" s="30">
        <f>1 - CUSTOS!$M$30</f>
        <v>1</v>
      </c>
      <c r="T33" s="30">
        <f>1 - CUSTOS!$M$30</f>
        <v>1</v>
      </c>
      <c r="U33" s="30">
        <f>1 - CUSTOS!$M$30</f>
        <v>1</v>
      </c>
      <c r="V33" s="30"/>
      <c r="W33" s="30"/>
      <c r="X33" s="30"/>
      <c r="Y33" s="30">
        <f>1 - CUSTOS!$M$30</f>
        <v>1</v>
      </c>
      <c r="Z33" s="30"/>
      <c r="AA33" s="30"/>
    </row>
    <row r="34" spans="1:27" ht="11.25" customHeight="1" x14ac:dyDescent="0.25">
      <c r="A34" s="140"/>
      <c r="B34" s="33" t="s">
        <v>97</v>
      </c>
      <c r="C34" s="33" t="s">
        <v>45</v>
      </c>
      <c r="D34" s="33" t="s">
        <v>105</v>
      </c>
      <c r="E34" s="33" t="s">
        <v>25</v>
      </c>
      <c r="F34" s="33" t="s">
        <v>25</v>
      </c>
      <c r="G34" s="32" t="s">
        <v>96</v>
      </c>
      <c r="H34" s="32" t="s">
        <v>90</v>
      </c>
      <c r="I34" s="32">
        <f>'MERCADO TE'!$U$31</f>
        <v>0</v>
      </c>
      <c r="J34" s="17"/>
      <c r="L34" s="30">
        <f>1 - CUSTOS!$M$30</f>
        <v>1</v>
      </c>
      <c r="M34" s="30">
        <f>1 - CUSTOS!$M$30</f>
        <v>1</v>
      </c>
      <c r="N34" s="30">
        <f>1 - CUSTOS!$M$30</f>
        <v>1</v>
      </c>
      <c r="O34" s="30">
        <f>1 - CUSTOS!$M$30</f>
        <v>1</v>
      </c>
      <c r="P34" s="30"/>
      <c r="Q34" s="30">
        <f>(1 - CUSTOS!$M$30)*1.06</f>
        <v>1.06</v>
      </c>
      <c r="R34" s="30"/>
      <c r="S34" s="30">
        <f>1 - CUSTOS!$M$30</f>
        <v>1</v>
      </c>
      <c r="T34" s="30">
        <f>1 - CUSTOS!$M$30</f>
        <v>1</v>
      </c>
      <c r="U34" s="30">
        <f>1 - CUSTOS!$M$30</f>
        <v>1</v>
      </c>
      <c r="V34" s="30"/>
      <c r="W34" s="30"/>
      <c r="X34" s="30"/>
      <c r="Y34" s="30">
        <f>1 - CUSTOS!$M$30</f>
        <v>1</v>
      </c>
      <c r="Z34" s="30"/>
      <c r="AA34" s="30"/>
    </row>
    <row r="35" spans="1:27" ht="11.25" customHeight="1" x14ac:dyDescent="0.25">
      <c r="A35" s="140"/>
      <c r="B35" s="140" t="s">
        <v>102</v>
      </c>
      <c r="C35" s="140" t="s">
        <v>45</v>
      </c>
      <c r="D35" s="33" t="s">
        <v>25</v>
      </c>
      <c r="E35" s="33" t="s">
        <v>25</v>
      </c>
      <c r="F35" s="33" t="s">
        <v>25</v>
      </c>
      <c r="G35" s="32" t="s">
        <v>96</v>
      </c>
      <c r="H35" s="32" t="s">
        <v>90</v>
      </c>
      <c r="I35" s="32">
        <f>'MERCADO TE'!$U$32</f>
        <v>0</v>
      </c>
      <c r="J35" s="17"/>
      <c r="L35" s="30">
        <f>1 - CUSTOS!$M$28</f>
        <v>1</v>
      </c>
      <c r="M35" s="30">
        <f>1 - CUSTOS!$M$28</f>
        <v>1</v>
      </c>
      <c r="N35" s="30">
        <f>1 - CUSTOS!$M$28</f>
        <v>1</v>
      </c>
      <c r="O35" s="30">
        <f>1 - CUSTOS!$M$28</f>
        <v>1</v>
      </c>
      <c r="P35" s="30"/>
      <c r="Q35" s="30">
        <f>(1 - CUSTOS!$M$28)*1.06</f>
        <v>1.06</v>
      </c>
      <c r="R35" s="30"/>
      <c r="S35" s="30">
        <f>1 - CUSTOS!$M$28</f>
        <v>1</v>
      </c>
      <c r="T35" s="30">
        <f>1 - CUSTOS!$M$28</f>
        <v>1</v>
      </c>
      <c r="U35" s="30">
        <f>1 - CUSTOS!$M$28</f>
        <v>1</v>
      </c>
      <c r="V35" s="30"/>
      <c r="W35" s="30"/>
      <c r="X35" s="30"/>
      <c r="Y35" s="30">
        <f>1 - CUSTOS!$M$28</f>
        <v>1</v>
      </c>
      <c r="Z35" s="30"/>
      <c r="AA35" s="30"/>
    </row>
    <row r="36" spans="1:27" ht="11.25" customHeight="1" x14ac:dyDescent="0.25">
      <c r="A36" s="140"/>
      <c r="B36" s="140"/>
      <c r="C36" s="140"/>
      <c r="D36" s="33" t="s">
        <v>104</v>
      </c>
      <c r="E36" s="33" t="s">
        <v>25</v>
      </c>
      <c r="F36" s="33" t="s">
        <v>25</v>
      </c>
      <c r="G36" s="32" t="s">
        <v>96</v>
      </c>
      <c r="H36" s="32" t="s">
        <v>90</v>
      </c>
      <c r="I36" s="32">
        <f>'MERCADO TE'!$U$33</f>
        <v>0</v>
      </c>
      <c r="J36" s="17"/>
      <c r="L36" s="30">
        <f>1 - CUSTOS!$M$29</f>
        <v>1</v>
      </c>
      <c r="M36" s="30">
        <f>1 - CUSTOS!$M$29</f>
        <v>1</v>
      </c>
      <c r="N36" s="30">
        <f>1 - CUSTOS!$M$29</f>
        <v>1</v>
      </c>
      <c r="O36" s="30">
        <f>1 - CUSTOS!$M$29</f>
        <v>1</v>
      </c>
      <c r="P36" s="30"/>
      <c r="Q36" s="30">
        <f>(1 - CUSTOS!$M$29)*1.06</f>
        <v>1.06</v>
      </c>
      <c r="R36" s="30"/>
      <c r="S36" s="30">
        <f>1 - CUSTOS!$M$29</f>
        <v>1</v>
      </c>
      <c r="T36" s="30">
        <f>1 - CUSTOS!$M$29</f>
        <v>1</v>
      </c>
      <c r="U36" s="30">
        <f>1 - CUSTOS!$M$29</f>
        <v>1</v>
      </c>
      <c r="V36" s="30"/>
      <c r="W36" s="30"/>
      <c r="X36" s="30"/>
      <c r="Y36" s="30">
        <f>1 - CUSTOS!$M$29</f>
        <v>1</v>
      </c>
      <c r="Z36" s="30"/>
      <c r="AA36" s="30"/>
    </row>
    <row r="37" spans="1:27" ht="11.25" customHeight="1" x14ac:dyDescent="0.25">
      <c r="A37" s="140"/>
      <c r="B37" s="140"/>
      <c r="C37" s="140"/>
      <c r="D37" s="33" t="s">
        <v>105</v>
      </c>
      <c r="E37" s="33" t="s">
        <v>25</v>
      </c>
      <c r="F37" s="33" t="s">
        <v>25</v>
      </c>
      <c r="G37" s="32" t="s">
        <v>96</v>
      </c>
      <c r="H37" s="32" t="s">
        <v>90</v>
      </c>
      <c r="I37" s="32">
        <f>'MERCADO TE'!$U$34</f>
        <v>0</v>
      </c>
      <c r="J37" s="17"/>
      <c r="L37" s="30">
        <f>1 - CUSTOS!$M$30</f>
        <v>1</v>
      </c>
      <c r="M37" s="30">
        <f>1 - CUSTOS!$M$30</f>
        <v>1</v>
      </c>
      <c r="N37" s="30">
        <f>1 - CUSTOS!$M$30</f>
        <v>1</v>
      </c>
      <c r="O37" s="30">
        <f>1 - CUSTOS!$M$30</f>
        <v>1</v>
      </c>
      <c r="P37" s="30"/>
      <c r="Q37" s="30">
        <f>(1 - CUSTOS!$M$30)*1.06</f>
        <v>1.06</v>
      </c>
      <c r="R37" s="30"/>
      <c r="S37" s="30">
        <f>1 - CUSTOS!$M$30</f>
        <v>1</v>
      </c>
      <c r="T37" s="30">
        <f>1 - CUSTOS!$M$30</f>
        <v>1</v>
      </c>
      <c r="U37" s="30">
        <f>1 - CUSTOS!$M$30</f>
        <v>1</v>
      </c>
      <c r="V37" s="30"/>
      <c r="W37" s="30"/>
      <c r="X37" s="30"/>
      <c r="Y37" s="30">
        <f>1 - CUSTOS!$M$30</f>
        <v>1</v>
      </c>
      <c r="Z37" s="30"/>
      <c r="AA37" s="30"/>
    </row>
    <row r="38" spans="1:27" ht="11.25" customHeight="1" x14ac:dyDescent="0.25">
      <c r="A38" s="140" t="s">
        <v>39</v>
      </c>
      <c r="B38" s="140" t="s">
        <v>89</v>
      </c>
      <c r="C38" s="140" t="s">
        <v>25</v>
      </c>
      <c r="D38" s="140" t="s">
        <v>25</v>
      </c>
      <c r="E38" s="140" t="s">
        <v>25</v>
      </c>
      <c r="F38" s="140" t="s">
        <v>25</v>
      </c>
      <c r="G38" s="32" t="s">
        <v>91</v>
      </c>
      <c r="H38" s="32" t="s">
        <v>90</v>
      </c>
      <c r="I38" s="32">
        <f>'MERCADO TE'!$U$35</f>
        <v>133.833</v>
      </c>
      <c r="J38" s="17"/>
      <c r="L38" s="30">
        <f>1 - CUSTOS!$M$31</f>
        <v>1</v>
      </c>
      <c r="M38" s="30">
        <f>1 - CUSTOS!$M$31</f>
        <v>1</v>
      </c>
      <c r="N38" s="30">
        <f>1 - CUSTOS!$M$31</f>
        <v>1</v>
      </c>
      <c r="O38" s="30">
        <f>1 - CUSTOS!$M$31</f>
        <v>1</v>
      </c>
      <c r="P38" s="30"/>
      <c r="Q38" s="30">
        <f>(1 - CUSTOS!$M$31)*1.72</f>
        <v>1.72</v>
      </c>
      <c r="R38" s="30"/>
      <c r="S38" s="30">
        <f>1 - CUSTOS!$M$31</f>
        <v>1</v>
      </c>
      <c r="T38" s="30">
        <f>1 - CUSTOS!$M$31</f>
        <v>1</v>
      </c>
      <c r="U38" s="30">
        <f>1 - CUSTOS!$M$31</f>
        <v>1</v>
      </c>
      <c r="V38" s="30"/>
      <c r="W38" s="30"/>
      <c r="X38" s="30"/>
      <c r="Y38" s="30">
        <f>1 - CUSTOS!$M$31</f>
        <v>1</v>
      </c>
      <c r="Z38" s="30"/>
      <c r="AA38" s="30"/>
    </row>
    <row r="39" spans="1:27" ht="11.25" customHeight="1" x14ac:dyDescent="0.25">
      <c r="A39" s="140"/>
      <c r="B39" s="140"/>
      <c r="C39" s="140"/>
      <c r="D39" s="140"/>
      <c r="E39" s="140"/>
      <c r="F39" s="140"/>
      <c r="G39" s="32" t="s">
        <v>101</v>
      </c>
      <c r="H39" s="32" t="s">
        <v>90</v>
      </c>
      <c r="I39" s="32">
        <f>'MERCADO TE'!$U$36</f>
        <v>132.79500000000002</v>
      </c>
      <c r="J39" s="17"/>
      <c r="L39" s="30">
        <f>1 - CUSTOS!$M$31</f>
        <v>1</v>
      </c>
      <c r="M39" s="30">
        <f>1 - CUSTOS!$M$31</f>
        <v>1</v>
      </c>
      <c r="N39" s="30">
        <f>1 - CUSTOS!$M$31</f>
        <v>1</v>
      </c>
      <c r="O39" s="30">
        <f>1 - CUSTOS!$M$31</f>
        <v>1</v>
      </c>
      <c r="P39" s="30"/>
      <c r="Q39" s="30">
        <f>(1 - CUSTOS!$M$31)*1</f>
        <v>1</v>
      </c>
      <c r="R39" s="30"/>
      <c r="S39" s="30">
        <f>1 - CUSTOS!$M$31</f>
        <v>1</v>
      </c>
      <c r="T39" s="30">
        <f>1 - CUSTOS!$M$31</f>
        <v>1</v>
      </c>
      <c r="U39" s="30">
        <f>1 - CUSTOS!$M$31</f>
        <v>1</v>
      </c>
      <c r="V39" s="30"/>
      <c r="W39" s="30"/>
      <c r="X39" s="30"/>
      <c r="Y39" s="30">
        <f>1 - CUSTOS!$M$31</f>
        <v>1</v>
      </c>
      <c r="Z39" s="30"/>
      <c r="AA39" s="30"/>
    </row>
    <row r="40" spans="1:27" ht="11.25" customHeight="1" x14ac:dyDescent="0.25">
      <c r="A40" s="140"/>
      <c r="B40" s="140"/>
      <c r="C40" s="140"/>
      <c r="D40" s="140"/>
      <c r="E40" s="140"/>
      <c r="F40" s="140"/>
      <c r="G40" s="32" t="s">
        <v>92</v>
      </c>
      <c r="H40" s="32" t="s">
        <v>90</v>
      </c>
      <c r="I40" s="32">
        <f>'MERCADO TE'!$U$37</f>
        <v>2117.7150000000001</v>
      </c>
      <c r="J40" s="17"/>
      <c r="L40" s="30">
        <f>1 - CUSTOS!$M$31</f>
        <v>1</v>
      </c>
      <c r="M40" s="30">
        <f>1 - CUSTOS!$M$31</f>
        <v>1</v>
      </c>
      <c r="N40" s="30">
        <f>1 - CUSTOS!$M$31</f>
        <v>1</v>
      </c>
      <c r="O40" s="30">
        <f>1 - CUSTOS!$M$31</f>
        <v>1</v>
      </c>
      <c r="P40" s="30"/>
      <c r="Q40" s="30">
        <f>(1 - CUSTOS!$M$31)*1</f>
        <v>1</v>
      </c>
      <c r="R40" s="30"/>
      <c r="S40" s="30">
        <f>1 - CUSTOS!$M$31</f>
        <v>1</v>
      </c>
      <c r="T40" s="30">
        <f>1 - CUSTOS!$M$31</f>
        <v>1</v>
      </c>
      <c r="U40" s="30">
        <f>1 - CUSTOS!$M$31</f>
        <v>1</v>
      </c>
      <c r="V40" s="30"/>
      <c r="W40" s="30"/>
      <c r="X40" s="30"/>
      <c r="Y40" s="30">
        <f>1 - CUSTOS!$M$31</f>
        <v>1</v>
      </c>
      <c r="Z40" s="30"/>
      <c r="AA40" s="30"/>
    </row>
    <row r="41" spans="1:27" ht="11.25" customHeight="1" x14ac:dyDescent="0.25">
      <c r="A41" s="140"/>
      <c r="B41" s="33" t="s">
        <v>97</v>
      </c>
      <c r="C41" s="33" t="s">
        <v>25</v>
      </c>
      <c r="D41" s="33" t="s">
        <v>25</v>
      </c>
      <c r="E41" s="33" t="s">
        <v>25</v>
      </c>
      <c r="F41" s="33" t="s">
        <v>25</v>
      </c>
      <c r="G41" s="32" t="s">
        <v>96</v>
      </c>
      <c r="H41" s="32" t="s">
        <v>90</v>
      </c>
      <c r="I41" s="32">
        <f>'MERCADO TE'!$U$38</f>
        <v>505530.49800000002</v>
      </c>
      <c r="J41" s="17"/>
      <c r="L41" s="30">
        <f>1 - CUSTOS!$M$31</f>
        <v>1</v>
      </c>
      <c r="M41" s="30">
        <f>1 - CUSTOS!$M$31</f>
        <v>1</v>
      </c>
      <c r="N41" s="30">
        <f>1 - CUSTOS!$M$31</f>
        <v>1</v>
      </c>
      <c r="O41" s="30">
        <f>1 - CUSTOS!$M$31</f>
        <v>1</v>
      </c>
      <c r="P41" s="30"/>
      <c r="Q41" s="30">
        <f>(1 - CUSTOS!$M$31)*1.06</f>
        <v>1.06</v>
      </c>
      <c r="R41" s="30"/>
      <c r="S41" s="30">
        <f>1 - CUSTOS!$M$31</f>
        <v>1</v>
      </c>
      <c r="T41" s="30">
        <f>1 - CUSTOS!$M$31</f>
        <v>1</v>
      </c>
      <c r="U41" s="30">
        <f>1 - CUSTOS!$M$31</f>
        <v>1</v>
      </c>
      <c r="V41" s="30"/>
      <c r="W41" s="30"/>
      <c r="X41" s="30"/>
      <c r="Y41" s="30">
        <f>1 - CUSTOS!$M$31</f>
        <v>1</v>
      </c>
      <c r="Z41" s="30"/>
      <c r="AA41" s="30"/>
    </row>
    <row r="42" spans="1:27" ht="11.25" customHeight="1" x14ac:dyDescent="0.25">
      <c r="A42" s="140"/>
      <c r="B42" s="33" t="s">
        <v>102</v>
      </c>
      <c r="C42" s="33" t="s">
        <v>25</v>
      </c>
      <c r="D42" s="33" t="s">
        <v>25</v>
      </c>
      <c r="E42" s="33" t="s">
        <v>25</v>
      </c>
      <c r="F42" s="33" t="s">
        <v>25</v>
      </c>
      <c r="G42" s="32" t="s">
        <v>96</v>
      </c>
      <c r="H42" s="32" t="s">
        <v>90</v>
      </c>
      <c r="I42" s="32">
        <f>'MERCADO TE'!$U$39</f>
        <v>0</v>
      </c>
      <c r="J42" s="17"/>
      <c r="L42" s="30">
        <f>1 - CUSTOS!$M$31</f>
        <v>1</v>
      </c>
      <c r="M42" s="30">
        <f>1 - CUSTOS!$M$31</f>
        <v>1</v>
      </c>
      <c r="N42" s="30">
        <f>1 - CUSTOS!$M$31</f>
        <v>1</v>
      </c>
      <c r="O42" s="30">
        <f>1 - CUSTOS!$M$31</f>
        <v>1</v>
      </c>
      <c r="P42" s="30"/>
      <c r="Q42" s="30">
        <f>(1 - CUSTOS!$M$31)*1.06</f>
        <v>1.06</v>
      </c>
      <c r="R42" s="30"/>
      <c r="S42" s="30">
        <f>1 - CUSTOS!$M$31</f>
        <v>1</v>
      </c>
      <c r="T42" s="30">
        <f>1 - CUSTOS!$M$31</f>
        <v>1</v>
      </c>
      <c r="U42" s="30">
        <f>1 - CUSTOS!$M$31</f>
        <v>1</v>
      </c>
      <c r="V42" s="30"/>
      <c r="W42" s="30"/>
      <c r="X42" s="30"/>
      <c r="Y42" s="30">
        <f>1 - CUSTOS!$M$31</f>
        <v>1</v>
      </c>
      <c r="Z42" s="30"/>
      <c r="AA42" s="30"/>
    </row>
    <row r="43" spans="1:27" ht="11.25" customHeight="1" x14ac:dyDescent="0.25">
      <c r="A43" s="140" t="s">
        <v>47</v>
      </c>
      <c r="B43" s="140" t="s">
        <v>97</v>
      </c>
      <c r="C43" s="140" t="s">
        <v>48</v>
      </c>
      <c r="D43" s="33" t="s">
        <v>49</v>
      </c>
      <c r="E43" s="33" t="s">
        <v>25</v>
      </c>
      <c r="F43" s="33" t="s">
        <v>25</v>
      </c>
      <c r="G43" s="32" t="s">
        <v>96</v>
      </c>
      <c r="H43" s="32" t="s">
        <v>90</v>
      </c>
      <c r="I43" s="32">
        <f>'MERCADO TE'!$U$40</f>
        <v>259602.97000000003</v>
      </c>
      <c r="J43" s="17"/>
      <c r="L43" s="30">
        <f>1 - CUSTOS!$M$32</f>
        <v>0.55000000000000004</v>
      </c>
      <c r="M43" s="30">
        <f>1 - CUSTOS!$M$32</f>
        <v>0.55000000000000004</v>
      </c>
      <c r="N43" s="30">
        <f>1 - CUSTOS!$M$32</f>
        <v>0.55000000000000004</v>
      </c>
      <c r="O43" s="30">
        <f>1 - CUSTOS!$M$32</f>
        <v>0.55000000000000004</v>
      </c>
      <c r="P43" s="30"/>
      <c r="Q43" s="30">
        <f>(1 - CUSTOS!$M$32)*1.06</f>
        <v>0.58300000000000007</v>
      </c>
      <c r="R43" s="30"/>
      <c r="S43" s="30">
        <f>1 - CUSTOS!$M$32</f>
        <v>0.55000000000000004</v>
      </c>
      <c r="T43" s="30">
        <f>1 - CUSTOS!$M$32</f>
        <v>0.55000000000000004</v>
      </c>
      <c r="U43" s="30">
        <f>1 - CUSTOS!$M$32</f>
        <v>0.55000000000000004</v>
      </c>
      <c r="V43" s="30"/>
      <c r="W43" s="30"/>
      <c r="X43" s="30"/>
      <c r="Y43" s="30">
        <f>1 - CUSTOS!$M$32</f>
        <v>0.55000000000000004</v>
      </c>
      <c r="Z43" s="30"/>
      <c r="AA43" s="30"/>
    </row>
    <row r="44" spans="1:27" ht="11.25" customHeight="1" x14ac:dyDescent="0.25">
      <c r="A44" s="140"/>
      <c r="B44" s="140"/>
      <c r="C44" s="140"/>
      <c r="D44" s="32" t="s">
        <v>106</v>
      </c>
      <c r="E44" s="32" t="s">
        <v>25</v>
      </c>
      <c r="F44" s="32" t="s">
        <v>25</v>
      </c>
      <c r="G44" s="32" t="s">
        <v>96</v>
      </c>
      <c r="H44" s="32" t="s">
        <v>90</v>
      </c>
      <c r="I44" s="32">
        <f>'MERCADO TE'!$U$41</f>
        <v>0</v>
      </c>
      <c r="J44" s="17"/>
      <c r="L44" s="30">
        <f>1 - CUSTOS!$M$33</f>
        <v>0.6</v>
      </c>
      <c r="M44" s="30">
        <f>1 - CUSTOS!$M$33</f>
        <v>0.6</v>
      </c>
      <c r="N44" s="30">
        <f>1 - CUSTOS!$M$33</f>
        <v>0.6</v>
      </c>
      <c r="O44" s="30">
        <f>1 - CUSTOS!$M$33</f>
        <v>0.6</v>
      </c>
      <c r="P44" s="30"/>
      <c r="Q44" s="30">
        <f>(1 - CUSTOS!$M$33)*1.06</f>
        <v>0.63600000000000001</v>
      </c>
      <c r="R44" s="30"/>
      <c r="S44" s="30">
        <f>1 - CUSTOS!$M$33</f>
        <v>0.6</v>
      </c>
      <c r="T44" s="30">
        <f>1 - CUSTOS!$M$33</f>
        <v>0.6</v>
      </c>
      <c r="U44" s="30">
        <f>1 - CUSTOS!$M$33</f>
        <v>0.6</v>
      </c>
      <c r="V44" s="30"/>
      <c r="W44" s="30"/>
      <c r="X44" s="30"/>
      <c r="Y44" s="30">
        <f>1 - CUSTOS!$M$33</f>
        <v>0.6</v>
      </c>
      <c r="Z44" s="30"/>
      <c r="AA44" s="30"/>
    </row>
    <row r="46" spans="1:27" ht="11.25" customHeight="1" x14ac:dyDescent="0.25">
      <c r="K46" s="35" t="s">
        <v>876</v>
      </c>
      <c r="L46" s="30">
        <f t="shared" ref="L46:AA46" si="0">SUMPRODUCT($I$5:$I$44,L$5:L$44)</f>
        <v>3136748.6165</v>
      </c>
      <c r="M46" s="30">
        <f t="shared" si="0"/>
        <v>3136748.6165</v>
      </c>
      <c r="N46" s="30">
        <f t="shared" si="0"/>
        <v>3136748.6165</v>
      </c>
      <c r="O46" s="30">
        <f t="shared" si="0"/>
        <v>3136748.6165</v>
      </c>
      <c r="P46" s="30">
        <f t="shared" si="0"/>
        <v>0</v>
      </c>
      <c r="Q46" s="30">
        <f t="shared" si="0"/>
        <v>3312001.7861899994</v>
      </c>
      <c r="R46" s="30">
        <f t="shared" si="0"/>
        <v>0</v>
      </c>
      <c r="S46" s="30">
        <f t="shared" si="0"/>
        <v>3136748.6165</v>
      </c>
      <c r="T46" s="30">
        <f t="shared" si="0"/>
        <v>3136748.6165</v>
      </c>
      <c r="U46" s="30">
        <f t="shared" si="0"/>
        <v>3136748.6165</v>
      </c>
      <c r="V46" s="30">
        <f t="shared" si="0"/>
        <v>0</v>
      </c>
      <c r="W46" s="30">
        <f t="shared" si="0"/>
        <v>0</v>
      </c>
      <c r="X46" s="30">
        <f t="shared" si="0"/>
        <v>0</v>
      </c>
      <c r="Y46" s="30">
        <f t="shared" si="0"/>
        <v>3136748.6165</v>
      </c>
      <c r="Z46" s="30">
        <f t="shared" si="0"/>
        <v>0</v>
      </c>
      <c r="AA46" s="30">
        <f t="shared" si="0"/>
        <v>0</v>
      </c>
    </row>
    <row r="47" spans="1:27" ht="11.25" customHeight="1" x14ac:dyDescent="0.25">
      <c r="K47" s="35" t="s">
        <v>795</v>
      </c>
      <c r="L47" s="30">
        <f>CUSTOS!$D$30</f>
        <v>8350221.3712038137</v>
      </c>
      <c r="M47" s="30">
        <f>CUSTOS!$D$31</f>
        <v>48621617.719999999</v>
      </c>
      <c r="N47" s="30">
        <f>CUSTOS!$D$32</f>
        <v>0</v>
      </c>
      <c r="O47" s="30">
        <f>CUSTOS!$D$33</f>
        <v>84968733.207816899</v>
      </c>
      <c r="P47" s="30">
        <f>CUSTOS!$D$34</f>
        <v>141940572.29902071</v>
      </c>
      <c r="Q47" s="30">
        <f>CUSTOS!$D$35</f>
        <v>685697394.69014406</v>
      </c>
      <c r="R47" s="30">
        <f>CUSTOS!$D$36</f>
        <v>685697394.69014406</v>
      </c>
      <c r="S47" s="30">
        <f>CUSTOS!$D$37</f>
        <v>0</v>
      </c>
      <c r="T47" s="30">
        <f>CUSTOS!$D$38</f>
        <v>0</v>
      </c>
      <c r="U47" s="30">
        <f>CUSTOS!$D$39</f>
        <v>0</v>
      </c>
      <c r="V47" s="30">
        <f>CUSTOS!$D$40</f>
        <v>0</v>
      </c>
      <c r="W47" s="30">
        <f>CUSTOS!$D$41</f>
        <v>0</v>
      </c>
      <c r="X47" s="30">
        <f>CUSTOS!$D$42</f>
        <v>0</v>
      </c>
      <c r="Y47" s="30">
        <f>CUSTOS!$D$43</f>
        <v>20152207.834983878</v>
      </c>
      <c r="Z47" s="30">
        <f>CUSTOS!$D$44</f>
        <v>20152207.834983878</v>
      </c>
      <c r="AA47" s="30">
        <f>CUSTOS!$D$45</f>
        <v>847790174.82414865</v>
      </c>
    </row>
    <row r="48" spans="1:27" ht="11.25" customHeight="1" x14ac:dyDescent="0.25">
      <c r="K48" s="35" t="s">
        <v>796</v>
      </c>
      <c r="L48" s="30">
        <f>CUSTOS!$E$30</f>
        <v>0</v>
      </c>
      <c r="M48" s="30">
        <f>CUSTOS!$E$31</f>
        <v>-99279563.803015977</v>
      </c>
      <c r="N48" s="30">
        <f>CUSTOS!$E$32</f>
        <v>0</v>
      </c>
      <c r="O48" s="30">
        <f>CUSTOS!$E$33</f>
        <v>9797111.8265378717</v>
      </c>
      <c r="P48" s="30">
        <f>CUSTOS!$E$34</f>
        <v>-89482451.9764781</v>
      </c>
      <c r="Q48" s="30">
        <f>CUSTOS!$E$35</f>
        <v>-42136007.190047301</v>
      </c>
      <c r="R48" s="30">
        <f>CUSTOS!$E$36</f>
        <v>-42136007.190047301</v>
      </c>
      <c r="S48" s="30">
        <f>CUSTOS!$E$37</f>
        <v>0</v>
      </c>
      <c r="T48" s="30">
        <f>CUSTOS!$E$38</f>
        <v>0</v>
      </c>
      <c r="U48" s="30">
        <f>CUSTOS!$E$39</f>
        <v>0</v>
      </c>
      <c r="V48" s="30">
        <f>CUSTOS!$E$40</f>
        <v>0</v>
      </c>
      <c r="W48" s="30">
        <f>CUSTOS!$E$41</f>
        <v>1060343.2101283697</v>
      </c>
      <c r="X48" s="30">
        <f>CUSTOS!$E$42</f>
        <v>1060343.2101283697</v>
      </c>
      <c r="Y48" s="30">
        <f>CUSTOS!$E$43</f>
        <v>-1238350.2997177325</v>
      </c>
      <c r="Z48" s="30">
        <f>CUSTOS!$E$44</f>
        <v>-1238350.2997177325</v>
      </c>
      <c r="AA48" s="30">
        <f>CUSTOS!$E$45</f>
        <v>-131796466.25611477</v>
      </c>
    </row>
    <row r="49" spans="11:27" ht="11.25" customHeight="1" x14ac:dyDescent="0.25">
      <c r="K49" s="35" t="s">
        <v>797</v>
      </c>
      <c r="L49" s="30">
        <f>CUSTOS!$F$30</f>
        <v>0</v>
      </c>
      <c r="M49" s="30">
        <f>CUSTOS!$F$31</f>
        <v>111189301.44419999</v>
      </c>
      <c r="N49" s="30">
        <f>CUSTOS!$F$32</f>
        <v>0</v>
      </c>
      <c r="O49" s="30">
        <f>CUSTOS!$F$33</f>
        <v>516594.31339518295</v>
      </c>
      <c r="P49" s="30">
        <f>CUSTOS!$F$34</f>
        <v>111705895.75759518</v>
      </c>
      <c r="Q49" s="30">
        <f>CUSTOS!$F$35</f>
        <v>58265489.716275245</v>
      </c>
      <c r="R49" s="30">
        <f>CUSTOS!$F$36</f>
        <v>58265489.716275245</v>
      </c>
      <c r="S49" s="30">
        <f>CUSTOS!$F$37</f>
        <v>0</v>
      </c>
      <c r="T49" s="30">
        <f>CUSTOS!$F$38</f>
        <v>0</v>
      </c>
      <c r="U49" s="30">
        <f>CUSTOS!$F$39</f>
        <v>0</v>
      </c>
      <c r="V49" s="30">
        <f>CUSTOS!$F$40</f>
        <v>0</v>
      </c>
      <c r="W49" s="30">
        <f>CUSTOS!$F$41</f>
        <v>0</v>
      </c>
      <c r="X49" s="30">
        <f>CUSTOS!$F$42</f>
        <v>0</v>
      </c>
      <c r="Y49" s="30">
        <f>CUSTOS!$F$43</f>
        <v>1712385.4742077403</v>
      </c>
      <c r="Z49" s="30">
        <f>CUSTOS!$F$44</f>
        <v>1712385.4742077403</v>
      </c>
      <c r="AA49" s="30">
        <f>CUSTOS!$F$45</f>
        <v>171683770.94807816</v>
      </c>
    </row>
    <row r="50" spans="11:27" ht="11.25" customHeight="1" x14ac:dyDescent="0.25">
      <c r="K50" s="35" t="s">
        <v>877</v>
      </c>
      <c r="L50" s="30">
        <f>IF(SUMPRODUCT($I$5:$I$44,$L$5:$L$44)&lt;&gt;0,L47/SUMPRODUCT($I$5:$I$44,$L$5:$L$44),0)</f>
        <v>2.6620626617255141</v>
      </c>
      <c r="M50" s="30">
        <f>IF(SUMPRODUCT($I$5:$I$44,$M$5:$M$44)&lt;&gt;0,M47/SUMPRODUCT($I$5:$I$44,$M$5:$M$44),0)</f>
        <v>15.500642118478797</v>
      </c>
      <c r="N50" s="30">
        <f>IF(SUMPRODUCT($I$5:$I$44,$N$5:$N$44)&lt;&gt;0,N47/SUMPRODUCT($I$5:$I$44,$N$5:$N$44),0)</f>
        <v>0</v>
      </c>
      <c r="O50" s="30">
        <f>IF(SUMPRODUCT($I$5:$I$44,$O$5:$O$44)&lt;&gt;0,O47/SUMPRODUCT($I$5:$I$44,$O$5:$O$44),0)</f>
        <v>27.08815515558446</v>
      </c>
      <c r="P50" s="30"/>
      <c r="Q50" s="30">
        <f>IF((CUSTOS!$M$12-CUSTOS!$M$13)&lt;&gt;0,(CUSTOS!$M$12*CUSTOS!$M$14)/(CUSTOS!$M$12-CUSTOS!$M$13),0)</f>
        <v>214.45483025322869</v>
      </c>
      <c r="R50" s="30"/>
      <c r="S50" s="30">
        <f>IF(SUMPRODUCT($I$5:$I$44,$S$5:$S$44)&lt;&gt;0,S47/SUMPRODUCT($I$5:$I$44,$S$5:$S$44),0)</f>
        <v>0</v>
      </c>
      <c r="T50" s="30">
        <f>IF(SUMPRODUCT($I$5:$I$44,$T$5:$T$44)&lt;&gt;0,T47/SUMPRODUCT($I$5:$I$44,$T$5:$T$44),0)</f>
        <v>0</v>
      </c>
      <c r="U50" s="30">
        <f>IF(SUMPRODUCT($I$5:$I$44,$U$5:$U$44)&lt;&gt;0,U47/SUMPRODUCT($I$5:$I$44,$U$5:$U$44),0)</f>
        <v>0</v>
      </c>
      <c r="V50" s="30"/>
      <c r="W50" s="30">
        <f>IF(SUMPRODUCT($I$5:$I$44,$W$5:$W$44)&lt;&gt;0,W47/SUMPRODUCT($I$5:$I$44,$W$5:$W$44),0)</f>
        <v>0</v>
      </c>
      <c r="X50" s="30"/>
      <c r="Y50" s="30">
        <f>IF(SUMPRODUCT($I$5:$I$44,$Y$5:$Y$44)&lt;&gt;0,Y47/SUMPRODUCT($I$5:$I$44,$Y$5:$Y$44),0)</f>
        <v>6.4245530320723674</v>
      </c>
      <c r="Z50" s="30"/>
      <c r="AA50" s="30"/>
    </row>
    <row r="51" spans="11:27" ht="11.25" customHeight="1" x14ac:dyDescent="0.25">
      <c r="K51" s="35" t="s">
        <v>878</v>
      </c>
      <c r="L51" s="30">
        <f>IF(L46&lt;&gt;0,(L47-L50*0)/(L46-0),0)</f>
        <v>2.6620626617255141</v>
      </c>
      <c r="M51" s="30">
        <f>IF(M46&lt;&gt;0,(M47-M50*0)/(M46-0),0)</f>
        <v>15.500642118478797</v>
      </c>
      <c r="N51" s="30">
        <f>IF(N46&lt;&gt;0,(N47-N50*0)/(N46-0),0)</f>
        <v>0</v>
      </c>
      <c r="O51" s="30">
        <f>IF(O46&lt;&gt;0,(O47-O50*0)/(O46-0),0)</f>
        <v>27.08815515558446</v>
      </c>
      <c r="P51" s="30"/>
      <c r="Q51" s="30">
        <f>IF(Q46&lt;&gt;0,(Q47-Q50*0)/(Q46-0),0)</f>
        <v>207.03412587193807</v>
      </c>
      <c r="R51" s="30"/>
      <c r="S51" s="30">
        <f>IF(S46&lt;&gt;0,(S47-S50*0)/(S46-0),0)</f>
        <v>0</v>
      </c>
      <c r="T51" s="30">
        <f>IF(T46&lt;&gt;0,(T47-T50*0)/(T46-0),0)</f>
        <v>0</v>
      </c>
      <c r="U51" s="30">
        <f>IF(U46&lt;&gt;0,(U47-U50*0)/(U46-0),0)</f>
        <v>0</v>
      </c>
      <c r="V51" s="30"/>
      <c r="W51" s="30">
        <f>IF(W46&lt;&gt;0,(W47-W50*0)/(W46-0),0)</f>
        <v>0</v>
      </c>
      <c r="X51" s="30"/>
      <c r="Y51" s="30">
        <f>IF(Y46&lt;&gt;0,(Y47-Y50*0)/(Y46-0),0)</f>
        <v>6.4245530320723674</v>
      </c>
      <c r="Z51" s="30"/>
      <c r="AA51" s="30"/>
    </row>
    <row r="52" spans="11:27" ht="11.25" customHeight="1" x14ac:dyDescent="0.25">
      <c r="K52" s="35" t="s">
        <v>879</v>
      </c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</sheetData>
  <mergeCells count="67"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E38:E40"/>
    <mergeCell ref="F38:F40"/>
    <mergeCell ref="A43:A44"/>
    <mergeCell ref="B43:B44"/>
    <mergeCell ref="C43:C44"/>
    <mergeCell ref="B35:B37"/>
    <mergeCell ref="C35:C37"/>
    <mergeCell ref="A38:A42"/>
    <mergeCell ref="B38:B40"/>
    <mergeCell ref="C38:C40"/>
    <mergeCell ref="D38:D40"/>
    <mergeCell ref="F27:F29"/>
    <mergeCell ref="B31:B33"/>
    <mergeCell ref="C31:C33"/>
    <mergeCell ref="D31:D33"/>
    <mergeCell ref="E31:E33"/>
    <mergeCell ref="F31:F33"/>
    <mergeCell ref="A23:A37"/>
    <mergeCell ref="B23:B25"/>
    <mergeCell ref="C23:C25"/>
    <mergeCell ref="D23:D25"/>
    <mergeCell ref="E23:E25"/>
    <mergeCell ref="F23:F25"/>
    <mergeCell ref="B27:B29"/>
    <mergeCell ref="C27:C29"/>
    <mergeCell ref="D27:D29"/>
    <mergeCell ref="E27:E29"/>
    <mergeCell ref="A10:A22"/>
    <mergeCell ref="B10:B12"/>
    <mergeCell ref="C10:C12"/>
    <mergeCell ref="D10:D12"/>
    <mergeCell ref="E10:E12"/>
    <mergeCell ref="F10:F12"/>
    <mergeCell ref="B13:B17"/>
    <mergeCell ref="C13:C17"/>
    <mergeCell ref="B18:B22"/>
    <mergeCell ref="C18:C22"/>
    <mergeCell ref="F7:F8"/>
    <mergeCell ref="A5:A6"/>
    <mergeCell ref="B5:B6"/>
    <mergeCell ref="C5:C6"/>
    <mergeCell ref="D5:D6"/>
    <mergeCell ref="E5:E6"/>
    <mergeCell ref="F5:F6"/>
    <mergeCell ref="A7:A9"/>
    <mergeCell ref="B7:B8"/>
    <mergeCell ref="C7:C8"/>
    <mergeCell ref="D7:D8"/>
    <mergeCell ref="E7:E8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9CAE3-DB1C-45CC-B559-5B5D6E8B5CB5}">
  <dimension ref="A1:AA52"/>
  <sheetViews>
    <sheetView showGridLines="0" topLeftCell="K1" workbookViewId="0">
      <selection activeCell="AA46" sqref="AA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7109375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4" width="10" style="9" bestFit="1" customWidth="1"/>
    <col min="25" max="25" width="11" style="9" bestFit="1" customWidth="1"/>
    <col min="26" max="26" width="10.85546875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41" t="s">
        <v>80</v>
      </c>
      <c r="B1" s="141" t="s">
        <v>81</v>
      </c>
      <c r="C1" s="141" t="s">
        <v>82</v>
      </c>
      <c r="D1" s="141" t="s">
        <v>83</v>
      </c>
      <c r="E1" s="141" t="s">
        <v>84</v>
      </c>
      <c r="F1" s="141" t="s">
        <v>15</v>
      </c>
      <c r="G1" s="141" t="s">
        <v>86</v>
      </c>
      <c r="H1" s="141" t="s">
        <v>87</v>
      </c>
      <c r="I1" s="141" t="s">
        <v>854</v>
      </c>
      <c r="J1" s="130"/>
      <c r="L1" s="142" t="s">
        <v>880</v>
      </c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30"/>
      <c r="L2" s="142" t="s">
        <v>782</v>
      </c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30"/>
      <c r="L3" s="142" t="s">
        <v>755</v>
      </c>
      <c r="M3" s="142"/>
      <c r="N3" s="142"/>
      <c r="O3" s="142"/>
      <c r="P3" s="142"/>
      <c r="Q3" s="142" t="s">
        <v>785</v>
      </c>
      <c r="R3" s="142"/>
      <c r="S3" s="142" t="s">
        <v>764</v>
      </c>
      <c r="T3" s="142"/>
      <c r="U3" s="142"/>
      <c r="V3" s="142"/>
      <c r="W3" s="142" t="s">
        <v>774</v>
      </c>
      <c r="X3" s="142"/>
      <c r="Y3" s="142" t="s">
        <v>777</v>
      </c>
      <c r="Z3" s="142"/>
      <c r="AA3" s="142" t="s">
        <v>763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30"/>
      <c r="L4" s="34" t="s">
        <v>757</v>
      </c>
      <c r="M4" s="34" t="s">
        <v>783</v>
      </c>
      <c r="N4" s="34" t="s">
        <v>784</v>
      </c>
      <c r="O4" s="34" t="s">
        <v>842</v>
      </c>
      <c r="P4" s="34" t="s">
        <v>763</v>
      </c>
      <c r="Q4" s="34" t="s">
        <v>786</v>
      </c>
      <c r="R4" s="34" t="s">
        <v>763</v>
      </c>
      <c r="S4" s="34" t="s">
        <v>787</v>
      </c>
      <c r="T4" s="34" t="s">
        <v>788</v>
      </c>
      <c r="U4" s="34" t="s">
        <v>789</v>
      </c>
      <c r="V4" s="34" t="s">
        <v>763</v>
      </c>
      <c r="W4" s="34" t="s">
        <v>775</v>
      </c>
      <c r="X4" s="34" t="s">
        <v>763</v>
      </c>
      <c r="Y4" s="34" t="s">
        <v>790</v>
      </c>
      <c r="Z4" s="34" t="s">
        <v>763</v>
      </c>
      <c r="AA4" s="143"/>
    </row>
    <row r="5" spans="1:27" ht="11.25" customHeight="1" x14ac:dyDescent="0.25">
      <c r="A5" s="140" t="s">
        <v>41</v>
      </c>
      <c r="B5" s="140" t="s">
        <v>89</v>
      </c>
      <c r="C5" s="140" t="s">
        <v>25</v>
      </c>
      <c r="D5" s="140" t="s">
        <v>25</v>
      </c>
      <c r="E5" s="140" t="s">
        <v>25</v>
      </c>
      <c r="F5" s="140" t="s">
        <v>25</v>
      </c>
      <c r="G5" s="32" t="s">
        <v>91</v>
      </c>
      <c r="H5" s="32" t="s">
        <v>90</v>
      </c>
      <c r="I5" s="32">
        <f>'MERCADO TE'!$U$2</f>
        <v>3168.23</v>
      </c>
      <c r="J5" s="17"/>
      <c r="L5" s="30">
        <f>'TR TE'!$L$5*'TR TE'!$L$51</f>
        <v>2.6620626617255141</v>
      </c>
      <c r="M5" s="30">
        <f>'TR TE'!$M$5*'TR TE'!$M$51</f>
        <v>15.500642118478797</v>
      </c>
      <c r="N5" s="30">
        <f>'TR TE'!$N$5*'TR TE'!$N$51</f>
        <v>0</v>
      </c>
      <c r="O5" s="30">
        <f>'TR TE'!$O$5*'TR TE'!$O$51</f>
        <v>27.08815515558446</v>
      </c>
      <c r="P5" s="30">
        <f>SUM($L$5:$O$5)</f>
        <v>45.250859935788768</v>
      </c>
      <c r="Q5" s="30">
        <f>'TR TE'!$Q$5*'TR TE'!$Q$51</f>
        <v>356.09869649973348</v>
      </c>
      <c r="R5" s="30">
        <f>SUM($Q$5:$Q$5)</f>
        <v>356.09869649973348</v>
      </c>
      <c r="S5" s="30">
        <f>'TR TE'!$S$5*'TR TE'!$S$51</f>
        <v>0</v>
      </c>
      <c r="T5" s="30">
        <f>'TR TE'!$T$5*'TR TE'!$T$51</f>
        <v>0</v>
      </c>
      <c r="U5" s="30">
        <f>'TR TE'!$U$5*'TR TE'!$U$51</f>
        <v>0</v>
      </c>
      <c r="V5" s="30">
        <f>SUM($S$5:$U$5)</f>
        <v>0</v>
      </c>
      <c r="W5" s="30"/>
      <c r="X5" s="30">
        <f>SUM($W$5:$W$5)</f>
        <v>0</v>
      </c>
      <c r="Y5" s="30">
        <f>'TR TE'!$Y$5*'TR TE'!$Y$51</f>
        <v>6.4245530320723674</v>
      </c>
      <c r="Z5" s="30">
        <f>SUM($Y$5:$Y$5)</f>
        <v>6.4245530320723674</v>
      </c>
      <c r="AA5" s="30">
        <f>SUMIF($L$4:$Z$4,"SUBTOTAL",$L$5:$Z$5)</f>
        <v>407.7741094675946</v>
      </c>
    </row>
    <row r="6" spans="1:27" ht="11.25" customHeight="1" x14ac:dyDescent="0.25">
      <c r="A6" s="140"/>
      <c r="B6" s="140"/>
      <c r="C6" s="140"/>
      <c r="D6" s="140"/>
      <c r="E6" s="140"/>
      <c r="F6" s="140"/>
      <c r="G6" s="32" t="s">
        <v>92</v>
      </c>
      <c r="H6" s="32" t="s">
        <v>90</v>
      </c>
      <c r="I6" s="32">
        <f>'MERCADO TE'!$U$3</f>
        <v>107910.84700000001</v>
      </c>
      <c r="J6" s="17"/>
      <c r="L6" s="30">
        <f>'TR TE'!$L$6*'TR TE'!$L$51</f>
        <v>2.6620626617255141</v>
      </c>
      <c r="M6" s="30">
        <f>'TR TE'!$M$6*'TR TE'!$M$51</f>
        <v>15.500642118478797</v>
      </c>
      <c r="N6" s="30">
        <f>'TR TE'!$N$6*'TR TE'!$N$51</f>
        <v>0</v>
      </c>
      <c r="O6" s="30">
        <f>'TR TE'!$O$6*'TR TE'!$O$51</f>
        <v>27.08815515558446</v>
      </c>
      <c r="P6" s="30">
        <f>SUM($L$6:$O$6)</f>
        <v>45.250859935788768</v>
      </c>
      <c r="Q6" s="30">
        <f>'TR TE'!$Q$6*'TR TE'!$Q$51</f>
        <v>207.03412587193807</v>
      </c>
      <c r="R6" s="30">
        <f>SUM($Q$6:$Q$6)</f>
        <v>207.03412587193807</v>
      </c>
      <c r="S6" s="30">
        <f>'TR TE'!$S$6*'TR TE'!$S$51</f>
        <v>0</v>
      </c>
      <c r="T6" s="30">
        <f>'TR TE'!$T$6*'TR TE'!$T$51</f>
        <v>0</v>
      </c>
      <c r="U6" s="30">
        <f>'TR TE'!$U$6*'TR TE'!$U$51</f>
        <v>0</v>
      </c>
      <c r="V6" s="30">
        <f>SUM($S$6:$U$6)</f>
        <v>0</v>
      </c>
      <c r="W6" s="30"/>
      <c r="X6" s="30">
        <f>SUM($W$6:$W$6)</f>
        <v>0</v>
      </c>
      <c r="Y6" s="30">
        <f>'TR TE'!$Y$6*'TR TE'!$Y$51</f>
        <v>6.4245530320723674</v>
      </c>
      <c r="Z6" s="30">
        <f>SUM($Y$6:$Y$6)</f>
        <v>6.4245530320723674</v>
      </c>
      <c r="AA6" s="30">
        <f>SUMIF($L$4:$Z$4,"SUBTOTAL",$L$6:$Z$6)</f>
        <v>258.70953883979922</v>
      </c>
    </row>
    <row r="7" spans="1:27" ht="11.25" customHeight="1" x14ac:dyDescent="0.25">
      <c r="A7" s="140" t="s">
        <v>33</v>
      </c>
      <c r="B7" s="140" t="s">
        <v>89</v>
      </c>
      <c r="C7" s="140" t="s">
        <v>25</v>
      </c>
      <c r="D7" s="140" t="s">
        <v>25</v>
      </c>
      <c r="E7" s="140" t="s">
        <v>25</v>
      </c>
      <c r="F7" s="140" t="s">
        <v>25</v>
      </c>
      <c r="G7" s="32" t="s">
        <v>91</v>
      </c>
      <c r="H7" s="32" t="s">
        <v>90</v>
      </c>
      <c r="I7" s="32">
        <f>'MERCADO TE'!$U$4</f>
        <v>47285.341999999997</v>
      </c>
      <c r="J7" s="17"/>
      <c r="L7" s="30">
        <f>'TR TE'!$L$7*'TR TE'!$L$51</f>
        <v>2.6620626617255141</v>
      </c>
      <c r="M7" s="30">
        <f>'TR TE'!$M$7*'TR TE'!$M$51</f>
        <v>15.500642118478797</v>
      </c>
      <c r="N7" s="30">
        <f>'TR TE'!$N$7*'TR TE'!$N$51</f>
        <v>0</v>
      </c>
      <c r="O7" s="30">
        <f>'TR TE'!$O$7*'TR TE'!$O$51</f>
        <v>27.08815515558446</v>
      </c>
      <c r="P7" s="30">
        <f>SUM($L$7:$O$7)</f>
        <v>45.250859935788768</v>
      </c>
      <c r="Q7" s="30">
        <f>'TR TE'!$Q$7*'TR TE'!$Q$51</f>
        <v>356.09869649973348</v>
      </c>
      <c r="R7" s="30">
        <f>SUM($Q$7:$Q$7)</f>
        <v>356.09869649973348</v>
      </c>
      <c r="S7" s="30">
        <f>'TR TE'!$S$7*'TR TE'!$S$51</f>
        <v>0</v>
      </c>
      <c r="T7" s="30">
        <f>'TR TE'!$T$7*'TR TE'!$T$51</f>
        <v>0</v>
      </c>
      <c r="U7" s="30">
        <f>'TR TE'!$U$7*'TR TE'!$U$51</f>
        <v>0</v>
      </c>
      <c r="V7" s="30">
        <f>SUM($S$7:$U$7)</f>
        <v>0</v>
      </c>
      <c r="W7" s="30"/>
      <c r="X7" s="30">
        <f>SUM($W$7:$W$7)</f>
        <v>0</v>
      </c>
      <c r="Y7" s="30">
        <f>'TR TE'!$Y$7*'TR TE'!$Y$51</f>
        <v>6.4245530320723674</v>
      </c>
      <c r="Z7" s="30">
        <f>SUM($Y$7:$Y$7)</f>
        <v>6.4245530320723674</v>
      </c>
      <c r="AA7" s="30">
        <f>SUMIF($L$4:$Z$4,"SUBTOTAL",$L$7:$Z$7)</f>
        <v>407.7741094675946</v>
      </c>
    </row>
    <row r="8" spans="1:27" ht="11.25" customHeight="1" x14ac:dyDescent="0.25">
      <c r="A8" s="140"/>
      <c r="B8" s="140"/>
      <c r="C8" s="140"/>
      <c r="D8" s="140"/>
      <c r="E8" s="140"/>
      <c r="F8" s="140"/>
      <c r="G8" s="32" t="s">
        <v>92</v>
      </c>
      <c r="H8" s="32" t="s">
        <v>90</v>
      </c>
      <c r="I8" s="32">
        <f>'MERCADO TE'!$U$5</f>
        <v>661995.96299999999</v>
      </c>
      <c r="J8" s="17"/>
      <c r="L8" s="30">
        <f>'TR TE'!$L$8*'TR TE'!$L$51</f>
        <v>2.6620626617255141</v>
      </c>
      <c r="M8" s="30">
        <f>'TR TE'!$M$8*'TR TE'!$M$51</f>
        <v>15.500642118478797</v>
      </c>
      <c r="N8" s="30">
        <f>'TR TE'!$N$8*'TR TE'!$N$51</f>
        <v>0</v>
      </c>
      <c r="O8" s="30">
        <f>'TR TE'!$O$8*'TR TE'!$O$51</f>
        <v>27.08815515558446</v>
      </c>
      <c r="P8" s="30">
        <f>SUM($L$8:$O$8)</f>
        <v>45.250859935788768</v>
      </c>
      <c r="Q8" s="30">
        <f>'TR TE'!$Q$8*'TR TE'!$Q$51</f>
        <v>207.03412587193807</v>
      </c>
      <c r="R8" s="30">
        <f>SUM($Q$8:$Q$8)</f>
        <v>207.03412587193807</v>
      </c>
      <c r="S8" s="30">
        <f>'TR TE'!$S$8*'TR TE'!$S$51</f>
        <v>0</v>
      </c>
      <c r="T8" s="30">
        <f>'TR TE'!$T$8*'TR TE'!$T$51</f>
        <v>0</v>
      </c>
      <c r="U8" s="30">
        <f>'TR TE'!$U$8*'TR TE'!$U$51</f>
        <v>0</v>
      </c>
      <c r="V8" s="30">
        <f>SUM($S$8:$U$8)</f>
        <v>0</v>
      </c>
      <c r="W8" s="30"/>
      <c r="X8" s="30">
        <f>SUM($W$8:$W$8)</f>
        <v>0</v>
      </c>
      <c r="Y8" s="30">
        <f>'TR TE'!$Y$8*'TR TE'!$Y$51</f>
        <v>6.4245530320723674</v>
      </c>
      <c r="Z8" s="30">
        <f>SUM($Y$8:$Y$8)</f>
        <v>6.4245530320723674</v>
      </c>
      <c r="AA8" s="30">
        <f>SUMIF($L$4:$Z$4,"SUBTOTAL",$L$8:$Z$8)</f>
        <v>258.70953883979922</v>
      </c>
    </row>
    <row r="9" spans="1:27" ht="11.25" customHeight="1" x14ac:dyDescent="0.25">
      <c r="A9" s="140"/>
      <c r="B9" s="33" t="s">
        <v>97</v>
      </c>
      <c r="C9" s="33" t="s">
        <v>25</v>
      </c>
      <c r="D9" s="33" t="s">
        <v>25</v>
      </c>
      <c r="E9" s="33" t="s">
        <v>25</v>
      </c>
      <c r="F9" s="33" t="s">
        <v>25</v>
      </c>
      <c r="G9" s="32" t="s">
        <v>96</v>
      </c>
      <c r="H9" s="32" t="s">
        <v>90</v>
      </c>
      <c r="I9" s="32">
        <f>'MERCADO TE'!$U$6</f>
        <v>0</v>
      </c>
      <c r="J9" s="17"/>
      <c r="L9" s="30">
        <f>'TR TE'!$L$9*'TR TE'!$L$51</f>
        <v>2.6620626617255141</v>
      </c>
      <c r="M9" s="30">
        <f>'TR TE'!$M$9*'TR TE'!$M$51</f>
        <v>15.500642118478797</v>
      </c>
      <c r="N9" s="30">
        <f>'TR TE'!$N$9*'TR TE'!$N$51</f>
        <v>0</v>
      </c>
      <c r="O9" s="30">
        <f>'TR TE'!$O$9*'TR TE'!$O$51</f>
        <v>27.08815515558446</v>
      </c>
      <c r="P9" s="30">
        <f>SUM($L$9:$O$9)</f>
        <v>45.250859935788768</v>
      </c>
      <c r="Q9" s="30">
        <f>'TR TE'!$Q$9*'TR TE'!$Q$51</f>
        <v>219.45617342425436</v>
      </c>
      <c r="R9" s="30">
        <f>SUM($Q$9:$Q$9)</f>
        <v>219.45617342425436</v>
      </c>
      <c r="S9" s="30">
        <f>'TR TE'!$S$9*'TR TE'!$S$51</f>
        <v>0</v>
      </c>
      <c r="T9" s="30">
        <f>'TR TE'!$T$9*'TR TE'!$T$51</f>
        <v>0</v>
      </c>
      <c r="U9" s="30">
        <f>'TR TE'!$U$9*'TR TE'!$U$51</f>
        <v>0</v>
      </c>
      <c r="V9" s="30">
        <f>SUM($S$9:$U$9)</f>
        <v>0</v>
      </c>
      <c r="W9" s="30"/>
      <c r="X9" s="30">
        <f>SUM($W$9:$W$9)</f>
        <v>0</v>
      </c>
      <c r="Y9" s="30">
        <f>'TR TE'!$Y$9*'TR TE'!$Y$51</f>
        <v>6.4245530320723674</v>
      </c>
      <c r="Z9" s="30">
        <f>SUM($Y$9:$Y$9)</f>
        <v>6.4245530320723674</v>
      </c>
      <c r="AA9" s="30">
        <f>SUMIF($L$4:$Z$4,"SUBTOTAL",$L$9:$Z$9)</f>
        <v>271.13158639211548</v>
      </c>
    </row>
    <row r="10" spans="1:27" ht="11.25" customHeight="1" x14ac:dyDescent="0.25">
      <c r="A10" s="140" t="s">
        <v>22</v>
      </c>
      <c r="B10" s="140" t="s">
        <v>89</v>
      </c>
      <c r="C10" s="140" t="s">
        <v>24</v>
      </c>
      <c r="D10" s="140" t="s">
        <v>24</v>
      </c>
      <c r="E10" s="140" t="s">
        <v>25</v>
      </c>
      <c r="F10" s="140" t="s">
        <v>25</v>
      </c>
      <c r="G10" s="32" t="s">
        <v>91</v>
      </c>
      <c r="H10" s="32" t="s">
        <v>90</v>
      </c>
      <c r="I10" s="32">
        <f>'MERCADO TE'!$U$7</f>
        <v>50.420000000000009</v>
      </c>
      <c r="J10" s="17"/>
      <c r="L10" s="30">
        <f>'TR TE'!$L$10*'TR TE'!$L$51</f>
        <v>2.6620626617255141</v>
      </c>
      <c r="M10" s="30">
        <f>'TR TE'!$M$10*'TR TE'!$M$51</f>
        <v>15.500642118478797</v>
      </c>
      <c r="N10" s="30">
        <f>'TR TE'!$N$10*'TR TE'!$N$51</f>
        <v>0</v>
      </c>
      <c r="O10" s="30">
        <f>'TR TE'!$O$10*'TR TE'!$O$51</f>
        <v>27.08815515558446</v>
      </c>
      <c r="P10" s="30">
        <f>SUM($L$10:$O$10)</f>
        <v>45.250859935788768</v>
      </c>
      <c r="Q10" s="30">
        <f>'TR TE'!$Q$10*'TR TE'!$Q$51</f>
        <v>356.09869649973348</v>
      </c>
      <c r="R10" s="30">
        <f>SUM($Q$10:$Q$10)</f>
        <v>356.09869649973348</v>
      </c>
      <c r="S10" s="30">
        <f>'TR TE'!$S$10*'TR TE'!$S$51</f>
        <v>0</v>
      </c>
      <c r="T10" s="30">
        <f>'TR TE'!$T$10*'TR TE'!$T$51</f>
        <v>0</v>
      </c>
      <c r="U10" s="30">
        <f>'TR TE'!$U$10*'TR TE'!$U$51</f>
        <v>0</v>
      </c>
      <c r="V10" s="30">
        <f>SUM($S$10:$U$10)</f>
        <v>0</v>
      </c>
      <c r="W10" s="30"/>
      <c r="X10" s="30">
        <f>SUM($W$10:$W$10)</f>
        <v>0</v>
      </c>
      <c r="Y10" s="30">
        <f>'TR TE'!$Y$10*'TR TE'!$Y$51</f>
        <v>6.4245530320723674</v>
      </c>
      <c r="Z10" s="30">
        <f>SUM($Y$10:$Y$10)</f>
        <v>6.4245530320723674</v>
      </c>
      <c r="AA10" s="30">
        <f>SUMIF($L$4:$Z$4,"SUBTOTAL",$L$10:$Z$10)</f>
        <v>407.7741094675946</v>
      </c>
    </row>
    <row r="11" spans="1:27" ht="11.25" customHeight="1" x14ac:dyDescent="0.25">
      <c r="A11" s="140"/>
      <c r="B11" s="140"/>
      <c r="C11" s="140"/>
      <c r="D11" s="140"/>
      <c r="E11" s="140"/>
      <c r="F11" s="140"/>
      <c r="G11" s="32" t="s">
        <v>101</v>
      </c>
      <c r="H11" s="32" t="s">
        <v>90</v>
      </c>
      <c r="I11" s="32">
        <f>'MERCADO TE'!$U$8</f>
        <v>34.840000000000003</v>
      </c>
      <c r="J11" s="17"/>
      <c r="L11" s="30">
        <f>'TR TE'!$L$11*'TR TE'!$L$51</f>
        <v>2.6620626617255141</v>
      </c>
      <c r="M11" s="30">
        <f>'TR TE'!$M$11*'TR TE'!$M$51</f>
        <v>15.500642118478797</v>
      </c>
      <c r="N11" s="30">
        <f>'TR TE'!$N$11*'TR TE'!$N$51</f>
        <v>0</v>
      </c>
      <c r="O11" s="30">
        <f>'TR TE'!$O$11*'TR TE'!$O$51</f>
        <v>27.08815515558446</v>
      </c>
      <c r="P11" s="30">
        <f>SUM($L$11:$O$11)</f>
        <v>45.250859935788768</v>
      </c>
      <c r="Q11" s="30">
        <f>'TR TE'!$Q$11*'TR TE'!$Q$51</f>
        <v>207.03412587193807</v>
      </c>
      <c r="R11" s="30">
        <f>SUM($Q$11:$Q$11)</f>
        <v>207.03412587193807</v>
      </c>
      <c r="S11" s="30">
        <f>'TR TE'!$S$11*'TR TE'!$S$51</f>
        <v>0</v>
      </c>
      <c r="T11" s="30">
        <f>'TR TE'!$T$11*'TR TE'!$T$51</f>
        <v>0</v>
      </c>
      <c r="U11" s="30">
        <f>'TR TE'!$U$11*'TR TE'!$U$51</f>
        <v>0</v>
      </c>
      <c r="V11" s="30">
        <f>SUM($S$11:$U$11)</f>
        <v>0</v>
      </c>
      <c r="W11" s="30"/>
      <c r="X11" s="30">
        <f>SUM($W$11:$W$11)</f>
        <v>0</v>
      </c>
      <c r="Y11" s="30">
        <f>'TR TE'!$Y$11*'TR TE'!$Y$51</f>
        <v>6.4245530320723674</v>
      </c>
      <c r="Z11" s="30">
        <f>SUM($Y$11:$Y$11)</f>
        <v>6.4245530320723674</v>
      </c>
      <c r="AA11" s="30">
        <f>SUMIF($L$4:$Z$4,"SUBTOTAL",$L$11:$Z$11)</f>
        <v>258.70953883979922</v>
      </c>
    </row>
    <row r="12" spans="1:27" ht="11.25" customHeight="1" x14ac:dyDescent="0.25">
      <c r="A12" s="140"/>
      <c r="B12" s="140"/>
      <c r="C12" s="140"/>
      <c r="D12" s="140"/>
      <c r="E12" s="140"/>
      <c r="F12" s="140"/>
      <c r="G12" s="32" t="s">
        <v>92</v>
      </c>
      <c r="H12" s="32" t="s">
        <v>90</v>
      </c>
      <c r="I12" s="32">
        <f>'MERCADO TE'!$U$9</f>
        <v>677.41499999999996</v>
      </c>
      <c r="J12" s="17"/>
      <c r="L12" s="30">
        <f>'TR TE'!$L$12*'TR TE'!$L$51</f>
        <v>2.6620626617255141</v>
      </c>
      <c r="M12" s="30">
        <f>'TR TE'!$M$12*'TR TE'!$M$51</f>
        <v>15.500642118478797</v>
      </c>
      <c r="N12" s="30">
        <f>'TR TE'!$N$12*'TR TE'!$N$51</f>
        <v>0</v>
      </c>
      <c r="O12" s="30">
        <f>'TR TE'!$O$12*'TR TE'!$O$51</f>
        <v>27.08815515558446</v>
      </c>
      <c r="P12" s="30">
        <f>SUM($L$12:$O$12)</f>
        <v>45.250859935788768</v>
      </c>
      <c r="Q12" s="30">
        <f>'TR TE'!$Q$12*'TR TE'!$Q$51</f>
        <v>207.03412587193807</v>
      </c>
      <c r="R12" s="30">
        <f>SUM($Q$12:$Q$12)</f>
        <v>207.03412587193807</v>
      </c>
      <c r="S12" s="30">
        <f>'TR TE'!$S$12*'TR TE'!$S$51</f>
        <v>0</v>
      </c>
      <c r="T12" s="30">
        <f>'TR TE'!$T$12*'TR TE'!$T$51</f>
        <v>0</v>
      </c>
      <c r="U12" s="30">
        <f>'TR TE'!$U$12*'TR TE'!$U$51</f>
        <v>0</v>
      </c>
      <c r="V12" s="30">
        <f>SUM($S$12:$U$12)</f>
        <v>0</v>
      </c>
      <c r="W12" s="30"/>
      <c r="X12" s="30">
        <f>SUM($W$12:$W$12)</f>
        <v>0</v>
      </c>
      <c r="Y12" s="30">
        <f>'TR TE'!$Y$12*'TR TE'!$Y$51</f>
        <v>6.4245530320723674</v>
      </c>
      <c r="Z12" s="30">
        <f>SUM($Y$12:$Y$12)</f>
        <v>6.4245530320723674</v>
      </c>
      <c r="AA12" s="30">
        <f>SUMIF($L$4:$Z$4,"SUBTOTAL",$L$12:$Z$12)</f>
        <v>258.70953883979922</v>
      </c>
    </row>
    <row r="13" spans="1:27" ht="11.25" customHeight="1" x14ac:dyDescent="0.25">
      <c r="A13" s="140"/>
      <c r="B13" s="140" t="s">
        <v>97</v>
      </c>
      <c r="C13" s="140" t="s">
        <v>24</v>
      </c>
      <c r="D13" s="33" t="s">
        <v>24</v>
      </c>
      <c r="E13" s="33" t="s">
        <v>25</v>
      </c>
      <c r="F13" s="33" t="s">
        <v>25</v>
      </c>
      <c r="G13" s="32" t="s">
        <v>96</v>
      </c>
      <c r="H13" s="32" t="s">
        <v>90</v>
      </c>
      <c r="I13" s="32">
        <f>'MERCADO TE'!$U$10</f>
        <v>1165006.6750000003</v>
      </c>
      <c r="J13" s="17"/>
      <c r="L13" s="30">
        <f>'TR TE'!$L$13*'TR TE'!$L$51</f>
        <v>2.6620626617255141</v>
      </c>
      <c r="M13" s="30">
        <f>'TR TE'!$M$13*'TR TE'!$M$51</f>
        <v>15.500642118478797</v>
      </c>
      <c r="N13" s="30">
        <f>'TR TE'!$N$13*'TR TE'!$N$51</f>
        <v>0</v>
      </c>
      <c r="O13" s="30">
        <f>'TR TE'!$O$13*'TR TE'!$O$51</f>
        <v>27.08815515558446</v>
      </c>
      <c r="P13" s="30">
        <f>SUM($L$13:$O$13)</f>
        <v>45.250859935788768</v>
      </c>
      <c r="Q13" s="30">
        <f>'TR TE'!$Q$13*'TR TE'!$Q$51</f>
        <v>219.45617342425436</v>
      </c>
      <c r="R13" s="30">
        <f>SUM($Q$13:$Q$13)</f>
        <v>219.45617342425436</v>
      </c>
      <c r="S13" s="30">
        <f>'TR TE'!$S$13*'TR TE'!$S$51</f>
        <v>0</v>
      </c>
      <c r="T13" s="30">
        <f>'TR TE'!$T$13*'TR TE'!$T$51</f>
        <v>0</v>
      </c>
      <c r="U13" s="30">
        <f>'TR TE'!$U$13*'TR TE'!$U$51</f>
        <v>0</v>
      </c>
      <c r="V13" s="30">
        <f>SUM($S$13:$U$13)</f>
        <v>0</v>
      </c>
      <c r="W13" s="30"/>
      <c r="X13" s="30">
        <f>SUM($W$13:$W$13)</f>
        <v>0</v>
      </c>
      <c r="Y13" s="30">
        <f>'TR TE'!$Y$13*'TR TE'!$Y$51</f>
        <v>6.4245530320723674</v>
      </c>
      <c r="Z13" s="30">
        <f>SUM($Y$13:$Y$13)</f>
        <v>6.4245530320723674</v>
      </c>
      <c r="AA13" s="30">
        <f>SUMIF($L$4:$Z$4,"SUBTOTAL",$L$13:$Z$13)</f>
        <v>271.13158639211548</v>
      </c>
    </row>
    <row r="14" spans="1:27" ht="11.25" customHeight="1" x14ac:dyDescent="0.25">
      <c r="A14" s="140"/>
      <c r="B14" s="140"/>
      <c r="C14" s="140"/>
      <c r="D14" s="33" t="s">
        <v>29</v>
      </c>
      <c r="E14" s="33" t="s">
        <v>25</v>
      </c>
      <c r="F14" s="33" t="s">
        <v>25</v>
      </c>
      <c r="G14" s="32" t="s">
        <v>96</v>
      </c>
      <c r="H14" s="32" t="s">
        <v>90</v>
      </c>
      <c r="I14" s="32">
        <f>'MERCADO TE'!$U$11</f>
        <v>134316.74400000001</v>
      </c>
      <c r="J14" s="17"/>
      <c r="L14" s="30">
        <f>'TR TE'!$L$14*'TR TE'!$L$51</f>
        <v>2.6620626617255141</v>
      </c>
      <c r="M14" s="30">
        <f>'TR TE'!$M$14*'TR TE'!$M$51</f>
        <v>15.500642118478797</v>
      </c>
      <c r="N14" s="30">
        <f>'TR TE'!$N$14*'TR TE'!$N$51</f>
        <v>0</v>
      </c>
      <c r="O14" s="30">
        <f>'TR TE'!$O$14*'TR TE'!$O$51</f>
        <v>27.08815515558446</v>
      </c>
      <c r="P14" s="30">
        <f>SUM($L$14:$O$14)</f>
        <v>45.250859935788768</v>
      </c>
      <c r="Q14" s="30">
        <f>'TR TE'!$Q$14*'TR TE'!$Q$51</f>
        <v>219.45617342425436</v>
      </c>
      <c r="R14" s="30">
        <f>SUM($Q$14:$Q$14)</f>
        <v>219.45617342425436</v>
      </c>
      <c r="S14" s="30">
        <f>'TR TE'!$S$14*'TR TE'!$S$51</f>
        <v>0</v>
      </c>
      <c r="T14" s="30">
        <f>'TR TE'!$T$14*'TR TE'!$T$51</f>
        <v>0</v>
      </c>
      <c r="U14" s="30">
        <f>'TR TE'!$U$14*'TR TE'!$U$51</f>
        <v>0</v>
      </c>
      <c r="V14" s="30">
        <f>SUM($S$14:$U$14)</f>
        <v>0</v>
      </c>
      <c r="W14" s="30"/>
      <c r="X14" s="30">
        <f>SUM($W$14:$W$14)</f>
        <v>0</v>
      </c>
      <c r="Y14" s="30">
        <f>'TR TE'!$Y$14*'TR TE'!$Y$51</f>
        <v>6.4245530320723674</v>
      </c>
      <c r="Z14" s="30">
        <f>SUM($Y$14:$Y$14)</f>
        <v>6.4245530320723674</v>
      </c>
      <c r="AA14" s="30">
        <f>SUMIF($L$4:$Z$4,"SUBTOTAL",$L$14:$Z$14)</f>
        <v>271.13158639211548</v>
      </c>
    </row>
    <row r="15" spans="1:27" ht="11.25" customHeight="1" x14ac:dyDescent="0.25">
      <c r="A15" s="140"/>
      <c r="B15" s="140"/>
      <c r="C15" s="140"/>
      <c r="D15" s="33" t="s">
        <v>30</v>
      </c>
      <c r="E15" s="33" t="s">
        <v>25</v>
      </c>
      <c r="F15" s="33" t="s">
        <v>25</v>
      </c>
      <c r="G15" s="32" t="s">
        <v>96</v>
      </c>
      <c r="H15" s="32" t="s">
        <v>90</v>
      </c>
      <c r="I15" s="32">
        <f>'MERCADO TE'!$U$12</f>
        <v>207428.35200000001</v>
      </c>
      <c r="J15" s="17"/>
      <c r="L15" s="30">
        <f>'TR TE'!$L$15*'TR TE'!$L$51</f>
        <v>2.6620626617255141</v>
      </c>
      <c r="M15" s="30">
        <f>'TR TE'!$M$15*'TR TE'!$M$51</f>
        <v>15.500642118478797</v>
      </c>
      <c r="N15" s="30">
        <f>'TR TE'!$N$15*'TR TE'!$N$51</f>
        <v>0</v>
      </c>
      <c r="O15" s="30">
        <f>'TR TE'!$O$15*'TR TE'!$O$51</f>
        <v>27.08815515558446</v>
      </c>
      <c r="P15" s="30">
        <f>SUM($L$15:$O$15)</f>
        <v>45.250859935788768</v>
      </c>
      <c r="Q15" s="30">
        <f>'TR TE'!$Q$15*'TR TE'!$Q$51</f>
        <v>219.45617342425436</v>
      </c>
      <c r="R15" s="30">
        <f>SUM($Q$15:$Q$15)</f>
        <v>219.45617342425436</v>
      </c>
      <c r="S15" s="30">
        <f>'TR TE'!$S$15*'TR TE'!$S$51</f>
        <v>0</v>
      </c>
      <c r="T15" s="30">
        <f>'TR TE'!$T$15*'TR TE'!$T$51</f>
        <v>0</v>
      </c>
      <c r="U15" s="30">
        <f>'TR TE'!$U$15*'TR TE'!$U$51</f>
        <v>0</v>
      </c>
      <c r="V15" s="30">
        <f>SUM($S$15:$U$15)</f>
        <v>0</v>
      </c>
      <c r="W15" s="30"/>
      <c r="X15" s="30">
        <f>SUM($W$15:$W$15)</f>
        <v>0</v>
      </c>
      <c r="Y15" s="30">
        <f>'TR TE'!$Y$15*'TR TE'!$Y$51</f>
        <v>6.4245530320723674</v>
      </c>
      <c r="Z15" s="30">
        <f>SUM($Y$15:$Y$15)</f>
        <v>6.4245530320723674</v>
      </c>
      <c r="AA15" s="30">
        <f>SUMIF($L$4:$Z$4,"SUBTOTAL",$L$15:$Z$15)</f>
        <v>271.13158639211548</v>
      </c>
    </row>
    <row r="16" spans="1:27" ht="11.25" customHeight="1" x14ac:dyDescent="0.25">
      <c r="A16" s="140"/>
      <c r="B16" s="140"/>
      <c r="C16" s="140"/>
      <c r="D16" s="33" t="s">
        <v>31</v>
      </c>
      <c r="E16" s="33" t="s">
        <v>25</v>
      </c>
      <c r="F16" s="33" t="s">
        <v>25</v>
      </c>
      <c r="G16" s="32" t="s">
        <v>96</v>
      </c>
      <c r="H16" s="32" t="s">
        <v>90</v>
      </c>
      <c r="I16" s="32">
        <f>'MERCADO TE'!$U$13</f>
        <v>81316.453999999983</v>
      </c>
      <c r="J16" s="17"/>
      <c r="L16" s="30">
        <f>'TR TE'!$L$16*'TR TE'!$L$51</f>
        <v>2.6620626617255141</v>
      </c>
      <c r="M16" s="30">
        <f>'TR TE'!$M$16*'TR TE'!$M$51</f>
        <v>15.500642118478797</v>
      </c>
      <c r="N16" s="30">
        <f>'TR TE'!$N$16*'TR TE'!$N$51</f>
        <v>0</v>
      </c>
      <c r="O16" s="30">
        <f>'TR TE'!$O$16*'TR TE'!$O$51</f>
        <v>27.08815515558446</v>
      </c>
      <c r="P16" s="30">
        <f>SUM($L$16:$O$16)</f>
        <v>45.250859935788768</v>
      </c>
      <c r="Q16" s="30">
        <f>'TR TE'!$Q$16*'TR TE'!$Q$51</f>
        <v>219.45617342425436</v>
      </c>
      <c r="R16" s="30">
        <f>SUM($Q$16:$Q$16)</f>
        <v>219.45617342425436</v>
      </c>
      <c r="S16" s="30">
        <f>'TR TE'!$S$16*'TR TE'!$S$51</f>
        <v>0</v>
      </c>
      <c r="T16" s="30">
        <f>'TR TE'!$T$16*'TR TE'!$T$51</f>
        <v>0</v>
      </c>
      <c r="U16" s="30">
        <f>'TR TE'!$U$16*'TR TE'!$U$51</f>
        <v>0</v>
      </c>
      <c r="V16" s="30">
        <f>SUM($S$16:$U$16)</f>
        <v>0</v>
      </c>
      <c r="W16" s="30"/>
      <c r="X16" s="30">
        <f>SUM($W$16:$W$16)</f>
        <v>0</v>
      </c>
      <c r="Y16" s="30">
        <f>'TR TE'!$Y$16*'TR TE'!$Y$51</f>
        <v>6.4245530320723674</v>
      </c>
      <c r="Z16" s="30">
        <f>SUM($Y$16:$Y$16)</f>
        <v>6.4245530320723674</v>
      </c>
      <c r="AA16" s="30">
        <f>SUMIF($L$4:$Z$4,"SUBTOTAL",$L$16:$Z$16)</f>
        <v>271.13158639211548</v>
      </c>
    </row>
    <row r="17" spans="1:27" ht="11.25" customHeight="1" x14ac:dyDescent="0.25">
      <c r="A17" s="140"/>
      <c r="B17" s="140"/>
      <c r="C17" s="140"/>
      <c r="D17" s="33" t="s">
        <v>32</v>
      </c>
      <c r="E17" s="33" t="s">
        <v>25</v>
      </c>
      <c r="F17" s="33" t="s">
        <v>25</v>
      </c>
      <c r="G17" s="32" t="s">
        <v>96</v>
      </c>
      <c r="H17" s="32" t="s">
        <v>90</v>
      </c>
      <c r="I17" s="32">
        <f>'MERCADO TE'!$U$14</f>
        <v>15947.552</v>
      </c>
      <c r="J17" s="17"/>
      <c r="L17" s="30">
        <f>'TR TE'!$L$17*'TR TE'!$L$51</f>
        <v>2.6620626617255141</v>
      </c>
      <c r="M17" s="30">
        <f>'TR TE'!$M$17*'TR TE'!$M$51</f>
        <v>15.500642118478797</v>
      </c>
      <c r="N17" s="30">
        <f>'TR TE'!$N$17*'TR TE'!$N$51</f>
        <v>0</v>
      </c>
      <c r="O17" s="30">
        <f>'TR TE'!$O$17*'TR TE'!$O$51</f>
        <v>27.08815515558446</v>
      </c>
      <c r="P17" s="30">
        <f>SUM($L$17:$O$17)</f>
        <v>45.250859935788768</v>
      </c>
      <c r="Q17" s="30">
        <f>'TR TE'!$Q$17*'TR TE'!$Q$51</f>
        <v>219.45617342425436</v>
      </c>
      <c r="R17" s="30">
        <f>SUM($Q$17:$Q$17)</f>
        <v>219.45617342425436</v>
      </c>
      <c r="S17" s="30">
        <f>'TR TE'!$S$17*'TR TE'!$S$51</f>
        <v>0</v>
      </c>
      <c r="T17" s="30">
        <f>'TR TE'!$T$17*'TR TE'!$T$51</f>
        <v>0</v>
      </c>
      <c r="U17" s="30">
        <f>'TR TE'!$U$17*'TR TE'!$U$51</f>
        <v>0</v>
      </c>
      <c r="V17" s="30">
        <f>SUM($S$17:$U$17)</f>
        <v>0</v>
      </c>
      <c r="W17" s="30"/>
      <c r="X17" s="30">
        <f>SUM($W$17:$W$17)</f>
        <v>0</v>
      </c>
      <c r="Y17" s="30">
        <f>'TR TE'!$Y$17*'TR TE'!$Y$51</f>
        <v>6.4245530320723674</v>
      </c>
      <c r="Z17" s="30">
        <f>SUM($Y$17:$Y$17)</f>
        <v>6.4245530320723674</v>
      </c>
      <c r="AA17" s="30">
        <f>SUMIF($L$4:$Z$4,"SUBTOTAL",$L$17:$Z$17)</f>
        <v>271.13158639211548</v>
      </c>
    </row>
    <row r="18" spans="1:27" ht="11.25" customHeight="1" x14ac:dyDescent="0.25">
      <c r="A18" s="140"/>
      <c r="B18" s="140" t="s">
        <v>102</v>
      </c>
      <c r="C18" s="140" t="s">
        <v>24</v>
      </c>
      <c r="D18" s="33" t="s">
        <v>24</v>
      </c>
      <c r="E18" s="33" t="s">
        <v>25</v>
      </c>
      <c r="F18" s="33" t="s">
        <v>25</v>
      </c>
      <c r="G18" s="32" t="s">
        <v>96</v>
      </c>
      <c r="H18" s="32" t="s">
        <v>90</v>
      </c>
      <c r="I18" s="32">
        <f>'MERCADO TE'!$U$15</f>
        <v>0</v>
      </c>
      <c r="J18" s="17"/>
      <c r="L18" s="30">
        <f>'TR TE'!$L$18*'TR TE'!$L$51</f>
        <v>2.6620626617255141</v>
      </c>
      <c r="M18" s="30">
        <f>'TR TE'!$M$18*'TR TE'!$M$51</f>
        <v>15.500642118478797</v>
      </c>
      <c r="N18" s="30">
        <f>'TR TE'!$N$18*'TR TE'!$N$51</f>
        <v>0</v>
      </c>
      <c r="O18" s="30">
        <f>'TR TE'!$O$18*'TR TE'!$O$51</f>
        <v>27.08815515558446</v>
      </c>
      <c r="P18" s="30">
        <f>SUM($L$18:$O$18)</f>
        <v>45.250859935788768</v>
      </c>
      <c r="Q18" s="30">
        <f>'TR TE'!$Q$18*'TR TE'!$Q$51</f>
        <v>219.45617342425436</v>
      </c>
      <c r="R18" s="30">
        <f>SUM($Q$18:$Q$18)</f>
        <v>219.45617342425436</v>
      </c>
      <c r="S18" s="30">
        <f>'TR TE'!$S$18*'TR TE'!$S$51</f>
        <v>0</v>
      </c>
      <c r="T18" s="30">
        <f>'TR TE'!$T$18*'TR TE'!$T$51</f>
        <v>0</v>
      </c>
      <c r="U18" s="30">
        <f>'TR TE'!$U$18*'TR TE'!$U$51</f>
        <v>0</v>
      </c>
      <c r="V18" s="30">
        <f>SUM($S$18:$U$18)</f>
        <v>0</v>
      </c>
      <c r="W18" s="30"/>
      <c r="X18" s="30">
        <f>SUM($W$18:$W$18)</f>
        <v>0</v>
      </c>
      <c r="Y18" s="30">
        <f>'TR TE'!$Y$18*'TR TE'!$Y$51</f>
        <v>6.4245530320723674</v>
      </c>
      <c r="Z18" s="30">
        <f>SUM($Y$18:$Y$18)</f>
        <v>6.4245530320723674</v>
      </c>
      <c r="AA18" s="30">
        <f>SUMIF($L$4:$Z$4,"SUBTOTAL",$L$18:$Z$18)</f>
        <v>271.13158639211548</v>
      </c>
    </row>
    <row r="19" spans="1:27" ht="11.25" customHeight="1" x14ac:dyDescent="0.25">
      <c r="A19" s="140"/>
      <c r="B19" s="140"/>
      <c r="C19" s="140"/>
      <c r="D19" s="33" t="s">
        <v>29</v>
      </c>
      <c r="E19" s="33" t="s">
        <v>25</v>
      </c>
      <c r="F19" s="33" t="s">
        <v>25</v>
      </c>
      <c r="G19" s="32" t="s">
        <v>96</v>
      </c>
      <c r="H19" s="32" t="s">
        <v>90</v>
      </c>
      <c r="I19" s="32">
        <f>'MERCADO TE'!$U$16</f>
        <v>0</v>
      </c>
      <c r="J19" s="17"/>
      <c r="L19" s="30">
        <f>'TR TE'!$L$19*'TR TE'!$L$51</f>
        <v>2.6620626617255141</v>
      </c>
      <c r="M19" s="30">
        <f>'TR TE'!$M$19*'TR TE'!$M$51</f>
        <v>15.500642118478797</v>
      </c>
      <c r="N19" s="30">
        <f>'TR TE'!$N$19*'TR TE'!$N$51</f>
        <v>0</v>
      </c>
      <c r="O19" s="30">
        <f>'TR TE'!$O$19*'TR TE'!$O$51</f>
        <v>27.08815515558446</v>
      </c>
      <c r="P19" s="30">
        <f>SUM($L$19:$O$19)</f>
        <v>45.250859935788768</v>
      </c>
      <c r="Q19" s="30">
        <f>'TR TE'!$Q$19*'TR TE'!$Q$51</f>
        <v>219.45617342425436</v>
      </c>
      <c r="R19" s="30">
        <f>SUM($Q$19:$Q$19)</f>
        <v>219.45617342425436</v>
      </c>
      <c r="S19" s="30">
        <f>'TR TE'!$S$19*'TR TE'!$S$51</f>
        <v>0</v>
      </c>
      <c r="T19" s="30">
        <f>'TR TE'!$T$19*'TR TE'!$T$51</f>
        <v>0</v>
      </c>
      <c r="U19" s="30">
        <f>'TR TE'!$U$19*'TR TE'!$U$51</f>
        <v>0</v>
      </c>
      <c r="V19" s="30">
        <f>SUM($S$19:$U$19)</f>
        <v>0</v>
      </c>
      <c r="W19" s="30"/>
      <c r="X19" s="30">
        <f>SUM($W$19:$W$19)</f>
        <v>0</v>
      </c>
      <c r="Y19" s="30">
        <f>'TR TE'!$Y$19*'TR TE'!$Y$51</f>
        <v>6.4245530320723674</v>
      </c>
      <c r="Z19" s="30">
        <f>SUM($Y$19:$Y$19)</f>
        <v>6.4245530320723674</v>
      </c>
      <c r="AA19" s="30">
        <f>SUMIF($L$4:$Z$4,"SUBTOTAL",$L$19:$Z$19)</f>
        <v>271.13158639211548</v>
      </c>
    </row>
    <row r="20" spans="1:27" ht="11.25" customHeight="1" x14ac:dyDescent="0.25">
      <c r="A20" s="140"/>
      <c r="B20" s="140"/>
      <c r="C20" s="140"/>
      <c r="D20" s="33" t="s">
        <v>30</v>
      </c>
      <c r="E20" s="33" t="s">
        <v>25</v>
      </c>
      <c r="F20" s="33" t="s">
        <v>25</v>
      </c>
      <c r="G20" s="32" t="s">
        <v>96</v>
      </c>
      <c r="H20" s="32" t="s">
        <v>90</v>
      </c>
      <c r="I20" s="32">
        <f>'MERCADO TE'!$U$17</f>
        <v>0</v>
      </c>
      <c r="J20" s="17"/>
      <c r="L20" s="30">
        <f>'TR TE'!$L$20*'TR TE'!$L$51</f>
        <v>2.6620626617255141</v>
      </c>
      <c r="M20" s="30">
        <f>'TR TE'!$M$20*'TR TE'!$M$51</f>
        <v>15.500642118478797</v>
      </c>
      <c r="N20" s="30">
        <f>'TR TE'!$N$20*'TR TE'!$N$51</f>
        <v>0</v>
      </c>
      <c r="O20" s="30">
        <f>'TR TE'!$O$20*'TR TE'!$O$51</f>
        <v>27.08815515558446</v>
      </c>
      <c r="P20" s="30">
        <f>SUM($L$20:$O$20)</f>
        <v>45.250859935788768</v>
      </c>
      <c r="Q20" s="30">
        <f>'TR TE'!$Q$20*'TR TE'!$Q$51</f>
        <v>219.45617342425436</v>
      </c>
      <c r="R20" s="30">
        <f>SUM($Q$20:$Q$20)</f>
        <v>219.45617342425436</v>
      </c>
      <c r="S20" s="30">
        <f>'TR TE'!$S$20*'TR TE'!$S$51</f>
        <v>0</v>
      </c>
      <c r="T20" s="30">
        <f>'TR TE'!$T$20*'TR TE'!$T$51</f>
        <v>0</v>
      </c>
      <c r="U20" s="30">
        <f>'TR TE'!$U$20*'TR TE'!$U$51</f>
        <v>0</v>
      </c>
      <c r="V20" s="30">
        <f>SUM($S$20:$U$20)</f>
        <v>0</v>
      </c>
      <c r="W20" s="30"/>
      <c r="X20" s="30">
        <f>SUM($W$20:$W$20)</f>
        <v>0</v>
      </c>
      <c r="Y20" s="30">
        <f>'TR TE'!$Y$20*'TR TE'!$Y$51</f>
        <v>6.4245530320723674</v>
      </c>
      <c r="Z20" s="30">
        <f>SUM($Y$20:$Y$20)</f>
        <v>6.4245530320723674</v>
      </c>
      <c r="AA20" s="30">
        <f>SUMIF($L$4:$Z$4,"SUBTOTAL",$L$20:$Z$20)</f>
        <v>271.13158639211548</v>
      </c>
    </row>
    <row r="21" spans="1:27" ht="11.25" customHeight="1" x14ac:dyDescent="0.25">
      <c r="A21" s="140"/>
      <c r="B21" s="140"/>
      <c r="C21" s="140"/>
      <c r="D21" s="33" t="s">
        <v>31</v>
      </c>
      <c r="E21" s="33" t="s">
        <v>25</v>
      </c>
      <c r="F21" s="33" t="s">
        <v>25</v>
      </c>
      <c r="G21" s="32" t="s">
        <v>96</v>
      </c>
      <c r="H21" s="32" t="s">
        <v>90</v>
      </c>
      <c r="I21" s="32">
        <f>'MERCADO TE'!$U$18</f>
        <v>0</v>
      </c>
      <c r="J21" s="17"/>
      <c r="L21" s="30">
        <f>'TR TE'!$L$21*'TR TE'!$L$51</f>
        <v>2.6620626617255141</v>
      </c>
      <c r="M21" s="30">
        <f>'TR TE'!$M$21*'TR TE'!$M$51</f>
        <v>15.500642118478797</v>
      </c>
      <c r="N21" s="30">
        <f>'TR TE'!$N$21*'TR TE'!$N$51</f>
        <v>0</v>
      </c>
      <c r="O21" s="30">
        <f>'TR TE'!$O$21*'TR TE'!$O$51</f>
        <v>27.08815515558446</v>
      </c>
      <c r="P21" s="30">
        <f>SUM($L$21:$O$21)</f>
        <v>45.250859935788768</v>
      </c>
      <c r="Q21" s="30">
        <f>'TR TE'!$Q$21*'TR TE'!$Q$51</f>
        <v>219.45617342425436</v>
      </c>
      <c r="R21" s="30">
        <f>SUM($Q$21:$Q$21)</f>
        <v>219.45617342425436</v>
      </c>
      <c r="S21" s="30">
        <f>'TR TE'!$S$21*'TR TE'!$S$51</f>
        <v>0</v>
      </c>
      <c r="T21" s="30">
        <f>'TR TE'!$T$21*'TR TE'!$T$51</f>
        <v>0</v>
      </c>
      <c r="U21" s="30">
        <f>'TR TE'!$U$21*'TR TE'!$U$51</f>
        <v>0</v>
      </c>
      <c r="V21" s="30">
        <f>SUM($S$21:$U$21)</f>
        <v>0</v>
      </c>
      <c r="W21" s="30"/>
      <c r="X21" s="30">
        <f>SUM($W$21:$W$21)</f>
        <v>0</v>
      </c>
      <c r="Y21" s="30">
        <f>'TR TE'!$Y$21*'TR TE'!$Y$51</f>
        <v>6.4245530320723674</v>
      </c>
      <c r="Z21" s="30">
        <f>SUM($Y$21:$Y$21)</f>
        <v>6.4245530320723674</v>
      </c>
      <c r="AA21" s="30">
        <f>SUMIF($L$4:$Z$4,"SUBTOTAL",$L$21:$Z$21)</f>
        <v>271.13158639211548</v>
      </c>
    </row>
    <row r="22" spans="1:27" ht="11.25" customHeight="1" x14ac:dyDescent="0.25">
      <c r="A22" s="140"/>
      <c r="B22" s="140"/>
      <c r="C22" s="140"/>
      <c r="D22" s="33" t="s">
        <v>32</v>
      </c>
      <c r="E22" s="33" t="s">
        <v>25</v>
      </c>
      <c r="F22" s="33" t="s">
        <v>25</v>
      </c>
      <c r="G22" s="32" t="s">
        <v>96</v>
      </c>
      <c r="H22" s="32" t="s">
        <v>90</v>
      </c>
      <c r="I22" s="32">
        <f>'MERCADO TE'!$U$19</f>
        <v>0</v>
      </c>
      <c r="J22" s="17"/>
      <c r="L22" s="30">
        <f>'TR TE'!$L$22*'TR TE'!$L$51</f>
        <v>2.6620626617255141</v>
      </c>
      <c r="M22" s="30">
        <f>'TR TE'!$M$22*'TR TE'!$M$51</f>
        <v>15.500642118478797</v>
      </c>
      <c r="N22" s="30">
        <f>'TR TE'!$N$22*'TR TE'!$N$51</f>
        <v>0</v>
      </c>
      <c r="O22" s="30">
        <f>'TR TE'!$O$22*'TR TE'!$O$51</f>
        <v>27.08815515558446</v>
      </c>
      <c r="P22" s="30">
        <f>SUM($L$22:$O$22)</f>
        <v>45.250859935788768</v>
      </c>
      <c r="Q22" s="30">
        <f>'TR TE'!$Q$22*'TR TE'!$Q$51</f>
        <v>219.45617342425436</v>
      </c>
      <c r="R22" s="30">
        <f>SUM($Q$22:$Q$22)</f>
        <v>219.45617342425436</v>
      </c>
      <c r="S22" s="30">
        <f>'TR TE'!$S$22*'TR TE'!$S$51</f>
        <v>0</v>
      </c>
      <c r="T22" s="30">
        <f>'TR TE'!$T$22*'TR TE'!$T$51</f>
        <v>0</v>
      </c>
      <c r="U22" s="30">
        <f>'TR TE'!$U$22*'TR TE'!$U$51</f>
        <v>0</v>
      </c>
      <c r="V22" s="30">
        <f>SUM($S$22:$U$22)</f>
        <v>0</v>
      </c>
      <c r="W22" s="30"/>
      <c r="X22" s="30">
        <f>SUM($W$22:$W$22)</f>
        <v>0</v>
      </c>
      <c r="Y22" s="30">
        <f>'TR TE'!$Y$22*'TR TE'!$Y$51</f>
        <v>6.4245530320723674</v>
      </c>
      <c r="Z22" s="30">
        <f>SUM($Y$22:$Y$22)</f>
        <v>6.4245530320723674</v>
      </c>
      <c r="AA22" s="30">
        <f>SUMIF($L$4:$Z$4,"SUBTOTAL",$L$22:$Z$22)</f>
        <v>271.13158639211548</v>
      </c>
    </row>
    <row r="23" spans="1:27" ht="11.25" customHeight="1" x14ac:dyDescent="0.25">
      <c r="A23" s="140" t="s">
        <v>44</v>
      </c>
      <c r="B23" s="140" t="s">
        <v>89</v>
      </c>
      <c r="C23" s="140" t="s">
        <v>45</v>
      </c>
      <c r="D23" s="140" t="s">
        <v>25</v>
      </c>
      <c r="E23" s="140" t="s">
        <v>25</v>
      </c>
      <c r="F23" s="140" t="s">
        <v>25</v>
      </c>
      <c r="G23" s="32" t="s">
        <v>91</v>
      </c>
      <c r="H23" s="32" t="s">
        <v>90</v>
      </c>
      <c r="I23" s="32">
        <f>'MERCADO TE'!$U$20</f>
        <v>3.0000000000000001E-3</v>
      </c>
      <c r="J23" s="17"/>
      <c r="L23" s="30">
        <f>'TR TE'!$L$23*'TR TE'!$L$51</f>
        <v>2.6620626617255141</v>
      </c>
      <c r="M23" s="30">
        <f>'TR TE'!$M$23*'TR TE'!$M$51</f>
        <v>15.500642118478797</v>
      </c>
      <c r="N23" s="30">
        <f>'TR TE'!$N$23*'TR TE'!$N$51</f>
        <v>0</v>
      </c>
      <c r="O23" s="30">
        <f>'TR TE'!$O$23*'TR TE'!$O$51</f>
        <v>27.08815515558446</v>
      </c>
      <c r="P23" s="30">
        <f>SUM($L$23:$O$23)</f>
        <v>45.250859935788768</v>
      </c>
      <c r="Q23" s="30">
        <f>'TR TE'!$Q$23*'TR TE'!$Q$51</f>
        <v>356.09869649973348</v>
      </c>
      <c r="R23" s="30">
        <f>SUM($Q$23:$Q$23)</f>
        <v>356.09869649973348</v>
      </c>
      <c r="S23" s="30">
        <f>'TR TE'!$S$23*'TR TE'!$S$51</f>
        <v>0</v>
      </c>
      <c r="T23" s="30">
        <f>'TR TE'!$T$23*'TR TE'!$T$51</f>
        <v>0</v>
      </c>
      <c r="U23" s="30">
        <f>'TR TE'!$U$23*'TR TE'!$U$51</f>
        <v>0</v>
      </c>
      <c r="V23" s="30">
        <f>SUM($S$23:$U$23)</f>
        <v>0</v>
      </c>
      <c r="W23" s="30"/>
      <c r="X23" s="30">
        <f>SUM($W$23:$W$23)</f>
        <v>0</v>
      </c>
      <c r="Y23" s="30">
        <f>'TR TE'!$Y$23*'TR TE'!$Y$51</f>
        <v>6.4245530320723674</v>
      </c>
      <c r="Z23" s="30">
        <f>SUM($Y$23:$Y$23)</f>
        <v>6.4245530320723674</v>
      </c>
      <c r="AA23" s="30">
        <f>SUMIF($L$4:$Z$4,"SUBTOTAL",$L$23:$Z$23)</f>
        <v>407.7741094675946</v>
      </c>
    </row>
    <row r="24" spans="1:27" ht="11.25" customHeight="1" x14ac:dyDescent="0.25">
      <c r="A24" s="140"/>
      <c r="B24" s="140"/>
      <c r="C24" s="140"/>
      <c r="D24" s="140"/>
      <c r="E24" s="140"/>
      <c r="F24" s="140"/>
      <c r="G24" s="32" t="s">
        <v>101</v>
      </c>
      <c r="H24" s="32" t="s">
        <v>90</v>
      </c>
      <c r="I24" s="32">
        <f>'MERCADO TE'!$U$21</f>
        <v>3.1E-2</v>
      </c>
      <c r="J24" s="17"/>
      <c r="L24" s="30">
        <f>'TR TE'!$L$24*'TR TE'!$L$51</f>
        <v>2.6620626617255141</v>
      </c>
      <c r="M24" s="30">
        <f>'TR TE'!$M$24*'TR TE'!$M$51</f>
        <v>15.500642118478797</v>
      </c>
      <c r="N24" s="30">
        <f>'TR TE'!$N$24*'TR TE'!$N$51</f>
        <v>0</v>
      </c>
      <c r="O24" s="30">
        <f>'TR TE'!$O$24*'TR TE'!$O$51</f>
        <v>27.08815515558446</v>
      </c>
      <c r="P24" s="30">
        <f>SUM($L$24:$O$24)</f>
        <v>45.250859935788768</v>
      </c>
      <c r="Q24" s="30">
        <f>'TR TE'!$Q$24*'TR TE'!$Q$51</f>
        <v>207.03412587193807</v>
      </c>
      <c r="R24" s="30">
        <f>SUM($Q$24:$Q$24)</f>
        <v>207.03412587193807</v>
      </c>
      <c r="S24" s="30">
        <f>'TR TE'!$S$24*'TR TE'!$S$51</f>
        <v>0</v>
      </c>
      <c r="T24" s="30">
        <f>'TR TE'!$T$24*'TR TE'!$T$51</f>
        <v>0</v>
      </c>
      <c r="U24" s="30">
        <f>'TR TE'!$U$24*'TR TE'!$U$51</f>
        <v>0</v>
      </c>
      <c r="V24" s="30">
        <f>SUM($S$24:$U$24)</f>
        <v>0</v>
      </c>
      <c r="W24" s="30"/>
      <c r="X24" s="30">
        <f>SUM($W$24:$W$24)</f>
        <v>0</v>
      </c>
      <c r="Y24" s="30">
        <f>'TR TE'!$Y$24*'TR TE'!$Y$51</f>
        <v>6.4245530320723674</v>
      </c>
      <c r="Z24" s="30">
        <f>SUM($Y$24:$Y$24)</f>
        <v>6.4245530320723674</v>
      </c>
      <c r="AA24" s="30">
        <f>SUMIF($L$4:$Z$4,"SUBTOTAL",$L$24:$Z$24)</f>
        <v>258.70953883979922</v>
      </c>
    </row>
    <row r="25" spans="1:27" ht="11.25" customHeight="1" x14ac:dyDescent="0.25">
      <c r="A25" s="140"/>
      <c r="B25" s="140"/>
      <c r="C25" s="140"/>
      <c r="D25" s="140"/>
      <c r="E25" s="140"/>
      <c r="F25" s="140"/>
      <c r="G25" s="32" t="s">
        <v>92</v>
      </c>
      <c r="H25" s="32" t="s">
        <v>90</v>
      </c>
      <c r="I25" s="32">
        <f>'MERCADO TE'!$U$22</f>
        <v>8.956999999999999</v>
      </c>
      <c r="J25" s="17"/>
      <c r="L25" s="30">
        <f>'TR TE'!$L$25*'TR TE'!$L$51</f>
        <v>2.6620626617255141</v>
      </c>
      <c r="M25" s="30">
        <f>'TR TE'!$M$25*'TR TE'!$M$51</f>
        <v>15.500642118478797</v>
      </c>
      <c r="N25" s="30">
        <f>'TR TE'!$N$25*'TR TE'!$N$51</f>
        <v>0</v>
      </c>
      <c r="O25" s="30">
        <f>'TR TE'!$O$25*'TR TE'!$O$51</f>
        <v>27.08815515558446</v>
      </c>
      <c r="P25" s="30">
        <f>SUM($L$25:$O$25)</f>
        <v>45.250859935788768</v>
      </c>
      <c r="Q25" s="30">
        <f>'TR TE'!$Q$25*'TR TE'!$Q$51</f>
        <v>207.03412587193807</v>
      </c>
      <c r="R25" s="30">
        <f>SUM($Q$25:$Q$25)</f>
        <v>207.03412587193807</v>
      </c>
      <c r="S25" s="30">
        <f>'TR TE'!$S$25*'TR TE'!$S$51</f>
        <v>0</v>
      </c>
      <c r="T25" s="30">
        <f>'TR TE'!$T$25*'TR TE'!$T$51</f>
        <v>0</v>
      </c>
      <c r="U25" s="30">
        <f>'TR TE'!$U$25*'TR TE'!$U$51</f>
        <v>0</v>
      </c>
      <c r="V25" s="30">
        <f>SUM($S$25:$U$25)</f>
        <v>0</v>
      </c>
      <c r="W25" s="30"/>
      <c r="X25" s="30">
        <f>SUM($W$25:$W$25)</f>
        <v>0</v>
      </c>
      <c r="Y25" s="30">
        <f>'TR TE'!$Y$25*'TR TE'!$Y$51</f>
        <v>6.4245530320723674</v>
      </c>
      <c r="Z25" s="30">
        <f>SUM($Y$25:$Y$25)</f>
        <v>6.4245530320723674</v>
      </c>
      <c r="AA25" s="30">
        <f>SUMIF($L$4:$Z$4,"SUBTOTAL",$L$25:$Z$25)</f>
        <v>258.70953883979922</v>
      </c>
    </row>
    <row r="26" spans="1:27" ht="11.25" customHeight="1" x14ac:dyDescent="0.25">
      <c r="A26" s="140"/>
      <c r="B26" s="33" t="s">
        <v>97</v>
      </c>
      <c r="C26" s="33" t="s">
        <v>45</v>
      </c>
      <c r="D26" s="33" t="s">
        <v>25</v>
      </c>
      <c r="E26" s="33" t="s">
        <v>25</v>
      </c>
      <c r="F26" s="33" t="s">
        <v>25</v>
      </c>
      <c r="G26" s="32" t="s">
        <v>96</v>
      </c>
      <c r="H26" s="32" t="s">
        <v>90</v>
      </c>
      <c r="I26" s="32">
        <f>'MERCADO TE'!$U$23</f>
        <v>60904.316999999995</v>
      </c>
      <c r="J26" s="17"/>
      <c r="L26" s="30">
        <f>'TR TE'!$L$26*'TR TE'!$L$51</f>
        <v>2.6620626617255141</v>
      </c>
      <c r="M26" s="30">
        <f>'TR TE'!$M$26*'TR TE'!$M$51</f>
        <v>15.500642118478797</v>
      </c>
      <c r="N26" s="30">
        <f>'TR TE'!$N$26*'TR TE'!$N$51</f>
        <v>0</v>
      </c>
      <c r="O26" s="30">
        <f>'TR TE'!$O$26*'TR TE'!$O$51</f>
        <v>27.08815515558446</v>
      </c>
      <c r="P26" s="30">
        <f>SUM($L$26:$O$26)</f>
        <v>45.250859935788768</v>
      </c>
      <c r="Q26" s="30">
        <f>'TR TE'!$Q$26*'TR TE'!$Q$51</f>
        <v>219.45617342425436</v>
      </c>
      <c r="R26" s="30">
        <f>SUM($Q$26:$Q$26)</f>
        <v>219.45617342425436</v>
      </c>
      <c r="S26" s="30">
        <f>'TR TE'!$S$26*'TR TE'!$S$51</f>
        <v>0</v>
      </c>
      <c r="T26" s="30">
        <f>'TR TE'!$T$26*'TR TE'!$T$51</f>
        <v>0</v>
      </c>
      <c r="U26" s="30">
        <f>'TR TE'!$U$26*'TR TE'!$U$51</f>
        <v>0</v>
      </c>
      <c r="V26" s="30">
        <f>SUM($S$26:$U$26)</f>
        <v>0</v>
      </c>
      <c r="W26" s="30"/>
      <c r="X26" s="30">
        <f>SUM($W$26:$W$26)</f>
        <v>0</v>
      </c>
      <c r="Y26" s="30">
        <f>'TR TE'!$Y$26*'TR TE'!$Y$51</f>
        <v>6.4245530320723674</v>
      </c>
      <c r="Z26" s="30">
        <f>SUM($Y$26:$Y$26)</f>
        <v>6.4245530320723674</v>
      </c>
      <c r="AA26" s="30">
        <f>SUMIF($L$4:$Z$4,"SUBTOTAL",$L$26:$Z$26)</f>
        <v>271.13158639211548</v>
      </c>
    </row>
    <row r="27" spans="1:27" ht="11.25" customHeight="1" x14ac:dyDescent="0.25">
      <c r="A27" s="140"/>
      <c r="B27" s="140" t="s">
        <v>89</v>
      </c>
      <c r="C27" s="140" t="s">
        <v>45</v>
      </c>
      <c r="D27" s="140" t="s">
        <v>104</v>
      </c>
      <c r="E27" s="140" t="s">
        <v>25</v>
      </c>
      <c r="F27" s="140" t="s">
        <v>25</v>
      </c>
      <c r="G27" s="32" t="s">
        <v>91</v>
      </c>
      <c r="H27" s="32" t="s">
        <v>90</v>
      </c>
      <c r="I27" s="32">
        <f>'MERCADO TE'!$U$24</f>
        <v>0</v>
      </c>
      <c r="J27" s="17"/>
      <c r="L27" s="30">
        <f>'TR TE'!$L$27*'TR TE'!$L$51</f>
        <v>2.6620626617255141</v>
      </c>
      <c r="M27" s="30">
        <f>'TR TE'!$M$27*'TR TE'!$M$51</f>
        <v>15.500642118478797</v>
      </c>
      <c r="N27" s="30">
        <f>'TR TE'!$N$27*'TR TE'!$N$51</f>
        <v>0</v>
      </c>
      <c r="O27" s="30">
        <f>'TR TE'!$O$27*'TR TE'!$O$51</f>
        <v>27.08815515558446</v>
      </c>
      <c r="P27" s="30">
        <f>SUM($L$27:$O$27)</f>
        <v>45.250859935788768</v>
      </c>
      <c r="Q27" s="30">
        <f>'TR TE'!$Q$27*'TR TE'!$Q$51</f>
        <v>356.09869649973348</v>
      </c>
      <c r="R27" s="30">
        <f>SUM($Q$27:$Q$27)</f>
        <v>356.09869649973348</v>
      </c>
      <c r="S27" s="30">
        <f>'TR TE'!$S$27*'TR TE'!$S$51</f>
        <v>0</v>
      </c>
      <c r="T27" s="30">
        <f>'TR TE'!$T$27*'TR TE'!$T$51</f>
        <v>0</v>
      </c>
      <c r="U27" s="30">
        <f>'TR TE'!$U$27*'TR TE'!$U$51</f>
        <v>0</v>
      </c>
      <c r="V27" s="30">
        <f>SUM($S$27:$U$27)</f>
        <v>0</v>
      </c>
      <c r="W27" s="30"/>
      <c r="X27" s="30">
        <f>SUM($W$27:$W$27)</f>
        <v>0</v>
      </c>
      <c r="Y27" s="30">
        <f>'TR TE'!$Y$27*'TR TE'!$Y$51</f>
        <v>6.4245530320723674</v>
      </c>
      <c r="Z27" s="30">
        <f>SUM($Y$27:$Y$27)</f>
        <v>6.4245530320723674</v>
      </c>
      <c r="AA27" s="30">
        <f>SUMIF($L$4:$Z$4,"SUBTOTAL",$L$27:$Z$27)</f>
        <v>407.7741094675946</v>
      </c>
    </row>
    <row r="28" spans="1:27" ht="11.25" customHeight="1" x14ac:dyDescent="0.25">
      <c r="A28" s="140"/>
      <c r="B28" s="140"/>
      <c r="C28" s="140"/>
      <c r="D28" s="140"/>
      <c r="E28" s="140"/>
      <c r="F28" s="140"/>
      <c r="G28" s="32" t="s">
        <v>101</v>
      </c>
      <c r="H28" s="32" t="s">
        <v>90</v>
      </c>
      <c r="I28" s="32">
        <f>'MERCADO TE'!$U$25</f>
        <v>0</v>
      </c>
      <c r="J28" s="17"/>
      <c r="L28" s="30">
        <f>'TR TE'!$L$28*'TR TE'!$L$51</f>
        <v>2.6620626617255141</v>
      </c>
      <c r="M28" s="30">
        <f>'TR TE'!$M$28*'TR TE'!$M$51</f>
        <v>15.500642118478797</v>
      </c>
      <c r="N28" s="30">
        <f>'TR TE'!$N$28*'TR TE'!$N$51</f>
        <v>0</v>
      </c>
      <c r="O28" s="30">
        <f>'TR TE'!$O$28*'TR TE'!$O$51</f>
        <v>27.08815515558446</v>
      </c>
      <c r="P28" s="30">
        <f>SUM($L$28:$O$28)</f>
        <v>45.250859935788768</v>
      </c>
      <c r="Q28" s="30">
        <f>'TR TE'!$Q$28*'TR TE'!$Q$51</f>
        <v>207.03412587193807</v>
      </c>
      <c r="R28" s="30">
        <f>SUM($Q$28:$Q$28)</f>
        <v>207.03412587193807</v>
      </c>
      <c r="S28" s="30">
        <f>'TR TE'!$S$28*'TR TE'!$S$51</f>
        <v>0</v>
      </c>
      <c r="T28" s="30">
        <f>'TR TE'!$T$28*'TR TE'!$T$51</f>
        <v>0</v>
      </c>
      <c r="U28" s="30">
        <f>'TR TE'!$U$28*'TR TE'!$U$51</f>
        <v>0</v>
      </c>
      <c r="V28" s="30">
        <f>SUM($S$28:$U$28)</f>
        <v>0</v>
      </c>
      <c r="W28" s="30"/>
      <c r="X28" s="30">
        <f>SUM($W$28:$W$28)</f>
        <v>0</v>
      </c>
      <c r="Y28" s="30">
        <f>'TR TE'!$Y$28*'TR TE'!$Y$51</f>
        <v>6.4245530320723674</v>
      </c>
      <c r="Z28" s="30">
        <f>SUM($Y$28:$Y$28)</f>
        <v>6.4245530320723674</v>
      </c>
      <c r="AA28" s="30">
        <f>SUMIF($L$4:$Z$4,"SUBTOTAL",$L$28:$Z$28)</f>
        <v>258.70953883979922</v>
      </c>
    </row>
    <row r="29" spans="1:27" ht="11.25" customHeight="1" x14ac:dyDescent="0.25">
      <c r="A29" s="140"/>
      <c r="B29" s="140"/>
      <c r="C29" s="140"/>
      <c r="D29" s="140"/>
      <c r="E29" s="140"/>
      <c r="F29" s="140"/>
      <c r="G29" s="32" t="s">
        <v>92</v>
      </c>
      <c r="H29" s="32" t="s">
        <v>90</v>
      </c>
      <c r="I29" s="32">
        <f>'MERCADO TE'!$U$26</f>
        <v>0</v>
      </c>
      <c r="J29" s="17"/>
      <c r="L29" s="30">
        <f>'TR TE'!$L$29*'TR TE'!$L$51</f>
        <v>2.6620626617255141</v>
      </c>
      <c r="M29" s="30">
        <f>'TR TE'!$M$29*'TR TE'!$M$51</f>
        <v>15.500642118478797</v>
      </c>
      <c r="N29" s="30">
        <f>'TR TE'!$N$29*'TR TE'!$N$51</f>
        <v>0</v>
      </c>
      <c r="O29" s="30">
        <f>'TR TE'!$O$29*'TR TE'!$O$51</f>
        <v>27.08815515558446</v>
      </c>
      <c r="P29" s="30">
        <f>SUM($L$29:$O$29)</f>
        <v>45.250859935788768</v>
      </c>
      <c r="Q29" s="30">
        <f>'TR TE'!$Q$29*'TR TE'!$Q$51</f>
        <v>207.03412587193807</v>
      </c>
      <c r="R29" s="30">
        <f>SUM($Q$29:$Q$29)</f>
        <v>207.03412587193807</v>
      </c>
      <c r="S29" s="30">
        <f>'TR TE'!$S$29*'TR TE'!$S$51</f>
        <v>0</v>
      </c>
      <c r="T29" s="30">
        <f>'TR TE'!$T$29*'TR TE'!$T$51</f>
        <v>0</v>
      </c>
      <c r="U29" s="30">
        <f>'TR TE'!$U$29*'TR TE'!$U$51</f>
        <v>0</v>
      </c>
      <c r="V29" s="30">
        <f>SUM($S$29:$U$29)</f>
        <v>0</v>
      </c>
      <c r="W29" s="30"/>
      <c r="X29" s="30">
        <f>SUM($W$29:$W$29)</f>
        <v>0</v>
      </c>
      <c r="Y29" s="30">
        <f>'TR TE'!$Y$29*'TR TE'!$Y$51</f>
        <v>6.4245530320723674</v>
      </c>
      <c r="Z29" s="30">
        <f>SUM($Y$29:$Y$29)</f>
        <v>6.4245530320723674</v>
      </c>
      <c r="AA29" s="30">
        <f>SUMIF($L$4:$Z$4,"SUBTOTAL",$L$29:$Z$29)</f>
        <v>258.70953883979922</v>
      </c>
    </row>
    <row r="30" spans="1:27" ht="11.25" customHeight="1" x14ac:dyDescent="0.25">
      <c r="A30" s="140"/>
      <c r="B30" s="33" t="s">
        <v>97</v>
      </c>
      <c r="C30" s="33" t="s">
        <v>45</v>
      </c>
      <c r="D30" s="33" t="s">
        <v>104</v>
      </c>
      <c r="E30" s="33" t="s">
        <v>25</v>
      </c>
      <c r="F30" s="33" t="s">
        <v>25</v>
      </c>
      <c r="G30" s="32" t="s">
        <v>96</v>
      </c>
      <c r="H30" s="32" t="s">
        <v>90</v>
      </c>
      <c r="I30" s="32">
        <f>'MERCADO TE'!$U$27</f>
        <v>0</v>
      </c>
      <c r="J30" s="17"/>
      <c r="L30" s="30">
        <f>'TR TE'!$L$30*'TR TE'!$L$51</f>
        <v>2.6620626617255141</v>
      </c>
      <c r="M30" s="30">
        <f>'TR TE'!$M$30*'TR TE'!$M$51</f>
        <v>15.500642118478797</v>
      </c>
      <c r="N30" s="30">
        <f>'TR TE'!$N$30*'TR TE'!$N$51</f>
        <v>0</v>
      </c>
      <c r="O30" s="30">
        <f>'TR TE'!$O$30*'TR TE'!$O$51</f>
        <v>27.08815515558446</v>
      </c>
      <c r="P30" s="30">
        <f>SUM($L$30:$O$30)</f>
        <v>45.250859935788768</v>
      </c>
      <c r="Q30" s="30">
        <f>'TR TE'!$Q$30*'TR TE'!$Q$51</f>
        <v>219.45617342425436</v>
      </c>
      <c r="R30" s="30">
        <f>SUM($Q$30:$Q$30)</f>
        <v>219.45617342425436</v>
      </c>
      <c r="S30" s="30">
        <f>'TR TE'!$S$30*'TR TE'!$S$51</f>
        <v>0</v>
      </c>
      <c r="T30" s="30">
        <f>'TR TE'!$T$30*'TR TE'!$T$51</f>
        <v>0</v>
      </c>
      <c r="U30" s="30">
        <f>'TR TE'!$U$30*'TR TE'!$U$51</f>
        <v>0</v>
      </c>
      <c r="V30" s="30">
        <f>SUM($S$30:$U$30)</f>
        <v>0</v>
      </c>
      <c r="W30" s="30"/>
      <c r="X30" s="30">
        <f>SUM($W$30:$W$30)</f>
        <v>0</v>
      </c>
      <c r="Y30" s="30">
        <f>'TR TE'!$Y$30*'TR TE'!$Y$51</f>
        <v>6.4245530320723674</v>
      </c>
      <c r="Z30" s="30">
        <f>SUM($Y$30:$Y$30)</f>
        <v>6.4245530320723674</v>
      </c>
      <c r="AA30" s="30">
        <f>SUMIF($L$4:$Z$4,"SUBTOTAL",$L$30:$Z$30)</f>
        <v>271.13158639211548</v>
      </c>
    </row>
    <row r="31" spans="1:27" ht="11.25" customHeight="1" x14ac:dyDescent="0.25">
      <c r="A31" s="140"/>
      <c r="B31" s="140" t="s">
        <v>89</v>
      </c>
      <c r="C31" s="140" t="s">
        <v>45</v>
      </c>
      <c r="D31" s="140" t="s">
        <v>105</v>
      </c>
      <c r="E31" s="140" t="s">
        <v>25</v>
      </c>
      <c r="F31" s="140" t="s">
        <v>25</v>
      </c>
      <c r="G31" s="32" t="s">
        <v>91</v>
      </c>
      <c r="H31" s="32" t="s">
        <v>90</v>
      </c>
      <c r="I31" s="32">
        <f>'MERCADO TE'!$U$28</f>
        <v>0</v>
      </c>
      <c r="J31" s="17"/>
      <c r="L31" s="30">
        <f>'TR TE'!$L$31*'TR TE'!$L$51</f>
        <v>2.6620626617255141</v>
      </c>
      <c r="M31" s="30">
        <f>'TR TE'!$M$31*'TR TE'!$M$51</f>
        <v>15.500642118478797</v>
      </c>
      <c r="N31" s="30">
        <f>'TR TE'!$N$31*'TR TE'!$N$51</f>
        <v>0</v>
      </c>
      <c r="O31" s="30">
        <f>'TR TE'!$O$31*'TR TE'!$O$51</f>
        <v>27.08815515558446</v>
      </c>
      <c r="P31" s="30">
        <f>SUM($L$31:$O$31)</f>
        <v>45.250859935788768</v>
      </c>
      <c r="Q31" s="30">
        <f>'TR TE'!$Q$31*'TR TE'!$Q$51</f>
        <v>356.09869649973348</v>
      </c>
      <c r="R31" s="30">
        <f>SUM($Q$31:$Q$31)</f>
        <v>356.09869649973348</v>
      </c>
      <c r="S31" s="30">
        <f>'TR TE'!$S$31*'TR TE'!$S$51</f>
        <v>0</v>
      </c>
      <c r="T31" s="30">
        <f>'TR TE'!$T$31*'TR TE'!$T$51</f>
        <v>0</v>
      </c>
      <c r="U31" s="30">
        <f>'TR TE'!$U$31*'TR TE'!$U$51</f>
        <v>0</v>
      </c>
      <c r="V31" s="30">
        <f>SUM($S$31:$U$31)</f>
        <v>0</v>
      </c>
      <c r="W31" s="30"/>
      <c r="X31" s="30">
        <f>SUM($W$31:$W$31)</f>
        <v>0</v>
      </c>
      <c r="Y31" s="30">
        <f>'TR TE'!$Y$31*'TR TE'!$Y$51</f>
        <v>6.4245530320723674</v>
      </c>
      <c r="Z31" s="30">
        <f>SUM($Y$31:$Y$31)</f>
        <v>6.4245530320723674</v>
      </c>
      <c r="AA31" s="30">
        <f>SUMIF($L$4:$Z$4,"SUBTOTAL",$L$31:$Z$31)</f>
        <v>407.7741094675946</v>
      </c>
    </row>
    <row r="32" spans="1:27" ht="11.25" customHeight="1" x14ac:dyDescent="0.25">
      <c r="A32" s="140"/>
      <c r="B32" s="140"/>
      <c r="C32" s="140"/>
      <c r="D32" s="140"/>
      <c r="E32" s="140"/>
      <c r="F32" s="140"/>
      <c r="G32" s="32" t="s">
        <v>101</v>
      </c>
      <c r="H32" s="32" t="s">
        <v>90</v>
      </c>
      <c r="I32" s="32">
        <f>'MERCADO TE'!$U$29</f>
        <v>0</v>
      </c>
      <c r="J32" s="17"/>
      <c r="L32" s="30">
        <f>'TR TE'!$L$32*'TR TE'!$L$51</f>
        <v>2.6620626617255141</v>
      </c>
      <c r="M32" s="30">
        <f>'TR TE'!$M$32*'TR TE'!$M$51</f>
        <v>15.500642118478797</v>
      </c>
      <c r="N32" s="30">
        <f>'TR TE'!$N$32*'TR TE'!$N$51</f>
        <v>0</v>
      </c>
      <c r="O32" s="30">
        <f>'TR TE'!$O$32*'TR TE'!$O$51</f>
        <v>27.08815515558446</v>
      </c>
      <c r="P32" s="30">
        <f>SUM($L$32:$O$32)</f>
        <v>45.250859935788768</v>
      </c>
      <c r="Q32" s="30">
        <f>'TR TE'!$Q$32*'TR TE'!$Q$51</f>
        <v>207.03412587193807</v>
      </c>
      <c r="R32" s="30">
        <f>SUM($Q$32:$Q$32)</f>
        <v>207.03412587193807</v>
      </c>
      <c r="S32" s="30">
        <f>'TR TE'!$S$32*'TR TE'!$S$51</f>
        <v>0</v>
      </c>
      <c r="T32" s="30">
        <f>'TR TE'!$T$32*'TR TE'!$T$51</f>
        <v>0</v>
      </c>
      <c r="U32" s="30">
        <f>'TR TE'!$U$32*'TR TE'!$U$51</f>
        <v>0</v>
      </c>
      <c r="V32" s="30">
        <f>SUM($S$32:$U$32)</f>
        <v>0</v>
      </c>
      <c r="W32" s="30"/>
      <c r="X32" s="30">
        <f>SUM($W$32:$W$32)</f>
        <v>0</v>
      </c>
      <c r="Y32" s="30">
        <f>'TR TE'!$Y$32*'TR TE'!$Y$51</f>
        <v>6.4245530320723674</v>
      </c>
      <c r="Z32" s="30">
        <f>SUM($Y$32:$Y$32)</f>
        <v>6.4245530320723674</v>
      </c>
      <c r="AA32" s="30">
        <f>SUMIF($L$4:$Z$4,"SUBTOTAL",$L$32:$Z$32)</f>
        <v>258.70953883979922</v>
      </c>
    </row>
    <row r="33" spans="1:27" ht="11.25" customHeight="1" x14ac:dyDescent="0.25">
      <c r="A33" s="140"/>
      <c r="B33" s="140"/>
      <c r="C33" s="140"/>
      <c r="D33" s="140"/>
      <c r="E33" s="140"/>
      <c r="F33" s="140"/>
      <c r="G33" s="32" t="s">
        <v>92</v>
      </c>
      <c r="H33" s="32" t="s">
        <v>90</v>
      </c>
      <c r="I33" s="32">
        <f>'MERCADO TE'!$U$30</f>
        <v>0</v>
      </c>
      <c r="J33" s="17"/>
      <c r="L33" s="30">
        <f>'TR TE'!$L$33*'TR TE'!$L$51</f>
        <v>2.6620626617255141</v>
      </c>
      <c r="M33" s="30">
        <f>'TR TE'!$M$33*'TR TE'!$M$51</f>
        <v>15.500642118478797</v>
      </c>
      <c r="N33" s="30">
        <f>'TR TE'!$N$33*'TR TE'!$N$51</f>
        <v>0</v>
      </c>
      <c r="O33" s="30">
        <f>'TR TE'!$O$33*'TR TE'!$O$51</f>
        <v>27.08815515558446</v>
      </c>
      <c r="P33" s="30">
        <f>SUM($L$33:$O$33)</f>
        <v>45.250859935788768</v>
      </c>
      <c r="Q33" s="30">
        <f>'TR TE'!$Q$33*'TR TE'!$Q$51</f>
        <v>207.03412587193807</v>
      </c>
      <c r="R33" s="30">
        <f>SUM($Q$33:$Q$33)</f>
        <v>207.03412587193807</v>
      </c>
      <c r="S33" s="30">
        <f>'TR TE'!$S$33*'TR TE'!$S$51</f>
        <v>0</v>
      </c>
      <c r="T33" s="30">
        <f>'TR TE'!$T$33*'TR TE'!$T$51</f>
        <v>0</v>
      </c>
      <c r="U33" s="30">
        <f>'TR TE'!$U$33*'TR TE'!$U$51</f>
        <v>0</v>
      </c>
      <c r="V33" s="30">
        <f>SUM($S$33:$U$33)</f>
        <v>0</v>
      </c>
      <c r="W33" s="30"/>
      <c r="X33" s="30">
        <f>SUM($W$33:$W$33)</f>
        <v>0</v>
      </c>
      <c r="Y33" s="30">
        <f>'TR TE'!$Y$33*'TR TE'!$Y$51</f>
        <v>6.4245530320723674</v>
      </c>
      <c r="Z33" s="30">
        <f>SUM($Y$33:$Y$33)</f>
        <v>6.4245530320723674</v>
      </c>
      <c r="AA33" s="30">
        <f>SUMIF($L$4:$Z$4,"SUBTOTAL",$L$33:$Z$33)</f>
        <v>258.70953883979922</v>
      </c>
    </row>
    <row r="34" spans="1:27" ht="11.25" customHeight="1" x14ac:dyDescent="0.25">
      <c r="A34" s="140"/>
      <c r="B34" s="33" t="s">
        <v>97</v>
      </c>
      <c r="C34" s="33" t="s">
        <v>45</v>
      </c>
      <c r="D34" s="33" t="s">
        <v>105</v>
      </c>
      <c r="E34" s="33" t="s">
        <v>25</v>
      </c>
      <c r="F34" s="33" t="s">
        <v>25</v>
      </c>
      <c r="G34" s="32" t="s">
        <v>96</v>
      </c>
      <c r="H34" s="32" t="s">
        <v>90</v>
      </c>
      <c r="I34" s="32">
        <f>'MERCADO TE'!$U$31</f>
        <v>0</v>
      </c>
      <c r="J34" s="17"/>
      <c r="L34" s="30">
        <f>'TR TE'!$L$34*'TR TE'!$L$51</f>
        <v>2.6620626617255141</v>
      </c>
      <c r="M34" s="30">
        <f>'TR TE'!$M$34*'TR TE'!$M$51</f>
        <v>15.500642118478797</v>
      </c>
      <c r="N34" s="30">
        <f>'TR TE'!$N$34*'TR TE'!$N$51</f>
        <v>0</v>
      </c>
      <c r="O34" s="30">
        <f>'TR TE'!$O$34*'TR TE'!$O$51</f>
        <v>27.08815515558446</v>
      </c>
      <c r="P34" s="30">
        <f>SUM($L$34:$O$34)</f>
        <v>45.250859935788768</v>
      </c>
      <c r="Q34" s="30">
        <f>'TR TE'!$Q$34*'TR TE'!$Q$51</f>
        <v>219.45617342425436</v>
      </c>
      <c r="R34" s="30">
        <f>SUM($Q$34:$Q$34)</f>
        <v>219.45617342425436</v>
      </c>
      <c r="S34" s="30">
        <f>'TR TE'!$S$34*'TR TE'!$S$51</f>
        <v>0</v>
      </c>
      <c r="T34" s="30">
        <f>'TR TE'!$T$34*'TR TE'!$T$51</f>
        <v>0</v>
      </c>
      <c r="U34" s="30">
        <f>'TR TE'!$U$34*'TR TE'!$U$51</f>
        <v>0</v>
      </c>
      <c r="V34" s="30">
        <f>SUM($S$34:$U$34)</f>
        <v>0</v>
      </c>
      <c r="W34" s="30"/>
      <c r="X34" s="30">
        <f>SUM($W$34:$W$34)</f>
        <v>0</v>
      </c>
      <c r="Y34" s="30">
        <f>'TR TE'!$Y$34*'TR TE'!$Y$51</f>
        <v>6.4245530320723674</v>
      </c>
      <c r="Z34" s="30">
        <f>SUM($Y$34:$Y$34)</f>
        <v>6.4245530320723674</v>
      </c>
      <c r="AA34" s="30">
        <f>SUMIF($L$4:$Z$4,"SUBTOTAL",$L$34:$Z$34)</f>
        <v>271.13158639211548</v>
      </c>
    </row>
    <row r="35" spans="1:27" ht="11.25" customHeight="1" x14ac:dyDescent="0.25">
      <c r="A35" s="140"/>
      <c r="B35" s="140" t="s">
        <v>102</v>
      </c>
      <c r="C35" s="140" t="s">
        <v>45</v>
      </c>
      <c r="D35" s="33" t="s">
        <v>25</v>
      </c>
      <c r="E35" s="33" t="s">
        <v>25</v>
      </c>
      <c r="F35" s="33" t="s">
        <v>25</v>
      </c>
      <c r="G35" s="32" t="s">
        <v>96</v>
      </c>
      <c r="H35" s="32" t="s">
        <v>90</v>
      </c>
      <c r="I35" s="32">
        <f>'MERCADO TE'!$U$32</f>
        <v>0</v>
      </c>
      <c r="J35" s="17"/>
      <c r="L35" s="30">
        <f>'TR TE'!$L$35*'TR TE'!$L$51</f>
        <v>2.6620626617255141</v>
      </c>
      <c r="M35" s="30">
        <f>'TR TE'!$M$35*'TR TE'!$M$51</f>
        <v>15.500642118478797</v>
      </c>
      <c r="N35" s="30">
        <f>'TR TE'!$N$35*'TR TE'!$N$51</f>
        <v>0</v>
      </c>
      <c r="O35" s="30">
        <f>'TR TE'!$O$35*'TR TE'!$O$51</f>
        <v>27.08815515558446</v>
      </c>
      <c r="P35" s="30">
        <f>SUM($L$35:$O$35)</f>
        <v>45.250859935788768</v>
      </c>
      <c r="Q35" s="30">
        <f>'TR TE'!$Q$35*'TR TE'!$Q$51</f>
        <v>219.45617342425436</v>
      </c>
      <c r="R35" s="30">
        <f>SUM($Q$35:$Q$35)</f>
        <v>219.45617342425436</v>
      </c>
      <c r="S35" s="30">
        <f>'TR TE'!$S$35*'TR TE'!$S$51</f>
        <v>0</v>
      </c>
      <c r="T35" s="30">
        <f>'TR TE'!$T$35*'TR TE'!$T$51</f>
        <v>0</v>
      </c>
      <c r="U35" s="30">
        <f>'TR TE'!$U$35*'TR TE'!$U$51</f>
        <v>0</v>
      </c>
      <c r="V35" s="30">
        <f>SUM($S$35:$U$35)</f>
        <v>0</v>
      </c>
      <c r="W35" s="30"/>
      <c r="X35" s="30">
        <f>SUM($W$35:$W$35)</f>
        <v>0</v>
      </c>
      <c r="Y35" s="30">
        <f>'TR TE'!$Y$35*'TR TE'!$Y$51</f>
        <v>6.4245530320723674</v>
      </c>
      <c r="Z35" s="30">
        <f>SUM($Y$35:$Y$35)</f>
        <v>6.4245530320723674</v>
      </c>
      <c r="AA35" s="30">
        <f>SUMIF($L$4:$Z$4,"SUBTOTAL",$L$35:$Z$35)</f>
        <v>271.13158639211548</v>
      </c>
    </row>
    <row r="36" spans="1:27" ht="11.25" customHeight="1" x14ac:dyDescent="0.25">
      <c r="A36" s="140"/>
      <c r="B36" s="140"/>
      <c r="C36" s="140"/>
      <c r="D36" s="33" t="s">
        <v>104</v>
      </c>
      <c r="E36" s="33" t="s">
        <v>25</v>
      </c>
      <c r="F36" s="33" t="s">
        <v>25</v>
      </c>
      <c r="G36" s="32" t="s">
        <v>96</v>
      </c>
      <c r="H36" s="32" t="s">
        <v>90</v>
      </c>
      <c r="I36" s="32">
        <f>'MERCADO TE'!$U$33</f>
        <v>0</v>
      </c>
      <c r="J36" s="17"/>
      <c r="L36" s="30">
        <f>'TR TE'!$L$36*'TR TE'!$L$51</f>
        <v>2.6620626617255141</v>
      </c>
      <c r="M36" s="30">
        <f>'TR TE'!$M$36*'TR TE'!$M$51</f>
        <v>15.500642118478797</v>
      </c>
      <c r="N36" s="30">
        <f>'TR TE'!$N$36*'TR TE'!$N$51</f>
        <v>0</v>
      </c>
      <c r="O36" s="30">
        <f>'TR TE'!$O$36*'TR TE'!$O$51</f>
        <v>27.08815515558446</v>
      </c>
      <c r="P36" s="30">
        <f>SUM($L$36:$O$36)</f>
        <v>45.250859935788768</v>
      </c>
      <c r="Q36" s="30">
        <f>'TR TE'!$Q$36*'TR TE'!$Q$51</f>
        <v>219.45617342425436</v>
      </c>
      <c r="R36" s="30">
        <f>SUM($Q$36:$Q$36)</f>
        <v>219.45617342425436</v>
      </c>
      <c r="S36" s="30">
        <f>'TR TE'!$S$36*'TR TE'!$S$51</f>
        <v>0</v>
      </c>
      <c r="T36" s="30">
        <f>'TR TE'!$T$36*'TR TE'!$T$51</f>
        <v>0</v>
      </c>
      <c r="U36" s="30">
        <f>'TR TE'!$U$36*'TR TE'!$U$51</f>
        <v>0</v>
      </c>
      <c r="V36" s="30">
        <f>SUM($S$36:$U$36)</f>
        <v>0</v>
      </c>
      <c r="W36" s="30"/>
      <c r="X36" s="30">
        <f>SUM($W$36:$W$36)</f>
        <v>0</v>
      </c>
      <c r="Y36" s="30">
        <f>'TR TE'!$Y$36*'TR TE'!$Y$51</f>
        <v>6.4245530320723674</v>
      </c>
      <c r="Z36" s="30">
        <f>SUM($Y$36:$Y$36)</f>
        <v>6.4245530320723674</v>
      </c>
      <c r="AA36" s="30">
        <f>SUMIF($L$4:$Z$4,"SUBTOTAL",$L$36:$Z$36)</f>
        <v>271.13158639211548</v>
      </c>
    </row>
    <row r="37" spans="1:27" ht="11.25" customHeight="1" x14ac:dyDescent="0.25">
      <c r="A37" s="140"/>
      <c r="B37" s="140"/>
      <c r="C37" s="140"/>
      <c r="D37" s="33" t="s">
        <v>105</v>
      </c>
      <c r="E37" s="33" t="s">
        <v>25</v>
      </c>
      <c r="F37" s="33" t="s">
        <v>25</v>
      </c>
      <c r="G37" s="32" t="s">
        <v>96</v>
      </c>
      <c r="H37" s="32" t="s">
        <v>90</v>
      </c>
      <c r="I37" s="32">
        <f>'MERCADO TE'!$U$34</f>
        <v>0</v>
      </c>
      <c r="J37" s="17"/>
      <c r="L37" s="30">
        <f>'TR TE'!$L$37*'TR TE'!$L$51</f>
        <v>2.6620626617255141</v>
      </c>
      <c r="M37" s="30">
        <f>'TR TE'!$M$37*'TR TE'!$M$51</f>
        <v>15.500642118478797</v>
      </c>
      <c r="N37" s="30">
        <f>'TR TE'!$N$37*'TR TE'!$N$51</f>
        <v>0</v>
      </c>
      <c r="O37" s="30">
        <f>'TR TE'!$O$37*'TR TE'!$O$51</f>
        <v>27.08815515558446</v>
      </c>
      <c r="P37" s="30">
        <f>SUM($L$37:$O$37)</f>
        <v>45.250859935788768</v>
      </c>
      <c r="Q37" s="30">
        <f>'TR TE'!$Q$37*'TR TE'!$Q$51</f>
        <v>219.45617342425436</v>
      </c>
      <c r="R37" s="30">
        <f>SUM($Q$37:$Q$37)</f>
        <v>219.45617342425436</v>
      </c>
      <c r="S37" s="30">
        <f>'TR TE'!$S$37*'TR TE'!$S$51</f>
        <v>0</v>
      </c>
      <c r="T37" s="30">
        <f>'TR TE'!$T$37*'TR TE'!$T$51</f>
        <v>0</v>
      </c>
      <c r="U37" s="30">
        <f>'TR TE'!$U$37*'TR TE'!$U$51</f>
        <v>0</v>
      </c>
      <c r="V37" s="30">
        <f>SUM($S$37:$U$37)</f>
        <v>0</v>
      </c>
      <c r="W37" s="30"/>
      <c r="X37" s="30">
        <f>SUM($W$37:$W$37)</f>
        <v>0</v>
      </c>
      <c r="Y37" s="30">
        <f>'TR TE'!$Y$37*'TR TE'!$Y$51</f>
        <v>6.4245530320723674</v>
      </c>
      <c r="Z37" s="30">
        <f>SUM($Y$37:$Y$37)</f>
        <v>6.4245530320723674</v>
      </c>
      <c r="AA37" s="30">
        <f>SUMIF($L$4:$Z$4,"SUBTOTAL",$L$37:$Z$37)</f>
        <v>271.13158639211548</v>
      </c>
    </row>
    <row r="38" spans="1:27" ht="11.25" customHeight="1" x14ac:dyDescent="0.25">
      <c r="A38" s="140" t="s">
        <v>39</v>
      </c>
      <c r="B38" s="140" t="s">
        <v>89</v>
      </c>
      <c r="C38" s="140" t="s">
        <v>25</v>
      </c>
      <c r="D38" s="140" t="s">
        <v>25</v>
      </c>
      <c r="E38" s="140" t="s">
        <v>25</v>
      </c>
      <c r="F38" s="140" t="s">
        <v>25</v>
      </c>
      <c r="G38" s="32" t="s">
        <v>91</v>
      </c>
      <c r="H38" s="32" t="s">
        <v>90</v>
      </c>
      <c r="I38" s="32">
        <f>'MERCADO TE'!$U$35</f>
        <v>133.833</v>
      </c>
      <c r="J38" s="17"/>
      <c r="L38" s="30">
        <f>'TR TE'!$L$38*'TR TE'!$L$51</f>
        <v>2.6620626617255141</v>
      </c>
      <c r="M38" s="30">
        <f>'TR TE'!$M$38*'TR TE'!$M$51</f>
        <v>15.500642118478797</v>
      </c>
      <c r="N38" s="30">
        <f>'TR TE'!$N$38*'TR TE'!$N$51</f>
        <v>0</v>
      </c>
      <c r="O38" s="30">
        <f>'TR TE'!$O$38*'TR TE'!$O$51</f>
        <v>27.08815515558446</v>
      </c>
      <c r="P38" s="30">
        <f>SUM($L$38:$O$38)</f>
        <v>45.250859935788768</v>
      </c>
      <c r="Q38" s="30">
        <f>'TR TE'!$Q$38*'TR TE'!$Q$51</f>
        <v>356.09869649973348</v>
      </c>
      <c r="R38" s="30">
        <f>SUM($Q$38:$Q$38)</f>
        <v>356.09869649973348</v>
      </c>
      <c r="S38" s="30">
        <f>'TR TE'!$S$38*'TR TE'!$S$51</f>
        <v>0</v>
      </c>
      <c r="T38" s="30">
        <f>'TR TE'!$T$38*'TR TE'!$T$51</f>
        <v>0</v>
      </c>
      <c r="U38" s="30">
        <f>'TR TE'!$U$38*'TR TE'!$U$51</f>
        <v>0</v>
      </c>
      <c r="V38" s="30">
        <f>SUM($S$38:$U$38)</f>
        <v>0</v>
      </c>
      <c r="W38" s="30"/>
      <c r="X38" s="30">
        <f>SUM($W$38:$W$38)</f>
        <v>0</v>
      </c>
      <c r="Y38" s="30">
        <f>'TR TE'!$Y$38*'TR TE'!$Y$51</f>
        <v>6.4245530320723674</v>
      </c>
      <c r="Z38" s="30">
        <f>SUM($Y$38:$Y$38)</f>
        <v>6.4245530320723674</v>
      </c>
      <c r="AA38" s="30">
        <f>SUMIF($L$4:$Z$4,"SUBTOTAL",$L$38:$Z$38)</f>
        <v>407.7741094675946</v>
      </c>
    </row>
    <row r="39" spans="1:27" ht="11.25" customHeight="1" x14ac:dyDescent="0.25">
      <c r="A39" s="140"/>
      <c r="B39" s="140"/>
      <c r="C39" s="140"/>
      <c r="D39" s="140"/>
      <c r="E39" s="140"/>
      <c r="F39" s="140"/>
      <c r="G39" s="32" t="s">
        <v>101</v>
      </c>
      <c r="H39" s="32" t="s">
        <v>90</v>
      </c>
      <c r="I39" s="32">
        <f>'MERCADO TE'!$U$36</f>
        <v>132.79500000000002</v>
      </c>
      <c r="J39" s="17"/>
      <c r="L39" s="30">
        <f>'TR TE'!$L$39*'TR TE'!$L$51</f>
        <v>2.6620626617255141</v>
      </c>
      <c r="M39" s="30">
        <f>'TR TE'!$M$39*'TR TE'!$M$51</f>
        <v>15.500642118478797</v>
      </c>
      <c r="N39" s="30">
        <f>'TR TE'!$N$39*'TR TE'!$N$51</f>
        <v>0</v>
      </c>
      <c r="O39" s="30">
        <f>'TR TE'!$O$39*'TR TE'!$O$51</f>
        <v>27.08815515558446</v>
      </c>
      <c r="P39" s="30">
        <f>SUM($L$39:$O$39)</f>
        <v>45.250859935788768</v>
      </c>
      <c r="Q39" s="30">
        <f>'TR TE'!$Q$39*'TR TE'!$Q$51</f>
        <v>207.03412587193807</v>
      </c>
      <c r="R39" s="30">
        <f>SUM($Q$39:$Q$39)</f>
        <v>207.03412587193807</v>
      </c>
      <c r="S39" s="30">
        <f>'TR TE'!$S$39*'TR TE'!$S$51</f>
        <v>0</v>
      </c>
      <c r="T39" s="30">
        <f>'TR TE'!$T$39*'TR TE'!$T$51</f>
        <v>0</v>
      </c>
      <c r="U39" s="30">
        <f>'TR TE'!$U$39*'TR TE'!$U$51</f>
        <v>0</v>
      </c>
      <c r="V39" s="30">
        <f>SUM($S$39:$U$39)</f>
        <v>0</v>
      </c>
      <c r="W39" s="30"/>
      <c r="X39" s="30">
        <f>SUM($W$39:$W$39)</f>
        <v>0</v>
      </c>
      <c r="Y39" s="30">
        <f>'TR TE'!$Y$39*'TR TE'!$Y$51</f>
        <v>6.4245530320723674</v>
      </c>
      <c r="Z39" s="30">
        <f>SUM($Y$39:$Y$39)</f>
        <v>6.4245530320723674</v>
      </c>
      <c r="AA39" s="30">
        <f>SUMIF($L$4:$Z$4,"SUBTOTAL",$L$39:$Z$39)</f>
        <v>258.70953883979922</v>
      </c>
    </row>
    <row r="40" spans="1:27" ht="11.25" customHeight="1" x14ac:dyDescent="0.25">
      <c r="A40" s="140"/>
      <c r="B40" s="140"/>
      <c r="C40" s="140"/>
      <c r="D40" s="140"/>
      <c r="E40" s="140"/>
      <c r="F40" s="140"/>
      <c r="G40" s="32" t="s">
        <v>92</v>
      </c>
      <c r="H40" s="32" t="s">
        <v>90</v>
      </c>
      <c r="I40" s="32">
        <f>'MERCADO TE'!$U$37</f>
        <v>2117.7150000000001</v>
      </c>
      <c r="J40" s="17"/>
      <c r="L40" s="30">
        <f>'TR TE'!$L$40*'TR TE'!$L$51</f>
        <v>2.6620626617255141</v>
      </c>
      <c r="M40" s="30">
        <f>'TR TE'!$M$40*'TR TE'!$M$51</f>
        <v>15.500642118478797</v>
      </c>
      <c r="N40" s="30">
        <f>'TR TE'!$N$40*'TR TE'!$N$51</f>
        <v>0</v>
      </c>
      <c r="O40" s="30">
        <f>'TR TE'!$O$40*'TR TE'!$O$51</f>
        <v>27.08815515558446</v>
      </c>
      <c r="P40" s="30">
        <f>SUM($L$40:$O$40)</f>
        <v>45.250859935788768</v>
      </c>
      <c r="Q40" s="30">
        <f>'TR TE'!$Q$40*'TR TE'!$Q$51</f>
        <v>207.03412587193807</v>
      </c>
      <c r="R40" s="30">
        <f>SUM($Q$40:$Q$40)</f>
        <v>207.03412587193807</v>
      </c>
      <c r="S40" s="30">
        <f>'TR TE'!$S$40*'TR TE'!$S$51</f>
        <v>0</v>
      </c>
      <c r="T40" s="30">
        <f>'TR TE'!$T$40*'TR TE'!$T$51</f>
        <v>0</v>
      </c>
      <c r="U40" s="30">
        <f>'TR TE'!$U$40*'TR TE'!$U$51</f>
        <v>0</v>
      </c>
      <c r="V40" s="30">
        <f>SUM($S$40:$U$40)</f>
        <v>0</v>
      </c>
      <c r="W40" s="30"/>
      <c r="X40" s="30">
        <f>SUM($W$40:$W$40)</f>
        <v>0</v>
      </c>
      <c r="Y40" s="30">
        <f>'TR TE'!$Y$40*'TR TE'!$Y$51</f>
        <v>6.4245530320723674</v>
      </c>
      <c r="Z40" s="30">
        <f>SUM($Y$40:$Y$40)</f>
        <v>6.4245530320723674</v>
      </c>
      <c r="AA40" s="30">
        <f>SUMIF($L$4:$Z$4,"SUBTOTAL",$L$40:$Z$40)</f>
        <v>258.70953883979922</v>
      </c>
    </row>
    <row r="41" spans="1:27" ht="11.25" customHeight="1" x14ac:dyDescent="0.25">
      <c r="A41" s="140"/>
      <c r="B41" s="33" t="s">
        <v>97</v>
      </c>
      <c r="C41" s="33" t="s">
        <v>25</v>
      </c>
      <c r="D41" s="33" t="s">
        <v>25</v>
      </c>
      <c r="E41" s="33" t="s">
        <v>25</v>
      </c>
      <c r="F41" s="33" t="s">
        <v>25</v>
      </c>
      <c r="G41" s="32" t="s">
        <v>96</v>
      </c>
      <c r="H41" s="32" t="s">
        <v>90</v>
      </c>
      <c r="I41" s="32">
        <f>'MERCADO TE'!$U$38</f>
        <v>505530.49800000002</v>
      </c>
      <c r="J41" s="17"/>
      <c r="L41" s="30">
        <f>'TR TE'!$L$41*'TR TE'!$L$51</f>
        <v>2.6620626617255141</v>
      </c>
      <c r="M41" s="30">
        <f>'TR TE'!$M$41*'TR TE'!$M$51</f>
        <v>15.500642118478797</v>
      </c>
      <c r="N41" s="30">
        <f>'TR TE'!$N$41*'TR TE'!$N$51</f>
        <v>0</v>
      </c>
      <c r="O41" s="30">
        <f>'TR TE'!$O$41*'TR TE'!$O$51</f>
        <v>27.08815515558446</v>
      </c>
      <c r="P41" s="30">
        <f>SUM($L$41:$O$41)</f>
        <v>45.250859935788768</v>
      </c>
      <c r="Q41" s="30">
        <f>'TR TE'!$Q$41*'TR TE'!$Q$51</f>
        <v>219.45617342425436</v>
      </c>
      <c r="R41" s="30">
        <f>SUM($Q$41:$Q$41)</f>
        <v>219.45617342425436</v>
      </c>
      <c r="S41" s="30">
        <f>'TR TE'!$S$41*'TR TE'!$S$51</f>
        <v>0</v>
      </c>
      <c r="T41" s="30">
        <f>'TR TE'!$T$41*'TR TE'!$T$51</f>
        <v>0</v>
      </c>
      <c r="U41" s="30">
        <f>'TR TE'!$U$41*'TR TE'!$U$51</f>
        <v>0</v>
      </c>
      <c r="V41" s="30">
        <f>SUM($S$41:$U$41)</f>
        <v>0</v>
      </c>
      <c r="W41" s="30"/>
      <c r="X41" s="30">
        <f>SUM($W$41:$W$41)</f>
        <v>0</v>
      </c>
      <c r="Y41" s="30">
        <f>'TR TE'!$Y$41*'TR TE'!$Y$51</f>
        <v>6.4245530320723674</v>
      </c>
      <c r="Z41" s="30">
        <f>SUM($Y$41:$Y$41)</f>
        <v>6.4245530320723674</v>
      </c>
      <c r="AA41" s="30">
        <f>SUMIF($L$4:$Z$4,"SUBTOTAL",$L$41:$Z$41)</f>
        <v>271.13158639211548</v>
      </c>
    </row>
    <row r="42" spans="1:27" ht="11.25" customHeight="1" x14ac:dyDescent="0.25">
      <c r="A42" s="140"/>
      <c r="B42" s="33" t="s">
        <v>102</v>
      </c>
      <c r="C42" s="33" t="s">
        <v>25</v>
      </c>
      <c r="D42" s="33" t="s">
        <v>25</v>
      </c>
      <c r="E42" s="33" t="s">
        <v>25</v>
      </c>
      <c r="F42" s="33" t="s">
        <v>25</v>
      </c>
      <c r="G42" s="32" t="s">
        <v>96</v>
      </c>
      <c r="H42" s="32" t="s">
        <v>90</v>
      </c>
      <c r="I42" s="32">
        <f>'MERCADO TE'!$U$39</f>
        <v>0</v>
      </c>
      <c r="J42" s="17"/>
      <c r="L42" s="30">
        <f>'TR TE'!$L$42*'TR TE'!$L$51</f>
        <v>2.6620626617255141</v>
      </c>
      <c r="M42" s="30">
        <f>'TR TE'!$M$42*'TR TE'!$M$51</f>
        <v>15.500642118478797</v>
      </c>
      <c r="N42" s="30">
        <f>'TR TE'!$N$42*'TR TE'!$N$51</f>
        <v>0</v>
      </c>
      <c r="O42" s="30">
        <f>'TR TE'!$O$42*'TR TE'!$O$51</f>
        <v>27.08815515558446</v>
      </c>
      <c r="P42" s="30">
        <f>SUM($L$42:$O$42)</f>
        <v>45.250859935788768</v>
      </c>
      <c r="Q42" s="30">
        <f>'TR TE'!$Q$42*'TR TE'!$Q$51</f>
        <v>219.45617342425436</v>
      </c>
      <c r="R42" s="30">
        <f>SUM($Q$42:$Q$42)</f>
        <v>219.45617342425436</v>
      </c>
      <c r="S42" s="30">
        <f>'TR TE'!$S$42*'TR TE'!$S$51</f>
        <v>0</v>
      </c>
      <c r="T42" s="30">
        <f>'TR TE'!$T$42*'TR TE'!$T$51</f>
        <v>0</v>
      </c>
      <c r="U42" s="30">
        <f>'TR TE'!$U$42*'TR TE'!$U$51</f>
        <v>0</v>
      </c>
      <c r="V42" s="30">
        <f>SUM($S$42:$U$42)</f>
        <v>0</v>
      </c>
      <c r="W42" s="30"/>
      <c r="X42" s="30">
        <f>SUM($W$42:$W$42)</f>
        <v>0</v>
      </c>
      <c r="Y42" s="30">
        <f>'TR TE'!$Y$42*'TR TE'!$Y$51</f>
        <v>6.4245530320723674</v>
      </c>
      <c r="Z42" s="30">
        <f>SUM($Y$42:$Y$42)</f>
        <v>6.4245530320723674</v>
      </c>
      <c r="AA42" s="30">
        <f>SUMIF($L$4:$Z$4,"SUBTOTAL",$L$42:$Z$42)</f>
        <v>271.13158639211548</v>
      </c>
    </row>
    <row r="43" spans="1:27" ht="11.25" customHeight="1" x14ac:dyDescent="0.25">
      <c r="A43" s="140" t="s">
        <v>47</v>
      </c>
      <c r="B43" s="140" t="s">
        <v>97</v>
      </c>
      <c r="C43" s="140" t="s">
        <v>48</v>
      </c>
      <c r="D43" s="33" t="s">
        <v>49</v>
      </c>
      <c r="E43" s="33" t="s">
        <v>25</v>
      </c>
      <c r="F43" s="33" t="s">
        <v>25</v>
      </c>
      <c r="G43" s="32" t="s">
        <v>96</v>
      </c>
      <c r="H43" s="32" t="s">
        <v>90</v>
      </c>
      <c r="I43" s="32">
        <f>'MERCADO TE'!$U$40</f>
        <v>259602.97000000003</v>
      </c>
      <c r="J43" s="17"/>
      <c r="L43" s="30">
        <f>'TR TE'!$L$43*'TR TE'!$L$51</f>
        <v>1.4641344639490328</v>
      </c>
      <c r="M43" s="30">
        <f>'TR TE'!$M$43*'TR TE'!$M$51</f>
        <v>8.5253531651633399</v>
      </c>
      <c r="N43" s="30">
        <f>'TR TE'!$N$43*'TR TE'!$N$51</f>
        <v>0</v>
      </c>
      <c r="O43" s="30">
        <f>'TR TE'!$O$43*'TR TE'!$O$51</f>
        <v>14.898485335571454</v>
      </c>
      <c r="P43" s="30">
        <f>SUM($L$43:$O$43)</f>
        <v>24.887972964683826</v>
      </c>
      <c r="Q43" s="30">
        <f>'TR TE'!$Q$43*'TR TE'!$Q$51</f>
        <v>120.70089538333991</v>
      </c>
      <c r="R43" s="30">
        <f>SUM($Q$43:$Q$43)</f>
        <v>120.70089538333991</v>
      </c>
      <c r="S43" s="30">
        <f>'TR TE'!$S$43*'TR TE'!$S$51</f>
        <v>0</v>
      </c>
      <c r="T43" s="30">
        <f>'TR TE'!$T$43*'TR TE'!$T$51</f>
        <v>0</v>
      </c>
      <c r="U43" s="30">
        <f>'TR TE'!$U$43*'TR TE'!$U$51</f>
        <v>0</v>
      </c>
      <c r="V43" s="30">
        <f>SUM($S$43:$U$43)</f>
        <v>0</v>
      </c>
      <c r="W43" s="30"/>
      <c r="X43" s="30">
        <f>SUM($W$43:$W$43)</f>
        <v>0</v>
      </c>
      <c r="Y43" s="30">
        <f>'TR TE'!$Y$43*'TR TE'!$Y$51</f>
        <v>3.5335041676398022</v>
      </c>
      <c r="Z43" s="30">
        <f>SUM($Y$43:$Y$43)</f>
        <v>3.5335041676398022</v>
      </c>
      <c r="AA43" s="30">
        <f>SUMIF($L$4:$Z$4,"SUBTOTAL",$L$43:$Z$43)</f>
        <v>149.12237251566353</v>
      </c>
    </row>
    <row r="44" spans="1:27" ht="11.25" customHeight="1" x14ac:dyDescent="0.25">
      <c r="A44" s="140"/>
      <c r="B44" s="140"/>
      <c r="C44" s="140"/>
      <c r="D44" s="32" t="s">
        <v>106</v>
      </c>
      <c r="E44" s="32" t="s">
        <v>25</v>
      </c>
      <c r="F44" s="32" t="s">
        <v>25</v>
      </c>
      <c r="G44" s="32" t="s">
        <v>96</v>
      </c>
      <c r="H44" s="32" t="s">
        <v>90</v>
      </c>
      <c r="I44" s="32">
        <f>'MERCADO TE'!$U$41</f>
        <v>0</v>
      </c>
      <c r="J44" s="17"/>
      <c r="L44" s="30">
        <f>'TR TE'!$L$44*'TR TE'!$L$51</f>
        <v>1.5972375970353083</v>
      </c>
      <c r="M44" s="30">
        <f>'TR TE'!$M$44*'TR TE'!$M$51</f>
        <v>9.3003852710872774</v>
      </c>
      <c r="N44" s="30">
        <f>'TR TE'!$N$44*'TR TE'!$N$51</f>
        <v>0</v>
      </c>
      <c r="O44" s="30">
        <f>'TR TE'!$O$44*'TR TE'!$O$51</f>
        <v>16.252893093350675</v>
      </c>
      <c r="P44" s="30">
        <f>SUM($L$44:$O$44)</f>
        <v>27.150515961473261</v>
      </c>
      <c r="Q44" s="30">
        <f>'TR TE'!$Q$44*'TR TE'!$Q$51</f>
        <v>131.67370405455262</v>
      </c>
      <c r="R44" s="30">
        <f>SUM($Q$44:$Q$44)</f>
        <v>131.67370405455262</v>
      </c>
      <c r="S44" s="30">
        <f>'TR TE'!$S$44*'TR TE'!$S$51</f>
        <v>0</v>
      </c>
      <c r="T44" s="30">
        <f>'TR TE'!$T$44*'TR TE'!$T$51</f>
        <v>0</v>
      </c>
      <c r="U44" s="30">
        <f>'TR TE'!$U$44*'TR TE'!$U$51</f>
        <v>0</v>
      </c>
      <c r="V44" s="30">
        <f>SUM($S$44:$U$44)</f>
        <v>0</v>
      </c>
      <c r="W44" s="30"/>
      <c r="X44" s="30">
        <f>SUM($W$44:$W$44)</f>
        <v>0</v>
      </c>
      <c r="Y44" s="30">
        <f>'TR TE'!$Y$44*'TR TE'!$Y$51</f>
        <v>3.8547318192434203</v>
      </c>
      <c r="Z44" s="30">
        <f>SUM($Y$44:$Y$44)</f>
        <v>3.8547318192434203</v>
      </c>
      <c r="AA44" s="30">
        <f>SUMIF($L$4:$Z$4,"SUBTOTAL",$L$44:$Z$44)</f>
        <v>162.67895183526932</v>
      </c>
    </row>
    <row r="46" spans="1:27" ht="11.25" customHeight="1" x14ac:dyDescent="0.25">
      <c r="K46" s="35" t="s">
        <v>876</v>
      </c>
      <c r="L46" s="30">
        <f t="shared" ref="L46:AA46" si="0">SUMPRODUCT($I$5:$I$44,L$5:L$44)</f>
        <v>8350221.3712038156</v>
      </c>
      <c r="M46" s="30">
        <f t="shared" si="0"/>
        <v>48621617.720000006</v>
      </c>
      <c r="N46" s="30">
        <f t="shared" si="0"/>
        <v>0</v>
      </c>
      <c r="O46" s="30">
        <f t="shared" si="0"/>
        <v>84968733.207816899</v>
      </c>
      <c r="P46" s="30">
        <f t="shared" si="0"/>
        <v>141940572.29902071</v>
      </c>
      <c r="Q46" s="30">
        <f t="shared" si="0"/>
        <v>685697394.69014442</v>
      </c>
      <c r="R46" s="30">
        <f t="shared" si="0"/>
        <v>685697394.69014442</v>
      </c>
      <c r="S46" s="30">
        <f t="shared" si="0"/>
        <v>0</v>
      </c>
      <c r="T46" s="30">
        <f t="shared" si="0"/>
        <v>0</v>
      </c>
      <c r="U46" s="30">
        <f t="shared" si="0"/>
        <v>0</v>
      </c>
      <c r="V46" s="30">
        <f t="shared" si="0"/>
        <v>0</v>
      </c>
      <c r="W46" s="30">
        <f t="shared" si="0"/>
        <v>0</v>
      </c>
      <c r="X46" s="30">
        <f t="shared" si="0"/>
        <v>0</v>
      </c>
      <c r="Y46" s="30">
        <f t="shared" si="0"/>
        <v>20152207.834983882</v>
      </c>
      <c r="Z46" s="30">
        <f t="shared" si="0"/>
        <v>20152207.834983882</v>
      </c>
      <c r="AA46" s="30">
        <f t="shared" si="0"/>
        <v>847790174.82414877</v>
      </c>
    </row>
    <row r="47" spans="1:27" ht="11.25" customHeight="1" x14ac:dyDescent="0.25">
      <c r="K47" s="35" t="s">
        <v>795</v>
      </c>
      <c r="L47" s="30">
        <f>CUSTOS!$D$30</f>
        <v>8350221.3712038137</v>
      </c>
      <c r="M47" s="30">
        <f>CUSTOS!$D$31</f>
        <v>48621617.719999999</v>
      </c>
      <c r="N47" s="30">
        <f>CUSTOS!$D$32</f>
        <v>0</v>
      </c>
      <c r="O47" s="30">
        <f>CUSTOS!$D$33</f>
        <v>84968733.207816899</v>
      </c>
      <c r="P47" s="30">
        <f>CUSTOS!$D$34</f>
        <v>141940572.29902071</v>
      </c>
      <c r="Q47" s="30">
        <f>CUSTOS!$D$35</f>
        <v>685697394.69014406</v>
      </c>
      <c r="R47" s="30">
        <f>CUSTOS!$D$36</f>
        <v>685697394.69014406</v>
      </c>
      <c r="S47" s="30">
        <f>CUSTOS!$D$37</f>
        <v>0</v>
      </c>
      <c r="T47" s="30">
        <f>CUSTOS!$D$38</f>
        <v>0</v>
      </c>
      <c r="U47" s="30">
        <f>CUSTOS!$D$39</f>
        <v>0</v>
      </c>
      <c r="V47" s="30">
        <f>CUSTOS!$D$40</f>
        <v>0</v>
      </c>
      <c r="W47" s="30">
        <f>CUSTOS!$D$41</f>
        <v>0</v>
      </c>
      <c r="X47" s="30">
        <f>CUSTOS!$D$42</f>
        <v>0</v>
      </c>
      <c r="Y47" s="30">
        <f>CUSTOS!$D$43</f>
        <v>20152207.834983878</v>
      </c>
      <c r="Z47" s="30">
        <f>CUSTOS!$D$44</f>
        <v>20152207.834983878</v>
      </c>
      <c r="AA47" s="30">
        <f>CUSTOS!$D$45</f>
        <v>847790174.82414865</v>
      </c>
    </row>
    <row r="48" spans="1:27" ht="11.25" customHeight="1" x14ac:dyDescent="0.25">
      <c r="K48" s="35" t="s">
        <v>796</v>
      </c>
      <c r="L48" s="30">
        <f>CUSTOS!$E$30</f>
        <v>0</v>
      </c>
      <c r="M48" s="30">
        <f>CUSTOS!$E$31</f>
        <v>-99279563.803015977</v>
      </c>
      <c r="N48" s="30">
        <f>CUSTOS!$E$32</f>
        <v>0</v>
      </c>
      <c r="O48" s="30">
        <f>CUSTOS!$E$33</f>
        <v>9797111.8265378717</v>
      </c>
      <c r="P48" s="30">
        <f>CUSTOS!$E$34</f>
        <v>-89482451.9764781</v>
      </c>
      <c r="Q48" s="30">
        <f>CUSTOS!$E$35</f>
        <v>-42136007.190047301</v>
      </c>
      <c r="R48" s="30">
        <f>CUSTOS!$E$36</f>
        <v>-42136007.190047301</v>
      </c>
      <c r="S48" s="30">
        <f>CUSTOS!$E$37</f>
        <v>0</v>
      </c>
      <c r="T48" s="30">
        <f>CUSTOS!$E$38</f>
        <v>0</v>
      </c>
      <c r="U48" s="30">
        <f>CUSTOS!$E$39</f>
        <v>0</v>
      </c>
      <c r="V48" s="30">
        <f>CUSTOS!$E$40</f>
        <v>0</v>
      </c>
      <c r="W48" s="30">
        <f>CUSTOS!$E$41</f>
        <v>1060343.2101283697</v>
      </c>
      <c r="X48" s="30">
        <f>CUSTOS!$E$42</f>
        <v>1060343.2101283697</v>
      </c>
      <c r="Y48" s="30">
        <f>CUSTOS!$E$43</f>
        <v>-1238350.2997177325</v>
      </c>
      <c r="Z48" s="30">
        <f>CUSTOS!$E$44</f>
        <v>-1238350.2997177325</v>
      </c>
      <c r="AA48" s="30">
        <f>CUSTOS!$E$45</f>
        <v>-131796466.25611477</v>
      </c>
    </row>
    <row r="49" spans="11:27" ht="11.25" customHeight="1" x14ac:dyDescent="0.25">
      <c r="K49" s="35" t="s">
        <v>797</v>
      </c>
      <c r="L49" s="30">
        <f>CUSTOS!$F$30</f>
        <v>0</v>
      </c>
      <c r="M49" s="30">
        <f>CUSTOS!$F$31</f>
        <v>111189301.44419999</v>
      </c>
      <c r="N49" s="30">
        <f>CUSTOS!$F$32</f>
        <v>0</v>
      </c>
      <c r="O49" s="30">
        <f>CUSTOS!$F$33</f>
        <v>516594.31339518295</v>
      </c>
      <c r="P49" s="30">
        <f>CUSTOS!$F$34</f>
        <v>111705895.75759518</v>
      </c>
      <c r="Q49" s="30">
        <f>CUSTOS!$F$35</f>
        <v>58265489.716275245</v>
      </c>
      <c r="R49" s="30">
        <f>CUSTOS!$F$36</f>
        <v>58265489.716275245</v>
      </c>
      <c r="S49" s="30">
        <f>CUSTOS!$F$37</f>
        <v>0</v>
      </c>
      <c r="T49" s="30">
        <f>CUSTOS!$F$38</f>
        <v>0</v>
      </c>
      <c r="U49" s="30">
        <f>CUSTOS!$F$39</f>
        <v>0</v>
      </c>
      <c r="V49" s="30">
        <f>CUSTOS!$F$40</f>
        <v>0</v>
      </c>
      <c r="W49" s="30">
        <f>CUSTOS!$F$41</f>
        <v>0</v>
      </c>
      <c r="X49" s="30">
        <f>CUSTOS!$F$42</f>
        <v>0</v>
      </c>
      <c r="Y49" s="30">
        <f>CUSTOS!$F$43</f>
        <v>1712385.4742077403</v>
      </c>
      <c r="Z49" s="30">
        <f>CUSTOS!$F$44</f>
        <v>1712385.4742077403</v>
      </c>
      <c r="AA49" s="30">
        <f>CUSTOS!$F$45</f>
        <v>171683770.94807816</v>
      </c>
    </row>
    <row r="50" spans="11:27" ht="11.25" customHeight="1" x14ac:dyDescent="0.25">
      <c r="K50" s="35" t="s">
        <v>877</v>
      </c>
      <c r="L50" s="30">
        <f>'TR TE'!$L$50*L51</f>
        <v>0</v>
      </c>
      <c r="M50" s="30">
        <f>'TR TE'!$M$50*M51</f>
        <v>-31.650468667072406</v>
      </c>
      <c r="N50" s="30">
        <f>'TR TE'!$N$50*N51</f>
        <v>0</v>
      </c>
      <c r="O50" s="30">
        <f>'TR TE'!$O$50*O51</f>
        <v>3.1233334335441705</v>
      </c>
      <c r="P50" s="30"/>
      <c r="Q50" s="30">
        <f>'TR TE'!$Q$50*Q51</f>
        <v>-13.178218758689855</v>
      </c>
      <c r="R50" s="30"/>
      <c r="S50" s="30">
        <f>'TR TE'!$S$50*S51</f>
        <v>0</v>
      </c>
      <c r="T50" s="30">
        <f>'TR TE'!$T$50*T51</f>
        <v>0</v>
      </c>
      <c r="U50" s="30">
        <f>'TR TE'!$U$50*U51</f>
        <v>0</v>
      </c>
      <c r="V50" s="30"/>
      <c r="W50" s="30"/>
      <c r="X50" s="30"/>
      <c r="Y50" s="30">
        <f>'TR TE'!$Y$50*Y51</f>
        <v>-0.39478786830533141</v>
      </c>
      <c r="Z50" s="30"/>
      <c r="AA50" s="30"/>
    </row>
    <row r="51" spans="11:27" ht="11.25" customHeight="1" x14ac:dyDescent="0.25">
      <c r="K51" s="35" t="s">
        <v>864</v>
      </c>
      <c r="L51" s="30">
        <f>IF(L47&lt;&gt;0,L48/L47,0)</f>
        <v>0</v>
      </c>
      <c r="M51" s="30">
        <f>IF(M47&lt;&gt;0,M48/M47,0)</f>
        <v>-2.0418811314494447</v>
      </c>
      <c r="N51" s="30">
        <f>IF(N47&lt;&gt;0,N48/N47,0)</f>
        <v>0</v>
      </c>
      <c r="O51" s="30">
        <f>IF(O47&lt;&gt;0,O48/O47,0)</f>
        <v>0.11530255255866947</v>
      </c>
      <c r="P51" s="30"/>
      <c r="Q51" s="30">
        <f>IF(Q47&lt;&gt;0,Q48/Q47,0)</f>
        <v>-6.1449857497399278E-2</v>
      </c>
      <c r="R51" s="30"/>
      <c r="S51" s="30">
        <f>IF(S47&lt;&gt;0,S48/S47,0)</f>
        <v>0</v>
      </c>
      <c r="T51" s="30">
        <f>IF(T47&lt;&gt;0,T48/T47,0)</f>
        <v>0</v>
      </c>
      <c r="U51" s="30">
        <f>IF(U47&lt;&gt;0,U48/U47,0)</f>
        <v>0</v>
      </c>
      <c r="V51" s="30"/>
      <c r="W51" s="30">
        <f>IF(($AA47-0)&lt;&gt;0,W48/($AA47-0),0)</f>
        <v>1.2507141998293499E-3</v>
      </c>
      <c r="X51" s="30"/>
      <c r="Y51" s="30">
        <f>IF(Y47&lt;&gt;0,Y48/Y47,0)</f>
        <v>-6.1449857497399278E-2</v>
      </c>
      <c r="Z51" s="30"/>
      <c r="AA51" s="30"/>
    </row>
    <row r="52" spans="11:27" ht="11.25" customHeight="1" x14ac:dyDescent="0.25">
      <c r="K52" s="35" t="s">
        <v>879</v>
      </c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</row>
  </sheetData>
  <mergeCells count="67">
    <mergeCell ref="Q3:R3"/>
    <mergeCell ref="S3:V3"/>
    <mergeCell ref="W3:X3"/>
    <mergeCell ref="A1:A4"/>
    <mergeCell ref="B1:B4"/>
    <mergeCell ref="C1:C4"/>
    <mergeCell ref="D1:D4"/>
    <mergeCell ref="E1:E4"/>
    <mergeCell ref="F1:F4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A7:A9"/>
    <mergeCell ref="B7:B8"/>
    <mergeCell ref="C7:C8"/>
    <mergeCell ref="D7:D8"/>
    <mergeCell ref="E7:E8"/>
    <mergeCell ref="F10:F12"/>
    <mergeCell ref="B13:B17"/>
    <mergeCell ref="C13:C17"/>
    <mergeCell ref="B18:B22"/>
    <mergeCell ref="C18:C22"/>
    <mergeCell ref="A10:A22"/>
    <mergeCell ref="B10:B12"/>
    <mergeCell ref="C10:C12"/>
    <mergeCell ref="D10:D12"/>
    <mergeCell ref="E10:E12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E38:E40"/>
    <mergeCell ref="F38:F40"/>
    <mergeCell ref="A43:A44"/>
    <mergeCell ref="B43:B44"/>
    <mergeCell ref="C43:C44"/>
    <mergeCell ref="D38:D40"/>
  </mergeCells>
  <conditionalFormatting sqref="L46">
    <cfRule type="cellIs" dxfId="1371" priority="31" operator="notEqual">
      <formula>$L$47</formula>
    </cfRule>
    <cfRule type="cellIs" dxfId="1370" priority="32" operator="equal">
      <formula>$L$47</formula>
    </cfRule>
  </conditionalFormatting>
  <conditionalFormatting sqref="M46">
    <cfRule type="cellIs" dxfId="1369" priority="29" operator="notEqual">
      <formula>$M$47</formula>
    </cfRule>
    <cfRule type="cellIs" dxfId="1368" priority="30" operator="equal">
      <formula>$M$47</formula>
    </cfRule>
  </conditionalFormatting>
  <conditionalFormatting sqref="N46">
    <cfRule type="cellIs" dxfId="1367" priority="27" operator="notEqual">
      <formula>$N$47</formula>
    </cfRule>
    <cfRule type="cellIs" dxfId="1366" priority="28" operator="equal">
      <formula>$N$47</formula>
    </cfRule>
  </conditionalFormatting>
  <conditionalFormatting sqref="O46">
    <cfRule type="cellIs" dxfId="1365" priority="25" operator="notEqual">
      <formula>$O$47</formula>
    </cfRule>
    <cfRule type="cellIs" dxfId="1364" priority="26" operator="equal">
      <formula>$O$47</formula>
    </cfRule>
  </conditionalFormatting>
  <conditionalFormatting sqref="P46">
    <cfRule type="cellIs" dxfId="1363" priority="23" operator="notEqual">
      <formula>$P$47</formula>
    </cfRule>
    <cfRule type="cellIs" dxfId="1362" priority="24" operator="equal">
      <formula>$P$47</formula>
    </cfRule>
  </conditionalFormatting>
  <conditionalFormatting sqref="Q46">
    <cfRule type="cellIs" dxfId="1361" priority="21" operator="notEqual">
      <formula>$Q$47</formula>
    </cfRule>
    <cfRule type="cellIs" dxfId="1360" priority="22" operator="equal">
      <formula>$Q$47</formula>
    </cfRule>
  </conditionalFormatting>
  <conditionalFormatting sqref="R46">
    <cfRule type="cellIs" dxfId="1359" priority="19" operator="notEqual">
      <formula>$R$47</formula>
    </cfRule>
    <cfRule type="cellIs" dxfId="1358" priority="20" operator="equal">
      <formula>$R$47</formula>
    </cfRule>
  </conditionalFormatting>
  <conditionalFormatting sqref="S46">
    <cfRule type="cellIs" dxfId="1357" priority="17" operator="notEqual">
      <formula>$S$47</formula>
    </cfRule>
    <cfRule type="cellIs" dxfId="1356" priority="18" operator="equal">
      <formula>$S$47</formula>
    </cfRule>
  </conditionalFormatting>
  <conditionalFormatting sqref="T46">
    <cfRule type="cellIs" dxfId="1355" priority="15" operator="notEqual">
      <formula>$T$47</formula>
    </cfRule>
    <cfRule type="cellIs" dxfId="1354" priority="16" operator="equal">
      <formula>$T$47</formula>
    </cfRule>
  </conditionalFormatting>
  <conditionalFormatting sqref="U46">
    <cfRule type="cellIs" dxfId="1353" priority="13" operator="notEqual">
      <formula>$U$47</formula>
    </cfRule>
    <cfRule type="cellIs" dxfId="1352" priority="14" operator="equal">
      <formula>$U$47</formula>
    </cfRule>
  </conditionalFormatting>
  <conditionalFormatting sqref="V46">
    <cfRule type="cellIs" dxfId="1351" priority="11" operator="notEqual">
      <formula>$V$47</formula>
    </cfRule>
    <cfRule type="cellIs" dxfId="1350" priority="12" operator="equal">
      <formula>$V$47</formula>
    </cfRule>
  </conditionalFormatting>
  <conditionalFormatting sqref="W46">
    <cfRule type="cellIs" dxfId="1349" priority="9" operator="notEqual">
      <formula>$W$47</formula>
    </cfRule>
    <cfRule type="cellIs" dxfId="1348" priority="10" operator="equal">
      <formula>$W$47</formula>
    </cfRule>
  </conditionalFormatting>
  <conditionalFormatting sqref="X46">
    <cfRule type="cellIs" dxfId="1347" priority="7" operator="notEqual">
      <formula>$X$47</formula>
    </cfRule>
    <cfRule type="cellIs" dxfId="1346" priority="8" operator="equal">
      <formula>$X$47</formula>
    </cfRule>
  </conditionalFormatting>
  <conditionalFormatting sqref="Y46">
    <cfRule type="cellIs" dxfId="1345" priority="5" operator="notEqual">
      <formula>$Y$47</formula>
    </cfRule>
    <cfRule type="cellIs" dxfId="1344" priority="6" operator="equal">
      <formula>$Y$47</formula>
    </cfRule>
  </conditionalFormatting>
  <conditionalFormatting sqref="Z46">
    <cfRule type="cellIs" dxfId="1343" priority="3" operator="notEqual">
      <formula>$Z$47</formula>
    </cfRule>
    <cfRule type="cellIs" dxfId="1342" priority="4" operator="equal">
      <formula>$Z$47</formula>
    </cfRule>
  </conditionalFormatting>
  <conditionalFormatting sqref="AA46">
    <cfRule type="cellIs" dxfId="1341" priority="1" operator="notEqual">
      <formula>$AA$47</formula>
    </cfRule>
    <cfRule type="cellIs" dxfId="1340" priority="2" operator="equal">
      <formula>$AA$47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AE0D-9482-4E81-BA7D-438D922A6B9B}">
  <dimension ref="A1:AA52"/>
  <sheetViews>
    <sheetView showGridLines="0" topLeftCell="K1" workbookViewId="0">
      <selection activeCell="AA46" sqref="AA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7109375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4" width="10" style="9" bestFit="1" customWidth="1"/>
    <col min="25" max="25" width="11" style="9" bestFit="1" customWidth="1"/>
    <col min="26" max="26" width="10.85546875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41" t="s">
        <v>80</v>
      </c>
      <c r="B1" s="141" t="s">
        <v>81</v>
      </c>
      <c r="C1" s="141" t="s">
        <v>82</v>
      </c>
      <c r="D1" s="141" t="s">
        <v>83</v>
      </c>
      <c r="E1" s="141" t="s">
        <v>84</v>
      </c>
      <c r="F1" s="141" t="s">
        <v>15</v>
      </c>
      <c r="G1" s="141" t="s">
        <v>86</v>
      </c>
      <c r="H1" s="141" t="s">
        <v>87</v>
      </c>
      <c r="I1" s="141" t="s">
        <v>854</v>
      </c>
      <c r="J1" s="130"/>
      <c r="L1" s="142" t="s">
        <v>881</v>
      </c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30"/>
      <c r="L2" s="142" t="s">
        <v>782</v>
      </c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30"/>
      <c r="L3" s="142" t="s">
        <v>755</v>
      </c>
      <c r="M3" s="142"/>
      <c r="N3" s="142"/>
      <c r="O3" s="142"/>
      <c r="P3" s="142"/>
      <c r="Q3" s="142" t="s">
        <v>785</v>
      </c>
      <c r="R3" s="142"/>
      <c r="S3" s="142" t="s">
        <v>764</v>
      </c>
      <c r="T3" s="142"/>
      <c r="U3" s="142"/>
      <c r="V3" s="142"/>
      <c r="W3" s="142" t="s">
        <v>774</v>
      </c>
      <c r="X3" s="142"/>
      <c r="Y3" s="142" t="s">
        <v>777</v>
      </c>
      <c r="Z3" s="142"/>
      <c r="AA3" s="142" t="s">
        <v>763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30"/>
      <c r="L4" s="36" t="s">
        <v>757</v>
      </c>
      <c r="M4" s="36" t="s">
        <v>783</v>
      </c>
      <c r="N4" s="36" t="s">
        <v>784</v>
      </c>
      <c r="O4" s="36" t="s">
        <v>842</v>
      </c>
      <c r="P4" s="36" t="s">
        <v>763</v>
      </c>
      <c r="Q4" s="36" t="s">
        <v>786</v>
      </c>
      <c r="R4" s="36" t="s">
        <v>763</v>
      </c>
      <c r="S4" s="36" t="s">
        <v>787</v>
      </c>
      <c r="T4" s="36" t="s">
        <v>788</v>
      </c>
      <c r="U4" s="36" t="s">
        <v>789</v>
      </c>
      <c r="V4" s="36" t="s">
        <v>763</v>
      </c>
      <c r="W4" s="36" t="s">
        <v>775</v>
      </c>
      <c r="X4" s="36" t="s">
        <v>763</v>
      </c>
      <c r="Y4" s="36" t="s">
        <v>790</v>
      </c>
      <c r="Z4" s="36" t="s">
        <v>763</v>
      </c>
      <c r="AA4" s="143"/>
    </row>
    <row r="5" spans="1:27" ht="11.25" customHeight="1" x14ac:dyDescent="0.25">
      <c r="A5" s="140" t="s">
        <v>41</v>
      </c>
      <c r="B5" s="140" t="s">
        <v>89</v>
      </c>
      <c r="C5" s="140" t="s">
        <v>25</v>
      </c>
      <c r="D5" s="140" t="s">
        <v>25</v>
      </c>
      <c r="E5" s="140" t="s">
        <v>25</v>
      </c>
      <c r="F5" s="140" t="s">
        <v>25</v>
      </c>
      <c r="G5" s="32" t="s">
        <v>91</v>
      </c>
      <c r="H5" s="32" t="s">
        <v>90</v>
      </c>
      <c r="I5" s="32">
        <f>'MERCADO TE'!$U$2</f>
        <v>3168.23</v>
      </c>
      <c r="J5" s="17"/>
      <c r="L5" s="30">
        <f>'TE BE'!$L$5*'TE BE'!$L$51</f>
        <v>0</v>
      </c>
      <c r="M5" s="30">
        <f>'TE BE'!$M$5*'TE BE'!$M$51</f>
        <v>-31.650468667072406</v>
      </c>
      <c r="N5" s="30">
        <f>'TE BE'!$N$5*'TE BE'!$N$51</f>
        <v>0</v>
      </c>
      <c r="O5" s="30">
        <f>'TE BE'!$O$5*'TE BE'!$O$51</f>
        <v>3.1233334335441705</v>
      </c>
      <c r="P5" s="30">
        <f>SUM($L$5:$O$5)</f>
        <v>-28.527135233528234</v>
      </c>
      <c r="Q5" s="30">
        <f>'TE BE'!$Q$5*'TE BE'!$Q$51</f>
        <v>-21.882214154918259</v>
      </c>
      <c r="R5" s="30">
        <f>SUM($Q$5:$Q$5)</f>
        <v>-21.882214154918259</v>
      </c>
      <c r="S5" s="30">
        <f>'TE BE'!$S$5*'TE BE'!$S$51</f>
        <v>0</v>
      </c>
      <c r="T5" s="30">
        <f>'TE BE'!$T$5*'TE BE'!$T$51</f>
        <v>0</v>
      </c>
      <c r="U5" s="30">
        <f>'TE BE'!$U$5*'TE BE'!$U$51</f>
        <v>0</v>
      </c>
      <c r="V5" s="30">
        <f>SUM($S$5:$U$5)</f>
        <v>0</v>
      </c>
      <c r="W5" s="30">
        <f>'TE BE'!$AA$5*'TE BE'!$W$51</f>
        <v>0.51000886903388831</v>
      </c>
      <c r="X5" s="30">
        <f>SUM($W$5:$W$5)</f>
        <v>0.51000886903388831</v>
      </c>
      <c r="Y5" s="30">
        <f>'TE BE'!$Y$5*'TE BE'!$Y$51</f>
        <v>-0.39478786830533141</v>
      </c>
      <c r="Z5" s="30">
        <f>SUM($Y$5:$Y$5)</f>
        <v>-0.39478786830533141</v>
      </c>
      <c r="AA5" s="30">
        <f>SUMIF($L$4:$Z$4,"SUBTOTAL",$L$5:$Z$5)</f>
        <v>-50.294128387717933</v>
      </c>
    </row>
    <row r="6" spans="1:27" ht="11.25" customHeight="1" x14ac:dyDescent="0.25">
      <c r="A6" s="140"/>
      <c r="B6" s="140"/>
      <c r="C6" s="140"/>
      <c r="D6" s="140"/>
      <c r="E6" s="140"/>
      <c r="F6" s="140"/>
      <c r="G6" s="32" t="s">
        <v>92</v>
      </c>
      <c r="H6" s="32" t="s">
        <v>90</v>
      </c>
      <c r="I6" s="32">
        <f>'MERCADO TE'!$U$3</f>
        <v>107910.84700000001</v>
      </c>
      <c r="J6" s="17"/>
      <c r="L6" s="30">
        <f>'TE BE'!$L$6*'TE BE'!$L$51</f>
        <v>0</v>
      </c>
      <c r="M6" s="30">
        <f>'TE BE'!$M$6*'TE BE'!$M$51</f>
        <v>-31.650468667072406</v>
      </c>
      <c r="N6" s="30">
        <f>'TE BE'!$N$6*'TE BE'!$N$51</f>
        <v>0</v>
      </c>
      <c r="O6" s="30">
        <f>'TE BE'!$O$6*'TE BE'!$O$51</f>
        <v>3.1233334335441705</v>
      </c>
      <c r="P6" s="30">
        <f>SUM($L$6:$O$6)</f>
        <v>-28.527135233528234</v>
      </c>
      <c r="Q6" s="30">
        <f>'TE BE'!$Q$6*'TE BE'!$Q$51</f>
        <v>-12.722217531929219</v>
      </c>
      <c r="R6" s="30">
        <f>SUM($Q$6:$Q$6)</f>
        <v>-12.722217531929219</v>
      </c>
      <c r="S6" s="30">
        <f>'TE BE'!$S$6*'TE BE'!$S$51</f>
        <v>0</v>
      </c>
      <c r="T6" s="30">
        <f>'TE BE'!$T$6*'TE BE'!$T$51</f>
        <v>0</v>
      </c>
      <c r="U6" s="30">
        <f>'TE BE'!$U$6*'TE BE'!$U$51</f>
        <v>0</v>
      </c>
      <c r="V6" s="30">
        <f>SUM($S$6:$U$6)</f>
        <v>0</v>
      </c>
      <c r="W6" s="30">
        <f>'TE BE'!$AA$6*'TE BE'!$W$51</f>
        <v>0.32357169385823958</v>
      </c>
      <c r="X6" s="30">
        <f>SUM($W$6:$W$6)</f>
        <v>0.32357169385823958</v>
      </c>
      <c r="Y6" s="30">
        <f>'TE BE'!$Y$6*'TE BE'!$Y$51</f>
        <v>-0.39478786830533141</v>
      </c>
      <c r="Z6" s="30">
        <f>SUM($Y$6:$Y$6)</f>
        <v>-0.39478786830533141</v>
      </c>
      <c r="AA6" s="30">
        <f>SUMIF($L$4:$Z$4,"SUBTOTAL",$L$6:$Z$6)</f>
        <v>-41.32056893990454</v>
      </c>
    </row>
    <row r="7" spans="1:27" ht="11.25" customHeight="1" x14ac:dyDescent="0.25">
      <c r="A7" s="140" t="s">
        <v>33</v>
      </c>
      <c r="B7" s="140" t="s">
        <v>89</v>
      </c>
      <c r="C7" s="140" t="s">
        <v>25</v>
      </c>
      <c r="D7" s="140" t="s">
        <v>25</v>
      </c>
      <c r="E7" s="140" t="s">
        <v>25</v>
      </c>
      <c r="F7" s="140" t="s">
        <v>25</v>
      </c>
      <c r="G7" s="32" t="s">
        <v>91</v>
      </c>
      <c r="H7" s="32" t="s">
        <v>90</v>
      </c>
      <c r="I7" s="32">
        <f>'MERCADO TE'!$U$4</f>
        <v>47285.341999999997</v>
      </c>
      <c r="J7" s="17"/>
      <c r="L7" s="30">
        <f>'TE BE'!$L$7*'TE BE'!$L$51</f>
        <v>0</v>
      </c>
      <c r="M7" s="30">
        <f>'TE BE'!$M$7*'TE BE'!$M$51</f>
        <v>-31.650468667072406</v>
      </c>
      <c r="N7" s="30">
        <f>'TE BE'!$N$7*'TE BE'!$N$51</f>
        <v>0</v>
      </c>
      <c r="O7" s="30">
        <f>'TE BE'!$O$7*'TE BE'!$O$51</f>
        <v>3.1233334335441705</v>
      </c>
      <c r="P7" s="30">
        <f>SUM($L$7:$O$7)</f>
        <v>-28.527135233528234</v>
      </c>
      <c r="Q7" s="30">
        <f>'TE BE'!$Q$7*'TE BE'!$Q$51</f>
        <v>-21.882214154918259</v>
      </c>
      <c r="R7" s="30">
        <f>SUM($Q$7:$Q$7)</f>
        <v>-21.882214154918259</v>
      </c>
      <c r="S7" s="30">
        <f>'TE BE'!$S$7*'TE BE'!$S$51</f>
        <v>0</v>
      </c>
      <c r="T7" s="30">
        <f>'TE BE'!$T$7*'TE BE'!$T$51</f>
        <v>0</v>
      </c>
      <c r="U7" s="30">
        <f>'TE BE'!$U$7*'TE BE'!$U$51</f>
        <v>0</v>
      </c>
      <c r="V7" s="30">
        <f>SUM($S$7:$U$7)</f>
        <v>0</v>
      </c>
      <c r="W7" s="30">
        <f>'TE BE'!$AA$7*'TE BE'!$W$51</f>
        <v>0.51000886903388831</v>
      </c>
      <c r="X7" s="30">
        <f>SUM($W$7:$W$7)</f>
        <v>0.51000886903388831</v>
      </c>
      <c r="Y7" s="30">
        <f>'TE BE'!$Y$7*'TE BE'!$Y$51</f>
        <v>-0.39478786830533141</v>
      </c>
      <c r="Z7" s="30">
        <f>SUM($Y$7:$Y$7)</f>
        <v>-0.39478786830533141</v>
      </c>
      <c r="AA7" s="30">
        <f>SUMIF($L$4:$Z$4,"SUBTOTAL",$L$7:$Z$7)</f>
        <v>-50.294128387717933</v>
      </c>
    </row>
    <row r="8" spans="1:27" ht="11.25" customHeight="1" x14ac:dyDescent="0.25">
      <c r="A8" s="140"/>
      <c r="B8" s="140"/>
      <c r="C8" s="140"/>
      <c r="D8" s="140"/>
      <c r="E8" s="140"/>
      <c r="F8" s="140"/>
      <c r="G8" s="32" t="s">
        <v>92</v>
      </c>
      <c r="H8" s="32" t="s">
        <v>90</v>
      </c>
      <c r="I8" s="32">
        <f>'MERCADO TE'!$U$5</f>
        <v>661995.96299999999</v>
      </c>
      <c r="J8" s="17"/>
      <c r="L8" s="30">
        <f>'TE BE'!$L$8*'TE BE'!$L$51</f>
        <v>0</v>
      </c>
      <c r="M8" s="30">
        <f>'TE BE'!$M$8*'TE BE'!$M$51</f>
        <v>-31.650468667072406</v>
      </c>
      <c r="N8" s="30">
        <f>'TE BE'!$N$8*'TE BE'!$N$51</f>
        <v>0</v>
      </c>
      <c r="O8" s="30">
        <f>'TE BE'!$O$8*'TE BE'!$O$51</f>
        <v>3.1233334335441705</v>
      </c>
      <c r="P8" s="30">
        <f>SUM($L$8:$O$8)</f>
        <v>-28.527135233528234</v>
      </c>
      <c r="Q8" s="30">
        <f>'TE BE'!$Q$8*'TE BE'!$Q$51</f>
        <v>-12.722217531929219</v>
      </c>
      <c r="R8" s="30">
        <f>SUM($Q$8:$Q$8)</f>
        <v>-12.722217531929219</v>
      </c>
      <c r="S8" s="30">
        <f>'TE BE'!$S$8*'TE BE'!$S$51</f>
        <v>0</v>
      </c>
      <c r="T8" s="30">
        <f>'TE BE'!$T$8*'TE BE'!$T$51</f>
        <v>0</v>
      </c>
      <c r="U8" s="30">
        <f>'TE BE'!$U$8*'TE BE'!$U$51</f>
        <v>0</v>
      </c>
      <c r="V8" s="30">
        <f>SUM($S$8:$U$8)</f>
        <v>0</v>
      </c>
      <c r="W8" s="30">
        <f>'TE BE'!$AA$8*'TE BE'!$W$51</f>
        <v>0.32357169385823958</v>
      </c>
      <c r="X8" s="30">
        <f>SUM($W$8:$W$8)</f>
        <v>0.32357169385823958</v>
      </c>
      <c r="Y8" s="30">
        <f>'TE BE'!$Y$8*'TE BE'!$Y$51</f>
        <v>-0.39478786830533141</v>
      </c>
      <c r="Z8" s="30">
        <f>SUM($Y$8:$Y$8)</f>
        <v>-0.39478786830533141</v>
      </c>
      <c r="AA8" s="30">
        <f>SUMIF($L$4:$Z$4,"SUBTOTAL",$L$8:$Z$8)</f>
        <v>-41.32056893990454</v>
      </c>
    </row>
    <row r="9" spans="1:27" ht="11.25" customHeight="1" x14ac:dyDescent="0.25">
      <c r="A9" s="140"/>
      <c r="B9" s="38" t="s">
        <v>97</v>
      </c>
      <c r="C9" s="38" t="s">
        <v>25</v>
      </c>
      <c r="D9" s="38" t="s">
        <v>25</v>
      </c>
      <c r="E9" s="38" t="s">
        <v>25</v>
      </c>
      <c r="F9" s="38" t="s">
        <v>25</v>
      </c>
      <c r="G9" s="32" t="s">
        <v>96</v>
      </c>
      <c r="H9" s="32" t="s">
        <v>90</v>
      </c>
      <c r="I9" s="32">
        <f>'MERCADO TE'!$U$6</f>
        <v>0</v>
      </c>
      <c r="J9" s="17"/>
      <c r="L9" s="30">
        <f>'TE BE'!$L$9*'TE BE'!$L$51</f>
        <v>0</v>
      </c>
      <c r="M9" s="30">
        <f>'TE BE'!$M$9*'TE BE'!$M$51</f>
        <v>-31.650468667072406</v>
      </c>
      <c r="N9" s="30">
        <f>'TE BE'!$N$9*'TE BE'!$N$51</f>
        <v>0</v>
      </c>
      <c r="O9" s="30">
        <f>'TE BE'!$O$9*'TE BE'!$O$51</f>
        <v>3.1233334335441705</v>
      </c>
      <c r="P9" s="30">
        <f>SUM($L$9:$O$9)</f>
        <v>-28.527135233528234</v>
      </c>
      <c r="Q9" s="30">
        <f>'TE BE'!$Q$9*'TE BE'!$Q$51</f>
        <v>-13.485550583844972</v>
      </c>
      <c r="R9" s="30">
        <f>SUM($Q$9:$Q$9)</f>
        <v>-13.485550583844972</v>
      </c>
      <c r="S9" s="30">
        <f>'TE BE'!$S$9*'TE BE'!$S$51</f>
        <v>0</v>
      </c>
      <c r="T9" s="30">
        <f>'TE BE'!$T$9*'TE BE'!$T$51</f>
        <v>0</v>
      </c>
      <c r="U9" s="30">
        <f>'TE BE'!$U$9*'TE BE'!$U$51</f>
        <v>0</v>
      </c>
      <c r="V9" s="30">
        <f>SUM($S$9:$U$9)</f>
        <v>0</v>
      </c>
      <c r="W9" s="30">
        <f>'TE BE'!$AA$9*'TE BE'!$W$51</f>
        <v>0.33910812512287697</v>
      </c>
      <c r="X9" s="30">
        <f>SUM($W$9:$W$9)</f>
        <v>0.33910812512287697</v>
      </c>
      <c r="Y9" s="30">
        <f>'TE BE'!$Y$9*'TE BE'!$Y$51</f>
        <v>-0.39478786830533141</v>
      </c>
      <c r="Z9" s="30">
        <f>SUM($Y$9:$Y$9)</f>
        <v>-0.39478786830533141</v>
      </c>
      <c r="AA9" s="30">
        <f>SUMIF($L$4:$Z$4,"SUBTOTAL",$L$9:$Z$9)</f>
        <v>-42.068365560555662</v>
      </c>
    </row>
    <row r="10" spans="1:27" ht="11.25" customHeight="1" x14ac:dyDescent="0.25">
      <c r="A10" s="140" t="s">
        <v>22</v>
      </c>
      <c r="B10" s="140" t="s">
        <v>89</v>
      </c>
      <c r="C10" s="140" t="s">
        <v>24</v>
      </c>
      <c r="D10" s="140" t="s">
        <v>24</v>
      </c>
      <c r="E10" s="140" t="s">
        <v>25</v>
      </c>
      <c r="F10" s="140" t="s">
        <v>25</v>
      </c>
      <c r="G10" s="32" t="s">
        <v>91</v>
      </c>
      <c r="H10" s="32" t="s">
        <v>90</v>
      </c>
      <c r="I10" s="32">
        <f>'MERCADO TE'!$U$7</f>
        <v>50.420000000000009</v>
      </c>
      <c r="J10" s="17"/>
      <c r="L10" s="30">
        <f>'TE BE'!$L$10*'TE BE'!$L$51</f>
        <v>0</v>
      </c>
      <c r="M10" s="30">
        <f>'TE BE'!$M$10*'TE BE'!$M$51</f>
        <v>-31.650468667072406</v>
      </c>
      <c r="N10" s="30">
        <f>'TE BE'!$N$10*'TE BE'!$N$51</f>
        <v>0</v>
      </c>
      <c r="O10" s="30">
        <f>'TE BE'!$O$10*'TE BE'!$O$51</f>
        <v>3.1233334335441705</v>
      </c>
      <c r="P10" s="30">
        <f>SUM($L$10:$O$10)</f>
        <v>-28.527135233528234</v>
      </c>
      <c r="Q10" s="30">
        <f>'TE BE'!$Q$10*'TE BE'!$Q$51</f>
        <v>-21.882214154918259</v>
      </c>
      <c r="R10" s="30">
        <f>SUM($Q$10:$Q$10)</f>
        <v>-21.882214154918259</v>
      </c>
      <c r="S10" s="30">
        <f>'TE BE'!$S$10*'TE BE'!$S$51</f>
        <v>0</v>
      </c>
      <c r="T10" s="30">
        <f>'TE BE'!$T$10*'TE BE'!$T$51</f>
        <v>0</v>
      </c>
      <c r="U10" s="30">
        <f>'TE BE'!$U$10*'TE BE'!$U$51</f>
        <v>0</v>
      </c>
      <c r="V10" s="30">
        <f>SUM($S$10:$U$10)</f>
        <v>0</v>
      </c>
      <c r="W10" s="30">
        <f>'TE BE'!$AA$10*'TE BE'!$W$51</f>
        <v>0.51000886903388831</v>
      </c>
      <c r="X10" s="30">
        <f>SUM($W$10:$W$10)</f>
        <v>0.51000886903388831</v>
      </c>
      <c r="Y10" s="30">
        <f>'TE BE'!$Y$10*'TE BE'!$Y$51</f>
        <v>-0.39478786830533141</v>
      </c>
      <c r="Z10" s="30">
        <f>SUM($Y$10:$Y$10)</f>
        <v>-0.39478786830533141</v>
      </c>
      <c r="AA10" s="30">
        <f>SUMIF($L$4:$Z$4,"SUBTOTAL",$L$10:$Z$10)</f>
        <v>-50.294128387717933</v>
      </c>
    </row>
    <row r="11" spans="1:27" ht="11.25" customHeight="1" x14ac:dyDescent="0.25">
      <c r="A11" s="140"/>
      <c r="B11" s="140"/>
      <c r="C11" s="140"/>
      <c r="D11" s="140"/>
      <c r="E11" s="140"/>
      <c r="F11" s="140"/>
      <c r="G11" s="32" t="s">
        <v>101</v>
      </c>
      <c r="H11" s="32" t="s">
        <v>90</v>
      </c>
      <c r="I11" s="32">
        <f>'MERCADO TE'!$U$8</f>
        <v>34.840000000000003</v>
      </c>
      <c r="J11" s="17"/>
      <c r="L11" s="30">
        <f>'TE BE'!$L$11*'TE BE'!$L$51</f>
        <v>0</v>
      </c>
      <c r="M11" s="30">
        <f>'TE BE'!$M$11*'TE BE'!$M$51</f>
        <v>-31.650468667072406</v>
      </c>
      <c r="N11" s="30">
        <f>'TE BE'!$N$11*'TE BE'!$N$51</f>
        <v>0</v>
      </c>
      <c r="O11" s="30">
        <f>'TE BE'!$O$11*'TE BE'!$O$51</f>
        <v>3.1233334335441705</v>
      </c>
      <c r="P11" s="30">
        <f>SUM($L$11:$O$11)</f>
        <v>-28.527135233528234</v>
      </c>
      <c r="Q11" s="30">
        <f>'TE BE'!$Q$11*'TE BE'!$Q$51</f>
        <v>-12.722217531929219</v>
      </c>
      <c r="R11" s="30">
        <f>SUM($Q$11:$Q$11)</f>
        <v>-12.722217531929219</v>
      </c>
      <c r="S11" s="30">
        <f>'TE BE'!$S$11*'TE BE'!$S$51</f>
        <v>0</v>
      </c>
      <c r="T11" s="30">
        <f>'TE BE'!$T$11*'TE BE'!$T$51</f>
        <v>0</v>
      </c>
      <c r="U11" s="30">
        <f>'TE BE'!$U$11*'TE BE'!$U$51</f>
        <v>0</v>
      </c>
      <c r="V11" s="30">
        <f>SUM($S$11:$U$11)</f>
        <v>0</v>
      </c>
      <c r="W11" s="30">
        <f>'TE BE'!$AA$11*'TE BE'!$W$51</f>
        <v>0.32357169385823958</v>
      </c>
      <c r="X11" s="30">
        <f>SUM($W$11:$W$11)</f>
        <v>0.32357169385823958</v>
      </c>
      <c r="Y11" s="30">
        <f>'TE BE'!$Y$11*'TE BE'!$Y$51</f>
        <v>-0.39478786830533141</v>
      </c>
      <c r="Z11" s="30">
        <f>SUM($Y$11:$Y$11)</f>
        <v>-0.39478786830533141</v>
      </c>
      <c r="AA11" s="30">
        <f>SUMIF($L$4:$Z$4,"SUBTOTAL",$L$11:$Z$11)</f>
        <v>-41.32056893990454</v>
      </c>
    </row>
    <row r="12" spans="1:27" ht="11.25" customHeight="1" x14ac:dyDescent="0.25">
      <c r="A12" s="140"/>
      <c r="B12" s="140"/>
      <c r="C12" s="140"/>
      <c r="D12" s="140"/>
      <c r="E12" s="140"/>
      <c r="F12" s="140"/>
      <c r="G12" s="32" t="s">
        <v>92</v>
      </c>
      <c r="H12" s="32" t="s">
        <v>90</v>
      </c>
      <c r="I12" s="32">
        <f>'MERCADO TE'!$U$9</f>
        <v>677.41499999999996</v>
      </c>
      <c r="J12" s="17"/>
      <c r="L12" s="30">
        <f>'TE BE'!$L$12*'TE BE'!$L$51</f>
        <v>0</v>
      </c>
      <c r="M12" s="30">
        <f>'TE BE'!$M$12*'TE BE'!$M$51</f>
        <v>-31.650468667072406</v>
      </c>
      <c r="N12" s="30">
        <f>'TE BE'!$N$12*'TE BE'!$N$51</f>
        <v>0</v>
      </c>
      <c r="O12" s="30">
        <f>'TE BE'!$O$12*'TE BE'!$O$51</f>
        <v>3.1233334335441705</v>
      </c>
      <c r="P12" s="30">
        <f>SUM($L$12:$O$12)</f>
        <v>-28.527135233528234</v>
      </c>
      <c r="Q12" s="30">
        <f>'TE BE'!$Q$12*'TE BE'!$Q$51</f>
        <v>-12.722217531929219</v>
      </c>
      <c r="R12" s="30">
        <f>SUM($Q$12:$Q$12)</f>
        <v>-12.722217531929219</v>
      </c>
      <c r="S12" s="30">
        <f>'TE BE'!$S$12*'TE BE'!$S$51</f>
        <v>0</v>
      </c>
      <c r="T12" s="30">
        <f>'TE BE'!$T$12*'TE BE'!$T$51</f>
        <v>0</v>
      </c>
      <c r="U12" s="30">
        <f>'TE BE'!$U$12*'TE BE'!$U$51</f>
        <v>0</v>
      </c>
      <c r="V12" s="30">
        <f>SUM($S$12:$U$12)</f>
        <v>0</v>
      </c>
      <c r="W12" s="30">
        <f>'TE BE'!$AA$12*'TE BE'!$W$51</f>
        <v>0.32357169385823958</v>
      </c>
      <c r="X12" s="30">
        <f>SUM($W$12:$W$12)</f>
        <v>0.32357169385823958</v>
      </c>
      <c r="Y12" s="30">
        <f>'TE BE'!$Y$12*'TE BE'!$Y$51</f>
        <v>-0.39478786830533141</v>
      </c>
      <c r="Z12" s="30">
        <f>SUM($Y$12:$Y$12)</f>
        <v>-0.39478786830533141</v>
      </c>
      <c r="AA12" s="30">
        <f>SUMIF($L$4:$Z$4,"SUBTOTAL",$L$12:$Z$12)</f>
        <v>-41.32056893990454</v>
      </c>
    </row>
    <row r="13" spans="1:27" ht="11.25" customHeight="1" x14ac:dyDescent="0.25">
      <c r="A13" s="140"/>
      <c r="B13" s="140" t="s">
        <v>97</v>
      </c>
      <c r="C13" s="140" t="s">
        <v>24</v>
      </c>
      <c r="D13" s="38" t="s">
        <v>24</v>
      </c>
      <c r="E13" s="38" t="s">
        <v>25</v>
      </c>
      <c r="F13" s="38" t="s">
        <v>25</v>
      </c>
      <c r="G13" s="32" t="s">
        <v>96</v>
      </c>
      <c r="H13" s="32" t="s">
        <v>90</v>
      </c>
      <c r="I13" s="32">
        <f>'MERCADO TE'!$U$10</f>
        <v>1165006.6750000003</v>
      </c>
      <c r="J13" s="17"/>
      <c r="L13" s="30">
        <f>'TE BE'!$L$13*'TE BE'!$L$51</f>
        <v>0</v>
      </c>
      <c r="M13" s="30">
        <f>'TE BE'!$M$13*'TE BE'!$M$51</f>
        <v>-31.650468667072406</v>
      </c>
      <c r="N13" s="30">
        <f>'TE BE'!$N$13*'TE BE'!$N$51</f>
        <v>0</v>
      </c>
      <c r="O13" s="30">
        <f>'TE BE'!$O$13*'TE BE'!$O$51</f>
        <v>3.1233334335441705</v>
      </c>
      <c r="P13" s="30">
        <f>SUM($L$13:$O$13)</f>
        <v>-28.527135233528234</v>
      </c>
      <c r="Q13" s="30">
        <f>'TE BE'!$Q$13*'TE BE'!$Q$51</f>
        <v>-13.485550583844972</v>
      </c>
      <c r="R13" s="30">
        <f>SUM($Q$13:$Q$13)</f>
        <v>-13.485550583844972</v>
      </c>
      <c r="S13" s="30">
        <f>'TE BE'!$S$13*'TE BE'!$S$51</f>
        <v>0</v>
      </c>
      <c r="T13" s="30">
        <f>'TE BE'!$T$13*'TE BE'!$T$51</f>
        <v>0</v>
      </c>
      <c r="U13" s="30">
        <f>'TE BE'!$U$13*'TE BE'!$U$51</f>
        <v>0</v>
      </c>
      <c r="V13" s="30">
        <f>SUM($S$13:$U$13)</f>
        <v>0</v>
      </c>
      <c r="W13" s="30">
        <f>'TE BE'!$AA$13*'TE BE'!$W$51</f>
        <v>0.33910812512287697</v>
      </c>
      <c r="X13" s="30">
        <f>SUM($W$13:$W$13)</f>
        <v>0.33910812512287697</v>
      </c>
      <c r="Y13" s="30">
        <f>'TE BE'!$Y$13*'TE BE'!$Y$51</f>
        <v>-0.39478786830533141</v>
      </c>
      <c r="Z13" s="30">
        <f>SUM($Y$13:$Y$13)</f>
        <v>-0.39478786830533141</v>
      </c>
      <c r="AA13" s="30">
        <f>SUMIF($L$4:$Z$4,"SUBTOTAL",$L$13:$Z$13)</f>
        <v>-42.068365560555662</v>
      </c>
    </row>
    <row r="14" spans="1:27" ht="11.25" customHeight="1" x14ac:dyDescent="0.25">
      <c r="A14" s="140"/>
      <c r="B14" s="140"/>
      <c r="C14" s="140"/>
      <c r="D14" s="38" t="s">
        <v>29</v>
      </c>
      <c r="E14" s="38" t="s">
        <v>25</v>
      </c>
      <c r="F14" s="38" t="s">
        <v>25</v>
      </c>
      <c r="G14" s="32" t="s">
        <v>96</v>
      </c>
      <c r="H14" s="32" t="s">
        <v>90</v>
      </c>
      <c r="I14" s="32">
        <f>'MERCADO TE'!$U$11</f>
        <v>134316.74400000001</v>
      </c>
      <c r="J14" s="17"/>
      <c r="L14" s="30">
        <f>'TE BE'!$L$14*'TE BE'!$L$51</f>
        <v>0</v>
      </c>
      <c r="M14" s="30">
        <f>'TE BE'!$M$14*'TE BE'!$M$51</f>
        <v>-31.650468667072406</v>
      </c>
      <c r="N14" s="30">
        <f>'TE BE'!$N$14*'TE BE'!$N$51</f>
        <v>0</v>
      </c>
      <c r="O14" s="30">
        <f>'TE BE'!$O$14*'TE BE'!$O$51</f>
        <v>3.1233334335441705</v>
      </c>
      <c r="P14" s="30">
        <f>SUM($L$14:$O$14)</f>
        <v>-28.527135233528234</v>
      </c>
      <c r="Q14" s="30">
        <f>'TE BE'!$Q$14*'TE BE'!$Q$51</f>
        <v>-13.485550583844972</v>
      </c>
      <c r="R14" s="30">
        <f>SUM($Q$14:$Q$14)</f>
        <v>-13.485550583844972</v>
      </c>
      <c r="S14" s="30">
        <f>'TE BE'!$S$14*'TE BE'!$S$51</f>
        <v>0</v>
      </c>
      <c r="T14" s="30">
        <f>'TE BE'!$T$14*'TE BE'!$T$51</f>
        <v>0</v>
      </c>
      <c r="U14" s="30">
        <f>'TE BE'!$U$14*'TE BE'!$U$51</f>
        <v>0</v>
      </c>
      <c r="V14" s="30">
        <f>SUM($S$14:$U$14)</f>
        <v>0</v>
      </c>
      <c r="W14" s="30">
        <f>'TE BE'!$AA$14*'TE BE'!$W$51</f>
        <v>0.33910812512287697</v>
      </c>
      <c r="X14" s="30">
        <f>SUM($W$14:$W$14)</f>
        <v>0.33910812512287697</v>
      </c>
      <c r="Y14" s="30">
        <f>'TE BE'!$Y$14*'TE BE'!$Y$51</f>
        <v>-0.39478786830533141</v>
      </c>
      <c r="Z14" s="30">
        <f>SUM($Y$14:$Y$14)</f>
        <v>-0.39478786830533141</v>
      </c>
      <c r="AA14" s="30">
        <f>SUMIF($L$4:$Z$4,"SUBTOTAL",$L$14:$Z$14)</f>
        <v>-42.068365560555662</v>
      </c>
    </row>
    <row r="15" spans="1:27" ht="11.25" customHeight="1" x14ac:dyDescent="0.25">
      <c r="A15" s="140"/>
      <c r="B15" s="140"/>
      <c r="C15" s="140"/>
      <c r="D15" s="38" t="s">
        <v>30</v>
      </c>
      <c r="E15" s="38" t="s">
        <v>25</v>
      </c>
      <c r="F15" s="38" t="s">
        <v>25</v>
      </c>
      <c r="G15" s="32" t="s">
        <v>96</v>
      </c>
      <c r="H15" s="32" t="s">
        <v>90</v>
      </c>
      <c r="I15" s="32">
        <f>'MERCADO TE'!$U$12</f>
        <v>207428.35200000001</v>
      </c>
      <c r="J15" s="17"/>
      <c r="L15" s="30">
        <f>'TE BE'!$L$15*'TE BE'!$L$51</f>
        <v>0</v>
      </c>
      <c r="M15" s="30">
        <f>'TE BE'!$M$15*'TE BE'!$M$51</f>
        <v>-31.650468667072406</v>
      </c>
      <c r="N15" s="30">
        <f>'TE BE'!$N$15*'TE BE'!$N$51</f>
        <v>0</v>
      </c>
      <c r="O15" s="30">
        <f>'TE BE'!$O$15*'TE BE'!$O$51</f>
        <v>3.1233334335441705</v>
      </c>
      <c r="P15" s="30">
        <f>SUM($L$15:$O$15)</f>
        <v>-28.527135233528234</v>
      </c>
      <c r="Q15" s="30">
        <f>'TE BE'!$Q$15*'TE BE'!$Q$51</f>
        <v>-13.485550583844972</v>
      </c>
      <c r="R15" s="30">
        <f>SUM($Q$15:$Q$15)</f>
        <v>-13.485550583844972</v>
      </c>
      <c r="S15" s="30">
        <f>'TE BE'!$S$15*'TE BE'!$S$51</f>
        <v>0</v>
      </c>
      <c r="T15" s="30">
        <f>'TE BE'!$T$15*'TE BE'!$T$51</f>
        <v>0</v>
      </c>
      <c r="U15" s="30">
        <f>'TE BE'!$U$15*'TE BE'!$U$51</f>
        <v>0</v>
      </c>
      <c r="V15" s="30">
        <f>SUM($S$15:$U$15)</f>
        <v>0</v>
      </c>
      <c r="W15" s="30">
        <f>'TE BE'!$AA$15*'TE BE'!$W$51</f>
        <v>0.33910812512287697</v>
      </c>
      <c r="X15" s="30">
        <f>SUM($W$15:$W$15)</f>
        <v>0.33910812512287697</v>
      </c>
      <c r="Y15" s="30">
        <f>'TE BE'!$Y$15*'TE BE'!$Y$51</f>
        <v>-0.39478786830533141</v>
      </c>
      <c r="Z15" s="30">
        <f>SUM($Y$15:$Y$15)</f>
        <v>-0.39478786830533141</v>
      </c>
      <c r="AA15" s="30">
        <f>SUMIF($L$4:$Z$4,"SUBTOTAL",$L$15:$Z$15)</f>
        <v>-42.068365560555662</v>
      </c>
    </row>
    <row r="16" spans="1:27" ht="11.25" customHeight="1" x14ac:dyDescent="0.25">
      <c r="A16" s="140"/>
      <c r="B16" s="140"/>
      <c r="C16" s="140"/>
      <c r="D16" s="38" t="s">
        <v>31</v>
      </c>
      <c r="E16" s="38" t="s">
        <v>25</v>
      </c>
      <c r="F16" s="38" t="s">
        <v>25</v>
      </c>
      <c r="G16" s="32" t="s">
        <v>96</v>
      </c>
      <c r="H16" s="32" t="s">
        <v>90</v>
      </c>
      <c r="I16" s="32">
        <f>'MERCADO TE'!$U$13</f>
        <v>81316.453999999983</v>
      </c>
      <c r="J16" s="17"/>
      <c r="L16" s="30">
        <f>'TE BE'!$L$16*'TE BE'!$L$51</f>
        <v>0</v>
      </c>
      <c r="M16" s="30">
        <f>'TE BE'!$M$16*'TE BE'!$M$51</f>
        <v>-31.650468667072406</v>
      </c>
      <c r="N16" s="30">
        <f>'TE BE'!$N$16*'TE BE'!$N$51</f>
        <v>0</v>
      </c>
      <c r="O16" s="30">
        <f>'TE BE'!$O$16*'TE BE'!$O$51</f>
        <v>3.1233334335441705</v>
      </c>
      <c r="P16" s="30">
        <f>SUM($L$16:$O$16)</f>
        <v>-28.527135233528234</v>
      </c>
      <c r="Q16" s="30">
        <f>'TE BE'!$Q$16*'TE BE'!$Q$51</f>
        <v>-13.485550583844972</v>
      </c>
      <c r="R16" s="30">
        <f>SUM($Q$16:$Q$16)</f>
        <v>-13.485550583844972</v>
      </c>
      <c r="S16" s="30">
        <f>'TE BE'!$S$16*'TE BE'!$S$51</f>
        <v>0</v>
      </c>
      <c r="T16" s="30">
        <f>'TE BE'!$T$16*'TE BE'!$T$51</f>
        <v>0</v>
      </c>
      <c r="U16" s="30">
        <f>'TE BE'!$U$16*'TE BE'!$U$51</f>
        <v>0</v>
      </c>
      <c r="V16" s="30">
        <f>SUM($S$16:$U$16)</f>
        <v>0</v>
      </c>
      <c r="W16" s="30">
        <f>'TE BE'!$AA$16*'TE BE'!$W$51</f>
        <v>0.33910812512287697</v>
      </c>
      <c r="X16" s="30">
        <f>SUM($W$16:$W$16)</f>
        <v>0.33910812512287697</v>
      </c>
      <c r="Y16" s="30">
        <f>'TE BE'!$Y$16*'TE BE'!$Y$51</f>
        <v>-0.39478786830533141</v>
      </c>
      <c r="Z16" s="30">
        <f>SUM($Y$16:$Y$16)</f>
        <v>-0.39478786830533141</v>
      </c>
      <c r="AA16" s="30">
        <f>SUMIF($L$4:$Z$4,"SUBTOTAL",$L$16:$Z$16)</f>
        <v>-42.068365560555662</v>
      </c>
    </row>
    <row r="17" spans="1:27" ht="11.25" customHeight="1" x14ac:dyDescent="0.25">
      <c r="A17" s="140"/>
      <c r="B17" s="140"/>
      <c r="C17" s="140"/>
      <c r="D17" s="38" t="s">
        <v>32</v>
      </c>
      <c r="E17" s="38" t="s">
        <v>25</v>
      </c>
      <c r="F17" s="38" t="s">
        <v>25</v>
      </c>
      <c r="G17" s="32" t="s">
        <v>96</v>
      </c>
      <c r="H17" s="32" t="s">
        <v>90</v>
      </c>
      <c r="I17" s="32">
        <f>'MERCADO TE'!$U$14</f>
        <v>15947.552</v>
      </c>
      <c r="J17" s="17"/>
      <c r="L17" s="30">
        <f>'TE BE'!$L$17*'TE BE'!$L$51</f>
        <v>0</v>
      </c>
      <c r="M17" s="30">
        <f>'TE BE'!$M$17*'TE BE'!$M$51</f>
        <v>-31.650468667072406</v>
      </c>
      <c r="N17" s="30">
        <f>'TE BE'!$N$17*'TE BE'!$N$51</f>
        <v>0</v>
      </c>
      <c r="O17" s="30">
        <f>'TE BE'!$O$17*'TE BE'!$O$51</f>
        <v>3.1233334335441705</v>
      </c>
      <c r="P17" s="30">
        <f>SUM($L$17:$O$17)</f>
        <v>-28.527135233528234</v>
      </c>
      <c r="Q17" s="30">
        <f>'TE BE'!$Q$17*'TE BE'!$Q$51</f>
        <v>-13.485550583844972</v>
      </c>
      <c r="R17" s="30">
        <f>SUM($Q$17:$Q$17)</f>
        <v>-13.485550583844972</v>
      </c>
      <c r="S17" s="30">
        <f>'TE BE'!$S$17*'TE BE'!$S$51</f>
        <v>0</v>
      </c>
      <c r="T17" s="30">
        <f>'TE BE'!$T$17*'TE BE'!$T$51</f>
        <v>0</v>
      </c>
      <c r="U17" s="30">
        <f>'TE BE'!$U$17*'TE BE'!$U$51</f>
        <v>0</v>
      </c>
      <c r="V17" s="30">
        <f>SUM($S$17:$U$17)</f>
        <v>0</v>
      </c>
      <c r="W17" s="30">
        <f>'TE BE'!$AA$17*'TE BE'!$W$51</f>
        <v>0.33910812512287697</v>
      </c>
      <c r="X17" s="30">
        <f>SUM($W$17:$W$17)</f>
        <v>0.33910812512287697</v>
      </c>
      <c r="Y17" s="30">
        <f>'TE BE'!$Y$17*'TE BE'!$Y$51</f>
        <v>-0.39478786830533141</v>
      </c>
      <c r="Z17" s="30">
        <f>SUM($Y$17:$Y$17)</f>
        <v>-0.39478786830533141</v>
      </c>
      <c r="AA17" s="30">
        <f>SUMIF($L$4:$Z$4,"SUBTOTAL",$L$17:$Z$17)</f>
        <v>-42.068365560555662</v>
      </c>
    </row>
    <row r="18" spans="1:27" ht="11.25" customHeight="1" x14ac:dyDescent="0.25">
      <c r="A18" s="140"/>
      <c r="B18" s="140" t="s">
        <v>102</v>
      </c>
      <c r="C18" s="140" t="s">
        <v>24</v>
      </c>
      <c r="D18" s="38" t="s">
        <v>24</v>
      </c>
      <c r="E18" s="38" t="s">
        <v>25</v>
      </c>
      <c r="F18" s="38" t="s">
        <v>25</v>
      </c>
      <c r="G18" s="32" t="s">
        <v>96</v>
      </c>
      <c r="H18" s="32" t="s">
        <v>90</v>
      </c>
      <c r="I18" s="32">
        <f>'MERCADO TE'!$U$15</f>
        <v>0</v>
      </c>
      <c r="J18" s="17"/>
      <c r="L18" s="30">
        <f>'TE BE'!$L$18*'TE BE'!$L$51</f>
        <v>0</v>
      </c>
      <c r="M18" s="30">
        <f>'TE BE'!$M$18*'TE BE'!$M$51</f>
        <v>-31.650468667072406</v>
      </c>
      <c r="N18" s="30">
        <f>'TE BE'!$N$18*'TE BE'!$N$51</f>
        <v>0</v>
      </c>
      <c r="O18" s="30">
        <f>'TE BE'!$O$18*'TE BE'!$O$51</f>
        <v>3.1233334335441705</v>
      </c>
      <c r="P18" s="30">
        <f>SUM($L$18:$O$18)</f>
        <v>-28.527135233528234</v>
      </c>
      <c r="Q18" s="30">
        <f>'TE BE'!$Q$18*'TE BE'!$Q$51</f>
        <v>-13.485550583844972</v>
      </c>
      <c r="R18" s="30">
        <f>SUM($Q$18:$Q$18)</f>
        <v>-13.485550583844972</v>
      </c>
      <c r="S18" s="30">
        <f>'TE BE'!$S$18*'TE BE'!$S$51</f>
        <v>0</v>
      </c>
      <c r="T18" s="30">
        <f>'TE BE'!$T$18*'TE BE'!$T$51</f>
        <v>0</v>
      </c>
      <c r="U18" s="30">
        <f>'TE BE'!$U$18*'TE BE'!$U$51</f>
        <v>0</v>
      </c>
      <c r="V18" s="30">
        <f>SUM($S$18:$U$18)</f>
        <v>0</v>
      </c>
      <c r="W18" s="30">
        <f>'TE BE'!$AA$18*'TE BE'!$W$51</f>
        <v>0.33910812512287697</v>
      </c>
      <c r="X18" s="30">
        <f>SUM($W$18:$W$18)</f>
        <v>0.33910812512287697</v>
      </c>
      <c r="Y18" s="30">
        <f>'TE BE'!$Y$18*'TE BE'!$Y$51</f>
        <v>-0.39478786830533141</v>
      </c>
      <c r="Z18" s="30">
        <f>SUM($Y$18:$Y$18)</f>
        <v>-0.39478786830533141</v>
      </c>
      <c r="AA18" s="30">
        <f>SUMIF($L$4:$Z$4,"SUBTOTAL",$L$18:$Z$18)</f>
        <v>-42.068365560555662</v>
      </c>
    </row>
    <row r="19" spans="1:27" ht="11.25" customHeight="1" x14ac:dyDescent="0.25">
      <c r="A19" s="140"/>
      <c r="B19" s="140"/>
      <c r="C19" s="140"/>
      <c r="D19" s="38" t="s">
        <v>29</v>
      </c>
      <c r="E19" s="38" t="s">
        <v>25</v>
      </c>
      <c r="F19" s="38" t="s">
        <v>25</v>
      </c>
      <c r="G19" s="32" t="s">
        <v>96</v>
      </c>
      <c r="H19" s="32" t="s">
        <v>90</v>
      </c>
      <c r="I19" s="32">
        <f>'MERCADO TE'!$U$16</f>
        <v>0</v>
      </c>
      <c r="J19" s="17"/>
      <c r="L19" s="30">
        <f>'TE BE'!$L$19*'TE BE'!$L$51</f>
        <v>0</v>
      </c>
      <c r="M19" s="30">
        <f>'TE BE'!$M$19*'TE BE'!$M$51</f>
        <v>-31.650468667072406</v>
      </c>
      <c r="N19" s="30">
        <f>'TE BE'!$N$19*'TE BE'!$N$51</f>
        <v>0</v>
      </c>
      <c r="O19" s="30">
        <f>'TE BE'!$O$19*'TE BE'!$O$51</f>
        <v>3.1233334335441705</v>
      </c>
      <c r="P19" s="30">
        <f>SUM($L$19:$O$19)</f>
        <v>-28.527135233528234</v>
      </c>
      <c r="Q19" s="30">
        <f>'TE BE'!$Q$19*'TE BE'!$Q$51</f>
        <v>-13.485550583844972</v>
      </c>
      <c r="R19" s="30">
        <f>SUM($Q$19:$Q$19)</f>
        <v>-13.485550583844972</v>
      </c>
      <c r="S19" s="30">
        <f>'TE BE'!$S$19*'TE BE'!$S$51</f>
        <v>0</v>
      </c>
      <c r="T19" s="30">
        <f>'TE BE'!$T$19*'TE BE'!$T$51</f>
        <v>0</v>
      </c>
      <c r="U19" s="30">
        <f>'TE BE'!$U$19*'TE BE'!$U$51</f>
        <v>0</v>
      </c>
      <c r="V19" s="30">
        <f>SUM($S$19:$U$19)</f>
        <v>0</v>
      </c>
      <c r="W19" s="30">
        <f>'TE BE'!$AA$19*'TE BE'!$W$51</f>
        <v>0.33910812512287697</v>
      </c>
      <c r="X19" s="30">
        <f>SUM($W$19:$W$19)</f>
        <v>0.33910812512287697</v>
      </c>
      <c r="Y19" s="30">
        <f>'TE BE'!$Y$19*'TE BE'!$Y$51</f>
        <v>-0.39478786830533141</v>
      </c>
      <c r="Z19" s="30">
        <f>SUM($Y$19:$Y$19)</f>
        <v>-0.39478786830533141</v>
      </c>
      <c r="AA19" s="30">
        <f>SUMIF($L$4:$Z$4,"SUBTOTAL",$L$19:$Z$19)</f>
        <v>-42.068365560555662</v>
      </c>
    </row>
    <row r="20" spans="1:27" ht="11.25" customHeight="1" x14ac:dyDescent="0.25">
      <c r="A20" s="140"/>
      <c r="B20" s="140"/>
      <c r="C20" s="140"/>
      <c r="D20" s="38" t="s">
        <v>30</v>
      </c>
      <c r="E20" s="38" t="s">
        <v>25</v>
      </c>
      <c r="F20" s="38" t="s">
        <v>25</v>
      </c>
      <c r="G20" s="32" t="s">
        <v>96</v>
      </c>
      <c r="H20" s="32" t="s">
        <v>90</v>
      </c>
      <c r="I20" s="32">
        <f>'MERCADO TE'!$U$17</f>
        <v>0</v>
      </c>
      <c r="J20" s="17"/>
      <c r="L20" s="30">
        <f>'TE BE'!$L$20*'TE BE'!$L$51</f>
        <v>0</v>
      </c>
      <c r="M20" s="30">
        <f>'TE BE'!$M$20*'TE BE'!$M$51</f>
        <v>-31.650468667072406</v>
      </c>
      <c r="N20" s="30">
        <f>'TE BE'!$N$20*'TE BE'!$N$51</f>
        <v>0</v>
      </c>
      <c r="O20" s="30">
        <f>'TE BE'!$O$20*'TE BE'!$O$51</f>
        <v>3.1233334335441705</v>
      </c>
      <c r="P20" s="30">
        <f>SUM($L$20:$O$20)</f>
        <v>-28.527135233528234</v>
      </c>
      <c r="Q20" s="30">
        <f>'TE BE'!$Q$20*'TE BE'!$Q$51</f>
        <v>-13.485550583844972</v>
      </c>
      <c r="R20" s="30">
        <f>SUM($Q$20:$Q$20)</f>
        <v>-13.485550583844972</v>
      </c>
      <c r="S20" s="30">
        <f>'TE BE'!$S$20*'TE BE'!$S$51</f>
        <v>0</v>
      </c>
      <c r="T20" s="30">
        <f>'TE BE'!$T$20*'TE BE'!$T$51</f>
        <v>0</v>
      </c>
      <c r="U20" s="30">
        <f>'TE BE'!$U$20*'TE BE'!$U$51</f>
        <v>0</v>
      </c>
      <c r="V20" s="30">
        <f>SUM($S$20:$U$20)</f>
        <v>0</v>
      </c>
      <c r="W20" s="30">
        <f>'TE BE'!$AA$20*'TE BE'!$W$51</f>
        <v>0.33910812512287697</v>
      </c>
      <c r="X20" s="30">
        <f>SUM($W$20:$W$20)</f>
        <v>0.33910812512287697</v>
      </c>
      <c r="Y20" s="30">
        <f>'TE BE'!$Y$20*'TE BE'!$Y$51</f>
        <v>-0.39478786830533141</v>
      </c>
      <c r="Z20" s="30">
        <f>SUM($Y$20:$Y$20)</f>
        <v>-0.39478786830533141</v>
      </c>
      <c r="AA20" s="30">
        <f>SUMIF($L$4:$Z$4,"SUBTOTAL",$L$20:$Z$20)</f>
        <v>-42.068365560555662</v>
      </c>
    </row>
    <row r="21" spans="1:27" ht="11.25" customHeight="1" x14ac:dyDescent="0.25">
      <c r="A21" s="140"/>
      <c r="B21" s="140"/>
      <c r="C21" s="140"/>
      <c r="D21" s="38" t="s">
        <v>31</v>
      </c>
      <c r="E21" s="38" t="s">
        <v>25</v>
      </c>
      <c r="F21" s="38" t="s">
        <v>25</v>
      </c>
      <c r="G21" s="32" t="s">
        <v>96</v>
      </c>
      <c r="H21" s="32" t="s">
        <v>90</v>
      </c>
      <c r="I21" s="32">
        <f>'MERCADO TE'!$U$18</f>
        <v>0</v>
      </c>
      <c r="J21" s="17"/>
      <c r="L21" s="30">
        <f>'TE BE'!$L$21*'TE BE'!$L$51</f>
        <v>0</v>
      </c>
      <c r="M21" s="30">
        <f>'TE BE'!$M$21*'TE BE'!$M$51</f>
        <v>-31.650468667072406</v>
      </c>
      <c r="N21" s="30">
        <f>'TE BE'!$N$21*'TE BE'!$N$51</f>
        <v>0</v>
      </c>
      <c r="O21" s="30">
        <f>'TE BE'!$O$21*'TE BE'!$O$51</f>
        <v>3.1233334335441705</v>
      </c>
      <c r="P21" s="30">
        <f>SUM($L$21:$O$21)</f>
        <v>-28.527135233528234</v>
      </c>
      <c r="Q21" s="30">
        <f>'TE BE'!$Q$21*'TE BE'!$Q$51</f>
        <v>-13.485550583844972</v>
      </c>
      <c r="R21" s="30">
        <f>SUM($Q$21:$Q$21)</f>
        <v>-13.485550583844972</v>
      </c>
      <c r="S21" s="30">
        <f>'TE BE'!$S$21*'TE BE'!$S$51</f>
        <v>0</v>
      </c>
      <c r="T21" s="30">
        <f>'TE BE'!$T$21*'TE BE'!$T$51</f>
        <v>0</v>
      </c>
      <c r="U21" s="30">
        <f>'TE BE'!$U$21*'TE BE'!$U$51</f>
        <v>0</v>
      </c>
      <c r="V21" s="30">
        <f>SUM($S$21:$U$21)</f>
        <v>0</v>
      </c>
      <c r="W21" s="30">
        <f>'TE BE'!$AA$21*'TE BE'!$W$51</f>
        <v>0.33910812512287697</v>
      </c>
      <c r="X21" s="30">
        <f>SUM($W$21:$W$21)</f>
        <v>0.33910812512287697</v>
      </c>
      <c r="Y21" s="30">
        <f>'TE BE'!$Y$21*'TE BE'!$Y$51</f>
        <v>-0.39478786830533141</v>
      </c>
      <c r="Z21" s="30">
        <f>SUM($Y$21:$Y$21)</f>
        <v>-0.39478786830533141</v>
      </c>
      <c r="AA21" s="30">
        <f>SUMIF($L$4:$Z$4,"SUBTOTAL",$L$21:$Z$21)</f>
        <v>-42.068365560555662</v>
      </c>
    </row>
    <row r="22" spans="1:27" ht="11.25" customHeight="1" x14ac:dyDescent="0.25">
      <c r="A22" s="140"/>
      <c r="B22" s="140"/>
      <c r="C22" s="140"/>
      <c r="D22" s="38" t="s">
        <v>32</v>
      </c>
      <c r="E22" s="38" t="s">
        <v>25</v>
      </c>
      <c r="F22" s="38" t="s">
        <v>25</v>
      </c>
      <c r="G22" s="32" t="s">
        <v>96</v>
      </c>
      <c r="H22" s="32" t="s">
        <v>90</v>
      </c>
      <c r="I22" s="32">
        <f>'MERCADO TE'!$U$19</f>
        <v>0</v>
      </c>
      <c r="J22" s="17"/>
      <c r="L22" s="30">
        <f>'TE BE'!$L$22*'TE BE'!$L$51</f>
        <v>0</v>
      </c>
      <c r="M22" s="30">
        <f>'TE BE'!$M$22*'TE BE'!$M$51</f>
        <v>-31.650468667072406</v>
      </c>
      <c r="N22" s="30">
        <f>'TE BE'!$N$22*'TE BE'!$N$51</f>
        <v>0</v>
      </c>
      <c r="O22" s="30">
        <f>'TE BE'!$O$22*'TE BE'!$O$51</f>
        <v>3.1233334335441705</v>
      </c>
      <c r="P22" s="30">
        <f>SUM($L$22:$O$22)</f>
        <v>-28.527135233528234</v>
      </c>
      <c r="Q22" s="30">
        <f>'TE BE'!$Q$22*'TE BE'!$Q$51</f>
        <v>-13.485550583844972</v>
      </c>
      <c r="R22" s="30">
        <f>SUM($Q$22:$Q$22)</f>
        <v>-13.485550583844972</v>
      </c>
      <c r="S22" s="30">
        <f>'TE BE'!$S$22*'TE BE'!$S$51</f>
        <v>0</v>
      </c>
      <c r="T22" s="30">
        <f>'TE BE'!$T$22*'TE BE'!$T$51</f>
        <v>0</v>
      </c>
      <c r="U22" s="30">
        <f>'TE BE'!$U$22*'TE BE'!$U$51</f>
        <v>0</v>
      </c>
      <c r="V22" s="30">
        <f>SUM($S$22:$U$22)</f>
        <v>0</v>
      </c>
      <c r="W22" s="30">
        <f>'TE BE'!$AA$22*'TE BE'!$W$51</f>
        <v>0.33910812512287697</v>
      </c>
      <c r="X22" s="30">
        <f>SUM($W$22:$W$22)</f>
        <v>0.33910812512287697</v>
      </c>
      <c r="Y22" s="30">
        <f>'TE BE'!$Y$22*'TE BE'!$Y$51</f>
        <v>-0.39478786830533141</v>
      </c>
      <c r="Z22" s="30">
        <f>SUM($Y$22:$Y$22)</f>
        <v>-0.39478786830533141</v>
      </c>
      <c r="AA22" s="30">
        <f>SUMIF($L$4:$Z$4,"SUBTOTAL",$L$22:$Z$22)</f>
        <v>-42.068365560555662</v>
      </c>
    </row>
    <row r="23" spans="1:27" ht="11.25" customHeight="1" x14ac:dyDescent="0.25">
      <c r="A23" s="140" t="s">
        <v>44</v>
      </c>
      <c r="B23" s="140" t="s">
        <v>89</v>
      </c>
      <c r="C23" s="140" t="s">
        <v>45</v>
      </c>
      <c r="D23" s="140" t="s">
        <v>25</v>
      </c>
      <c r="E23" s="140" t="s">
        <v>25</v>
      </c>
      <c r="F23" s="140" t="s">
        <v>25</v>
      </c>
      <c r="G23" s="32" t="s">
        <v>91</v>
      </c>
      <c r="H23" s="32" t="s">
        <v>90</v>
      </c>
      <c r="I23" s="32">
        <f>'MERCADO TE'!$U$20</f>
        <v>3.0000000000000001E-3</v>
      </c>
      <c r="J23" s="17"/>
      <c r="L23" s="30">
        <f>'TE BE'!$L$23*'TE BE'!$L$51</f>
        <v>0</v>
      </c>
      <c r="M23" s="30">
        <f>'TE BE'!$M$23*'TE BE'!$M$51</f>
        <v>-31.650468667072406</v>
      </c>
      <c r="N23" s="30">
        <f>'TE BE'!$N$23*'TE BE'!$N$51</f>
        <v>0</v>
      </c>
      <c r="O23" s="30">
        <f>'TE BE'!$O$23*'TE BE'!$O$51</f>
        <v>3.1233334335441705</v>
      </c>
      <c r="P23" s="30">
        <f>SUM($L$23:$O$23)</f>
        <v>-28.527135233528234</v>
      </c>
      <c r="Q23" s="30">
        <f>'TE BE'!$Q$23*'TE BE'!$Q$51</f>
        <v>-21.882214154918259</v>
      </c>
      <c r="R23" s="30">
        <f>SUM($Q$23:$Q$23)</f>
        <v>-21.882214154918259</v>
      </c>
      <c r="S23" s="30">
        <f>'TE BE'!$S$23*'TE BE'!$S$51</f>
        <v>0</v>
      </c>
      <c r="T23" s="30">
        <f>'TE BE'!$T$23*'TE BE'!$T$51</f>
        <v>0</v>
      </c>
      <c r="U23" s="30">
        <f>'TE BE'!$U$23*'TE BE'!$U$51</f>
        <v>0</v>
      </c>
      <c r="V23" s="30">
        <f>SUM($S$23:$U$23)</f>
        <v>0</v>
      </c>
      <c r="W23" s="30">
        <f>'TE BE'!$AA$23*'TE BE'!$W$51</f>
        <v>0.51000886903388831</v>
      </c>
      <c r="X23" s="30">
        <f>SUM($W$23:$W$23)</f>
        <v>0.51000886903388831</v>
      </c>
      <c r="Y23" s="30">
        <f>'TE BE'!$Y$23*'TE BE'!$Y$51</f>
        <v>-0.39478786830533141</v>
      </c>
      <c r="Z23" s="30">
        <f>SUM($Y$23:$Y$23)</f>
        <v>-0.39478786830533141</v>
      </c>
      <c r="AA23" s="30">
        <f>SUMIF($L$4:$Z$4,"SUBTOTAL",$L$23:$Z$23)</f>
        <v>-50.294128387717933</v>
      </c>
    </row>
    <row r="24" spans="1:27" ht="11.25" customHeight="1" x14ac:dyDescent="0.25">
      <c r="A24" s="140"/>
      <c r="B24" s="140"/>
      <c r="C24" s="140"/>
      <c r="D24" s="140"/>
      <c r="E24" s="140"/>
      <c r="F24" s="140"/>
      <c r="G24" s="32" t="s">
        <v>101</v>
      </c>
      <c r="H24" s="32" t="s">
        <v>90</v>
      </c>
      <c r="I24" s="32">
        <f>'MERCADO TE'!$U$21</f>
        <v>3.1E-2</v>
      </c>
      <c r="J24" s="17"/>
      <c r="L24" s="30">
        <f>'TE BE'!$L$24*'TE BE'!$L$51</f>
        <v>0</v>
      </c>
      <c r="M24" s="30">
        <f>'TE BE'!$M$24*'TE BE'!$M$51</f>
        <v>-31.650468667072406</v>
      </c>
      <c r="N24" s="30">
        <f>'TE BE'!$N$24*'TE BE'!$N$51</f>
        <v>0</v>
      </c>
      <c r="O24" s="30">
        <f>'TE BE'!$O$24*'TE BE'!$O$51</f>
        <v>3.1233334335441705</v>
      </c>
      <c r="P24" s="30">
        <f>SUM($L$24:$O$24)</f>
        <v>-28.527135233528234</v>
      </c>
      <c r="Q24" s="30">
        <f>'TE BE'!$Q$24*'TE BE'!$Q$51</f>
        <v>-12.722217531929219</v>
      </c>
      <c r="R24" s="30">
        <f>SUM($Q$24:$Q$24)</f>
        <v>-12.722217531929219</v>
      </c>
      <c r="S24" s="30">
        <f>'TE BE'!$S$24*'TE BE'!$S$51</f>
        <v>0</v>
      </c>
      <c r="T24" s="30">
        <f>'TE BE'!$T$24*'TE BE'!$T$51</f>
        <v>0</v>
      </c>
      <c r="U24" s="30">
        <f>'TE BE'!$U$24*'TE BE'!$U$51</f>
        <v>0</v>
      </c>
      <c r="V24" s="30">
        <f>SUM($S$24:$U$24)</f>
        <v>0</v>
      </c>
      <c r="W24" s="30">
        <f>'TE BE'!$AA$24*'TE BE'!$W$51</f>
        <v>0.32357169385823958</v>
      </c>
      <c r="X24" s="30">
        <f>SUM($W$24:$W$24)</f>
        <v>0.32357169385823958</v>
      </c>
      <c r="Y24" s="30">
        <f>'TE BE'!$Y$24*'TE BE'!$Y$51</f>
        <v>-0.39478786830533141</v>
      </c>
      <c r="Z24" s="30">
        <f>SUM($Y$24:$Y$24)</f>
        <v>-0.39478786830533141</v>
      </c>
      <c r="AA24" s="30">
        <f>SUMIF($L$4:$Z$4,"SUBTOTAL",$L$24:$Z$24)</f>
        <v>-41.32056893990454</v>
      </c>
    </row>
    <row r="25" spans="1:27" ht="11.25" customHeight="1" x14ac:dyDescent="0.25">
      <c r="A25" s="140"/>
      <c r="B25" s="140"/>
      <c r="C25" s="140"/>
      <c r="D25" s="140"/>
      <c r="E25" s="140"/>
      <c r="F25" s="140"/>
      <c r="G25" s="32" t="s">
        <v>92</v>
      </c>
      <c r="H25" s="32" t="s">
        <v>90</v>
      </c>
      <c r="I25" s="32">
        <f>'MERCADO TE'!$U$22</f>
        <v>8.956999999999999</v>
      </c>
      <c r="J25" s="17"/>
      <c r="L25" s="30">
        <f>'TE BE'!$L$25*'TE BE'!$L$51</f>
        <v>0</v>
      </c>
      <c r="M25" s="30">
        <f>'TE BE'!$M$25*'TE BE'!$M$51</f>
        <v>-31.650468667072406</v>
      </c>
      <c r="N25" s="30">
        <f>'TE BE'!$N$25*'TE BE'!$N$51</f>
        <v>0</v>
      </c>
      <c r="O25" s="30">
        <f>'TE BE'!$O$25*'TE BE'!$O$51</f>
        <v>3.1233334335441705</v>
      </c>
      <c r="P25" s="30">
        <f>SUM($L$25:$O$25)</f>
        <v>-28.527135233528234</v>
      </c>
      <c r="Q25" s="30">
        <f>'TE BE'!$Q$25*'TE BE'!$Q$51</f>
        <v>-12.722217531929219</v>
      </c>
      <c r="R25" s="30">
        <f>SUM($Q$25:$Q$25)</f>
        <v>-12.722217531929219</v>
      </c>
      <c r="S25" s="30">
        <f>'TE BE'!$S$25*'TE BE'!$S$51</f>
        <v>0</v>
      </c>
      <c r="T25" s="30">
        <f>'TE BE'!$T$25*'TE BE'!$T$51</f>
        <v>0</v>
      </c>
      <c r="U25" s="30">
        <f>'TE BE'!$U$25*'TE BE'!$U$51</f>
        <v>0</v>
      </c>
      <c r="V25" s="30">
        <f>SUM($S$25:$U$25)</f>
        <v>0</v>
      </c>
      <c r="W25" s="30">
        <f>'TE BE'!$AA$25*'TE BE'!$W$51</f>
        <v>0.32357169385823958</v>
      </c>
      <c r="X25" s="30">
        <f>SUM($W$25:$W$25)</f>
        <v>0.32357169385823958</v>
      </c>
      <c r="Y25" s="30">
        <f>'TE BE'!$Y$25*'TE BE'!$Y$51</f>
        <v>-0.39478786830533141</v>
      </c>
      <c r="Z25" s="30">
        <f>SUM($Y$25:$Y$25)</f>
        <v>-0.39478786830533141</v>
      </c>
      <c r="AA25" s="30">
        <f>SUMIF($L$4:$Z$4,"SUBTOTAL",$L$25:$Z$25)</f>
        <v>-41.32056893990454</v>
      </c>
    </row>
    <row r="26" spans="1:27" ht="11.25" customHeight="1" x14ac:dyDescent="0.25">
      <c r="A26" s="140"/>
      <c r="B26" s="38" t="s">
        <v>97</v>
      </c>
      <c r="C26" s="38" t="s">
        <v>45</v>
      </c>
      <c r="D26" s="38" t="s">
        <v>25</v>
      </c>
      <c r="E26" s="38" t="s">
        <v>25</v>
      </c>
      <c r="F26" s="38" t="s">
        <v>25</v>
      </c>
      <c r="G26" s="32" t="s">
        <v>96</v>
      </c>
      <c r="H26" s="32" t="s">
        <v>90</v>
      </c>
      <c r="I26" s="32">
        <f>'MERCADO TE'!$U$23</f>
        <v>60904.316999999995</v>
      </c>
      <c r="J26" s="17"/>
      <c r="L26" s="30">
        <f>'TE BE'!$L$26*'TE BE'!$L$51</f>
        <v>0</v>
      </c>
      <c r="M26" s="30">
        <f>'TE BE'!$M$26*'TE BE'!$M$51</f>
        <v>-31.650468667072406</v>
      </c>
      <c r="N26" s="30">
        <f>'TE BE'!$N$26*'TE BE'!$N$51</f>
        <v>0</v>
      </c>
      <c r="O26" s="30">
        <f>'TE BE'!$O$26*'TE BE'!$O$51</f>
        <v>3.1233334335441705</v>
      </c>
      <c r="P26" s="30">
        <f>SUM($L$26:$O$26)</f>
        <v>-28.527135233528234</v>
      </c>
      <c r="Q26" s="30">
        <f>'TE BE'!$Q$26*'TE BE'!$Q$51</f>
        <v>-13.485550583844972</v>
      </c>
      <c r="R26" s="30">
        <f>SUM($Q$26:$Q$26)</f>
        <v>-13.485550583844972</v>
      </c>
      <c r="S26" s="30">
        <f>'TE BE'!$S$26*'TE BE'!$S$51</f>
        <v>0</v>
      </c>
      <c r="T26" s="30">
        <f>'TE BE'!$T$26*'TE BE'!$T$51</f>
        <v>0</v>
      </c>
      <c r="U26" s="30">
        <f>'TE BE'!$U$26*'TE BE'!$U$51</f>
        <v>0</v>
      </c>
      <c r="V26" s="30">
        <f>SUM($S$26:$U$26)</f>
        <v>0</v>
      </c>
      <c r="W26" s="30">
        <f>'TE BE'!$AA$26*'TE BE'!$W$51</f>
        <v>0.33910812512287697</v>
      </c>
      <c r="X26" s="30">
        <f>SUM($W$26:$W$26)</f>
        <v>0.33910812512287697</v>
      </c>
      <c r="Y26" s="30">
        <f>'TE BE'!$Y$26*'TE BE'!$Y$51</f>
        <v>-0.39478786830533141</v>
      </c>
      <c r="Z26" s="30">
        <f>SUM($Y$26:$Y$26)</f>
        <v>-0.39478786830533141</v>
      </c>
      <c r="AA26" s="30">
        <f>SUMIF($L$4:$Z$4,"SUBTOTAL",$L$26:$Z$26)</f>
        <v>-42.068365560555662</v>
      </c>
    </row>
    <row r="27" spans="1:27" ht="11.25" customHeight="1" x14ac:dyDescent="0.25">
      <c r="A27" s="140"/>
      <c r="B27" s="140" t="s">
        <v>89</v>
      </c>
      <c r="C27" s="140" t="s">
        <v>45</v>
      </c>
      <c r="D27" s="140" t="s">
        <v>104</v>
      </c>
      <c r="E27" s="140" t="s">
        <v>25</v>
      </c>
      <c r="F27" s="140" t="s">
        <v>25</v>
      </c>
      <c r="G27" s="32" t="s">
        <v>91</v>
      </c>
      <c r="H27" s="32" t="s">
        <v>90</v>
      </c>
      <c r="I27" s="32">
        <f>'MERCADO TE'!$U$24</f>
        <v>0</v>
      </c>
      <c r="J27" s="17"/>
      <c r="L27" s="30">
        <f>'TE BE'!$L$27*'TE BE'!$L$51</f>
        <v>0</v>
      </c>
      <c r="M27" s="30">
        <f>'TE BE'!$M$27*'TE BE'!$M$51</f>
        <v>-31.650468667072406</v>
      </c>
      <c r="N27" s="30">
        <f>'TE BE'!$N$27*'TE BE'!$N$51</f>
        <v>0</v>
      </c>
      <c r="O27" s="30">
        <f>'TE BE'!$O$27*'TE BE'!$O$51</f>
        <v>3.1233334335441705</v>
      </c>
      <c r="P27" s="30">
        <f>SUM($L$27:$O$27)</f>
        <v>-28.527135233528234</v>
      </c>
      <c r="Q27" s="30">
        <f>'TE BE'!$Q$27*'TE BE'!$Q$51</f>
        <v>-21.882214154918259</v>
      </c>
      <c r="R27" s="30">
        <f>SUM($Q$27:$Q$27)</f>
        <v>-21.882214154918259</v>
      </c>
      <c r="S27" s="30">
        <f>'TE BE'!$S$27*'TE BE'!$S$51</f>
        <v>0</v>
      </c>
      <c r="T27" s="30">
        <f>'TE BE'!$T$27*'TE BE'!$T$51</f>
        <v>0</v>
      </c>
      <c r="U27" s="30">
        <f>'TE BE'!$U$27*'TE BE'!$U$51</f>
        <v>0</v>
      </c>
      <c r="V27" s="30">
        <f>SUM($S$27:$U$27)</f>
        <v>0</v>
      </c>
      <c r="W27" s="30">
        <f>'TE BE'!$AA$27*'TE BE'!$W$51</f>
        <v>0.51000886903388831</v>
      </c>
      <c r="X27" s="30">
        <f>SUM($W$27:$W$27)</f>
        <v>0.51000886903388831</v>
      </c>
      <c r="Y27" s="30">
        <f>'TE BE'!$Y$27*'TE BE'!$Y$51</f>
        <v>-0.39478786830533141</v>
      </c>
      <c r="Z27" s="30">
        <f>SUM($Y$27:$Y$27)</f>
        <v>-0.39478786830533141</v>
      </c>
      <c r="AA27" s="30">
        <f>SUMIF($L$4:$Z$4,"SUBTOTAL",$L$27:$Z$27)</f>
        <v>-50.294128387717933</v>
      </c>
    </row>
    <row r="28" spans="1:27" ht="11.25" customHeight="1" x14ac:dyDescent="0.25">
      <c r="A28" s="140"/>
      <c r="B28" s="140"/>
      <c r="C28" s="140"/>
      <c r="D28" s="140"/>
      <c r="E28" s="140"/>
      <c r="F28" s="140"/>
      <c r="G28" s="32" t="s">
        <v>101</v>
      </c>
      <c r="H28" s="32" t="s">
        <v>90</v>
      </c>
      <c r="I28" s="32">
        <f>'MERCADO TE'!$U$25</f>
        <v>0</v>
      </c>
      <c r="J28" s="17"/>
      <c r="L28" s="30">
        <f>'TE BE'!$L$28*'TE BE'!$L$51</f>
        <v>0</v>
      </c>
      <c r="M28" s="30">
        <f>'TE BE'!$M$28*'TE BE'!$M$51</f>
        <v>-31.650468667072406</v>
      </c>
      <c r="N28" s="30">
        <f>'TE BE'!$N$28*'TE BE'!$N$51</f>
        <v>0</v>
      </c>
      <c r="O28" s="30">
        <f>'TE BE'!$O$28*'TE BE'!$O$51</f>
        <v>3.1233334335441705</v>
      </c>
      <c r="P28" s="30">
        <f>SUM($L$28:$O$28)</f>
        <v>-28.527135233528234</v>
      </c>
      <c r="Q28" s="30">
        <f>'TE BE'!$Q$28*'TE BE'!$Q$51</f>
        <v>-12.722217531929219</v>
      </c>
      <c r="R28" s="30">
        <f>SUM($Q$28:$Q$28)</f>
        <v>-12.722217531929219</v>
      </c>
      <c r="S28" s="30">
        <f>'TE BE'!$S$28*'TE BE'!$S$51</f>
        <v>0</v>
      </c>
      <c r="T28" s="30">
        <f>'TE BE'!$T$28*'TE BE'!$T$51</f>
        <v>0</v>
      </c>
      <c r="U28" s="30">
        <f>'TE BE'!$U$28*'TE BE'!$U$51</f>
        <v>0</v>
      </c>
      <c r="V28" s="30">
        <f>SUM($S$28:$U$28)</f>
        <v>0</v>
      </c>
      <c r="W28" s="30">
        <f>'TE BE'!$AA$28*'TE BE'!$W$51</f>
        <v>0.32357169385823958</v>
      </c>
      <c r="X28" s="30">
        <f>SUM($W$28:$W$28)</f>
        <v>0.32357169385823958</v>
      </c>
      <c r="Y28" s="30">
        <f>'TE BE'!$Y$28*'TE BE'!$Y$51</f>
        <v>-0.39478786830533141</v>
      </c>
      <c r="Z28" s="30">
        <f>SUM($Y$28:$Y$28)</f>
        <v>-0.39478786830533141</v>
      </c>
      <c r="AA28" s="30">
        <f>SUMIF($L$4:$Z$4,"SUBTOTAL",$L$28:$Z$28)</f>
        <v>-41.32056893990454</v>
      </c>
    </row>
    <row r="29" spans="1:27" ht="11.25" customHeight="1" x14ac:dyDescent="0.25">
      <c r="A29" s="140"/>
      <c r="B29" s="140"/>
      <c r="C29" s="140"/>
      <c r="D29" s="140"/>
      <c r="E29" s="140"/>
      <c r="F29" s="140"/>
      <c r="G29" s="32" t="s">
        <v>92</v>
      </c>
      <c r="H29" s="32" t="s">
        <v>90</v>
      </c>
      <c r="I29" s="32">
        <f>'MERCADO TE'!$U$26</f>
        <v>0</v>
      </c>
      <c r="J29" s="17"/>
      <c r="L29" s="30">
        <f>'TE BE'!$L$29*'TE BE'!$L$51</f>
        <v>0</v>
      </c>
      <c r="M29" s="30">
        <f>'TE BE'!$M$29*'TE BE'!$M$51</f>
        <v>-31.650468667072406</v>
      </c>
      <c r="N29" s="30">
        <f>'TE BE'!$N$29*'TE BE'!$N$51</f>
        <v>0</v>
      </c>
      <c r="O29" s="30">
        <f>'TE BE'!$O$29*'TE BE'!$O$51</f>
        <v>3.1233334335441705</v>
      </c>
      <c r="P29" s="30">
        <f>SUM($L$29:$O$29)</f>
        <v>-28.527135233528234</v>
      </c>
      <c r="Q29" s="30">
        <f>'TE BE'!$Q$29*'TE BE'!$Q$51</f>
        <v>-12.722217531929219</v>
      </c>
      <c r="R29" s="30">
        <f>SUM($Q$29:$Q$29)</f>
        <v>-12.722217531929219</v>
      </c>
      <c r="S29" s="30">
        <f>'TE BE'!$S$29*'TE BE'!$S$51</f>
        <v>0</v>
      </c>
      <c r="T29" s="30">
        <f>'TE BE'!$T$29*'TE BE'!$T$51</f>
        <v>0</v>
      </c>
      <c r="U29" s="30">
        <f>'TE BE'!$U$29*'TE BE'!$U$51</f>
        <v>0</v>
      </c>
      <c r="V29" s="30">
        <f>SUM($S$29:$U$29)</f>
        <v>0</v>
      </c>
      <c r="W29" s="30">
        <f>'TE BE'!$AA$29*'TE BE'!$W$51</f>
        <v>0.32357169385823958</v>
      </c>
      <c r="X29" s="30">
        <f>SUM($W$29:$W$29)</f>
        <v>0.32357169385823958</v>
      </c>
      <c r="Y29" s="30">
        <f>'TE BE'!$Y$29*'TE BE'!$Y$51</f>
        <v>-0.39478786830533141</v>
      </c>
      <c r="Z29" s="30">
        <f>SUM($Y$29:$Y$29)</f>
        <v>-0.39478786830533141</v>
      </c>
      <c r="AA29" s="30">
        <f>SUMIF($L$4:$Z$4,"SUBTOTAL",$L$29:$Z$29)</f>
        <v>-41.32056893990454</v>
      </c>
    </row>
    <row r="30" spans="1:27" ht="11.25" customHeight="1" x14ac:dyDescent="0.25">
      <c r="A30" s="140"/>
      <c r="B30" s="38" t="s">
        <v>97</v>
      </c>
      <c r="C30" s="38" t="s">
        <v>45</v>
      </c>
      <c r="D30" s="38" t="s">
        <v>104</v>
      </c>
      <c r="E30" s="38" t="s">
        <v>25</v>
      </c>
      <c r="F30" s="38" t="s">
        <v>25</v>
      </c>
      <c r="G30" s="32" t="s">
        <v>96</v>
      </c>
      <c r="H30" s="32" t="s">
        <v>90</v>
      </c>
      <c r="I30" s="32">
        <f>'MERCADO TE'!$U$27</f>
        <v>0</v>
      </c>
      <c r="J30" s="17"/>
      <c r="L30" s="30">
        <f>'TE BE'!$L$30*'TE BE'!$L$51</f>
        <v>0</v>
      </c>
      <c r="M30" s="30">
        <f>'TE BE'!$M$30*'TE BE'!$M$51</f>
        <v>-31.650468667072406</v>
      </c>
      <c r="N30" s="30">
        <f>'TE BE'!$N$30*'TE BE'!$N$51</f>
        <v>0</v>
      </c>
      <c r="O30" s="30">
        <f>'TE BE'!$O$30*'TE BE'!$O$51</f>
        <v>3.1233334335441705</v>
      </c>
      <c r="P30" s="30">
        <f>SUM($L$30:$O$30)</f>
        <v>-28.527135233528234</v>
      </c>
      <c r="Q30" s="30">
        <f>'TE BE'!$Q$30*'TE BE'!$Q$51</f>
        <v>-13.485550583844972</v>
      </c>
      <c r="R30" s="30">
        <f>SUM($Q$30:$Q$30)</f>
        <v>-13.485550583844972</v>
      </c>
      <c r="S30" s="30">
        <f>'TE BE'!$S$30*'TE BE'!$S$51</f>
        <v>0</v>
      </c>
      <c r="T30" s="30">
        <f>'TE BE'!$T$30*'TE BE'!$T$51</f>
        <v>0</v>
      </c>
      <c r="U30" s="30">
        <f>'TE BE'!$U$30*'TE BE'!$U$51</f>
        <v>0</v>
      </c>
      <c r="V30" s="30">
        <f>SUM($S$30:$U$30)</f>
        <v>0</v>
      </c>
      <c r="W30" s="30">
        <f>'TE BE'!$AA$30*'TE BE'!$W$51</f>
        <v>0.33910812512287697</v>
      </c>
      <c r="X30" s="30">
        <f>SUM($W$30:$W$30)</f>
        <v>0.33910812512287697</v>
      </c>
      <c r="Y30" s="30">
        <f>'TE BE'!$Y$30*'TE BE'!$Y$51</f>
        <v>-0.39478786830533141</v>
      </c>
      <c r="Z30" s="30">
        <f>SUM($Y$30:$Y$30)</f>
        <v>-0.39478786830533141</v>
      </c>
      <c r="AA30" s="30">
        <f>SUMIF($L$4:$Z$4,"SUBTOTAL",$L$30:$Z$30)</f>
        <v>-42.068365560555662</v>
      </c>
    </row>
    <row r="31" spans="1:27" ht="11.25" customHeight="1" x14ac:dyDescent="0.25">
      <c r="A31" s="140"/>
      <c r="B31" s="140" t="s">
        <v>89</v>
      </c>
      <c r="C31" s="140" t="s">
        <v>45</v>
      </c>
      <c r="D31" s="140" t="s">
        <v>105</v>
      </c>
      <c r="E31" s="140" t="s">
        <v>25</v>
      </c>
      <c r="F31" s="140" t="s">
        <v>25</v>
      </c>
      <c r="G31" s="32" t="s">
        <v>91</v>
      </c>
      <c r="H31" s="32" t="s">
        <v>90</v>
      </c>
      <c r="I31" s="32">
        <f>'MERCADO TE'!$U$28</f>
        <v>0</v>
      </c>
      <c r="J31" s="17"/>
      <c r="L31" s="30">
        <f>'TE BE'!$L$31*'TE BE'!$L$51</f>
        <v>0</v>
      </c>
      <c r="M31" s="30">
        <f>'TE BE'!$M$31*'TE BE'!$M$51</f>
        <v>-31.650468667072406</v>
      </c>
      <c r="N31" s="30">
        <f>'TE BE'!$N$31*'TE BE'!$N$51</f>
        <v>0</v>
      </c>
      <c r="O31" s="30">
        <f>'TE BE'!$O$31*'TE BE'!$O$51</f>
        <v>3.1233334335441705</v>
      </c>
      <c r="P31" s="30">
        <f>SUM($L$31:$O$31)</f>
        <v>-28.527135233528234</v>
      </c>
      <c r="Q31" s="30">
        <f>'TE BE'!$Q$31*'TE BE'!$Q$51</f>
        <v>-21.882214154918259</v>
      </c>
      <c r="R31" s="30">
        <f>SUM($Q$31:$Q$31)</f>
        <v>-21.882214154918259</v>
      </c>
      <c r="S31" s="30">
        <f>'TE BE'!$S$31*'TE BE'!$S$51</f>
        <v>0</v>
      </c>
      <c r="T31" s="30">
        <f>'TE BE'!$T$31*'TE BE'!$T$51</f>
        <v>0</v>
      </c>
      <c r="U31" s="30">
        <f>'TE BE'!$U$31*'TE BE'!$U$51</f>
        <v>0</v>
      </c>
      <c r="V31" s="30">
        <f>SUM($S$31:$U$31)</f>
        <v>0</v>
      </c>
      <c r="W31" s="30">
        <f>'TE BE'!$AA$31*'TE BE'!$W$51</f>
        <v>0.51000886903388831</v>
      </c>
      <c r="X31" s="30">
        <f>SUM($W$31:$W$31)</f>
        <v>0.51000886903388831</v>
      </c>
      <c r="Y31" s="30">
        <f>'TE BE'!$Y$31*'TE BE'!$Y$51</f>
        <v>-0.39478786830533141</v>
      </c>
      <c r="Z31" s="30">
        <f>SUM($Y$31:$Y$31)</f>
        <v>-0.39478786830533141</v>
      </c>
      <c r="AA31" s="30">
        <f>SUMIF($L$4:$Z$4,"SUBTOTAL",$L$31:$Z$31)</f>
        <v>-50.294128387717933</v>
      </c>
    </row>
    <row r="32" spans="1:27" ht="11.25" customHeight="1" x14ac:dyDescent="0.25">
      <c r="A32" s="140"/>
      <c r="B32" s="140"/>
      <c r="C32" s="140"/>
      <c r="D32" s="140"/>
      <c r="E32" s="140"/>
      <c r="F32" s="140"/>
      <c r="G32" s="32" t="s">
        <v>101</v>
      </c>
      <c r="H32" s="32" t="s">
        <v>90</v>
      </c>
      <c r="I32" s="32">
        <f>'MERCADO TE'!$U$29</f>
        <v>0</v>
      </c>
      <c r="J32" s="17"/>
      <c r="L32" s="30">
        <f>'TE BE'!$L$32*'TE BE'!$L$51</f>
        <v>0</v>
      </c>
      <c r="M32" s="30">
        <f>'TE BE'!$M$32*'TE BE'!$M$51</f>
        <v>-31.650468667072406</v>
      </c>
      <c r="N32" s="30">
        <f>'TE BE'!$N$32*'TE BE'!$N$51</f>
        <v>0</v>
      </c>
      <c r="O32" s="30">
        <f>'TE BE'!$O$32*'TE BE'!$O$51</f>
        <v>3.1233334335441705</v>
      </c>
      <c r="P32" s="30">
        <f>SUM($L$32:$O$32)</f>
        <v>-28.527135233528234</v>
      </c>
      <c r="Q32" s="30">
        <f>'TE BE'!$Q$32*'TE BE'!$Q$51</f>
        <v>-12.722217531929219</v>
      </c>
      <c r="R32" s="30">
        <f>SUM($Q$32:$Q$32)</f>
        <v>-12.722217531929219</v>
      </c>
      <c r="S32" s="30">
        <f>'TE BE'!$S$32*'TE BE'!$S$51</f>
        <v>0</v>
      </c>
      <c r="T32" s="30">
        <f>'TE BE'!$T$32*'TE BE'!$T$51</f>
        <v>0</v>
      </c>
      <c r="U32" s="30">
        <f>'TE BE'!$U$32*'TE BE'!$U$51</f>
        <v>0</v>
      </c>
      <c r="V32" s="30">
        <f>SUM($S$32:$U$32)</f>
        <v>0</v>
      </c>
      <c r="W32" s="30">
        <f>'TE BE'!$AA$32*'TE BE'!$W$51</f>
        <v>0.32357169385823958</v>
      </c>
      <c r="X32" s="30">
        <f>SUM($W$32:$W$32)</f>
        <v>0.32357169385823958</v>
      </c>
      <c r="Y32" s="30">
        <f>'TE BE'!$Y$32*'TE BE'!$Y$51</f>
        <v>-0.39478786830533141</v>
      </c>
      <c r="Z32" s="30">
        <f>SUM($Y$32:$Y$32)</f>
        <v>-0.39478786830533141</v>
      </c>
      <c r="AA32" s="30">
        <f>SUMIF($L$4:$Z$4,"SUBTOTAL",$L$32:$Z$32)</f>
        <v>-41.32056893990454</v>
      </c>
    </row>
    <row r="33" spans="1:27" ht="11.25" customHeight="1" x14ac:dyDescent="0.25">
      <c r="A33" s="140"/>
      <c r="B33" s="140"/>
      <c r="C33" s="140"/>
      <c r="D33" s="140"/>
      <c r="E33" s="140"/>
      <c r="F33" s="140"/>
      <c r="G33" s="32" t="s">
        <v>92</v>
      </c>
      <c r="H33" s="32" t="s">
        <v>90</v>
      </c>
      <c r="I33" s="32">
        <f>'MERCADO TE'!$U$30</f>
        <v>0</v>
      </c>
      <c r="J33" s="17"/>
      <c r="L33" s="30">
        <f>'TE BE'!$L$33*'TE BE'!$L$51</f>
        <v>0</v>
      </c>
      <c r="M33" s="30">
        <f>'TE BE'!$M$33*'TE BE'!$M$51</f>
        <v>-31.650468667072406</v>
      </c>
      <c r="N33" s="30">
        <f>'TE BE'!$N$33*'TE BE'!$N$51</f>
        <v>0</v>
      </c>
      <c r="O33" s="30">
        <f>'TE BE'!$O$33*'TE BE'!$O$51</f>
        <v>3.1233334335441705</v>
      </c>
      <c r="P33" s="30">
        <f>SUM($L$33:$O$33)</f>
        <v>-28.527135233528234</v>
      </c>
      <c r="Q33" s="30">
        <f>'TE BE'!$Q$33*'TE BE'!$Q$51</f>
        <v>-12.722217531929219</v>
      </c>
      <c r="R33" s="30">
        <f>SUM($Q$33:$Q$33)</f>
        <v>-12.722217531929219</v>
      </c>
      <c r="S33" s="30">
        <f>'TE BE'!$S$33*'TE BE'!$S$51</f>
        <v>0</v>
      </c>
      <c r="T33" s="30">
        <f>'TE BE'!$T$33*'TE BE'!$T$51</f>
        <v>0</v>
      </c>
      <c r="U33" s="30">
        <f>'TE BE'!$U$33*'TE BE'!$U$51</f>
        <v>0</v>
      </c>
      <c r="V33" s="30">
        <f>SUM($S$33:$U$33)</f>
        <v>0</v>
      </c>
      <c r="W33" s="30">
        <f>'TE BE'!$AA$33*'TE BE'!$W$51</f>
        <v>0.32357169385823958</v>
      </c>
      <c r="X33" s="30">
        <f>SUM($W$33:$W$33)</f>
        <v>0.32357169385823958</v>
      </c>
      <c r="Y33" s="30">
        <f>'TE BE'!$Y$33*'TE BE'!$Y$51</f>
        <v>-0.39478786830533141</v>
      </c>
      <c r="Z33" s="30">
        <f>SUM($Y$33:$Y$33)</f>
        <v>-0.39478786830533141</v>
      </c>
      <c r="AA33" s="30">
        <f>SUMIF($L$4:$Z$4,"SUBTOTAL",$L$33:$Z$33)</f>
        <v>-41.32056893990454</v>
      </c>
    </row>
    <row r="34" spans="1:27" ht="11.25" customHeight="1" x14ac:dyDescent="0.25">
      <c r="A34" s="140"/>
      <c r="B34" s="38" t="s">
        <v>97</v>
      </c>
      <c r="C34" s="38" t="s">
        <v>45</v>
      </c>
      <c r="D34" s="38" t="s">
        <v>105</v>
      </c>
      <c r="E34" s="38" t="s">
        <v>25</v>
      </c>
      <c r="F34" s="38" t="s">
        <v>25</v>
      </c>
      <c r="G34" s="32" t="s">
        <v>96</v>
      </c>
      <c r="H34" s="32" t="s">
        <v>90</v>
      </c>
      <c r="I34" s="32">
        <f>'MERCADO TE'!$U$31</f>
        <v>0</v>
      </c>
      <c r="J34" s="17"/>
      <c r="L34" s="30">
        <f>'TE BE'!$L$34*'TE BE'!$L$51</f>
        <v>0</v>
      </c>
      <c r="M34" s="30">
        <f>'TE BE'!$M$34*'TE BE'!$M$51</f>
        <v>-31.650468667072406</v>
      </c>
      <c r="N34" s="30">
        <f>'TE BE'!$N$34*'TE BE'!$N$51</f>
        <v>0</v>
      </c>
      <c r="O34" s="30">
        <f>'TE BE'!$O$34*'TE BE'!$O$51</f>
        <v>3.1233334335441705</v>
      </c>
      <c r="P34" s="30">
        <f>SUM($L$34:$O$34)</f>
        <v>-28.527135233528234</v>
      </c>
      <c r="Q34" s="30">
        <f>'TE BE'!$Q$34*'TE BE'!$Q$51</f>
        <v>-13.485550583844972</v>
      </c>
      <c r="R34" s="30">
        <f>SUM($Q$34:$Q$34)</f>
        <v>-13.485550583844972</v>
      </c>
      <c r="S34" s="30">
        <f>'TE BE'!$S$34*'TE BE'!$S$51</f>
        <v>0</v>
      </c>
      <c r="T34" s="30">
        <f>'TE BE'!$T$34*'TE BE'!$T$51</f>
        <v>0</v>
      </c>
      <c r="U34" s="30">
        <f>'TE BE'!$U$34*'TE BE'!$U$51</f>
        <v>0</v>
      </c>
      <c r="V34" s="30">
        <f>SUM($S$34:$U$34)</f>
        <v>0</v>
      </c>
      <c r="W34" s="30">
        <f>'TE BE'!$AA$34*'TE BE'!$W$51</f>
        <v>0.33910812512287697</v>
      </c>
      <c r="X34" s="30">
        <f>SUM($W$34:$W$34)</f>
        <v>0.33910812512287697</v>
      </c>
      <c r="Y34" s="30">
        <f>'TE BE'!$Y$34*'TE BE'!$Y$51</f>
        <v>-0.39478786830533141</v>
      </c>
      <c r="Z34" s="30">
        <f>SUM($Y$34:$Y$34)</f>
        <v>-0.39478786830533141</v>
      </c>
      <c r="AA34" s="30">
        <f>SUMIF($L$4:$Z$4,"SUBTOTAL",$L$34:$Z$34)</f>
        <v>-42.068365560555662</v>
      </c>
    </row>
    <row r="35" spans="1:27" ht="11.25" customHeight="1" x14ac:dyDescent="0.25">
      <c r="A35" s="140"/>
      <c r="B35" s="140" t="s">
        <v>102</v>
      </c>
      <c r="C35" s="140" t="s">
        <v>45</v>
      </c>
      <c r="D35" s="38" t="s">
        <v>25</v>
      </c>
      <c r="E35" s="38" t="s">
        <v>25</v>
      </c>
      <c r="F35" s="38" t="s">
        <v>25</v>
      </c>
      <c r="G35" s="32" t="s">
        <v>96</v>
      </c>
      <c r="H35" s="32" t="s">
        <v>90</v>
      </c>
      <c r="I35" s="32">
        <f>'MERCADO TE'!$U$32</f>
        <v>0</v>
      </c>
      <c r="J35" s="17"/>
      <c r="L35" s="30">
        <f>'TE BE'!$L$35*'TE BE'!$L$51</f>
        <v>0</v>
      </c>
      <c r="M35" s="30">
        <f>'TE BE'!$M$35*'TE BE'!$M$51</f>
        <v>-31.650468667072406</v>
      </c>
      <c r="N35" s="30">
        <f>'TE BE'!$N$35*'TE BE'!$N$51</f>
        <v>0</v>
      </c>
      <c r="O35" s="30">
        <f>'TE BE'!$O$35*'TE BE'!$O$51</f>
        <v>3.1233334335441705</v>
      </c>
      <c r="P35" s="30">
        <f>SUM($L$35:$O$35)</f>
        <v>-28.527135233528234</v>
      </c>
      <c r="Q35" s="30">
        <f>'TE BE'!$Q$35*'TE BE'!$Q$51</f>
        <v>-13.485550583844972</v>
      </c>
      <c r="R35" s="30">
        <f>SUM($Q$35:$Q$35)</f>
        <v>-13.485550583844972</v>
      </c>
      <c r="S35" s="30">
        <f>'TE BE'!$S$35*'TE BE'!$S$51</f>
        <v>0</v>
      </c>
      <c r="T35" s="30">
        <f>'TE BE'!$T$35*'TE BE'!$T$51</f>
        <v>0</v>
      </c>
      <c r="U35" s="30">
        <f>'TE BE'!$U$35*'TE BE'!$U$51</f>
        <v>0</v>
      </c>
      <c r="V35" s="30">
        <f>SUM($S$35:$U$35)</f>
        <v>0</v>
      </c>
      <c r="W35" s="30">
        <f>'TE BE'!$AA$35*'TE BE'!$W$51</f>
        <v>0.33910812512287697</v>
      </c>
      <c r="X35" s="30">
        <f>SUM($W$35:$W$35)</f>
        <v>0.33910812512287697</v>
      </c>
      <c r="Y35" s="30">
        <f>'TE BE'!$Y$35*'TE BE'!$Y$51</f>
        <v>-0.39478786830533141</v>
      </c>
      <c r="Z35" s="30">
        <f>SUM($Y$35:$Y$35)</f>
        <v>-0.39478786830533141</v>
      </c>
      <c r="AA35" s="30">
        <f>SUMIF($L$4:$Z$4,"SUBTOTAL",$L$35:$Z$35)</f>
        <v>-42.068365560555662</v>
      </c>
    </row>
    <row r="36" spans="1:27" ht="11.25" customHeight="1" x14ac:dyDescent="0.25">
      <c r="A36" s="140"/>
      <c r="B36" s="140"/>
      <c r="C36" s="140"/>
      <c r="D36" s="38" t="s">
        <v>104</v>
      </c>
      <c r="E36" s="38" t="s">
        <v>25</v>
      </c>
      <c r="F36" s="38" t="s">
        <v>25</v>
      </c>
      <c r="G36" s="32" t="s">
        <v>96</v>
      </c>
      <c r="H36" s="32" t="s">
        <v>90</v>
      </c>
      <c r="I36" s="32">
        <f>'MERCADO TE'!$U$33</f>
        <v>0</v>
      </c>
      <c r="J36" s="17"/>
      <c r="L36" s="30">
        <f>'TE BE'!$L$36*'TE BE'!$L$51</f>
        <v>0</v>
      </c>
      <c r="M36" s="30">
        <f>'TE BE'!$M$36*'TE BE'!$M$51</f>
        <v>-31.650468667072406</v>
      </c>
      <c r="N36" s="30">
        <f>'TE BE'!$N$36*'TE BE'!$N$51</f>
        <v>0</v>
      </c>
      <c r="O36" s="30">
        <f>'TE BE'!$O$36*'TE BE'!$O$51</f>
        <v>3.1233334335441705</v>
      </c>
      <c r="P36" s="30">
        <f>SUM($L$36:$O$36)</f>
        <v>-28.527135233528234</v>
      </c>
      <c r="Q36" s="30">
        <f>'TE BE'!$Q$36*'TE BE'!$Q$51</f>
        <v>-13.485550583844972</v>
      </c>
      <c r="R36" s="30">
        <f>SUM($Q$36:$Q$36)</f>
        <v>-13.485550583844972</v>
      </c>
      <c r="S36" s="30">
        <f>'TE BE'!$S$36*'TE BE'!$S$51</f>
        <v>0</v>
      </c>
      <c r="T36" s="30">
        <f>'TE BE'!$T$36*'TE BE'!$T$51</f>
        <v>0</v>
      </c>
      <c r="U36" s="30">
        <f>'TE BE'!$U$36*'TE BE'!$U$51</f>
        <v>0</v>
      </c>
      <c r="V36" s="30">
        <f>SUM($S$36:$U$36)</f>
        <v>0</v>
      </c>
      <c r="W36" s="30">
        <f>'TE BE'!$AA$36*'TE BE'!$W$51</f>
        <v>0.33910812512287697</v>
      </c>
      <c r="X36" s="30">
        <f>SUM($W$36:$W$36)</f>
        <v>0.33910812512287697</v>
      </c>
      <c r="Y36" s="30">
        <f>'TE BE'!$Y$36*'TE BE'!$Y$51</f>
        <v>-0.39478786830533141</v>
      </c>
      <c r="Z36" s="30">
        <f>SUM($Y$36:$Y$36)</f>
        <v>-0.39478786830533141</v>
      </c>
      <c r="AA36" s="30">
        <f>SUMIF($L$4:$Z$4,"SUBTOTAL",$L$36:$Z$36)</f>
        <v>-42.068365560555662</v>
      </c>
    </row>
    <row r="37" spans="1:27" ht="11.25" customHeight="1" x14ac:dyDescent="0.25">
      <c r="A37" s="140"/>
      <c r="B37" s="140"/>
      <c r="C37" s="140"/>
      <c r="D37" s="38" t="s">
        <v>105</v>
      </c>
      <c r="E37" s="38" t="s">
        <v>25</v>
      </c>
      <c r="F37" s="38" t="s">
        <v>25</v>
      </c>
      <c r="G37" s="32" t="s">
        <v>96</v>
      </c>
      <c r="H37" s="32" t="s">
        <v>90</v>
      </c>
      <c r="I37" s="32">
        <f>'MERCADO TE'!$U$34</f>
        <v>0</v>
      </c>
      <c r="J37" s="17"/>
      <c r="L37" s="30">
        <f>'TE BE'!$L$37*'TE BE'!$L$51</f>
        <v>0</v>
      </c>
      <c r="M37" s="30">
        <f>'TE BE'!$M$37*'TE BE'!$M$51</f>
        <v>-31.650468667072406</v>
      </c>
      <c r="N37" s="30">
        <f>'TE BE'!$N$37*'TE BE'!$N$51</f>
        <v>0</v>
      </c>
      <c r="O37" s="30">
        <f>'TE BE'!$O$37*'TE BE'!$O$51</f>
        <v>3.1233334335441705</v>
      </c>
      <c r="P37" s="30">
        <f>SUM($L$37:$O$37)</f>
        <v>-28.527135233528234</v>
      </c>
      <c r="Q37" s="30">
        <f>'TE BE'!$Q$37*'TE BE'!$Q$51</f>
        <v>-13.485550583844972</v>
      </c>
      <c r="R37" s="30">
        <f>SUM($Q$37:$Q$37)</f>
        <v>-13.485550583844972</v>
      </c>
      <c r="S37" s="30">
        <f>'TE BE'!$S$37*'TE BE'!$S$51</f>
        <v>0</v>
      </c>
      <c r="T37" s="30">
        <f>'TE BE'!$T$37*'TE BE'!$T$51</f>
        <v>0</v>
      </c>
      <c r="U37" s="30">
        <f>'TE BE'!$U$37*'TE BE'!$U$51</f>
        <v>0</v>
      </c>
      <c r="V37" s="30">
        <f>SUM($S$37:$U$37)</f>
        <v>0</v>
      </c>
      <c r="W37" s="30">
        <f>'TE BE'!$AA$37*'TE BE'!$W$51</f>
        <v>0.33910812512287697</v>
      </c>
      <c r="X37" s="30">
        <f>SUM($W$37:$W$37)</f>
        <v>0.33910812512287697</v>
      </c>
      <c r="Y37" s="30">
        <f>'TE BE'!$Y$37*'TE BE'!$Y$51</f>
        <v>-0.39478786830533141</v>
      </c>
      <c r="Z37" s="30">
        <f>SUM($Y$37:$Y$37)</f>
        <v>-0.39478786830533141</v>
      </c>
      <c r="AA37" s="30">
        <f>SUMIF($L$4:$Z$4,"SUBTOTAL",$L$37:$Z$37)</f>
        <v>-42.068365560555662</v>
      </c>
    </row>
    <row r="38" spans="1:27" ht="11.25" customHeight="1" x14ac:dyDescent="0.25">
      <c r="A38" s="140" t="s">
        <v>39</v>
      </c>
      <c r="B38" s="140" t="s">
        <v>89</v>
      </c>
      <c r="C38" s="140" t="s">
        <v>25</v>
      </c>
      <c r="D38" s="140" t="s">
        <v>25</v>
      </c>
      <c r="E38" s="140" t="s">
        <v>25</v>
      </c>
      <c r="F38" s="140" t="s">
        <v>25</v>
      </c>
      <c r="G38" s="32" t="s">
        <v>91</v>
      </c>
      <c r="H38" s="32" t="s">
        <v>90</v>
      </c>
      <c r="I38" s="32">
        <f>'MERCADO TE'!$U$35</f>
        <v>133.833</v>
      </c>
      <c r="J38" s="17"/>
      <c r="L38" s="30">
        <f>'TE BE'!$L$38*'TE BE'!$L$51</f>
        <v>0</v>
      </c>
      <c r="M38" s="30">
        <f>'TE BE'!$M$38*'TE BE'!$M$51</f>
        <v>-31.650468667072406</v>
      </c>
      <c r="N38" s="30">
        <f>'TE BE'!$N$38*'TE BE'!$N$51</f>
        <v>0</v>
      </c>
      <c r="O38" s="30">
        <f>'TE BE'!$O$38*'TE BE'!$O$51</f>
        <v>3.1233334335441705</v>
      </c>
      <c r="P38" s="30">
        <f>SUM($L$38:$O$38)</f>
        <v>-28.527135233528234</v>
      </c>
      <c r="Q38" s="30">
        <f>'TE BE'!$Q$38*'TE BE'!$Q$51</f>
        <v>-21.882214154918259</v>
      </c>
      <c r="R38" s="30">
        <f>SUM($Q$38:$Q$38)</f>
        <v>-21.882214154918259</v>
      </c>
      <c r="S38" s="30">
        <f>'TE BE'!$S$38*'TE BE'!$S$51</f>
        <v>0</v>
      </c>
      <c r="T38" s="30">
        <f>'TE BE'!$T$38*'TE BE'!$T$51</f>
        <v>0</v>
      </c>
      <c r="U38" s="30">
        <f>'TE BE'!$U$38*'TE BE'!$U$51</f>
        <v>0</v>
      </c>
      <c r="V38" s="30">
        <f>SUM($S$38:$U$38)</f>
        <v>0</v>
      </c>
      <c r="W38" s="30">
        <f>'TE BE'!$AA$38*'TE BE'!$W$51</f>
        <v>0.51000886903388831</v>
      </c>
      <c r="X38" s="30">
        <f>SUM($W$38:$W$38)</f>
        <v>0.51000886903388831</v>
      </c>
      <c r="Y38" s="30">
        <f>'TE BE'!$Y$38*'TE BE'!$Y$51</f>
        <v>-0.39478786830533141</v>
      </c>
      <c r="Z38" s="30">
        <f>SUM($Y$38:$Y$38)</f>
        <v>-0.39478786830533141</v>
      </c>
      <c r="AA38" s="30">
        <f>SUMIF($L$4:$Z$4,"SUBTOTAL",$L$38:$Z$38)</f>
        <v>-50.294128387717933</v>
      </c>
    </row>
    <row r="39" spans="1:27" ht="11.25" customHeight="1" x14ac:dyDescent="0.25">
      <c r="A39" s="140"/>
      <c r="B39" s="140"/>
      <c r="C39" s="140"/>
      <c r="D39" s="140"/>
      <c r="E39" s="140"/>
      <c r="F39" s="140"/>
      <c r="G39" s="32" t="s">
        <v>101</v>
      </c>
      <c r="H39" s="32" t="s">
        <v>90</v>
      </c>
      <c r="I39" s="32">
        <f>'MERCADO TE'!$U$36</f>
        <v>132.79500000000002</v>
      </c>
      <c r="J39" s="17"/>
      <c r="L39" s="30">
        <f>'TE BE'!$L$39*'TE BE'!$L$51</f>
        <v>0</v>
      </c>
      <c r="M39" s="30">
        <f>'TE BE'!$M$39*'TE BE'!$M$51</f>
        <v>-31.650468667072406</v>
      </c>
      <c r="N39" s="30">
        <f>'TE BE'!$N$39*'TE BE'!$N$51</f>
        <v>0</v>
      </c>
      <c r="O39" s="30">
        <f>'TE BE'!$O$39*'TE BE'!$O$51</f>
        <v>3.1233334335441705</v>
      </c>
      <c r="P39" s="30">
        <f>SUM($L$39:$O$39)</f>
        <v>-28.527135233528234</v>
      </c>
      <c r="Q39" s="30">
        <f>'TE BE'!$Q$39*'TE BE'!$Q$51</f>
        <v>-12.722217531929219</v>
      </c>
      <c r="R39" s="30">
        <f>SUM($Q$39:$Q$39)</f>
        <v>-12.722217531929219</v>
      </c>
      <c r="S39" s="30">
        <f>'TE BE'!$S$39*'TE BE'!$S$51</f>
        <v>0</v>
      </c>
      <c r="T39" s="30">
        <f>'TE BE'!$T$39*'TE BE'!$T$51</f>
        <v>0</v>
      </c>
      <c r="U39" s="30">
        <f>'TE BE'!$U$39*'TE BE'!$U$51</f>
        <v>0</v>
      </c>
      <c r="V39" s="30">
        <f>SUM($S$39:$U$39)</f>
        <v>0</v>
      </c>
      <c r="W39" s="30">
        <f>'TE BE'!$AA$39*'TE BE'!$W$51</f>
        <v>0.32357169385823958</v>
      </c>
      <c r="X39" s="30">
        <f>SUM($W$39:$W$39)</f>
        <v>0.32357169385823958</v>
      </c>
      <c r="Y39" s="30">
        <f>'TE BE'!$Y$39*'TE BE'!$Y$51</f>
        <v>-0.39478786830533141</v>
      </c>
      <c r="Z39" s="30">
        <f>SUM($Y$39:$Y$39)</f>
        <v>-0.39478786830533141</v>
      </c>
      <c r="AA39" s="30">
        <f>SUMIF($L$4:$Z$4,"SUBTOTAL",$L$39:$Z$39)</f>
        <v>-41.32056893990454</v>
      </c>
    </row>
    <row r="40" spans="1:27" ht="11.25" customHeight="1" x14ac:dyDescent="0.25">
      <c r="A40" s="140"/>
      <c r="B40" s="140"/>
      <c r="C40" s="140"/>
      <c r="D40" s="140"/>
      <c r="E40" s="140"/>
      <c r="F40" s="140"/>
      <c r="G40" s="32" t="s">
        <v>92</v>
      </c>
      <c r="H40" s="32" t="s">
        <v>90</v>
      </c>
      <c r="I40" s="32">
        <f>'MERCADO TE'!$U$37</f>
        <v>2117.7150000000001</v>
      </c>
      <c r="J40" s="17"/>
      <c r="L40" s="30">
        <f>'TE BE'!$L$40*'TE BE'!$L$51</f>
        <v>0</v>
      </c>
      <c r="M40" s="30">
        <f>'TE BE'!$M$40*'TE BE'!$M$51</f>
        <v>-31.650468667072406</v>
      </c>
      <c r="N40" s="30">
        <f>'TE BE'!$N$40*'TE BE'!$N$51</f>
        <v>0</v>
      </c>
      <c r="O40" s="30">
        <f>'TE BE'!$O$40*'TE BE'!$O$51</f>
        <v>3.1233334335441705</v>
      </c>
      <c r="P40" s="30">
        <f>SUM($L$40:$O$40)</f>
        <v>-28.527135233528234</v>
      </c>
      <c r="Q40" s="30">
        <f>'TE BE'!$Q$40*'TE BE'!$Q$51</f>
        <v>-12.722217531929219</v>
      </c>
      <c r="R40" s="30">
        <f>SUM($Q$40:$Q$40)</f>
        <v>-12.722217531929219</v>
      </c>
      <c r="S40" s="30">
        <f>'TE BE'!$S$40*'TE BE'!$S$51</f>
        <v>0</v>
      </c>
      <c r="T40" s="30">
        <f>'TE BE'!$T$40*'TE BE'!$T$51</f>
        <v>0</v>
      </c>
      <c r="U40" s="30">
        <f>'TE BE'!$U$40*'TE BE'!$U$51</f>
        <v>0</v>
      </c>
      <c r="V40" s="30">
        <f>SUM($S$40:$U$40)</f>
        <v>0</v>
      </c>
      <c r="W40" s="30">
        <f>'TE BE'!$AA$40*'TE BE'!$W$51</f>
        <v>0.32357169385823958</v>
      </c>
      <c r="X40" s="30">
        <f>SUM($W$40:$W$40)</f>
        <v>0.32357169385823958</v>
      </c>
      <c r="Y40" s="30">
        <f>'TE BE'!$Y$40*'TE BE'!$Y$51</f>
        <v>-0.39478786830533141</v>
      </c>
      <c r="Z40" s="30">
        <f>SUM($Y$40:$Y$40)</f>
        <v>-0.39478786830533141</v>
      </c>
      <c r="AA40" s="30">
        <f>SUMIF($L$4:$Z$4,"SUBTOTAL",$L$40:$Z$40)</f>
        <v>-41.32056893990454</v>
      </c>
    </row>
    <row r="41" spans="1:27" ht="11.25" customHeight="1" x14ac:dyDescent="0.25">
      <c r="A41" s="140"/>
      <c r="B41" s="38" t="s">
        <v>97</v>
      </c>
      <c r="C41" s="38" t="s">
        <v>25</v>
      </c>
      <c r="D41" s="38" t="s">
        <v>25</v>
      </c>
      <c r="E41" s="38" t="s">
        <v>25</v>
      </c>
      <c r="F41" s="38" t="s">
        <v>25</v>
      </c>
      <c r="G41" s="32" t="s">
        <v>96</v>
      </c>
      <c r="H41" s="32" t="s">
        <v>90</v>
      </c>
      <c r="I41" s="32">
        <f>'MERCADO TE'!$U$38</f>
        <v>505530.49800000002</v>
      </c>
      <c r="J41" s="17"/>
      <c r="L41" s="30">
        <f>'TE BE'!$L$41*'TE BE'!$L$51</f>
        <v>0</v>
      </c>
      <c r="M41" s="30">
        <f>'TE BE'!$M$41*'TE BE'!$M$51</f>
        <v>-31.650468667072406</v>
      </c>
      <c r="N41" s="30">
        <f>'TE BE'!$N$41*'TE BE'!$N$51</f>
        <v>0</v>
      </c>
      <c r="O41" s="30">
        <f>'TE BE'!$O$41*'TE BE'!$O$51</f>
        <v>3.1233334335441705</v>
      </c>
      <c r="P41" s="30">
        <f>SUM($L$41:$O$41)</f>
        <v>-28.527135233528234</v>
      </c>
      <c r="Q41" s="30">
        <f>'TE BE'!$Q$41*'TE BE'!$Q$51</f>
        <v>-13.485550583844972</v>
      </c>
      <c r="R41" s="30">
        <f>SUM($Q$41:$Q$41)</f>
        <v>-13.485550583844972</v>
      </c>
      <c r="S41" s="30">
        <f>'TE BE'!$S$41*'TE BE'!$S$51</f>
        <v>0</v>
      </c>
      <c r="T41" s="30">
        <f>'TE BE'!$T$41*'TE BE'!$T$51</f>
        <v>0</v>
      </c>
      <c r="U41" s="30">
        <f>'TE BE'!$U$41*'TE BE'!$U$51</f>
        <v>0</v>
      </c>
      <c r="V41" s="30">
        <f>SUM($S$41:$U$41)</f>
        <v>0</v>
      </c>
      <c r="W41" s="30">
        <f>'TE BE'!$AA$41*'TE BE'!$W$51</f>
        <v>0.33910812512287697</v>
      </c>
      <c r="X41" s="30">
        <f>SUM($W$41:$W$41)</f>
        <v>0.33910812512287697</v>
      </c>
      <c r="Y41" s="30">
        <f>'TE BE'!$Y$41*'TE BE'!$Y$51</f>
        <v>-0.39478786830533141</v>
      </c>
      <c r="Z41" s="30">
        <f>SUM($Y$41:$Y$41)</f>
        <v>-0.39478786830533141</v>
      </c>
      <c r="AA41" s="30">
        <f>SUMIF($L$4:$Z$4,"SUBTOTAL",$L$41:$Z$41)</f>
        <v>-42.068365560555662</v>
      </c>
    </row>
    <row r="42" spans="1:27" ht="11.25" customHeight="1" x14ac:dyDescent="0.25">
      <c r="A42" s="140"/>
      <c r="B42" s="38" t="s">
        <v>102</v>
      </c>
      <c r="C42" s="38" t="s">
        <v>25</v>
      </c>
      <c r="D42" s="38" t="s">
        <v>25</v>
      </c>
      <c r="E42" s="38" t="s">
        <v>25</v>
      </c>
      <c r="F42" s="38" t="s">
        <v>25</v>
      </c>
      <c r="G42" s="32" t="s">
        <v>96</v>
      </c>
      <c r="H42" s="32" t="s">
        <v>90</v>
      </c>
      <c r="I42" s="32">
        <f>'MERCADO TE'!$U$39</f>
        <v>0</v>
      </c>
      <c r="J42" s="17"/>
      <c r="L42" s="30">
        <f>'TE BE'!$L$42*'TE BE'!$L$51</f>
        <v>0</v>
      </c>
      <c r="M42" s="30">
        <f>'TE BE'!$M$42*'TE BE'!$M$51</f>
        <v>-31.650468667072406</v>
      </c>
      <c r="N42" s="30">
        <f>'TE BE'!$N$42*'TE BE'!$N$51</f>
        <v>0</v>
      </c>
      <c r="O42" s="30">
        <f>'TE BE'!$O$42*'TE BE'!$O$51</f>
        <v>3.1233334335441705</v>
      </c>
      <c r="P42" s="30">
        <f>SUM($L$42:$O$42)</f>
        <v>-28.527135233528234</v>
      </c>
      <c r="Q42" s="30">
        <f>'TE BE'!$Q$42*'TE BE'!$Q$51</f>
        <v>-13.485550583844972</v>
      </c>
      <c r="R42" s="30">
        <f>SUM($Q$42:$Q$42)</f>
        <v>-13.485550583844972</v>
      </c>
      <c r="S42" s="30">
        <f>'TE BE'!$S$42*'TE BE'!$S$51</f>
        <v>0</v>
      </c>
      <c r="T42" s="30">
        <f>'TE BE'!$T$42*'TE BE'!$T$51</f>
        <v>0</v>
      </c>
      <c r="U42" s="30">
        <f>'TE BE'!$U$42*'TE BE'!$U$51</f>
        <v>0</v>
      </c>
      <c r="V42" s="30">
        <f>SUM($S$42:$U$42)</f>
        <v>0</v>
      </c>
      <c r="W42" s="30">
        <f>'TE BE'!$AA$42*'TE BE'!$W$51</f>
        <v>0.33910812512287697</v>
      </c>
      <c r="X42" s="30">
        <f>SUM($W$42:$W$42)</f>
        <v>0.33910812512287697</v>
      </c>
      <c r="Y42" s="30">
        <f>'TE BE'!$Y$42*'TE BE'!$Y$51</f>
        <v>-0.39478786830533141</v>
      </c>
      <c r="Z42" s="30">
        <f>SUM($Y$42:$Y$42)</f>
        <v>-0.39478786830533141</v>
      </c>
      <c r="AA42" s="30">
        <f>SUMIF($L$4:$Z$4,"SUBTOTAL",$L$42:$Z$42)</f>
        <v>-42.068365560555662</v>
      </c>
    </row>
    <row r="43" spans="1:27" ht="11.25" customHeight="1" x14ac:dyDescent="0.25">
      <c r="A43" s="140" t="s">
        <v>47</v>
      </c>
      <c r="B43" s="140" t="s">
        <v>97</v>
      </c>
      <c r="C43" s="140" t="s">
        <v>48</v>
      </c>
      <c r="D43" s="38" t="s">
        <v>49</v>
      </c>
      <c r="E43" s="38" t="s">
        <v>25</v>
      </c>
      <c r="F43" s="38" t="s">
        <v>25</v>
      </c>
      <c r="G43" s="32" t="s">
        <v>96</v>
      </c>
      <c r="H43" s="32" t="s">
        <v>90</v>
      </c>
      <c r="I43" s="32">
        <f>'MERCADO TE'!$U$40</f>
        <v>259602.97000000003</v>
      </c>
      <c r="J43" s="17"/>
      <c r="L43" s="30">
        <f>'TE BE'!$L$43*'TE BE'!$L$51</f>
        <v>0</v>
      </c>
      <c r="M43" s="30">
        <f>'TE BE'!$M$43*'TE BE'!$M$51</f>
        <v>-17.407757766889826</v>
      </c>
      <c r="N43" s="30">
        <f>'TE BE'!$N$43*'TE BE'!$N$51</f>
        <v>0</v>
      </c>
      <c r="O43" s="30">
        <f>'TE BE'!$O$43*'TE BE'!$O$51</f>
        <v>1.717833388449294</v>
      </c>
      <c r="P43" s="30">
        <f>SUM($L$43:$O$43)</f>
        <v>-15.689924378440532</v>
      </c>
      <c r="Q43" s="30">
        <f>'TE BE'!$Q$43*'TE BE'!$Q$51</f>
        <v>-7.4170528211147362</v>
      </c>
      <c r="R43" s="30">
        <f>SUM($Q$43:$Q$43)</f>
        <v>-7.4170528211147362</v>
      </c>
      <c r="S43" s="30">
        <f>'TE BE'!$S$43*'TE BE'!$S$51</f>
        <v>0</v>
      </c>
      <c r="T43" s="30">
        <f>'TE BE'!$T$43*'TE BE'!$T$51</f>
        <v>0</v>
      </c>
      <c r="U43" s="30">
        <f>'TE BE'!$U$43*'TE BE'!$U$51</f>
        <v>0</v>
      </c>
      <c r="V43" s="30">
        <f>SUM($S$43:$U$43)</f>
        <v>0</v>
      </c>
      <c r="W43" s="30">
        <f>'TE BE'!$AA$43*'TE BE'!$W$51</f>
        <v>0.18650946881758235</v>
      </c>
      <c r="X43" s="30">
        <f>SUM($W$43:$W$43)</f>
        <v>0.18650946881758235</v>
      </c>
      <c r="Y43" s="30">
        <f>'TE BE'!$Y$43*'TE BE'!$Y$51</f>
        <v>-0.2171333275679323</v>
      </c>
      <c r="Z43" s="30">
        <f>SUM($Y$43:$Y$43)</f>
        <v>-0.2171333275679323</v>
      </c>
      <c r="AA43" s="30">
        <f>SUMIF($L$4:$Z$4,"SUBTOTAL",$L$43:$Z$43)</f>
        <v>-23.137601058305616</v>
      </c>
    </row>
    <row r="44" spans="1:27" ht="11.25" customHeight="1" x14ac:dyDescent="0.25">
      <c r="A44" s="140"/>
      <c r="B44" s="140"/>
      <c r="C44" s="140"/>
      <c r="D44" s="32" t="s">
        <v>106</v>
      </c>
      <c r="E44" s="32" t="s">
        <v>25</v>
      </c>
      <c r="F44" s="32" t="s">
        <v>25</v>
      </c>
      <c r="G44" s="32" t="s">
        <v>96</v>
      </c>
      <c r="H44" s="32" t="s">
        <v>90</v>
      </c>
      <c r="I44" s="32">
        <f>'MERCADO TE'!$U$41</f>
        <v>0</v>
      </c>
      <c r="J44" s="17"/>
      <c r="L44" s="30">
        <f>'TE BE'!$L$44*'TE BE'!$L$51</f>
        <v>0</v>
      </c>
      <c r="M44" s="30">
        <f>'TE BE'!$M$44*'TE BE'!$M$51</f>
        <v>-18.990281200243441</v>
      </c>
      <c r="N44" s="30">
        <f>'TE BE'!$N$44*'TE BE'!$N$51</f>
        <v>0</v>
      </c>
      <c r="O44" s="30">
        <f>'TE BE'!$O$44*'TE BE'!$O$51</f>
        <v>1.8740000601265023</v>
      </c>
      <c r="P44" s="30">
        <f>SUM($L$44:$O$44)</f>
        <v>-17.116281140116939</v>
      </c>
      <c r="Q44" s="30">
        <f>'TE BE'!$Q$44*'TE BE'!$Q$51</f>
        <v>-8.0913303503069844</v>
      </c>
      <c r="R44" s="30">
        <f>SUM($Q$44:$Q$44)</f>
        <v>-8.0913303503069844</v>
      </c>
      <c r="S44" s="30">
        <f>'TE BE'!$S$44*'TE BE'!$S$51</f>
        <v>0</v>
      </c>
      <c r="T44" s="30">
        <f>'TE BE'!$T$44*'TE BE'!$T$51</f>
        <v>0</v>
      </c>
      <c r="U44" s="30">
        <f>'TE BE'!$U$44*'TE BE'!$U$51</f>
        <v>0</v>
      </c>
      <c r="V44" s="30">
        <f>SUM($S$44:$U$44)</f>
        <v>0</v>
      </c>
      <c r="W44" s="30">
        <f>'TE BE'!$AA$44*'TE BE'!$W$51</f>
        <v>0.20346487507372621</v>
      </c>
      <c r="X44" s="30">
        <f>SUM($W$44:$W$44)</f>
        <v>0.20346487507372621</v>
      </c>
      <c r="Y44" s="30">
        <f>'TE BE'!$Y$44*'TE BE'!$Y$51</f>
        <v>-0.23687272098319886</v>
      </c>
      <c r="Z44" s="30">
        <f>SUM($Y$44:$Y$44)</f>
        <v>-0.23687272098319886</v>
      </c>
      <c r="AA44" s="30">
        <f>SUMIF($L$4:$Z$4,"SUBTOTAL",$L$44:$Z$44)</f>
        <v>-25.241019336333395</v>
      </c>
    </row>
    <row r="46" spans="1:27" ht="11.25" customHeight="1" x14ac:dyDescent="0.25">
      <c r="K46" s="37" t="s">
        <v>876</v>
      </c>
      <c r="L46" s="30">
        <f t="shared" ref="L46:AA46" si="0">SUMPRODUCT($I$5:$I$44,L$5:L$44)</f>
        <v>0</v>
      </c>
      <c r="M46" s="30">
        <f t="shared" si="0"/>
        <v>-99279563.803015977</v>
      </c>
      <c r="N46" s="30">
        <f t="shared" si="0"/>
        <v>0</v>
      </c>
      <c r="O46" s="30">
        <f t="shared" si="0"/>
        <v>9797111.8265378736</v>
      </c>
      <c r="P46" s="30">
        <f t="shared" si="0"/>
        <v>-89482451.976478115</v>
      </c>
      <c r="Q46" s="30">
        <f t="shared" si="0"/>
        <v>-42136007.190047301</v>
      </c>
      <c r="R46" s="30">
        <f t="shared" si="0"/>
        <v>-42136007.190047301</v>
      </c>
      <c r="S46" s="30">
        <f t="shared" si="0"/>
        <v>0</v>
      </c>
      <c r="T46" s="30">
        <f t="shared" si="0"/>
        <v>0</v>
      </c>
      <c r="U46" s="30">
        <f t="shared" si="0"/>
        <v>0</v>
      </c>
      <c r="V46" s="30">
        <f t="shared" si="0"/>
        <v>0</v>
      </c>
      <c r="W46" s="30">
        <f t="shared" si="0"/>
        <v>1060343.2101283697</v>
      </c>
      <c r="X46" s="30">
        <f t="shared" si="0"/>
        <v>1060343.2101283697</v>
      </c>
      <c r="Y46" s="30">
        <f t="shared" si="0"/>
        <v>-1238350.2997177327</v>
      </c>
      <c r="Z46" s="30">
        <f t="shared" si="0"/>
        <v>-1238350.2997177327</v>
      </c>
      <c r="AA46" s="30">
        <f t="shared" si="0"/>
        <v>-131796466.25611477</v>
      </c>
    </row>
    <row r="47" spans="1:27" ht="11.25" customHeight="1" x14ac:dyDescent="0.25">
      <c r="K47" s="37" t="s">
        <v>795</v>
      </c>
      <c r="L47" s="30">
        <f>CUSTOS!$D$30</f>
        <v>8350221.3712038137</v>
      </c>
      <c r="M47" s="30">
        <f>CUSTOS!$D$31</f>
        <v>48621617.719999999</v>
      </c>
      <c r="N47" s="30">
        <f>CUSTOS!$D$32</f>
        <v>0</v>
      </c>
      <c r="O47" s="30">
        <f>CUSTOS!$D$33</f>
        <v>84968733.207816899</v>
      </c>
      <c r="P47" s="30">
        <f>CUSTOS!$D$34</f>
        <v>141940572.29902071</v>
      </c>
      <c r="Q47" s="30">
        <f>CUSTOS!$D$35</f>
        <v>685697394.69014406</v>
      </c>
      <c r="R47" s="30">
        <f>CUSTOS!$D$36</f>
        <v>685697394.69014406</v>
      </c>
      <c r="S47" s="30">
        <f>CUSTOS!$D$37</f>
        <v>0</v>
      </c>
      <c r="T47" s="30">
        <f>CUSTOS!$D$38</f>
        <v>0</v>
      </c>
      <c r="U47" s="30">
        <f>CUSTOS!$D$39</f>
        <v>0</v>
      </c>
      <c r="V47" s="30">
        <f>CUSTOS!$D$40</f>
        <v>0</v>
      </c>
      <c r="W47" s="30">
        <f>CUSTOS!$D$41</f>
        <v>0</v>
      </c>
      <c r="X47" s="30">
        <f>CUSTOS!$D$42</f>
        <v>0</v>
      </c>
      <c r="Y47" s="30">
        <f>CUSTOS!$D$43</f>
        <v>20152207.834983878</v>
      </c>
      <c r="Z47" s="30">
        <f>CUSTOS!$D$44</f>
        <v>20152207.834983878</v>
      </c>
      <c r="AA47" s="30">
        <f>CUSTOS!$D$45</f>
        <v>847790174.82414865</v>
      </c>
    </row>
    <row r="48" spans="1:27" ht="11.25" customHeight="1" x14ac:dyDescent="0.25">
      <c r="K48" s="37" t="s">
        <v>796</v>
      </c>
      <c r="L48" s="30">
        <f>CUSTOS!$E$30</f>
        <v>0</v>
      </c>
      <c r="M48" s="30">
        <f>CUSTOS!$E$31</f>
        <v>-99279563.803015977</v>
      </c>
      <c r="N48" s="30">
        <f>CUSTOS!$E$32</f>
        <v>0</v>
      </c>
      <c r="O48" s="30">
        <f>CUSTOS!$E$33</f>
        <v>9797111.8265378717</v>
      </c>
      <c r="P48" s="30">
        <f>CUSTOS!$E$34</f>
        <v>-89482451.9764781</v>
      </c>
      <c r="Q48" s="30">
        <f>CUSTOS!$E$35</f>
        <v>-42136007.190047301</v>
      </c>
      <c r="R48" s="30">
        <f>CUSTOS!$E$36</f>
        <v>-42136007.190047301</v>
      </c>
      <c r="S48" s="30">
        <f>CUSTOS!$E$37</f>
        <v>0</v>
      </c>
      <c r="T48" s="30">
        <f>CUSTOS!$E$38</f>
        <v>0</v>
      </c>
      <c r="U48" s="30">
        <f>CUSTOS!$E$39</f>
        <v>0</v>
      </c>
      <c r="V48" s="30">
        <f>CUSTOS!$E$40</f>
        <v>0</v>
      </c>
      <c r="W48" s="30">
        <f>CUSTOS!$E$41</f>
        <v>1060343.2101283697</v>
      </c>
      <c r="X48" s="30">
        <f>CUSTOS!$E$42</f>
        <v>1060343.2101283697</v>
      </c>
      <c r="Y48" s="30">
        <f>CUSTOS!$E$43</f>
        <v>-1238350.2997177325</v>
      </c>
      <c r="Z48" s="30">
        <f>CUSTOS!$E$44</f>
        <v>-1238350.2997177325</v>
      </c>
      <c r="AA48" s="30">
        <f>CUSTOS!$E$45</f>
        <v>-131796466.25611477</v>
      </c>
    </row>
    <row r="49" spans="11:27" ht="11.25" customHeight="1" x14ac:dyDescent="0.25">
      <c r="K49" s="37" t="s">
        <v>797</v>
      </c>
      <c r="L49" s="30">
        <f>CUSTOS!$F$30</f>
        <v>0</v>
      </c>
      <c r="M49" s="30">
        <f>CUSTOS!$F$31</f>
        <v>111189301.44419999</v>
      </c>
      <c r="N49" s="30">
        <f>CUSTOS!$F$32</f>
        <v>0</v>
      </c>
      <c r="O49" s="30">
        <f>CUSTOS!$F$33</f>
        <v>516594.31339518295</v>
      </c>
      <c r="P49" s="30">
        <f>CUSTOS!$F$34</f>
        <v>111705895.75759518</v>
      </c>
      <c r="Q49" s="30">
        <f>CUSTOS!$F$35</f>
        <v>58265489.716275245</v>
      </c>
      <c r="R49" s="30">
        <f>CUSTOS!$F$36</f>
        <v>58265489.716275245</v>
      </c>
      <c r="S49" s="30">
        <f>CUSTOS!$F$37</f>
        <v>0</v>
      </c>
      <c r="T49" s="30">
        <f>CUSTOS!$F$38</f>
        <v>0</v>
      </c>
      <c r="U49" s="30">
        <f>CUSTOS!$F$39</f>
        <v>0</v>
      </c>
      <c r="V49" s="30">
        <f>CUSTOS!$F$40</f>
        <v>0</v>
      </c>
      <c r="W49" s="30">
        <f>CUSTOS!$F$41</f>
        <v>0</v>
      </c>
      <c r="X49" s="30">
        <f>CUSTOS!$F$42</f>
        <v>0</v>
      </c>
      <c r="Y49" s="30">
        <f>CUSTOS!$F$43</f>
        <v>1712385.4742077403</v>
      </c>
      <c r="Z49" s="30">
        <f>CUSTOS!$F$44</f>
        <v>1712385.4742077403</v>
      </c>
      <c r="AA49" s="30">
        <f>CUSTOS!$F$45</f>
        <v>171683770.94807816</v>
      </c>
    </row>
    <row r="50" spans="11:27" ht="11.25" customHeight="1" x14ac:dyDescent="0.25">
      <c r="K50" s="37" t="s">
        <v>877</v>
      </c>
      <c r="L50" s="30">
        <f>'TR TE'!$L$50*L51</f>
        <v>0</v>
      </c>
      <c r="M50" s="30">
        <f>'TR TE'!$M$50*M51</f>
        <v>35.447310268766635</v>
      </c>
      <c r="N50" s="30">
        <f>'TR TE'!$N$50*N51</f>
        <v>0</v>
      </c>
      <c r="O50" s="30">
        <f>'TR TE'!$O$50*O51</f>
        <v>0.16469101498213187</v>
      </c>
      <c r="P50" s="30"/>
      <c r="Q50" s="30">
        <f>'TR TE'!$Q$50*Q51</f>
        <v>18.222784282812519</v>
      </c>
      <c r="R50" s="30"/>
      <c r="S50" s="30">
        <f>'TR TE'!$S$50*S51</f>
        <v>0</v>
      </c>
      <c r="T50" s="30">
        <f>'TR TE'!$T$50*T51</f>
        <v>0</v>
      </c>
      <c r="U50" s="30">
        <f>'TR TE'!$U$50*U51</f>
        <v>0</v>
      </c>
      <c r="V50" s="30"/>
      <c r="W50" s="30"/>
      <c r="X50" s="30"/>
      <c r="Y50" s="30">
        <f>'TR TE'!$Y$50*Y51</f>
        <v>0.54591096819177964</v>
      </c>
      <c r="Z50" s="30"/>
      <c r="AA50" s="30"/>
    </row>
    <row r="51" spans="11:27" ht="11.25" customHeight="1" x14ac:dyDescent="0.25">
      <c r="K51" s="37" t="s">
        <v>872</v>
      </c>
      <c r="L51" s="30">
        <f>IF(L47&lt;&gt;0,L49/L47,0)</f>
        <v>0</v>
      </c>
      <c r="M51" s="30">
        <f>IF(M47&lt;&gt;0,M49/M47,0)</f>
        <v>2.2868285067048153</v>
      </c>
      <c r="N51" s="30">
        <f>IF(N47&lt;&gt;0,N49/N47,0)</f>
        <v>0</v>
      </c>
      <c r="O51" s="30">
        <f>IF(O47&lt;&gt;0,O49/O47,0)</f>
        <v>6.0798165853749326E-3</v>
      </c>
      <c r="P51" s="30"/>
      <c r="Q51" s="30">
        <f>IF(Q47&lt;&gt;0,Q49/Q47,0)</f>
        <v>8.4972598944472455E-2</v>
      </c>
      <c r="R51" s="30"/>
      <c r="S51" s="30">
        <f>IF(S47&lt;&gt;0,S49/S47,0)</f>
        <v>0</v>
      </c>
      <c r="T51" s="30">
        <f>IF(T47&lt;&gt;0,T49/T47,0)</f>
        <v>0</v>
      </c>
      <c r="U51" s="30">
        <f>IF(U47&lt;&gt;0,U49/U47,0)</f>
        <v>0</v>
      </c>
      <c r="V51" s="30"/>
      <c r="W51" s="30">
        <f>IF($AA47&lt;&gt;0,W49/($AA47-SUM('TR TE'!$L50:'TR TE'!$Z50)*0),0)</f>
        <v>0</v>
      </c>
      <c r="X51" s="30"/>
      <c r="Y51" s="30">
        <f>IF(Y47&lt;&gt;0,Y49/Y47,0)</f>
        <v>8.4972598944472441E-2</v>
      </c>
      <c r="Z51" s="30"/>
      <c r="AA51" s="30"/>
    </row>
    <row r="52" spans="11:27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</sheetData>
  <mergeCells count="67">
    <mergeCell ref="E38:E40"/>
    <mergeCell ref="F38:F40"/>
    <mergeCell ref="A43:A44"/>
    <mergeCell ref="B43:B44"/>
    <mergeCell ref="C43:C44"/>
    <mergeCell ref="D38:D40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A10:A22"/>
    <mergeCell ref="B10:B12"/>
    <mergeCell ref="C10:C12"/>
    <mergeCell ref="D10:D12"/>
    <mergeCell ref="E10:E12"/>
    <mergeCell ref="F10:F12"/>
    <mergeCell ref="B13:B17"/>
    <mergeCell ref="C13:C17"/>
    <mergeCell ref="B18:B22"/>
    <mergeCell ref="C18:C22"/>
    <mergeCell ref="A7:A9"/>
    <mergeCell ref="B7:B8"/>
    <mergeCell ref="C7:C8"/>
    <mergeCell ref="D7:D8"/>
    <mergeCell ref="E7:E8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46">
    <cfRule type="cellIs" dxfId="1339" priority="31" operator="notEqual">
      <formula>$L$48</formula>
    </cfRule>
    <cfRule type="cellIs" dxfId="1338" priority="32" operator="equal">
      <formula>$L$48</formula>
    </cfRule>
  </conditionalFormatting>
  <conditionalFormatting sqref="M46">
    <cfRule type="cellIs" dxfId="1337" priority="29" operator="notEqual">
      <formula>$M$48</formula>
    </cfRule>
    <cfRule type="cellIs" dxfId="1336" priority="30" operator="equal">
      <formula>$M$48</formula>
    </cfRule>
  </conditionalFormatting>
  <conditionalFormatting sqref="N46">
    <cfRule type="cellIs" dxfId="1335" priority="27" operator="notEqual">
      <formula>$N$48</formula>
    </cfRule>
    <cfRule type="cellIs" dxfId="1334" priority="28" operator="equal">
      <formula>$N$48</formula>
    </cfRule>
  </conditionalFormatting>
  <conditionalFormatting sqref="O46">
    <cfRule type="cellIs" dxfId="1333" priority="25" operator="notEqual">
      <formula>$O$48</formula>
    </cfRule>
    <cfRule type="cellIs" dxfId="1332" priority="26" operator="equal">
      <formula>$O$48</formula>
    </cfRule>
  </conditionalFormatting>
  <conditionalFormatting sqref="P46">
    <cfRule type="cellIs" dxfId="1331" priority="23" operator="notEqual">
      <formula>$P$48</formula>
    </cfRule>
    <cfRule type="cellIs" dxfId="1330" priority="24" operator="equal">
      <formula>$P$48</formula>
    </cfRule>
  </conditionalFormatting>
  <conditionalFormatting sqref="Q46">
    <cfRule type="cellIs" dxfId="1329" priority="21" operator="notEqual">
      <formula>$Q$48</formula>
    </cfRule>
    <cfRule type="cellIs" dxfId="1328" priority="22" operator="equal">
      <formula>$Q$48</formula>
    </cfRule>
  </conditionalFormatting>
  <conditionalFormatting sqref="R46">
    <cfRule type="cellIs" dxfId="1327" priority="19" operator="notEqual">
      <formula>$R$48</formula>
    </cfRule>
    <cfRule type="cellIs" dxfId="1326" priority="20" operator="equal">
      <formula>$R$48</formula>
    </cfRule>
  </conditionalFormatting>
  <conditionalFormatting sqref="S46">
    <cfRule type="cellIs" dxfId="1325" priority="17" operator="notEqual">
      <formula>$S$48</formula>
    </cfRule>
    <cfRule type="cellIs" dxfId="1324" priority="18" operator="equal">
      <formula>$S$48</formula>
    </cfRule>
  </conditionalFormatting>
  <conditionalFormatting sqref="T46">
    <cfRule type="cellIs" dxfId="1323" priority="15" operator="notEqual">
      <formula>$T$48</formula>
    </cfRule>
    <cfRule type="cellIs" dxfId="1322" priority="16" operator="equal">
      <formula>$T$48</formula>
    </cfRule>
  </conditionalFormatting>
  <conditionalFormatting sqref="U46">
    <cfRule type="cellIs" dxfId="1321" priority="13" operator="notEqual">
      <formula>$U$48</formula>
    </cfRule>
    <cfRule type="cellIs" dxfId="1320" priority="14" operator="equal">
      <formula>$U$48</formula>
    </cfRule>
  </conditionalFormatting>
  <conditionalFormatting sqref="V46">
    <cfRule type="cellIs" dxfId="1319" priority="11" operator="notEqual">
      <formula>$V$48</formula>
    </cfRule>
    <cfRule type="cellIs" dxfId="1318" priority="12" operator="equal">
      <formula>$V$48</formula>
    </cfRule>
  </conditionalFormatting>
  <conditionalFormatting sqref="W46">
    <cfRule type="cellIs" dxfId="1317" priority="9" operator="notEqual">
      <formula>$W$48</formula>
    </cfRule>
    <cfRule type="cellIs" dxfId="1316" priority="10" operator="equal">
      <formula>$W$48</formula>
    </cfRule>
  </conditionalFormatting>
  <conditionalFormatting sqref="X46">
    <cfRule type="cellIs" dxfId="1315" priority="7" operator="notEqual">
      <formula>$X$48</formula>
    </cfRule>
    <cfRule type="cellIs" dxfId="1314" priority="8" operator="equal">
      <formula>$X$48</formula>
    </cfRule>
  </conditionalFormatting>
  <conditionalFormatting sqref="Y46">
    <cfRule type="cellIs" dxfId="1313" priority="5" operator="notEqual">
      <formula>$Y$48</formula>
    </cfRule>
    <cfRule type="cellIs" dxfId="1312" priority="6" operator="equal">
      <formula>$Y$48</formula>
    </cfRule>
  </conditionalFormatting>
  <conditionalFormatting sqref="Z46">
    <cfRule type="cellIs" dxfId="1311" priority="3" operator="notEqual">
      <formula>$Z$48</formula>
    </cfRule>
    <cfRule type="cellIs" dxfId="1310" priority="4" operator="equal">
      <formula>$Z$48</formula>
    </cfRule>
  </conditionalFormatting>
  <conditionalFormatting sqref="AA46">
    <cfRule type="cellIs" dxfId="1309" priority="1" operator="notEqual">
      <formula>$AA$48</formula>
    </cfRule>
    <cfRule type="cellIs" dxfId="1308" priority="2" operator="equal">
      <formula>$AA$48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4B6D2-959F-44B6-B160-AC2E4CCB6E96}">
  <dimension ref="A1:AA52"/>
  <sheetViews>
    <sheetView showGridLines="0" topLeftCell="K1" workbookViewId="0">
      <selection activeCell="AA46" sqref="AA46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0" style="9" bestFit="1" customWidth="1"/>
    <col min="13" max="13" width="11.7109375" style="9" bestFit="1" customWidth="1"/>
    <col min="14" max="14" width="10" style="9" bestFit="1" customWidth="1"/>
    <col min="15" max="15" width="11.140625" style="9" bestFit="1" customWidth="1"/>
    <col min="16" max="16" width="11.7109375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4" width="10" style="9" bestFit="1" customWidth="1"/>
    <col min="25" max="25" width="11" style="9" bestFit="1" customWidth="1"/>
    <col min="26" max="26" width="10.85546875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41" t="s">
        <v>80</v>
      </c>
      <c r="B1" s="141" t="s">
        <v>81</v>
      </c>
      <c r="C1" s="141" t="s">
        <v>82</v>
      </c>
      <c r="D1" s="141" t="s">
        <v>83</v>
      </c>
      <c r="E1" s="141" t="s">
        <v>84</v>
      </c>
      <c r="F1" s="141" t="s">
        <v>15</v>
      </c>
      <c r="G1" s="141" t="s">
        <v>86</v>
      </c>
      <c r="H1" s="141" t="s">
        <v>87</v>
      </c>
      <c r="I1" s="141" t="s">
        <v>854</v>
      </c>
      <c r="J1" s="130"/>
      <c r="L1" s="142" t="s">
        <v>882</v>
      </c>
      <c r="M1" s="142"/>
      <c r="N1" s="142"/>
      <c r="O1" s="142"/>
      <c r="P1" s="142"/>
      <c r="Q1" s="142"/>
      <c r="R1" s="142"/>
      <c r="S1" s="142"/>
      <c r="T1" s="142"/>
      <c r="U1" s="142"/>
      <c r="V1" s="142"/>
      <c r="W1" s="142"/>
      <c r="X1" s="142"/>
      <c r="Y1" s="142"/>
      <c r="Z1" s="142"/>
      <c r="AA1" s="142"/>
    </row>
    <row r="2" spans="1:27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30"/>
      <c r="L2" s="142" t="s">
        <v>782</v>
      </c>
      <c r="M2" s="142"/>
      <c r="N2" s="142"/>
      <c r="O2" s="142"/>
      <c r="P2" s="142"/>
      <c r="Q2" s="142"/>
      <c r="R2" s="142"/>
      <c r="S2" s="142"/>
      <c r="T2" s="142"/>
      <c r="U2" s="142"/>
      <c r="V2" s="142"/>
      <c r="W2" s="142"/>
      <c r="X2" s="142"/>
      <c r="Y2" s="142"/>
      <c r="Z2" s="142"/>
      <c r="AA2" s="142"/>
    </row>
    <row r="3" spans="1:27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30"/>
      <c r="L3" s="142" t="s">
        <v>755</v>
      </c>
      <c r="M3" s="142"/>
      <c r="N3" s="142"/>
      <c r="O3" s="142"/>
      <c r="P3" s="142"/>
      <c r="Q3" s="142" t="s">
        <v>785</v>
      </c>
      <c r="R3" s="142"/>
      <c r="S3" s="142" t="s">
        <v>764</v>
      </c>
      <c r="T3" s="142"/>
      <c r="U3" s="142"/>
      <c r="V3" s="142"/>
      <c r="W3" s="142" t="s">
        <v>774</v>
      </c>
      <c r="X3" s="142"/>
      <c r="Y3" s="142" t="s">
        <v>777</v>
      </c>
      <c r="Z3" s="142"/>
      <c r="AA3" s="142" t="s">
        <v>763</v>
      </c>
    </row>
    <row r="4" spans="1:27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30"/>
      <c r="L4" s="36" t="s">
        <v>757</v>
      </c>
      <c r="M4" s="36" t="s">
        <v>783</v>
      </c>
      <c r="N4" s="36" t="s">
        <v>784</v>
      </c>
      <c r="O4" s="36" t="s">
        <v>842</v>
      </c>
      <c r="P4" s="36" t="s">
        <v>763</v>
      </c>
      <c r="Q4" s="36" t="s">
        <v>786</v>
      </c>
      <c r="R4" s="36" t="s">
        <v>763</v>
      </c>
      <c r="S4" s="36" t="s">
        <v>787</v>
      </c>
      <c r="T4" s="36" t="s">
        <v>788</v>
      </c>
      <c r="U4" s="36" t="s">
        <v>789</v>
      </c>
      <c r="V4" s="36" t="s">
        <v>763</v>
      </c>
      <c r="W4" s="36" t="s">
        <v>775</v>
      </c>
      <c r="X4" s="36" t="s">
        <v>763</v>
      </c>
      <c r="Y4" s="36" t="s">
        <v>790</v>
      </c>
      <c r="Z4" s="36" t="s">
        <v>763</v>
      </c>
      <c r="AA4" s="143"/>
    </row>
    <row r="5" spans="1:27" ht="11.25" customHeight="1" x14ac:dyDescent="0.25">
      <c r="A5" s="140" t="s">
        <v>41</v>
      </c>
      <c r="B5" s="140" t="s">
        <v>89</v>
      </c>
      <c r="C5" s="140" t="s">
        <v>25</v>
      </c>
      <c r="D5" s="140" t="s">
        <v>25</v>
      </c>
      <c r="E5" s="140" t="s">
        <v>25</v>
      </c>
      <c r="F5" s="140" t="s">
        <v>25</v>
      </c>
      <c r="G5" s="32" t="s">
        <v>91</v>
      </c>
      <c r="H5" s="32" t="s">
        <v>90</v>
      </c>
      <c r="I5" s="32">
        <f>'MERCADO TE'!$U$2</f>
        <v>3168.23</v>
      </c>
      <c r="J5" s="17"/>
      <c r="L5" s="30">
        <f>'TE BE'!$L$5*'TE BF'!$L$51</f>
        <v>0</v>
      </c>
      <c r="M5" s="30">
        <f>'TE BE'!$M$5*'TE BF'!$M$51</f>
        <v>35.447310268766635</v>
      </c>
      <c r="N5" s="30">
        <f>'TE BE'!$N$5*'TE BF'!$N$51</f>
        <v>0</v>
      </c>
      <c r="O5" s="30">
        <f>'TE BE'!$O$5*'TE BF'!$O$51</f>
        <v>0.16469101498213187</v>
      </c>
      <c r="P5" s="30">
        <f>SUM($L$5:$O$5)</f>
        <v>35.612001283748768</v>
      </c>
      <c r="Q5" s="30">
        <f>'TE BE'!$Q$5*'TE BF'!$Q$51</f>
        <v>30.258631722321269</v>
      </c>
      <c r="R5" s="30">
        <f>SUM($Q$5:$Q$5)</f>
        <v>30.258631722321269</v>
      </c>
      <c r="S5" s="30">
        <f>'TE BE'!$S$5*'TE BF'!$S$51</f>
        <v>0</v>
      </c>
      <c r="T5" s="30">
        <f>'TE BE'!$T$5*'TE BF'!$T$51</f>
        <v>0</v>
      </c>
      <c r="U5" s="30">
        <f>'TE BE'!$U$5*'TE BF'!$U$51</f>
        <v>0</v>
      </c>
      <c r="V5" s="30">
        <f>SUM($S$5:$U$5)</f>
        <v>0</v>
      </c>
      <c r="W5" s="30">
        <f>'TE BE'!$AA$5*'TE BF'!$W$51</f>
        <v>0</v>
      </c>
      <c r="X5" s="30">
        <f>SUM($W$5:$W$5)</f>
        <v>0</v>
      </c>
      <c r="Y5" s="30">
        <f>'TE BE'!$Y$5*'TE BF'!$Y$51</f>
        <v>0.54591096819177964</v>
      </c>
      <c r="Z5" s="30">
        <f>SUM($Y$5:$Y$5)</f>
        <v>0.54591096819177964</v>
      </c>
      <c r="AA5" s="30">
        <f>SUMIF($L$4:$Z$4,"SUBTOTAL",$L$5:$Z$5)</f>
        <v>66.416543974261813</v>
      </c>
    </row>
    <row r="6" spans="1:27" ht="11.25" customHeight="1" x14ac:dyDescent="0.25">
      <c r="A6" s="140"/>
      <c r="B6" s="140"/>
      <c r="C6" s="140"/>
      <c r="D6" s="140"/>
      <c r="E6" s="140"/>
      <c r="F6" s="140"/>
      <c r="G6" s="32" t="s">
        <v>92</v>
      </c>
      <c r="H6" s="32" t="s">
        <v>90</v>
      </c>
      <c r="I6" s="32">
        <f>'MERCADO TE'!$U$3</f>
        <v>107910.84700000001</v>
      </c>
      <c r="J6" s="17"/>
      <c r="L6" s="30">
        <f>'TE BE'!$L$6*'TE BF'!$L$51</f>
        <v>0</v>
      </c>
      <c r="M6" s="30">
        <f>'TE BE'!$M$6*'TE BF'!$M$51</f>
        <v>35.447310268766635</v>
      </c>
      <c r="N6" s="30">
        <f>'TE BE'!$N$6*'TE BF'!$N$51</f>
        <v>0</v>
      </c>
      <c r="O6" s="30">
        <f>'TE BE'!$O$6*'TE BF'!$O$51</f>
        <v>0.16469101498213187</v>
      </c>
      <c r="P6" s="30">
        <f>SUM($L$6:$O$6)</f>
        <v>35.612001283748768</v>
      </c>
      <c r="Q6" s="30">
        <f>'TE BE'!$Q$6*'TE BF'!$Q$51</f>
        <v>17.592227745535624</v>
      </c>
      <c r="R6" s="30">
        <f>SUM($Q$6:$Q$6)</f>
        <v>17.592227745535624</v>
      </c>
      <c r="S6" s="30">
        <f>'TE BE'!$S$6*'TE BF'!$S$51</f>
        <v>0</v>
      </c>
      <c r="T6" s="30">
        <f>'TE BE'!$T$6*'TE BF'!$T$51</f>
        <v>0</v>
      </c>
      <c r="U6" s="30">
        <f>'TE BE'!$U$6*'TE BF'!$U$51</f>
        <v>0</v>
      </c>
      <c r="V6" s="30">
        <f>SUM($S$6:$U$6)</f>
        <v>0</v>
      </c>
      <c r="W6" s="30">
        <f>'TE BE'!$AA$6*'TE BF'!$W$51</f>
        <v>0</v>
      </c>
      <c r="X6" s="30">
        <f>SUM($W$6:$W$6)</f>
        <v>0</v>
      </c>
      <c r="Y6" s="30">
        <f>'TE BE'!$Y$6*'TE BF'!$Y$51</f>
        <v>0.54591096819177964</v>
      </c>
      <c r="Z6" s="30">
        <f>SUM($Y$6:$Y$6)</f>
        <v>0.54591096819177964</v>
      </c>
      <c r="AA6" s="30">
        <f>SUMIF($L$4:$Z$4,"SUBTOTAL",$L$6:$Z$6)</f>
        <v>53.750139997476168</v>
      </c>
    </row>
    <row r="7" spans="1:27" ht="11.25" customHeight="1" x14ac:dyDescent="0.25">
      <c r="A7" s="140" t="s">
        <v>33</v>
      </c>
      <c r="B7" s="140" t="s">
        <v>89</v>
      </c>
      <c r="C7" s="140" t="s">
        <v>25</v>
      </c>
      <c r="D7" s="140" t="s">
        <v>25</v>
      </c>
      <c r="E7" s="140" t="s">
        <v>25</v>
      </c>
      <c r="F7" s="140" t="s">
        <v>25</v>
      </c>
      <c r="G7" s="32" t="s">
        <v>91</v>
      </c>
      <c r="H7" s="32" t="s">
        <v>90</v>
      </c>
      <c r="I7" s="32">
        <f>'MERCADO TE'!$U$4</f>
        <v>47285.341999999997</v>
      </c>
      <c r="J7" s="17"/>
      <c r="L7" s="30">
        <f>'TE BE'!$L$7*'TE BF'!$L$51</f>
        <v>0</v>
      </c>
      <c r="M7" s="30">
        <f>'TE BE'!$M$7*'TE BF'!$M$51</f>
        <v>35.447310268766635</v>
      </c>
      <c r="N7" s="30">
        <f>'TE BE'!$N$7*'TE BF'!$N$51</f>
        <v>0</v>
      </c>
      <c r="O7" s="30">
        <f>'TE BE'!$O$7*'TE BF'!$O$51</f>
        <v>0.16469101498213187</v>
      </c>
      <c r="P7" s="30">
        <f>SUM($L$7:$O$7)</f>
        <v>35.612001283748768</v>
      </c>
      <c r="Q7" s="30">
        <f>'TE BE'!$Q$7*'TE BF'!$Q$51</f>
        <v>30.258631722321269</v>
      </c>
      <c r="R7" s="30">
        <f>SUM($Q$7:$Q$7)</f>
        <v>30.258631722321269</v>
      </c>
      <c r="S7" s="30">
        <f>'TE BE'!$S$7*'TE BF'!$S$51</f>
        <v>0</v>
      </c>
      <c r="T7" s="30">
        <f>'TE BE'!$T$7*'TE BF'!$T$51</f>
        <v>0</v>
      </c>
      <c r="U7" s="30">
        <f>'TE BE'!$U$7*'TE BF'!$U$51</f>
        <v>0</v>
      </c>
      <c r="V7" s="30">
        <f>SUM($S$7:$U$7)</f>
        <v>0</v>
      </c>
      <c r="W7" s="30">
        <f>'TE BE'!$AA$7*'TE BF'!$W$51</f>
        <v>0</v>
      </c>
      <c r="X7" s="30">
        <f>SUM($W$7:$W$7)</f>
        <v>0</v>
      </c>
      <c r="Y7" s="30">
        <f>'TE BE'!$Y$7*'TE BF'!$Y$51</f>
        <v>0.54591096819177964</v>
      </c>
      <c r="Z7" s="30">
        <f>SUM($Y$7:$Y$7)</f>
        <v>0.54591096819177964</v>
      </c>
      <c r="AA7" s="30">
        <f>SUMIF($L$4:$Z$4,"SUBTOTAL",$L$7:$Z$7)</f>
        <v>66.416543974261813</v>
      </c>
    </row>
    <row r="8" spans="1:27" ht="11.25" customHeight="1" x14ac:dyDescent="0.25">
      <c r="A8" s="140"/>
      <c r="B8" s="140"/>
      <c r="C8" s="140"/>
      <c r="D8" s="140"/>
      <c r="E8" s="140"/>
      <c r="F8" s="140"/>
      <c r="G8" s="32" t="s">
        <v>92</v>
      </c>
      <c r="H8" s="32" t="s">
        <v>90</v>
      </c>
      <c r="I8" s="32">
        <f>'MERCADO TE'!$U$5</f>
        <v>661995.96299999999</v>
      </c>
      <c r="J8" s="17"/>
      <c r="L8" s="30">
        <f>'TE BE'!$L$8*'TE BF'!$L$51</f>
        <v>0</v>
      </c>
      <c r="M8" s="30">
        <f>'TE BE'!$M$8*'TE BF'!$M$51</f>
        <v>35.447310268766635</v>
      </c>
      <c r="N8" s="30">
        <f>'TE BE'!$N$8*'TE BF'!$N$51</f>
        <v>0</v>
      </c>
      <c r="O8" s="30">
        <f>'TE BE'!$O$8*'TE BF'!$O$51</f>
        <v>0.16469101498213187</v>
      </c>
      <c r="P8" s="30">
        <f>SUM($L$8:$O$8)</f>
        <v>35.612001283748768</v>
      </c>
      <c r="Q8" s="30">
        <f>'TE BE'!$Q$8*'TE BF'!$Q$51</f>
        <v>17.592227745535624</v>
      </c>
      <c r="R8" s="30">
        <f>SUM($Q$8:$Q$8)</f>
        <v>17.592227745535624</v>
      </c>
      <c r="S8" s="30">
        <f>'TE BE'!$S$8*'TE BF'!$S$51</f>
        <v>0</v>
      </c>
      <c r="T8" s="30">
        <f>'TE BE'!$T$8*'TE BF'!$T$51</f>
        <v>0</v>
      </c>
      <c r="U8" s="30">
        <f>'TE BE'!$U$8*'TE BF'!$U$51</f>
        <v>0</v>
      </c>
      <c r="V8" s="30">
        <f>SUM($S$8:$U$8)</f>
        <v>0</v>
      </c>
      <c r="W8" s="30">
        <f>'TE BE'!$AA$8*'TE BF'!$W$51</f>
        <v>0</v>
      </c>
      <c r="X8" s="30">
        <f>SUM($W$8:$W$8)</f>
        <v>0</v>
      </c>
      <c r="Y8" s="30">
        <f>'TE BE'!$Y$8*'TE BF'!$Y$51</f>
        <v>0.54591096819177964</v>
      </c>
      <c r="Z8" s="30">
        <f>SUM($Y$8:$Y$8)</f>
        <v>0.54591096819177964</v>
      </c>
      <c r="AA8" s="30">
        <f>SUMIF($L$4:$Z$4,"SUBTOTAL",$L$8:$Z$8)</f>
        <v>53.750139997476168</v>
      </c>
    </row>
    <row r="9" spans="1:27" ht="11.25" customHeight="1" x14ac:dyDescent="0.25">
      <c r="A9" s="140"/>
      <c r="B9" s="38" t="s">
        <v>97</v>
      </c>
      <c r="C9" s="38" t="s">
        <v>25</v>
      </c>
      <c r="D9" s="38" t="s">
        <v>25</v>
      </c>
      <c r="E9" s="38" t="s">
        <v>25</v>
      </c>
      <c r="F9" s="38" t="s">
        <v>25</v>
      </c>
      <c r="G9" s="32" t="s">
        <v>96</v>
      </c>
      <c r="H9" s="32" t="s">
        <v>90</v>
      </c>
      <c r="I9" s="32">
        <f>'MERCADO TE'!$U$6</f>
        <v>0</v>
      </c>
      <c r="J9" s="17"/>
      <c r="L9" s="30">
        <f>'TE BE'!$L$9*'TE BF'!$L$51</f>
        <v>0</v>
      </c>
      <c r="M9" s="30">
        <f>'TE BE'!$M$9*'TE BF'!$M$51</f>
        <v>35.447310268766635</v>
      </c>
      <c r="N9" s="30">
        <f>'TE BE'!$N$9*'TE BF'!$N$51</f>
        <v>0</v>
      </c>
      <c r="O9" s="30">
        <f>'TE BE'!$O$9*'TE BF'!$O$51</f>
        <v>0.16469101498213187</v>
      </c>
      <c r="P9" s="30">
        <f>SUM($L$9:$O$9)</f>
        <v>35.612001283748768</v>
      </c>
      <c r="Q9" s="30">
        <f>'TE BE'!$Q$9*'TE BF'!$Q$51</f>
        <v>18.647761410267758</v>
      </c>
      <c r="R9" s="30">
        <f>SUM($Q$9:$Q$9)</f>
        <v>18.647761410267758</v>
      </c>
      <c r="S9" s="30">
        <f>'TE BE'!$S$9*'TE BF'!$S$51</f>
        <v>0</v>
      </c>
      <c r="T9" s="30">
        <f>'TE BE'!$T$9*'TE BF'!$T$51</f>
        <v>0</v>
      </c>
      <c r="U9" s="30">
        <f>'TE BE'!$U$9*'TE BF'!$U$51</f>
        <v>0</v>
      </c>
      <c r="V9" s="30">
        <f>SUM($S$9:$U$9)</f>
        <v>0</v>
      </c>
      <c r="W9" s="30">
        <f>'TE BE'!$AA$9*'TE BF'!$W$51</f>
        <v>0</v>
      </c>
      <c r="X9" s="30">
        <f>SUM($W$9:$W$9)</f>
        <v>0</v>
      </c>
      <c r="Y9" s="30">
        <f>'TE BE'!$Y$9*'TE BF'!$Y$51</f>
        <v>0.54591096819177964</v>
      </c>
      <c r="Z9" s="30">
        <f>SUM($Y$9:$Y$9)</f>
        <v>0.54591096819177964</v>
      </c>
      <c r="AA9" s="30">
        <f>SUMIF($L$4:$Z$4,"SUBTOTAL",$L$9:$Z$9)</f>
        <v>54.805673662208306</v>
      </c>
    </row>
    <row r="10" spans="1:27" ht="11.25" customHeight="1" x14ac:dyDescent="0.25">
      <c r="A10" s="140" t="s">
        <v>22</v>
      </c>
      <c r="B10" s="140" t="s">
        <v>89</v>
      </c>
      <c r="C10" s="140" t="s">
        <v>24</v>
      </c>
      <c r="D10" s="140" t="s">
        <v>24</v>
      </c>
      <c r="E10" s="140" t="s">
        <v>25</v>
      </c>
      <c r="F10" s="140" t="s">
        <v>25</v>
      </c>
      <c r="G10" s="32" t="s">
        <v>91</v>
      </c>
      <c r="H10" s="32" t="s">
        <v>90</v>
      </c>
      <c r="I10" s="32">
        <f>'MERCADO TE'!$U$7</f>
        <v>50.420000000000009</v>
      </c>
      <c r="J10" s="17"/>
      <c r="L10" s="30">
        <f>'TE BE'!$L$10*'TE BF'!$L$51</f>
        <v>0</v>
      </c>
      <c r="M10" s="30">
        <f>'TE BE'!$M$10*'TE BF'!$M$51</f>
        <v>35.447310268766635</v>
      </c>
      <c r="N10" s="30">
        <f>'TE BE'!$N$10*'TE BF'!$N$51</f>
        <v>0</v>
      </c>
      <c r="O10" s="30">
        <f>'TE BE'!$O$10*'TE BF'!$O$51</f>
        <v>0.16469101498213187</v>
      </c>
      <c r="P10" s="30">
        <f>SUM($L$10:$O$10)</f>
        <v>35.612001283748768</v>
      </c>
      <c r="Q10" s="30">
        <f>'TE BE'!$Q$10*'TE BF'!$Q$51</f>
        <v>30.258631722321269</v>
      </c>
      <c r="R10" s="30">
        <f>SUM($Q$10:$Q$10)</f>
        <v>30.258631722321269</v>
      </c>
      <c r="S10" s="30">
        <f>'TE BE'!$S$10*'TE BF'!$S$51</f>
        <v>0</v>
      </c>
      <c r="T10" s="30">
        <f>'TE BE'!$T$10*'TE BF'!$T$51</f>
        <v>0</v>
      </c>
      <c r="U10" s="30">
        <f>'TE BE'!$U$10*'TE BF'!$U$51</f>
        <v>0</v>
      </c>
      <c r="V10" s="30">
        <f>SUM($S$10:$U$10)</f>
        <v>0</v>
      </c>
      <c r="W10" s="30">
        <f>'TE BE'!$AA$10*'TE BF'!$W$51</f>
        <v>0</v>
      </c>
      <c r="X10" s="30">
        <f>SUM($W$10:$W$10)</f>
        <v>0</v>
      </c>
      <c r="Y10" s="30">
        <f>'TE BE'!$Y$10*'TE BF'!$Y$51</f>
        <v>0.54591096819177964</v>
      </c>
      <c r="Z10" s="30">
        <f>SUM($Y$10:$Y$10)</f>
        <v>0.54591096819177964</v>
      </c>
      <c r="AA10" s="30">
        <f>SUMIF($L$4:$Z$4,"SUBTOTAL",$L$10:$Z$10)</f>
        <v>66.416543974261813</v>
      </c>
    </row>
    <row r="11" spans="1:27" ht="11.25" customHeight="1" x14ac:dyDescent="0.25">
      <c r="A11" s="140"/>
      <c r="B11" s="140"/>
      <c r="C11" s="140"/>
      <c r="D11" s="140"/>
      <c r="E11" s="140"/>
      <c r="F11" s="140"/>
      <c r="G11" s="32" t="s">
        <v>101</v>
      </c>
      <c r="H11" s="32" t="s">
        <v>90</v>
      </c>
      <c r="I11" s="32">
        <f>'MERCADO TE'!$U$8</f>
        <v>34.840000000000003</v>
      </c>
      <c r="J11" s="17"/>
      <c r="L11" s="30">
        <f>'TE BE'!$L$11*'TE BF'!$L$51</f>
        <v>0</v>
      </c>
      <c r="M11" s="30">
        <f>'TE BE'!$M$11*'TE BF'!$M$51</f>
        <v>35.447310268766635</v>
      </c>
      <c r="N11" s="30">
        <f>'TE BE'!$N$11*'TE BF'!$N$51</f>
        <v>0</v>
      </c>
      <c r="O11" s="30">
        <f>'TE BE'!$O$11*'TE BF'!$O$51</f>
        <v>0.16469101498213187</v>
      </c>
      <c r="P11" s="30">
        <f>SUM($L$11:$O$11)</f>
        <v>35.612001283748768</v>
      </c>
      <c r="Q11" s="30">
        <f>'TE BE'!$Q$11*'TE BF'!$Q$51</f>
        <v>17.592227745535624</v>
      </c>
      <c r="R11" s="30">
        <f>SUM($Q$11:$Q$11)</f>
        <v>17.592227745535624</v>
      </c>
      <c r="S11" s="30">
        <f>'TE BE'!$S$11*'TE BF'!$S$51</f>
        <v>0</v>
      </c>
      <c r="T11" s="30">
        <f>'TE BE'!$T$11*'TE BF'!$T$51</f>
        <v>0</v>
      </c>
      <c r="U11" s="30">
        <f>'TE BE'!$U$11*'TE BF'!$U$51</f>
        <v>0</v>
      </c>
      <c r="V11" s="30">
        <f>SUM($S$11:$U$11)</f>
        <v>0</v>
      </c>
      <c r="W11" s="30">
        <f>'TE BE'!$AA$11*'TE BF'!$W$51</f>
        <v>0</v>
      </c>
      <c r="X11" s="30">
        <f>SUM($W$11:$W$11)</f>
        <v>0</v>
      </c>
      <c r="Y11" s="30">
        <f>'TE BE'!$Y$11*'TE BF'!$Y$51</f>
        <v>0.54591096819177964</v>
      </c>
      <c r="Z11" s="30">
        <f>SUM($Y$11:$Y$11)</f>
        <v>0.54591096819177964</v>
      </c>
      <c r="AA11" s="30">
        <f>SUMIF($L$4:$Z$4,"SUBTOTAL",$L$11:$Z$11)</f>
        <v>53.750139997476168</v>
      </c>
    </row>
    <row r="12" spans="1:27" ht="11.25" customHeight="1" x14ac:dyDescent="0.25">
      <c r="A12" s="140"/>
      <c r="B12" s="140"/>
      <c r="C12" s="140"/>
      <c r="D12" s="140"/>
      <c r="E12" s="140"/>
      <c r="F12" s="140"/>
      <c r="G12" s="32" t="s">
        <v>92</v>
      </c>
      <c r="H12" s="32" t="s">
        <v>90</v>
      </c>
      <c r="I12" s="32">
        <f>'MERCADO TE'!$U$9</f>
        <v>677.41499999999996</v>
      </c>
      <c r="J12" s="17"/>
      <c r="L12" s="30">
        <f>'TE BE'!$L$12*'TE BF'!$L$51</f>
        <v>0</v>
      </c>
      <c r="M12" s="30">
        <f>'TE BE'!$M$12*'TE BF'!$M$51</f>
        <v>35.447310268766635</v>
      </c>
      <c r="N12" s="30">
        <f>'TE BE'!$N$12*'TE BF'!$N$51</f>
        <v>0</v>
      </c>
      <c r="O12" s="30">
        <f>'TE BE'!$O$12*'TE BF'!$O$51</f>
        <v>0.16469101498213187</v>
      </c>
      <c r="P12" s="30">
        <f>SUM($L$12:$O$12)</f>
        <v>35.612001283748768</v>
      </c>
      <c r="Q12" s="30">
        <f>'TE BE'!$Q$12*'TE BF'!$Q$51</f>
        <v>17.592227745535624</v>
      </c>
      <c r="R12" s="30">
        <f>SUM($Q$12:$Q$12)</f>
        <v>17.592227745535624</v>
      </c>
      <c r="S12" s="30">
        <f>'TE BE'!$S$12*'TE BF'!$S$51</f>
        <v>0</v>
      </c>
      <c r="T12" s="30">
        <f>'TE BE'!$T$12*'TE BF'!$T$51</f>
        <v>0</v>
      </c>
      <c r="U12" s="30">
        <f>'TE BE'!$U$12*'TE BF'!$U$51</f>
        <v>0</v>
      </c>
      <c r="V12" s="30">
        <f>SUM($S$12:$U$12)</f>
        <v>0</v>
      </c>
      <c r="W12" s="30">
        <f>'TE BE'!$AA$12*'TE BF'!$W$51</f>
        <v>0</v>
      </c>
      <c r="X12" s="30">
        <f>SUM($W$12:$W$12)</f>
        <v>0</v>
      </c>
      <c r="Y12" s="30">
        <f>'TE BE'!$Y$12*'TE BF'!$Y$51</f>
        <v>0.54591096819177964</v>
      </c>
      <c r="Z12" s="30">
        <f>SUM($Y$12:$Y$12)</f>
        <v>0.54591096819177964</v>
      </c>
      <c r="AA12" s="30">
        <f>SUMIF($L$4:$Z$4,"SUBTOTAL",$L$12:$Z$12)</f>
        <v>53.750139997476168</v>
      </c>
    </row>
    <row r="13" spans="1:27" ht="11.25" customHeight="1" x14ac:dyDescent="0.25">
      <c r="A13" s="140"/>
      <c r="B13" s="140" t="s">
        <v>97</v>
      </c>
      <c r="C13" s="140" t="s">
        <v>24</v>
      </c>
      <c r="D13" s="38" t="s">
        <v>24</v>
      </c>
      <c r="E13" s="38" t="s">
        <v>25</v>
      </c>
      <c r="F13" s="38" t="s">
        <v>25</v>
      </c>
      <c r="G13" s="32" t="s">
        <v>96</v>
      </c>
      <c r="H13" s="32" t="s">
        <v>90</v>
      </c>
      <c r="I13" s="32">
        <f>'MERCADO TE'!$U$10</f>
        <v>1165006.6750000003</v>
      </c>
      <c r="J13" s="17"/>
      <c r="L13" s="30">
        <f>'TE BE'!$L$13*'TE BF'!$L$51</f>
        <v>0</v>
      </c>
      <c r="M13" s="30">
        <f>'TE BE'!$M$13*'TE BF'!$M$51</f>
        <v>35.447310268766635</v>
      </c>
      <c r="N13" s="30">
        <f>'TE BE'!$N$13*'TE BF'!$N$51</f>
        <v>0</v>
      </c>
      <c r="O13" s="30">
        <f>'TE BE'!$O$13*'TE BF'!$O$51</f>
        <v>0.16469101498213187</v>
      </c>
      <c r="P13" s="30">
        <f>SUM($L$13:$O$13)</f>
        <v>35.612001283748768</v>
      </c>
      <c r="Q13" s="30">
        <f>'TE BE'!$Q$13*'TE BF'!$Q$51</f>
        <v>18.647761410267758</v>
      </c>
      <c r="R13" s="30">
        <f>SUM($Q$13:$Q$13)</f>
        <v>18.647761410267758</v>
      </c>
      <c r="S13" s="30">
        <f>'TE BE'!$S$13*'TE BF'!$S$51</f>
        <v>0</v>
      </c>
      <c r="T13" s="30">
        <f>'TE BE'!$T$13*'TE BF'!$T$51</f>
        <v>0</v>
      </c>
      <c r="U13" s="30">
        <f>'TE BE'!$U$13*'TE BF'!$U$51</f>
        <v>0</v>
      </c>
      <c r="V13" s="30">
        <f>SUM($S$13:$U$13)</f>
        <v>0</v>
      </c>
      <c r="W13" s="30">
        <f>'TE BE'!$AA$13*'TE BF'!$W$51</f>
        <v>0</v>
      </c>
      <c r="X13" s="30">
        <f>SUM($W$13:$W$13)</f>
        <v>0</v>
      </c>
      <c r="Y13" s="30">
        <f>'TE BE'!$Y$13*'TE BF'!$Y$51</f>
        <v>0.54591096819177964</v>
      </c>
      <c r="Z13" s="30">
        <f>SUM($Y$13:$Y$13)</f>
        <v>0.54591096819177964</v>
      </c>
      <c r="AA13" s="30">
        <f>SUMIF($L$4:$Z$4,"SUBTOTAL",$L$13:$Z$13)</f>
        <v>54.805673662208306</v>
      </c>
    </row>
    <row r="14" spans="1:27" ht="11.25" customHeight="1" x14ac:dyDescent="0.25">
      <c r="A14" s="140"/>
      <c r="B14" s="140"/>
      <c r="C14" s="140"/>
      <c r="D14" s="38" t="s">
        <v>29</v>
      </c>
      <c r="E14" s="38" t="s">
        <v>25</v>
      </c>
      <c r="F14" s="38" t="s">
        <v>25</v>
      </c>
      <c r="G14" s="32" t="s">
        <v>96</v>
      </c>
      <c r="H14" s="32" t="s">
        <v>90</v>
      </c>
      <c r="I14" s="32">
        <f>'MERCADO TE'!$U$11</f>
        <v>134316.74400000001</v>
      </c>
      <c r="J14" s="17"/>
      <c r="L14" s="30">
        <f>'TE BE'!$L$14*'TE BF'!$L$51</f>
        <v>0</v>
      </c>
      <c r="M14" s="30">
        <f>'TE BE'!$M$14*'TE BF'!$M$51</f>
        <v>35.447310268766635</v>
      </c>
      <c r="N14" s="30">
        <f>'TE BE'!$N$14*'TE BF'!$N$51</f>
        <v>0</v>
      </c>
      <c r="O14" s="30">
        <f>'TE BE'!$O$14*'TE BF'!$O$51</f>
        <v>0.16469101498213187</v>
      </c>
      <c r="P14" s="30">
        <f>SUM($L$14:$O$14)</f>
        <v>35.612001283748768</v>
      </c>
      <c r="Q14" s="30">
        <f>'TE BE'!$Q$14*'TE BF'!$Q$51</f>
        <v>18.647761410267758</v>
      </c>
      <c r="R14" s="30">
        <f>SUM($Q$14:$Q$14)</f>
        <v>18.647761410267758</v>
      </c>
      <c r="S14" s="30">
        <f>'TE BE'!$S$14*'TE BF'!$S$51</f>
        <v>0</v>
      </c>
      <c r="T14" s="30">
        <f>'TE BE'!$T$14*'TE BF'!$T$51</f>
        <v>0</v>
      </c>
      <c r="U14" s="30">
        <f>'TE BE'!$U$14*'TE BF'!$U$51</f>
        <v>0</v>
      </c>
      <c r="V14" s="30">
        <f>SUM($S$14:$U$14)</f>
        <v>0</v>
      </c>
      <c r="W14" s="30">
        <f>'TE BE'!$AA$14*'TE BF'!$W$51</f>
        <v>0</v>
      </c>
      <c r="X14" s="30">
        <f>SUM($W$14:$W$14)</f>
        <v>0</v>
      </c>
      <c r="Y14" s="30">
        <f>'TE BE'!$Y$14*'TE BF'!$Y$51</f>
        <v>0.54591096819177964</v>
      </c>
      <c r="Z14" s="30">
        <f>SUM($Y$14:$Y$14)</f>
        <v>0.54591096819177964</v>
      </c>
      <c r="AA14" s="30">
        <f>SUMIF($L$4:$Z$4,"SUBTOTAL",$L$14:$Z$14)</f>
        <v>54.805673662208306</v>
      </c>
    </row>
    <row r="15" spans="1:27" ht="11.25" customHeight="1" x14ac:dyDescent="0.25">
      <c r="A15" s="140"/>
      <c r="B15" s="140"/>
      <c r="C15" s="140"/>
      <c r="D15" s="38" t="s">
        <v>30</v>
      </c>
      <c r="E15" s="38" t="s">
        <v>25</v>
      </c>
      <c r="F15" s="38" t="s">
        <v>25</v>
      </c>
      <c r="G15" s="32" t="s">
        <v>96</v>
      </c>
      <c r="H15" s="32" t="s">
        <v>90</v>
      </c>
      <c r="I15" s="32">
        <f>'MERCADO TE'!$U$12</f>
        <v>207428.35200000001</v>
      </c>
      <c r="J15" s="17"/>
      <c r="L15" s="30">
        <f>'TE BE'!$L$15*'TE BF'!$L$51</f>
        <v>0</v>
      </c>
      <c r="M15" s="30">
        <f>'TE BE'!$M$15*'TE BF'!$M$51</f>
        <v>35.447310268766635</v>
      </c>
      <c r="N15" s="30">
        <f>'TE BE'!$N$15*'TE BF'!$N$51</f>
        <v>0</v>
      </c>
      <c r="O15" s="30">
        <f>'TE BE'!$O$15*'TE BF'!$O$51</f>
        <v>0.16469101498213187</v>
      </c>
      <c r="P15" s="30">
        <f>SUM($L$15:$O$15)</f>
        <v>35.612001283748768</v>
      </c>
      <c r="Q15" s="30">
        <f>'TE BE'!$Q$15*'TE BF'!$Q$51</f>
        <v>18.647761410267758</v>
      </c>
      <c r="R15" s="30">
        <f>SUM($Q$15:$Q$15)</f>
        <v>18.647761410267758</v>
      </c>
      <c r="S15" s="30">
        <f>'TE BE'!$S$15*'TE BF'!$S$51</f>
        <v>0</v>
      </c>
      <c r="T15" s="30">
        <f>'TE BE'!$T$15*'TE BF'!$T$51</f>
        <v>0</v>
      </c>
      <c r="U15" s="30">
        <f>'TE BE'!$U$15*'TE BF'!$U$51</f>
        <v>0</v>
      </c>
      <c r="V15" s="30">
        <f>SUM($S$15:$U$15)</f>
        <v>0</v>
      </c>
      <c r="W15" s="30">
        <f>'TE BE'!$AA$15*'TE BF'!$W$51</f>
        <v>0</v>
      </c>
      <c r="X15" s="30">
        <f>SUM($W$15:$W$15)</f>
        <v>0</v>
      </c>
      <c r="Y15" s="30">
        <f>'TE BE'!$Y$15*'TE BF'!$Y$51</f>
        <v>0.54591096819177964</v>
      </c>
      <c r="Z15" s="30">
        <f>SUM($Y$15:$Y$15)</f>
        <v>0.54591096819177964</v>
      </c>
      <c r="AA15" s="30">
        <f>SUMIF($L$4:$Z$4,"SUBTOTAL",$L$15:$Z$15)</f>
        <v>54.805673662208306</v>
      </c>
    </row>
    <row r="16" spans="1:27" ht="11.25" customHeight="1" x14ac:dyDescent="0.25">
      <c r="A16" s="140"/>
      <c r="B16" s="140"/>
      <c r="C16" s="140"/>
      <c r="D16" s="38" t="s">
        <v>31</v>
      </c>
      <c r="E16" s="38" t="s">
        <v>25</v>
      </c>
      <c r="F16" s="38" t="s">
        <v>25</v>
      </c>
      <c r="G16" s="32" t="s">
        <v>96</v>
      </c>
      <c r="H16" s="32" t="s">
        <v>90</v>
      </c>
      <c r="I16" s="32">
        <f>'MERCADO TE'!$U$13</f>
        <v>81316.453999999983</v>
      </c>
      <c r="J16" s="17"/>
      <c r="L16" s="30">
        <f>'TE BE'!$L$16*'TE BF'!$L$51</f>
        <v>0</v>
      </c>
      <c r="M16" s="30">
        <f>'TE BE'!$M$16*'TE BF'!$M$51</f>
        <v>35.447310268766635</v>
      </c>
      <c r="N16" s="30">
        <f>'TE BE'!$N$16*'TE BF'!$N$51</f>
        <v>0</v>
      </c>
      <c r="O16" s="30">
        <f>'TE BE'!$O$16*'TE BF'!$O$51</f>
        <v>0.16469101498213187</v>
      </c>
      <c r="P16" s="30">
        <f>SUM($L$16:$O$16)</f>
        <v>35.612001283748768</v>
      </c>
      <c r="Q16" s="30">
        <f>'TE BE'!$Q$16*'TE BF'!$Q$51</f>
        <v>18.647761410267758</v>
      </c>
      <c r="R16" s="30">
        <f>SUM($Q$16:$Q$16)</f>
        <v>18.647761410267758</v>
      </c>
      <c r="S16" s="30">
        <f>'TE BE'!$S$16*'TE BF'!$S$51</f>
        <v>0</v>
      </c>
      <c r="T16" s="30">
        <f>'TE BE'!$T$16*'TE BF'!$T$51</f>
        <v>0</v>
      </c>
      <c r="U16" s="30">
        <f>'TE BE'!$U$16*'TE BF'!$U$51</f>
        <v>0</v>
      </c>
      <c r="V16" s="30">
        <f>SUM($S$16:$U$16)</f>
        <v>0</v>
      </c>
      <c r="W16" s="30">
        <f>'TE BE'!$AA$16*'TE BF'!$W$51</f>
        <v>0</v>
      </c>
      <c r="X16" s="30">
        <f>SUM($W$16:$W$16)</f>
        <v>0</v>
      </c>
      <c r="Y16" s="30">
        <f>'TE BE'!$Y$16*'TE BF'!$Y$51</f>
        <v>0.54591096819177964</v>
      </c>
      <c r="Z16" s="30">
        <f>SUM($Y$16:$Y$16)</f>
        <v>0.54591096819177964</v>
      </c>
      <c r="AA16" s="30">
        <f>SUMIF($L$4:$Z$4,"SUBTOTAL",$L$16:$Z$16)</f>
        <v>54.805673662208306</v>
      </c>
    </row>
    <row r="17" spans="1:27" ht="11.25" customHeight="1" x14ac:dyDescent="0.25">
      <c r="A17" s="140"/>
      <c r="B17" s="140"/>
      <c r="C17" s="140"/>
      <c r="D17" s="38" t="s">
        <v>32</v>
      </c>
      <c r="E17" s="38" t="s">
        <v>25</v>
      </c>
      <c r="F17" s="38" t="s">
        <v>25</v>
      </c>
      <c r="G17" s="32" t="s">
        <v>96</v>
      </c>
      <c r="H17" s="32" t="s">
        <v>90</v>
      </c>
      <c r="I17" s="32">
        <f>'MERCADO TE'!$U$14</f>
        <v>15947.552</v>
      </c>
      <c r="J17" s="17"/>
      <c r="L17" s="30">
        <f>'TE BE'!$L$17*'TE BF'!$L$51</f>
        <v>0</v>
      </c>
      <c r="M17" s="30">
        <f>'TE BE'!$M$17*'TE BF'!$M$51</f>
        <v>35.447310268766635</v>
      </c>
      <c r="N17" s="30">
        <f>'TE BE'!$N$17*'TE BF'!$N$51</f>
        <v>0</v>
      </c>
      <c r="O17" s="30">
        <f>'TE BE'!$O$17*'TE BF'!$O$51</f>
        <v>0.16469101498213187</v>
      </c>
      <c r="P17" s="30">
        <f>SUM($L$17:$O$17)</f>
        <v>35.612001283748768</v>
      </c>
      <c r="Q17" s="30">
        <f>'TE BE'!$Q$17*'TE BF'!$Q$51</f>
        <v>18.647761410267758</v>
      </c>
      <c r="R17" s="30">
        <f>SUM($Q$17:$Q$17)</f>
        <v>18.647761410267758</v>
      </c>
      <c r="S17" s="30">
        <f>'TE BE'!$S$17*'TE BF'!$S$51</f>
        <v>0</v>
      </c>
      <c r="T17" s="30">
        <f>'TE BE'!$T$17*'TE BF'!$T$51</f>
        <v>0</v>
      </c>
      <c r="U17" s="30">
        <f>'TE BE'!$U$17*'TE BF'!$U$51</f>
        <v>0</v>
      </c>
      <c r="V17" s="30">
        <f>SUM($S$17:$U$17)</f>
        <v>0</v>
      </c>
      <c r="W17" s="30">
        <f>'TE BE'!$AA$17*'TE BF'!$W$51</f>
        <v>0</v>
      </c>
      <c r="X17" s="30">
        <f>SUM($W$17:$W$17)</f>
        <v>0</v>
      </c>
      <c r="Y17" s="30">
        <f>'TE BE'!$Y$17*'TE BF'!$Y$51</f>
        <v>0.54591096819177964</v>
      </c>
      <c r="Z17" s="30">
        <f>SUM($Y$17:$Y$17)</f>
        <v>0.54591096819177964</v>
      </c>
      <c r="AA17" s="30">
        <f>SUMIF($L$4:$Z$4,"SUBTOTAL",$L$17:$Z$17)</f>
        <v>54.805673662208306</v>
      </c>
    </row>
    <row r="18" spans="1:27" ht="11.25" customHeight="1" x14ac:dyDescent="0.25">
      <c r="A18" s="140"/>
      <c r="B18" s="140" t="s">
        <v>102</v>
      </c>
      <c r="C18" s="140" t="s">
        <v>24</v>
      </c>
      <c r="D18" s="38" t="s">
        <v>24</v>
      </c>
      <c r="E18" s="38" t="s">
        <v>25</v>
      </c>
      <c r="F18" s="38" t="s">
        <v>25</v>
      </c>
      <c r="G18" s="32" t="s">
        <v>96</v>
      </c>
      <c r="H18" s="32" t="s">
        <v>90</v>
      </c>
      <c r="I18" s="32">
        <f>'MERCADO TE'!$U$15</f>
        <v>0</v>
      </c>
      <c r="J18" s="17"/>
      <c r="L18" s="30">
        <f>'TE BE'!$L$18*'TE BF'!$L$51</f>
        <v>0</v>
      </c>
      <c r="M18" s="30">
        <f>'TE BE'!$M$18*'TE BF'!$M$51</f>
        <v>35.447310268766635</v>
      </c>
      <c r="N18" s="30">
        <f>'TE BE'!$N$18*'TE BF'!$N$51</f>
        <v>0</v>
      </c>
      <c r="O18" s="30">
        <f>'TE BE'!$O$18*'TE BF'!$O$51</f>
        <v>0.16469101498213187</v>
      </c>
      <c r="P18" s="30">
        <f>SUM($L$18:$O$18)</f>
        <v>35.612001283748768</v>
      </c>
      <c r="Q18" s="30">
        <f>'TE BE'!$Q$18*'TE BF'!$Q$51</f>
        <v>18.647761410267758</v>
      </c>
      <c r="R18" s="30">
        <f>SUM($Q$18:$Q$18)</f>
        <v>18.647761410267758</v>
      </c>
      <c r="S18" s="30">
        <f>'TE BE'!$S$18*'TE BF'!$S$51</f>
        <v>0</v>
      </c>
      <c r="T18" s="30">
        <f>'TE BE'!$T$18*'TE BF'!$T$51</f>
        <v>0</v>
      </c>
      <c r="U18" s="30">
        <f>'TE BE'!$U$18*'TE BF'!$U$51</f>
        <v>0</v>
      </c>
      <c r="V18" s="30">
        <f>SUM($S$18:$U$18)</f>
        <v>0</v>
      </c>
      <c r="W18" s="30">
        <f>'TE BE'!$AA$18*'TE BF'!$W$51</f>
        <v>0</v>
      </c>
      <c r="X18" s="30">
        <f>SUM($W$18:$W$18)</f>
        <v>0</v>
      </c>
      <c r="Y18" s="30">
        <f>'TE BE'!$Y$18*'TE BF'!$Y$51</f>
        <v>0.54591096819177964</v>
      </c>
      <c r="Z18" s="30">
        <f>SUM($Y$18:$Y$18)</f>
        <v>0.54591096819177964</v>
      </c>
      <c r="AA18" s="30">
        <f>SUMIF($L$4:$Z$4,"SUBTOTAL",$L$18:$Z$18)</f>
        <v>54.805673662208306</v>
      </c>
    </row>
    <row r="19" spans="1:27" ht="11.25" customHeight="1" x14ac:dyDescent="0.25">
      <c r="A19" s="140"/>
      <c r="B19" s="140"/>
      <c r="C19" s="140"/>
      <c r="D19" s="38" t="s">
        <v>29</v>
      </c>
      <c r="E19" s="38" t="s">
        <v>25</v>
      </c>
      <c r="F19" s="38" t="s">
        <v>25</v>
      </c>
      <c r="G19" s="32" t="s">
        <v>96</v>
      </c>
      <c r="H19" s="32" t="s">
        <v>90</v>
      </c>
      <c r="I19" s="32">
        <f>'MERCADO TE'!$U$16</f>
        <v>0</v>
      </c>
      <c r="J19" s="17"/>
      <c r="L19" s="30">
        <f>'TE BE'!$L$19*'TE BF'!$L$51</f>
        <v>0</v>
      </c>
      <c r="M19" s="30">
        <f>'TE BE'!$M$19*'TE BF'!$M$51</f>
        <v>35.447310268766635</v>
      </c>
      <c r="N19" s="30">
        <f>'TE BE'!$N$19*'TE BF'!$N$51</f>
        <v>0</v>
      </c>
      <c r="O19" s="30">
        <f>'TE BE'!$O$19*'TE BF'!$O$51</f>
        <v>0.16469101498213187</v>
      </c>
      <c r="P19" s="30">
        <f>SUM($L$19:$O$19)</f>
        <v>35.612001283748768</v>
      </c>
      <c r="Q19" s="30">
        <f>'TE BE'!$Q$19*'TE BF'!$Q$51</f>
        <v>18.647761410267758</v>
      </c>
      <c r="R19" s="30">
        <f>SUM($Q$19:$Q$19)</f>
        <v>18.647761410267758</v>
      </c>
      <c r="S19" s="30">
        <f>'TE BE'!$S$19*'TE BF'!$S$51</f>
        <v>0</v>
      </c>
      <c r="T19" s="30">
        <f>'TE BE'!$T$19*'TE BF'!$T$51</f>
        <v>0</v>
      </c>
      <c r="U19" s="30">
        <f>'TE BE'!$U$19*'TE BF'!$U$51</f>
        <v>0</v>
      </c>
      <c r="V19" s="30">
        <f>SUM($S$19:$U$19)</f>
        <v>0</v>
      </c>
      <c r="W19" s="30">
        <f>'TE BE'!$AA$19*'TE BF'!$W$51</f>
        <v>0</v>
      </c>
      <c r="X19" s="30">
        <f>SUM($W$19:$W$19)</f>
        <v>0</v>
      </c>
      <c r="Y19" s="30">
        <f>'TE BE'!$Y$19*'TE BF'!$Y$51</f>
        <v>0.54591096819177964</v>
      </c>
      <c r="Z19" s="30">
        <f>SUM($Y$19:$Y$19)</f>
        <v>0.54591096819177964</v>
      </c>
      <c r="AA19" s="30">
        <f>SUMIF($L$4:$Z$4,"SUBTOTAL",$L$19:$Z$19)</f>
        <v>54.805673662208306</v>
      </c>
    </row>
    <row r="20" spans="1:27" ht="11.25" customHeight="1" x14ac:dyDescent="0.25">
      <c r="A20" s="140"/>
      <c r="B20" s="140"/>
      <c r="C20" s="140"/>
      <c r="D20" s="38" t="s">
        <v>30</v>
      </c>
      <c r="E20" s="38" t="s">
        <v>25</v>
      </c>
      <c r="F20" s="38" t="s">
        <v>25</v>
      </c>
      <c r="G20" s="32" t="s">
        <v>96</v>
      </c>
      <c r="H20" s="32" t="s">
        <v>90</v>
      </c>
      <c r="I20" s="32">
        <f>'MERCADO TE'!$U$17</f>
        <v>0</v>
      </c>
      <c r="J20" s="17"/>
      <c r="L20" s="30">
        <f>'TE BE'!$L$20*'TE BF'!$L$51</f>
        <v>0</v>
      </c>
      <c r="M20" s="30">
        <f>'TE BE'!$M$20*'TE BF'!$M$51</f>
        <v>35.447310268766635</v>
      </c>
      <c r="N20" s="30">
        <f>'TE BE'!$N$20*'TE BF'!$N$51</f>
        <v>0</v>
      </c>
      <c r="O20" s="30">
        <f>'TE BE'!$O$20*'TE BF'!$O$51</f>
        <v>0.16469101498213187</v>
      </c>
      <c r="P20" s="30">
        <f>SUM($L$20:$O$20)</f>
        <v>35.612001283748768</v>
      </c>
      <c r="Q20" s="30">
        <f>'TE BE'!$Q$20*'TE BF'!$Q$51</f>
        <v>18.647761410267758</v>
      </c>
      <c r="R20" s="30">
        <f>SUM($Q$20:$Q$20)</f>
        <v>18.647761410267758</v>
      </c>
      <c r="S20" s="30">
        <f>'TE BE'!$S$20*'TE BF'!$S$51</f>
        <v>0</v>
      </c>
      <c r="T20" s="30">
        <f>'TE BE'!$T$20*'TE BF'!$T$51</f>
        <v>0</v>
      </c>
      <c r="U20" s="30">
        <f>'TE BE'!$U$20*'TE BF'!$U$51</f>
        <v>0</v>
      </c>
      <c r="V20" s="30">
        <f>SUM($S$20:$U$20)</f>
        <v>0</v>
      </c>
      <c r="W20" s="30">
        <f>'TE BE'!$AA$20*'TE BF'!$W$51</f>
        <v>0</v>
      </c>
      <c r="X20" s="30">
        <f>SUM($W$20:$W$20)</f>
        <v>0</v>
      </c>
      <c r="Y20" s="30">
        <f>'TE BE'!$Y$20*'TE BF'!$Y$51</f>
        <v>0.54591096819177964</v>
      </c>
      <c r="Z20" s="30">
        <f>SUM($Y$20:$Y$20)</f>
        <v>0.54591096819177964</v>
      </c>
      <c r="AA20" s="30">
        <f>SUMIF($L$4:$Z$4,"SUBTOTAL",$L$20:$Z$20)</f>
        <v>54.805673662208306</v>
      </c>
    </row>
    <row r="21" spans="1:27" ht="11.25" customHeight="1" x14ac:dyDescent="0.25">
      <c r="A21" s="140"/>
      <c r="B21" s="140"/>
      <c r="C21" s="140"/>
      <c r="D21" s="38" t="s">
        <v>31</v>
      </c>
      <c r="E21" s="38" t="s">
        <v>25</v>
      </c>
      <c r="F21" s="38" t="s">
        <v>25</v>
      </c>
      <c r="G21" s="32" t="s">
        <v>96</v>
      </c>
      <c r="H21" s="32" t="s">
        <v>90</v>
      </c>
      <c r="I21" s="32">
        <f>'MERCADO TE'!$U$18</f>
        <v>0</v>
      </c>
      <c r="J21" s="17"/>
      <c r="L21" s="30">
        <f>'TE BE'!$L$21*'TE BF'!$L$51</f>
        <v>0</v>
      </c>
      <c r="M21" s="30">
        <f>'TE BE'!$M$21*'TE BF'!$M$51</f>
        <v>35.447310268766635</v>
      </c>
      <c r="N21" s="30">
        <f>'TE BE'!$N$21*'TE BF'!$N$51</f>
        <v>0</v>
      </c>
      <c r="O21" s="30">
        <f>'TE BE'!$O$21*'TE BF'!$O$51</f>
        <v>0.16469101498213187</v>
      </c>
      <c r="P21" s="30">
        <f>SUM($L$21:$O$21)</f>
        <v>35.612001283748768</v>
      </c>
      <c r="Q21" s="30">
        <f>'TE BE'!$Q$21*'TE BF'!$Q$51</f>
        <v>18.647761410267758</v>
      </c>
      <c r="R21" s="30">
        <f>SUM($Q$21:$Q$21)</f>
        <v>18.647761410267758</v>
      </c>
      <c r="S21" s="30">
        <f>'TE BE'!$S$21*'TE BF'!$S$51</f>
        <v>0</v>
      </c>
      <c r="T21" s="30">
        <f>'TE BE'!$T$21*'TE BF'!$T$51</f>
        <v>0</v>
      </c>
      <c r="U21" s="30">
        <f>'TE BE'!$U$21*'TE BF'!$U$51</f>
        <v>0</v>
      </c>
      <c r="V21" s="30">
        <f>SUM($S$21:$U$21)</f>
        <v>0</v>
      </c>
      <c r="W21" s="30">
        <f>'TE BE'!$AA$21*'TE BF'!$W$51</f>
        <v>0</v>
      </c>
      <c r="X21" s="30">
        <f>SUM($W$21:$W$21)</f>
        <v>0</v>
      </c>
      <c r="Y21" s="30">
        <f>'TE BE'!$Y$21*'TE BF'!$Y$51</f>
        <v>0.54591096819177964</v>
      </c>
      <c r="Z21" s="30">
        <f>SUM($Y$21:$Y$21)</f>
        <v>0.54591096819177964</v>
      </c>
      <c r="AA21" s="30">
        <f>SUMIF($L$4:$Z$4,"SUBTOTAL",$L$21:$Z$21)</f>
        <v>54.805673662208306</v>
      </c>
    </row>
    <row r="22" spans="1:27" ht="11.25" customHeight="1" x14ac:dyDescent="0.25">
      <c r="A22" s="140"/>
      <c r="B22" s="140"/>
      <c r="C22" s="140"/>
      <c r="D22" s="38" t="s">
        <v>32</v>
      </c>
      <c r="E22" s="38" t="s">
        <v>25</v>
      </c>
      <c r="F22" s="38" t="s">
        <v>25</v>
      </c>
      <c r="G22" s="32" t="s">
        <v>96</v>
      </c>
      <c r="H22" s="32" t="s">
        <v>90</v>
      </c>
      <c r="I22" s="32">
        <f>'MERCADO TE'!$U$19</f>
        <v>0</v>
      </c>
      <c r="J22" s="17"/>
      <c r="L22" s="30">
        <f>'TE BE'!$L$22*'TE BF'!$L$51</f>
        <v>0</v>
      </c>
      <c r="M22" s="30">
        <f>'TE BE'!$M$22*'TE BF'!$M$51</f>
        <v>35.447310268766635</v>
      </c>
      <c r="N22" s="30">
        <f>'TE BE'!$N$22*'TE BF'!$N$51</f>
        <v>0</v>
      </c>
      <c r="O22" s="30">
        <f>'TE BE'!$O$22*'TE BF'!$O$51</f>
        <v>0.16469101498213187</v>
      </c>
      <c r="P22" s="30">
        <f>SUM($L$22:$O$22)</f>
        <v>35.612001283748768</v>
      </c>
      <c r="Q22" s="30">
        <f>'TE BE'!$Q$22*'TE BF'!$Q$51</f>
        <v>18.647761410267758</v>
      </c>
      <c r="R22" s="30">
        <f>SUM($Q$22:$Q$22)</f>
        <v>18.647761410267758</v>
      </c>
      <c r="S22" s="30">
        <f>'TE BE'!$S$22*'TE BF'!$S$51</f>
        <v>0</v>
      </c>
      <c r="T22" s="30">
        <f>'TE BE'!$T$22*'TE BF'!$T$51</f>
        <v>0</v>
      </c>
      <c r="U22" s="30">
        <f>'TE BE'!$U$22*'TE BF'!$U$51</f>
        <v>0</v>
      </c>
      <c r="V22" s="30">
        <f>SUM($S$22:$U$22)</f>
        <v>0</v>
      </c>
      <c r="W22" s="30">
        <f>'TE BE'!$AA$22*'TE BF'!$W$51</f>
        <v>0</v>
      </c>
      <c r="X22" s="30">
        <f>SUM($W$22:$W$22)</f>
        <v>0</v>
      </c>
      <c r="Y22" s="30">
        <f>'TE BE'!$Y$22*'TE BF'!$Y$51</f>
        <v>0.54591096819177964</v>
      </c>
      <c r="Z22" s="30">
        <f>SUM($Y$22:$Y$22)</f>
        <v>0.54591096819177964</v>
      </c>
      <c r="AA22" s="30">
        <f>SUMIF($L$4:$Z$4,"SUBTOTAL",$L$22:$Z$22)</f>
        <v>54.805673662208306</v>
      </c>
    </row>
    <row r="23" spans="1:27" ht="11.25" customHeight="1" x14ac:dyDescent="0.25">
      <c r="A23" s="140" t="s">
        <v>44</v>
      </c>
      <c r="B23" s="140" t="s">
        <v>89</v>
      </c>
      <c r="C23" s="140" t="s">
        <v>45</v>
      </c>
      <c r="D23" s="140" t="s">
        <v>25</v>
      </c>
      <c r="E23" s="140" t="s">
        <v>25</v>
      </c>
      <c r="F23" s="140" t="s">
        <v>25</v>
      </c>
      <c r="G23" s="32" t="s">
        <v>91</v>
      </c>
      <c r="H23" s="32" t="s">
        <v>90</v>
      </c>
      <c r="I23" s="32">
        <f>'MERCADO TE'!$U$20</f>
        <v>3.0000000000000001E-3</v>
      </c>
      <c r="J23" s="17"/>
      <c r="L23" s="30">
        <f>'TE BE'!$L$23*'TE BF'!$L$51</f>
        <v>0</v>
      </c>
      <c r="M23" s="30">
        <f>'TE BE'!$M$23*'TE BF'!$M$51</f>
        <v>35.447310268766635</v>
      </c>
      <c r="N23" s="30">
        <f>'TE BE'!$N$23*'TE BF'!$N$51</f>
        <v>0</v>
      </c>
      <c r="O23" s="30">
        <f>'TE BE'!$O$23*'TE BF'!$O$51</f>
        <v>0.16469101498213187</v>
      </c>
      <c r="P23" s="30">
        <f>SUM($L$23:$O$23)</f>
        <v>35.612001283748768</v>
      </c>
      <c r="Q23" s="30">
        <f>'TE BE'!$Q$23*'TE BF'!$Q$51</f>
        <v>30.258631722321269</v>
      </c>
      <c r="R23" s="30">
        <f>SUM($Q$23:$Q$23)</f>
        <v>30.258631722321269</v>
      </c>
      <c r="S23" s="30">
        <f>'TE BE'!$S$23*'TE BF'!$S$51</f>
        <v>0</v>
      </c>
      <c r="T23" s="30">
        <f>'TE BE'!$T$23*'TE BF'!$T$51</f>
        <v>0</v>
      </c>
      <c r="U23" s="30">
        <f>'TE BE'!$U$23*'TE BF'!$U$51</f>
        <v>0</v>
      </c>
      <c r="V23" s="30">
        <f>SUM($S$23:$U$23)</f>
        <v>0</v>
      </c>
      <c r="W23" s="30">
        <f>'TE BE'!$AA$23*'TE BF'!$W$51</f>
        <v>0</v>
      </c>
      <c r="X23" s="30">
        <f>SUM($W$23:$W$23)</f>
        <v>0</v>
      </c>
      <c r="Y23" s="30">
        <f>'TE BE'!$Y$23*'TE BF'!$Y$51</f>
        <v>0.54591096819177964</v>
      </c>
      <c r="Z23" s="30">
        <f>SUM($Y$23:$Y$23)</f>
        <v>0.54591096819177964</v>
      </c>
      <c r="AA23" s="30">
        <f>SUMIF($L$4:$Z$4,"SUBTOTAL",$L$23:$Z$23)</f>
        <v>66.416543974261813</v>
      </c>
    </row>
    <row r="24" spans="1:27" ht="11.25" customHeight="1" x14ac:dyDescent="0.25">
      <c r="A24" s="140"/>
      <c r="B24" s="140"/>
      <c r="C24" s="140"/>
      <c r="D24" s="140"/>
      <c r="E24" s="140"/>
      <c r="F24" s="140"/>
      <c r="G24" s="32" t="s">
        <v>101</v>
      </c>
      <c r="H24" s="32" t="s">
        <v>90</v>
      </c>
      <c r="I24" s="32">
        <f>'MERCADO TE'!$U$21</f>
        <v>3.1E-2</v>
      </c>
      <c r="J24" s="17"/>
      <c r="L24" s="30">
        <f>'TE BE'!$L$24*'TE BF'!$L$51</f>
        <v>0</v>
      </c>
      <c r="M24" s="30">
        <f>'TE BE'!$M$24*'TE BF'!$M$51</f>
        <v>35.447310268766635</v>
      </c>
      <c r="N24" s="30">
        <f>'TE BE'!$N$24*'TE BF'!$N$51</f>
        <v>0</v>
      </c>
      <c r="O24" s="30">
        <f>'TE BE'!$O$24*'TE BF'!$O$51</f>
        <v>0.16469101498213187</v>
      </c>
      <c r="P24" s="30">
        <f>SUM($L$24:$O$24)</f>
        <v>35.612001283748768</v>
      </c>
      <c r="Q24" s="30">
        <f>'TE BE'!$Q$24*'TE BF'!$Q$51</f>
        <v>17.592227745535624</v>
      </c>
      <c r="R24" s="30">
        <f>SUM($Q$24:$Q$24)</f>
        <v>17.592227745535624</v>
      </c>
      <c r="S24" s="30">
        <f>'TE BE'!$S$24*'TE BF'!$S$51</f>
        <v>0</v>
      </c>
      <c r="T24" s="30">
        <f>'TE BE'!$T$24*'TE BF'!$T$51</f>
        <v>0</v>
      </c>
      <c r="U24" s="30">
        <f>'TE BE'!$U$24*'TE BF'!$U$51</f>
        <v>0</v>
      </c>
      <c r="V24" s="30">
        <f>SUM($S$24:$U$24)</f>
        <v>0</v>
      </c>
      <c r="W24" s="30">
        <f>'TE BE'!$AA$24*'TE BF'!$W$51</f>
        <v>0</v>
      </c>
      <c r="X24" s="30">
        <f>SUM($W$24:$W$24)</f>
        <v>0</v>
      </c>
      <c r="Y24" s="30">
        <f>'TE BE'!$Y$24*'TE BF'!$Y$51</f>
        <v>0.54591096819177964</v>
      </c>
      <c r="Z24" s="30">
        <f>SUM($Y$24:$Y$24)</f>
        <v>0.54591096819177964</v>
      </c>
      <c r="AA24" s="30">
        <f>SUMIF($L$4:$Z$4,"SUBTOTAL",$L$24:$Z$24)</f>
        <v>53.750139997476168</v>
      </c>
    </row>
    <row r="25" spans="1:27" ht="11.25" customHeight="1" x14ac:dyDescent="0.25">
      <c r="A25" s="140"/>
      <c r="B25" s="140"/>
      <c r="C25" s="140"/>
      <c r="D25" s="140"/>
      <c r="E25" s="140"/>
      <c r="F25" s="140"/>
      <c r="G25" s="32" t="s">
        <v>92</v>
      </c>
      <c r="H25" s="32" t="s">
        <v>90</v>
      </c>
      <c r="I25" s="32">
        <f>'MERCADO TE'!$U$22</f>
        <v>8.956999999999999</v>
      </c>
      <c r="J25" s="17"/>
      <c r="L25" s="30">
        <f>'TE BE'!$L$25*'TE BF'!$L$51</f>
        <v>0</v>
      </c>
      <c r="M25" s="30">
        <f>'TE BE'!$M$25*'TE BF'!$M$51</f>
        <v>35.447310268766635</v>
      </c>
      <c r="N25" s="30">
        <f>'TE BE'!$N$25*'TE BF'!$N$51</f>
        <v>0</v>
      </c>
      <c r="O25" s="30">
        <f>'TE BE'!$O$25*'TE BF'!$O$51</f>
        <v>0.16469101498213187</v>
      </c>
      <c r="P25" s="30">
        <f>SUM($L$25:$O$25)</f>
        <v>35.612001283748768</v>
      </c>
      <c r="Q25" s="30">
        <f>'TE BE'!$Q$25*'TE BF'!$Q$51</f>
        <v>17.592227745535624</v>
      </c>
      <c r="R25" s="30">
        <f>SUM($Q$25:$Q$25)</f>
        <v>17.592227745535624</v>
      </c>
      <c r="S25" s="30">
        <f>'TE BE'!$S$25*'TE BF'!$S$51</f>
        <v>0</v>
      </c>
      <c r="T25" s="30">
        <f>'TE BE'!$T$25*'TE BF'!$T$51</f>
        <v>0</v>
      </c>
      <c r="U25" s="30">
        <f>'TE BE'!$U$25*'TE BF'!$U$51</f>
        <v>0</v>
      </c>
      <c r="V25" s="30">
        <f>SUM($S$25:$U$25)</f>
        <v>0</v>
      </c>
      <c r="W25" s="30">
        <f>'TE BE'!$AA$25*'TE BF'!$W$51</f>
        <v>0</v>
      </c>
      <c r="X25" s="30">
        <f>SUM($W$25:$W$25)</f>
        <v>0</v>
      </c>
      <c r="Y25" s="30">
        <f>'TE BE'!$Y$25*'TE BF'!$Y$51</f>
        <v>0.54591096819177964</v>
      </c>
      <c r="Z25" s="30">
        <f>SUM($Y$25:$Y$25)</f>
        <v>0.54591096819177964</v>
      </c>
      <c r="AA25" s="30">
        <f>SUMIF($L$4:$Z$4,"SUBTOTAL",$L$25:$Z$25)</f>
        <v>53.750139997476168</v>
      </c>
    </row>
    <row r="26" spans="1:27" ht="11.25" customHeight="1" x14ac:dyDescent="0.25">
      <c r="A26" s="140"/>
      <c r="B26" s="38" t="s">
        <v>97</v>
      </c>
      <c r="C26" s="38" t="s">
        <v>45</v>
      </c>
      <c r="D26" s="38" t="s">
        <v>25</v>
      </c>
      <c r="E26" s="38" t="s">
        <v>25</v>
      </c>
      <c r="F26" s="38" t="s">
        <v>25</v>
      </c>
      <c r="G26" s="32" t="s">
        <v>96</v>
      </c>
      <c r="H26" s="32" t="s">
        <v>90</v>
      </c>
      <c r="I26" s="32">
        <f>'MERCADO TE'!$U$23</f>
        <v>60904.316999999995</v>
      </c>
      <c r="J26" s="17"/>
      <c r="L26" s="30">
        <f>'TE BE'!$L$26*'TE BF'!$L$51</f>
        <v>0</v>
      </c>
      <c r="M26" s="30">
        <f>'TE BE'!$M$26*'TE BF'!$M$51</f>
        <v>35.447310268766635</v>
      </c>
      <c r="N26" s="30">
        <f>'TE BE'!$N$26*'TE BF'!$N$51</f>
        <v>0</v>
      </c>
      <c r="O26" s="30">
        <f>'TE BE'!$O$26*'TE BF'!$O$51</f>
        <v>0.16469101498213187</v>
      </c>
      <c r="P26" s="30">
        <f>SUM($L$26:$O$26)</f>
        <v>35.612001283748768</v>
      </c>
      <c r="Q26" s="30">
        <f>'TE BE'!$Q$26*'TE BF'!$Q$51</f>
        <v>18.647761410267758</v>
      </c>
      <c r="R26" s="30">
        <f>SUM($Q$26:$Q$26)</f>
        <v>18.647761410267758</v>
      </c>
      <c r="S26" s="30">
        <f>'TE BE'!$S$26*'TE BF'!$S$51</f>
        <v>0</v>
      </c>
      <c r="T26" s="30">
        <f>'TE BE'!$T$26*'TE BF'!$T$51</f>
        <v>0</v>
      </c>
      <c r="U26" s="30">
        <f>'TE BE'!$U$26*'TE BF'!$U$51</f>
        <v>0</v>
      </c>
      <c r="V26" s="30">
        <f>SUM($S$26:$U$26)</f>
        <v>0</v>
      </c>
      <c r="W26" s="30">
        <f>'TE BE'!$AA$26*'TE BF'!$W$51</f>
        <v>0</v>
      </c>
      <c r="X26" s="30">
        <f>SUM($W$26:$W$26)</f>
        <v>0</v>
      </c>
      <c r="Y26" s="30">
        <f>'TE BE'!$Y$26*'TE BF'!$Y$51</f>
        <v>0.54591096819177964</v>
      </c>
      <c r="Z26" s="30">
        <f>SUM($Y$26:$Y$26)</f>
        <v>0.54591096819177964</v>
      </c>
      <c r="AA26" s="30">
        <f>SUMIF($L$4:$Z$4,"SUBTOTAL",$L$26:$Z$26)</f>
        <v>54.805673662208306</v>
      </c>
    </row>
    <row r="27" spans="1:27" ht="11.25" customHeight="1" x14ac:dyDescent="0.25">
      <c r="A27" s="140"/>
      <c r="B27" s="140" t="s">
        <v>89</v>
      </c>
      <c r="C27" s="140" t="s">
        <v>45</v>
      </c>
      <c r="D27" s="140" t="s">
        <v>104</v>
      </c>
      <c r="E27" s="140" t="s">
        <v>25</v>
      </c>
      <c r="F27" s="140" t="s">
        <v>25</v>
      </c>
      <c r="G27" s="32" t="s">
        <v>91</v>
      </c>
      <c r="H27" s="32" t="s">
        <v>90</v>
      </c>
      <c r="I27" s="32">
        <f>'MERCADO TE'!$U$24</f>
        <v>0</v>
      </c>
      <c r="J27" s="17"/>
      <c r="L27" s="30">
        <f>'TE BE'!$L$27*'TE BF'!$L$51</f>
        <v>0</v>
      </c>
      <c r="M27" s="30">
        <f>'TE BE'!$M$27*'TE BF'!$M$51</f>
        <v>35.447310268766635</v>
      </c>
      <c r="N27" s="30">
        <f>'TE BE'!$N$27*'TE BF'!$N$51</f>
        <v>0</v>
      </c>
      <c r="O27" s="30">
        <f>'TE BE'!$O$27*'TE BF'!$O$51</f>
        <v>0.16469101498213187</v>
      </c>
      <c r="P27" s="30">
        <f>SUM($L$27:$O$27)</f>
        <v>35.612001283748768</v>
      </c>
      <c r="Q27" s="30">
        <f>'TE BE'!$Q$27*'TE BF'!$Q$51</f>
        <v>30.258631722321269</v>
      </c>
      <c r="R27" s="30">
        <f>SUM($Q$27:$Q$27)</f>
        <v>30.258631722321269</v>
      </c>
      <c r="S27" s="30">
        <f>'TE BE'!$S$27*'TE BF'!$S$51</f>
        <v>0</v>
      </c>
      <c r="T27" s="30">
        <f>'TE BE'!$T$27*'TE BF'!$T$51</f>
        <v>0</v>
      </c>
      <c r="U27" s="30">
        <f>'TE BE'!$U$27*'TE BF'!$U$51</f>
        <v>0</v>
      </c>
      <c r="V27" s="30">
        <f>SUM($S$27:$U$27)</f>
        <v>0</v>
      </c>
      <c r="W27" s="30">
        <f>'TE BE'!$AA$27*'TE BF'!$W$51</f>
        <v>0</v>
      </c>
      <c r="X27" s="30">
        <f>SUM($W$27:$W$27)</f>
        <v>0</v>
      </c>
      <c r="Y27" s="30">
        <f>'TE BE'!$Y$27*'TE BF'!$Y$51</f>
        <v>0.54591096819177964</v>
      </c>
      <c r="Z27" s="30">
        <f>SUM($Y$27:$Y$27)</f>
        <v>0.54591096819177964</v>
      </c>
      <c r="AA27" s="30">
        <f>SUMIF($L$4:$Z$4,"SUBTOTAL",$L$27:$Z$27)</f>
        <v>66.416543974261813</v>
      </c>
    </row>
    <row r="28" spans="1:27" ht="11.25" customHeight="1" x14ac:dyDescent="0.25">
      <c r="A28" s="140"/>
      <c r="B28" s="140"/>
      <c r="C28" s="140"/>
      <c r="D28" s="140"/>
      <c r="E28" s="140"/>
      <c r="F28" s="140"/>
      <c r="G28" s="32" t="s">
        <v>101</v>
      </c>
      <c r="H28" s="32" t="s">
        <v>90</v>
      </c>
      <c r="I28" s="32">
        <f>'MERCADO TE'!$U$25</f>
        <v>0</v>
      </c>
      <c r="J28" s="17"/>
      <c r="L28" s="30">
        <f>'TE BE'!$L$28*'TE BF'!$L$51</f>
        <v>0</v>
      </c>
      <c r="M28" s="30">
        <f>'TE BE'!$M$28*'TE BF'!$M$51</f>
        <v>35.447310268766635</v>
      </c>
      <c r="N28" s="30">
        <f>'TE BE'!$N$28*'TE BF'!$N$51</f>
        <v>0</v>
      </c>
      <c r="O28" s="30">
        <f>'TE BE'!$O$28*'TE BF'!$O$51</f>
        <v>0.16469101498213187</v>
      </c>
      <c r="P28" s="30">
        <f>SUM($L$28:$O$28)</f>
        <v>35.612001283748768</v>
      </c>
      <c r="Q28" s="30">
        <f>'TE BE'!$Q$28*'TE BF'!$Q$51</f>
        <v>17.592227745535624</v>
      </c>
      <c r="R28" s="30">
        <f>SUM($Q$28:$Q$28)</f>
        <v>17.592227745535624</v>
      </c>
      <c r="S28" s="30">
        <f>'TE BE'!$S$28*'TE BF'!$S$51</f>
        <v>0</v>
      </c>
      <c r="T28" s="30">
        <f>'TE BE'!$T$28*'TE BF'!$T$51</f>
        <v>0</v>
      </c>
      <c r="U28" s="30">
        <f>'TE BE'!$U$28*'TE BF'!$U$51</f>
        <v>0</v>
      </c>
      <c r="V28" s="30">
        <f>SUM($S$28:$U$28)</f>
        <v>0</v>
      </c>
      <c r="W28" s="30">
        <f>'TE BE'!$AA$28*'TE BF'!$W$51</f>
        <v>0</v>
      </c>
      <c r="X28" s="30">
        <f>SUM($W$28:$W$28)</f>
        <v>0</v>
      </c>
      <c r="Y28" s="30">
        <f>'TE BE'!$Y$28*'TE BF'!$Y$51</f>
        <v>0.54591096819177964</v>
      </c>
      <c r="Z28" s="30">
        <f>SUM($Y$28:$Y$28)</f>
        <v>0.54591096819177964</v>
      </c>
      <c r="AA28" s="30">
        <f>SUMIF($L$4:$Z$4,"SUBTOTAL",$L$28:$Z$28)</f>
        <v>53.750139997476168</v>
      </c>
    </row>
    <row r="29" spans="1:27" ht="11.25" customHeight="1" x14ac:dyDescent="0.25">
      <c r="A29" s="140"/>
      <c r="B29" s="140"/>
      <c r="C29" s="140"/>
      <c r="D29" s="140"/>
      <c r="E29" s="140"/>
      <c r="F29" s="140"/>
      <c r="G29" s="32" t="s">
        <v>92</v>
      </c>
      <c r="H29" s="32" t="s">
        <v>90</v>
      </c>
      <c r="I29" s="32">
        <f>'MERCADO TE'!$U$26</f>
        <v>0</v>
      </c>
      <c r="J29" s="17"/>
      <c r="L29" s="30">
        <f>'TE BE'!$L$29*'TE BF'!$L$51</f>
        <v>0</v>
      </c>
      <c r="M29" s="30">
        <f>'TE BE'!$M$29*'TE BF'!$M$51</f>
        <v>35.447310268766635</v>
      </c>
      <c r="N29" s="30">
        <f>'TE BE'!$N$29*'TE BF'!$N$51</f>
        <v>0</v>
      </c>
      <c r="O29" s="30">
        <f>'TE BE'!$O$29*'TE BF'!$O$51</f>
        <v>0.16469101498213187</v>
      </c>
      <c r="P29" s="30">
        <f>SUM($L$29:$O$29)</f>
        <v>35.612001283748768</v>
      </c>
      <c r="Q29" s="30">
        <f>'TE BE'!$Q$29*'TE BF'!$Q$51</f>
        <v>17.592227745535624</v>
      </c>
      <c r="R29" s="30">
        <f>SUM($Q$29:$Q$29)</f>
        <v>17.592227745535624</v>
      </c>
      <c r="S29" s="30">
        <f>'TE BE'!$S$29*'TE BF'!$S$51</f>
        <v>0</v>
      </c>
      <c r="T29" s="30">
        <f>'TE BE'!$T$29*'TE BF'!$T$51</f>
        <v>0</v>
      </c>
      <c r="U29" s="30">
        <f>'TE BE'!$U$29*'TE BF'!$U$51</f>
        <v>0</v>
      </c>
      <c r="V29" s="30">
        <f>SUM($S$29:$U$29)</f>
        <v>0</v>
      </c>
      <c r="W29" s="30">
        <f>'TE BE'!$AA$29*'TE BF'!$W$51</f>
        <v>0</v>
      </c>
      <c r="X29" s="30">
        <f>SUM($W$29:$W$29)</f>
        <v>0</v>
      </c>
      <c r="Y29" s="30">
        <f>'TE BE'!$Y$29*'TE BF'!$Y$51</f>
        <v>0.54591096819177964</v>
      </c>
      <c r="Z29" s="30">
        <f>SUM($Y$29:$Y$29)</f>
        <v>0.54591096819177964</v>
      </c>
      <c r="AA29" s="30">
        <f>SUMIF($L$4:$Z$4,"SUBTOTAL",$L$29:$Z$29)</f>
        <v>53.750139997476168</v>
      </c>
    </row>
    <row r="30" spans="1:27" ht="11.25" customHeight="1" x14ac:dyDescent="0.25">
      <c r="A30" s="140"/>
      <c r="B30" s="38" t="s">
        <v>97</v>
      </c>
      <c r="C30" s="38" t="s">
        <v>45</v>
      </c>
      <c r="D30" s="38" t="s">
        <v>104</v>
      </c>
      <c r="E30" s="38" t="s">
        <v>25</v>
      </c>
      <c r="F30" s="38" t="s">
        <v>25</v>
      </c>
      <c r="G30" s="32" t="s">
        <v>96</v>
      </c>
      <c r="H30" s="32" t="s">
        <v>90</v>
      </c>
      <c r="I30" s="32">
        <f>'MERCADO TE'!$U$27</f>
        <v>0</v>
      </c>
      <c r="J30" s="17"/>
      <c r="L30" s="30">
        <f>'TE BE'!$L$30*'TE BF'!$L$51</f>
        <v>0</v>
      </c>
      <c r="M30" s="30">
        <f>'TE BE'!$M$30*'TE BF'!$M$51</f>
        <v>35.447310268766635</v>
      </c>
      <c r="N30" s="30">
        <f>'TE BE'!$N$30*'TE BF'!$N$51</f>
        <v>0</v>
      </c>
      <c r="O30" s="30">
        <f>'TE BE'!$O$30*'TE BF'!$O$51</f>
        <v>0.16469101498213187</v>
      </c>
      <c r="P30" s="30">
        <f>SUM($L$30:$O$30)</f>
        <v>35.612001283748768</v>
      </c>
      <c r="Q30" s="30">
        <f>'TE BE'!$Q$30*'TE BF'!$Q$51</f>
        <v>18.647761410267758</v>
      </c>
      <c r="R30" s="30">
        <f>SUM($Q$30:$Q$30)</f>
        <v>18.647761410267758</v>
      </c>
      <c r="S30" s="30">
        <f>'TE BE'!$S$30*'TE BF'!$S$51</f>
        <v>0</v>
      </c>
      <c r="T30" s="30">
        <f>'TE BE'!$T$30*'TE BF'!$T$51</f>
        <v>0</v>
      </c>
      <c r="U30" s="30">
        <f>'TE BE'!$U$30*'TE BF'!$U$51</f>
        <v>0</v>
      </c>
      <c r="V30" s="30">
        <f>SUM($S$30:$U$30)</f>
        <v>0</v>
      </c>
      <c r="W30" s="30">
        <f>'TE BE'!$AA$30*'TE BF'!$W$51</f>
        <v>0</v>
      </c>
      <c r="X30" s="30">
        <f>SUM($W$30:$W$30)</f>
        <v>0</v>
      </c>
      <c r="Y30" s="30">
        <f>'TE BE'!$Y$30*'TE BF'!$Y$51</f>
        <v>0.54591096819177964</v>
      </c>
      <c r="Z30" s="30">
        <f>SUM($Y$30:$Y$30)</f>
        <v>0.54591096819177964</v>
      </c>
      <c r="AA30" s="30">
        <f>SUMIF($L$4:$Z$4,"SUBTOTAL",$L$30:$Z$30)</f>
        <v>54.805673662208306</v>
      </c>
    </row>
    <row r="31" spans="1:27" ht="11.25" customHeight="1" x14ac:dyDescent="0.25">
      <c r="A31" s="140"/>
      <c r="B31" s="140" t="s">
        <v>89</v>
      </c>
      <c r="C31" s="140" t="s">
        <v>45</v>
      </c>
      <c r="D31" s="140" t="s">
        <v>105</v>
      </c>
      <c r="E31" s="140" t="s">
        <v>25</v>
      </c>
      <c r="F31" s="140" t="s">
        <v>25</v>
      </c>
      <c r="G31" s="32" t="s">
        <v>91</v>
      </c>
      <c r="H31" s="32" t="s">
        <v>90</v>
      </c>
      <c r="I31" s="32">
        <f>'MERCADO TE'!$U$28</f>
        <v>0</v>
      </c>
      <c r="J31" s="17"/>
      <c r="L31" s="30">
        <f>'TE BE'!$L$31*'TE BF'!$L$51</f>
        <v>0</v>
      </c>
      <c r="M31" s="30">
        <f>'TE BE'!$M$31*'TE BF'!$M$51</f>
        <v>35.447310268766635</v>
      </c>
      <c r="N31" s="30">
        <f>'TE BE'!$N$31*'TE BF'!$N$51</f>
        <v>0</v>
      </c>
      <c r="O31" s="30">
        <f>'TE BE'!$O$31*'TE BF'!$O$51</f>
        <v>0.16469101498213187</v>
      </c>
      <c r="P31" s="30">
        <f>SUM($L$31:$O$31)</f>
        <v>35.612001283748768</v>
      </c>
      <c r="Q31" s="30">
        <f>'TE BE'!$Q$31*'TE BF'!$Q$51</f>
        <v>30.258631722321269</v>
      </c>
      <c r="R31" s="30">
        <f>SUM($Q$31:$Q$31)</f>
        <v>30.258631722321269</v>
      </c>
      <c r="S31" s="30">
        <f>'TE BE'!$S$31*'TE BF'!$S$51</f>
        <v>0</v>
      </c>
      <c r="T31" s="30">
        <f>'TE BE'!$T$31*'TE BF'!$T$51</f>
        <v>0</v>
      </c>
      <c r="U31" s="30">
        <f>'TE BE'!$U$31*'TE BF'!$U$51</f>
        <v>0</v>
      </c>
      <c r="V31" s="30">
        <f>SUM($S$31:$U$31)</f>
        <v>0</v>
      </c>
      <c r="W31" s="30">
        <f>'TE BE'!$AA$31*'TE BF'!$W$51</f>
        <v>0</v>
      </c>
      <c r="X31" s="30">
        <f>SUM($W$31:$W$31)</f>
        <v>0</v>
      </c>
      <c r="Y31" s="30">
        <f>'TE BE'!$Y$31*'TE BF'!$Y$51</f>
        <v>0.54591096819177964</v>
      </c>
      <c r="Z31" s="30">
        <f>SUM($Y$31:$Y$31)</f>
        <v>0.54591096819177964</v>
      </c>
      <c r="AA31" s="30">
        <f>SUMIF($L$4:$Z$4,"SUBTOTAL",$L$31:$Z$31)</f>
        <v>66.416543974261813</v>
      </c>
    </row>
    <row r="32" spans="1:27" ht="11.25" customHeight="1" x14ac:dyDescent="0.25">
      <c r="A32" s="140"/>
      <c r="B32" s="140"/>
      <c r="C32" s="140"/>
      <c r="D32" s="140"/>
      <c r="E32" s="140"/>
      <c r="F32" s="140"/>
      <c r="G32" s="32" t="s">
        <v>101</v>
      </c>
      <c r="H32" s="32" t="s">
        <v>90</v>
      </c>
      <c r="I32" s="32">
        <f>'MERCADO TE'!$U$29</f>
        <v>0</v>
      </c>
      <c r="J32" s="17"/>
      <c r="L32" s="30">
        <f>'TE BE'!$L$32*'TE BF'!$L$51</f>
        <v>0</v>
      </c>
      <c r="M32" s="30">
        <f>'TE BE'!$M$32*'TE BF'!$M$51</f>
        <v>35.447310268766635</v>
      </c>
      <c r="N32" s="30">
        <f>'TE BE'!$N$32*'TE BF'!$N$51</f>
        <v>0</v>
      </c>
      <c r="O32" s="30">
        <f>'TE BE'!$O$32*'TE BF'!$O$51</f>
        <v>0.16469101498213187</v>
      </c>
      <c r="P32" s="30">
        <f>SUM($L$32:$O$32)</f>
        <v>35.612001283748768</v>
      </c>
      <c r="Q32" s="30">
        <f>'TE BE'!$Q$32*'TE BF'!$Q$51</f>
        <v>17.592227745535624</v>
      </c>
      <c r="R32" s="30">
        <f>SUM($Q$32:$Q$32)</f>
        <v>17.592227745535624</v>
      </c>
      <c r="S32" s="30">
        <f>'TE BE'!$S$32*'TE BF'!$S$51</f>
        <v>0</v>
      </c>
      <c r="T32" s="30">
        <f>'TE BE'!$T$32*'TE BF'!$T$51</f>
        <v>0</v>
      </c>
      <c r="U32" s="30">
        <f>'TE BE'!$U$32*'TE BF'!$U$51</f>
        <v>0</v>
      </c>
      <c r="V32" s="30">
        <f>SUM($S$32:$U$32)</f>
        <v>0</v>
      </c>
      <c r="W32" s="30">
        <f>'TE BE'!$AA$32*'TE BF'!$W$51</f>
        <v>0</v>
      </c>
      <c r="X32" s="30">
        <f>SUM($W$32:$W$32)</f>
        <v>0</v>
      </c>
      <c r="Y32" s="30">
        <f>'TE BE'!$Y$32*'TE BF'!$Y$51</f>
        <v>0.54591096819177964</v>
      </c>
      <c r="Z32" s="30">
        <f>SUM($Y$32:$Y$32)</f>
        <v>0.54591096819177964</v>
      </c>
      <c r="AA32" s="30">
        <f>SUMIF($L$4:$Z$4,"SUBTOTAL",$L$32:$Z$32)</f>
        <v>53.750139997476168</v>
      </c>
    </row>
    <row r="33" spans="1:27" ht="11.25" customHeight="1" x14ac:dyDescent="0.25">
      <c r="A33" s="140"/>
      <c r="B33" s="140"/>
      <c r="C33" s="140"/>
      <c r="D33" s="140"/>
      <c r="E33" s="140"/>
      <c r="F33" s="140"/>
      <c r="G33" s="32" t="s">
        <v>92</v>
      </c>
      <c r="H33" s="32" t="s">
        <v>90</v>
      </c>
      <c r="I33" s="32">
        <f>'MERCADO TE'!$U$30</f>
        <v>0</v>
      </c>
      <c r="J33" s="17"/>
      <c r="L33" s="30">
        <f>'TE BE'!$L$33*'TE BF'!$L$51</f>
        <v>0</v>
      </c>
      <c r="M33" s="30">
        <f>'TE BE'!$M$33*'TE BF'!$M$51</f>
        <v>35.447310268766635</v>
      </c>
      <c r="N33" s="30">
        <f>'TE BE'!$N$33*'TE BF'!$N$51</f>
        <v>0</v>
      </c>
      <c r="O33" s="30">
        <f>'TE BE'!$O$33*'TE BF'!$O$51</f>
        <v>0.16469101498213187</v>
      </c>
      <c r="P33" s="30">
        <f>SUM($L$33:$O$33)</f>
        <v>35.612001283748768</v>
      </c>
      <c r="Q33" s="30">
        <f>'TE BE'!$Q$33*'TE BF'!$Q$51</f>
        <v>17.592227745535624</v>
      </c>
      <c r="R33" s="30">
        <f>SUM($Q$33:$Q$33)</f>
        <v>17.592227745535624</v>
      </c>
      <c r="S33" s="30">
        <f>'TE BE'!$S$33*'TE BF'!$S$51</f>
        <v>0</v>
      </c>
      <c r="T33" s="30">
        <f>'TE BE'!$T$33*'TE BF'!$T$51</f>
        <v>0</v>
      </c>
      <c r="U33" s="30">
        <f>'TE BE'!$U$33*'TE BF'!$U$51</f>
        <v>0</v>
      </c>
      <c r="V33" s="30">
        <f>SUM($S$33:$U$33)</f>
        <v>0</v>
      </c>
      <c r="W33" s="30">
        <f>'TE BE'!$AA$33*'TE BF'!$W$51</f>
        <v>0</v>
      </c>
      <c r="X33" s="30">
        <f>SUM($W$33:$W$33)</f>
        <v>0</v>
      </c>
      <c r="Y33" s="30">
        <f>'TE BE'!$Y$33*'TE BF'!$Y$51</f>
        <v>0.54591096819177964</v>
      </c>
      <c r="Z33" s="30">
        <f>SUM($Y$33:$Y$33)</f>
        <v>0.54591096819177964</v>
      </c>
      <c r="AA33" s="30">
        <f>SUMIF($L$4:$Z$4,"SUBTOTAL",$L$33:$Z$33)</f>
        <v>53.750139997476168</v>
      </c>
    </row>
    <row r="34" spans="1:27" ht="11.25" customHeight="1" x14ac:dyDescent="0.25">
      <c r="A34" s="140"/>
      <c r="B34" s="38" t="s">
        <v>97</v>
      </c>
      <c r="C34" s="38" t="s">
        <v>45</v>
      </c>
      <c r="D34" s="38" t="s">
        <v>105</v>
      </c>
      <c r="E34" s="38" t="s">
        <v>25</v>
      </c>
      <c r="F34" s="38" t="s">
        <v>25</v>
      </c>
      <c r="G34" s="32" t="s">
        <v>96</v>
      </c>
      <c r="H34" s="32" t="s">
        <v>90</v>
      </c>
      <c r="I34" s="32">
        <f>'MERCADO TE'!$U$31</f>
        <v>0</v>
      </c>
      <c r="J34" s="17"/>
      <c r="L34" s="30">
        <f>'TE BE'!$L$34*'TE BF'!$L$51</f>
        <v>0</v>
      </c>
      <c r="M34" s="30">
        <f>'TE BE'!$M$34*'TE BF'!$M$51</f>
        <v>35.447310268766635</v>
      </c>
      <c r="N34" s="30">
        <f>'TE BE'!$N$34*'TE BF'!$N$51</f>
        <v>0</v>
      </c>
      <c r="O34" s="30">
        <f>'TE BE'!$O$34*'TE BF'!$O$51</f>
        <v>0.16469101498213187</v>
      </c>
      <c r="P34" s="30">
        <f>SUM($L$34:$O$34)</f>
        <v>35.612001283748768</v>
      </c>
      <c r="Q34" s="30">
        <f>'TE BE'!$Q$34*'TE BF'!$Q$51</f>
        <v>18.647761410267758</v>
      </c>
      <c r="R34" s="30">
        <f>SUM($Q$34:$Q$34)</f>
        <v>18.647761410267758</v>
      </c>
      <c r="S34" s="30">
        <f>'TE BE'!$S$34*'TE BF'!$S$51</f>
        <v>0</v>
      </c>
      <c r="T34" s="30">
        <f>'TE BE'!$T$34*'TE BF'!$T$51</f>
        <v>0</v>
      </c>
      <c r="U34" s="30">
        <f>'TE BE'!$U$34*'TE BF'!$U$51</f>
        <v>0</v>
      </c>
      <c r="V34" s="30">
        <f>SUM($S$34:$U$34)</f>
        <v>0</v>
      </c>
      <c r="W34" s="30">
        <f>'TE BE'!$AA$34*'TE BF'!$W$51</f>
        <v>0</v>
      </c>
      <c r="X34" s="30">
        <f>SUM($W$34:$W$34)</f>
        <v>0</v>
      </c>
      <c r="Y34" s="30">
        <f>'TE BE'!$Y$34*'TE BF'!$Y$51</f>
        <v>0.54591096819177964</v>
      </c>
      <c r="Z34" s="30">
        <f>SUM($Y$34:$Y$34)</f>
        <v>0.54591096819177964</v>
      </c>
      <c r="AA34" s="30">
        <f>SUMIF($L$4:$Z$4,"SUBTOTAL",$L$34:$Z$34)</f>
        <v>54.805673662208306</v>
      </c>
    </row>
    <row r="35" spans="1:27" ht="11.25" customHeight="1" x14ac:dyDescent="0.25">
      <c r="A35" s="140"/>
      <c r="B35" s="140" t="s">
        <v>102</v>
      </c>
      <c r="C35" s="140" t="s">
        <v>45</v>
      </c>
      <c r="D35" s="38" t="s">
        <v>25</v>
      </c>
      <c r="E35" s="38" t="s">
        <v>25</v>
      </c>
      <c r="F35" s="38" t="s">
        <v>25</v>
      </c>
      <c r="G35" s="32" t="s">
        <v>96</v>
      </c>
      <c r="H35" s="32" t="s">
        <v>90</v>
      </c>
      <c r="I35" s="32">
        <f>'MERCADO TE'!$U$32</f>
        <v>0</v>
      </c>
      <c r="J35" s="17"/>
      <c r="L35" s="30">
        <f>'TE BE'!$L$35*'TE BF'!$L$51</f>
        <v>0</v>
      </c>
      <c r="M35" s="30">
        <f>'TE BE'!$M$35*'TE BF'!$M$51</f>
        <v>35.447310268766635</v>
      </c>
      <c r="N35" s="30">
        <f>'TE BE'!$N$35*'TE BF'!$N$51</f>
        <v>0</v>
      </c>
      <c r="O35" s="30">
        <f>'TE BE'!$O$35*'TE BF'!$O$51</f>
        <v>0.16469101498213187</v>
      </c>
      <c r="P35" s="30">
        <f>SUM($L$35:$O$35)</f>
        <v>35.612001283748768</v>
      </c>
      <c r="Q35" s="30">
        <f>'TE BE'!$Q$35*'TE BF'!$Q$51</f>
        <v>18.647761410267758</v>
      </c>
      <c r="R35" s="30">
        <f>SUM($Q$35:$Q$35)</f>
        <v>18.647761410267758</v>
      </c>
      <c r="S35" s="30">
        <f>'TE BE'!$S$35*'TE BF'!$S$51</f>
        <v>0</v>
      </c>
      <c r="T35" s="30">
        <f>'TE BE'!$T$35*'TE BF'!$T$51</f>
        <v>0</v>
      </c>
      <c r="U35" s="30">
        <f>'TE BE'!$U$35*'TE BF'!$U$51</f>
        <v>0</v>
      </c>
      <c r="V35" s="30">
        <f>SUM($S$35:$U$35)</f>
        <v>0</v>
      </c>
      <c r="W35" s="30">
        <f>'TE BE'!$AA$35*'TE BF'!$W$51</f>
        <v>0</v>
      </c>
      <c r="X35" s="30">
        <f>SUM($W$35:$W$35)</f>
        <v>0</v>
      </c>
      <c r="Y35" s="30">
        <f>'TE BE'!$Y$35*'TE BF'!$Y$51</f>
        <v>0.54591096819177964</v>
      </c>
      <c r="Z35" s="30">
        <f>SUM($Y$35:$Y$35)</f>
        <v>0.54591096819177964</v>
      </c>
      <c r="AA35" s="30">
        <f>SUMIF($L$4:$Z$4,"SUBTOTAL",$L$35:$Z$35)</f>
        <v>54.805673662208306</v>
      </c>
    </row>
    <row r="36" spans="1:27" ht="11.25" customHeight="1" x14ac:dyDescent="0.25">
      <c r="A36" s="140"/>
      <c r="B36" s="140"/>
      <c r="C36" s="140"/>
      <c r="D36" s="38" t="s">
        <v>104</v>
      </c>
      <c r="E36" s="38" t="s">
        <v>25</v>
      </c>
      <c r="F36" s="38" t="s">
        <v>25</v>
      </c>
      <c r="G36" s="32" t="s">
        <v>96</v>
      </c>
      <c r="H36" s="32" t="s">
        <v>90</v>
      </c>
      <c r="I36" s="32">
        <f>'MERCADO TE'!$U$33</f>
        <v>0</v>
      </c>
      <c r="J36" s="17"/>
      <c r="L36" s="30">
        <f>'TE BE'!$L$36*'TE BF'!$L$51</f>
        <v>0</v>
      </c>
      <c r="M36" s="30">
        <f>'TE BE'!$M$36*'TE BF'!$M$51</f>
        <v>35.447310268766635</v>
      </c>
      <c r="N36" s="30">
        <f>'TE BE'!$N$36*'TE BF'!$N$51</f>
        <v>0</v>
      </c>
      <c r="O36" s="30">
        <f>'TE BE'!$O$36*'TE BF'!$O$51</f>
        <v>0.16469101498213187</v>
      </c>
      <c r="P36" s="30">
        <f>SUM($L$36:$O$36)</f>
        <v>35.612001283748768</v>
      </c>
      <c r="Q36" s="30">
        <f>'TE BE'!$Q$36*'TE BF'!$Q$51</f>
        <v>18.647761410267758</v>
      </c>
      <c r="R36" s="30">
        <f>SUM($Q$36:$Q$36)</f>
        <v>18.647761410267758</v>
      </c>
      <c r="S36" s="30">
        <f>'TE BE'!$S$36*'TE BF'!$S$51</f>
        <v>0</v>
      </c>
      <c r="T36" s="30">
        <f>'TE BE'!$T$36*'TE BF'!$T$51</f>
        <v>0</v>
      </c>
      <c r="U36" s="30">
        <f>'TE BE'!$U$36*'TE BF'!$U$51</f>
        <v>0</v>
      </c>
      <c r="V36" s="30">
        <f>SUM($S$36:$U$36)</f>
        <v>0</v>
      </c>
      <c r="W36" s="30">
        <f>'TE BE'!$AA$36*'TE BF'!$W$51</f>
        <v>0</v>
      </c>
      <c r="X36" s="30">
        <f>SUM($W$36:$W$36)</f>
        <v>0</v>
      </c>
      <c r="Y36" s="30">
        <f>'TE BE'!$Y$36*'TE BF'!$Y$51</f>
        <v>0.54591096819177964</v>
      </c>
      <c r="Z36" s="30">
        <f>SUM($Y$36:$Y$36)</f>
        <v>0.54591096819177964</v>
      </c>
      <c r="AA36" s="30">
        <f>SUMIF($L$4:$Z$4,"SUBTOTAL",$L$36:$Z$36)</f>
        <v>54.805673662208306</v>
      </c>
    </row>
    <row r="37" spans="1:27" ht="11.25" customHeight="1" x14ac:dyDescent="0.25">
      <c r="A37" s="140"/>
      <c r="B37" s="140"/>
      <c r="C37" s="140"/>
      <c r="D37" s="38" t="s">
        <v>105</v>
      </c>
      <c r="E37" s="38" t="s">
        <v>25</v>
      </c>
      <c r="F37" s="38" t="s">
        <v>25</v>
      </c>
      <c r="G37" s="32" t="s">
        <v>96</v>
      </c>
      <c r="H37" s="32" t="s">
        <v>90</v>
      </c>
      <c r="I37" s="32">
        <f>'MERCADO TE'!$U$34</f>
        <v>0</v>
      </c>
      <c r="J37" s="17"/>
      <c r="L37" s="30">
        <f>'TE BE'!$L$37*'TE BF'!$L$51</f>
        <v>0</v>
      </c>
      <c r="M37" s="30">
        <f>'TE BE'!$M$37*'TE BF'!$M$51</f>
        <v>35.447310268766635</v>
      </c>
      <c r="N37" s="30">
        <f>'TE BE'!$N$37*'TE BF'!$N$51</f>
        <v>0</v>
      </c>
      <c r="O37" s="30">
        <f>'TE BE'!$O$37*'TE BF'!$O$51</f>
        <v>0.16469101498213187</v>
      </c>
      <c r="P37" s="30">
        <f>SUM($L$37:$O$37)</f>
        <v>35.612001283748768</v>
      </c>
      <c r="Q37" s="30">
        <f>'TE BE'!$Q$37*'TE BF'!$Q$51</f>
        <v>18.647761410267758</v>
      </c>
      <c r="R37" s="30">
        <f>SUM($Q$37:$Q$37)</f>
        <v>18.647761410267758</v>
      </c>
      <c r="S37" s="30">
        <f>'TE BE'!$S$37*'TE BF'!$S$51</f>
        <v>0</v>
      </c>
      <c r="T37" s="30">
        <f>'TE BE'!$T$37*'TE BF'!$T$51</f>
        <v>0</v>
      </c>
      <c r="U37" s="30">
        <f>'TE BE'!$U$37*'TE BF'!$U$51</f>
        <v>0</v>
      </c>
      <c r="V37" s="30">
        <f>SUM($S$37:$U$37)</f>
        <v>0</v>
      </c>
      <c r="W37" s="30">
        <f>'TE BE'!$AA$37*'TE BF'!$W$51</f>
        <v>0</v>
      </c>
      <c r="X37" s="30">
        <f>SUM($W$37:$W$37)</f>
        <v>0</v>
      </c>
      <c r="Y37" s="30">
        <f>'TE BE'!$Y$37*'TE BF'!$Y$51</f>
        <v>0.54591096819177964</v>
      </c>
      <c r="Z37" s="30">
        <f>SUM($Y$37:$Y$37)</f>
        <v>0.54591096819177964</v>
      </c>
      <c r="AA37" s="30">
        <f>SUMIF($L$4:$Z$4,"SUBTOTAL",$L$37:$Z$37)</f>
        <v>54.805673662208306</v>
      </c>
    </row>
    <row r="38" spans="1:27" ht="11.25" customHeight="1" x14ac:dyDescent="0.25">
      <c r="A38" s="140" t="s">
        <v>39</v>
      </c>
      <c r="B38" s="140" t="s">
        <v>89</v>
      </c>
      <c r="C38" s="140" t="s">
        <v>25</v>
      </c>
      <c r="D38" s="140" t="s">
        <v>25</v>
      </c>
      <c r="E38" s="140" t="s">
        <v>25</v>
      </c>
      <c r="F38" s="140" t="s">
        <v>25</v>
      </c>
      <c r="G38" s="32" t="s">
        <v>91</v>
      </c>
      <c r="H38" s="32" t="s">
        <v>90</v>
      </c>
      <c r="I38" s="32">
        <f>'MERCADO TE'!$U$35</f>
        <v>133.833</v>
      </c>
      <c r="J38" s="17"/>
      <c r="L38" s="30">
        <f>'TE BE'!$L$38*'TE BF'!$L$51</f>
        <v>0</v>
      </c>
      <c r="M38" s="30">
        <f>'TE BE'!$M$38*'TE BF'!$M$51</f>
        <v>35.447310268766635</v>
      </c>
      <c r="N38" s="30">
        <f>'TE BE'!$N$38*'TE BF'!$N$51</f>
        <v>0</v>
      </c>
      <c r="O38" s="30">
        <f>'TE BE'!$O$38*'TE BF'!$O$51</f>
        <v>0.16469101498213187</v>
      </c>
      <c r="P38" s="30">
        <f>SUM($L$38:$O$38)</f>
        <v>35.612001283748768</v>
      </c>
      <c r="Q38" s="30">
        <f>'TE BE'!$Q$38*'TE BF'!$Q$51</f>
        <v>30.258631722321269</v>
      </c>
      <c r="R38" s="30">
        <f>SUM($Q$38:$Q$38)</f>
        <v>30.258631722321269</v>
      </c>
      <c r="S38" s="30">
        <f>'TE BE'!$S$38*'TE BF'!$S$51</f>
        <v>0</v>
      </c>
      <c r="T38" s="30">
        <f>'TE BE'!$T$38*'TE BF'!$T$51</f>
        <v>0</v>
      </c>
      <c r="U38" s="30">
        <f>'TE BE'!$U$38*'TE BF'!$U$51</f>
        <v>0</v>
      </c>
      <c r="V38" s="30">
        <f>SUM($S$38:$U$38)</f>
        <v>0</v>
      </c>
      <c r="W38" s="30">
        <f>'TE BE'!$AA$38*'TE BF'!$W$51</f>
        <v>0</v>
      </c>
      <c r="X38" s="30">
        <f>SUM($W$38:$W$38)</f>
        <v>0</v>
      </c>
      <c r="Y38" s="30">
        <f>'TE BE'!$Y$38*'TE BF'!$Y$51</f>
        <v>0.54591096819177964</v>
      </c>
      <c r="Z38" s="30">
        <f>SUM($Y$38:$Y$38)</f>
        <v>0.54591096819177964</v>
      </c>
      <c r="AA38" s="30">
        <f>SUMIF($L$4:$Z$4,"SUBTOTAL",$L$38:$Z$38)</f>
        <v>66.416543974261813</v>
      </c>
    </row>
    <row r="39" spans="1:27" ht="11.25" customHeight="1" x14ac:dyDescent="0.25">
      <c r="A39" s="140"/>
      <c r="B39" s="140"/>
      <c r="C39" s="140"/>
      <c r="D39" s="140"/>
      <c r="E39" s="140"/>
      <c r="F39" s="140"/>
      <c r="G39" s="32" t="s">
        <v>101</v>
      </c>
      <c r="H39" s="32" t="s">
        <v>90</v>
      </c>
      <c r="I39" s="32">
        <f>'MERCADO TE'!$U$36</f>
        <v>132.79500000000002</v>
      </c>
      <c r="J39" s="17"/>
      <c r="L39" s="30">
        <f>'TE BE'!$L$39*'TE BF'!$L$51</f>
        <v>0</v>
      </c>
      <c r="M39" s="30">
        <f>'TE BE'!$M$39*'TE BF'!$M$51</f>
        <v>35.447310268766635</v>
      </c>
      <c r="N39" s="30">
        <f>'TE BE'!$N$39*'TE BF'!$N$51</f>
        <v>0</v>
      </c>
      <c r="O39" s="30">
        <f>'TE BE'!$O$39*'TE BF'!$O$51</f>
        <v>0.16469101498213187</v>
      </c>
      <c r="P39" s="30">
        <f>SUM($L$39:$O$39)</f>
        <v>35.612001283748768</v>
      </c>
      <c r="Q39" s="30">
        <f>'TE BE'!$Q$39*'TE BF'!$Q$51</f>
        <v>17.592227745535624</v>
      </c>
      <c r="R39" s="30">
        <f>SUM($Q$39:$Q$39)</f>
        <v>17.592227745535624</v>
      </c>
      <c r="S39" s="30">
        <f>'TE BE'!$S$39*'TE BF'!$S$51</f>
        <v>0</v>
      </c>
      <c r="T39" s="30">
        <f>'TE BE'!$T$39*'TE BF'!$T$51</f>
        <v>0</v>
      </c>
      <c r="U39" s="30">
        <f>'TE BE'!$U$39*'TE BF'!$U$51</f>
        <v>0</v>
      </c>
      <c r="V39" s="30">
        <f>SUM($S$39:$U$39)</f>
        <v>0</v>
      </c>
      <c r="W39" s="30">
        <f>'TE BE'!$AA$39*'TE BF'!$W$51</f>
        <v>0</v>
      </c>
      <c r="X39" s="30">
        <f>SUM($W$39:$W$39)</f>
        <v>0</v>
      </c>
      <c r="Y39" s="30">
        <f>'TE BE'!$Y$39*'TE BF'!$Y$51</f>
        <v>0.54591096819177964</v>
      </c>
      <c r="Z39" s="30">
        <f>SUM($Y$39:$Y$39)</f>
        <v>0.54591096819177964</v>
      </c>
      <c r="AA39" s="30">
        <f>SUMIF($L$4:$Z$4,"SUBTOTAL",$L$39:$Z$39)</f>
        <v>53.750139997476168</v>
      </c>
    </row>
    <row r="40" spans="1:27" ht="11.25" customHeight="1" x14ac:dyDescent="0.25">
      <c r="A40" s="140"/>
      <c r="B40" s="140"/>
      <c r="C40" s="140"/>
      <c r="D40" s="140"/>
      <c r="E40" s="140"/>
      <c r="F40" s="140"/>
      <c r="G40" s="32" t="s">
        <v>92</v>
      </c>
      <c r="H40" s="32" t="s">
        <v>90</v>
      </c>
      <c r="I40" s="32">
        <f>'MERCADO TE'!$U$37</f>
        <v>2117.7150000000001</v>
      </c>
      <c r="J40" s="17"/>
      <c r="L40" s="30">
        <f>'TE BE'!$L$40*'TE BF'!$L$51</f>
        <v>0</v>
      </c>
      <c r="M40" s="30">
        <f>'TE BE'!$M$40*'TE BF'!$M$51</f>
        <v>35.447310268766635</v>
      </c>
      <c r="N40" s="30">
        <f>'TE BE'!$N$40*'TE BF'!$N$51</f>
        <v>0</v>
      </c>
      <c r="O40" s="30">
        <f>'TE BE'!$O$40*'TE BF'!$O$51</f>
        <v>0.16469101498213187</v>
      </c>
      <c r="P40" s="30">
        <f>SUM($L$40:$O$40)</f>
        <v>35.612001283748768</v>
      </c>
      <c r="Q40" s="30">
        <f>'TE BE'!$Q$40*'TE BF'!$Q$51</f>
        <v>17.592227745535624</v>
      </c>
      <c r="R40" s="30">
        <f>SUM($Q$40:$Q$40)</f>
        <v>17.592227745535624</v>
      </c>
      <c r="S40" s="30">
        <f>'TE BE'!$S$40*'TE BF'!$S$51</f>
        <v>0</v>
      </c>
      <c r="T40" s="30">
        <f>'TE BE'!$T$40*'TE BF'!$T$51</f>
        <v>0</v>
      </c>
      <c r="U40" s="30">
        <f>'TE BE'!$U$40*'TE BF'!$U$51</f>
        <v>0</v>
      </c>
      <c r="V40" s="30">
        <f>SUM($S$40:$U$40)</f>
        <v>0</v>
      </c>
      <c r="W40" s="30">
        <f>'TE BE'!$AA$40*'TE BF'!$W$51</f>
        <v>0</v>
      </c>
      <c r="X40" s="30">
        <f>SUM($W$40:$W$40)</f>
        <v>0</v>
      </c>
      <c r="Y40" s="30">
        <f>'TE BE'!$Y$40*'TE BF'!$Y$51</f>
        <v>0.54591096819177964</v>
      </c>
      <c r="Z40" s="30">
        <f>SUM($Y$40:$Y$40)</f>
        <v>0.54591096819177964</v>
      </c>
      <c r="AA40" s="30">
        <f>SUMIF($L$4:$Z$4,"SUBTOTAL",$L$40:$Z$40)</f>
        <v>53.750139997476168</v>
      </c>
    </row>
    <row r="41" spans="1:27" ht="11.25" customHeight="1" x14ac:dyDescent="0.25">
      <c r="A41" s="140"/>
      <c r="B41" s="38" t="s">
        <v>97</v>
      </c>
      <c r="C41" s="38" t="s">
        <v>25</v>
      </c>
      <c r="D41" s="38" t="s">
        <v>25</v>
      </c>
      <c r="E41" s="38" t="s">
        <v>25</v>
      </c>
      <c r="F41" s="38" t="s">
        <v>25</v>
      </c>
      <c r="G41" s="32" t="s">
        <v>96</v>
      </c>
      <c r="H41" s="32" t="s">
        <v>90</v>
      </c>
      <c r="I41" s="32">
        <f>'MERCADO TE'!$U$38</f>
        <v>505530.49800000002</v>
      </c>
      <c r="J41" s="17"/>
      <c r="L41" s="30">
        <f>'TE BE'!$L$41*'TE BF'!$L$51</f>
        <v>0</v>
      </c>
      <c r="M41" s="30">
        <f>'TE BE'!$M$41*'TE BF'!$M$51</f>
        <v>35.447310268766635</v>
      </c>
      <c r="N41" s="30">
        <f>'TE BE'!$N$41*'TE BF'!$N$51</f>
        <v>0</v>
      </c>
      <c r="O41" s="30">
        <f>'TE BE'!$O$41*'TE BF'!$O$51</f>
        <v>0.16469101498213187</v>
      </c>
      <c r="P41" s="30">
        <f>SUM($L$41:$O$41)</f>
        <v>35.612001283748768</v>
      </c>
      <c r="Q41" s="30">
        <f>'TE BE'!$Q$41*'TE BF'!$Q$51</f>
        <v>18.647761410267758</v>
      </c>
      <c r="R41" s="30">
        <f>SUM($Q$41:$Q$41)</f>
        <v>18.647761410267758</v>
      </c>
      <c r="S41" s="30">
        <f>'TE BE'!$S$41*'TE BF'!$S$51</f>
        <v>0</v>
      </c>
      <c r="T41" s="30">
        <f>'TE BE'!$T$41*'TE BF'!$T$51</f>
        <v>0</v>
      </c>
      <c r="U41" s="30">
        <f>'TE BE'!$U$41*'TE BF'!$U$51</f>
        <v>0</v>
      </c>
      <c r="V41" s="30">
        <f>SUM($S$41:$U$41)</f>
        <v>0</v>
      </c>
      <c r="W41" s="30">
        <f>'TE BE'!$AA$41*'TE BF'!$W$51</f>
        <v>0</v>
      </c>
      <c r="X41" s="30">
        <f>SUM($W$41:$W$41)</f>
        <v>0</v>
      </c>
      <c r="Y41" s="30">
        <f>'TE BE'!$Y$41*'TE BF'!$Y$51</f>
        <v>0.54591096819177964</v>
      </c>
      <c r="Z41" s="30">
        <f>SUM($Y$41:$Y$41)</f>
        <v>0.54591096819177964</v>
      </c>
      <c r="AA41" s="30">
        <f>SUMIF($L$4:$Z$4,"SUBTOTAL",$L$41:$Z$41)</f>
        <v>54.805673662208306</v>
      </c>
    </row>
    <row r="42" spans="1:27" ht="11.25" customHeight="1" x14ac:dyDescent="0.25">
      <c r="A42" s="140"/>
      <c r="B42" s="38" t="s">
        <v>102</v>
      </c>
      <c r="C42" s="38" t="s">
        <v>25</v>
      </c>
      <c r="D42" s="38" t="s">
        <v>25</v>
      </c>
      <c r="E42" s="38" t="s">
        <v>25</v>
      </c>
      <c r="F42" s="38" t="s">
        <v>25</v>
      </c>
      <c r="G42" s="32" t="s">
        <v>96</v>
      </c>
      <c r="H42" s="32" t="s">
        <v>90</v>
      </c>
      <c r="I42" s="32">
        <f>'MERCADO TE'!$U$39</f>
        <v>0</v>
      </c>
      <c r="J42" s="17"/>
      <c r="L42" s="30">
        <f>'TE BE'!$L$42*'TE BF'!$L$51</f>
        <v>0</v>
      </c>
      <c r="M42" s="30">
        <f>'TE BE'!$M$42*'TE BF'!$M$51</f>
        <v>35.447310268766635</v>
      </c>
      <c r="N42" s="30">
        <f>'TE BE'!$N$42*'TE BF'!$N$51</f>
        <v>0</v>
      </c>
      <c r="O42" s="30">
        <f>'TE BE'!$O$42*'TE BF'!$O$51</f>
        <v>0.16469101498213187</v>
      </c>
      <c r="P42" s="30">
        <f>SUM($L$42:$O$42)</f>
        <v>35.612001283748768</v>
      </c>
      <c r="Q42" s="30">
        <f>'TE BE'!$Q$42*'TE BF'!$Q$51</f>
        <v>18.647761410267758</v>
      </c>
      <c r="R42" s="30">
        <f>SUM($Q$42:$Q$42)</f>
        <v>18.647761410267758</v>
      </c>
      <c r="S42" s="30">
        <f>'TE BE'!$S$42*'TE BF'!$S$51</f>
        <v>0</v>
      </c>
      <c r="T42" s="30">
        <f>'TE BE'!$T$42*'TE BF'!$T$51</f>
        <v>0</v>
      </c>
      <c r="U42" s="30">
        <f>'TE BE'!$U$42*'TE BF'!$U$51</f>
        <v>0</v>
      </c>
      <c r="V42" s="30">
        <f>SUM($S$42:$U$42)</f>
        <v>0</v>
      </c>
      <c r="W42" s="30">
        <f>'TE BE'!$AA$42*'TE BF'!$W$51</f>
        <v>0</v>
      </c>
      <c r="X42" s="30">
        <f>SUM($W$42:$W$42)</f>
        <v>0</v>
      </c>
      <c r="Y42" s="30">
        <f>'TE BE'!$Y$42*'TE BF'!$Y$51</f>
        <v>0.54591096819177964</v>
      </c>
      <c r="Z42" s="30">
        <f>SUM($Y$42:$Y$42)</f>
        <v>0.54591096819177964</v>
      </c>
      <c r="AA42" s="30">
        <f>SUMIF($L$4:$Z$4,"SUBTOTAL",$L$42:$Z$42)</f>
        <v>54.805673662208306</v>
      </c>
    </row>
    <row r="43" spans="1:27" ht="11.25" customHeight="1" x14ac:dyDescent="0.25">
      <c r="A43" s="140" t="s">
        <v>47</v>
      </c>
      <c r="B43" s="140" t="s">
        <v>97</v>
      </c>
      <c r="C43" s="140" t="s">
        <v>48</v>
      </c>
      <c r="D43" s="38" t="s">
        <v>49</v>
      </c>
      <c r="E43" s="38" t="s">
        <v>25</v>
      </c>
      <c r="F43" s="38" t="s">
        <v>25</v>
      </c>
      <c r="G43" s="32" t="s">
        <v>96</v>
      </c>
      <c r="H43" s="32" t="s">
        <v>90</v>
      </c>
      <c r="I43" s="32">
        <f>'MERCADO TE'!$U$40</f>
        <v>259602.97000000003</v>
      </c>
      <c r="J43" s="17"/>
      <c r="L43" s="30">
        <f>'TE BE'!$L$43*'TE BF'!$L$51</f>
        <v>0</v>
      </c>
      <c r="M43" s="30">
        <f>'TE BE'!$M$43*'TE BF'!$M$51</f>
        <v>19.496020647821652</v>
      </c>
      <c r="N43" s="30">
        <f>'TE BE'!$N$43*'TE BF'!$N$51</f>
        <v>0</v>
      </c>
      <c r="O43" s="30">
        <f>'TE BE'!$O$43*'TE BF'!$O$51</f>
        <v>9.058005824017254E-2</v>
      </c>
      <c r="P43" s="30">
        <f>SUM($L$43:$O$43)</f>
        <v>19.586600706061823</v>
      </c>
      <c r="Q43" s="30">
        <f>'TE BE'!$Q$43*'TE BF'!$Q$51</f>
        <v>10.256268775647269</v>
      </c>
      <c r="R43" s="30">
        <f>SUM($Q$43:$Q$43)</f>
        <v>10.256268775647269</v>
      </c>
      <c r="S43" s="30">
        <f>'TE BE'!$S$43*'TE BF'!$S$51</f>
        <v>0</v>
      </c>
      <c r="T43" s="30">
        <f>'TE BE'!$T$43*'TE BF'!$T$51</f>
        <v>0</v>
      </c>
      <c r="U43" s="30">
        <f>'TE BE'!$U$43*'TE BF'!$U$51</f>
        <v>0</v>
      </c>
      <c r="V43" s="30">
        <f>SUM($S$43:$U$43)</f>
        <v>0</v>
      </c>
      <c r="W43" s="30">
        <f>'TE BE'!$AA$43*'TE BF'!$W$51</f>
        <v>0</v>
      </c>
      <c r="X43" s="30">
        <f>SUM($W$43:$W$43)</f>
        <v>0</v>
      </c>
      <c r="Y43" s="30">
        <f>'TE BE'!$Y$43*'TE BF'!$Y$51</f>
        <v>0.30025103250547885</v>
      </c>
      <c r="Z43" s="30">
        <f>SUM($Y$43:$Y$43)</f>
        <v>0.30025103250547885</v>
      </c>
      <c r="AA43" s="30">
        <f>SUMIF($L$4:$Z$4,"SUBTOTAL",$L$43:$Z$43)</f>
        <v>30.143120514214573</v>
      </c>
    </row>
    <row r="44" spans="1:27" ht="11.25" customHeight="1" x14ac:dyDescent="0.25">
      <c r="A44" s="140"/>
      <c r="B44" s="140"/>
      <c r="C44" s="140"/>
      <c r="D44" s="32" t="s">
        <v>106</v>
      </c>
      <c r="E44" s="32" t="s">
        <v>25</v>
      </c>
      <c r="F44" s="32" t="s">
        <v>25</v>
      </c>
      <c r="G44" s="32" t="s">
        <v>96</v>
      </c>
      <c r="H44" s="32" t="s">
        <v>90</v>
      </c>
      <c r="I44" s="32">
        <f>'MERCADO TE'!$U$41</f>
        <v>0</v>
      </c>
      <c r="J44" s="17"/>
      <c r="L44" s="30">
        <f>'TE BE'!$L$44*'TE BF'!$L$51</f>
        <v>0</v>
      </c>
      <c r="M44" s="30">
        <f>'TE BE'!$M$44*'TE BF'!$M$51</f>
        <v>21.268386161259979</v>
      </c>
      <c r="N44" s="30">
        <f>'TE BE'!$N$44*'TE BF'!$N$51</f>
        <v>0</v>
      </c>
      <c r="O44" s="30">
        <f>'TE BE'!$O$44*'TE BF'!$O$51</f>
        <v>9.8814608989279129E-2</v>
      </c>
      <c r="P44" s="30">
        <f>SUM($L$44:$O$44)</f>
        <v>21.367200770249259</v>
      </c>
      <c r="Q44" s="30">
        <f>'TE BE'!$Q$44*'TE BF'!$Q$51</f>
        <v>11.188656846160656</v>
      </c>
      <c r="R44" s="30">
        <f>SUM($Q$44:$Q$44)</f>
        <v>11.188656846160656</v>
      </c>
      <c r="S44" s="30">
        <f>'TE BE'!$S$44*'TE BF'!$S$51</f>
        <v>0</v>
      </c>
      <c r="T44" s="30">
        <f>'TE BE'!$T$44*'TE BF'!$T$51</f>
        <v>0</v>
      </c>
      <c r="U44" s="30">
        <f>'TE BE'!$U$44*'TE BF'!$U$51</f>
        <v>0</v>
      </c>
      <c r="V44" s="30">
        <f>SUM($S$44:$U$44)</f>
        <v>0</v>
      </c>
      <c r="W44" s="30">
        <f>'TE BE'!$AA$44*'TE BF'!$W$51</f>
        <v>0</v>
      </c>
      <c r="X44" s="30">
        <f>SUM($W$44:$W$44)</f>
        <v>0</v>
      </c>
      <c r="Y44" s="30">
        <f>'TE BE'!$Y$44*'TE BF'!$Y$51</f>
        <v>0.32754658091506778</v>
      </c>
      <c r="Z44" s="30">
        <f>SUM($Y$44:$Y$44)</f>
        <v>0.32754658091506778</v>
      </c>
      <c r="AA44" s="30">
        <f>SUMIF($L$4:$Z$4,"SUBTOTAL",$L$44:$Z$44)</f>
        <v>32.883404197324985</v>
      </c>
    </row>
    <row r="46" spans="1:27" ht="11.25" customHeight="1" x14ac:dyDescent="0.25">
      <c r="K46" s="37" t="s">
        <v>876</v>
      </c>
      <c r="L46" s="30">
        <f t="shared" ref="L46:AA46" si="0">SUMPRODUCT($I$5:$I$44,L$5:L$44)</f>
        <v>0</v>
      </c>
      <c r="M46" s="30">
        <f t="shared" si="0"/>
        <v>111189301.44419999</v>
      </c>
      <c r="N46" s="30">
        <f t="shared" si="0"/>
        <v>0</v>
      </c>
      <c r="O46" s="30">
        <f t="shared" si="0"/>
        <v>516594.31339518301</v>
      </c>
      <c r="P46" s="30">
        <f t="shared" si="0"/>
        <v>111705895.75759515</v>
      </c>
      <c r="Q46" s="30">
        <f t="shared" si="0"/>
        <v>58265489.71627526</v>
      </c>
      <c r="R46" s="30">
        <f t="shared" si="0"/>
        <v>58265489.71627526</v>
      </c>
      <c r="S46" s="30">
        <f t="shared" si="0"/>
        <v>0</v>
      </c>
      <c r="T46" s="30">
        <f t="shared" si="0"/>
        <v>0</v>
      </c>
      <c r="U46" s="30">
        <f t="shared" si="0"/>
        <v>0</v>
      </c>
      <c r="V46" s="30">
        <f t="shared" si="0"/>
        <v>0</v>
      </c>
      <c r="W46" s="30">
        <f t="shared" si="0"/>
        <v>0</v>
      </c>
      <c r="X46" s="30">
        <f t="shared" si="0"/>
        <v>0</v>
      </c>
      <c r="Y46" s="30">
        <f t="shared" si="0"/>
        <v>1712385.4742077403</v>
      </c>
      <c r="Z46" s="30">
        <f t="shared" si="0"/>
        <v>1712385.4742077403</v>
      </c>
      <c r="AA46" s="30">
        <f t="shared" si="0"/>
        <v>171683770.94807819</v>
      </c>
    </row>
    <row r="47" spans="1:27" ht="11.25" customHeight="1" x14ac:dyDescent="0.25">
      <c r="K47" s="37" t="s">
        <v>795</v>
      </c>
      <c r="L47" s="30">
        <f>CUSTOS!$D$30</f>
        <v>8350221.3712038137</v>
      </c>
      <c r="M47" s="30">
        <f>CUSTOS!$D$31</f>
        <v>48621617.719999999</v>
      </c>
      <c r="N47" s="30">
        <f>CUSTOS!$D$32</f>
        <v>0</v>
      </c>
      <c r="O47" s="30">
        <f>CUSTOS!$D$33</f>
        <v>84968733.207816899</v>
      </c>
      <c r="P47" s="30">
        <f>CUSTOS!$D$34</f>
        <v>141940572.29902071</v>
      </c>
      <c r="Q47" s="30">
        <f>CUSTOS!$D$35</f>
        <v>685697394.69014406</v>
      </c>
      <c r="R47" s="30">
        <f>CUSTOS!$D$36</f>
        <v>685697394.69014406</v>
      </c>
      <c r="S47" s="30">
        <f>CUSTOS!$D$37</f>
        <v>0</v>
      </c>
      <c r="T47" s="30">
        <f>CUSTOS!$D$38</f>
        <v>0</v>
      </c>
      <c r="U47" s="30">
        <f>CUSTOS!$D$39</f>
        <v>0</v>
      </c>
      <c r="V47" s="30">
        <f>CUSTOS!$D$40</f>
        <v>0</v>
      </c>
      <c r="W47" s="30">
        <f>CUSTOS!$D$41</f>
        <v>0</v>
      </c>
      <c r="X47" s="30">
        <f>CUSTOS!$D$42</f>
        <v>0</v>
      </c>
      <c r="Y47" s="30">
        <f>CUSTOS!$D$43</f>
        <v>20152207.834983878</v>
      </c>
      <c r="Z47" s="30">
        <f>CUSTOS!$D$44</f>
        <v>20152207.834983878</v>
      </c>
      <c r="AA47" s="30">
        <f>CUSTOS!$D$45</f>
        <v>847790174.82414865</v>
      </c>
    </row>
    <row r="48" spans="1:27" ht="11.25" customHeight="1" x14ac:dyDescent="0.25">
      <c r="K48" s="37" t="s">
        <v>796</v>
      </c>
      <c r="L48" s="30">
        <f>CUSTOS!$E$30</f>
        <v>0</v>
      </c>
      <c r="M48" s="30">
        <f>CUSTOS!$E$31</f>
        <v>-99279563.803015977</v>
      </c>
      <c r="N48" s="30">
        <f>CUSTOS!$E$32</f>
        <v>0</v>
      </c>
      <c r="O48" s="30">
        <f>CUSTOS!$E$33</f>
        <v>9797111.8265378717</v>
      </c>
      <c r="P48" s="30">
        <f>CUSTOS!$E$34</f>
        <v>-89482451.9764781</v>
      </c>
      <c r="Q48" s="30">
        <f>CUSTOS!$E$35</f>
        <v>-42136007.190047301</v>
      </c>
      <c r="R48" s="30">
        <f>CUSTOS!$E$36</f>
        <v>-42136007.190047301</v>
      </c>
      <c r="S48" s="30">
        <f>CUSTOS!$E$37</f>
        <v>0</v>
      </c>
      <c r="T48" s="30">
        <f>CUSTOS!$E$38</f>
        <v>0</v>
      </c>
      <c r="U48" s="30">
        <f>CUSTOS!$E$39</f>
        <v>0</v>
      </c>
      <c r="V48" s="30">
        <f>CUSTOS!$E$40</f>
        <v>0</v>
      </c>
      <c r="W48" s="30">
        <f>CUSTOS!$E$41</f>
        <v>1060343.2101283697</v>
      </c>
      <c r="X48" s="30">
        <f>CUSTOS!$E$42</f>
        <v>1060343.2101283697</v>
      </c>
      <c r="Y48" s="30">
        <f>CUSTOS!$E$43</f>
        <v>-1238350.2997177325</v>
      </c>
      <c r="Z48" s="30">
        <f>CUSTOS!$E$44</f>
        <v>-1238350.2997177325</v>
      </c>
      <c r="AA48" s="30">
        <f>CUSTOS!$E$45</f>
        <v>-131796466.25611477</v>
      </c>
    </row>
    <row r="49" spans="11:27" ht="11.25" customHeight="1" x14ac:dyDescent="0.25">
      <c r="K49" s="37" t="s">
        <v>797</v>
      </c>
      <c r="L49" s="30">
        <f>CUSTOS!$F$30</f>
        <v>0</v>
      </c>
      <c r="M49" s="30">
        <f>CUSTOS!$F$31</f>
        <v>111189301.44419999</v>
      </c>
      <c r="N49" s="30">
        <f>CUSTOS!$F$32</f>
        <v>0</v>
      </c>
      <c r="O49" s="30">
        <f>CUSTOS!$F$33</f>
        <v>516594.31339518295</v>
      </c>
      <c r="P49" s="30">
        <f>CUSTOS!$F$34</f>
        <v>111705895.75759518</v>
      </c>
      <c r="Q49" s="30">
        <f>CUSTOS!$F$35</f>
        <v>58265489.716275245</v>
      </c>
      <c r="R49" s="30">
        <f>CUSTOS!$F$36</f>
        <v>58265489.716275245</v>
      </c>
      <c r="S49" s="30">
        <f>CUSTOS!$F$37</f>
        <v>0</v>
      </c>
      <c r="T49" s="30">
        <f>CUSTOS!$F$38</f>
        <v>0</v>
      </c>
      <c r="U49" s="30">
        <f>CUSTOS!$F$39</f>
        <v>0</v>
      </c>
      <c r="V49" s="30">
        <f>CUSTOS!$F$40</f>
        <v>0</v>
      </c>
      <c r="W49" s="30">
        <f>CUSTOS!$F$41</f>
        <v>0</v>
      </c>
      <c r="X49" s="30">
        <f>CUSTOS!$F$42</f>
        <v>0</v>
      </c>
      <c r="Y49" s="30">
        <f>CUSTOS!$F$43</f>
        <v>1712385.4742077403</v>
      </c>
      <c r="Z49" s="30">
        <f>CUSTOS!$F$44</f>
        <v>1712385.4742077403</v>
      </c>
      <c r="AA49" s="30">
        <f>CUSTOS!$F$45</f>
        <v>171683770.94807816</v>
      </c>
    </row>
    <row r="50" spans="11:27" ht="11.25" customHeight="1" x14ac:dyDescent="0.25"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  <row r="51" spans="11:27" ht="11.25" customHeight="1" x14ac:dyDescent="0.25"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 spans="11:27" ht="11.25" customHeight="1" x14ac:dyDescent="0.25"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</sheetData>
  <mergeCells count="67">
    <mergeCell ref="E38:E40"/>
    <mergeCell ref="F38:F40"/>
    <mergeCell ref="A43:A44"/>
    <mergeCell ref="B43:B44"/>
    <mergeCell ref="C43:C44"/>
    <mergeCell ref="D38:D40"/>
    <mergeCell ref="B35:B37"/>
    <mergeCell ref="C35:C37"/>
    <mergeCell ref="A38:A42"/>
    <mergeCell ref="B38:B40"/>
    <mergeCell ref="C38:C40"/>
    <mergeCell ref="A23:A37"/>
    <mergeCell ref="B23:B25"/>
    <mergeCell ref="C23:C25"/>
    <mergeCell ref="B31:B33"/>
    <mergeCell ref="C31:C33"/>
    <mergeCell ref="B27:B29"/>
    <mergeCell ref="C27:C29"/>
    <mergeCell ref="D31:D33"/>
    <mergeCell ref="E31:E33"/>
    <mergeCell ref="F31:F33"/>
    <mergeCell ref="D23:D25"/>
    <mergeCell ref="E23:E25"/>
    <mergeCell ref="F23:F25"/>
    <mergeCell ref="D27:D29"/>
    <mergeCell ref="E27:E29"/>
    <mergeCell ref="F27:F29"/>
    <mergeCell ref="A10:A22"/>
    <mergeCell ref="B10:B12"/>
    <mergeCell ref="C10:C12"/>
    <mergeCell ref="D10:D12"/>
    <mergeCell ref="E10:E12"/>
    <mergeCell ref="F10:F12"/>
    <mergeCell ref="B13:B17"/>
    <mergeCell ref="C13:C17"/>
    <mergeCell ref="B18:B22"/>
    <mergeCell ref="C18:C22"/>
    <mergeCell ref="A7:A9"/>
    <mergeCell ref="B7:B8"/>
    <mergeCell ref="C7:C8"/>
    <mergeCell ref="D7:D8"/>
    <mergeCell ref="E7:E8"/>
    <mergeCell ref="F7:F8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46">
    <cfRule type="cellIs" dxfId="1307" priority="31" operator="notEqual">
      <formula>$L$49</formula>
    </cfRule>
    <cfRule type="cellIs" dxfId="1306" priority="32" operator="equal">
      <formula>$L$49</formula>
    </cfRule>
  </conditionalFormatting>
  <conditionalFormatting sqref="M46">
    <cfRule type="cellIs" dxfId="1305" priority="29" operator="notEqual">
      <formula>$M$49</formula>
    </cfRule>
    <cfRule type="cellIs" dxfId="1304" priority="30" operator="equal">
      <formula>$M$49</formula>
    </cfRule>
  </conditionalFormatting>
  <conditionalFormatting sqref="N46">
    <cfRule type="cellIs" dxfId="1303" priority="27" operator="notEqual">
      <formula>$N$49</formula>
    </cfRule>
    <cfRule type="cellIs" dxfId="1302" priority="28" operator="equal">
      <formula>$N$49</formula>
    </cfRule>
  </conditionalFormatting>
  <conditionalFormatting sqref="O46">
    <cfRule type="cellIs" dxfId="1301" priority="25" operator="notEqual">
      <formula>$O$49</formula>
    </cfRule>
    <cfRule type="cellIs" dxfId="1300" priority="26" operator="equal">
      <formula>$O$49</formula>
    </cfRule>
  </conditionalFormatting>
  <conditionalFormatting sqref="P46">
    <cfRule type="cellIs" dxfId="1299" priority="23" operator="notEqual">
      <formula>$P$49</formula>
    </cfRule>
    <cfRule type="cellIs" dxfId="1298" priority="24" operator="equal">
      <formula>$P$49</formula>
    </cfRule>
  </conditionalFormatting>
  <conditionalFormatting sqref="Q46">
    <cfRule type="cellIs" dxfId="1297" priority="21" operator="notEqual">
      <formula>$Q$49</formula>
    </cfRule>
    <cfRule type="cellIs" dxfId="1296" priority="22" operator="equal">
      <formula>$Q$49</formula>
    </cfRule>
  </conditionalFormatting>
  <conditionalFormatting sqref="R46">
    <cfRule type="cellIs" dxfId="1295" priority="19" operator="notEqual">
      <formula>$R$49</formula>
    </cfRule>
    <cfRule type="cellIs" dxfId="1294" priority="20" operator="equal">
      <formula>$R$49</formula>
    </cfRule>
  </conditionalFormatting>
  <conditionalFormatting sqref="S46">
    <cfRule type="cellIs" dxfId="1293" priority="17" operator="notEqual">
      <formula>$S$49</formula>
    </cfRule>
    <cfRule type="cellIs" dxfId="1292" priority="18" operator="equal">
      <formula>$S$49</formula>
    </cfRule>
  </conditionalFormatting>
  <conditionalFormatting sqref="T46">
    <cfRule type="cellIs" dxfId="1291" priority="15" operator="notEqual">
      <formula>$T$49</formula>
    </cfRule>
    <cfRule type="cellIs" dxfId="1290" priority="16" operator="equal">
      <formula>$T$49</formula>
    </cfRule>
  </conditionalFormatting>
  <conditionalFormatting sqref="U46">
    <cfRule type="cellIs" dxfId="1289" priority="13" operator="notEqual">
      <formula>$U$49</formula>
    </cfRule>
    <cfRule type="cellIs" dxfId="1288" priority="14" operator="equal">
      <formula>$U$49</formula>
    </cfRule>
  </conditionalFormatting>
  <conditionalFormatting sqref="V46">
    <cfRule type="cellIs" dxfId="1287" priority="11" operator="notEqual">
      <formula>$V$49</formula>
    </cfRule>
    <cfRule type="cellIs" dxfId="1286" priority="12" operator="equal">
      <formula>$V$49</formula>
    </cfRule>
  </conditionalFormatting>
  <conditionalFormatting sqref="W46">
    <cfRule type="cellIs" dxfId="1285" priority="9" operator="notEqual">
      <formula>$W$49</formula>
    </cfRule>
    <cfRule type="cellIs" dxfId="1284" priority="10" operator="equal">
      <formula>$W$49</formula>
    </cfRule>
  </conditionalFormatting>
  <conditionalFormatting sqref="X46">
    <cfRule type="cellIs" dxfId="1283" priority="7" operator="notEqual">
      <formula>$X$49</formula>
    </cfRule>
    <cfRule type="cellIs" dxfId="1282" priority="8" operator="equal">
      <formula>$X$49</formula>
    </cfRule>
  </conditionalFormatting>
  <conditionalFormatting sqref="Y46">
    <cfRule type="cellIs" dxfId="1281" priority="5" operator="notEqual">
      <formula>$Y$49</formula>
    </cfRule>
    <cfRule type="cellIs" dxfId="1280" priority="6" operator="equal">
      <formula>$Y$49</formula>
    </cfRule>
  </conditionalFormatting>
  <conditionalFormatting sqref="Z46">
    <cfRule type="cellIs" dxfId="1279" priority="3" operator="notEqual">
      <formula>$Z$49</formula>
    </cfRule>
    <cfRule type="cellIs" dxfId="1278" priority="4" operator="equal">
      <formula>$Z$49</formula>
    </cfRule>
  </conditionalFormatting>
  <conditionalFormatting sqref="AA46">
    <cfRule type="cellIs" dxfId="1277" priority="1" operator="notEqual">
      <formula>$AA$49</formula>
    </cfRule>
    <cfRule type="cellIs" dxfId="1276" priority="2" operator="equal">
      <formula>$AA$49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0B60-C443-4AC8-99B0-7A991AC17D06}">
  <dimension ref="A1:AV2012"/>
  <sheetViews>
    <sheetView showGridLines="0" tabSelected="1" topLeftCell="AH1" workbookViewId="0">
      <selection activeCell="AR23" sqref="AR23"/>
    </sheetView>
  </sheetViews>
  <sheetFormatPr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3.5703125" style="3" bestFit="1" customWidth="1"/>
    <col min="5" max="5" width="25.140625" style="3" bestFit="1" customWidth="1"/>
    <col min="6" max="6" width="13.7109375" style="3" bestFit="1" customWidth="1"/>
    <col min="7" max="7" width="20" style="3" bestFit="1" customWidth="1"/>
    <col min="8" max="8" width="10.28515625" style="3" bestFit="1" customWidth="1"/>
    <col min="9" max="9" width="12.140625" style="6" bestFit="1" customWidth="1"/>
    <col min="10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8.71093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23.28515625" style="3" bestFit="1" customWidth="1"/>
    <col min="29" max="29" width="24.7109375" style="3" bestFit="1" customWidth="1"/>
    <col min="30" max="30" width="22.5703125" style="3" bestFit="1" customWidth="1"/>
    <col min="31" max="31" width="24.140625" style="3" bestFit="1" customWidth="1"/>
    <col min="32" max="32" width="25.5703125" style="3" bestFit="1" customWidth="1"/>
    <col min="33" max="33" width="23.42578125" style="3" bestFit="1" customWidth="1"/>
    <col min="34" max="34" width="9.140625" style="3"/>
    <col min="35" max="35" width="9.28515625" style="3" bestFit="1" customWidth="1"/>
    <col min="36" max="36" width="14.5703125" style="3" bestFit="1" customWidth="1"/>
    <col min="37" max="37" width="20.7109375" style="3" bestFit="1" customWidth="1"/>
    <col min="38" max="38" width="14.140625" style="3" bestFit="1" customWidth="1"/>
    <col min="39" max="39" width="9.140625" style="3"/>
    <col min="40" max="40" width="9.28515625" style="3" bestFit="1" customWidth="1"/>
    <col min="41" max="41" width="12.28515625" style="3" bestFit="1" customWidth="1"/>
    <col min="42" max="42" width="13.28515625" style="3" bestFit="1" customWidth="1"/>
    <col min="43" max="43" width="9.28515625" style="3" bestFit="1" customWidth="1"/>
    <col min="44" max="44" width="9.140625" style="3"/>
    <col min="45" max="45" width="9.28515625" style="3" bestFit="1" customWidth="1"/>
    <col min="46" max="46" width="13.140625" style="3" bestFit="1" customWidth="1"/>
    <col min="47" max="47" width="20.7109375" style="3" bestFit="1" customWidth="1"/>
    <col min="48" max="48" width="14.140625" style="3" bestFit="1" customWidth="1"/>
    <col min="49" max="16384" width="9.140625" style="3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902</v>
      </c>
      <c r="W1" s="1" t="s">
        <v>903</v>
      </c>
      <c r="X1" s="1" t="s">
        <v>904</v>
      </c>
      <c r="Y1" s="1" t="s">
        <v>905</v>
      </c>
      <c r="Z1" s="1" t="s">
        <v>906</v>
      </c>
      <c r="AA1" s="1" t="s">
        <v>907</v>
      </c>
      <c r="AB1" s="1" t="s">
        <v>920</v>
      </c>
      <c r="AC1" s="1" t="s">
        <v>921</v>
      </c>
      <c r="AD1" s="1" t="s">
        <v>922</v>
      </c>
      <c r="AE1" s="1" t="s">
        <v>923</v>
      </c>
      <c r="AF1" s="1" t="s">
        <v>924</v>
      </c>
      <c r="AG1" s="1" t="s">
        <v>925</v>
      </c>
      <c r="AI1" s="52" t="s">
        <v>80</v>
      </c>
      <c r="AJ1" s="52" t="s">
        <v>926</v>
      </c>
      <c r="AK1" s="52" t="s">
        <v>927</v>
      </c>
      <c r="AL1" s="52" t="s">
        <v>928</v>
      </c>
      <c r="AN1" s="52" t="s">
        <v>80</v>
      </c>
      <c r="AO1" s="52" t="s">
        <v>929</v>
      </c>
      <c r="AP1" s="52" t="s">
        <v>930</v>
      </c>
      <c r="AQ1" s="52" t="s">
        <v>928</v>
      </c>
      <c r="AS1" s="52" t="s">
        <v>80</v>
      </c>
      <c r="AT1" s="52" t="s">
        <v>931</v>
      </c>
      <c r="AU1" s="52" t="s">
        <v>932</v>
      </c>
      <c r="AV1" s="52" t="s">
        <v>928</v>
      </c>
    </row>
    <row r="2" spans="1:48" ht="11.25" customHeight="1" x14ac:dyDescent="0.25">
      <c r="A2" s="3" t="s">
        <v>21</v>
      </c>
      <c r="B2" s="3" t="s">
        <v>41</v>
      </c>
      <c r="C2" s="3" t="s">
        <v>42</v>
      </c>
      <c r="D2" s="3" t="s">
        <v>43</v>
      </c>
      <c r="E2" s="3" t="s">
        <v>25</v>
      </c>
      <c r="F2" s="3" t="s">
        <v>25</v>
      </c>
      <c r="G2" s="3" t="s">
        <v>25</v>
      </c>
      <c r="H2" s="3" t="s">
        <v>36</v>
      </c>
      <c r="I2" s="6">
        <v>44317</v>
      </c>
      <c r="J2" s="4">
        <v>200</v>
      </c>
      <c r="K2" s="4">
        <v>200</v>
      </c>
      <c r="L2" s="4">
        <v>27.738</v>
      </c>
      <c r="M2" s="4">
        <v>27.738</v>
      </c>
      <c r="N2" s="4">
        <v>27.738</v>
      </c>
      <c r="O2" s="4">
        <v>27.738</v>
      </c>
      <c r="P2" s="4">
        <v>0</v>
      </c>
      <c r="Q2" s="3" t="s">
        <v>26</v>
      </c>
      <c r="R2" s="3">
        <v>0</v>
      </c>
      <c r="S2" s="4">
        <v>93</v>
      </c>
      <c r="T2" s="4">
        <v>94</v>
      </c>
      <c r="U2" s="4">
        <v>48</v>
      </c>
      <c r="V2" s="4">
        <f>IF(ISERROR(VLOOKUP($S$2,'TAR FIN'!$A$1:$O$99,15,0)),0,VLOOKUP($S$2,'TAR FIN'!$A$1:$O$99,15,0))</f>
        <v>15.23</v>
      </c>
      <c r="W2" s="4">
        <f>IF(ISERROR(VLOOKUP($T$2,'TAR FIN'!$A$1:$O$99,15,0)),0,VLOOKUP($T$2,'TAR FIN'!$A$1:$O$99,15,0))</f>
        <v>65.13</v>
      </c>
      <c r="X2" s="4">
        <f>IF(ISERROR(VLOOKUP($U$2,'TAR FIN'!$A$1:$O$99,15,0)),0,VLOOKUP($U$2,'TAR FIN'!$A$1:$O$99,15,0))</f>
        <v>219.97</v>
      </c>
      <c r="Y2" s="4">
        <f ca="1">('TUSD BE'!$AM$6+'TUSD BF'!$AM$6+'TUSD CVA'!$AM$6)*1</f>
        <v>16.343876453142602</v>
      </c>
      <c r="Z2" s="4">
        <f ca="1">('TUSD BE'!$AM$7+'TUSD BF'!$AM$7+'TUSD CVA'!$AM$7)*1</f>
        <v>76.243476502957677</v>
      </c>
      <c r="AA2" s="4">
        <f>('TE BE'!$AA$6+'TE BF'!$AA$6+'TE CVA'!$AA$6)*1</f>
        <v>271.13910989737087</v>
      </c>
      <c r="AB2" s="4">
        <f>$K$2*$V$2</f>
        <v>3046</v>
      </c>
      <c r="AC2" s="4">
        <f>$M$2*$W$2</f>
        <v>1806.5759399999999</v>
      </c>
      <c r="AD2" s="4">
        <f>$O$2*$X$2</f>
        <v>6101.5278600000001</v>
      </c>
      <c r="AE2" s="4">
        <f ca="1">$K$2*$Y$2</f>
        <v>3268.7752906285205</v>
      </c>
      <c r="AF2" s="4">
        <f ca="1">$M$2*$Z$2</f>
        <v>2114.8415512390402</v>
      </c>
      <c r="AG2" s="4">
        <f>$O$2*$AA$2</f>
        <v>7520.8566303332727</v>
      </c>
      <c r="AI2" s="53" t="s">
        <v>41</v>
      </c>
      <c r="AJ2" s="54">
        <f t="shared" ref="AJ2:AJ7" si="0">SUMIF($B$2:$B$2012,AI2,$AB$2:$AB$2012)+SUMIF($B$2:$B$2012,AI2,$AC$2:$AC$2012)</f>
        <v>82278948.930435598</v>
      </c>
      <c r="AK2" s="54">
        <f t="shared" ref="AK2:AK7" ca="1" si="1">SUMIF($B$2:$B$2012,AI2,$AE$2:$AE$2012)+SUMIF($B$2:$B$2012,AI2,$AF$2:$AF$2012)</f>
        <v>94392252.844077945</v>
      </c>
      <c r="AL2" s="55">
        <f t="shared" ref="AL2:AL10" ca="1" si="2">IF(AJ2&lt;&gt;0,AK2/AJ2-1,0)</f>
        <v>0.14722239492733169</v>
      </c>
      <c r="AN2" s="53" t="s">
        <v>41</v>
      </c>
      <c r="AO2" s="54">
        <f t="shared" ref="AO2:AO7" si="3">SUMIF($B$2:$B$2012,AN2,$AD$2:$AD$2012)</f>
        <v>16187747.713130597</v>
      </c>
      <c r="AP2" s="54">
        <f t="shared" ref="AP2:AP7" si="4">SUMIF($B$2:$B$2012,AN2,$AG$2:$AG$2012)</f>
        <v>20308307.225375045</v>
      </c>
      <c r="AQ2" s="55">
        <f t="shared" ref="AQ2:AQ10" si="5">IF(AO2&lt;&gt;0,AP2/AO2-1,0)</f>
        <v>0.2545480436973997</v>
      </c>
      <c r="AS2" s="53" t="s">
        <v>41</v>
      </c>
      <c r="AT2" s="54">
        <f t="shared" ref="AT2:AT7" si="6">SUMIF($B$2:$B$2012,AS2,$AB$2:$AB$2012)+SUMIF($B$2:$B$2012,AS2,$AC$2:$AC$2012)+SUMIF($B$2:$B$2012,AS2,$AD$2:$AD$2012)</f>
        <v>98466696.643566191</v>
      </c>
      <c r="AU2" s="54">
        <f t="shared" ref="AU2:AU7" ca="1" si="7">SUMIF($B$2:$B$2012,AS2,$AE$2:$AE$2012)+SUMIF($B$2:$B$2012,AS2,$AF$2:$AF$2012)+SUMIF($B$2:$B$2012,AS2,$AG$2:$AG$2012)</f>
        <v>114700560.06945299</v>
      </c>
      <c r="AV2" s="55">
        <f t="shared" ref="AV2:AV10" ca="1" si="8">IF(AT2&lt;&gt;0,AU2/AT2-1,0)</f>
        <v>0.16486653842619292</v>
      </c>
    </row>
    <row r="3" spans="1:48" ht="11.25" customHeight="1" x14ac:dyDescent="0.25">
      <c r="A3" s="3" t="s">
        <v>28</v>
      </c>
      <c r="B3" s="3" t="s">
        <v>41</v>
      </c>
      <c r="C3" s="3" t="s">
        <v>42</v>
      </c>
      <c r="D3" s="3" t="s">
        <v>43</v>
      </c>
      <c r="E3" s="3" t="s">
        <v>25</v>
      </c>
      <c r="F3" s="3" t="s">
        <v>25</v>
      </c>
      <c r="G3" s="3" t="s">
        <v>25</v>
      </c>
      <c r="H3" s="3" t="s">
        <v>36</v>
      </c>
      <c r="I3" s="6">
        <v>44317</v>
      </c>
      <c r="J3" s="4">
        <v>200</v>
      </c>
      <c r="K3" s="4">
        <v>200</v>
      </c>
      <c r="L3" s="4">
        <v>52.478000000000002</v>
      </c>
      <c r="M3" s="4">
        <v>52.478000000000002</v>
      </c>
      <c r="N3" s="4">
        <v>52.478000000000002</v>
      </c>
      <c r="O3" s="4">
        <v>52.478000000000002</v>
      </c>
      <c r="P3" s="4">
        <v>0</v>
      </c>
      <c r="Q3" s="3" t="s">
        <v>26</v>
      </c>
      <c r="R3" s="3">
        <v>0</v>
      </c>
      <c r="S3" s="4">
        <v>93</v>
      </c>
      <c r="T3" s="4">
        <v>94</v>
      </c>
      <c r="U3" s="4">
        <v>48</v>
      </c>
      <c r="V3" s="4">
        <f>IF(ISERROR(VLOOKUP($S$3,'TAR FIN'!$A$1:$O$99,15,0)),0,VLOOKUP($S$3,'TAR FIN'!$A$1:$O$99,15,0))</f>
        <v>15.23</v>
      </c>
      <c r="W3" s="4">
        <f>IF(ISERROR(VLOOKUP($T$3,'TAR FIN'!$A$1:$O$99,15,0)),0,VLOOKUP($T$3,'TAR FIN'!$A$1:$O$99,15,0))</f>
        <v>65.13</v>
      </c>
      <c r="X3" s="4">
        <f>IF(ISERROR(VLOOKUP($U$3,'TAR FIN'!$A$1:$O$99,15,0)),0,VLOOKUP($U$3,'TAR FIN'!$A$1:$O$99,15,0))</f>
        <v>219.97</v>
      </c>
      <c r="Y3" s="4">
        <f ca="1">('TUSD BE'!$AM$6+'TUSD BF'!$AM$6+'TUSD CVA'!$AM$6)*1</f>
        <v>16.343876453142602</v>
      </c>
      <c r="Z3" s="4">
        <f ca="1">('TUSD BE'!$AM$7+'TUSD BF'!$AM$7+'TUSD CVA'!$AM$7)*1</f>
        <v>76.243476502957677</v>
      </c>
      <c r="AA3" s="4">
        <f>('TE BE'!$AA$6+'TE BF'!$AA$6+'TE CVA'!$AA$6)*1</f>
        <v>271.13910989737087</v>
      </c>
      <c r="AB3" s="4">
        <f>$K$3*$V$3</f>
        <v>3046</v>
      </c>
      <c r="AC3" s="4">
        <f>$M$3*$W$3</f>
        <v>3417.8921399999999</v>
      </c>
      <c r="AD3" s="4">
        <f>$O$3*$X$3</f>
        <v>11543.585660000001</v>
      </c>
      <c r="AE3" s="4">
        <f ca="1">$K$3*$Y$3</f>
        <v>3268.7752906285205</v>
      </c>
      <c r="AF3" s="4">
        <f ca="1">$M$3*$Z$3</f>
        <v>4001.1051599222133</v>
      </c>
      <c r="AG3" s="4">
        <f>$O$3*$AA$3</f>
        <v>14228.838209194229</v>
      </c>
      <c r="AI3" s="53" t="s">
        <v>33</v>
      </c>
      <c r="AJ3" s="54">
        <f t="shared" si="0"/>
        <v>254996426.63066936</v>
      </c>
      <c r="AK3" s="54">
        <f t="shared" ca="1" si="1"/>
        <v>298806502.37526429</v>
      </c>
      <c r="AL3" s="55">
        <f t="shared" ca="1" si="2"/>
        <v>0.17180662616911246</v>
      </c>
      <c r="AN3" s="53" t="s">
        <v>33</v>
      </c>
      <c r="AO3" s="54">
        <f t="shared" si="3"/>
        <v>156150264.23383665</v>
      </c>
      <c r="AP3" s="54">
        <f t="shared" si="4"/>
        <v>194137094.0068112</v>
      </c>
      <c r="AQ3" s="55">
        <f t="shared" si="5"/>
        <v>0.2432709925875558</v>
      </c>
      <c r="AS3" s="53" t="s">
        <v>33</v>
      </c>
      <c r="AT3" s="54">
        <f t="shared" si="6"/>
        <v>411146690.86450601</v>
      </c>
      <c r="AU3" s="54">
        <f t="shared" ca="1" si="7"/>
        <v>492943596.38207549</v>
      </c>
      <c r="AV3" s="55">
        <f t="shared" ca="1" si="8"/>
        <v>0.19894822781031651</v>
      </c>
    </row>
    <row r="4" spans="1:48" ht="11.25" customHeight="1" x14ac:dyDescent="0.25">
      <c r="A4" s="3" t="s">
        <v>21</v>
      </c>
      <c r="B4" s="3" t="s">
        <v>41</v>
      </c>
      <c r="C4" s="3" t="s">
        <v>42</v>
      </c>
      <c r="D4" s="3" t="s">
        <v>43</v>
      </c>
      <c r="E4" s="3" t="s">
        <v>25</v>
      </c>
      <c r="F4" s="3" t="s">
        <v>25</v>
      </c>
      <c r="G4" s="3" t="s">
        <v>25</v>
      </c>
      <c r="H4" s="3" t="s">
        <v>36</v>
      </c>
      <c r="I4" s="6">
        <v>44317</v>
      </c>
      <c r="J4" s="4">
        <v>3500</v>
      </c>
      <c r="K4" s="4">
        <v>3500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57</v>
      </c>
      <c r="R4" s="3">
        <v>0</v>
      </c>
      <c r="S4" s="4">
        <v>93</v>
      </c>
      <c r="T4" s="4">
        <v>0</v>
      </c>
      <c r="U4" s="4">
        <v>0</v>
      </c>
      <c r="V4" s="4">
        <f>IF(ISERROR(VLOOKUP($S$4,'TAR FIN'!$A$1:$O$99,15,0)),0,VLOOKUP($S$4,'TAR FIN'!$A$1:$O$99,15,0))</f>
        <v>15.23</v>
      </c>
      <c r="W4" s="4">
        <f>IF(ISERROR(VLOOKUP($T$4,'TAR FIN'!$A$1:$O$99,15,0)),0,VLOOKUP($T$4,'TAR FIN'!$A$1:$O$99,15,0))</f>
        <v>0</v>
      </c>
      <c r="X4" s="4">
        <f>IF(ISERROR(VLOOKUP($U$4,'TAR FIN'!$A$1:$O$99,15,0)),0,VLOOKUP($U$4,'TAR FIN'!$A$1:$O$99,15,0))</f>
        <v>0</v>
      </c>
      <c r="Y4" s="4">
        <f ca="1">('TUSD BE'!$AM$6+'TUSD BF'!$AM$6+'TUSD CVA'!$AM$6)*1</f>
        <v>16.343876453142602</v>
      </c>
      <c r="Z4" s="4">
        <f ca="1">('TUSD BE'!$AM$7+'TUSD BF'!$AM$7+'TUSD CVA'!$AM$7)*1</f>
        <v>76.243476502957677</v>
      </c>
      <c r="AA4" s="4"/>
      <c r="AB4" s="4">
        <f>$K$4*$V$4</f>
        <v>53305</v>
      </c>
      <c r="AC4" s="4">
        <f>$M$4*$W$4</f>
        <v>0</v>
      </c>
      <c r="AD4" s="4">
        <f>$O$4*$X$4</f>
        <v>0</v>
      </c>
      <c r="AE4" s="4">
        <f ca="1">$K$4*$Y$4</f>
        <v>57203.56758599911</v>
      </c>
      <c r="AF4" s="4">
        <f ca="1">$M$4*$Z$4</f>
        <v>0</v>
      </c>
      <c r="AG4" s="4">
        <f>$O$4*$AA$4</f>
        <v>0</v>
      </c>
      <c r="AI4" s="53" t="s">
        <v>22</v>
      </c>
      <c r="AJ4" s="54">
        <f t="shared" si="0"/>
        <v>549493081.69037974</v>
      </c>
      <c r="AK4" s="54">
        <f t="shared" ca="1" si="1"/>
        <v>647884929.21764362</v>
      </c>
      <c r="AL4" s="55">
        <f t="shared" ca="1" si="2"/>
        <v>0.179059301756058</v>
      </c>
      <c r="AN4" s="53" t="s">
        <v>22</v>
      </c>
      <c r="AO4" s="54">
        <f t="shared" si="3"/>
        <v>328818418.0248</v>
      </c>
      <c r="AP4" s="54">
        <f t="shared" si="4"/>
        <v>404899949.77905738</v>
      </c>
      <c r="AQ4" s="55">
        <f t="shared" si="5"/>
        <v>0.2313785590578421</v>
      </c>
      <c r="AS4" s="53" t="s">
        <v>22</v>
      </c>
      <c r="AT4" s="54">
        <f t="shared" si="6"/>
        <v>878311499.71517968</v>
      </c>
      <c r="AU4" s="54">
        <f t="shared" ca="1" si="7"/>
        <v>1052784878.996701</v>
      </c>
      <c r="AV4" s="55">
        <f t="shared" ca="1" si="8"/>
        <v>0.19864635648980999</v>
      </c>
    </row>
    <row r="5" spans="1:48" ht="11.25" customHeight="1" x14ac:dyDescent="0.25">
      <c r="A5" s="3" t="s">
        <v>21</v>
      </c>
      <c r="B5" s="3" t="s">
        <v>41</v>
      </c>
      <c r="C5" s="3" t="s">
        <v>42</v>
      </c>
      <c r="D5" s="3" t="s">
        <v>43</v>
      </c>
      <c r="E5" s="3" t="s">
        <v>25</v>
      </c>
      <c r="F5" s="3" t="s">
        <v>25</v>
      </c>
      <c r="G5" s="3" t="s">
        <v>25</v>
      </c>
      <c r="H5" s="3" t="s">
        <v>36</v>
      </c>
      <c r="I5" s="6">
        <v>44348</v>
      </c>
      <c r="J5" s="4">
        <v>200</v>
      </c>
      <c r="K5" s="4">
        <v>200</v>
      </c>
      <c r="L5" s="4">
        <v>28.448</v>
      </c>
      <c r="M5" s="4">
        <v>28.448</v>
      </c>
      <c r="N5" s="4">
        <v>28.448</v>
      </c>
      <c r="O5" s="4">
        <v>28.448</v>
      </c>
      <c r="P5" s="4">
        <v>0</v>
      </c>
      <c r="Q5" s="3" t="s">
        <v>26</v>
      </c>
      <c r="R5" s="3">
        <v>0</v>
      </c>
      <c r="S5" s="4">
        <v>93</v>
      </c>
      <c r="T5" s="4">
        <v>94</v>
      </c>
      <c r="U5" s="4">
        <v>48</v>
      </c>
      <c r="V5" s="4">
        <f>IF(ISERROR(VLOOKUP($S$5,'TAR FIN'!$A$1:$O$99,15,0)),0,VLOOKUP($S$5,'TAR FIN'!$A$1:$O$99,15,0))</f>
        <v>15.23</v>
      </c>
      <c r="W5" s="4">
        <f>IF(ISERROR(VLOOKUP($T$5,'TAR FIN'!$A$1:$O$99,15,0)),0,VLOOKUP($T$5,'TAR FIN'!$A$1:$O$99,15,0))</f>
        <v>65.13</v>
      </c>
      <c r="X5" s="4">
        <f>IF(ISERROR(VLOOKUP($U$5,'TAR FIN'!$A$1:$O$99,15,0)),0,VLOOKUP($U$5,'TAR FIN'!$A$1:$O$99,15,0))</f>
        <v>219.97</v>
      </c>
      <c r="Y5" s="4">
        <f ca="1">('TUSD BE'!$AM$6+'TUSD BF'!$AM$6+'TUSD CVA'!$AM$6)*1</f>
        <v>16.343876453142602</v>
      </c>
      <c r="Z5" s="4">
        <f ca="1">('TUSD BE'!$AM$7+'TUSD BF'!$AM$7+'TUSD CVA'!$AM$7)*1</f>
        <v>76.243476502957677</v>
      </c>
      <c r="AA5" s="4">
        <f>('TE BE'!$AA$6+'TE BF'!$AA$6+'TE CVA'!$AA$6)*1</f>
        <v>271.13910989737087</v>
      </c>
      <c r="AB5" s="4">
        <f>$K$5*$V$5</f>
        <v>3046</v>
      </c>
      <c r="AC5" s="4">
        <f>$M$5*$W$5</f>
        <v>1852.8182399999998</v>
      </c>
      <c r="AD5" s="4">
        <f>$O$5*$X$5</f>
        <v>6257.7065599999996</v>
      </c>
      <c r="AE5" s="4">
        <f ca="1">$K$5*$Y$5</f>
        <v>3268.7752906285205</v>
      </c>
      <c r="AF5" s="4">
        <f ca="1">$M$5*$Z$5</f>
        <v>2168.9744195561402</v>
      </c>
      <c r="AG5" s="4">
        <f>$O$5*$AA$5</f>
        <v>7713.3653983604063</v>
      </c>
      <c r="AI5" s="53" t="s">
        <v>44</v>
      </c>
      <c r="AJ5" s="54">
        <f t="shared" si="0"/>
        <v>20979964.216203708</v>
      </c>
      <c r="AK5" s="54">
        <f t="shared" ca="1" si="1"/>
        <v>26434992.224078406</v>
      </c>
      <c r="AL5" s="55">
        <f t="shared" ca="1" si="2"/>
        <v>0.26001131134730682</v>
      </c>
      <c r="AN5" s="53" t="s">
        <v>44</v>
      </c>
      <c r="AO5" s="54">
        <f t="shared" si="3"/>
        <v>12226336.905856205</v>
      </c>
      <c r="AP5" s="54">
        <f t="shared" si="4"/>
        <v>16082207.304782668</v>
      </c>
      <c r="AQ5" s="55">
        <f t="shared" si="5"/>
        <v>0.31537413279357351</v>
      </c>
      <c r="AS5" s="53" t="s">
        <v>44</v>
      </c>
      <c r="AT5" s="54">
        <f t="shared" si="6"/>
        <v>33206301.122059911</v>
      </c>
      <c r="AU5" s="54">
        <f t="shared" ca="1" si="7"/>
        <v>42517199.528861076</v>
      </c>
      <c r="AV5" s="55">
        <f t="shared" ca="1" si="8"/>
        <v>0.2803955301307457</v>
      </c>
    </row>
    <row r="6" spans="1:48" ht="11.25" customHeight="1" x14ac:dyDescent="0.25">
      <c r="A6" s="3" t="s">
        <v>28</v>
      </c>
      <c r="B6" s="3" t="s">
        <v>41</v>
      </c>
      <c r="C6" s="3" t="s">
        <v>42</v>
      </c>
      <c r="D6" s="3" t="s">
        <v>43</v>
      </c>
      <c r="E6" s="3" t="s">
        <v>25</v>
      </c>
      <c r="F6" s="3" t="s">
        <v>25</v>
      </c>
      <c r="G6" s="3" t="s">
        <v>25</v>
      </c>
      <c r="H6" s="3" t="s">
        <v>36</v>
      </c>
      <c r="I6" s="6">
        <v>44348</v>
      </c>
      <c r="J6" s="4">
        <v>200</v>
      </c>
      <c r="K6" s="4">
        <v>200</v>
      </c>
      <c r="L6" s="4">
        <v>47.994</v>
      </c>
      <c r="M6" s="4">
        <v>47.994</v>
      </c>
      <c r="N6" s="4">
        <v>47.994</v>
      </c>
      <c r="O6" s="4">
        <v>47.994</v>
      </c>
      <c r="P6" s="4">
        <v>0</v>
      </c>
      <c r="Q6" s="3" t="s">
        <v>26</v>
      </c>
      <c r="R6" s="3">
        <v>0</v>
      </c>
      <c r="S6" s="4">
        <v>93</v>
      </c>
      <c r="T6" s="4">
        <v>94</v>
      </c>
      <c r="U6" s="4">
        <v>48</v>
      </c>
      <c r="V6" s="4">
        <f>IF(ISERROR(VLOOKUP($S$6,'TAR FIN'!$A$1:$O$99,15,0)),0,VLOOKUP($S$6,'TAR FIN'!$A$1:$O$99,15,0))</f>
        <v>15.23</v>
      </c>
      <c r="W6" s="4">
        <f>IF(ISERROR(VLOOKUP($T$6,'TAR FIN'!$A$1:$O$99,15,0)),0,VLOOKUP($T$6,'TAR FIN'!$A$1:$O$99,15,0))</f>
        <v>65.13</v>
      </c>
      <c r="X6" s="4">
        <f>IF(ISERROR(VLOOKUP($U$6,'TAR FIN'!$A$1:$O$99,15,0)),0,VLOOKUP($U$6,'TAR FIN'!$A$1:$O$99,15,0))</f>
        <v>219.97</v>
      </c>
      <c r="Y6" s="4">
        <f ca="1">('TUSD BE'!$AM$6+'TUSD BF'!$AM$6+'TUSD CVA'!$AM$6)*1</f>
        <v>16.343876453142602</v>
      </c>
      <c r="Z6" s="4">
        <f ca="1">('TUSD BE'!$AM$7+'TUSD BF'!$AM$7+'TUSD CVA'!$AM$7)*1</f>
        <v>76.243476502957677</v>
      </c>
      <c r="AA6" s="4">
        <f>('TE BE'!$AA$6+'TE BF'!$AA$6+'TE CVA'!$AA$6)*1</f>
        <v>271.13910989737087</v>
      </c>
      <c r="AB6" s="4">
        <f>$K$6*$V$6</f>
        <v>3046</v>
      </c>
      <c r="AC6" s="4">
        <f>$M$6*$W$6</f>
        <v>3125.8492199999996</v>
      </c>
      <c r="AD6" s="4">
        <f>$O$6*$X$6</f>
        <v>10557.240180000001</v>
      </c>
      <c r="AE6" s="4">
        <f ca="1">$K$6*$Y$6</f>
        <v>3268.7752906285205</v>
      </c>
      <c r="AF6" s="4">
        <f ca="1">$M$6*$Z$6</f>
        <v>3659.2294112829509</v>
      </c>
      <c r="AG6" s="4">
        <f>$O$6*$AA$6</f>
        <v>13013.050440414418</v>
      </c>
      <c r="AI6" s="53" t="s">
        <v>39</v>
      </c>
      <c r="AJ6" s="54">
        <f t="shared" si="0"/>
        <v>200079738.91704845</v>
      </c>
      <c r="AK6" s="54">
        <f t="shared" ca="1" si="1"/>
        <v>236463997.38671571</v>
      </c>
      <c r="AL6" s="55">
        <f t="shared" ca="1" si="2"/>
        <v>0.1818487902203425</v>
      </c>
      <c r="AN6" s="53" t="s">
        <v>39</v>
      </c>
      <c r="AO6" s="54">
        <f t="shared" si="3"/>
        <v>116635090.48729442</v>
      </c>
      <c r="AP6" s="54">
        <f t="shared" si="4"/>
        <v>143896542.41307667</v>
      </c>
      <c r="AQ6" s="55">
        <f t="shared" si="5"/>
        <v>0.23373284842396513</v>
      </c>
      <c r="AS6" s="53" t="s">
        <v>39</v>
      </c>
      <c r="AT6" s="54">
        <f t="shared" si="6"/>
        <v>316714829.40434289</v>
      </c>
      <c r="AU6" s="54">
        <f t="shared" ca="1" si="7"/>
        <v>380360539.79979241</v>
      </c>
      <c r="AV6" s="55">
        <f t="shared" ca="1" si="8"/>
        <v>0.20095588992517444</v>
      </c>
    </row>
    <row r="7" spans="1:48" ht="11.25" customHeight="1" x14ac:dyDescent="0.25">
      <c r="A7" s="3" t="s">
        <v>21</v>
      </c>
      <c r="B7" s="3" t="s">
        <v>41</v>
      </c>
      <c r="C7" s="3" t="s">
        <v>42</v>
      </c>
      <c r="D7" s="3" t="s">
        <v>43</v>
      </c>
      <c r="E7" s="3" t="s">
        <v>25</v>
      </c>
      <c r="F7" s="3" t="s">
        <v>25</v>
      </c>
      <c r="G7" s="3" t="s">
        <v>25</v>
      </c>
      <c r="H7" s="3" t="s">
        <v>36</v>
      </c>
      <c r="I7" s="6">
        <v>44348</v>
      </c>
      <c r="J7" s="4">
        <v>3298</v>
      </c>
      <c r="K7" s="4">
        <v>3298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57</v>
      </c>
      <c r="R7" s="3">
        <v>0</v>
      </c>
      <c r="S7" s="4">
        <v>93</v>
      </c>
      <c r="T7" s="4">
        <v>0</v>
      </c>
      <c r="U7" s="4">
        <v>0</v>
      </c>
      <c r="V7" s="4">
        <f>IF(ISERROR(VLOOKUP($S$7,'TAR FIN'!$A$1:$O$99,15,0)),0,VLOOKUP($S$7,'TAR FIN'!$A$1:$O$99,15,0))</f>
        <v>15.23</v>
      </c>
      <c r="W7" s="4">
        <f>IF(ISERROR(VLOOKUP($T$7,'TAR FIN'!$A$1:$O$99,15,0)),0,VLOOKUP($T$7,'TAR FIN'!$A$1:$O$99,15,0))</f>
        <v>0</v>
      </c>
      <c r="X7" s="4">
        <f>IF(ISERROR(VLOOKUP($U$7,'TAR FIN'!$A$1:$O$99,15,0)),0,VLOOKUP($U$7,'TAR FIN'!$A$1:$O$99,15,0))</f>
        <v>0</v>
      </c>
      <c r="Y7" s="4">
        <f ca="1">('TUSD BE'!$AM$6+'TUSD BF'!$AM$6+'TUSD CVA'!$AM$6)*1</f>
        <v>16.343876453142602</v>
      </c>
      <c r="Z7" s="4">
        <f ca="1">('TUSD BE'!$AM$7+'TUSD BF'!$AM$7+'TUSD CVA'!$AM$7)*1</f>
        <v>76.243476502957677</v>
      </c>
      <c r="AA7" s="4"/>
      <c r="AB7" s="4">
        <f>$K$7*$V$7</f>
        <v>50228.54</v>
      </c>
      <c r="AC7" s="4">
        <f>$M$7*$W$7</f>
        <v>0</v>
      </c>
      <c r="AD7" s="4">
        <f>$O$7*$X$7</f>
        <v>0</v>
      </c>
      <c r="AE7" s="4">
        <f ca="1">$K$7*$Y$7</f>
        <v>53902.104542464302</v>
      </c>
      <c r="AF7" s="4">
        <f ca="1">$M$7*$Z$7</f>
        <v>0</v>
      </c>
      <c r="AG7" s="4">
        <f>$O$7*$AA$7</f>
        <v>0</v>
      </c>
      <c r="AI7" s="53" t="s">
        <v>47</v>
      </c>
      <c r="AJ7" s="54">
        <f t="shared" si="0"/>
        <v>56481818.182899997</v>
      </c>
      <c r="AK7" s="54">
        <f t="shared" ca="1" si="1"/>
        <v>66624683.910766408</v>
      </c>
      <c r="AL7" s="55">
        <f t="shared" ca="1" si="2"/>
        <v>0.17957753581907854</v>
      </c>
      <c r="AN7" s="53" t="s">
        <v>47</v>
      </c>
      <c r="AO7" s="54">
        <f t="shared" si="3"/>
        <v>32915060.566300001</v>
      </c>
      <c r="AP7" s="54">
        <f t="shared" si="4"/>
        <v>40531264.455659367</v>
      </c>
      <c r="AQ7" s="55">
        <f t="shared" si="5"/>
        <v>0.23138963618244701</v>
      </c>
      <c r="AS7" s="53" t="s">
        <v>47</v>
      </c>
      <c r="AT7" s="54">
        <f t="shared" si="6"/>
        <v>89396878.749200001</v>
      </c>
      <c r="AU7" s="54">
        <f t="shared" ca="1" si="7"/>
        <v>107155948.36642578</v>
      </c>
      <c r="AV7" s="55">
        <f t="shared" ca="1" si="8"/>
        <v>0.19865424683392208</v>
      </c>
    </row>
    <row r="8" spans="1:48" ht="11.25" customHeight="1" x14ac:dyDescent="0.25">
      <c r="A8" s="3" t="s">
        <v>21</v>
      </c>
      <c r="B8" s="3" t="s">
        <v>41</v>
      </c>
      <c r="C8" s="3" t="s">
        <v>42</v>
      </c>
      <c r="D8" s="3" t="s">
        <v>43</v>
      </c>
      <c r="E8" s="3" t="s">
        <v>25</v>
      </c>
      <c r="F8" s="3" t="s">
        <v>25</v>
      </c>
      <c r="G8" s="3" t="s">
        <v>25</v>
      </c>
      <c r="H8" s="3" t="s">
        <v>36</v>
      </c>
      <c r="I8" s="6">
        <v>44378</v>
      </c>
      <c r="J8" s="4">
        <v>200</v>
      </c>
      <c r="K8" s="4">
        <v>200</v>
      </c>
      <c r="L8" s="4">
        <v>33.168999999999997</v>
      </c>
      <c r="M8" s="4">
        <v>33.168999999999997</v>
      </c>
      <c r="N8" s="4">
        <v>33.168999999999997</v>
      </c>
      <c r="O8" s="4">
        <v>33.168999999999997</v>
      </c>
      <c r="P8" s="4">
        <v>0</v>
      </c>
      <c r="Q8" s="3" t="s">
        <v>26</v>
      </c>
      <c r="R8" s="3">
        <v>0</v>
      </c>
      <c r="S8" s="4">
        <v>93</v>
      </c>
      <c r="T8" s="4">
        <v>94</v>
      </c>
      <c r="U8" s="4">
        <v>48</v>
      </c>
      <c r="V8" s="4">
        <f>IF(ISERROR(VLOOKUP($S$8,'TAR FIN'!$A$1:$O$99,15,0)),0,VLOOKUP($S$8,'TAR FIN'!$A$1:$O$99,15,0))</f>
        <v>15.23</v>
      </c>
      <c r="W8" s="4">
        <f>IF(ISERROR(VLOOKUP($T$8,'TAR FIN'!$A$1:$O$99,15,0)),0,VLOOKUP($T$8,'TAR FIN'!$A$1:$O$99,15,0))</f>
        <v>65.13</v>
      </c>
      <c r="X8" s="4">
        <f>IF(ISERROR(VLOOKUP($U$8,'TAR FIN'!$A$1:$O$99,15,0)),0,VLOOKUP($U$8,'TAR FIN'!$A$1:$O$99,15,0))</f>
        <v>219.97</v>
      </c>
      <c r="Y8" s="4">
        <f ca="1">('TUSD BE'!$AM$6+'TUSD BF'!$AM$6+'TUSD CVA'!$AM$6)*1</f>
        <v>16.343876453142602</v>
      </c>
      <c r="Z8" s="4">
        <f ca="1">('TUSD BE'!$AM$7+'TUSD BF'!$AM$7+'TUSD CVA'!$AM$7)*1</f>
        <v>76.243476502957677</v>
      </c>
      <c r="AA8" s="4">
        <f>('TE BE'!$AA$6+'TE BF'!$AA$6+'TE CVA'!$AA$6)*1</f>
        <v>271.13910989737087</v>
      </c>
      <c r="AB8" s="4">
        <f>$K$8*$V$8</f>
        <v>3046</v>
      </c>
      <c r="AC8" s="4">
        <f>$M$8*$W$8</f>
        <v>2160.2969699999999</v>
      </c>
      <c r="AD8" s="4">
        <f>$O$8*$X$8</f>
        <v>7296.1849299999994</v>
      </c>
      <c r="AE8" s="4">
        <f ca="1">$K$8*$Y$8</f>
        <v>3268.7752906285205</v>
      </c>
      <c r="AF8" s="4">
        <f ca="1">$M$8*$Z$8</f>
        <v>2528.919872126603</v>
      </c>
      <c r="AG8" s="4">
        <f>$O$8*$AA$8</f>
        <v>8993.4131361858945</v>
      </c>
      <c r="AI8" s="53" t="s">
        <v>933</v>
      </c>
      <c r="AJ8" s="54">
        <f>+$AJ$2+$AJ$3</f>
        <v>337275375.56110495</v>
      </c>
      <c r="AK8" s="54">
        <f ca="1">+$AK$2+$AK$3</f>
        <v>393198755.21934223</v>
      </c>
      <c r="AL8" s="55">
        <f t="shared" ca="1" si="2"/>
        <v>0.16580925768802679</v>
      </c>
      <c r="AN8" s="53" t="s">
        <v>933</v>
      </c>
      <c r="AO8" s="54">
        <f>+$AO$2+$AO$3</f>
        <v>172338011.94696724</v>
      </c>
      <c r="AP8" s="54">
        <f>+$AP$2+$AP$3</f>
        <v>214445401.23218626</v>
      </c>
      <c r="AQ8" s="55">
        <f t="shared" si="5"/>
        <v>0.24433024850127971</v>
      </c>
      <c r="AS8" s="53" t="s">
        <v>933</v>
      </c>
      <c r="AT8" s="54">
        <f>+$AT$2+$AT$3</f>
        <v>509613387.5080722</v>
      </c>
      <c r="AU8" s="54">
        <f ca="1">+$AU$2+$AU$3</f>
        <v>607644156.45152843</v>
      </c>
      <c r="AV8" s="55">
        <f t="shared" ca="1" si="8"/>
        <v>0.19236301742937134</v>
      </c>
    </row>
    <row r="9" spans="1:48" ht="11.25" customHeight="1" x14ac:dyDescent="0.25">
      <c r="A9" s="3" t="s">
        <v>28</v>
      </c>
      <c r="B9" s="3" t="s">
        <v>41</v>
      </c>
      <c r="C9" s="3" t="s">
        <v>42</v>
      </c>
      <c r="D9" s="3" t="s">
        <v>43</v>
      </c>
      <c r="E9" s="3" t="s">
        <v>25</v>
      </c>
      <c r="F9" s="3" t="s">
        <v>25</v>
      </c>
      <c r="G9" s="3" t="s">
        <v>25</v>
      </c>
      <c r="H9" s="3" t="s">
        <v>36</v>
      </c>
      <c r="I9" s="6">
        <v>44378</v>
      </c>
      <c r="J9" s="4">
        <v>200</v>
      </c>
      <c r="K9" s="4">
        <v>200</v>
      </c>
      <c r="L9" s="4">
        <v>47.045999999999999</v>
      </c>
      <c r="M9" s="4">
        <v>47.045999999999999</v>
      </c>
      <c r="N9" s="4">
        <v>47.045999999999999</v>
      </c>
      <c r="O9" s="4">
        <v>47.045999999999999</v>
      </c>
      <c r="P9" s="4">
        <v>0</v>
      </c>
      <c r="Q9" s="3" t="s">
        <v>26</v>
      </c>
      <c r="R9" s="3">
        <v>0</v>
      </c>
      <c r="S9" s="4">
        <v>93</v>
      </c>
      <c r="T9" s="4">
        <v>94</v>
      </c>
      <c r="U9" s="4">
        <v>48</v>
      </c>
      <c r="V9" s="4">
        <f>IF(ISERROR(VLOOKUP($S$9,'TAR FIN'!$A$1:$O$99,15,0)),0,VLOOKUP($S$9,'TAR FIN'!$A$1:$O$99,15,0))</f>
        <v>15.23</v>
      </c>
      <c r="W9" s="4">
        <f>IF(ISERROR(VLOOKUP($T$9,'TAR FIN'!$A$1:$O$99,15,0)),0,VLOOKUP($T$9,'TAR FIN'!$A$1:$O$99,15,0))</f>
        <v>65.13</v>
      </c>
      <c r="X9" s="4">
        <f>IF(ISERROR(VLOOKUP($U$9,'TAR FIN'!$A$1:$O$99,15,0)),0,VLOOKUP($U$9,'TAR FIN'!$A$1:$O$99,15,0))</f>
        <v>219.97</v>
      </c>
      <c r="Y9" s="4">
        <f ca="1">('TUSD BE'!$AM$6+'TUSD BF'!$AM$6+'TUSD CVA'!$AM$6)*1</f>
        <v>16.343876453142602</v>
      </c>
      <c r="Z9" s="4">
        <f ca="1">('TUSD BE'!$AM$7+'TUSD BF'!$AM$7+'TUSD CVA'!$AM$7)*1</f>
        <v>76.243476502957677</v>
      </c>
      <c r="AA9" s="4">
        <f>('TE BE'!$AA$6+'TE BF'!$AA$6+'TE CVA'!$AA$6)*1</f>
        <v>271.13910989737087</v>
      </c>
      <c r="AB9" s="4">
        <f>$K$9*$V$9</f>
        <v>3046</v>
      </c>
      <c r="AC9" s="4">
        <f>$M$9*$W$9</f>
        <v>3064.1059799999998</v>
      </c>
      <c r="AD9" s="4">
        <f>$O$9*$X$9</f>
        <v>10348.708619999999</v>
      </c>
      <c r="AE9" s="4">
        <f ca="1">$K$9*$Y$9</f>
        <v>3268.7752906285205</v>
      </c>
      <c r="AF9" s="4">
        <f ca="1">$M$9*$Z$9</f>
        <v>3586.9505955581467</v>
      </c>
      <c r="AG9" s="4">
        <f>$O$9*$AA$9</f>
        <v>12756.01056423171</v>
      </c>
      <c r="AI9" s="53" t="s">
        <v>98</v>
      </c>
      <c r="AJ9" s="54">
        <f>+$AJ$4+$AJ$5+$AJ$6+$AJ$7</f>
        <v>827034603.00653183</v>
      </c>
      <c r="AK9" s="54">
        <f ca="1">+$AK$4+$AK$5+$AK$6+$AK$7</f>
        <v>977408602.73920417</v>
      </c>
      <c r="AL9" s="55">
        <f t="shared" ca="1" si="2"/>
        <v>0.18182310532838097</v>
      </c>
      <c r="AN9" s="53" t="s">
        <v>98</v>
      </c>
      <c r="AO9" s="54">
        <f>+$AO$4+$AO$5+$AO$6+$AO$7</f>
        <v>490594905.98425061</v>
      </c>
      <c r="AP9" s="54">
        <f>+$AP$4+$AP$5+$AP$6+$AP$7</f>
        <v>605409963.95257616</v>
      </c>
      <c r="AQ9" s="55">
        <f t="shared" si="5"/>
        <v>0.23403230764897387</v>
      </c>
      <c r="AS9" s="53" t="s">
        <v>98</v>
      </c>
      <c r="AT9" s="54">
        <f>+$AT$4+$AT$5+$AT$6+$AT$7</f>
        <v>1317629508.9907825</v>
      </c>
      <c r="AU9" s="54">
        <f ca="1">+$AU$4+$AU$5+$AU$6+$AU$7</f>
        <v>1582818566.6917803</v>
      </c>
      <c r="AV9" s="55">
        <f t="shared" ca="1" si="8"/>
        <v>0.20126223334518012</v>
      </c>
    </row>
    <row r="10" spans="1:48" ht="11.25" customHeight="1" x14ac:dyDescent="0.25">
      <c r="A10" s="3" t="s">
        <v>21</v>
      </c>
      <c r="B10" s="3" t="s">
        <v>41</v>
      </c>
      <c r="C10" s="3" t="s">
        <v>42</v>
      </c>
      <c r="D10" s="3" t="s">
        <v>43</v>
      </c>
      <c r="E10" s="3" t="s">
        <v>25</v>
      </c>
      <c r="F10" s="3" t="s">
        <v>25</v>
      </c>
      <c r="G10" s="3" t="s">
        <v>25</v>
      </c>
      <c r="H10" s="3" t="s">
        <v>36</v>
      </c>
      <c r="I10" s="6">
        <v>44378</v>
      </c>
      <c r="J10" s="4">
        <v>3225</v>
      </c>
      <c r="K10" s="4">
        <v>3225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57</v>
      </c>
      <c r="R10" s="3">
        <v>0</v>
      </c>
      <c r="S10" s="4">
        <v>93</v>
      </c>
      <c r="T10" s="4">
        <v>0</v>
      </c>
      <c r="U10" s="4">
        <v>0</v>
      </c>
      <c r="V10" s="4">
        <f>IF(ISERROR(VLOOKUP($S$10,'TAR FIN'!$A$1:$O$99,15,0)),0,VLOOKUP($S$10,'TAR FIN'!$A$1:$O$99,15,0))</f>
        <v>15.23</v>
      </c>
      <c r="W10" s="4">
        <f>IF(ISERROR(VLOOKUP($T$10,'TAR FIN'!$A$1:$O$99,15,0)),0,VLOOKUP($T$10,'TAR FIN'!$A$1:$O$99,15,0))</f>
        <v>0</v>
      </c>
      <c r="X10" s="4">
        <f>IF(ISERROR(VLOOKUP($U$10,'TAR FIN'!$A$1:$O$99,15,0)),0,VLOOKUP($U$10,'TAR FIN'!$A$1:$O$99,15,0))</f>
        <v>0</v>
      </c>
      <c r="Y10" s="4">
        <f ca="1">('TUSD BE'!$AM$6+'TUSD BF'!$AM$6+'TUSD CVA'!$AM$6)*1</f>
        <v>16.343876453142602</v>
      </c>
      <c r="Z10" s="4">
        <f ca="1">('TUSD BE'!$AM$7+'TUSD BF'!$AM$7+'TUSD CVA'!$AM$7)*1</f>
        <v>76.243476502957677</v>
      </c>
      <c r="AA10" s="4"/>
      <c r="AB10" s="4">
        <f>$K$10*$V$10</f>
        <v>49116.75</v>
      </c>
      <c r="AC10" s="4">
        <f>$M$10*$W$10</f>
        <v>0</v>
      </c>
      <c r="AD10" s="4">
        <f>$O$10*$X$10</f>
        <v>0</v>
      </c>
      <c r="AE10" s="4">
        <f ca="1">$K$10*$Y$10</f>
        <v>52709.001561384895</v>
      </c>
      <c r="AF10" s="4">
        <f ca="1">$M$10*$Z$10</f>
        <v>0</v>
      </c>
      <c r="AG10" s="4">
        <f>$O$10*$AA$10</f>
        <v>0</v>
      </c>
      <c r="AI10" s="53" t="s">
        <v>934</v>
      </c>
      <c r="AJ10" s="54">
        <f>AJ9+AJ8</f>
        <v>1164309978.5676367</v>
      </c>
      <c r="AK10" s="54">
        <f ca="1">AK9+AK8</f>
        <v>1370607357.9585464</v>
      </c>
      <c r="AL10" s="55">
        <f t="shared" ca="1" si="2"/>
        <v>0.17718424061322735</v>
      </c>
      <c r="AN10" s="53" t="s">
        <v>934</v>
      </c>
      <c r="AO10" s="54">
        <f>AO9+AO8</f>
        <v>662932917.93121791</v>
      </c>
      <c r="AP10" s="54">
        <f>AP9+AP8</f>
        <v>819855365.18476248</v>
      </c>
      <c r="AQ10" s="55">
        <f t="shared" si="5"/>
        <v>0.23670939096408827</v>
      </c>
      <c r="AS10" s="53" t="s">
        <v>934</v>
      </c>
      <c r="AT10" s="54">
        <f>AT9+AT8</f>
        <v>1827242896.4988546</v>
      </c>
      <c r="AU10" s="54">
        <f ca="1">AU9+AU8</f>
        <v>2190462723.1433086</v>
      </c>
      <c r="AV10" s="55">
        <f t="shared" ca="1" si="8"/>
        <v>0.19878026470394961</v>
      </c>
    </row>
    <row r="11" spans="1:48" ht="11.25" customHeight="1" x14ac:dyDescent="0.25">
      <c r="A11" s="3" t="s">
        <v>21</v>
      </c>
      <c r="B11" s="3" t="s">
        <v>41</v>
      </c>
      <c r="C11" s="3" t="s">
        <v>42</v>
      </c>
      <c r="D11" s="3" t="s">
        <v>43</v>
      </c>
      <c r="E11" s="3" t="s">
        <v>25</v>
      </c>
      <c r="F11" s="3" t="s">
        <v>25</v>
      </c>
      <c r="G11" s="3" t="s">
        <v>25</v>
      </c>
      <c r="H11" s="3" t="s">
        <v>36</v>
      </c>
      <c r="I11" s="6">
        <v>44409</v>
      </c>
      <c r="J11" s="4">
        <v>200</v>
      </c>
      <c r="K11" s="4">
        <v>200</v>
      </c>
      <c r="L11" s="4">
        <v>36.734000000000002</v>
      </c>
      <c r="M11" s="4">
        <v>36.734000000000002</v>
      </c>
      <c r="N11" s="4">
        <v>36.734000000000002</v>
      </c>
      <c r="O11" s="4">
        <v>36.734000000000002</v>
      </c>
      <c r="P11" s="4">
        <v>0</v>
      </c>
      <c r="Q11" s="3" t="s">
        <v>26</v>
      </c>
      <c r="R11" s="3">
        <v>0</v>
      </c>
      <c r="S11" s="4">
        <v>93</v>
      </c>
      <c r="T11" s="4">
        <v>94</v>
      </c>
      <c r="U11" s="4">
        <v>48</v>
      </c>
      <c r="V11" s="4">
        <f>IF(ISERROR(VLOOKUP($S$11,'TAR FIN'!$A$1:$O$99,15,0)),0,VLOOKUP($S$11,'TAR FIN'!$A$1:$O$99,15,0))</f>
        <v>15.23</v>
      </c>
      <c r="W11" s="4">
        <f>IF(ISERROR(VLOOKUP($T$11,'TAR FIN'!$A$1:$O$99,15,0)),0,VLOOKUP($T$11,'TAR FIN'!$A$1:$O$99,15,0))</f>
        <v>65.13</v>
      </c>
      <c r="X11" s="4">
        <f>IF(ISERROR(VLOOKUP($U$11,'TAR FIN'!$A$1:$O$99,15,0)),0,VLOOKUP($U$11,'TAR FIN'!$A$1:$O$99,15,0))</f>
        <v>219.97</v>
      </c>
      <c r="Y11" s="4">
        <f ca="1">('TUSD BE'!$AM$6+'TUSD BF'!$AM$6+'TUSD CVA'!$AM$6)*1</f>
        <v>16.343876453142602</v>
      </c>
      <c r="Z11" s="4">
        <f ca="1">('TUSD BE'!$AM$7+'TUSD BF'!$AM$7+'TUSD CVA'!$AM$7)*1</f>
        <v>76.243476502957677</v>
      </c>
      <c r="AA11" s="4">
        <f>('TE BE'!$AA$6+'TE BF'!$AA$6+'TE CVA'!$AA$6)*1</f>
        <v>271.13910989737087</v>
      </c>
      <c r="AB11" s="4">
        <f>$K$11*$V$11</f>
        <v>3046</v>
      </c>
      <c r="AC11" s="4">
        <f>$M$11*$W$11</f>
        <v>2392.48542</v>
      </c>
      <c r="AD11" s="4">
        <f>$O$11*$X$11</f>
        <v>8080.3779800000002</v>
      </c>
      <c r="AE11" s="4">
        <f ca="1">$K$11*$Y$11</f>
        <v>3268.7752906285205</v>
      </c>
      <c r="AF11" s="4">
        <f ca="1">$M$11*$Z$11</f>
        <v>2800.7278658596474</v>
      </c>
      <c r="AG11" s="4">
        <f>$O$11*$AA$11</f>
        <v>9960.024062970022</v>
      </c>
    </row>
    <row r="12" spans="1:48" ht="11.25" customHeight="1" x14ac:dyDescent="0.25">
      <c r="A12" s="3" t="s">
        <v>21</v>
      </c>
      <c r="B12" s="3" t="s">
        <v>41</v>
      </c>
      <c r="C12" s="3" t="s">
        <v>42</v>
      </c>
      <c r="D12" s="3" t="s">
        <v>43</v>
      </c>
      <c r="E12" s="3" t="s">
        <v>25</v>
      </c>
      <c r="F12" s="3" t="s">
        <v>25</v>
      </c>
      <c r="G12" s="3" t="s">
        <v>25</v>
      </c>
      <c r="H12" s="3" t="s">
        <v>36</v>
      </c>
      <c r="I12" s="6">
        <v>44409</v>
      </c>
      <c r="J12" s="4">
        <v>2889</v>
      </c>
      <c r="K12" s="4">
        <v>2889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57</v>
      </c>
      <c r="R12" s="3">
        <v>0</v>
      </c>
      <c r="S12" s="4">
        <v>93</v>
      </c>
      <c r="T12" s="4">
        <v>0</v>
      </c>
      <c r="U12" s="4">
        <v>0</v>
      </c>
      <c r="V12" s="4">
        <f>IF(ISERROR(VLOOKUP($S$12,'TAR FIN'!$A$1:$O$99,15,0)),0,VLOOKUP($S$12,'TAR FIN'!$A$1:$O$99,15,0))</f>
        <v>15.23</v>
      </c>
      <c r="W12" s="4">
        <f>IF(ISERROR(VLOOKUP($T$12,'TAR FIN'!$A$1:$O$99,15,0)),0,VLOOKUP($T$12,'TAR FIN'!$A$1:$O$99,15,0))</f>
        <v>0</v>
      </c>
      <c r="X12" s="4">
        <f>IF(ISERROR(VLOOKUP($U$12,'TAR FIN'!$A$1:$O$99,15,0)),0,VLOOKUP($U$12,'TAR FIN'!$A$1:$O$99,15,0))</f>
        <v>0</v>
      </c>
      <c r="Y12" s="4">
        <f ca="1">('TUSD BE'!$AM$6+'TUSD BF'!$AM$6+'TUSD CVA'!$AM$6)*1</f>
        <v>16.343876453142602</v>
      </c>
      <c r="Z12" s="4">
        <f ca="1">('TUSD BE'!$AM$7+'TUSD BF'!$AM$7+'TUSD CVA'!$AM$7)*1</f>
        <v>76.243476502957677</v>
      </c>
      <c r="AA12" s="4"/>
      <c r="AB12" s="4">
        <f>$K$12*$V$12</f>
        <v>43999.47</v>
      </c>
      <c r="AC12" s="4">
        <f>$M$12*$W$12</f>
        <v>0</v>
      </c>
      <c r="AD12" s="4">
        <f>$O$12*$X$12</f>
        <v>0</v>
      </c>
      <c r="AE12" s="4">
        <f ca="1">$K$12*$Y$12</f>
        <v>47217.459073128979</v>
      </c>
      <c r="AF12" s="4">
        <f ca="1">$M$12*$Z$12</f>
        <v>0</v>
      </c>
      <c r="AG12" s="4">
        <f>$O$12*$AA$12</f>
        <v>0</v>
      </c>
      <c r="AU12" s="86">
        <f ca="1">AU10+SUBSIDIO!AJ11</f>
        <v>2384509618.4538903</v>
      </c>
    </row>
    <row r="13" spans="1:48" ht="11.25" customHeight="1" x14ac:dyDescent="0.25">
      <c r="A13" s="3" t="s">
        <v>21</v>
      </c>
      <c r="B13" s="3" t="s">
        <v>41</v>
      </c>
      <c r="C13" s="3" t="s">
        <v>42</v>
      </c>
      <c r="D13" s="3" t="s">
        <v>43</v>
      </c>
      <c r="E13" s="3" t="s">
        <v>25</v>
      </c>
      <c r="F13" s="3" t="s">
        <v>25</v>
      </c>
      <c r="G13" s="3" t="s">
        <v>25</v>
      </c>
      <c r="H13" s="3" t="s">
        <v>36</v>
      </c>
      <c r="I13" s="6">
        <v>44440</v>
      </c>
      <c r="J13" s="4">
        <v>200</v>
      </c>
      <c r="K13" s="4">
        <v>200</v>
      </c>
      <c r="L13" s="4">
        <v>39.317</v>
      </c>
      <c r="M13" s="4">
        <v>39.317</v>
      </c>
      <c r="N13" s="4">
        <v>39.317</v>
      </c>
      <c r="O13" s="4">
        <v>39.317</v>
      </c>
      <c r="P13" s="4">
        <v>0</v>
      </c>
      <c r="Q13" s="3" t="s">
        <v>26</v>
      </c>
      <c r="R13" s="3">
        <v>0</v>
      </c>
      <c r="S13" s="4">
        <v>93</v>
      </c>
      <c r="T13" s="4">
        <v>94</v>
      </c>
      <c r="U13" s="4">
        <v>48</v>
      </c>
      <c r="V13" s="4">
        <f>IF(ISERROR(VLOOKUP($S$13,'TAR FIN'!$A$1:$O$99,15,0)),0,VLOOKUP($S$13,'TAR FIN'!$A$1:$O$99,15,0))</f>
        <v>15.23</v>
      </c>
      <c r="W13" s="4">
        <f>IF(ISERROR(VLOOKUP($T$13,'TAR FIN'!$A$1:$O$99,15,0)),0,VLOOKUP($T$13,'TAR FIN'!$A$1:$O$99,15,0))</f>
        <v>65.13</v>
      </c>
      <c r="X13" s="4">
        <f>IF(ISERROR(VLOOKUP($U$13,'TAR FIN'!$A$1:$O$99,15,0)),0,VLOOKUP($U$13,'TAR FIN'!$A$1:$O$99,15,0))</f>
        <v>219.97</v>
      </c>
      <c r="Y13" s="4">
        <f ca="1">('TUSD BE'!$AM$6+'TUSD BF'!$AM$6+'TUSD CVA'!$AM$6)*1</f>
        <v>16.343876453142602</v>
      </c>
      <c r="Z13" s="4">
        <f ca="1">('TUSD BE'!$AM$7+'TUSD BF'!$AM$7+'TUSD CVA'!$AM$7)*1</f>
        <v>76.243476502957677</v>
      </c>
      <c r="AA13" s="4">
        <f>('TE BE'!$AA$6+'TE BF'!$AA$6+'TE CVA'!$AA$6)*1</f>
        <v>271.13910989737087</v>
      </c>
      <c r="AB13" s="4">
        <f>$K$13*$V$13</f>
        <v>3046</v>
      </c>
      <c r="AC13" s="4">
        <f>$M$13*$W$13</f>
        <v>2560.71621</v>
      </c>
      <c r="AD13" s="4">
        <f>$O$13*$X$13</f>
        <v>8648.5604899999998</v>
      </c>
      <c r="AE13" s="4">
        <f ca="1">$K$13*$Y$13</f>
        <v>3268.7752906285205</v>
      </c>
      <c r="AF13" s="4">
        <f ca="1">$M$13*$Z$13</f>
        <v>2997.6647656667869</v>
      </c>
      <c r="AG13" s="4">
        <f>$O$13*$AA$13</f>
        <v>10660.376383834931</v>
      </c>
    </row>
    <row r="14" spans="1:48" ht="11.25" customHeight="1" x14ac:dyDescent="0.25">
      <c r="A14" s="3" t="s">
        <v>21</v>
      </c>
      <c r="B14" s="3" t="s">
        <v>41</v>
      </c>
      <c r="C14" s="3" t="s">
        <v>42</v>
      </c>
      <c r="D14" s="3" t="s">
        <v>43</v>
      </c>
      <c r="E14" s="3" t="s">
        <v>25</v>
      </c>
      <c r="F14" s="3" t="s">
        <v>25</v>
      </c>
      <c r="G14" s="3" t="s">
        <v>25</v>
      </c>
      <c r="H14" s="3" t="s">
        <v>36</v>
      </c>
      <c r="I14" s="6">
        <v>44440</v>
      </c>
      <c r="J14" s="4">
        <v>3500</v>
      </c>
      <c r="K14" s="4">
        <v>3500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3" t="s">
        <v>57</v>
      </c>
      <c r="R14" s="3">
        <v>0</v>
      </c>
      <c r="S14" s="4">
        <v>93</v>
      </c>
      <c r="T14" s="4">
        <v>0</v>
      </c>
      <c r="U14" s="4">
        <v>0</v>
      </c>
      <c r="V14" s="4">
        <f>IF(ISERROR(VLOOKUP($S$14,'TAR FIN'!$A$1:$O$99,15,0)),0,VLOOKUP($S$14,'TAR FIN'!$A$1:$O$99,15,0))</f>
        <v>15.23</v>
      </c>
      <c r="W14" s="4">
        <f>IF(ISERROR(VLOOKUP($T$14,'TAR FIN'!$A$1:$O$99,15,0)),0,VLOOKUP($T$14,'TAR FIN'!$A$1:$O$99,15,0))</f>
        <v>0</v>
      </c>
      <c r="X14" s="4">
        <f>IF(ISERROR(VLOOKUP($U$14,'TAR FIN'!$A$1:$O$99,15,0)),0,VLOOKUP($U$14,'TAR FIN'!$A$1:$O$99,15,0))</f>
        <v>0</v>
      </c>
      <c r="Y14" s="4">
        <f ca="1">('TUSD BE'!$AM$6+'TUSD BF'!$AM$6+'TUSD CVA'!$AM$6)*1</f>
        <v>16.343876453142602</v>
      </c>
      <c r="Z14" s="4">
        <f ca="1">('TUSD BE'!$AM$7+'TUSD BF'!$AM$7+'TUSD CVA'!$AM$7)*1</f>
        <v>76.243476502957677</v>
      </c>
      <c r="AA14" s="4"/>
      <c r="AB14" s="4">
        <f>$K$14*$V$14</f>
        <v>53305</v>
      </c>
      <c r="AC14" s="4">
        <f>$M$14*$W$14</f>
        <v>0</v>
      </c>
      <c r="AD14" s="4">
        <f>$O$14*$X$14</f>
        <v>0</v>
      </c>
      <c r="AE14" s="4">
        <f ca="1">$K$14*$Y$14</f>
        <v>57203.56758599911</v>
      </c>
      <c r="AF14" s="4">
        <f ca="1">$M$14*$Z$14</f>
        <v>0</v>
      </c>
      <c r="AG14" s="4">
        <f>$O$14*$AA$14</f>
        <v>0</v>
      </c>
    </row>
    <row r="15" spans="1:48" ht="11.25" customHeight="1" x14ac:dyDescent="0.25">
      <c r="A15" s="3" t="s">
        <v>21</v>
      </c>
      <c r="B15" s="3" t="s">
        <v>41</v>
      </c>
      <c r="C15" s="3" t="s">
        <v>42</v>
      </c>
      <c r="D15" s="3" t="s">
        <v>43</v>
      </c>
      <c r="E15" s="3" t="s">
        <v>25</v>
      </c>
      <c r="F15" s="3" t="s">
        <v>25</v>
      </c>
      <c r="G15" s="3" t="s">
        <v>25</v>
      </c>
      <c r="H15" s="3" t="s">
        <v>36</v>
      </c>
      <c r="I15" s="6">
        <v>44470</v>
      </c>
      <c r="J15" s="4">
        <v>200</v>
      </c>
      <c r="K15" s="4">
        <v>200</v>
      </c>
      <c r="L15" s="4">
        <v>44.417000000000002</v>
      </c>
      <c r="M15" s="4">
        <v>44.417000000000002</v>
      </c>
      <c r="N15" s="4">
        <v>44.417000000000002</v>
      </c>
      <c r="O15" s="4">
        <v>44.417000000000002</v>
      </c>
      <c r="P15" s="4">
        <v>0</v>
      </c>
      <c r="Q15" s="3" t="s">
        <v>26</v>
      </c>
      <c r="R15" s="3">
        <v>0</v>
      </c>
      <c r="S15" s="4">
        <v>93</v>
      </c>
      <c r="T15" s="4">
        <v>94</v>
      </c>
      <c r="U15" s="4">
        <v>48</v>
      </c>
      <c r="V15" s="4">
        <f>IF(ISERROR(VLOOKUP($S$15,'TAR FIN'!$A$1:$O$99,15,0)),0,VLOOKUP($S$15,'TAR FIN'!$A$1:$O$99,15,0))</f>
        <v>15.23</v>
      </c>
      <c r="W15" s="4">
        <f>IF(ISERROR(VLOOKUP($T$15,'TAR FIN'!$A$1:$O$99,15,0)),0,VLOOKUP($T$15,'TAR FIN'!$A$1:$O$99,15,0))</f>
        <v>65.13</v>
      </c>
      <c r="X15" s="4">
        <f>IF(ISERROR(VLOOKUP($U$15,'TAR FIN'!$A$1:$O$99,15,0)),0,VLOOKUP($U$15,'TAR FIN'!$A$1:$O$99,15,0))</f>
        <v>219.97</v>
      </c>
      <c r="Y15" s="4">
        <f ca="1">('TUSD BE'!$AM$6+'TUSD BF'!$AM$6+'TUSD CVA'!$AM$6)*1</f>
        <v>16.343876453142602</v>
      </c>
      <c r="Z15" s="4">
        <f ca="1">('TUSD BE'!$AM$7+'TUSD BF'!$AM$7+'TUSD CVA'!$AM$7)*1</f>
        <v>76.243476502957677</v>
      </c>
      <c r="AA15" s="4">
        <f>('TE BE'!$AA$6+'TE BF'!$AA$6+'TE CVA'!$AA$6)*1</f>
        <v>271.13910989737087</v>
      </c>
      <c r="AB15" s="4">
        <f>$K$15*$V$15</f>
        <v>3046</v>
      </c>
      <c r="AC15" s="4">
        <f>$M$15*$W$15</f>
        <v>2892.8792100000001</v>
      </c>
      <c r="AD15" s="4">
        <f>$O$15*$X$15</f>
        <v>9770.4074899999996</v>
      </c>
      <c r="AE15" s="4">
        <f ca="1">$K$15*$Y$15</f>
        <v>3268.7752906285205</v>
      </c>
      <c r="AF15" s="4">
        <f ca="1">$M$15*$Z$15</f>
        <v>3386.5064958318712</v>
      </c>
      <c r="AG15" s="4">
        <f>$O$15*$AA$15</f>
        <v>12043.185844311522</v>
      </c>
    </row>
    <row r="16" spans="1:48" ht="11.25" customHeight="1" x14ac:dyDescent="0.25">
      <c r="A16" s="3" t="s">
        <v>21</v>
      </c>
      <c r="B16" s="3" t="s">
        <v>41</v>
      </c>
      <c r="C16" s="3" t="s">
        <v>42</v>
      </c>
      <c r="D16" s="3" t="s">
        <v>43</v>
      </c>
      <c r="E16" s="3" t="s">
        <v>25</v>
      </c>
      <c r="F16" s="3" t="s">
        <v>25</v>
      </c>
      <c r="G16" s="3" t="s">
        <v>25</v>
      </c>
      <c r="H16" s="3" t="s">
        <v>36</v>
      </c>
      <c r="I16" s="6">
        <v>44470</v>
      </c>
      <c r="J16" s="4">
        <v>3500</v>
      </c>
      <c r="K16" s="4">
        <v>3500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3" t="s">
        <v>57</v>
      </c>
      <c r="R16" s="3">
        <v>0</v>
      </c>
      <c r="S16" s="4">
        <v>93</v>
      </c>
      <c r="T16" s="4">
        <v>0</v>
      </c>
      <c r="U16" s="4">
        <v>0</v>
      </c>
      <c r="V16" s="4">
        <f>IF(ISERROR(VLOOKUP($S$16,'TAR FIN'!$A$1:$O$99,15,0)),0,VLOOKUP($S$16,'TAR FIN'!$A$1:$O$99,15,0))</f>
        <v>15.23</v>
      </c>
      <c r="W16" s="4">
        <f>IF(ISERROR(VLOOKUP($T$16,'TAR FIN'!$A$1:$O$99,15,0)),0,VLOOKUP($T$16,'TAR FIN'!$A$1:$O$99,15,0))</f>
        <v>0</v>
      </c>
      <c r="X16" s="4">
        <f>IF(ISERROR(VLOOKUP($U$16,'TAR FIN'!$A$1:$O$99,15,0)),0,VLOOKUP($U$16,'TAR FIN'!$A$1:$O$99,15,0))</f>
        <v>0</v>
      </c>
      <c r="Y16" s="4">
        <f ca="1">('TUSD BE'!$AM$6+'TUSD BF'!$AM$6+'TUSD CVA'!$AM$6)*1</f>
        <v>16.343876453142602</v>
      </c>
      <c r="Z16" s="4">
        <f ca="1">('TUSD BE'!$AM$7+'TUSD BF'!$AM$7+'TUSD CVA'!$AM$7)*1</f>
        <v>76.243476502957677</v>
      </c>
      <c r="AA16" s="4"/>
      <c r="AB16" s="4">
        <f>$K$16*$V$16</f>
        <v>53305</v>
      </c>
      <c r="AC16" s="4">
        <f>$M$16*$W$16</f>
        <v>0</v>
      </c>
      <c r="AD16" s="4">
        <f>$O$16*$X$16</f>
        <v>0</v>
      </c>
      <c r="AE16" s="4">
        <f ca="1">$K$16*$Y$16</f>
        <v>57203.56758599911</v>
      </c>
      <c r="AF16" s="4">
        <f ca="1">$M$16*$Z$16</f>
        <v>0</v>
      </c>
      <c r="AG16" s="4">
        <f>$O$16*$AA$16</f>
        <v>0</v>
      </c>
    </row>
    <row r="17" spans="1:33" ht="11.25" customHeight="1" x14ac:dyDescent="0.25">
      <c r="A17" s="3" t="s">
        <v>21</v>
      </c>
      <c r="B17" s="3" t="s">
        <v>41</v>
      </c>
      <c r="C17" s="3" t="s">
        <v>42</v>
      </c>
      <c r="D17" s="3" t="s">
        <v>43</v>
      </c>
      <c r="E17" s="3" t="s">
        <v>25</v>
      </c>
      <c r="F17" s="3" t="s">
        <v>25</v>
      </c>
      <c r="G17" s="3" t="s">
        <v>25</v>
      </c>
      <c r="H17" s="3" t="s">
        <v>36</v>
      </c>
      <c r="I17" s="6">
        <v>44501</v>
      </c>
      <c r="J17" s="4">
        <v>200</v>
      </c>
      <c r="K17" s="4">
        <v>200</v>
      </c>
      <c r="L17" s="4">
        <v>42.972000000000001</v>
      </c>
      <c r="M17" s="4">
        <v>42.972000000000001</v>
      </c>
      <c r="N17" s="4">
        <v>42.972000000000001</v>
      </c>
      <c r="O17" s="4">
        <v>42.972000000000001</v>
      </c>
      <c r="P17" s="4">
        <v>0</v>
      </c>
      <c r="Q17" s="3" t="s">
        <v>26</v>
      </c>
      <c r="R17" s="3">
        <v>0</v>
      </c>
      <c r="S17" s="4">
        <v>93</v>
      </c>
      <c r="T17" s="4">
        <v>94</v>
      </c>
      <c r="U17" s="4">
        <v>48</v>
      </c>
      <c r="V17" s="4">
        <f>IF(ISERROR(VLOOKUP($S$17,'TAR FIN'!$A$1:$O$99,15,0)),0,VLOOKUP($S$17,'TAR FIN'!$A$1:$O$99,15,0))</f>
        <v>15.23</v>
      </c>
      <c r="W17" s="4">
        <f>IF(ISERROR(VLOOKUP($T$17,'TAR FIN'!$A$1:$O$99,15,0)),0,VLOOKUP($T$17,'TAR FIN'!$A$1:$O$99,15,0))</f>
        <v>65.13</v>
      </c>
      <c r="X17" s="4">
        <f>IF(ISERROR(VLOOKUP($U$17,'TAR FIN'!$A$1:$O$99,15,0)),0,VLOOKUP($U$17,'TAR FIN'!$A$1:$O$99,15,0))</f>
        <v>219.97</v>
      </c>
      <c r="Y17" s="4">
        <f ca="1">('TUSD BE'!$AM$6+'TUSD BF'!$AM$6+'TUSD CVA'!$AM$6)*1</f>
        <v>16.343876453142602</v>
      </c>
      <c r="Z17" s="4">
        <f ca="1">('TUSD BE'!$AM$7+'TUSD BF'!$AM$7+'TUSD CVA'!$AM$7)*1</f>
        <v>76.243476502957677</v>
      </c>
      <c r="AA17" s="4">
        <f>('TE BE'!$AA$6+'TE BF'!$AA$6+'TE CVA'!$AA$6)*1</f>
        <v>271.13910989737087</v>
      </c>
      <c r="AB17" s="4">
        <f>$K$17*$V$17</f>
        <v>3046</v>
      </c>
      <c r="AC17" s="4">
        <f>$M$17*$W$17</f>
        <v>2798.7663600000001</v>
      </c>
      <c r="AD17" s="4">
        <f>$O$17*$X$17</f>
        <v>9452.5508399999999</v>
      </c>
      <c r="AE17" s="4">
        <f ca="1">$K$17*$Y$17</f>
        <v>3268.7752906285205</v>
      </c>
      <c r="AF17" s="4">
        <f ca="1">$M$17*$Z$17</f>
        <v>3276.3346722850974</v>
      </c>
      <c r="AG17" s="4">
        <f>$O$17*$AA$17</f>
        <v>11651.389830509821</v>
      </c>
    </row>
    <row r="18" spans="1:33" ht="11.25" customHeight="1" x14ac:dyDescent="0.25">
      <c r="A18" s="3" t="s">
        <v>21</v>
      </c>
      <c r="B18" s="3" t="s">
        <v>41</v>
      </c>
      <c r="C18" s="3" t="s">
        <v>42</v>
      </c>
      <c r="D18" s="3" t="s">
        <v>43</v>
      </c>
      <c r="E18" s="3" t="s">
        <v>25</v>
      </c>
      <c r="F18" s="3" t="s">
        <v>25</v>
      </c>
      <c r="G18" s="3" t="s">
        <v>25</v>
      </c>
      <c r="H18" s="3" t="s">
        <v>36</v>
      </c>
      <c r="I18" s="6">
        <v>44501</v>
      </c>
      <c r="J18" s="4">
        <v>3500</v>
      </c>
      <c r="K18" s="4">
        <v>3500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3" t="s">
        <v>57</v>
      </c>
      <c r="R18" s="3">
        <v>0</v>
      </c>
      <c r="S18" s="4">
        <v>93</v>
      </c>
      <c r="T18" s="4">
        <v>0</v>
      </c>
      <c r="U18" s="4">
        <v>0</v>
      </c>
      <c r="V18" s="4">
        <f>IF(ISERROR(VLOOKUP($S$18,'TAR FIN'!$A$1:$O$99,15,0)),0,VLOOKUP($S$18,'TAR FIN'!$A$1:$O$99,15,0))</f>
        <v>15.23</v>
      </c>
      <c r="W18" s="4">
        <f>IF(ISERROR(VLOOKUP($T$18,'TAR FIN'!$A$1:$O$99,15,0)),0,VLOOKUP($T$18,'TAR FIN'!$A$1:$O$99,15,0))</f>
        <v>0</v>
      </c>
      <c r="X18" s="4">
        <f>IF(ISERROR(VLOOKUP($U$18,'TAR FIN'!$A$1:$O$99,15,0)),0,VLOOKUP($U$18,'TAR FIN'!$A$1:$O$99,15,0))</f>
        <v>0</v>
      </c>
      <c r="Y18" s="4">
        <f ca="1">('TUSD BE'!$AM$6+'TUSD BF'!$AM$6+'TUSD CVA'!$AM$6)*1</f>
        <v>16.343876453142602</v>
      </c>
      <c r="Z18" s="4">
        <f ca="1">('TUSD BE'!$AM$7+'TUSD BF'!$AM$7+'TUSD CVA'!$AM$7)*1</f>
        <v>76.243476502957677</v>
      </c>
      <c r="AA18" s="4"/>
      <c r="AB18" s="4">
        <f>$K$18*$V$18</f>
        <v>53305</v>
      </c>
      <c r="AC18" s="4">
        <f>$M$18*$W$18</f>
        <v>0</v>
      </c>
      <c r="AD18" s="4">
        <f>$O$18*$X$18</f>
        <v>0</v>
      </c>
      <c r="AE18" s="4">
        <f ca="1">$K$18*$Y$18</f>
        <v>57203.56758599911</v>
      </c>
      <c r="AF18" s="4">
        <f ca="1">$M$18*$Z$18</f>
        <v>0</v>
      </c>
      <c r="AG18" s="4">
        <f>$O$18*$AA$18</f>
        <v>0</v>
      </c>
    </row>
    <row r="19" spans="1:33" ht="11.25" customHeight="1" x14ac:dyDescent="0.25">
      <c r="A19" s="3" t="s">
        <v>21</v>
      </c>
      <c r="B19" s="3" t="s">
        <v>41</v>
      </c>
      <c r="C19" s="3" t="s">
        <v>42</v>
      </c>
      <c r="D19" s="3" t="s">
        <v>43</v>
      </c>
      <c r="E19" s="3" t="s">
        <v>25</v>
      </c>
      <c r="F19" s="3" t="s">
        <v>25</v>
      </c>
      <c r="G19" s="3" t="s">
        <v>25</v>
      </c>
      <c r="H19" s="3" t="s">
        <v>36</v>
      </c>
      <c r="I19" s="6">
        <v>44531</v>
      </c>
      <c r="J19" s="4">
        <v>200</v>
      </c>
      <c r="K19" s="4">
        <v>200</v>
      </c>
      <c r="L19" s="4">
        <v>45.470999999999997</v>
      </c>
      <c r="M19" s="4">
        <v>45.470999999999997</v>
      </c>
      <c r="N19" s="4">
        <v>45.470999999999997</v>
      </c>
      <c r="O19" s="4">
        <v>45.470999999999997</v>
      </c>
      <c r="P19" s="4">
        <v>0</v>
      </c>
      <c r="Q19" s="3" t="s">
        <v>26</v>
      </c>
      <c r="R19" s="3">
        <v>0</v>
      </c>
      <c r="S19" s="4">
        <v>93</v>
      </c>
      <c r="T19" s="4">
        <v>94</v>
      </c>
      <c r="U19" s="4">
        <v>48</v>
      </c>
      <c r="V19" s="4">
        <f>IF(ISERROR(VLOOKUP($S$19,'TAR FIN'!$A$1:$O$99,15,0)),0,VLOOKUP($S$19,'TAR FIN'!$A$1:$O$99,15,0))</f>
        <v>15.23</v>
      </c>
      <c r="W19" s="4">
        <f>IF(ISERROR(VLOOKUP($T$19,'TAR FIN'!$A$1:$O$99,15,0)),0,VLOOKUP($T$19,'TAR FIN'!$A$1:$O$99,15,0))</f>
        <v>65.13</v>
      </c>
      <c r="X19" s="4">
        <f>IF(ISERROR(VLOOKUP($U$19,'TAR FIN'!$A$1:$O$99,15,0)),0,VLOOKUP($U$19,'TAR FIN'!$A$1:$O$99,15,0))</f>
        <v>219.97</v>
      </c>
      <c r="Y19" s="4">
        <f ca="1">('TUSD BE'!$AM$6+'TUSD BF'!$AM$6+'TUSD CVA'!$AM$6)*1</f>
        <v>16.343876453142602</v>
      </c>
      <c r="Z19" s="4">
        <f ca="1">('TUSD BE'!$AM$7+'TUSD BF'!$AM$7+'TUSD CVA'!$AM$7)*1</f>
        <v>76.243476502957677</v>
      </c>
      <c r="AA19" s="4">
        <f>('TE BE'!$AA$6+'TE BF'!$AA$6+'TE CVA'!$AA$6)*1</f>
        <v>271.13910989737087</v>
      </c>
      <c r="AB19" s="4">
        <f>$K$19*$V$19</f>
        <v>3046</v>
      </c>
      <c r="AC19" s="4">
        <f>$M$19*$W$19</f>
        <v>2961.5262299999995</v>
      </c>
      <c r="AD19" s="4">
        <f>$O$19*$X$19</f>
        <v>10002.255869999999</v>
      </c>
      <c r="AE19" s="4">
        <f ca="1">$K$19*$Y$19</f>
        <v>3268.7752906285205</v>
      </c>
      <c r="AF19" s="4">
        <f ca="1">$M$19*$Z$19</f>
        <v>3466.8671200659883</v>
      </c>
      <c r="AG19" s="4">
        <f>$O$19*$AA$19</f>
        <v>12328.966466143351</v>
      </c>
    </row>
    <row r="20" spans="1:33" ht="11.25" customHeight="1" x14ac:dyDescent="0.25">
      <c r="A20" s="3" t="s">
        <v>21</v>
      </c>
      <c r="B20" s="3" t="s">
        <v>41</v>
      </c>
      <c r="C20" s="3" t="s">
        <v>42</v>
      </c>
      <c r="D20" s="3" t="s">
        <v>43</v>
      </c>
      <c r="E20" s="3" t="s">
        <v>25</v>
      </c>
      <c r="F20" s="3" t="s">
        <v>25</v>
      </c>
      <c r="G20" s="3" t="s">
        <v>25</v>
      </c>
      <c r="H20" s="3" t="s">
        <v>36</v>
      </c>
      <c r="I20" s="6">
        <v>44531</v>
      </c>
      <c r="J20" s="4">
        <v>3500</v>
      </c>
      <c r="K20" s="4">
        <v>3500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3" t="s">
        <v>57</v>
      </c>
      <c r="R20" s="3">
        <v>0</v>
      </c>
      <c r="S20" s="4">
        <v>93</v>
      </c>
      <c r="T20" s="4">
        <v>0</v>
      </c>
      <c r="U20" s="4">
        <v>0</v>
      </c>
      <c r="V20" s="4">
        <f>IF(ISERROR(VLOOKUP($S$20,'TAR FIN'!$A$1:$O$99,15,0)),0,VLOOKUP($S$20,'TAR FIN'!$A$1:$O$99,15,0))</f>
        <v>15.23</v>
      </c>
      <c r="W20" s="4">
        <f>IF(ISERROR(VLOOKUP($T$20,'TAR FIN'!$A$1:$O$99,15,0)),0,VLOOKUP($T$20,'TAR FIN'!$A$1:$O$99,15,0))</f>
        <v>0</v>
      </c>
      <c r="X20" s="4">
        <f>IF(ISERROR(VLOOKUP($U$20,'TAR FIN'!$A$1:$O$99,15,0)),0,VLOOKUP($U$20,'TAR FIN'!$A$1:$O$99,15,0))</f>
        <v>0</v>
      </c>
      <c r="Y20" s="4">
        <f ca="1">('TUSD BE'!$AM$6+'TUSD BF'!$AM$6+'TUSD CVA'!$AM$6)*1</f>
        <v>16.343876453142602</v>
      </c>
      <c r="Z20" s="4">
        <f ca="1">('TUSD BE'!$AM$7+'TUSD BF'!$AM$7+'TUSD CVA'!$AM$7)*1</f>
        <v>76.243476502957677</v>
      </c>
      <c r="AA20" s="4"/>
      <c r="AB20" s="4">
        <f>$K$20*$V$20</f>
        <v>53305</v>
      </c>
      <c r="AC20" s="4">
        <f>$M$20*$W$20</f>
        <v>0</v>
      </c>
      <c r="AD20" s="4">
        <f>$O$20*$X$20</f>
        <v>0</v>
      </c>
      <c r="AE20" s="4">
        <f ca="1">$K$20*$Y$20</f>
        <v>57203.56758599911</v>
      </c>
      <c r="AF20" s="4">
        <f ca="1">$M$20*$Z$20</f>
        <v>0</v>
      </c>
      <c r="AG20" s="4">
        <f>$O$20*$AA$20</f>
        <v>0</v>
      </c>
    </row>
    <row r="21" spans="1:33" ht="11.25" customHeight="1" x14ac:dyDescent="0.25">
      <c r="A21" s="3" t="s">
        <v>21</v>
      </c>
      <c r="B21" s="3" t="s">
        <v>41</v>
      </c>
      <c r="C21" s="3" t="s">
        <v>42</v>
      </c>
      <c r="D21" s="3" t="s">
        <v>43</v>
      </c>
      <c r="E21" s="3" t="s">
        <v>25</v>
      </c>
      <c r="F21" s="3" t="s">
        <v>25</v>
      </c>
      <c r="G21" s="3" t="s">
        <v>25</v>
      </c>
      <c r="H21" s="3" t="s">
        <v>36</v>
      </c>
      <c r="I21" s="6">
        <v>44562</v>
      </c>
      <c r="J21" s="4">
        <v>200</v>
      </c>
      <c r="K21" s="4">
        <v>200</v>
      </c>
      <c r="L21" s="4">
        <v>46.872999999999998</v>
      </c>
      <c r="M21" s="4">
        <v>46.872999999999998</v>
      </c>
      <c r="N21" s="4">
        <v>46.872999999999998</v>
      </c>
      <c r="O21" s="4">
        <v>46.872999999999998</v>
      </c>
      <c r="P21" s="4">
        <v>0</v>
      </c>
      <c r="Q21" s="3" t="s">
        <v>26</v>
      </c>
      <c r="R21" s="3">
        <v>0</v>
      </c>
      <c r="S21" s="4">
        <v>93</v>
      </c>
      <c r="T21" s="4">
        <v>94</v>
      </c>
      <c r="U21" s="4">
        <v>48</v>
      </c>
      <c r="V21" s="4">
        <f>IF(ISERROR(VLOOKUP($S$21,'TAR FIN'!$A$1:$O$99,15,0)),0,VLOOKUP($S$21,'TAR FIN'!$A$1:$O$99,15,0))</f>
        <v>15.23</v>
      </c>
      <c r="W21" s="4">
        <f>IF(ISERROR(VLOOKUP($T$21,'TAR FIN'!$A$1:$O$99,15,0)),0,VLOOKUP($T$21,'TAR FIN'!$A$1:$O$99,15,0))</f>
        <v>65.13</v>
      </c>
      <c r="X21" s="4">
        <f>IF(ISERROR(VLOOKUP($U$21,'TAR FIN'!$A$1:$O$99,15,0)),0,VLOOKUP($U$21,'TAR FIN'!$A$1:$O$99,15,0))</f>
        <v>219.97</v>
      </c>
      <c r="Y21" s="4">
        <f ca="1">('TUSD BE'!$AM$6+'TUSD BF'!$AM$6+'TUSD CVA'!$AM$6)*1</f>
        <v>16.343876453142602</v>
      </c>
      <c r="Z21" s="4">
        <f ca="1">('TUSD BE'!$AM$7+'TUSD BF'!$AM$7+'TUSD CVA'!$AM$7)*1</f>
        <v>76.243476502957677</v>
      </c>
      <c r="AA21" s="4">
        <f>('TE BE'!$AA$6+'TE BF'!$AA$6+'TE CVA'!$AA$6)*1</f>
        <v>271.13910989737087</v>
      </c>
      <c r="AB21" s="4">
        <f>$K$21*$V$21</f>
        <v>3046</v>
      </c>
      <c r="AC21" s="4">
        <f>$M$21*$W$21</f>
        <v>3052.8384899999996</v>
      </c>
      <c r="AD21" s="4">
        <f>$O$21*$X$21</f>
        <v>10310.65381</v>
      </c>
      <c r="AE21" s="4">
        <f ca="1">$K$21*$Y$21</f>
        <v>3268.7752906285205</v>
      </c>
      <c r="AF21" s="4">
        <f ca="1">$M$21*$Z$21</f>
        <v>3573.7604741231348</v>
      </c>
      <c r="AG21" s="4">
        <f>$O$21*$AA$21</f>
        <v>12709.103498219465</v>
      </c>
    </row>
    <row r="22" spans="1:33" ht="11.25" customHeight="1" x14ac:dyDescent="0.25">
      <c r="A22" s="3" t="s">
        <v>21</v>
      </c>
      <c r="B22" s="3" t="s">
        <v>41</v>
      </c>
      <c r="C22" s="3" t="s">
        <v>42</v>
      </c>
      <c r="D22" s="3" t="s">
        <v>43</v>
      </c>
      <c r="E22" s="3" t="s">
        <v>25</v>
      </c>
      <c r="F22" s="3" t="s">
        <v>25</v>
      </c>
      <c r="G22" s="3" t="s">
        <v>25</v>
      </c>
      <c r="H22" s="3" t="s">
        <v>36</v>
      </c>
      <c r="I22" s="6">
        <v>44562</v>
      </c>
      <c r="J22" s="4">
        <v>3500</v>
      </c>
      <c r="K22" s="4">
        <v>3500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3" t="s">
        <v>57</v>
      </c>
      <c r="R22" s="3">
        <v>0</v>
      </c>
      <c r="S22" s="4">
        <v>93</v>
      </c>
      <c r="T22" s="4">
        <v>0</v>
      </c>
      <c r="U22" s="4">
        <v>0</v>
      </c>
      <c r="V22" s="4">
        <f>IF(ISERROR(VLOOKUP($S$22,'TAR FIN'!$A$1:$O$99,15,0)),0,VLOOKUP($S$22,'TAR FIN'!$A$1:$O$99,15,0))</f>
        <v>15.23</v>
      </c>
      <c r="W22" s="4">
        <f>IF(ISERROR(VLOOKUP($T$22,'TAR FIN'!$A$1:$O$99,15,0)),0,VLOOKUP($T$22,'TAR FIN'!$A$1:$O$99,15,0))</f>
        <v>0</v>
      </c>
      <c r="X22" s="4">
        <f>IF(ISERROR(VLOOKUP($U$22,'TAR FIN'!$A$1:$O$99,15,0)),0,VLOOKUP($U$22,'TAR FIN'!$A$1:$O$99,15,0))</f>
        <v>0</v>
      </c>
      <c r="Y22" s="4">
        <f ca="1">('TUSD BE'!$AM$6+'TUSD BF'!$AM$6+'TUSD CVA'!$AM$6)*1</f>
        <v>16.343876453142602</v>
      </c>
      <c r="Z22" s="4">
        <f ca="1">('TUSD BE'!$AM$7+'TUSD BF'!$AM$7+'TUSD CVA'!$AM$7)*1</f>
        <v>76.243476502957677</v>
      </c>
      <c r="AA22" s="4"/>
      <c r="AB22" s="4">
        <f>$K$22*$V$22</f>
        <v>53305</v>
      </c>
      <c r="AC22" s="4">
        <f>$M$22*$W$22</f>
        <v>0</v>
      </c>
      <c r="AD22" s="4">
        <f>$O$22*$X$22</f>
        <v>0</v>
      </c>
      <c r="AE22" s="4">
        <f ca="1">$K$22*$Y$22</f>
        <v>57203.56758599911</v>
      </c>
      <c r="AF22" s="4">
        <f ca="1">$M$22*$Z$22</f>
        <v>0</v>
      </c>
      <c r="AG22" s="4">
        <f>$O$22*$AA$22</f>
        <v>0</v>
      </c>
    </row>
    <row r="23" spans="1:33" ht="11.25" customHeight="1" x14ac:dyDescent="0.25">
      <c r="A23" s="3" t="s">
        <v>21</v>
      </c>
      <c r="B23" s="3" t="s">
        <v>41</v>
      </c>
      <c r="C23" s="3" t="s">
        <v>42</v>
      </c>
      <c r="D23" s="3" t="s">
        <v>43</v>
      </c>
      <c r="E23" s="3" t="s">
        <v>25</v>
      </c>
      <c r="F23" s="3" t="s">
        <v>25</v>
      </c>
      <c r="G23" s="3" t="s">
        <v>25</v>
      </c>
      <c r="H23" s="3" t="s">
        <v>36</v>
      </c>
      <c r="I23" s="6">
        <v>44593</v>
      </c>
      <c r="J23" s="4">
        <v>200</v>
      </c>
      <c r="K23" s="4">
        <v>200</v>
      </c>
      <c r="L23" s="4">
        <v>44.387999999999998</v>
      </c>
      <c r="M23" s="4">
        <v>44.387999999999998</v>
      </c>
      <c r="N23" s="4">
        <v>44.387999999999998</v>
      </c>
      <c r="O23" s="4">
        <v>44.387999999999998</v>
      </c>
      <c r="P23" s="4">
        <v>0</v>
      </c>
      <c r="Q23" s="3" t="s">
        <v>26</v>
      </c>
      <c r="R23" s="3">
        <v>0</v>
      </c>
      <c r="S23" s="4">
        <v>93</v>
      </c>
      <c r="T23" s="4">
        <v>94</v>
      </c>
      <c r="U23" s="4">
        <v>48</v>
      </c>
      <c r="V23" s="4">
        <f>IF(ISERROR(VLOOKUP($S$23,'TAR FIN'!$A$1:$O$99,15,0)),0,VLOOKUP($S$23,'TAR FIN'!$A$1:$O$99,15,0))</f>
        <v>15.23</v>
      </c>
      <c r="W23" s="4">
        <f>IF(ISERROR(VLOOKUP($T$23,'TAR FIN'!$A$1:$O$99,15,0)),0,VLOOKUP($T$23,'TAR FIN'!$A$1:$O$99,15,0))</f>
        <v>65.13</v>
      </c>
      <c r="X23" s="4">
        <f>IF(ISERROR(VLOOKUP($U$23,'TAR FIN'!$A$1:$O$99,15,0)),0,VLOOKUP($U$23,'TAR FIN'!$A$1:$O$99,15,0))</f>
        <v>219.97</v>
      </c>
      <c r="Y23" s="4">
        <f ca="1">('TUSD BE'!$AM$6+'TUSD BF'!$AM$6+'TUSD CVA'!$AM$6)*1</f>
        <v>16.343876453142602</v>
      </c>
      <c r="Z23" s="4">
        <f ca="1">('TUSD BE'!$AM$7+'TUSD BF'!$AM$7+'TUSD CVA'!$AM$7)*1</f>
        <v>76.243476502957677</v>
      </c>
      <c r="AA23" s="4">
        <f>('TE BE'!$AA$6+'TE BF'!$AA$6+'TE CVA'!$AA$6)*1</f>
        <v>271.13910989737087</v>
      </c>
      <c r="AB23" s="4">
        <f>$K$23*$V$23</f>
        <v>3046</v>
      </c>
      <c r="AC23" s="4">
        <f>$M$23*$W$23</f>
        <v>2890.9904399999996</v>
      </c>
      <c r="AD23" s="4">
        <f>$O$23*$X$23</f>
        <v>9764.0283600000002</v>
      </c>
      <c r="AE23" s="4">
        <f ca="1">$K$23*$Y$23</f>
        <v>3268.7752906285205</v>
      </c>
      <c r="AF23" s="4">
        <f ca="1">$M$23*$Z$23</f>
        <v>3384.295435013285</v>
      </c>
      <c r="AG23" s="4">
        <f>$O$23*$AA$23</f>
        <v>12035.322810124499</v>
      </c>
    </row>
    <row r="24" spans="1:33" ht="11.25" customHeight="1" x14ac:dyDescent="0.25">
      <c r="A24" s="3" t="s">
        <v>21</v>
      </c>
      <c r="B24" s="3" t="s">
        <v>41</v>
      </c>
      <c r="C24" s="3" t="s">
        <v>42</v>
      </c>
      <c r="D24" s="3" t="s">
        <v>43</v>
      </c>
      <c r="E24" s="3" t="s">
        <v>25</v>
      </c>
      <c r="F24" s="3" t="s">
        <v>25</v>
      </c>
      <c r="G24" s="3" t="s">
        <v>25</v>
      </c>
      <c r="H24" s="3" t="s">
        <v>36</v>
      </c>
      <c r="I24" s="6">
        <v>44593</v>
      </c>
      <c r="J24" s="4">
        <v>3500</v>
      </c>
      <c r="K24" s="4">
        <v>3500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3" t="s">
        <v>57</v>
      </c>
      <c r="R24" s="3">
        <v>0</v>
      </c>
      <c r="S24" s="4">
        <v>93</v>
      </c>
      <c r="T24" s="4">
        <v>0</v>
      </c>
      <c r="U24" s="4">
        <v>0</v>
      </c>
      <c r="V24" s="4">
        <f>IF(ISERROR(VLOOKUP($S$24,'TAR FIN'!$A$1:$O$99,15,0)),0,VLOOKUP($S$24,'TAR FIN'!$A$1:$O$99,15,0))</f>
        <v>15.23</v>
      </c>
      <c r="W24" s="4">
        <f>IF(ISERROR(VLOOKUP($T$24,'TAR FIN'!$A$1:$O$99,15,0)),0,VLOOKUP($T$24,'TAR FIN'!$A$1:$O$99,15,0))</f>
        <v>0</v>
      </c>
      <c r="X24" s="4">
        <f>IF(ISERROR(VLOOKUP($U$24,'TAR FIN'!$A$1:$O$99,15,0)),0,VLOOKUP($U$24,'TAR FIN'!$A$1:$O$99,15,0))</f>
        <v>0</v>
      </c>
      <c r="Y24" s="4">
        <f ca="1">('TUSD BE'!$AM$6+'TUSD BF'!$AM$6+'TUSD CVA'!$AM$6)*1</f>
        <v>16.343876453142602</v>
      </c>
      <c r="Z24" s="4">
        <f ca="1">('TUSD BE'!$AM$7+'TUSD BF'!$AM$7+'TUSD CVA'!$AM$7)*1</f>
        <v>76.243476502957677</v>
      </c>
      <c r="AA24" s="4"/>
      <c r="AB24" s="4">
        <f>$K$24*$V$24</f>
        <v>53305</v>
      </c>
      <c r="AC24" s="4">
        <f>$M$24*$W$24</f>
        <v>0</v>
      </c>
      <c r="AD24" s="4">
        <f>$O$24*$X$24</f>
        <v>0</v>
      </c>
      <c r="AE24" s="4">
        <f ca="1">$K$24*$Y$24</f>
        <v>57203.56758599911</v>
      </c>
      <c r="AF24" s="4">
        <f ca="1">$M$24*$Z$24</f>
        <v>0</v>
      </c>
      <c r="AG24" s="4">
        <f>$O$24*$AA$24</f>
        <v>0</v>
      </c>
    </row>
    <row r="25" spans="1:33" ht="11.25" customHeight="1" x14ac:dyDescent="0.25">
      <c r="A25" s="3" t="s">
        <v>21</v>
      </c>
      <c r="B25" s="3" t="s">
        <v>41</v>
      </c>
      <c r="C25" s="3" t="s">
        <v>42</v>
      </c>
      <c r="D25" s="3" t="s">
        <v>43</v>
      </c>
      <c r="E25" s="3" t="s">
        <v>25</v>
      </c>
      <c r="F25" s="3" t="s">
        <v>25</v>
      </c>
      <c r="G25" s="3" t="s">
        <v>25</v>
      </c>
      <c r="H25" s="3" t="s">
        <v>36</v>
      </c>
      <c r="I25" s="6">
        <v>44621</v>
      </c>
      <c r="J25" s="4">
        <v>200</v>
      </c>
      <c r="K25" s="4">
        <v>200</v>
      </c>
      <c r="L25" s="4">
        <v>42.975000000000001</v>
      </c>
      <c r="M25" s="4">
        <v>42.975000000000001</v>
      </c>
      <c r="N25" s="4">
        <v>42.975000000000001</v>
      </c>
      <c r="O25" s="4">
        <v>42.975000000000001</v>
      </c>
      <c r="P25" s="4">
        <v>0</v>
      </c>
      <c r="Q25" s="3" t="s">
        <v>26</v>
      </c>
      <c r="R25" s="3">
        <v>0</v>
      </c>
      <c r="S25" s="4">
        <v>93</v>
      </c>
      <c r="T25" s="4">
        <v>94</v>
      </c>
      <c r="U25" s="4">
        <v>48</v>
      </c>
      <c r="V25" s="4">
        <f>IF(ISERROR(VLOOKUP($S$25,'TAR FIN'!$A$1:$O$99,15,0)),0,VLOOKUP($S$25,'TAR FIN'!$A$1:$O$99,15,0))</f>
        <v>15.23</v>
      </c>
      <c r="W25" s="4">
        <f>IF(ISERROR(VLOOKUP($T$25,'TAR FIN'!$A$1:$O$99,15,0)),0,VLOOKUP($T$25,'TAR FIN'!$A$1:$O$99,15,0))</f>
        <v>65.13</v>
      </c>
      <c r="X25" s="4">
        <f>IF(ISERROR(VLOOKUP($U$25,'TAR FIN'!$A$1:$O$99,15,0)),0,VLOOKUP($U$25,'TAR FIN'!$A$1:$O$99,15,0))</f>
        <v>219.97</v>
      </c>
      <c r="Y25" s="4">
        <f ca="1">('TUSD BE'!$AM$6+'TUSD BF'!$AM$6+'TUSD CVA'!$AM$6)*1</f>
        <v>16.343876453142602</v>
      </c>
      <c r="Z25" s="4">
        <f ca="1">('TUSD BE'!$AM$7+'TUSD BF'!$AM$7+'TUSD CVA'!$AM$7)*1</f>
        <v>76.243476502957677</v>
      </c>
      <c r="AA25" s="4">
        <f>('TE BE'!$AA$6+'TE BF'!$AA$6+'TE CVA'!$AA$6)*1</f>
        <v>271.13910989737087</v>
      </c>
      <c r="AB25" s="4">
        <f>$K$25*$V$25</f>
        <v>3046</v>
      </c>
      <c r="AC25" s="4">
        <f>$M$25*$W$25</f>
        <v>2798.9617499999999</v>
      </c>
      <c r="AD25" s="4">
        <f>$O$25*$X$25</f>
        <v>9453.2107500000002</v>
      </c>
      <c r="AE25" s="4">
        <f ca="1">$K$25*$Y$25</f>
        <v>3268.7752906285205</v>
      </c>
      <c r="AF25" s="4">
        <f ca="1">$M$25*$Z$25</f>
        <v>3276.5634027146061</v>
      </c>
      <c r="AG25" s="4">
        <f>$O$25*$AA$25</f>
        <v>11652.203247839514</v>
      </c>
    </row>
    <row r="26" spans="1:33" ht="11.25" customHeight="1" x14ac:dyDescent="0.25">
      <c r="A26" s="3" t="s">
        <v>21</v>
      </c>
      <c r="B26" s="3" t="s">
        <v>41</v>
      </c>
      <c r="C26" s="3" t="s">
        <v>42</v>
      </c>
      <c r="D26" s="3" t="s">
        <v>43</v>
      </c>
      <c r="E26" s="3" t="s">
        <v>25</v>
      </c>
      <c r="F26" s="3" t="s">
        <v>25</v>
      </c>
      <c r="G26" s="3" t="s">
        <v>25</v>
      </c>
      <c r="H26" s="3" t="s">
        <v>36</v>
      </c>
      <c r="I26" s="6">
        <v>44621</v>
      </c>
      <c r="J26" s="4">
        <v>3500</v>
      </c>
      <c r="K26" s="4">
        <v>3500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3" t="s">
        <v>57</v>
      </c>
      <c r="R26" s="3">
        <v>0</v>
      </c>
      <c r="S26" s="4">
        <v>93</v>
      </c>
      <c r="T26" s="4">
        <v>0</v>
      </c>
      <c r="U26" s="4">
        <v>0</v>
      </c>
      <c r="V26" s="4">
        <f>IF(ISERROR(VLOOKUP($S$26,'TAR FIN'!$A$1:$O$99,15,0)),0,VLOOKUP($S$26,'TAR FIN'!$A$1:$O$99,15,0))</f>
        <v>15.23</v>
      </c>
      <c r="W26" s="4">
        <f>IF(ISERROR(VLOOKUP($T$26,'TAR FIN'!$A$1:$O$99,15,0)),0,VLOOKUP($T$26,'TAR FIN'!$A$1:$O$99,15,0))</f>
        <v>0</v>
      </c>
      <c r="X26" s="4">
        <f>IF(ISERROR(VLOOKUP($U$26,'TAR FIN'!$A$1:$O$99,15,0)),0,VLOOKUP($U$26,'TAR FIN'!$A$1:$O$99,15,0))</f>
        <v>0</v>
      </c>
      <c r="Y26" s="4">
        <f ca="1">('TUSD BE'!$AM$6+'TUSD BF'!$AM$6+'TUSD CVA'!$AM$6)*1</f>
        <v>16.343876453142602</v>
      </c>
      <c r="Z26" s="4">
        <f ca="1">('TUSD BE'!$AM$7+'TUSD BF'!$AM$7+'TUSD CVA'!$AM$7)*1</f>
        <v>76.243476502957677</v>
      </c>
      <c r="AA26" s="4"/>
      <c r="AB26" s="4">
        <f>$K$26*$V$26</f>
        <v>53305</v>
      </c>
      <c r="AC26" s="4">
        <f>$M$26*$W$26</f>
        <v>0</v>
      </c>
      <c r="AD26" s="4">
        <f>$O$26*$X$26</f>
        <v>0</v>
      </c>
      <c r="AE26" s="4">
        <f ca="1">$K$26*$Y$26</f>
        <v>57203.56758599911</v>
      </c>
      <c r="AF26" s="4">
        <f ca="1">$M$26*$Z$26</f>
        <v>0</v>
      </c>
      <c r="AG26" s="4">
        <f>$O$26*$AA$26</f>
        <v>0</v>
      </c>
    </row>
    <row r="27" spans="1:33" ht="11.25" customHeight="1" x14ac:dyDescent="0.25">
      <c r="A27" s="3" t="s">
        <v>56</v>
      </c>
      <c r="B27" s="3" t="s">
        <v>41</v>
      </c>
      <c r="C27" s="3" t="s">
        <v>42</v>
      </c>
      <c r="D27" s="3" t="s">
        <v>43</v>
      </c>
      <c r="E27" s="3" t="s">
        <v>25</v>
      </c>
      <c r="F27" s="3" t="s">
        <v>25</v>
      </c>
      <c r="G27" s="3" t="s">
        <v>25</v>
      </c>
      <c r="H27" s="3" t="s">
        <v>36</v>
      </c>
      <c r="I27" s="6">
        <v>44652</v>
      </c>
      <c r="J27" s="4">
        <v>200</v>
      </c>
      <c r="K27" s="4">
        <v>200</v>
      </c>
      <c r="L27" s="4">
        <v>42.975000000000001</v>
      </c>
      <c r="M27" s="4">
        <v>42.975000000000001</v>
      </c>
      <c r="N27" s="4">
        <v>42.975000000000001</v>
      </c>
      <c r="O27" s="4">
        <v>42.975000000000001</v>
      </c>
      <c r="P27" s="4">
        <v>0</v>
      </c>
      <c r="Q27" s="3" t="s">
        <v>26</v>
      </c>
      <c r="R27" s="3">
        <v>0</v>
      </c>
      <c r="S27" s="4">
        <v>93</v>
      </c>
      <c r="T27" s="4">
        <v>94</v>
      </c>
      <c r="U27" s="4">
        <v>48</v>
      </c>
      <c r="V27" s="4">
        <f>IF(ISERROR(VLOOKUP($S$27,'TAR FIN'!$A$1:$O$99,15,0)),0,VLOOKUP($S$27,'TAR FIN'!$A$1:$O$99,15,0))</f>
        <v>15.23</v>
      </c>
      <c r="W27" s="4">
        <f>IF(ISERROR(VLOOKUP($T$27,'TAR FIN'!$A$1:$O$99,15,0)),0,VLOOKUP($T$27,'TAR FIN'!$A$1:$O$99,15,0))</f>
        <v>65.13</v>
      </c>
      <c r="X27" s="4">
        <f>IF(ISERROR(VLOOKUP($U$27,'TAR FIN'!$A$1:$O$99,15,0)),0,VLOOKUP($U$27,'TAR FIN'!$A$1:$O$99,15,0))</f>
        <v>219.97</v>
      </c>
      <c r="Y27" s="4">
        <f ca="1">('TUSD BE'!$AM$6+'TUSD BF'!$AM$6+'TUSD CVA'!$AM$6)*1</f>
        <v>16.343876453142602</v>
      </c>
      <c r="Z27" s="4">
        <f ca="1">('TUSD BE'!$AM$7+'TUSD BF'!$AM$7+'TUSD CVA'!$AM$7)*1</f>
        <v>76.243476502957677</v>
      </c>
      <c r="AA27" s="4">
        <f>('TE BE'!$AA$6+'TE BF'!$AA$6+'TE CVA'!$AA$6)*1</f>
        <v>271.13910989737087</v>
      </c>
      <c r="AB27" s="4">
        <f>$K$27*$V$27</f>
        <v>3046</v>
      </c>
      <c r="AC27" s="4">
        <f>$M$27*$W$27</f>
        <v>2798.9617499999999</v>
      </c>
      <c r="AD27" s="4">
        <f>$O$27*$X$27</f>
        <v>9453.2107500000002</v>
      </c>
      <c r="AE27" s="4">
        <f ca="1">$K$27*$Y$27</f>
        <v>3268.7752906285205</v>
      </c>
      <c r="AF27" s="4">
        <f ca="1">$M$27*$Z$27</f>
        <v>3276.5634027146061</v>
      </c>
      <c r="AG27" s="4">
        <f>$O$27*$AA$27</f>
        <v>11652.203247839514</v>
      </c>
    </row>
    <row r="28" spans="1:33" ht="11.25" customHeight="1" x14ac:dyDescent="0.25">
      <c r="A28" s="3" t="s">
        <v>56</v>
      </c>
      <c r="B28" s="3" t="s">
        <v>41</v>
      </c>
      <c r="C28" s="3" t="s">
        <v>42</v>
      </c>
      <c r="D28" s="3" t="s">
        <v>43</v>
      </c>
      <c r="E28" s="3" t="s">
        <v>25</v>
      </c>
      <c r="F28" s="3" t="s">
        <v>25</v>
      </c>
      <c r="G28" s="3" t="s">
        <v>25</v>
      </c>
      <c r="H28" s="3" t="s">
        <v>36</v>
      </c>
      <c r="I28" s="6">
        <v>44652</v>
      </c>
      <c r="J28" s="4">
        <v>3500</v>
      </c>
      <c r="K28" s="4">
        <v>3500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3" t="s">
        <v>57</v>
      </c>
      <c r="R28" s="3">
        <v>0</v>
      </c>
      <c r="S28" s="4">
        <v>93</v>
      </c>
      <c r="T28" s="4">
        <v>0</v>
      </c>
      <c r="U28" s="4">
        <v>0</v>
      </c>
      <c r="V28" s="4">
        <f>IF(ISERROR(VLOOKUP($S$28,'TAR FIN'!$A$1:$O$99,15,0)),0,VLOOKUP($S$28,'TAR FIN'!$A$1:$O$99,15,0))</f>
        <v>15.23</v>
      </c>
      <c r="W28" s="4">
        <f>IF(ISERROR(VLOOKUP($T$28,'TAR FIN'!$A$1:$O$99,15,0)),0,VLOOKUP($T$28,'TAR FIN'!$A$1:$O$99,15,0))</f>
        <v>0</v>
      </c>
      <c r="X28" s="4">
        <f>IF(ISERROR(VLOOKUP($U$28,'TAR FIN'!$A$1:$O$99,15,0)),0,VLOOKUP($U$28,'TAR FIN'!$A$1:$O$99,15,0))</f>
        <v>0</v>
      </c>
      <c r="Y28" s="4">
        <f ca="1">('TUSD BE'!$AM$6+'TUSD BF'!$AM$6+'TUSD CVA'!$AM$6)*1</f>
        <v>16.343876453142602</v>
      </c>
      <c r="Z28" s="4">
        <f ca="1">('TUSD BE'!$AM$7+'TUSD BF'!$AM$7+'TUSD CVA'!$AM$7)*1</f>
        <v>76.243476502957677</v>
      </c>
      <c r="AA28" s="4"/>
      <c r="AB28" s="4">
        <f>$K$28*$V$28</f>
        <v>53305</v>
      </c>
      <c r="AC28" s="4">
        <f>$M$28*$W$28</f>
        <v>0</v>
      </c>
      <c r="AD28" s="4">
        <f>$O$28*$X$28</f>
        <v>0</v>
      </c>
      <c r="AE28" s="4">
        <f ca="1">$K$28*$Y$28</f>
        <v>57203.56758599911</v>
      </c>
      <c r="AF28" s="4">
        <f ca="1">$M$28*$Z$28</f>
        <v>0</v>
      </c>
      <c r="AG28" s="4">
        <f>$O$28*$AA$28</f>
        <v>0</v>
      </c>
    </row>
    <row r="29" spans="1:33" ht="11.25" customHeight="1" x14ac:dyDescent="0.25">
      <c r="A29" s="3" t="s">
        <v>21</v>
      </c>
      <c r="B29" s="3" t="s">
        <v>41</v>
      </c>
      <c r="C29" s="3" t="s">
        <v>42</v>
      </c>
      <c r="D29" s="3" t="s">
        <v>43</v>
      </c>
      <c r="E29" s="3" t="s">
        <v>25</v>
      </c>
      <c r="F29" s="3" t="s">
        <v>25</v>
      </c>
      <c r="G29" s="3" t="s">
        <v>25</v>
      </c>
      <c r="H29" s="3" t="s">
        <v>25</v>
      </c>
      <c r="I29" s="6">
        <v>44317</v>
      </c>
      <c r="J29" s="4">
        <v>0</v>
      </c>
      <c r="K29" s="4">
        <v>0</v>
      </c>
      <c r="L29" s="4">
        <v>1215.8720000000001</v>
      </c>
      <c r="M29" s="4">
        <v>1215.8720000000001</v>
      </c>
      <c r="N29" s="4">
        <v>0</v>
      </c>
      <c r="O29" s="4">
        <v>0</v>
      </c>
      <c r="P29" s="4">
        <v>1</v>
      </c>
      <c r="Q29" s="3" t="s">
        <v>57</v>
      </c>
      <c r="R29" s="3">
        <v>0</v>
      </c>
      <c r="S29" s="4">
        <v>0</v>
      </c>
      <c r="T29" s="4">
        <v>94</v>
      </c>
      <c r="U29" s="4">
        <v>0</v>
      </c>
      <c r="V29" s="4">
        <f>IF(ISERROR(VLOOKUP($S$29,'TAR FIN'!$A$1:$O$99,15,0)),0,VLOOKUP($S$29,'TAR FIN'!$A$1:$O$99,15,0))</f>
        <v>0</v>
      </c>
      <c r="W29" s="4">
        <f>IF(ISERROR(VLOOKUP($T$29,'TAR FIN'!$A$1:$O$99,15,0)),0,VLOOKUP($T$29,'TAR FIN'!$A$1:$O$99,15,0))</f>
        <v>65.13</v>
      </c>
      <c r="X29" s="4">
        <f>IF(ISERROR(VLOOKUP($U$29,'TAR FIN'!$A$1:$O$99,15,0)),0,VLOOKUP($U$29,'TAR FIN'!$A$1:$O$99,15,0))</f>
        <v>0</v>
      </c>
      <c r="Y29" s="4"/>
      <c r="Z29" s="4">
        <f ca="1">('TUSD BE'!$AM$7+'TUSD BF'!$AM$7+'TUSD CVA'!$AM$7)*1</f>
        <v>76.243476502957677</v>
      </c>
      <c r="AA29" s="4"/>
      <c r="AB29" s="4">
        <f>$K$29*$V$29</f>
        <v>0</v>
      </c>
      <c r="AC29" s="4">
        <f>$M$29*$W$29</f>
        <v>79189.743359999993</v>
      </c>
      <c r="AD29" s="4">
        <f>$O$29*$X$29</f>
        <v>0</v>
      </c>
      <c r="AE29" s="4">
        <f>$K$29*$Y$29</f>
        <v>0</v>
      </c>
      <c r="AF29" s="4">
        <f ca="1">$M$29*$Z$29</f>
        <v>92702.308262604158</v>
      </c>
      <c r="AG29" s="4">
        <f>$O$29*$AA$29</f>
        <v>0</v>
      </c>
    </row>
    <row r="30" spans="1:33" ht="11.25" customHeight="1" x14ac:dyDescent="0.25">
      <c r="A30" s="3" t="s">
        <v>21</v>
      </c>
      <c r="B30" s="3" t="s">
        <v>41</v>
      </c>
      <c r="C30" s="3" t="s">
        <v>42</v>
      </c>
      <c r="D30" s="3" t="s">
        <v>43</v>
      </c>
      <c r="E30" s="3" t="s">
        <v>25</v>
      </c>
      <c r="F30" s="3" t="s">
        <v>25</v>
      </c>
      <c r="G30" s="3" t="s">
        <v>25</v>
      </c>
      <c r="H30" s="3" t="s">
        <v>25</v>
      </c>
      <c r="I30" s="6">
        <v>44348</v>
      </c>
      <c r="J30" s="4">
        <v>0</v>
      </c>
      <c r="K30" s="4">
        <v>0</v>
      </c>
      <c r="L30" s="4">
        <v>1041.5170000000001</v>
      </c>
      <c r="M30" s="4">
        <v>1041.5170000000001</v>
      </c>
      <c r="N30" s="4">
        <v>0</v>
      </c>
      <c r="O30" s="4">
        <v>0</v>
      </c>
      <c r="P30" s="4">
        <v>1</v>
      </c>
      <c r="Q30" s="3" t="s">
        <v>57</v>
      </c>
      <c r="R30" s="3">
        <v>0</v>
      </c>
      <c r="S30" s="4">
        <v>0</v>
      </c>
      <c r="T30" s="4">
        <v>94</v>
      </c>
      <c r="U30" s="4">
        <v>0</v>
      </c>
      <c r="V30" s="4">
        <f>IF(ISERROR(VLOOKUP($S$30,'TAR FIN'!$A$1:$O$99,15,0)),0,VLOOKUP($S$30,'TAR FIN'!$A$1:$O$99,15,0))</f>
        <v>0</v>
      </c>
      <c r="W30" s="4">
        <f>IF(ISERROR(VLOOKUP($T$30,'TAR FIN'!$A$1:$O$99,15,0)),0,VLOOKUP($T$30,'TAR FIN'!$A$1:$O$99,15,0))</f>
        <v>65.13</v>
      </c>
      <c r="X30" s="4">
        <f>IF(ISERROR(VLOOKUP($U$30,'TAR FIN'!$A$1:$O$99,15,0)),0,VLOOKUP($U$30,'TAR FIN'!$A$1:$O$99,15,0))</f>
        <v>0</v>
      </c>
      <c r="Y30" s="4"/>
      <c r="Z30" s="4">
        <f ca="1">('TUSD BE'!$AM$7+'TUSD BF'!$AM$7+'TUSD CVA'!$AM$7)*1</f>
        <v>76.243476502957677</v>
      </c>
      <c r="AA30" s="4"/>
      <c r="AB30" s="4">
        <f>$K$30*$V$30</f>
        <v>0</v>
      </c>
      <c r="AC30" s="4">
        <f>$M$30*$W$30</f>
        <v>67834.002209999991</v>
      </c>
      <c r="AD30" s="4">
        <f>$O$30*$X$30</f>
        <v>0</v>
      </c>
      <c r="AE30" s="4">
        <f>$K$30*$Y$30</f>
        <v>0</v>
      </c>
      <c r="AF30" s="4">
        <f ca="1">$M$30*$Z$30</f>
        <v>79408.876916930982</v>
      </c>
      <c r="AG30" s="4">
        <f>$O$30*$AA$30</f>
        <v>0</v>
      </c>
    </row>
    <row r="31" spans="1:33" ht="11.25" customHeight="1" x14ac:dyDescent="0.25">
      <c r="A31" s="3" t="s">
        <v>21</v>
      </c>
      <c r="B31" s="3" t="s">
        <v>41</v>
      </c>
      <c r="C31" s="3" t="s">
        <v>42</v>
      </c>
      <c r="D31" s="3" t="s">
        <v>43</v>
      </c>
      <c r="E31" s="3" t="s">
        <v>25</v>
      </c>
      <c r="F31" s="3" t="s">
        <v>25</v>
      </c>
      <c r="G31" s="3" t="s">
        <v>25</v>
      </c>
      <c r="H31" s="3" t="s">
        <v>25</v>
      </c>
      <c r="I31" s="6">
        <v>44378</v>
      </c>
      <c r="J31" s="4">
        <v>0</v>
      </c>
      <c r="K31" s="4">
        <v>0</v>
      </c>
      <c r="L31" s="4">
        <v>1293.883</v>
      </c>
      <c r="M31" s="4">
        <v>1293.883</v>
      </c>
      <c r="N31" s="4">
        <v>0</v>
      </c>
      <c r="O31" s="4">
        <v>0</v>
      </c>
      <c r="P31" s="4">
        <v>1</v>
      </c>
      <c r="Q31" s="3" t="s">
        <v>57</v>
      </c>
      <c r="R31" s="3">
        <v>0</v>
      </c>
      <c r="S31" s="4">
        <v>0</v>
      </c>
      <c r="T31" s="4">
        <v>94</v>
      </c>
      <c r="U31" s="4">
        <v>0</v>
      </c>
      <c r="V31" s="4">
        <f>IF(ISERROR(VLOOKUP($S$31,'TAR FIN'!$A$1:$O$99,15,0)),0,VLOOKUP($S$31,'TAR FIN'!$A$1:$O$99,15,0))</f>
        <v>0</v>
      </c>
      <c r="W31" s="4">
        <f>IF(ISERROR(VLOOKUP($T$31,'TAR FIN'!$A$1:$O$99,15,0)),0,VLOOKUP($T$31,'TAR FIN'!$A$1:$O$99,15,0))</f>
        <v>65.13</v>
      </c>
      <c r="X31" s="4">
        <f>IF(ISERROR(VLOOKUP($U$31,'TAR FIN'!$A$1:$O$99,15,0)),0,VLOOKUP($U$31,'TAR FIN'!$A$1:$O$99,15,0))</f>
        <v>0</v>
      </c>
      <c r="Y31" s="4"/>
      <c r="Z31" s="4">
        <f ca="1">('TUSD BE'!$AM$7+'TUSD BF'!$AM$7+'TUSD CVA'!$AM$7)*1</f>
        <v>76.243476502957677</v>
      </c>
      <c r="AA31" s="4"/>
      <c r="AB31" s="4">
        <f>$K$31*$V$31</f>
        <v>0</v>
      </c>
      <c r="AC31" s="4">
        <f>$M$31*$W$31</f>
        <v>84270.599789999993</v>
      </c>
      <c r="AD31" s="4">
        <f>$O$31*$X$31</f>
        <v>0</v>
      </c>
      <c r="AE31" s="4">
        <f>$K$31*$Y$31</f>
        <v>0</v>
      </c>
      <c r="AF31" s="4">
        <f ca="1">$M$31*$Z$31</f>
        <v>98650.138108076397</v>
      </c>
      <c r="AG31" s="4">
        <f>$O$31*$AA$31</f>
        <v>0</v>
      </c>
    </row>
    <row r="32" spans="1:33" ht="11.25" customHeight="1" x14ac:dyDescent="0.25">
      <c r="A32" s="3" t="s">
        <v>21</v>
      </c>
      <c r="B32" s="3" t="s">
        <v>41</v>
      </c>
      <c r="C32" s="3" t="s">
        <v>42</v>
      </c>
      <c r="D32" s="3" t="s">
        <v>43</v>
      </c>
      <c r="E32" s="3" t="s">
        <v>25</v>
      </c>
      <c r="F32" s="3" t="s">
        <v>25</v>
      </c>
      <c r="G32" s="3" t="s">
        <v>25</v>
      </c>
      <c r="H32" s="3" t="s">
        <v>25</v>
      </c>
      <c r="I32" s="6">
        <v>44409</v>
      </c>
      <c r="J32" s="4">
        <v>0</v>
      </c>
      <c r="K32" s="4">
        <v>0</v>
      </c>
      <c r="L32" s="4">
        <v>1324.5219999999999</v>
      </c>
      <c r="M32" s="4">
        <v>1324.5219999999999</v>
      </c>
      <c r="N32" s="4">
        <v>0</v>
      </c>
      <c r="O32" s="4">
        <v>0</v>
      </c>
      <c r="P32" s="4">
        <v>1</v>
      </c>
      <c r="Q32" s="3" t="s">
        <v>57</v>
      </c>
      <c r="R32" s="3">
        <v>0</v>
      </c>
      <c r="S32" s="4">
        <v>0</v>
      </c>
      <c r="T32" s="4">
        <v>94</v>
      </c>
      <c r="U32" s="4">
        <v>0</v>
      </c>
      <c r="V32" s="4">
        <f>IF(ISERROR(VLOOKUP($S$32,'TAR FIN'!$A$1:$O$99,15,0)),0,VLOOKUP($S$32,'TAR FIN'!$A$1:$O$99,15,0))</f>
        <v>0</v>
      </c>
      <c r="W32" s="4">
        <f>IF(ISERROR(VLOOKUP($T$32,'TAR FIN'!$A$1:$O$99,15,0)),0,VLOOKUP($T$32,'TAR FIN'!$A$1:$O$99,15,0))</f>
        <v>65.13</v>
      </c>
      <c r="X32" s="4">
        <f>IF(ISERROR(VLOOKUP($U$32,'TAR FIN'!$A$1:$O$99,15,0)),0,VLOOKUP($U$32,'TAR FIN'!$A$1:$O$99,15,0))</f>
        <v>0</v>
      </c>
      <c r="Y32" s="4"/>
      <c r="Z32" s="4">
        <f ca="1">('TUSD BE'!$AM$7+'TUSD BF'!$AM$7+'TUSD CVA'!$AM$7)*1</f>
        <v>76.243476502957677</v>
      </c>
      <c r="AA32" s="4"/>
      <c r="AB32" s="4">
        <f>$K$32*$V$32</f>
        <v>0</v>
      </c>
      <c r="AC32" s="4">
        <f>$M$32*$W$32</f>
        <v>86266.117859999984</v>
      </c>
      <c r="AD32" s="4">
        <f>$O$32*$X$32</f>
        <v>0</v>
      </c>
      <c r="AE32" s="4">
        <f>$K$32*$Y$32</f>
        <v>0</v>
      </c>
      <c r="AF32" s="4">
        <f ca="1">$M$32*$Z$32</f>
        <v>100986.16198465051</v>
      </c>
      <c r="AG32" s="4">
        <f>$O$32*$AA$32</f>
        <v>0</v>
      </c>
    </row>
    <row r="33" spans="1:33" ht="11.25" customHeight="1" x14ac:dyDescent="0.25">
      <c r="A33" s="3" t="s">
        <v>21</v>
      </c>
      <c r="B33" s="3" t="s">
        <v>41</v>
      </c>
      <c r="C33" s="3" t="s">
        <v>42</v>
      </c>
      <c r="D33" s="3" t="s">
        <v>43</v>
      </c>
      <c r="E33" s="3" t="s">
        <v>25</v>
      </c>
      <c r="F33" s="3" t="s">
        <v>25</v>
      </c>
      <c r="G33" s="3" t="s">
        <v>25</v>
      </c>
      <c r="H33" s="3" t="s">
        <v>25</v>
      </c>
      <c r="I33" s="6">
        <v>44440</v>
      </c>
      <c r="J33" s="4">
        <v>0</v>
      </c>
      <c r="K33" s="4">
        <v>0</v>
      </c>
      <c r="L33" s="4">
        <v>1374.8130000000001</v>
      </c>
      <c r="M33" s="4">
        <v>1374.8130000000001</v>
      </c>
      <c r="N33" s="4">
        <v>0</v>
      </c>
      <c r="O33" s="4">
        <v>0</v>
      </c>
      <c r="P33" s="4">
        <v>1</v>
      </c>
      <c r="Q33" s="3" t="s">
        <v>57</v>
      </c>
      <c r="R33" s="3">
        <v>0</v>
      </c>
      <c r="S33" s="4">
        <v>0</v>
      </c>
      <c r="T33" s="4">
        <v>94</v>
      </c>
      <c r="U33" s="4">
        <v>0</v>
      </c>
      <c r="V33" s="4">
        <f>IF(ISERROR(VLOOKUP($S$33,'TAR FIN'!$A$1:$O$99,15,0)),0,VLOOKUP($S$33,'TAR FIN'!$A$1:$O$99,15,0))</f>
        <v>0</v>
      </c>
      <c r="W33" s="4">
        <f>IF(ISERROR(VLOOKUP($T$33,'TAR FIN'!$A$1:$O$99,15,0)),0,VLOOKUP($T$33,'TAR FIN'!$A$1:$O$99,15,0))</f>
        <v>65.13</v>
      </c>
      <c r="X33" s="4">
        <f>IF(ISERROR(VLOOKUP($U$33,'TAR FIN'!$A$1:$O$99,15,0)),0,VLOOKUP($U$33,'TAR FIN'!$A$1:$O$99,15,0))</f>
        <v>0</v>
      </c>
      <c r="Y33" s="4"/>
      <c r="Z33" s="4">
        <f ca="1">('TUSD BE'!$AM$7+'TUSD BF'!$AM$7+'TUSD CVA'!$AM$7)*1</f>
        <v>76.243476502957677</v>
      </c>
      <c r="AA33" s="4"/>
      <c r="AB33" s="4">
        <f>$K$33*$V$33</f>
        <v>0</v>
      </c>
      <c r="AC33" s="4">
        <f>$M$33*$W$33</f>
        <v>89541.570689999993</v>
      </c>
      <c r="AD33" s="4">
        <f>$O$33*$X$33</f>
        <v>0</v>
      </c>
      <c r="AE33" s="4">
        <f>$K$33*$Y$33</f>
        <v>0</v>
      </c>
      <c r="AF33" s="4">
        <f ca="1">$M$33*$Z$33</f>
        <v>104820.52266146077</v>
      </c>
      <c r="AG33" s="4">
        <f>$O$33*$AA$33</f>
        <v>0</v>
      </c>
    </row>
    <row r="34" spans="1:33" ht="11.25" customHeight="1" x14ac:dyDescent="0.25">
      <c r="A34" s="3" t="s">
        <v>21</v>
      </c>
      <c r="B34" s="3" t="s">
        <v>41</v>
      </c>
      <c r="C34" s="3" t="s">
        <v>42</v>
      </c>
      <c r="D34" s="3" t="s">
        <v>43</v>
      </c>
      <c r="E34" s="3" t="s">
        <v>25</v>
      </c>
      <c r="F34" s="3" t="s">
        <v>25</v>
      </c>
      <c r="G34" s="3" t="s">
        <v>25</v>
      </c>
      <c r="H34" s="3" t="s">
        <v>25</v>
      </c>
      <c r="I34" s="6">
        <v>44470</v>
      </c>
      <c r="J34" s="4">
        <v>0</v>
      </c>
      <c r="K34" s="4">
        <v>0</v>
      </c>
      <c r="L34" s="4">
        <v>1494.662</v>
      </c>
      <c r="M34" s="4">
        <v>1494.662</v>
      </c>
      <c r="N34" s="4">
        <v>0</v>
      </c>
      <c r="O34" s="4">
        <v>0</v>
      </c>
      <c r="P34" s="4">
        <v>1</v>
      </c>
      <c r="Q34" s="3" t="s">
        <v>57</v>
      </c>
      <c r="R34" s="3">
        <v>0</v>
      </c>
      <c r="S34" s="4">
        <v>0</v>
      </c>
      <c r="T34" s="4">
        <v>94</v>
      </c>
      <c r="U34" s="4">
        <v>0</v>
      </c>
      <c r="V34" s="4">
        <f>IF(ISERROR(VLOOKUP($S$34,'TAR FIN'!$A$1:$O$99,15,0)),0,VLOOKUP($S$34,'TAR FIN'!$A$1:$O$99,15,0))</f>
        <v>0</v>
      </c>
      <c r="W34" s="4">
        <f>IF(ISERROR(VLOOKUP($T$34,'TAR FIN'!$A$1:$O$99,15,0)),0,VLOOKUP($T$34,'TAR FIN'!$A$1:$O$99,15,0))</f>
        <v>65.13</v>
      </c>
      <c r="X34" s="4">
        <f>IF(ISERROR(VLOOKUP($U$34,'TAR FIN'!$A$1:$O$99,15,0)),0,VLOOKUP($U$34,'TAR FIN'!$A$1:$O$99,15,0))</f>
        <v>0</v>
      </c>
      <c r="Y34" s="4"/>
      <c r="Z34" s="4">
        <f ca="1">('TUSD BE'!$AM$7+'TUSD BF'!$AM$7+'TUSD CVA'!$AM$7)*1</f>
        <v>76.243476502957677</v>
      </c>
      <c r="AA34" s="4"/>
      <c r="AB34" s="4">
        <f>$K$34*$V$34</f>
        <v>0</v>
      </c>
      <c r="AC34" s="4">
        <f>$M$34*$W$34</f>
        <v>97347.336060000001</v>
      </c>
      <c r="AD34" s="4">
        <f>$O$34*$X$34</f>
        <v>0</v>
      </c>
      <c r="AE34" s="4">
        <f>$K$34*$Y$34</f>
        <v>0</v>
      </c>
      <c r="AF34" s="4">
        <f ca="1">$M$34*$Z$34</f>
        <v>113958.22707686372</v>
      </c>
      <c r="AG34" s="4">
        <f>$O$34*$AA$34</f>
        <v>0</v>
      </c>
    </row>
    <row r="35" spans="1:33" ht="11.25" customHeight="1" x14ac:dyDescent="0.25">
      <c r="A35" s="3" t="s">
        <v>21</v>
      </c>
      <c r="B35" s="3" t="s">
        <v>41</v>
      </c>
      <c r="C35" s="3" t="s">
        <v>42</v>
      </c>
      <c r="D35" s="3" t="s">
        <v>43</v>
      </c>
      <c r="E35" s="3" t="s">
        <v>25</v>
      </c>
      <c r="F35" s="3" t="s">
        <v>25</v>
      </c>
      <c r="G35" s="3" t="s">
        <v>25</v>
      </c>
      <c r="H35" s="3" t="s">
        <v>25</v>
      </c>
      <c r="I35" s="6">
        <v>44501</v>
      </c>
      <c r="J35" s="4">
        <v>0</v>
      </c>
      <c r="K35" s="4">
        <v>0</v>
      </c>
      <c r="L35" s="4">
        <v>1515.797</v>
      </c>
      <c r="M35" s="4">
        <v>1515.797</v>
      </c>
      <c r="N35" s="4">
        <v>0</v>
      </c>
      <c r="O35" s="4">
        <v>0</v>
      </c>
      <c r="P35" s="4">
        <v>1</v>
      </c>
      <c r="Q35" s="3" t="s">
        <v>57</v>
      </c>
      <c r="R35" s="3">
        <v>0</v>
      </c>
      <c r="S35" s="4">
        <v>0</v>
      </c>
      <c r="T35" s="4">
        <v>94</v>
      </c>
      <c r="U35" s="4">
        <v>0</v>
      </c>
      <c r="V35" s="4">
        <f>IF(ISERROR(VLOOKUP($S$35,'TAR FIN'!$A$1:$O$99,15,0)),0,VLOOKUP($S$35,'TAR FIN'!$A$1:$O$99,15,0))</f>
        <v>0</v>
      </c>
      <c r="W35" s="4">
        <f>IF(ISERROR(VLOOKUP($T$35,'TAR FIN'!$A$1:$O$99,15,0)),0,VLOOKUP($T$35,'TAR FIN'!$A$1:$O$99,15,0))</f>
        <v>65.13</v>
      </c>
      <c r="X35" s="4">
        <f>IF(ISERROR(VLOOKUP($U$35,'TAR FIN'!$A$1:$O$99,15,0)),0,VLOOKUP($U$35,'TAR FIN'!$A$1:$O$99,15,0))</f>
        <v>0</v>
      </c>
      <c r="Y35" s="4"/>
      <c r="Z35" s="4">
        <f ca="1">('TUSD BE'!$AM$7+'TUSD BF'!$AM$7+'TUSD CVA'!$AM$7)*1</f>
        <v>76.243476502957677</v>
      </c>
      <c r="AA35" s="4"/>
      <c r="AB35" s="4">
        <f>$K$35*$V$35</f>
        <v>0</v>
      </c>
      <c r="AC35" s="4">
        <f>$M$35*$W$35</f>
        <v>98723.858609999996</v>
      </c>
      <c r="AD35" s="4">
        <f>$O$35*$X$35</f>
        <v>0</v>
      </c>
      <c r="AE35" s="4">
        <f>$K$35*$Y$35</f>
        <v>0</v>
      </c>
      <c r="AF35" s="4">
        <f ca="1">$M$35*$Z$35</f>
        <v>115569.63295275375</v>
      </c>
      <c r="AG35" s="4">
        <f>$O$35*$AA$35</f>
        <v>0</v>
      </c>
    </row>
    <row r="36" spans="1:33" ht="11.25" customHeight="1" x14ac:dyDescent="0.25">
      <c r="A36" s="3" t="s">
        <v>21</v>
      </c>
      <c r="B36" s="3" t="s">
        <v>41</v>
      </c>
      <c r="C36" s="3" t="s">
        <v>42</v>
      </c>
      <c r="D36" s="3" t="s">
        <v>43</v>
      </c>
      <c r="E36" s="3" t="s">
        <v>25</v>
      </c>
      <c r="F36" s="3" t="s">
        <v>25</v>
      </c>
      <c r="G36" s="3" t="s">
        <v>25</v>
      </c>
      <c r="H36" s="3" t="s">
        <v>25</v>
      </c>
      <c r="I36" s="6">
        <v>44531</v>
      </c>
      <c r="J36" s="4">
        <v>0</v>
      </c>
      <c r="K36" s="4">
        <v>0</v>
      </c>
      <c r="L36" s="4">
        <v>1577.326</v>
      </c>
      <c r="M36" s="4">
        <v>1577.326</v>
      </c>
      <c r="N36" s="4">
        <v>0</v>
      </c>
      <c r="O36" s="4">
        <v>0</v>
      </c>
      <c r="P36" s="4">
        <v>1</v>
      </c>
      <c r="Q36" s="3" t="s">
        <v>57</v>
      </c>
      <c r="R36" s="3">
        <v>0</v>
      </c>
      <c r="S36" s="4">
        <v>0</v>
      </c>
      <c r="T36" s="4">
        <v>94</v>
      </c>
      <c r="U36" s="4">
        <v>0</v>
      </c>
      <c r="V36" s="4">
        <f>IF(ISERROR(VLOOKUP($S$36,'TAR FIN'!$A$1:$O$99,15,0)),0,VLOOKUP($S$36,'TAR FIN'!$A$1:$O$99,15,0))</f>
        <v>0</v>
      </c>
      <c r="W36" s="4">
        <f>IF(ISERROR(VLOOKUP($T$36,'TAR FIN'!$A$1:$O$99,15,0)),0,VLOOKUP($T$36,'TAR FIN'!$A$1:$O$99,15,0))</f>
        <v>65.13</v>
      </c>
      <c r="X36" s="4">
        <f>IF(ISERROR(VLOOKUP($U$36,'TAR FIN'!$A$1:$O$99,15,0)),0,VLOOKUP($U$36,'TAR FIN'!$A$1:$O$99,15,0))</f>
        <v>0</v>
      </c>
      <c r="Y36" s="4"/>
      <c r="Z36" s="4">
        <f ca="1">('TUSD BE'!$AM$7+'TUSD BF'!$AM$7+'TUSD CVA'!$AM$7)*1</f>
        <v>76.243476502957677</v>
      </c>
      <c r="AA36" s="4"/>
      <c r="AB36" s="4">
        <f>$K$36*$V$36</f>
        <v>0</v>
      </c>
      <c r="AC36" s="4">
        <f>$M$36*$W$36</f>
        <v>102731.24238</v>
      </c>
      <c r="AD36" s="4">
        <f>$O$36*$X$36</f>
        <v>0</v>
      </c>
      <c r="AE36" s="4">
        <f>$K$36*$Y$36</f>
        <v>0</v>
      </c>
      <c r="AF36" s="4">
        <f ca="1">$M$36*$Z$36</f>
        <v>120260.81781850422</v>
      </c>
      <c r="AG36" s="4">
        <f>$O$36*$AA$36</f>
        <v>0</v>
      </c>
    </row>
    <row r="37" spans="1:33" ht="11.25" customHeight="1" x14ac:dyDescent="0.25">
      <c r="A37" s="3" t="s">
        <v>21</v>
      </c>
      <c r="B37" s="3" t="s">
        <v>41</v>
      </c>
      <c r="C37" s="3" t="s">
        <v>42</v>
      </c>
      <c r="D37" s="3" t="s">
        <v>43</v>
      </c>
      <c r="E37" s="3" t="s">
        <v>25</v>
      </c>
      <c r="F37" s="3" t="s">
        <v>25</v>
      </c>
      <c r="G37" s="3" t="s">
        <v>25</v>
      </c>
      <c r="H37" s="3" t="s">
        <v>25</v>
      </c>
      <c r="I37" s="6">
        <v>44562</v>
      </c>
      <c r="J37" s="4">
        <v>0</v>
      </c>
      <c r="K37" s="4">
        <v>0</v>
      </c>
      <c r="L37" s="4">
        <v>1475.672</v>
      </c>
      <c r="M37" s="4">
        <v>1475.672</v>
      </c>
      <c r="N37" s="4">
        <v>0</v>
      </c>
      <c r="O37" s="4">
        <v>0</v>
      </c>
      <c r="P37" s="4">
        <v>1</v>
      </c>
      <c r="Q37" s="3" t="s">
        <v>57</v>
      </c>
      <c r="R37" s="3">
        <v>0</v>
      </c>
      <c r="S37" s="4">
        <v>0</v>
      </c>
      <c r="T37" s="4">
        <v>94</v>
      </c>
      <c r="U37" s="4">
        <v>0</v>
      </c>
      <c r="V37" s="4">
        <f>IF(ISERROR(VLOOKUP($S$37,'TAR FIN'!$A$1:$O$99,15,0)),0,VLOOKUP($S$37,'TAR FIN'!$A$1:$O$99,15,0))</f>
        <v>0</v>
      </c>
      <c r="W37" s="4">
        <f>IF(ISERROR(VLOOKUP($T$37,'TAR FIN'!$A$1:$O$99,15,0)),0,VLOOKUP($T$37,'TAR FIN'!$A$1:$O$99,15,0))</f>
        <v>65.13</v>
      </c>
      <c r="X37" s="4">
        <f>IF(ISERROR(VLOOKUP($U$37,'TAR FIN'!$A$1:$O$99,15,0)),0,VLOOKUP($U$37,'TAR FIN'!$A$1:$O$99,15,0))</f>
        <v>0</v>
      </c>
      <c r="Y37" s="4"/>
      <c r="Z37" s="4">
        <f ca="1">('TUSD BE'!$AM$7+'TUSD BF'!$AM$7+'TUSD CVA'!$AM$7)*1</f>
        <v>76.243476502957677</v>
      </c>
      <c r="AA37" s="4"/>
      <c r="AB37" s="4">
        <f>$K$37*$V$37</f>
        <v>0</v>
      </c>
      <c r="AC37" s="4">
        <f>$M$37*$W$37</f>
        <v>96110.517359999998</v>
      </c>
      <c r="AD37" s="4">
        <f>$O$37*$X$37</f>
        <v>0</v>
      </c>
      <c r="AE37" s="4">
        <f>$K$37*$Y$37</f>
        <v>0</v>
      </c>
      <c r="AF37" s="4">
        <f ca="1">$M$37*$Z$37</f>
        <v>112510.36345807256</v>
      </c>
      <c r="AG37" s="4">
        <f>$O$37*$AA$37</f>
        <v>0</v>
      </c>
    </row>
    <row r="38" spans="1:33" ht="11.25" customHeight="1" x14ac:dyDescent="0.25">
      <c r="A38" s="3" t="s">
        <v>21</v>
      </c>
      <c r="B38" s="3" t="s">
        <v>41</v>
      </c>
      <c r="C38" s="3" t="s">
        <v>42</v>
      </c>
      <c r="D38" s="3" t="s">
        <v>43</v>
      </c>
      <c r="E38" s="3" t="s">
        <v>25</v>
      </c>
      <c r="F38" s="3" t="s">
        <v>25</v>
      </c>
      <c r="G38" s="3" t="s">
        <v>25</v>
      </c>
      <c r="H38" s="3" t="s">
        <v>25</v>
      </c>
      <c r="I38" s="6">
        <v>44593</v>
      </c>
      <c r="J38" s="4">
        <v>0</v>
      </c>
      <c r="K38" s="4">
        <v>0</v>
      </c>
      <c r="L38" s="4">
        <v>1329.7860000000001</v>
      </c>
      <c r="M38" s="4">
        <v>1329.7860000000001</v>
      </c>
      <c r="N38" s="4">
        <v>0</v>
      </c>
      <c r="O38" s="4">
        <v>0</v>
      </c>
      <c r="P38" s="4">
        <v>1</v>
      </c>
      <c r="Q38" s="3" t="s">
        <v>57</v>
      </c>
      <c r="R38" s="3">
        <v>0</v>
      </c>
      <c r="S38" s="4">
        <v>0</v>
      </c>
      <c r="T38" s="4">
        <v>94</v>
      </c>
      <c r="U38" s="4">
        <v>0</v>
      </c>
      <c r="V38" s="4">
        <f>IF(ISERROR(VLOOKUP($S$38,'TAR FIN'!$A$1:$O$99,15,0)),0,VLOOKUP($S$38,'TAR FIN'!$A$1:$O$99,15,0))</f>
        <v>0</v>
      </c>
      <c r="W38" s="4">
        <f>IF(ISERROR(VLOOKUP($T$38,'TAR FIN'!$A$1:$O$99,15,0)),0,VLOOKUP($T$38,'TAR FIN'!$A$1:$O$99,15,0))</f>
        <v>65.13</v>
      </c>
      <c r="X38" s="4">
        <f>IF(ISERROR(VLOOKUP($U$38,'TAR FIN'!$A$1:$O$99,15,0)),0,VLOOKUP($U$38,'TAR FIN'!$A$1:$O$99,15,0))</f>
        <v>0</v>
      </c>
      <c r="Y38" s="4"/>
      <c r="Z38" s="4">
        <f ca="1">('TUSD BE'!$AM$7+'TUSD BF'!$AM$7+'TUSD CVA'!$AM$7)*1</f>
        <v>76.243476502957677</v>
      </c>
      <c r="AA38" s="4"/>
      <c r="AB38" s="4">
        <f>$K$38*$V$38</f>
        <v>0</v>
      </c>
      <c r="AC38" s="4">
        <f>$M$38*$W$38</f>
        <v>86608.962180000002</v>
      </c>
      <c r="AD38" s="4">
        <f>$O$38*$X$38</f>
        <v>0</v>
      </c>
      <c r="AE38" s="4">
        <f>$K$38*$Y$38</f>
        <v>0</v>
      </c>
      <c r="AF38" s="4">
        <f ca="1">$M$38*$Z$38</f>
        <v>101387.50764496208</v>
      </c>
      <c r="AG38" s="4">
        <f>$O$38*$AA$38</f>
        <v>0</v>
      </c>
    </row>
    <row r="39" spans="1:33" ht="11.25" customHeight="1" x14ac:dyDescent="0.25">
      <c r="A39" s="3" t="s">
        <v>21</v>
      </c>
      <c r="B39" s="3" t="s">
        <v>41</v>
      </c>
      <c r="C39" s="3" t="s">
        <v>42</v>
      </c>
      <c r="D39" s="3" t="s">
        <v>43</v>
      </c>
      <c r="E39" s="3" t="s">
        <v>25</v>
      </c>
      <c r="F39" s="3" t="s">
        <v>25</v>
      </c>
      <c r="G39" s="3" t="s">
        <v>25</v>
      </c>
      <c r="H39" s="3" t="s">
        <v>25</v>
      </c>
      <c r="I39" s="6">
        <v>44621</v>
      </c>
      <c r="J39" s="4">
        <v>0</v>
      </c>
      <c r="K39" s="4">
        <v>0</v>
      </c>
      <c r="L39" s="4">
        <v>1430.7180000000001</v>
      </c>
      <c r="M39" s="4">
        <v>1430.7180000000001</v>
      </c>
      <c r="N39" s="4">
        <v>0</v>
      </c>
      <c r="O39" s="4">
        <v>0</v>
      </c>
      <c r="P39" s="4">
        <v>1</v>
      </c>
      <c r="Q39" s="3" t="s">
        <v>57</v>
      </c>
      <c r="R39" s="3">
        <v>0</v>
      </c>
      <c r="S39" s="4">
        <v>0</v>
      </c>
      <c r="T39" s="4">
        <v>94</v>
      </c>
      <c r="U39" s="4">
        <v>0</v>
      </c>
      <c r="V39" s="4">
        <f>IF(ISERROR(VLOOKUP($S$39,'TAR FIN'!$A$1:$O$99,15,0)),0,VLOOKUP($S$39,'TAR FIN'!$A$1:$O$99,15,0))</f>
        <v>0</v>
      </c>
      <c r="W39" s="4">
        <f>IF(ISERROR(VLOOKUP($T$39,'TAR FIN'!$A$1:$O$99,15,0)),0,VLOOKUP($T$39,'TAR FIN'!$A$1:$O$99,15,0))</f>
        <v>65.13</v>
      </c>
      <c r="X39" s="4">
        <f>IF(ISERROR(VLOOKUP($U$39,'TAR FIN'!$A$1:$O$99,15,0)),0,VLOOKUP($U$39,'TAR FIN'!$A$1:$O$99,15,0))</f>
        <v>0</v>
      </c>
      <c r="Y39" s="4"/>
      <c r="Z39" s="4">
        <f ca="1">('TUSD BE'!$AM$7+'TUSD BF'!$AM$7+'TUSD CVA'!$AM$7)*1</f>
        <v>76.243476502957677</v>
      </c>
      <c r="AA39" s="4"/>
      <c r="AB39" s="4">
        <f>$K$39*$V$39</f>
        <v>0</v>
      </c>
      <c r="AC39" s="4">
        <f>$M$39*$W$39</f>
        <v>93182.663339999999</v>
      </c>
      <c r="AD39" s="4">
        <f>$O$39*$X$39</f>
        <v>0</v>
      </c>
      <c r="AE39" s="4">
        <f>$K$39*$Y$39</f>
        <v>0</v>
      </c>
      <c r="AF39" s="4">
        <f ca="1">$M$39*$Z$39</f>
        <v>109082.9142153586</v>
      </c>
      <c r="AG39" s="4">
        <f>$O$39*$AA$39</f>
        <v>0</v>
      </c>
    </row>
    <row r="40" spans="1:33" ht="11.25" customHeight="1" x14ac:dyDescent="0.25">
      <c r="A40" s="3" t="s">
        <v>56</v>
      </c>
      <c r="B40" s="3" t="s">
        <v>41</v>
      </c>
      <c r="C40" s="3" t="s">
        <v>42</v>
      </c>
      <c r="D40" s="3" t="s">
        <v>43</v>
      </c>
      <c r="E40" s="3" t="s">
        <v>25</v>
      </c>
      <c r="F40" s="3" t="s">
        <v>25</v>
      </c>
      <c r="G40" s="3" t="s">
        <v>25</v>
      </c>
      <c r="H40" s="3" t="s">
        <v>25</v>
      </c>
      <c r="I40" s="6">
        <v>44652</v>
      </c>
      <c r="J40" s="4">
        <v>0</v>
      </c>
      <c r="K40" s="4">
        <v>0</v>
      </c>
      <c r="L40" s="4">
        <v>1430.7180000000001</v>
      </c>
      <c r="M40" s="4">
        <v>1430.7180000000001</v>
      </c>
      <c r="N40" s="4">
        <v>0</v>
      </c>
      <c r="O40" s="4">
        <v>0</v>
      </c>
      <c r="P40" s="4">
        <v>1</v>
      </c>
      <c r="Q40" s="3" t="s">
        <v>57</v>
      </c>
      <c r="R40" s="3">
        <v>0</v>
      </c>
      <c r="S40" s="4">
        <v>0</v>
      </c>
      <c r="T40" s="4">
        <v>94</v>
      </c>
      <c r="U40" s="4">
        <v>0</v>
      </c>
      <c r="V40" s="4">
        <f>IF(ISERROR(VLOOKUP($S$40,'TAR FIN'!$A$1:$O$99,15,0)),0,VLOOKUP($S$40,'TAR FIN'!$A$1:$O$99,15,0))</f>
        <v>0</v>
      </c>
      <c r="W40" s="4">
        <f>IF(ISERROR(VLOOKUP($T$40,'TAR FIN'!$A$1:$O$99,15,0)),0,VLOOKUP($T$40,'TAR FIN'!$A$1:$O$99,15,0))</f>
        <v>65.13</v>
      </c>
      <c r="X40" s="4">
        <f>IF(ISERROR(VLOOKUP($U$40,'TAR FIN'!$A$1:$O$99,15,0)),0,VLOOKUP($U$40,'TAR FIN'!$A$1:$O$99,15,0))</f>
        <v>0</v>
      </c>
      <c r="Y40" s="4"/>
      <c r="Z40" s="4">
        <f ca="1">('TUSD BE'!$AM$7+'TUSD BF'!$AM$7+'TUSD CVA'!$AM$7)*1</f>
        <v>76.243476502957677</v>
      </c>
      <c r="AA40" s="4"/>
      <c r="AB40" s="4">
        <f>$K$40*$V$40</f>
        <v>0</v>
      </c>
      <c r="AC40" s="4">
        <f>$M$40*$W$40</f>
        <v>93182.663339999999</v>
      </c>
      <c r="AD40" s="4">
        <f>$O$40*$X$40</f>
        <v>0</v>
      </c>
      <c r="AE40" s="4">
        <f>$K$40*$Y$40</f>
        <v>0</v>
      </c>
      <c r="AF40" s="4">
        <f ca="1">$M$40*$Z$40</f>
        <v>109082.9142153586</v>
      </c>
      <c r="AG40" s="4">
        <f>$O$40*$AA$40</f>
        <v>0</v>
      </c>
    </row>
    <row r="41" spans="1:33" ht="11.25" customHeight="1" x14ac:dyDescent="0.25">
      <c r="A41" s="3" t="s">
        <v>21</v>
      </c>
      <c r="B41" s="3" t="s">
        <v>41</v>
      </c>
      <c r="C41" s="3" t="s">
        <v>42</v>
      </c>
      <c r="D41" s="3" t="s">
        <v>43</v>
      </c>
      <c r="E41" s="3" t="s">
        <v>25</v>
      </c>
      <c r="F41" s="3" t="s">
        <v>25</v>
      </c>
      <c r="G41" s="3" t="s">
        <v>25</v>
      </c>
      <c r="H41" s="3" t="s">
        <v>35</v>
      </c>
      <c r="I41" s="6">
        <v>44317</v>
      </c>
      <c r="J41" s="4">
        <v>200</v>
      </c>
      <c r="K41" s="4">
        <v>200</v>
      </c>
      <c r="L41" s="4">
        <v>2.8010000000000002</v>
      </c>
      <c r="M41" s="4">
        <v>2.8010000000000002</v>
      </c>
      <c r="N41" s="4">
        <v>2.8010000000000002</v>
      </c>
      <c r="O41" s="4">
        <v>2.8010000000000002</v>
      </c>
      <c r="P41" s="4">
        <v>0</v>
      </c>
      <c r="Q41" s="3" t="s">
        <v>26</v>
      </c>
      <c r="R41" s="3">
        <v>0</v>
      </c>
      <c r="S41" s="4">
        <v>92</v>
      </c>
      <c r="T41" s="4">
        <v>94</v>
      </c>
      <c r="U41" s="4">
        <v>47</v>
      </c>
      <c r="V41" s="4">
        <f>IF(ISERROR(VLOOKUP($S$41,'TAR FIN'!$A$1:$O$99,15,0)),0,VLOOKUP($S$41,'TAR FIN'!$A$1:$O$99,15,0))</f>
        <v>26.46</v>
      </c>
      <c r="W41" s="4">
        <f>IF(ISERROR(VLOOKUP($T$41,'TAR FIN'!$A$1:$O$99,15,0)),0,VLOOKUP($T$41,'TAR FIN'!$A$1:$O$99,15,0))</f>
        <v>65.13</v>
      </c>
      <c r="X41" s="4">
        <f>IF(ISERROR(VLOOKUP($U$41,'TAR FIN'!$A$1:$O$99,15,0)),0,VLOOKUP($U$41,'TAR FIN'!$A$1:$O$99,15,0))</f>
        <v>346.61</v>
      </c>
      <c r="Y41" s="4">
        <f ca="1">('TUSD BE'!$AM$5+'TUSD BF'!$AM$5+'TUSD CVA'!$AM$5)*1</f>
        <v>30.337295464550692</v>
      </c>
      <c r="Z41" s="4">
        <f ca="1">('TUSD BE'!$AM$7+'TUSD BF'!$AM$7+'TUSD CVA'!$AM$7)*1</f>
        <v>76.243476502957677</v>
      </c>
      <c r="AA41" s="4">
        <f>('TE BE'!$AA$5+'TE BF'!$AA$5+'TE CVA'!$AA$5)*1</f>
        <v>423.89652505413846</v>
      </c>
      <c r="AB41" s="4">
        <f>$K$41*$V$41</f>
        <v>5292</v>
      </c>
      <c r="AC41" s="4">
        <f>$M$41*$W$41</f>
        <v>182.42912999999999</v>
      </c>
      <c r="AD41" s="4">
        <f>$O$41*$X$41</f>
        <v>970.85461000000009</v>
      </c>
      <c r="AE41" s="4">
        <f ca="1">$K$41*$Y$41</f>
        <v>6067.4590929101387</v>
      </c>
      <c r="AF41" s="4">
        <f ca="1">$M$41*$Z$41</f>
        <v>213.55797768478448</v>
      </c>
      <c r="AG41" s="4">
        <f>$O$41*$AA$41</f>
        <v>1187.3341666766419</v>
      </c>
    </row>
    <row r="42" spans="1:33" ht="11.25" customHeight="1" x14ac:dyDescent="0.25">
      <c r="A42" s="3" t="s">
        <v>28</v>
      </c>
      <c r="B42" s="3" t="s">
        <v>41</v>
      </c>
      <c r="C42" s="3" t="s">
        <v>42</v>
      </c>
      <c r="D42" s="3" t="s">
        <v>43</v>
      </c>
      <c r="E42" s="3" t="s">
        <v>25</v>
      </c>
      <c r="F42" s="3" t="s">
        <v>25</v>
      </c>
      <c r="G42" s="3" t="s">
        <v>25</v>
      </c>
      <c r="H42" s="3" t="s">
        <v>35</v>
      </c>
      <c r="I42" s="6">
        <v>44317</v>
      </c>
      <c r="J42" s="4">
        <v>200</v>
      </c>
      <c r="K42" s="4">
        <v>200</v>
      </c>
      <c r="L42" s="4">
        <v>6.8620000000000001</v>
      </c>
      <c r="M42" s="4">
        <v>6.8620000000000001</v>
      </c>
      <c r="N42" s="4">
        <v>6.8620000000000001</v>
      </c>
      <c r="O42" s="4">
        <v>6.8620000000000001</v>
      </c>
      <c r="P42" s="4">
        <v>0</v>
      </c>
      <c r="Q42" s="3" t="s">
        <v>26</v>
      </c>
      <c r="R42" s="3">
        <v>0</v>
      </c>
      <c r="S42" s="4">
        <v>92</v>
      </c>
      <c r="T42" s="4">
        <v>94</v>
      </c>
      <c r="U42" s="4">
        <v>47</v>
      </c>
      <c r="V42" s="4">
        <f>IF(ISERROR(VLOOKUP($S$42,'TAR FIN'!$A$1:$O$99,15,0)),0,VLOOKUP($S$42,'TAR FIN'!$A$1:$O$99,15,0))</f>
        <v>26.46</v>
      </c>
      <c r="W42" s="4">
        <f>IF(ISERROR(VLOOKUP($T$42,'TAR FIN'!$A$1:$O$99,15,0)),0,VLOOKUP($T$42,'TAR FIN'!$A$1:$O$99,15,0))</f>
        <v>65.13</v>
      </c>
      <c r="X42" s="4">
        <f>IF(ISERROR(VLOOKUP($U$42,'TAR FIN'!$A$1:$O$99,15,0)),0,VLOOKUP($U$42,'TAR FIN'!$A$1:$O$99,15,0))</f>
        <v>346.61</v>
      </c>
      <c r="Y42" s="4">
        <f ca="1">('TUSD BE'!$AM$5+'TUSD BF'!$AM$5+'TUSD CVA'!$AM$5)*1</f>
        <v>30.337295464550692</v>
      </c>
      <c r="Z42" s="4">
        <f ca="1">('TUSD BE'!$AM$7+'TUSD BF'!$AM$7+'TUSD CVA'!$AM$7)*1</f>
        <v>76.243476502957677</v>
      </c>
      <c r="AA42" s="4">
        <f>('TE BE'!$AA$5+'TE BF'!$AA$5+'TE CVA'!$AA$5)*1</f>
        <v>423.89652505413846</v>
      </c>
      <c r="AB42" s="4">
        <f>$K$42*$V$42</f>
        <v>5292</v>
      </c>
      <c r="AC42" s="4">
        <f>$M$42*$W$42</f>
        <v>446.92205999999999</v>
      </c>
      <c r="AD42" s="4">
        <f>$O$42*$X$42</f>
        <v>2378.4378200000001</v>
      </c>
      <c r="AE42" s="4">
        <f ca="1">$K$42*$Y$42</f>
        <v>6067.4590929101387</v>
      </c>
      <c r="AF42" s="4">
        <f ca="1">$M$42*$Z$42</f>
        <v>523.18273576329557</v>
      </c>
      <c r="AG42" s="4">
        <f>$O$42*$AA$42</f>
        <v>2908.7779549214983</v>
      </c>
    </row>
    <row r="43" spans="1:33" ht="11.25" customHeight="1" x14ac:dyDescent="0.25">
      <c r="A43" s="3" t="s">
        <v>21</v>
      </c>
      <c r="B43" s="3" t="s">
        <v>41</v>
      </c>
      <c r="C43" s="3" t="s">
        <v>42</v>
      </c>
      <c r="D43" s="3" t="s">
        <v>43</v>
      </c>
      <c r="E43" s="3" t="s">
        <v>25</v>
      </c>
      <c r="F43" s="3" t="s">
        <v>25</v>
      </c>
      <c r="G43" s="3" t="s">
        <v>25</v>
      </c>
      <c r="H43" s="3" t="s">
        <v>35</v>
      </c>
      <c r="I43" s="6">
        <v>44317</v>
      </c>
      <c r="J43" s="4">
        <v>3130</v>
      </c>
      <c r="K43" s="4">
        <v>3130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3" t="s">
        <v>57</v>
      </c>
      <c r="R43" s="3">
        <v>0</v>
      </c>
      <c r="S43" s="4">
        <v>92</v>
      </c>
      <c r="T43" s="4">
        <v>0</v>
      </c>
      <c r="U43" s="4">
        <v>0</v>
      </c>
      <c r="V43" s="4">
        <f>IF(ISERROR(VLOOKUP($S$43,'TAR FIN'!$A$1:$O$99,15,0)),0,VLOOKUP($S$43,'TAR FIN'!$A$1:$O$99,15,0))</f>
        <v>26.46</v>
      </c>
      <c r="W43" s="4">
        <f>IF(ISERROR(VLOOKUP($T$43,'TAR FIN'!$A$1:$O$99,15,0)),0,VLOOKUP($T$43,'TAR FIN'!$A$1:$O$99,15,0))</f>
        <v>0</v>
      </c>
      <c r="X43" s="4">
        <f>IF(ISERROR(VLOOKUP($U$43,'TAR FIN'!$A$1:$O$99,15,0)),0,VLOOKUP($U$43,'TAR FIN'!$A$1:$O$99,15,0))</f>
        <v>0</v>
      </c>
      <c r="Y43" s="4">
        <f ca="1">('TUSD BE'!$AM$5+'TUSD BF'!$AM$5+'TUSD CVA'!$AM$5)*1</f>
        <v>30.337295464550692</v>
      </c>
      <c r="Z43" s="4">
        <f ca="1">('TUSD BE'!$AM$7+'TUSD BF'!$AM$7+'TUSD CVA'!$AM$7)*1</f>
        <v>76.243476502957677</v>
      </c>
      <c r="AA43" s="4"/>
      <c r="AB43" s="4">
        <f>$K$43*$V$43</f>
        <v>82819.8</v>
      </c>
      <c r="AC43" s="4">
        <f>$M$43*$W$43</f>
        <v>0</v>
      </c>
      <c r="AD43" s="4">
        <f>$O$43*$X$43</f>
        <v>0</v>
      </c>
      <c r="AE43" s="4">
        <f ca="1">$K$43*$Y$43</f>
        <v>94955.734804043663</v>
      </c>
      <c r="AF43" s="4">
        <f ca="1">$M$43*$Z$43</f>
        <v>0</v>
      </c>
      <c r="AG43" s="4">
        <f>$O$43*$AA$43</f>
        <v>0</v>
      </c>
    </row>
    <row r="44" spans="1:33" ht="11.25" customHeight="1" x14ac:dyDescent="0.25">
      <c r="A44" s="3" t="s">
        <v>21</v>
      </c>
      <c r="B44" s="3" t="s">
        <v>41</v>
      </c>
      <c r="C44" s="3" t="s">
        <v>42</v>
      </c>
      <c r="D44" s="3" t="s">
        <v>43</v>
      </c>
      <c r="E44" s="3" t="s">
        <v>25</v>
      </c>
      <c r="F44" s="3" t="s">
        <v>25</v>
      </c>
      <c r="G44" s="3" t="s">
        <v>25</v>
      </c>
      <c r="H44" s="3" t="s">
        <v>35</v>
      </c>
      <c r="I44" s="6">
        <v>44348</v>
      </c>
      <c r="J44" s="4">
        <v>200</v>
      </c>
      <c r="K44" s="4">
        <v>200</v>
      </c>
      <c r="L44" s="4">
        <v>2.7890000000000001</v>
      </c>
      <c r="M44" s="4">
        <v>2.7890000000000001</v>
      </c>
      <c r="N44" s="4">
        <v>2.7890000000000001</v>
      </c>
      <c r="O44" s="4">
        <v>2.7890000000000001</v>
      </c>
      <c r="P44" s="4">
        <v>0</v>
      </c>
      <c r="Q44" s="3" t="s">
        <v>26</v>
      </c>
      <c r="R44" s="3">
        <v>0</v>
      </c>
      <c r="S44" s="4">
        <v>92</v>
      </c>
      <c r="T44" s="4">
        <v>94</v>
      </c>
      <c r="U44" s="4">
        <v>47</v>
      </c>
      <c r="V44" s="4">
        <f>IF(ISERROR(VLOOKUP($S$44,'TAR FIN'!$A$1:$O$99,15,0)),0,VLOOKUP($S$44,'TAR FIN'!$A$1:$O$99,15,0))</f>
        <v>26.46</v>
      </c>
      <c r="W44" s="4">
        <f>IF(ISERROR(VLOOKUP($T$44,'TAR FIN'!$A$1:$O$99,15,0)),0,VLOOKUP($T$44,'TAR FIN'!$A$1:$O$99,15,0))</f>
        <v>65.13</v>
      </c>
      <c r="X44" s="4">
        <f>IF(ISERROR(VLOOKUP($U$44,'TAR FIN'!$A$1:$O$99,15,0)),0,VLOOKUP($U$44,'TAR FIN'!$A$1:$O$99,15,0))</f>
        <v>346.61</v>
      </c>
      <c r="Y44" s="4">
        <f ca="1">('TUSD BE'!$AM$5+'TUSD BF'!$AM$5+'TUSD CVA'!$AM$5)*1</f>
        <v>30.337295464550692</v>
      </c>
      <c r="Z44" s="4">
        <f ca="1">('TUSD BE'!$AM$7+'TUSD BF'!$AM$7+'TUSD CVA'!$AM$7)*1</f>
        <v>76.243476502957677</v>
      </c>
      <c r="AA44" s="4">
        <f>('TE BE'!$AA$5+'TE BF'!$AA$5+'TE CVA'!$AA$5)*1</f>
        <v>423.89652505413846</v>
      </c>
      <c r="AB44" s="4">
        <f>$K$44*$V$44</f>
        <v>5292</v>
      </c>
      <c r="AC44" s="4">
        <f>$M$44*$W$44</f>
        <v>181.64757</v>
      </c>
      <c r="AD44" s="4">
        <f>$O$44*$X$44</f>
        <v>966.69529000000011</v>
      </c>
      <c r="AE44" s="4">
        <f ca="1">$K$44*$Y$44</f>
        <v>6067.4590929101387</v>
      </c>
      <c r="AF44" s="4">
        <f ca="1">$M$44*$Z$44</f>
        <v>212.64305596674896</v>
      </c>
      <c r="AG44" s="4">
        <f>$O$44*$AA$44</f>
        <v>1182.2474083759923</v>
      </c>
    </row>
    <row r="45" spans="1:33" ht="11.25" customHeight="1" x14ac:dyDescent="0.25">
      <c r="A45" s="3" t="s">
        <v>28</v>
      </c>
      <c r="B45" s="3" t="s">
        <v>41</v>
      </c>
      <c r="C45" s="3" t="s">
        <v>42</v>
      </c>
      <c r="D45" s="3" t="s">
        <v>43</v>
      </c>
      <c r="E45" s="3" t="s">
        <v>25</v>
      </c>
      <c r="F45" s="3" t="s">
        <v>25</v>
      </c>
      <c r="G45" s="3" t="s">
        <v>25</v>
      </c>
      <c r="H45" s="3" t="s">
        <v>35</v>
      </c>
      <c r="I45" s="6">
        <v>44348</v>
      </c>
      <c r="J45" s="4">
        <v>200</v>
      </c>
      <c r="K45" s="4">
        <v>200</v>
      </c>
      <c r="L45" s="4">
        <v>6.46</v>
      </c>
      <c r="M45" s="4">
        <v>6.46</v>
      </c>
      <c r="N45" s="4">
        <v>6.46</v>
      </c>
      <c r="O45" s="4">
        <v>6.46</v>
      </c>
      <c r="P45" s="4">
        <v>0</v>
      </c>
      <c r="Q45" s="3" t="s">
        <v>26</v>
      </c>
      <c r="R45" s="3">
        <v>0</v>
      </c>
      <c r="S45" s="4">
        <v>92</v>
      </c>
      <c r="T45" s="4">
        <v>94</v>
      </c>
      <c r="U45" s="4">
        <v>47</v>
      </c>
      <c r="V45" s="4">
        <f>IF(ISERROR(VLOOKUP($S$45,'TAR FIN'!$A$1:$O$99,15,0)),0,VLOOKUP($S$45,'TAR FIN'!$A$1:$O$99,15,0))</f>
        <v>26.46</v>
      </c>
      <c r="W45" s="4">
        <f>IF(ISERROR(VLOOKUP($T$45,'TAR FIN'!$A$1:$O$99,15,0)),0,VLOOKUP($T$45,'TAR FIN'!$A$1:$O$99,15,0))</f>
        <v>65.13</v>
      </c>
      <c r="X45" s="4">
        <f>IF(ISERROR(VLOOKUP($U$45,'TAR FIN'!$A$1:$O$99,15,0)),0,VLOOKUP($U$45,'TAR FIN'!$A$1:$O$99,15,0))</f>
        <v>346.61</v>
      </c>
      <c r="Y45" s="4">
        <f ca="1">('TUSD BE'!$AM$5+'TUSD BF'!$AM$5+'TUSD CVA'!$AM$5)*1</f>
        <v>30.337295464550692</v>
      </c>
      <c r="Z45" s="4">
        <f ca="1">('TUSD BE'!$AM$7+'TUSD BF'!$AM$7+'TUSD CVA'!$AM$7)*1</f>
        <v>76.243476502957677</v>
      </c>
      <c r="AA45" s="4">
        <f>('TE BE'!$AA$5+'TE BF'!$AA$5+'TE CVA'!$AA$5)*1</f>
        <v>423.89652505413846</v>
      </c>
      <c r="AB45" s="4">
        <f>$K$45*$V$45</f>
        <v>5292</v>
      </c>
      <c r="AC45" s="4">
        <f>$M$45*$W$45</f>
        <v>420.73979999999995</v>
      </c>
      <c r="AD45" s="4">
        <f>$O$45*$X$45</f>
        <v>2239.1006000000002</v>
      </c>
      <c r="AE45" s="4">
        <f ca="1">$K$45*$Y$45</f>
        <v>6067.4590929101387</v>
      </c>
      <c r="AF45" s="4">
        <f ca="1">$M$45*$Z$45</f>
        <v>492.53285820910656</v>
      </c>
      <c r="AG45" s="4">
        <f>$O$45*$AA$45</f>
        <v>2738.3715518497343</v>
      </c>
    </row>
    <row r="46" spans="1:33" ht="11.25" customHeight="1" x14ac:dyDescent="0.25">
      <c r="A46" s="3" t="s">
        <v>21</v>
      </c>
      <c r="B46" s="3" t="s">
        <v>41</v>
      </c>
      <c r="C46" s="3" t="s">
        <v>42</v>
      </c>
      <c r="D46" s="3" t="s">
        <v>43</v>
      </c>
      <c r="E46" s="3" t="s">
        <v>25</v>
      </c>
      <c r="F46" s="3" t="s">
        <v>25</v>
      </c>
      <c r="G46" s="3" t="s">
        <v>25</v>
      </c>
      <c r="H46" s="3" t="s">
        <v>35</v>
      </c>
      <c r="I46" s="6">
        <v>44348</v>
      </c>
      <c r="J46" s="4">
        <v>3035</v>
      </c>
      <c r="K46" s="4">
        <v>3035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3" t="s">
        <v>57</v>
      </c>
      <c r="R46" s="3">
        <v>0</v>
      </c>
      <c r="S46" s="4">
        <v>92</v>
      </c>
      <c r="T46" s="4">
        <v>0</v>
      </c>
      <c r="U46" s="4">
        <v>0</v>
      </c>
      <c r="V46" s="4">
        <f>IF(ISERROR(VLOOKUP($S$46,'TAR FIN'!$A$1:$O$99,15,0)),0,VLOOKUP($S$46,'TAR FIN'!$A$1:$O$99,15,0))</f>
        <v>26.46</v>
      </c>
      <c r="W46" s="4">
        <f>IF(ISERROR(VLOOKUP($T$46,'TAR FIN'!$A$1:$O$99,15,0)),0,VLOOKUP($T$46,'TAR FIN'!$A$1:$O$99,15,0))</f>
        <v>0</v>
      </c>
      <c r="X46" s="4">
        <f>IF(ISERROR(VLOOKUP($U$46,'TAR FIN'!$A$1:$O$99,15,0)),0,VLOOKUP($U$46,'TAR FIN'!$A$1:$O$99,15,0))</f>
        <v>0</v>
      </c>
      <c r="Y46" s="4">
        <f ca="1">('TUSD BE'!$AM$5+'TUSD BF'!$AM$5+'TUSD CVA'!$AM$5)*1</f>
        <v>30.337295464550692</v>
      </c>
      <c r="Z46" s="4">
        <f ca="1">('TUSD BE'!$AM$7+'TUSD BF'!$AM$7+'TUSD CVA'!$AM$7)*1</f>
        <v>76.243476502957677</v>
      </c>
      <c r="AA46" s="4"/>
      <c r="AB46" s="4">
        <f>$K$46*$V$46</f>
        <v>80306.100000000006</v>
      </c>
      <c r="AC46" s="4">
        <f>$M$46*$W$46</f>
        <v>0</v>
      </c>
      <c r="AD46" s="4">
        <f>$O$46*$X$46</f>
        <v>0</v>
      </c>
      <c r="AE46" s="4">
        <f ca="1">$K$46*$Y$46</f>
        <v>92073.69173491135</v>
      </c>
      <c r="AF46" s="4">
        <f ca="1">$M$46*$Z$46</f>
        <v>0</v>
      </c>
      <c r="AG46" s="4">
        <f>$O$46*$AA$46</f>
        <v>0</v>
      </c>
    </row>
    <row r="47" spans="1:33" ht="11.25" customHeight="1" x14ac:dyDescent="0.25">
      <c r="A47" s="3" t="s">
        <v>21</v>
      </c>
      <c r="B47" s="3" t="s">
        <v>41</v>
      </c>
      <c r="C47" s="3" t="s">
        <v>42</v>
      </c>
      <c r="D47" s="3" t="s">
        <v>43</v>
      </c>
      <c r="E47" s="3" t="s">
        <v>25</v>
      </c>
      <c r="F47" s="3" t="s">
        <v>25</v>
      </c>
      <c r="G47" s="3" t="s">
        <v>25</v>
      </c>
      <c r="H47" s="3" t="s">
        <v>35</v>
      </c>
      <c r="I47" s="6">
        <v>44378</v>
      </c>
      <c r="J47" s="4">
        <v>200</v>
      </c>
      <c r="K47" s="4">
        <v>200</v>
      </c>
      <c r="L47" s="4">
        <v>3.2930000000000001</v>
      </c>
      <c r="M47" s="4">
        <v>3.2930000000000001</v>
      </c>
      <c r="N47" s="4">
        <v>3.2930000000000001</v>
      </c>
      <c r="O47" s="4">
        <v>3.2930000000000001</v>
      </c>
      <c r="P47" s="4">
        <v>0</v>
      </c>
      <c r="Q47" s="3" t="s">
        <v>26</v>
      </c>
      <c r="R47" s="3">
        <v>0</v>
      </c>
      <c r="S47" s="4">
        <v>92</v>
      </c>
      <c r="T47" s="4">
        <v>94</v>
      </c>
      <c r="U47" s="4">
        <v>47</v>
      </c>
      <c r="V47" s="4">
        <f>IF(ISERROR(VLOOKUP($S$47,'TAR FIN'!$A$1:$O$99,15,0)),0,VLOOKUP($S$47,'TAR FIN'!$A$1:$O$99,15,0))</f>
        <v>26.46</v>
      </c>
      <c r="W47" s="4">
        <f>IF(ISERROR(VLOOKUP($T$47,'TAR FIN'!$A$1:$O$99,15,0)),0,VLOOKUP($T$47,'TAR FIN'!$A$1:$O$99,15,0))</f>
        <v>65.13</v>
      </c>
      <c r="X47" s="4">
        <f>IF(ISERROR(VLOOKUP($U$47,'TAR FIN'!$A$1:$O$99,15,0)),0,VLOOKUP($U$47,'TAR FIN'!$A$1:$O$99,15,0))</f>
        <v>346.61</v>
      </c>
      <c r="Y47" s="4">
        <f ca="1">('TUSD BE'!$AM$5+'TUSD BF'!$AM$5+'TUSD CVA'!$AM$5)*1</f>
        <v>30.337295464550692</v>
      </c>
      <c r="Z47" s="4">
        <f ca="1">('TUSD BE'!$AM$7+'TUSD BF'!$AM$7+'TUSD CVA'!$AM$7)*1</f>
        <v>76.243476502957677</v>
      </c>
      <c r="AA47" s="4">
        <f>('TE BE'!$AA$5+'TE BF'!$AA$5+'TE CVA'!$AA$5)*1</f>
        <v>423.89652505413846</v>
      </c>
      <c r="AB47" s="4">
        <f>$K$47*$V$47</f>
        <v>5292</v>
      </c>
      <c r="AC47" s="4">
        <f>$M$47*$W$47</f>
        <v>214.47308999999998</v>
      </c>
      <c r="AD47" s="4">
        <f>$O$47*$X$47</f>
        <v>1141.3867300000002</v>
      </c>
      <c r="AE47" s="4">
        <f ca="1">$K$47*$Y$47</f>
        <v>6067.4590929101387</v>
      </c>
      <c r="AF47" s="4">
        <f ca="1">$M$47*$Z$47</f>
        <v>251.06976812423963</v>
      </c>
      <c r="AG47" s="4">
        <f>$O$47*$AA$47</f>
        <v>1395.891257003278</v>
      </c>
    </row>
    <row r="48" spans="1:33" ht="11.25" customHeight="1" x14ac:dyDescent="0.25">
      <c r="A48" s="3" t="s">
        <v>28</v>
      </c>
      <c r="B48" s="3" t="s">
        <v>41</v>
      </c>
      <c r="C48" s="3" t="s">
        <v>42</v>
      </c>
      <c r="D48" s="3" t="s">
        <v>43</v>
      </c>
      <c r="E48" s="3" t="s">
        <v>25</v>
      </c>
      <c r="F48" s="3" t="s">
        <v>25</v>
      </c>
      <c r="G48" s="3" t="s">
        <v>25</v>
      </c>
      <c r="H48" s="3" t="s">
        <v>35</v>
      </c>
      <c r="I48" s="6">
        <v>44378</v>
      </c>
      <c r="J48" s="4">
        <v>200</v>
      </c>
      <c r="K48" s="4">
        <v>200</v>
      </c>
      <c r="L48" s="4">
        <v>6.5650000000000004</v>
      </c>
      <c r="M48" s="4">
        <v>6.5650000000000004</v>
      </c>
      <c r="N48" s="4">
        <v>6.5650000000000004</v>
      </c>
      <c r="O48" s="4">
        <v>6.5650000000000004</v>
      </c>
      <c r="P48" s="4">
        <v>0</v>
      </c>
      <c r="Q48" s="3" t="s">
        <v>26</v>
      </c>
      <c r="R48" s="3">
        <v>0</v>
      </c>
      <c r="S48" s="4">
        <v>92</v>
      </c>
      <c r="T48" s="4">
        <v>94</v>
      </c>
      <c r="U48" s="4">
        <v>47</v>
      </c>
      <c r="V48" s="4">
        <f>IF(ISERROR(VLOOKUP($S$48,'TAR FIN'!$A$1:$O$99,15,0)),0,VLOOKUP($S$48,'TAR FIN'!$A$1:$O$99,15,0))</f>
        <v>26.46</v>
      </c>
      <c r="W48" s="4">
        <f>IF(ISERROR(VLOOKUP($T$48,'TAR FIN'!$A$1:$O$99,15,0)),0,VLOOKUP($T$48,'TAR FIN'!$A$1:$O$99,15,0))</f>
        <v>65.13</v>
      </c>
      <c r="X48" s="4">
        <f>IF(ISERROR(VLOOKUP($U$48,'TAR FIN'!$A$1:$O$99,15,0)),0,VLOOKUP($U$48,'TAR FIN'!$A$1:$O$99,15,0))</f>
        <v>346.61</v>
      </c>
      <c r="Y48" s="4">
        <f ca="1">('TUSD BE'!$AM$5+'TUSD BF'!$AM$5+'TUSD CVA'!$AM$5)*1</f>
        <v>30.337295464550692</v>
      </c>
      <c r="Z48" s="4">
        <f ca="1">('TUSD BE'!$AM$7+'TUSD BF'!$AM$7+'TUSD CVA'!$AM$7)*1</f>
        <v>76.243476502957677</v>
      </c>
      <c r="AA48" s="4">
        <f>('TE BE'!$AA$5+'TE BF'!$AA$5+'TE CVA'!$AA$5)*1</f>
        <v>423.89652505413846</v>
      </c>
      <c r="AB48" s="4">
        <f>$K$48*$V$48</f>
        <v>5292</v>
      </c>
      <c r="AC48" s="4">
        <f>$M$48*$W$48</f>
        <v>427.57844999999998</v>
      </c>
      <c r="AD48" s="4">
        <f>$O$48*$X$48</f>
        <v>2275.4946500000001</v>
      </c>
      <c r="AE48" s="4">
        <f ca="1">$K$48*$Y$48</f>
        <v>6067.4590929101387</v>
      </c>
      <c r="AF48" s="4">
        <f ca="1">$M$48*$Z$48</f>
        <v>500.5384232419172</v>
      </c>
      <c r="AG48" s="4">
        <f>$O$48*$AA$48</f>
        <v>2782.8806869804193</v>
      </c>
    </row>
    <row r="49" spans="1:33" ht="11.25" customHeight="1" x14ac:dyDescent="0.25">
      <c r="A49" s="3" t="s">
        <v>21</v>
      </c>
      <c r="B49" s="3" t="s">
        <v>41</v>
      </c>
      <c r="C49" s="3" t="s">
        <v>42</v>
      </c>
      <c r="D49" s="3" t="s">
        <v>43</v>
      </c>
      <c r="E49" s="3" t="s">
        <v>25</v>
      </c>
      <c r="F49" s="3" t="s">
        <v>25</v>
      </c>
      <c r="G49" s="3" t="s">
        <v>25</v>
      </c>
      <c r="H49" s="3" t="s">
        <v>35</v>
      </c>
      <c r="I49" s="6">
        <v>44378</v>
      </c>
      <c r="J49" s="4">
        <v>3136</v>
      </c>
      <c r="K49" s="4">
        <v>3136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3" t="s">
        <v>57</v>
      </c>
      <c r="R49" s="3">
        <v>0</v>
      </c>
      <c r="S49" s="4">
        <v>92</v>
      </c>
      <c r="T49" s="4">
        <v>0</v>
      </c>
      <c r="U49" s="4">
        <v>0</v>
      </c>
      <c r="V49" s="4">
        <f>IF(ISERROR(VLOOKUP($S$49,'TAR FIN'!$A$1:$O$99,15,0)),0,VLOOKUP($S$49,'TAR FIN'!$A$1:$O$99,15,0))</f>
        <v>26.46</v>
      </c>
      <c r="W49" s="4">
        <f>IF(ISERROR(VLOOKUP($T$49,'TAR FIN'!$A$1:$O$99,15,0)),0,VLOOKUP($T$49,'TAR FIN'!$A$1:$O$99,15,0))</f>
        <v>0</v>
      </c>
      <c r="X49" s="4">
        <f>IF(ISERROR(VLOOKUP($U$49,'TAR FIN'!$A$1:$O$99,15,0)),0,VLOOKUP($U$49,'TAR FIN'!$A$1:$O$99,15,0))</f>
        <v>0</v>
      </c>
      <c r="Y49" s="4">
        <f ca="1">('TUSD BE'!$AM$5+'TUSD BF'!$AM$5+'TUSD CVA'!$AM$5)*1</f>
        <v>30.337295464550692</v>
      </c>
      <c r="Z49" s="4">
        <f ca="1">('TUSD BE'!$AM$7+'TUSD BF'!$AM$7+'TUSD CVA'!$AM$7)*1</f>
        <v>76.243476502957677</v>
      </c>
      <c r="AA49" s="4"/>
      <c r="AB49" s="4">
        <f>$K$49*$V$49</f>
        <v>82978.559999999998</v>
      </c>
      <c r="AC49" s="4">
        <f>$M$49*$W$49</f>
        <v>0</v>
      </c>
      <c r="AD49" s="4">
        <f>$O$49*$X$49</f>
        <v>0</v>
      </c>
      <c r="AE49" s="4">
        <f ca="1">$K$49*$Y$49</f>
        <v>95137.758576830965</v>
      </c>
      <c r="AF49" s="4">
        <f ca="1">$M$49*$Z$49</f>
        <v>0</v>
      </c>
      <c r="AG49" s="4">
        <f>$O$49*$AA$49</f>
        <v>0</v>
      </c>
    </row>
    <row r="50" spans="1:33" ht="11.25" customHeight="1" x14ac:dyDescent="0.25">
      <c r="A50" s="3" t="s">
        <v>21</v>
      </c>
      <c r="B50" s="3" t="s">
        <v>41</v>
      </c>
      <c r="C50" s="3" t="s">
        <v>42</v>
      </c>
      <c r="D50" s="3" t="s">
        <v>43</v>
      </c>
      <c r="E50" s="3" t="s">
        <v>25</v>
      </c>
      <c r="F50" s="3" t="s">
        <v>25</v>
      </c>
      <c r="G50" s="3" t="s">
        <v>25</v>
      </c>
      <c r="H50" s="3" t="s">
        <v>35</v>
      </c>
      <c r="I50" s="6">
        <v>44409</v>
      </c>
      <c r="J50" s="4">
        <v>200</v>
      </c>
      <c r="K50" s="4">
        <v>200</v>
      </c>
      <c r="L50" s="4">
        <v>3.4990000000000001</v>
      </c>
      <c r="M50" s="4">
        <v>3.4990000000000001</v>
      </c>
      <c r="N50" s="4">
        <v>3.4990000000000001</v>
      </c>
      <c r="O50" s="4">
        <v>3.4990000000000001</v>
      </c>
      <c r="P50" s="4">
        <v>0</v>
      </c>
      <c r="Q50" s="3" t="s">
        <v>26</v>
      </c>
      <c r="R50" s="3">
        <v>0</v>
      </c>
      <c r="S50" s="4">
        <v>92</v>
      </c>
      <c r="T50" s="4">
        <v>94</v>
      </c>
      <c r="U50" s="4">
        <v>47</v>
      </c>
      <c r="V50" s="4">
        <f>IF(ISERROR(VLOOKUP($S$50,'TAR FIN'!$A$1:$O$99,15,0)),0,VLOOKUP($S$50,'TAR FIN'!$A$1:$O$99,15,0))</f>
        <v>26.46</v>
      </c>
      <c r="W50" s="4">
        <f>IF(ISERROR(VLOOKUP($T$50,'TAR FIN'!$A$1:$O$99,15,0)),0,VLOOKUP($T$50,'TAR FIN'!$A$1:$O$99,15,0))</f>
        <v>65.13</v>
      </c>
      <c r="X50" s="4">
        <f>IF(ISERROR(VLOOKUP($U$50,'TAR FIN'!$A$1:$O$99,15,0)),0,VLOOKUP($U$50,'TAR FIN'!$A$1:$O$99,15,0))</f>
        <v>346.61</v>
      </c>
      <c r="Y50" s="4">
        <f ca="1">('TUSD BE'!$AM$5+'TUSD BF'!$AM$5+'TUSD CVA'!$AM$5)*1</f>
        <v>30.337295464550692</v>
      </c>
      <c r="Z50" s="4">
        <f ca="1">('TUSD BE'!$AM$7+'TUSD BF'!$AM$7+'TUSD CVA'!$AM$7)*1</f>
        <v>76.243476502957677</v>
      </c>
      <c r="AA50" s="4">
        <f>('TE BE'!$AA$5+'TE BF'!$AA$5+'TE CVA'!$AA$5)*1</f>
        <v>423.89652505413846</v>
      </c>
      <c r="AB50" s="4">
        <f>$K$50*$V$50</f>
        <v>5292</v>
      </c>
      <c r="AC50" s="4">
        <f>$M$50*$W$50</f>
        <v>227.88987</v>
      </c>
      <c r="AD50" s="4">
        <f>$O$50*$X$50</f>
        <v>1212.7883900000002</v>
      </c>
      <c r="AE50" s="4">
        <f ca="1">$K$50*$Y$50</f>
        <v>6067.4590929101387</v>
      </c>
      <c r="AF50" s="4">
        <f ca="1">$M$50*$Z$50</f>
        <v>266.77592428384889</v>
      </c>
      <c r="AG50" s="4">
        <f>$O$50*$AA$50</f>
        <v>1483.2139411644305</v>
      </c>
    </row>
    <row r="51" spans="1:33" ht="11.25" customHeight="1" x14ac:dyDescent="0.25">
      <c r="A51" s="3" t="s">
        <v>21</v>
      </c>
      <c r="B51" s="3" t="s">
        <v>41</v>
      </c>
      <c r="C51" s="3" t="s">
        <v>42</v>
      </c>
      <c r="D51" s="3" t="s">
        <v>43</v>
      </c>
      <c r="E51" s="3" t="s">
        <v>25</v>
      </c>
      <c r="F51" s="3" t="s">
        <v>25</v>
      </c>
      <c r="G51" s="3" t="s">
        <v>25</v>
      </c>
      <c r="H51" s="3" t="s">
        <v>35</v>
      </c>
      <c r="I51" s="6">
        <v>44409</v>
      </c>
      <c r="J51" s="4">
        <v>2839</v>
      </c>
      <c r="K51" s="4">
        <v>2839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57</v>
      </c>
      <c r="R51" s="3">
        <v>0</v>
      </c>
      <c r="S51" s="4">
        <v>92</v>
      </c>
      <c r="T51" s="4">
        <v>0</v>
      </c>
      <c r="U51" s="4">
        <v>0</v>
      </c>
      <c r="V51" s="4">
        <f>IF(ISERROR(VLOOKUP($S$51,'TAR FIN'!$A$1:$O$99,15,0)),0,VLOOKUP($S$51,'TAR FIN'!$A$1:$O$99,15,0))</f>
        <v>26.46</v>
      </c>
      <c r="W51" s="4">
        <f>IF(ISERROR(VLOOKUP($T$51,'TAR FIN'!$A$1:$O$99,15,0)),0,VLOOKUP($T$51,'TAR FIN'!$A$1:$O$99,15,0))</f>
        <v>0</v>
      </c>
      <c r="X51" s="4">
        <f>IF(ISERROR(VLOOKUP($U$51,'TAR FIN'!$A$1:$O$99,15,0)),0,VLOOKUP($U$51,'TAR FIN'!$A$1:$O$99,15,0))</f>
        <v>0</v>
      </c>
      <c r="Y51" s="4">
        <f ca="1">('TUSD BE'!$AM$5+'TUSD BF'!$AM$5+'TUSD CVA'!$AM$5)*1</f>
        <v>30.337295464550692</v>
      </c>
      <c r="Z51" s="4">
        <f ca="1">('TUSD BE'!$AM$7+'TUSD BF'!$AM$7+'TUSD CVA'!$AM$7)*1</f>
        <v>76.243476502957677</v>
      </c>
      <c r="AA51" s="4"/>
      <c r="AB51" s="4">
        <f>$K$51*$V$51</f>
        <v>75119.94</v>
      </c>
      <c r="AC51" s="4">
        <f>$M$51*$W$51</f>
        <v>0</v>
      </c>
      <c r="AD51" s="4">
        <f>$O$51*$X$51</f>
        <v>0</v>
      </c>
      <c r="AE51" s="4">
        <f ca="1">$K$51*$Y$51</f>
        <v>86127.581823859422</v>
      </c>
      <c r="AF51" s="4">
        <f ca="1">$M$51*$Z$51</f>
        <v>0</v>
      </c>
      <c r="AG51" s="4">
        <f>$O$51*$AA$51</f>
        <v>0</v>
      </c>
    </row>
    <row r="52" spans="1:33" ht="11.25" customHeight="1" x14ac:dyDescent="0.25">
      <c r="A52" s="3" t="s">
        <v>21</v>
      </c>
      <c r="B52" s="3" t="s">
        <v>41</v>
      </c>
      <c r="C52" s="3" t="s">
        <v>42</v>
      </c>
      <c r="D52" s="3" t="s">
        <v>43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44440</v>
      </c>
      <c r="J52" s="4">
        <v>200</v>
      </c>
      <c r="K52" s="4">
        <v>200</v>
      </c>
      <c r="L52" s="4">
        <v>3.7480000000000002</v>
      </c>
      <c r="M52" s="4">
        <v>3.7480000000000002</v>
      </c>
      <c r="N52" s="4">
        <v>3.7480000000000002</v>
      </c>
      <c r="O52" s="4">
        <v>3.7480000000000002</v>
      </c>
      <c r="P52" s="4">
        <v>0</v>
      </c>
      <c r="Q52" s="3" t="s">
        <v>26</v>
      </c>
      <c r="R52" s="3">
        <v>0</v>
      </c>
      <c r="S52" s="4">
        <v>92</v>
      </c>
      <c r="T52" s="4">
        <v>94</v>
      </c>
      <c r="U52" s="4">
        <v>47</v>
      </c>
      <c r="V52" s="4">
        <f>IF(ISERROR(VLOOKUP($S$52,'TAR FIN'!$A$1:$O$99,15,0)),0,VLOOKUP($S$52,'TAR FIN'!$A$1:$O$99,15,0))</f>
        <v>26.46</v>
      </c>
      <c r="W52" s="4">
        <f>IF(ISERROR(VLOOKUP($T$52,'TAR FIN'!$A$1:$O$99,15,0)),0,VLOOKUP($T$52,'TAR FIN'!$A$1:$O$99,15,0))</f>
        <v>65.13</v>
      </c>
      <c r="X52" s="4">
        <f>IF(ISERROR(VLOOKUP($U$52,'TAR FIN'!$A$1:$O$99,15,0)),0,VLOOKUP($U$52,'TAR FIN'!$A$1:$O$99,15,0))</f>
        <v>346.61</v>
      </c>
      <c r="Y52" s="4">
        <f ca="1">('TUSD BE'!$AM$5+'TUSD BF'!$AM$5+'TUSD CVA'!$AM$5)*1</f>
        <v>30.337295464550692</v>
      </c>
      <c r="Z52" s="4">
        <f ca="1">('TUSD BE'!$AM$7+'TUSD BF'!$AM$7+'TUSD CVA'!$AM$7)*1</f>
        <v>76.243476502957677</v>
      </c>
      <c r="AA52" s="4">
        <f>('TE BE'!$AA$5+'TE BF'!$AA$5+'TE CVA'!$AA$5)*1</f>
        <v>423.89652505413846</v>
      </c>
      <c r="AB52" s="4">
        <f>$K$52*$V$52</f>
        <v>5292</v>
      </c>
      <c r="AC52" s="4">
        <f>$M$52*$W$52</f>
        <v>244.10723999999999</v>
      </c>
      <c r="AD52" s="4">
        <f>$O$52*$X$52</f>
        <v>1299.09428</v>
      </c>
      <c r="AE52" s="4">
        <f ca="1">$K$52*$Y$52</f>
        <v>6067.4590929101387</v>
      </c>
      <c r="AF52" s="4">
        <f ca="1">$M$52*$Z$52</f>
        <v>285.76054993308537</v>
      </c>
      <c r="AG52" s="4">
        <f>$O$52*$AA$52</f>
        <v>1588.7641759029111</v>
      </c>
    </row>
    <row r="53" spans="1:33" ht="11.25" customHeight="1" x14ac:dyDescent="0.25">
      <c r="A53" s="3" t="s">
        <v>21</v>
      </c>
      <c r="B53" s="3" t="s">
        <v>41</v>
      </c>
      <c r="C53" s="3" t="s">
        <v>42</v>
      </c>
      <c r="D53" s="3" t="s">
        <v>43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44440</v>
      </c>
      <c r="J53" s="4">
        <v>3250</v>
      </c>
      <c r="K53" s="4">
        <v>3250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3" t="s">
        <v>57</v>
      </c>
      <c r="R53" s="3">
        <v>0</v>
      </c>
      <c r="S53" s="4">
        <v>92</v>
      </c>
      <c r="T53" s="4">
        <v>0</v>
      </c>
      <c r="U53" s="4">
        <v>0</v>
      </c>
      <c r="V53" s="4">
        <f>IF(ISERROR(VLOOKUP($S$53,'TAR FIN'!$A$1:$O$99,15,0)),0,VLOOKUP($S$53,'TAR FIN'!$A$1:$O$99,15,0))</f>
        <v>26.46</v>
      </c>
      <c r="W53" s="4">
        <f>IF(ISERROR(VLOOKUP($T$53,'TAR FIN'!$A$1:$O$99,15,0)),0,VLOOKUP($T$53,'TAR FIN'!$A$1:$O$99,15,0))</f>
        <v>0</v>
      </c>
      <c r="X53" s="4">
        <f>IF(ISERROR(VLOOKUP($U$53,'TAR FIN'!$A$1:$O$99,15,0)),0,VLOOKUP($U$53,'TAR FIN'!$A$1:$O$99,15,0))</f>
        <v>0</v>
      </c>
      <c r="Y53" s="4">
        <f ca="1">('TUSD BE'!$AM$5+'TUSD BF'!$AM$5+'TUSD CVA'!$AM$5)*1</f>
        <v>30.337295464550692</v>
      </c>
      <c r="Z53" s="4">
        <f ca="1">('TUSD BE'!$AM$7+'TUSD BF'!$AM$7+'TUSD CVA'!$AM$7)*1</f>
        <v>76.243476502957677</v>
      </c>
      <c r="AA53" s="4"/>
      <c r="AB53" s="4">
        <f>$K$53*$V$53</f>
        <v>85995</v>
      </c>
      <c r="AC53" s="4">
        <f>$M$53*$W$53</f>
        <v>0</v>
      </c>
      <c r="AD53" s="4">
        <f>$O$53*$X$53</f>
        <v>0</v>
      </c>
      <c r="AE53" s="4">
        <f ca="1">$K$53*$Y$53</f>
        <v>98596.210259789746</v>
      </c>
      <c r="AF53" s="4">
        <f ca="1">$M$53*$Z$53</f>
        <v>0</v>
      </c>
      <c r="AG53" s="4">
        <f>$O$53*$AA$53</f>
        <v>0</v>
      </c>
    </row>
    <row r="54" spans="1:33" ht="11.25" customHeight="1" x14ac:dyDescent="0.25">
      <c r="A54" s="3" t="s">
        <v>21</v>
      </c>
      <c r="B54" s="3" t="s">
        <v>41</v>
      </c>
      <c r="C54" s="3" t="s">
        <v>42</v>
      </c>
      <c r="D54" s="3" t="s">
        <v>43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44470</v>
      </c>
      <c r="J54" s="4">
        <v>200</v>
      </c>
      <c r="K54" s="4">
        <v>200</v>
      </c>
      <c r="L54" s="4">
        <v>4.1020000000000003</v>
      </c>
      <c r="M54" s="4">
        <v>4.1020000000000003</v>
      </c>
      <c r="N54" s="4">
        <v>4.1020000000000003</v>
      </c>
      <c r="O54" s="4">
        <v>4.1020000000000003</v>
      </c>
      <c r="P54" s="4">
        <v>0</v>
      </c>
      <c r="Q54" s="3" t="s">
        <v>26</v>
      </c>
      <c r="R54" s="3">
        <v>0</v>
      </c>
      <c r="S54" s="4">
        <v>92</v>
      </c>
      <c r="T54" s="4">
        <v>94</v>
      </c>
      <c r="U54" s="4">
        <v>47</v>
      </c>
      <c r="V54" s="4">
        <f>IF(ISERROR(VLOOKUP($S$54,'TAR FIN'!$A$1:$O$99,15,0)),0,VLOOKUP($S$54,'TAR FIN'!$A$1:$O$99,15,0))</f>
        <v>26.46</v>
      </c>
      <c r="W54" s="4">
        <f>IF(ISERROR(VLOOKUP($T$54,'TAR FIN'!$A$1:$O$99,15,0)),0,VLOOKUP($T$54,'TAR FIN'!$A$1:$O$99,15,0))</f>
        <v>65.13</v>
      </c>
      <c r="X54" s="4">
        <f>IF(ISERROR(VLOOKUP($U$54,'TAR FIN'!$A$1:$O$99,15,0)),0,VLOOKUP($U$54,'TAR FIN'!$A$1:$O$99,15,0))</f>
        <v>346.61</v>
      </c>
      <c r="Y54" s="4">
        <f ca="1">('TUSD BE'!$AM$5+'TUSD BF'!$AM$5+'TUSD CVA'!$AM$5)*1</f>
        <v>30.337295464550692</v>
      </c>
      <c r="Z54" s="4">
        <f ca="1">('TUSD BE'!$AM$7+'TUSD BF'!$AM$7+'TUSD CVA'!$AM$7)*1</f>
        <v>76.243476502957677</v>
      </c>
      <c r="AA54" s="4">
        <f>('TE BE'!$AA$5+'TE BF'!$AA$5+'TE CVA'!$AA$5)*1</f>
        <v>423.89652505413846</v>
      </c>
      <c r="AB54" s="4">
        <f>$K$54*$V$54</f>
        <v>5292</v>
      </c>
      <c r="AC54" s="4">
        <f>$M$54*$W$54</f>
        <v>267.16325999999998</v>
      </c>
      <c r="AD54" s="4">
        <f>$O$54*$X$54</f>
        <v>1421.7942200000002</v>
      </c>
      <c r="AE54" s="4">
        <f ca="1">$K$54*$Y$54</f>
        <v>6067.4590929101387</v>
      </c>
      <c r="AF54" s="4">
        <f ca="1">$M$54*$Z$54</f>
        <v>312.75074061513243</v>
      </c>
      <c r="AG54" s="4">
        <f>$O$54*$AA$54</f>
        <v>1738.8235457720762</v>
      </c>
    </row>
    <row r="55" spans="1:33" ht="11.25" customHeight="1" x14ac:dyDescent="0.25">
      <c r="A55" s="3" t="s">
        <v>21</v>
      </c>
      <c r="B55" s="3" t="s">
        <v>41</v>
      </c>
      <c r="C55" s="3" t="s">
        <v>42</v>
      </c>
      <c r="D55" s="3" t="s">
        <v>43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44470</v>
      </c>
      <c r="J55" s="4">
        <v>3250</v>
      </c>
      <c r="K55" s="4">
        <v>3250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3" t="s">
        <v>57</v>
      </c>
      <c r="R55" s="3">
        <v>0</v>
      </c>
      <c r="S55" s="4">
        <v>92</v>
      </c>
      <c r="T55" s="4">
        <v>0</v>
      </c>
      <c r="U55" s="4">
        <v>0</v>
      </c>
      <c r="V55" s="4">
        <f>IF(ISERROR(VLOOKUP($S$55,'TAR FIN'!$A$1:$O$99,15,0)),0,VLOOKUP($S$55,'TAR FIN'!$A$1:$O$99,15,0))</f>
        <v>26.46</v>
      </c>
      <c r="W55" s="4">
        <f>IF(ISERROR(VLOOKUP($T$55,'TAR FIN'!$A$1:$O$99,15,0)),0,VLOOKUP($T$55,'TAR FIN'!$A$1:$O$99,15,0))</f>
        <v>0</v>
      </c>
      <c r="X55" s="4">
        <f>IF(ISERROR(VLOOKUP($U$55,'TAR FIN'!$A$1:$O$99,15,0)),0,VLOOKUP($U$55,'TAR FIN'!$A$1:$O$99,15,0))</f>
        <v>0</v>
      </c>
      <c r="Y55" s="4">
        <f ca="1">('TUSD BE'!$AM$5+'TUSD BF'!$AM$5+'TUSD CVA'!$AM$5)*1</f>
        <v>30.337295464550692</v>
      </c>
      <c r="Z55" s="4">
        <f ca="1">('TUSD BE'!$AM$7+'TUSD BF'!$AM$7+'TUSD CVA'!$AM$7)*1</f>
        <v>76.243476502957677</v>
      </c>
      <c r="AA55" s="4"/>
      <c r="AB55" s="4">
        <f>$K$55*$V$55</f>
        <v>85995</v>
      </c>
      <c r="AC55" s="4">
        <f>$M$55*$W$55</f>
        <v>0</v>
      </c>
      <c r="AD55" s="4">
        <f>$O$55*$X$55</f>
        <v>0</v>
      </c>
      <c r="AE55" s="4">
        <f ca="1">$K$55*$Y$55</f>
        <v>98596.210259789746</v>
      </c>
      <c r="AF55" s="4">
        <f ca="1">$M$55*$Z$55</f>
        <v>0</v>
      </c>
      <c r="AG55" s="4">
        <f>$O$55*$AA$55</f>
        <v>0</v>
      </c>
    </row>
    <row r="56" spans="1:33" ht="11.25" customHeight="1" x14ac:dyDescent="0.25">
      <c r="A56" s="3" t="s">
        <v>21</v>
      </c>
      <c r="B56" s="3" t="s">
        <v>41</v>
      </c>
      <c r="C56" s="3" t="s">
        <v>42</v>
      </c>
      <c r="D56" s="3" t="s">
        <v>43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44501</v>
      </c>
      <c r="J56" s="4">
        <v>200</v>
      </c>
      <c r="K56" s="4">
        <v>200</v>
      </c>
      <c r="L56" s="4">
        <v>3.9929999999999999</v>
      </c>
      <c r="M56" s="4">
        <v>3.9929999999999999</v>
      </c>
      <c r="N56" s="4">
        <v>3.9929999999999999</v>
      </c>
      <c r="O56" s="4">
        <v>3.9929999999999999</v>
      </c>
      <c r="P56" s="4">
        <v>0</v>
      </c>
      <c r="Q56" s="3" t="s">
        <v>26</v>
      </c>
      <c r="R56" s="3">
        <v>0</v>
      </c>
      <c r="S56" s="4">
        <v>92</v>
      </c>
      <c r="T56" s="4">
        <v>94</v>
      </c>
      <c r="U56" s="4">
        <v>47</v>
      </c>
      <c r="V56" s="4">
        <f>IF(ISERROR(VLOOKUP($S$56,'TAR FIN'!$A$1:$O$99,15,0)),0,VLOOKUP($S$56,'TAR FIN'!$A$1:$O$99,15,0))</f>
        <v>26.46</v>
      </c>
      <c r="W56" s="4">
        <f>IF(ISERROR(VLOOKUP($T$56,'TAR FIN'!$A$1:$O$99,15,0)),0,VLOOKUP($T$56,'TAR FIN'!$A$1:$O$99,15,0))</f>
        <v>65.13</v>
      </c>
      <c r="X56" s="4">
        <f>IF(ISERROR(VLOOKUP($U$56,'TAR FIN'!$A$1:$O$99,15,0)),0,VLOOKUP($U$56,'TAR FIN'!$A$1:$O$99,15,0))</f>
        <v>346.61</v>
      </c>
      <c r="Y56" s="4">
        <f ca="1">('TUSD BE'!$AM$5+'TUSD BF'!$AM$5+'TUSD CVA'!$AM$5)*1</f>
        <v>30.337295464550692</v>
      </c>
      <c r="Z56" s="4">
        <f ca="1">('TUSD BE'!$AM$7+'TUSD BF'!$AM$7+'TUSD CVA'!$AM$7)*1</f>
        <v>76.243476502957677</v>
      </c>
      <c r="AA56" s="4">
        <f>('TE BE'!$AA$5+'TE BF'!$AA$5+'TE CVA'!$AA$5)*1</f>
        <v>423.89652505413846</v>
      </c>
      <c r="AB56" s="4">
        <f>$K$56*$V$56</f>
        <v>5292</v>
      </c>
      <c r="AC56" s="4">
        <f>$M$56*$W$56</f>
        <v>260.06408999999996</v>
      </c>
      <c r="AD56" s="4">
        <f>$O$56*$X$56</f>
        <v>1384.0137300000001</v>
      </c>
      <c r="AE56" s="4">
        <f ca="1">$K$56*$Y$56</f>
        <v>6067.4590929101387</v>
      </c>
      <c r="AF56" s="4">
        <f ca="1">$M$56*$Z$56</f>
        <v>304.44020167630998</v>
      </c>
      <c r="AG56" s="4">
        <f>$O$56*$AA$56</f>
        <v>1692.6188245411749</v>
      </c>
    </row>
    <row r="57" spans="1:33" ht="11.25" customHeight="1" x14ac:dyDescent="0.25">
      <c r="A57" s="3" t="s">
        <v>21</v>
      </c>
      <c r="B57" s="3" t="s">
        <v>41</v>
      </c>
      <c r="C57" s="3" t="s">
        <v>42</v>
      </c>
      <c r="D57" s="3" t="s">
        <v>43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44501</v>
      </c>
      <c r="J57" s="4">
        <v>3250</v>
      </c>
      <c r="K57" s="4">
        <v>3250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3" t="s">
        <v>57</v>
      </c>
      <c r="R57" s="3">
        <v>0</v>
      </c>
      <c r="S57" s="4">
        <v>92</v>
      </c>
      <c r="T57" s="4">
        <v>0</v>
      </c>
      <c r="U57" s="4">
        <v>0</v>
      </c>
      <c r="V57" s="4">
        <f>IF(ISERROR(VLOOKUP($S$57,'TAR FIN'!$A$1:$O$99,15,0)),0,VLOOKUP($S$57,'TAR FIN'!$A$1:$O$99,15,0))</f>
        <v>26.46</v>
      </c>
      <c r="W57" s="4">
        <f>IF(ISERROR(VLOOKUP($T$57,'TAR FIN'!$A$1:$O$99,15,0)),0,VLOOKUP($T$57,'TAR FIN'!$A$1:$O$99,15,0))</f>
        <v>0</v>
      </c>
      <c r="X57" s="4">
        <f>IF(ISERROR(VLOOKUP($U$57,'TAR FIN'!$A$1:$O$99,15,0)),0,VLOOKUP($U$57,'TAR FIN'!$A$1:$O$99,15,0))</f>
        <v>0</v>
      </c>
      <c r="Y57" s="4">
        <f ca="1">('TUSD BE'!$AM$5+'TUSD BF'!$AM$5+'TUSD CVA'!$AM$5)*1</f>
        <v>30.337295464550692</v>
      </c>
      <c r="Z57" s="4">
        <f ca="1">('TUSD BE'!$AM$7+'TUSD BF'!$AM$7+'TUSD CVA'!$AM$7)*1</f>
        <v>76.243476502957677</v>
      </c>
      <c r="AA57" s="4"/>
      <c r="AB57" s="4">
        <f>$K$57*$V$57</f>
        <v>85995</v>
      </c>
      <c r="AC57" s="4">
        <f>$M$57*$W$57</f>
        <v>0</v>
      </c>
      <c r="AD57" s="4">
        <f>$O$57*$X$57</f>
        <v>0</v>
      </c>
      <c r="AE57" s="4">
        <f ca="1">$K$57*$Y$57</f>
        <v>98596.210259789746</v>
      </c>
      <c r="AF57" s="4">
        <f ca="1">$M$57*$Z$57</f>
        <v>0</v>
      </c>
      <c r="AG57" s="4">
        <f>$O$57*$AA$57</f>
        <v>0</v>
      </c>
    </row>
    <row r="58" spans="1:33" ht="11.25" customHeight="1" x14ac:dyDescent="0.25">
      <c r="A58" s="3" t="s">
        <v>21</v>
      </c>
      <c r="B58" s="3" t="s">
        <v>41</v>
      </c>
      <c r="C58" s="3" t="s">
        <v>42</v>
      </c>
      <c r="D58" s="3" t="s">
        <v>43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44531</v>
      </c>
      <c r="J58" s="4">
        <v>200</v>
      </c>
      <c r="K58" s="4">
        <v>200</v>
      </c>
      <c r="L58" s="4">
        <v>4.2759999999999998</v>
      </c>
      <c r="M58" s="4">
        <v>4.2759999999999998</v>
      </c>
      <c r="N58" s="4">
        <v>4.2759999999999998</v>
      </c>
      <c r="O58" s="4">
        <v>4.2759999999999998</v>
      </c>
      <c r="P58" s="4">
        <v>0</v>
      </c>
      <c r="Q58" s="3" t="s">
        <v>26</v>
      </c>
      <c r="R58" s="3">
        <v>0</v>
      </c>
      <c r="S58" s="4">
        <v>92</v>
      </c>
      <c r="T58" s="4">
        <v>94</v>
      </c>
      <c r="U58" s="4">
        <v>47</v>
      </c>
      <c r="V58" s="4">
        <f>IF(ISERROR(VLOOKUP($S$58,'TAR FIN'!$A$1:$O$99,15,0)),0,VLOOKUP($S$58,'TAR FIN'!$A$1:$O$99,15,0))</f>
        <v>26.46</v>
      </c>
      <c r="W58" s="4">
        <f>IF(ISERROR(VLOOKUP($T$58,'TAR FIN'!$A$1:$O$99,15,0)),0,VLOOKUP($T$58,'TAR FIN'!$A$1:$O$99,15,0))</f>
        <v>65.13</v>
      </c>
      <c r="X58" s="4">
        <f>IF(ISERROR(VLOOKUP($U$58,'TAR FIN'!$A$1:$O$99,15,0)),0,VLOOKUP($U$58,'TAR FIN'!$A$1:$O$99,15,0))</f>
        <v>346.61</v>
      </c>
      <c r="Y58" s="4">
        <f ca="1">('TUSD BE'!$AM$5+'TUSD BF'!$AM$5+'TUSD CVA'!$AM$5)*1</f>
        <v>30.337295464550692</v>
      </c>
      <c r="Z58" s="4">
        <f ca="1">('TUSD BE'!$AM$7+'TUSD BF'!$AM$7+'TUSD CVA'!$AM$7)*1</f>
        <v>76.243476502957677</v>
      </c>
      <c r="AA58" s="4">
        <f>('TE BE'!$AA$5+'TE BF'!$AA$5+'TE CVA'!$AA$5)*1</f>
        <v>423.89652505413846</v>
      </c>
      <c r="AB58" s="4">
        <f>$K$58*$V$58</f>
        <v>5292</v>
      </c>
      <c r="AC58" s="4">
        <f>$M$58*$W$58</f>
        <v>278.49587999999994</v>
      </c>
      <c r="AD58" s="4">
        <f>$O$58*$X$58</f>
        <v>1482.10436</v>
      </c>
      <c r="AE58" s="4">
        <f ca="1">$K$58*$Y$58</f>
        <v>6067.4590929101387</v>
      </c>
      <c r="AF58" s="4">
        <f ca="1">$M$58*$Z$58</f>
        <v>326.01710552664701</v>
      </c>
      <c r="AG58" s="4">
        <f>$O$58*$AA$58</f>
        <v>1812.5815411314959</v>
      </c>
    </row>
    <row r="59" spans="1:33" ht="11.25" customHeight="1" x14ac:dyDescent="0.25">
      <c r="A59" s="3" t="s">
        <v>21</v>
      </c>
      <c r="B59" s="3" t="s">
        <v>41</v>
      </c>
      <c r="C59" s="3" t="s">
        <v>42</v>
      </c>
      <c r="D59" s="3" t="s">
        <v>43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44531</v>
      </c>
      <c r="J59" s="4">
        <v>3298</v>
      </c>
      <c r="K59" s="4">
        <v>3298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3" t="s">
        <v>57</v>
      </c>
      <c r="R59" s="3">
        <v>0</v>
      </c>
      <c r="S59" s="4">
        <v>92</v>
      </c>
      <c r="T59" s="4">
        <v>0</v>
      </c>
      <c r="U59" s="4">
        <v>0</v>
      </c>
      <c r="V59" s="4">
        <f>IF(ISERROR(VLOOKUP($S$59,'TAR FIN'!$A$1:$O$99,15,0)),0,VLOOKUP($S$59,'TAR FIN'!$A$1:$O$99,15,0))</f>
        <v>26.46</v>
      </c>
      <c r="W59" s="4">
        <f>IF(ISERROR(VLOOKUP($T$59,'TAR FIN'!$A$1:$O$99,15,0)),0,VLOOKUP($T$59,'TAR FIN'!$A$1:$O$99,15,0))</f>
        <v>0</v>
      </c>
      <c r="X59" s="4">
        <f>IF(ISERROR(VLOOKUP($U$59,'TAR FIN'!$A$1:$O$99,15,0)),0,VLOOKUP($U$59,'TAR FIN'!$A$1:$O$99,15,0))</f>
        <v>0</v>
      </c>
      <c r="Y59" s="4">
        <f ca="1">('TUSD BE'!$AM$5+'TUSD BF'!$AM$5+'TUSD CVA'!$AM$5)*1</f>
        <v>30.337295464550692</v>
      </c>
      <c r="Z59" s="4">
        <f ca="1">('TUSD BE'!$AM$7+'TUSD BF'!$AM$7+'TUSD CVA'!$AM$7)*1</f>
        <v>76.243476502957677</v>
      </c>
      <c r="AA59" s="4"/>
      <c r="AB59" s="4">
        <f>$K$59*$V$59</f>
        <v>87265.08</v>
      </c>
      <c r="AC59" s="4">
        <f>$M$59*$W$59</f>
        <v>0</v>
      </c>
      <c r="AD59" s="4">
        <f>$O$59*$X$59</f>
        <v>0</v>
      </c>
      <c r="AE59" s="4">
        <f ca="1">$K$59*$Y$59</f>
        <v>100052.40044208818</v>
      </c>
      <c r="AF59" s="4">
        <f ca="1">$M$59*$Z$59</f>
        <v>0</v>
      </c>
      <c r="AG59" s="4">
        <f>$O$59*$AA$59</f>
        <v>0</v>
      </c>
    </row>
    <row r="60" spans="1:33" ht="11.25" customHeight="1" x14ac:dyDescent="0.25">
      <c r="A60" s="3" t="s">
        <v>21</v>
      </c>
      <c r="B60" s="3" t="s">
        <v>41</v>
      </c>
      <c r="C60" s="3" t="s">
        <v>42</v>
      </c>
      <c r="D60" s="3" t="s">
        <v>43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44562</v>
      </c>
      <c r="J60" s="4">
        <v>200</v>
      </c>
      <c r="K60" s="4">
        <v>200</v>
      </c>
      <c r="L60" s="4">
        <v>3.9359999999999999</v>
      </c>
      <c r="M60" s="4">
        <v>3.9359999999999999</v>
      </c>
      <c r="N60" s="4">
        <v>3.9359999999999999</v>
      </c>
      <c r="O60" s="4">
        <v>3.9359999999999999</v>
      </c>
      <c r="P60" s="4">
        <v>0</v>
      </c>
      <c r="Q60" s="3" t="s">
        <v>26</v>
      </c>
      <c r="R60" s="3">
        <v>0</v>
      </c>
      <c r="S60" s="4">
        <v>92</v>
      </c>
      <c r="T60" s="4">
        <v>94</v>
      </c>
      <c r="U60" s="4">
        <v>47</v>
      </c>
      <c r="V60" s="4">
        <f>IF(ISERROR(VLOOKUP($S$60,'TAR FIN'!$A$1:$O$99,15,0)),0,VLOOKUP($S$60,'TAR FIN'!$A$1:$O$99,15,0))</f>
        <v>26.46</v>
      </c>
      <c r="W60" s="4">
        <f>IF(ISERROR(VLOOKUP($T$60,'TAR FIN'!$A$1:$O$99,15,0)),0,VLOOKUP($T$60,'TAR FIN'!$A$1:$O$99,15,0))</f>
        <v>65.13</v>
      </c>
      <c r="X60" s="4">
        <f>IF(ISERROR(VLOOKUP($U$60,'TAR FIN'!$A$1:$O$99,15,0)),0,VLOOKUP($U$60,'TAR FIN'!$A$1:$O$99,15,0))</f>
        <v>346.61</v>
      </c>
      <c r="Y60" s="4">
        <f ca="1">('TUSD BE'!$AM$5+'TUSD BF'!$AM$5+'TUSD CVA'!$AM$5)*1</f>
        <v>30.337295464550692</v>
      </c>
      <c r="Z60" s="4">
        <f ca="1">('TUSD BE'!$AM$7+'TUSD BF'!$AM$7+'TUSD CVA'!$AM$7)*1</f>
        <v>76.243476502957677</v>
      </c>
      <c r="AA60" s="4">
        <f>('TE BE'!$AA$5+'TE BF'!$AA$5+'TE CVA'!$AA$5)*1</f>
        <v>423.89652505413846</v>
      </c>
      <c r="AB60" s="4">
        <f>$K$60*$V$60</f>
        <v>5292</v>
      </c>
      <c r="AC60" s="4">
        <f>$M$60*$W$60</f>
        <v>256.35167999999999</v>
      </c>
      <c r="AD60" s="4">
        <f>$O$60*$X$60</f>
        <v>1364.2569599999999</v>
      </c>
      <c r="AE60" s="4">
        <f ca="1">$K$60*$Y$60</f>
        <v>6067.4590929101387</v>
      </c>
      <c r="AF60" s="4">
        <f ca="1">$M$60*$Z$60</f>
        <v>300.09432351564141</v>
      </c>
      <c r="AG60" s="4">
        <f>$O$60*$AA$60</f>
        <v>1668.4567226130889</v>
      </c>
    </row>
    <row r="61" spans="1:33" ht="11.25" customHeight="1" x14ac:dyDescent="0.25">
      <c r="A61" s="3" t="s">
        <v>21</v>
      </c>
      <c r="B61" s="3" t="s">
        <v>41</v>
      </c>
      <c r="C61" s="3" t="s">
        <v>42</v>
      </c>
      <c r="D61" s="3" t="s">
        <v>43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44562</v>
      </c>
      <c r="J61" s="4">
        <v>3250</v>
      </c>
      <c r="K61" s="4">
        <v>3250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3" t="s">
        <v>57</v>
      </c>
      <c r="R61" s="3">
        <v>0</v>
      </c>
      <c r="S61" s="4">
        <v>92</v>
      </c>
      <c r="T61" s="4">
        <v>0</v>
      </c>
      <c r="U61" s="4">
        <v>0</v>
      </c>
      <c r="V61" s="4">
        <f>IF(ISERROR(VLOOKUP($S$61,'TAR FIN'!$A$1:$O$99,15,0)),0,VLOOKUP($S$61,'TAR FIN'!$A$1:$O$99,15,0))</f>
        <v>26.46</v>
      </c>
      <c r="W61" s="4">
        <f>IF(ISERROR(VLOOKUP($T$61,'TAR FIN'!$A$1:$O$99,15,0)),0,VLOOKUP($T$61,'TAR FIN'!$A$1:$O$99,15,0))</f>
        <v>0</v>
      </c>
      <c r="X61" s="4">
        <f>IF(ISERROR(VLOOKUP($U$61,'TAR FIN'!$A$1:$O$99,15,0)),0,VLOOKUP($U$61,'TAR FIN'!$A$1:$O$99,15,0))</f>
        <v>0</v>
      </c>
      <c r="Y61" s="4">
        <f ca="1">('TUSD BE'!$AM$5+'TUSD BF'!$AM$5+'TUSD CVA'!$AM$5)*1</f>
        <v>30.337295464550692</v>
      </c>
      <c r="Z61" s="4">
        <f ca="1">('TUSD BE'!$AM$7+'TUSD BF'!$AM$7+'TUSD CVA'!$AM$7)*1</f>
        <v>76.243476502957677</v>
      </c>
      <c r="AA61" s="4"/>
      <c r="AB61" s="4">
        <f>$K$61*$V$61</f>
        <v>85995</v>
      </c>
      <c r="AC61" s="4">
        <f>$M$61*$W$61</f>
        <v>0</v>
      </c>
      <c r="AD61" s="4">
        <f>$O$61*$X$61</f>
        <v>0</v>
      </c>
      <c r="AE61" s="4">
        <f ca="1">$K$61*$Y$61</f>
        <v>98596.210259789746</v>
      </c>
      <c r="AF61" s="4">
        <f ca="1">$M$61*$Z$61</f>
        <v>0</v>
      </c>
      <c r="AG61" s="4">
        <f>$O$61*$AA$61</f>
        <v>0</v>
      </c>
    </row>
    <row r="62" spans="1:33" ht="11.25" customHeight="1" x14ac:dyDescent="0.25">
      <c r="A62" s="3" t="s">
        <v>21</v>
      </c>
      <c r="B62" s="3" t="s">
        <v>41</v>
      </c>
      <c r="C62" s="3" t="s">
        <v>42</v>
      </c>
      <c r="D62" s="3" t="s">
        <v>43</v>
      </c>
      <c r="E62" s="3" t="s">
        <v>25</v>
      </c>
      <c r="F62" s="3" t="s">
        <v>25</v>
      </c>
      <c r="G62" s="3" t="s">
        <v>25</v>
      </c>
      <c r="H62" s="3" t="s">
        <v>35</v>
      </c>
      <c r="I62" s="6">
        <v>44593</v>
      </c>
      <c r="J62" s="4">
        <v>200</v>
      </c>
      <c r="K62" s="4">
        <v>200</v>
      </c>
      <c r="L62" s="4">
        <v>3.7879999999999998</v>
      </c>
      <c r="M62" s="4">
        <v>3.7879999999999998</v>
      </c>
      <c r="N62" s="4">
        <v>3.7879999999999998</v>
      </c>
      <c r="O62" s="4">
        <v>3.7879999999999998</v>
      </c>
      <c r="P62" s="4">
        <v>0</v>
      </c>
      <c r="Q62" s="3" t="s">
        <v>26</v>
      </c>
      <c r="R62" s="3">
        <v>0</v>
      </c>
      <c r="S62" s="4">
        <v>92</v>
      </c>
      <c r="T62" s="4">
        <v>94</v>
      </c>
      <c r="U62" s="4">
        <v>47</v>
      </c>
      <c r="V62" s="4">
        <f>IF(ISERROR(VLOOKUP($S$62,'TAR FIN'!$A$1:$O$99,15,0)),0,VLOOKUP($S$62,'TAR FIN'!$A$1:$O$99,15,0))</f>
        <v>26.46</v>
      </c>
      <c r="W62" s="4">
        <f>IF(ISERROR(VLOOKUP($T$62,'TAR FIN'!$A$1:$O$99,15,0)),0,VLOOKUP($T$62,'TAR FIN'!$A$1:$O$99,15,0))</f>
        <v>65.13</v>
      </c>
      <c r="X62" s="4">
        <f>IF(ISERROR(VLOOKUP($U$62,'TAR FIN'!$A$1:$O$99,15,0)),0,VLOOKUP($U$62,'TAR FIN'!$A$1:$O$99,15,0))</f>
        <v>346.61</v>
      </c>
      <c r="Y62" s="4">
        <f ca="1">('TUSD BE'!$AM$5+'TUSD BF'!$AM$5+'TUSD CVA'!$AM$5)*1</f>
        <v>30.337295464550692</v>
      </c>
      <c r="Z62" s="4">
        <f ca="1">('TUSD BE'!$AM$7+'TUSD BF'!$AM$7+'TUSD CVA'!$AM$7)*1</f>
        <v>76.243476502957677</v>
      </c>
      <c r="AA62" s="4">
        <f>('TE BE'!$AA$5+'TE BF'!$AA$5+'TE CVA'!$AA$5)*1</f>
        <v>423.89652505413846</v>
      </c>
      <c r="AB62" s="4">
        <f>$K$62*$V$62</f>
        <v>5292</v>
      </c>
      <c r="AC62" s="4">
        <f>$M$62*$W$62</f>
        <v>246.71243999999996</v>
      </c>
      <c r="AD62" s="4">
        <f>$O$62*$X$62</f>
        <v>1312.95868</v>
      </c>
      <c r="AE62" s="4">
        <f ca="1">$K$62*$Y$62</f>
        <v>6067.4590929101387</v>
      </c>
      <c r="AF62" s="4">
        <f ca="1">$M$62*$Z$62</f>
        <v>288.81028899320364</v>
      </c>
      <c r="AG62" s="4">
        <f>$O$62*$AA$62</f>
        <v>1605.7200369050763</v>
      </c>
    </row>
    <row r="63" spans="1:33" ht="11.25" customHeight="1" x14ac:dyDescent="0.25">
      <c r="A63" s="3" t="s">
        <v>21</v>
      </c>
      <c r="B63" s="3" t="s">
        <v>41</v>
      </c>
      <c r="C63" s="3" t="s">
        <v>42</v>
      </c>
      <c r="D63" s="3" t="s">
        <v>43</v>
      </c>
      <c r="E63" s="3" t="s">
        <v>25</v>
      </c>
      <c r="F63" s="3" t="s">
        <v>25</v>
      </c>
      <c r="G63" s="3" t="s">
        <v>25</v>
      </c>
      <c r="H63" s="3" t="s">
        <v>35</v>
      </c>
      <c r="I63" s="6">
        <v>44593</v>
      </c>
      <c r="J63" s="4">
        <v>3250</v>
      </c>
      <c r="K63" s="4">
        <v>3250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3" t="s">
        <v>57</v>
      </c>
      <c r="R63" s="3">
        <v>0</v>
      </c>
      <c r="S63" s="4">
        <v>92</v>
      </c>
      <c r="T63" s="4">
        <v>0</v>
      </c>
      <c r="U63" s="4">
        <v>0</v>
      </c>
      <c r="V63" s="4">
        <f>IF(ISERROR(VLOOKUP($S$63,'TAR FIN'!$A$1:$O$99,15,0)),0,VLOOKUP($S$63,'TAR FIN'!$A$1:$O$99,15,0))</f>
        <v>26.46</v>
      </c>
      <c r="W63" s="4">
        <f>IF(ISERROR(VLOOKUP($T$63,'TAR FIN'!$A$1:$O$99,15,0)),0,VLOOKUP($T$63,'TAR FIN'!$A$1:$O$99,15,0))</f>
        <v>0</v>
      </c>
      <c r="X63" s="4">
        <f>IF(ISERROR(VLOOKUP($U$63,'TAR FIN'!$A$1:$O$99,15,0)),0,VLOOKUP($U$63,'TAR FIN'!$A$1:$O$99,15,0))</f>
        <v>0</v>
      </c>
      <c r="Y63" s="4">
        <f ca="1">('TUSD BE'!$AM$5+'TUSD BF'!$AM$5+'TUSD CVA'!$AM$5)*1</f>
        <v>30.337295464550692</v>
      </c>
      <c r="Z63" s="4">
        <f ca="1">('TUSD BE'!$AM$7+'TUSD BF'!$AM$7+'TUSD CVA'!$AM$7)*1</f>
        <v>76.243476502957677</v>
      </c>
      <c r="AA63" s="4"/>
      <c r="AB63" s="4">
        <f>$K$63*$V$63</f>
        <v>85995</v>
      </c>
      <c r="AC63" s="4">
        <f>$M$63*$W$63</f>
        <v>0</v>
      </c>
      <c r="AD63" s="4">
        <f>$O$63*$X$63</f>
        <v>0</v>
      </c>
      <c r="AE63" s="4">
        <f ca="1">$K$63*$Y$63</f>
        <v>98596.210259789746</v>
      </c>
      <c r="AF63" s="4">
        <f ca="1">$M$63*$Z$63</f>
        <v>0</v>
      </c>
      <c r="AG63" s="4">
        <f>$O$63*$AA$63</f>
        <v>0</v>
      </c>
    </row>
    <row r="64" spans="1:33" ht="11.25" customHeight="1" x14ac:dyDescent="0.25">
      <c r="A64" s="3" t="s">
        <v>21</v>
      </c>
      <c r="B64" s="3" t="s">
        <v>41</v>
      </c>
      <c r="C64" s="3" t="s">
        <v>42</v>
      </c>
      <c r="D64" s="3" t="s">
        <v>43</v>
      </c>
      <c r="E64" s="3" t="s">
        <v>25</v>
      </c>
      <c r="F64" s="3" t="s">
        <v>25</v>
      </c>
      <c r="G64" s="3" t="s">
        <v>25</v>
      </c>
      <c r="H64" s="3" t="s">
        <v>35</v>
      </c>
      <c r="I64" s="6">
        <v>44621</v>
      </c>
      <c r="J64" s="4">
        <v>200</v>
      </c>
      <c r="K64" s="4">
        <v>200</v>
      </c>
      <c r="L64" s="4">
        <v>3.7559999999999998</v>
      </c>
      <c r="M64" s="4">
        <v>3.7559999999999998</v>
      </c>
      <c r="N64" s="4">
        <v>3.7559999999999998</v>
      </c>
      <c r="O64" s="4">
        <v>3.7559999999999998</v>
      </c>
      <c r="P64" s="4">
        <v>0</v>
      </c>
      <c r="Q64" s="3" t="s">
        <v>26</v>
      </c>
      <c r="R64" s="3">
        <v>0</v>
      </c>
      <c r="S64" s="4">
        <v>92</v>
      </c>
      <c r="T64" s="4">
        <v>94</v>
      </c>
      <c r="U64" s="4">
        <v>47</v>
      </c>
      <c r="V64" s="4">
        <f>IF(ISERROR(VLOOKUP($S$64,'TAR FIN'!$A$1:$O$99,15,0)),0,VLOOKUP($S$64,'TAR FIN'!$A$1:$O$99,15,0))</f>
        <v>26.46</v>
      </c>
      <c r="W64" s="4">
        <f>IF(ISERROR(VLOOKUP($T$64,'TAR FIN'!$A$1:$O$99,15,0)),0,VLOOKUP($T$64,'TAR FIN'!$A$1:$O$99,15,0))</f>
        <v>65.13</v>
      </c>
      <c r="X64" s="4">
        <f>IF(ISERROR(VLOOKUP($U$64,'TAR FIN'!$A$1:$O$99,15,0)),0,VLOOKUP($U$64,'TAR FIN'!$A$1:$O$99,15,0))</f>
        <v>346.61</v>
      </c>
      <c r="Y64" s="4">
        <f ca="1">('TUSD BE'!$AM$5+'TUSD BF'!$AM$5+'TUSD CVA'!$AM$5)*1</f>
        <v>30.337295464550692</v>
      </c>
      <c r="Z64" s="4">
        <f ca="1">('TUSD BE'!$AM$7+'TUSD BF'!$AM$7+'TUSD CVA'!$AM$7)*1</f>
        <v>76.243476502957677</v>
      </c>
      <c r="AA64" s="4">
        <f>('TE BE'!$AA$5+'TE BF'!$AA$5+'TE CVA'!$AA$5)*1</f>
        <v>423.89652505413846</v>
      </c>
      <c r="AB64" s="4">
        <f>$K$64*$V$64</f>
        <v>5292</v>
      </c>
      <c r="AC64" s="4">
        <f>$M$64*$W$64</f>
        <v>244.62827999999996</v>
      </c>
      <c r="AD64" s="4">
        <f>$O$64*$X$64</f>
        <v>1301.86716</v>
      </c>
      <c r="AE64" s="4">
        <f ca="1">$K$64*$Y$64</f>
        <v>6067.4590929101387</v>
      </c>
      <c r="AF64" s="4">
        <f ca="1">$M$64*$Z$64</f>
        <v>286.37049774510899</v>
      </c>
      <c r="AG64" s="4">
        <f>$O$64*$AA$64</f>
        <v>1592.1553481033441</v>
      </c>
    </row>
    <row r="65" spans="1:33" ht="11.25" customHeight="1" x14ac:dyDescent="0.25">
      <c r="A65" s="3" t="s">
        <v>21</v>
      </c>
      <c r="B65" s="3" t="s">
        <v>41</v>
      </c>
      <c r="C65" s="3" t="s">
        <v>42</v>
      </c>
      <c r="D65" s="3" t="s">
        <v>43</v>
      </c>
      <c r="E65" s="3" t="s">
        <v>25</v>
      </c>
      <c r="F65" s="3" t="s">
        <v>25</v>
      </c>
      <c r="G65" s="3" t="s">
        <v>25</v>
      </c>
      <c r="H65" s="3" t="s">
        <v>35</v>
      </c>
      <c r="I65" s="6">
        <v>44621</v>
      </c>
      <c r="J65" s="4">
        <v>3250</v>
      </c>
      <c r="K65" s="4">
        <v>3250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3" t="s">
        <v>57</v>
      </c>
      <c r="R65" s="3">
        <v>0</v>
      </c>
      <c r="S65" s="4">
        <v>92</v>
      </c>
      <c r="T65" s="4">
        <v>0</v>
      </c>
      <c r="U65" s="4">
        <v>0</v>
      </c>
      <c r="V65" s="4">
        <f>IF(ISERROR(VLOOKUP($S$65,'TAR FIN'!$A$1:$O$99,15,0)),0,VLOOKUP($S$65,'TAR FIN'!$A$1:$O$99,15,0))</f>
        <v>26.46</v>
      </c>
      <c r="W65" s="4">
        <f>IF(ISERROR(VLOOKUP($T$65,'TAR FIN'!$A$1:$O$99,15,0)),0,VLOOKUP($T$65,'TAR FIN'!$A$1:$O$99,15,0))</f>
        <v>0</v>
      </c>
      <c r="X65" s="4">
        <f>IF(ISERROR(VLOOKUP($U$65,'TAR FIN'!$A$1:$O$99,15,0)),0,VLOOKUP($U$65,'TAR FIN'!$A$1:$O$99,15,0))</f>
        <v>0</v>
      </c>
      <c r="Y65" s="4">
        <f ca="1">('TUSD BE'!$AM$5+'TUSD BF'!$AM$5+'TUSD CVA'!$AM$5)*1</f>
        <v>30.337295464550692</v>
      </c>
      <c r="Z65" s="4">
        <f ca="1">('TUSD BE'!$AM$7+'TUSD BF'!$AM$7+'TUSD CVA'!$AM$7)*1</f>
        <v>76.243476502957677</v>
      </c>
      <c r="AA65" s="4"/>
      <c r="AB65" s="4">
        <f>$K$65*$V$65</f>
        <v>85995</v>
      </c>
      <c r="AC65" s="4">
        <f>$M$65*$W$65</f>
        <v>0</v>
      </c>
      <c r="AD65" s="4">
        <f>$O$65*$X$65</f>
        <v>0</v>
      </c>
      <c r="AE65" s="4">
        <f ca="1">$K$65*$Y$65</f>
        <v>98596.210259789746</v>
      </c>
      <c r="AF65" s="4">
        <f ca="1">$M$65*$Z$65</f>
        <v>0</v>
      </c>
      <c r="AG65" s="4">
        <f>$O$65*$AA$65</f>
        <v>0</v>
      </c>
    </row>
    <row r="66" spans="1:33" ht="11.25" customHeight="1" x14ac:dyDescent="0.25">
      <c r="A66" s="3" t="s">
        <v>56</v>
      </c>
      <c r="B66" s="3" t="s">
        <v>41</v>
      </c>
      <c r="C66" s="3" t="s">
        <v>42</v>
      </c>
      <c r="D66" s="3" t="s">
        <v>43</v>
      </c>
      <c r="E66" s="3" t="s">
        <v>25</v>
      </c>
      <c r="F66" s="3" t="s">
        <v>25</v>
      </c>
      <c r="G66" s="3" t="s">
        <v>25</v>
      </c>
      <c r="H66" s="3" t="s">
        <v>35</v>
      </c>
      <c r="I66" s="6">
        <v>44652</v>
      </c>
      <c r="J66" s="4">
        <v>200</v>
      </c>
      <c r="K66" s="4">
        <v>200</v>
      </c>
      <c r="L66" s="4">
        <v>3.7559999999999998</v>
      </c>
      <c r="M66" s="4">
        <v>3.7559999999999998</v>
      </c>
      <c r="N66" s="4">
        <v>3.7559999999999998</v>
      </c>
      <c r="O66" s="4">
        <v>3.7559999999999998</v>
      </c>
      <c r="P66" s="4">
        <v>0</v>
      </c>
      <c r="Q66" s="3" t="s">
        <v>26</v>
      </c>
      <c r="R66" s="3">
        <v>0</v>
      </c>
      <c r="S66" s="4">
        <v>92</v>
      </c>
      <c r="T66" s="4">
        <v>94</v>
      </c>
      <c r="U66" s="4">
        <v>47</v>
      </c>
      <c r="V66" s="4">
        <f>IF(ISERROR(VLOOKUP($S$66,'TAR FIN'!$A$1:$O$99,15,0)),0,VLOOKUP($S$66,'TAR FIN'!$A$1:$O$99,15,0))</f>
        <v>26.46</v>
      </c>
      <c r="W66" s="4">
        <f>IF(ISERROR(VLOOKUP($T$66,'TAR FIN'!$A$1:$O$99,15,0)),0,VLOOKUP($T$66,'TAR FIN'!$A$1:$O$99,15,0))</f>
        <v>65.13</v>
      </c>
      <c r="X66" s="4">
        <f>IF(ISERROR(VLOOKUP($U$66,'TAR FIN'!$A$1:$O$99,15,0)),0,VLOOKUP($U$66,'TAR FIN'!$A$1:$O$99,15,0))</f>
        <v>346.61</v>
      </c>
      <c r="Y66" s="4">
        <f ca="1">('TUSD BE'!$AM$5+'TUSD BF'!$AM$5+'TUSD CVA'!$AM$5)*1</f>
        <v>30.337295464550692</v>
      </c>
      <c r="Z66" s="4">
        <f ca="1">('TUSD BE'!$AM$7+'TUSD BF'!$AM$7+'TUSD CVA'!$AM$7)*1</f>
        <v>76.243476502957677</v>
      </c>
      <c r="AA66" s="4">
        <f>('TE BE'!$AA$5+'TE BF'!$AA$5+'TE CVA'!$AA$5)*1</f>
        <v>423.89652505413846</v>
      </c>
      <c r="AB66" s="4">
        <f>$K$66*$V$66</f>
        <v>5292</v>
      </c>
      <c r="AC66" s="4">
        <f>$M$66*$W$66</f>
        <v>244.62827999999996</v>
      </c>
      <c r="AD66" s="4">
        <f>$O$66*$X$66</f>
        <v>1301.86716</v>
      </c>
      <c r="AE66" s="4">
        <f ca="1">$K$66*$Y$66</f>
        <v>6067.4590929101387</v>
      </c>
      <c r="AF66" s="4">
        <f ca="1">$M$66*$Z$66</f>
        <v>286.37049774510899</v>
      </c>
      <c r="AG66" s="4">
        <f>$O$66*$AA$66</f>
        <v>1592.1553481033441</v>
      </c>
    </row>
    <row r="67" spans="1:33" ht="11.25" customHeight="1" x14ac:dyDescent="0.25">
      <c r="A67" s="3" t="s">
        <v>56</v>
      </c>
      <c r="B67" s="3" t="s">
        <v>41</v>
      </c>
      <c r="C67" s="3" t="s">
        <v>42</v>
      </c>
      <c r="D67" s="3" t="s">
        <v>43</v>
      </c>
      <c r="E67" s="3" t="s">
        <v>25</v>
      </c>
      <c r="F67" s="3" t="s">
        <v>25</v>
      </c>
      <c r="G67" s="3" t="s">
        <v>25</v>
      </c>
      <c r="H67" s="3" t="s">
        <v>35</v>
      </c>
      <c r="I67" s="6">
        <v>44652</v>
      </c>
      <c r="J67" s="4">
        <v>3250</v>
      </c>
      <c r="K67" s="4">
        <v>3250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3" t="s">
        <v>57</v>
      </c>
      <c r="R67" s="3">
        <v>0</v>
      </c>
      <c r="S67" s="4">
        <v>92</v>
      </c>
      <c r="T67" s="4">
        <v>0</v>
      </c>
      <c r="U67" s="4">
        <v>0</v>
      </c>
      <c r="V67" s="4">
        <f>IF(ISERROR(VLOOKUP($S$67,'TAR FIN'!$A$1:$O$99,15,0)),0,VLOOKUP($S$67,'TAR FIN'!$A$1:$O$99,15,0))</f>
        <v>26.46</v>
      </c>
      <c r="W67" s="4">
        <f>IF(ISERROR(VLOOKUP($T$67,'TAR FIN'!$A$1:$O$99,15,0)),0,VLOOKUP($T$67,'TAR FIN'!$A$1:$O$99,15,0))</f>
        <v>0</v>
      </c>
      <c r="X67" s="4">
        <f>IF(ISERROR(VLOOKUP($U$67,'TAR FIN'!$A$1:$O$99,15,0)),0,VLOOKUP($U$67,'TAR FIN'!$A$1:$O$99,15,0))</f>
        <v>0</v>
      </c>
      <c r="Y67" s="4">
        <f ca="1">('TUSD BE'!$AM$5+'TUSD BF'!$AM$5+'TUSD CVA'!$AM$5)*1</f>
        <v>30.337295464550692</v>
      </c>
      <c r="Z67" s="4">
        <f ca="1">('TUSD BE'!$AM$7+'TUSD BF'!$AM$7+'TUSD CVA'!$AM$7)*1</f>
        <v>76.243476502957677</v>
      </c>
      <c r="AA67" s="4"/>
      <c r="AB67" s="4">
        <f>$K$67*$V$67</f>
        <v>85995</v>
      </c>
      <c r="AC67" s="4">
        <f>$M$67*$W$67</f>
        <v>0</v>
      </c>
      <c r="AD67" s="4">
        <f>$O$67*$X$67</f>
        <v>0</v>
      </c>
      <c r="AE67" s="4">
        <f ca="1">$K$67*$Y$67</f>
        <v>98596.210259789746</v>
      </c>
      <c r="AF67" s="4">
        <f ca="1">$M$67*$Z$67</f>
        <v>0</v>
      </c>
      <c r="AG67" s="4">
        <f>$O$67*$AA$67</f>
        <v>0</v>
      </c>
    </row>
    <row r="68" spans="1:33" ht="11.25" customHeight="1" x14ac:dyDescent="0.25">
      <c r="A68" s="3" t="s">
        <v>21</v>
      </c>
      <c r="B68" s="3" t="s">
        <v>41</v>
      </c>
      <c r="C68" s="3" t="s">
        <v>42</v>
      </c>
      <c r="D68" s="3" t="s">
        <v>40</v>
      </c>
      <c r="E68" s="3" t="s">
        <v>25</v>
      </c>
      <c r="F68" s="3" t="s">
        <v>58</v>
      </c>
      <c r="G68" s="3" t="s">
        <v>25</v>
      </c>
      <c r="H68" s="3" t="s">
        <v>36</v>
      </c>
      <c r="I68" s="6">
        <v>44317</v>
      </c>
      <c r="J68" s="4">
        <v>13000</v>
      </c>
      <c r="K68" s="4">
        <v>13000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3" t="s">
        <v>59</v>
      </c>
      <c r="R68" s="3">
        <v>0</v>
      </c>
      <c r="S68" s="4">
        <v>93</v>
      </c>
      <c r="T68" s="4">
        <v>0</v>
      </c>
      <c r="U68" s="4">
        <v>0</v>
      </c>
      <c r="V68" s="4">
        <f>IF(ISERROR(VLOOKUP($S$68,'TAR FIN'!$A$1:$O$99,15,0)),0,VLOOKUP($S$68,'TAR FIN'!$A$1:$O$99,15,0))</f>
        <v>15.23</v>
      </c>
      <c r="W68" s="4">
        <f>IF(ISERROR(VLOOKUP($T$68,'TAR FIN'!$A$1:$O$99,15,0)),0,VLOOKUP($T$68,'TAR FIN'!$A$1:$O$99,15,0))</f>
        <v>0</v>
      </c>
      <c r="X68" s="4">
        <f>IF(ISERROR(VLOOKUP($U$68,'TAR FIN'!$A$1:$O$99,15,0)),0,VLOOKUP($U$68,'TAR FIN'!$A$1:$O$99,15,0))</f>
        <v>0</v>
      </c>
      <c r="Y68" s="4">
        <f ca="1">('TUSD BE'!$AM$6+'TUSD BF'!$AM$6+'TUSD CVA'!$AM$6)*1</f>
        <v>16.343876453142602</v>
      </c>
      <c r="Z68" s="4">
        <f ca="1">('TUSD BE'!$AM$7+'TUSD BF'!$AM$7+'TUSD CVA'!$AM$7)*1</f>
        <v>76.243476502957677</v>
      </c>
      <c r="AA68" s="4"/>
      <c r="AB68" s="4">
        <f>$K$68*$V$68</f>
        <v>197990</v>
      </c>
      <c r="AC68" s="4">
        <f>$M$68*$W$68</f>
        <v>0</v>
      </c>
      <c r="AD68" s="4">
        <f>$O$68*$X$68</f>
        <v>0</v>
      </c>
      <c r="AE68" s="4">
        <f ca="1">$K$68*$Y$68</f>
        <v>212470.39389085383</v>
      </c>
      <c r="AF68" s="4">
        <f ca="1">$M$68*$Z$68</f>
        <v>0</v>
      </c>
      <c r="AG68" s="4">
        <f>$O$68*$AA$68</f>
        <v>0</v>
      </c>
    </row>
    <row r="69" spans="1:33" ht="11.25" customHeight="1" x14ac:dyDescent="0.25">
      <c r="A69" s="3" t="s">
        <v>21</v>
      </c>
      <c r="B69" s="3" t="s">
        <v>41</v>
      </c>
      <c r="C69" s="3" t="s">
        <v>42</v>
      </c>
      <c r="D69" s="3" t="s">
        <v>40</v>
      </c>
      <c r="E69" s="3" t="s">
        <v>25</v>
      </c>
      <c r="F69" s="3" t="s">
        <v>58</v>
      </c>
      <c r="G69" s="3" t="s">
        <v>25</v>
      </c>
      <c r="H69" s="3" t="s">
        <v>36</v>
      </c>
      <c r="I69" s="6">
        <v>44348</v>
      </c>
      <c r="J69" s="4">
        <v>13000</v>
      </c>
      <c r="K69" s="4">
        <v>13000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3" t="s">
        <v>59</v>
      </c>
      <c r="R69" s="3">
        <v>0</v>
      </c>
      <c r="S69" s="4">
        <v>93</v>
      </c>
      <c r="T69" s="4">
        <v>0</v>
      </c>
      <c r="U69" s="4">
        <v>0</v>
      </c>
      <c r="V69" s="4">
        <f>IF(ISERROR(VLOOKUP($S$69,'TAR FIN'!$A$1:$O$99,15,0)),0,VLOOKUP($S$69,'TAR FIN'!$A$1:$O$99,15,0))</f>
        <v>15.23</v>
      </c>
      <c r="W69" s="4">
        <f>IF(ISERROR(VLOOKUP($T$69,'TAR FIN'!$A$1:$O$99,15,0)),0,VLOOKUP($T$69,'TAR FIN'!$A$1:$O$99,15,0))</f>
        <v>0</v>
      </c>
      <c r="X69" s="4">
        <f>IF(ISERROR(VLOOKUP($U$69,'TAR FIN'!$A$1:$O$99,15,0)),0,VLOOKUP($U$69,'TAR FIN'!$A$1:$O$99,15,0))</f>
        <v>0</v>
      </c>
      <c r="Y69" s="4">
        <f ca="1">('TUSD BE'!$AM$6+'TUSD BF'!$AM$6+'TUSD CVA'!$AM$6)*1</f>
        <v>16.343876453142602</v>
      </c>
      <c r="Z69" s="4">
        <f ca="1">('TUSD BE'!$AM$7+'TUSD BF'!$AM$7+'TUSD CVA'!$AM$7)*1</f>
        <v>76.243476502957677</v>
      </c>
      <c r="AA69" s="4"/>
      <c r="AB69" s="4">
        <f>$K$69*$V$69</f>
        <v>197990</v>
      </c>
      <c r="AC69" s="4">
        <f>$M$69*$W$69</f>
        <v>0</v>
      </c>
      <c r="AD69" s="4">
        <f>$O$69*$X$69</f>
        <v>0</v>
      </c>
      <c r="AE69" s="4">
        <f ca="1">$K$69*$Y$69</f>
        <v>212470.39389085383</v>
      </c>
      <c r="AF69" s="4">
        <f ca="1">$M$69*$Z$69</f>
        <v>0</v>
      </c>
      <c r="AG69" s="4">
        <f>$O$69*$AA$69</f>
        <v>0</v>
      </c>
    </row>
    <row r="70" spans="1:33" ht="11.25" customHeight="1" x14ac:dyDescent="0.25">
      <c r="A70" s="3" t="s">
        <v>21</v>
      </c>
      <c r="B70" s="3" t="s">
        <v>41</v>
      </c>
      <c r="C70" s="3" t="s">
        <v>42</v>
      </c>
      <c r="D70" s="3" t="s">
        <v>40</v>
      </c>
      <c r="E70" s="3" t="s">
        <v>25</v>
      </c>
      <c r="F70" s="3" t="s">
        <v>58</v>
      </c>
      <c r="G70" s="3" t="s">
        <v>25</v>
      </c>
      <c r="H70" s="3" t="s">
        <v>36</v>
      </c>
      <c r="I70" s="6">
        <v>44378</v>
      </c>
      <c r="J70" s="4">
        <v>13000</v>
      </c>
      <c r="K70" s="4">
        <v>13000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3" t="s">
        <v>59</v>
      </c>
      <c r="R70" s="3">
        <v>0</v>
      </c>
      <c r="S70" s="4">
        <v>93</v>
      </c>
      <c r="T70" s="4">
        <v>0</v>
      </c>
      <c r="U70" s="4">
        <v>0</v>
      </c>
      <c r="V70" s="4">
        <f>IF(ISERROR(VLOOKUP($S$70,'TAR FIN'!$A$1:$O$99,15,0)),0,VLOOKUP($S$70,'TAR FIN'!$A$1:$O$99,15,0))</f>
        <v>15.23</v>
      </c>
      <c r="W70" s="4">
        <f>IF(ISERROR(VLOOKUP($T$70,'TAR FIN'!$A$1:$O$99,15,0)),0,VLOOKUP($T$70,'TAR FIN'!$A$1:$O$99,15,0))</f>
        <v>0</v>
      </c>
      <c r="X70" s="4">
        <f>IF(ISERROR(VLOOKUP($U$70,'TAR FIN'!$A$1:$O$99,15,0)),0,VLOOKUP($U$70,'TAR FIN'!$A$1:$O$99,15,0))</f>
        <v>0</v>
      </c>
      <c r="Y70" s="4">
        <f ca="1">('TUSD BE'!$AM$6+'TUSD BF'!$AM$6+'TUSD CVA'!$AM$6)*1</f>
        <v>16.343876453142602</v>
      </c>
      <c r="Z70" s="4">
        <f ca="1">('TUSD BE'!$AM$7+'TUSD BF'!$AM$7+'TUSD CVA'!$AM$7)*1</f>
        <v>76.243476502957677</v>
      </c>
      <c r="AA70" s="4"/>
      <c r="AB70" s="4">
        <f>$K$70*$V$70</f>
        <v>197990</v>
      </c>
      <c r="AC70" s="4">
        <f>$M$70*$W$70</f>
        <v>0</v>
      </c>
      <c r="AD70" s="4">
        <f>$O$70*$X$70</f>
        <v>0</v>
      </c>
      <c r="AE70" s="4">
        <f ca="1">$K$70*$Y$70</f>
        <v>212470.39389085383</v>
      </c>
      <c r="AF70" s="4">
        <f ca="1">$M$70*$Z$70</f>
        <v>0</v>
      </c>
      <c r="AG70" s="4">
        <f>$O$70*$AA$70</f>
        <v>0</v>
      </c>
    </row>
    <row r="71" spans="1:33" ht="11.25" customHeight="1" x14ac:dyDescent="0.25">
      <c r="A71" s="3" t="s">
        <v>21</v>
      </c>
      <c r="B71" s="3" t="s">
        <v>41</v>
      </c>
      <c r="C71" s="3" t="s">
        <v>42</v>
      </c>
      <c r="D71" s="3" t="s">
        <v>40</v>
      </c>
      <c r="E71" s="3" t="s">
        <v>25</v>
      </c>
      <c r="F71" s="3" t="s">
        <v>58</v>
      </c>
      <c r="G71" s="3" t="s">
        <v>25</v>
      </c>
      <c r="H71" s="3" t="s">
        <v>36</v>
      </c>
      <c r="I71" s="6">
        <v>44409</v>
      </c>
      <c r="J71" s="4">
        <v>13000</v>
      </c>
      <c r="K71" s="4">
        <v>13000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3" t="s">
        <v>59</v>
      </c>
      <c r="R71" s="3">
        <v>0</v>
      </c>
      <c r="S71" s="4">
        <v>93</v>
      </c>
      <c r="T71" s="4">
        <v>0</v>
      </c>
      <c r="U71" s="4">
        <v>0</v>
      </c>
      <c r="V71" s="4">
        <f>IF(ISERROR(VLOOKUP($S$71,'TAR FIN'!$A$1:$O$99,15,0)),0,VLOOKUP($S$71,'TAR FIN'!$A$1:$O$99,15,0))</f>
        <v>15.23</v>
      </c>
      <c r="W71" s="4">
        <f>IF(ISERROR(VLOOKUP($T$71,'TAR FIN'!$A$1:$O$99,15,0)),0,VLOOKUP($T$71,'TAR FIN'!$A$1:$O$99,15,0))</f>
        <v>0</v>
      </c>
      <c r="X71" s="4">
        <f>IF(ISERROR(VLOOKUP($U$71,'TAR FIN'!$A$1:$O$99,15,0)),0,VLOOKUP($U$71,'TAR FIN'!$A$1:$O$99,15,0))</f>
        <v>0</v>
      </c>
      <c r="Y71" s="4">
        <f ca="1">('TUSD BE'!$AM$6+'TUSD BF'!$AM$6+'TUSD CVA'!$AM$6)*1</f>
        <v>16.343876453142602</v>
      </c>
      <c r="Z71" s="4">
        <f ca="1">('TUSD BE'!$AM$7+'TUSD BF'!$AM$7+'TUSD CVA'!$AM$7)*1</f>
        <v>76.243476502957677</v>
      </c>
      <c r="AA71" s="4"/>
      <c r="AB71" s="4">
        <f>$K$71*$V$71</f>
        <v>197990</v>
      </c>
      <c r="AC71" s="4">
        <f>$M$71*$W$71</f>
        <v>0</v>
      </c>
      <c r="AD71" s="4">
        <f>$O$71*$X$71</f>
        <v>0</v>
      </c>
      <c r="AE71" s="4">
        <f ca="1">$K$71*$Y$71</f>
        <v>212470.39389085383</v>
      </c>
      <c r="AF71" s="4">
        <f ca="1">$M$71*$Z$71</f>
        <v>0</v>
      </c>
      <c r="AG71" s="4">
        <f>$O$71*$AA$71</f>
        <v>0</v>
      </c>
    </row>
    <row r="72" spans="1:33" ht="11.25" customHeight="1" x14ac:dyDescent="0.25">
      <c r="A72" s="3" t="s">
        <v>21</v>
      </c>
      <c r="B72" s="3" t="s">
        <v>41</v>
      </c>
      <c r="C72" s="3" t="s">
        <v>42</v>
      </c>
      <c r="D72" s="3" t="s">
        <v>40</v>
      </c>
      <c r="E72" s="3" t="s">
        <v>25</v>
      </c>
      <c r="F72" s="3" t="s">
        <v>58</v>
      </c>
      <c r="G72" s="3" t="s">
        <v>25</v>
      </c>
      <c r="H72" s="3" t="s">
        <v>36</v>
      </c>
      <c r="I72" s="6">
        <v>44440</v>
      </c>
      <c r="J72" s="4">
        <v>13000</v>
      </c>
      <c r="K72" s="4">
        <v>13000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3" t="s">
        <v>59</v>
      </c>
      <c r="R72" s="3">
        <v>0</v>
      </c>
      <c r="S72" s="4">
        <v>93</v>
      </c>
      <c r="T72" s="4">
        <v>0</v>
      </c>
      <c r="U72" s="4">
        <v>0</v>
      </c>
      <c r="V72" s="4">
        <f>IF(ISERROR(VLOOKUP($S$72,'TAR FIN'!$A$1:$O$99,15,0)),0,VLOOKUP($S$72,'TAR FIN'!$A$1:$O$99,15,0))</f>
        <v>15.23</v>
      </c>
      <c r="W72" s="4">
        <f>IF(ISERROR(VLOOKUP($T$72,'TAR FIN'!$A$1:$O$99,15,0)),0,VLOOKUP($T$72,'TAR FIN'!$A$1:$O$99,15,0))</f>
        <v>0</v>
      </c>
      <c r="X72" s="4">
        <f>IF(ISERROR(VLOOKUP($U$72,'TAR FIN'!$A$1:$O$99,15,0)),0,VLOOKUP($U$72,'TAR FIN'!$A$1:$O$99,15,0))</f>
        <v>0</v>
      </c>
      <c r="Y72" s="4">
        <f ca="1">('TUSD BE'!$AM$6+'TUSD BF'!$AM$6+'TUSD CVA'!$AM$6)*1</f>
        <v>16.343876453142602</v>
      </c>
      <c r="Z72" s="4">
        <f ca="1">('TUSD BE'!$AM$7+'TUSD BF'!$AM$7+'TUSD CVA'!$AM$7)*1</f>
        <v>76.243476502957677</v>
      </c>
      <c r="AA72" s="4"/>
      <c r="AB72" s="4">
        <f>$K$72*$V$72</f>
        <v>197990</v>
      </c>
      <c r="AC72" s="4">
        <f>$M$72*$W$72</f>
        <v>0</v>
      </c>
      <c r="AD72" s="4">
        <f>$O$72*$X$72</f>
        <v>0</v>
      </c>
      <c r="AE72" s="4">
        <f ca="1">$K$72*$Y$72</f>
        <v>212470.39389085383</v>
      </c>
      <c r="AF72" s="4">
        <f ca="1">$M$72*$Z$72</f>
        <v>0</v>
      </c>
      <c r="AG72" s="4">
        <f>$O$72*$AA$72</f>
        <v>0</v>
      </c>
    </row>
    <row r="73" spans="1:33" ht="11.25" customHeight="1" x14ac:dyDescent="0.25">
      <c r="A73" s="3" t="s">
        <v>21</v>
      </c>
      <c r="B73" s="3" t="s">
        <v>41</v>
      </c>
      <c r="C73" s="3" t="s">
        <v>42</v>
      </c>
      <c r="D73" s="3" t="s">
        <v>40</v>
      </c>
      <c r="E73" s="3" t="s">
        <v>25</v>
      </c>
      <c r="F73" s="3" t="s">
        <v>58</v>
      </c>
      <c r="G73" s="3" t="s">
        <v>25</v>
      </c>
      <c r="H73" s="3" t="s">
        <v>36</v>
      </c>
      <c r="I73" s="6">
        <v>44470</v>
      </c>
      <c r="J73" s="4">
        <v>13000</v>
      </c>
      <c r="K73" s="4">
        <v>13000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3" t="s">
        <v>59</v>
      </c>
      <c r="R73" s="3">
        <v>0</v>
      </c>
      <c r="S73" s="4">
        <v>93</v>
      </c>
      <c r="T73" s="4">
        <v>0</v>
      </c>
      <c r="U73" s="4">
        <v>0</v>
      </c>
      <c r="V73" s="4">
        <f>IF(ISERROR(VLOOKUP($S$73,'TAR FIN'!$A$1:$O$99,15,0)),0,VLOOKUP($S$73,'TAR FIN'!$A$1:$O$99,15,0))</f>
        <v>15.23</v>
      </c>
      <c r="W73" s="4">
        <f>IF(ISERROR(VLOOKUP($T$73,'TAR FIN'!$A$1:$O$99,15,0)),0,VLOOKUP($T$73,'TAR FIN'!$A$1:$O$99,15,0))</f>
        <v>0</v>
      </c>
      <c r="X73" s="4">
        <f>IF(ISERROR(VLOOKUP($U$73,'TAR FIN'!$A$1:$O$99,15,0)),0,VLOOKUP($U$73,'TAR FIN'!$A$1:$O$99,15,0))</f>
        <v>0</v>
      </c>
      <c r="Y73" s="4">
        <f ca="1">('TUSD BE'!$AM$6+'TUSD BF'!$AM$6+'TUSD CVA'!$AM$6)*1</f>
        <v>16.343876453142602</v>
      </c>
      <c r="Z73" s="4">
        <f ca="1">('TUSD BE'!$AM$7+'TUSD BF'!$AM$7+'TUSD CVA'!$AM$7)*1</f>
        <v>76.243476502957677</v>
      </c>
      <c r="AA73" s="4"/>
      <c r="AB73" s="4">
        <f>$K$73*$V$73</f>
        <v>197990</v>
      </c>
      <c r="AC73" s="4">
        <f>$M$73*$W$73</f>
        <v>0</v>
      </c>
      <c r="AD73" s="4">
        <f>$O$73*$X$73</f>
        <v>0</v>
      </c>
      <c r="AE73" s="4">
        <f ca="1">$K$73*$Y$73</f>
        <v>212470.39389085383</v>
      </c>
      <c r="AF73" s="4">
        <f ca="1">$M$73*$Z$73</f>
        <v>0</v>
      </c>
      <c r="AG73" s="4">
        <f>$O$73*$AA$73</f>
        <v>0</v>
      </c>
    </row>
    <row r="74" spans="1:33" ht="11.25" customHeight="1" x14ac:dyDescent="0.25">
      <c r="A74" s="3" t="s">
        <v>21</v>
      </c>
      <c r="B74" s="3" t="s">
        <v>41</v>
      </c>
      <c r="C74" s="3" t="s">
        <v>42</v>
      </c>
      <c r="D74" s="3" t="s">
        <v>40</v>
      </c>
      <c r="E74" s="3" t="s">
        <v>25</v>
      </c>
      <c r="F74" s="3" t="s">
        <v>58</v>
      </c>
      <c r="G74" s="3" t="s">
        <v>25</v>
      </c>
      <c r="H74" s="3" t="s">
        <v>36</v>
      </c>
      <c r="I74" s="6">
        <v>44501</v>
      </c>
      <c r="J74" s="4">
        <v>13000</v>
      </c>
      <c r="K74" s="4">
        <v>13000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3" t="s">
        <v>59</v>
      </c>
      <c r="R74" s="3">
        <v>0</v>
      </c>
      <c r="S74" s="4">
        <v>93</v>
      </c>
      <c r="T74" s="4">
        <v>0</v>
      </c>
      <c r="U74" s="4">
        <v>0</v>
      </c>
      <c r="V74" s="4">
        <f>IF(ISERROR(VLOOKUP($S$74,'TAR FIN'!$A$1:$O$99,15,0)),0,VLOOKUP($S$74,'TAR FIN'!$A$1:$O$99,15,0))</f>
        <v>15.23</v>
      </c>
      <c r="W74" s="4">
        <f>IF(ISERROR(VLOOKUP($T$74,'TAR FIN'!$A$1:$O$99,15,0)),0,VLOOKUP($T$74,'TAR FIN'!$A$1:$O$99,15,0))</f>
        <v>0</v>
      </c>
      <c r="X74" s="4">
        <f>IF(ISERROR(VLOOKUP($U$74,'TAR FIN'!$A$1:$O$99,15,0)),0,VLOOKUP($U$74,'TAR FIN'!$A$1:$O$99,15,0))</f>
        <v>0</v>
      </c>
      <c r="Y74" s="4">
        <f ca="1">('TUSD BE'!$AM$6+'TUSD BF'!$AM$6+'TUSD CVA'!$AM$6)*1</f>
        <v>16.343876453142602</v>
      </c>
      <c r="Z74" s="4">
        <f ca="1">('TUSD BE'!$AM$7+'TUSD BF'!$AM$7+'TUSD CVA'!$AM$7)*1</f>
        <v>76.243476502957677</v>
      </c>
      <c r="AA74" s="4"/>
      <c r="AB74" s="4">
        <f>$K$74*$V$74</f>
        <v>197990</v>
      </c>
      <c r="AC74" s="4">
        <f>$M$74*$W$74</f>
        <v>0</v>
      </c>
      <c r="AD74" s="4">
        <f>$O$74*$X$74</f>
        <v>0</v>
      </c>
      <c r="AE74" s="4">
        <f ca="1">$K$74*$Y$74</f>
        <v>212470.39389085383</v>
      </c>
      <c r="AF74" s="4">
        <f ca="1">$M$74*$Z$74</f>
        <v>0</v>
      </c>
      <c r="AG74" s="4">
        <f>$O$74*$AA$74</f>
        <v>0</v>
      </c>
    </row>
    <row r="75" spans="1:33" ht="11.25" customHeight="1" x14ac:dyDescent="0.25">
      <c r="A75" s="3" t="s">
        <v>21</v>
      </c>
      <c r="B75" s="3" t="s">
        <v>41</v>
      </c>
      <c r="C75" s="3" t="s">
        <v>42</v>
      </c>
      <c r="D75" s="3" t="s">
        <v>40</v>
      </c>
      <c r="E75" s="3" t="s">
        <v>25</v>
      </c>
      <c r="F75" s="3" t="s">
        <v>58</v>
      </c>
      <c r="G75" s="3" t="s">
        <v>25</v>
      </c>
      <c r="H75" s="3" t="s">
        <v>36</v>
      </c>
      <c r="I75" s="6">
        <v>44531</v>
      </c>
      <c r="J75" s="4">
        <v>20000</v>
      </c>
      <c r="K75" s="4">
        <v>20000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3" t="s">
        <v>59</v>
      </c>
      <c r="R75" s="3">
        <v>0</v>
      </c>
      <c r="S75" s="4">
        <v>93</v>
      </c>
      <c r="T75" s="4">
        <v>0</v>
      </c>
      <c r="U75" s="4">
        <v>0</v>
      </c>
      <c r="V75" s="4">
        <f>IF(ISERROR(VLOOKUP($S$75,'TAR FIN'!$A$1:$O$99,15,0)),0,VLOOKUP($S$75,'TAR FIN'!$A$1:$O$99,15,0))</f>
        <v>15.23</v>
      </c>
      <c r="W75" s="4">
        <f>IF(ISERROR(VLOOKUP($T$75,'TAR FIN'!$A$1:$O$99,15,0)),0,VLOOKUP($T$75,'TAR FIN'!$A$1:$O$99,15,0))</f>
        <v>0</v>
      </c>
      <c r="X75" s="4">
        <f>IF(ISERROR(VLOOKUP($U$75,'TAR FIN'!$A$1:$O$99,15,0)),0,VLOOKUP($U$75,'TAR FIN'!$A$1:$O$99,15,0))</f>
        <v>0</v>
      </c>
      <c r="Y75" s="4">
        <f ca="1">('TUSD BE'!$AM$6+'TUSD BF'!$AM$6+'TUSD CVA'!$AM$6)*1</f>
        <v>16.343876453142602</v>
      </c>
      <c r="Z75" s="4">
        <f ca="1">('TUSD BE'!$AM$7+'TUSD BF'!$AM$7+'TUSD CVA'!$AM$7)*1</f>
        <v>76.243476502957677</v>
      </c>
      <c r="AA75" s="4"/>
      <c r="AB75" s="4">
        <f>$K$75*$V$75</f>
        <v>304600</v>
      </c>
      <c r="AC75" s="4">
        <f>$M$75*$W$75</f>
        <v>0</v>
      </c>
      <c r="AD75" s="4">
        <f>$O$75*$X$75</f>
        <v>0</v>
      </c>
      <c r="AE75" s="4">
        <f ca="1">$K$75*$Y$75</f>
        <v>326877.52906285203</v>
      </c>
      <c r="AF75" s="4">
        <f ca="1">$M$75*$Z$75</f>
        <v>0</v>
      </c>
      <c r="AG75" s="4">
        <f>$O$75*$AA$75</f>
        <v>0</v>
      </c>
    </row>
    <row r="76" spans="1:33" ht="11.25" customHeight="1" x14ac:dyDescent="0.25">
      <c r="A76" s="3" t="s">
        <v>21</v>
      </c>
      <c r="B76" s="3" t="s">
        <v>41</v>
      </c>
      <c r="C76" s="3" t="s">
        <v>42</v>
      </c>
      <c r="D76" s="3" t="s">
        <v>40</v>
      </c>
      <c r="E76" s="3" t="s">
        <v>25</v>
      </c>
      <c r="F76" s="3" t="s">
        <v>58</v>
      </c>
      <c r="G76" s="3" t="s">
        <v>25</v>
      </c>
      <c r="H76" s="3" t="s">
        <v>36</v>
      </c>
      <c r="I76" s="6">
        <v>44562</v>
      </c>
      <c r="J76" s="4">
        <v>20000</v>
      </c>
      <c r="K76" s="4">
        <v>20000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3" t="s">
        <v>59</v>
      </c>
      <c r="R76" s="3">
        <v>0</v>
      </c>
      <c r="S76" s="4">
        <v>93</v>
      </c>
      <c r="T76" s="4">
        <v>0</v>
      </c>
      <c r="U76" s="4">
        <v>0</v>
      </c>
      <c r="V76" s="4">
        <f>IF(ISERROR(VLOOKUP($S$76,'TAR FIN'!$A$1:$O$99,15,0)),0,VLOOKUP($S$76,'TAR FIN'!$A$1:$O$99,15,0))</f>
        <v>15.23</v>
      </c>
      <c r="W76" s="4">
        <f>IF(ISERROR(VLOOKUP($T$76,'TAR FIN'!$A$1:$O$99,15,0)),0,VLOOKUP($T$76,'TAR FIN'!$A$1:$O$99,15,0))</f>
        <v>0</v>
      </c>
      <c r="X76" s="4">
        <f>IF(ISERROR(VLOOKUP($U$76,'TAR FIN'!$A$1:$O$99,15,0)),0,VLOOKUP($U$76,'TAR FIN'!$A$1:$O$99,15,0))</f>
        <v>0</v>
      </c>
      <c r="Y76" s="4">
        <f ca="1">('TUSD BE'!$AM$6+'TUSD BF'!$AM$6+'TUSD CVA'!$AM$6)*1</f>
        <v>16.343876453142602</v>
      </c>
      <c r="Z76" s="4">
        <f ca="1">('TUSD BE'!$AM$7+'TUSD BF'!$AM$7+'TUSD CVA'!$AM$7)*1</f>
        <v>76.243476502957677</v>
      </c>
      <c r="AA76" s="4"/>
      <c r="AB76" s="4">
        <f>$K$76*$V$76</f>
        <v>304600</v>
      </c>
      <c r="AC76" s="4">
        <f>$M$76*$W$76</f>
        <v>0</v>
      </c>
      <c r="AD76" s="4">
        <f>$O$76*$X$76</f>
        <v>0</v>
      </c>
      <c r="AE76" s="4">
        <f ca="1">$K$76*$Y$76</f>
        <v>326877.52906285203</v>
      </c>
      <c r="AF76" s="4">
        <f ca="1">$M$76*$Z$76</f>
        <v>0</v>
      </c>
      <c r="AG76" s="4">
        <f>$O$76*$AA$76</f>
        <v>0</v>
      </c>
    </row>
    <row r="77" spans="1:33" ht="11.25" customHeight="1" x14ac:dyDescent="0.25">
      <c r="A77" s="3" t="s">
        <v>21</v>
      </c>
      <c r="B77" s="3" t="s">
        <v>41</v>
      </c>
      <c r="C77" s="3" t="s">
        <v>42</v>
      </c>
      <c r="D77" s="3" t="s">
        <v>40</v>
      </c>
      <c r="E77" s="3" t="s">
        <v>25</v>
      </c>
      <c r="F77" s="3" t="s">
        <v>58</v>
      </c>
      <c r="G77" s="3" t="s">
        <v>25</v>
      </c>
      <c r="H77" s="3" t="s">
        <v>36</v>
      </c>
      <c r="I77" s="6">
        <v>44593</v>
      </c>
      <c r="J77" s="4">
        <v>50000</v>
      </c>
      <c r="K77" s="4">
        <v>50000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3" t="s">
        <v>59</v>
      </c>
      <c r="R77" s="3">
        <v>0</v>
      </c>
      <c r="S77" s="4">
        <v>93</v>
      </c>
      <c r="T77" s="4">
        <v>0</v>
      </c>
      <c r="U77" s="4">
        <v>0</v>
      </c>
      <c r="V77" s="4">
        <f>IF(ISERROR(VLOOKUP($S$77,'TAR FIN'!$A$1:$O$99,15,0)),0,VLOOKUP($S$77,'TAR FIN'!$A$1:$O$99,15,0))</f>
        <v>15.23</v>
      </c>
      <c r="W77" s="4">
        <f>IF(ISERROR(VLOOKUP($T$77,'TAR FIN'!$A$1:$O$99,15,0)),0,VLOOKUP($T$77,'TAR FIN'!$A$1:$O$99,15,0))</f>
        <v>0</v>
      </c>
      <c r="X77" s="4">
        <f>IF(ISERROR(VLOOKUP($U$77,'TAR FIN'!$A$1:$O$99,15,0)),0,VLOOKUP($U$77,'TAR FIN'!$A$1:$O$99,15,0))</f>
        <v>0</v>
      </c>
      <c r="Y77" s="4">
        <f ca="1">('TUSD BE'!$AM$6+'TUSD BF'!$AM$6+'TUSD CVA'!$AM$6)*1</f>
        <v>16.343876453142602</v>
      </c>
      <c r="Z77" s="4">
        <f ca="1">('TUSD BE'!$AM$7+'TUSD BF'!$AM$7+'TUSD CVA'!$AM$7)*1</f>
        <v>76.243476502957677</v>
      </c>
      <c r="AA77" s="4"/>
      <c r="AB77" s="4">
        <f>$K$77*$V$77</f>
        <v>761500</v>
      </c>
      <c r="AC77" s="4">
        <f>$M$77*$W$77</f>
        <v>0</v>
      </c>
      <c r="AD77" s="4">
        <f>$O$77*$X$77</f>
        <v>0</v>
      </c>
      <c r="AE77" s="4">
        <f ca="1">$K$77*$Y$77</f>
        <v>817193.82265713008</v>
      </c>
      <c r="AF77" s="4">
        <f ca="1">$M$77*$Z$77</f>
        <v>0</v>
      </c>
      <c r="AG77" s="4">
        <f>$O$77*$AA$77</f>
        <v>0</v>
      </c>
    </row>
    <row r="78" spans="1:33" ht="11.25" customHeight="1" x14ac:dyDescent="0.25">
      <c r="A78" s="3" t="s">
        <v>21</v>
      </c>
      <c r="B78" s="3" t="s">
        <v>41</v>
      </c>
      <c r="C78" s="3" t="s">
        <v>42</v>
      </c>
      <c r="D78" s="3" t="s">
        <v>40</v>
      </c>
      <c r="E78" s="3" t="s">
        <v>25</v>
      </c>
      <c r="F78" s="3" t="s">
        <v>58</v>
      </c>
      <c r="G78" s="3" t="s">
        <v>25</v>
      </c>
      <c r="H78" s="3" t="s">
        <v>36</v>
      </c>
      <c r="I78" s="6">
        <v>44621</v>
      </c>
      <c r="J78" s="4">
        <v>30000</v>
      </c>
      <c r="K78" s="4">
        <v>30000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3" t="s">
        <v>59</v>
      </c>
      <c r="R78" s="3">
        <v>0</v>
      </c>
      <c r="S78" s="4">
        <v>93</v>
      </c>
      <c r="T78" s="4">
        <v>0</v>
      </c>
      <c r="U78" s="4">
        <v>0</v>
      </c>
      <c r="V78" s="4">
        <f>IF(ISERROR(VLOOKUP($S$78,'TAR FIN'!$A$1:$O$99,15,0)),0,VLOOKUP($S$78,'TAR FIN'!$A$1:$O$99,15,0))</f>
        <v>15.23</v>
      </c>
      <c r="W78" s="4">
        <f>IF(ISERROR(VLOOKUP($T$78,'TAR FIN'!$A$1:$O$99,15,0)),0,VLOOKUP($T$78,'TAR FIN'!$A$1:$O$99,15,0))</f>
        <v>0</v>
      </c>
      <c r="X78" s="4">
        <f>IF(ISERROR(VLOOKUP($U$78,'TAR FIN'!$A$1:$O$99,15,0)),0,VLOOKUP($U$78,'TAR FIN'!$A$1:$O$99,15,0))</f>
        <v>0</v>
      </c>
      <c r="Y78" s="4">
        <f ca="1">('TUSD BE'!$AM$6+'TUSD BF'!$AM$6+'TUSD CVA'!$AM$6)*1</f>
        <v>16.343876453142602</v>
      </c>
      <c r="Z78" s="4">
        <f ca="1">('TUSD BE'!$AM$7+'TUSD BF'!$AM$7+'TUSD CVA'!$AM$7)*1</f>
        <v>76.243476502957677</v>
      </c>
      <c r="AA78" s="4"/>
      <c r="AB78" s="4">
        <f>$K$78*$V$78</f>
        <v>456900</v>
      </c>
      <c r="AC78" s="4">
        <f>$M$78*$W$78</f>
        <v>0</v>
      </c>
      <c r="AD78" s="4">
        <f>$O$78*$X$78</f>
        <v>0</v>
      </c>
      <c r="AE78" s="4">
        <f ca="1">$K$78*$Y$78</f>
        <v>490316.29359427805</v>
      </c>
      <c r="AF78" s="4">
        <f ca="1">$M$78*$Z$78</f>
        <v>0</v>
      </c>
      <c r="AG78" s="4">
        <f>$O$78*$AA$78</f>
        <v>0</v>
      </c>
    </row>
    <row r="79" spans="1:33" ht="11.25" customHeight="1" x14ac:dyDescent="0.25">
      <c r="A79" s="3" t="s">
        <v>56</v>
      </c>
      <c r="B79" s="3" t="s">
        <v>41</v>
      </c>
      <c r="C79" s="3" t="s">
        <v>42</v>
      </c>
      <c r="D79" s="3" t="s">
        <v>40</v>
      </c>
      <c r="E79" s="3" t="s">
        <v>25</v>
      </c>
      <c r="F79" s="3" t="s">
        <v>58</v>
      </c>
      <c r="G79" s="3" t="s">
        <v>25</v>
      </c>
      <c r="H79" s="3" t="s">
        <v>36</v>
      </c>
      <c r="I79" s="6">
        <v>44652</v>
      </c>
      <c r="J79" s="4">
        <v>30000</v>
      </c>
      <c r="K79" s="4">
        <v>30000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3" t="s">
        <v>59</v>
      </c>
      <c r="R79" s="3">
        <v>0</v>
      </c>
      <c r="S79" s="4">
        <v>93</v>
      </c>
      <c r="T79" s="4">
        <v>0</v>
      </c>
      <c r="U79" s="4">
        <v>0</v>
      </c>
      <c r="V79" s="4">
        <f>IF(ISERROR(VLOOKUP($S$79,'TAR FIN'!$A$1:$O$99,15,0)),0,VLOOKUP($S$79,'TAR FIN'!$A$1:$O$99,15,0))</f>
        <v>15.23</v>
      </c>
      <c r="W79" s="4">
        <f>IF(ISERROR(VLOOKUP($T$79,'TAR FIN'!$A$1:$O$99,15,0)),0,VLOOKUP($T$79,'TAR FIN'!$A$1:$O$99,15,0))</f>
        <v>0</v>
      </c>
      <c r="X79" s="4">
        <f>IF(ISERROR(VLOOKUP($U$79,'TAR FIN'!$A$1:$O$99,15,0)),0,VLOOKUP($U$79,'TAR FIN'!$A$1:$O$99,15,0))</f>
        <v>0</v>
      </c>
      <c r="Y79" s="4">
        <f ca="1">('TUSD BE'!$AM$6+'TUSD BF'!$AM$6+'TUSD CVA'!$AM$6)*1</f>
        <v>16.343876453142602</v>
      </c>
      <c r="Z79" s="4">
        <f ca="1">('TUSD BE'!$AM$7+'TUSD BF'!$AM$7+'TUSD CVA'!$AM$7)*1</f>
        <v>76.243476502957677</v>
      </c>
      <c r="AA79" s="4"/>
      <c r="AB79" s="4">
        <f>$K$79*$V$79</f>
        <v>456900</v>
      </c>
      <c r="AC79" s="4">
        <f>$M$79*$W$79</f>
        <v>0</v>
      </c>
      <c r="AD79" s="4">
        <f>$O$79*$X$79</f>
        <v>0</v>
      </c>
      <c r="AE79" s="4">
        <f ca="1">$K$79*$Y$79</f>
        <v>490316.29359427805</v>
      </c>
      <c r="AF79" s="4">
        <f ca="1">$M$79*$Z$79</f>
        <v>0</v>
      </c>
      <c r="AG79" s="4">
        <f>$O$79*$AA$79</f>
        <v>0</v>
      </c>
    </row>
    <row r="80" spans="1:33" ht="11.25" customHeight="1" x14ac:dyDescent="0.25">
      <c r="A80" s="3" t="s">
        <v>21</v>
      </c>
      <c r="B80" s="3" t="s">
        <v>41</v>
      </c>
      <c r="C80" s="3" t="s">
        <v>42</v>
      </c>
      <c r="D80" s="3" t="s">
        <v>40</v>
      </c>
      <c r="E80" s="3" t="s">
        <v>25</v>
      </c>
      <c r="F80" s="3" t="s">
        <v>58</v>
      </c>
      <c r="G80" s="3" t="s">
        <v>25</v>
      </c>
      <c r="H80" s="3" t="s">
        <v>25</v>
      </c>
      <c r="I80" s="6">
        <v>44317</v>
      </c>
      <c r="J80" s="4">
        <v>0</v>
      </c>
      <c r="K80" s="4">
        <v>0</v>
      </c>
      <c r="L80" s="4">
        <v>5789.893</v>
      </c>
      <c r="M80" s="4">
        <v>5789.893</v>
      </c>
      <c r="N80" s="4">
        <v>0</v>
      </c>
      <c r="O80" s="4">
        <v>0</v>
      </c>
      <c r="P80" s="4">
        <v>2</v>
      </c>
      <c r="Q80" s="3" t="s">
        <v>59</v>
      </c>
      <c r="R80" s="3">
        <v>0</v>
      </c>
      <c r="S80" s="4">
        <v>0</v>
      </c>
      <c r="T80" s="4">
        <v>95</v>
      </c>
      <c r="U80" s="4">
        <v>0</v>
      </c>
      <c r="V80" s="4">
        <f>IF(ISERROR(VLOOKUP($S$80,'TAR FIN'!$A$1:$O$99,15,0)),0,VLOOKUP($S$80,'TAR FIN'!$A$1:$O$99,15,0))</f>
        <v>0</v>
      </c>
      <c r="W80" s="4">
        <f>IF(ISERROR(VLOOKUP($T$80,'TAR FIN'!$A$1:$O$99,15,0)),0,VLOOKUP($T$80,'TAR FIN'!$A$1:$O$99,15,0))</f>
        <v>22.2</v>
      </c>
      <c r="X80" s="4">
        <f>IF(ISERROR(VLOOKUP($U$80,'TAR FIN'!$A$1:$O$99,15,0)),0,VLOOKUP($U$80,'TAR FIN'!$A$1:$O$99,15,0))</f>
        <v>0</v>
      </c>
      <c r="Y80" s="4"/>
      <c r="Z80" s="4">
        <f ca="1">('TUSD BE'!$AM$8+'TUSD BF'!$AM$8+'TUSD CVA'!$AM$8)*1</f>
        <v>27.869502763782233</v>
      </c>
      <c r="AA80" s="4"/>
      <c r="AB80" s="4">
        <f>$K$80*$V$80</f>
        <v>0</v>
      </c>
      <c r="AC80" s="4">
        <f>$M$80*$W$80</f>
        <v>128535.6246</v>
      </c>
      <c r="AD80" s="4">
        <f>$O$80*$X$80</f>
        <v>0</v>
      </c>
      <c r="AE80" s="4">
        <f>$K$80*$Y$80</f>
        <v>0</v>
      </c>
      <c r="AF80" s="4">
        <f ca="1">$M$80*$Z$80</f>
        <v>161361.43896550342</v>
      </c>
      <c r="AG80" s="4">
        <f>$O$80*$AA$80</f>
        <v>0</v>
      </c>
    </row>
    <row r="81" spans="1:33" ht="11.25" customHeight="1" x14ac:dyDescent="0.25">
      <c r="A81" s="3" t="s">
        <v>21</v>
      </c>
      <c r="B81" s="3" t="s">
        <v>41</v>
      </c>
      <c r="C81" s="3" t="s">
        <v>42</v>
      </c>
      <c r="D81" s="3" t="s">
        <v>40</v>
      </c>
      <c r="E81" s="3" t="s">
        <v>25</v>
      </c>
      <c r="F81" s="3" t="s">
        <v>58</v>
      </c>
      <c r="G81" s="3" t="s">
        <v>25</v>
      </c>
      <c r="H81" s="3" t="s">
        <v>25</v>
      </c>
      <c r="I81" s="6">
        <v>44348</v>
      </c>
      <c r="J81" s="4">
        <v>0</v>
      </c>
      <c r="K81" s="4">
        <v>0</v>
      </c>
      <c r="L81" s="4">
        <v>4727.4160000000002</v>
      </c>
      <c r="M81" s="4">
        <v>4727.4160000000002</v>
      </c>
      <c r="N81" s="4">
        <v>0</v>
      </c>
      <c r="O81" s="4">
        <v>0</v>
      </c>
      <c r="P81" s="4">
        <v>2</v>
      </c>
      <c r="Q81" s="3" t="s">
        <v>59</v>
      </c>
      <c r="R81" s="3">
        <v>0</v>
      </c>
      <c r="S81" s="4">
        <v>0</v>
      </c>
      <c r="T81" s="4">
        <v>95</v>
      </c>
      <c r="U81" s="4">
        <v>0</v>
      </c>
      <c r="V81" s="4">
        <f>IF(ISERROR(VLOOKUP($S$81,'TAR FIN'!$A$1:$O$99,15,0)),0,VLOOKUP($S$81,'TAR FIN'!$A$1:$O$99,15,0))</f>
        <v>0</v>
      </c>
      <c r="W81" s="4">
        <f>IF(ISERROR(VLOOKUP($T$81,'TAR FIN'!$A$1:$O$99,15,0)),0,VLOOKUP($T$81,'TAR FIN'!$A$1:$O$99,15,0))</f>
        <v>22.2</v>
      </c>
      <c r="X81" s="4">
        <f>IF(ISERROR(VLOOKUP($U$81,'TAR FIN'!$A$1:$O$99,15,0)),0,VLOOKUP($U$81,'TAR FIN'!$A$1:$O$99,15,0))</f>
        <v>0</v>
      </c>
      <c r="Y81" s="4"/>
      <c r="Z81" s="4">
        <f ca="1">('TUSD BE'!$AM$8+'TUSD BF'!$AM$8+'TUSD CVA'!$AM$8)*1</f>
        <v>27.869502763782233</v>
      </c>
      <c r="AA81" s="4"/>
      <c r="AB81" s="4">
        <f>$K$81*$V$81</f>
        <v>0</v>
      </c>
      <c r="AC81" s="4">
        <f>$M$81*$W$81</f>
        <v>104948.6352</v>
      </c>
      <c r="AD81" s="4">
        <f>$O$81*$X$81</f>
        <v>0</v>
      </c>
      <c r="AE81" s="4">
        <f>$K$81*$Y$81</f>
        <v>0</v>
      </c>
      <c r="AF81" s="4">
        <f ca="1">$M$81*$Z$81</f>
        <v>131750.73327754837</v>
      </c>
      <c r="AG81" s="4">
        <f>$O$81*$AA$81</f>
        <v>0</v>
      </c>
    </row>
    <row r="82" spans="1:33" ht="11.25" customHeight="1" x14ac:dyDescent="0.25">
      <c r="A82" s="3" t="s">
        <v>21</v>
      </c>
      <c r="B82" s="3" t="s">
        <v>41</v>
      </c>
      <c r="C82" s="3" t="s">
        <v>42</v>
      </c>
      <c r="D82" s="3" t="s">
        <v>40</v>
      </c>
      <c r="E82" s="3" t="s">
        <v>25</v>
      </c>
      <c r="F82" s="3" t="s">
        <v>58</v>
      </c>
      <c r="G82" s="3" t="s">
        <v>25</v>
      </c>
      <c r="H82" s="3" t="s">
        <v>25</v>
      </c>
      <c r="I82" s="6">
        <v>44378</v>
      </c>
      <c r="J82" s="4">
        <v>0</v>
      </c>
      <c r="K82" s="4">
        <v>0</v>
      </c>
      <c r="L82" s="4">
        <v>5140.2759999999998</v>
      </c>
      <c r="M82" s="4">
        <v>5140.2759999999998</v>
      </c>
      <c r="N82" s="4">
        <v>0</v>
      </c>
      <c r="O82" s="4">
        <v>0</v>
      </c>
      <c r="P82" s="4">
        <v>2</v>
      </c>
      <c r="Q82" s="3" t="s">
        <v>59</v>
      </c>
      <c r="R82" s="3">
        <v>0</v>
      </c>
      <c r="S82" s="4">
        <v>0</v>
      </c>
      <c r="T82" s="4">
        <v>95</v>
      </c>
      <c r="U82" s="4">
        <v>0</v>
      </c>
      <c r="V82" s="4">
        <f>IF(ISERROR(VLOOKUP($S$82,'TAR FIN'!$A$1:$O$99,15,0)),0,VLOOKUP($S$82,'TAR FIN'!$A$1:$O$99,15,0))</f>
        <v>0</v>
      </c>
      <c r="W82" s="4">
        <f>IF(ISERROR(VLOOKUP($T$82,'TAR FIN'!$A$1:$O$99,15,0)),0,VLOOKUP($T$82,'TAR FIN'!$A$1:$O$99,15,0))</f>
        <v>22.2</v>
      </c>
      <c r="X82" s="4">
        <f>IF(ISERROR(VLOOKUP($U$82,'TAR FIN'!$A$1:$O$99,15,0)),0,VLOOKUP($U$82,'TAR FIN'!$A$1:$O$99,15,0))</f>
        <v>0</v>
      </c>
      <c r="Y82" s="4"/>
      <c r="Z82" s="4">
        <f ca="1">('TUSD BE'!$AM$8+'TUSD BF'!$AM$8+'TUSD CVA'!$AM$8)*1</f>
        <v>27.869502763782233</v>
      </c>
      <c r="AA82" s="4"/>
      <c r="AB82" s="4">
        <f>$K$82*$V$82</f>
        <v>0</v>
      </c>
      <c r="AC82" s="4">
        <f>$M$82*$W$82</f>
        <v>114114.12719999999</v>
      </c>
      <c r="AD82" s="4">
        <f>$O$82*$X$82</f>
        <v>0</v>
      </c>
      <c r="AE82" s="4">
        <f>$K$82*$Y$82</f>
        <v>0</v>
      </c>
      <c r="AF82" s="4">
        <f ca="1">$M$82*$Z$82</f>
        <v>143256.93618860349</v>
      </c>
      <c r="AG82" s="4">
        <f>$O$82*$AA$82</f>
        <v>0</v>
      </c>
    </row>
    <row r="83" spans="1:33" ht="11.25" customHeight="1" x14ac:dyDescent="0.25">
      <c r="A83" s="3" t="s">
        <v>21</v>
      </c>
      <c r="B83" s="3" t="s">
        <v>41</v>
      </c>
      <c r="C83" s="3" t="s">
        <v>42</v>
      </c>
      <c r="D83" s="3" t="s">
        <v>40</v>
      </c>
      <c r="E83" s="3" t="s">
        <v>25</v>
      </c>
      <c r="F83" s="3" t="s">
        <v>58</v>
      </c>
      <c r="G83" s="3" t="s">
        <v>25</v>
      </c>
      <c r="H83" s="3" t="s">
        <v>25</v>
      </c>
      <c r="I83" s="6">
        <v>44409</v>
      </c>
      <c r="J83" s="4">
        <v>0</v>
      </c>
      <c r="K83" s="4">
        <v>0</v>
      </c>
      <c r="L83" s="4">
        <v>4829.6610000000001</v>
      </c>
      <c r="M83" s="4">
        <v>4829.6610000000001</v>
      </c>
      <c r="N83" s="4">
        <v>0</v>
      </c>
      <c r="O83" s="4">
        <v>0</v>
      </c>
      <c r="P83" s="4">
        <v>2</v>
      </c>
      <c r="Q83" s="3" t="s">
        <v>59</v>
      </c>
      <c r="R83" s="3">
        <v>0</v>
      </c>
      <c r="S83" s="4">
        <v>0</v>
      </c>
      <c r="T83" s="4">
        <v>95</v>
      </c>
      <c r="U83" s="4">
        <v>0</v>
      </c>
      <c r="V83" s="4">
        <f>IF(ISERROR(VLOOKUP($S$83,'TAR FIN'!$A$1:$O$99,15,0)),0,VLOOKUP($S$83,'TAR FIN'!$A$1:$O$99,15,0))</f>
        <v>0</v>
      </c>
      <c r="W83" s="4">
        <f>IF(ISERROR(VLOOKUP($T$83,'TAR FIN'!$A$1:$O$99,15,0)),0,VLOOKUP($T$83,'TAR FIN'!$A$1:$O$99,15,0))</f>
        <v>22.2</v>
      </c>
      <c r="X83" s="4">
        <f>IF(ISERROR(VLOOKUP($U$83,'TAR FIN'!$A$1:$O$99,15,0)),0,VLOOKUP($U$83,'TAR FIN'!$A$1:$O$99,15,0))</f>
        <v>0</v>
      </c>
      <c r="Y83" s="4"/>
      <c r="Z83" s="4">
        <f ca="1">('TUSD BE'!$AM$8+'TUSD BF'!$AM$8+'TUSD CVA'!$AM$8)*1</f>
        <v>27.869502763782233</v>
      </c>
      <c r="AA83" s="4"/>
      <c r="AB83" s="4">
        <f>$K$83*$V$83</f>
        <v>0</v>
      </c>
      <c r="AC83" s="4">
        <f>$M$83*$W$83</f>
        <v>107218.4742</v>
      </c>
      <c r="AD83" s="4">
        <f>$O$83*$X$83</f>
        <v>0</v>
      </c>
      <c r="AE83" s="4">
        <f>$K$83*$Y$83</f>
        <v>0</v>
      </c>
      <c r="AF83" s="4">
        <f ca="1">$M$83*$Z$83</f>
        <v>134600.25058763125</v>
      </c>
      <c r="AG83" s="4">
        <f>$O$83*$AA$83</f>
        <v>0</v>
      </c>
    </row>
    <row r="84" spans="1:33" ht="11.25" customHeight="1" x14ac:dyDescent="0.25">
      <c r="A84" s="3" t="s">
        <v>21</v>
      </c>
      <c r="B84" s="3" t="s">
        <v>41</v>
      </c>
      <c r="C84" s="3" t="s">
        <v>42</v>
      </c>
      <c r="D84" s="3" t="s">
        <v>40</v>
      </c>
      <c r="E84" s="3" t="s">
        <v>25</v>
      </c>
      <c r="F84" s="3" t="s">
        <v>58</v>
      </c>
      <c r="G84" s="3" t="s">
        <v>25</v>
      </c>
      <c r="H84" s="3" t="s">
        <v>25</v>
      </c>
      <c r="I84" s="6">
        <v>44440</v>
      </c>
      <c r="J84" s="4">
        <v>0</v>
      </c>
      <c r="K84" s="4">
        <v>0</v>
      </c>
      <c r="L84" s="4">
        <v>5062.6009999999997</v>
      </c>
      <c r="M84" s="4">
        <v>5062.6009999999997</v>
      </c>
      <c r="N84" s="4">
        <v>0</v>
      </c>
      <c r="O84" s="4">
        <v>0</v>
      </c>
      <c r="P84" s="4">
        <v>2</v>
      </c>
      <c r="Q84" s="3" t="s">
        <v>59</v>
      </c>
      <c r="R84" s="3">
        <v>0</v>
      </c>
      <c r="S84" s="4">
        <v>0</v>
      </c>
      <c r="T84" s="4">
        <v>95</v>
      </c>
      <c r="U84" s="4">
        <v>0</v>
      </c>
      <c r="V84" s="4">
        <f>IF(ISERROR(VLOOKUP($S$84,'TAR FIN'!$A$1:$O$99,15,0)),0,VLOOKUP($S$84,'TAR FIN'!$A$1:$O$99,15,0))</f>
        <v>0</v>
      </c>
      <c r="W84" s="4">
        <f>IF(ISERROR(VLOOKUP($T$84,'TAR FIN'!$A$1:$O$99,15,0)),0,VLOOKUP($T$84,'TAR FIN'!$A$1:$O$99,15,0))</f>
        <v>22.2</v>
      </c>
      <c r="X84" s="4">
        <f>IF(ISERROR(VLOOKUP($U$84,'TAR FIN'!$A$1:$O$99,15,0)),0,VLOOKUP($U$84,'TAR FIN'!$A$1:$O$99,15,0))</f>
        <v>0</v>
      </c>
      <c r="Y84" s="4"/>
      <c r="Z84" s="4">
        <f ca="1">('TUSD BE'!$AM$8+'TUSD BF'!$AM$8+'TUSD CVA'!$AM$8)*1</f>
        <v>27.869502763782233</v>
      </c>
      <c r="AA84" s="4"/>
      <c r="AB84" s="4">
        <f>$K$84*$V$84</f>
        <v>0</v>
      </c>
      <c r="AC84" s="4">
        <f>$M$84*$W$84</f>
        <v>112389.74219999999</v>
      </c>
      <c r="AD84" s="4">
        <f>$O$84*$X$84</f>
        <v>0</v>
      </c>
      <c r="AE84" s="4">
        <f>$K$84*$Y$84</f>
        <v>0</v>
      </c>
      <c r="AF84" s="4">
        <f ca="1">$M$84*$Z$84</f>
        <v>141092.17256142668</v>
      </c>
      <c r="AG84" s="4">
        <f>$O$84*$AA$84</f>
        <v>0</v>
      </c>
    </row>
    <row r="85" spans="1:33" ht="11.25" customHeight="1" x14ac:dyDescent="0.25">
      <c r="A85" s="3" t="s">
        <v>21</v>
      </c>
      <c r="B85" s="3" t="s">
        <v>41</v>
      </c>
      <c r="C85" s="3" t="s">
        <v>42</v>
      </c>
      <c r="D85" s="3" t="s">
        <v>40</v>
      </c>
      <c r="E85" s="3" t="s">
        <v>25</v>
      </c>
      <c r="F85" s="3" t="s">
        <v>58</v>
      </c>
      <c r="G85" s="3" t="s">
        <v>25</v>
      </c>
      <c r="H85" s="3" t="s">
        <v>25</v>
      </c>
      <c r="I85" s="6">
        <v>44470</v>
      </c>
      <c r="J85" s="4">
        <v>0</v>
      </c>
      <c r="K85" s="4">
        <v>0</v>
      </c>
      <c r="L85" s="4">
        <v>5313.598</v>
      </c>
      <c r="M85" s="4">
        <v>5313.598</v>
      </c>
      <c r="N85" s="4">
        <v>0</v>
      </c>
      <c r="O85" s="4">
        <v>0</v>
      </c>
      <c r="P85" s="4">
        <v>2</v>
      </c>
      <c r="Q85" s="3" t="s">
        <v>59</v>
      </c>
      <c r="R85" s="3">
        <v>0</v>
      </c>
      <c r="S85" s="4">
        <v>0</v>
      </c>
      <c r="T85" s="4">
        <v>95</v>
      </c>
      <c r="U85" s="4">
        <v>0</v>
      </c>
      <c r="V85" s="4">
        <f>IF(ISERROR(VLOOKUP($S$85,'TAR FIN'!$A$1:$O$99,15,0)),0,VLOOKUP($S$85,'TAR FIN'!$A$1:$O$99,15,0))</f>
        <v>0</v>
      </c>
      <c r="W85" s="4">
        <f>IF(ISERROR(VLOOKUP($T$85,'TAR FIN'!$A$1:$O$99,15,0)),0,VLOOKUP($T$85,'TAR FIN'!$A$1:$O$99,15,0))</f>
        <v>22.2</v>
      </c>
      <c r="X85" s="4">
        <f>IF(ISERROR(VLOOKUP($U$85,'TAR FIN'!$A$1:$O$99,15,0)),0,VLOOKUP($U$85,'TAR FIN'!$A$1:$O$99,15,0))</f>
        <v>0</v>
      </c>
      <c r="Y85" s="4"/>
      <c r="Z85" s="4">
        <f ca="1">('TUSD BE'!$AM$8+'TUSD BF'!$AM$8+'TUSD CVA'!$AM$8)*1</f>
        <v>27.869502763782233</v>
      </c>
      <c r="AA85" s="4"/>
      <c r="AB85" s="4">
        <f>$K$85*$V$85</f>
        <v>0</v>
      </c>
      <c r="AC85" s="4">
        <f>$M$85*$W$85</f>
        <v>117961.8756</v>
      </c>
      <c r="AD85" s="4">
        <f>$O$85*$X$85</f>
        <v>0</v>
      </c>
      <c r="AE85" s="4">
        <f>$K$85*$Y$85</f>
        <v>0</v>
      </c>
      <c r="AF85" s="4">
        <f ca="1">$M$85*$Z$85</f>
        <v>148087.33414662775</v>
      </c>
      <c r="AG85" s="4">
        <f>$O$85*$AA$85</f>
        <v>0</v>
      </c>
    </row>
    <row r="86" spans="1:33" ht="11.25" customHeight="1" x14ac:dyDescent="0.25">
      <c r="A86" s="3" t="s">
        <v>21</v>
      </c>
      <c r="B86" s="3" t="s">
        <v>41</v>
      </c>
      <c r="C86" s="3" t="s">
        <v>42</v>
      </c>
      <c r="D86" s="3" t="s">
        <v>40</v>
      </c>
      <c r="E86" s="3" t="s">
        <v>25</v>
      </c>
      <c r="F86" s="3" t="s">
        <v>58</v>
      </c>
      <c r="G86" s="3" t="s">
        <v>25</v>
      </c>
      <c r="H86" s="3" t="s">
        <v>25</v>
      </c>
      <c r="I86" s="6">
        <v>44501</v>
      </c>
      <c r="J86" s="4">
        <v>0</v>
      </c>
      <c r="K86" s="4">
        <v>0</v>
      </c>
      <c r="L86" s="4">
        <v>3710.576</v>
      </c>
      <c r="M86" s="4">
        <v>3710.576</v>
      </c>
      <c r="N86" s="4">
        <v>0</v>
      </c>
      <c r="O86" s="4">
        <v>0</v>
      </c>
      <c r="P86" s="4">
        <v>2</v>
      </c>
      <c r="Q86" s="3" t="s">
        <v>59</v>
      </c>
      <c r="R86" s="3">
        <v>0</v>
      </c>
      <c r="S86" s="4">
        <v>0</v>
      </c>
      <c r="T86" s="4">
        <v>95</v>
      </c>
      <c r="U86" s="4">
        <v>0</v>
      </c>
      <c r="V86" s="4">
        <f>IF(ISERROR(VLOOKUP($S$86,'TAR FIN'!$A$1:$O$99,15,0)),0,VLOOKUP($S$86,'TAR FIN'!$A$1:$O$99,15,0))</f>
        <v>0</v>
      </c>
      <c r="W86" s="4">
        <f>IF(ISERROR(VLOOKUP($T$86,'TAR FIN'!$A$1:$O$99,15,0)),0,VLOOKUP($T$86,'TAR FIN'!$A$1:$O$99,15,0))</f>
        <v>22.2</v>
      </c>
      <c r="X86" s="4">
        <f>IF(ISERROR(VLOOKUP($U$86,'TAR FIN'!$A$1:$O$99,15,0)),0,VLOOKUP($U$86,'TAR FIN'!$A$1:$O$99,15,0))</f>
        <v>0</v>
      </c>
      <c r="Y86" s="4"/>
      <c r="Z86" s="4">
        <f ca="1">('TUSD BE'!$AM$8+'TUSD BF'!$AM$8+'TUSD CVA'!$AM$8)*1</f>
        <v>27.869502763782233</v>
      </c>
      <c r="AA86" s="4"/>
      <c r="AB86" s="4">
        <f>$K$86*$V$86</f>
        <v>0</v>
      </c>
      <c r="AC86" s="4">
        <f>$M$86*$W$86</f>
        <v>82374.787199999992</v>
      </c>
      <c r="AD86" s="4">
        <f>$O$86*$X$86</f>
        <v>0</v>
      </c>
      <c r="AE86" s="4">
        <f>$K$86*$Y$86</f>
        <v>0</v>
      </c>
      <c r="AF86" s="4">
        <f ca="1">$M$86*$Z$86</f>
        <v>103411.90808722402</v>
      </c>
      <c r="AG86" s="4">
        <f>$O$86*$AA$86</f>
        <v>0</v>
      </c>
    </row>
    <row r="87" spans="1:33" ht="11.25" customHeight="1" x14ac:dyDescent="0.25">
      <c r="A87" s="3" t="s">
        <v>21</v>
      </c>
      <c r="B87" s="3" t="s">
        <v>41</v>
      </c>
      <c r="C87" s="3" t="s">
        <v>42</v>
      </c>
      <c r="D87" s="3" t="s">
        <v>40</v>
      </c>
      <c r="E87" s="3" t="s">
        <v>25</v>
      </c>
      <c r="F87" s="3" t="s">
        <v>58</v>
      </c>
      <c r="G87" s="3" t="s">
        <v>25</v>
      </c>
      <c r="H87" s="3" t="s">
        <v>25</v>
      </c>
      <c r="I87" s="6">
        <v>44531</v>
      </c>
      <c r="J87" s="4">
        <v>0</v>
      </c>
      <c r="K87" s="4">
        <v>0</v>
      </c>
      <c r="L87" s="4">
        <v>4887.2669999999998</v>
      </c>
      <c r="M87" s="4">
        <v>4887.2669999999998</v>
      </c>
      <c r="N87" s="4">
        <v>0</v>
      </c>
      <c r="O87" s="4">
        <v>0</v>
      </c>
      <c r="P87" s="4">
        <v>3</v>
      </c>
      <c r="Q87" s="3" t="s">
        <v>59</v>
      </c>
      <c r="R87" s="3">
        <v>0</v>
      </c>
      <c r="S87" s="4">
        <v>0</v>
      </c>
      <c r="T87" s="4">
        <v>95</v>
      </c>
      <c r="U87" s="4">
        <v>0</v>
      </c>
      <c r="V87" s="4">
        <f>IF(ISERROR(VLOOKUP($S$87,'TAR FIN'!$A$1:$O$99,15,0)),0,VLOOKUP($S$87,'TAR FIN'!$A$1:$O$99,15,0))</f>
        <v>0</v>
      </c>
      <c r="W87" s="4">
        <f>IF(ISERROR(VLOOKUP($T$87,'TAR FIN'!$A$1:$O$99,15,0)),0,VLOOKUP($T$87,'TAR FIN'!$A$1:$O$99,15,0))</f>
        <v>22.2</v>
      </c>
      <c r="X87" s="4">
        <f>IF(ISERROR(VLOOKUP($U$87,'TAR FIN'!$A$1:$O$99,15,0)),0,VLOOKUP($U$87,'TAR FIN'!$A$1:$O$99,15,0))</f>
        <v>0</v>
      </c>
      <c r="Y87" s="4"/>
      <c r="Z87" s="4">
        <f ca="1">('TUSD BE'!$AM$8+'TUSD BF'!$AM$8+'TUSD CVA'!$AM$8)*1</f>
        <v>27.869502763782233</v>
      </c>
      <c r="AA87" s="4"/>
      <c r="AB87" s="4">
        <f>$K$87*$V$87</f>
        <v>0</v>
      </c>
      <c r="AC87" s="4">
        <f>$M$87*$W$87</f>
        <v>108497.32739999999</v>
      </c>
      <c r="AD87" s="4">
        <f>$O$87*$X$87</f>
        <v>0</v>
      </c>
      <c r="AE87" s="4">
        <f>$K$87*$Y$87</f>
        <v>0</v>
      </c>
      <c r="AF87" s="4">
        <f ca="1">$M$87*$Z$87</f>
        <v>136205.7011638417</v>
      </c>
      <c r="AG87" s="4">
        <f>$O$87*$AA$87</f>
        <v>0</v>
      </c>
    </row>
    <row r="88" spans="1:33" ht="11.25" customHeight="1" x14ac:dyDescent="0.25">
      <c r="A88" s="3" t="s">
        <v>21</v>
      </c>
      <c r="B88" s="3" t="s">
        <v>41</v>
      </c>
      <c r="C88" s="3" t="s">
        <v>42</v>
      </c>
      <c r="D88" s="3" t="s">
        <v>40</v>
      </c>
      <c r="E88" s="3" t="s">
        <v>25</v>
      </c>
      <c r="F88" s="3" t="s">
        <v>58</v>
      </c>
      <c r="G88" s="3" t="s">
        <v>25</v>
      </c>
      <c r="H88" s="3" t="s">
        <v>25</v>
      </c>
      <c r="I88" s="6">
        <v>44562</v>
      </c>
      <c r="J88" s="4">
        <v>0</v>
      </c>
      <c r="K88" s="4">
        <v>0</v>
      </c>
      <c r="L88" s="4">
        <v>5070.223</v>
      </c>
      <c r="M88" s="4">
        <v>5070.223</v>
      </c>
      <c r="N88" s="4">
        <v>0</v>
      </c>
      <c r="O88" s="4">
        <v>0</v>
      </c>
      <c r="P88" s="4">
        <v>3</v>
      </c>
      <c r="Q88" s="3" t="s">
        <v>59</v>
      </c>
      <c r="R88" s="3">
        <v>0</v>
      </c>
      <c r="S88" s="4">
        <v>0</v>
      </c>
      <c r="T88" s="4">
        <v>95</v>
      </c>
      <c r="U88" s="4">
        <v>0</v>
      </c>
      <c r="V88" s="4">
        <f>IF(ISERROR(VLOOKUP($S$88,'TAR FIN'!$A$1:$O$99,15,0)),0,VLOOKUP($S$88,'TAR FIN'!$A$1:$O$99,15,0))</f>
        <v>0</v>
      </c>
      <c r="W88" s="4">
        <f>IF(ISERROR(VLOOKUP($T$88,'TAR FIN'!$A$1:$O$99,15,0)),0,VLOOKUP($T$88,'TAR FIN'!$A$1:$O$99,15,0))</f>
        <v>22.2</v>
      </c>
      <c r="X88" s="4">
        <f>IF(ISERROR(VLOOKUP($U$88,'TAR FIN'!$A$1:$O$99,15,0)),0,VLOOKUP($U$88,'TAR FIN'!$A$1:$O$99,15,0))</f>
        <v>0</v>
      </c>
      <c r="Y88" s="4"/>
      <c r="Z88" s="4">
        <f ca="1">('TUSD BE'!$AM$8+'TUSD BF'!$AM$8+'TUSD CVA'!$AM$8)*1</f>
        <v>27.869502763782233</v>
      </c>
      <c r="AA88" s="4"/>
      <c r="AB88" s="4">
        <f>$K$88*$V$88</f>
        <v>0</v>
      </c>
      <c r="AC88" s="4">
        <f>$M$88*$W$88</f>
        <v>112558.9506</v>
      </c>
      <c r="AD88" s="4">
        <f>$O$88*$X$88</f>
        <v>0</v>
      </c>
      <c r="AE88" s="4">
        <f>$K$88*$Y$88</f>
        <v>0</v>
      </c>
      <c r="AF88" s="4">
        <f ca="1">$M$88*$Z$88</f>
        <v>141304.59391149224</v>
      </c>
      <c r="AG88" s="4">
        <f>$O$88*$AA$88</f>
        <v>0</v>
      </c>
    </row>
    <row r="89" spans="1:33" ht="11.25" customHeight="1" x14ac:dyDescent="0.25">
      <c r="A89" s="3" t="s">
        <v>21</v>
      </c>
      <c r="B89" s="3" t="s">
        <v>41</v>
      </c>
      <c r="C89" s="3" t="s">
        <v>42</v>
      </c>
      <c r="D89" s="3" t="s">
        <v>40</v>
      </c>
      <c r="E89" s="3" t="s">
        <v>25</v>
      </c>
      <c r="F89" s="3" t="s">
        <v>58</v>
      </c>
      <c r="G89" s="3" t="s">
        <v>25</v>
      </c>
      <c r="H89" s="3" t="s">
        <v>25</v>
      </c>
      <c r="I89" s="6">
        <v>44593</v>
      </c>
      <c r="J89" s="4">
        <v>0</v>
      </c>
      <c r="K89" s="4">
        <v>0</v>
      </c>
      <c r="L89" s="4">
        <v>13825.752</v>
      </c>
      <c r="M89" s="4">
        <v>13825.752</v>
      </c>
      <c r="N89" s="4">
        <v>0</v>
      </c>
      <c r="O89" s="4">
        <v>0</v>
      </c>
      <c r="P89" s="4">
        <v>3</v>
      </c>
      <c r="Q89" s="3" t="s">
        <v>59</v>
      </c>
      <c r="R89" s="3">
        <v>0</v>
      </c>
      <c r="S89" s="4">
        <v>0</v>
      </c>
      <c r="T89" s="4">
        <v>95</v>
      </c>
      <c r="U89" s="4">
        <v>0</v>
      </c>
      <c r="V89" s="4">
        <f>IF(ISERROR(VLOOKUP($S$89,'TAR FIN'!$A$1:$O$99,15,0)),0,VLOOKUP($S$89,'TAR FIN'!$A$1:$O$99,15,0))</f>
        <v>0</v>
      </c>
      <c r="W89" s="4">
        <f>IF(ISERROR(VLOOKUP($T$89,'TAR FIN'!$A$1:$O$99,15,0)),0,VLOOKUP($T$89,'TAR FIN'!$A$1:$O$99,15,0))</f>
        <v>22.2</v>
      </c>
      <c r="X89" s="4">
        <f>IF(ISERROR(VLOOKUP($U$89,'TAR FIN'!$A$1:$O$99,15,0)),0,VLOOKUP($U$89,'TAR FIN'!$A$1:$O$99,15,0))</f>
        <v>0</v>
      </c>
      <c r="Y89" s="4"/>
      <c r="Z89" s="4">
        <f ca="1">('TUSD BE'!$AM$8+'TUSD BF'!$AM$8+'TUSD CVA'!$AM$8)*1</f>
        <v>27.869502763782233</v>
      </c>
      <c r="AA89" s="4"/>
      <c r="AB89" s="4">
        <f>$K$89*$V$89</f>
        <v>0</v>
      </c>
      <c r="AC89" s="4">
        <f>$M$89*$W$89</f>
        <v>306931.69439999998</v>
      </c>
      <c r="AD89" s="4">
        <f>$O$89*$X$89</f>
        <v>0</v>
      </c>
      <c r="AE89" s="4">
        <f>$K$89*$Y$89</f>
        <v>0</v>
      </c>
      <c r="AF89" s="4">
        <f ca="1">$M$89*$Z$89</f>
        <v>385316.83357536775</v>
      </c>
      <c r="AG89" s="4">
        <f>$O$89*$AA$89</f>
        <v>0</v>
      </c>
    </row>
    <row r="90" spans="1:33" ht="11.25" customHeight="1" x14ac:dyDescent="0.25">
      <c r="A90" s="3" t="s">
        <v>21</v>
      </c>
      <c r="B90" s="3" t="s">
        <v>41</v>
      </c>
      <c r="C90" s="3" t="s">
        <v>42</v>
      </c>
      <c r="D90" s="3" t="s">
        <v>40</v>
      </c>
      <c r="E90" s="3" t="s">
        <v>25</v>
      </c>
      <c r="F90" s="3" t="s">
        <v>58</v>
      </c>
      <c r="G90" s="3" t="s">
        <v>25</v>
      </c>
      <c r="H90" s="3" t="s">
        <v>25</v>
      </c>
      <c r="I90" s="6">
        <v>44621</v>
      </c>
      <c r="J90" s="4">
        <v>0</v>
      </c>
      <c r="K90" s="4">
        <v>0</v>
      </c>
      <c r="L90" s="4">
        <v>10905.182000000001</v>
      </c>
      <c r="M90" s="4">
        <v>10905.182000000001</v>
      </c>
      <c r="N90" s="4">
        <v>0</v>
      </c>
      <c r="O90" s="4">
        <v>0</v>
      </c>
      <c r="P90" s="4">
        <v>4</v>
      </c>
      <c r="Q90" s="3" t="s">
        <v>59</v>
      </c>
      <c r="R90" s="3">
        <v>0</v>
      </c>
      <c r="S90" s="4">
        <v>0</v>
      </c>
      <c r="T90" s="4">
        <v>95</v>
      </c>
      <c r="U90" s="4">
        <v>0</v>
      </c>
      <c r="V90" s="4">
        <f>IF(ISERROR(VLOOKUP($S$90,'TAR FIN'!$A$1:$O$99,15,0)),0,VLOOKUP($S$90,'TAR FIN'!$A$1:$O$99,15,0))</f>
        <v>0</v>
      </c>
      <c r="W90" s="4">
        <f>IF(ISERROR(VLOOKUP($T$90,'TAR FIN'!$A$1:$O$99,15,0)),0,VLOOKUP($T$90,'TAR FIN'!$A$1:$O$99,15,0))</f>
        <v>22.2</v>
      </c>
      <c r="X90" s="4">
        <f>IF(ISERROR(VLOOKUP($U$90,'TAR FIN'!$A$1:$O$99,15,0)),0,VLOOKUP($U$90,'TAR FIN'!$A$1:$O$99,15,0))</f>
        <v>0</v>
      </c>
      <c r="Y90" s="4"/>
      <c r="Z90" s="4">
        <f ca="1">('TUSD BE'!$AM$8+'TUSD BF'!$AM$8+'TUSD CVA'!$AM$8)*1</f>
        <v>27.869502763782233</v>
      </c>
      <c r="AA90" s="4"/>
      <c r="AB90" s="4">
        <f>$K$90*$V$90</f>
        <v>0</v>
      </c>
      <c r="AC90" s="4">
        <f>$M$90*$W$90</f>
        <v>242095.0404</v>
      </c>
      <c r="AD90" s="4">
        <f>$O$90*$X$90</f>
        <v>0</v>
      </c>
      <c r="AE90" s="4">
        <f>$K$90*$Y$90</f>
        <v>0</v>
      </c>
      <c r="AF90" s="4">
        <f ca="1">$M$90*$Z$90</f>
        <v>303921.99988854828</v>
      </c>
      <c r="AG90" s="4">
        <f>$O$90*$AA$90</f>
        <v>0</v>
      </c>
    </row>
    <row r="91" spans="1:33" ht="11.25" customHeight="1" x14ac:dyDescent="0.25">
      <c r="A91" s="3" t="s">
        <v>56</v>
      </c>
      <c r="B91" s="3" t="s">
        <v>41</v>
      </c>
      <c r="C91" s="3" t="s">
        <v>42</v>
      </c>
      <c r="D91" s="3" t="s">
        <v>40</v>
      </c>
      <c r="E91" s="3" t="s">
        <v>25</v>
      </c>
      <c r="F91" s="3" t="s">
        <v>58</v>
      </c>
      <c r="G91" s="3" t="s">
        <v>25</v>
      </c>
      <c r="H91" s="3" t="s">
        <v>25</v>
      </c>
      <c r="I91" s="6">
        <v>44652</v>
      </c>
      <c r="J91" s="4">
        <v>0</v>
      </c>
      <c r="K91" s="4">
        <v>0</v>
      </c>
      <c r="L91" s="4">
        <v>10905.182000000001</v>
      </c>
      <c r="M91" s="4">
        <v>10905.182000000001</v>
      </c>
      <c r="N91" s="4">
        <v>0</v>
      </c>
      <c r="O91" s="4">
        <v>0</v>
      </c>
      <c r="P91" s="4">
        <v>4</v>
      </c>
      <c r="Q91" s="3" t="s">
        <v>59</v>
      </c>
      <c r="R91" s="3">
        <v>0</v>
      </c>
      <c r="S91" s="4">
        <v>0</v>
      </c>
      <c r="T91" s="4">
        <v>95</v>
      </c>
      <c r="U91" s="4">
        <v>0</v>
      </c>
      <c r="V91" s="4">
        <f>IF(ISERROR(VLOOKUP($S$91,'TAR FIN'!$A$1:$O$99,15,0)),0,VLOOKUP($S$91,'TAR FIN'!$A$1:$O$99,15,0))</f>
        <v>0</v>
      </c>
      <c r="W91" s="4">
        <f>IF(ISERROR(VLOOKUP($T$91,'TAR FIN'!$A$1:$O$99,15,0)),0,VLOOKUP($T$91,'TAR FIN'!$A$1:$O$99,15,0))</f>
        <v>22.2</v>
      </c>
      <c r="X91" s="4">
        <f>IF(ISERROR(VLOOKUP($U$91,'TAR FIN'!$A$1:$O$99,15,0)),0,VLOOKUP($U$91,'TAR FIN'!$A$1:$O$99,15,0))</f>
        <v>0</v>
      </c>
      <c r="Y91" s="4"/>
      <c r="Z91" s="4">
        <f ca="1">('TUSD BE'!$AM$8+'TUSD BF'!$AM$8+'TUSD CVA'!$AM$8)*1</f>
        <v>27.869502763782233</v>
      </c>
      <c r="AA91" s="4"/>
      <c r="AB91" s="4">
        <f>$K$91*$V$91</f>
        <v>0</v>
      </c>
      <c r="AC91" s="4">
        <f>$M$91*$W$91</f>
        <v>242095.0404</v>
      </c>
      <c r="AD91" s="4">
        <f>$O$91*$X$91</f>
        <v>0</v>
      </c>
      <c r="AE91" s="4">
        <f>$K$91*$Y$91</f>
        <v>0</v>
      </c>
      <c r="AF91" s="4">
        <f ca="1">$M$91*$Z$91</f>
        <v>303921.99988854828</v>
      </c>
      <c r="AG91" s="4">
        <f>$O$91*$AA$91</f>
        <v>0</v>
      </c>
    </row>
    <row r="92" spans="1:33" ht="11.25" customHeight="1" x14ac:dyDescent="0.25">
      <c r="A92" s="3" t="s">
        <v>21</v>
      </c>
      <c r="B92" s="3" t="s">
        <v>41</v>
      </c>
      <c r="C92" s="3" t="s">
        <v>42</v>
      </c>
      <c r="D92" s="3" t="s">
        <v>40</v>
      </c>
      <c r="E92" s="3" t="s">
        <v>25</v>
      </c>
      <c r="F92" s="3" t="s">
        <v>58</v>
      </c>
      <c r="G92" s="3" t="s">
        <v>25</v>
      </c>
      <c r="H92" s="3" t="s">
        <v>35</v>
      </c>
      <c r="I92" s="6">
        <v>44317</v>
      </c>
      <c r="J92" s="4">
        <v>12800</v>
      </c>
      <c r="K92" s="4">
        <v>12800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3" t="s">
        <v>59</v>
      </c>
      <c r="R92" s="3">
        <v>0</v>
      </c>
      <c r="S92" s="4">
        <v>92</v>
      </c>
      <c r="T92" s="4">
        <v>0</v>
      </c>
      <c r="U92" s="4">
        <v>0</v>
      </c>
      <c r="V92" s="4">
        <f>IF(ISERROR(VLOOKUP($S$92,'TAR FIN'!$A$1:$O$99,15,0)),0,VLOOKUP($S$92,'TAR FIN'!$A$1:$O$99,15,0))</f>
        <v>26.46</v>
      </c>
      <c r="W92" s="4">
        <f>IF(ISERROR(VLOOKUP($T$92,'TAR FIN'!$A$1:$O$99,15,0)),0,VLOOKUP($T$92,'TAR FIN'!$A$1:$O$99,15,0))</f>
        <v>0</v>
      </c>
      <c r="X92" s="4">
        <f>IF(ISERROR(VLOOKUP($U$92,'TAR FIN'!$A$1:$O$99,15,0)),0,VLOOKUP($U$92,'TAR FIN'!$A$1:$O$99,15,0))</f>
        <v>0</v>
      </c>
      <c r="Y92" s="4">
        <f ca="1">('TUSD BE'!$AM$5+'TUSD BF'!$AM$5+'TUSD CVA'!$AM$5)*1</f>
        <v>30.337295464550692</v>
      </c>
      <c r="Z92" s="4">
        <f ca="1">('TUSD BE'!$AM$7+'TUSD BF'!$AM$7+'TUSD CVA'!$AM$7)*1</f>
        <v>76.243476502957677</v>
      </c>
      <c r="AA92" s="4"/>
      <c r="AB92" s="4">
        <f>$K$92*$V$92</f>
        <v>338688</v>
      </c>
      <c r="AC92" s="4">
        <f>$M$92*$W$92</f>
        <v>0</v>
      </c>
      <c r="AD92" s="4">
        <f>$O$92*$X$92</f>
        <v>0</v>
      </c>
      <c r="AE92" s="4">
        <f ca="1">$K$92*$Y$92</f>
        <v>388317.38194624888</v>
      </c>
      <c r="AF92" s="4">
        <f ca="1">$M$92*$Z$92</f>
        <v>0</v>
      </c>
      <c r="AG92" s="4">
        <f>$O$92*$AA$92</f>
        <v>0</v>
      </c>
    </row>
    <row r="93" spans="1:33" ht="11.25" customHeight="1" x14ac:dyDescent="0.25">
      <c r="A93" s="3" t="s">
        <v>21</v>
      </c>
      <c r="B93" s="3" t="s">
        <v>41</v>
      </c>
      <c r="C93" s="3" t="s">
        <v>42</v>
      </c>
      <c r="D93" s="3" t="s">
        <v>40</v>
      </c>
      <c r="E93" s="3" t="s">
        <v>25</v>
      </c>
      <c r="F93" s="3" t="s">
        <v>58</v>
      </c>
      <c r="G93" s="3" t="s">
        <v>25</v>
      </c>
      <c r="H93" s="3" t="s">
        <v>35</v>
      </c>
      <c r="I93" s="6">
        <v>44348</v>
      </c>
      <c r="J93" s="4">
        <v>12800</v>
      </c>
      <c r="K93" s="4">
        <v>12800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3" t="s">
        <v>59</v>
      </c>
      <c r="R93" s="3">
        <v>0</v>
      </c>
      <c r="S93" s="4">
        <v>92</v>
      </c>
      <c r="T93" s="4">
        <v>0</v>
      </c>
      <c r="U93" s="4">
        <v>0</v>
      </c>
      <c r="V93" s="4">
        <f>IF(ISERROR(VLOOKUP($S$93,'TAR FIN'!$A$1:$O$99,15,0)),0,VLOOKUP($S$93,'TAR FIN'!$A$1:$O$99,15,0))</f>
        <v>26.46</v>
      </c>
      <c r="W93" s="4">
        <f>IF(ISERROR(VLOOKUP($T$93,'TAR FIN'!$A$1:$O$99,15,0)),0,VLOOKUP($T$93,'TAR FIN'!$A$1:$O$99,15,0))</f>
        <v>0</v>
      </c>
      <c r="X93" s="4">
        <f>IF(ISERROR(VLOOKUP($U$93,'TAR FIN'!$A$1:$O$99,15,0)),0,VLOOKUP($U$93,'TAR FIN'!$A$1:$O$99,15,0))</f>
        <v>0</v>
      </c>
      <c r="Y93" s="4">
        <f ca="1">('TUSD BE'!$AM$5+'TUSD BF'!$AM$5+'TUSD CVA'!$AM$5)*1</f>
        <v>30.337295464550692</v>
      </c>
      <c r="Z93" s="4">
        <f ca="1">('TUSD BE'!$AM$7+'TUSD BF'!$AM$7+'TUSD CVA'!$AM$7)*1</f>
        <v>76.243476502957677</v>
      </c>
      <c r="AA93" s="4"/>
      <c r="AB93" s="4">
        <f>$K$93*$V$93</f>
        <v>338688</v>
      </c>
      <c r="AC93" s="4">
        <f>$M$93*$W$93</f>
        <v>0</v>
      </c>
      <c r="AD93" s="4">
        <f>$O$93*$X$93</f>
        <v>0</v>
      </c>
      <c r="AE93" s="4">
        <f ca="1">$K$93*$Y$93</f>
        <v>388317.38194624888</v>
      </c>
      <c r="AF93" s="4">
        <f ca="1">$M$93*$Z$93</f>
        <v>0</v>
      </c>
      <c r="AG93" s="4">
        <f>$O$93*$AA$93</f>
        <v>0</v>
      </c>
    </row>
    <row r="94" spans="1:33" ht="11.25" customHeight="1" x14ac:dyDescent="0.25">
      <c r="A94" s="3" t="s">
        <v>21</v>
      </c>
      <c r="B94" s="3" t="s">
        <v>41</v>
      </c>
      <c r="C94" s="3" t="s">
        <v>42</v>
      </c>
      <c r="D94" s="3" t="s">
        <v>40</v>
      </c>
      <c r="E94" s="3" t="s">
        <v>25</v>
      </c>
      <c r="F94" s="3" t="s">
        <v>58</v>
      </c>
      <c r="G94" s="3" t="s">
        <v>25</v>
      </c>
      <c r="H94" s="3" t="s">
        <v>35</v>
      </c>
      <c r="I94" s="6">
        <v>44378</v>
      </c>
      <c r="J94" s="4">
        <v>12800</v>
      </c>
      <c r="K94" s="4">
        <v>12800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3" t="s">
        <v>59</v>
      </c>
      <c r="R94" s="3">
        <v>0</v>
      </c>
      <c r="S94" s="4">
        <v>92</v>
      </c>
      <c r="T94" s="4">
        <v>0</v>
      </c>
      <c r="U94" s="4">
        <v>0</v>
      </c>
      <c r="V94" s="4">
        <f>IF(ISERROR(VLOOKUP($S$94,'TAR FIN'!$A$1:$O$99,15,0)),0,VLOOKUP($S$94,'TAR FIN'!$A$1:$O$99,15,0))</f>
        <v>26.46</v>
      </c>
      <c r="W94" s="4">
        <f>IF(ISERROR(VLOOKUP($T$94,'TAR FIN'!$A$1:$O$99,15,0)),0,VLOOKUP($T$94,'TAR FIN'!$A$1:$O$99,15,0))</f>
        <v>0</v>
      </c>
      <c r="X94" s="4">
        <f>IF(ISERROR(VLOOKUP($U$94,'TAR FIN'!$A$1:$O$99,15,0)),0,VLOOKUP($U$94,'TAR FIN'!$A$1:$O$99,15,0))</f>
        <v>0</v>
      </c>
      <c r="Y94" s="4">
        <f ca="1">('TUSD BE'!$AM$5+'TUSD BF'!$AM$5+'TUSD CVA'!$AM$5)*1</f>
        <v>30.337295464550692</v>
      </c>
      <c r="Z94" s="4">
        <f ca="1">('TUSD BE'!$AM$7+'TUSD BF'!$AM$7+'TUSD CVA'!$AM$7)*1</f>
        <v>76.243476502957677</v>
      </c>
      <c r="AA94" s="4"/>
      <c r="AB94" s="4">
        <f>$K$94*$V$94</f>
        <v>338688</v>
      </c>
      <c r="AC94" s="4">
        <f>$M$94*$W$94</f>
        <v>0</v>
      </c>
      <c r="AD94" s="4">
        <f>$O$94*$X$94</f>
        <v>0</v>
      </c>
      <c r="AE94" s="4">
        <f ca="1">$K$94*$Y$94</f>
        <v>388317.38194624888</v>
      </c>
      <c r="AF94" s="4">
        <f ca="1">$M$94*$Z$94</f>
        <v>0</v>
      </c>
      <c r="AG94" s="4">
        <f>$O$94*$AA$94</f>
        <v>0</v>
      </c>
    </row>
    <row r="95" spans="1:33" ht="11.25" customHeight="1" x14ac:dyDescent="0.25">
      <c r="A95" s="3" t="s">
        <v>21</v>
      </c>
      <c r="B95" s="3" t="s">
        <v>41</v>
      </c>
      <c r="C95" s="3" t="s">
        <v>42</v>
      </c>
      <c r="D95" s="3" t="s">
        <v>40</v>
      </c>
      <c r="E95" s="3" t="s">
        <v>25</v>
      </c>
      <c r="F95" s="3" t="s">
        <v>58</v>
      </c>
      <c r="G95" s="3" t="s">
        <v>25</v>
      </c>
      <c r="H95" s="3" t="s">
        <v>35</v>
      </c>
      <c r="I95" s="6">
        <v>44409</v>
      </c>
      <c r="J95" s="4">
        <v>12800</v>
      </c>
      <c r="K95" s="4">
        <v>12800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3" t="s">
        <v>59</v>
      </c>
      <c r="R95" s="3">
        <v>0</v>
      </c>
      <c r="S95" s="4">
        <v>92</v>
      </c>
      <c r="T95" s="4">
        <v>0</v>
      </c>
      <c r="U95" s="4">
        <v>0</v>
      </c>
      <c r="V95" s="4">
        <f>IF(ISERROR(VLOOKUP($S$95,'TAR FIN'!$A$1:$O$99,15,0)),0,VLOOKUP($S$95,'TAR FIN'!$A$1:$O$99,15,0))</f>
        <v>26.46</v>
      </c>
      <c r="W95" s="4">
        <f>IF(ISERROR(VLOOKUP($T$95,'TAR FIN'!$A$1:$O$99,15,0)),0,VLOOKUP($T$95,'TAR FIN'!$A$1:$O$99,15,0))</f>
        <v>0</v>
      </c>
      <c r="X95" s="4">
        <f>IF(ISERROR(VLOOKUP($U$95,'TAR FIN'!$A$1:$O$99,15,0)),0,VLOOKUP($U$95,'TAR FIN'!$A$1:$O$99,15,0))</f>
        <v>0</v>
      </c>
      <c r="Y95" s="4">
        <f ca="1">('TUSD BE'!$AM$5+'TUSD BF'!$AM$5+'TUSD CVA'!$AM$5)*1</f>
        <v>30.337295464550692</v>
      </c>
      <c r="Z95" s="4">
        <f ca="1">('TUSD BE'!$AM$7+'TUSD BF'!$AM$7+'TUSD CVA'!$AM$7)*1</f>
        <v>76.243476502957677</v>
      </c>
      <c r="AA95" s="4"/>
      <c r="AB95" s="4">
        <f>$K$95*$V$95</f>
        <v>338688</v>
      </c>
      <c r="AC95" s="4">
        <f>$M$95*$W$95</f>
        <v>0</v>
      </c>
      <c r="AD95" s="4">
        <f>$O$95*$X$95</f>
        <v>0</v>
      </c>
      <c r="AE95" s="4">
        <f ca="1">$K$95*$Y$95</f>
        <v>388317.38194624888</v>
      </c>
      <c r="AF95" s="4">
        <f ca="1">$M$95*$Z$95</f>
        <v>0</v>
      </c>
      <c r="AG95" s="4">
        <f>$O$95*$AA$95</f>
        <v>0</v>
      </c>
    </row>
    <row r="96" spans="1:33" ht="11.25" customHeight="1" x14ac:dyDescent="0.25">
      <c r="A96" s="3" t="s">
        <v>21</v>
      </c>
      <c r="B96" s="3" t="s">
        <v>41</v>
      </c>
      <c r="C96" s="3" t="s">
        <v>42</v>
      </c>
      <c r="D96" s="3" t="s">
        <v>40</v>
      </c>
      <c r="E96" s="3" t="s">
        <v>25</v>
      </c>
      <c r="F96" s="3" t="s">
        <v>58</v>
      </c>
      <c r="G96" s="3" t="s">
        <v>25</v>
      </c>
      <c r="H96" s="3" t="s">
        <v>35</v>
      </c>
      <c r="I96" s="6">
        <v>44440</v>
      </c>
      <c r="J96" s="4">
        <v>12800</v>
      </c>
      <c r="K96" s="4">
        <v>12800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3" t="s">
        <v>59</v>
      </c>
      <c r="R96" s="3">
        <v>0</v>
      </c>
      <c r="S96" s="4">
        <v>92</v>
      </c>
      <c r="T96" s="4">
        <v>0</v>
      </c>
      <c r="U96" s="4">
        <v>0</v>
      </c>
      <c r="V96" s="4">
        <f>IF(ISERROR(VLOOKUP($S$96,'TAR FIN'!$A$1:$O$99,15,0)),0,VLOOKUP($S$96,'TAR FIN'!$A$1:$O$99,15,0))</f>
        <v>26.46</v>
      </c>
      <c r="W96" s="4">
        <f>IF(ISERROR(VLOOKUP($T$96,'TAR FIN'!$A$1:$O$99,15,0)),0,VLOOKUP($T$96,'TAR FIN'!$A$1:$O$99,15,0))</f>
        <v>0</v>
      </c>
      <c r="X96" s="4">
        <f>IF(ISERROR(VLOOKUP($U$96,'TAR FIN'!$A$1:$O$99,15,0)),0,VLOOKUP($U$96,'TAR FIN'!$A$1:$O$99,15,0))</f>
        <v>0</v>
      </c>
      <c r="Y96" s="4">
        <f ca="1">('TUSD BE'!$AM$5+'TUSD BF'!$AM$5+'TUSD CVA'!$AM$5)*1</f>
        <v>30.337295464550692</v>
      </c>
      <c r="Z96" s="4">
        <f ca="1">('TUSD BE'!$AM$7+'TUSD BF'!$AM$7+'TUSD CVA'!$AM$7)*1</f>
        <v>76.243476502957677</v>
      </c>
      <c r="AA96" s="4"/>
      <c r="AB96" s="4">
        <f>$K$96*$V$96</f>
        <v>338688</v>
      </c>
      <c r="AC96" s="4">
        <f>$M$96*$W$96</f>
        <v>0</v>
      </c>
      <c r="AD96" s="4">
        <f>$O$96*$X$96</f>
        <v>0</v>
      </c>
      <c r="AE96" s="4">
        <f ca="1">$K$96*$Y$96</f>
        <v>388317.38194624888</v>
      </c>
      <c r="AF96" s="4">
        <f ca="1">$M$96*$Z$96</f>
        <v>0</v>
      </c>
      <c r="AG96" s="4">
        <f>$O$96*$AA$96</f>
        <v>0</v>
      </c>
    </row>
    <row r="97" spans="1:33" ht="11.25" customHeight="1" x14ac:dyDescent="0.25">
      <c r="A97" s="3" t="s">
        <v>21</v>
      </c>
      <c r="B97" s="3" t="s">
        <v>41</v>
      </c>
      <c r="C97" s="3" t="s">
        <v>42</v>
      </c>
      <c r="D97" s="3" t="s">
        <v>40</v>
      </c>
      <c r="E97" s="3" t="s">
        <v>25</v>
      </c>
      <c r="F97" s="3" t="s">
        <v>58</v>
      </c>
      <c r="G97" s="3" t="s">
        <v>25</v>
      </c>
      <c r="H97" s="3" t="s">
        <v>35</v>
      </c>
      <c r="I97" s="6">
        <v>44470</v>
      </c>
      <c r="J97" s="4">
        <v>12800</v>
      </c>
      <c r="K97" s="4">
        <v>12800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3" t="s">
        <v>59</v>
      </c>
      <c r="R97" s="3">
        <v>0</v>
      </c>
      <c r="S97" s="4">
        <v>92</v>
      </c>
      <c r="T97" s="4">
        <v>0</v>
      </c>
      <c r="U97" s="4">
        <v>0</v>
      </c>
      <c r="V97" s="4">
        <f>IF(ISERROR(VLOOKUP($S$97,'TAR FIN'!$A$1:$O$99,15,0)),0,VLOOKUP($S$97,'TAR FIN'!$A$1:$O$99,15,0))</f>
        <v>26.46</v>
      </c>
      <c r="W97" s="4">
        <f>IF(ISERROR(VLOOKUP($T$97,'TAR FIN'!$A$1:$O$99,15,0)),0,VLOOKUP($T$97,'TAR FIN'!$A$1:$O$99,15,0))</f>
        <v>0</v>
      </c>
      <c r="X97" s="4">
        <f>IF(ISERROR(VLOOKUP($U$97,'TAR FIN'!$A$1:$O$99,15,0)),0,VLOOKUP($U$97,'TAR FIN'!$A$1:$O$99,15,0))</f>
        <v>0</v>
      </c>
      <c r="Y97" s="4">
        <f ca="1">('TUSD BE'!$AM$5+'TUSD BF'!$AM$5+'TUSD CVA'!$AM$5)*1</f>
        <v>30.337295464550692</v>
      </c>
      <c r="Z97" s="4">
        <f ca="1">('TUSD BE'!$AM$7+'TUSD BF'!$AM$7+'TUSD CVA'!$AM$7)*1</f>
        <v>76.243476502957677</v>
      </c>
      <c r="AA97" s="4"/>
      <c r="AB97" s="4">
        <f>$K$97*$V$97</f>
        <v>338688</v>
      </c>
      <c r="AC97" s="4">
        <f>$M$97*$W$97</f>
        <v>0</v>
      </c>
      <c r="AD97" s="4">
        <f>$O$97*$X$97</f>
        <v>0</v>
      </c>
      <c r="AE97" s="4">
        <f ca="1">$K$97*$Y$97</f>
        <v>388317.38194624888</v>
      </c>
      <c r="AF97" s="4">
        <f ca="1">$M$97*$Z$97</f>
        <v>0</v>
      </c>
      <c r="AG97" s="4">
        <f>$O$97*$AA$97</f>
        <v>0</v>
      </c>
    </row>
    <row r="98" spans="1:33" ht="11.25" customHeight="1" x14ac:dyDescent="0.25">
      <c r="A98" s="3" t="s">
        <v>21</v>
      </c>
      <c r="B98" s="3" t="s">
        <v>41</v>
      </c>
      <c r="C98" s="3" t="s">
        <v>42</v>
      </c>
      <c r="D98" s="3" t="s">
        <v>40</v>
      </c>
      <c r="E98" s="3" t="s">
        <v>25</v>
      </c>
      <c r="F98" s="3" t="s">
        <v>58</v>
      </c>
      <c r="G98" s="3" t="s">
        <v>25</v>
      </c>
      <c r="H98" s="3" t="s">
        <v>35</v>
      </c>
      <c r="I98" s="6">
        <v>44501</v>
      </c>
      <c r="J98" s="4">
        <v>12800</v>
      </c>
      <c r="K98" s="4">
        <v>12800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3" t="s">
        <v>59</v>
      </c>
      <c r="R98" s="3">
        <v>0</v>
      </c>
      <c r="S98" s="4">
        <v>92</v>
      </c>
      <c r="T98" s="4">
        <v>0</v>
      </c>
      <c r="U98" s="4">
        <v>0</v>
      </c>
      <c r="V98" s="4">
        <f>IF(ISERROR(VLOOKUP($S$98,'TAR FIN'!$A$1:$O$99,15,0)),0,VLOOKUP($S$98,'TAR FIN'!$A$1:$O$99,15,0))</f>
        <v>26.46</v>
      </c>
      <c r="W98" s="4">
        <f>IF(ISERROR(VLOOKUP($T$98,'TAR FIN'!$A$1:$O$99,15,0)),0,VLOOKUP($T$98,'TAR FIN'!$A$1:$O$99,15,0))</f>
        <v>0</v>
      </c>
      <c r="X98" s="4">
        <f>IF(ISERROR(VLOOKUP($U$98,'TAR FIN'!$A$1:$O$99,15,0)),0,VLOOKUP($U$98,'TAR FIN'!$A$1:$O$99,15,0))</f>
        <v>0</v>
      </c>
      <c r="Y98" s="4">
        <f ca="1">('TUSD BE'!$AM$5+'TUSD BF'!$AM$5+'TUSD CVA'!$AM$5)*1</f>
        <v>30.337295464550692</v>
      </c>
      <c r="Z98" s="4">
        <f ca="1">('TUSD BE'!$AM$7+'TUSD BF'!$AM$7+'TUSD CVA'!$AM$7)*1</f>
        <v>76.243476502957677</v>
      </c>
      <c r="AA98" s="4"/>
      <c r="AB98" s="4">
        <f>$K$98*$V$98</f>
        <v>338688</v>
      </c>
      <c r="AC98" s="4">
        <f>$M$98*$W$98</f>
        <v>0</v>
      </c>
      <c r="AD98" s="4">
        <f>$O$98*$X$98</f>
        <v>0</v>
      </c>
      <c r="AE98" s="4">
        <f ca="1">$K$98*$Y$98</f>
        <v>388317.38194624888</v>
      </c>
      <c r="AF98" s="4">
        <f ca="1">$M$98*$Z$98</f>
        <v>0</v>
      </c>
      <c r="AG98" s="4">
        <f>$O$98*$AA$98</f>
        <v>0</v>
      </c>
    </row>
    <row r="99" spans="1:33" ht="11.25" customHeight="1" x14ac:dyDescent="0.25">
      <c r="A99" s="3" t="s">
        <v>21</v>
      </c>
      <c r="B99" s="3" t="s">
        <v>41</v>
      </c>
      <c r="C99" s="3" t="s">
        <v>42</v>
      </c>
      <c r="D99" s="3" t="s">
        <v>40</v>
      </c>
      <c r="E99" s="3" t="s">
        <v>25</v>
      </c>
      <c r="F99" s="3" t="s">
        <v>58</v>
      </c>
      <c r="G99" s="3" t="s">
        <v>25</v>
      </c>
      <c r="H99" s="3" t="s">
        <v>35</v>
      </c>
      <c r="I99" s="6">
        <v>44531</v>
      </c>
      <c r="J99" s="4">
        <v>17800</v>
      </c>
      <c r="K99" s="4">
        <v>17800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3" t="s">
        <v>59</v>
      </c>
      <c r="R99" s="3">
        <v>0</v>
      </c>
      <c r="S99" s="4">
        <v>92</v>
      </c>
      <c r="T99" s="4">
        <v>0</v>
      </c>
      <c r="U99" s="4">
        <v>0</v>
      </c>
      <c r="V99" s="4">
        <f>IF(ISERROR(VLOOKUP($S$99,'TAR FIN'!$A$1:$O$99,15,0)),0,VLOOKUP($S$99,'TAR FIN'!$A$1:$O$99,15,0))</f>
        <v>26.46</v>
      </c>
      <c r="W99" s="4">
        <f>IF(ISERROR(VLOOKUP($T$99,'TAR FIN'!$A$1:$O$99,15,0)),0,VLOOKUP($T$99,'TAR FIN'!$A$1:$O$99,15,0))</f>
        <v>0</v>
      </c>
      <c r="X99" s="4">
        <f>IF(ISERROR(VLOOKUP($U$99,'TAR FIN'!$A$1:$O$99,15,0)),0,VLOOKUP($U$99,'TAR FIN'!$A$1:$O$99,15,0))</f>
        <v>0</v>
      </c>
      <c r="Y99" s="4">
        <f ca="1">('TUSD BE'!$AM$5+'TUSD BF'!$AM$5+'TUSD CVA'!$AM$5)*1</f>
        <v>30.337295464550692</v>
      </c>
      <c r="Z99" s="4">
        <f ca="1">('TUSD BE'!$AM$7+'TUSD BF'!$AM$7+'TUSD CVA'!$AM$7)*1</f>
        <v>76.243476502957677</v>
      </c>
      <c r="AA99" s="4"/>
      <c r="AB99" s="4">
        <f>$K$99*$V$99</f>
        <v>470988</v>
      </c>
      <c r="AC99" s="4">
        <f>$M$99*$W$99</f>
        <v>0</v>
      </c>
      <c r="AD99" s="4">
        <f>$O$99*$X$99</f>
        <v>0</v>
      </c>
      <c r="AE99" s="4">
        <f ca="1">$K$99*$Y$99</f>
        <v>540003.85926900234</v>
      </c>
      <c r="AF99" s="4">
        <f ca="1">$M$99*$Z$99</f>
        <v>0</v>
      </c>
      <c r="AG99" s="4">
        <f>$O$99*$AA$99</f>
        <v>0</v>
      </c>
    </row>
    <row r="100" spans="1:33" ht="11.25" customHeight="1" x14ac:dyDescent="0.25">
      <c r="A100" s="3" t="s">
        <v>21</v>
      </c>
      <c r="B100" s="3" t="s">
        <v>41</v>
      </c>
      <c r="C100" s="3" t="s">
        <v>42</v>
      </c>
      <c r="D100" s="3" t="s">
        <v>40</v>
      </c>
      <c r="E100" s="3" t="s">
        <v>25</v>
      </c>
      <c r="F100" s="3" t="s">
        <v>58</v>
      </c>
      <c r="G100" s="3" t="s">
        <v>25</v>
      </c>
      <c r="H100" s="3" t="s">
        <v>35</v>
      </c>
      <c r="I100" s="6">
        <v>44562</v>
      </c>
      <c r="J100" s="4">
        <v>17800</v>
      </c>
      <c r="K100" s="4">
        <v>17800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3" t="s">
        <v>59</v>
      </c>
      <c r="R100" s="3">
        <v>0</v>
      </c>
      <c r="S100" s="4">
        <v>92</v>
      </c>
      <c r="T100" s="4">
        <v>0</v>
      </c>
      <c r="U100" s="4">
        <v>0</v>
      </c>
      <c r="V100" s="4">
        <f>IF(ISERROR(VLOOKUP($S$100,'TAR FIN'!$A$1:$O$99,15,0)),0,VLOOKUP($S$100,'TAR FIN'!$A$1:$O$99,15,0))</f>
        <v>26.46</v>
      </c>
      <c r="W100" s="4">
        <f>IF(ISERROR(VLOOKUP($T$100,'TAR FIN'!$A$1:$O$99,15,0)),0,VLOOKUP($T$100,'TAR FIN'!$A$1:$O$99,15,0))</f>
        <v>0</v>
      </c>
      <c r="X100" s="4">
        <f>IF(ISERROR(VLOOKUP($U$100,'TAR FIN'!$A$1:$O$99,15,0)),0,VLOOKUP($U$100,'TAR FIN'!$A$1:$O$99,15,0))</f>
        <v>0</v>
      </c>
      <c r="Y100" s="4">
        <f ca="1">('TUSD BE'!$AM$5+'TUSD BF'!$AM$5+'TUSD CVA'!$AM$5)*1</f>
        <v>30.337295464550692</v>
      </c>
      <c r="Z100" s="4">
        <f ca="1">('TUSD BE'!$AM$7+'TUSD BF'!$AM$7+'TUSD CVA'!$AM$7)*1</f>
        <v>76.243476502957677</v>
      </c>
      <c r="AA100" s="4"/>
      <c r="AB100" s="4">
        <f>$K$100*$V$100</f>
        <v>470988</v>
      </c>
      <c r="AC100" s="4">
        <f>$M$100*$W$100</f>
        <v>0</v>
      </c>
      <c r="AD100" s="4">
        <f>$O$100*$X$100</f>
        <v>0</v>
      </c>
      <c r="AE100" s="4">
        <f ca="1">$K$100*$Y$100</f>
        <v>540003.85926900234</v>
      </c>
      <c r="AF100" s="4">
        <f ca="1">$M$100*$Z$100</f>
        <v>0</v>
      </c>
      <c r="AG100" s="4">
        <f>$O$100*$AA$100</f>
        <v>0</v>
      </c>
    </row>
    <row r="101" spans="1:33" ht="11.25" customHeight="1" x14ac:dyDescent="0.25">
      <c r="A101" s="3" t="s">
        <v>21</v>
      </c>
      <c r="B101" s="3" t="s">
        <v>41</v>
      </c>
      <c r="C101" s="3" t="s">
        <v>42</v>
      </c>
      <c r="D101" s="3" t="s">
        <v>40</v>
      </c>
      <c r="E101" s="3" t="s">
        <v>25</v>
      </c>
      <c r="F101" s="3" t="s">
        <v>58</v>
      </c>
      <c r="G101" s="3" t="s">
        <v>25</v>
      </c>
      <c r="H101" s="3" t="s">
        <v>35</v>
      </c>
      <c r="I101" s="6">
        <v>44593</v>
      </c>
      <c r="J101" s="4">
        <v>37520</v>
      </c>
      <c r="K101" s="4">
        <v>37520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3" t="s">
        <v>59</v>
      </c>
      <c r="R101" s="3">
        <v>0</v>
      </c>
      <c r="S101" s="4">
        <v>92</v>
      </c>
      <c r="T101" s="4">
        <v>0</v>
      </c>
      <c r="U101" s="4">
        <v>0</v>
      </c>
      <c r="V101" s="4">
        <f>IF(ISERROR(VLOOKUP($S$101,'TAR FIN'!$A$1:$O$99,15,0)),0,VLOOKUP($S$101,'TAR FIN'!$A$1:$O$99,15,0))</f>
        <v>26.46</v>
      </c>
      <c r="W101" s="4">
        <f>IF(ISERROR(VLOOKUP($T$101,'TAR FIN'!$A$1:$O$99,15,0)),0,VLOOKUP($T$101,'TAR FIN'!$A$1:$O$99,15,0))</f>
        <v>0</v>
      </c>
      <c r="X101" s="4">
        <f>IF(ISERROR(VLOOKUP($U$101,'TAR FIN'!$A$1:$O$99,15,0)),0,VLOOKUP($U$101,'TAR FIN'!$A$1:$O$99,15,0))</f>
        <v>0</v>
      </c>
      <c r="Y101" s="4">
        <f ca="1">('TUSD BE'!$AM$5+'TUSD BF'!$AM$5+'TUSD CVA'!$AM$5)*1</f>
        <v>30.337295464550692</v>
      </c>
      <c r="Z101" s="4">
        <f ca="1">('TUSD BE'!$AM$7+'TUSD BF'!$AM$7+'TUSD CVA'!$AM$7)*1</f>
        <v>76.243476502957677</v>
      </c>
      <c r="AA101" s="4"/>
      <c r="AB101" s="4">
        <f>$K$101*$V$101</f>
        <v>992779.20000000007</v>
      </c>
      <c r="AC101" s="4">
        <f>$M$101*$W$101</f>
        <v>0</v>
      </c>
      <c r="AD101" s="4">
        <f>$O$101*$X$101</f>
        <v>0</v>
      </c>
      <c r="AE101" s="4">
        <f ca="1">$K$101*$Y$101</f>
        <v>1138255.325829942</v>
      </c>
      <c r="AF101" s="4">
        <f ca="1">$M$101*$Z$101</f>
        <v>0</v>
      </c>
      <c r="AG101" s="4">
        <f>$O$101*$AA$101</f>
        <v>0</v>
      </c>
    </row>
    <row r="102" spans="1:33" ht="11.25" customHeight="1" x14ac:dyDescent="0.25">
      <c r="A102" s="3" t="s">
        <v>21</v>
      </c>
      <c r="B102" s="3" t="s">
        <v>41</v>
      </c>
      <c r="C102" s="3" t="s">
        <v>42</v>
      </c>
      <c r="D102" s="3" t="s">
        <v>40</v>
      </c>
      <c r="E102" s="3" t="s">
        <v>25</v>
      </c>
      <c r="F102" s="3" t="s">
        <v>58</v>
      </c>
      <c r="G102" s="3" t="s">
        <v>25</v>
      </c>
      <c r="H102" s="3" t="s">
        <v>35</v>
      </c>
      <c r="I102" s="6">
        <v>44621</v>
      </c>
      <c r="J102" s="4">
        <v>24300</v>
      </c>
      <c r="K102" s="4">
        <v>24300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3" t="s">
        <v>59</v>
      </c>
      <c r="R102" s="3">
        <v>0</v>
      </c>
      <c r="S102" s="4">
        <v>92</v>
      </c>
      <c r="T102" s="4">
        <v>0</v>
      </c>
      <c r="U102" s="4">
        <v>0</v>
      </c>
      <c r="V102" s="4">
        <f>IF(ISERROR(VLOOKUP($S$102,'TAR FIN'!$A$1:$O$99,15,0)),0,VLOOKUP($S$102,'TAR FIN'!$A$1:$O$99,15,0))</f>
        <v>26.46</v>
      </c>
      <c r="W102" s="4">
        <f>IF(ISERROR(VLOOKUP($T$102,'TAR FIN'!$A$1:$O$99,15,0)),0,VLOOKUP($T$102,'TAR FIN'!$A$1:$O$99,15,0))</f>
        <v>0</v>
      </c>
      <c r="X102" s="4">
        <f>IF(ISERROR(VLOOKUP($U$102,'TAR FIN'!$A$1:$O$99,15,0)),0,VLOOKUP($U$102,'TAR FIN'!$A$1:$O$99,15,0))</f>
        <v>0</v>
      </c>
      <c r="Y102" s="4">
        <f ca="1">('TUSD BE'!$AM$5+'TUSD BF'!$AM$5+'TUSD CVA'!$AM$5)*1</f>
        <v>30.337295464550692</v>
      </c>
      <c r="Z102" s="4">
        <f ca="1">('TUSD BE'!$AM$7+'TUSD BF'!$AM$7+'TUSD CVA'!$AM$7)*1</f>
        <v>76.243476502957677</v>
      </c>
      <c r="AA102" s="4"/>
      <c r="AB102" s="4">
        <f>$K$102*$V$102</f>
        <v>642978</v>
      </c>
      <c r="AC102" s="4">
        <f>$M$102*$W$102</f>
        <v>0</v>
      </c>
      <c r="AD102" s="4">
        <f>$O$102*$X$102</f>
        <v>0</v>
      </c>
      <c r="AE102" s="4">
        <f ca="1">$K$102*$Y$102</f>
        <v>737196.27978858177</v>
      </c>
      <c r="AF102" s="4">
        <f ca="1">$M$102*$Z$102</f>
        <v>0</v>
      </c>
      <c r="AG102" s="4">
        <f>$O$102*$AA$102</f>
        <v>0</v>
      </c>
    </row>
    <row r="103" spans="1:33" ht="11.25" customHeight="1" x14ac:dyDescent="0.25">
      <c r="A103" s="3" t="s">
        <v>56</v>
      </c>
      <c r="B103" s="3" t="s">
        <v>41</v>
      </c>
      <c r="C103" s="3" t="s">
        <v>42</v>
      </c>
      <c r="D103" s="3" t="s">
        <v>40</v>
      </c>
      <c r="E103" s="3" t="s">
        <v>25</v>
      </c>
      <c r="F103" s="3" t="s">
        <v>58</v>
      </c>
      <c r="G103" s="3" t="s">
        <v>25</v>
      </c>
      <c r="H103" s="3" t="s">
        <v>35</v>
      </c>
      <c r="I103" s="6">
        <v>44652</v>
      </c>
      <c r="J103" s="4">
        <v>24300</v>
      </c>
      <c r="K103" s="4">
        <v>24300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3" t="s">
        <v>59</v>
      </c>
      <c r="R103" s="3">
        <v>0</v>
      </c>
      <c r="S103" s="4">
        <v>92</v>
      </c>
      <c r="T103" s="4">
        <v>0</v>
      </c>
      <c r="U103" s="4">
        <v>0</v>
      </c>
      <c r="V103" s="4">
        <f>IF(ISERROR(VLOOKUP($S$103,'TAR FIN'!$A$1:$O$99,15,0)),0,VLOOKUP($S$103,'TAR FIN'!$A$1:$O$99,15,0))</f>
        <v>26.46</v>
      </c>
      <c r="W103" s="4">
        <f>IF(ISERROR(VLOOKUP($T$103,'TAR FIN'!$A$1:$O$99,15,0)),0,VLOOKUP($T$103,'TAR FIN'!$A$1:$O$99,15,0))</f>
        <v>0</v>
      </c>
      <c r="X103" s="4">
        <f>IF(ISERROR(VLOOKUP($U$103,'TAR FIN'!$A$1:$O$99,15,0)),0,VLOOKUP($U$103,'TAR FIN'!$A$1:$O$99,15,0))</f>
        <v>0</v>
      </c>
      <c r="Y103" s="4">
        <f ca="1">('TUSD BE'!$AM$5+'TUSD BF'!$AM$5+'TUSD CVA'!$AM$5)*1</f>
        <v>30.337295464550692</v>
      </c>
      <c r="Z103" s="4">
        <f ca="1">('TUSD BE'!$AM$7+'TUSD BF'!$AM$7+'TUSD CVA'!$AM$7)*1</f>
        <v>76.243476502957677</v>
      </c>
      <c r="AA103" s="4"/>
      <c r="AB103" s="4">
        <f>$K$103*$V$103</f>
        <v>642978</v>
      </c>
      <c r="AC103" s="4">
        <f>$M$103*$W$103</f>
        <v>0</v>
      </c>
      <c r="AD103" s="4">
        <f>$O$103*$X$103</f>
        <v>0</v>
      </c>
      <c r="AE103" s="4">
        <f ca="1">$K$103*$Y$103</f>
        <v>737196.27978858177</v>
      </c>
      <c r="AF103" s="4">
        <f ca="1">$M$103*$Z$103</f>
        <v>0</v>
      </c>
      <c r="AG103" s="4">
        <f>$O$103*$AA$103</f>
        <v>0</v>
      </c>
    </row>
    <row r="104" spans="1:33" ht="11.25" customHeight="1" x14ac:dyDescent="0.25">
      <c r="A104" s="3" t="s">
        <v>21</v>
      </c>
      <c r="B104" s="3" t="s">
        <v>41</v>
      </c>
      <c r="C104" s="3" t="s">
        <v>42</v>
      </c>
      <c r="D104" s="3" t="s">
        <v>40</v>
      </c>
      <c r="E104" s="3" t="s">
        <v>25</v>
      </c>
      <c r="F104" s="3" t="s">
        <v>60</v>
      </c>
      <c r="G104" s="3" t="s">
        <v>25</v>
      </c>
      <c r="H104" s="3" t="s">
        <v>36</v>
      </c>
      <c r="I104" s="6">
        <v>44317</v>
      </c>
      <c r="J104" s="4">
        <v>7000</v>
      </c>
      <c r="K104" s="4">
        <v>10.4559000000003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3" t="s">
        <v>57</v>
      </c>
      <c r="R104" s="3">
        <v>0</v>
      </c>
      <c r="S104" s="4">
        <v>93</v>
      </c>
      <c r="T104" s="4">
        <v>0</v>
      </c>
      <c r="U104" s="4">
        <v>0</v>
      </c>
      <c r="V104" s="4">
        <f>IF(ISERROR(VLOOKUP($S$104,'TAR FIN'!$A$1:$O$99,15,0)),0,VLOOKUP($S$104,'TAR FIN'!$A$1:$O$99,15,0))</f>
        <v>15.23</v>
      </c>
      <c r="W104" s="4">
        <f>IF(ISERROR(VLOOKUP($T$104,'TAR FIN'!$A$1:$O$99,15,0)),0,VLOOKUP($T$104,'TAR FIN'!$A$1:$O$99,15,0))</f>
        <v>0</v>
      </c>
      <c r="X104" s="4">
        <f>IF(ISERROR(VLOOKUP($U$104,'TAR FIN'!$A$1:$O$99,15,0)),0,VLOOKUP($U$104,'TAR FIN'!$A$1:$O$99,15,0))</f>
        <v>0</v>
      </c>
      <c r="Y104" s="4">
        <f ca="1">('TUSD BE'!$AM$6+'TUSD BF'!$AM$6+'TUSD CVA'!$AM$6)*1</f>
        <v>16.343876453142602</v>
      </c>
      <c r="Z104" s="4">
        <f ca="1">('TUSD BE'!$AM$7+'TUSD BF'!$AM$7+'TUSD CVA'!$AM$7)*1</f>
        <v>76.243476502957677</v>
      </c>
      <c r="AA104" s="4"/>
      <c r="AB104" s="4">
        <f>$K$104*$V$104</f>
        <v>159.24335700000458</v>
      </c>
      <c r="AC104" s="4">
        <f>$M$104*$W$104</f>
        <v>0</v>
      </c>
      <c r="AD104" s="4">
        <f>$O$104*$X$104</f>
        <v>0</v>
      </c>
      <c r="AE104" s="4">
        <f ca="1">$K$104*$Y$104</f>
        <v>170.88993780641863</v>
      </c>
      <c r="AF104" s="4">
        <f ca="1">$M$104*$Z$104</f>
        <v>0</v>
      </c>
      <c r="AG104" s="4">
        <f>$O$104*$AA$104</f>
        <v>0</v>
      </c>
    </row>
    <row r="105" spans="1:33" ht="11.25" customHeight="1" x14ac:dyDescent="0.25">
      <c r="A105" s="3" t="s">
        <v>21</v>
      </c>
      <c r="B105" s="3" t="s">
        <v>41</v>
      </c>
      <c r="C105" s="3" t="s">
        <v>42</v>
      </c>
      <c r="D105" s="3" t="s">
        <v>40</v>
      </c>
      <c r="E105" s="3" t="s">
        <v>25</v>
      </c>
      <c r="F105" s="3" t="s">
        <v>60</v>
      </c>
      <c r="G105" s="3" t="s">
        <v>25</v>
      </c>
      <c r="H105" s="3" t="s">
        <v>36</v>
      </c>
      <c r="I105" s="6">
        <v>44348</v>
      </c>
      <c r="J105" s="4">
        <v>7000</v>
      </c>
      <c r="K105" s="4">
        <v>5.6000000000001604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3" t="s">
        <v>57</v>
      </c>
      <c r="R105" s="3">
        <v>0</v>
      </c>
      <c r="S105" s="4">
        <v>93</v>
      </c>
      <c r="T105" s="4">
        <v>0</v>
      </c>
      <c r="U105" s="4">
        <v>0</v>
      </c>
      <c r="V105" s="4">
        <f>IF(ISERROR(VLOOKUP($S$105,'TAR FIN'!$A$1:$O$99,15,0)),0,VLOOKUP($S$105,'TAR FIN'!$A$1:$O$99,15,0))</f>
        <v>15.23</v>
      </c>
      <c r="W105" s="4">
        <f>IF(ISERROR(VLOOKUP($T$105,'TAR FIN'!$A$1:$O$99,15,0)),0,VLOOKUP($T$105,'TAR FIN'!$A$1:$O$99,15,0))</f>
        <v>0</v>
      </c>
      <c r="X105" s="4">
        <f>IF(ISERROR(VLOOKUP($U$105,'TAR FIN'!$A$1:$O$99,15,0)),0,VLOOKUP($U$105,'TAR FIN'!$A$1:$O$99,15,0))</f>
        <v>0</v>
      </c>
      <c r="Y105" s="4">
        <f ca="1">('TUSD BE'!$AM$6+'TUSD BF'!$AM$6+'TUSD CVA'!$AM$6)*1</f>
        <v>16.343876453142602</v>
      </c>
      <c r="Z105" s="4">
        <f ca="1">('TUSD BE'!$AM$7+'TUSD BF'!$AM$7+'TUSD CVA'!$AM$7)*1</f>
        <v>76.243476502957677</v>
      </c>
      <c r="AA105" s="4"/>
      <c r="AB105" s="4">
        <f>$K$105*$V$105</f>
        <v>85.288000000002441</v>
      </c>
      <c r="AC105" s="4">
        <f>$M$105*$W$105</f>
        <v>0</v>
      </c>
      <c r="AD105" s="4">
        <f>$O$105*$X$105</f>
        <v>0</v>
      </c>
      <c r="AE105" s="4">
        <f ca="1">$K$105*$Y$105</f>
        <v>91.5257081376012</v>
      </c>
      <c r="AF105" s="4">
        <f ca="1">$M$105*$Z$105</f>
        <v>0</v>
      </c>
      <c r="AG105" s="4">
        <f>$O$105*$AA$105</f>
        <v>0</v>
      </c>
    </row>
    <row r="106" spans="1:33" ht="11.25" customHeight="1" x14ac:dyDescent="0.25">
      <c r="A106" s="3" t="s">
        <v>21</v>
      </c>
      <c r="B106" s="3" t="s">
        <v>41</v>
      </c>
      <c r="C106" s="3" t="s">
        <v>42</v>
      </c>
      <c r="D106" s="3" t="s">
        <v>40</v>
      </c>
      <c r="E106" s="3" t="s">
        <v>25</v>
      </c>
      <c r="F106" s="3" t="s">
        <v>60</v>
      </c>
      <c r="G106" s="3" t="s">
        <v>25</v>
      </c>
      <c r="H106" s="3" t="s">
        <v>36</v>
      </c>
      <c r="I106" s="6">
        <v>44378</v>
      </c>
      <c r="J106" s="4">
        <v>7000</v>
      </c>
      <c r="K106" s="4">
        <v>5.6000000000001604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3" t="s">
        <v>57</v>
      </c>
      <c r="R106" s="3">
        <v>0</v>
      </c>
      <c r="S106" s="4">
        <v>93</v>
      </c>
      <c r="T106" s="4">
        <v>0</v>
      </c>
      <c r="U106" s="4">
        <v>0</v>
      </c>
      <c r="V106" s="4">
        <f>IF(ISERROR(VLOOKUP($S$106,'TAR FIN'!$A$1:$O$99,15,0)),0,VLOOKUP($S$106,'TAR FIN'!$A$1:$O$99,15,0))</f>
        <v>15.23</v>
      </c>
      <c r="W106" s="4">
        <f>IF(ISERROR(VLOOKUP($T$106,'TAR FIN'!$A$1:$O$99,15,0)),0,VLOOKUP($T$106,'TAR FIN'!$A$1:$O$99,15,0))</f>
        <v>0</v>
      </c>
      <c r="X106" s="4">
        <f>IF(ISERROR(VLOOKUP($U$106,'TAR FIN'!$A$1:$O$99,15,0)),0,VLOOKUP($U$106,'TAR FIN'!$A$1:$O$99,15,0))</f>
        <v>0</v>
      </c>
      <c r="Y106" s="4">
        <f ca="1">('TUSD BE'!$AM$6+'TUSD BF'!$AM$6+'TUSD CVA'!$AM$6)*1</f>
        <v>16.343876453142602</v>
      </c>
      <c r="Z106" s="4">
        <f ca="1">('TUSD BE'!$AM$7+'TUSD BF'!$AM$7+'TUSD CVA'!$AM$7)*1</f>
        <v>76.243476502957677</v>
      </c>
      <c r="AA106" s="4"/>
      <c r="AB106" s="4">
        <f>$K$106*$V$106</f>
        <v>85.288000000002441</v>
      </c>
      <c r="AC106" s="4">
        <f>$M$106*$W$106</f>
        <v>0</v>
      </c>
      <c r="AD106" s="4">
        <f>$O$106*$X$106</f>
        <v>0</v>
      </c>
      <c r="AE106" s="4">
        <f ca="1">$K$106*$Y$106</f>
        <v>91.5257081376012</v>
      </c>
      <c r="AF106" s="4">
        <f ca="1">$M$106*$Z$106</f>
        <v>0</v>
      </c>
      <c r="AG106" s="4">
        <f>$O$106*$AA$106</f>
        <v>0</v>
      </c>
    </row>
    <row r="107" spans="1:33" ht="11.25" customHeight="1" x14ac:dyDescent="0.25">
      <c r="A107" s="3" t="s">
        <v>21</v>
      </c>
      <c r="B107" s="3" t="s">
        <v>41</v>
      </c>
      <c r="C107" s="3" t="s">
        <v>42</v>
      </c>
      <c r="D107" s="3" t="s">
        <v>40</v>
      </c>
      <c r="E107" s="3" t="s">
        <v>25</v>
      </c>
      <c r="F107" s="3" t="s">
        <v>60</v>
      </c>
      <c r="G107" s="3" t="s">
        <v>25</v>
      </c>
      <c r="H107" s="3" t="s">
        <v>36</v>
      </c>
      <c r="I107" s="6">
        <v>44409</v>
      </c>
      <c r="J107" s="4">
        <v>7000</v>
      </c>
      <c r="K107" s="4">
        <v>0.70000000000069995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3" t="s">
        <v>57</v>
      </c>
      <c r="R107" s="3">
        <v>0</v>
      </c>
      <c r="S107" s="4">
        <v>93</v>
      </c>
      <c r="T107" s="4">
        <v>0</v>
      </c>
      <c r="U107" s="4">
        <v>0</v>
      </c>
      <c r="V107" s="4">
        <f>IF(ISERROR(VLOOKUP($S$107,'TAR FIN'!$A$1:$O$99,15,0)),0,VLOOKUP($S$107,'TAR FIN'!$A$1:$O$99,15,0))</f>
        <v>15.23</v>
      </c>
      <c r="W107" s="4">
        <f>IF(ISERROR(VLOOKUP($T$107,'TAR FIN'!$A$1:$O$99,15,0)),0,VLOOKUP($T$107,'TAR FIN'!$A$1:$O$99,15,0))</f>
        <v>0</v>
      </c>
      <c r="X107" s="4">
        <f>IF(ISERROR(VLOOKUP($U$107,'TAR FIN'!$A$1:$O$99,15,0)),0,VLOOKUP($U$107,'TAR FIN'!$A$1:$O$99,15,0))</f>
        <v>0</v>
      </c>
      <c r="Y107" s="4">
        <f ca="1">('TUSD BE'!$AM$6+'TUSD BF'!$AM$6+'TUSD CVA'!$AM$6)*1</f>
        <v>16.343876453142602</v>
      </c>
      <c r="Z107" s="4">
        <f ca="1">('TUSD BE'!$AM$7+'TUSD BF'!$AM$7+'TUSD CVA'!$AM$7)*1</f>
        <v>76.243476502957677</v>
      </c>
      <c r="AA107" s="4"/>
      <c r="AB107" s="4">
        <f>$K$107*$V$107</f>
        <v>10.661000000010661</v>
      </c>
      <c r="AC107" s="4">
        <f>$M$107*$W$107</f>
        <v>0</v>
      </c>
      <c r="AD107" s="4">
        <f>$O$107*$X$107</f>
        <v>0</v>
      </c>
      <c r="AE107" s="4">
        <f ca="1">$K$107*$Y$107</f>
        <v>11.440713517211261</v>
      </c>
      <c r="AF107" s="4">
        <f ca="1">$M$107*$Z$107</f>
        <v>0</v>
      </c>
      <c r="AG107" s="4">
        <f>$O$107*$AA$107</f>
        <v>0</v>
      </c>
    </row>
    <row r="108" spans="1:33" ht="11.25" customHeight="1" x14ac:dyDescent="0.25">
      <c r="A108" s="3" t="s">
        <v>21</v>
      </c>
      <c r="B108" s="3" t="s">
        <v>41</v>
      </c>
      <c r="C108" s="3" t="s">
        <v>42</v>
      </c>
      <c r="D108" s="3" t="s">
        <v>40</v>
      </c>
      <c r="E108" s="3" t="s">
        <v>25</v>
      </c>
      <c r="F108" s="3" t="s">
        <v>60</v>
      </c>
      <c r="G108" s="3" t="s">
        <v>25</v>
      </c>
      <c r="H108" s="3" t="s">
        <v>36</v>
      </c>
      <c r="I108" s="6">
        <v>44440</v>
      </c>
      <c r="J108" s="4">
        <v>7000</v>
      </c>
      <c r="K108" s="4">
        <v>5.6000000000001604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57</v>
      </c>
      <c r="R108" s="3">
        <v>0</v>
      </c>
      <c r="S108" s="4">
        <v>93</v>
      </c>
      <c r="T108" s="4">
        <v>0</v>
      </c>
      <c r="U108" s="4">
        <v>0</v>
      </c>
      <c r="V108" s="4">
        <f>IF(ISERROR(VLOOKUP($S$108,'TAR FIN'!$A$1:$O$99,15,0)),0,VLOOKUP($S$108,'TAR FIN'!$A$1:$O$99,15,0))</f>
        <v>15.23</v>
      </c>
      <c r="W108" s="4">
        <f>IF(ISERROR(VLOOKUP($T$108,'TAR FIN'!$A$1:$O$99,15,0)),0,VLOOKUP($T$108,'TAR FIN'!$A$1:$O$99,15,0))</f>
        <v>0</v>
      </c>
      <c r="X108" s="4">
        <f>IF(ISERROR(VLOOKUP($U$108,'TAR FIN'!$A$1:$O$99,15,0)),0,VLOOKUP($U$108,'TAR FIN'!$A$1:$O$99,15,0))</f>
        <v>0</v>
      </c>
      <c r="Y108" s="4">
        <f ca="1">('TUSD BE'!$AM$6+'TUSD BF'!$AM$6+'TUSD CVA'!$AM$6)*1</f>
        <v>16.343876453142602</v>
      </c>
      <c r="Z108" s="4">
        <f ca="1">('TUSD BE'!$AM$7+'TUSD BF'!$AM$7+'TUSD CVA'!$AM$7)*1</f>
        <v>76.243476502957677</v>
      </c>
      <c r="AA108" s="4"/>
      <c r="AB108" s="4">
        <f>$K$108*$V$108</f>
        <v>85.288000000002441</v>
      </c>
      <c r="AC108" s="4">
        <f>$M$108*$W$108</f>
        <v>0</v>
      </c>
      <c r="AD108" s="4">
        <f>$O$108*$X$108</f>
        <v>0</v>
      </c>
      <c r="AE108" s="4">
        <f ca="1">$K$108*$Y$108</f>
        <v>91.5257081376012</v>
      </c>
      <c r="AF108" s="4">
        <f ca="1">$M$108*$Z$108</f>
        <v>0</v>
      </c>
      <c r="AG108" s="4">
        <f>$O$108*$AA$108</f>
        <v>0</v>
      </c>
    </row>
    <row r="109" spans="1:33" ht="11.25" customHeight="1" x14ac:dyDescent="0.25">
      <c r="A109" s="3" t="s">
        <v>21</v>
      </c>
      <c r="B109" s="3" t="s">
        <v>41</v>
      </c>
      <c r="C109" s="3" t="s">
        <v>42</v>
      </c>
      <c r="D109" s="3" t="s">
        <v>40</v>
      </c>
      <c r="E109" s="3" t="s">
        <v>25</v>
      </c>
      <c r="F109" s="3" t="s">
        <v>60</v>
      </c>
      <c r="G109" s="3" t="s">
        <v>25</v>
      </c>
      <c r="H109" s="3" t="s">
        <v>36</v>
      </c>
      <c r="I109" s="6">
        <v>44470</v>
      </c>
      <c r="J109" s="4">
        <v>7000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3" t="s">
        <v>57</v>
      </c>
      <c r="R109" s="3">
        <v>0</v>
      </c>
      <c r="S109" s="4">
        <v>93</v>
      </c>
      <c r="T109" s="4">
        <v>0</v>
      </c>
      <c r="U109" s="4">
        <v>0</v>
      </c>
      <c r="V109" s="4">
        <f>IF(ISERROR(VLOOKUP($S$109,'TAR FIN'!$A$1:$O$99,15,0)),0,VLOOKUP($S$109,'TAR FIN'!$A$1:$O$99,15,0))</f>
        <v>15.23</v>
      </c>
      <c r="W109" s="4">
        <f>IF(ISERROR(VLOOKUP($T$109,'TAR FIN'!$A$1:$O$99,15,0)),0,VLOOKUP($T$109,'TAR FIN'!$A$1:$O$99,15,0))</f>
        <v>0</v>
      </c>
      <c r="X109" s="4">
        <f>IF(ISERROR(VLOOKUP($U$109,'TAR FIN'!$A$1:$O$99,15,0)),0,VLOOKUP($U$109,'TAR FIN'!$A$1:$O$99,15,0))</f>
        <v>0</v>
      </c>
      <c r="Y109" s="4">
        <f ca="1">('TUSD BE'!$AM$6+'TUSD BF'!$AM$6+'TUSD CVA'!$AM$6)*1</f>
        <v>16.343876453142602</v>
      </c>
      <c r="Z109" s="4">
        <f ca="1">('TUSD BE'!$AM$7+'TUSD BF'!$AM$7+'TUSD CVA'!$AM$7)*1</f>
        <v>76.243476502957677</v>
      </c>
      <c r="AA109" s="4"/>
      <c r="AB109" s="4">
        <f>$K$109*$V$109</f>
        <v>0</v>
      </c>
      <c r="AC109" s="4">
        <f>$M$109*$W$109</f>
        <v>0</v>
      </c>
      <c r="AD109" s="4">
        <f>$O$109*$X$109</f>
        <v>0</v>
      </c>
      <c r="AE109" s="4">
        <f ca="1">$K$109*$Y$109</f>
        <v>0</v>
      </c>
      <c r="AF109" s="4">
        <f ca="1">$M$109*$Z$109</f>
        <v>0</v>
      </c>
      <c r="AG109" s="4">
        <f>$O$109*$AA$109</f>
        <v>0</v>
      </c>
    </row>
    <row r="110" spans="1:33" ht="11.25" customHeight="1" x14ac:dyDescent="0.25">
      <c r="A110" s="3" t="s">
        <v>21</v>
      </c>
      <c r="B110" s="3" t="s">
        <v>41</v>
      </c>
      <c r="C110" s="3" t="s">
        <v>42</v>
      </c>
      <c r="D110" s="3" t="s">
        <v>40</v>
      </c>
      <c r="E110" s="3" t="s">
        <v>25</v>
      </c>
      <c r="F110" s="3" t="s">
        <v>60</v>
      </c>
      <c r="G110" s="3" t="s">
        <v>25</v>
      </c>
      <c r="H110" s="3" t="s">
        <v>36</v>
      </c>
      <c r="I110" s="6">
        <v>44501</v>
      </c>
      <c r="J110" s="4">
        <v>7000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57</v>
      </c>
      <c r="R110" s="3">
        <v>0</v>
      </c>
      <c r="S110" s="4">
        <v>93</v>
      </c>
      <c r="T110" s="4">
        <v>0</v>
      </c>
      <c r="U110" s="4">
        <v>0</v>
      </c>
      <c r="V110" s="4">
        <f>IF(ISERROR(VLOOKUP($S$110,'TAR FIN'!$A$1:$O$99,15,0)),0,VLOOKUP($S$110,'TAR FIN'!$A$1:$O$99,15,0))</f>
        <v>15.23</v>
      </c>
      <c r="W110" s="4">
        <f>IF(ISERROR(VLOOKUP($T$110,'TAR FIN'!$A$1:$O$99,15,0)),0,VLOOKUP($T$110,'TAR FIN'!$A$1:$O$99,15,0))</f>
        <v>0</v>
      </c>
      <c r="X110" s="4">
        <f>IF(ISERROR(VLOOKUP($U$110,'TAR FIN'!$A$1:$O$99,15,0)),0,VLOOKUP($U$110,'TAR FIN'!$A$1:$O$99,15,0))</f>
        <v>0</v>
      </c>
      <c r="Y110" s="4">
        <f ca="1">('TUSD BE'!$AM$6+'TUSD BF'!$AM$6+'TUSD CVA'!$AM$6)*1</f>
        <v>16.343876453142602</v>
      </c>
      <c r="Z110" s="4">
        <f ca="1">('TUSD BE'!$AM$7+'TUSD BF'!$AM$7+'TUSD CVA'!$AM$7)*1</f>
        <v>76.243476502957677</v>
      </c>
      <c r="AA110" s="4"/>
      <c r="AB110" s="4">
        <f>$K$110*$V$110</f>
        <v>0</v>
      </c>
      <c r="AC110" s="4">
        <f>$M$110*$W$110</f>
        <v>0</v>
      </c>
      <c r="AD110" s="4">
        <f>$O$110*$X$110</f>
        <v>0</v>
      </c>
      <c r="AE110" s="4">
        <f ca="1">$K$110*$Y$110</f>
        <v>0</v>
      </c>
      <c r="AF110" s="4">
        <f ca="1">$M$110*$Z$110</f>
        <v>0</v>
      </c>
      <c r="AG110" s="4">
        <f>$O$110*$AA$110</f>
        <v>0</v>
      </c>
    </row>
    <row r="111" spans="1:33" ht="11.25" customHeight="1" x14ac:dyDescent="0.25">
      <c r="A111" s="3" t="s">
        <v>21</v>
      </c>
      <c r="B111" s="3" t="s">
        <v>41</v>
      </c>
      <c r="C111" s="3" t="s">
        <v>42</v>
      </c>
      <c r="D111" s="3" t="s">
        <v>40</v>
      </c>
      <c r="E111" s="3" t="s">
        <v>25</v>
      </c>
      <c r="F111" s="3" t="s">
        <v>60</v>
      </c>
      <c r="G111" s="3" t="s">
        <v>25</v>
      </c>
      <c r="H111" s="3" t="s">
        <v>36</v>
      </c>
      <c r="I111" s="6">
        <v>44531</v>
      </c>
      <c r="J111" s="4">
        <v>13742</v>
      </c>
      <c r="K111" s="4">
        <v>6871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3" t="s">
        <v>57</v>
      </c>
      <c r="R111" s="3">
        <v>0</v>
      </c>
      <c r="S111" s="4">
        <v>93</v>
      </c>
      <c r="T111" s="4">
        <v>0</v>
      </c>
      <c r="U111" s="4">
        <v>0</v>
      </c>
      <c r="V111" s="4">
        <f>IF(ISERROR(VLOOKUP($S$111,'TAR FIN'!$A$1:$O$99,15,0)),0,VLOOKUP($S$111,'TAR FIN'!$A$1:$O$99,15,0))</f>
        <v>15.23</v>
      </c>
      <c r="W111" s="4">
        <f>IF(ISERROR(VLOOKUP($T$111,'TAR FIN'!$A$1:$O$99,15,0)),0,VLOOKUP($T$111,'TAR FIN'!$A$1:$O$99,15,0))</f>
        <v>0</v>
      </c>
      <c r="X111" s="4">
        <f>IF(ISERROR(VLOOKUP($U$111,'TAR FIN'!$A$1:$O$99,15,0)),0,VLOOKUP($U$111,'TAR FIN'!$A$1:$O$99,15,0))</f>
        <v>0</v>
      </c>
      <c r="Y111" s="4">
        <f ca="1">('TUSD BE'!$AM$6+'TUSD BF'!$AM$6+'TUSD CVA'!$AM$6)*1</f>
        <v>16.343876453142602</v>
      </c>
      <c r="Z111" s="4">
        <f ca="1">('TUSD BE'!$AM$7+'TUSD BF'!$AM$7+'TUSD CVA'!$AM$7)*1</f>
        <v>76.243476502957677</v>
      </c>
      <c r="AA111" s="4"/>
      <c r="AB111" s="4">
        <f>$K$111*$V$111</f>
        <v>104645.33</v>
      </c>
      <c r="AC111" s="4">
        <f>$M$111*$W$111</f>
        <v>0</v>
      </c>
      <c r="AD111" s="4">
        <f>$O$111*$X$111</f>
        <v>0</v>
      </c>
      <c r="AE111" s="4">
        <f ca="1">$K$111*$Y$111</f>
        <v>112298.77510954282</v>
      </c>
      <c r="AF111" s="4">
        <f ca="1">$M$111*$Z$111</f>
        <v>0</v>
      </c>
      <c r="AG111" s="4">
        <f>$O$111*$AA$111</f>
        <v>0</v>
      </c>
    </row>
    <row r="112" spans="1:33" ht="11.25" customHeight="1" x14ac:dyDescent="0.25">
      <c r="A112" s="3" t="s">
        <v>21</v>
      </c>
      <c r="B112" s="3" t="s">
        <v>41</v>
      </c>
      <c r="C112" s="3" t="s">
        <v>42</v>
      </c>
      <c r="D112" s="3" t="s">
        <v>40</v>
      </c>
      <c r="E112" s="3" t="s">
        <v>25</v>
      </c>
      <c r="F112" s="3" t="s">
        <v>60</v>
      </c>
      <c r="G112" s="3" t="s">
        <v>25</v>
      </c>
      <c r="H112" s="3" t="s">
        <v>36</v>
      </c>
      <c r="I112" s="6">
        <v>44562</v>
      </c>
      <c r="J112" s="4">
        <v>7022</v>
      </c>
      <c r="K112" s="4">
        <v>3511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57</v>
      </c>
      <c r="R112" s="3">
        <v>0</v>
      </c>
      <c r="S112" s="4">
        <v>93</v>
      </c>
      <c r="T112" s="4">
        <v>0</v>
      </c>
      <c r="U112" s="4">
        <v>0</v>
      </c>
      <c r="V112" s="4">
        <f>IF(ISERROR(VLOOKUP($S$112,'TAR FIN'!$A$1:$O$99,15,0)),0,VLOOKUP($S$112,'TAR FIN'!$A$1:$O$99,15,0))</f>
        <v>15.23</v>
      </c>
      <c r="W112" s="4">
        <f>IF(ISERROR(VLOOKUP($T$112,'TAR FIN'!$A$1:$O$99,15,0)),0,VLOOKUP($T$112,'TAR FIN'!$A$1:$O$99,15,0))</f>
        <v>0</v>
      </c>
      <c r="X112" s="4">
        <f>IF(ISERROR(VLOOKUP($U$112,'TAR FIN'!$A$1:$O$99,15,0)),0,VLOOKUP($U$112,'TAR FIN'!$A$1:$O$99,15,0))</f>
        <v>0</v>
      </c>
      <c r="Y112" s="4">
        <f ca="1">('TUSD BE'!$AM$6+'TUSD BF'!$AM$6+'TUSD CVA'!$AM$6)*1</f>
        <v>16.343876453142602</v>
      </c>
      <c r="Z112" s="4">
        <f ca="1">('TUSD BE'!$AM$7+'TUSD BF'!$AM$7+'TUSD CVA'!$AM$7)*1</f>
        <v>76.243476502957677</v>
      </c>
      <c r="AA112" s="4"/>
      <c r="AB112" s="4">
        <f>$K$112*$V$112</f>
        <v>53472.53</v>
      </c>
      <c r="AC112" s="4">
        <f>$M$112*$W$112</f>
        <v>0</v>
      </c>
      <c r="AD112" s="4">
        <f>$O$112*$X$112</f>
        <v>0</v>
      </c>
      <c r="AE112" s="4">
        <f ca="1">$K$112*$Y$112</f>
        <v>57383.350226983675</v>
      </c>
      <c r="AF112" s="4">
        <f ca="1">$M$112*$Z$112</f>
        <v>0</v>
      </c>
      <c r="AG112" s="4">
        <f>$O$112*$AA$112</f>
        <v>0</v>
      </c>
    </row>
    <row r="113" spans="1:33" ht="11.25" customHeight="1" x14ac:dyDescent="0.25">
      <c r="A113" s="3" t="s">
        <v>21</v>
      </c>
      <c r="B113" s="3" t="s">
        <v>41</v>
      </c>
      <c r="C113" s="3" t="s">
        <v>42</v>
      </c>
      <c r="D113" s="3" t="s">
        <v>40</v>
      </c>
      <c r="E113" s="3" t="s">
        <v>25</v>
      </c>
      <c r="F113" s="3" t="s">
        <v>60</v>
      </c>
      <c r="G113" s="3" t="s">
        <v>25</v>
      </c>
      <c r="H113" s="3" t="s">
        <v>36</v>
      </c>
      <c r="I113" s="6">
        <v>44593</v>
      </c>
      <c r="J113" s="4">
        <v>10565</v>
      </c>
      <c r="K113" s="4">
        <v>5282.5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3" t="s">
        <v>57</v>
      </c>
      <c r="R113" s="3">
        <v>0</v>
      </c>
      <c r="S113" s="4">
        <v>93</v>
      </c>
      <c r="T113" s="4">
        <v>0</v>
      </c>
      <c r="U113" s="4">
        <v>0</v>
      </c>
      <c r="V113" s="4">
        <f>IF(ISERROR(VLOOKUP($S$113,'TAR FIN'!$A$1:$O$99,15,0)),0,VLOOKUP($S$113,'TAR FIN'!$A$1:$O$99,15,0))</f>
        <v>15.23</v>
      </c>
      <c r="W113" s="4">
        <f>IF(ISERROR(VLOOKUP($T$113,'TAR FIN'!$A$1:$O$99,15,0)),0,VLOOKUP($T$113,'TAR FIN'!$A$1:$O$99,15,0))</f>
        <v>0</v>
      </c>
      <c r="X113" s="4">
        <f>IF(ISERROR(VLOOKUP($U$113,'TAR FIN'!$A$1:$O$99,15,0)),0,VLOOKUP($U$113,'TAR FIN'!$A$1:$O$99,15,0))</f>
        <v>0</v>
      </c>
      <c r="Y113" s="4">
        <f ca="1">('TUSD BE'!$AM$6+'TUSD BF'!$AM$6+'TUSD CVA'!$AM$6)*1</f>
        <v>16.343876453142602</v>
      </c>
      <c r="Z113" s="4">
        <f ca="1">('TUSD BE'!$AM$7+'TUSD BF'!$AM$7+'TUSD CVA'!$AM$7)*1</f>
        <v>76.243476502957677</v>
      </c>
      <c r="AA113" s="4"/>
      <c r="AB113" s="4">
        <f>$K$113*$V$113</f>
        <v>80452.475000000006</v>
      </c>
      <c r="AC113" s="4">
        <f>$M$113*$W$113</f>
        <v>0</v>
      </c>
      <c r="AD113" s="4">
        <f>$O$113*$X$113</f>
        <v>0</v>
      </c>
      <c r="AE113" s="4">
        <f ca="1">$K$113*$Y$113</f>
        <v>86336.527363725792</v>
      </c>
      <c r="AF113" s="4">
        <f ca="1">$M$113*$Z$113</f>
        <v>0</v>
      </c>
      <c r="AG113" s="4">
        <f>$O$113*$AA$113</f>
        <v>0</v>
      </c>
    </row>
    <row r="114" spans="1:33" ht="11.25" customHeight="1" x14ac:dyDescent="0.25">
      <c r="A114" s="3" t="s">
        <v>21</v>
      </c>
      <c r="B114" s="3" t="s">
        <v>41</v>
      </c>
      <c r="C114" s="3" t="s">
        <v>42</v>
      </c>
      <c r="D114" s="3" t="s">
        <v>40</v>
      </c>
      <c r="E114" s="3" t="s">
        <v>25</v>
      </c>
      <c r="F114" s="3" t="s">
        <v>60</v>
      </c>
      <c r="G114" s="3" t="s">
        <v>25</v>
      </c>
      <c r="H114" s="3" t="s">
        <v>36</v>
      </c>
      <c r="I114" s="6">
        <v>44621</v>
      </c>
      <c r="J114" s="4">
        <v>10565</v>
      </c>
      <c r="K114" s="4">
        <v>5282.5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57</v>
      </c>
      <c r="R114" s="3">
        <v>0</v>
      </c>
      <c r="S114" s="4">
        <v>93</v>
      </c>
      <c r="T114" s="4">
        <v>0</v>
      </c>
      <c r="U114" s="4">
        <v>0</v>
      </c>
      <c r="V114" s="4">
        <f>IF(ISERROR(VLOOKUP($S$114,'TAR FIN'!$A$1:$O$99,15,0)),0,VLOOKUP($S$114,'TAR FIN'!$A$1:$O$99,15,0))</f>
        <v>15.23</v>
      </c>
      <c r="W114" s="4">
        <f>IF(ISERROR(VLOOKUP($T$114,'TAR FIN'!$A$1:$O$99,15,0)),0,VLOOKUP($T$114,'TAR FIN'!$A$1:$O$99,15,0))</f>
        <v>0</v>
      </c>
      <c r="X114" s="4">
        <f>IF(ISERROR(VLOOKUP($U$114,'TAR FIN'!$A$1:$O$99,15,0)),0,VLOOKUP($U$114,'TAR FIN'!$A$1:$O$99,15,0))</f>
        <v>0</v>
      </c>
      <c r="Y114" s="4">
        <f ca="1">('TUSD BE'!$AM$6+'TUSD BF'!$AM$6+'TUSD CVA'!$AM$6)*1</f>
        <v>16.343876453142602</v>
      </c>
      <c r="Z114" s="4">
        <f ca="1">('TUSD BE'!$AM$7+'TUSD BF'!$AM$7+'TUSD CVA'!$AM$7)*1</f>
        <v>76.243476502957677</v>
      </c>
      <c r="AA114" s="4"/>
      <c r="AB114" s="4">
        <f>$K$114*$V$114</f>
        <v>80452.475000000006</v>
      </c>
      <c r="AC114" s="4">
        <f>$M$114*$W$114</f>
        <v>0</v>
      </c>
      <c r="AD114" s="4">
        <f>$O$114*$X$114</f>
        <v>0</v>
      </c>
      <c r="AE114" s="4">
        <f ca="1">$K$114*$Y$114</f>
        <v>86336.527363725792</v>
      </c>
      <c r="AF114" s="4">
        <f ca="1">$M$114*$Z$114</f>
        <v>0</v>
      </c>
      <c r="AG114" s="4">
        <f>$O$114*$AA$114</f>
        <v>0</v>
      </c>
    </row>
    <row r="115" spans="1:33" ht="11.25" customHeight="1" x14ac:dyDescent="0.25">
      <c r="A115" s="3" t="s">
        <v>56</v>
      </c>
      <c r="B115" s="3" t="s">
        <v>41</v>
      </c>
      <c r="C115" s="3" t="s">
        <v>42</v>
      </c>
      <c r="D115" s="3" t="s">
        <v>40</v>
      </c>
      <c r="E115" s="3" t="s">
        <v>25</v>
      </c>
      <c r="F115" s="3" t="s">
        <v>60</v>
      </c>
      <c r="G115" s="3" t="s">
        <v>25</v>
      </c>
      <c r="H115" s="3" t="s">
        <v>36</v>
      </c>
      <c r="I115" s="6">
        <v>44652</v>
      </c>
      <c r="J115" s="4">
        <v>10565</v>
      </c>
      <c r="K115" s="4">
        <v>5282.5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3" t="s">
        <v>57</v>
      </c>
      <c r="R115" s="3">
        <v>0</v>
      </c>
      <c r="S115" s="4">
        <v>93</v>
      </c>
      <c r="T115" s="4">
        <v>0</v>
      </c>
      <c r="U115" s="4">
        <v>0</v>
      </c>
      <c r="V115" s="4">
        <f>IF(ISERROR(VLOOKUP($S$115,'TAR FIN'!$A$1:$O$99,15,0)),0,VLOOKUP($S$115,'TAR FIN'!$A$1:$O$99,15,0))</f>
        <v>15.23</v>
      </c>
      <c r="W115" s="4">
        <f>IF(ISERROR(VLOOKUP($T$115,'TAR FIN'!$A$1:$O$99,15,0)),0,VLOOKUP($T$115,'TAR FIN'!$A$1:$O$99,15,0))</f>
        <v>0</v>
      </c>
      <c r="X115" s="4">
        <f>IF(ISERROR(VLOOKUP($U$115,'TAR FIN'!$A$1:$O$99,15,0)),0,VLOOKUP($U$115,'TAR FIN'!$A$1:$O$99,15,0))</f>
        <v>0</v>
      </c>
      <c r="Y115" s="4">
        <f ca="1">('TUSD BE'!$AM$6+'TUSD BF'!$AM$6+'TUSD CVA'!$AM$6)*1</f>
        <v>16.343876453142602</v>
      </c>
      <c r="Z115" s="4">
        <f ca="1">('TUSD BE'!$AM$7+'TUSD BF'!$AM$7+'TUSD CVA'!$AM$7)*1</f>
        <v>76.243476502957677</v>
      </c>
      <c r="AA115" s="4"/>
      <c r="AB115" s="4">
        <f>$K$115*$V$115</f>
        <v>80452.475000000006</v>
      </c>
      <c r="AC115" s="4">
        <f>$M$115*$W$115</f>
        <v>0</v>
      </c>
      <c r="AD115" s="4">
        <f>$O$115*$X$115</f>
        <v>0</v>
      </c>
      <c r="AE115" s="4">
        <f ca="1">$K$115*$Y$115</f>
        <v>86336.527363725792</v>
      </c>
      <c r="AF115" s="4">
        <f ca="1">$M$115*$Z$115</f>
        <v>0</v>
      </c>
      <c r="AG115" s="4">
        <f>$O$115*$AA$115</f>
        <v>0</v>
      </c>
    </row>
    <row r="116" spans="1:33" ht="11.25" customHeight="1" x14ac:dyDescent="0.25">
      <c r="A116" s="3" t="s">
        <v>21</v>
      </c>
      <c r="B116" s="3" t="s">
        <v>41</v>
      </c>
      <c r="C116" s="3" t="s">
        <v>42</v>
      </c>
      <c r="D116" s="3" t="s">
        <v>40</v>
      </c>
      <c r="E116" s="3" t="s">
        <v>25</v>
      </c>
      <c r="F116" s="3" t="s">
        <v>60</v>
      </c>
      <c r="G116" s="3" t="s">
        <v>25</v>
      </c>
      <c r="H116" s="3" t="s">
        <v>25</v>
      </c>
      <c r="I116" s="6">
        <v>44317</v>
      </c>
      <c r="J116" s="4">
        <v>0</v>
      </c>
      <c r="K116" s="4">
        <v>0</v>
      </c>
      <c r="L116" s="4">
        <v>574.60900000000004</v>
      </c>
      <c r="M116" s="4">
        <v>574.60900000000004</v>
      </c>
      <c r="N116" s="4">
        <v>0</v>
      </c>
      <c r="O116" s="4">
        <v>0</v>
      </c>
      <c r="P116" s="4">
        <v>1</v>
      </c>
      <c r="Q116" s="3" t="s">
        <v>57</v>
      </c>
      <c r="R116" s="3">
        <v>0</v>
      </c>
      <c r="S116" s="4">
        <v>0</v>
      </c>
      <c r="T116" s="4">
        <v>94</v>
      </c>
      <c r="U116" s="4">
        <v>0</v>
      </c>
      <c r="V116" s="4">
        <f>IF(ISERROR(VLOOKUP($S$116,'TAR FIN'!$A$1:$O$99,15,0)),0,VLOOKUP($S$116,'TAR FIN'!$A$1:$O$99,15,0))</f>
        <v>0</v>
      </c>
      <c r="W116" s="4">
        <f>IF(ISERROR(VLOOKUP($T$116,'TAR FIN'!$A$1:$O$99,15,0)),0,VLOOKUP($T$116,'TAR FIN'!$A$1:$O$99,15,0))</f>
        <v>65.13</v>
      </c>
      <c r="X116" s="4">
        <f>IF(ISERROR(VLOOKUP($U$116,'TAR FIN'!$A$1:$O$99,15,0)),0,VLOOKUP($U$116,'TAR FIN'!$A$1:$O$99,15,0))</f>
        <v>0</v>
      </c>
      <c r="Y116" s="4"/>
      <c r="Z116" s="4">
        <f ca="1">('TUSD BE'!$AM$7+'TUSD BF'!$AM$7+'TUSD CVA'!$AM$7)*1</f>
        <v>76.243476502957677</v>
      </c>
      <c r="AA116" s="4"/>
      <c r="AB116" s="4">
        <f>$K$116*$V$116</f>
        <v>0</v>
      </c>
      <c r="AC116" s="4">
        <f>$M$116*$W$116</f>
        <v>37424.284169999999</v>
      </c>
      <c r="AD116" s="4">
        <f>$O$116*$X$116</f>
        <v>0</v>
      </c>
      <c r="AE116" s="4">
        <f>$K$116*$Y$116</f>
        <v>0</v>
      </c>
      <c r="AF116" s="4">
        <f ca="1">$M$116*$Z$116</f>
        <v>43810.187789888012</v>
      </c>
      <c r="AG116" s="4">
        <f>$O$116*$AA$116</f>
        <v>0</v>
      </c>
    </row>
    <row r="117" spans="1:33" ht="11.25" customHeight="1" x14ac:dyDescent="0.25">
      <c r="A117" s="3" t="s">
        <v>21</v>
      </c>
      <c r="B117" s="3" t="s">
        <v>41</v>
      </c>
      <c r="C117" s="3" t="s">
        <v>42</v>
      </c>
      <c r="D117" s="3" t="s">
        <v>40</v>
      </c>
      <c r="E117" s="3" t="s">
        <v>25</v>
      </c>
      <c r="F117" s="3" t="s">
        <v>60</v>
      </c>
      <c r="G117" s="3" t="s">
        <v>25</v>
      </c>
      <c r="H117" s="3" t="s">
        <v>25</v>
      </c>
      <c r="I117" s="6">
        <v>44348</v>
      </c>
      <c r="J117" s="4">
        <v>0</v>
      </c>
      <c r="K117" s="4">
        <v>0</v>
      </c>
      <c r="L117" s="4">
        <v>540.64800000000002</v>
      </c>
      <c r="M117" s="4">
        <v>540.64800000000002</v>
      </c>
      <c r="N117" s="4">
        <v>0</v>
      </c>
      <c r="O117" s="4">
        <v>0</v>
      </c>
      <c r="P117" s="4">
        <v>1</v>
      </c>
      <c r="Q117" s="3" t="s">
        <v>57</v>
      </c>
      <c r="R117" s="3">
        <v>0</v>
      </c>
      <c r="S117" s="4">
        <v>0</v>
      </c>
      <c r="T117" s="4">
        <v>94</v>
      </c>
      <c r="U117" s="4">
        <v>0</v>
      </c>
      <c r="V117" s="4">
        <f>IF(ISERROR(VLOOKUP($S$117,'TAR FIN'!$A$1:$O$99,15,0)),0,VLOOKUP($S$117,'TAR FIN'!$A$1:$O$99,15,0))</f>
        <v>0</v>
      </c>
      <c r="W117" s="4">
        <f>IF(ISERROR(VLOOKUP($T$117,'TAR FIN'!$A$1:$O$99,15,0)),0,VLOOKUP($T$117,'TAR FIN'!$A$1:$O$99,15,0))</f>
        <v>65.13</v>
      </c>
      <c r="X117" s="4">
        <f>IF(ISERROR(VLOOKUP($U$117,'TAR FIN'!$A$1:$O$99,15,0)),0,VLOOKUP($U$117,'TAR FIN'!$A$1:$O$99,15,0))</f>
        <v>0</v>
      </c>
      <c r="Y117" s="4"/>
      <c r="Z117" s="4">
        <f ca="1">('TUSD BE'!$AM$7+'TUSD BF'!$AM$7+'TUSD CVA'!$AM$7)*1</f>
        <v>76.243476502957677</v>
      </c>
      <c r="AA117" s="4"/>
      <c r="AB117" s="4">
        <f>$K$117*$V$117</f>
        <v>0</v>
      </c>
      <c r="AC117" s="4">
        <f>$M$117*$W$117</f>
        <v>35212.404239999996</v>
      </c>
      <c r="AD117" s="4">
        <f>$O$117*$X$117</f>
        <v>0</v>
      </c>
      <c r="AE117" s="4">
        <f>$K$117*$Y$117</f>
        <v>0</v>
      </c>
      <c r="AF117" s="4">
        <f ca="1">$M$117*$Z$117</f>
        <v>41220.88308437106</v>
      </c>
      <c r="AG117" s="4">
        <f>$O$117*$AA$117</f>
        <v>0</v>
      </c>
    </row>
    <row r="118" spans="1:33" ht="11.25" customHeight="1" x14ac:dyDescent="0.25">
      <c r="A118" s="3" t="s">
        <v>21</v>
      </c>
      <c r="B118" s="3" t="s">
        <v>41</v>
      </c>
      <c r="C118" s="3" t="s">
        <v>42</v>
      </c>
      <c r="D118" s="3" t="s">
        <v>40</v>
      </c>
      <c r="E118" s="3" t="s">
        <v>25</v>
      </c>
      <c r="F118" s="3" t="s">
        <v>60</v>
      </c>
      <c r="G118" s="3" t="s">
        <v>25</v>
      </c>
      <c r="H118" s="3" t="s">
        <v>25</v>
      </c>
      <c r="I118" s="6">
        <v>44378</v>
      </c>
      <c r="J118" s="4">
        <v>0</v>
      </c>
      <c r="K118" s="4">
        <v>0</v>
      </c>
      <c r="L118" s="4">
        <v>572.745</v>
      </c>
      <c r="M118" s="4">
        <v>572.745</v>
      </c>
      <c r="N118" s="4">
        <v>0</v>
      </c>
      <c r="O118" s="4">
        <v>0</v>
      </c>
      <c r="P118" s="4">
        <v>1</v>
      </c>
      <c r="Q118" s="3" t="s">
        <v>57</v>
      </c>
      <c r="R118" s="3">
        <v>0</v>
      </c>
      <c r="S118" s="4">
        <v>0</v>
      </c>
      <c r="T118" s="4">
        <v>94</v>
      </c>
      <c r="U118" s="4">
        <v>0</v>
      </c>
      <c r="V118" s="4">
        <f>IF(ISERROR(VLOOKUP($S$118,'TAR FIN'!$A$1:$O$99,15,0)),0,VLOOKUP($S$118,'TAR FIN'!$A$1:$O$99,15,0))</f>
        <v>0</v>
      </c>
      <c r="W118" s="4">
        <f>IF(ISERROR(VLOOKUP($T$118,'TAR FIN'!$A$1:$O$99,15,0)),0,VLOOKUP($T$118,'TAR FIN'!$A$1:$O$99,15,0))</f>
        <v>65.13</v>
      </c>
      <c r="X118" s="4">
        <f>IF(ISERROR(VLOOKUP($U$118,'TAR FIN'!$A$1:$O$99,15,0)),0,VLOOKUP($U$118,'TAR FIN'!$A$1:$O$99,15,0))</f>
        <v>0</v>
      </c>
      <c r="Y118" s="4"/>
      <c r="Z118" s="4">
        <f ca="1">('TUSD BE'!$AM$7+'TUSD BF'!$AM$7+'TUSD CVA'!$AM$7)*1</f>
        <v>76.243476502957677</v>
      </c>
      <c r="AA118" s="4"/>
      <c r="AB118" s="4">
        <f>$K$118*$V$118</f>
        <v>0</v>
      </c>
      <c r="AC118" s="4">
        <f>$M$118*$W$118</f>
        <v>37302.881849999998</v>
      </c>
      <c r="AD118" s="4">
        <f>$O$118*$X$118</f>
        <v>0</v>
      </c>
      <c r="AE118" s="4">
        <f>$K$118*$Y$118</f>
        <v>0</v>
      </c>
      <c r="AF118" s="4">
        <f ca="1">$M$118*$Z$118</f>
        <v>43668.069949686498</v>
      </c>
      <c r="AG118" s="4">
        <f>$O$118*$AA$118</f>
        <v>0</v>
      </c>
    </row>
    <row r="119" spans="1:33" ht="11.25" customHeight="1" x14ac:dyDescent="0.25">
      <c r="A119" s="3" t="s">
        <v>21</v>
      </c>
      <c r="B119" s="3" t="s">
        <v>41</v>
      </c>
      <c r="C119" s="3" t="s">
        <v>42</v>
      </c>
      <c r="D119" s="3" t="s">
        <v>40</v>
      </c>
      <c r="E119" s="3" t="s">
        <v>25</v>
      </c>
      <c r="F119" s="3" t="s">
        <v>60</v>
      </c>
      <c r="G119" s="3" t="s">
        <v>25</v>
      </c>
      <c r="H119" s="3" t="s">
        <v>25</v>
      </c>
      <c r="I119" s="6">
        <v>44409</v>
      </c>
      <c r="J119" s="4">
        <v>0</v>
      </c>
      <c r="K119" s="4">
        <v>0</v>
      </c>
      <c r="L119" s="4">
        <v>682.30899999999997</v>
      </c>
      <c r="M119" s="4">
        <v>682.30899999999997</v>
      </c>
      <c r="N119" s="4">
        <v>0</v>
      </c>
      <c r="O119" s="4">
        <v>0</v>
      </c>
      <c r="P119" s="4">
        <v>1</v>
      </c>
      <c r="Q119" s="3" t="s">
        <v>57</v>
      </c>
      <c r="R119" s="3">
        <v>0</v>
      </c>
      <c r="S119" s="4">
        <v>0</v>
      </c>
      <c r="T119" s="4">
        <v>94</v>
      </c>
      <c r="U119" s="4">
        <v>0</v>
      </c>
      <c r="V119" s="4">
        <f>IF(ISERROR(VLOOKUP($S$119,'TAR FIN'!$A$1:$O$99,15,0)),0,VLOOKUP($S$119,'TAR FIN'!$A$1:$O$99,15,0))</f>
        <v>0</v>
      </c>
      <c r="W119" s="4">
        <f>IF(ISERROR(VLOOKUP($T$119,'TAR FIN'!$A$1:$O$99,15,0)),0,VLOOKUP($T$119,'TAR FIN'!$A$1:$O$99,15,0))</f>
        <v>65.13</v>
      </c>
      <c r="X119" s="4">
        <f>IF(ISERROR(VLOOKUP($U$119,'TAR FIN'!$A$1:$O$99,15,0)),0,VLOOKUP($U$119,'TAR FIN'!$A$1:$O$99,15,0))</f>
        <v>0</v>
      </c>
      <c r="Y119" s="4"/>
      <c r="Z119" s="4">
        <f ca="1">('TUSD BE'!$AM$7+'TUSD BF'!$AM$7+'TUSD CVA'!$AM$7)*1</f>
        <v>76.243476502957677</v>
      </c>
      <c r="AA119" s="4"/>
      <c r="AB119" s="4">
        <f>$K$119*$V$119</f>
        <v>0</v>
      </c>
      <c r="AC119" s="4">
        <f>$M$119*$W$119</f>
        <v>44438.785169999996</v>
      </c>
      <c r="AD119" s="4">
        <f>$O$119*$X$119</f>
        <v>0</v>
      </c>
      <c r="AE119" s="4">
        <f>$K$119*$Y$119</f>
        <v>0</v>
      </c>
      <c r="AF119" s="4">
        <f ca="1">$M$119*$Z$119</f>
        <v>52021.610209256549</v>
      </c>
      <c r="AG119" s="4">
        <f>$O$119*$AA$119</f>
        <v>0</v>
      </c>
    </row>
    <row r="120" spans="1:33" ht="11.25" customHeight="1" x14ac:dyDescent="0.25">
      <c r="A120" s="3" t="s">
        <v>21</v>
      </c>
      <c r="B120" s="3" t="s">
        <v>41</v>
      </c>
      <c r="C120" s="3" t="s">
        <v>42</v>
      </c>
      <c r="D120" s="3" t="s">
        <v>40</v>
      </c>
      <c r="E120" s="3" t="s">
        <v>25</v>
      </c>
      <c r="F120" s="3" t="s">
        <v>60</v>
      </c>
      <c r="G120" s="3" t="s">
        <v>25</v>
      </c>
      <c r="H120" s="3" t="s">
        <v>25</v>
      </c>
      <c r="I120" s="6">
        <v>44440</v>
      </c>
      <c r="J120" s="4">
        <v>0</v>
      </c>
      <c r="K120" s="4">
        <v>0</v>
      </c>
      <c r="L120" s="4">
        <v>463.755</v>
      </c>
      <c r="M120" s="4">
        <v>463.755</v>
      </c>
      <c r="N120" s="4">
        <v>0</v>
      </c>
      <c r="O120" s="4">
        <v>0</v>
      </c>
      <c r="P120" s="4">
        <v>1</v>
      </c>
      <c r="Q120" s="3" t="s">
        <v>57</v>
      </c>
      <c r="R120" s="3">
        <v>0</v>
      </c>
      <c r="S120" s="4">
        <v>0</v>
      </c>
      <c r="T120" s="4">
        <v>94</v>
      </c>
      <c r="U120" s="4">
        <v>0</v>
      </c>
      <c r="V120" s="4">
        <f>IF(ISERROR(VLOOKUP($S$120,'TAR FIN'!$A$1:$O$99,15,0)),0,VLOOKUP($S$120,'TAR FIN'!$A$1:$O$99,15,0))</f>
        <v>0</v>
      </c>
      <c r="W120" s="4">
        <f>IF(ISERROR(VLOOKUP($T$120,'TAR FIN'!$A$1:$O$99,15,0)),0,VLOOKUP($T$120,'TAR FIN'!$A$1:$O$99,15,0))</f>
        <v>65.13</v>
      </c>
      <c r="X120" s="4">
        <f>IF(ISERROR(VLOOKUP($U$120,'TAR FIN'!$A$1:$O$99,15,0)),0,VLOOKUP($U$120,'TAR FIN'!$A$1:$O$99,15,0))</f>
        <v>0</v>
      </c>
      <c r="Y120" s="4"/>
      <c r="Z120" s="4">
        <f ca="1">('TUSD BE'!$AM$7+'TUSD BF'!$AM$7+'TUSD CVA'!$AM$7)*1</f>
        <v>76.243476502957677</v>
      </c>
      <c r="AA120" s="4"/>
      <c r="AB120" s="4">
        <f>$K$120*$V$120</f>
        <v>0</v>
      </c>
      <c r="AC120" s="4">
        <f>$M$120*$W$120</f>
        <v>30204.363149999997</v>
      </c>
      <c r="AD120" s="4">
        <f>$O$120*$X$120</f>
        <v>0</v>
      </c>
      <c r="AE120" s="4">
        <f>$K$120*$Y$120</f>
        <v>0</v>
      </c>
      <c r="AF120" s="4">
        <f ca="1">$M$120*$Z$120</f>
        <v>35358.29344562914</v>
      </c>
      <c r="AG120" s="4">
        <f>$O$120*$AA$120</f>
        <v>0</v>
      </c>
    </row>
    <row r="121" spans="1:33" ht="11.25" customHeight="1" x14ac:dyDescent="0.25">
      <c r="A121" s="3" t="s">
        <v>21</v>
      </c>
      <c r="B121" s="3" t="s">
        <v>41</v>
      </c>
      <c r="C121" s="3" t="s">
        <v>42</v>
      </c>
      <c r="D121" s="3" t="s">
        <v>40</v>
      </c>
      <c r="E121" s="3" t="s">
        <v>25</v>
      </c>
      <c r="F121" s="3" t="s">
        <v>60</v>
      </c>
      <c r="G121" s="3" t="s">
        <v>25</v>
      </c>
      <c r="H121" s="3" t="s">
        <v>25</v>
      </c>
      <c r="I121" s="6">
        <v>44470</v>
      </c>
      <c r="J121" s="4">
        <v>0</v>
      </c>
      <c r="K121" s="4">
        <v>0</v>
      </c>
      <c r="L121" s="4">
        <v>42.067</v>
      </c>
      <c r="M121" s="4">
        <v>42.067</v>
      </c>
      <c r="N121" s="4">
        <v>0</v>
      </c>
      <c r="O121" s="4">
        <v>0</v>
      </c>
      <c r="P121" s="4">
        <v>1</v>
      </c>
      <c r="Q121" s="3" t="s">
        <v>57</v>
      </c>
      <c r="R121" s="3">
        <v>0</v>
      </c>
      <c r="S121" s="4">
        <v>0</v>
      </c>
      <c r="T121" s="4">
        <v>94</v>
      </c>
      <c r="U121" s="4">
        <v>0</v>
      </c>
      <c r="V121" s="4">
        <f>IF(ISERROR(VLOOKUP($S$121,'TAR FIN'!$A$1:$O$99,15,0)),0,VLOOKUP($S$121,'TAR FIN'!$A$1:$O$99,15,0))</f>
        <v>0</v>
      </c>
      <c r="W121" s="4">
        <f>IF(ISERROR(VLOOKUP($T$121,'TAR FIN'!$A$1:$O$99,15,0)),0,VLOOKUP($T$121,'TAR FIN'!$A$1:$O$99,15,0))</f>
        <v>65.13</v>
      </c>
      <c r="X121" s="4">
        <f>IF(ISERROR(VLOOKUP($U$121,'TAR FIN'!$A$1:$O$99,15,0)),0,VLOOKUP($U$121,'TAR FIN'!$A$1:$O$99,15,0))</f>
        <v>0</v>
      </c>
      <c r="Y121" s="4"/>
      <c r="Z121" s="4">
        <f ca="1">('TUSD BE'!$AM$7+'TUSD BF'!$AM$7+'TUSD CVA'!$AM$7)*1</f>
        <v>76.243476502957677</v>
      </c>
      <c r="AA121" s="4"/>
      <c r="AB121" s="4">
        <f>$K$121*$V$121</f>
        <v>0</v>
      </c>
      <c r="AC121" s="4">
        <f>$M$121*$W$121</f>
        <v>2739.8237099999997</v>
      </c>
      <c r="AD121" s="4">
        <f>$O$121*$X$121</f>
        <v>0</v>
      </c>
      <c r="AE121" s="4">
        <f>$K$121*$Y$121</f>
        <v>0</v>
      </c>
      <c r="AF121" s="4">
        <f ca="1">$M$121*$Z$121</f>
        <v>3207.3343260499205</v>
      </c>
      <c r="AG121" s="4">
        <f>$O$121*$AA$121</f>
        <v>0</v>
      </c>
    </row>
    <row r="122" spans="1:33" ht="11.25" customHeight="1" x14ac:dyDescent="0.25">
      <c r="A122" s="3" t="s">
        <v>21</v>
      </c>
      <c r="B122" s="3" t="s">
        <v>41</v>
      </c>
      <c r="C122" s="3" t="s">
        <v>42</v>
      </c>
      <c r="D122" s="3" t="s">
        <v>40</v>
      </c>
      <c r="E122" s="3" t="s">
        <v>25</v>
      </c>
      <c r="F122" s="3" t="s">
        <v>60</v>
      </c>
      <c r="G122" s="3" t="s">
        <v>25</v>
      </c>
      <c r="H122" s="3" t="s">
        <v>25</v>
      </c>
      <c r="I122" s="6">
        <v>44501</v>
      </c>
      <c r="J122" s="4">
        <v>0</v>
      </c>
      <c r="K122" s="4">
        <v>0</v>
      </c>
      <c r="L122" s="4">
        <v>34.969000000000001</v>
      </c>
      <c r="M122" s="4">
        <v>34.969000000000001</v>
      </c>
      <c r="N122" s="4">
        <v>0</v>
      </c>
      <c r="O122" s="4">
        <v>0</v>
      </c>
      <c r="P122" s="4">
        <v>1</v>
      </c>
      <c r="Q122" s="3" t="s">
        <v>57</v>
      </c>
      <c r="R122" s="3">
        <v>0</v>
      </c>
      <c r="S122" s="4">
        <v>0</v>
      </c>
      <c r="T122" s="4">
        <v>94</v>
      </c>
      <c r="U122" s="4">
        <v>0</v>
      </c>
      <c r="V122" s="4">
        <f>IF(ISERROR(VLOOKUP($S$122,'TAR FIN'!$A$1:$O$99,15,0)),0,VLOOKUP($S$122,'TAR FIN'!$A$1:$O$99,15,0))</f>
        <v>0</v>
      </c>
      <c r="W122" s="4">
        <f>IF(ISERROR(VLOOKUP($T$122,'TAR FIN'!$A$1:$O$99,15,0)),0,VLOOKUP($T$122,'TAR FIN'!$A$1:$O$99,15,0))</f>
        <v>65.13</v>
      </c>
      <c r="X122" s="4">
        <f>IF(ISERROR(VLOOKUP($U$122,'TAR FIN'!$A$1:$O$99,15,0)),0,VLOOKUP($U$122,'TAR FIN'!$A$1:$O$99,15,0))</f>
        <v>0</v>
      </c>
      <c r="Y122" s="4"/>
      <c r="Z122" s="4">
        <f ca="1">('TUSD BE'!$AM$7+'TUSD BF'!$AM$7+'TUSD CVA'!$AM$7)*1</f>
        <v>76.243476502957677</v>
      </c>
      <c r="AA122" s="4"/>
      <c r="AB122" s="4">
        <f>$K$122*$V$122</f>
        <v>0</v>
      </c>
      <c r="AC122" s="4">
        <f>$M$122*$W$122</f>
        <v>2277.5309699999998</v>
      </c>
      <c r="AD122" s="4">
        <f>$O$122*$X$122</f>
        <v>0</v>
      </c>
      <c r="AE122" s="4">
        <f>$K$122*$Y$122</f>
        <v>0</v>
      </c>
      <c r="AF122" s="4">
        <f ca="1">$M$122*$Z$122</f>
        <v>2666.158129831927</v>
      </c>
      <c r="AG122" s="4">
        <f>$O$122*$AA$122</f>
        <v>0</v>
      </c>
    </row>
    <row r="123" spans="1:33" ht="11.25" customHeight="1" x14ac:dyDescent="0.25">
      <c r="A123" s="3" t="s">
        <v>21</v>
      </c>
      <c r="B123" s="3" t="s">
        <v>41</v>
      </c>
      <c r="C123" s="3" t="s">
        <v>42</v>
      </c>
      <c r="D123" s="3" t="s">
        <v>40</v>
      </c>
      <c r="E123" s="3" t="s">
        <v>25</v>
      </c>
      <c r="F123" s="3" t="s">
        <v>60</v>
      </c>
      <c r="G123" s="3" t="s">
        <v>25</v>
      </c>
      <c r="H123" s="3" t="s">
        <v>25</v>
      </c>
      <c r="I123" s="6">
        <v>44531</v>
      </c>
      <c r="J123" s="4">
        <v>0</v>
      </c>
      <c r="K123" s="4">
        <v>0</v>
      </c>
      <c r="L123" s="4">
        <v>8297.3130000000001</v>
      </c>
      <c r="M123" s="4">
        <v>8297.3130000000001</v>
      </c>
      <c r="N123" s="4">
        <v>0</v>
      </c>
      <c r="O123" s="4">
        <v>0</v>
      </c>
      <c r="P123" s="4">
        <v>1</v>
      </c>
      <c r="Q123" s="3" t="s">
        <v>57</v>
      </c>
      <c r="R123" s="3">
        <v>0</v>
      </c>
      <c r="S123" s="4">
        <v>0</v>
      </c>
      <c r="T123" s="4">
        <v>94</v>
      </c>
      <c r="U123" s="4">
        <v>0</v>
      </c>
      <c r="V123" s="4">
        <f>IF(ISERROR(VLOOKUP($S$123,'TAR FIN'!$A$1:$O$99,15,0)),0,VLOOKUP($S$123,'TAR FIN'!$A$1:$O$99,15,0))</f>
        <v>0</v>
      </c>
      <c r="W123" s="4">
        <f>IF(ISERROR(VLOOKUP($T$123,'TAR FIN'!$A$1:$O$99,15,0)),0,VLOOKUP($T$123,'TAR FIN'!$A$1:$O$99,15,0))</f>
        <v>65.13</v>
      </c>
      <c r="X123" s="4">
        <f>IF(ISERROR(VLOOKUP($U$123,'TAR FIN'!$A$1:$O$99,15,0)),0,VLOOKUP($U$123,'TAR FIN'!$A$1:$O$99,15,0))</f>
        <v>0</v>
      </c>
      <c r="Y123" s="4"/>
      <c r="Z123" s="4">
        <f ca="1">('TUSD BE'!$AM$7+'TUSD BF'!$AM$7+'TUSD CVA'!$AM$7)*1</f>
        <v>76.243476502957677</v>
      </c>
      <c r="AA123" s="4"/>
      <c r="AB123" s="4">
        <f>$K$123*$V$123</f>
        <v>0</v>
      </c>
      <c r="AC123" s="4">
        <f>$M$123*$W$123</f>
        <v>540403.99569000001</v>
      </c>
      <c r="AD123" s="4">
        <f>$O$123*$X$123</f>
        <v>0</v>
      </c>
      <c r="AE123" s="4">
        <f>$K$123*$Y$123</f>
        <v>0</v>
      </c>
      <c r="AF123" s="4">
        <f ca="1">$M$123*$Z$123</f>
        <v>632615.98875318526</v>
      </c>
      <c r="AG123" s="4">
        <f>$O$123*$AA$123</f>
        <v>0</v>
      </c>
    </row>
    <row r="124" spans="1:33" ht="11.25" customHeight="1" x14ac:dyDescent="0.25">
      <c r="A124" s="3" t="s">
        <v>21</v>
      </c>
      <c r="B124" s="3" t="s">
        <v>41</v>
      </c>
      <c r="C124" s="3" t="s">
        <v>42</v>
      </c>
      <c r="D124" s="3" t="s">
        <v>40</v>
      </c>
      <c r="E124" s="3" t="s">
        <v>25</v>
      </c>
      <c r="F124" s="3" t="s">
        <v>60</v>
      </c>
      <c r="G124" s="3" t="s">
        <v>25</v>
      </c>
      <c r="H124" s="3" t="s">
        <v>25</v>
      </c>
      <c r="I124" s="6">
        <v>44562</v>
      </c>
      <c r="J124" s="4">
        <v>0</v>
      </c>
      <c r="K124" s="4">
        <v>0</v>
      </c>
      <c r="L124" s="4">
        <v>3571.835</v>
      </c>
      <c r="M124" s="4">
        <v>3571.835</v>
      </c>
      <c r="N124" s="4">
        <v>0</v>
      </c>
      <c r="O124" s="4">
        <v>0</v>
      </c>
      <c r="P124" s="4">
        <v>1</v>
      </c>
      <c r="Q124" s="3" t="s">
        <v>57</v>
      </c>
      <c r="R124" s="3">
        <v>0</v>
      </c>
      <c r="S124" s="4">
        <v>0</v>
      </c>
      <c r="T124" s="4">
        <v>94</v>
      </c>
      <c r="U124" s="4">
        <v>0</v>
      </c>
      <c r="V124" s="4">
        <f>IF(ISERROR(VLOOKUP($S$124,'TAR FIN'!$A$1:$O$99,15,0)),0,VLOOKUP($S$124,'TAR FIN'!$A$1:$O$99,15,0))</f>
        <v>0</v>
      </c>
      <c r="W124" s="4">
        <f>IF(ISERROR(VLOOKUP($T$124,'TAR FIN'!$A$1:$O$99,15,0)),0,VLOOKUP($T$124,'TAR FIN'!$A$1:$O$99,15,0))</f>
        <v>65.13</v>
      </c>
      <c r="X124" s="4">
        <f>IF(ISERROR(VLOOKUP($U$124,'TAR FIN'!$A$1:$O$99,15,0)),0,VLOOKUP($U$124,'TAR FIN'!$A$1:$O$99,15,0))</f>
        <v>0</v>
      </c>
      <c r="Y124" s="4"/>
      <c r="Z124" s="4">
        <f ca="1">('TUSD BE'!$AM$7+'TUSD BF'!$AM$7+'TUSD CVA'!$AM$7)*1</f>
        <v>76.243476502957677</v>
      </c>
      <c r="AA124" s="4"/>
      <c r="AB124" s="4">
        <f>$K$124*$V$124</f>
        <v>0</v>
      </c>
      <c r="AC124" s="4">
        <f>$M$124*$W$124</f>
        <v>232633.61354999998</v>
      </c>
      <c r="AD124" s="4">
        <f>$O$124*$X$124</f>
        <v>0</v>
      </c>
      <c r="AE124" s="4">
        <f>$K$124*$Y$124</f>
        <v>0</v>
      </c>
      <c r="AF124" s="4">
        <f ca="1">$M$124*$Z$124</f>
        <v>272329.11789494182</v>
      </c>
      <c r="AG124" s="4">
        <f>$O$124*$AA$124</f>
        <v>0</v>
      </c>
    </row>
    <row r="125" spans="1:33" ht="11.25" customHeight="1" x14ac:dyDescent="0.25">
      <c r="A125" s="3" t="s">
        <v>21</v>
      </c>
      <c r="B125" s="3" t="s">
        <v>41</v>
      </c>
      <c r="C125" s="3" t="s">
        <v>42</v>
      </c>
      <c r="D125" s="3" t="s">
        <v>40</v>
      </c>
      <c r="E125" s="3" t="s">
        <v>25</v>
      </c>
      <c r="F125" s="3" t="s">
        <v>60</v>
      </c>
      <c r="G125" s="3" t="s">
        <v>25</v>
      </c>
      <c r="H125" s="3" t="s">
        <v>25</v>
      </c>
      <c r="I125" s="6">
        <v>44593</v>
      </c>
      <c r="J125" s="4">
        <v>0</v>
      </c>
      <c r="K125" s="4">
        <v>0</v>
      </c>
      <c r="L125" s="4">
        <v>2942.058</v>
      </c>
      <c r="M125" s="4">
        <v>2942.058</v>
      </c>
      <c r="N125" s="4">
        <v>0</v>
      </c>
      <c r="O125" s="4">
        <v>0</v>
      </c>
      <c r="P125" s="4">
        <v>2</v>
      </c>
      <c r="Q125" s="3" t="s">
        <v>57</v>
      </c>
      <c r="R125" s="3">
        <v>0</v>
      </c>
      <c r="S125" s="4">
        <v>0</v>
      </c>
      <c r="T125" s="4">
        <v>94</v>
      </c>
      <c r="U125" s="4">
        <v>0</v>
      </c>
      <c r="V125" s="4">
        <f>IF(ISERROR(VLOOKUP($S$125,'TAR FIN'!$A$1:$O$99,15,0)),0,VLOOKUP($S$125,'TAR FIN'!$A$1:$O$99,15,0))</f>
        <v>0</v>
      </c>
      <c r="W125" s="4">
        <f>IF(ISERROR(VLOOKUP($T$125,'TAR FIN'!$A$1:$O$99,15,0)),0,VLOOKUP($T$125,'TAR FIN'!$A$1:$O$99,15,0))</f>
        <v>65.13</v>
      </c>
      <c r="X125" s="4">
        <f>IF(ISERROR(VLOOKUP($U$125,'TAR FIN'!$A$1:$O$99,15,0)),0,VLOOKUP($U$125,'TAR FIN'!$A$1:$O$99,15,0))</f>
        <v>0</v>
      </c>
      <c r="Y125" s="4"/>
      <c r="Z125" s="4">
        <f ca="1">('TUSD BE'!$AM$7+'TUSD BF'!$AM$7+'TUSD CVA'!$AM$7)*1</f>
        <v>76.243476502957677</v>
      </c>
      <c r="AA125" s="4"/>
      <c r="AB125" s="4">
        <f>$K$125*$V$125</f>
        <v>0</v>
      </c>
      <c r="AC125" s="4">
        <f>$M$125*$W$125</f>
        <v>191616.23753999997</v>
      </c>
      <c r="AD125" s="4">
        <f>$O$125*$X$125</f>
        <v>0</v>
      </c>
      <c r="AE125" s="4">
        <f>$K$125*$Y$125</f>
        <v>0</v>
      </c>
      <c r="AF125" s="4">
        <f ca="1">$M$125*$Z$125</f>
        <v>224312.72999333867</v>
      </c>
      <c r="AG125" s="4">
        <f>$O$125*$AA$125</f>
        <v>0</v>
      </c>
    </row>
    <row r="126" spans="1:33" ht="11.25" customHeight="1" x14ac:dyDescent="0.25">
      <c r="A126" s="3" t="s">
        <v>21</v>
      </c>
      <c r="B126" s="3" t="s">
        <v>41</v>
      </c>
      <c r="C126" s="3" t="s">
        <v>42</v>
      </c>
      <c r="D126" s="3" t="s">
        <v>40</v>
      </c>
      <c r="E126" s="3" t="s">
        <v>25</v>
      </c>
      <c r="F126" s="3" t="s">
        <v>60</v>
      </c>
      <c r="G126" s="3" t="s">
        <v>25</v>
      </c>
      <c r="H126" s="3" t="s">
        <v>25</v>
      </c>
      <c r="I126" s="6">
        <v>44621</v>
      </c>
      <c r="J126" s="4">
        <v>0</v>
      </c>
      <c r="K126" s="4">
        <v>0</v>
      </c>
      <c r="L126" s="4">
        <v>3532.6480000000001</v>
      </c>
      <c r="M126" s="4">
        <v>3532.6480000000001</v>
      </c>
      <c r="N126" s="4">
        <v>0</v>
      </c>
      <c r="O126" s="4">
        <v>0</v>
      </c>
      <c r="P126" s="4">
        <v>1</v>
      </c>
      <c r="Q126" s="3" t="s">
        <v>57</v>
      </c>
      <c r="R126" s="3">
        <v>0</v>
      </c>
      <c r="S126" s="4">
        <v>0</v>
      </c>
      <c r="T126" s="4">
        <v>94</v>
      </c>
      <c r="U126" s="4">
        <v>0</v>
      </c>
      <c r="V126" s="4">
        <f>IF(ISERROR(VLOOKUP($S$126,'TAR FIN'!$A$1:$O$99,15,0)),0,VLOOKUP($S$126,'TAR FIN'!$A$1:$O$99,15,0))</f>
        <v>0</v>
      </c>
      <c r="W126" s="4">
        <f>IF(ISERROR(VLOOKUP($T$126,'TAR FIN'!$A$1:$O$99,15,0)),0,VLOOKUP($T$126,'TAR FIN'!$A$1:$O$99,15,0))</f>
        <v>65.13</v>
      </c>
      <c r="X126" s="4">
        <f>IF(ISERROR(VLOOKUP($U$126,'TAR FIN'!$A$1:$O$99,15,0)),0,VLOOKUP($U$126,'TAR FIN'!$A$1:$O$99,15,0))</f>
        <v>0</v>
      </c>
      <c r="Y126" s="4"/>
      <c r="Z126" s="4">
        <f ca="1">('TUSD BE'!$AM$7+'TUSD BF'!$AM$7+'TUSD CVA'!$AM$7)*1</f>
        <v>76.243476502957677</v>
      </c>
      <c r="AA126" s="4"/>
      <c r="AB126" s="4">
        <f>$K$126*$V$126</f>
        <v>0</v>
      </c>
      <c r="AC126" s="4">
        <f>$M$126*$W$126</f>
        <v>230081.36424</v>
      </c>
      <c r="AD126" s="4">
        <f>$O$126*$X$126</f>
        <v>0</v>
      </c>
      <c r="AE126" s="4">
        <f>$K$126*$Y$126</f>
        <v>0</v>
      </c>
      <c r="AF126" s="4">
        <f ca="1">$M$126*$Z$126</f>
        <v>269341.36478122044</v>
      </c>
      <c r="AG126" s="4">
        <f>$O$126*$AA$126</f>
        <v>0</v>
      </c>
    </row>
    <row r="127" spans="1:33" ht="11.25" customHeight="1" x14ac:dyDescent="0.25">
      <c r="A127" s="3" t="s">
        <v>56</v>
      </c>
      <c r="B127" s="3" t="s">
        <v>41</v>
      </c>
      <c r="C127" s="3" t="s">
        <v>42</v>
      </c>
      <c r="D127" s="3" t="s">
        <v>40</v>
      </c>
      <c r="E127" s="3" t="s">
        <v>25</v>
      </c>
      <c r="F127" s="3" t="s">
        <v>60</v>
      </c>
      <c r="G127" s="3" t="s">
        <v>25</v>
      </c>
      <c r="H127" s="3" t="s">
        <v>25</v>
      </c>
      <c r="I127" s="6">
        <v>44652</v>
      </c>
      <c r="J127" s="4">
        <v>0</v>
      </c>
      <c r="K127" s="4">
        <v>0</v>
      </c>
      <c r="L127" s="4">
        <v>3532.6480000000001</v>
      </c>
      <c r="M127" s="4">
        <v>3532.6480000000001</v>
      </c>
      <c r="N127" s="4">
        <v>0</v>
      </c>
      <c r="O127" s="4">
        <v>0</v>
      </c>
      <c r="P127" s="4">
        <v>1</v>
      </c>
      <c r="Q127" s="3" t="s">
        <v>57</v>
      </c>
      <c r="R127" s="3">
        <v>0</v>
      </c>
      <c r="S127" s="4">
        <v>0</v>
      </c>
      <c r="T127" s="4">
        <v>94</v>
      </c>
      <c r="U127" s="4">
        <v>0</v>
      </c>
      <c r="V127" s="4">
        <f>IF(ISERROR(VLOOKUP($S$127,'TAR FIN'!$A$1:$O$99,15,0)),0,VLOOKUP($S$127,'TAR FIN'!$A$1:$O$99,15,0))</f>
        <v>0</v>
      </c>
      <c r="W127" s="4">
        <f>IF(ISERROR(VLOOKUP($T$127,'TAR FIN'!$A$1:$O$99,15,0)),0,VLOOKUP($T$127,'TAR FIN'!$A$1:$O$99,15,0))</f>
        <v>65.13</v>
      </c>
      <c r="X127" s="4">
        <f>IF(ISERROR(VLOOKUP($U$127,'TAR FIN'!$A$1:$O$99,15,0)),0,VLOOKUP($U$127,'TAR FIN'!$A$1:$O$99,15,0))</f>
        <v>0</v>
      </c>
      <c r="Y127" s="4"/>
      <c r="Z127" s="4">
        <f ca="1">('TUSD BE'!$AM$7+'TUSD BF'!$AM$7+'TUSD CVA'!$AM$7)*1</f>
        <v>76.243476502957677</v>
      </c>
      <c r="AA127" s="4"/>
      <c r="AB127" s="4">
        <f>$K$127*$V$127</f>
        <v>0</v>
      </c>
      <c r="AC127" s="4">
        <f>$M$127*$W$127</f>
        <v>230081.36424</v>
      </c>
      <c r="AD127" s="4">
        <f>$O$127*$X$127</f>
        <v>0</v>
      </c>
      <c r="AE127" s="4">
        <f>$K$127*$Y$127</f>
        <v>0</v>
      </c>
      <c r="AF127" s="4">
        <f ca="1">$M$127*$Z$127</f>
        <v>269341.36478122044</v>
      </c>
      <c r="AG127" s="4">
        <f>$O$127*$AA$127</f>
        <v>0</v>
      </c>
    </row>
    <row r="128" spans="1:33" ht="11.25" customHeight="1" x14ac:dyDescent="0.25">
      <c r="A128" s="3" t="s">
        <v>21</v>
      </c>
      <c r="B128" s="3" t="s">
        <v>41</v>
      </c>
      <c r="C128" s="3" t="s">
        <v>42</v>
      </c>
      <c r="D128" s="3" t="s">
        <v>40</v>
      </c>
      <c r="E128" s="3" t="s">
        <v>25</v>
      </c>
      <c r="F128" s="3" t="s">
        <v>60</v>
      </c>
      <c r="G128" s="3" t="s">
        <v>25</v>
      </c>
      <c r="H128" s="3" t="s">
        <v>35</v>
      </c>
      <c r="I128" s="6">
        <v>44317</v>
      </c>
      <c r="J128" s="4">
        <v>5000</v>
      </c>
      <c r="K128" s="4">
        <v>7.4685499999999099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3" t="s">
        <v>57</v>
      </c>
      <c r="R128" s="3">
        <v>0</v>
      </c>
      <c r="S128" s="4">
        <v>92</v>
      </c>
      <c r="T128" s="4">
        <v>0</v>
      </c>
      <c r="U128" s="4">
        <v>0</v>
      </c>
      <c r="V128" s="4">
        <f>IF(ISERROR(VLOOKUP($S$128,'TAR FIN'!$A$1:$O$99,15,0)),0,VLOOKUP($S$128,'TAR FIN'!$A$1:$O$99,15,0))</f>
        <v>26.46</v>
      </c>
      <c r="W128" s="4">
        <f>IF(ISERROR(VLOOKUP($T$128,'TAR FIN'!$A$1:$O$99,15,0)),0,VLOOKUP($T$128,'TAR FIN'!$A$1:$O$99,15,0))</f>
        <v>0</v>
      </c>
      <c r="X128" s="4">
        <f>IF(ISERROR(VLOOKUP($U$128,'TAR FIN'!$A$1:$O$99,15,0)),0,VLOOKUP($U$128,'TAR FIN'!$A$1:$O$99,15,0))</f>
        <v>0</v>
      </c>
      <c r="Y128" s="4">
        <f ca="1">('TUSD BE'!$AM$5+'TUSD BF'!$AM$5+'TUSD CVA'!$AM$5)*1</f>
        <v>30.337295464550692</v>
      </c>
      <c r="Z128" s="4">
        <f ca="1">('TUSD BE'!$AM$7+'TUSD BF'!$AM$7+'TUSD CVA'!$AM$7)*1</f>
        <v>76.243476502957677</v>
      </c>
      <c r="AA128" s="4"/>
      <c r="AB128" s="4">
        <f>$K$128*$V$128</f>
        <v>197.61783299999763</v>
      </c>
      <c r="AC128" s="4">
        <f>$M$128*$W$128</f>
        <v>0</v>
      </c>
      <c r="AD128" s="4">
        <f>$O$128*$X$128</f>
        <v>0</v>
      </c>
      <c r="AE128" s="4">
        <f ca="1">$K$128*$Y$128</f>
        <v>226.57560804176734</v>
      </c>
      <c r="AF128" s="4">
        <f ca="1">$M$128*$Z$128</f>
        <v>0</v>
      </c>
      <c r="AG128" s="4">
        <f>$O$128*$AA$128</f>
        <v>0</v>
      </c>
    </row>
    <row r="129" spans="1:33" ht="11.25" customHeight="1" x14ac:dyDescent="0.25">
      <c r="A129" s="3" t="s">
        <v>21</v>
      </c>
      <c r="B129" s="3" t="s">
        <v>41</v>
      </c>
      <c r="C129" s="3" t="s">
        <v>42</v>
      </c>
      <c r="D129" s="3" t="s">
        <v>40</v>
      </c>
      <c r="E129" s="3" t="s">
        <v>25</v>
      </c>
      <c r="F129" s="3" t="s">
        <v>60</v>
      </c>
      <c r="G129" s="3" t="s">
        <v>25</v>
      </c>
      <c r="H129" s="3" t="s">
        <v>35</v>
      </c>
      <c r="I129" s="6">
        <v>44348</v>
      </c>
      <c r="J129" s="4">
        <v>5000</v>
      </c>
      <c r="K129" s="4">
        <v>4.0000000000001101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3" t="s">
        <v>57</v>
      </c>
      <c r="R129" s="3">
        <v>0</v>
      </c>
      <c r="S129" s="4">
        <v>92</v>
      </c>
      <c r="T129" s="4">
        <v>0</v>
      </c>
      <c r="U129" s="4">
        <v>0</v>
      </c>
      <c r="V129" s="4">
        <f>IF(ISERROR(VLOOKUP($S$129,'TAR FIN'!$A$1:$O$99,15,0)),0,VLOOKUP($S$129,'TAR FIN'!$A$1:$O$99,15,0))</f>
        <v>26.46</v>
      </c>
      <c r="W129" s="4">
        <f>IF(ISERROR(VLOOKUP($T$129,'TAR FIN'!$A$1:$O$99,15,0)),0,VLOOKUP($T$129,'TAR FIN'!$A$1:$O$99,15,0))</f>
        <v>0</v>
      </c>
      <c r="X129" s="4">
        <f>IF(ISERROR(VLOOKUP($U$129,'TAR FIN'!$A$1:$O$99,15,0)),0,VLOOKUP($U$129,'TAR FIN'!$A$1:$O$99,15,0))</f>
        <v>0</v>
      </c>
      <c r="Y129" s="4">
        <f ca="1">('TUSD BE'!$AM$5+'TUSD BF'!$AM$5+'TUSD CVA'!$AM$5)*1</f>
        <v>30.337295464550692</v>
      </c>
      <c r="Z129" s="4">
        <f ca="1">('TUSD BE'!$AM$7+'TUSD BF'!$AM$7+'TUSD CVA'!$AM$7)*1</f>
        <v>76.243476502957677</v>
      </c>
      <c r="AA129" s="4"/>
      <c r="AB129" s="4">
        <f>$K$129*$V$129</f>
        <v>105.84000000000292</v>
      </c>
      <c r="AC129" s="4">
        <f>$M$129*$W$129</f>
        <v>0</v>
      </c>
      <c r="AD129" s="4">
        <f>$O$129*$X$129</f>
        <v>0</v>
      </c>
      <c r="AE129" s="4">
        <f ca="1">$K$129*$Y$129</f>
        <v>121.34918185820611</v>
      </c>
      <c r="AF129" s="4">
        <f ca="1">$M$129*$Z$129</f>
        <v>0</v>
      </c>
      <c r="AG129" s="4">
        <f>$O$129*$AA$129</f>
        <v>0</v>
      </c>
    </row>
    <row r="130" spans="1:33" ht="11.25" customHeight="1" x14ac:dyDescent="0.25">
      <c r="A130" s="3" t="s">
        <v>21</v>
      </c>
      <c r="B130" s="3" t="s">
        <v>41</v>
      </c>
      <c r="C130" s="3" t="s">
        <v>42</v>
      </c>
      <c r="D130" s="3" t="s">
        <v>40</v>
      </c>
      <c r="E130" s="3" t="s">
        <v>25</v>
      </c>
      <c r="F130" s="3" t="s">
        <v>60</v>
      </c>
      <c r="G130" s="3" t="s">
        <v>25</v>
      </c>
      <c r="H130" s="3" t="s">
        <v>35</v>
      </c>
      <c r="I130" s="6">
        <v>44378</v>
      </c>
      <c r="J130" s="4">
        <v>5000</v>
      </c>
      <c r="K130" s="4">
        <v>4.0000000000001101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3" t="s">
        <v>57</v>
      </c>
      <c r="R130" s="3">
        <v>0</v>
      </c>
      <c r="S130" s="4">
        <v>92</v>
      </c>
      <c r="T130" s="4">
        <v>0</v>
      </c>
      <c r="U130" s="4">
        <v>0</v>
      </c>
      <c r="V130" s="4">
        <f>IF(ISERROR(VLOOKUP($S$130,'TAR FIN'!$A$1:$O$99,15,0)),0,VLOOKUP($S$130,'TAR FIN'!$A$1:$O$99,15,0))</f>
        <v>26.46</v>
      </c>
      <c r="W130" s="4">
        <f>IF(ISERROR(VLOOKUP($T$130,'TAR FIN'!$A$1:$O$99,15,0)),0,VLOOKUP($T$130,'TAR FIN'!$A$1:$O$99,15,0))</f>
        <v>0</v>
      </c>
      <c r="X130" s="4">
        <f>IF(ISERROR(VLOOKUP($U$130,'TAR FIN'!$A$1:$O$99,15,0)),0,VLOOKUP($U$130,'TAR FIN'!$A$1:$O$99,15,0))</f>
        <v>0</v>
      </c>
      <c r="Y130" s="4">
        <f ca="1">('TUSD BE'!$AM$5+'TUSD BF'!$AM$5+'TUSD CVA'!$AM$5)*1</f>
        <v>30.337295464550692</v>
      </c>
      <c r="Z130" s="4">
        <f ca="1">('TUSD BE'!$AM$7+'TUSD BF'!$AM$7+'TUSD CVA'!$AM$7)*1</f>
        <v>76.243476502957677</v>
      </c>
      <c r="AA130" s="4"/>
      <c r="AB130" s="4">
        <f>$K$130*$V$130</f>
        <v>105.84000000000292</v>
      </c>
      <c r="AC130" s="4">
        <f>$M$130*$W$130</f>
        <v>0</v>
      </c>
      <c r="AD130" s="4">
        <f>$O$130*$X$130</f>
        <v>0</v>
      </c>
      <c r="AE130" s="4">
        <f ca="1">$K$130*$Y$130</f>
        <v>121.34918185820611</v>
      </c>
      <c r="AF130" s="4">
        <f ca="1">$M$130*$Z$130</f>
        <v>0</v>
      </c>
      <c r="AG130" s="4">
        <f>$O$130*$AA$130</f>
        <v>0</v>
      </c>
    </row>
    <row r="131" spans="1:33" ht="11.25" customHeight="1" x14ac:dyDescent="0.25">
      <c r="A131" s="3" t="s">
        <v>21</v>
      </c>
      <c r="B131" s="3" t="s">
        <v>41</v>
      </c>
      <c r="C131" s="3" t="s">
        <v>42</v>
      </c>
      <c r="D131" s="3" t="s">
        <v>40</v>
      </c>
      <c r="E131" s="3" t="s">
        <v>25</v>
      </c>
      <c r="F131" s="3" t="s">
        <v>60</v>
      </c>
      <c r="G131" s="3" t="s">
        <v>25</v>
      </c>
      <c r="H131" s="3" t="s">
        <v>35</v>
      </c>
      <c r="I131" s="6">
        <v>44409</v>
      </c>
      <c r="J131" s="4">
        <v>5000</v>
      </c>
      <c r="K131" s="4">
        <v>0.50000000000050004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3" t="s">
        <v>57</v>
      </c>
      <c r="R131" s="3">
        <v>0</v>
      </c>
      <c r="S131" s="4">
        <v>92</v>
      </c>
      <c r="T131" s="4">
        <v>0</v>
      </c>
      <c r="U131" s="4">
        <v>0</v>
      </c>
      <c r="V131" s="4">
        <f>IF(ISERROR(VLOOKUP($S$131,'TAR FIN'!$A$1:$O$99,15,0)),0,VLOOKUP($S$131,'TAR FIN'!$A$1:$O$99,15,0))</f>
        <v>26.46</v>
      </c>
      <c r="W131" s="4">
        <f>IF(ISERROR(VLOOKUP($T$131,'TAR FIN'!$A$1:$O$99,15,0)),0,VLOOKUP($T$131,'TAR FIN'!$A$1:$O$99,15,0))</f>
        <v>0</v>
      </c>
      <c r="X131" s="4">
        <f>IF(ISERROR(VLOOKUP($U$131,'TAR FIN'!$A$1:$O$99,15,0)),0,VLOOKUP($U$131,'TAR FIN'!$A$1:$O$99,15,0))</f>
        <v>0</v>
      </c>
      <c r="Y131" s="4">
        <f ca="1">('TUSD BE'!$AM$5+'TUSD BF'!$AM$5+'TUSD CVA'!$AM$5)*1</f>
        <v>30.337295464550692</v>
      </c>
      <c r="Z131" s="4">
        <f ca="1">('TUSD BE'!$AM$7+'TUSD BF'!$AM$7+'TUSD CVA'!$AM$7)*1</f>
        <v>76.243476502957677</v>
      </c>
      <c r="AA131" s="4"/>
      <c r="AB131" s="4">
        <f>$K$131*$V$131</f>
        <v>13.230000000013231</v>
      </c>
      <c r="AC131" s="4">
        <f>$M$131*$W$131</f>
        <v>0</v>
      </c>
      <c r="AD131" s="4">
        <f>$O$131*$X$131</f>
        <v>0</v>
      </c>
      <c r="AE131" s="4">
        <f ca="1">$K$131*$Y$131</f>
        <v>15.168647732290516</v>
      </c>
      <c r="AF131" s="4">
        <f ca="1">$M$131*$Z$131</f>
        <v>0</v>
      </c>
      <c r="AG131" s="4">
        <f>$O$131*$AA$131</f>
        <v>0</v>
      </c>
    </row>
    <row r="132" spans="1:33" ht="11.25" customHeight="1" x14ac:dyDescent="0.25">
      <c r="A132" s="3" t="s">
        <v>21</v>
      </c>
      <c r="B132" s="3" t="s">
        <v>41</v>
      </c>
      <c r="C132" s="3" t="s">
        <v>42</v>
      </c>
      <c r="D132" s="3" t="s">
        <v>40</v>
      </c>
      <c r="E132" s="3" t="s">
        <v>25</v>
      </c>
      <c r="F132" s="3" t="s">
        <v>60</v>
      </c>
      <c r="G132" s="3" t="s">
        <v>25</v>
      </c>
      <c r="H132" s="3" t="s">
        <v>35</v>
      </c>
      <c r="I132" s="6">
        <v>44440</v>
      </c>
      <c r="J132" s="4">
        <v>5000</v>
      </c>
      <c r="K132" s="4">
        <v>4.0000000000001101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3" t="s">
        <v>57</v>
      </c>
      <c r="R132" s="3">
        <v>0</v>
      </c>
      <c r="S132" s="4">
        <v>92</v>
      </c>
      <c r="T132" s="4">
        <v>0</v>
      </c>
      <c r="U132" s="4">
        <v>0</v>
      </c>
      <c r="V132" s="4">
        <f>IF(ISERROR(VLOOKUP($S$132,'TAR FIN'!$A$1:$O$99,15,0)),0,VLOOKUP($S$132,'TAR FIN'!$A$1:$O$99,15,0))</f>
        <v>26.46</v>
      </c>
      <c r="W132" s="4">
        <f>IF(ISERROR(VLOOKUP($T$132,'TAR FIN'!$A$1:$O$99,15,0)),0,VLOOKUP($T$132,'TAR FIN'!$A$1:$O$99,15,0))</f>
        <v>0</v>
      </c>
      <c r="X132" s="4">
        <f>IF(ISERROR(VLOOKUP($U$132,'TAR FIN'!$A$1:$O$99,15,0)),0,VLOOKUP($U$132,'TAR FIN'!$A$1:$O$99,15,0))</f>
        <v>0</v>
      </c>
      <c r="Y132" s="4">
        <f ca="1">('TUSD BE'!$AM$5+'TUSD BF'!$AM$5+'TUSD CVA'!$AM$5)*1</f>
        <v>30.337295464550692</v>
      </c>
      <c r="Z132" s="4">
        <f ca="1">('TUSD BE'!$AM$7+'TUSD BF'!$AM$7+'TUSD CVA'!$AM$7)*1</f>
        <v>76.243476502957677</v>
      </c>
      <c r="AA132" s="4"/>
      <c r="AB132" s="4">
        <f>$K$132*$V$132</f>
        <v>105.84000000000292</v>
      </c>
      <c r="AC132" s="4">
        <f>$M$132*$W$132</f>
        <v>0</v>
      </c>
      <c r="AD132" s="4">
        <f>$O$132*$X$132</f>
        <v>0</v>
      </c>
      <c r="AE132" s="4">
        <f ca="1">$K$132*$Y$132</f>
        <v>121.34918185820611</v>
      </c>
      <c r="AF132" s="4">
        <f ca="1">$M$132*$Z$132</f>
        <v>0</v>
      </c>
      <c r="AG132" s="4">
        <f>$O$132*$AA$132</f>
        <v>0</v>
      </c>
    </row>
    <row r="133" spans="1:33" ht="11.25" customHeight="1" x14ac:dyDescent="0.25">
      <c r="A133" s="3" t="s">
        <v>21</v>
      </c>
      <c r="B133" s="3" t="s">
        <v>41</v>
      </c>
      <c r="C133" s="3" t="s">
        <v>42</v>
      </c>
      <c r="D133" s="3" t="s">
        <v>40</v>
      </c>
      <c r="E133" s="3" t="s">
        <v>25</v>
      </c>
      <c r="F133" s="3" t="s">
        <v>60</v>
      </c>
      <c r="G133" s="3" t="s">
        <v>25</v>
      </c>
      <c r="H133" s="3" t="s">
        <v>35</v>
      </c>
      <c r="I133" s="6">
        <v>44470</v>
      </c>
      <c r="J133" s="4">
        <v>5000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3" t="s">
        <v>57</v>
      </c>
      <c r="R133" s="3">
        <v>0</v>
      </c>
      <c r="S133" s="4">
        <v>92</v>
      </c>
      <c r="T133" s="4">
        <v>0</v>
      </c>
      <c r="U133" s="4">
        <v>0</v>
      </c>
      <c r="V133" s="4">
        <f>IF(ISERROR(VLOOKUP($S$133,'TAR FIN'!$A$1:$O$99,15,0)),0,VLOOKUP($S$133,'TAR FIN'!$A$1:$O$99,15,0))</f>
        <v>26.46</v>
      </c>
      <c r="W133" s="4">
        <f>IF(ISERROR(VLOOKUP($T$133,'TAR FIN'!$A$1:$O$99,15,0)),0,VLOOKUP($T$133,'TAR FIN'!$A$1:$O$99,15,0))</f>
        <v>0</v>
      </c>
      <c r="X133" s="4">
        <f>IF(ISERROR(VLOOKUP($U$133,'TAR FIN'!$A$1:$O$99,15,0)),0,VLOOKUP($U$133,'TAR FIN'!$A$1:$O$99,15,0))</f>
        <v>0</v>
      </c>
      <c r="Y133" s="4">
        <f ca="1">('TUSD BE'!$AM$5+'TUSD BF'!$AM$5+'TUSD CVA'!$AM$5)*1</f>
        <v>30.337295464550692</v>
      </c>
      <c r="Z133" s="4">
        <f ca="1">('TUSD BE'!$AM$7+'TUSD BF'!$AM$7+'TUSD CVA'!$AM$7)*1</f>
        <v>76.243476502957677</v>
      </c>
      <c r="AA133" s="4"/>
      <c r="AB133" s="4">
        <f>$K$133*$V$133</f>
        <v>0</v>
      </c>
      <c r="AC133" s="4">
        <f>$M$133*$W$133</f>
        <v>0</v>
      </c>
      <c r="AD133" s="4">
        <f>$O$133*$X$133</f>
        <v>0</v>
      </c>
      <c r="AE133" s="4">
        <f ca="1">$K$133*$Y$133</f>
        <v>0</v>
      </c>
      <c r="AF133" s="4">
        <f ca="1">$M$133*$Z$133</f>
        <v>0</v>
      </c>
      <c r="AG133" s="4">
        <f>$O$133*$AA$133</f>
        <v>0</v>
      </c>
    </row>
    <row r="134" spans="1:33" ht="11.25" customHeight="1" x14ac:dyDescent="0.25">
      <c r="A134" s="3" t="s">
        <v>21</v>
      </c>
      <c r="B134" s="3" t="s">
        <v>41</v>
      </c>
      <c r="C134" s="3" t="s">
        <v>42</v>
      </c>
      <c r="D134" s="3" t="s">
        <v>40</v>
      </c>
      <c r="E134" s="3" t="s">
        <v>25</v>
      </c>
      <c r="F134" s="3" t="s">
        <v>60</v>
      </c>
      <c r="G134" s="3" t="s">
        <v>25</v>
      </c>
      <c r="H134" s="3" t="s">
        <v>35</v>
      </c>
      <c r="I134" s="6">
        <v>44501</v>
      </c>
      <c r="J134" s="4">
        <v>5000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3" t="s">
        <v>57</v>
      </c>
      <c r="R134" s="3">
        <v>0</v>
      </c>
      <c r="S134" s="4">
        <v>92</v>
      </c>
      <c r="T134" s="4">
        <v>0</v>
      </c>
      <c r="U134" s="4">
        <v>0</v>
      </c>
      <c r="V134" s="4">
        <f>IF(ISERROR(VLOOKUP($S$134,'TAR FIN'!$A$1:$O$99,15,0)),0,VLOOKUP($S$134,'TAR FIN'!$A$1:$O$99,15,0))</f>
        <v>26.46</v>
      </c>
      <c r="W134" s="4">
        <f>IF(ISERROR(VLOOKUP($T$134,'TAR FIN'!$A$1:$O$99,15,0)),0,VLOOKUP($T$134,'TAR FIN'!$A$1:$O$99,15,0))</f>
        <v>0</v>
      </c>
      <c r="X134" s="4">
        <f>IF(ISERROR(VLOOKUP($U$134,'TAR FIN'!$A$1:$O$99,15,0)),0,VLOOKUP($U$134,'TAR FIN'!$A$1:$O$99,15,0))</f>
        <v>0</v>
      </c>
      <c r="Y134" s="4">
        <f ca="1">('TUSD BE'!$AM$5+'TUSD BF'!$AM$5+'TUSD CVA'!$AM$5)*1</f>
        <v>30.337295464550692</v>
      </c>
      <c r="Z134" s="4">
        <f ca="1">('TUSD BE'!$AM$7+'TUSD BF'!$AM$7+'TUSD CVA'!$AM$7)*1</f>
        <v>76.243476502957677</v>
      </c>
      <c r="AA134" s="4"/>
      <c r="AB134" s="4">
        <f>$K$134*$V$134</f>
        <v>0</v>
      </c>
      <c r="AC134" s="4">
        <f>$M$134*$W$134</f>
        <v>0</v>
      </c>
      <c r="AD134" s="4">
        <f>$O$134*$X$134</f>
        <v>0</v>
      </c>
      <c r="AE134" s="4">
        <f ca="1">$K$134*$Y$134</f>
        <v>0</v>
      </c>
      <c r="AF134" s="4">
        <f ca="1">$M$134*$Z$134</f>
        <v>0</v>
      </c>
      <c r="AG134" s="4">
        <f>$O$134*$AA$134</f>
        <v>0</v>
      </c>
    </row>
    <row r="135" spans="1:33" ht="11.25" customHeight="1" x14ac:dyDescent="0.25">
      <c r="A135" s="3" t="s">
        <v>21</v>
      </c>
      <c r="B135" s="3" t="s">
        <v>41</v>
      </c>
      <c r="C135" s="3" t="s">
        <v>42</v>
      </c>
      <c r="D135" s="3" t="s">
        <v>40</v>
      </c>
      <c r="E135" s="3" t="s">
        <v>25</v>
      </c>
      <c r="F135" s="3" t="s">
        <v>60</v>
      </c>
      <c r="G135" s="3" t="s">
        <v>25</v>
      </c>
      <c r="H135" s="3" t="s">
        <v>35</v>
      </c>
      <c r="I135" s="6">
        <v>44531</v>
      </c>
      <c r="J135" s="4">
        <v>13389</v>
      </c>
      <c r="K135" s="4">
        <v>6694.5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3" t="s">
        <v>57</v>
      </c>
      <c r="R135" s="3">
        <v>0</v>
      </c>
      <c r="S135" s="4">
        <v>92</v>
      </c>
      <c r="T135" s="4">
        <v>0</v>
      </c>
      <c r="U135" s="4">
        <v>0</v>
      </c>
      <c r="V135" s="4">
        <f>IF(ISERROR(VLOOKUP($S$135,'TAR FIN'!$A$1:$O$99,15,0)),0,VLOOKUP($S$135,'TAR FIN'!$A$1:$O$99,15,0))</f>
        <v>26.46</v>
      </c>
      <c r="W135" s="4">
        <f>IF(ISERROR(VLOOKUP($T$135,'TAR FIN'!$A$1:$O$99,15,0)),0,VLOOKUP($T$135,'TAR FIN'!$A$1:$O$99,15,0))</f>
        <v>0</v>
      </c>
      <c r="X135" s="4">
        <f>IF(ISERROR(VLOOKUP($U$135,'TAR FIN'!$A$1:$O$99,15,0)),0,VLOOKUP($U$135,'TAR FIN'!$A$1:$O$99,15,0))</f>
        <v>0</v>
      </c>
      <c r="Y135" s="4">
        <f ca="1">('TUSD BE'!$AM$5+'TUSD BF'!$AM$5+'TUSD CVA'!$AM$5)*1</f>
        <v>30.337295464550692</v>
      </c>
      <c r="Z135" s="4">
        <f ca="1">('TUSD BE'!$AM$7+'TUSD BF'!$AM$7+'TUSD CVA'!$AM$7)*1</f>
        <v>76.243476502957677</v>
      </c>
      <c r="AA135" s="4"/>
      <c r="AB135" s="4">
        <f>$K$135*$V$135</f>
        <v>177136.47</v>
      </c>
      <c r="AC135" s="4">
        <f>$M$135*$W$135</f>
        <v>0</v>
      </c>
      <c r="AD135" s="4">
        <f>$O$135*$X$135</f>
        <v>0</v>
      </c>
      <c r="AE135" s="4">
        <f ca="1">$K$135*$Y$135</f>
        <v>203093.0244874346</v>
      </c>
      <c r="AF135" s="4">
        <f ca="1">$M$135*$Z$135</f>
        <v>0</v>
      </c>
      <c r="AG135" s="4">
        <f>$O$135*$AA$135</f>
        <v>0</v>
      </c>
    </row>
    <row r="136" spans="1:33" ht="11.25" customHeight="1" x14ac:dyDescent="0.25">
      <c r="A136" s="3" t="s">
        <v>21</v>
      </c>
      <c r="B136" s="3" t="s">
        <v>41</v>
      </c>
      <c r="C136" s="3" t="s">
        <v>42</v>
      </c>
      <c r="D136" s="3" t="s">
        <v>40</v>
      </c>
      <c r="E136" s="3" t="s">
        <v>25</v>
      </c>
      <c r="F136" s="3" t="s">
        <v>60</v>
      </c>
      <c r="G136" s="3" t="s">
        <v>25</v>
      </c>
      <c r="H136" s="3" t="s">
        <v>35</v>
      </c>
      <c r="I136" s="6">
        <v>44562</v>
      </c>
      <c r="J136" s="4">
        <v>6770</v>
      </c>
      <c r="K136" s="4">
        <v>3385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3" t="s">
        <v>57</v>
      </c>
      <c r="R136" s="3">
        <v>0</v>
      </c>
      <c r="S136" s="4">
        <v>92</v>
      </c>
      <c r="T136" s="4">
        <v>0</v>
      </c>
      <c r="U136" s="4">
        <v>0</v>
      </c>
      <c r="V136" s="4">
        <f>IF(ISERROR(VLOOKUP($S$136,'TAR FIN'!$A$1:$O$99,15,0)),0,VLOOKUP($S$136,'TAR FIN'!$A$1:$O$99,15,0))</f>
        <v>26.46</v>
      </c>
      <c r="W136" s="4">
        <f>IF(ISERROR(VLOOKUP($T$136,'TAR FIN'!$A$1:$O$99,15,0)),0,VLOOKUP($T$136,'TAR FIN'!$A$1:$O$99,15,0))</f>
        <v>0</v>
      </c>
      <c r="X136" s="4">
        <f>IF(ISERROR(VLOOKUP($U$136,'TAR FIN'!$A$1:$O$99,15,0)),0,VLOOKUP($U$136,'TAR FIN'!$A$1:$O$99,15,0))</f>
        <v>0</v>
      </c>
      <c r="Y136" s="4">
        <f ca="1">('TUSD BE'!$AM$5+'TUSD BF'!$AM$5+'TUSD CVA'!$AM$5)*1</f>
        <v>30.337295464550692</v>
      </c>
      <c r="Z136" s="4">
        <f ca="1">('TUSD BE'!$AM$7+'TUSD BF'!$AM$7+'TUSD CVA'!$AM$7)*1</f>
        <v>76.243476502957677</v>
      </c>
      <c r="AA136" s="4"/>
      <c r="AB136" s="4">
        <f>$K$136*$V$136</f>
        <v>89567.1</v>
      </c>
      <c r="AC136" s="4">
        <f>$M$136*$W$136</f>
        <v>0</v>
      </c>
      <c r="AD136" s="4">
        <f>$O$136*$X$136</f>
        <v>0</v>
      </c>
      <c r="AE136" s="4">
        <f ca="1">$K$136*$Y$136</f>
        <v>102691.74514750409</v>
      </c>
      <c r="AF136" s="4">
        <f ca="1">$M$136*$Z$136</f>
        <v>0</v>
      </c>
      <c r="AG136" s="4">
        <f>$O$136*$AA$136</f>
        <v>0</v>
      </c>
    </row>
    <row r="137" spans="1:33" ht="11.25" customHeight="1" x14ac:dyDescent="0.25">
      <c r="A137" s="3" t="s">
        <v>21</v>
      </c>
      <c r="B137" s="3" t="s">
        <v>41</v>
      </c>
      <c r="C137" s="3" t="s">
        <v>42</v>
      </c>
      <c r="D137" s="3" t="s">
        <v>40</v>
      </c>
      <c r="E137" s="3" t="s">
        <v>25</v>
      </c>
      <c r="F137" s="3" t="s">
        <v>60</v>
      </c>
      <c r="G137" s="3" t="s">
        <v>25</v>
      </c>
      <c r="H137" s="3" t="s">
        <v>35</v>
      </c>
      <c r="I137" s="6">
        <v>44593</v>
      </c>
      <c r="J137" s="4">
        <v>10565</v>
      </c>
      <c r="K137" s="4">
        <v>5282.5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3" t="s">
        <v>57</v>
      </c>
      <c r="R137" s="3">
        <v>0</v>
      </c>
      <c r="S137" s="4">
        <v>92</v>
      </c>
      <c r="T137" s="4">
        <v>0</v>
      </c>
      <c r="U137" s="4">
        <v>0</v>
      </c>
      <c r="V137" s="4">
        <f>IF(ISERROR(VLOOKUP($S$137,'TAR FIN'!$A$1:$O$99,15,0)),0,VLOOKUP($S$137,'TAR FIN'!$A$1:$O$99,15,0))</f>
        <v>26.46</v>
      </c>
      <c r="W137" s="4">
        <f>IF(ISERROR(VLOOKUP($T$137,'TAR FIN'!$A$1:$O$99,15,0)),0,VLOOKUP($T$137,'TAR FIN'!$A$1:$O$99,15,0))</f>
        <v>0</v>
      </c>
      <c r="X137" s="4">
        <f>IF(ISERROR(VLOOKUP($U$137,'TAR FIN'!$A$1:$O$99,15,0)),0,VLOOKUP($U$137,'TAR FIN'!$A$1:$O$99,15,0))</f>
        <v>0</v>
      </c>
      <c r="Y137" s="4">
        <f ca="1">('TUSD BE'!$AM$5+'TUSD BF'!$AM$5+'TUSD CVA'!$AM$5)*1</f>
        <v>30.337295464550692</v>
      </c>
      <c r="Z137" s="4">
        <f ca="1">('TUSD BE'!$AM$7+'TUSD BF'!$AM$7+'TUSD CVA'!$AM$7)*1</f>
        <v>76.243476502957677</v>
      </c>
      <c r="AA137" s="4"/>
      <c r="AB137" s="4">
        <f>$K$137*$V$137</f>
        <v>139774.95000000001</v>
      </c>
      <c r="AC137" s="4">
        <f>$M$137*$W$137</f>
        <v>0</v>
      </c>
      <c r="AD137" s="4">
        <f>$O$137*$X$137</f>
        <v>0</v>
      </c>
      <c r="AE137" s="4">
        <f ca="1">$K$137*$Y$137</f>
        <v>160256.76329148904</v>
      </c>
      <c r="AF137" s="4">
        <f ca="1">$M$137*$Z$137</f>
        <v>0</v>
      </c>
      <c r="AG137" s="4">
        <f>$O$137*$AA$137</f>
        <v>0</v>
      </c>
    </row>
    <row r="138" spans="1:33" ht="11.25" customHeight="1" x14ac:dyDescent="0.25">
      <c r="A138" s="3" t="s">
        <v>21</v>
      </c>
      <c r="B138" s="3" t="s">
        <v>41</v>
      </c>
      <c r="C138" s="3" t="s">
        <v>42</v>
      </c>
      <c r="D138" s="3" t="s">
        <v>40</v>
      </c>
      <c r="E138" s="3" t="s">
        <v>25</v>
      </c>
      <c r="F138" s="3" t="s">
        <v>60</v>
      </c>
      <c r="G138" s="3" t="s">
        <v>25</v>
      </c>
      <c r="H138" s="3" t="s">
        <v>35</v>
      </c>
      <c r="I138" s="6">
        <v>44621</v>
      </c>
      <c r="J138" s="4">
        <v>10565</v>
      </c>
      <c r="K138" s="4">
        <v>5282.5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3" t="s">
        <v>57</v>
      </c>
      <c r="R138" s="3">
        <v>0</v>
      </c>
      <c r="S138" s="4">
        <v>92</v>
      </c>
      <c r="T138" s="4">
        <v>0</v>
      </c>
      <c r="U138" s="4">
        <v>0</v>
      </c>
      <c r="V138" s="4">
        <f>IF(ISERROR(VLOOKUP($S$138,'TAR FIN'!$A$1:$O$99,15,0)),0,VLOOKUP($S$138,'TAR FIN'!$A$1:$O$99,15,0))</f>
        <v>26.46</v>
      </c>
      <c r="W138" s="4">
        <f>IF(ISERROR(VLOOKUP($T$138,'TAR FIN'!$A$1:$O$99,15,0)),0,VLOOKUP($T$138,'TAR FIN'!$A$1:$O$99,15,0))</f>
        <v>0</v>
      </c>
      <c r="X138" s="4">
        <f>IF(ISERROR(VLOOKUP($U$138,'TAR FIN'!$A$1:$O$99,15,0)),0,VLOOKUP($U$138,'TAR FIN'!$A$1:$O$99,15,0))</f>
        <v>0</v>
      </c>
      <c r="Y138" s="4">
        <f ca="1">('TUSD BE'!$AM$5+'TUSD BF'!$AM$5+'TUSD CVA'!$AM$5)*1</f>
        <v>30.337295464550692</v>
      </c>
      <c r="Z138" s="4">
        <f ca="1">('TUSD BE'!$AM$7+'TUSD BF'!$AM$7+'TUSD CVA'!$AM$7)*1</f>
        <v>76.243476502957677</v>
      </c>
      <c r="AA138" s="4"/>
      <c r="AB138" s="4">
        <f>$K$138*$V$138</f>
        <v>139774.95000000001</v>
      </c>
      <c r="AC138" s="4">
        <f>$M$138*$W$138</f>
        <v>0</v>
      </c>
      <c r="AD138" s="4">
        <f>$O$138*$X$138</f>
        <v>0</v>
      </c>
      <c r="AE138" s="4">
        <f ca="1">$K$138*$Y$138</f>
        <v>160256.76329148904</v>
      </c>
      <c r="AF138" s="4">
        <f ca="1">$M$138*$Z$138</f>
        <v>0</v>
      </c>
      <c r="AG138" s="4">
        <f>$O$138*$AA$138</f>
        <v>0</v>
      </c>
    </row>
    <row r="139" spans="1:33" ht="11.25" customHeight="1" x14ac:dyDescent="0.25">
      <c r="A139" s="3" t="s">
        <v>56</v>
      </c>
      <c r="B139" s="3" t="s">
        <v>41</v>
      </c>
      <c r="C139" s="3" t="s">
        <v>42</v>
      </c>
      <c r="D139" s="3" t="s">
        <v>40</v>
      </c>
      <c r="E139" s="3" t="s">
        <v>25</v>
      </c>
      <c r="F139" s="3" t="s">
        <v>60</v>
      </c>
      <c r="G139" s="3" t="s">
        <v>25</v>
      </c>
      <c r="H139" s="3" t="s">
        <v>35</v>
      </c>
      <c r="I139" s="6">
        <v>44652</v>
      </c>
      <c r="J139" s="4">
        <v>10565</v>
      </c>
      <c r="K139" s="4">
        <v>5282.5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3" t="s">
        <v>57</v>
      </c>
      <c r="R139" s="3">
        <v>0</v>
      </c>
      <c r="S139" s="4">
        <v>92</v>
      </c>
      <c r="T139" s="4">
        <v>0</v>
      </c>
      <c r="U139" s="4">
        <v>0</v>
      </c>
      <c r="V139" s="4">
        <f>IF(ISERROR(VLOOKUP($S$139,'TAR FIN'!$A$1:$O$99,15,0)),0,VLOOKUP($S$139,'TAR FIN'!$A$1:$O$99,15,0))</f>
        <v>26.46</v>
      </c>
      <c r="W139" s="4">
        <f>IF(ISERROR(VLOOKUP($T$139,'TAR FIN'!$A$1:$O$99,15,0)),0,VLOOKUP($T$139,'TAR FIN'!$A$1:$O$99,15,0))</f>
        <v>0</v>
      </c>
      <c r="X139" s="4">
        <f>IF(ISERROR(VLOOKUP($U$139,'TAR FIN'!$A$1:$O$99,15,0)),0,VLOOKUP($U$139,'TAR FIN'!$A$1:$O$99,15,0))</f>
        <v>0</v>
      </c>
      <c r="Y139" s="4">
        <f ca="1">('TUSD BE'!$AM$5+'TUSD BF'!$AM$5+'TUSD CVA'!$AM$5)*1</f>
        <v>30.337295464550692</v>
      </c>
      <c r="Z139" s="4">
        <f ca="1">('TUSD BE'!$AM$7+'TUSD BF'!$AM$7+'TUSD CVA'!$AM$7)*1</f>
        <v>76.243476502957677</v>
      </c>
      <c r="AA139" s="4"/>
      <c r="AB139" s="4">
        <f>$K$139*$V$139</f>
        <v>139774.95000000001</v>
      </c>
      <c r="AC139" s="4">
        <f>$M$139*$W$139</f>
        <v>0</v>
      </c>
      <c r="AD139" s="4">
        <f>$O$139*$X$139</f>
        <v>0</v>
      </c>
      <c r="AE139" s="4">
        <f ca="1">$K$139*$Y$139</f>
        <v>160256.76329148904</v>
      </c>
      <c r="AF139" s="4">
        <f ca="1">$M$139*$Z$139</f>
        <v>0</v>
      </c>
      <c r="AG139" s="4">
        <f>$O$139*$AA$139</f>
        <v>0</v>
      </c>
    </row>
    <row r="140" spans="1:33" ht="11.25" customHeight="1" x14ac:dyDescent="0.25">
      <c r="A140" s="3" t="s">
        <v>21</v>
      </c>
      <c r="B140" s="3" t="s">
        <v>41</v>
      </c>
      <c r="C140" s="3" t="s">
        <v>42</v>
      </c>
      <c r="D140" s="3" t="s">
        <v>40</v>
      </c>
      <c r="E140" s="3" t="s">
        <v>25</v>
      </c>
      <c r="F140" s="3" t="s">
        <v>25</v>
      </c>
      <c r="G140" s="3" t="s">
        <v>25</v>
      </c>
      <c r="H140" s="3" t="s">
        <v>36</v>
      </c>
      <c r="I140" s="6">
        <v>44317</v>
      </c>
      <c r="J140" s="4">
        <v>4840</v>
      </c>
      <c r="K140" s="4">
        <v>4840</v>
      </c>
      <c r="L140" s="4">
        <v>621.27200000000005</v>
      </c>
      <c r="M140" s="4">
        <v>621.27200000000005</v>
      </c>
      <c r="N140" s="4">
        <v>621.27200000000005</v>
      </c>
      <c r="O140" s="4">
        <v>621.27200000000005</v>
      </c>
      <c r="P140" s="4">
        <v>0</v>
      </c>
      <c r="Q140" s="3" t="s">
        <v>26</v>
      </c>
      <c r="R140" s="3">
        <v>0</v>
      </c>
      <c r="S140" s="4">
        <v>93</v>
      </c>
      <c r="T140" s="4">
        <v>94</v>
      </c>
      <c r="U140" s="4">
        <v>48</v>
      </c>
      <c r="V140" s="4">
        <f>IF(ISERROR(VLOOKUP($S$140,'TAR FIN'!$A$1:$O$99,15,0)),0,VLOOKUP($S$140,'TAR FIN'!$A$1:$O$99,15,0))</f>
        <v>15.23</v>
      </c>
      <c r="W140" s="4">
        <f>IF(ISERROR(VLOOKUP($T$140,'TAR FIN'!$A$1:$O$99,15,0)),0,VLOOKUP($T$140,'TAR FIN'!$A$1:$O$99,15,0))</f>
        <v>65.13</v>
      </c>
      <c r="X140" s="4">
        <f>IF(ISERROR(VLOOKUP($U$140,'TAR FIN'!$A$1:$O$99,15,0)),0,VLOOKUP($U$140,'TAR FIN'!$A$1:$O$99,15,0))</f>
        <v>219.97</v>
      </c>
      <c r="Y140" s="4">
        <f ca="1">('TUSD BE'!$AM$6+'TUSD BF'!$AM$6+'TUSD CVA'!$AM$6)*1</f>
        <v>16.343876453142602</v>
      </c>
      <c r="Z140" s="4">
        <f ca="1">('TUSD BE'!$AM$7+'TUSD BF'!$AM$7+'TUSD CVA'!$AM$7)*1</f>
        <v>76.243476502957677</v>
      </c>
      <c r="AA140" s="4">
        <f>('TE BE'!$AA$6+'TE BF'!$AA$6+'TE CVA'!$AA$6)*1</f>
        <v>271.13910989737087</v>
      </c>
      <c r="AB140" s="4">
        <f>$K$140*$V$140</f>
        <v>73713.2</v>
      </c>
      <c r="AC140" s="4">
        <f>$M$140*$W$140</f>
        <v>40463.445359999998</v>
      </c>
      <c r="AD140" s="4">
        <f>$O$140*$X$140</f>
        <v>136661.20184000002</v>
      </c>
      <c r="AE140" s="4">
        <f ca="1">$K$140*$Y$140</f>
        <v>79104.3620332102</v>
      </c>
      <c r="AF140" s="4">
        <f ca="1">$M$140*$Z$140</f>
        <v>47367.937133945525</v>
      </c>
      <c r="AG140" s="4">
        <f>$O$140*$AA$140</f>
        <v>168451.13708415942</v>
      </c>
    </row>
    <row r="141" spans="1:33" ht="11.25" customHeight="1" x14ac:dyDescent="0.25">
      <c r="A141" s="3" t="s">
        <v>28</v>
      </c>
      <c r="B141" s="3" t="s">
        <v>41</v>
      </c>
      <c r="C141" s="3" t="s">
        <v>42</v>
      </c>
      <c r="D141" s="3" t="s">
        <v>40</v>
      </c>
      <c r="E141" s="3" t="s">
        <v>25</v>
      </c>
      <c r="F141" s="3" t="s">
        <v>25</v>
      </c>
      <c r="G141" s="3" t="s">
        <v>25</v>
      </c>
      <c r="H141" s="3" t="s">
        <v>36</v>
      </c>
      <c r="I141" s="6">
        <v>44317</v>
      </c>
      <c r="J141" s="4">
        <v>100</v>
      </c>
      <c r="K141" s="4">
        <v>100</v>
      </c>
      <c r="L141" s="4">
        <v>5.9320000000000004</v>
      </c>
      <c r="M141" s="4">
        <v>5.9320000000000004</v>
      </c>
      <c r="N141" s="4">
        <v>5.9320000000000004</v>
      </c>
      <c r="O141" s="4">
        <v>5.9320000000000004</v>
      </c>
      <c r="P141" s="4">
        <v>0</v>
      </c>
      <c r="Q141" s="3" t="s">
        <v>26</v>
      </c>
      <c r="R141" s="3">
        <v>0</v>
      </c>
      <c r="S141" s="4">
        <v>93</v>
      </c>
      <c r="T141" s="4">
        <v>94</v>
      </c>
      <c r="U141" s="4">
        <v>48</v>
      </c>
      <c r="V141" s="4">
        <f>IF(ISERROR(VLOOKUP($S$141,'TAR FIN'!$A$1:$O$99,15,0)),0,VLOOKUP($S$141,'TAR FIN'!$A$1:$O$99,15,0))</f>
        <v>15.23</v>
      </c>
      <c r="W141" s="4">
        <f>IF(ISERROR(VLOOKUP($T$141,'TAR FIN'!$A$1:$O$99,15,0)),0,VLOOKUP($T$141,'TAR FIN'!$A$1:$O$99,15,0))</f>
        <v>65.13</v>
      </c>
      <c r="X141" s="4">
        <f>IF(ISERROR(VLOOKUP($U$141,'TAR FIN'!$A$1:$O$99,15,0)),0,VLOOKUP($U$141,'TAR FIN'!$A$1:$O$99,15,0))</f>
        <v>219.97</v>
      </c>
      <c r="Y141" s="4">
        <f ca="1">('TUSD BE'!$AM$6+'TUSD BF'!$AM$6+'TUSD CVA'!$AM$6)*1</f>
        <v>16.343876453142602</v>
      </c>
      <c r="Z141" s="4">
        <f ca="1">('TUSD BE'!$AM$7+'TUSD BF'!$AM$7+'TUSD CVA'!$AM$7)*1</f>
        <v>76.243476502957677</v>
      </c>
      <c r="AA141" s="4">
        <f>('TE BE'!$AA$6+'TE BF'!$AA$6+'TE CVA'!$AA$6)*1</f>
        <v>271.13910989737087</v>
      </c>
      <c r="AB141" s="4">
        <f>$K$141*$V$141</f>
        <v>1523</v>
      </c>
      <c r="AC141" s="4">
        <f>$M$141*$W$141</f>
        <v>386.35115999999999</v>
      </c>
      <c r="AD141" s="4">
        <f>$O$141*$X$141</f>
        <v>1304.86204</v>
      </c>
      <c r="AE141" s="4">
        <f ca="1">$K$141*$Y$141</f>
        <v>1634.3876453142602</v>
      </c>
      <c r="AF141" s="4">
        <f ca="1">$M$141*$Z$141</f>
        <v>452.27630261554498</v>
      </c>
      <c r="AG141" s="4">
        <f>$O$141*$AA$141</f>
        <v>1608.3971999112041</v>
      </c>
    </row>
    <row r="142" spans="1:33" ht="11.25" customHeight="1" x14ac:dyDescent="0.25">
      <c r="A142" s="3" t="s">
        <v>21</v>
      </c>
      <c r="B142" s="3" t="s">
        <v>41</v>
      </c>
      <c r="C142" s="3" t="s">
        <v>42</v>
      </c>
      <c r="D142" s="3" t="s">
        <v>40</v>
      </c>
      <c r="E142" s="3" t="s">
        <v>25</v>
      </c>
      <c r="F142" s="3" t="s">
        <v>25</v>
      </c>
      <c r="G142" s="3" t="s">
        <v>25</v>
      </c>
      <c r="H142" s="3" t="s">
        <v>36</v>
      </c>
      <c r="I142" s="6">
        <v>44317</v>
      </c>
      <c r="J142" s="4">
        <v>49463</v>
      </c>
      <c r="K142" s="4">
        <v>49463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3" t="s">
        <v>57</v>
      </c>
      <c r="R142" s="3">
        <v>0</v>
      </c>
      <c r="S142" s="4">
        <v>93</v>
      </c>
      <c r="T142" s="4">
        <v>0</v>
      </c>
      <c r="U142" s="4">
        <v>0</v>
      </c>
      <c r="V142" s="4">
        <f>IF(ISERROR(VLOOKUP($S$142,'TAR FIN'!$A$1:$O$99,15,0)),0,VLOOKUP($S$142,'TAR FIN'!$A$1:$O$99,15,0))</f>
        <v>15.23</v>
      </c>
      <c r="W142" s="4">
        <f>IF(ISERROR(VLOOKUP($T$142,'TAR FIN'!$A$1:$O$99,15,0)),0,VLOOKUP($T$142,'TAR FIN'!$A$1:$O$99,15,0))</f>
        <v>0</v>
      </c>
      <c r="X142" s="4">
        <f>IF(ISERROR(VLOOKUP($U$142,'TAR FIN'!$A$1:$O$99,15,0)),0,VLOOKUP($U$142,'TAR FIN'!$A$1:$O$99,15,0))</f>
        <v>0</v>
      </c>
      <c r="Y142" s="4">
        <f ca="1">('TUSD BE'!$AM$6+'TUSD BF'!$AM$6+'TUSD CVA'!$AM$6)*1</f>
        <v>16.343876453142602</v>
      </c>
      <c r="Z142" s="4">
        <f ca="1">('TUSD BE'!$AM$7+'TUSD BF'!$AM$7+'TUSD CVA'!$AM$7)*1</f>
        <v>76.243476502957677</v>
      </c>
      <c r="AA142" s="4"/>
      <c r="AB142" s="4">
        <f>$K$142*$V$142</f>
        <v>753321.49</v>
      </c>
      <c r="AC142" s="4">
        <f>$M$142*$W$142</f>
        <v>0</v>
      </c>
      <c r="AD142" s="4">
        <f>$O$142*$X$142</f>
        <v>0</v>
      </c>
      <c r="AE142" s="4">
        <f ca="1">$K$142*$Y$142</f>
        <v>808417.16100179253</v>
      </c>
      <c r="AF142" s="4">
        <f ca="1">$M$142*$Z$142</f>
        <v>0</v>
      </c>
      <c r="AG142" s="4">
        <f>$O$142*$AA$142</f>
        <v>0</v>
      </c>
    </row>
    <row r="143" spans="1:33" ht="11.25" customHeight="1" x14ac:dyDescent="0.25">
      <c r="A143" s="3" t="s">
        <v>21</v>
      </c>
      <c r="B143" s="3" t="s">
        <v>41</v>
      </c>
      <c r="C143" s="3" t="s">
        <v>42</v>
      </c>
      <c r="D143" s="3" t="s">
        <v>40</v>
      </c>
      <c r="E143" s="3" t="s">
        <v>25</v>
      </c>
      <c r="F143" s="3" t="s">
        <v>25</v>
      </c>
      <c r="G143" s="3" t="s">
        <v>25</v>
      </c>
      <c r="H143" s="3" t="s">
        <v>36</v>
      </c>
      <c r="I143" s="6">
        <v>44348</v>
      </c>
      <c r="J143" s="4">
        <v>4921</v>
      </c>
      <c r="K143" s="4">
        <v>4921</v>
      </c>
      <c r="L143" s="4">
        <v>705.63099999999997</v>
      </c>
      <c r="M143" s="4">
        <v>705.63099999999997</v>
      </c>
      <c r="N143" s="4">
        <v>705.63099999999997</v>
      </c>
      <c r="O143" s="4">
        <v>705.63099999999997</v>
      </c>
      <c r="P143" s="4">
        <v>0</v>
      </c>
      <c r="Q143" s="3" t="s">
        <v>26</v>
      </c>
      <c r="R143" s="3">
        <v>0</v>
      </c>
      <c r="S143" s="4">
        <v>93</v>
      </c>
      <c r="T143" s="4">
        <v>94</v>
      </c>
      <c r="U143" s="4">
        <v>48</v>
      </c>
      <c r="V143" s="4">
        <f>IF(ISERROR(VLOOKUP($S$143,'TAR FIN'!$A$1:$O$99,15,0)),0,VLOOKUP($S$143,'TAR FIN'!$A$1:$O$99,15,0))</f>
        <v>15.23</v>
      </c>
      <c r="W143" s="4">
        <f>IF(ISERROR(VLOOKUP($T$143,'TAR FIN'!$A$1:$O$99,15,0)),0,VLOOKUP($T$143,'TAR FIN'!$A$1:$O$99,15,0))</f>
        <v>65.13</v>
      </c>
      <c r="X143" s="4">
        <f>IF(ISERROR(VLOOKUP($U$143,'TAR FIN'!$A$1:$O$99,15,0)),0,VLOOKUP($U$143,'TAR FIN'!$A$1:$O$99,15,0))</f>
        <v>219.97</v>
      </c>
      <c r="Y143" s="4">
        <f ca="1">('TUSD BE'!$AM$6+'TUSD BF'!$AM$6+'TUSD CVA'!$AM$6)*1</f>
        <v>16.343876453142602</v>
      </c>
      <c r="Z143" s="4">
        <f ca="1">('TUSD BE'!$AM$7+'TUSD BF'!$AM$7+'TUSD CVA'!$AM$7)*1</f>
        <v>76.243476502957677</v>
      </c>
      <c r="AA143" s="4">
        <f>('TE BE'!$AA$6+'TE BF'!$AA$6+'TE CVA'!$AA$6)*1</f>
        <v>271.13910989737087</v>
      </c>
      <c r="AB143" s="4">
        <f>$K$143*$V$143</f>
        <v>74946.83</v>
      </c>
      <c r="AC143" s="4">
        <f>$M$143*$W$143</f>
        <v>45957.747029999991</v>
      </c>
      <c r="AD143" s="4">
        <f>$O$143*$X$143</f>
        <v>155217.65106999999</v>
      </c>
      <c r="AE143" s="4">
        <f ca="1">$K$143*$Y$143</f>
        <v>80428.216025914749</v>
      </c>
      <c r="AF143" s="4">
        <f ca="1">$M$143*$Z$143</f>
        <v>53799.760568258527</v>
      </c>
      <c r="AG143" s="4">
        <f>$O$143*$AA$143</f>
        <v>191324.1612559917</v>
      </c>
    </row>
    <row r="144" spans="1:33" ht="11.25" customHeight="1" x14ac:dyDescent="0.25">
      <c r="A144" s="3" t="s">
        <v>28</v>
      </c>
      <c r="B144" s="3" t="s">
        <v>41</v>
      </c>
      <c r="C144" s="3" t="s">
        <v>42</v>
      </c>
      <c r="D144" s="3" t="s">
        <v>40</v>
      </c>
      <c r="E144" s="3" t="s">
        <v>25</v>
      </c>
      <c r="F144" s="3" t="s">
        <v>25</v>
      </c>
      <c r="G144" s="3" t="s">
        <v>25</v>
      </c>
      <c r="H144" s="3" t="s">
        <v>36</v>
      </c>
      <c r="I144" s="6">
        <v>44348</v>
      </c>
      <c r="J144" s="4">
        <v>100</v>
      </c>
      <c r="K144" s="4">
        <v>100</v>
      </c>
      <c r="L144" s="4">
        <v>6.3680000000000003</v>
      </c>
      <c r="M144" s="4">
        <v>6.3680000000000003</v>
      </c>
      <c r="N144" s="4">
        <v>6.3680000000000003</v>
      </c>
      <c r="O144" s="4">
        <v>6.3680000000000003</v>
      </c>
      <c r="P144" s="4">
        <v>0</v>
      </c>
      <c r="Q144" s="3" t="s">
        <v>26</v>
      </c>
      <c r="R144" s="3">
        <v>0</v>
      </c>
      <c r="S144" s="4">
        <v>93</v>
      </c>
      <c r="T144" s="4">
        <v>94</v>
      </c>
      <c r="U144" s="4">
        <v>48</v>
      </c>
      <c r="V144" s="4">
        <f>IF(ISERROR(VLOOKUP($S$144,'TAR FIN'!$A$1:$O$99,15,0)),0,VLOOKUP($S$144,'TAR FIN'!$A$1:$O$99,15,0))</f>
        <v>15.23</v>
      </c>
      <c r="W144" s="4">
        <f>IF(ISERROR(VLOOKUP($T$144,'TAR FIN'!$A$1:$O$99,15,0)),0,VLOOKUP($T$144,'TAR FIN'!$A$1:$O$99,15,0))</f>
        <v>65.13</v>
      </c>
      <c r="X144" s="4">
        <f>IF(ISERROR(VLOOKUP($U$144,'TAR FIN'!$A$1:$O$99,15,0)),0,VLOOKUP($U$144,'TAR FIN'!$A$1:$O$99,15,0))</f>
        <v>219.97</v>
      </c>
      <c r="Y144" s="4">
        <f ca="1">('TUSD BE'!$AM$6+'TUSD BF'!$AM$6+'TUSD CVA'!$AM$6)*1</f>
        <v>16.343876453142602</v>
      </c>
      <c r="Z144" s="4">
        <f ca="1">('TUSD BE'!$AM$7+'TUSD BF'!$AM$7+'TUSD CVA'!$AM$7)*1</f>
        <v>76.243476502957677</v>
      </c>
      <c r="AA144" s="4">
        <f>('TE BE'!$AA$6+'TE BF'!$AA$6+'TE CVA'!$AA$6)*1</f>
        <v>271.13910989737087</v>
      </c>
      <c r="AB144" s="4">
        <f>$K$144*$V$144</f>
        <v>1523</v>
      </c>
      <c r="AC144" s="4">
        <f>$M$144*$W$144</f>
        <v>414.74784</v>
      </c>
      <c r="AD144" s="4">
        <f>$O$144*$X$144</f>
        <v>1400.7689600000001</v>
      </c>
      <c r="AE144" s="4">
        <f ca="1">$K$144*$Y$144</f>
        <v>1634.3876453142602</v>
      </c>
      <c r="AF144" s="4">
        <f ca="1">$M$144*$Z$144</f>
        <v>485.51845837083454</v>
      </c>
      <c r="AG144" s="4">
        <f>$O$144*$AA$144</f>
        <v>1726.6138518264579</v>
      </c>
    </row>
    <row r="145" spans="1:33" ht="11.25" customHeight="1" x14ac:dyDescent="0.25">
      <c r="A145" s="3" t="s">
        <v>21</v>
      </c>
      <c r="B145" s="3" t="s">
        <v>41</v>
      </c>
      <c r="C145" s="3" t="s">
        <v>42</v>
      </c>
      <c r="D145" s="3" t="s">
        <v>40</v>
      </c>
      <c r="E145" s="3" t="s">
        <v>25</v>
      </c>
      <c r="F145" s="3" t="s">
        <v>25</v>
      </c>
      <c r="G145" s="3" t="s">
        <v>25</v>
      </c>
      <c r="H145" s="3" t="s">
        <v>36</v>
      </c>
      <c r="I145" s="6">
        <v>44348</v>
      </c>
      <c r="J145" s="4">
        <v>49155</v>
      </c>
      <c r="K145" s="4">
        <v>49155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3" t="s">
        <v>57</v>
      </c>
      <c r="R145" s="3">
        <v>0</v>
      </c>
      <c r="S145" s="4">
        <v>93</v>
      </c>
      <c r="T145" s="4">
        <v>0</v>
      </c>
      <c r="U145" s="4">
        <v>0</v>
      </c>
      <c r="V145" s="4">
        <f>IF(ISERROR(VLOOKUP($S$145,'TAR FIN'!$A$1:$O$99,15,0)),0,VLOOKUP($S$145,'TAR FIN'!$A$1:$O$99,15,0))</f>
        <v>15.23</v>
      </c>
      <c r="W145" s="4">
        <f>IF(ISERROR(VLOOKUP($T$145,'TAR FIN'!$A$1:$O$99,15,0)),0,VLOOKUP($T$145,'TAR FIN'!$A$1:$O$99,15,0))</f>
        <v>0</v>
      </c>
      <c r="X145" s="4">
        <f>IF(ISERROR(VLOOKUP($U$145,'TAR FIN'!$A$1:$O$99,15,0)),0,VLOOKUP($U$145,'TAR FIN'!$A$1:$O$99,15,0))</f>
        <v>0</v>
      </c>
      <c r="Y145" s="4">
        <f ca="1">('TUSD BE'!$AM$6+'TUSD BF'!$AM$6+'TUSD CVA'!$AM$6)*1</f>
        <v>16.343876453142602</v>
      </c>
      <c r="Z145" s="4">
        <f ca="1">('TUSD BE'!$AM$7+'TUSD BF'!$AM$7+'TUSD CVA'!$AM$7)*1</f>
        <v>76.243476502957677</v>
      </c>
      <c r="AA145" s="4"/>
      <c r="AB145" s="4">
        <f>$K$145*$V$145</f>
        <v>748630.65</v>
      </c>
      <c r="AC145" s="4">
        <f>$M$145*$W$145</f>
        <v>0</v>
      </c>
      <c r="AD145" s="4">
        <f>$O$145*$X$145</f>
        <v>0</v>
      </c>
      <c r="AE145" s="4">
        <f ca="1">$K$145*$Y$145</f>
        <v>803383.2470542246</v>
      </c>
      <c r="AF145" s="4">
        <f ca="1">$M$145*$Z$145</f>
        <v>0</v>
      </c>
      <c r="AG145" s="4">
        <f>$O$145*$AA$145</f>
        <v>0</v>
      </c>
    </row>
    <row r="146" spans="1:33" ht="11.25" customHeight="1" x14ac:dyDescent="0.25">
      <c r="A146" s="3" t="s">
        <v>21</v>
      </c>
      <c r="B146" s="3" t="s">
        <v>41</v>
      </c>
      <c r="C146" s="3" t="s">
        <v>42</v>
      </c>
      <c r="D146" s="3" t="s">
        <v>40</v>
      </c>
      <c r="E146" s="3" t="s">
        <v>25</v>
      </c>
      <c r="F146" s="3" t="s">
        <v>25</v>
      </c>
      <c r="G146" s="3" t="s">
        <v>25</v>
      </c>
      <c r="H146" s="3" t="s">
        <v>36</v>
      </c>
      <c r="I146" s="6">
        <v>44378</v>
      </c>
      <c r="J146" s="4">
        <v>3574</v>
      </c>
      <c r="K146" s="4">
        <v>3574</v>
      </c>
      <c r="L146" s="4">
        <v>715.23800000000006</v>
      </c>
      <c r="M146" s="4">
        <v>715.23800000000006</v>
      </c>
      <c r="N146" s="4">
        <v>715.23800000000006</v>
      </c>
      <c r="O146" s="4">
        <v>715.23800000000006</v>
      </c>
      <c r="P146" s="4">
        <v>0</v>
      </c>
      <c r="Q146" s="3" t="s">
        <v>26</v>
      </c>
      <c r="R146" s="3">
        <v>0</v>
      </c>
      <c r="S146" s="4">
        <v>93</v>
      </c>
      <c r="T146" s="4">
        <v>94</v>
      </c>
      <c r="U146" s="4">
        <v>48</v>
      </c>
      <c r="V146" s="4">
        <f>IF(ISERROR(VLOOKUP($S$146,'TAR FIN'!$A$1:$O$99,15,0)),0,VLOOKUP($S$146,'TAR FIN'!$A$1:$O$99,15,0))</f>
        <v>15.23</v>
      </c>
      <c r="W146" s="4">
        <f>IF(ISERROR(VLOOKUP($T$146,'TAR FIN'!$A$1:$O$99,15,0)),0,VLOOKUP($T$146,'TAR FIN'!$A$1:$O$99,15,0))</f>
        <v>65.13</v>
      </c>
      <c r="X146" s="4">
        <f>IF(ISERROR(VLOOKUP($U$146,'TAR FIN'!$A$1:$O$99,15,0)),0,VLOOKUP($U$146,'TAR FIN'!$A$1:$O$99,15,0))</f>
        <v>219.97</v>
      </c>
      <c r="Y146" s="4">
        <f ca="1">('TUSD BE'!$AM$6+'TUSD BF'!$AM$6+'TUSD CVA'!$AM$6)*1</f>
        <v>16.343876453142602</v>
      </c>
      <c r="Z146" s="4">
        <f ca="1">('TUSD BE'!$AM$7+'TUSD BF'!$AM$7+'TUSD CVA'!$AM$7)*1</f>
        <v>76.243476502957677</v>
      </c>
      <c r="AA146" s="4">
        <f>('TE BE'!$AA$6+'TE BF'!$AA$6+'TE CVA'!$AA$6)*1</f>
        <v>271.13910989737087</v>
      </c>
      <c r="AB146" s="4">
        <f>$K$146*$V$146</f>
        <v>54432.020000000004</v>
      </c>
      <c r="AC146" s="4">
        <f>$M$146*$W$146</f>
        <v>46583.450940000002</v>
      </c>
      <c r="AD146" s="4">
        <f>$O$146*$X$146</f>
        <v>157330.90286</v>
      </c>
      <c r="AE146" s="4">
        <f ca="1">$K$146*$Y$146</f>
        <v>58413.014443531662</v>
      </c>
      <c r="AF146" s="4">
        <f ca="1">$M$146*$Z$146</f>
        <v>54532.231647022447</v>
      </c>
      <c r="AG146" s="4">
        <f>$O$146*$AA$146</f>
        <v>193928.99468477577</v>
      </c>
    </row>
    <row r="147" spans="1:33" ht="11.25" customHeight="1" x14ac:dyDescent="0.25">
      <c r="A147" s="3" t="s">
        <v>28</v>
      </c>
      <c r="B147" s="3" t="s">
        <v>41</v>
      </c>
      <c r="C147" s="3" t="s">
        <v>42</v>
      </c>
      <c r="D147" s="3" t="s">
        <v>40</v>
      </c>
      <c r="E147" s="3" t="s">
        <v>25</v>
      </c>
      <c r="F147" s="3" t="s">
        <v>25</v>
      </c>
      <c r="G147" s="3" t="s">
        <v>25</v>
      </c>
      <c r="H147" s="3" t="s">
        <v>36</v>
      </c>
      <c r="I147" s="6">
        <v>44378</v>
      </c>
      <c r="J147" s="4">
        <v>100</v>
      </c>
      <c r="K147" s="4">
        <v>100</v>
      </c>
      <c r="L147" s="4">
        <v>1.131</v>
      </c>
      <c r="M147" s="4">
        <v>1.131</v>
      </c>
      <c r="N147" s="4">
        <v>1.131</v>
      </c>
      <c r="O147" s="4">
        <v>1.131</v>
      </c>
      <c r="P147" s="4">
        <v>0</v>
      </c>
      <c r="Q147" s="3" t="s">
        <v>26</v>
      </c>
      <c r="R147" s="3">
        <v>0</v>
      </c>
      <c r="S147" s="4">
        <v>93</v>
      </c>
      <c r="T147" s="4">
        <v>94</v>
      </c>
      <c r="U147" s="4">
        <v>48</v>
      </c>
      <c r="V147" s="4">
        <f>IF(ISERROR(VLOOKUP($S$147,'TAR FIN'!$A$1:$O$99,15,0)),0,VLOOKUP($S$147,'TAR FIN'!$A$1:$O$99,15,0))</f>
        <v>15.23</v>
      </c>
      <c r="W147" s="4">
        <f>IF(ISERROR(VLOOKUP($T$147,'TAR FIN'!$A$1:$O$99,15,0)),0,VLOOKUP($T$147,'TAR FIN'!$A$1:$O$99,15,0))</f>
        <v>65.13</v>
      </c>
      <c r="X147" s="4">
        <f>IF(ISERROR(VLOOKUP($U$147,'TAR FIN'!$A$1:$O$99,15,0)),0,VLOOKUP($U$147,'TAR FIN'!$A$1:$O$99,15,0))</f>
        <v>219.97</v>
      </c>
      <c r="Y147" s="4">
        <f ca="1">('TUSD BE'!$AM$6+'TUSD BF'!$AM$6+'TUSD CVA'!$AM$6)*1</f>
        <v>16.343876453142602</v>
      </c>
      <c r="Z147" s="4">
        <f ca="1">('TUSD BE'!$AM$7+'TUSD BF'!$AM$7+'TUSD CVA'!$AM$7)*1</f>
        <v>76.243476502957677</v>
      </c>
      <c r="AA147" s="4">
        <f>('TE BE'!$AA$6+'TE BF'!$AA$6+'TE CVA'!$AA$6)*1</f>
        <v>271.13910989737087</v>
      </c>
      <c r="AB147" s="4">
        <f>$K$147*$V$147</f>
        <v>1523</v>
      </c>
      <c r="AC147" s="4">
        <f>$M$147*$W$147</f>
        <v>73.662030000000001</v>
      </c>
      <c r="AD147" s="4">
        <f>$O$147*$X$147</f>
        <v>248.78607</v>
      </c>
      <c r="AE147" s="4">
        <f ca="1">$K$147*$Y$147</f>
        <v>1634.3876453142602</v>
      </c>
      <c r="AF147" s="4">
        <f ca="1">$M$147*$Z$147</f>
        <v>86.231371924845135</v>
      </c>
      <c r="AG147" s="4">
        <f>$O$147*$AA$147</f>
        <v>306.65833329392643</v>
      </c>
    </row>
    <row r="148" spans="1:33" ht="11.25" customHeight="1" x14ac:dyDescent="0.25">
      <c r="A148" s="3" t="s">
        <v>21</v>
      </c>
      <c r="B148" s="3" t="s">
        <v>41</v>
      </c>
      <c r="C148" s="3" t="s">
        <v>42</v>
      </c>
      <c r="D148" s="3" t="s">
        <v>40</v>
      </c>
      <c r="E148" s="3" t="s">
        <v>25</v>
      </c>
      <c r="F148" s="3" t="s">
        <v>25</v>
      </c>
      <c r="G148" s="3" t="s">
        <v>25</v>
      </c>
      <c r="H148" s="3" t="s">
        <v>36</v>
      </c>
      <c r="I148" s="6">
        <v>44378</v>
      </c>
      <c r="J148" s="4">
        <v>49318</v>
      </c>
      <c r="K148" s="4">
        <v>49318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3" t="s">
        <v>57</v>
      </c>
      <c r="R148" s="3">
        <v>0</v>
      </c>
      <c r="S148" s="4">
        <v>93</v>
      </c>
      <c r="T148" s="4">
        <v>0</v>
      </c>
      <c r="U148" s="4">
        <v>0</v>
      </c>
      <c r="V148" s="4">
        <f>IF(ISERROR(VLOOKUP($S$148,'TAR FIN'!$A$1:$O$99,15,0)),0,VLOOKUP($S$148,'TAR FIN'!$A$1:$O$99,15,0))</f>
        <v>15.23</v>
      </c>
      <c r="W148" s="4">
        <f>IF(ISERROR(VLOOKUP($T$148,'TAR FIN'!$A$1:$O$99,15,0)),0,VLOOKUP($T$148,'TAR FIN'!$A$1:$O$99,15,0))</f>
        <v>0</v>
      </c>
      <c r="X148" s="4">
        <f>IF(ISERROR(VLOOKUP($U$148,'TAR FIN'!$A$1:$O$99,15,0)),0,VLOOKUP($U$148,'TAR FIN'!$A$1:$O$99,15,0))</f>
        <v>0</v>
      </c>
      <c r="Y148" s="4">
        <f ca="1">('TUSD BE'!$AM$6+'TUSD BF'!$AM$6+'TUSD CVA'!$AM$6)*1</f>
        <v>16.343876453142602</v>
      </c>
      <c r="Z148" s="4">
        <f ca="1">('TUSD BE'!$AM$7+'TUSD BF'!$AM$7+'TUSD CVA'!$AM$7)*1</f>
        <v>76.243476502957677</v>
      </c>
      <c r="AA148" s="4"/>
      <c r="AB148" s="4">
        <f>$K$148*$V$148</f>
        <v>751113.14</v>
      </c>
      <c r="AC148" s="4">
        <f>$M$148*$W$148</f>
        <v>0</v>
      </c>
      <c r="AD148" s="4">
        <f>$O$148*$X$148</f>
        <v>0</v>
      </c>
      <c r="AE148" s="4">
        <f ca="1">$K$148*$Y$148</f>
        <v>806047.2989160869</v>
      </c>
      <c r="AF148" s="4">
        <f ca="1">$M$148*$Z$148</f>
        <v>0</v>
      </c>
      <c r="AG148" s="4">
        <f>$O$148*$AA$148</f>
        <v>0</v>
      </c>
    </row>
    <row r="149" spans="1:33" ht="11.25" customHeight="1" x14ac:dyDescent="0.25">
      <c r="A149" s="3" t="s">
        <v>21</v>
      </c>
      <c r="B149" s="3" t="s">
        <v>41</v>
      </c>
      <c r="C149" s="3" t="s">
        <v>42</v>
      </c>
      <c r="D149" s="3" t="s">
        <v>40</v>
      </c>
      <c r="E149" s="3" t="s">
        <v>25</v>
      </c>
      <c r="F149" s="3" t="s">
        <v>25</v>
      </c>
      <c r="G149" s="3" t="s">
        <v>25</v>
      </c>
      <c r="H149" s="3" t="s">
        <v>36</v>
      </c>
      <c r="I149" s="6">
        <v>44409</v>
      </c>
      <c r="J149" s="4">
        <v>5783</v>
      </c>
      <c r="K149" s="4">
        <v>5783</v>
      </c>
      <c r="L149" s="4">
        <v>1005.037</v>
      </c>
      <c r="M149" s="4">
        <v>1005.037</v>
      </c>
      <c r="N149" s="4">
        <v>1005.037</v>
      </c>
      <c r="O149" s="4">
        <v>1005.037</v>
      </c>
      <c r="P149" s="4">
        <v>0</v>
      </c>
      <c r="Q149" s="3" t="s">
        <v>26</v>
      </c>
      <c r="R149" s="3">
        <v>0</v>
      </c>
      <c r="S149" s="4">
        <v>93</v>
      </c>
      <c r="T149" s="4">
        <v>94</v>
      </c>
      <c r="U149" s="4">
        <v>48</v>
      </c>
      <c r="V149" s="4">
        <f>IF(ISERROR(VLOOKUP($S$149,'TAR FIN'!$A$1:$O$99,15,0)),0,VLOOKUP($S$149,'TAR FIN'!$A$1:$O$99,15,0))</f>
        <v>15.23</v>
      </c>
      <c r="W149" s="4">
        <f>IF(ISERROR(VLOOKUP($T$149,'TAR FIN'!$A$1:$O$99,15,0)),0,VLOOKUP($T$149,'TAR FIN'!$A$1:$O$99,15,0))</f>
        <v>65.13</v>
      </c>
      <c r="X149" s="4">
        <f>IF(ISERROR(VLOOKUP($U$149,'TAR FIN'!$A$1:$O$99,15,0)),0,VLOOKUP($U$149,'TAR FIN'!$A$1:$O$99,15,0))</f>
        <v>219.97</v>
      </c>
      <c r="Y149" s="4">
        <f ca="1">('TUSD BE'!$AM$6+'TUSD BF'!$AM$6+'TUSD CVA'!$AM$6)*1</f>
        <v>16.343876453142602</v>
      </c>
      <c r="Z149" s="4">
        <f ca="1">('TUSD BE'!$AM$7+'TUSD BF'!$AM$7+'TUSD CVA'!$AM$7)*1</f>
        <v>76.243476502957677</v>
      </c>
      <c r="AA149" s="4">
        <f>('TE BE'!$AA$6+'TE BF'!$AA$6+'TE CVA'!$AA$6)*1</f>
        <v>271.13910989737087</v>
      </c>
      <c r="AB149" s="4">
        <f>$K$149*$V$149</f>
        <v>88075.09</v>
      </c>
      <c r="AC149" s="4">
        <f>$M$149*$W$149</f>
        <v>65458.059809999999</v>
      </c>
      <c r="AD149" s="4">
        <f>$O$149*$X$149</f>
        <v>221077.98889000001</v>
      </c>
      <c r="AE149" s="4">
        <f ca="1">$K$149*$Y$149</f>
        <v>94516.637528523672</v>
      </c>
      <c r="AF149" s="4">
        <f ca="1">$M$149*$Z$149</f>
        <v>76627.514894103078</v>
      </c>
      <c r="AG149" s="4">
        <f>$O$149*$AA$149</f>
        <v>272504.83759392396</v>
      </c>
    </row>
    <row r="150" spans="1:33" ht="11.25" customHeight="1" x14ac:dyDescent="0.25">
      <c r="A150" s="3" t="s">
        <v>28</v>
      </c>
      <c r="B150" s="3" t="s">
        <v>41</v>
      </c>
      <c r="C150" s="3" t="s">
        <v>42</v>
      </c>
      <c r="D150" s="3" t="s">
        <v>40</v>
      </c>
      <c r="E150" s="3" t="s">
        <v>25</v>
      </c>
      <c r="F150" s="3" t="s">
        <v>25</v>
      </c>
      <c r="G150" s="3" t="s">
        <v>25</v>
      </c>
      <c r="H150" s="3" t="s">
        <v>36</v>
      </c>
      <c r="I150" s="6">
        <v>44409</v>
      </c>
      <c r="J150" s="4">
        <v>100</v>
      </c>
      <c r="K150" s="4">
        <v>100</v>
      </c>
      <c r="L150" s="4">
        <v>2.024</v>
      </c>
      <c r="M150" s="4">
        <v>2.024</v>
      </c>
      <c r="N150" s="4">
        <v>2.024</v>
      </c>
      <c r="O150" s="4">
        <v>2.024</v>
      </c>
      <c r="P150" s="4">
        <v>0</v>
      </c>
      <c r="Q150" s="3" t="s">
        <v>26</v>
      </c>
      <c r="R150" s="3">
        <v>0</v>
      </c>
      <c r="S150" s="4">
        <v>93</v>
      </c>
      <c r="T150" s="4">
        <v>94</v>
      </c>
      <c r="U150" s="4">
        <v>48</v>
      </c>
      <c r="V150" s="4">
        <f>IF(ISERROR(VLOOKUP($S$150,'TAR FIN'!$A$1:$O$99,15,0)),0,VLOOKUP($S$150,'TAR FIN'!$A$1:$O$99,15,0))</f>
        <v>15.23</v>
      </c>
      <c r="W150" s="4">
        <f>IF(ISERROR(VLOOKUP($T$150,'TAR FIN'!$A$1:$O$99,15,0)),0,VLOOKUP($T$150,'TAR FIN'!$A$1:$O$99,15,0))</f>
        <v>65.13</v>
      </c>
      <c r="X150" s="4">
        <f>IF(ISERROR(VLOOKUP($U$150,'TAR FIN'!$A$1:$O$99,15,0)),0,VLOOKUP($U$150,'TAR FIN'!$A$1:$O$99,15,0))</f>
        <v>219.97</v>
      </c>
      <c r="Y150" s="4">
        <f ca="1">('TUSD BE'!$AM$6+'TUSD BF'!$AM$6+'TUSD CVA'!$AM$6)*1</f>
        <v>16.343876453142602</v>
      </c>
      <c r="Z150" s="4">
        <f ca="1">('TUSD BE'!$AM$7+'TUSD BF'!$AM$7+'TUSD CVA'!$AM$7)*1</f>
        <v>76.243476502957677</v>
      </c>
      <c r="AA150" s="4">
        <f>('TE BE'!$AA$6+'TE BF'!$AA$6+'TE CVA'!$AA$6)*1</f>
        <v>271.13910989737087</v>
      </c>
      <c r="AB150" s="4">
        <f>$K$150*$V$150</f>
        <v>1523</v>
      </c>
      <c r="AC150" s="4">
        <f>$M$150*$W$150</f>
        <v>131.82311999999999</v>
      </c>
      <c r="AD150" s="4">
        <f>$O$150*$X$150</f>
        <v>445.21928000000003</v>
      </c>
      <c r="AE150" s="4">
        <f ca="1">$K$150*$Y$150</f>
        <v>1634.3876453142602</v>
      </c>
      <c r="AF150" s="4">
        <f ca="1">$M$150*$Z$150</f>
        <v>154.31679644198633</v>
      </c>
      <c r="AG150" s="4">
        <f>$O$150*$AA$150</f>
        <v>548.78555843227866</v>
      </c>
    </row>
    <row r="151" spans="1:33" ht="11.25" customHeight="1" x14ac:dyDescent="0.25">
      <c r="A151" s="3" t="s">
        <v>21</v>
      </c>
      <c r="B151" s="3" t="s">
        <v>41</v>
      </c>
      <c r="C151" s="3" t="s">
        <v>42</v>
      </c>
      <c r="D151" s="3" t="s">
        <v>40</v>
      </c>
      <c r="E151" s="3" t="s">
        <v>25</v>
      </c>
      <c r="F151" s="3" t="s">
        <v>25</v>
      </c>
      <c r="G151" s="3" t="s">
        <v>25</v>
      </c>
      <c r="H151" s="3" t="s">
        <v>36</v>
      </c>
      <c r="I151" s="6">
        <v>44409</v>
      </c>
      <c r="J151" s="4">
        <v>49452</v>
      </c>
      <c r="K151" s="4">
        <v>49452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3" t="s">
        <v>57</v>
      </c>
      <c r="R151" s="3">
        <v>0</v>
      </c>
      <c r="S151" s="4">
        <v>93</v>
      </c>
      <c r="T151" s="4">
        <v>0</v>
      </c>
      <c r="U151" s="4">
        <v>0</v>
      </c>
      <c r="V151" s="4">
        <f>IF(ISERROR(VLOOKUP($S$151,'TAR FIN'!$A$1:$O$99,15,0)),0,VLOOKUP($S$151,'TAR FIN'!$A$1:$O$99,15,0))</f>
        <v>15.23</v>
      </c>
      <c r="W151" s="4">
        <f>IF(ISERROR(VLOOKUP($T$151,'TAR FIN'!$A$1:$O$99,15,0)),0,VLOOKUP($T$151,'TAR FIN'!$A$1:$O$99,15,0))</f>
        <v>0</v>
      </c>
      <c r="X151" s="4">
        <f>IF(ISERROR(VLOOKUP($U$151,'TAR FIN'!$A$1:$O$99,15,0)),0,VLOOKUP($U$151,'TAR FIN'!$A$1:$O$99,15,0))</f>
        <v>0</v>
      </c>
      <c r="Y151" s="4">
        <f ca="1">('TUSD BE'!$AM$6+'TUSD BF'!$AM$6+'TUSD CVA'!$AM$6)*1</f>
        <v>16.343876453142602</v>
      </c>
      <c r="Z151" s="4">
        <f ca="1">('TUSD BE'!$AM$7+'TUSD BF'!$AM$7+'TUSD CVA'!$AM$7)*1</f>
        <v>76.243476502957677</v>
      </c>
      <c r="AA151" s="4"/>
      <c r="AB151" s="4">
        <f>$K$151*$V$151</f>
        <v>753153.96000000008</v>
      </c>
      <c r="AC151" s="4">
        <f>$M$151*$W$151</f>
        <v>0</v>
      </c>
      <c r="AD151" s="4">
        <f>$O$151*$X$151</f>
        <v>0</v>
      </c>
      <c r="AE151" s="4">
        <f ca="1">$K$151*$Y$151</f>
        <v>808237.37836080801</v>
      </c>
      <c r="AF151" s="4">
        <f ca="1">$M$151*$Z$151</f>
        <v>0</v>
      </c>
      <c r="AG151" s="4">
        <f>$O$151*$AA$151</f>
        <v>0</v>
      </c>
    </row>
    <row r="152" spans="1:33" ht="11.25" customHeight="1" x14ac:dyDescent="0.25">
      <c r="A152" s="3" t="s">
        <v>21</v>
      </c>
      <c r="B152" s="3" t="s">
        <v>41</v>
      </c>
      <c r="C152" s="3" t="s">
        <v>42</v>
      </c>
      <c r="D152" s="3" t="s">
        <v>40</v>
      </c>
      <c r="E152" s="3" t="s">
        <v>25</v>
      </c>
      <c r="F152" s="3" t="s">
        <v>25</v>
      </c>
      <c r="G152" s="3" t="s">
        <v>25</v>
      </c>
      <c r="H152" s="3" t="s">
        <v>36</v>
      </c>
      <c r="I152" s="6">
        <v>44440</v>
      </c>
      <c r="J152" s="4">
        <v>9668</v>
      </c>
      <c r="K152" s="4">
        <v>9668</v>
      </c>
      <c r="L152" s="4">
        <v>736.87599999999998</v>
      </c>
      <c r="M152" s="4">
        <v>736.87599999999998</v>
      </c>
      <c r="N152" s="4">
        <v>736.87599999999998</v>
      </c>
      <c r="O152" s="4">
        <v>736.87599999999998</v>
      </c>
      <c r="P152" s="4">
        <v>0</v>
      </c>
      <c r="Q152" s="3" t="s">
        <v>26</v>
      </c>
      <c r="R152" s="3">
        <v>0</v>
      </c>
      <c r="S152" s="4">
        <v>93</v>
      </c>
      <c r="T152" s="4">
        <v>94</v>
      </c>
      <c r="U152" s="4">
        <v>48</v>
      </c>
      <c r="V152" s="4">
        <f>IF(ISERROR(VLOOKUP($S$152,'TAR FIN'!$A$1:$O$99,15,0)),0,VLOOKUP($S$152,'TAR FIN'!$A$1:$O$99,15,0))</f>
        <v>15.23</v>
      </c>
      <c r="W152" s="4">
        <f>IF(ISERROR(VLOOKUP($T$152,'TAR FIN'!$A$1:$O$99,15,0)),0,VLOOKUP($T$152,'TAR FIN'!$A$1:$O$99,15,0))</f>
        <v>65.13</v>
      </c>
      <c r="X152" s="4">
        <f>IF(ISERROR(VLOOKUP($U$152,'TAR FIN'!$A$1:$O$99,15,0)),0,VLOOKUP($U$152,'TAR FIN'!$A$1:$O$99,15,0))</f>
        <v>219.97</v>
      </c>
      <c r="Y152" s="4">
        <f ca="1">('TUSD BE'!$AM$6+'TUSD BF'!$AM$6+'TUSD CVA'!$AM$6)*1</f>
        <v>16.343876453142602</v>
      </c>
      <c r="Z152" s="4">
        <f ca="1">('TUSD BE'!$AM$7+'TUSD BF'!$AM$7+'TUSD CVA'!$AM$7)*1</f>
        <v>76.243476502957677</v>
      </c>
      <c r="AA152" s="4">
        <f>('TE BE'!$AA$6+'TE BF'!$AA$6+'TE CVA'!$AA$6)*1</f>
        <v>271.13910989737087</v>
      </c>
      <c r="AB152" s="4">
        <f>$K$152*$V$152</f>
        <v>147243.64000000001</v>
      </c>
      <c r="AC152" s="4">
        <f>$M$152*$W$152</f>
        <v>47992.733879999992</v>
      </c>
      <c r="AD152" s="4">
        <f>$O$152*$X$152</f>
        <v>162090.61371999999</v>
      </c>
      <c r="AE152" s="4">
        <f ca="1">$K$152*$Y$152</f>
        <v>158012.59754898268</v>
      </c>
      <c r="AF152" s="4">
        <f ca="1">$M$152*$Z$152</f>
        <v>56181.987991593436</v>
      </c>
      <c r="AG152" s="4">
        <f>$O$152*$AA$152</f>
        <v>199795.90274473504</v>
      </c>
    </row>
    <row r="153" spans="1:33" ht="11.25" customHeight="1" x14ac:dyDescent="0.25">
      <c r="A153" s="3" t="s">
        <v>28</v>
      </c>
      <c r="B153" s="3" t="s">
        <v>41</v>
      </c>
      <c r="C153" s="3" t="s">
        <v>42</v>
      </c>
      <c r="D153" s="3" t="s">
        <v>40</v>
      </c>
      <c r="E153" s="3" t="s">
        <v>25</v>
      </c>
      <c r="F153" s="3" t="s">
        <v>25</v>
      </c>
      <c r="G153" s="3" t="s">
        <v>25</v>
      </c>
      <c r="H153" s="3" t="s">
        <v>36</v>
      </c>
      <c r="I153" s="6">
        <v>44440</v>
      </c>
      <c r="J153" s="4">
        <v>100</v>
      </c>
      <c r="K153" s="4">
        <v>100</v>
      </c>
      <c r="L153" s="4">
        <v>0.3</v>
      </c>
      <c r="M153" s="4">
        <v>0.3</v>
      </c>
      <c r="N153" s="4">
        <v>0.3</v>
      </c>
      <c r="O153" s="4">
        <v>0.3</v>
      </c>
      <c r="P153" s="4">
        <v>0</v>
      </c>
      <c r="Q153" s="3" t="s">
        <v>26</v>
      </c>
      <c r="R153" s="3">
        <v>0</v>
      </c>
      <c r="S153" s="4">
        <v>93</v>
      </c>
      <c r="T153" s="4">
        <v>94</v>
      </c>
      <c r="U153" s="4">
        <v>48</v>
      </c>
      <c r="V153" s="4">
        <f>IF(ISERROR(VLOOKUP($S$153,'TAR FIN'!$A$1:$O$99,15,0)),0,VLOOKUP($S$153,'TAR FIN'!$A$1:$O$99,15,0))</f>
        <v>15.23</v>
      </c>
      <c r="W153" s="4">
        <f>IF(ISERROR(VLOOKUP($T$153,'TAR FIN'!$A$1:$O$99,15,0)),0,VLOOKUP($T$153,'TAR FIN'!$A$1:$O$99,15,0))</f>
        <v>65.13</v>
      </c>
      <c r="X153" s="4">
        <f>IF(ISERROR(VLOOKUP($U$153,'TAR FIN'!$A$1:$O$99,15,0)),0,VLOOKUP($U$153,'TAR FIN'!$A$1:$O$99,15,0))</f>
        <v>219.97</v>
      </c>
      <c r="Y153" s="4">
        <f ca="1">('TUSD BE'!$AM$6+'TUSD BF'!$AM$6+'TUSD CVA'!$AM$6)*1</f>
        <v>16.343876453142602</v>
      </c>
      <c r="Z153" s="4">
        <f ca="1">('TUSD BE'!$AM$7+'TUSD BF'!$AM$7+'TUSD CVA'!$AM$7)*1</f>
        <v>76.243476502957677</v>
      </c>
      <c r="AA153" s="4">
        <f>('TE BE'!$AA$6+'TE BF'!$AA$6+'TE CVA'!$AA$6)*1</f>
        <v>271.13910989737087</v>
      </c>
      <c r="AB153" s="4">
        <f>$K$153*$V$153</f>
        <v>1523</v>
      </c>
      <c r="AC153" s="4">
        <f>$M$153*$W$153</f>
        <v>19.538999999999998</v>
      </c>
      <c r="AD153" s="4">
        <f>$O$153*$X$153</f>
        <v>65.991</v>
      </c>
      <c r="AE153" s="4">
        <f ca="1">$K$153*$Y$153</f>
        <v>1634.3876453142602</v>
      </c>
      <c r="AF153" s="4">
        <f ca="1">$M$153*$Z$153</f>
        <v>22.873042950887303</v>
      </c>
      <c r="AG153" s="4">
        <f>$O$153*$AA$153</f>
        <v>81.341732969211265</v>
      </c>
    </row>
    <row r="154" spans="1:33" ht="11.25" customHeight="1" x14ac:dyDescent="0.25">
      <c r="A154" s="3" t="s">
        <v>21</v>
      </c>
      <c r="B154" s="3" t="s">
        <v>41</v>
      </c>
      <c r="C154" s="3" t="s">
        <v>42</v>
      </c>
      <c r="D154" s="3" t="s">
        <v>40</v>
      </c>
      <c r="E154" s="3" t="s">
        <v>25</v>
      </c>
      <c r="F154" s="3" t="s">
        <v>25</v>
      </c>
      <c r="G154" s="3" t="s">
        <v>25</v>
      </c>
      <c r="H154" s="3" t="s">
        <v>36</v>
      </c>
      <c r="I154" s="6">
        <v>44440</v>
      </c>
      <c r="J154" s="4">
        <v>49642</v>
      </c>
      <c r="K154" s="4">
        <v>49642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3" t="s">
        <v>57</v>
      </c>
      <c r="R154" s="3">
        <v>0</v>
      </c>
      <c r="S154" s="4">
        <v>93</v>
      </c>
      <c r="T154" s="4">
        <v>0</v>
      </c>
      <c r="U154" s="4">
        <v>0</v>
      </c>
      <c r="V154" s="4">
        <f>IF(ISERROR(VLOOKUP($S$154,'TAR FIN'!$A$1:$O$99,15,0)),0,VLOOKUP($S$154,'TAR FIN'!$A$1:$O$99,15,0))</f>
        <v>15.23</v>
      </c>
      <c r="W154" s="4">
        <f>IF(ISERROR(VLOOKUP($T$154,'TAR FIN'!$A$1:$O$99,15,0)),0,VLOOKUP($T$154,'TAR FIN'!$A$1:$O$99,15,0))</f>
        <v>0</v>
      </c>
      <c r="X154" s="4">
        <f>IF(ISERROR(VLOOKUP($U$154,'TAR FIN'!$A$1:$O$99,15,0)),0,VLOOKUP($U$154,'TAR FIN'!$A$1:$O$99,15,0))</f>
        <v>0</v>
      </c>
      <c r="Y154" s="4">
        <f ca="1">('TUSD BE'!$AM$6+'TUSD BF'!$AM$6+'TUSD CVA'!$AM$6)*1</f>
        <v>16.343876453142602</v>
      </c>
      <c r="Z154" s="4">
        <f ca="1">('TUSD BE'!$AM$7+'TUSD BF'!$AM$7+'TUSD CVA'!$AM$7)*1</f>
        <v>76.243476502957677</v>
      </c>
      <c r="AA154" s="4"/>
      <c r="AB154" s="4">
        <f>$K$154*$V$154</f>
        <v>756047.66</v>
      </c>
      <c r="AC154" s="4">
        <f>$M$154*$W$154</f>
        <v>0</v>
      </c>
      <c r="AD154" s="4">
        <f>$O$154*$X$154</f>
        <v>0</v>
      </c>
      <c r="AE154" s="4">
        <f ca="1">$K$154*$Y$154</f>
        <v>811342.71488690504</v>
      </c>
      <c r="AF154" s="4">
        <f ca="1">$M$154*$Z$154</f>
        <v>0</v>
      </c>
      <c r="AG154" s="4">
        <f>$O$154*$AA$154</f>
        <v>0</v>
      </c>
    </row>
    <row r="155" spans="1:33" ht="11.25" customHeight="1" x14ac:dyDescent="0.25">
      <c r="A155" s="3" t="s">
        <v>21</v>
      </c>
      <c r="B155" s="3" t="s">
        <v>41</v>
      </c>
      <c r="C155" s="3" t="s">
        <v>42</v>
      </c>
      <c r="D155" s="3" t="s">
        <v>40</v>
      </c>
      <c r="E155" s="3" t="s">
        <v>25</v>
      </c>
      <c r="F155" s="3" t="s">
        <v>25</v>
      </c>
      <c r="G155" s="3" t="s">
        <v>25</v>
      </c>
      <c r="H155" s="3" t="s">
        <v>36</v>
      </c>
      <c r="I155" s="6">
        <v>44470</v>
      </c>
      <c r="J155" s="4">
        <v>9924</v>
      </c>
      <c r="K155" s="4">
        <v>9924</v>
      </c>
      <c r="L155" s="4">
        <v>174.50399999999999</v>
      </c>
      <c r="M155" s="4">
        <v>174.50399999999999</v>
      </c>
      <c r="N155" s="4">
        <v>174.50399999999999</v>
      </c>
      <c r="O155" s="4">
        <v>174.50399999999999</v>
      </c>
      <c r="P155" s="4">
        <v>0</v>
      </c>
      <c r="Q155" s="3" t="s">
        <v>26</v>
      </c>
      <c r="R155" s="3">
        <v>0</v>
      </c>
      <c r="S155" s="4">
        <v>93</v>
      </c>
      <c r="T155" s="4">
        <v>94</v>
      </c>
      <c r="U155" s="4">
        <v>48</v>
      </c>
      <c r="V155" s="4">
        <f>IF(ISERROR(VLOOKUP($S$155,'TAR FIN'!$A$1:$O$99,15,0)),0,VLOOKUP($S$155,'TAR FIN'!$A$1:$O$99,15,0))</f>
        <v>15.23</v>
      </c>
      <c r="W155" s="4">
        <f>IF(ISERROR(VLOOKUP($T$155,'TAR FIN'!$A$1:$O$99,15,0)),0,VLOOKUP($T$155,'TAR FIN'!$A$1:$O$99,15,0))</f>
        <v>65.13</v>
      </c>
      <c r="X155" s="4">
        <f>IF(ISERROR(VLOOKUP($U$155,'TAR FIN'!$A$1:$O$99,15,0)),0,VLOOKUP($U$155,'TAR FIN'!$A$1:$O$99,15,0))</f>
        <v>219.97</v>
      </c>
      <c r="Y155" s="4">
        <f ca="1">('TUSD BE'!$AM$6+'TUSD BF'!$AM$6+'TUSD CVA'!$AM$6)*1</f>
        <v>16.343876453142602</v>
      </c>
      <c r="Z155" s="4">
        <f ca="1">('TUSD BE'!$AM$7+'TUSD BF'!$AM$7+'TUSD CVA'!$AM$7)*1</f>
        <v>76.243476502957677</v>
      </c>
      <c r="AA155" s="4">
        <f>('TE BE'!$AA$6+'TE BF'!$AA$6+'TE CVA'!$AA$6)*1</f>
        <v>271.13910989737087</v>
      </c>
      <c r="AB155" s="4">
        <f>$K$155*$V$155</f>
        <v>151142.52000000002</v>
      </c>
      <c r="AC155" s="4">
        <f>$M$155*$W$155</f>
        <v>11365.445519999999</v>
      </c>
      <c r="AD155" s="4">
        <f>$O$155*$X$155</f>
        <v>38385.64488</v>
      </c>
      <c r="AE155" s="4">
        <f ca="1">$K$155*$Y$155</f>
        <v>162196.62992098718</v>
      </c>
      <c r="AF155" s="4">
        <f ca="1">$M$155*$Z$155</f>
        <v>13304.791623672125</v>
      </c>
      <c r="AG155" s="4">
        <f>$O$155*$AA$155</f>
        <v>47314.859233530806</v>
      </c>
    </row>
    <row r="156" spans="1:33" ht="11.25" customHeight="1" x14ac:dyDescent="0.25">
      <c r="A156" s="3" t="s">
        <v>28</v>
      </c>
      <c r="B156" s="3" t="s">
        <v>41</v>
      </c>
      <c r="C156" s="3" t="s">
        <v>42</v>
      </c>
      <c r="D156" s="3" t="s">
        <v>40</v>
      </c>
      <c r="E156" s="3" t="s">
        <v>25</v>
      </c>
      <c r="F156" s="3" t="s">
        <v>25</v>
      </c>
      <c r="G156" s="3" t="s">
        <v>25</v>
      </c>
      <c r="H156" s="3" t="s">
        <v>36</v>
      </c>
      <c r="I156" s="6">
        <v>44470</v>
      </c>
      <c r="J156" s="4">
        <v>100</v>
      </c>
      <c r="K156" s="4">
        <v>100</v>
      </c>
      <c r="L156" s="4">
        <v>4.6859999999999999</v>
      </c>
      <c r="M156" s="4">
        <v>4.6859999999999999</v>
      </c>
      <c r="N156" s="4">
        <v>4.6859999999999999</v>
      </c>
      <c r="O156" s="4">
        <v>4.6859999999999999</v>
      </c>
      <c r="P156" s="4">
        <v>0</v>
      </c>
      <c r="Q156" s="3" t="s">
        <v>26</v>
      </c>
      <c r="R156" s="3">
        <v>0</v>
      </c>
      <c r="S156" s="4">
        <v>93</v>
      </c>
      <c r="T156" s="4">
        <v>94</v>
      </c>
      <c r="U156" s="4">
        <v>48</v>
      </c>
      <c r="V156" s="4">
        <f>IF(ISERROR(VLOOKUP($S$156,'TAR FIN'!$A$1:$O$99,15,0)),0,VLOOKUP($S$156,'TAR FIN'!$A$1:$O$99,15,0))</f>
        <v>15.23</v>
      </c>
      <c r="W156" s="4">
        <f>IF(ISERROR(VLOOKUP($T$156,'TAR FIN'!$A$1:$O$99,15,0)),0,VLOOKUP($T$156,'TAR FIN'!$A$1:$O$99,15,0))</f>
        <v>65.13</v>
      </c>
      <c r="X156" s="4">
        <f>IF(ISERROR(VLOOKUP($U$156,'TAR FIN'!$A$1:$O$99,15,0)),0,VLOOKUP($U$156,'TAR FIN'!$A$1:$O$99,15,0))</f>
        <v>219.97</v>
      </c>
      <c r="Y156" s="4">
        <f ca="1">('TUSD BE'!$AM$6+'TUSD BF'!$AM$6+'TUSD CVA'!$AM$6)*1</f>
        <v>16.343876453142602</v>
      </c>
      <c r="Z156" s="4">
        <f ca="1">('TUSD BE'!$AM$7+'TUSD BF'!$AM$7+'TUSD CVA'!$AM$7)*1</f>
        <v>76.243476502957677</v>
      </c>
      <c r="AA156" s="4">
        <f>('TE BE'!$AA$6+'TE BF'!$AA$6+'TE CVA'!$AA$6)*1</f>
        <v>271.13910989737087</v>
      </c>
      <c r="AB156" s="4">
        <f>$K$156*$V$156</f>
        <v>1523</v>
      </c>
      <c r="AC156" s="4">
        <f>$M$156*$W$156</f>
        <v>305.19917999999996</v>
      </c>
      <c r="AD156" s="4">
        <f>$O$156*$X$156</f>
        <v>1030.7794200000001</v>
      </c>
      <c r="AE156" s="4">
        <f ca="1">$K$156*$Y$156</f>
        <v>1634.3876453142602</v>
      </c>
      <c r="AF156" s="4">
        <f ca="1">$M$156*$Z$156</f>
        <v>357.2769308928597</v>
      </c>
      <c r="AG156" s="4">
        <f>$O$156*$AA$156</f>
        <v>1270.5578689790798</v>
      </c>
    </row>
    <row r="157" spans="1:33" ht="11.25" customHeight="1" x14ac:dyDescent="0.25">
      <c r="A157" s="3" t="s">
        <v>21</v>
      </c>
      <c r="B157" s="3" t="s">
        <v>41</v>
      </c>
      <c r="C157" s="3" t="s">
        <v>42</v>
      </c>
      <c r="D157" s="3" t="s">
        <v>40</v>
      </c>
      <c r="E157" s="3" t="s">
        <v>25</v>
      </c>
      <c r="F157" s="3" t="s">
        <v>25</v>
      </c>
      <c r="G157" s="3" t="s">
        <v>25</v>
      </c>
      <c r="H157" s="3" t="s">
        <v>36</v>
      </c>
      <c r="I157" s="6">
        <v>44470</v>
      </c>
      <c r="J157" s="4">
        <v>49553</v>
      </c>
      <c r="K157" s="4">
        <v>49553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 t="s">
        <v>57</v>
      </c>
      <c r="R157" s="3">
        <v>0</v>
      </c>
      <c r="S157" s="4">
        <v>93</v>
      </c>
      <c r="T157" s="4">
        <v>0</v>
      </c>
      <c r="U157" s="4">
        <v>0</v>
      </c>
      <c r="V157" s="4">
        <f>IF(ISERROR(VLOOKUP($S$157,'TAR FIN'!$A$1:$O$99,15,0)),0,VLOOKUP($S$157,'TAR FIN'!$A$1:$O$99,15,0))</f>
        <v>15.23</v>
      </c>
      <c r="W157" s="4">
        <f>IF(ISERROR(VLOOKUP($T$157,'TAR FIN'!$A$1:$O$99,15,0)),0,VLOOKUP($T$157,'TAR FIN'!$A$1:$O$99,15,0))</f>
        <v>0</v>
      </c>
      <c r="X157" s="4">
        <f>IF(ISERROR(VLOOKUP($U$157,'TAR FIN'!$A$1:$O$99,15,0)),0,VLOOKUP($U$157,'TAR FIN'!$A$1:$O$99,15,0))</f>
        <v>0</v>
      </c>
      <c r="Y157" s="4">
        <f ca="1">('TUSD BE'!$AM$6+'TUSD BF'!$AM$6+'TUSD CVA'!$AM$6)*1</f>
        <v>16.343876453142602</v>
      </c>
      <c r="Z157" s="4">
        <f ca="1">('TUSD BE'!$AM$7+'TUSD BF'!$AM$7+'TUSD CVA'!$AM$7)*1</f>
        <v>76.243476502957677</v>
      </c>
      <c r="AA157" s="4"/>
      <c r="AB157" s="4">
        <f>$K$157*$V$157</f>
        <v>754692.19000000006</v>
      </c>
      <c r="AC157" s="4">
        <f>$M$157*$W$157</f>
        <v>0</v>
      </c>
      <c r="AD157" s="4">
        <f>$O$157*$X$157</f>
        <v>0</v>
      </c>
      <c r="AE157" s="4">
        <f ca="1">$K$157*$Y$157</f>
        <v>809888.10988257534</v>
      </c>
      <c r="AF157" s="4">
        <f ca="1">$M$157*$Z$157</f>
        <v>0</v>
      </c>
      <c r="AG157" s="4">
        <f>$O$157*$AA$157</f>
        <v>0</v>
      </c>
    </row>
    <row r="158" spans="1:33" ht="11.25" customHeight="1" x14ac:dyDescent="0.25">
      <c r="A158" s="3" t="s">
        <v>21</v>
      </c>
      <c r="B158" s="3" t="s">
        <v>41</v>
      </c>
      <c r="C158" s="3" t="s">
        <v>42</v>
      </c>
      <c r="D158" s="3" t="s">
        <v>40</v>
      </c>
      <c r="E158" s="3" t="s">
        <v>25</v>
      </c>
      <c r="F158" s="3" t="s">
        <v>25</v>
      </c>
      <c r="G158" s="3" t="s">
        <v>25</v>
      </c>
      <c r="H158" s="3" t="s">
        <v>36</v>
      </c>
      <c r="I158" s="6">
        <v>44501</v>
      </c>
      <c r="J158" s="4">
        <v>7887</v>
      </c>
      <c r="K158" s="4">
        <v>7887</v>
      </c>
      <c r="L158" s="4">
        <v>156.44800000000001</v>
      </c>
      <c r="M158" s="4">
        <v>156.44800000000001</v>
      </c>
      <c r="N158" s="4">
        <v>156.44800000000001</v>
      </c>
      <c r="O158" s="4">
        <v>156.44800000000001</v>
      </c>
      <c r="P158" s="4">
        <v>0</v>
      </c>
      <c r="Q158" s="3" t="s">
        <v>26</v>
      </c>
      <c r="R158" s="3">
        <v>0</v>
      </c>
      <c r="S158" s="4">
        <v>93</v>
      </c>
      <c r="T158" s="4">
        <v>94</v>
      </c>
      <c r="U158" s="4">
        <v>48</v>
      </c>
      <c r="V158" s="4">
        <f>IF(ISERROR(VLOOKUP($S$158,'TAR FIN'!$A$1:$O$99,15,0)),0,VLOOKUP($S$158,'TAR FIN'!$A$1:$O$99,15,0))</f>
        <v>15.23</v>
      </c>
      <c r="W158" s="4">
        <f>IF(ISERROR(VLOOKUP($T$158,'TAR FIN'!$A$1:$O$99,15,0)),0,VLOOKUP($T$158,'TAR FIN'!$A$1:$O$99,15,0))</f>
        <v>65.13</v>
      </c>
      <c r="X158" s="4">
        <f>IF(ISERROR(VLOOKUP($U$158,'TAR FIN'!$A$1:$O$99,15,0)),0,VLOOKUP($U$158,'TAR FIN'!$A$1:$O$99,15,0))</f>
        <v>219.97</v>
      </c>
      <c r="Y158" s="4">
        <f ca="1">('TUSD BE'!$AM$6+'TUSD BF'!$AM$6+'TUSD CVA'!$AM$6)*1</f>
        <v>16.343876453142602</v>
      </c>
      <c r="Z158" s="4">
        <f ca="1">('TUSD BE'!$AM$7+'TUSD BF'!$AM$7+'TUSD CVA'!$AM$7)*1</f>
        <v>76.243476502957677</v>
      </c>
      <c r="AA158" s="4">
        <f>('TE BE'!$AA$6+'TE BF'!$AA$6+'TE CVA'!$AA$6)*1</f>
        <v>271.13910989737087</v>
      </c>
      <c r="AB158" s="4">
        <f>$K$158*$V$158</f>
        <v>120119.01000000001</v>
      </c>
      <c r="AC158" s="4">
        <f>$M$158*$W$158</f>
        <v>10189.45824</v>
      </c>
      <c r="AD158" s="4">
        <f>$O$158*$X$158</f>
        <v>34413.866560000002</v>
      </c>
      <c r="AE158" s="4">
        <f ca="1">$K$158*$Y$158</f>
        <v>128904.15358593571</v>
      </c>
      <c r="AF158" s="4">
        <f ca="1">$M$158*$Z$158</f>
        <v>11928.139411934722</v>
      </c>
      <c r="AG158" s="4">
        <f>$O$158*$AA$158</f>
        <v>42419.171465223881</v>
      </c>
    </row>
    <row r="159" spans="1:33" ht="11.25" customHeight="1" x14ac:dyDescent="0.25">
      <c r="A159" s="3" t="s">
        <v>27</v>
      </c>
      <c r="B159" s="3" t="s">
        <v>41</v>
      </c>
      <c r="C159" s="3" t="s">
        <v>42</v>
      </c>
      <c r="D159" s="3" t="s">
        <v>40</v>
      </c>
      <c r="E159" s="3" t="s">
        <v>25</v>
      </c>
      <c r="F159" s="3" t="s">
        <v>25</v>
      </c>
      <c r="G159" s="3" t="s">
        <v>25</v>
      </c>
      <c r="H159" s="3" t="s">
        <v>36</v>
      </c>
      <c r="I159" s="6">
        <v>44501</v>
      </c>
      <c r="J159" s="4">
        <v>0</v>
      </c>
      <c r="K159" s="4">
        <v>0</v>
      </c>
      <c r="L159" s="4">
        <v>0.42599999999999999</v>
      </c>
      <c r="M159" s="4">
        <v>0.42599999999999999</v>
      </c>
      <c r="N159" s="4">
        <v>0.42599999999999999</v>
      </c>
      <c r="O159" s="4">
        <v>0.42599999999999999</v>
      </c>
      <c r="P159" s="4">
        <v>0</v>
      </c>
      <c r="Q159" s="3" t="s">
        <v>26</v>
      </c>
      <c r="R159" s="3">
        <v>0</v>
      </c>
      <c r="S159" s="4">
        <v>0</v>
      </c>
      <c r="T159" s="4">
        <v>94</v>
      </c>
      <c r="U159" s="4">
        <v>48</v>
      </c>
      <c r="V159" s="4">
        <f>IF(ISERROR(VLOOKUP($S$159,'TAR FIN'!$A$1:$O$99,15,0)),0,VLOOKUP($S$159,'TAR FIN'!$A$1:$O$99,15,0))</f>
        <v>0</v>
      </c>
      <c r="W159" s="4">
        <f>IF(ISERROR(VLOOKUP($T$159,'TAR FIN'!$A$1:$O$99,15,0)),0,VLOOKUP($T$159,'TAR FIN'!$A$1:$O$99,15,0))</f>
        <v>65.13</v>
      </c>
      <c r="X159" s="4">
        <f>IF(ISERROR(VLOOKUP($U$159,'TAR FIN'!$A$1:$O$99,15,0)),0,VLOOKUP($U$159,'TAR FIN'!$A$1:$O$99,15,0))</f>
        <v>219.97</v>
      </c>
      <c r="Y159" s="4">
        <f ca="1">('TUSD BE'!$AM$6+'TUSD BF'!$AM$6+'TUSD CVA'!$AM$6)*1</f>
        <v>16.343876453142602</v>
      </c>
      <c r="Z159" s="4">
        <f ca="1">('TUSD BE'!$AM$7+'TUSD BF'!$AM$7+'TUSD CVA'!$AM$7)*1</f>
        <v>76.243476502957677</v>
      </c>
      <c r="AA159" s="4">
        <f>('TE BE'!$AA$6+'TE BF'!$AA$6+'TE CVA'!$AA$6)*1</f>
        <v>271.13910989737087</v>
      </c>
      <c r="AB159" s="4">
        <f>$K$159*$V$159</f>
        <v>0</v>
      </c>
      <c r="AC159" s="4">
        <f>$M$159*$W$159</f>
        <v>27.745379999999997</v>
      </c>
      <c r="AD159" s="4">
        <f>$O$159*$X$159</f>
        <v>93.707219999999992</v>
      </c>
      <c r="AE159" s="4">
        <f ca="1">$K$159*$Y$159</f>
        <v>0</v>
      </c>
      <c r="AF159" s="4">
        <f ca="1">$M$159*$Z$159</f>
        <v>32.47972099025997</v>
      </c>
      <c r="AG159" s="4">
        <f>$O$159*$AA$159</f>
        <v>115.50526081627999</v>
      </c>
    </row>
    <row r="160" spans="1:33" ht="11.25" customHeight="1" x14ac:dyDescent="0.25">
      <c r="A160" s="3" t="s">
        <v>28</v>
      </c>
      <c r="B160" s="3" t="s">
        <v>41</v>
      </c>
      <c r="C160" s="3" t="s">
        <v>42</v>
      </c>
      <c r="D160" s="3" t="s">
        <v>40</v>
      </c>
      <c r="E160" s="3" t="s">
        <v>25</v>
      </c>
      <c r="F160" s="3" t="s">
        <v>25</v>
      </c>
      <c r="G160" s="3" t="s">
        <v>25</v>
      </c>
      <c r="H160" s="3" t="s">
        <v>36</v>
      </c>
      <c r="I160" s="6">
        <v>44501</v>
      </c>
      <c r="J160" s="4">
        <v>100</v>
      </c>
      <c r="K160" s="4">
        <v>100</v>
      </c>
      <c r="L160" s="4">
        <v>5.05</v>
      </c>
      <c r="M160" s="4">
        <v>5.05</v>
      </c>
      <c r="N160" s="4">
        <v>5.05</v>
      </c>
      <c r="O160" s="4">
        <v>5.05</v>
      </c>
      <c r="P160" s="4">
        <v>0</v>
      </c>
      <c r="Q160" s="3" t="s">
        <v>26</v>
      </c>
      <c r="R160" s="3">
        <v>0</v>
      </c>
      <c r="S160" s="4">
        <v>93</v>
      </c>
      <c r="T160" s="4">
        <v>94</v>
      </c>
      <c r="U160" s="4">
        <v>48</v>
      </c>
      <c r="V160" s="4">
        <f>IF(ISERROR(VLOOKUP($S$160,'TAR FIN'!$A$1:$O$99,15,0)),0,VLOOKUP($S$160,'TAR FIN'!$A$1:$O$99,15,0))</f>
        <v>15.23</v>
      </c>
      <c r="W160" s="4">
        <f>IF(ISERROR(VLOOKUP($T$160,'TAR FIN'!$A$1:$O$99,15,0)),0,VLOOKUP($T$160,'TAR FIN'!$A$1:$O$99,15,0))</f>
        <v>65.13</v>
      </c>
      <c r="X160" s="4">
        <f>IF(ISERROR(VLOOKUP($U$160,'TAR FIN'!$A$1:$O$99,15,0)),0,VLOOKUP($U$160,'TAR FIN'!$A$1:$O$99,15,0))</f>
        <v>219.97</v>
      </c>
      <c r="Y160" s="4">
        <f ca="1">('TUSD BE'!$AM$6+'TUSD BF'!$AM$6+'TUSD CVA'!$AM$6)*1</f>
        <v>16.343876453142602</v>
      </c>
      <c r="Z160" s="4">
        <f ca="1">('TUSD BE'!$AM$7+'TUSD BF'!$AM$7+'TUSD CVA'!$AM$7)*1</f>
        <v>76.243476502957677</v>
      </c>
      <c r="AA160" s="4">
        <f>('TE BE'!$AA$6+'TE BF'!$AA$6+'TE CVA'!$AA$6)*1</f>
        <v>271.13910989737087</v>
      </c>
      <c r="AB160" s="4">
        <f>$K$160*$V$160</f>
        <v>1523</v>
      </c>
      <c r="AC160" s="4">
        <f>$M$160*$W$160</f>
        <v>328.90649999999994</v>
      </c>
      <c r="AD160" s="4">
        <f>$O$160*$X$160</f>
        <v>1110.8485000000001</v>
      </c>
      <c r="AE160" s="4">
        <f ca="1">$K$160*$Y$160</f>
        <v>1634.3876453142602</v>
      </c>
      <c r="AF160" s="4">
        <f ca="1">$M$160*$Z$160</f>
        <v>385.02955633993628</v>
      </c>
      <c r="AG160" s="4">
        <f>$O$160*$AA$160</f>
        <v>1369.252504981723</v>
      </c>
    </row>
    <row r="161" spans="1:33" ht="11.25" customHeight="1" x14ac:dyDescent="0.25">
      <c r="A161" s="3" t="s">
        <v>21</v>
      </c>
      <c r="B161" s="3" t="s">
        <v>41</v>
      </c>
      <c r="C161" s="3" t="s">
        <v>42</v>
      </c>
      <c r="D161" s="3" t="s">
        <v>40</v>
      </c>
      <c r="E161" s="3" t="s">
        <v>25</v>
      </c>
      <c r="F161" s="3" t="s">
        <v>25</v>
      </c>
      <c r="G161" s="3" t="s">
        <v>25</v>
      </c>
      <c r="H161" s="3" t="s">
        <v>36</v>
      </c>
      <c r="I161" s="6">
        <v>44501</v>
      </c>
      <c r="J161" s="4">
        <v>49542</v>
      </c>
      <c r="K161" s="4">
        <v>49542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3" t="s">
        <v>57</v>
      </c>
      <c r="R161" s="3">
        <v>0</v>
      </c>
      <c r="S161" s="4">
        <v>93</v>
      </c>
      <c r="T161" s="4">
        <v>0</v>
      </c>
      <c r="U161" s="4">
        <v>0</v>
      </c>
      <c r="V161" s="4">
        <f>IF(ISERROR(VLOOKUP($S$161,'TAR FIN'!$A$1:$O$99,15,0)),0,VLOOKUP($S$161,'TAR FIN'!$A$1:$O$99,15,0))</f>
        <v>15.23</v>
      </c>
      <c r="W161" s="4">
        <f>IF(ISERROR(VLOOKUP($T$161,'TAR FIN'!$A$1:$O$99,15,0)),0,VLOOKUP($T$161,'TAR FIN'!$A$1:$O$99,15,0))</f>
        <v>0</v>
      </c>
      <c r="X161" s="4">
        <f>IF(ISERROR(VLOOKUP($U$161,'TAR FIN'!$A$1:$O$99,15,0)),0,VLOOKUP($U$161,'TAR FIN'!$A$1:$O$99,15,0))</f>
        <v>0</v>
      </c>
      <c r="Y161" s="4">
        <f ca="1">('TUSD BE'!$AM$6+'TUSD BF'!$AM$6+'TUSD CVA'!$AM$6)*1</f>
        <v>16.343876453142602</v>
      </c>
      <c r="Z161" s="4">
        <f ca="1">('TUSD BE'!$AM$7+'TUSD BF'!$AM$7+'TUSD CVA'!$AM$7)*1</f>
        <v>76.243476502957677</v>
      </c>
      <c r="AA161" s="4"/>
      <c r="AB161" s="4">
        <f>$K$161*$V$161</f>
        <v>754524.66</v>
      </c>
      <c r="AC161" s="4">
        <f>$M$161*$W$161</f>
        <v>0</v>
      </c>
      <c r="AD161" s="4">
        <f>$O$161*$X$161</f>
        <v>0</v>
      </c>
      <c r="AE161" s="4">
        <f ca="1">$K$161*$Y$161</f>
        <v>809708.32724159083</v>
      </c>
      <c r="AF161" s="4">
        <f ca="1">$M$161*$Z$161</f>
        <v>0</v>
      </c>
      <c r="AG161" s="4">
        <f>$O$161*$AA$161</f>
        <v>0</v>
      </c>
    </row>
    <row r="162" spans="1:33" ht="11.25" customHeight="1" x14ac:dyDescent="0.25">
      <c r="A162" s="3" t="s">
        <v>21</v>
      </c>
      <c r="B162" s="3" t="s">
        <v>41</v>
      </c>
      <c r="C162" s="3" t="s">
        <v>42</v>
      </c>
      <c r="D162" s="3" t="s">
        <v>40</v>
      </c>
      <c r="E162" s="3" t="s">
        <v>25</v>
      </c>
      <c r="F162" s="3" t="s">
        <v>25</v>
      </c>
      <c r="G162" s="3" t="s">
        <v>25</v>
      </c>
      <c r="H162" s="3" t="s">
        <v>36</v>
      </c>
      <c r="I162" s="6">
        <v>44531</v>
      </c>
      <c r="J162" s="4">
        <v>7482</v>
      </c>
      <c r="K162" s="4">
        <v>7482</v>
      </c>
      <c r="L162" s="4">
        <v>321.03899999999999</v>
      </c>
      <c r="M162" s="4">
        <v>321.03899999999999</v>
      </c>
      <c r="N162" s="4">
        <v>321.03899999999999</v>
      </c>
      <c r="O162" s="4">
        <v>321.03899999999999</v>
      </c>
      <c r="P162" s="4">
        <v>0</v>
      </c>
      <c r="Q162" s="3" t="s">
        <v>26</v>
      </c>
      <c r="R162" s="3">
        <v>0</v>
      </c>
      <c r="S162" s="4">
        <v>93</v>
      </c>
      <c r="T162" s="4">
        <v>94</v>
      </c>
      <c r="U162" s="4">
        <v>48</v>
      </c>
      <c r="V162" s="4">
        <f>IF(ISERROR(VLOOKUP($S$162,'TAR FIN'!$A$1:$O$99,15,0)),0,VLOOKUP($S$162,'TAR FIN'!$A$1:$O$99,15,0))</f>
        <v>15.23</v>
      </c>
      <c r="W162" s="4">
        <f>IF(ISERROR(VLOOKUP($T$162,'TAR FIN'!$A$1:$O$99,15,0)),0,VLOOKUP($T$162,'TAR FIN'!$A$1:$O$99,15,0))</f>
        <v>65.13</v>
      </c>
      <c r="X162" s="4">
        <f>IF(ISERROR(VLOOKUP($U$162,'TAR FIN'!$A$1:$O$99,15,0)),0,VLOOKUP($U$162,'TAR FIN'!$A$1:$O$99,15,0))</f>
        <v>219.97</v>
      </c>
      <c r="Y162" s="4">
        <f ca="1">('TUSD BE'!$AM$6+'TUSD BF'!$AM$6+'TUSD CVA'!$AM$6)*1</f>
        <v>16.343876453142602</v>
      </c>
      <c r="Z162" s="4">
        <f ca="1">('TUSD BE'!$AM$7+'TUSD BF'!$AM$7+'TUSD CVA'!$AM$7)*1</f>
        <v>76.243476502957677</v>
      </c>
      <c r="AA162" s="4">
        <f>('TE BE'!$AA$6+'TE BF'!$AA$6+'TE CVA'!$AA$6)*1</f>
        <v>271.13910989737087</v>
      </c>
      <c r="AB162" s="4">
        <f>$K$162*$V$162</f>
        <v>113950.86</v>
      </c>
      <c r="AC162" s="4">
        <f>$M$162*$W$162</f>
        <v>20909.270069999999</v>
      </c>
      <c r="AD162" s="4">
        <f>$O$162*$X$162</f>
        <v>70618.948829999994</v>
      </c>
      <c r="AE162" s="4">
        <f ca="1">$K$162*$Y$162</f>
        <v>122284.88362241295</v>
      </c>
      <c r="AF162" s="4">
        <f ca="1">$M$162*$Z$162</f>
        <v>24477.129453033027</v>
      </c>
      <c r="AG162" s="4">
        <f>$O$162*$AA$162</f>
        <v>87046.22870234205</v>
      </c>
    </row>
    <row r="163" spans="1:33" ht="11.25" customHeight="1" x14ac:dyDescent="0.25">
      <c r="A163" s="3" t="s">
        <v>28</v>
      </c>
      <c r="B163" s="3" t="s">
        <v>41</v>
      </c>
      <c r="C163" s="3" t="s">
        <v>42</v>
      </c>
      <c r="D163" s="3" t="s">
        <v>40</v>
      </c>
      <c r="E163" s="3" t="s">
        <v>25</v>
      </c>
      <c r="F163" s="3" t="s">
        <v>25</v>
      </c>
      <c r="G163" s="3" t="s">
        <v>25</v>
      </c>
      <c r="H163" s="3" t="s">
        <v>36</v>
      </c>
      <c r="I163" s="6">
        <v>44531</v>
      </c>
      <c r="J163" s="4">
        <v>100</v>
      </c>
      <c r="K163" s="4">
        <v>100</v>
      </c>
      <c r="L163" s="4">
        <v>0.17</v>
      </c>
      <c r="M163" s="4">
        <v>0.17</v>
      </c>
      <c r="N163" s="4">
        <v>0.17</v>
      </c>
      <c r="O163" s="4">
        <v>0.17</v>
      </c>
      <c r="P163" s="4">
        <v>0</v>
      </c>
      <c r="Q163" s="3" t="s">
        <v>26</v>
      </c>
      <c r="R163" s="3">
        <v>0</v>
      </c>
      <c r="S163" s="4">
        <v>93</v>
      </c>
      <c r="T163" s="4">
        <v>94</v>
      </c>
      <c r="U163" s="4">
        <v>48</v>
      </c>
      <c r="V163" s="4">
        <f>IF(ISERROR(VLOOKUP($S$163,'TAR FIN'!$A$1:$O$99,15,0)),0,VLOOKUP($S$163,'TAR FIN'!$A$1:$O$99,15,0))</f>
        <v>15.23</v>
      </c>
      <c r="W163" s="4">
        <f>IF(ISERROR(VLOOKUP($T$163,'TAR FIN'!$A$1:$O$99,15,0)),0,VLOOKUP($T$163,'TAR FIN'!$A$1:$O$99,15,0))</f>
        <v>65.13</v>
      </c>
      <c r="X163" s="4">
        <f>IF(ISERROR(VLOOKUP($U$163,'TAR FIN'!$A$1:$O$99,15,0)),0,VLOOKUP($U$163,'TAR FIN'!$A$1:$O$99,15,0))</f>
        <v>219.97</v>
      </c>
      <c r="Y163" s="4">
        <f ca="1">('TUSD BE'!$AM$6+'TUSD BF'!$AM$6+'TUSD CVA'!$AM$6)*1</f>
        <v>16.343876453142602</v>
      </c>
      <c r="Z163" s="4">
        <f ca="1">('TUSD BE'!$AM$7+'TUSD BF'!$AM$7+'TUSD CVA'!$AM$7)*1</f>
        <v>76.243476502957677</v>
      </c>
      <c r="AA163" s="4">
        <f>('TE BE'!$AA$6+'TE BF'!$AA$6+'TE CVA'!$AA$6)*1</f>
        <v>271.13910989737087</v>
      </c>
      <c r="AB163" s="4">
        <f>$K$163*$V$163</f>
        <v>1523</v>
      </c>
      <c r="AC163" s="4">
        <f>$M$163*$W$163</f>
        <v>11.072100000000001</v>
      </c>
      <c r="AD163" s="4">
        <f>$O$163*$X$163</f>
        <v>37.3949</v>
      </c>
      <c r="AE163" s="4">
        <f ca="1">$K$163*$Y$163</f>
        <v>1634.3876453142602</v>
      </c>
      <c r="AF163" s="4">
        <f ca="1">$M$163*$Z$163</f>
        <v>12.961391005502806</v>
      </c>
      <c r="AG163" s="4">
        <f>$O$163*$AA$163</f>
        <v>46.093648682553052</v>
      </c>
    </row>
    <row r="164" spans="1:33" ht="11.25" customHeight="1" x14ac:dyDescent="0.25">
      <c r="A164" s="3" t="s">
        <v>21</v>
      </c>
      <c r="B164" s="3" t="s">
        <v>41</v>
      </c>
      <c r="C164" s="3" t="s">
        <v>42</v>
      </c>
      <c r="D164" s="3" t="s">
        <v>40</v>
      </c>
      <c r="E164" s="3" t="s">
        <v>25</v>
      </c>
      <c r="F164" s="3" t="s">
        <v>25</v>
      </c>
      <c r="G164" s="3" t="s">
        <v>25</v>
      </c>
      <c r="H164" s="3" t="s">
        <v>36</v>
      </c>
      <c r="I164" s="6">
        <v>44531</v>
      </c>
      <c r="J164" s="4">
        <v>49402</v>
      </c>
      <c r="K164" s="4">
        <v>49402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3" t="s">
        <v>57</v>
      </c>
      <c r="R164" s="3">
        <v>0</v>
      </c>
      <c r="S164" s="4">
        <v>93</v>
      </c>
      <c r="T164" s="4">
        <v>0</v>
      </c>
      <c r="U164" s="4">
        <v>0</v>
      </c>
      <c r="V164" s="4">
        <f>IF(ISERROR(VLOOKUP($S$164,'TAR FIN'!$A$1:$O$99,15,0)),0,VLOOKUP($S$164,'TAR FIN'!$A$1:$O$99,15,0))</f>
        <v>15.23</v>
      </c>
      <c r="W164" s="4">
        <f>IF(ISERROR(VLOOKUP($T$164,'TAR FIN'!$A$1:$O$99,15,0)),0,VLOOKUP($T$164,'TAR FIN'!$A$1:$O$99,15,0))</f>
        <v>0</v>
      </c>
      <c r="X164" s="4">
        <f>IF(ISERROR(VLOOKUP($U$164,'TAR FIN'!$A$1:$O$99,15,0)),0,VLOOKUP($U$164,'TAR FIN'!$A$1:$O$99,15,0))</f>
        <v>0</v>
      </c>
      <c r="Y164" s="4">
        <f ca="1">('TUSD BE'!$AM$6+'TUSD BF'!$AM$6+'TUSD CVA'!$AM$6)*1</f>
        <v>16.343876453142602</v>
      </c>
      <c r="Z164" s="4">
        <f ca="1">('TUSD BE'!$AM$7+'TUSD BF'!$AM$7+'TUSD CVA'!$AM$7)*1</f>
        <v>76.243476502957677</v>
      </c>
      <c r="AA164" s="4"/>
      <c r="AB164" s="4">
        <f>$K$164*$V$164</f>
        <v>752392.46000000008</v>
      </c>
      <c r="AC164" s="4">
        <f>$M$164*$W$164</f>
        <v>0</v>
      </c>
      <c r="AD164" s="4">
        <f>$O$164*$X$164</f>
        <v>0</v>
      </c>
      <c r="AE164" s="4">
        <f ca="1">$K$164*$Y$164</f>
        <v>807420.18453815079</v>
      </c>
      <c r="AF164" s="4">
        <f ca="1">$M$164*$Z$164</f>
        <v>0</v>
      </c>
      <c r="AG164" s="4">
        <f>$O$164*$AA$164</f>
        <v>0</v>
      </c>
    </row>
    <row r="165" spans="1:33" ht="11.25" customHeight="1" x14ac:dyDescent="0.25">
      <c r="A165" s="3" t="s">
        <v>21</v>
      </c>
      <c r="B165" s="3" t="s">
        <v>41</v>
      </c>
      <c r="C165" s="3" t="s">
        <v>42</v>
      </c>
      <c r="D165" s="3" t="s">
        <v>40</v>
      </c>
      <c r="E165" s="3" t="s">
        <v>25</v>
      </c>
      <c r="F165" s="3" t="s">
        <v>25</v>
      </c>
      <c r="G165" s="3" t="s">
        <v>25</v>
      </c>
      <c r="H165" s="3" t="s">
        <v>36</v>
      </c>
      <c r="I165" s="6">
        <v>44562</v>
      </c>
      <c r="J165" s="4">
        <v>13711</v>
      </c>
      <c r="K165" s="4">
        <v>13711</v>
      </c>
      <c r="L165" s="4">
        <v>136.46799999999999</v>
      </c>
      <c r="M165" s="4">
        <v>136.46799999999999</v>
      </c>
      <c r="N165" s="4">
        <v>136.46799999999999</v>
      </c>
      <c r="O165" s="4">
        <v>136.46799999999999</v>
      </c>
      <c r="P165" s="4">
        <v>0</v>
      </c>
      <c r="Q165" s="3" t="s">
        <v>26</v>
      </c>
      <c r="R165" s="3">
        <v>0</v>
      </c>
      <c r="S165" s="4">
        <v>93</v>
      </c>
      <c r="T165" s="4">
        <v>94</v>
      </c>
      <c r="U165" s="4">
        <v>48</v>
      </c>
      <c r="V165" s="4">
        <f>IF(ISERROR(VLOOKUP($S$165,'TAR FIN'!$A$1:$O$99,15,0)),0,VLOOKUP($S$165,'TAR FIN'!$A$1:$O$99,15,0))</f>
        <v>15.23</v>
      </c>
      <c r="W165" s="4">
        <f>IF(ISERROR(VLOOKUP($T$165,'TAR FIN'!$A$1:$O$99,15,0)),0,VLOOKUP($T$165,'TAR FIN'!$A$1:$O$99,15,0))</f>
        <v>65.13</v>
      </c>
      <c r="X165" s="4">
        <f>IF(ISERROR(VLOOKUP($U$165,'TAR FIN'!$A$1:$O$99,15,0)),0,VLOOKUP($U$165,'TAR FIN'!$A$1:$O$99,15,0))</f>
        <v>219.97</v>
      </c>
      <c r="Y165" s="4">
        <f ca="1">('TUSD BE'!$AM$6+'TUSD BF'!$AM$6+'TUSD CVA'!$AM$6)*1</f>
        <v>16.343876453142602</v>
      </c>
      <c r="Z165" s="4">
        <f ca="1">('TUSD BE'!$AM$7+'TUSD BF'!$AM$7+'TUSD CVA'!$AM$7)*1</f>
        <v>76.243476502957677</v>
      </c>
      <c r="AA165" s="4">
        <f>('TE BE'!$AA$6+'TE BF'!$AA$6+'TE CVA'!$AA$6)*1</f>
        <v>271.13910989737087</v>
      </c>
      <c r="AB165" s="4">
        <f>$K$165*$V$165</f>
        <v>208818.53</v>
      </c>
      <c r="AC165" s="4">
        <f>$M$165*$W$165</f>
        <v>8888.1608399999986</v>
      </c>
      <c r="AD165" s="4">
        <f>$O$165*$X$165</f>
        <v>30018.865959999999</v>
      </c>
      <c r="AE165" s="4">
        <f ca="1">$K$165*$Y$165</f>
        <v>224090.89004903822</v>
      </c>
      <c r="AF165" s="4">
        <f ca="1">$M$165*$Z$165</f>
        <v>10404.794751405627</v>
      </c>
      <c r="AG165" s="4">
        <f>$O$165*$AA$165</f>
        <v>37001.812049474407</v>
      </c>
    </row>
    <row r="166" spans="1:33" ht="11.25" customHeight="1" x14ac:dyDescent="0.25">
      <c r="A166" s="3" t="s">
        <v>28</v>
      </c>
      <c r="B166" s="3" t="s">
        <v>41</v>
      </c>
      <c r="C166" s="3" t="s">
        <v>42</v>
      </c>
      <c r="D166" s="3" t="s">
        <v>40</v>
      </c>
      <c r="E166" s="3" t="s">
        <v>25</v>
      </c>
      <c r="F166" s="3" t="s">
        <v>25</v>
      </c>
      <c r="G166" s="3" t="s">
        <v>25</v>
      </c>
      <c r="H166" s="3" t="s">
        <v>36</v>
      </c>
      <c r="I166" s="6">
        <v>44562</v>
      </c>
      <c r="J166" s="4">
        <v>100</v>
      </c>
      <c r="K166" s="4">
        <v>100</v>
      </c>
      <c r="L166" s="4">
        <v>3.7349999999999999</v>
      </c>
      <c r="M166" s="4">
        <v>3.7349999999999999</v>
      </c>
      <c r="N166" s="4">
        <v>3.7349999999999999</v>
      </c>
      <c r="O166" s="4">
        <v>3.7349999999999999</v>
      </c>
      <c r="P166" s="4">
        <v>0</v>
      </c>
      <c r="Q166" s="3" t="s">
        <v>26</v>
      </c>
      <c r="R166" s="3">
        <v>0</v>
      </c>
      <c r="S166" s="4">
        <v>93</v>
      </c>
      <c r="T166" s="4">
        <v>94</v>
      </c>
      <c r="U166" s="4">
        <v>48</v>
      </c>
      <c r="V166" s="4">
        <f>IF(ISERROR(VLOOKUP($S$166,'TAR FIN'!$A$1:$O$99,15,0)),0,VLOOKUP($S$166,'TAR FIN'!$A$1:$O$99,15,0))</f>
        <v>15.23</v>
      </c>
      <c r="W166" s="4">
        <f>IF(ISERROR(VLOOKUP($T$166,'TAR FIN'!$A$1:$O$99,15,0)),0,VLOOKUP($T$166,'TAR FIN'!$A$1:$O$99,15,0))</f>
        <v>65.13</v>
      </c>
      <c r="X166" s="4">
        <f>IF(ISERROR(VLOOKUP($U$166,'TAR FIN'!$A$1:$O$99,15,0)),0,VLOOKUP($U$166,'TAR FIN'!$A$1:$O$99,15,0))</f>
        <v>219.97</v>
      </c>
      <c r="Y166" s="4">
        <f ca="1">('TUSD BE'!$AM$6+'TUSD BF'!$AM$6+'TUSD CVA'!$AM$6)*1</f>
        <v>16.343876453142602</v>
      </c>
      <c r="Z166" s="4">
        <f ca="1">('TUSD BE'!$AM$7+'TUSD BF'!$AM$7+'TUSD CVA'!$AM$7)*1</f>
        <v>76.243476502957677</v>
      </c>
      <c r="AA166" s="4">
        <f>('TE BE'!$AA$6+'TE BF'!$AA$6+'TE CVA'!$AA$6)*1</f>
        <v>271.13910989737087</v>
      </c>
      <c r="AB166" s="4">
        <f>$K$166*$V$166</f>
        <v>1523</v>
      </c>
      <c r="AC166" s="4">
        <f>$M$166*$W$166</f>
        <v>243.26054999999997</v>
      </c>
      <c r="AD166" s="4">
        <f>$O$166*$X$166</f>
        <v>821.58794999999998</v>
      </c>
      <c r="AE166" s="4">
        <f ca="1">$K$166*$Y$166</f>
        <v>1634.3876453142602</v>
      </c>
      <c r="AF166" s="4">
        <f ca="1">$M$166*$Z$166</f>
        <v>284.76938473854693</v>
      </c>
      <c r="AG166" s="4">
        <f>$O$166*$AA$166</f>
        <v>1012.7045754666801</v>
      </c>
    </row>
    <row r="167" spans="1:33" ht="11.25" customHeight="1" x14ac:dyDescent="0.25">
      <c r="A167" s="3" t="s">
        <v>21</v>
      </c>
      <c r="B167" s="3" t="s">
        <v>41</v>
      </c>
      <c r="C167" s="3" t="s">
        <v>42</v>
      </c>
      <c r="D167" s="3" t="s">
        <v>40</v>
      </c>
      <c r="E167" s="3" t="s">
        <v>25</v>
      </c>
      <c r="F167" s="3" t="s">
        <v>25</v>
      </c>
      <c r="G167" s="3" t="s">
        <v>25</v>
      </c>
      <c r="H167" s="3" t="s">
        <v>36</v>
      </c>
      <c r="I167" s="6">
        <v>44562</v>
      </c>
      <c r="J167" s="4">
        <v>49400</v>
      </c>
      <c r="K167" s="4">
        <v>49400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3" t="s">
        <v>57</v>
      </c>
      <c r="R167" s="3">
        <v>0</v>
      </c>
      <c r="S167" s="4">
        <v>93</v>
      </c>
      <c r="T167" s="4">
        <v>0</v>
      </c>
      <c r="U167" s="4">
        <v>0</v>
      </c>
      <c r="V167" s="4">
        <f>IF(ISERROR(VLOOKUP($S$167,'TAR FIN'!$A$1:$O$99,15,0)),0,VLOOKUP($S$167,'TAR FIN'!$A$1:$O$99,15,0))</f>
        <v>15.23</v>
      </c>
      <c r="W167" s="4">
        <f>IF(ISERROR(VLOOKUP($T$167,'TAR FIN'!$A$1:$O$99,15,0)),0,VLOOKUP($T$167,'TAR FIN'!$A$1:$O$99,15,0))</f>
        <v>0</v>
      </c>
      <c r="X167" s="4">
        <f>IF(ISERROR(VLOOKUP($U$167,'TAR FIN'!$A$1:$O$99,15,0)),0,VLOOKUP($U$167,'TAR FIN'!$A$1:$O$99,15,0))</f>
        <v>0</v>
      </c>
      <c r="Y167" s="4">
        <f ca="1">('TUSD BE'!$AM$6+'TUSD BF'!$AM$6+'TUSD CVA'!$AM$6)*1</f>
        <v>16.343876453142602</v>
      </c>
      <c r="Z167" s="4">
        <f ca="1">('TUSD BE'!$AM$7+'TUSD BF'!$AM$7+'TUSD CVA'!$AM$7)*1</f>
        <v>76.243476502957677</v>
      </c>
      <c r="AA167" s="4"/>
      <c r="AB167" s="4">
        <f>$K$167*$V$167</f>
        <v>752362</v>
      </c>
      <c r="AC167" s="4">
        <f>$M$167*$W$167</f>
        <v>0</v>
      </c>
      <c r="AD167" s="4">
        <f>$O$167*$X$167</f>
        <v>0</v>
      </c>
      <c r="AE167" s="4">
        <f ca="1">$K$167*$Y$167</f>
        <v>807387.49678524456</v>
      </c>
      <c r="AF167" s="4">
        <f ca="1">$M$167*$Z$167</f>
        <v>0</v>
      </c>
      <c r="AG167" s="4">
        <f>$O$167*$AA$167</f>
        <v>0</v>
      </c>
    </row>
    <row r="168" spans="1:33" ht="11.25" customHeight="1" x14ac:dyDescent="0.25">
      <c r="A168" s="3" t="s">
        <v>21</v>
      </c>
      <c r="B168" s="3" t="s">
        <v>41</v>
      </c>
      <c r="C168" s="3" t="s">
        <v>42</v>
      </c>
      <c r="D168" s="3" t="s">
        <v>40</v>
      </c>
      <c r="E168" s="3" t="s">
        <v>25</v>
      </c>
      <c r="F168" s="3" t="s">
        <v>25</v>
      </c>
      <c r="G168" s="3" t="s">
        <v>25</v>
      </c>
      <c r="H168" s="3" t="s">
        <v>36</v>
      </c>
      <c r="I168" s="6">
        <v>44593</v>
      </c>
      <c r="J168" s="4">
        <v>12452</v>
      </c>
      <c r="K168" s="4">
        <v>12452</v>
      </c>
      <c r="L168" s="4">
        <v>135.31800000000001</v>
      </c>
      <c r="M168" s="4">
        <v>135.31800000000001</v>
      </c>
      <c r="N168" s="4">
        <v>135.31800000000001</v>
      </c>
      <c r="O168" s="4">
        <v>135.31800000000001</v>
      </c>
      <c r="P168" s="4">
        <v>0</v>
      </c>
      <c r="Q168" s="3" t="s">
        <v>26</v>
      </c>
      <c r="R168" s="3">
        <v>0</v>
      </c>
      <c r="S168" s="4">
        <v>93</v>
      </c>
      <c r="T168" s="4">
        <v>94</v>
      </c>
      <c r="U168" s="4">
        <v>48</v>
      </c>
      <c r="V168" s="4">
        <f>IF(ISERROR(VLOOKUP($S$168,'TAR FIN'!$A$1:$O$99,15,0)),0,VLOOKUP($S$168,'TAR FIN'!$A$1:$O$99,15,0))</f>
        <v>15.23</v>
      </c>
      <c r="W168" s="4">
        <f>IF(ISERROR(VLOOKUP($T$168,'TAR FIN'!$A$1:$O$99,15,0)),0,VLOOKUP($T$168,'TAR FIN'!$A$1:$O$99,15,0))</f>
        <v>65.13</v>
      </c>
      <c r="X168" s="4">
        <f>IF(ISERROR(VLOOKUP($U$168,'TAR FIN'!$A$1:$O$99,15,0)),0,VLOOKUP($U$168,'TAR FIN'!$A$1:$O$99,15,0))</f>
        <v>219.97</v>
      </c>
      <c r="Y168" s="4">
        <f ca="1">('TUSD BE'!$AM$6+'TUSD BF'!$AM$6+'TUSD CVA'!$AM$6)*1</f>
        <v>16.343876453142602</v>
      </c>
      <c r="Z168" s="4">
        <f ca="1">('TUSD BE'!$AM$7+'TUSD BF'!$AM$7+'TUSD CVA'!$AM$7)*1</f>
        <v>76.243476502957677</v>
      </c>
      <c r="AA168" s="4">
        <f>('TE BE'!$AA$6+'TE BF'!$AA$6+'TE CVA'!$AA$6)*1</f>
        <v>271.13910989737087</v>
      </c>
      <c r="AB168" s="4">
        <f>$K$168*$V$168</f>
        <v>189643.96</v>
      </c>
      <c r="AC168" s="4">
        <f>$M$168*$W$168</f>
        <v>8813.2613400000009</v>
      </c>
      <c r="AD168" s="4">
        <f>$O$168*$X$168</f>
        <v>29765.900460000001</v>
      </c>
      <c r="AE168" s="4">
        <f ca="1">$K$168*$Y$168</f>
        <v>203513.94959453167</v>
      </c>
      <c r="AF168" s="4">
        <f ca="1">$M$168*$Z$168</f>
        <v>10317.114753427228</v>
      </c>
      <c r="AG168" s="4">
        <f>$O$168*$AA$168</f>
        <v>36690.002073092437</v>
      </c>
    </row>
    <row r="169" spans="1:33" ht="11.25" customHeight="1" x14ac:dyDescent="0.25">
      <c r="A169" s="3" t="s">
        <v>27</v>
      </c>
      <c r="B169" s="3" t="s">
        <v>41</v>
      </c>
      <c r="C169" s="3" t="s">
        <v>42</v>
      </c>
      <c r="D169" s="3" t="s">
        <v>40</v>
      </c>
      <c r="E169" s="3" t="s">
        <v>25</v>
      </c>
      <c r="F169" s="3" t="s">
        <v>25</v>
      </c>
      <c r="G169" s="3" t="s">
        <v>25</v>
      </c>
      <c r="H169" s="3" t="s">
        <v>36</v>
      </c>
      <c r="I169" s="6">
        <v>44593</v>
      </c>
      <c r="J169" s="4">
        <v>-7192</v>
      </c>
      <c r="K169" s="4">
        <v>-7192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3" t="s">
        <v>26</v>
      </c>
      <c r="R169" s="3">
        <v>0</v>
      </c>
      <c r="S169" s="4">
        <v>93</v>
      </c>
      <c r="T169" s="4">
        <v>0</v>
      </c>
      <c r="U169" s="4">
        <v>0</v>
      </c>
      <c r="V169" s="4">
        <f>IF(ISERROR(VLOOKUP($S$169,'TAR FIN'!$A$1:$O$99,15,0)),0,VLOOKUP($S$169,'TAR FIN'!$A$1:$O$99,15,0))</f>
        <v>15.23</v>
      </c>
      <c r="W169" s="4">
        <f>IF(ISERROR(VLOOKUP($T$169,'TAR FIN'!$A$1:$O$99,15,0)),0,VLOOKUP($T$169,'TAR FIN'!$A$1:$O$99,15,0))</f>
        <v>0</v>
      </c>
      <c r="X169" s="4">
        <f>IF(ISERROR(VLOOKUP($U$169,'TAR FIN'!$A$1:$O$99,15,0)),0,VLOOKUP($U$169,'TAR FIN'!$A$1:$O$99,15,0))</f>
        <v>0</v>
      </c>
      <c r="Y169" s="4">
        <f ca="1">('TUSD BE'!$AM$6+'TUSD BF'!$AM$6+'TUSD CVA'!$AM$6)*1</f>
        <v>16.343876453142602</v>
      </c>
      <c r="Z169" s="4">
        <f ca="1">('TUSD BE'!$AM$7+'TUSD BF'!$AM$7+'TUSD CVA'!$AM$7)*1</f>
        <v>76.243476502957677</v>
      </c>
      <c r="AA169" s="4">
        <f>('TE BE'!$AA$6+'TE BF'!$AA$6+'TE CVA'!$AA$6)*1</f>
        <v>271.13910989737087</v>
      </c>
      <c r="AB169" s="4">
        <f>$K$169*$V$169</f>
        <v>-109534.16</v>
      </c>
      <c r="AC169" s="4">
        <f>$M$169*$W$169</f>
        <v>0</v>
      </c>
      <c r="AD169" s="4">
        <f>$O$169*$X$169</f>
        <v>0</v>
      </c>
      <c r="AE169" s="4">
        <f ca="1">$K$169*$Y$169</f>
        <v>-117545.1594510016</v>
      </c>
      <c r="AF169" s="4">
        <f ca="1">$M$169*$Z$169</f>
        <v>0</v>
      </c>
      <c r="AG169" s="4">
        <f>$O$169*$AA$169</f>
        <v>0</v>
      </c>
    </row>
    <row r="170" spans="1:33" ht="11.25" customHeight="1" x14ac:dyDescent="0.25">
      <c r="A170" s="3" t="s">
        <v>28</v>
      </c>
      <c r="B170" s="3" t="s">
        <v>41</v>
      </c>
      <c r="C170" s="3" t="s">
        <v>42</v>
      </c>
      <c r="D170" s="3" t="s">
        <v>40</v>
      </c>
      <c r="E170" s="3" t="s">
        <v>25</v>
      </c>
      <c r="F170" s="3" t="s">
        <v>25</v>
      </c>
      <c r="G170" s="3" t="s">
        <v>25</v>
      </c>
      <c r="H170" s="3" t="s">
        <v>36</v>
      </c>
      <c r="I170" s="6">
        <v>44593</v>
      </c>
      <c r="J170" s="4">
        <v>100</v>
      </c>
      <c r="K170" s="4">
        <v>100</v>
      </c>
      <c r="L170" s="4">
        <v>4.3410000000000002</v>
      </c>
      <c r="M170" s="4">
        <v>4.3410000000000002</v>
      </c>
      <c r="N170" s="4">
        <v>4.3410000000000002</v>
      </c>
      <c r="O170" s="4">
        <v>4.3410000000000002</v>
      </c>
      <c r="P170" s="4">
        <v>0</v>
      </c>
      <c r="Q170" s="3" t="s">
        <v>26</v>
      </c>
      <c r="R170" s="3">
        <v>0</v>
      </c>
      <c r="S170" s="4">
        <v>93</v>
      </c>
      <c r="T170" s="4">
        <v>94</v>
      </c>
      <c r="U170" s="4">
        <v>48</v>
      </c>
      <c r="V170" s="4">
        <f>IF(ISERROR(VLOOKUP($S$170,'TAR FIN'!$A$1:$O$99,15,0)),0,VLOOKUP($S$170,'TAR FIN'!$A$1:$O$99,15,0))</f>
        <v>15.23</v>
      </c>
      <c r="W170" s="4">
        <f>IF(ISERROR(VLOOKUP($T$170,'TAR FIN'!$A$1:$O$99,15,0)),0,VLOOKUP($T$170,'TAR FIN'!$A$1:$O$99,15,0))</f>
        <v>65.13</v>
      </c>
      <c r="X170" s="4">
        <f>IF(ISERROR(VLOOKUP($U$170,'TAR FIN'!$A$1:$O$99,15,0)),0,VLOOKUP($U$170,'TAR FIN'!$A$1:$O$99,15,0))</f>
        <v>219.97</v>
      </c>
      <c r="Y170" s="4">
        <f ca="1">('TUSD BE'!$AM$6+'TUSD BF'!$AM$6+'TUSD CVA'!$AM$6)*1</f>
        <v>16.343876453142602</v>
      </c>
      <c r="Z170" s="4">
        <f ca="1">('TUSD BE'!$AM$7+'TUSD BF'!$AM$7+'TUSD CVA'!$AM$7)*1</f>
        <v>76.243476502957677</v>
      </c>
      <c r="AA170" s="4">
        <f>('TE BE'!$AA$6+'TE BF'!$AA$6+'TE CVA'!$AA$6)*1</f>
        <v>271.13910989737087</v>
      </c>
      <c r="AB170" s="4">
        <f>$K$170*$V$170</f>
        <v>1523</v>
      </c>
      <c r="AC170" s="4">
        <f>$M$170*$W$170</f>
        <v>282.72933</v>
      </c>
      <c r="AD170" s="4">
        <f>$O$170*$X$170</f>
        <v>954.88977</v>
      </c>
      <c r="AE170" s="4">
        <f ca="1">$K$170*$Y$170</f>
        <v>1634.3876453142602</v>
      </c>
      <c r="AF170" s="4">
        <f ca="1">$M$170*$Z$170</f>
        <v>330.97293149933927</v>
      </c>
      <c r="AG170" s="4">
        <f>$O$170*$AA$170</f>
        <v>1177.014876064487</v>
      </c>
    </row>
    <row r="171" spans="1:33" ht="11.25" customHeight="1" x14ac:dyDescent="0.25">
      <c r="A171" s="3" t="s">
        <v>21</v>
      </c>
      <c r="B171" s="3" t="s">
        <v>41</v>
      </c>
      <c r="C171" s="3" t="s">
        <v>42</v>
      </c>
      <c r="D171" s="3" t="s">
        <v>40</v>
      </c>
      <c r="E171" s="3" t="s">
        <v>25</v>
      </c>
      <c r="F171" s="3" t="s">
        <v>25</v>
      </c>
      <c r="G171" s="3" t="s">
        <v>25</v>
      </c>
      <c r="H171" s="3" t="s">
        <v>36</v>
      </c>
      <c r="I171" s="6">
        <v>44593</v>
      </c>
      <c r="J171" s="4">
        <v>19400</v>
      </c>
      <c r="K171" s="4">
        <v>19400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3" t="s">
        <v>57</v>
      </c>
      <c r="R171" s="3">
        <v>0</v>
      </c>
      <c r="S171" s="4">
        <v>93</v>
      </c>
      <c r="T171" s="4">
        <v>0</v>
      </c>
      <c r="U171" s="4">
        <v>0</v>
      </c>
      <c r="V171" s="4">
        <f>IF(ISERROR(VLOOKUP($S$171,'TAR FIN'!$A$1:$O$99,15,0)),0,VLOOKUP($S$171,'TAR FIN'!$A$1:$O$99,15,0))</f>
        <v>15.23</v>
      </c>
      <c r="W171" s="4">
        <f>IF(ISERROR(VLOOKUP($T$171,'TAR FIN'!$A$1:$O$99,15,0)),0,VLOOKUP($T$171,'TAR FIN'!$A$1:$O$99,15,0))</f>
        <v>0</v>
      </c>
      <c r="X171" s="4">
        <f>IF(ISERROR(VLOOKUP($U$171,'TAR FIN'!$A$1:$O$99,15,0)),0,VLOOKUP($U$171,'TAR FIN'!$A$1:$O$99,15,0))</f>
        <v>0</v>
      </c>
      <c r="Y171" s="4">
        <f ca="1">('TUSD BE'!$AM$6+'TUSD BF'!$AM$6+'TUSD CVA'!$AM$6)*1</f>
        <v>16.343876453142602</v>
      </c>
      <c r="Z171" s="4">
        <f ca="1">('TUSD BE'!$AM$7+'TUSD BF'!$AM$7+'TUSD CVA'!$AM$7)*1</f>
        <v>76.243476502957677</v>
      </c>
      <c r="AA171" s="4"/>
      <c r="AB171" s="4">
        <f>$K$171*$V$171</f>
        <v>295462</v>
      </c>
      <c r="AC171" s="4">
        <f>$M$171*$W$171</f>
        <v>0</v>
      </c>
      <c r="AD171" s="4">
        <f>$O$171*$X$171</f>
        <v>0</v>
      </c>
      <c r="AE171" s="4">
        <f ca="1">$K$171*$Y$171</f>
        <v>317071.20319096651</v>
      </c>
      <c r="AF171" s="4">
        <f ca="1">$M$171*$Z$171</f>
        <v>0</v>
      </c>
      <c r="AG171" s="4">
        <f>$O$171*$AA$171</f>
        <v>0</v>
      </c>
    </row>
    <row r="172" spans="1:33" ht="11.25" customHeight="1" x14ac:dyDescent="0.25">
      <c r="A172" s="3" t="s">
        <v>21</v>
      </c>
      <c r="B172" s="3" t="s">
        <v>41</v>
      </c>
      <c r="C172" s="3" t="s">
        <v>42</v>
      </c>
      <c r="D172" s="3" t="s">
        <v>40</v>
      </c>
      <c r="E172" s="3" t="s">
        <v>25</v>
      </c>
      <c r="F172" s="3" t="s">
        <v>25</v>
      </c>
      <c r="G172" s="3" t="s">
        <v>25</v>
      </c>
      <c r="H172" s="3" t="s">
        <v>36</v>
      </c>
      <c r="I172" s="6">
        <v>44621</v>
      </c>
      <c r="J172" s="4">
        <v>8594</v>
      </c>
      <c r="K172" s="4">
        <v>8594</v>
      </c>
      <c r="L172" s="4">
        <v>360.09899999999999</v>
      </c>
      <c r="M172" s="4">
        <v>360.09899999999999</v>
      </c>
      <c r="N172" s="4">
        <v>360.09899999999999</v>
      </c>
      <c r="O172" s="4">
        <v>360.09899999999999</v>
      </c>
      <c r="P172" s="4">
        <v>0</v>
      </c>
      <c r="Q172" s="3" t="s">
        <v>26</v>
      </c>
      <c r="R172" s="3">
        <v>0</v>
      </c>
      <c r="S172" s="4">
        <v>93</v>
      </c>
      <c r="T172" s="4">
        <v>94</v>
      </c>
      <c r="U172" s="4">
        <v>48</v>
      </c>
      <c r="V172" s="4">
        <f>IF(ISERROR(VLOOKUP($S$172,'TAR FIN'!$A$1:$O$99,15,0)),0,VLOOKUP($S$172,'TAR FIN'!$A$1:$O$99,15,0))</f>
        <v>15.23</v>
      </c>
      <c r="W172" s="4">
        <f>IF(ISERROR(VLOOKUP($T$172,'TAR FIN'!$A$1:$O$99,15,0)),0,VLOOKUP($T$172,'TAR FIN'!$A$1:$O$99,15,0))</f>
        <v>65.13</v>
      </c>
      <c r="X172" s="4">
        <f>IF(ISERROR(VLOOKUP($U$172,'TAR FIN'!$A$1:$O$99,15,0)),0,VLOOKUP($U$172,'TAR FIN'!$A$1:$O$99,15,0))</f>
        <v>219.97</v>
      </c>
      <c r="Y172" s="4">
        <f ca="1">('TUSD BE'!$AM$6+'TUSD BF'!$AM$6+'TUSD CVA'!$AM$6)*1</f>
        <v>16.343876453142602</v>
      </c>
      <c r="Z172" s="4">
        <f ca="1">('TUSD BE'!$AM$7+'TUSD BF'!$AM$7+'TUSD CVA'!$AM$7)*1</f>
        <v>76.243476502957677</v>
      </c>
      <c r="AA172" s="4">
        <f>('TE BE'!$AA$6+'TE BF'!$AA$6+'TE CVA'!$AA$6)*1</f>
        <v>271.13910989737087</v>
      </c>
      <c r="AB172" s="4">
        <f>$K$172*$V$172</f>
        <v>130886.62000000001</v>
      </c>
      <c r="AC172" s="4">
        <f>$M$172*$W$172</f>
        <v>23453.247869999999</v>
      </c>
      <c r="AD172" s="4">
        <f>$O$172*$X$172</f>
        <v>79210.977029999995</v>
      </c>
      <c r="AE172" s="4">
        <f ca="1">$K$172*$Y$172</f>
        <v>140459.27423830752</v>
      </c>
      <c r="AF172" s="4">
        <f ca="1">$M$172*$Z$172</f>
        <v>27455.199645238557</v>
      </c>
      <c r="AG172" s="4">
        <f>$O$172*$AA$172</f>
        <v>97636.922334933348</v>
      </c>
    </row>
    <row r="173" spans="1:33" ht="11.25" customHeight="1" x14ac:dyDescent="0.25">
      <c r="A173" s="3" t="s">
        <v>28</v>
      </c>
      <c r="B173" s="3" t="s">
        <v>41</v>
      </c>
      <c r="C173" s="3" t="s">
        <v>42</v>
      </c>
      <c r="D173" s="3" t="s">
        <v>40</v>
      </c>
      <c r="E173" s="3" t="s">
        <v>25</v>
      </c>
      <c r="F173" s="3" t="s">
        <v>25</v>
      </c>
      <c r="G173" s="3" t="s">
        <v>25</v>
      </c>
      <c r="H173" s="3" t="s">
        <v>36</v>
      </c>
      <c r="I173" s="6">
        <v>44621</v>
      </c>
      <c r="J173" s="4">
        <v>100</v>
      </c>
      <c r="K173" s="4">
        <v>100</v>
      </c>
      <c r="L173" s="4">
        <v>0.30399999999999999</v>
      </c>
      <c r="M173" s="4">
        <v>0.30399999999999999</v>
      </c>
      <c r="N173" s="4">
        <v>0.30399999999999999</v>
      </c>
      <c r="O173" s="4">
        <v>0.30399999999999999</v>
      </c>
      <c r="P173" s="4">
        <v>0</v>
      </c>
      <c r="Q173" s="3" t="s">
        <v>26</v>
      </c>
      <c r="R173" s="3">
        <v>0</v>
      </c>
      <c r="S173" s="4">
        <v>93</v>
      </c>
      <c r="T173" s="4">
        <v>94</v>
      </c>
      <c r="U173" s="4">
        <v>48</v>
      </c>
      <c r="V173" s="4">
        <f>IF(ISERROR(VLOOKUP($S$173,'TAR FIN'!$A$1:$O$99,15,0)),0,VLOOKUP($S$173,'TAR FIN'!$A$1:$O$99,15,0))</f>
        <v>15.23</v>
      </c>
      <c r="W173" s="4">
        <f>IF(ISERROR(VLOOKUP($T$173,'TAR FIN'!$A$1:$O$99,15,0)),0,VLOOKUP($T$173,'TAR FIN'!$A$1:$O$99,15,0))</f>
        <v>65.13</v>
      </c>
      <c r="X173" s="4">
        <f>IF(ISERROR(VLOOKUP($U$173,'TAR FIN'!$A$1:$O$99,15,0)),0,VLOOKUP($U$173,'TAR FIN'!$A$1:$O$99,15,0))</f>
        <v>219.97</v>
      </c>
      <c r="Y173" s="4">
        <f ca="1">('TUSD BE'!$AM$6+'TUSD BF'!$AM$6+'TUSD CVA'!$AM$6)*1</f>
        <v>16.343876453142602</v>
      </c>
      <c r="Z173" s="4">
        <f ca="1">('TUSD BE'!$AM$7+'TUSD BF'!$AM$7+'TUSD CVA'!$AM$7)*1</f>
        <v>76.243476502957677</v>
      </c>
      <c r="AA173" s="4">
        <f>('TE BE'!$AA$6+'TE BF'!$AA$6+'TE CVA'!$AA$6)*1</f>
        <v>271.13910989737087</v>
      </c>
      <c r="AB173" s="4">
        <f>$K$173*$V$173</f>
        <v>1523</v>
      </c>
      <c r="AC173" s="4">
        <f>$M$173*$W$173</f>
        <v>19.799519999999998</v>
      </c>
      <c r="AD173" s="4">
        <f>$O$173*$X$173</f>
        <v>66.87088</v>
      </c>
      <c r="AE173" s="4">
        <f ca="1">$K$173*$Y$173</f>
        <v>1634.3876453142602</v>
      </c>
      <c r="AF173" s="4">
        <f ca="1">$M$173*$Z$173</f>
        <v>23.178016856899134</v>
      </c>
      <c r="AG173" s="4">
        <f>$O$173*$AA$173</f>
        <v>82.426289408800741</v>
      </c>
    </row>
    <row r="174" spans="1:33" ht="11.25" customHeight="1" x14ac:dyDescent="0.25">
      <c r="A174" s="3" t="s">
        <v>21</v>
      </c>
      <c r="B174" s="3" t="s">
        <v>41</v>
      </c>
      <c r="C174" s="3" t="s">
        <v>42</v>
      </c>
      <c r="D174" s="3" t="s">
        <v>40</v>
      </c>
      <c r="E174" s="3" t="s">
        <v>25</v>
      </c>
      <c r="F174" s="3" t="s">
        <v>25</v>
      </c>
      <c r="G174" s="3" t="s">
        <v>25</v>
      </c>
      <c r="H174" s="3" t="s">
        <v>36</v>
      </c>
      <c r="I174" s="6">
        <v>44621</v>
      </c>
      <c r="J174" s="4">
        <v>39400</v>
      </c>
      <c r="K174" s="4">
        <v>39400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3" t="s">
        <v>57</v>
      </c>
      <c r="R174" s="3">
        <v>0</v>
      </c>
      <c r="S174" s="4">
        <v>93</v>
      </c>
      <c r="T174" s="4">
        <v>0</v>
      </c>
      <c r="U174" s="4">
        <v>0</v>
      </c>
      <c r="V174" s="4">
        <f>IF(ISERROR(VLOOKUP($S$174,'TAR FIN'!$A$1:$O$99,15,0)),0,VLOOKUP($S$174,'TAR FIN'!$A$1:$O$99,15,0))</f>
        <v>15.23</v>
      </c>
      <c r="W174" s="4">
        <f>IF(ISERROR(VLOOKUP($T$174,'TAR FIN'!$A$1:$O$99,15,0)),0,VLOOKUP($T$174,'TAR FIN'!$A$1:$O$99,15,0))</f>
        <v>0</v>
      </c>
      <c r="X174" s="4">
        <f>IF(ISERROR(VLOOKUP($U$174,'TAR FIN'!$A$1:$O$99,15,0)),0,VLOOKUP($U$174,'TAR FIN'!$A$1:$O$99,15,0))</f>
        <v>0</v>
      </c>
      <c r="Y174" s="4">
        <f ca="1">('TUSD BE'!$AM$6+'TUSD BF'!$AM$6+'TUSD CVA'!$AM$6)*1</f>
        <v>16.343876453142602</v>
      </c>
      <c r="Z174" s="4">
        <f ca="1">('TUSD BE'!$AM$7+'TUSD BF'!$AM$7+'TUSD CVA'!$AM$7)*1</f>
        <v>76.243476502957677</v>
      </c>
      <c r="AA174" s="4"/>
      <c r="AB174" s="4">
        <f>$K$174*$V$174</f>
        <v>600062</v>
      </c>
      <c r="AC174" s="4">
        <f>$M$174*$W$174</f>
        <v>0</v>
      </c>
      <c r="AD174" s="4">
        <f>$O$174*$X$174</f>
        <v>0</v>
      </c>
      <c r="AE174" s="4">
        <f ca="1">$K$174*$Y$174</f>
        <v>643948.73225381854</v>
      </c>
      <c r="AF174" s="4">
        <f ca="1">$M$174*$Z$174</f>
        <v>0</v>
      </c>
      <c r="AG174" s="4">
        <f>$O$174*$AA$174</f>
        <v>0</v>
      </c>
    </row>
    <row r="175" spans="1:33" ht="11.25" customHeight="1" x14ac:dyDescent="0.25">
      <c r="A175" s="3" t="s">
        <v>56</v>
      </c>
      <c r="B175" s="3" t="s">
        <v>41</v>
      </c>
      <c r="C175" s="3" t="s">
        <v>42</v>
      </c>
      <c r="D175" s="3" t="s">
        <v>40</v>
      </c>
      <c r="E175" s="3" t="s">
        <v>25</v>
      </c>
      <c r="F175" s="3" t="s">
        <v>25</v>
      </c>
      <c r="G175" s="3" t="s">
        <v>25</v>
      </c>
      <c r="H175" s="3" t="s">
        <v>36</v>
      </c>
      <c r="I175" s="6">
        <v>44652</v>
      </c>
      <c r="J175" s="4">
        <v>8594</v>
      </c>
      <c r="K175" s="4">
        <v>8594</v>
      </c>
      <c r="L175" s="4">
        <v>360.09899999999999</v>
      </c>
      <c r="M175" s="4">
        <v>360.09899999999999</v>
      </c>
      <c r="N175" s="4">
        <v>360.09899999999999</v>
      </c>
      <c r="O175" s="4">
        <v>360.09899999999999</v>
      </c>
      <c r="P175" s="4">
        <v>0</v>
      </c>
      <c r="Q175" s="3" t="s">
        <v>26</v>
      </c>
      <c r="R175" s="3">
        <v>0</v>
      </c>
      <c r="S175" s="4">
        <v>93</v>
      </c>
      <c r="T175" s="4">
        <v>94</v>
      </c>
      <c r="U175" s="4">
        <v>48</v>
      </c>
      <c r="V175" s="4">
        <f>IF(ISERROR(VLOOKUP($S$175,'TAR FIN'!$A$1:$O$99,15,0)),0,VLOOKUP($S$175,'TAR FIN'!$A$1:$O$99,15,0))</f>
        <v>15.23</v>
      </c>
      <c r="W175" s="4">
        <f>IF(ISERROR(VLOOKUP($T$175,'TAR FIN'!$A$1:$O$99,15,0)),0,VLOOKUP($T$175,'TAR FIN'!$A$1:$O$99,15,0))</f>
        <v>65.13</v>
      </c>
      <c r="X175" s="4">
        <f>IF(ISERROR(VLOOKUP($U$175,'TAR FIN'!$A$1:$O$99,15,0)),0,VLOOKUP($U$175,'TAR FIN'!$A$1:$O$99,15,0))</f>
        <v>219.97</v>
      </c>
      <c r="Y175" s="4">
        <f ca="1">('TUSD BE'!$AM$6+'TUSD BF'!$AM$6+'TUSD CVA'!$AM$6)*1</f>
        <v>16.343876453142602</v>
      </c>
      <c r="Z175" s="4">
        <f ca="1">('TUSD BE'!$AM$7+'TUSD BF'!$AM$7+'TUSD CVA'!$AM$7)*1</f>
        <v>76.243476502957677</v>
      </c>
      <c r="AA175" s="4">
        <f>('TE BE'!$AA$6+'TE BF'!$AA$6+'TE CVA'!$AA$6)*1</f>
        <v>271.13910989737087</v>
      </c>
      <c r="AB175" s="4">
        <f>$K$175*$V$175</f>
        <v>130886.62000000001</v>
      </c>
      <c r="AC175" s="4">
        <f>$M$175*$W$175</f>
        <v>23453.247869999999</v>
      </c>
      <c r="AD175" s="4">
        <f>$O$175*$X$175</f>
        <v>79210.977029999995</v>
      </c>
      <c r="AE175" s="4">
        <f ca="1">$K$175*$Y$175</f>
        <v>140459.27423830752</v>
      </c>
      <c r="AF175" s="4">
        <f ca="1">$M$175*$Z$175</f>
        <v>27455.199645238557</v>
      </c>
      <c r="AG175" s="4">
        <f>$O$175*$AA$175</f>
        <v>97636.922334933348</v>
      </c>
    </row>
    <row r="176" spans="1:33" ht="11.25" customHeight="1" x14ac:dyDescent="0.25">
      <c r="A176" s="3" t="s">
        <v>56</v>
      </c>
      <c r="B176" s="3" t="s">
        <v>41</v>
      </c>
      <c r="C176" s="3" t="s">
        <v>42</v>
      </c>
      <c r="D176" s="3" t="s">
        <v>40</v>
      </c>
      <c r="E176" s="3" t="s">
        <v>25</v>
      </c>
      <c r="F176" s="3" t="s">
        <v>25</v>
      </c>
      <c r="G176" s="3" t="s">
        <v>25</v>
      </c>
      <c r="H176" s="3" t="s">
        <v>36</v>
      </c>
      <c r="I176" s="6">
        <v>44652</v>
      </c>
      <c r="J176" s="4">
        <v>100</v>
      </c>
      <c r="K176" s="4">
        <v>100</v>
      </c>
      <c r="L176" s="4">
        <v>0.30399999999999999</v>
      </c>
      <c r="M176" s="4">
        <v>0.30399999999999999</v>
      </c>
      <c r="N176" s="4">
        <v>0.30399999999999999</v>
      </c>
      <c r="O176" s="4">
        <v>0.30399999999999999</v>
      </c>
      <c r="P176" s="4">
        <v>0</v>
      </c>
      <c r="Q176" s="3" t="s">
        <v>26</v>
      </c>
      <c r="R176" s="3">
        <v>0</v>
      </c>
      <c r="S176" s="4">
        <v>93</v>
      </c>
      <c r="T176" s="4">
        <v>94</v>
      </c>
      <c r="U176" s="4">
        <v>48</v>
      </c>
      <c r="V176" s="4">
        <f>IF(ISERROR(VLOOKUP($S$176,'TAR FIN'!$A$1:$O$99,15,0)),0,VLOOKUP($S$176,'TAR FIN'!$A$1:$O$99,15,0))</f>
        <v>15.23</v>
      </c>
      <c r="W176" s="4">
        <f>IF(ISERROR(VLOOKUP($T$176,'TAR FIN'!$A$1:$O$99,15,0)),0,VLOOKUP($T$176,'TAR FIN'!$A$1:$O$99,15,0))</f>
        <v>65.13</v>
      </c>
      <c r="X176" s="4">
        <f>IF(ISERROR(VLOOKUP($U$176,'TAR FIN'!$A$1:$O$99,15,0)),0,VLOOKUP($U$176,'TAR FIN'!$A$1:$O$99,15,0))</f>
        <v>219.97</v>
      </c>
      <c r="Y176" s="4">
        <f ca="1">('TUSD BE'!$AM$6+'TUSD BF'!$AM$6+'TUSD CVA'!$AM$6)*1</f>
        <v>16.343876453142602</v>
      </c>
      <c r="Z176" s="4">
        <f ca="1">('TUSD BE'!$AM$7+'TUSD BF'!$AM$7+'TUSD CVA'!$AM$7)*1</f>
        <v>76.243476502957677</v>
      </c>
      <c r="AA176" s="4">
        <f>('TE BE'!$AA$6+'TE BF'!$AA$6+'TE CVA'!$AA$6)*1</f>
        <v>271.13910989737087</v>
      </c>
      <c r="AB176" s="4">
        <f>$K$176*$V$176</f>
        <v>1523</v>
      </c>
      <c r="AC176" s="4">
        <f>$M$176*$W$176</f>
        <v>19.799519999999998</v>
      </c>
      <c r="AD176" s="4">
        <f>$O$176*$X$176</f>
        <v>66.87088</v>
      </c>
      <c r="AE176" s="4">
        <f ca="1">$K$176*$Y$176</f>
        <v>1634.3876453142602</v>
      </c>
      <c r="AF176" s="4">
        <f ca="1">$M$176*$Z$176</f>
        <v>23.178016856899134</v>
      </c>
      <c r="AG176" s="4">
        <f>$O$176*$AA$176</f>
        <v>82.426289408800741</v>
      </c>
    </row>
    <row r="177" spans="1:33" ht="11.25" customHeight="1" x14ac:dyDescent="0.25">
      <c r="A177" s="3" t="s">
        <v>56</v>
      </c>
      <c r="B177" s="3" t="s">
        <v>41</v>
      </c>
      <c r="C177" s="3" t="s">
        <v>42</v>
      </c>
      <c r="D177" s="3" t="s">
        <v>40</v>
      </c>
      <c r="E177" s="3" t="s">
        <v>25</v>
      </c>
      <c r="F177" s="3" t="s">
        <v>25</v>
      </c>
      <c r="G177" s="3" t="s">
        <v>25</v>
      </c>
      <c r="H177" s="3" t="s">
        <v>36</v>
      </c>
      <c r="I177" s="6">
        <v>44652</v>
      </c>
      <c r="J177" s="4">
        <v>39400</v>
      </c>
      <c r="K177" s="4">
        <v>39400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3" t="s">
        <v>57</v>
      </c>
      <c r="R177" s="3">
        <v>0</v>
      </c>
      <c r="S177" s="4">
        <v>93</v>
      </c>
      <c r="T177" s="4">
        <v>0</v>
      </c>
      <c r="U177" s="4">
        <v>0</v>
      </c>
      <c r="V177" s="4">
        <f>IF(ISERROR(VLOOKUP($S$177,'TAR FIN'!$A$1:$O$99,15,0)),0,VLOOKUP($S$177,'TAR FIN'!$A$1:$O$99,15,0))</f>
        <v>15.23</v>
      </c>
      <c r="W177" s="4">
        <f>IF(ISERROR(VLOOKUP($T$177,'TAR FIN'!$A$1:$O$99,15,0)),0,VLOOKUP($T$177,'TAR FIN'!$A$1:$O$99,15,0))</f>
        <v>0</v>
      </c>
      <c r="X177" s="4">
        <f>IF(ISERROR(VLOOKUP($U$177,'TAR FIN'!$A$1:$O$99,15,0)),0,VLOOKUP($U$177,'TAR FIN'!$A$1:$O$99,15,0))</f>
        <v>0</v>
      </c>
      <c r="Y177" s="4">
        <f ca="1">('TUSD BE'!$AM$6+'TUSD BF'!$AM$6+'TUSD CVA'!$AM$6)*1</f>
        <v>16.343876453142602</v>
      </c>
      <c r="Z177" s="4">
        <f ca="1">('TUSD BE'!$AM$7+'TUSD BF'!$AM$7+'TUSD CVA'!$AM$7)*1</f>
        <v>76.243476502957677</v>
      </c>
      <c r="AA177" s="4"/>
      <c r="AB177" s="4">
        <f>$K$177*$V$177</f>
        <v>600062</v>
      </c>
      <c r="AC177" s="4">
        <f>$M$177*$W$177</f>
        <v>0</v>
      </c>
      <c r="AD177" s="4">
        <f>$O$177*$X$177</f>
        <v>0</v>
      </c>
      <c r="AE177" s="4">
        <f ca="1">$K$177*$Y$177</f>
        <v>643948.73225381854</v>
      </c>
      <c r="AF177" s="4">
        <f ca="1">$M$177*$Z$177</f>
        <v>0</v>
      </c>
      <c r="AG177" s="4">
        <f>$O$177*$AA$177</f>
        <v>0</v>
      </c>
    </row>
    <row r="178" spans="1:33" ht="11.25" customHeight="1" x14ac:dyDescent="0.25">
      <c r="A178" s="3" t="s">
        <v>21</v>
      </c>
      <c r="B178" s="3" t="s">
        <v>41</v>
      </c>
      <c r="C178" s="3" t="s">
        <v>42</v>
      </c>
      <c r="D178" s="3" t="s">
        <v>40</v>
      </c>
      <c r="E178" s="3" t="s">
        <v>25</v>
      </c>
      <c r="F178" s="3" t="s">
        <v>25</v>
      </c>
      <c r="G178" s="3" t="s">
        <v>25</v>
      </c>
      <c r="H178" s="3" t="s">
        <v>25</v>
      </c>
      <c r="I178" s="6">
        <v>44317</v>
      </c>
      <c r="J178" s="4">
        <v>0</v>
      </c>
      <c r="K178" s="4">
        <v>0</v>
      </c>
      <c r="L178" s="4">
        <v>29376.78</v>
      </c>
      <c r="M178" s="4">
        <v>29376.78</v>
      </c>
      <c r="N178" s="4">
        <v>0</v>
      </c>
      <c r="O178" s="4">
        <v>0</v>
      </c>
      <c r="P178" s="4">
        <v>4</v>
      </c>
      <c r="Q178" s="3" t="s">
        <v>57</v>
      </c>
      <c r="R178" s="3">
        <v>0</v>
      </c>
      <c r="S178" s="4">
        <v>0</v>
      </c>
      <c r="T178" s="4">
        <v>94</v>
      </c>
      <c r="U178" s="4">
        <v>0</v>
      </c>
      <c r="V178" s="4">
        <f>IF(ISERROR(VLOOKUP($S$178,'TAR FIN'!$A$1:$O$99,15,0)),0,VLOOKUP($S$178,'TAR FIN'!$A$1:$O$99,15,0))</f>
        <v>0</v>
      </c>
      <c r="W178" s="4">
        <f>IF(ISERROR(VLOOKUP($T$178,'TAR FIN'!$A$1:$O$99,15,0)),0,VLOOKUP($T$178,'TAR FIN'!$A$1:$O$99,15,0))</f>
        <v>65.13</v>
      </c>
      <c r="X178" s="4">
        <f>IF(ISERROR(VLOOKUP($U$178,'TAR FIN'!$A$1:$O$99,15,0)),0,VLOOKUP($U$178,'TAR FIN'!$A$1:$O$99,15,0))</f>
        <v>0</v>
      </c>
      <c r="Y178" s="4"/>
      <c r="Z178" s="4">
        <f ca="1">('TUSD BE'!$AM$7+'TUSD BF'!$AM$7+'TUSD CVA'!$AM$7)*1</f>
        <v>76.243476502957677</v>
      </c>
      <c r="AA178" s="4"/>
      <c r="AB178" s="4">
        <f>$K$178*$V$178</f>
        <v>0</v>
      </c>
      <c r="AC178" s="4">
        <f>$M$178*$W$178</f>
        <v>1913309.6813999999</v>
      </c>
      <c r="AD178" s="4">
        <f>$O$178*$X$178</f>
        <v>0</v>
      </c>
      <c r="AE178" s="4">
        <f>$K$178*$Y$178</f>
        <v>0</v>
      </c>
      <c r="AF178" s="4">
        <f ca="1">$M$178*$Z$178</f>
        <v>2239787.8356625568</v>
      </c>
      <c r="AG178" s="4">
        <f>$O$178*$AA$178</f>
        <v>0</v>
      </c>
    </row>
    <row r="179" spans="1:33" ht="11.25" customHeight="1" x14ac:dyDescent="0.25">
      <c r="A179" s="3" t="s">
        <v>21</v>
      </c>
      <c r="B179" s="3" t="s">
        <v>41</v>
      </c>
      <c r="C179" s="3" t="s">
        <v>42</v>
      </c>
      <c r="D179" s="3" t="s">
        <v>40</v>
      </c>
      <c r="E179" s="3" t="s">
        <v>25</v>
      </c>
      <c r="F179" s="3" t="s">
        <v>25</v>
      </c>
      <c r="G179" s="3" t="s">
        <v>25</v>
      </c>
      <c r="H179" s="3" t="s">
        <v>25</v>
      </c>
      <c r="I179" s="6">
        <v>44348</v>
      </c>
      <c r="J179" s="4">
        <v>0</v>
      </c>
      <c r="K179" s="4">
        <v>0</v>
      </c>
      <c r="L179" s="4">
        <v>23583.421999999999</v>
      </c>
      <c r="M179" s="4">
        <v>23583.421999999999</v>
      </c>
      <c r="N179" s="4">
        <v>0</v>
      </c>
      <c r="O179" s="4">
        <v>0</v>
      </c>
      <c r="P179" s="4">
        <v>4</v>
      </c>
      <c r="Q179" s="3" t="s">
        <v>57</v>
      </c>
      <c r="R179" s="3">
        <v>0</v>
      </c>
      <c r="S179" s="4">
        <v>0</v>
      </c>
      <c r="T179" s="4">
        <v>94</v>
      </c>
      <c r="U179" s="4">
        <v>0</v>
      </c>
      <c r="V179" s="4">
        <f>IF(ISERROR(VLOOKUP($S$179,'TAR FIN'!$A$1:$O$99,15,0)),0,VLOOKUP($S$179,'TAR FIN'!$A$1:$O$99,15,0))</f>
        <v>0</v>
      </c>
      <c r="W179" s="4">
        <f>IF(ISERROR(VLOOKUP($T$179,'TAR FIN'!$A$1:$O$99,15,0)),0,VLOOKUP($T$179,'TAR FIN'!$A$1:$O$99,15,0))</f>
        <v>65.13</v>
      </c>
      <c r="X179" s="4">
        <f>IF(ISERROR(VLOOKUP($U$179,'TAR FIN'!$A$1:$O$99,15,0)),0,VLOOKUP($U$179,'TAR FIN'!$A$1:$O$99,15,0))</f>
        <v>0</v>
      </c>
      <c r="Y179" s="4"/>
      <c r="Z179" s="4">
        <f ca="1">('TUSD BE'!$AM$7+'TUSD BF'!$AM$7+'TUSD CVA'!$AM$7)*1</f>
        <v>76.243476502957677</v>
      </c>
      <c r="AA179" s="4"/>
      <c r="AB179" s="4">
        <f>$K$179*$V$179</f>
        <v>0</v>
      </c>
      <c r="AC179" s="4">
        <f>$M$179*$W$179</f>
        <v>1535988.2748599998</v>
      </c>
      <c r="AD179" s="4">
        <f>$O$179*$X$179</f>
        <v>0</v>
      </c>
      <c r="AE179" s="4">
        <f>$K$179*$Y$179</f>
        <v>0</v>
      </c>
      <c r="AF179" s="4">
        <f ca="1">$M$179*$Z$179</f>
        <v>1798082.081116335</v>
      </c>
      <c r="AG179" s="4">
        <f>$O$179*$AA$179</f>
        <v>0</v>
      </c>
    </row>
    <row r="180" spans="1:33" ht="11.25" customHeight="1" x14ac:dyDescent="0.25">
      <c r="A180" s="3" t="s">
        <v>21</v>
      </c>
      <c r="B180" s="3" t="s">
        <v>41</v>
      </c>
      <c r="C180" s="3" t="s">
        <v>42</v>
      </c>
      <c r="D180" s="3" t="s">
        <v>40</v>
      </c>
      <c r="E180" s="3" t="s">
        <v>25</v>
      </c>
      <c r="F180" s="3" t="s">
        <v>25</v>
      </c>
      <c r="G180" s="3" t="s">
        <v>25</v>
      </c>
      <c r="H180" s="3" t="s">
        <v>25</v>
      </c>
      <c r="I180" s="6">
        <v>44378</v>
      </c>
      <c r="J180" s="4">
        <v>0</v>
      </c>
      <c r="K180" s="4">
        <v>0</v>
      </c>
      <c r="L180" s="4">
        <v>21330.383999999998</v>
      </c>
      <c r="M180" s="4">
        <v>21330.383999999998</v>
      </c>
      <c r="N180" s="4">
        <v>0</v>
      </c>
      <c r="O180" s="4">
        <v>0</v>
      </c>
      <c r="P180" s="4">
        <v>4</v>
      </c>
      <c r="Q180" s="3" t="s">
        <v>57</v>
      </c>
      <c r="R180" s="3">
        <v>0</v>
      </c>
      <c r="S180" s="4">
        <v>0</v>
      </c>
      <c r="T180" s="4">
        <v>94</v>
      </c>
      <c r="U180" s="4">
        <v>0</v>
      </c>
      <c r="V180" s="4">
        <f>IF(ISERROR(VLOOKUP($S$180,'TAR FIN'!$A$1:$O$99,15,0)),0,VLOOKUP($S$180,'TAR FIN'!$A$1:$O$99,15,0))</f>
        <v>0</v>
      </c>
      <c r="W180" s="4">
        <f>IF(ISERROR(VLOOKUP($T$180,'TAR FIN'!$A$1:$O$99,15,0)),0,VLOOKUP($T$180,'TAR FIN'!$A$1:$O$99,15,0))</f>
        <v>65.13</v>
      </c>
      <c r="X180" s="4">
        <f>IF(ISERROR(VLOOKUP($U$180,'TAR FIN'!$A$1:$O$99,15,0)),0,VLOOKUP($U$180,'TAR FIN'!$A$1:$O$99,15,0))</f>
        <v>0</v>
      </c>
      <c r="Y180" s="4"/>
      <c r="Z180" s="4">
        <f ca="1">('TUSD BE'!$AM$7+'TUSD BF'!$AM$7+'TUSD CVA'!$AM$7)*1</f>
        <v>76.243476502957677</v>
      </c>
      <c r="AA180" s="4"/>
      <c r="AB180" s="4">
        <f>$K$180*$V$180</f>
        <v>0</v>
      </c>
      <c r="AC180" s="4">
        <f>$M$180*$W$180</f>
        <v>1389247.9099199998</v>
      </c>
      <c r="AD180" s="4">
        <f>$O$180*$X$180</f>
        <v>0</v>
      </c>
      <c r="AE180" s="4">
        <f>$K$180*$Y$180</f>
        <v>0</v>
      </c>
      <c r="AF180" s="4">
        <f ca="1">$M$180*$Z$180</f>
        <v>1626302.6313030643</v>
      </c>
      <c r="AG180" s="4">
        <f>$O$180*$AA$180</f>
        <v>0</v>
      </c>
    </row>
    <row r="181" spans="1:33" ht="11.25" customHeight="1" x14ac:dyDescent="0.25">
      <c r="A181" s="3" t="s">
        <v>21</v>
      </c>
      <c r="B181" s="3" t="s">
        <v>41</v>
      </c>
      <c r="C181" s="3" t="s">
        <v>42</v>
      </c>
      <c r="D181" s="3" t="s">
        <v>40</v>
      </c>
      <c r="E181" s="3" t="s">
        <v>25</v>
      </c>
      <c r="F181" s="3" t="s">
        <v>25</v>
      </c>
      <c r="G181" s="3" t="s">
        <v>25</v>
      </c>
      <c r="H181" s="3" t="s">
        <v>25</v>
      </c>
      <c r="I181" s="6">
        <v>44409</v>
      </c>
      <c r="J181" s="4">
        <v>0</v>
      </c>
      <c r="K181" s="4">
        <v>0</v>
      </c>
      <c r="L181" s="4">
        <v>25771.386999999999</v>
      </c>
      <c r="M181" s="4">
        <v>25771.386999999999</v>
      </c>
      <c r="N181" s="4">
        <v>0</v>
      </c>
      <c r="O181" s="4">
        <v>0</v>
      </c>
      <c r="P181" s="4">
        <v>4</v>
      </c>
      <c r="Q181" s="3" t="s">
        <v>57</v>
      </c>
      <c r="R181" s="3">
        <v>0</v>
      </c>
      <c r="S181" s="4">
        <v>0</v>
      </c>
      <c r="T181" s="4">
        <v>94</v>
      </c>
      <c r="U181" s="4">
        <v>0</v>
      </c>
      <c r="V181" s="4">
        <f>IF(ISERROR(VLOOKUP($S$181,'TAR FIN'!$A$1:$O$99,15,0)),0,VLOOKUP($S$181,'TAR FIN'!$A$1:$O$99,15,0))</f>
        <v>0</v>
      </c>
      <c r="W181" s="4">
        <f>IF(ISERROR(VLOOKUP($T$181,'TAR FIN'!$A$1:$O$99,15,0)),0,VLOOKUP($T$181,'TAR FIN'!$A$1:$O$99,15,0))</f>
        <v>65.13</v>
      </c>
      <c r="X181" s="4">
        <f>IF(ISERROR(VLOOKUP($U$181,'TAR FIN'!$A$1:$O$99,15,0)),0,VLOOKUP($U$181,'TAR FIN'!$A$1:$O$99,15,0))</f>
        <v>0</v>
      </c>
      <c r="Y181" s="4"/>
      <c r="Z181" s="4">
        <f ca="1">('TUSD BE'!$AM$7+'TUSD BF'!$AM$7+'TUSD CVA'!$AM$7)*1</f>
        <v>76.243476502957677</v>
      </c>
      <c r="AA181" s="4"/>
      <c r="AB181" s="4">
        <f>$K$181*$V$181</f>
        <v>0</v>
      </c>
      <c r="AC181" s="4">
        <f>$M$181*$W$181</f>
        <v>1678490.4353099999</v>
      </c>
      <c r="AD181" s="4">
        <f>$O$181*$X$181</f>
        <v>0</v>
      </c>
      <c r="AE181" s="4">
        <f>$K$181*$Y$181</f>
        <v>0</v>
      </c>
      <c r="AF181" s="4">
        <f ca="1">$M$181*$Z$181</f>
        <v>1964900.139183129</v>
      </c>
      <c r="AG181" s="4">
        <f>$O$181*$AA$181</f>
        <v>0</v>
      </c>
    </row>
    <row r="182" spans="1:33" ht="11.25" customHeight="1" x14ac:dyDescent="0.25">
      <c r="A182" s="3" t="s">
        <v>21</v>
      </c>
      <c r="B182" s="3" t="s">
        <v>41</v>
      </c>
      <c r="C182" s="3" t="s">
        <v>42</v>
      </c>
      <c r="D182" s="3" t="s">
        <v>40</v>
      </c>
      <c r="E182" s="3" t="s">
        <v>25</v>
      </c>
      <c r="F182" s="3" t="s">
        <v>25</v>
      </c>
      <c r="G182" s="3" t="s">
        <v>25</v>
      </c>
      <c r="H182" s="3" t="s">
        <v>25</v>
      </c>
      <c r="I182" s="6">
        <v>44440</v>
      </c>
      <c r="J182" s="4">
        <v>0</v>
      </c>
      <c r="K182" s="4">
        <v>0</v>
      </c>
      <c r="L182" s="4">
        <v>28474.440999999999</v>
      </c>
      <c r="M182" s="4">
        <v>28474.440999999999</v>
      </c>
      <c r="N182" s="4">
        <v>0</v>
      </c>
      <c r="O182" s="4">
        <v>0</v>
      </c>
      <c r="P182" s="4">
        <v>4</v>
      </c>
      <c r="Q182" s="3" t="s">
        <v>57</v>
      </c>
      <c r="R182" s="3">
        <v>0</v>
      </c>
      <c r="S182" s="4">
        <v>0</v>
      </c>
      <c r="T182" s="4">
        <v>94</v>
      </c>
      <c r="U182" s="4">
        <v>0</v>
      </c>
      <c r="V182" s="4">
        <f>IF(ISERROR(VLOOKUP($S$182,'TAR FIN'!$A$1:$O$99,15,0)),0,VLOOKUP($S$182,'TAR FIN'!$A$1:$O$99,15,0))</f>
        <v>0</v>
      </c>
      <c r="W182" s="4">
        <f>IF(ISERROR(VLOOKUP($T$182,'TAR FIN'!$A$1:$O$99,15,0)),0,VLOOKUP($T$182,'TAR FIN'!$A$1:$O$99,15,0))</f>
        <v>65.13</v>
      </c>
      <c r="X182" s="4">
        <f>IF(ISERROR(VLOOKUP($U$182,'TAR FIN'!$A$1:$O$99,15,0)),0,VLOOKUP($U$182,'TAR FIN'!$A$1:$O$99,15,0))</f>
        <v>0</v>
      </c>
      <c r="Y182" s="4"/>
      <c r="Z182" s="4">
        <f ca="1">('TUSD BE'!$AM$7+'TUSD BF'!$AM$7+'TUSD CVA'!$AM$7)*1</f>
        <v>76.243476502957677</v>
      </c>
      <c r="AA182" s="4"/>
      <c r="AB182" s="4">
        <f>$K$182*$V$182</f>
        <v>0</v>
      </c>
      <c r="AC182" s="4">
        <f>$M$182*$W$182</f>
        <v>1854540.3423299999</v>
      </c>
      <c r="AD182" s="4">
        <f>$O$182*$X$182</f>
        <v>0</v>
      </c>
      <c r="AE182" s="4">
        <f>$K$182*$Y$182</f>
        <v>0</v>
      </c>
      <c r="AF182" s="4">
        <f ca="1">$M$182*$Z$182</f>
        <v>2170990.3733183546</v>
      </c>
      <c r="AG182" s="4">
        <f>$O$182*$AA$182</f>
        <v>0</v>
      </c>
    </row>
    <row r="183" spans="1:33" ht="11.25" customHeight="1" x14ac:dyDescent="0.25">
      <c r="A183" s="3" t="s">
        <v>21</v>
      </c>
      <c r="B183" s="3" t="s">
        <v>41</v>
      </c>
      <c r="C183" s="3" t="s">
        <v>42</v>
      </c>
      <c r="D183" s="3" t="s">
        <v>40</v>
      </c>
      <c r="E183" s="3" t="s">
        <v>25</v>
      </c>
      <c r="F183" s="3" t="s">
        <v>25</v>
      </c>
      <c r="G183" s="3" t="s">
        <v>25</v>
      </c>
      <c r="H183" s="3" t="s">
        <v>25</v>
      </c>
      <c r="I183" s="6">
        <v>44470</v>
      </c>
      <c r="J183" s="4">
        <v>0</v>
      </c>
      <c r="K183" s="4">
        <v>0</v>
      </c>
      <c r="L183" s="4">
        <v>27093.434000000001</v>
      </c>
      <c r="M183" s="4">
        <v>27093.434000000001</v>
      </c>
      <c r="N183" s="4">
        <v>0</v>
      </c>
      <c r="O183" s="4">
        <v>0</v>
      </c>
      <c r="P183" s="4">
        <v>4</v>
      </c>
      <c r="Q183" s="3" t="s">
        <v>57</v>
      </c>
      <c r="R183" s="3">
        <v>0</v>
      </c>
      <c r="S183" s="4">
        <v>0</v>
      </c>
      <c r="T183" s="4">
        <v>94</v>
      </c>
      <c r="U183" s="4">
        <v>0</v>
      </c>
      <c r="V183" s="4">
        <f>IF(ISERROR(VLOOKUP($S$183,'TAR FIN'!$A$1:$O$99,15,0)),0,VLOOKUP($S$183,'TAR FIN'!$A$1:$O$99,15,0))</f>
        <v>0</v>
      </c>
      <c r="W183" s="4">
        <f>IF(ISERROR(VLOOKUP($T$183,'TAR FIN'!$A$1:$O$99,15,0)),0,VLOOKUP($T$183,'TAR FIN'!$A$1:$O$99,15,0))</f>
        <v>65.13</v>
      </c>
      <c r="X183" s="4">
        <f>IF(ISERROR(VLOOKUP($U$183,'TAR FIN'!$A$1:$O$99,15,0)),0,VLOOKUP($U$183,'TAR FIN'!$A$1:$O$99,15,0))</f>
        <v>0</v>
      </c>
      <c r="Y183" s="4"/>
      <c r="Z183" s="4">
        <f ca="1">('TUSD BE'!$AM$7+'TUSD BF'!$AM$7+'TUSD CVA'!$AM$7)*1</f>
        <v>76.243476502957677</v>
      </c>
      <c r="AA183" s="4"/>
      <c r="AB183" s="4">
        <f>$K$183*$V$183</f>
        <v>0</v>
      </c>
      <c r="AC183" s="4">
        <f>$M$183*$W$183</f>
        <v>1764595.3564199999</v>
      </c>
      <c r="AD183" s="4">
        <f>$O$183*$X$183</f>
        <v>0</v>
      </c>
      <c r="AE183" s="4">
        <f>$K$183*$Y$183</f>
        <v>0</v>
      </c>
      <c r="AF183" s="4">
        <f ca="1">$M$183*$Z$183</f>
        <v>2065697.5985634348</v>
      </c>
      <c r="AG183" s="4">
        <f>$O$183*$AA$183</f>
        <v>0</v>
      </c>
    </row>
    <row r="184" spans="1:33" ht="11.25" customHeight="1" x14ac:dyDescent="0.25">
      <c r="A184" s="3" t="s">
        <v>21</v>
      </c>
      <c r="B184" s="3" t="s">
        <v>41</v>
      </c>
      <c r="C184" s="3" t="s">
        <v>42</v>
      </c>
      <c r="D184" s="3" t="s">
        <v>40</v>
      </c>
      <c r="E184" s="3" t="s">
        <v>25</v>
      </c>
      <c r="F184" s="3" t="s">
        <v>25</v>
      </c>
      <c r="G184" s="3" t="s">
        <v>25</v>
      </c>
      <c r="H184" s="3" t="s">
        <v>25</v>
      </c>
      <c r="I184" s="6">
        <v>44501</v>
      </c>
      <c r="J184" s="4">
        <v>0</v>
      </c>
      <c r="K184" s="4">
        <v>0</v>
      </c>
      <c r="L184" s="4">
        <v>26645.107</v>
      </c>
      <c r="M184" s="4">
        <v>26645.107</v>
      </c>
      <c r="N184" s="4">
        <v>0</v>
      </c>
      <c r="O184" s="4">
        <v>0</v>
      </c>
      <c r="P184" s="4">
        <v>4</v>
      </c>
      <c r="Q184" s="3" t="s">
        <v>57</v>
      </c>
      <c r="R184" s="3">
        <v>0</v>
      </c>
      <c r="S184" s="4">
        <v>0</v>
      </c>
      <c r="T184" s="4">
        <v>94</v>
      </c>
      <c r="U184" s="4">
        <v>0</v>
      </c>
      <c r="V184" s="4">
        <f>IF(ISERROR(VLOOKUP($S$184,'TAR FIN'!$A$1:$O$99,15,0)),0,VLOOKUP($S$184,'TAR FIN'!$A$1:$O$99,15,0))</f>
        <v>0</v>
      </c>
      <c r="W184" s="4">
        <f>IF(ISERROR(VLOOKUP($T$184,'TAR FIN'!$A$1:$O$99,15,0)),0,VLOOKUP($T$184,'TAR FIN'!$A$1:$O$99,15,0))</f>
        <v>65.13</v>
      </c>
      <c r="X184" s="4">
        <f>IF(ISERROR(VLOOKUP($U$184,'TAR FIN'!$A$1:$O$99,15,0)),0,VLOOKUP($U$184,'TAR FIN'!$A$1:$O$99,15,0))</f>
        <v>0</v>
      </c>
      <c r="Y184" s="4"/>
      <c r="Z184" s="4">
        <f ca="1">('TUSD BE'!$AM$7+'TUSD BF'!$AM$7+'TUSD CVA'!$AM$7)*1</f>
        <v>76.243476502957677</v>
      </c>
      <c r="AA184" s="4"/>
      <c r="AB184" s="4">
        <f>$K$184*$V$184</f>
        <v>0</v>
      </c>
      <c r="AC184" s="4">
        <f>$M$184*$W$184</f>
        <v>1735395.8189099999</v>
      </c>
      <c r="AD184" s="4">
        <f>$O$184*$X$184</f>
        <v>0</v>
      </c>
      <c r="AE184" s="4">
        <f>$K$184*$Y$184</f>
        <v>0</v>
      </c>
      <c r="AF184" s="4">
        <f ca="1">$M$184*$Z$184</f>
        <v>2031515.5894732932</v>
      </c>
      <c r="AG184" s="4">
        <f>$O$184*$AA$184</f>
        <v>0</v>
      </c>
    </row>
    <row r="185" spans="1:33" ht="11.25" customHeight="1" x14ac:dyDescent="0.25">
      <c r="A185" s="3" t="s">
        <v>21</v>
      </c>
      <c r="B185" s="3" t="s">
        <v>41</v>
      </c>
      <c r="C185" s="3" t="s">
        <v>42</v>
      </c>
      <c r="D185" s="3" t="s">
        <v>40</v>
      </c>
      <c r="E185" s="3" t="s">
        <v>25</v>
      </c>
      <c r="F185" s="3" t="s">
        <v>25</v>
      </c>
      <c r="G185" s="3" t="s">
        <v>25</v>
      </c>
      <c r="H185" s="3" t="s">
        <v>25</v>
      </c>
      <c r="I185" s="6">
        <v>44531</v>
      </c>
      <c r="J185" s="4">
        <v>0</v>
      </c>
      <c r="K185" s="4">
        <v>0</v>
      </c>
      <c r="L185" s="4">
        <v>26238.37</v>
      </c>
      <c r="M185" s="4">
        <v>26238.37</v>
      </c>
      <c r="N185" s="4">
        <v>0</v>
      </c>
      <c r="O185" s="4">
        <v>0</v>
      </c>
      <c r="P185" s="4">
        <v>4</v>
      </c>
      <c r="Q185" s="3" t="s">
        <v>57</v>
      </c>
      <c r="R185" s="3">
        <v>0</v>
      </c>
      <c r="S185" s="4">
        <v>0</v>
      </c>
      <c r="T185" s="4">
        <v>94</v>
      </c>
      <c r="U185" s="4">
        <v>0</v>
      </c>
      <c r="V185" s="4">
        <f>IF(ISERROR(VLOOKUP($S$185,'TAR FIN'!$A$1:$O$99,15,0)),0,VLOOKUP($S$185,'TAR FIN'!$A$1:$O$99,15,0))</f>
        <v>0</v>
      </c>
      <c r="W185" s="4">
        <f>IF(ISERROR(VLOOKUP($T$185,'TAR FIN'!$A$1:$O$99,15,0)),0,VLOOKUP($T$185,'TAR FIN'!$A$1:$O$99,15,0))</f>
        <v>65.13</v>
      </c>
      <c r="X185" s="4">
        <f>IF(ISERROR(VLOOKUP($U$185,'TAR FIN'!$A$1:$O$99,15,0)),0,VLOOKUP($U$185,'TAR FIN'!$A$1:$O$99,15,0))</f>
        <v>0</v>
      </c>
      <c r="Y185" s="4"/>
      <c r="Z185" s="4">
        <f ca="1">('TUSD BE'!$AM$7+'TUSD BF'!$AM$7+'TUSD CVA'!$AM$7)*1</f>
        <v>76.243476502957677</v>
      </c>
      <c r="AA185" s="4"/>
      <c r="AB185" s="4">
        <f>$K$185*$V$185</f>
        <v>0</v>
      </c>
      <c r="AC185" s="4">
        <f>$M$185*$W$185</f>
        <v>1708905.0380999998</v>
      </c>
      <c r="AD185" s="4">
        <f>$O$185*$X$185</f>
        <v>0</v>
      </c>
      <c r="AE185" s="4">
        <f>$K$185*$Y$185</f>
        <v>0</v>
      </c>
      <c r="AF185" s="4">
        <f ca="1">$M$185*$Z$185</f>
        <v>2000504.5465709094</v>
      </c>
      <c r="AG185" s="4">
        <f>$O$185*$AA$185</f>
        <v>0</v>
      </c>
    </row>
    <row r="186" spans="1:33" ht="11.25" customHeight="1" x14ac:dyDescent="0.25">
      <c r="A186" s="3" t="s">
        <v>21</v>
      </c>
      <c r="B186" s="3" t="s">
        <v>41</v>
      </c>
      <c r="C186" s="3" t="s">
        <v>42</v>
      </c>
      <c r="D186" s="3" t="s">
        <v>40</v>
      </c>
      <c r="E186" s="3" t="s">
        <v>25</v>
      </c>
      <c r="F186" s="3" t="s">
        <v>25</v>
      </c>
      <c r="G186" s="3" t="s">
        <v>25</v>
      </c>
      <c r="H186" s="3" t="s">
        <v>25</v>
      </c>
      <c r="I186" s="6">
        <v>44562</v>
      </c>
      <c r="J186" s="4">
        <v>0</v>
      </c>
      <c r="K186" s="4">
        <v>0</v>
      </c>
      <c r="L186" s="4">
        <v>29372.008000000002</v>
      </c>
      <c r="M186" s="4">
        <v>29372.008000000002</v>
      </c>
      <c r="N186" s="4">
        <v>0</v>
      </c>
      <c r="O186" s="4">
        <v>0</v>
      </c>
      <c r="P186" s="4">
        <v>4</v>
      </c>
      <c r="Q186" s="3" t="s">
        <v>57</v>
      </c>
      <c r="R186" s="3">
        <v>0</v>
      </c>
      <c r="S186" s="4">
        <v>0</v>
      </c>
      <c r="T186" s="4">
        <v>94</v>
      </c>
      <c r="U186" s="4">
        <v>0</v>
      </c>
      <c r="V186" s="4">
        <f>IF(ISERROR(VLOOKUP($S$186,'TAR FIN'!$A$1:$O$99,15,0)),0,VLOOKUP($S$186,'TAR FIN'!$A$1:$O$99,15,0))</f>
        <v>0</v>
      </c>
      <c r="W186" s="4">
        <f>IF(ISERROR(VLOOKUP($T$186,'TAR FIN'!$A$1:$O$99,15,0)),0,VLOOKUP($T$186,'TAR FIN'!$A$1:$O$99,15,0))</f>
        <v>65.13</v>
      </c>
      <c r="X186" s="4">
        <f>IF(ISERROR(VLOOKUP($U$186,'TAR FIN'!$A$1:$O$99,15,0)),0,VLOOKUP($U$186,'TAR FIN'!$A$1:$O$99,15,0))</f>
        <v>0</v>
      </c>
      <c r="Y186" s="4"/>
      <c r="Z186" s="4">
        <f ca="1">('TUSD BE'!$AM$7+'TUSD BF'!$AM$7+'TUSD CVA'!$AM$7)*1</f>
        <v>76.243476502957677</v>
      </c>
      <c r="AA186" s="4"/>
      <c r="AB186" s="4">
        <f>$K$186*$V$186</f>
        <v>0</v>
      </c>
      <c r="AC186" s="4">
        <f>$M$186*$W$186</f>
        <v>1912998.8810399999</v>
      </c>
      <c r="AD186" s="4">
        <f>$O$186*$X$186</f>
        <v>0</v>
      </c>
      <c r="AE186" s="4">
        <f>$K$186*$Y$186</f>
        <v>0</v>
      </c>
      <c r="AF186" s="4">
        <f ca="1">$M$186*$Z$186</f>
        <v>2239424.0017926851</v>
      </c>
      <c r="AG186" s="4">
        <f>$O$186*$AA$186</f>
        <v>0</v>
      </c>
    </row>
    <row r="187" spans="1:33" ht="11.25" customHeight="1" x14ac:dyDescent="0.25">
      <c r="A187" s="3" t="s">
        <v>21</v>
      </c>
      <c r="B187" s="3" t="s">
        <v>41</v>
      </c>
      <c r="C187" s="3" t="s">
        <v>42</v>
      </c>
      <c r="D187" s="3" t="s">
        <v>40</v>
      </c>
      <c r="E187" s="3" t="s">
        <v>25</v>
      </c>
      <c r="F187" s="3" t="s">
        <v>25</v>
      </c>
      <c r="G187" s="3" t="s">
        <v>25</v>
      </c>
      <c r="H187" s="3" t="s">
        <v>25</v>
      </c>
      <c r="I187" s="6">
        <v>44593</v>
      </c>
      <c r="J187" s="4">
        <v>0</v>
      </c>
      <c r="K187" s="4">
        <v>0</v>
      </c>
      <c r="L187" s="4">
        <v>16198.055</v>
      </c>
      <c r="M187" s="4">
        <v>16198.055</v>
      </c>
      <c r="N187" s="4">
        <v>0</v>
      </c>
      <c r="O187" s="4">
        <v>0</v>
      </c>
      <c r="P187" s="4">
        <v>3</v>
      </c>
      <c r="Q187" s="3" t="s">
        <v>57</v>
      </c>
      <c r="R187" s="3">
        <v>0</v>
      </c>
      <c r="S187" s="4">
        <v>0</v>
      </c>
      <c r="T187" s="4">
        <v>94</v>
      </c>
      <c r="U187" s="4">
        <v>0</v>
      </c>
      <c r="V187" s="4">
        <f>IF(ISERROR(VLOOKUP($S$187,'TAR FIN'!$A$1:$O$99,15,0)),0,VLOOKUP($S$187,'TAR FIN'!$A$1:$O$99,15,0))</f>
        <v>0</v>
      </c>
      <c r="W187" s="4">
        <f>IF(ISERROR(VLOOKUP($T$187,'TAR FIN'!$A$1:$O$99,15,0)),0,VLOOKUP($T$187,'TAR FIN'!$A$1:$O$99,15,0))</f>
        <v>65.13</v>
      </c>
      <c r="X187" s="4">
        <f>IF(ISERROR(VLOOKUP($U$187,'TAR FIN'!$A$1:$O$99,15,0)),0,VLOOKUP($U$187,'TAR FIN'!$A$1:$O$99,15,0))</f>
        <v>0</v>
      </c>
      <c r="Y187" s="4"/>
      <c r="Z187" s="4">
        <f ca="1">('TUSD BE'!$AM$7+'TUSD BF'!$AM$7+'TUSD CVA'!$AM$7)*1</f>
        <v>76.243476502957677</v>
      </c>
      <c r="AA187" s="4"/>
      <c r="AB187" s="4">
        <f>$K$187*$V$187</f>
        <v>0</v>
      </c>
      <c r="AC187" s="4">
        <f>$M$187*$W$187</f>
        <v>1054979.3221499999</v>
      </c>
      <c r="AD187" s="4">
        <f>$O$187*$X$187</f>
        <v>0</v>
      </c>
      <c r="AE187" s="4">
        <f>$K$187*$Y$187</f>
        <v>0</v>
      </c>
      <c r="AF187" s="4">
        <f ca="1">$M$187*$Z$187</f>
        <v>1234996.025786116</v>
      </c>
      <c r="AG187" s="4">
        <f>$O$187*$AA$187</f>
        <v>0</v>
      </c>
    </row>
    <row r="188" spans="1:33" ht="11.25" customHeight="1" x14ac:dyDescent="0.25">
      <c r="A188" s="3" t="s">
        <v>21</v>
      </c>
      <c r="B188" s="3" t="s">
        <v>41</v>
      </c>
      <c r="C188" s="3" t="s">
        <v>42</v>
      </c>
      <c r="D188" s="3" t="s">
        <v>40</v>
      </c>
      <c r="E188" s="3" t="s">
        <v>25</v>
      </c>
      <c r="F188" s="3" t="s">
        <v>25</v>
      </c>
      <c r="G188" s="3" t="s">
        <v>25</v>
      </c>
      <c r="H188" s="3" t="s">
        <v>25</v>
      </c>
      <c r="I188" s="6">
        <v>44621</v>
      </c>
      <c r="J188" s="4">
        <v>0</v>
      </c>
      <c r="K188" s="4">
        <v>0</v>
      </c>
      <c r="L188" s="4">
        <v>24665.269</v>
      </c>
      <c r="M188" s="4">
        <v>24665.269</v>
      </c>
      <c r="N188" s="4">
        <v>0</v>
      </c>
      <c r="O188" s="4">
        <v>0</v>
      </c>
      <c r="P188" s="4">
        <v>3</v>
      </c>
      <c r="Q188" s="3" t="s">
        <v>57</v>
      </c>
      <c r="R188" s="3">
        <v>0</v>
      </c>
      <c r="S188" s="4">
        <v>0</v>
      </c>
      <c r="T188" s="4">
        <v>94</v>
      </c>
      <c r="U188" s="4">
        <v>0</v>
      </c>
      <c r="V188" s="4">
        <f>IF(ISERROR(VLOOKUP($S$188,'TAR FIN'!$A$1:$O$99,15,0)),0,VLOOKUP($S$188,'TAR FIN'!$A$1:$O$99,15,0))</f>
        <v>0</v>
      </c>
      <c r="W188" s="4">
        <f>IF(ISERROR(VLOOKUP($T$188,'TAR FIN'!$A$1:$O$99,15,0)),0,VLOOKUP($T$188,'TAR FIN'!$A$1:$O$99,15,0))</f>
        <v>65.13</v>
      </c>
      <c r="X188" s="4">
        <f>IF(ISERROR(VLOOKUP($U$188,'TAR FIN'!$A$1:$O$99,15,0)),0,VLOOKUP($U$188,'TAR FIN'!$A$1:$O$99,15,0))</f>
        <v>0</v>
      </c>
      <c r="Y188" s="4"/>
      <c r="Z188" s="4">
        <f ca="1">('TUSD BE'!$AM$7+'TUSD BF'!$AM$7+'TUSD CVA'!$AM$7)*1</f>
        <v>76.243476502957677</v>
      </c>
      <c r="AA188" s="4"/>
      <c r="AB188" s="4">
        <f>$K$188*$V$188</f>
        <v>0</v>
      </c>
      <c r="AC188" s="4">
        <f>$M$188*$W$188</f>
        <v>1606448.96997</v>
      </c>
      <c r="AD188" s="4">
        <f>$O$188*$X$188</f>
        <v>0</v>
      </c>
      <c r="AE188" s="4">
        <f>$K$188*$Y$188</f>
        <v>0</v>
      </c>
      <c r="AF188" s="4">
        <f ca="1">$M$188*$Z$188</f>
        <v>1880565.8574406304</v>
      </c>
      <c r="AG188" s="4">
        <f>$O$188*$AA$188</f>
        <v>0</v>
      </c>
    </row>
    <row r="189" spans="1:33" ht="11.25" customHeight="1" x14ac:dyDescent="0.25">
      <c r="A189" s="3" t="s">
        <v>56</v>
      </c>
      <c r="B189" s="3" t="s">
        <v>41</v>
      </c>
      <c r="C189" s="3" t="s">
        <v>42</v>
      </c>
      <c r="D189" s="3" t="s">
        <v>40</v>
      </c>
      <c r="E189" s="3" t="s">
        <v>25</v>
      </c>
      <c r="F189" s="3" t="s">
        <v>25</v>
      </c>
      <c r="G189" s="3" t="s">
        <v>25</v>
      </c>
      <c r="H189" s="3" t="s">
        <v>25</v>
      </c>
      <c r="I189" s="6">
        <v>44652</v>
      </c>
      <c r="J189" s="4">
        <v>0</v>
      </c>
      <c r="K189" s="4">
        <v>0</v>
      </c>
      <c r="L189" s="4">
        <v>24665.269</v>
      </c>
      <c r="M189" s="4">
        <v>24665.269</v>
      </c>
      <c r="N189" s="4">
        <v>0</v>
      </c>
      <c r="O189" s="4">
        <v>0</v>
      </c>
      <c r="P189" s="4">
        <v>3</v>
      </c>
      <c r="Q189" s="3" t="s">
        <v>57</v>
      </c>
      <c r="R189" s="3">
        <v>0</v>
      </c>
      <c r="S189" s="4">
        <v>0</v>
      </c>
      <c r="T189" s="4">
        <v>94</v>
      </c>
      <c r="U189" s="4">
        <v>0</v>
      </c>
      <c r="V189" s="4">
        <f>IF(ISERROR(VLOOKUP($S$189,'TAR FIN'!$A$1:$O$99,15,0)),0,VLOOKUP($S$189,'TAR FIN'!$A$1:$O$99,15,0))</f>
        <v>0</v>
      </c>
      <c r="W189" s="4">
        <f>IF(ISERROR(VLOOKUP($T$189,'TAR FIN'!$A$1:$O$99,15,0)),0,VLOOKUP($T$189,'TAR FIN'!$A$1:$O$99,15,0))</f>
        <v>65.13</v>
      </c>
      <c r="X189" s="4">
        <f>IF(ISERROR(VLOOKUP($U$189,'TAR FIN'!$A$1:$O$99,15,0)),0,VLOOKUP($U$189,'TAR FIN'!$A$1:$O$99,15,0))</f>
        <v>0</v>
      </c>
      <c r="Y189" s="4"/>
      <c r="Z189" s="4">
        <f ca="1">('TUSD BE'!$AM$7+'TUSD BF'!$AM$7+'TUSD CVA'!$AM$7)*1</f>
        <v>76.243476502957677</v>
      </c>
      <c r="AA189" s="4"/>
      <c r="AB189" s="4">
        <f>$K$189*$V$189</f>
        <v>0</v>
      </c>
      <c r="AC189" s="4">
        <f>$M$189*$W$189</f>
        <v>1606448.96997</v>
      </c>
      <c r="AD189" s="4">
        <f>$O$189*$X$189</f>
        <v>0</v>
      </c>
      <c r="AE189" s="4">
        <f>$K$189*$Y$189</f>
        <v>0</v>
      </c>
      <c r="AF189" s="4">
        <f ca="1">$M$189*$Z$189</f>
        <v>1880565.8574406304</v>
      </c>
      <c r="AG189" s="4">
        <f>$O$189*$AA$189</f>
        <v>0</v>
      </c>
    </row>
    <row r="190" spans="1:33" ht="11.25" customHeight="1" x14ac:dyDescent="0.25">
      <c r="A190" s="3" t="s">
        <v>21</v>
      </c>
      <c r="B190" s="3" t="s">
        <v>41</v>
      </c>
      <c r="C190" s="3" t="s">
        <v>42</v>
      </c>
      <c r="D190" s="3" t="s">
        <v>40</v>
      </c>
      <c r="E190" s="3" t="s">
        <v>25</v>
      </c>
      <c r="F190" s="3" t="s">
        <v>25</v>
      </c>
      <c r="G190" s="3" t="s">
        <v>25</v>
      </c>
      <c r="H190" s="3" t="s">
        <v>35</v>
      </c>
      <c r="I190" s="6">
        <v>44317</v>
      </c>
      <c r="J190" s="4">
        <v>3330</v>
      </c>
      <c r="K190" s="4">
        <v>3330</v>
      </c>
      <c r="L190" s="4">
        <v>50.755000000000003</v>
      </c>
      <c r="M190" s="4">
        <v>50.755000000000003</v>
      </c>
      <c r="N190" s="4">
        <v>50.755000000000003</v>
      </c>
      <c r="O190" s="4">
        <v>50.755000000000003</v>
      </c>
      <c r="P190" s="4">
        <v>0</v>
      </c>
      <c r="Q190" s="3" t="s">
        <v>26</v>
      </c>
      <c r="R190" s="3">
        <v>0</v>
      </c>
      <c r="S190" s="4">
        <v>92</v>
      </c>
      <c r="T190" s="4">
        <v>94</v>
      </c>
      <c r="U190" s="4">
        <v>47</v>
      </c>
      <c r="V190" s="4">
        <f>IF(ISERROR(VLOOKUP($S$190,'TAR FIN'!$A$1:$O$99,15,0)),0,VLOOKUP($S$190,'TAR FIN'!$A$1:$O$99,15,0))</f>
        <v>26.46</v>
      </c>
      <c r="W190" s="4">
        <f>IF(ISERROR(VLOOKUP($T$190,'TAR FIN'!$A$1:$O$99,15,0)),0,VLOOKUP($T$190,'TAR FIN'!$A$1:$O$99,15,0))</f>
        <v>65.13</v>
      </c>
      <c r="X190" s="4">
        <f>IF(ISERROR(VLOOKUP($U$190,'TAR FIN'!$A$1:$O$99,15,0)),0,VLOOKUP($U$190,'TAR FIN'!$A$1:$O$99,15,0))</f>
        <v>346.61</v>
      </c>
      <c r="Y190" s="4">
        <f ca="1">('TUSD BE'!$AM$5+'TUSD BF'!$AM$5+'TUSD CVA'!$AM$5)*1</f>
        <v>30.337295464550692</v>
      </c>
      <c r="Z190" s="4">
        <f ca="1">('TUSD BE'!$AM$7+'TUSD BF'!$AM$7+'TUSD CVA'!$AM$7)*1</f>
        <v>76.243476502957677</v>
      </c>
      <c r="AA190" s="4">
        <f>('TE BE'!$AA$5+'TE BF'!$AA$5+'TE CVA'!$AA$5)*1</f>
        <v>423.89652505413846</v>
      </c>
      <c r="AB190" s="4">
        <f>$K$190*$V$190</f>
        <v>88111.8</v>
      </c>
      <c r="AC190" s="4">
        <f>$M$190*$W$190</f>
        <v>3305.6731500000001</v>
      </c>
      <c r="AD190" s="4">
        <f>$O$190*$X$190</f>
        <v>17592.190550000003</v>
      </c>
      <c r="AE190" s="4">
        <f ca="1">$K$190*$Y$190</f>
        <v>101023.1938969538</v>
      </c>
      <c r="AF190" s="4">
        <f ca="1">$M$190*$Z$190</f>
        <v>3869.7376499076172</v>
      </c>
      <c r="AG190" s="4">
        <f>$O$190*$AA$190</f>
        <v>21514.868129122799</v>
      </c>
    </row>
    <row r="191" spans="1:33" ht="11.25" customHeight="1" x14ac:dyDescent="0.25">
      <c r="A191" s="3" t="s">
        <v>28</v>
      </c>
      <c r="B191" s="3" t="s">
        <v>41</v>
      </c>
      <c r="C191" s="3" t="s">
        <v>42</v>
      </c>
      <c r="D191" s="3" t="s">
        <v>40</v>
      </c>
      <c r="E191" s="3" t="s">
        <v>25</v>
      </c>
      <c r="F191" s="3" t="s">
        <v>25</v>
      </c>
      <c r="G191" s="3" t="s">
        <v>25</v>
      </c>
      <c r="H191" s="3" t="s">
        <v>35</v>
      </c>
      <c r="I191" s="6">
        <v>44317</v>
      </c>
      <c r="J191" s="4">
        <v>100</v>
      </c>
      <c r="K191" s="4">
        <v>100</v>
      </c>
      <c r="L191" s="4">
        <v>1.871</v>
      </c>
      <c r="M191" s="4">
        <v>1.871</v>
      </c>
      <c r="N191" s="4">
        <v>1.871</v>
      </c>
      <c r="O191" s="4">
        <v>1.871</v>
      </c>
      <c r="P191" s="4">
        <v>0</v>
      </c>
      <c r="Q191" s="3" t="s">
        <v>26</v>
      </c>
      <c r="R191" s="3">
        <v>0</v>
      </c>
      <c r="S191" s="4">
        <v>92</v>
      </c>
      <c r="T191" s="4">
        <v>94</v>
      </c>
      <c r="U191" s="4">
        <v>47</v>
      </c>
      <c r="V191" s="4">
        <f>IF(ISERROR(VLOOKUP($S$191,'TAR FIN'!$A$1:$O$99,15,0)),0,VLOOKUP($S$191,'TAR FIN'!$A$1:$O$99,15,0))</f>
        <v>26.46</v>
      </c>
      <c r="W191" s="4">
        <f>IF(ISERROR(VLOOKUP($T$191,'TAR FIN'!$A$1:$O$99,15,0)),0,VLOOKUP($T$191,'TAR FIN'!$A$1:$O$99,15,0))</f>
        <v>65.13</v>
      </c>
      <c r="X191" s="4">
        <f>IF(ISERROR(VLOOKUP($U$191,'TAR FIN'!$A$1:$O$99,15,0)),0,VLOOKUP($U$191,'TAR FIN'!$A$1:$O$99,15,0))</f>
        <v>346.61</v>
      </c>
      <c r="Y191" s="4">
        <f ca="1">('TUSD BE'!$AM$5+'TUSD BF'!$AM$5+'TUSD CVA'!$AM$5)*1</f>
        <v>30.337295464550692</v>
      </c>
      <c r="Z191" s="4">
        <f ca="1">('TUSD BE'!$AM$7+'TUSD BF'!$AM$7+'TUSD CVA'!$AM$7)*1</f>
        <v>76.243476502957677</v>
      </c>
      <c r="AA191" s="4">
        <f>('TE BE'!$AA$5+'TE BF'!$AA$5+'TE CVA'!$AA$5)*1</f>
        <v>423.89652505413846</v>
      </c>
      <c r="AB191" s="4">
        <f>$K$191*$V$191</f>
        <v>2646</v>
      </c>
      <c r="AC191" s="4">
        <f>$M$191*$W$191</f>
        <v>121.85822999999999</v>
      </c>
      <c r="AD191" s="4">
        <f>$O$191*$X$191</f>
        <v>648.50731000000007</v>
      </c>
      <c r="AE191" s="4">
        <f ca="1">$K$191*$Y$191</f>
        <v>3033.7295464550693</v>
      </c>
      <c r="AF191" s="4">
        <f ca="1">$M$191*$Z$191</f>
        <v>142.6515445370338</v>
      </c>
      <c r="AG191" s="4">
        <f>$O$191*$AA$191</f>
        <v>793.11039837629312</v>
      </c>
    </row>
    <row r="192" spans="1:33" ht="11.25" customHeight="1" x14ac:dyDescent="0.25">
      <c r="A192" s="3" t="s">
        <v>21</v>
      </c>
      <c r="B192" s="3" t="s">
        <v>41</v>
      </c>
      <c r="C192" s="3" t="s">
        <v>42</v>
      </c>
      <c r="D192" s="3" t="s">
        <v>40</v>
      </c>
      <c r="E192" s="3" t="s">
        <v>25</v>
      </c>
      <c r="F192" s="3" t="s">
        <v>25</v>
      </c>
      <c r="G192" s="3" t="s">
        <v>25</v>
      </c>
      <c r="H192" s="3" t="s">
        <v>35</v>
      </c>
      <c r="I192" s="6">
        <v>44317</v>
      </c>
      <c r="J192" s="4">
        <v>44822</v>
      </c>
      <c r="K192" s="4">
        <v>44822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3" t="s">
        <v>57</v>
      </c>
      <c r="R192" s="3">
        <v>0</v>
      </c>
      <c r="S192" s="4">
        <v>92</v>
      </c>
      <c r="T192" s="4">
        <v>0</v>
      </c>
      <c r="U192" s="4">
        <v>0</v>
      </c>
      <c r="V192" s="4">
        <f>IF(ISERROR(VLOOKUP($S$192,'TAR FIN'!$A$1:$O$99,15,0)),0,VLOOKUP($S$192,'TAR FIN'!$A$1:$O$99,15,0))</f>
        <v>26.46</v>
      </c>
      <c r="W192" s="4">
        <f>IF(ISERROR(VLOOKUP($T$192,'TAR FIN'!$A$1:$O$99,15,0)),0,VLOOKUP($T$192,'TAR FIN'!$A$1:$O$99,15,0))</f>
        <v>0</v>
      </c>
      <c r="X192" s="4">
        <f>IF(ISERROR(VLOOKUP($U$192,'TAR FIN'!$A$1:$O$99,15,0)),0,VLOOKUP($U$192,'TAR FIN'!$A$1:$O$99,15,0))</f>
        <v>0</v>
      </c>
      <c r="Y192" s="4">
        <f ca="1">('TUSD BE'!$AM$5+'TUSD BF'!$AM$5+'TUSD CVA'!$AM$5)*1</f>
        <v>30.337295464550692</v>
      </c>
      <c r="Z192" s="4">
        <f ca="1">('TUSD BE'!$AM$7+'TUSD BF'!$AM$7+'TUSD CVA'!$AM$7)*1</f>
        <v>76.243476502957677</v>
      </c>
      <c r="AA192" s="4"/>
      <c r="AB192" s="4">
        <f>$K$192*$V$192</f>
        <v>1185990.1200000001</v>
      </c>
      <c r="AC192" s="4">
        <f>$M$192*$W$192</f>
        <v>0</v>
      </c>
      <c r="AD192" s="4">
        <f>$O$192*$X$192</f>
        <v>0</v>
      </c>
      <c r="AE192" s="4">
        <f ca="1">$K$192*$Y$192</f>
        <v>1359778.2573120911</v>
      </c>
      <c r="AF192" s="4">
        <f ca="1">$M$192*$Z$192</f>
        <v>0</v>
      </c>
      <c r="AG192" s="4">
        <f>$O$192*$AA$192</f>
        <v>0</v>
      </c>
    </row>
    <row r="193" spans="1:33" ht="11.25" customHeight="1" x14ac:dyDescent="0.25">
      <c r="A193" s="3" t="s">
        <v>21</v>
      </c>
      <c r="B193" s="3" t="s">
        <v>41</v>
      </c>
      <c r="C193" s="3" t="s">
        <v>42</v>
      </c>
      <c r="D193" s="3" t="s">
        <v>40</v>
      </c>
      <c r="E193" s="3" t="s">
        <v>25</v>
      </c>
      <c r="F193" s="3" t="s">
        <v>25</v>
      </c>
      <c r="G193" s="3" t="s">
        <v>25</v>
      </c>
      <c r="H193" s="3" t="s">
        <v>35</v>
      </c>
      <c r="I193" s="6">
        <v>44348</v>
      </c>
      <c r="J193" s="4">
        <v>2920</v>
      </c>
      <c r="K193" s="4">
        <v>2920</v>
      </c>
      <c r="L193" s="4">
        <v>53.985999999999997</v>
      </c>
      <c r="M193" s="4">
        <v>53.985999999999997</v>
      </c>
      <c r="N193" s="4">
        <v>53.985999999999997</v>
      </c>
      <c r="O193" s="4">
        <v>53.985999999999997</v>
      </c>
      <c r="P193" s="4">
        <v>0</v>
      </c>
      <c r="Q193" s="3" t="s">
        <v>26</v>
      </c>
      <c r="R193" s="3">
        <v>0</v>
      </c>
      <c r="S193" s="4">
        <v>92</v>
      </c>
      <c r="T193" s="4">
        <v>94</v>
      </c>
      <c r="U193" s="4">
        <v>47</v>
      </c>
      <c r="V193" s="4">
        <f>IF(ISERROR(VLOOKUP($S$193,'TAR FIN'!$A$1:$O$99,15,0)),0,VLOOKUP($S$193,'TAR FIN'!$A$1:$O$99,15,0))</f>
        <v>26.46</v>
      </c>
      <c r="W193" s="4">
        <f>IF(ISERROR(VLOOKUP($T$193,'TAR FIN'!$A$1:$O$99,15,0)),0,VLOOKUP($T$193,'TAR FIN'!$A$1:$O$99,15,0))</f>
        <v>65.13</v>
      </c>
      <c r="X193" s="4">
        <f>IF(ISERROR(VLOOKUP($U$193,'TAR FIN'!$A$1:$O$99,15,0)),0,VLOOKUP($U$193,'TAR FIN'!$A$1:$O$99,15,0))</f>
        <v>346.61</v>
      </c>
      <c r="Y193" s="4">
        <f ca="1">('TUSD BE'!$AM$5+'TUSD BF'!$AM$5+'TUSD CVA'!$AM$5)*1</f>
        <v>30.337295464550692</v>
      </c>
      <c r="Z193" s="4">
        <f ca="1">('TUSD BE'!$AM$7+'TUSD BF'!$AM$7+'TUSD CVA'!$AM$7)*1</f>
        <v>76.243476502957677</v>
      </c>
      <c r="AA193" s="4">
        <f>('TE BE'!$AA$5+'TE BF'!$AA$5+'TE CVA'!$AA$5)*1</f>
        <v>423.89652505413846</v>
      </c>
      <c r="AB193" s="4">
        <f>$K$193*$V$193</f>
        <v>77263.199999999997</v>
      </c>
      <c r="AC193" s="4">
        <f>$M$193*$W$193</f>
        <v>3516.1081799999997</v>
      </c>
      <c r="AD193" s="4">
        <f>$O$193*$X$193</f>
        <v>18712.087459999999</v>
      </c>
      <c r="AE193" s="4">
        <f ca="1">$K$193*$Y$193</f>
        <v>88584.902756488023</v>
      </c>
      <c r="AF193" s="4">
        <f ca="1">$M$193*$Z$193</f>
        <v>4116.0803224886731</v>
      </c>
      <c r="AG193" s="4">
        <f>$O$193*$AA$193</f>
        <v>22884.477801572717</v>
      </c>
    </row>
    <row r="194" spans="1:33" ht="11.25" customHeight="1" x14ac:dyDescent="0.25">
      <c r="A194" s="3" t="s">
        <v>28</v>
      </c>
      <c r="B194" s="3" t="s">
        <v>41</v>
      </c>
      <c r="C194" s="3" t="s">
        <v>42</v>
      </c>
      <c r="D194" s="3" t="s">
        <v>40</v>
      </c>
      <c r="E194" s="3" t="s">
        <v>25</v>
      </c>
      <c r="F194" s="3" t="s">
        <v>25</v>
      </c>
      <c r="G194" s="3" t="s">
        <v>25</v>
      </c>
      <c r="H194" s="3" t="s">
        <v>35</v>
      </c>
      <c r="I194" s="6">
        <v>44348</v>
      </c>
      <c r="J194" s="4">
        <v>100</v>
      </c>
      <c r="K194" s="4">
        <v>100</v>
      </c>
      <c r="L194" s="4">
        <v>2.1219999999999999</v>
      </c>
      <c r="M194" s="4">
        <v>2.1219999999999999</v>
      </c>
      <c r="N194" s="4">
        <v>2.1219999999999999</v>
      </c>
      <c r="O194" s="4">
        <v>2.1219999999999999</v>
      </c>
      <c r="P194" s="4">
        <v>0</v>
      </c>
      <c r="Q194" s="3" t="s">
        <v>26</v>
      </c>
      <c r="R194" s="3">
        <v>0</v>
      </c>
      <c r="S194" s="4">
        <v>92</v>
      </c>
      <c r="T194" s="4">
        <v>94</v>
      </c>
      <c r="U194" s="4">
        <v>47</v>
      </c>
      <c r="V194" s="4">
        <f>IF(ISERROR(VLOOKUP($S$194,'TAR FIN'!$A$1:$O$99,15,0)),0,VLOOKUP($S$194,'TAR FIN'!$A$1:$O$99,15,0))</f>
        <v>26.46</v>
      </c>
      <c r="W194" s="4">
        <f>IF(ISERROR(VLOOKUP($T$194,'TAR FIN'!$A$1:$O$99,15,0)),0,VLOOKUP($T$194,'TAR FIN'!$A$1:$O$99,15,0))</f>
        <v>65.13</v>
      </c>
      <c r="X194" s="4">
        <f>IF(ISERROR(VLOOKUP($U$194,'TAR FIN'!$A$1:$O$99,15,0)),0,VLOOKUP($U$194,'TAR FIN'!$A$1:$O$99,15,0))</f>
        <v>346.61</v>
      </c>
      <c r="Y194" s="4">
        <f ca="1">('TUSD BE'!$AM$5+'TUSD BF'!$AM$5+'TUSD CVA'!$AM$5)*1</f>
        <v>30.337295464550692</v>
      </c>
      <c r="Z194" s="4">
        <f ca="1">('TUSD BE'!$AM$7+'TUSD BF'!$AM$7+'TUSD CVA'!$AM$7)*1</f>
        <v>76.243476502957677</v>
      </c>
      <c r="AA194" s="4">
        <f>('TE BE'!$AA$5+'TE BF'!$AA$5+'TE CVA'!$AA$5)*1</f>
        <v>423.89652505413846</v>
      </c>
      <c r="AB194" s="4">
        <f>$K$194*$V$194</f>
        <v>2646</v>
      </c>
      <c r="AC194" s="4">
        <f>$M$194*$W$194</f>
        <v>138.20585999999997</v>
      </c>
      <c r="AD194" s="4">
        <f>$O$194*$X$194</f>
        <v>735.50641999999993</v>
      </c>
      <c r="AE194" s="4">
        <f ca="1">$K$194*$Y$194</f>
        <v>3033.7295464550693</v>
      </c>
      <c r="AF194" s="4">
        <f ca="1">$M$194*$Z$194</f>
        <v>161.78865713927618</v>
      </c>
      <c r="AG194" s="4">
        <f>$O$194*$AA$194</f>
        <v>899.50842616488183</v>
      </c>
    </row>
    <row r="195" spans="1:33" ht="11.25" customHeight="1" x14ac:dyDescent="0.25">
      <c r="A195" s="3" t="s">
        <v>21</v>
      </c>
      <c r="B195" s="3" t="s">
        <v>41</v>
      </c>
      <c r="C195" s="3" t="s">
        <v>42</v>
      </c>
      <c r="D195" s="3" t="s">
        <v>40</v>
      </c>
      <c r="E195" s="3" t="s">
        <v>25</v>
      </c>
      <c r="F195" s="3" t="s">
        <v>25</v>
      </c>
      <c r="G195" s="3" t="s">
        <v>25</v>
      </c>
      <c r="H195" s="3" t="s">
        <v>35</v>
      </c>
      <c r="I195" s="6">
        <v>44348</v>
      </c>
      <c r="J195" s="4">
        <v>44379</v>
      </c>
      <c r="K195" s="4">
        <v>44379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3" t="s">
        <v>57</v>
      </c>
      <c r="R195" s="3">
        <v>0</v>
      </c>
      <c r="S195" s="4">
        <v>92</v>
      </c>
      <c r="T195" s="4">
        <v>0</v>
      </c>
      <c r="U195" s="4">
        <v>0</v>
      </c>
      <c r="V195" s="4">
        <f>IF(ISERROR(VLOOKUP($S$195,'TAR FIN'!$A$1:$O$99,15,0)),0,VLOOKUP($S$195,'TAR FIN'!$A$1:$O$99,15,0))</f>
        <v>26.46</v>
      </c>
      <c r="W195" s="4">
        <f>IF(ISERROR(VLOOKUP($T$195,'TAR FIN'!$A$1:$O$99,15,0)),0,VLOOKUP($T$195,'TAR FIN'!$A$1:$O$99,15,0))</f>
        <v>0</v>
      </c>
      <c r="X195" s="4">
        <f>IF(ISERROR(VLOOKUP($U$195,'TAR FIN'!$A$1:$O$99,15,0)),0,VLOOKUP($U$195,'TAR FIN'!$A$1:$O$99,15,0))</f>
        <v>0</v>
      </c>
      <c r="Y195" s="4">
        <f ca="1">('TUSD BE'!$AM$5+'TUSD BF'!$AM$5+'TUSD CVA'!$AM$5)*1</f>
        <v>30.337295464550692</v>
      </c>
      <c r="Z195" s="4">
        <f ca="1">('TUSD BE'!$AM$7+'TUSD BF'!$AM$7+'TUSD CVA'!$AM$7)*1</f>
        <v>76.243476502957677</v>
      </c>
      <c r="AA195" s="4"/>
      <c r="AB195" s="4">
        <f>$K$195*$V$195</f>
        <v>1174268.3400000001</v>
      </c>
      <c r="AC195" s="4">
        <f>$M$195*$W$195</f>
        <v>0</v>
      </c>
      <c r="AD195" s="4">
        <f>$O$195*$X$195</f>
        <v>0</v>
      </c>
      <c r="AE195" s="4">
        <f ca="1">$K$195*$Y$195</f>
        <v>1346338.8354212951</v>
      </c>
      <c r="AF195" s="4">
        <f ca="1">$M$195*$Z$195</f>
        <v>0</v>
      </c>
      <c r="AG195" s="4">
        <f>$O$195*$AA$195</f>
        <v>0</v>
      </c>
    </row>
    <row r="196" spans="1:33" ht="11.25" customHeight="1" x14ac:dyDescent="0.25">
      <c r="A196" s="3" t="s">
        <v>21</v>
      </c>
      <c r="B196" s="3" t="s">
        <v>41</v>
      </c>
      <c r="C196" s="3" t="s">
        <v>42</v>
      </c>
      <c r="D196" s="3" t="s">
        <v>40</v>
      </c>
      <c r="E196" s="3" t="s">
        <v>25</v>
      </c>
      <c r="F196" s="3" t="s">
        <v>25</v>
      </c>
      <c r="G196" s="3" t="s">
        <v>25</v>
      </c>
      <c r="H196" s="3" t="s">
        <v>35</v>
      </c>
      <c r="I196" s="6">
        <v>44378</v>
      </c>
      <c r="J196" s="4">
        <v>2906</v>
      </c>
      <c r="K196" s="4">
        <v>2906</v>
      </c>
      <c r="L196" s="4">
        <v>60.731999999999999</v>
      </c>
      <c r="M196" s="4">
        <v>60.731999999999999</v>
      </c>
      <c r="N196" s="4">
        <v>60.731999999999999</v>
      </c>
      <c r="O196" s="4">
        <v>60.731999999999999</v>
      </c>
      <c r="P196" s="4">
        <v>0</v>
      </c>
      <c r="Q196" s="3" t="s">
        <v>26</v>
      </c>
      <c r="R196" s="3">
        <v>0</v>
      </c>
      <c r="S196" s="4">
        <v>92</v>
      </c>
      <c r="T196" s="4">
        <v>94</v>
      </c>
      <c r="U196" s="4">
        <v>47</v>
      </c>
      <c r="V196" s="4">
        <f>IF(ISERROR(VLOOKUP($S$196,'TAR FIN'!$A$1:$O$99,15,0)),0,VLOOKUP($S$196,'TAR FIN'!$A$1:$O$99,15,0))</f>
        <v>26.46</v>
      </c>
      <c r="W196" s="4">
        <f>IF(ISERROR(VLOOKUP($T$196,'TAR FIN'!$A$1:$O$99,15,0)),0,VLOOKUP($T$196,'TAR FIN'!$A$1:$O$99,15,0))</f>
        <v>65.13</v>
      </c>
      <c r="X196" s="4">
        <f>IF(ISERROR(VLOOKUP($U$196,'TAR FIN'!$A$1:$O$99,15,0)),0,VLOOKUP($U$196,'TAR FIN'!$A$1:$O$99,15,0))</f>
        <v>346.61</v>
      </c>
      <c r="Y196" s="4">
        <f ca="1">('TUSD BE'!$AM$5+'TUSD BF'!$AM$5+'TUSD CVA'!$AM$5)*1</f>
        <v>30.337295464550692</v>
      </c>
      <c r="Z196" s="4">
        <f ca="1">('TUSD BE'!$AM$7+'TUSD BF'!$AM$7+'TUSD CVA'!$AM$7)*1</f>
        <v>76.243476502957677</v>
      </c>
      <c r="AA196" s="4">
        <f>('TE BE'!$AA$5+'TE BF'!$AA$5+'TE CVA'!$AA$5)*1</f>
        <v>423.89652505413846</v>
      </c>
      <c r="AB196" s="4">
        <f>$K$196*$V$196</f>
        <v>76892.760000000009</v>
      </c>
      <c r="AC196" s="4">
        <f>$M$196*$W$196</f>
        <v>3955.4751599999995</v>
      </c>
      <c r="AD196" s="4">
        <f>$O$196*$X$196</f>
        <v>21050.318520000001</v>
      </c>
      <c r="AE196" s="4">
        <f ca="1">$K$196*$Y$196</f>
        <v>88160.180619984312</v>
      </c>
      <c r="AF196" s="4">
        <f ca="1">$M$196*$Z$196</f>
        <v>4630.4188149776255</v>
      </c>
      <c r="AG196" s="4">
        <f>$O$196*$AA$196</f>
        <v>25744.083759587938</v>
      </c>
    </row>
    <row r="197" spans="1:33" ht="11.25" customHeight="1" x14ac:dyDescent="0.25">
      <c r="A197" s="3" t="s">
        <v>28</v>
      </c>
      <c r="B197" s="3" t="s">
        <v>41</v>
      </c>
      <c r="C197" s="3" t="s">
        <v>42</v>
      </c>
      <c r="D197" s="3" t="s">
        <v>40</v>
      </c>
      <c r="E197" s="3" t="s">
        <v>25</v>
      </c>
      <c r="F197" s="3" t="s">
        <v>25</v>
      </c>
      <c r="G197" s="3" t="s">
        <v>25</v>
      </c>
      <c r="H197" s="3" t="s">
        <v>35</v>
      </c>
      <c r="I197" s="6">
        <v>44378</v>
      </c>
      <c r="J197" s="4">
        <v>100</v>
      </c>
      <c r="K197" s="4">
        <v>100</v>
      </c>
      <c r="L197" s="4">
        <v>0.32800000000000001</v>
      </c>
      <c r="M197" s="4">
        <v>0.32800000000000001</v>
      </c>
      <c r="N197" s="4">
        <v>0.32800000000000001</v>
      </c>
      <c r="O197" s="4">
        <v>0.32800000000000001</v>
      </c>
      <c r="P197" s="4">
        <v>0</v>
      </c>
      <c r="Q197" s="3" t="s">
        <v>26</v>
      </c>
      <c r="R197" s="3">
        <v>0</v>
      </c>
      <c r="S197" s="4">
        <v>92</v>
      </c>
      <c r="T197" s="4">
        <v>94</v>
      </c>
      <c r="U197" s="4">
        <v>47</v>
      </c>
      <c r="V197" s="4">
        <f>IF(ISERROR(VLOOKUP($S$197,'TAR FIN'!$A$1:$O$99,15,0)),0,VLOOKUP($S$197,'TAR FIN'!$A$1:$O$99,15,0))</f>
        <v>26.46</v>
      </c>
      <c r="W197" s="4">
        <f>IF(ISERROR(VLOOKUP($T$197,'TAR FIN'!$A$1:$O$99,15,0)),0,VLOOKUP($T$197,'TAR FIN'!$A$1:$O$99,15,0))</f>
        <v>65.13</v>
      </c>
      <c r="X197" s="4">
        <f>IF(ISERROR(VLOOKUP($U$197,'TAR FIN'!$A$1:$O$99,15,0)),0,VLOOKUP($U$197,'TAR FIN'!$A$1:$O$99,15,0))</f>
        <v>346.61</v>
      </c>
      <c r="Y197" s="4">
        <f ca="1">('TUSD BE'!$AM$5+'TUSD BF'!$AM$5+'TUSD CVA'!$AM$5)*1</f>
        <v>30.337295464550692</v>
      </c>
      <c r="Z197" s="4">
        <f ca="1">('TUSD BE'!$AM$7+'TUSD BF'!$AM$7+'TUSD CVA'!$AM$7)*1</f>
        <v>76.243476502957677</v>
      </c>
      <c r="AA197" s="4">
        <f>('TE BE'!$AA$5+'TE BF'!$AA$5+'TE CVA'!$AA$5)*1</f>
        <v>423.89652505413846</v>
      </c>
      <c r="AB197" s="4">
        <f>$K$197*$V$197</f>
        <v>2646</v>
      </c>
      <c r="AC197" s="4">
        <f>$M$197*$W$197</f>
        <v>21.362639999999999</v>
      </c>
      <c r="AD197" s="4">
        <f>$O$197*$X$197</f>
        <v>113.68808000000001</v>
      </c>
      <c r="AE197" s="4">
        <f ca="1">$K$197*$Y$197</f>
        <v>3033.7295464550693</v>
      </c>
      <c r="AF197" s="4">
        <f ca="1">$M$197*$Z$197</f>
        <v>25.007860292970118</v>
      </c>
      <c r="AG197" s="4">
        <f>$O$197*$AA$197</f>
        <v>139.03806021775742</v>
      </c>
    </row>
    <row r="198" spans="1:33" ht="11.25" customHeight="1" x14ac:dyDescent="0.25">
      <c r="A198" s="3" t="s">
        <v>21</v>
      </c>
      <c r="B198" s="3" t="s">
        <v>41</v>
      </c>
      <c r="C198" s="3" t="s">
        <v>42</v>
      </c>
      <c r="D198" s="3" t="s">
        <v>40</v>
      </c>
      <c r="E198" s="3" t="s">
        <v>25</v>
      </c>
      <c r="F198" s="3" t="s">
        <v>25</v>
      </c>
      <c r="G198" s="3" t="s">
        <v>25</v>
      </c>
      <c r="H198" s="3" t="s">
        <v>35</v>
      </c>
      <c r="I198" s="6">
        <v>44378</v>
      </c>
      <c r="J198" s="4">
        <v>44682</v>
      </c>
      <c r="K198" s="4">
        <v>44682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3" t="s">
        <v>57</v>
      </c>
      <c r="R198" s="3">
        <v>0</v>
      </c>
      <c r="S198" s="4">
        <v>92</v>
      </c>
      <c r="T198" s="4">
        <v>0</v>
      </c>
      <c r="U198" s="4">
        <v>0</v>
      </c>
      <c r="V198" s="4">
        <f>IF(ISERROR(VLOOKUP($S$198,'TAR FIN'!$A$1:$O$99,15,0)),0,VLOOKUP($S$198,'TAR FIN'!$A$1:$O$99,15,0))</f>
        <v>26.46</v>
      </c>
      <c r="W198" s="4">
        <f>IF(ISERROR(VLOOKUP($T$198,'TAR FIN'!$A$1:$O$99,15,0)),0,VLOOKUP($T$198,'TAR FIN'!$A$1:$O$99,15,0))</f>
        <v>0</v>
      </c>
      <c r="X198" s="4">
        <f>IF(ISERROR(VLOOKUP($U$198,'TAR FIN'!$A$1:$O$99,15,0)),0,VLOOKUP($U$198,'TAR FIN'!$A$1:$O$99,15,0))</f>
        <v>0</v>
      </c>
      <c r="Y198" s="4">
        <f ca="1">('TUSD BE'!$AM$5+'TUSD BF'!$AM$5+'TUSD CVA'!$AM$5)*1</f>
        <v>30.337295464550692</v>
      </c>
      <c r="Z198" s="4">
        <f ca="1">('TUSD BE'!$AM$7+'TUSD BF'!$AM$7+'TUSD CVA'!$AM$7)*1</f>
        <v>76.243476502957677</v>
      </c>
      <c r="AA198" s="4"/>
      <c r="AB198" s="4">
        <f>$K$198*$V$198</f>
        <v>1182285.72</v>
      </c>
      <c r="AC198" s="4">
        <f>$M$198*$W$198</f>
        <v>0</v>
      </c>
      <c r="AD198" s="4">
        <f>$O$198*$X$198</f>
        <v>0</v>
      </c>
      <c r="AE198" s="4">
        <f ca="1">$K$198*$Y$198</f>
        <v>1355531.0359470539</v>
      </c>
      <c r="AF198" s="4">
        <f ca="1">$M$198*$Z$198</f>
        <v>0</v>
      </c>
      <c r="AG198" s="4">
        <f>$O$198*$AA$198</f>
        <v>0</v>
      </c>
    </row>
    <row r="199" spans="1:33" ht="11.25" customHeight="1" x14ac:dyDescent="0.25">
      <c r="A199" s="3" t="s">
        <v>21</v>
      </c>
      <c r="B199" s="3" t="s">
        <v>41</v>
      </c>
      <c r="C199" s="3" t="s">
        <v>42</v>
      </c>
      <c r="D199" s="3" t="s">
        <v>40</v>
      </c>
      <c r="E199" s="3" t="s">
        <v>25</v>
      </c>
      <c r="F199" s="3" t="s">
        <v>25</v>
      </c>
      <c r="G199" s="3" t="s">
        <v>25</v>
      </c>
      <c r="H199" s="3" t="s">
        <v>35</v>
      </c>
      <c r="I199" s="6">
        <v>44409</v>
      </c>
      <c r="J199" s="4">
        <v>3836</v>
      </c>
      <c r="K199" s="4">
        <v>3836</v>
      </c>
      <c r="L199" s="4">
        <v>96.441999999999993</v>
      </c>
      <c r="M199" s="4">
        <v>96.441999999999993</v>
      </c>
      <c r="N199" s="4">
        <v>96.441999999999993</v>
      </c>
      <c r="O199" s="4">
        <v>96.441999999999993</v>
      </c>
      <c r="P199" s="4">
        <v>0</v>
      </c>
      <c r="Q199" s="3" t="s">
        <v>26</v>
      </c>
      <c r="R199" s="3">
        <v>0</v>
      </c>
      <c r="S199" s="4">
        <v>92</v>
      </c>
      <c r="T199" s="4">
        <v>94</v>
      </c>
      <c r="U199" s="4">
        <v>47</v>
      </c>
      <c r="V199" s="4">
        <f>IF(ISERROR(VLOOKUP($S$199,'TAR FIN'!$A$1:$O$99,15,0)),0,VLOOKUP($S$199,'TAR FIN'!$A$1:$O$99,15,0))</f>
        <v>26.46</v>
      </c>
      <c r="W199" s="4">
        <f>IF(ISERROR(VLOOKUP($T$199,'TAR FIN'!$A$1:$O$99,15,0)),0,VLOOKUP($T$199,'TAR FIN'!$A$1:$O$99,15,0))</f>
        <v>65.13</v>
      </c>
      <c r="X199" s="4">
        <f>IF(ISERROR(VLOOKUP($U$199,'TAR FIN'!$A$1:$O$99,15,0)),0,VLOOKUP($U$199,'TAR FIN'!$A$1:$O$99,15,0))</f>
        <v>346.61</v>
      </c>
      <c r="Y199" s="4">
        <f ca="1">('TUSD BE'!$AM$5+'TUSD BF'!$AM$5+'TUSD CVA'!$AM$5)*1</f>
        <v>30.337295464550692</v>
      </c>
      <c r="Z199" s="4">
        <f ca="1">('TUSD BE'!$AM$7+'TUSD BF'!$AM$7+'TUSD CVA'!$AM$7)*1</f>
        <v>76.243476502957677</v>
      </c>
      <c r="AA199" s="4">
        <f>('TE BE'!$AA$5+'TE BF'!$AA$5+'TE CVA'!$AA$5)*1</f>
        <v>423.89652505413846</v>
      </c>
      <c r="AB199" s="4">
        <f>$K$199*$V$199</f>
        <v>101500.56</v>
      </c>
      <c r="AC199" s="4">
        <f>$M$199*$W$199</f>
        <v>6281.2674599999991</v>
      </c>
      <c r="AD199" s="4">
        <f>$O$199*$X$199</f>
        <v>33427.761619999997</v>
      </c>
      <c r="AE199" s="4">
        <f ca="1">$K$199*$Y$199</f>
        <v>116373.86540201645</v>
      </c>
      <c r="AF199" s="4">
        <f ca="1">$M$199*$Z$199</f>
        <v>7353.0733608982437</v>
      </c>
      <c r="AG199" s="4">
        <f>$O$199*$AA$199</f>
        <v>40881.428669271219</v>
      </c>
    </row>
    <row r="200" spans="1:33" ht="11.25" customHeight="1" x14ac:dyDescent="0.25">
      <c r="A200" s="3" t="s">
        <v>28</v>
      </c>
      <c r="B200" s="3" t="s">
        <v>41</v>
      </c>
      <c r="C200" s="3" t="s">
        <v>42</v>
      </c>
      <c r="D200" s="3" t="s">
        <v>40</v>
      </c>
      <c r="E200" s="3" t="s">
        <v>25</v>
      </c>
      <c r="F200" s="3" t="s">
        <v>25</v>
      </c>
      <c r="G200" s="3" t="s">
        <v>25</v>
      </c>
      <c r="H200" s="3" t="s">
        <v>35</v>
      </c>
      <c r="I200" s="6">
        <v>44409</v>
      </c>
      <c r="J200" s="4">
        <v>100</v>
      </c>
      <c r="K200" s="4">
        <v>100</v>
      </c>
      <c r="L200" s="4">
        <v>0.61599999999999999</v>
      </c>
      <c r="M200" s="4">
        <v>0.61599999999999999</v>
      </c>
      <c r="N200" s="4">
        <v>0.61599999999999999</v>
      </c>
      <c r="O200" s="4">
        <v>0.61599999999999999</v>
      </c>
      <c r="P200" s="4">
        <v>0</v>
      </c>
      <c r="Q200" s="3" t="s">
        <v>26</v>
      </c>
      <c r="R200" s="3">
        <v>0</v>
      </c>
      <c r="S200" s="4">
        <v>92</v>
      </c>
      <c r="T200" s="4">
        <v>94</v>
      </c>
      <c r="U200" s="4">
        <v>47</v>
      </c>
      <c r="V200" s="4">
        <f>IF(ISERROR(VLOOKUP($S$200,'TAR FIN'!$A$1:$O$99,15,0)),0,VLOOKUP($S$200,'TAR FIN'!$A$1:$O$99,15,0))</f>
        <v>26.46</v>
      </c>
      <c r="W200" s="4">
        <f>IF(ISERROR(VLOOKUP($T$200,'TAR FIN'!$A$1:$O$99,15,0)),0,VLOOKUP($T$200,'TAR FIN'!$A$1:$O$99,15,0))</f>
        <v>65.13</v>
      </c>
      <c r="X200" s="4">
        <f>IF(ISERROR(VLOOKUP($U$200,'TAR FIN'!$A$1:$O$99,15,0)),0,VLOOKUP($U$200,'TAR FIN'!$A$1:$O$99,15,0))</f>
        <v>346.61</v>
      </c>
      <c r="Y200" s="4">
        <f ca="1">('TUSD BE'!$AM$5+'TUSD BF'!$AM$5+'TUSD CVA'!$AM$5)*1</f>
        <v>30.337295464550692</v>
      </c>
      <c r="Z200" s="4">
        <f ca="1">('TUSD BE'!$AM$7+'TUSD BF'!$AM$7+'TUSD CVA'!$AM$7)*1</f>
        <v>76.243476502957677</v>
      </c>
      <c r="AA200" s="4">
        <f>('TE BE'!$AA$5+'TE BF'!$AA$5+'TE CVA'!$AA$5)*1</f>
        <v>423.89652505413846</v>
      </c>
      <c r="AB200" s="4">
        <f>$K$200*$V$200</f>
        <v>2646</v>
      </c>
      <c r="AC200" s="4">
        <f>$M$200*$W$200</f>
        <v>40.120079999999994</v>
      </c>
      <c r="AD200" s="4">
        <f>$O$200*$X$200</f>
        <v>213.51176000000001</v>
      </c>
      <c r="AE200" s="4">
        <f ca="1">$K$200*$Y$200</f>
        <v>3033.7295464550693</v>
      </c>
      <c r="AF200" s="4">
        <f ca="1">$M$200*$Z$200</f>
        <v>46.965981525821931</v>
      </c>
      <c r="AG200" s="4">
        <f>$O$200*$AA$200</f>
        <v>261.1202594333493</v>
      </c>
    </row>
    <row r="201" spans="1:33" ht="11.25" customHeight="1" x14ac:dyDescent="0.25">
      <c r="A201" s="3" t="s">
        <v>21</v>
      </c>
      <c r="B201" s="3" t="s">
        <v>41</v>
      </c>
      <c r="C201" s="3" t="s">
        <v>42</v>
      </c>
      <c r="D201" s="3" t="s">
        <v>40</v>
      </c>
      <c r="E201" s="3" t="s">
        <v>25</v>
      </c>
      <c r="F201" s="3" t="s">
        <v>25</v>
      </c>
      <c r="G201" s="3" t="s">
        <v>25</v>
      </c>
      <c r="H201" s="3" t="s">
        <v>35</v>
      </c>
      <c r="I201" s="6">
        <v>44409</v>
      </c>
      <c r="J201" s="4">
        <v>44523</v>
      </c>
      <c r="K201" s="4">
        <v>44523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3" t="s">
        <v>57</v>
      </c>
      <c r="R201" s="3">
        <v>0</v>
      </c>
      <c r="S201" s="4">
        <v>92</v>
      </c>
      <c r="T201" s="4">
        <v>0</v>
      </c>
      <c r="U201" s="4">
        <v>0</v>
      </c>
      <c r="V201" s="4">
        <f>IF(ISERROR(VLOOKUP($S$201,'TAR FIN'!$A$1:$O$99,15,0)),0,VLOOKUP($S$201,'TAR FIN'!$A$1:$O$99,15,0))</f>
        <v>26.46</v>
      </c>
      <c r="W201" s="4">
        <f>IF(ISERROR(VLOOKUP($T$201,'TAR FIN'!$A$1:$O$99,15,0)),0,VLOOKUP($T$201,'TAR FIN'!$A$1:$O$99,15,0))</f>
        <v>0</v>
      </c>
      <c r="X201" s="4">
        <f>IF(ISERROR(VLOOKUP($U$201,'TAR FIN'!$A$1:$O$99,15,0)),0,VLOOKUP($U$201,'TAR FIN'!$A$1:$O$99,15,0))</f>
        <v>0</v>
      </c>
      <c r="Y201" s="4">
        <f ca="1">('TUSD BE'!$AM$5+'TUSD BF'!$AM$5+'TUSD CVA'!$AM$5)*1</f>
        <v>30.337295464550692</v>
      </c>
      <c r="Z201" s="4">
        <f ca="1">('TUSD BE'!$AM$7+'TUSD BF'!$AM$7+'TUSD CVA'!$AM$7)*1</f>
        <v>76.243476502957677</v>
      </c>
      <c r="AA201" s="4"/>
      <c r="AB201" s="4">
        <f>$K$201*$V$201</f>
        <v>1178078.58</v>
      </c>
      <c r="AC201" s="4">
        <f>$M$201*$W$201</f>
        <v>0</v>
      </c>
      <c r="AD201" s="4">
        <f>$O$201*$X$201</f>
        <v>0</v>
      </c>
      <c r="AE201" s="4">
        <f ca="1">$K$201*$Y$201</f>
        <v>1350707.4059681904</v>
      </c>
      <c r="AF201" s="4">
        <f ca="1">$M$201*$Z$201</f>
        <v>0</v>
      </c>
      <c r="AG201" s="4">
        <f>$O$201*$AA$201</f>
        <v>0</v>
      </c>
    </row>
    <row r="202" spans="1:33" ht="11.25" customHeight="1" x14ac:dyDescent="0.25">
      <c r="A202" s="3" t="s">
        <v>21</v>
      </c>
      <c r="B202" s="3" t="s">
        <v>41</v>
      </c>
      <c r="C202" s="3" t="s">
        <v>42</v>
      </c>
      <c r="D202" s="3" t="s">
        <v>40</v>
      </c>
      <c r="E202" s="3" t="s">
        <v>25</v>
      </c>
      <c r="F202" s="3" t="s">
        <v>25</v>
      </c>
      <c r="G202" s="3" t="s">
        <v>25</v>
      </c>
      <c r="H202" s="3" t="s">
        <v>35</v>
      </c>
      <c r="I202" s="6">
        <v>44440</v>
      </c>
      <c r="J202" s="4">
        <v>5916</v>
      </c>
      <c r="K202" s="4">
        <v>5916</v>
      </c>
      <c r="L202" s="4">
        <v>47.600999999999999</v>
      </c>
      <c r="M202" s="4">
        <v>47.600999999999999</v>
      </c>
      <c r="N202" s="4">
        <v>47.600999999999999</v>
      </c>
      <c r="O202" s="4">
        <v>47.600999999999999</v>
      </c>
      <c r="P202" s="4">
        <v>0</v>
      </c>
      <c r="Q202" s="3" t="s">
        <v>26</v>
      </c>
      <c r="R202" s="3">
        <v>0</v>
      </c>
      <c r="S202" s="4">
        <v>92</v>
      </c>
      <c r="T202" s="4">
        <v>94</v>
      </c>
      <c r="U202" s="4">
        <v>47</v>
      </c>
      <c r="V202" s="4">
        <f>IF(ISERROR(VLOOKUP($S$202,'TAR FIN'!$A$1:$O$99,15,0)),0,VLOOKUP($S$202,'TAR FIN'!$A$1:$O$99,15,0))</f>
        <v>26.46</v>
      </c>
      <c r="W202" s="4">
        <f>IF(ISERROR(VLOOKUP($T$202,'TAR FIN'!$A$1:$O$99,15,0)),0,VLOOKUP($T$202,'TAR FIN'!$A$1:$O$99,15,0))</f>
        <v>65.13</v>
      </c>
      <c r="X202" s="4">
        <f>IF(ISERROR(VLOOKUP($U$202,'TAR FIN'!$A$1:$O$99,15,0)),0,VLOOKUP($U$202,'TAR FIN'!$A$1:$O$99,15,0))</f>
        <v>346.61</v>
      </c>
      <c r="Y202" s="4">
        <f ca="1">('TUSD BE'!$AM$5+'TUSD BF'!$AM$5+'TUSD CVA'!$AM$5)*1</f>
        <v>30.337295464550692</v>
      </c>
      <c r="Z202" s="4">
        <f ca="1">('TUSD BE'!$AM$7+'TUSD BF'!$AM$7+'TUSD CVA'!$AM$7)*1</f>
        <v>76.243476502957677</v>
      </c>
      <c r="AA202" s="4">
        <f>('TE BE'!$AA$5+'TE BF'!$AA$5+'TE CVA'!$AA$5)*1</f>
        <v>423.89652505413846</v>
      </c>
      <c r="AB202" s="4">
        <f>$K$202*$V$202</f>
        <v>156537.36000000002</v>
      </c>
      <c r="AC202" s="4">
        <f>$M$202*$W$202</f>
        <v>3100.2531299999996</v>
      </c>
      <c r="AD202" s="4">
        <f>$O$202*$X$202</f>
        <v>16498.982609999999</v>
      </c>
      <c r="AE202" s="4">
        <f ca="1">$K$202*$Y$202</f>
        <v>179475.43996828189</v>
      </c>
      <c r="AF202" s="4">
        <f ca="1">$M$202*$Z$202</f>
        <v>3629.2657250172883</v>
      </c>
      <c r="AG202" s="4">
        <f>$O$202*$AA$202</f>
        <v>20177.898489102045</v>
      </c>
    </row>
    <row r="203" spans="1:33" ht="11.25" customHeight="1" x14ac:dyDescent="0.25">
      <c r="A203" s="3" t="s">
        <v>28</v>
      </c>
      <c r="B203" s="3" t="s">
        <v>41</v>
      </c>
      <c r="C203" s="3" t="s">
        <v>42</v>
      </c>
      <c r="D203" s="3" t="s">
        <v>40</v>
      </c>
      <c r="E203" s="3" t="s">
        <v>25</v>
      </c>
      <c r="F203" s="3" t="s">
        <v>25</v>
      </c>
      <c r="G203" s="3" t="s">
        <v>25</v>
      </c>
      <c r="H203" s="3" t="s">
        <v>35</v>
      </c>
      <c r="I203" s="6">
        <v>44440</v>
      </c>
      <c r="J203" s="4">
        <v>100</v>
      </c>
      <c r="K203" s="4">
        <v>100</v>
      </c>
      <c r="L203" s="4">
        <v>0.10199999999999999</v>
      </c>
      <c r="M203" s="4">
        <v>0.10199999999999999</v>
      </c>
      <c r="N203" s="4">
        <v>0.10199999999999999</v>
      </c>
      <c r="O203" s="4">
        <v>0.10199999999999999</v>
      </c>
      <c r="P203" s="4">
        <v>0</v>
      </c>
      <c r="Q203" s="3" t="s">
        <v>26</v>
      </c>
      <c r="R203" s="3">
        <v>0</v>
      </c>
      <c r="S203" s="4">
        <v>92</v>
      </c>
      <c r="T203" s="4">
        <v>94</v>
      </c>
      <c r="U203" s="4">
        <v>47</v>
      </c>
      <c r="V203" s="4">
        <f>IF(ISERROR(VLOOKUP($S$203,'TAR FIN'!$A$1:$O$99,15,0)),0,VLOOKUP($S$203,'TAR FIN'!$A$1:$O$99,15,0))</f>
        <v>26.46</v>
      </c>
      <c r="W203" s="4">
        <f>IF(ISERROR(VLOOKUP($T$203,'TAR FIN'!$A$1:$O$99,15,0)),0,VLOOKUP($T$203,'TAR FIN'!$A$1:$O$99,15,0))</f>
        <v>65.13</v>
      </c>
      <c r="X203" s="4">
        <f>IF(ISERROR(VLOOKUP($U$203,'TAR FIN'!$A$1:$O$99,15,0)),0,VLOOKUP($U$203,'TAR FIN'!$A$1:$O$99,15,0))</f>
        <v>346.61</v>
      </c>
      <c r="Y203" s="4">
        <f ca="1">('TUSD BE'!$AM$5+'TUSD BF'!$AM$5+'TUSD CVA'!$AM$5)*1</f>
        <v>30.337295464550692</v>
      </c>
      <c r="Z203" s="4">
        <f ca="1">('TUSD BE'!$AM$7+'TUSD BF'!$AM$7+'TUSD CVA'!$AM$7)*1</f>
        <v>76.243476502957677</v>
      </c>
      <c r="AA203" s="4">
        <f>('TE BE'!$AA$5+'TE BF'!$AA$5+'TE CVA'!$AA$5)*1</f>
        <v>423.89652505413846</v>
      </c>
      <c r="AB203" s="4">
        <f>$K$203*$V$203</f>
        <v>2646</v>
      </c>
      <c r="AC203" s="4">
        <f>$M$203*$W$203</f>
        <v>6.6432599999999988</v>
      </c>
      <c r="AD203" s="4">
        <f>$O$203*$X$203</f>
        <v>35.354219999999998</v>
      </c>
      <c r="AE203" s="4">
        <f ca="1">$K$203*$Y$203</f>
        <v>3033.7295464550693</v>
      </c>
      <c r="AF203" s="4">
        <f ca="1">$M$203*$Z$203</f>
        <v>7.7768346033016824</v>
      </c>
      <c r="AG203" s="4">
        <f>$O$203*$AA$203</f>
        <v>43.237445555522122</v>
      </c>
    </row>
    <row r="204" spans="1:33" ht="11.25" customHeight="1" x14ac:dyDescent="0.25">
      <c r="A204" s="3" t="s">
        <v>21</v>
      </c>
      <c r="B204" s="3" t="s">
        <v>41</v>
      </c>
      <c r="C204" s="3" t="s">
        <v>42</v>
      </c>
      <c r="D204" s="3" t="s">
        <v>40</v>
      </c>
      <c r="E204" s="3" t="s">
        <v>25</v>
      </c>
      <c r="F204" s="3" t="s">
        <v>25</v>
      </c>
      <c r="G204" s="3" t="s">
        <v>25</v>
      </c>
      <c r="H204" s="3" t="s">
        <v>35</v>
      </c>
      <c r="I204" s="6">
        <v>44440</v>
      </c>
      <c r="J204" s="4">
        <v>45034</v>
      </c>
      <c r="K204" s="4">
        <v>45034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3" t="s">
        <v>57</v>
      </c>
      <c r="R204" s="3">
        <v>0</v>
      </c>
      <c r="S204" s="4">
        <v>92</v>
      </c>
      <c r="T204" s="4">
        <v>0</v>
      </c>
      <c r="U204" s="4">
        <v>0</v>
      </c>
      <c r="V204" s="4">
        <f>IF(ISERROR(VLOOKUP($S$204,'TAR FIN'!$A$1:$O$99,15,0)),0,VLOOKUP($S$204,'TAR FIN'!$A$1:$O$99,15,0))</f>
        <v>26.46</v>
      </c>
      <c r="W204" s="4">
        <f>IF(ISERROR(VLOOKUP($T$204,'TAR FIN'!$A$1:$O$99,15,0)),0,VLOOKUP($T$204,'TAR FIN'!$A$1:$O$99,15,0))</f>
        <v>0</v>
      </c>
      <c r="X204" s="4">
        <f>IF(ISERROR(VLOOKUP($U$204,'TAR FIN'!$A$1:$O$99,15,0)),0,VLOOKUP($U$204,'TAR FIN'!$A$1:$O$99,15,0))</f>
        <v>0</v>
      </c>
      <c r="Y204" s="4">
        <f ca="1">('TUSD BE'!$AM$5+'TUSD BF'!$AM$5+'TUSD CVA'!$AM$5)*1</f>
        <v>30.337295464550692</v>
      </c>
      <c r="Z204" s="4">
        <f ca="1">('TUSD BE'!$AM$7+'TUSD BF'!$AM$7+'TUSD CVA'!$AM$7)*1</f>
        <v>76.243476502957677</v>
      </c>
      <c r="AA204" s="4"/>
      <c r="AB204" s="4">
        <f>$K$204*$V$204</f>
        <v>1191599.6400000001</v>
      </c>
      <c r="AC204" s="4">
        <f>$M$204*$W$204</f>
        <v>0</v>
      </c>
      <c r="AD204" s="4">
        <f>$O$204*$X$204</f>
        <v>0</v>
      </c>
      <c r="AE204" s="4">
        <f ca="1">$K$204*$Y$204</f>
        <v>1366209.7639505758</v>
      </c>
      <c r="AF204" s="4">
        <f ca="1">$M$204*$Z$204</f>
        <v>0</v>
      </c>
      <c r="AG204" s="4">
        <f>$O$204*$AA$204</f>
        <v>0</v>
      </c>
    </row>
    <row r="205" spans="1:33" ht="11.25" customHeight="1" x14ac:dyDescent="0.25">
      <c r="A205" s="3" t="s">
        <v>21</v>
      </c>
      <c r="B205" s="3" t="s">
        <v>41</v>
      </c>
      <c r="C205" s="3" t="s">
        <v>42</v>
      </c>
      <c r="D205" s="3" t="s">
        <v>40</v>
      </c>
      <c r="E205" s="3" t="s">
        <v>25</v>
      </c>
      <c r="F205" s="3" t="s">
        <v>25</v>
      </c>
      <c r="G205" s="3" t="s">
        <v>25</v>
      </c>
      <c r="H205" s="3" t="s">
        <v>35</v>
      </c>
      <c r="I205" s="6">
        <v>44470</v>
      </c>
      <c r="J205" s="4">
        <v>2867</v>
      </c>
      <c r="K205" s="4">
        <v>2867</v>
      </c>
      <c r="L205" s="4">
        <v>4.835</v>
      </c>
      <c r="M205" s="4">
        <v>4.835</v>
      </c>
      <c r="N205" s="4">
        <v>4.835</v>
      </c>
      <c r="O205" s="4">
        <v>4.835</v>
      </c>
      <c r="P205" s="4">
        <v>0</v>
      </c>
      <c r="Q205" s="3" t="s">
        <v>26</v>
      </c>
      <c r="R205" s="3">
        <v>0</v>
      </c>
      <c r="S205" s="4">
        <v>92</v>
      </c>
      <c r="T205" s="4">
        <v>94</v>
      </c>
      <c r="U205" s="4">
        <v>47</v>
      </c>
      <c r="V205" s="4">
        <f>IF(ISERROR(VLOOKUP($S$205,'TAR FIN'!$A$1:$O$99,15,0)),0,VLOOKUP($S$205,'TAR FIN'!$A$1:$O$99,15,0))</f>
        <v>26.46</v>
      </c>
      <c r="W205" s="4">
        <f>IF(ISERROR(VLOOKUP($T$205,'TAR FIN'!$A$1:$O$99,15,0)),0,VLOOKUP($T$205,'TAR FIN'!$A$1:$O$99,15,0))</f>
        <v>65.13</v>
      </c>
      <c r="X205" s="4">
        <f>IF(ISERROR(VLOOKUP($U$205,'TAR FIN'!$A$1:$O$99,15,0)),0,VLOOKUP($U$205,'TAR FIN'!$A$1:$O$99,15,0))</f>
        <v>346.61</v>
      </c>
      <c r="Y205" s="4">
        <f ca="1">('TUSD BE'!$AM$5+'TUSD BF'!$AM$5+'TUSD CVA'!$AM$5)*1</f>
        <v>30.337295464550692</v>
      </c>
      <c r="Z205" s="4">
        <f ca="1">('TUSD BE'!$AM$7+'TUSD BF'!$AM$7+'TUSD CVA'!$AM$7)*1</f>
        <v>76.243476502957677</v>
      </c>
      <c r="AA205" s="4">
        <f>('TE BE'!$AA$5+'TE BF'!$AA$5+'TE CVA'!$AA$5)*1</f>
        <v>423.89652505413846</v>
      </c>
      <c r="AB205" s="4">
        <f>$K$205*$V$205</f>
        <v>75860.820000000007</v>
      </c>
      <c r="AC205" s="4">
        <f>$M$205*$W$205</f>
        <v>314.90355</v>
      </c>
      <c r="AD205" s="4">
        <f>$O$205*$X$205</f>
        <v>1675.8593499999999</v>
      </c>
      <c r="AE205" s="4">
        <f ca="1">$K$205*$Y$205</f>
        <v>86977.02609686683</v>
      </c>
      <c r="AF205" s="4">
        <f ca="1">$M$205*$Z$205</f>
        <v>368.63720889180036</v>
      </c>
      <c r="AG205" s="4">
        <f>$O$205*$AA$205</f>
        <v>2049.5396986367596</v>
      </c>
    </row>
    <row r="206" spans="1:33" ht="11.25" customHeight="1" x14ac:dyDescent="0.25">
      <c r="A206" s="3" t="s">
        <v>28</v>
      </c>
      <c r="B206" s="3" t="s">
        <v>41</v>
      </c>
      <c r="C206" s="3" t="s">
        <v>42</v>
      </c>
      <c r="D206" s="3" t="s">
        <v>40</v>
      </c>
      <c r="E206" s="3" t="s">
        <v>25</v>
      </c>
      <c r="F206" s="3" t="s">
        <v>25</v>
      </c>
      <c r="G206" s="3" t="s">
        <v>25</v>
      </c>
      <c r="H206" s="3" t="s">
        <v>35</v>
      </c>
      <c r="I206" s="6">
        <v>44470</v>
      </c>
      <c r="J206" s="4">
        <v>100</v>
      </c>
      <c r="K206" s="4">
        <v>100</v>
      </c>
      <c r="L206" s="4">
        <v>1.302</v>
      </c>
      <c r="M206" s="4">
        <v>1.302</v>
      </c>
      <c r="N206" s="4">
        <v>1.302</v>
      </c>
      <c r="O206" s="4">
        <v>1.302</v>
      </c>
      <c r="P206" s="4">
        <v>0</v>
      </c>
      <c r="Q206" s="3" t="s">
        <v>26</v>
      </c>
      <c r="R206" s="3">
        <v>0</v>
      </c>
      <c r="S206" s="4">
        <v>92</v>
      </c>
      <c r="T206" s="4">
        <v>94</v>
      </c>
      <c r="U206" s="4">
        <v>47</v>
      </c>
      <c r="V206" s="4">
        <f>IF(ISERROR(VLOOKUP($S$206,'TAR FIN'!$A$1:$O$99,15,0)),0,VLOOKUP($S$206,'TAR FIN'!$A$1:$O$99,15,0))</f>
        <v>26.46</v>
      </c>
      <c r="W206" s="4">
        <f>IF(ISERROR(VLOOKUP($T$206,'TAR FIN'!$A$1:$O$99,15,0)),0,VLOOKUP($T$206,'TAR FIN'!$A$1:$O$99,15,0))</f>
        <v>65.13</v>
      </c>
      <c r="X206" s="4">
        <f>IF(ISERROR(VLOOKUP($U$206,'TAR FIN'!$A$1:$O$99,15,0)),0,VLOOKUP($U$206,'TAR FIN'!$A$1:$O$99,15,0))</f>
        <v>346.61</v>
      </c>
      <c r="Y206" s="4">
        <f ca="1">('TUSD BE'!$AM$5+'TUSD BF'!$AM$5+'TUSD CVA'!$AM$5)*1</f>
        <v>30.337295464550692</v>
      </c>
      <c r="Z206" s="4">
        <f ca="1">('TUSD BE'!$AM$7+'TUSD BF'!$AM$7+'TUSD CVA'!$AM$7)*1</f>
        <v>76.243476502957677</v>
      </c>
      <c r="AA206" s="4">
        <f>('TE BE'!$AA$5+'TE BF'!$AA$5+'TE CVA'!$AA$5)*1</f>
        <v>423.89652505413846</v>
      </c>
      <c r="AB206" s="4">
        <f>$K$206*$V$206</f>
        <v>2646</v>
      </c>
      <c r="AC206" s="4">
        <f>$M$206*$W$206</f>
        <v>84.799260000000004</v>
      </c>
      <c r="AD206" s="4">
        <f>$O$206*$X$206</f>
        <v>451.28622000000001</v>
      </c>
      <c r="AE206" s="4">
        <f ca="1">$K$206*$Y$206</f>
        <v>3033.7295464550693</v>
      </c>
      <c r="AF206" s="4">
        <f ca="1">$M$206*$Z$206</f>
        <v>99.269006406850892</v>
      </c>
      <c r="AG206" s="4">
        <f>$O$206*$AA$206</f>
        <v>551.91327562048832</v>
      </c>
    </row>
    <row r="207" spans="1:33" ht="11.25" customHeight="1" x14ac:dyDescent="0.25">
      <c r="A207" s="3" t="s">
        <v>21</v>
      </c>
      <c r="B207" s="3" t="s">
        <v>41</v>
      </c>
      <c r="C207" s="3" t="s">
        <v>42</v>
      </c>
      <c r="D207" s="3" t="s">
        <v>40</v>
      </c>
      <c r="E207" s="3" t="s">
        <v>25</v>
      </c>
      <c r="F207" s="3" t="s">
        <v>25</v>
      </c>
      <c r="G207" s="3" t="s">
        <v>25</v>
      </c>
      <c r="H207" s="3" t="s">
        <v>35</v>
      </c>
      <c r="I207" s="6">
        <v>44470</v>
      </c>
      <c r="J207" s="4">
        <v>44686</v>
      </c>
      <c r="K207" s="4">
        <v>44686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3" t="s">
        <v>57</v>
      </c>
      <c r="R207" s="3">
        <v>0</v>
      </c>
      <c r="S207" s="4">
        <v>92</v>
      </c>
      <c r="T207" s="4">
        <v>0</v>
      </c>
      <c r="U207" s="4">
        <v>0</v>
      </c>
      <c r="V207" s="4">
        <f>IF(ISERROR(VLOOKUP($S$207,'TAR FIN'!$A$1:$O$99,15,0)),0,VLOOKUP($S$207,'TAR FIN'!$A$1:$O$99,15,0))</f>
        <v>26.46</v>
      </c>
      <c r="W207" s="4">
        <f>IF(ISERROR(VLOOKUP($T$207,'TAR FIN'!$A$1:$O$99,15,0)),0,VLOOKUP($T$207,'TAR FIN'!$A$1:$O$99,15,0))</f>
        <v>0</v>
      </c>
      <c r="X207" s="4">
        <f>IF(ISERROR(VLOOKUP($U$207,'TAR FIN'!$A$1:$O$99,15,0)),0,VLOOKUP($U$207,'TAR FIN'!$A$1:$O$99,15,0))</f>
        <v>0</v>
      </c>
      <c r="Y207" s="4">
        <f ca="1">('TUSD BE'!$AM$5+'TUSD BF'!$AM$5+'TUSD CVA'!$AM$5)*1</f>
        <v>30.337295464550692</v>
      </c>
      <c r="Z207" s="4">
        <f ca="1">('TUSD BE'!$AM$7+'TUSD BF'!$AM$7+'TUSD CVA'!$AM$7)*1</f>
        <v>76.243476502957677</v>
      </c>
      <c r="AA207" s="4"/>
      <c r="AB207" s="4">
        <f>$K$207*$V$207</f>
        <v>1182391.56</v>
      </c>
      <c r="AC207" s="4">
        <f>$M$207*$W$207</f>
        <v>0</v>
      </c>
      <c r="AD207" s="4">
        <f>$O$207*$X$207</f>
        <v>0</v>
      </c>
      <c r="AE207" s="4">
        <f ca="1">$K$207*$Y$207</f>
        <v>1355652.3851289123</v>
      </c>
      <c r="AF207" s="4">
        <f ca="1">$M$207*$Z$207</f>
        <v>0</v>
      </c>
      <c r="AG207" s="4">
        <f>$O$207*$AA$207</f>
        <v>0</v>
      </c>
    </row>
    <row r="208" spans="1:33" ht="11.25" customHeight="1" x14ac:dyDescent="0.25">
      <c r="A208" s="3" t="s">
        <v>21</v>
      </c>
      <c r="B208" s="3" t="s">
        <v>41</v>
      </c>
      <c r="C208" s="3" t="s">
        <v>42</v>
      </c>
      <c r="D208" s="3" t="s">
        <v>40</v>
      </c>
      <c r="E208" s="3" t="s">
        <v>25</v>
      </c>
      <c r="F208" s="3" t="s">
        <v>25</v>
      </c>
      <c r="G208" s="3" t="s">
        <v>25</v>
      </c>
      <c r="H208" s="3" t="s">
        <v>35</v>
      </c>
      <c r="I208" s="6">
        <v>44501</v>
      </c>
      <c r="J208" s="4">
        <v>5369</v>
      </c>
      <c r="K208" s="4">
        <v>5369</v>
      </c>
      <c r="L208" s="4">
        <v>24.448</v>
      </c>
      <c r="M208" s="4">
        <v>24.448</v>
      </c>
      <c r="N208" s="4">
        <v>24.448</v>
      </c>
      <c r="O208" s="4">
        <v>24.448</v>
      </c>
      <c r="P208" s="4">
        <v>0</v>
      </c>
      <c r="Q208" s="3" t="s">
        <v>26</v>
      </c>
      <c r="R208" s="3">
        <v>0</v>
      </c>
      <c r="S208" s="4">
        <v>92</v>
      </c>
      <c r="T208" s="4">
        <v>94</v>
      </c>
      <c r="U208" s="4">
        <v>47</v>
      </c>
      <c r="V208" s="4">
        <f>IF(ISERROR(VLOOKUP($S$208,'TAR FIN'!$A$1:$O$99,15,0)),0,VLOOKUP($S$208,'TAR FIN'!$A$1:$O$99,15,0))</f>
        <v>26.46</v>
      </c>
      <c r="W208" s="4">
        <f>IF(ISERROR(VLOOKUP($T$208,'TAR FIN'!$A$1:$O$99,15,0)),0,VLOOKUP($T$208,'TAR FIN'!$A$1:$O$99,15,0))</f>
        <v>65.13</v>
      </c>
      <c r="X208" s="4">
        <f>IF(ISERROR(VLOOKUP($U$208,'TAR FIN'!$A$1:$O$99,15,0)),0,VLOOKUP($U$208,'TAR FIN'!$A$1:$O$99,15,0))</f>
        <v>346.61</v>
      </c>
      <c r="Y208" s="4">
        <f ca="1">('TUSD BE'!$AM$5+'TUSD BF'!$AM$5+'TUSD CVA'!$AM$5)*1</f>
        <v>30.337295464550692</v>
      </c>
      <c r="Z208" s="4">
        <f ca="1">('TUSD BE'!$AM$7+'TUSD BF'!$AM$7+'TUSD CVA'!$AM$7)*1</f>
        <v>76.243476502957677</v>
      </c>
      <c r="AA208" s="4">
        <f>('TE BE'!$AA$5+'TE BF'!$AA$5+'TE CVA'!$AA$5)*1</f>
        <v>423.89652505413846</v>
      </c>
      <c r="AB208" s="4">
        <f>$K$208*$V$208</f>
        <v>142063.74</v>
      </c>
      <c r="AC208" s="4">
        <f>$M$208*$W$208</f>
        <v>1592.2982399999999</v>
      </c>
      <c r="AD208" s="4">
        <f>$O$208*$X$208</f>
        <v>8473.9212800000005</v>
      </c>
      <c r="AE208" s="4">
        <f ca="1">$K$208*$Y$208</f>
        <v>162880.93934917267</v>
      </c>
      <c r="AF208" s="4">
        <f ca="1">$M$208*$Z$208</f>
        <v>1864.0005135443093</v>
      </c>
      <c r="AG208" s="4">
        <f>$O$208*$AA$208</f>
        <v>10363.422244523577</v>
      </c>
    </row>
    <row r="209" spans="1:33" ht="11.25" customHeight="1" x14ac:dyDescent="0.25">
      <c r="A209" s="3" t="s">
        <v>27</v>
      </c>
      <c r="B209" s="3" t="s">
        <v>41</v>
      </c>
      <c r="C209" s="3" t="s">
        <v>42</v>
      </c>
      <c r="D209" s="3" t="s">
        <v>40</v>
      </c>
      <c r="E209" s="3" t="s">
        <v>25</v>
      </c>
      <c r="F209" s="3" t="s">
        <v>25</v>
      </c>
      <c r="G209" s="3" t="s">
        <v>25</v>
      </c>
      <c r="H209" s="3" t="s">
        <v>35</v>
      </c>
      <c r="I209" s="6">
        <v>44501</v>
      </c>
      <c r="J209" s="4">
        <v>0</v>
      </c>
      <c r="K209" s="4">
        <v>0</v>
      </c>
      <c r="L209" s="4">
        <v>-0.48799999999999999</v>
      </c>
      <c r="M209" s="4">
        <v>-0.48799999999999999</v>
      </c>
      <c r="N209" s="4">
        <v>-0.48799999999999999</v>
      </c>
      <c r="O209" s="4">
        <v>-0.48799999999999999</v>
      </c>
      <c r="P209" s="4">
        <v>0</v>
      </c>
      <c r="Q209" s="3" t="s">
        <v>26</v>
      </c>
      <c r="R209" s="3">
        <v>0</v>
      </c>
      <c r="S209" s="4">
        <v>0</v>
      </c>
      <c r="T209" s="4">
        <v>94</v>
      </c>
      <c r="U209" s="4">
        <v>47</v>
      </c>
      <c r="V209" s="4">
        <f>IF(ISERROR(VLOOKUP($S$209,'TAR FIN'!$A$1:$O$99,15,0)),0,VLOOKUP($S$209,'TAR FIN'!$A$1:$O$99,15,0))</f>
        <v>0</v>
      </c>
      <c r="W209" s="4">
        <f>IF(ISERROR(VLOOKUP($T$209,'TAR FIN'!$A$1:$O$99,15,0)),0,VLOOKUP($T$209,'TAR FIN'!$A$1:$O$99,15,0))</f>
        <v>65.13</v>
      </c>
      <c r="X209" s="4">
        <f>IF(ISERROR(VLOOKUP($U$209,'TAR FIN'!$A$1:$O$99,15,0)),0,VLOOKUP($U$209,'TAR FIN'!$A$1:$O$99,15,0))</f>
        <v>346.61</v>
      </c>
      <c r="Y209" s="4">
        <f ca="1">('TUSD BE'!$AM$5+'TUSD BF'!$AM$5+'TUSD CVA'!$AM$5)*1</f>
        <v>30.337295464550692</v>
      </c>
      <c r="Z209" s="4">
        <f ca="1">('TUSD BE'!$AM$7+'TUSD BF'!$AM$7+'TUSD CVA'!$AM$7)*1</f>
        <v>76.243476502957677</v>
      </c>
      <c r="AA209" s="4">
        <f>('TE BE'!$AA$5+'TE BF'!$AA$5+'TE CVA'!$AA$5)*1</f>
        <v>423.89652505413846</v>
      </c>
      <c r="AB209" s="4">
        <f>$K$209*$V$209</f>
        <v>0</v>
      </c>
      <c r="AC209" s="4">
        <f>$M$209*$W$209</f>
        <v>-31.783439999999999</v>
      </c>
      <c r="AD209" s="4">
        <f>$O$209*$X$209</f>
        <v>-169.14568</v>
      </c>
      <c r="AE209" s="4">
        <f ca="1">$K$209*$Y$209</f>
        <v>0</v>
      </c>
      <c r="AF209" s="4">
        <f ca="1">$M$209*$Z$209</f>
        <v>-37.206816533443344</v>
      </c>
      <c r="AG209" s="4">
        <f>$O$209*$AA$209</f>
        <v>-206.86150422641956</v>
      </c>
    </row>
    <row r="210" spans="1:33" ht="11.25" customHeight="1" x14ac:dyDescent="0.25">
      <c r="A210" s="3" t="s">
        <v>28</v>
      </c>
      <c r="B210" s="3" t="s">
        <v>41</v>
      </c>
      <c r="C210" s="3" t="s">
        <v>42</v>
      </c>
      <c r="D210" s="3" t="s">
        <v>40</v>
      </c>
      <c r="E210" s="3" t="s">
        <v>25</v>
      </c>
      <c r="F210" s="3" t="s">
        <v>25</v>
      </c>
      <c r="G210" s="3" t="s">
        <v>25</v>
      </c>
      <c r="H210" s="3" t="s">
        <v>35</v>
      </c>
      <c r="I210" s="6">
        <v>44501</v>
      </c>
      <c r="J210" s="4">
        <v>100</v>
      </c>
      <c r="K210" s="4">
        <v>100</v>
      </c>
      <c r="L210" s="4">
        <v>2.1</v>
      </c>
      <c r="M210" s="4">
        <v>2.1</v>
      </c>
      <c r="N210" s="4">
        <v>2.1</v>
      </c>
      <c r="O210" s="4">
        <v>2.1</v>
      </c>
      <c r="P210" s="4">
        <v>0</v>
      </c>
      <c r="Q210" s="3" t="s">
        <v>26</v>
      </c>
      <c r="R210" s="3">
        <v>0</v>
      </c>
      <c r="S210" s="4">
        <v>92</v>
      </c>
      <c r="T210" s="4">
        <v>94</v>
      </c>
      <c r="U210" s="4">
        <v>47</v>
      </c>
      <c r="V210" s="4">
        <f>IF(ISERROR(VLOOKUP($S$210,'TAR FIN'!$A$1:$O$99,15,0)),0,VLOOKUP($S$210,'TAR FIN'!$A$1:$O$99,15,0))</f>
        <v>26.46</v>
      </c>
      <c r="W210" s="4">
        <f>IF(ISERROR(VLOOKUP($T$210,'TAR FIN'!$A$1:$O$99,15,0)),0,VLOOKUP($T$210,'TAR FIN'!$A$1:$O$99,15,0))</f>
        <v>65.13</v>
      </c>
      <c r="X210" s="4">
        <f>IF(ISERROR(VLOOKUP($U$210,'TAR FIN'!$A$1:$O$99,15,0)),0,VLOOKUP($U$210,'TAR FIN'!$A$1:$O$99,15,0))</f>
        <v>346.61</v>
      </c>
      <c r="Y210" s="4">
        <f ca="1">('TUSD BE'!$AM$5+'TUSD BF'!$AM$5+'TUSD CVA'!$AM$5)*1</f>
        <v>30.337295464550692</v>
      </c>
      <c r="Z210" s="4">
        <f ca="1">('TUSD BE'!$AM$7+'TUSD BF'!$AM$7+'TUSD CVA'!$AM$7)*1</f>
        <v>76.243476502957677</v>
      </c>
      <c r="AA210" s="4">
        <f>('TE BE'!$AA$5+'TE BF'!$AA$5+'TE CVA'!$AA$5)*1</f>
        <v>423.89652505413846</v>
      </c>
      <c r="AB210" s="4">
        <f>$K$210*$V$210</f>
        <v>2646</v>
      </c>
      <c r="AC210" s="4">
        <f>$M$210*$W$210</f>
        <v>136.773</v>
      </c>
      <c r="AD210" s="4">
        <f>$O$210*$X$210</f>
        <v>727.88100000000009</v>
      </c>
      <c r="AE210" s="4">
        <f ca="1">$K$210*$Y$210</f>
        <v>3033.7295464550693</v>
      </c>
      <c r="AF210" s="4">
        <f ca="1">$M$210*$Z$210</f>
        <v>160.11130065621111</v>
      </c>
      <c r="AG210" s="4">
        <f>$O$210*$AA$210</f>
        <v>890.18270261369082</v>
      </c>
    </row>
    <row r="211" spans="1:33" ht="11.25" customHeight="1" x14ac:dyDescent="0.25">
      <c r="A211" s="3" t="s">
        <v>21</v>
      </c>
      <c r="B211" s="3" t="s">
        <v>41</v>
      </c>
      <c r="C211" s="3" t="s">
        <v>42</v>
      </c>
      <c r="D211" s="3" t="s">
        <v>40</v>
      </c>
      <c r="E211" s="3" t="s">
        <v>25</v>
      </c>
      <c r="F211" s="3" t="s">
        <v>25</v>
      </c>
      <c r="G211" s="3" t="s">
        <v>25</v>
      </c>
      <c r="H211" s="3" t="s">
        <v>35</v>
      </c>
      <c r="I211" s="6">
        <v>44501</v>
      </c>
      <c r="J211" s="4">
        <v>44748</v>
      </c>
      <c r="K211" s="4">
        <v>44748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3" t="s">
        <v>57</v>
      </c>
      <c r="R211" s="3">
        <v>0</v>
      </c>
      <c r="S211" s="4">
        <v>92</v>
      </c>
      <c r="T211" s="4">
        <v>0</v>
      </c>
      <c r="U211" s="4">
        <v>0</v>
      </c>
      <c r="V211" s="4">
        <f>IF(ISERROR(VLOOKUP($S$211,'TAR FIN'!$A$1:$O$99,15,0)),0,VLOOKUP($S$211,'TAR FIN'!$A$1:$O$99,15,0))</f>
        <v>26.46</v>
      </c>
      <c r="W211" s="4">
        <f>IF(ISERROR(VLOOKUP($T$211,'TAR FIN'!$A$1:$O$99,15,0)),0,VLOOKUP($T$211,'TAR FIN'!$A$1:$O$99,15,0))</f>
        <v>0</v>
      </c>
      <c r="X211" s="4">
        <f>IF(ISERROR(VLOOKUP($U$211,'TAR FIN'!$A$1:$O$99,15,0)),0,VLOOKUP($U$211,'TAR FIN'!$A$1:$O$99,15,0))</f>
        <v>0</v>
      </c>
      <c r="Y211" s="4">
        <f ca="1">('TUSD BE'!$AM$5+'TUSD BF'!$AM$5+'TUSD CVA'!$AM$5)*1</f>
        <v>30.337295464550692</v>
      </c>
      <c r="Z211" s="4">
        <f ca="1">('TUSD BE'!$AM$7+'TUSD BF'!$AM$7+'TUSD CVA'!$AM$7)*1</f>
        <v>76.243476502957677</v>
      </c>
      <c r="AA211" s="4"/>
      <c r="AB211" s="4">
        <f>$K$211*$V$211</f>
        <v>1184032.08</v>
      </c>
      <c r="AC211" s="4">
        <f>$M$211*$W$211</f>
        <v>0</v>
      </c>
      <c r="AD211" s="4">
        <f>$O$211*$X$211</f>
        <v>0</v>
      </c>
      <c r="AE211" s="4">
        <f ca="1">$K$211*$Y$211</f>
        <v>1357533.2974477145</v>
      </c>
      <c r="AF211" s="4">
        <f ca="1">$M$211*$Z$211</f>
        <v>0</v>
      </c>
      <c r="AG211" s="4">
        <f>$O$211*$AA$211</f>
        <v>0</v>
      </c>
    </row>
    <row r="212" spans="1:33" ht="11.25" customHeight="1" x14ac:dyDescent="0.25">
      <c r="A212" s="3" t="s">
        <v>21</v>
      </c>
      <c r="B212" s="3" t="s">
        <v>41</v>
      </c>
      <c r="C212" s="3" t="s">
        <v>42</v>
      </c>
      <c r="D212" s="3" t="s">
        <v>40</v>
      </c>
      <c r="E212" s="3" t="s">
        <v>25</v>
      </c>
      <c r="F212" s="3" t="s">
        <v>25</v>
      </c>
      <c r="G212" s="3" t="s">
        <v>25</v>
      </c>
      <c r="H212" s="3" t="s">
        <v>35</v>
      </c>
      <c r="I212" s="6">
        <v>44531</v>
      </c>
      <c r="J212" s="4">
        <v>5582</v>
      </c>
      <c r="K212" s="4">
        <v>5582</v>
      </c>
      <c r="L212" s="4">
        <v>31.149000000000001</v>
      </c>
      <c r="M212" s="4">
        <v>31.149000000000001</v>
      </c>
      <c r="N212" s="4">
        <v>31.149000000000001</v>
      </c>
      <c r="O212" s="4">
        <v>31.149000000000001</v>
      </c>
      <c r="P212" s="4">
        <v>0</v>
      </c>
      <c r="Q212" s="3" t="s">
        <v>26</v>
      </c>
      <c r="R212" s="3">
        <v>0</v>
      </c>
      <c r="S212" s="4">
        <v>92</v>
      </c>
      <c r="T212" s="4">
        <v>94</v>
      </c>
      <c r="U212" s="4">
        <v>47</v>
      </c>
      <c r="V212" s="4">
        <f>IF(ISERROR(VLOOKUP($S$212,'TAR FIN'!$A$1:$O$99,15,0)),0,VLOOKUP($S$212,'TAR FIN'!$A$1:$O$99,15,0))</f>
        <v>26.46</v>
      </c>
      <c r="W212" s="4">
        <f>IF(ISERROR(VLOOKUP($T$212,'TAR FIN'!$A$1:$O$99,15,0)),0,VLOOKUP($T$212,'TAR FIN'!$A$1:$O$99,15,0))</f>
        <v>65.13</v>
      </c>
      <c r="X212" s="4">
        <f>IF(ISERROR(VLOOKUP($U$212,'TAR FIN'!$A$1:$O$99,15,0)),0,VLOOKUP($U$212,'TAR FIN'!$A$1:$O$99,15,0))</f>
        <v>346.61</v>
      </c>
      <c r="Y212" s="4">
        <f ca="1">('TUSD BE'!$AM$5+'TUSD BF'!$AM$5+'TUSD CVA'!$AM$5)*1</f>
        <v>30.337295464550692</v>
      </c>
      <c r="Z212" s="4">
        <f ca="1">('TUSD BE'!$AM$7+'TUSD BF'!$AM$7+'TUSD CVA'!$AM$7)*1</f>
        <v>76.243476502957677</v>
      </c>
      <c r="AA212" s="4">
        <f>('TE BE'!$AA$5+'TE BF'!$AA$5+'TE CVA'!$AA$5)*1</f>
        <v>423.89652505413846</v>
      </c>
      <c r="AB212" s="4">
        <f>$K$212*$V$212</f>
        <v>147699.72</v>
      </c>
      <c r="AC212" s="4">
        <f>$M$212*$W$212</f>
        <v>2028.7343699999999</v>
      </c>
      <c r="AD212" s="4">
        <f>$O$212*$X$212</f>
        <v>10796.554890000001</v>
      </c>
      <c r="AE212" s="4">
        <f ca="1">$K$212*$Y$212</f>
        <v>169342.78328312197</v>
      </c>
      <c r="AF212" s="4">
        <f ca="1">$M$212*$Z$212</f>
        <v>2374.9080495906287</v>
      </c>
      <c r="AG212" s="4">
        <f>$O$212*$AA$212</f>
        <v>13203.95285891136</v>
      </c>
    </row>
    <row r="213" spans="1:33" ht="11.25" customHeight="1" x14ac:dyDescent="0.25">
      <c r="A213" s="3" t="s">
        <v>28</v>
      </c>
      <c r="B213" s="3" t="s">
        <v>41</v>
      </c>
      <c r="C213" s="3" t="s">
        <v>42</v>
      </c>
      <c r="D213" s="3" t="s">
        <v>40</v>
      </c>
      <c r="E213" s="3" t="s">
        <v>25</v>
      </c>
      <c r="F213" s="3" t="s">
        <v>25</v>
      </c>
      <c r="G213" s="3" t="s">
        <v>25</v>
      </c>
      <c r="H213" s="3" t="s">
        <v>35</v>
      </c>
      <c r="I213" s="6">
        <v>44531</v>
      </c>
      <c r="J213" s="4">
        <v>100</v>
      </c>
      <c r="K213" s="4">
        <v>100</v>
      </c>
      <c r="L213" s="4">
        <v>6.2E-2</v>
      </c>
      <c r="M213" s="4">
        <v>6.2E-2</v>
      </c>
      <c r="N213" s="4">
        <v>6.2E-2</v>
      </c>
      <c r="O213" s="4">
        <v>6.2E-2</v>
      </c>
      <c r="P213" s="4">
        <v>0</v>
      </c>
      <c r="Q213" s="3" t="s">
        <v>26</v>
      </c>
      <c r="R213" s="3">
        <v>0</v>
      </c>
      <c r="S213" s="4">
        <v>92</v>
      </c>
      <c r="T213" s="4">
        <v>94</v>
      </c>
      <c r="U213" s="4">
        <v>47</v>
      </c>
      <c r="V213" s="4">
        <f>IF(ISERROR(VLOOKUP($S$213,'TAR FIN'!$A$1:$O$99,15,0)),0,VLOOKUP($S$213,'TAR FIN'!$A$1:$O$99,15,0))</f>
        <v>26.46</v>
      </c>
      <c r="W213" s="4">
        <f>IF(ISERROR(VLOOKUP($T$213,'TAR FIN'!$A$1:$O$99,15,0)),0,VLOOKUP($T$213,'TAR FIN'!$A$1:$O$99,15,0))</f>
        <v>65.13</v>
      </c>
      <c r="X213" s="4">
        <f>IF(ISERROR(VLOOKUP($U$213,'TAR FIN'!$A$1:$O$99,15,0)),0,VLOOKUP($U$213,'TAR FIN'!$A$1:$O$99,15,0))</f>
        <v>346.61</v>
      </c>
      <c r="Y213" s="4">
        <f ca="1">('TUSD BE'!$AM$5+'TUSD BF'!$AM$5+'TUSD CVA'!$AM$5)*1</f>
        <v>30.337295464550692</v>
      </c>
      <c r="Z213" s="4">
        <f ca="1">('TUSD BE'!$AM$7+'TUSD BF'!$AM$7+'TUSD CVA'!$AM$7)*1</f>
        <v>76.243476502957677</v>
      </c>
      <c r="AA213" s="4">
        <f>('TE BE'!$AA$5+'TE BF'!$AA$5+'TE CVA'!$AA$5)*1</f>
        <v>423.89652505413846</v>
      </c>
      <c r="AB213" s="4">
        <f>$K$213*$V$213</f>
        <v>2646</v>
      </c>
      <c r="AC213" s="4">
        <f>$M$213*$W$213</f>
        <v>4.0380599999999998</v>
      </c>
      <c r="AD213" s="4">
        <f>$O$213*$X$213</f>
        <v>21.489820000000002</v>
      </c>
      <c r="AE213" s="4">
        <f ca="1">$K$213*$Y$213</f>
        <v>3033.7295464550693</v>
      </c>
      <c r="AF213" s="4">
        <f ca="1">$M$213*$Z$213</f>
        <v>4.7270955431833759</v>
      </c>
      <c r="AG213" s="4">
        <f>$O$213*$AA$213</f>
        <v>26.281584553356584</v>
      </c>
    </row>
    <row r="214" spans="1:33" ht="11.25" customHeight="1" x14ac:dyDescent="0.25">
      <c r="A214" s="3" t="s">
        <v>21</v>
      </c>
      <c r="B214" s="3" t="s">
        <v>41</v>
      </c>
      <c r="C214" s="3" t="s">
        <v>42</v>
      </c>
      <c r="D214" s="3" t="s">
        <v>40</v>
      </c>
      <c r="E214" s="3" t="s">
        <v>25</v>
      </c>
      <c r="F214" s="3" t="s">
        <v>25</v>
      </c>
      <c r="G214" s="3" t="s">
        <v>25</v>
      </c>
      <c r="H214" s="3" t="s">
        <v>35</v>
      </c>
      <c r="I214" s="6">
        <v>44531</v>
      </c>
      <c r="J214" s="4">
        <v>44804</v>
      </c>
      <c r="K214" s="4">
        <v>44804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3" t="s">
        <v>57</v>
      </c>
      <c r="R214" s="3">
        <v>0</v>
      </c>
      <c r="S214" s="4">
        <v>92</v>
      </c>
      <c r="T214" s="4">
        <v>0</v>
      </c>
      <c r="U214" s="4">
        <v>0</v>
      </c>
      <c r="V214" s="4">
        <f>IF(ISERROR(VLOOKUP($S$214,'TAR FIN'!$A$1:$O$99,15,0)),0,VLOOKUP($S$214,'TAR FIN'!$A$1:$O$99,15,0))</f>
        <v>26.46</v>
      </c>
      <c r="W214" s="4">
        <f>IF(ISERROR(VLOOKUP($T$214,'TAR FIN'!$A$1:$O$99,15,0)),0,VLOOKUP($T$214,'TAR FIN'!$A$1:$O$99,15,0))</f>
        <v>0</v>
      </c>
      <c r="X214" s="4">
        <f>IF(ISERROR(VLOOKUP($U$214,'TAR FIN'!$A$1:$O$99,15,0)),0,VLOOKUP($U$214,'TAR FIN'!$A$1:$O$99,15,0))</f>
        <v>0</v>
      </c>
      <c r="Y214" s="4">
        <f ca="1">('TUSD BE'!$AM$5+'TUSD BF'!$AM$5+'TUSD CVA'!$AM$5)*1</f>
        <v>30.337295464550692</v>
      </c>
      <c r="Z214" s="4">
        <f ca="1">('TUSD BE'!$AM$7+'TUSD BF'!$AM$7+'TUSD CVA'!$AM$7)*1</f>
        <v>76.243476502957677</v>
      </c>
      <c r="AA214" s="4"/>
      <c r="AB214" s="4">
        <f>$K$214*$V$214</f>
        <v>1185513.8400000001</v>
      </c>
      <c r="AC214" s="4">
        <f>$M$214*$W$214</f>
        <v>0</v>
      </c>
      <c r="AD214" s="4">
        <f>$O$214*$X$214</f>
        <v>0</v>
      </c>
      <c r="AE214" s="4">
        <f ca="1">$K$214*$Y$214</f>
        <v>1359232.1859937292</v>
      </c>
      <c r="AF214" s="4">
        <f ca="1">$M$214*$Z$214</f>
        <v>0</v>
      </c>
      <c r="AG214" s="4">
        <f>$O$214*$AA$214</f>
        <v>0</v>
      </c>
    </row>
    <row r="215" spans="1:33" ht="11.25" customHeight="1" x14ac:dyDescent="0.25">
      <c r="A215" s="3" t="s">
        <v>21</v>
      </c>
      <c r="B215" s="3" t="s">
        <v>41</v>
      </c>
      <c r="C215" s="3" t="s">
        <v>42</v>
      </c>
      <c r="D215" s="3" t="s">
        <v>40</v>
      </c>
      <c r="E215" s="3" t="s">
        <v>25</v>
      </c>
      <c r="F215" s="3" t="s">
        <v>25</v>
      </c>
      <c r="G215" s="3" t="s">
        <v>25</v>
      </c>
      <c r="H215" s="3" t="s">
        <v>35</v>
      </c>
      <c r="I215" s="6">
        <v>44562</v>
      </c>
      <c r="J215" s="4">
        <v>14292</v>
      </c>
      <c r="K215" s="4">
        <v>14292</v>
      </c>
      <c r="L215" s="4">
        <v>18.780999999999999</v>
      </c>
      <c r="M215" s="4">
        <v>18.780999999999999</v>
      </c>
      <c r="N215" s="4">
        <v>18.780999999999999</v>
      </c>
      <c r="O215" s="4">
        <v>18.780999999999999</v>
      </c>
      <c r="P215" s="4">
        <v>0</v>
      </c>
      <c r="Q215" s="3" t="s">
        <v>26</v>
      </c>
      <c r="R215" s="3">
        <v>0</v>
      </c>
      <c r="S215" s="4">
        <v>92</v>
      </c>
      <c r="T215" s="4">
        <v>94</v>
      </c>
      <c r="U215" s="4">
        <v>47</v>
      </c>
      <c r="V215" s="4">
        <f>IF(ISERROR(VLOOKUP($S$215,'TAR FIN'!$A$1:$O$99,15,0)),0,VLOOKUP($S$215,'TAR FIN'!$A$1:$O$99,15,0))</f>
        <v>26.46</v>
      </c>
      <c r="W215" s="4">
        <f>IF(ISERROR(VLOOKUP($T$215,'TAR FIN'!$A$1:$O$99,15,0)),0,VLOOKUP($T$215,'TAR FIN'!$A$1:$O$99,15,0))</f>
        <v>65.13</v>
      </c>
      <c r="X215" s="4">
        <f>IF(ISERROR(VLOOKUP($U$215,'TAR FIN'!$A$1:$O$99,15,0)),0,VLOOKUP($U$215,'TAR FIN'!$A$1:$O$99,15,0))</f>
        <v>346.61</v>
      </c>
      <c r="Y215" s="4">
        <f ca="1">('TUSD BE'!$AM$5+'TUSD BF'!$AM$5+'TUSD CVA'!$AM$5)*1</f>
        <v>30.337295464550692</v>
      </c>
      <c r="Z215" s="4">
        <f ca="1">('TUSD BE'!$AM$7+'TUSD BF'!$AM$7+'TUSD CVA'!$AM$7)*1</f>
        <v>76.243476502957677</v>
      </c>
      <c r="AA215" s="4">
        <f>('TE BE'!$AA$5+'TE BF'!$AA$5+'TE CVA'!$AA$5)*1</f>
        <v>423.89652505413846</v>
      </c>
      <c r="AB215" s="4">
        <f>$K$215*$V$215</f>
        <v>378166.32</v>
      </c>
      <c r="AC215" s="4">
        <f>$M$215*$W$215</f>
        <v>1223.2065299999999</v>
      </c>
      <c r="AD215" s="4">
        <f>$O$215*$X$215</f>
        <v>6509.6824099999994</v>
      </c>
      <c r="AE215" s="4">
        <f ca="1">$K$215*$Y$215</f>
        <v>433580.62677935848</v>
      </c>
      <c r="AF215" s="4">
        <f ca="1">$M$215*$Z$215</f>
        <v>1431.928732202048</v>
      </c>
      <c r="AG215" s="4">
        <f>$O$215*$AA$215</f>
        <v>7961.2006370417739</v>
      </c>
    </row>
    <row r="216" spans="1:33" ht="11.25" customHeight="1" x14ac:dyDescent="0.25">
      <c r="A216" s="3" t="s">
        <v>28</v>
      </c>
      <c r="B216" s="3" t="s">
        <v>41</v>
      </c>
      <c r="C216" s="3" t="s">
        <v>42</v>
      </c>
      <c r="D216" s="3" t="s">
        <v>40</v>
      </c>
      <c r="E216" s="3" t="s">
        <v>25</v>
      </c>
      <c r="F216" s="3" t="s">
        <v>25</v>
      </c>
      <c r="G216" s="3" t="s">
        <v>25</v>
      </c>
      <c r="H216" s="3" t="s">
        <v>35</v>
      </c>
      <c r="I216" s="6">
        <v>44562</v>
      </c>
      <c r="J216" s="4">
        <v>100</v>
      </c>
      <c r="K216" s="4">
        <v>100</v>
      </c>
      <c r="L216" s="4">
        <v>1.464</v>
      </c>
      <c r="M216" s="4">
        <v>1.464</v>
      </c>
      <c r="N216" s="4">
        <v>1.464</v>
      </c>
      <c r="O216" s="4">
        <v>1.464</v>
      </c>
      <c r="P216" s="4">
        <v>0</v>
      </c>
      <c r="Q216" s="3" t="s">
        <v>26</v>
      </c>
      <c r="R216" s="3">
        <v>0</v>
      </c>
      <c r="S216" s="4">
        <v>92</v>
      </c>
      <c r="T216" s="4">
        <v>94</v>
      </c>
      <c r="U216" s="4">
        <v>47</v>
      </c>
      <c r="V216" s="4">
        <f>IF(ISERROR(VLOOKUP($S$216,'TAR FIN'!$A$1:$O$99,15,0)),0,VLOOKUP($S$216,'TAR FIN'!$A$1:$O$99,15,0))</f>
        <v>26.46</v>
      </c>
      <c r="W216" s="4">
        <f>IF(ISERROR(VLOOKUP($T$216,'TAR FIN'!$A$1:$O$99,15,0)),0,VLOOKUP($T$216,'TAR FIN'!$A$1:$O$99,15,0))</f>
        <v>65.13</v>
      </c>
      <c r="X216" s="4">
        <f>IF(ISERROR(VLOOKUP($U$216,'TAR FIN'!$A$1:$O$99,15,0)),0,VLOOKUP($U$216,'TAR FIN'!$A$1:$O$99,15,0))</f>
        <v>346.61</v>
      </c>
      <c r="Y216" s="4">
        <f ca="1">('TUSD BE'!$AM$5+'TUSD BF'!$AM$5+'TUSD CVA'!$AM$5)*1</f>
        <v>30.337295464550692</v>
      </c>
      <c r="Z216" s="4">
        <f ca="1">('TUSD BE'!$AM$7+'TUSD BF'!$AM$7+'TUSD CVA'!$AM$7)*1</f>
        <v>76.243476502957677</v>
      </c>
      <c r="AA216" s="4">
        <f>('TE BE'!$AA$5+'TE BF'!$AA$5+'TE CVA'!$AA$5)*1</f>
        <v>423.89652505413846</v>
      </c>
      <c r="AB216" s="4">
        <f>$K$216*$V$216</f>
        <v>2646</v>
      </c>
      <c r="AC216" s="4">
        <f>$M$216*$W$216</f>
        <v>95.350319999999996</v>
      </c>
      <c r="AD216" s="4">
        <f>$O$216*$X$216</f>
        <v>507.43704000000002</v>
      </c>
      <c r="AE216" s="4">
        <f ca="1">$K$216*$Y$216</f>
        <v>3033.7295464550693</v>
      </c>
      <c r="AF216" s="4">
        <f ca="1">$M$216*$Z$216</f>
        <v>111.62044960033003</v>
      </c>
      <c r="AG216" s="4">
        <f>$O$216*$AA$216</f>
        <v>620.58451267925875</v>
      </c>
    </row>
    <row r="217" spans="1:33" ht="11.25" customHeight="1" x14ac:dyDescent="0.25">
      <c r="A217" s="3" t="s">
        <v>21</v>
      </c>
      <c r="B217" s="3" t="s">
        <v>41</v>
      </c>
      <c r="C217" s="3" t="s">
        <v>42</v>
      </c>
      <c r="D217" s="3" t="s">
        <v>40</v>
      </c>
      <c r="E217" s="3" t="s">
        <v>25</v>
      </c>
      <c r="F217" s="3" t="s">
        <v>25</v>
      </c>
      <c r="G217" s="3" t="s">
        <v>25</v>
      </c>
      <c r="H217" s="3" t="s">
        <v>35</v>
      </c>
      <c r="I217" s="6">
        <v>44562</v>
      </c>
      <c r="J217" s="4">
        <v>44770</v>
      </c>
      <c r="K217" s="4">
        <v>44770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3" t="s">
        <v>57</v>
      </c>
      <c r="R217" s="3">
        <v>0</v>
      </c>
      <c r="S217" s="4">
        <v>92</v>
      </c>
      <c r="T217" s="4">
        <v>0</v>
      </c>
      <c r="U217" s="4">
        <v>0</v>
      </c>
      <c r="V217" s="4">
        <f>IF(ISERROR(VLOOKUP($S$217,'TAR FIN'!$A$1:$O$99,15,0)),0,VLOOKUP($S$217,'TAR FIN'!$A$1:$O$99,15,0))</f>
        <v>26.46</v>
      </c>
      <c r="W217" s="4">
        <f>IF(ISERROR(VLOOKUP($T$217,'TAR FIN'!$A$1:$O$99,15,0)),0,VLOOKUP($T$217,'TAR FIN'!$A$1:$O$99,15,0))</f>
        <v>0</v>
      </c>
      <c r="X217" s="4">
        <f>IF(ISERROR(VLOOKUP($U$217,'TAR FIN'!$A$1:$O$99,15,0)),0,VLOOKUP($U$217,'TAR FIN'!$A$1:$O$99,15,0))</f>
        <v>0</v>
      </c>
      <c r="Y217" s="4">
        <f ca="1">('TUSD BE'!$AM$5+'TUSD BF'!$AM$5+'TUSD CVA'!$AM$5)*1</f>
        <v>30.337295464550692</v>
      </c>
      <c r="Z217" s="4">
        <f ca="1">('TUSD BE'!$AM$7+'TUSD BF'!$AM$7+'TUSD CVA'!$AM$7)*1</f>
        <v>76.243476502957677</v>
      </c>
      <c r="AA217" s="4"/>
      <c r="AB217" s="4">
        <f>$K$217*$V$217</f>
        <v>1184614.2</v>
      </c>
      <c r="AC217" s="4">
        <f>$M$217*$W$217</f>
        <v>0</v>
      </c>
      <c r="AD217" s="4">
        <f>$O$217*$X$217</f>
        <v>0</v>
      </c>
      <c r="AE217" s="4">
        <f ca="1">$K$217*$Y$217</f>
        <v>1358200.7179479345</v>
      </c>
      <c r="AF217" s="4">
        <f ca="1">$M$217*$Z$217</f>
        <v>0</v>
      </c>
      <c r="AG217" s="4">
        <f>$O$217*$AA$217</f>
        <v>0</v>
      </c>
    </row>
    <row r="218" spans="1:33" ht="11.25" customHeight="1" x14ac:dyDescent="0.25">
      <c r="A218" s="3" t="s">
        <v>21</v>
      </c>
      <c r="B218" s="3" t="s">
        <v>41</v>
      </c>
      <c r="C218" s="3" t="s">
        <v>42</v>
      </c>
      <c r="D218" s="3" t="s">
        <v>40</v>
      </c>
      <c r="E218" s="3" t="s">
        <v>25</v>
      </c>
      <c r="F218" s="3" t="s">
        <v>25</v>
      </c>
      <c r="G218" s="3" t="s">
        <v>25</v>
      </c>
      <c r="H218" s="3" t="s">
        <v>35</v>
      </c>
      <c r="I218" s="6">
        <v>44593</v>
      </c>
      <c r="J218" s="4">
        <v>16969</v>
      </c>
      <c r="K218" s="4">
        <v>16969</v>
      </c>
      <c r="L218" s="4">
        <v>8.3040000000000003</v>
      </c>
      <c r="M218" s="4">
        <v>8.3040000000000003</v>
      </c>
      <c r="N218" s="4">
        <v>8.3040000000000003</v>
      </c>
      <c r="O218" s="4">
        <v>8.3040000000000003</v>
      </c>
      <c r="P218" s="4">
        <v>0</v>
      </c>
      <c r="Q218" s="3" t="s">
        <v>26</v>
      </c>
      <c r="R218" s="3">
        <v>0</v>
      </c>
      <c r="S218" s="4">
        <v>92</v>
      </c>
      <c r="T218" s="4">
        <v>94</v>
      </c>
      <c r="U218" s="4">
        <v>47</v>
      </c>
      <c r="V218" s="4">
        <f>IF(ISERROR(VLOOKUP($S$218,'TAR FIN'!$A$1:$O$99,15,0)),0,VLOOKUP($S$218,'TAR FIN'!$A$1:$O$99,15,0))</f>
        <v>26.46</v>
      </c>
      <c r="W218" s="4">
        <f>IF(ISERROR(VLOOKUP($T$218,'TAR FIN'!$A$1:$O$99,15,0)),0,VLOOKUP($T$218,'TAR FIN'!$A$1:$O$99,15,0))</f>
        <v>65.13</v>
      </c>
      <c r="X218" s="4">
        <f>IF(ISERROR(VLOOKUP($U$218,'TAR FIN'!$A$1:$O$99,15,0)),0,VLOOKUP($U$218,'TAR FIN'!$A$1:$O$99,15,0))</f>
        <v>346.61</v>
      </c>
      <c r="Y218" s="4">
        <f ca="1">('TUSD BE'!$AM$5+'TUSD BF'!$AM$5+'TUSD CVA'!$AM$5)*1</f>
        <v>30.337295464550692</v>
      </c>
      <c r="Z218" s="4">
        <f ca="1">('TUSD BE'!$AM$7+'TUSD BF'!$AM$7+'TUSD CVA'!$AM$7)*1</f>
        <v>76.243476502957677</v>
      </c>
      <c r="AA218" s="4">
        <f>('TE BE'!$AA$5+'TE BF'!$AA$5+'TE CVA'!$AA$5)*1</f>
        <v>423.89652505413846</v>
      </c>
      <c r="AB218" s="4">
        <f>$K$218*$V$218</f>
        <v>448999.74</v>
      </c>
      <c r="AC218" s="4">
        <f>$M$218*$W$218</f>
        <v>540.83951999999999</v>
      </c>
      <c r="AD218" s="4">
        <f>$O$218*$X$218</f>
        <v>2878.24944</v>
      </c>
      <c r="AE218" s="4">
        <f ca="1">$K$218*$Y$218</f>
        <v>514793.56673796067</v>
      </c>
      <c r="AF218" s="4">
        <f ca="1">$M$218*$Z$218</f>
        <v>633.12582888056056</v>
      </c>
      <c r="AG218" s="4">
        <f>$O$218*$AA$218</f>
        <v>3520.0367440495661</v>
      </c>
    </row>
    <row r="219" spans="1:33" ht="11.25" customHeight="1" x14ac:dyDescent="0.25">
      <c r="A219" s="3" t="s">
        <v>27</v>
      </c>
      <c r="B219" s="3" t="s">
        <v>41</v>
      </c>
      <c r="C219" s="3" t="s">
        <v>42</v>
      </c>
      <c r="D219" s="3" t="s">
        <v>40</v>
      </c>
      <c r="E219" s="3" t="s">
        <v>25</v>
      </c>
      <c r="F219" s="3" t="s">
        <v>25</v>
      </c>
      <c r="G219" s="3" t="s">
        <v>25</v>
      </c>
      <c r="H219" s="3" t="s">
        <v>35</v>
      </c>
      <c r="I219" s="6">
        <v>44593</v>
      </c>
      <c r="J219" s="4">
        <v>-5736</v>
      </c>
      <c r="K219" s="4">
        <v>-5736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3" t="s">
        <v>26</v>
      </c>
      <c r="R219" s="3">
        <v>0</v>
      </c>
      <c r="S219" s="4">
        <v>92</v>
      </c>
      <c r="T219" s="4">
        <v>0</v>
      </c>
      <c r="U219" s="4">
        <v>0</v>
      </c>
      <c r="V219" s="4">
        <f>IF(ISERROR(VLOOKUP($S$219,'TAR FIN'!$A$1:$O$99,15,0)),0,VLOOKUP($S$219,'TAR FIN'!$A$1:$O$99,15,0))</f>
        <v>26.46</v>
      </c>
      <c r="W219" s="4">
        <f>IF(ISERROR(VLOOKUP($T$219,'TAR FIN'!$A$1:$O$99,15,0)),0,VLOOKUP($T$219,'TAR FIN'!$A$1:$O$99,15,0))</f>
        <v>0</v>
      </c>
      <c r="X219" s="4">
        <f>IF(ISERROR(VLOOKUP($U$219,'TAR FIN'!$A$1:$O$99,15,0)),0,VLOOKUP($U$219,'TAR FIN'!$A$1:$O$99,15,0))</f>
        <v>0</v>
      </c>
      <c r="Y219" s="4">
        <f ca="1">('TUSD BE'!$AM$5+'TUSD BF'!$AM$5+'TUSD CVA'!$AM$5)*1</f>
        <v>30.337295464550692</v>
      </c>
      <c r="Z219" s="4">
        <f ca="1">('TUSD BE'!$AM$7+'TUSD BF'!$AM$7+'TUSD CVA'!$AM$7)*1</f>
        <v>76.243476502957677</v>
      </c>
      <c r="AA219" s="4">
        <f>('TE BE'!$AA$5+'TE BF'!$AA$5+'TE CVA'!$AA$5)*1</f>
        <v>423.89652505413846</v>
      </c>
      <c r="AB219" s="4">
        <f>$K$219*$V$219</f>
        <v>-151774.56</v>
      </c>
      <c r="AC219" s="4">
        <f>$M$219*$W$219</f>
        <v>0</v>
      </c>
      <c r="AD219" s="4">
        <f>$O$219*$X$219</f>
        <v>0</v>
      </c>
      <c r="AE219" s="4">
        <f ca="1">$K$219*$Y$219</f>
        <v>-174014.72678466278</v>
      </c>
      <c r="AF219" s="4">
        <f ca="1">$M$219*$Z$219</f>
        <v>0</v>
      </c>
      <c r="AG219" s="4">
        <f>$O$219*$AA$219</f>
        <v>0</v>
      </c>
    </row>
    <row r="220" spans="1:33" ht="11.25" customHeight="1" x14ac:dyDescent="0.25">
      <c r="A220" s="3" t="s">
        <v>28</v>
      </c>
      <c r="B220" s="3" t="s">
        <v>41</v>
      </c>
      <c r="C220" s="3" t="s">
        <v>42</v>
      </c>
      <c r="D220" s="3" t="s">
        <v>40</v>
      </c>
      <c r="E220" s="3" t="s">
        <v>25</v>
      </c>
      <c r="F220" s="3" t="s">
        <v>25</v>
      </c>
      <c r="G220" s="3" t="s">
        <v>25</v>
      </c>
      <c r="H220" s="3" t="s">
        <v>35</v>
      </c>
      <c r="I220" s="6">
        <v>44593</v>
      </c>
      <c r="J220" s="4">
        <v>100</v>
      </c>
      <c r="K220" s="4">
        <v>100</v>
      </c>
      <c r="L220" s="4">
        <v>1.5129999999999999</v>
      </c>
      <c r="M220" s="4">
        <v>1.5129999999999999</v>
      </c>
      <c r="N220" s="4">
        <v>1.5129999999999999</v>
      </c>
      <c r="O220" s="4">
        <v>1.5129999999999999</v>
      </c>
      <c r="P220" s="4">
        <v>0</v>
      </c>
      <c r="Q220" s="3" t="s">
        <v>26</v>
      </c>
      <c r="R220" s="3">
        <v>0</v>
      </c>
      <c r="S220" s="4">
        <v>92</v>
      </c>
      <c r="T220" s="4">
        <v>94</v>
      </c>
      <c r="U220" s="4">
        <v>47</v>
      </c>
      <c r="V220" s="4">
        <f>IF(ISERROR(VLOOKUP($S$220,'TAR FIN'!$A$1:$O$99,15,0)),0,VLOOKUP($S$220,'TAR FIN'!$A$1:$O$99,15,0))</f>
        <v>26.46</v>
      </c>
      <c r="W220" s="4">
        <f>IF(ISERROR(VLOOKUP($T$220,'TAR FIN'!$A$1:$O$99,15,0)),0,VLOOKUP($T$220,'TAR FIN'!$A$1:$O$99,15,0))</f>
        <v>65.13</v>
      </c>
      <c r="X220" s="4">
        <f>IF(ISERROR(VLOOKUP($U$220,'TAR FIN'!$A$1:$O$99,15,0)),0,VLOOKUP($U$220,'TAR FIN'!$A$1:$O$99,15,0))</f>
        <v>346.61</v>
      </c>
      <c r="Y220" s="4">
        <f ca="1">('TUSD BE'!$AM$5+'TUSD BF'!$AM$5+'TUSD CVA'!$AM$5)*1</f>
        <v>30.337295464550692</v>
      </c>
      <c r="Z220" s="4">
        <f ca="1">('TUSD BE'!$AM$7+'TUSD BF'!$AM$7+'TUSD CVA'!$AM$7)*1</f>
        <v>76.243476502957677</v>
      </c>
      <c r="AA220" s="4">
        <f>('TE BE'!$AA$5+'TE BF'!$AA$5+'TE CVA'!$AA$5)*1</f>
        <v>423.89652505413846</v>
      </c>
      <c r="AB220" s="4">
        <f>$K$220*$V$220</f>
        <v>2646</v>
      </c>
      <c r="AC220" s="4">
        <f>$M$220*$W$220</f>
        <v>98.541689999999988</v>
      </c>
      <c r="AD220" s="4">
        <f>$O$220*$X$220</f>
        <v>524.42093</v>
      </c>
      <c r="AE220" s="4">
        <f ca="1">$K$220*$Y$220</f>
        <v>3033.7295464550693</v>
      </c>
      <c r="AF220" s="4">
        <f ca="1">$M$220*$Z$220</f>
        <v>115.35637994897496</v>
      </c>
      <c r="AG220" s="4">
        <f>$O$220*$AA$220</f>
        <v>641.35544240691149</v>
      </c>
    </row>
    <row r="221" spans="1:33" ht="11.25" customHeight="1" x14ac:dyDescent="0.25">
      <c r="A221" s="3" t="s">
        <v>21</v>
      </c>
      <c r="B221" s="3" t="s">
        <v>41</v>
      </c>
      <c r="C221" s="3" t="s">
        <v>42</v>
      </c>
      <c r="D221" s="3" t="s">
        <v>40</v>
      </c>
      <c r="E221" s="3" t="s">
        <v>25</v>
      </c>
      <c r="F221" s="3" t="s">
        <v>25</v>
      </c>
      <c r="G221" s="3" t="s">
        <v>25</v>
      </c>
      <c r="H221" s="3" t="s">
        <v>35</v>
      </c>
      <c r="I221" s="6">
        <v>44593</v>
      </c>
      <c r="J221" s="4">
        <v>24830</v>
      </c>
      <c r="K221" s="4">
        <v>24830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3" t="s">
        <v>57</v>
      </c>
      <c r="R221" s="3">
        <v>0</v>
      </c>
      <c r="S221" s="4">
        <v>92</v>
      </c>
      <c r="T221" s="4">
        <v>0</v>
      </c>
      <c r="U221" s="4">
        <v>0</v>
      </c>
      <c r="V221" s="4">
        <f>IF(ISERROR(VLOOKUP($S$221,'TAR FIN'!$A$1:$O$99,15,0)),0,VLOOKUP($S$221,'TAR FIN'!$A$1:$O$99,15,0))</f>
        <v>26.46</v>
      </c>
      <c r="W221" s="4">
        <f>IF(ISERROR(VLOOKUP($T$221,'TAR FIN'!$A$1:$O$99,15,0)),0,VLOOKUP($T$221,'TAR FIN'!$A$1:$O$99,15,0))</f>
        <v>0</v>
      </c>
      <c r="X221" s="4">
        <f>IF(ISERROR(VLOOKUP($U$221,'TAR FIN'!$A$1:$O$99,15,0)),0,VLOOKUP($U$221,'TAR FIN'!$A$1:$O$99,15,0))</f>
        <v>0</v>
      </c>
      <c r="Y221" s="4">
        <f ca="1">('TUSD BE'!$AM$5+'TUSD BF'!$AM$5+'TUSD CVA'!$AM$5)*1</f>
        <v>30.337295464550692</v>
      </c>
      <c r="Z221" s="4">
        <f ca="1">('TUSD BE'!$AM$7+'TUSD BF'!$AM$7+'TUSD CVA'!$AM$7)*1</f>
        <v>76.243476502957677</v>
      </c>
      <c r="AA221" s="4"/>
      <c r="AB221" s="4">
        <f>$K$221*$V$221</f>
        <v>657001.80000000005</v>
      </c>
      <c r="AC221" s="4">
        <f>$M$221*$W$221</f>
        <v>0</v>
      </c>
      <c r="AD221" s="4">
        <f>$O$221*$X$221</f>
        <v>0</v>
      </c>
      <c r="AE221" s="4">
        <f ca="1">$K$221*$Y$221</f>
        <v>753275.04638479371</v>
      </c>
      <c r="AF221" s="4">
        <f ca="1">$M$221*$Z$221</f>
        <v>0</v>
      </c>
      <c r="AG221" s="4">
        <f>$O$221*$AA$221</f>
        <v>0</v>
      </c>
    </row>
    <row r="222" spans="1:33" ht="11.25" customHeight="1" x14ac:dyDescent="0.25">
      <c r="A222" s="3" t="s">
        <v>21</v>
      </c>
      <c r="B222" s="3" t="s">
        <v>41</v>
      </c>
      <c r="C222" s="3" t="s">
        <v>42</v>
      </c>
      <c r="D222" s="3" t="s">
        <v>40</v>
      </c>
      <c r="E222" s="3" t="s">
        <v>25</v>
      </c>
      <c r="F222" s="3" t="s">
        <v>25</v>
      </c>
      <c r="G222" s="3" t="s">
        <v>25</v>
      </c>
      <c r="H222" s="3" t="s">
        <v>35</v>
      </c>
      <c r="I222" s="6">
        <v>44621</v>
      </c>
      <c r="J222" s="4">
        <v>4425</v>
      </c>
      <c r="K222" s="4">
        <v>4425</v>
      </c>
      <c r="L222" s="4">
        <v>28.998999999999999</v>
      </c>
      <c r="M222" s="4">
        <v>28.998999999999999</v>
      </c>
      <c r="N222" s="4">
        <v>28.998999999999999</v>
      </c>
      <c r="O222" s="4">
        <v>28.998999999999999</v>
      </c>
      <c r="P222" s="4">
        <v>0</v>
      </c>
      <c r="Q222" s="3" t="s">
        <v>26</v>
      </c>
      <c r="R222" s="3">
        <v>0</v>
      </c>
      <c r="S222" s="4">
        <v>92</v>
      </c>
      <c r="T222" s="4">
        <v>94</v>
      </c>
      <c r="U222" s="4">
        <v>47</v>
      </c>
      <c r="V222" s="4">
        <f>IF(ISERROR(VLOOKUP($S$222,'TAR FIN'!$A$1:$O$99,15,0)),0,VLOOKUP($S$222,'TAR FIN'!$A$1:$O$99,15,0))</f>
        <v>26.46</v>
      </c>
      <c r="W222" s="4">
        <f>IF(ISERROR(VLOOKUP($T$222,'TAR FIN'!$A$1:$O$99,15,0)),0,VLOOKUP($T$222,'TAR FIN'!$A$1:$O$99,15,0))</f>
        <v>65.13</v>
      </c>
      <c r="X222" s="4">
        <f>IF(ISERROR(VLOOKUP($U$222,'TAR FIN'!$A$1:$O$99,15,0)),0,VLOOKUP($U$222,'TAR FIN'!$A$1:$O$99,15,0))</f>
        <v>346.61</v>
      </c>
      <c r="Y222" s="4">
        <f ca="1">('TUSD BE'!$AM$5+'TUSD BF'!$AM$5+'TUSD CVA'!$AM$5)*1</f>
        <v>30.337295464550692</v>
      </c>
      <c r="Z222" s="4">
        <f ca="1">('TUSD BE'!$AM$7+'TUSD BF'!$AM$7+'TUSD CVA'!$AM$7)*1</f>
        <v>76.243476502957677</v>
      </c>
      <c r="AA222" s="4">
        <f>('TE BE'!$AA$5+'TE BF'!$AA$5+'TE CVA'!$AA$5)*1</f>
        <v>423.89652505413846</v>
      </c>
      <c r="AB222" s="4">
        <f>$K$222*$V$222</f>
        <v>117085.5</v>
      </c>
      <c r="AC222" s="4">
        <f>$M$222*$W$222</f>
        <v>1888.7048699999998</v>
      </c>
      <c r="AD222" s="4">
        <f>$O$222*$X$222</f>
        <v>10051.34339</v>
      </c>
      <c r="AE222" s="4">
        <f ca="1">$K$222*$Y$222</f>
        <v>134242.53243063681</v>
      </c>
      <c r="AF222" s="4">
        <f ca="1">$M$222*$Z$222</f>
        <v>2210.9845751092694</v>
      </c>
      <c r="AG222" s="4">
        <f>$O$222*$AA$222</f>
        <v>12292.575330044961</v>
      </c>
    </row>
    <row r="223" spans="1:33" ht="11.25" customHeight="1" x14ac:dyDescent="0.25">
      <c r="A223" s="3" t="s">
        <v>27</v>
      </c>
      <c r="B223" s="3" t="s">
        <v>41</v>
      </c>
      <c r="C223" s="3" t="s">
        <v>42</v>
      </c>
      <c r="D223" s="3" t="s">
        <v>40</v>
      </c>
      <c r="E223" s="3" t="s">
        <v>25</v>
      </c>
      <c r="F223" s="3" t="s">
        <v>25</v>
      </c>
      <c r="G223" s="3" t="s">
        <v>25</v>
      </c>
      <c r="H223" s="3" t="s">
        <v>35</v>
      </c>
      <c r="I223" s="6">
        <v>44621</v>
      </c>
      <c r="J223" s="4">
        <v>-1</v>
      </c>
      <c r="K223" s="4">
        <v>-1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3" t="s">
        <v>26</v>
      </c>
      <c r="R223" s="3">
        <v>0</v>
      </c>
      <c r="S223" s="4">
        <v>92</v>
      </c>
      <c r="T223" s="4">
        <v>0</v>
      </c>
      <c r="U223" s="4">
        <v>0</v>
      </c>
      <c r="V223" s="4">
        <f>IF(ISERROR(VLOOKUP($S$223,'TAR FIN'!$A$1:$O$99,15,0)),0,VLOOKUP($S$223,'TAR FIN'!$A$1:$O$99,15,0))</f>
        <v>26.46</v>
      </c>
      <c r="W223" s="4">
        <f>IF(ISERROR(VLOOKUP($T$223,'TAR FIN'!$A$1:$O$99,15,0)),0,VLOOKUP($T$223,'TAR FIN'!$A$1:$O$99,15,0))</f>
        <v>0</v>
      </c>
      <c r="X223" s="4">
        <f>IF(ISERROR(VLOOKUP($U$223,'TAR FIN'!$A$1:$O$99,15,0)),0,VLOOKUP($U$223,'TAR FIN'!$A$1:$O$99,15,0))</f>
        <v>0</v>
      </c>
      <c r="Y223" s="4">
        <f ca="1">('TUSD BE'!$AM$5+'TUSD BF'!$AM$5+'TUSD CVA'!$AM$5)*1</f>
        <v>30.337295464550692</v>
      </c>
      <c r="Z223" s="4">
        <f ca="1">('TUSD BE'!$AM$7+'TUSD BF'!$AM$7+'TUSD CVA'!$AM$7)*1</f>
        <v>76.243476502957677</v>
      </c>
      <c r="AA223" s="4">
        <f>('TE BE'!$AA$5+'TE BF'!$AA$5+'TE CVA'!$AA$5)*1</f>
        <v>423.89652505413846</v>
      </c>
      <c r="AB223" s="4">
        <f>$K$223*$V$223</f>
        <v>-26.46</v>
      </c>
      <c r="AC223" s="4">
        <f>$M$223*$W$223</f>
        <v>0</v>
      </c>
      <c r="AD223" s="4">
        <f>$O$223*$X$223</f>
        <v>0</v>
      </c>
      <c r="AE223" s="4">
        <f ca="1">$K$223*$Y$223</f>
        <v>-30.337295464550692</v>
      </c>
      <c r="AF223" s="4">
        <f ca="1">$M$223*$Z$223</f>
        <v>0</v>
      </c>
      <c r="AG223" s="4">
        <f>$O$223*$AA$223</f>
        <v>0</v>
      </c>
    </row>
    <row r="224" spans="1:33" ht="11.25" customHeight="1" x14ac:dyDescent="0.25">
      <c r="A224" s="3" t="s">
        <v>28</v>
      </c>
      <c r="B224" s="3" t="s">
        <v>41</v>
      </c>
      <c r="C224" s="3" t="s">
        <v>42</v>
      </c>
      <c r="D224" s="3" t="s">
        <v>40</v>
      </c>
      <c r="E224" s="3" t="s">
        <v>25</v>
      </c>
      <c r="F224" s="3" t="s">
        <v>25</v>
      </c>
      <c r="G224" s="3" t="s">
        <v>25</v>
      </c>
      <c r="H224" s="3" t="s">
        <v>35</v>
      </c>
      <c r="I224" s="6">
        <v>44621</v>
      </c>
      <c r="J224" s="4">
        <v>100</v>
      </c>
      <c r="K224" s="4">
        <v>100</v>
      </c>
      <c r="L224" s="4">
        <v>9.2999999999999999E-2</v>
      </c>
      <c r="M224" s="4">
        <v>9.2999999999999999E-2</v>
      </c>
      <c r="N224" s="4">
        <v>9.2999999999999999E-2</v>
      </c>
      <c r="O224" s="4">
        <v>9.2999999999999999E-2</v>
      </c>
      <c r="P224" s="4">
        <v>0</v>
      </c>
      <c r="Q224" s="3" t="s">
        <v>26</v>
      </c>
      <c r="R224" s="3">
        <v>0</v>
      </c>
      <c r="S224" s="4">
        <v>92</v>
      </c>
      <c r="T224" s="4">
        <v>94</v>
      </c>
      <c r="U224" s="4">
        <v>47</v>
      </c>
      <c r="V224" s="4">
        <f>IF(ISERROR(VLOOKUP($S$224,'TAR FIN'!$A$1:$O$99,15,0)),0,VLOOKUP($S$224,'TAR FIN'!$A$1:$O$99,15,0))</f>
        <v>26.46</v>
      </c>
      <c r="W224" s="4">
        <f>IF(ISERROR(VLOOKUP($T$224,'TAR FIN'!$A$1:$O$99,15,0)),0,VLOOKUP($T$224,'TAR FIN'!$A$1:$O$99,15,0))</f>
        <v>65.13</v>
      </c>
      <c r="X224" s="4">
        <f>IF(ISERROR(VLOOKUP($U$224,'TAR FIN'!$A$1:$O$99,15,0)),0,VLOOKUP($U$224,'TAR FIN'!$A$1:$O$99,15,0))</f>
        <v>346.61</v>
      </c>
      <c r="Y224" s="4">
        <f ca="1">('TUSD BE'!$AM$5+'TUSD BF'!$AM$5+'TUSD CVA'!$AM$5)*1</f>
        <v>30.337295464550692</v>
      </c>
      <c r="Z224" s="4">
        <f ca="1">('TUSD BE'!$AM$7+'TUSD BF'!$AM$7+'TUSD CVA'!$AM$7)*1</f>
        <v>76.243476502957677</v>
      </c>
      <c r="AA224" s="4">
        <f>('TE BE'!$AA$5+'TE BF'!$AA$5+'TE CVA'!$AA$5)*1</f>
        <v>423.89652505413846</v>
      </c>
      <c r="AB224" s="4">
        <f>$K$224*$V$224</f>
        <v>2646</v>
      </c>
      <c r="AC224" s="4">
        <f>$M$224*$W$224</f>
        <v>6.0570899999999996</v>
      </c>
      <c r="AD224" s="4">
        <f>$O$224*$X$224</f>
        <v>32.234729999999999</v>
      </c>
      <c r="AE224" s="4">
        <f ca="1">$K$224*$Y$224</f>
        <v>3033.7295464550693</v>
      </c>
      <c r="AF224" s="4">
        <f ca="1">$M$224*$Z$224</f>
        <v>7.0906433147750638</v>
      </c>
      <c r="AG224" s="4">
        <f>$O$224*$AA$224</f>
        <v>39.422376830034878</v>
      </c>
    </row>
    <row r="225" spans="1:33" ht="11.25" customHeight="1" x14ac:dyDescent="0.25">
      <c r="A225" s="3" t="s">
        <v>21</v>
      </c>
      <c r="B225" s="3" t="s">
        <v>41</v>
      </c>
      <c r="C225" s="3" t="s">
        <v>42</v>
      </c>
      <c r="D225" s="3" t="s">
        <v>40</v>
      </c>
      <c r="E225" s="3" t="s">
        <v>25</v>
      </c>
      <c r="F225" s="3" t="s">
        <v>25</v>
      </c>
      <c r="G225" s="3" t="s">
        <v>25</v>
      </c>
      <c r="H225" s="3" t="s">
        <v>35</v>
      </c>
      <c r="I225" s="6">
        <v>44621</v>
      </c>
      <c r="J225" s="4">
        <v>38050</v>
      </c>
      <c r="K225" s="4">
        <v>38050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3" t="s">
        <v>57</v>
      </c>
      <c r="R225" s="3">
        <v>0</v>
      </c>
      <c r="S225" s="4">
        <v>92</v>
      </c>
      <c r="T225" s="4">
        <v>0</v>
      </c>
      <c r="U225" s="4">
        <v>0</v>
      </c>
      <c r="V225" s="4">
        <f>IF(ISERROR(VLOOKUP($S$225,'TAR FIN'!$A$1:$O$99,15,0)),0,VLOOKUP($S$225,'TAR FIN'!$A$1:$O$99,15,0))</f>
        <v>26.46</v>
      </c>
      <c r="W225" s="4">
        <f>IF(ISERROR(VLOOKUP($T$225,'TAR FIN'!$A$1:$O$99,15,0)),0,VLOOKUP($T$225,'TAR FIN'!$A$1:$O$99,15,0))</f>
        <v>0</v>
      </c>
      <c r="X225" s="4">
        <f>IF(ISERROR(VLOOKUP($U$225,'TAR FIN'!$A$1:$O$99,15,0)),0,VLOOKUP($U$225,'TAR FIN'!$A$1:$O$99,15,0))</f>
        <v>0</v>
      </c>
      <c r="Y225" s="4">
        <f ca="1">('TUSD BE'!$AM$5+'TUSD BF'!$AM$5+'TUSD CVA'!$AM$5)*1</f>
        <v>30.337295464550692</v>
      </c>
      <c r="Z225" s="4">
        <f ca="1">('TUSD BE'!$AM$7+'TUSD BF'!$AM$7+'TUSD CVA'!$AM$7)*1</f>
        <v>76.243476502957677</v>
      </c>
      <c r="AA225" s="4"/>
      <c r="AB225" s="4">
        <f>$K$225*$V$225</f>
        <v>1006803</v>
      </c>
      <c r="AC225" s="4">
        <f>$M$225*$W$225</f>
        <v>0</v>
      </c>
      <c r="AD225" s="4">
        <f>$O$225*$X$225</f>
        <v>0</v>
      </c>
      <c r="AE225" s="4">
        <f ca="1">$K$225*$Y$225</f>
        <v>1154334.0924261538</v>
      </c>
      <c r="AF225" s="4">
        <f ca="1">$M$225*$Z$225</f>
        <v>0</v>
      </c>
      <c r="AG225" s="4">
        <f>$O$225*$AA$225</f>
        <v>0</v>
      </c>
    </row>
    <row r="226" spans="1:33" ht="11.25" customHeight="1" x14ac:dyDescent="0.25">
      <c r="A226" s="3" t="s">
        <v>56</v>
      </c>
      <c r="B226" s="3" t="s">
        <v>41</v>
      </c>
      <c r="C226" s="3" t="s">
        <v>42</v>
      </c>
      <c r="D226" s="3" t="s">
        <v>40</v>
      </c>
      <c r="E226" s="3" t="s">
        <v>25</v>
      </c>
      <c r="F226" s="3" t="s">
        <v>25</v>
      </c>
      <c r="G226" s="3" t="s">
        <v>25</v>
      </c>
      <c r="H226" s="3" t="s">
        <v>35</v>
      </c>
      <c r="I226" s="6">
        <v>44652</v>
      </c>
      <c r="J226" s="4">
        <v>4425</v>
      </c>
      <c r="K226" s="4">
        <v>4425</v>
      </c>
      <c r="L226" s="4">
        <v>28.998999999999999</v>
      </c>
      <c r="M226" s="4">
        <v>28.998999999999999</v>
      </c>
      <c r="N226" s="4">
        <v>28.998999999999999</v>
      </c>
      <c r="O226" s="4">
        <v>28.998999999999999</v>
      </c>
      <c r="P226" s="4">
        <v>0</v>
      </c>
      <c r="Q226" s="3" t="s">
        <v>26</v>
      </c>
      <c r="R226" s="3">
        <v>0</v>
      </c>
      <c r="S226" s="4">
        <v>92</v>
      </c>
      <c r="T226" s="4">
        <v>94</v>
      </c>
      <c r="U226" s="4">
        <v>47</v>
      </c>
      <c r="V226" s="4">
        <f>IF(ISERROR(VLOOKUP($S$226,'TAR FIN'!$A$1:$O$99,15,0)),0,VLOOKUP($S$226,'TAR FIN'!$A$1:$O$99,15,0))</f>
        <v>26.46</v>
      </c>
      <c r="W226" s="4">
        <f>IF(ISERROR(VLOOKUP($T$226,'TAR FIN'!$A$1:$O$99,15,0)),0,VLOOKUP($T$226,'TAR FIN'!$A$1:$O$99,15,0))</f>
        <v>65.13</v>
      </c>
      <c r="X226" s="4">
        <f>IF(ISERROR(VLOOKUP($U$226,'TAR FIN'!$A$1:$O$99,15,0)),0,VLOOKUP($U$226,'TAR FIN'!$A$1:$O$99,15,0))</f>
        <v>346.61</v>
      </c>
      <c r="Y226" s="4">
        <f ca="1">('TUSD BE'!$AM$5+'TUSD BF'!$AM$5+'TUSD CVA'!$AM$5)*1</f>
        <v>30.337295464550692</v>
      </c>
      <c r="Z226" s="4">
        <f ca="1">('TUSD BE'!$AM$7+'TUSD BF'!$AM$7+'TUSD CVA'!$AM$7)*1</f>
        <v>76.243476502957677</v>
      </c>
      <c r="AA226" s="4">
        <f>('TE BE'!$AA$5+'TE BF'!$AA$5+'TE CVA'!$AA$5)*1</f>
        <v>423.89652505413846</v>
      </c>
      <c r="AB226" s="4">
        <f>$K$226*$V$226</f>
        <v>117085.5</v>
      </c>
      <c r="AC226" s="4">
        <f>$M$226*$W$226</f>
        <v>1888.7048699999998</v>
      </c>
      <c r="AD226" s="4">
        <f>$O$226*$X$226</f>
        <v>10051.34339</v>
      </c>
      <c r="AE226" s="4">
        <f ca="1">$K$226*$Y$226</f>
        <v>134242.53243063681</v>
      </c>
      <c r="AF226" s="4">
        <f ca="1">$M$226*$Z$226</f>
        <v>2210.9845751092694</v>
      </c>
      <c r="AG226" s="4">
        <f>$O$226*$AA$226</f>
        <v>12292.575330044961</v>
      </c>
    </row>
    <row r="227" spans="1:33" ht="11.25" customHeight="1" x14ac:dyDescent="0.25">
      <c r="A227" s="3" t="s">
        <v>56</v>
      </c>
      <c r="B227" s="3" t="s">
        <v>41</v>
      </c>
      <c r="C227" s="3" t="s">
        <v>42</v>
      </c>
      <c r="D227" s="3" t="s">
        <v>40</v>
      </c>
      <c r="E227" s="3" t="s">
        <v>25</v>
      </c>
      <c r="F227" s="3" t="s">
        <v>25</v>
      </c>
      <c r="G227" s="3" t="s">
        <v>25</v>
      </c>
      <c r="H227" s="3" t="s">
        <v>35</v>
      </c>
      <c r="I227" s="6">
        <v>44652</v>
      </c>
      <c r="J227" s="4">
        <v>-1</v>
      </c>
      <c r="K227" s="4">
        <v>-1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3" t="s">
        <v>26</v>
      </c>
      <c r="R227" s="3">
        <v>0</v>
      </c>
      <c r="S227" s="4">
        <v>92</v>
      </c>
      <c r="T227" s="4">
        <v>0</v>
      </c>
      <c r="U227" s="4">
        <v>0</v>
      </c>
      <c r="V227" s="4">
        <f>IF(ISERROR(VLOOKUP($S$227,'TAR FIN'!$A$1:$O$99,15,0)),0,VLOOKUP($S$227,'TAR FIN'!$A$1:$O$99,15,0))</f>
        <v>26.46</v>
      </c>
      <c r="W227" s="4">
        <f>IF(ISERROR(VLOOKUP($T$227,'TAR FIN'!$A$1:$O$99,15,0)),0,VLOOKUP($T$227,'TAR FIN'!$A$1:$O$99,15,0))</f>
        <v>0</v>
      </c>
      <c r="X227" s="4">
        <f>IF(ISERROR(VLOOKUP($U$227,'TAR FIN'!$A$1:$O$99,15,0)),0,VLOOKUP($U$227,'TAR FIN'!$A$1:$O$99,15,0))</f>
        <v>0</v>
      </c>
      <c r="Y227" s="4">
        <f ca="1">('TUSD BE'!$AM$5+'TUSD BF'!$AM$5+'TUSD CVA'!$AM$5)*1</f>
        <v>30.337295464550692</v>
      </c>
      <c r="Z227" s="4">
        <f ca="1">('TUSD BE'!$AM$7+'TUSD BF'!$AM$7+'TUSD CVA'!$AM$7)*1</f>
        <v>76.243476502957677</v>
      </c>
      <c r="AA227" s="4">
        <f>('TE BE'!$AA$5+'TE BF'!$AA$5+'TE CVA'!$AA$5)*1</f>
        <v>423.89652505413846</v>
      </c>
      <c r="AB227" s="4">
        <f>$K$227*$V$227</f>
        <v>-26.46</v>
      </c>
      <c r="AC227" s="4">
        <f>$M$227*$W$227</f>
        <v>0</v>
      </c>
      <c r="AD227" s="4">
        <f>$O$227*$X$227</f>
        <v>0</v>
      </c>
      <c r="AE227" s="4">
        <f ca="1">$K$227*$Y$227</f>
        <v>-30.337295464550692</v>
      </c>
      <c r="AF227" s="4">
        <f ca="1">$M$227*$Z$227</f>
        <v>0</v>
      </c>
      <c r="AG227" s="4">
        <f>$O$227*$AA$227</f>
        <v>0</v>
      </c>
    </row>
    <row r="228" spans="1:33" ht="11.25" customHeight="1" x14ac:dyDescent="0.25">
      <c r="A228" s="3" t="s">
        <v>56</v>
      </c>
      <c r="B228" s="3" t="s">
        <v>41</v>
      </c>
      <c r="C228" s="3" t="s">
        <v>42</v>
      </c>
      <c r="D228" s="3" t="s">
        <v>40</v>
      </c>
      <c r="E228" s="3" t="s">
        <v>25</v>
      </c>
      <c r="F228" s="3" t="s">
        <v>25</v>
      </c>
      <c r="G228" s="3" t="s">
        <v>25</v>
      </c>
      <c r="H228" s="3" t="s">
        <v>35</v>
      </c>
      <c r="I228" s="6">
        <v>44652</v>
      </c>
      <c r="J228" s="4">
        <v>100</v>
      </c>
      <c r="K228" s="4">
        <v>100</v>
      </c>
      <c r="L228" s="4">
        <v>9.2999999999999999E-2</v>
      </c>
      <c r="M228" s="4">
        <v>9.2999999999999999E-2</v>
      </c>
      <c r="N228" s="4">
        <v>9.2999999999999999E-2</v>
      </c>
      <c r="O228" s="4">
        <v>9.2999999999999999E-2</v>
      </c>
      <c r="P228" s="4">
        <v>0</v>
      </c>
      <c r="Q228" s="3" t="s">
        <v>26</v>
      </c>
      <c r="R228" s="3">
        <v>0</v>
      </c>
      <c r="S228" s="4">
        <v>92</v>
      </c>
      <c r="T228" s="4">
        <v>94</v>
      </c>
      <c r="U228" s="4">
        <v>47</v>
      </c>
      <c r="V228" s="4">
        <f>IF(ISERROR(VLOOKUP($S$228,'TAR FIN'!$A$1:$O$99,15,0)),0,VLOOKUP($S$228,'TAR FIN'!$A$1:$O$99,15,0))</f>
        <v>26.46</v>
      </c>
      <c r="W228" s="4">
        <f>IF(ISERROR(VLOOKUP($T$228,'TAR FIN'!$A$1:$O$99,15,0)),0,VLOOKUP($T$228,'TAR FIN'!$A$1:$O$99,15,0))</f>
        <v>65.13</v>
      </c>
      <c r="X228" s="4">
        <f>IF(ISERROR(VLOOKUP($U$228,'TAR FIN'!$A$1:$O$99,15,0)),0,VLOOKUP($U$228,'TAR FIN'!$A$1:$O$99,15,0))</f>
        <v>346.61</v>
      </c>
      <c r="Y228" s="4">
        <f ca="1">('TUSD BE'!$AM$5+'TUSD BF'!$AM$5+'TUSD CVA'!$AM$5)*1</f>
        <v>30.337295464550692</v>
      </c>
      <c r="Z228" s="4">
        <f ca="1">('TUSD BE'!$AM$7+'TUSD BF'!$AM$7+'TUSD CVA'!$AM$7)*1</f>
        <v>76.243476502957677</v>
      </c>
      <c r="AA228" s="4">
        <f>('TE BE'!$AA$5+'TE BF'!$AA$5+'TE CVA'!$AA$5)*1</f>
        <v>423.89652505413846</v>
      </c>
      <c r="AB228" s="4">
        <f>$K$228*$V$228</f>
        <v>2646</v>
      </c>
      <c r="AC228" s="4">
        <f>$M$228*$W$228</f>
        <v>6.0570899999999996</v>
      </c>
      <c r="AD228" s="4">
        <f>$O$228*$X$228</f>
        <v>32.234729999999999</v>
      </c>
      <c r="AE228" s="4">
        <f ca="1">$K$228*$Y$228</f>
        <v>3033.7295464550693</v>
      </c>
      <c r="AF228" s="4">
        <f ca="1">$M$228*$Z$228</f>
        <v>7.0906433147750638</v>
      </c>
      <c r="AG228" s="4">
        <f>$O$228*$AA$228</f>
        <v>39.422376830034878</v>
      </c>
    </row>
    <row r="229" spans="1:33" ht="11.25" customHeight="1" x14ac:dyDescent="0.25">
      <c r="A229" s="3" t="s">
        <v>56</v>
      </c>
      <c r="B229" s="3" t="s">
        <v>41</v>
      </c>
      <c r="C229" s="3" t="s">
        <v>42</v>
      </c>
      <c r="D229" s="3" t="s">
        <v>40</v>
      </c>
      <c r="E229" s="3" t="s">
        <v>25</v>
      </c>
      <c r="F229" s="3" t="s">
        <v>25</v>
      </c>
      <c r="G229" s="3" t="s">
        <v>25</v>
      </c>
      <c r="H229" s="3" t="s">
        <v>35</v>
      </c>
      <c r="I229" s="6">
        <v>44652</v>
      </c>
      <c r="J229" s="4">
        <v>38050</v>
      </c>
      <c r="K229" s="4">
        <v>38050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3" t="s">
        <v>57</v>
      </c>
      <c r="R229" s="3">
        <v>0</v>
      </c>
      <c r="S229" s="4">
        <v>92</v>
      </c>
      <c r="T229" s="4">
        <v>0</v>
      </c>
      <c r="U229" s="4">
        <v>0</v>
      </c>
      <c r="V229" s="4">
        <f>IF(ISERROR(VLOOKUP($S$229,'TAR FIN'!$A$1:$O$99,15,0)),0,VLOOKUP($S$229,'TAR FIN'!$A$1:$O$99,15,0))</f>
        <v>26.46</v>
      </c>
      <c r="W229" s="4">
        <f>IF(ISERROR(VLOOKUP($T$229,'TAR FIN'!$A$1:$O$99,15,0)),0,VLOOKUP($T$229,'TAR FIN'!$A$1:$O$99,15,0))</f>
        <v>0</v>
      </c>
      <c r="X229" s="4">
        <f>IF(ISERROR(VLOOKUP($U$229,'TAR FIN'!$A$1:$O$99,15,0)),0,VLOOKUP($U$229,'TAR FIN'!$A$1:$O$99,15,0))</f>
        <v>0</v>
      </c>
      <c r="Y229" s="4">
        <f ca="1">('TUSD BE'!$AM$5+'TUSD BF'!$AM$5+'TUSD CVA'!$AM$5)*1</f>
        <v>30.337295464550692</v>
      </c>
      <c r="Z229" s="4">
        <f ca="1">('TUSD BE'!$AM$7+'TUSD BF'!$AM$7+'TUSD CVA'!$AM$7)*1</f>
        <v>76.243476502957677</v>
      </c>
      <c r="AA229" s="4"/>
      <c r="AB229" s="4">
        <f>$K$229*$V$229</f>
        <v>1006803</v>
      </c>
      <c r="AC229" s="4">
        <f>$M$229*$W$229</f>
        <v>0</v>
      </c>
      <c r="AD229" s="4">
        <f>$O$229*$X$229</f>
        <v>0</v>
      </c>
      <c r="AE229" s="4">
        <f ca="1">$K$229*$Y$229</f>
        <v>1154334.0924261538</v>
      </c>
      <c r="AF229" s="4">
        <f ca="1">$M$229*$Z$229</f>
        <v>0</v>
      </c>
      <c r="AG229" s="4">
        <f>$O$229*$AA$229</f>
        <v>0</v>
      </c>
    </row>
    <row r="230" spans="1:33" ht="11.25" customHeight="1" x14ac:dyDescent="0.25">
      <c r="A230" s="3" t="s">
        <v>21</v>
      </c>
      <c r="B230" s="3" t="s">
        <v>41</v>
      </c>
      <c r="C230" s="3" t="s">
        <v>42</v>
      </c>
      <c r="D230" s="3" t="s">
        <v>45</v>
      </c>
      <c r="E230" s="3" t="s">
        <v>53</v>
      </c>
      <c r="F230" s="3" t="s">
        <v>55</v>
      </c>
      <c r="G230" s="3" t="s">
        <v>25</v>
      </c>
      <c r="H230" s="3" t="s">
        <v>36</v>
      </c>
      <c r="I230" s="6">
        <v>44317</v>
      </c>
      <c r="J230" s="4">
        <v>0</v>
      </c>
      <c r="K230" s="4">
        <v>0</v>
      </c>
      <c r="L230" s="4">
        <v>398.63400000000001</v>
      </c>
      <c r="M230" s="4">
        <v>39.863399999999999</v>
      </c>
      <c r="N230" s="4">
        <v>398.63400000000001</v>
      </c>
      <c r="O230" s="4">
        <v>39.863399999999999</v>
      </c>
      <c r="P230" s="4">
        <v>0</v>
      </c>
      <c r="Q230" s="3" t="s">
        <v>26</v>
      </c>
      <c r="R230" s="3">
        <v>0</v>
      </c>
      <c r="S230" s="4">
        <v>0</v>
      </c>
      <c r="T230" s="4">
        <v>94</v>
      </c>
      <c r="U230" s="4">
        <v>48</v>
      </c>
      <c r="V230" s="4">
        <f>IF(ISERROR(VLOOKUP($S$230,'TAR FIN'!$A$1:$O$99,15,0)),0,VLOOKUP($S$230,'TAR FIN'!$A$1:$O$99,15,0))</f>
        <v>0</v>
      </c>
      <c r="W230" s="4">
        <f>IF(ISERROR(VLOOKUP($T$230,'TAR FIN'!$A$1:$O$99,15,0)),0,VLOOKUP($T$230,'TAR FIN'!$A$1:$O$99,15,0))</f>
        <v>65.13</v>
      </c>
      <c r="X230" s="4">
        <f>IF(ISERROR(VLOOKUP($U$230,'TAR FIN'!$A$1:$O$99,15,0)),0,VLOOKUP($U$230,'TAR FIN'!$A$1:$O$99,15,0))</f>
        <v>219.97</v>
      </c>
      <c r="Y230" s="4">
        <f ca="1">('TUSD BE'!$AM$6+'TUSD BF'!$AM$6+'TUSD CVA'!$AM$6)*1</f>
        <v>16.343876453142602</v>
      </c>
      <c r="Z230" s="4">
        <f ca="1">('TUSD BE'!$AM$7+'TUSD BF'!$AM$7+'TUSD CVA'!$AM$7)*1</f>
        <v>76.243476502957677</v>
      </c>
      <c r="AA230" s="4">
        <f>('TE BE'!$AA$6+'TE BF'!$AA$6+'TE CVA'!$AA$6)*1</f>
        <v>271.13910989737087</v>
      </c>
      <c r="AB230" s="4">
        <f>$K$230*$V$230</f>
        <v>0</v>
      </c>
      <c r="AC230" s="4">
        <f>$M$230*$W$230</f>
        <v>2596.303242</v>
      </c>
      <c r="AD230" s="4">
        <f>$O$230*$X$230</f>
        <v>8768.752097999999</v>
      </c>
      <c r="AE230" s="4">
        <f ca="1">$K$230*$Y$230</f>
        <v>0</v>
      </c>
      <c r="AF230" s="4">
        <f ca="1">$M$230*$Z$230</f>
        <v>3039.3242012280029</v>
      </c>
      <c r="AG230" s="4">
        <f>$O$230*$AA$230</f>
        <v>10808.526793482853</v>
      </c>
    </row>
    <row r="231" spans="1:33" ht="11.25" customHeight="1" x14ac:dyDescent="0.25">
      <c r="A231" s="3" t="s">
        <v>21</v>
      </c>
      <c r="B231" s="3" t="s">
        <v>41</v>
      </c>
      <c r="C231" s="3" t="s">
        <v>42</v>
      </c>
      <c r="D231" s="3" t="s">
        <v>45</v>
      </c>
      <c r="E231" s="3" t="s">
        <v>53</v>
      </c>
      <c r="F231" s="3" t="s">
        <v>55</v>
      </c>
      <c r="G231" s="3" t="s">
        <v>25</v>
      </c>
      <c r="H231" s="3" t="s">
        <v>36</v>
      </c>
      <c r="I231" s="6">
        <v>44348</v>
      </c>
      <c r="J231" s="4">
        <v>0</v>
      </c>
      <c r="K231" s="4">
        <v>0</v>
      </c>
      <c r="L231" s="4">
        <v>396.06299999999999</v>
      </c>
      <c r="M231" s="4">
        <v>39.606299999999997</v>
      </c>
      <c r="N231" s="4">
        <v>396.06299999999999</v>
      </c>
      <c r="O231" s="4">
        <v>39.606299999999997</v>
      </c>
      <c r="P231" s="4">
        <v>0</v>
      </c>
      <c r="Q231" s="3" t="s">
        <v>26</v>
      </c>
      <c r="R231" s="3">
        <v>0</v>
      </c>
      <c r="S231" s="4">
        <v>0</v>
      </c>
      <c r="T231" s="4">
        <v>94</v>
      </c>
      <c r="U231" s="4">
        <v>48</v>
      </c>
      <c r="V231" s="4">
        <f>IF(ISERROR(VLOOKUP($S$231,'TAR FIN'!$A$1:$O$99,15,0)),0,VLOOKUP($S$231,'TAR FIN'!$A$1:$O$99,15,0))</f>
        <v>0</v>
      </c>
      <c r="W231" s="4">
        <f>IF(ISERROR(VLOOKUP($T$231,'TAR FIN'!$A$1:$O$99,15,0)),0,VLOOKUP($T$231,'TAR FIN'!$A$1:$O$99,15,0))</f>
        <v>65.13</v>
      </c>
      <c r="X231" s="4">
        <f>IF(ISERROR(VLOOKUP($U$231,'TAR FIN'!$A$1:$O$99,15,0)),0,VLOOKUP($U$231,'TAR FIN'!$A$1:$O$99,15,0))</f>
        <v>219.97</v>
      </c>
      <c r="Y231" s="4">
        <f ca="1">('TUSD BE'!$AM$6+'TUSD BF'!$AM$6+'TUSD CVA'!$AM$6)*1</f>
        <v>16.343876453142602</v>
      </c>
      <c r="Z231" s="4">
        <f ca="1">('TUSD BE'!$AM$7+'TUSD BF'!$AM$7+'TUSD CVA'!$AM$7)*1</f>
        <v>76.243476502957677</v>
      </c>
      <c r="AA231" s="4">
        <f>('TE BE'!$AA$6+'TE BF'!$AA$6+'TE CVA'!$AA$6)*1</f>
        <v>271.13910989737087</v>
      </c>
      <c r="AB231" s="4">
        <f>$K$231*$V$231</f>
        <v>0</v>
      </c>
      <c r="AC231" s="4">
        <f>$M$231*$W$231</f>
        <v>2579.5583189999998</v>
      </c>
      <c r="AD231" s="4">
        <f>$O$231*$X$231</f>
        <v>8712.197811</v>
      </c>
      <c r="AE231" s="4">
        <f ca="1">$K$231*$Y$231</f>
        <v>0</v>
      </c>
      <c r="AF231" s="4">
        <f ca="1">$M$231*$Z$231</f>
        <v>3019.7220034190923</v>
      </c>
      <c r="AG231" s="4">
        <f>$O$231*$AA$231</f>
        <v>10738.816928328239</v>
      </c>
    </row>
    <row r="232" spans="1:33" ht="11.25" customHeight="1" x14ac:dyDescent="0.25">
      <c r="A232" s="3" t="s">
        <v>21</v>
      </c>
      <c r="B232" s="3" t="s">
        <v>41</v>
      </c>
      <c r="C232" s="3" t="s">
        <v>42</v>
      </c>
      <c r="D232" s="3" t="s">
        <v>45</v>
      </c>
      <c r="E232" s="3" t="s">
        <v>53</v>
      </c>
      <c r="F232" s="3" t="s">
        <v>55</v>
      </c>
      <c r="G232" s="3" t="s">
        <v>25</v>
      </c>
      <c r="H232" s="3" t="s">
        <v>36</v>
      </c>
      <c r="I232" s="6">
        <v>44378</v>
      </c>
      <c r="J232" s="4">
        <v>0</v>
      </c>
      <c r="K232" s="4">
        <v>0</v>
      </c>
      <c r="L232" s="4">
        <v>778.96299999999997</v>
      </c>
      <c r="M232" s="4">
        <v>77.896299999999997</v>
      </c>
      <c r="N232" s="4">
        <v>778.96299999999997</v>
      </c>
      <c r="O232" s="4">
        <v>77.896299999999997</v>
      </c>
      <c r="P232" s="4">
        <v>0</v>
      </c>
      <c r="Q232" s="3" t="s">
        <v>26</v>
      </c>
      <c r="R232" s="3">
        <v>0</v>
      </c>
      <c r="S232" s="4">
        <v>0</v>
      </c>
      <c r="T232" s="4">
        <v>94</v>
      </c>
      <c r="U232" s="4">
        <v>48</v>
      </c>
      <c r="V232" s="4">
        <f>IF(ISERROR(VLOOKUP($S$232,'TAR FIN'!$A$1:$O$99,15,0)),0,VLOOKUP($S$232,'TAR FIN'!$A$1:$O$99,15,0))</f>
        <v>0</v>
      </c>
      <c r="W232" s="4">
        <f>IF(ISERROR(VLOOKUP($T$232,'TAR FIN'!$A$1:$O$99,15,0)),0,VLOOKUP($T$232,'TAR FIN'!$A$1:$O$99,15,0))</f>
        <v>65.13</v>
      </c>
      <c r="X232" s="4">
        <f>IF(ISERROR(VLOOKUP($U$232,'TAR FIN'!$A$1:$O$99,15,0)),0,VLOOKUP($U$232,'TAR FIN'!$A$1:$O$99,15,0))</f>
        <v>219.97</v>
      </c>
      <c r="Y232" s="4">
        <f ca="1">('TUSD BE'!$AM$6+'TUSD BF'!$AM$6+'TUSD CVA'!$AM$6)*1</f>
        <v>16.343876453142602</v>
      </c>
      <c r="Z232" s="4">
        <f ca="1">('TUSD BE'!$AM$7+'TUSD BF'!$AM$7+'TUSD CVA'!$AM$7)*1</f>
        <v>76.243476502957677</v>
      </c>
      <c r="AA232" s="4">
        <f>('TE BE'!$AA$6+'TE BF'!$AA$6+'TE CVA'!$AA$6)*1</f>
        <v>271.13910989737087</v>
      </c>
      <c r="AB232" s="4">
        <f>$K$232*$V$232</f>
        <v>0</v>
      </c>
      <c r="AC232" s="4">
        <f>$M$232*$W$232</f>
        <v>5073.3860189999996</v>
      </c>
      <c r="AD232" s="4">
        <f>$O$232*$X$232</f>
        <v>17134.849111</v>
      </c>
      <c r="AE232" s="4">
        <f ca="1">$K$232*$Y$232</f>
        <v>0</v>
      </c>
      <c r="AF232" s="4">
        <f ca="1">$M$232*$Z$232</f>
        <v>5939.0847187173422</v>
      </c>
      <c r="AG232" s="4">
        <f>$O$232*$AA$232</f>
        <v>21120.733446298571</v>
      </c>
    </row>
    <row r="233" spans="1:33" ht="11.25" customHeight="1" x14ac:dyDescent="0.25">
      <c r="A233" s="3" t="s">
        <v>21</v>
      </c>
      <c r="B233" s="3" t="s">
        <v>41</v>
      </c>
      <c r="C233" s="3" t="s">
        <v>42</v>
      </c>
      <c r="D233" s="3" t="s">
        <v>45</v>
      </c>
      <c r="E233" s="3" t="s">
        <v>53</v>
      </c>
      <c r="F233" s="3" t="s">
        <v>55</v>
      </c>
      <c r="G233" s="3" t="s">
        <v>25</v>
      </c>
      <c r="H233" s="3" t="s">
        <v>36</v>
      </c>
      <c r="I233" s="6">
        <v>44409</v>
      </c>
      <c r="J233" s="4">
        <v>0</v>
      </c>
      <c r="K233" s="4">
        <v>0</v>
      </c>
      <c r="L233" s="4">
        <v>152.744</v>
      </c>
      <c r="M233" s="4">
        <v>15.2744</v>
      </c>
      <c r="N233" s="4">
        <v>152.744</v>
      </c>
      <c r="O233" s="4">
        <v>15.2744</v>
      </c>
      <c r="P233" s="4">
        <v>0</v>
      </c>
      <c r="Q233" s="3" t="s">
        <v>26</v>
      </c>
      <c r="R233" s="3">
        <v>0</v>
      </c>
      <c r="S233" s="4">
        <v>0</v>
      </c>
      <c r="T233" s="4">
        <v>94</v>
      </c>
      <c r="U233" s="4">
        <v>48</v>
      </c>
      <c r="V233" s="4">
        <f>IF(ISERROR(VLOOKUP($S$233,'TAR FIN'!$A$1:$O$99,15,0)),0,VLOOKUP($S$233,'TAR FIN'!$A$1:$O$99,15,0))</f>
        <v>0</v>
      </c>
      <c r="W233" s="4">
        <f>IF(ISERROR(VLOOKUP($T$233,'TAR FIN'!$A$1:$O$99,15,0)),0,VLOOKUP($T$233,'TAR FIN'!$A$1:$O$99,15,0))</f>
        <v>65.13</v>
      </c>
      <c r="X233" s="4">
        <f>IF(ISERROR(VLOOKUP($U$233,'TAR FIN'!$A$1:$O$99,15,0)),0,VLOOKUP($U$233,'TAR FIN'!$A$1:$O$99,15,0))</f>
        <v>219.97</v>
      </c>
      <c r="Y233" s="4">
        <f ca="1">('TUSD BE'!$AM$6+'TUSD BF'!$AM$6+'TUSD CVA'!$AM$6)*1</f>
        <v>16.343876453142602</v>
      </c>
      <c r="Z233" s="4">
        <f ca="1">('TUSD BE'!$AM$7+'TUSD BF'!$AM$7+'TUSD CVA'!$AM$7)*1</f>
        <v>76.243476502957677</v>
      </c>
      <c r="AA233" s="4">
        <f>('TE BE'!$AA$6+'TE BF'!$AA$6+'TE CVA'!$AA$6)*1</f>
        <v>271.13910989737087</v>
      </c>
      <c r="AB233" s="4">
        <f>$K$233*$V$233</f>
        <v>0</v>
      </c>
      <c r="AC233" s="4">
        <f>$M$233*$W$233</f>
        <v>994.82167199999992</v>
      </c>
      <c r="AD233" s="4">
        <f>$O$233*$X$233</f>
        <v>3359.909768</v>
      </c>
      <c r="AE233" s="4">
        <f ca="1">$K$233*$Y$233</f>
        <v>0</v>
      </c>
      <c r="AF233" s="4">
        <f ca="1">$M$233*$Z$233</f>
        <v>1164.5733574967767</v>
      </c>
      <c r="AG233" s="4">
        <f>$O$233*$AA$233</f>
        <v>4141.4872202164015</v>
      </c>
    </row>
    <row r="234" spans="1:33" ht="11.25" customHeight="1" x14ac:dyDescent="0.25">
      <c r="A234" s="3" t="s">
        <v>27</v>
      </c>
      <c r="B234" s="3" t="s">
        <v>41</v>
      </c>
      <c r="C234" s="3" t="s">
        <v>42</v>
      </c>
      <c r="D234" s="3" t="s">
        <v>45</v>
      </c>
      <c r="E234" s="3" t="s">
        <v>53</v>
      </c>
      <c r="F234" s="3" t="s">
        <v>55</v>
      </c>
      <c r="G234" s="3" t="s">
        <v>25</v>
      </c>
      <c r="H234" s="3" t="s">
        <v>36</v>
      </c>
      <c r="I234" s="6">
        <v>44409</v>
      </c>
      <c r="J234" s="4">
        <v>0</v>
      </c>
      <c r="K234" s="4">
        <v>0</v>
      </c>
      <c r="L234" s="4">
        <v>-383.71600000000001</v>
      </c>
      <c r="M234" s="4">
        <v>-38.371600000000001</v>
      </c>
      <c r="N234" s="4">
        <v>-383.71600000000001</v>
      </c>
      <c r="O234" s="4">
        <v>-38.371600000000001</v>
      </c>
      <c r="P234" s="4">
        <v>0</v>
      </c>
      <c r="Q234" s="3" t="s">
        <v>26</v>
      </c>
      <c r="R234" s="3">
        <v>0</v>
      </c>
      <c r="S234" s="4">
        <v>0</v>
      </c>
      <c r="T234" s="4">
        <v>94</v>
      </c>
      <c r="U234" s="4">
        <v>48</v>
      </c>
      <c r="V234" s="4">
        <f>IF(ISERROR(VLOOKUP($S$234,'TAR FIN'!$A$1:$O$99,15,0)),0,VLOOKUP($S$234,'TAR FIN'!$A$1:$O$99,15,0))</f>
        <v>0</v>
      </c>
      <c r="W234" s="4">
        <f>IF(ISERROR(VLOOKUP($T$234,'TAR FIN'!$A$1:$O$99,15,0)),0,VLOOKUP($T$234,'TAR FIN'!$A$1:$O$99,15,0))</f>
        <v>65.13</v>
      </c>
      <c r="X234" s="4">
        <f>IF(ISERROR(VLOOKUP($U$234,'TAR FIN'!$A$1:$O$99,15,0)),0,VLOOKUP($U$234,'TAR FIN'!$A$1:$O$99,15,0))</f>
        <v>219.97</v>
      </c>
      <c r="Y234" s="4">
        <f ca="1">('TUSD BE'!$AM$6+'TUSD BF'!$AM$6+'TUSD CVA'!$AM$6)*1</f>
        <v>16.343876453142602</v>
      </c>
      <c r="Z234" s="4">
        <f ca="1">('TUSD BE'!$AM$7+'TUSD BF'!$AM$7+'TUSD CVA'!$AM$7)*1</f>
        <v>76.243476502957677</v>
      </c>
      <c r="AA234" s="4">
        <f>('TE BE'!$AA$6+'TE BF'!$AA$6+'TE CVA'!$AA$6)*1</f>
        <v>271.13910989737087</v>
      </c>
      <c r="AB234" s="4">
        <f>$K$234*$V$234</f>
        <v>0</v>
      </c>
      <c r="AC234" s="4">
        <f>$M$234*$W$234</f>
        <v>-2499.142308</v>
      </c>
      <c r="AD234" s="4">
        <f>$O$234*$X$234</f>
        <v>-8440.6008519999996</v>
      </c>
      <c r="AE234" s="4">
        <f ca="1">$K$234*$Y$234</f>
        <v>0</v>
      </c>
      <c r="AF234" s="4">
        <f ca="1">$M$234*$Z$234</f>
        <v>-2925.584182980891</v>
      </c>
      <c r="AG234" s="4">
        <f>$O$234*$AA$234</f>
        <v>-10404.041469337957</v>
      </c>
    </row>
    <row r="235" spans="1:33" ht="11.25" customHeight="1" x14ac:dyDescent="0.25">
      <c r="A235" s="3" t="s">
        <v>21</v>
      </c>
      <c r="B235" s="3" t="s">
        <v>41</v>
      </c>
      <c r="C235" s="3" t="s">
        <v>42</v>
      </c>
      <c r="D235" s="3" t="s">
        <v>45</v>
      </c>
      <c r="E235" s="3" t="s">
        <v>53</v>
      </c>
      <c r="F235" s="3" t="s">
        <v>55</v>
      </c>
      <c r="G235" s="3" t="s">
        <v>25</v>
      </c>
      <c r="H235" s="3" t="s">
        <v>36</v>
      </c>
      <c r="I235" s="6">
        <v>44440</v>
      </c>
      <c r="J235" s="4">
        <v>0</v>
      </c>
      <c r="K235" s="4">
        <v>0</v>
      </c>
      <c r="L235" s="4">
        <v>2586.7269999999999</v>
      </c>
      <c r="M235" s="4">
        <v>258.67270000000002</v>
      </c>
      <c r="N235" s="4">
        <v>2586.7269999999999</v>
      </c>
      <c r="O235" s="4">
        <v>258.67270000000002</v>
      </c>
      <c r="P235" s="4">
        <v>0</v>
      </c>
      <c r="Q235" s="3" t="s">
        <v>26</v>
      </c>
      <c r="R235" s="3">
        <v>0</v>
      </c>
      <c r="S235" s="4">
        <v>0</v>
      </c>
      <c r="T235" s="4">
        <v>94</v>
      </c>
      <c r="U235" s="4">
        <v>48</v>
      </c>
      <c r="V235" s="4">
        <f>IF(ISERROR(VLOOKUP($S$235,'TAR FIN'!$A$1:$O$99,15,0)),0,VLOOKUP($S$235,'TAR FIN'!$A$1:$O$99,15,0))</f>
        <v>0</v>
      </c>
      <c r="W235" s="4">
        <f>IF(ISERROR(VLOOKUP($T$235,'TAR FIN'!$A$1:$O$99,15,0)),0,VLOOKUP($T$235,'TAR FIN'!$A$1:$O$99,15,0))</f>
        <v>65.13</v>
      </c>
      <c r="X235" s="4">
        <f>IF(ISERROR(VLOOKUP($U$235,'TAR FIN'!$A$1:$O$99,15,0)),0,VLOOKUP($U$235,'TAR FIN'!$A$1:$O$99,15,0))</f>
        <v>219.97</v>
      </c>
      <c r="Y235" s="4">
        <f ca="1">('TUSD BE'!$AM$6+'TUSD BF'!$AM$6+'TUSD CVA'!$AM$6)*1</f>
        <v>16.343876453142602</v>
      </c>
      <c r="Z235" s="4">
        <f ca="1">('TUSD BE'!$AM$7+'TUSD BF'!$AM$7+'TUSD CVA'!$AM$7)*1</f>
        <v>76.243476502957677</v>
      </c>
      <c r="AA235" s="4">
        <f>('TE BE'!$AA$6+'TE BF'!$AA$6+'TE CVA'!$AA$6)*1</f>
        <v>271.13910989737087</v>
      </c>
      <c r="AB235" s="4">
        <f>$K$235*$V$235</f>
        <v>0</v>
      </c>
      <c r="AC235" s="4">
        <f>$M$235*$W$235</f>
        <v>16847.352951000001</v>
      </c>
      <c r="AD235" s="4">
        <f>$O$235*$X$235</f>
        <v>56900.233819000001</v>
      </c>
      <c r="AE235" s="4">
        <f ca="1">$K$235*$Y$235</f>
        <v>0</v>
      </c>
      <c r="AF235" s="4">
        <f ca="1">$M$235*$Z$235</f>
        <v>19722.10592440662</v>
      </c>
      <c r="AG235" s="4">
        <f>$O$235*$AA$235</f>
        <v>70136.285632749656</v>
      </c>
    </row>
    <row r="236" spans="1:33" ht="11.25" customHeight="1" x14ac:dyDescent="0.25">
      <c r="A236" s="3" t="s">
        <v>21</v>
      </c>
      <c r="B236" s="3" t="s">
        <v>41</v>
      </c>
      <c r="C236" s="3" t="s">
        <v>42</v>
      </c>
      <c r="D236" s="3" t="s">
        <v>45</v>
      </c>
      <c r="E236" s="3" t="s">
        <v>53</v>
      </c>
      <c r="F236" s="3" t="s">
        <v>55</v>
      </c>
      <c r="G236" s="3" t="s">
        <v>25</v>
      </c>
      <c r="H236" s="3" t="s">
        <v>36</v>
      </c>
      <c r="I236" s="6">
        <v>44470</v>
      </c>
      <c r="J236" s="4">
        <v>0</v>
      </c>
      <c r="K236" s="4">
        <v>0</v>
      </c>
      <c r="L236" s="4">
        <v>6206.6970000000001</v>
      </c>
      <c r="M236" s="4">
        <v>620.66970000000003</v>
      </c>
      <c r="N236" s="4">
        <v>6206.6970000000001</v>
      </c>
      <c r="O236" s="4">
        <v>620.66970000000003</v>
      </c>
      <c r="P236" s="4">
        <v>0</v>
      </c>
      <c r="Q236" s="3" t="s">
        <v>26</v>
      </c>
      <c r="R236" s="3">
        <v>0</v>
      </c>
      <c r="S236" s="4">
        <v>0</v>
      </c>
      <c r="T236" s="4">
        <v>94</v>
      </c>
      <c r="U236" s="4">
        <v>48</v>
      </c>
      <c r="V236" s="4">
        <f>IF(ISERROR(VLOOKUP($S$236,'TAR FIN'!$A$1:$O$99,15,0)),0,VLOOKUP($S$236,'TAR FIN'!$A$1:$O$99,15,0))</f>
        <v>0</v>
      </c>
      <c r="W236" s="4">
        <f>IF(ISERROR(VLOOKUP($T$236,'TAR FIN'!$A$1:$O$99,15,0)),0,VLOOKUP($T$236,'TAR FIN'!$A$1:$O$99,15,0))</f>
        <v>65.13</v>
      </c>
      <c r="X236" s="4">
        <f>IF(ISERROR(VLOOKUP($U$236,'TAR FIN'!$A$1:$O$99,15,0)),0,VLOOKUP($U$236,'TAR FIN'!$A$1:$O$99,15,0))</f>
        <v>219.97</v>
      </c>
      <c r="Y236" s="4">
        <f ca="1">('TUSD BE'!$AM$6+'TUSD BF'!$AM$6+'TUSD CVA'!$AM$6)*1</f>
        <v>16.343876453142602</v>
      </c>
      <c r="Z236" s="4">
        <f ca="1">('TUSD BE'!$AM$7+'TUSD BF'!$AM$7+'TUSD CVA'!$AM$7)*1</f>
        <v>76.243476502957677</v>
      </c>
      <c r="AA236" s="4">
        <f>('TE BE'!$AA$6+'TE BF'!$AA$6+'TE CVA'!$AA$6)*1</f>
        <v>271.13910989737087</v>
      </c>
      <c r="AB236" s="4">
        <f>$K$236*$V$236</f>
        <v>0</v>
      </c>
      <c r="AC236" s="4">
        <f>$M$236*$W$236</f>
        <v>40424.217560999998</v>
      </c>
      <c r="AD236" s="4">
        <f>$O$236*$X$236</f>
        <v>136528.71390900001</v>
      </c>
      <c r="AE236" s="4">
        <f ca="1">$K$236*$Y$236</f>
        <v>0</v>
      </c>
      <c r="AF236" s="4">
        <f ca="1">$M$236*$Z$236</f>
        <v>47322.015688047795</v>
      </c>
      <c r="AG236" s="4">
        <f>$O$236*$AA$236</f>
        <v>168287.82999826822</v>
      </c>
    </row>
    <row r="237" spans="1:33" ht="11.25" customHeight="1" x14ac:dyDescent="0.25">
      <c r="A237" s="3" t="s">
        <v>21</v>
      </c>
      <c r="B237" s="3" t="s">
        <v>41</v>
      </c>
      <c r="C237" s="3" t="s">
        <v>42</v>
      </c>
      <c r="D237" s="3" t="s">
        <v>45</v>
      </c>
      <c r="E237" s="3" t="s">
        <v>53</v>
      </c>
      <c r="F237" s="3" t="s">
        <v>55</v>
      </c>
      <c r="G237" s="3" t="s">
        <v>25</v>
      </c>
      <c r="H237" s="3" t="s">
        <v>36</v>
      </c>
      <c r="I237" s="6">
        <v>44501</v>
      </c>
      <c r="J237" s="4">
        <v>0</v>
      </c>
      <c r="K237" s="4">
        <v>0</v>
      </c>
      <c r="L237" s="4">
        <v>6926.8459999999995</v>
      </c>
      <c r="M237" s="4">
        <v>692.68460000000005</v>
      </c>
      <c r="N237" s="4">
        <v>6926.8459999999995</v>
      </c>
      <c r="O237" s="4">
        <v>692.68460000000005</v>
      </c>
      <c r="P237" s="4">
        <v>0</v>
      </c>
      <c r="Q237" s="3" t="s">
        <v>26</v>
      </c>
      <c r="R237" s="3">
        <v>0</v>
      </c>
      <c r="S237" s="4">
        <v>0</v>
      </c>
      <c r="T237" s="4">
        <v>94</v>
      </c>
      <c r="U237" s="4">
        <v>48</v>
      </c>
      <c r="V237" s="4">
        <f>IF(ISERROR(VLOOKUP($S$237,'TAR FIN'!$A$1:$O$99,15,0)),0,VLOOKUP($S$237,'TAR FIN'!$A$1:$O$99,15,0))</f>
        <v>0</v>
      </c>
      <c r="W237" s="4">
        <f>IF(ISERROR(VLOOKUP($T$237,'TAR FIN'!$A$1:$O$99,15,0)),0,VLOOKUP($T$237,'TAR FIN'!$A$1:$O$99,15,0))</f>
        <v>65.13</v>
      </c>
      <c r="X237" s="4">
        <f>IF(ISERROR(VLOOKUP($U$237,'TAR FIN'!$A$1:$O$99,15,0)),0,VLOOKUP($U$237,'TAR FIN'!$A$1:$O$99,15,0))</f>
        <v>219.97</v>
      </c>
      <c r="Y237" s="4">
        <f ca="1">('TUSD BE'!$AM$6+'TUSD BF'!$AM$6+'TUSD CVA'!$AM$6)*1</f>
        <v>16.343876453142602</v>
      </c>
      <c r="Z237" s="4">
        <f ca="1">('TUSD BE'!$AM$7+'TUSD BF'!$AM$7+'TUSD CVA'!$AM$7)*1</f>
        <v>76.243476502957677</v>
      </c>
      <c r="AA237" s="4">
        <f>('TE BE'!$AA$6+'TE BF'!$AA$6+'TE CVA'!$AA$6)*1</f>
        <v>271.13910989737087</v>
      </c>
      <c r="AB237" s="4">
        <f>$K$237*$V$237</f>
        <v>0</v>
      </c>
      <c r="AC237" s="4">
        <f>$M$237*$W$237</f>
        <v>45114.547998000002</v>
      </c>
      <c r="AD237" s="4">
        <f>$O$237*$X$237</f>
        <v>152369.831462</v>
      </c>
      <c r="AE237" s="4">
        <f ca="1">$K$237*$Y$237</f>
        <v>0</v>
      </c>
      <c r="AF237" s="4">
        <f ca="1">$M$237*$Z$237</f>
        <v>52812.682024060639</v>
      </c>
      <c r="AG237" s="4">
        <f>$O$237*$AA$237</f>
        <v>187813.8858836164</v>
      </c>
    </row>
    <row r="238" spans="1:33" ht="11.25" customHeight="1" x14ac:dyDescent="0.25">
      <c r="A238" s="3" t="s">
        <v>21</v>
      </c>
      <c r="B238" s="3" t="s">
        <v>41</v>
      </c>
      <c r="C238" s="3" t="s">
        <v>42</v>
      </c>
      <c r="D238" s="3" t="s">
        <v>45</v>
      </c>
      <c r="E238" s="3" t="s">
        <v>53</v>
      </c>
      <c r="F238" s="3" t="s">
        <v>55</v>
      </c>
      <c r="G238" s="3" t="s">
        <v>25</v>
      </c>
      <c r="H238" s="3" t="s">
        <v>36</v>
      </c>
      <c r="I238" s="6">
        <v>44531</v>
      </c>
      <c r="J238" s="4">
        <v>0</v>
      </c>
      <c r="K238" s="4">
        <v>0</v>
      </c>
      <c r="L238" s="4">
        <v>6748.4269999999997</v>
      </c>
      <c r="M238" s="4">
        <v>674.84270000000004</v>
      </c>
      <c r="N238" s="4">
        <v>6748.4269999999997</v>
      </c>
      <c r="O238" s="4">
        <v>674.84270000000004</v>
      </c>
      <c r="P238" s="4">
        <v>0</v>
      </c>
      <c r="Q238" s="3" t="s">
        <v>26</v>
      </c>
      <c r="R238" s="3">
        <v>0</v>
      </c>
      <c r="S238" s="4">
        <v>0</v>
      </c>
      <c r="T238" s="4">
        <v>94</v>
      </c>
      <c r="U238" s="4">
        <v>48</v>
      </c>
      <c r="V238" s="4">
        <f>IF(ISERROR(VLOOKUP($S$238,'TAR FIN'!$A$1:$O$99,15,0)),0,VLOOKUP($S$238,'TAR FIN'!$A$1:$O$99,15,0))</f>
        <v>0</v>
      </c>
      <c r="W238" s="4">
        <f>IF(ISERROR(VLOOKUP($T$238,'TAR FIN'!$A$1:$O$99,15,0)),0,VLOOKUP($T$238,'TAR FIN'!$A$1:$O$99,15,0))</f>
        <v>65.13</v>
      </c>
      <c r="X238" s="4">
        <f>IF(ISERROR(VLOOKUP($U$238,'TAR FIN'!$A$1:$O$99,15,0)),0,VLOOKUP($U$238,'TAR FIN'!$A$1:$O$99,15,0))</f>
        <v>219.97</v>
      </c>
      <c r="Y238" s="4">
        <f ca="1">('TUSD BE'!$AM$6+'TUSD BF'!$AM$6+'TUSD CVA'!$AM$6)*1</f>
        <v>16.343876453142602</v>
      </c>
      <c r="Z238" s="4">
        <f ca="1">('TUSD BE'!$AM$7+'TUSD BF'!$AM$7+'TUSD CVA'!$AM$7)*1</f>
        <v>76.243476502957677</v>
      </c>
      <c r="AA238" s="4">
        <f>('TE BE'!$AA$6+'TE BF'!$AA$6+'TE CVA'!$AA$6)*1</f>
        <v>271.13910989737087</v>
      </c>
      <c r="AB238" s="4">
        <f>$K$238*$V$238</f>
        <v>0</v>
      </c>
      <c r="AC238" s="4">
        <f>$M$238*$W$238</f>
        <v>43952.505051</v>
      </c>
      <c r="AD238" s="4">
        <f>$O$238*$X$238</f>
        <v>148445.14871900002</v>
      </c>
      <c r="AE238" s="4">
        <f ca="1">$K$238*$Y$238</f>
        <v>0</v>
      </c>
      <c r="AF238" s="4">
        <f ca="1">$M$238*$Z$238</f>
        <v>51452.353540642522</v>
      </c>
      <c r="AG238" s="4">
        <f>$O$238*$AA$238</f>
        <v>182976.24899873851</v>
      </c>
    </row>
    <row r="239" spans="1:33" ht="11.25" customHeight="1" x14ac:dyDescent="0.25">
      <c r="A239" s="3" t="s">
        <v>21</v>
      </c>
      <c r="B239" s="3" t="s">
        <v>41</v>
      </c>
      <c r="C239" s="3" t="s">
        <v>42</v>
      </c>
      <c r="D239" s="3" t="s">
        <v>45</v>
      </c>
      <c r="E239" s="3" t="s">
        <v>53</v>
      </c>
      <c r="F239" s="3" t="s">
        <v>55</v>
      </c>
      <c r="G239" s="3" t="s">
        <v>25</v>
      </c>
      <c r="H239" s="3" t="s">
        <v>36</v>
      </c>
      <c r="I239" s="6">
        <v>44562</v>
      </c>
      <c r="J239" s="4">
        <v>0</v>
      </c>
      <c r="K239" s="4">
        <v>0</v>
      </c>
      <c r="L239" s="4">
        <v>5667.16</v>
      </c>
      <c r="M239" s="4">
        <v>566.71600000000001</v>
      </c>
      <c r="N239" s="4">
        <v>5667.16</v>
      </c>
      <c r="O239" s="4">
        <v>566.71600000000001</v>
      </c>
      <c r="P239" s="4">
        <v>0</v>
      </c>
      <c r="Q239" s="3" t="s">
        <v>26</v>
      </c>
      <c r="R239" s="3">
        <v>0</v>
      </c>
      <c r="S239" s="4">
        <v>0</v>
      </c>
      <c r="T239" s="4">
        <v>94</v>
      </c>
      <c r="U239" s="4">
        <v>48</v>
      </c>
      <c r="V239" s="4">
        <f>IF(ISERROR(VLOOKUP($S$239,'TAR FIN'!$A$1:$O$99,15,0)),0,VLOOKUP($S$239,'TAR FIN'!$A$1:$O$99,15,0))</f>
        <v>0</v>
      </c>
      <c r="W239" s="4">
        <f>IF(ISERROR(VLOOKUP($T$239,'TAR FIN'!$A$1:$O$99,15,0)),0,VLOOKUP($T$239,'TAR FIN'!$A$1:$O$99,15,0))</f>
        <v>65.13</v>
      </c>
      <c r="X239" s="4">
        <f>IF(ISERROR(VLOOKUP($U$239,'TAR FIN'!$A$1:$O$99,15,0)),0,VLOOKUP($U$239,'TAR FIN'!$A$1:$O$99,15,0))</f>
        <v>219.97</v>
      </c>
      <c r="Y239" s="4">
        <f ca="1">('TUSD BE'!$AM$6+'TUSD BF'!$AM$6+'TUSD CVA'!$AM$6)*1</f>
        <v>16.343876453142602</v>
      </c>
      <c r="Z239" s="4">
        <f ca="1">('TUSD BE'!$AM$7+'TUSD BF'!$AM$7+'TUSD CVA'!$AM$7)*1</f>
        <v>76.243476502957677</v>
      </c>
      <c r="AA239" s="4">
        <f>('TE BE'!$AA$6+'TE BF'!$AA$6+'TE CVA'!$AA$6)*1</f>
        <v>271.13910989737087</v>
      </c>
      <c r="AB239" s="4">
        <f>$K$239*$V$239</f>
        <v>0</v>
      </c>
      <c r="AC239" s="4">
        <f>$M$239*$W$239</f>
        <v>36910.213080000001</v>
      </c>
      <c r="AD239" s="4">
        <f>$O$239*$X$239</f>
        <v>124660.51852</v>
      </c>
      <c r="AE239" s="4">
        <f ca="1">$K$239*$Y$239</f>
        <v>0</v>
      </c>
      <c r="AF239" s="4">
        <f ca="1">$M$239*$Z$239</f>
        <v>43208.398029850163</v>
      </c>
      <c r="AG239" s="4">
        <f>$O$239*$AA$239</f>
        <v>153658.87180459843</v>
      </c>
    </row>
    <row r="240" spans="1:33" ht="11.25" customHeight="1" x14ac:dyDescent="0.25">
      <c r="A240" s="3" t="s">
        <v>21</v>
      </c>
      <c r="B240" s="3" t="s">
        <v>41</v>
      </c>
      <c r="C240" s="3" t="s">
        <v>42</v>
      </c>
      <c r="D240" s="3" t="s">
        <v>45</v>
      </c>
      <c r="E240" s="3" t="s">
        <v>53</v>
      </c>
      <c r="F240" s="3" t="s">
        <v>55</v>
      </c>
      <c r="G240" s="3" t="s">
        <v>25</v>
      </c>
      <c r="H240" s="3" t="s">
        <v>36</v>
      </c>
      <c r="I240" s="6">
        <v>44593</v>
      </c>
      <c r="J240" s="4">
        <v>0</v>
      </c>
      <c r="K240" s="4">
        <v>0</v>
      </c>
      <c r="L240" s="4">
        <v>5531.8760000000002</v>
      </c>
      <c r="M240" s="4">
        <v>553.18759999999997</v>
      </c>
      <c r="N240" s="4">
        <v>5531.8760000000002</v>
      </c>
      <c r="O240" s="4">
        <v>553.18759999999997</v>
      </c>
      <c r="P240" s="4">
        <v>0</v>
      </c>
      <c r="Q240" s="3" t="s">
        <v>26</v>
      </c>
      <c r="R240" s="3">
        <v>0</v>
      </c>
      <c r="S240" s="4">
        <v>0</v>
      </c>
      <c r="T240" s="4">
        <v>94</v>
      </c>
      <c r="U240" s="4">
        <v>48</v>
      </c>
      <c r="V240" s="4">
        <f>IF(ISERROR(VLOOKUP($S$240,'TAR FIN'!$A$1:$O$99,15,0)),0,VLOOKUP($S$240,'TAR FIN'!$A$1:$O$99,15,0))</f>
        <v>0</v>
      </c>
      <c r="W240" s="4">
        <f>IF(ISERROR(VLOOKUP($T$240,'TAR FIN'!$A$1:$O$99,15,0)),0,VLOOKUP($T$240,'TAR FIN'!$A$1:$O$99,15,0))</f>
        <v>65.13</v>
      </c>
      <c r="X240" s="4">
        <f>IF(ISERROR(VLOOKUP($U$240,'TAR FIN'!$A$1:$O$99,15,0)),0,VLOOKUP($U$240,'TAR FIN'!$A$1:$O$99,15,0))</f>
        <v>219.97</v>
      </c>
      <c r="Y240" s="4">
        <f ca="1">('TUSD BE'!$AM$6+'TUSD BF'!$AM$6+'TUSD CVA'!$AM$6)*1</f>
        <v>16.343876453142602</v>
      </c>
      <c r="Z240" s="4">
        <f ca="1">('TUSD BE'!$AM$7+'TUSD BF'!$AM$7+'TUSD CVA'!$AM$7)*1</f>
        <v>76.243476502957677</v>
      </c>
      <c r="AA240" s="4">
        <f>('TE BE'!$AA$6+'TE BF'!$AA$6+'TE CVA'!$AA$6)*1</f>
        <v>271.13910989737087</v>
      </c>
      <c r="AB240" s="4">
        <f>$K$240*$V$240</f>
        <v>0</v>
      </c>
      <c r="AC240" s="4">
        <f>$M$240*$W$240</f>
        <v>36029.108387999993</v>
      </c>
      <c r="AD240" s="4">
        <f>$O$240*$X$240</f>
        <v>121684.67637199999</v>
      </c>
      <c r="AE240" s="4">
        <f ca="1">$K$240*$Y$240</f>
        <v>0</v>
      </c>
      <c r="AF240" s="4">
        <f ca="1">$M$240*$Z$240</f>
        <v>42176.945782327552</v>
      </c>
      <c r="AG240" s="4">
        <f>$O$240*$AA$240</f>
        <v>149990.79347026284</v>
      </c>
    </row>
    <row r="241" spans="1:33" ht="11.25" customHeight="1" x14ac:dyDescent="0.25">
      <c r="A241" s="3" t="s">
        <v>21</v>
      </c>
      <c r="B241" s="3" t="s">
        <v>41</v>
      </c>
      <c r="C241" s="3" t="s">
        <v>42</v>
      </c>
      <c r="D241" s="3" t="s">
        <v>45</v>
      </c>
      <c r="E241" s="3" t="s">
        <v>53</v>
      </c>
      <c r="F241" s="3" t="s">
        <v>55</v>
      </c>
      <c r="G241" s="3" t="s">
        <v>25</v>
      </c>
      <c r="H241" s="3" t="s">
        <v>36</v>
      </c>
      <c r="I241" s="6">
        <v>44621</v>
      </c>
      <c r="J241" s="4">
        <v>0</v>
      </c>
      <c r="K241" s="4">
        <v>0</v>
      </c>
      <c r="L241" s="4">
        <v>2837.616</v>
      </c>
      <c r="M241" s="4">
        <v>283.76159999999999</v>
      </c>
      <c r="N241" s="4">
        <v>2837.616</v>
      </c>
      <c r="O241" s="4">
        <v>283.76159999999999</v>
      </c>
      <c r="P241" s="4">
        <v>0</v>
      </c>
      <c r="Q241" s="3" t="s">
        <v>26</v>
      </c>
      <c r="R241" s="3">
        <v>0</v>
      </c>
      <c r="S241" s="4">
        <v>0</v>
      </c>
      <c r="T241" s="4">
        <v>94</v>
      </c>
      <c r="U241" s="4">
        <v>48</v>
      </c>
      <c r="V241" s="4">
        <f>IF(ISERROR(VLOOKUP($S$241,'TAR FIN'!$A$1:$O$99,15,0)),0,VLOOKUP($S$241,'TAR FIN'!$A$1:$O$99,15,0))</f>
        <v>0</v>
      </c>
      <c r="W241" s="4">
        <f>IF(ISERROR(VLOOKUP($T$241,'TAR FIN'!$A$1:$O$99,15,0)),0,VLOOKUP($T$241,'TAR FIN'!$A$1:$O$99,15,0))</f>
        <v>65.13</v>
      </c>
      <c r="X241" s="4">
        <f>IF(ISERROR(VLOOKUP($U$241,'TAR FIN'!$A$1:$O$99,15,0)),0,VLOOKUP($U$241,'TAR FIN'!$A$1:$O$99,15,0))</f>
        <v>219.97</v>
      </c>
      <c r="Y241" s="4">
        <f ca="1">('TUSD BE'!$AM$6+'TUSD BF'!$AM$6+'TUSD CVA'!$AM$6)*1</f>
        <v>16.343876453142602</v>
      </c>
      <c r="Z241" s="4">
        <f ca="1">('TUSD BE'!$AM$7+'TUSD BF'!$AM$7+'TUSD CVA'!$AM$7)*1</f>
        <v>76.243476502957677</v>
      </c>
      <c r="AA241" s="4">
        <f>('TE BE'!$AA$6+'TE BF'!$AA$6+'TE CVA'!$AA$6)*1</f>
        <v>271.13910989737087</v>
      </c>
      <c r="AB241" s="4">
        <f>$K$241*$V$241</f>
        <v>0</v>
      </c>
      <c r="AC241" s="4">
        <f>$M$241*$W$241</f>
        <v>18481.393007999999</v>
      </c>
      <c r="AD241" s="4">
        <f>$O$241*$X$241</f>
        <v>62419.039151999998</v>
      </c>
      <c r="AE241" s="4">
        <f ca="1">$K$241*$Y$241</f>
        <v>0</v>
      </c>
      <c r="AF241" s="4">
        <f ca="1">$M$241*$Z$241</f>
        <v>21634.970882041674</v>
      </c>
      <c r="AG241" s="4">
        <f>$O$241*$AA$241</f>
        <v>76938.86764705379</v>
      </c>
    </row>
    <row r="242" spans="1:33" ht="11.25" customHeight="1" x14ac:dyDescent="0.25">
      <c r="A242" s="3" t="s">
        <v>56</v>
      </c>
      <c r="B242" s="3" t="s">
        <v>41</v>
      </c>
      <c r="C242" s="3" t="s">
        <v>42</v>
      </c>
      <c r="D242" s="3" t="s">
        <v>45</v>
      </c>
      <c r="E242" s="3" t="s">
        <v>53</v>
      </c>
      <c r="F242" s="3" t="s">
        <v>55</v>
      </c>
      <c r="G242" s="3" t="s">
        <v>25</v>
      </c>
      <c r="H242" s="3" t="s">
        <v>36</v>
      </c>
      <c r="I242" s="6">
        <v>44652</v>
      </c>
      <c r="J242" s="4">
        <v>0</v>
      </c>
      <c r="K242" s="4">
        <v>0</v>
      </c>
      <c r="L242" s="4">
        <v>2837.616</v>
      </c>
      <c r="M242" s="4">
        <v>283.76159999999999</v>
      </c>
      <c r="N242" s="4">
        <v>2837.616</v>
      </c>
      <c r="O242" s="4">
        <v>283.76159999999999</v>
      </c>
      <c r="P242" s="4">
        <v>0</v>
      </c>
      <c r="Q242" s="3" t="s">
        <v>26</v>
      </c>
      <c r="R242" s="3">
        <v>0</v>
      </c>
      <c r="S242" s="4">
        <v>0</v>
      </c>
      <c r="T242" s="4">
        <v>94</v>
      </c>
      <c r="U242" s="4">
        <v>48</v>
      </c>
      <c r="V242" s="4">
        <f>IF(ISERROR(VLOOKUP($S$242,'TAR FIN'!$A$1:$O$99,15,0)),0,VLOOKUP($S$242,'TAR FIN'!$A$1:$O$99,15,0))</f>
        <v>0</v>
      </c>
      <c r="W242" s="4">
        <f>IF(ISERROR(VLOOKUP($T$242,'TAR FIN'!$A$1:$O$99,15,0)),0,VLOOKUP($T$242,'TAR FIN'!$A$1:$O$99,15,0))</f>
        <v>65.13</v>
      </c>
      <c r="X242" s="4">
        <f>IF(ISERROR(VLOOKUP($U$242,'TAR FIN'!$A$1:$O$99,15,0)),0,VLOOKUP($U$242,'TAR FIN'!$A$1:$O$99,15,0))</f>
        <v>219.97</v>
      </c>
      <c r="Y242" s="4">
        <f ca="1">('TUSD BE'!$AM$6+'TUSD BF'!$AM$6+'TUSD CVA'!$AM$6)*1</f>
        <v>16.343876453142602</v>
      </c>
      <c r="Z242" s="4">
        <f ca="1">('TUSD BE'!$AM$7+'TUSD BF'!$AM$7+'TUSD CVA'!$AM$7)*1</f>
        <v>76.243476502957677</v>
      </c>
      <c r="AA242" s="4">
        <f>('TE BE'!$AA$6+'TE BF'!$AA$6+'TE CVA'!$AA$6)*1</f>
        <v>271.13910989737087</v>
      </c>
      <c r="AB242" s="4">
        <f>$K$242*$V$242</f>
        <v>0</v>
      </c>
      <c r="AC242" s="4">
        <f>$M$242*$W$242</f>
        <v>18481.393007999999</v>
      </c>
      <c r="AD242" s="4">
        <f>$O$242*$X$242</f>
        <v>62419.039151999998</v>
      </c>
      <c r="AE242" s="4">
        <f ca="1">$K$242*$Y$242</f>
        <v>0</v>
      </c>
      <c r="AF242" s="4">
        <f ca="1">$M$242*$Z$242</f>
        <v>21634.970882041674</v>
      </c>
      <c r="AG242" s="4">
        <f>$O$242*$AA$242</f>
        <v>76938.86764705379</v>
      </c>
    </row>
    <row r="243" spans="1:33" ht="11.25" customHeight="1" x14ac:dyDescent="0.25">
      <c r="A243" s="3" t="s">
        <v>21</v>
      </c>
      <c r="B243" s="3" t="s">
        <v>41</v>
      </c>
      <c r="C243" s="3" t="s">
        <v>42</v>
      </c>
      <c r="D243" s="3" t="s">
        <v>45</v>
      </c>
      <c r="E243" s="3" t="s">
        <v>53</v>
      </c>
      <c r="F243" s="3" t="s">
        <v>25</v>
      </c>
      <c r="G243" s="3" t="s">
        <v>25</v>
      </c>
      <c r="H243" s="3" t="s">
        <v>36</v>
      </c>
      <c r="I243" s="6">
        <v>44317</v>
      </c>
      <c r="J243" s="4">
        <v>6202</v>
      </c>
      <c r="K243" s="70">
        <v>6202</v>
      </c>
      <c r="L243" s="4">
        <v>736.85199999999998</v>
      </c>
      <c r="M243" s="70">
        <v>736.85199999999998</v>
      </c>
      <c r="N243" s="4">
        <v>736.85199999999998</v>
      </c>
      <c r="O243" s="70">
        <v>736.85199999999998</v>
      </c>
      <c r="P243" s="4">
        <v>0</v>
      </c>
      <c r="Q243" s="3" t="s">
        <v>26</v>
      </c>
      <c r="R243" s="3">
        <v>0</v>
      </c>
      <c r="S243" s="4">
        <v>93</v>
      </c>
      <c r="T243" s="4">
        <v>94</v>
      </c>
      <c r="U243" s="4">
        <v>48</v>
      </c>
      <c r="V243" s="70">
        <f>IF(ISERROR(VLOOKUP($S$243,'TAR FIN'!$A$1:$O$99,15,0)),0,VLOOKUP($S$243,'TAR FIN'!$A$1:$O$99,15,0))*(1-0.04)</f>
        <v>14.620799999999999</v>
      </c>
      <c r="W243" s="70">
        <f>IF(ISERROR(VLOOKUP($T$243,'TAR FIN'!$A$1:$O$99,15,0)),0,VLOOKUP($T$243,'TAR FIN'!$A$1:$O$99,15,0))*(1-0.04)</f>
        <v>62.524799999999992</v>
      </c>
      <c r="X243" s="70">
        <f>IF(ISERROR(VLOOKUP($U$243,'TAR FIN'!$A$1:$O$99,15,0)),0,VLOOKUP($U$243,'TAR FIN'!$A$1:$O$99,15,0))*(1-0.04)</f>
        <v>211.1712</v>
      </c>
      <c r="Y243" s="70">
        <f ca="1">('TUSD BE'!$AM$6+'TUSD BF'!$AM$6+'TUSD CVA'!$AM$6)*1*(1-0.02)</f>
        <v>16.016998924079751</v>
      </c>
      <c r="Z243" s="70">
        <f ca="1">('TUSD BE'!$AM$7+'TUSD BF'!$AM$7+'TUSD CVA'!$AM$7)*1*(1-0.02)</f>
        <v>74.718606972898527</v>
      </c>
      <c r="AA243" s="70">
        <f>('TE BE'!$AA$6+'TE BF'!$AA$6+'TE CVA'!$AA$6)*1*(1-0.02)</f>
        <v>265.71632769942346</v>
      </c>
      <c r="AB243" s="4">
        <f>$K$243*$V$243</f>
        <v>90678.2016</v>
      </c>
      <c r="AC243" s="4">
        <f>$M$243*$W$243</f>
        <v>46071.523929599993</v>
      </c>
      <c r="AD243" s="4">
        <f>$O$243*$X$243</f>
        <v>155601.92106239998</v>
      </c>
      <c r="AE243" s="4">
        <f ca="1">$K$243*$Y$243</f>
        <v>99337.427327142606</v>
      </c>
      <c r="AF243" s="4">
        <f ca="1">$M$243*$Z$243</f>
        <v>55056.554985194227</v>
      </c>
      <c r="AG243" s="4">
        <f>$O$243*$AA$243</f>
        <v>195793.60749797558</v>
      </c>
    </row>
    <row r="244" spans="1:33" ht="11.25" customHeight="1" x14ac:dyDescent="0.25">
      <c r="A244" s="3" t="s">
        <v>21</v>
      </c>
      <c r="B244" s="3" t="s">
        <v>41</v>
      </c>
      <c r="C244" s="3" t="s">
        <v>42</v>
      </c>
      <c r="D244" s="3" t="s">
        <v>45</v>
      </c>
      <c r="E244" s="3" t="s">
        <v>53</v>
      </c>
      <c r="F244" s="3" t="s">
        <v>25</v>
      </c>
      <c r="G244" s="3" t="s">
        <v>25</v>
      </c>
      <c r="H244" s="3" t="s">
        <v>36</v>
      </c>
      <c r="I244" s="6">
        <v>44348</v>
      </c>
      <c r="J244" s="4">
        <v>5712</v>
      </c>
      <c r="K244" s="70">
        <v>5712</v>
      </c>
      <c r="L244" s="4">
        <v>681.64200000000005</v>
      </c>
      <c r="M244" s="70">
        <v>681.64200000000005</v>
      </c>
      <c r="N244" s="4">
        <v>681.64200000000005</v>
      </c>
      <c r="O244" s="70">
        <v>681.64200000000005</v>
      </c>
      <c r="P244" s="4">
        <v>0</v>
      </c>
      <c r="Q244" s="3" t="s">
        <v>26</v>
      </c>
      <c r="R244" s="3">
        <v>0</v>
      </c>
      <c r="S244" s="4">
        <v>93</v>
      </c>
      <c r="T244" s="4">
        <v>94</v>
      </c>
      <c r="U244" s="4">
        <v>48</v>
      </c>
      <c r="V244" s="70">
        <f>IF(ISERROR(VLOOKUP($S$244,'TAR FIN'!$A$1:$O$99,15,0)),0,VLOOKUP($S$244,'TAR FIN'!$A$1:$O$99,15,0))*(1-0.04)</f>
        <v>14.620799999999999</v>
      </c>
      <c r="W244" s="70">
        <f>IF(ISERROR(VLOOKUP($T$244,'TAR FIN'!$A$1:$O$99,15,0)),0,VLOOKUP($T$244,'TAR FIN'!$A$1:$O$99,15,0))*(1-0.04)</f>
        <v>62.524799999999992</v>
      </c>
      <c r="X244" s="70">
        <f>IF(ISERROR(VLOOKUP($U$244,'TAR FIN'!$A$1:$O$99,15,0)),0,VLOOKUP($U$244,'TAR FIN'!$A$1:$O$99,15,0))*(1-0.04)</f>
        <v>211.1712</v>
      </c>
      <c r="Y244" s="70">
        <f ca="1">('TUSD BE'!$AM$6+'TUSD BF'!$AM$6+'TUSD CVA'!$AM$6)*1*(1-0.02)</f>
        <v>16.016998924079751</v>
      </c>
      <c r="Z244" s="70">
        <f ca="1">('TUSD BE'!$AM$7+'TUSD BF'!$AM$7+'TUSD CVA'!$AM$7)*1*(1-0.02)</f>
        <v>74.718606972898527</v>
      </c>
      <c r="AA244" s="70">
        <f>('TE BE'!$AA$6+'TE BF'!$AA$6+'TE CVA'!$AA$6)*1*(1-0.02)</f>
        <v>265.71632769942346</v>
      </c>
      <c r="AB244" s="4">
        <f>$K$244*$V$244</f>
        <v>83514.00959999999</v>
      </c>
      <c r="AC244" s="4">
        <f>$M$244*$W$244</f>
        <v>42619.529721599996</v>
      </c>
      <c r="AD244" s="4">
        <f>$O$244*$X$244</f>
        <v>143943.15911040001</v>
      </c>
      <c r="AE244" s="4">
        <f ca="1">$K$244*$Y$244</f>
        <v>91489.097854343534</v>
      </c>
      <c r="AF244" s="4">
        <f ca="1">$M$244*$Z$244</f>
        <v>50931.340694220504</v>
      </c>
      <c r="AG244" s="4">
        <f>$O$244*$AA$244</f>
        <v>181123.40904569041</v>
      </c>
    </row>
    <row r="245" spans="1:33" ht="11.25" customHeight="1" x14ac:dyDescent="0.25">
      <c r="A245" s="3" t="s">
        <v>21</v>
      </c>
      <c r="B245" s="3" t="s">
        <v>41</v>
      </c>
      <c r="C245" s="3" t="s">
        <v>42</v>
      </c>
      <c r="D245" s="3" t="s">
        <v>45</v>
      </c>
      <c r="E245" s="3" t="s">
        <v>53</v>
      </c>
      <c r="F245" s="3" t="s">
        <v>25</v>
      </c>
      <c r="G245" s="3" t="s">
        <v>25</v>
      </c>
      <c r="H245" s="3" t="s">
        <v>36</v>
      </c>
      <c r="I245" s="6">
        <v>44378</v>
      </c>
      <c r="J245" s="4">
        <v>6117</v>
      </c>
      <c r="K245" s="70">
        <v>6117</v>
      </c>
      <c r="L245" s="4">
        <v>1326.828</v>
      </c>
      <c r="M245" s="70">
        <v>1326.828</v>
      </c>
      <c r="N245" s="4">
        <v>1326.828</v>
      </c>
      <c r="O245" s="70">
        <v>1326.828</v>
      </c>
      <c r="P245" s="4">
        <v>0</v>
      </c>
      <c r="Q245" s="3" t="s">
        <v>26</v>
      </c>
      <c r="R245" s="3">
        <v>0</v>
      </c>
      <c r="S245" s="4">
        <v>93</v>
      </c>
      <c r="T245" s="4">
        <v>94</v>
      </c>
      <c r="U245" s="4">
        <v>48</v>
      </c>
      <c r="V245" s="70">
        <f>IF(ISERROR(VLOOKUP($S$245,'TAR FIN'!$A$1:$O$99,15,0)),0,VLOOKUP($S$245,'TAR FIN'!$A$1:$O$99,15,0))*(1-0.04)</f>
        <v>14.620799999999999</v>
      </c>
      <c r="W245" s="70">
        <f>IF(ISERROR(VLOOKUP($T$245,'TAR FIN'!$A$1:$O$99,15,0)),0,VLOOKUP($T$245,'TAR FIN'!$A$1:$O$99,15,0))*(1-0.04)</f>
        <v>62.524799999999992</v>
      </c>
      <c r="X245" s="70">
        <f>IF(ISERROR(VLOOKUP($U$245,'TAR FIN'!$A$1:$O$99,15,0)),0,VLOOKUP($U$245,'TAR FIN'!$A$1:$O$99,15,0))*(1-0.04)</f>
        <v>211.1712</v>
      </c>
      <c r="Y245" s="70">
        <f ca="1">('TUSD BE'!$AM$6+'TUSD BF'!$AM$6+'TUSD CVA'!$AM$6)*1*(1-0.02)</f>
        <v>16.016998924079751</v>
      </c>
      <c r="Z245" s="70">
        <f ca="1">('TUSD BE'!$AM$7+'TUSD BF'!$AM$7+'TUSD CVA'!$AM$7)*1*(1-0.02)</f>
        <v>74.718606972898527</v>
      </c>
      <c r="AA245" s="70">
        <f>('TE BE'!$AA$6+'TE BF'!$AA$6+'TE CVA'!$AA$6)*1*(1-0.02)</f>
        <v>265.71632769942346</v>
      </c>
      <c r="AB245" s="4">
        <f>$K$245*$V$245</f>
        <v>89435.433599999989</v>
      </c>
      <c r="AC245" s="4">
        <f>$M$245*$W$245</f>
        <v>82959.655334399984</v>
      </c>
      <c r="AD245" s="4">
        <f>$O$245*$X$245</f>
        <v>280187.86095359997</v>
      </c>
      <c r="AE245" s="4">
        <f ca="1">$K$245*$Y$245</f>
        <v>97975.982418595828</v>
      </c>
      <c r="AF245" s="4">
        <f ca="1">$M$245*$Z$245</f>
        <v>99138.739852637009</v>
      </c>
      <c r="AG245" s="4">
        <f>$O$245*$AA$245</f>
        <v>352559.86364877061</v>
      </c>
    </row>
    <row r="246" spans="1:33" ht="11.25" customHeight="1" x14ac:dyDescent="0.25">
      <c r="A246" s="3" t="s">
        <v>21</v>
      </c>
      <c r="B246" s="3" t="s">
        <v>41</v>
      </c>
      <c r="C246" s="3" t="s">
        <v>42</v>
      </c>
      <c r="D246" s="3" t="s">
        <v>45</v>
      </c>
      <c r="E246" s="3" t="s">
        <v>53</v>
      </c>
      <c r="F246" s="3" t="s">
        <v>25</v>
      </c>
      <c r="G246" s="3" t="s">
        <v>25</v>
      </c>
      <c r="H246" s="3" t="s">
        <v>36</v>
      </c>
      <c r="I246" s="6">
        <v>44409</v>
      </c>
      <c r="J246" s="4">
        <v>5025</v>
      </c>
      <c r="K246" s="70">
        <v>5025</v>
      </c>
      <c r="L246" s="4">
        <v>345.79399999999998</v>
      </c>
      <c r="M246" s="70">
        <v>345.79399999999998</v>
      </c>
      <c r="N246" s="4">
        <v>345.79399999999998</v>
      </c>
      <c r="O246" s="70">
        <v>345.79399999999998</v>
      </c>
      <c r="P246" s="4">
        <v>0</v>
      </c>
      <c r="Q246" s="3" t="s">
        <v>26</v>
      </c>
      <c r="R246" s="3">
        <v>0</v>
      </c>
      <c r="S246" s="4">
        <v>93</v>
      </c>
      <c r="T246" s="4">
        <v>94</v>
      </c>
      <c r="U246" s="4">
        <v>48</v>
      </c>
      <c r="V246" s="70">
        <f>IF(ISERROR(VLOOKUP($S$246,'TAR FIN'!$A$1:$O$99,15,0)),0,VLOOKUP($S$246,'TAR FIN'!$A$1:$O$99,15,0))*(1-0.04)</f>
        <v>14.620799999999999</v>
      </c>
      <c r="W246" s="70">
        <f>IF(ISERROR(VLOOKUP($T$246,'TAR FIN'!$A$1:$O$99,15,0)),0,VLOOKUP($T$246,'TAR FIN'!$A$1:$O$99,15,0))*(1-0.04)</f>
        <v>62.524799999999992</v>
      </c>
      <c r="X246" s="70">
        <f>IF(ISERROR(VLOOKUP($U$246,'TAR FIN'!$A$1:$O$99,15,0)),0,VLOOKUP($U$246,'TAR FIN'!$A$1:$O$99,15,0))*(1-0.04)</f>
        <v>211.1712</v>
      </c>
      <c r="Y246" s="70">
        <f ca="1">('TUSD BE'!$AM$6+'TUSD BF'!$AM$6+'TUSD CVA'!$AM$6)*1*(1-0.02)</f>
        <v>16.016998924079751</v>
      </c>
      <c r="Z246" s="70">
        <f ca="1">('TUSD BE'!$AM$7+'TUSD BF'!$AM$7+'TUSD CVA'!$AM$7)*1*(1-0.02)</f>
        <v>74.718606972898527</v>
      </c>
      <c r="AA246" s="70">
        <f>('TE BE'!$AA$6+'TE BF'!$AA$6+'TE CVA'!$AA$6)*1*(1-0.02)</f>
        <v>265.71632769942346</v>
      </c>
      <c r="AB246" s="4">
        <f>$K$246*$V$246</f>
        <v>73469.51999999999</v>
      </c>
      <c r="AC246" s="4">
        <f>$M$246*$W$246</f>
        <v>21620.700691199996</v>
      </c>
      <c r="AD246" s="4">
        <f>$O$246*$X$246</f>
        <v>73021.733932799994</v>
      </c>
      <c r="AE246" s="4">
        <f ca="1">$K$246*$Y$246</f>
        <v>80485.419593500745</v>
      </c>
      <c r="AF246" s="4">
        <f ca="1">$M$246*$Z$246</f>
        <v>25837.245979586471</v>
      </c>
      <c r="AG246" s="4">
        <f>$O$246*$AA$246</f>
        <v>91883.111820494436</v>
      </c>
    </row>
    <row r="247" spans="1:33" ht="11.25" customHeight="1" x14ac:dyDescent="0.25">
      <c r="A247" s="3" t="s">
        <v>27</v>
      </c>
      <c r="B247" s="3" t="s">
        <v>41</v>
      </c>
      <c r="C247" s="3" t="s">
        <v>42</v>
      </c>
      <c r="D247" s="3" t="s">
        <v>45</v>
      </c>
      <c r="E247" s="3" t="s">
        <v>53</v>
      </c>
      <c r="F247" s="3" t="s">
        <v>25</v>
      </c>
      <c r="G247" s="3" t="s">
        <v>25</v>
      </c>
      <c r="H247" s="3" t="s">
        <v>36</v>
      </c>
      <c r="I247" s="6">
        <v>44409</v>
      </c>
      <c r="J247" s="4">
        <v>156</v>
      </c>
      <c r="K247" s="70">
        <v>156</v>
      </c>
      <c r="L247" s="4">
        <v>-585.06799999999998</v>
      </c>
      <c r="M247" s="70">
        <v>-585.06799999999998</v>
      </c>
      <c r="N247" s="4">
        <v>-585.06799999999998</v>
      </c>
      <c r="O247" s="70">
        <v>-585.06799999999998</v>
      </c>
      <c r="P247" s="4">
        <v>0</v>
      </c>
      <c r="Q247" s="3" t="s">
        <v>26</v>
      </c>
      <c r="R247" s="3">
        <v>0</v>
      </c>
      <c r="S247" s="4">
        <v>93</v>
      </c>
      <c r="T247" s="4">
        <v>94</v>
      </c>
      <c r="U247" s="4">
        <v>48</v>
      </c>
      <c r="V247" s="70">
        <f>IF(ISERROR(VLOOKUP($S$247,'TAR FIN'!$A$1:$O$99,15,0)),0,VLOOKUP($S$247,'TAR FIN'!$A$1:$O$99,15,0))*(1-0.04)</f>
        <v>14.620799999999999</v>
      </c>
      <c r="W247" s="70">
        <f>IF(ISERROR(VLOOKUP($T$247,'TAR FIN'!$A$1:$O$99,15,0)),0,VLOOKUP($T$247,'TAR FIN'!$A$1:$O$99,15,0))*(1-0.04)</f>
        <v>62.524799999999992</v>
      </c>
      <c r="X247" s="70">
        <f>IF(ISERROR(VLOOKUP($U$247,'TAR FIN'!$A$1:$O$99,15,0)),0,VLOOKUP($U$247,'TAR FIN'!$A$1:$O$99,15,0))*(1-0.04)</f>
        <v>211.1712</v>
      </c>
      <c r="Y247" s="70">
        <f ca="1">('TUSD BE'!$AM$6+'TUSD BF'!$AM$6+'TUSD CVA'!$AM$6)*1*(1-0.02)</f>
        <v>16.016998924079751</v>
      </c>
      <c r="Z247" s="70">
        <f ca="1">('TUSD BE'!$AM$7+'TUSD BF'!$AM$7+'TUSD CVA'!$AM$7)*1*(1-0.02)</f>
        <v>74.718606972898527</v>
      </c>
      <c r="AA247" s="70">
        <f>('TE BE'!$AA$6+'TE BF'!$AA$6+'TE CVA'!$AA$6)*1*(1-0.02)</f>
        <v>265.71632769942346</v>
      </c>
      <c r="AB247" s="4">
        <f>$K$247*$V$247</f>
        <v>2280.8447999999999</v>
      </c>
      <c r="AC247" s="4">
        <f>$M$247*$W$247</f>
        <v>-36581.259686399993</v>
      </c>
      <c r="AD247" s="4">
        <f>$O$247*$X$247</f>
        <v>-123549.51164159999</v>
      </c>
      <c r="AE247" s="4">
        <f ca="1">$K$247*$Y$247</f>
        <v>2498.6518321564413</v>
      </c>
      <c r="AF247" s="4">
        <f ca="1">$M$247*$Z$247</f>
        <v>-43715.465944419797</v>
      </c>
      <c r="AG247" s="4">
        <f>$O$247*$AA$247</f>
        <v>-155462.12041444628</v>
      </c>
    </row>
    <row r="248" spans="1:33" ht="11.25" customHeight="1" x14ac:dyDescent="0.25">
      <c r="A248" s="3" t="s">
        <v>21</v>
      </c>
      <c r="B248" s="3" t="s">
        <v>41</v>
      </c>
      <c r="C248" s="3" t="s">
        <v>42</v>
      </c>
      <c r="D248" s="3" t="s">
        <v>45</v>
      </c>
      <c r="E248" s="3" t="s">
        <v>53</v>
      </c>
      <c r="F248" s="3" t="s">
        <v>25</v>
      </c>
      <c r="G248" s="3" t="s">
        <v>25</v>
      </c>
      <c r="H248" s="3" t="s">
        <v>36</v>
      </c>
      <c r="I248" s="6">
        <v>44440</v>
      </c>
      <c r="J248" s="4">
        <v>27321</v>
      </c>
      <c r="K248" s="70">
        <v>27321</v>
      </c>
      <c r="L248" s="4">
        <v>3880.0590000000002</v>
      </c>
      <c r="M248" s="70">
        <v>3880.0590000000002</v>
      </c>
      <c r="N248" s="4">
        <v>3880.0590000000002</v>
      </c>
      <c r="O248" s="70">
        <v>3880.0590000000002</v>
      </c>
      <c r="P248" s="4">
        <v>0</v>
      </c>
      <c r="Q248" s="3" t="s">
        <v>26</v>
      </c>
      <c r="R248" s="3">
        <v>0</v>
      </c>
      <c r="S248" s="4">
        <v>93</v>
      </c>
      <c r="T248" s="4">
        <v>94</v>
      </c>
      <c r="U248" s="4">
        <v>48</v>
      </c>
      <c r="V248" s="70">
        <f>IF(ISERROR(VLOOKUP($S$248,'TAR FIN'!$A$1:$O$99,15,0)),0,VLOOKUP($S$248,'TAR FIN'!$A$1:$O$99,15,0))*(1-0.04)</f>
        <v>14.620799999999999</v>
      </c>
      <c r="W248" s="70">
        <f>IF(ISERROR(VLOOKUP($T$248,'TAR FIN'!$A$1:$O$99,15,0)),0,VLOOKUP($T$248,'TAR FIN'!$A$1:$O$99,15,0))*(1-0.04)</f>
        <v>62.524799999999992</v>
      </c>
      <c r="X248" s="70">
        <f>IF(ISERROR(VLOOKUP($U$248,'TAR FIN'!$A$1:$O$99,15,0)),0,VLOOKUP($U$248,'TAR FIN'!$A$1:$O$99,15,0))*(1-0.04)</f>
        <v>211.1712</v>
      </c>
      <c r="Y248" s="70">
        <f ca="1">('TUSD BE'!$AM$6+'TUSD BF'!$AM$6+'TUSD CVA'!$AM$6)*1*(1-0.02)</f>
        <v>16.016998924079751</v>
      </c>
      <c r="Z248" s="70">
        <f ca="1">('TUSD BE'!$AM$7+'TUSD BF'!$AM$7+'TUSD CVA'!$AM$7)*1*(1-0.02)</f>
        <v>74.718606972898527</v>
      </c>
      <c r="AA248" s="70">
        <f>('TE BE'!$AA$6+'TE BF'!$AA$6+'TE CVA'!$AA$6)*1*(1-0.02)</f>
        <v>265.71632769942346</v>
      </c>
      <c r="AB248" s="4">
        <f>$K$248*$V$248</f>
        <v>399454.87679999997</v>
      </c>
      <c r="AC248" s="4">
        <f>$M$248*$W$248</f>
        <v>242599.91296319998</v>
      </c>
      <c r="AD248" s="4">
        <f>$O$248*$X$248</f>
        <v>819356.71510080004</v>
      </c>
      <c r="AE248" s="4">
        <f ca="1">$K$248*$Y$248</f>
        <v>437600.42760478286</v>
      </c>
      <c r="AF248" s="4">
        <f ca="1">$M$248*$Z$248</f>
        <v>289912.6034526577</v>
      </c>
      <c r="AG248" s="4">
        <f>$O$248*$AA$248</f>
        <v>1030995.0287370974</v>
      </c>
    </row>
    <row r="249" spans="1:33" ht="11.25" customHeight="1" x14ac:dyDescent="0.25">
      <c r="A249" s="3" t="s">
        <v>21</v>
      </c>
      <c r="B249" s="3" t="s">
        <v>41</v>
      </c>
      <c r="C249" s="3" t="s">
        <v>42</v>
      </c>
      <c r="D249" s="3" t="s">
        <v>45</v>
      </c>
      <c r="E249" s="3" t="s">
        <v>53</v>
      </c>
      <c r="F249" s="3" t="s">
        <v>25</v>
      </c>
      <c r="G249" s="3" t="s">
        <v>25</v>
      </c>
      <c r="H249" s="3" t="s">
        <v>36</v>
      </c>
      <c r="I249" s="6">
        <v>44470</v>
      </c>
      <c r="J249" s="4">
        <v>39858</v>
      </c>
      <c r="K249" s="70">
        <v>39858</v>
      </c>
      <c r="L249" s="4">
        <v>9502.1970000000001</v>
      </c>
      <c r="M249" s="70">
        <v>9502.1970000000001</v>
      </c>
      <c r="N249" s="4">
        <v>9502.1970000000001</v>
      </c>
      <c r="O249" s="70">
        <v>9502.1970000000001</v>
      </c>
      <c r="P249" s="4">
        <v>0</v>
      </c>
      <c r="Q249" s="3" t="s">
        <v>26</v>
      </c>
      <c r="R249" s="3">
        <v>0</v>
      </c>
      <c r="S249" s="4">
        <v>93</v>
      </c>
      <c r="T249" s="4">
        <v>94</v>
      </c>
      <c r="U249" s="4">
        <v>48</v>
      </c>
      <c r="V249" s="70">
        <f>IF(ISERROR(VLOOKUP($S$249,'TAR FIN'!$A$1:$O$99,15,0)),0,VLOOKUP($S$249,'TAR FIN'!$A$1:$O$99,15,0))*(1-0.04)</f>
        <v>14.620799999999999</v>
      </c>
      <c r="W249" s="70">
        <f>IF(ISERROR(VLOOKUP($T$249,'TAR FIN'!$A$1:$O$99,15,0)),0,VLOOKUP($T$249,'TAR FIN'!$A$1:$O$99,15,0))*(1-0.04)</f>
        <v>62.524799999999992</v>
      </c>
      <c r="X249" s="70">
        <f>IF(ISERROR(VLOOKUP($U$249,'TAR FIN'!$A$1:$O$99,15,0)),0,VLOOKUP($U$249,'TAR FIN'!$A$1:$O$99,15,0))*(1-0.04)</f>
        <v>211.1712</v>
      </c>
      <c r="Y249" s="70">
        <f ca="1">('TUSD BE'!$AM$6+'TUSD BF'!$AM$6+'TUSD CVA'!$AM$6)*1*(1-0.02)</f>
        <v>16.016998924079751</v>
      </c>
      <c r="Z249" s="70">
        <f ca="1">('TUSD BE'!$AM$7+'TUSD BF'!$AM$7+'TUSD CVA'!$AM$7)*1*(1-0.02)</f>
        <v>74.718606972898527</v>
      </c>
      <c r="AA249" s="70">
        <f>('TE BE'!$AA$6+'TE BF'!$AA$6+'TE CVA'!$AA$6)*1*(1-0.02)</f>
        <v>265.71632769942346</v>
      </c>
      <c r="AB249" s="4">
        <f>$K$249*$V$249</f>
        <v>582755.84639999992</v>
      </c>
      <c r="AC249" s="4">
        <f>$M$249*$W$249</f>
        <v>594122.96698559995</v>
      </c>
      <c r="AD249" s="4">
        <f>$O$249*$X$249</f>
        <v>2006590.3431263999</v>
      </c>
      <c r="AE249" s="4">
        <f ca="1">$K$249*$Y$249</f>
        <v>638405.54311597068</v>
      </c>
      <c r="AF249" s="4">
        <f ca="1">$M$249*$Z$249</f>
        <v>709990.92302205553</v>
      </c>
      <c r="AG249" s="4">
        <f>$O$249*$AA$249</f>
        <v>2524888.8919164785</v>
      </c>
    </row>
    <row r="250" spans="1:33" ht="11.25" customHeight="1" x14ac:dyDescent="0.25">
      <c r="A250" s="3" t="s">
        <v>21</v>
      </c>
      <c r="B250" s="3" t="s">
        <v>41</v>
      </c>
      <c r="C250" s="3" t="s">
        <v>42</v>
      </c>
      <c r="D250" s="3" t="s">
        <v>45</v>
      </c>
      <c r="E250" s="3" t="s">
        <v>53</v>
      </c>
      <c r="F250" s="3" t="s">
        <v>25</v>
      </c>
      <c r="G250" s="3" t="s">
        <v>25</v>
      </c>
      <c r="H250" s="3" t="s">
        <v>36</v>
      </c>
      <c r="I250" s="6">
        <v>44501</v>
      </c>
      <c r="J250" s="4">
        <v>40223</v>
      </c>
      <c r="K250" s="70">
        <v>40223</v>
      </c>
      <c r="L250" s="4">
        <v>9331.5110000000004</v>
      </c>
      <c r="M250" s="70">
        <v>9331.5110000000004</v>
      </c>
      <c r="N250" s="4">
        <v>9331.5110000000004</v>
      </c>
      <c r="O250" s="70">
        <v>9331.5110000000004</v>
      </c>
      <c r="P250" s="4">
        <v>0</v>
      </c>
      <c r="Q250" s="3" t="s">
        <v>26</v>
      </c>
      <c r="R250" s="3">
        <v>0</v>
      </c>
      <c r="S250" s="4">
        <v>93</v>
      </c>
      <c r="T250" s="4">
        <v>94</v>
      </c>
      <c r="U250" s="4">
        <v>48</v>
      </c>
      <c r="V250" s="70">
        <f>IF(ISERROR(VLOOKUP($S$250,'TAR FIN'!$A$1:$O$99,15,0)),0,VLOOKUP($S$250,'TAR FIN'!$A$1:$O$99,15,0))*(1-0.04)</f>
        <v>14.620799999999999</v>
      </c>
      <c r="W250" s="70">
        <f>IF(ISERROR(VLOOKUP($T$250,'TAR FIN'!$A$1:$O$99,15,0)),0,VLOOKUP($T$250,'TAR FIN'!$A$1:$O$99,15,0))*(1-0.04)</f>
        <v>62.524799999999992</v>
      </c>
      <c r="X250" s="70">
        <f>IF(ISERROR(VLOOKUP($U$250,'TAR FIN'!$A$1:$O$99,15,0)),0,VLOOKUP($U$250,'TAR FIN'!$A$1:$O$99,15,0))*(1-0.04)</f>
        <v>211.1712</v>
      </c>
      <c r="Y250" s="70">
        <f ca="1">('TUSD BE'!$AM$6+'TUSD BF'!$AM$6+'TUSD CVA'!$AM$6)*1*(1-0.02)</f>
        <v>16.016998924079751</v>
      </c>
      <c r="Z250" s="70">
        <f ca="1">('TUSD BE'!$AM$7+'TUSD BF'!$AM$7+'TUSD CVA'!$AM$7)*1*(1-0.02)</f>
        <v>74.718606972898527</v>
      </c>
      <c r="AA250" s="70">
        <f>('TE BE'!$AA$6+'TE BF'!$AA$6+'TE CVA'!$AA$6)*1*(1-0.02)</f>
        <v>265.71632769942346</v>
      </c>
      <c r="AB250" s="4">
        <f>$K$250*$V$250</f>
        <v>588092.43839999998</v>
      </c>
      <c r="AC250" s="4">
        <f>$M$250*$W$250</f>
        <v>583450.85897279996</v>
      </c>
      <c r="AD250" s="4">
        <f>$O$250*$X$250</f>
        <v>1970546.3756832001</v>
      </c>
      <c r="AE250" s="4">
        <f ca="1">$K$250*$Y$250</f>
        <v>644251.74772325985</v>
      </c>
      <c r="AF250" s="4">
        <f ca="1">$M$250*$Z$250</f>
        <v>697237.50287227938</v>
      </c>
      <c r="AG250" s="4">
        <f>$O$250*$AA$250</f>
        <v>2479534.8348067747</v>
      </c>
    </row>
    <row r="251" spans="1:33" ht="11.25" customHeight="1" x14ac:dyDescent="0.25">
      <c r="A251" s="3" t="s">
        <v>21</v>
      </c>
      <c r="B251" s="3" t="s">
        <v>41</v>
      </c>
      <c r="C251" s="3" t="s">
        <v>42</v>
      </c>
      <c r="D251" s="3" t="s">
        <v>45</v>
      </c>
      <c r="E251" s="3" t="s">
        <v>53</v>
      </c>
      <c r="F251" s="3" t="s">
        <v>25</v>
      </c>
      <c r="G251" s="3" t="s">
        <v>25</v>
      </c>
      <c r="H251" s="3" t="s">
        <v>36</v>
      </c>
      <c r="I251" s="6">
        <v>44531</v>
      </c>
      <c r="J251" s="4">
        <v>40310</v>
      </c>
      <c r="K251" s="70">
        <v>40310</v>
      </c>
      <c r="L251" s="4">
        <v>9253.44</v>
      </c>
      <c r="M251" s="70">
        <v>9253.44</v>
      </c>
      <c r="N251" s="4">
        <v>9253.44</v>
      </c>
      <c r="O251" s="70">
        <v>9253.44</v>
      </c>
      <c r="P251" s="4">
        <v>0</v>
      </c>
      <c r="Q251" s="3" t="s">
        <v>26</v>
      </c>
      <c r="R251" s="3">
        <v>0</v>
      </c>
      <c r="S251" s="4">
        <v>93</v>
      </c>
      <c r="T251" s="4">
        <v>94</v>
      </c>
      <c r="U251" s="4">
        <v>48</v>
      </c>
      <c r="V251" s="70">
        <f>IF(ISERROR(VLOOKUP($S$251,'TAR FIN'!$A$1:$O$99,15,0)),0,VLOOKUP($S$251,'TAR FIN'!$A$1:$O$99,15,0))*(1-0.04)</f>
        <v>14.620799999999999</v>
      </c>
      <c r="W251" s="70">
        <f>IF(ISERROR(VLOOKUP($T$251,'TAR FIN'!$A$1:$O$99,15,0)),0,VLOOKUP($T$251,'TAR FIN'!$A$1:$O$99,15,0))*(1-0.04)</f>
        <v>62.524799999999992</v>
      </c>
      <c r="X251" s="70">
        <f>IF(ISERROR(VLOOKUP($U$251,'TAR FIN'!$A$1:$O$99,15,0)),0,VLOOKUP($U$251,'TAR FIN'!$A$1:$O$99,15,0))*(1-0.04)</f>
        <v>211.1712</v>
      </c>
      <c r="Y251" s="70">
        <f ca="1">('TUSD BE'!$AM$6+'TUSD BF'!$AM$6+'TUSD CVA'!$AM$6)*1*(1-0.02)</f>
        <v>16.016998924079751</v>
      </c>
      <c r="Z251" s="70">
        <f ca="1">('TUSD BE'!$AM$7+'TUSD BF'!$AM$7+'TUSD CVA'!$AM$7)*1*(1-0.02)</f>
        <v>74.718606972898527</v>
      </c>
      <c r="AA251" s="70">
        <f>('TE BE'!$AA$6+'TE BF'!$AA$6+'TE CVA'!$AA$6)*1*(1-0.02)</f>
        <v>265.71632769942346</v>
      </c>
      <c r="AB251" s="4">
        <f>$K$251*$V$251</f>
        <v>589364.44799999997</v>
      </c>
      <c r="AC251" s="4">
        <f>$M$251*$W$251</f>
        <v>578569.48531199992</v>
      </c>
      <c r="AD251" s="4">
        <f>$O$251*$X$251</f>
        <v>1954060.028928</v>
      </c>
      <c r="AE251" s="4">
        <f ca="1">$K$251*$Y$251</f>
        <v>645645.22662965476</v>
      </c>
      <c r="AF251" s="4">
        <f ca="1">$M$251*$Z$251</f>
        <v>691404.14650729822</v>
      </c>
      <c r="AG251" s="4">
        <f>$O$251*$AA$251</f>
        <v>2458790.0953869531</v>
      </c>
    </row>
    <row r="252" spans="1:33" ht="11.25" customHeight="1" x14ac:dyDescent="0.25">
      <c r="A252" s="3" t="s">
        <v>21</v>
      </c>
      <c r="B252" s="3" t="s">
        <v>41</v>
      </c>
      <c r="C252" s="3" t="s">
        <v>42</v>
      </c>
      <c r="D252" s="3" t="s">
        <v>45</v>
      </c>
      <c r="E252" s="3" t="s">
        <v>53</v>
      </c>
      <c r="F252" s="3" t="s">
        <v>25</v>
      </c>
      <c r="G252" s="3" t="s">
        <v>25</v>
      </c>
      <c r="H252" s="3" t="s">
        <v>36</v>
      </c>
      <c r="I252" s="6">
        <v>44562</v>
      </c>
      <c r="J252" s="4">
        <v>34788</v>
      </c>
      <c r="K252" s="70">
        <v>34788</v>
      </c>
      <c r="L252" s="4">
        <v>7363.6859999999997</v>
      </c>
      <c r="M252" s="70">
        <v>7363.6859999999997</v>
      </c>
      <c r="N252" s="4">
        <v>7363.6859999999997</v>
      </c>
      <c r="O252" s="70">
        <v>7363.6859999999997</v>
      </c>
      <c r="P252" s="4">
        <v>0</v>
      </c>
      <c r="Q252" s="3" t="s">
        <v>26</v>
      </c>
      <c r="R252" s="3">
        <v>0</v>
      </c>
      <c r="S252" s="4">
        <v>93</v>
      </c>
      <c r="T252" s="4">
        <v>94</v>
      </c>
      <c r="U252" s="4">
        <v>48</v>
      </c>
      <c r="V252" s="70">
        <f>IF(ISERROR(VLOOKUP($S$252,'TAR FIN'!$A$1:$O$99,15,0)),0,VLOOKUP($S$252,'TAR FIN'!$A$1:$O$99,15,0))*(1-0.04)</f>
        <v>14.620799999999999</v>
      </c>
      <c r="W252" s="70">
        <f>IF(ISERROR(VLOOKUP($T$252,'TAR FIN'!$A$1:$O$99,15,0)),0,VLOOKUP($T$252,'TAR FIN'!$A$1:$O$99,15,0))*(1-0.04)</f>
        <v>62.524799999999992</v>
      </c>
      <c r="X252" s="70">
        <f>IF(ISERROR(VLOOKUP($U$252,'TAR FIN'!$A$1:$O$99,15,0)),0,VLOOKUP($U$252,'TAR FIN'!$A$1:$O$99,15,0))*(1-0.04)</f>
        <v>211.1712</v>
      </c>
      <c r="Y252" s="70">
        <f ca="1">('TUSD BE'!$AM$6+'TUSD BF'!$AM$6+'TUSD CVA'!$AM$6)*1*(1-0.02)</f>
        <v>16.016998924079751</v>
      </c>
      <c r="Z252" s="70">
        <f ca="1">('TUSD BE'!$AM$7+'TUSD BF'!$AM$7+'TUSD CVA'!$AM$7)*1*(1-0.02)</f>
        <v>74.718606972898527</v>
      </c>
      <c r="AA252" s="70">
        <f>('TE BE'!$AA$6+'TE BF'!$AA$6+'TE CVA'!$AA$6)*1*(1-0.02)</f>
        <v>265.71632769942346</v>
      </c>
      <c r="AB252" s="4">
        <f>$K$252*$V$252</f>
        <v>508628.39039999997</v>
      </c>
      <c r="AC252" s="4">
        <f>$M$252*$W$252</f>
        <v>460412.99441279995</v>
      </c>
      <c r="AD252" s="4">
        <f>$O$252*$X$252</f>
        <v>1554998.4090431998</v>
      </c>
      <c r="AE252" s="4">
        <f ca="1">$K$252*$Y$252</f>
        <v>557199.35857088631</v>
      </c>
      <c r="AF252" s="4">
        <f ca="1">$M$252*$Z$252</f>
        <v>550204.36010583525</v>
      </c>
      <c r="AG252" s="4">
        <f>$O$252*$AA$252</f>
        <v>1956651.6022516566</v>
      </c>
    </row>
    <row r="253" spans="1:33" ht="11.25" customHeight="1" x14ac:dyDescent="0.25">
      <c r="A253" s="3" t="s">
        <v>21</v>
      </c>
      <c r="B253" s="3" t="s">
        <v>41</v>
      </c>
      <c r="C253" s="3" t="s">
        <v>42</v>
      </c>
      <c r="D253" s="3" t="s">
        <v>45</v>
      </c>
      <c r="E253" s="3" t="s">
        <v>53</v>
      </c>
      <c r="F253" s="3" t="s">
        <v>25</v>
      </c>
      <c r="G253" s="3" t="s">
        <v>25</v>
      </c>
      <c r="H253" s="3" t="s">
        <v>36</v>
      </c>
      <c r="I253" s="6">
        <v>44593</v>
      </c>
      <c r="J253" s="4">
        <v>36266</v>
      </c>
      <c r="K253" s="70">
        <v>36266</v>
      </c>
      <c r="L253" s="4">
        <v>6688.0519999999997</v>
      </c>
      <c r="M253" s="70">
        <v>6688.0519999999997</v>
      </c>
      <c r="N253" s="4">
        <v>6688.0519999999997</v>
      </c>
      <c r="O253" s="70">
        <v>6688.0519999999997</v>
      </c>
      <c r="P253" s="4">
        <v>0</v>
      </c>
      <c r="Q253" s="3" t="s">
        <v>26</v>
      </c>
      <c r="R253" s="3">
        <v>0</v>
      </c>
      <c r="S253" s="4">
        <v>93</v>
      </c>
      <c r="T253" s="4">
        <v>94</v>
      </c>
      <c r="U253" s="4">
        <v>48</v>
      </c>
      <c r="V253" s="70">
        <f>IF(ISERROR(VLOOKUP($S$253,'TAR FIN'!$A$1:$O$99,15,0)),0,VLOOKUP($S$253,'TAR FIN'!$A$1:$O$99,15,0))*(1-0.04)</f>
        <v>14.620799999999999</v>
      </c>
      <c r="W253" s="70">
        <f>IF(ISERROR(VLOOKUP($T$253,'TAR FIN'!$A$1:$O$99,15,0)),0,VLOOKUP($T$253,'TAR FIN'!$A$1:$O$99,15,0))*(1-0.04)</f>
        <v>62.524799999999992</v>
      </c>
      <c r="X253" s="70">
        <f>IF(ISERROR(VLOOKUP($U$253,'TAR FIN'!$A$1:$O$99,15,0)),0,VLOOKUP($U$253,'TAR FIN'!$A$1:$O$99,15,0))*(1-0.04)</f>
        <v>211.1712</v>
      </c>
      <c r="Y253" s="70">
        <f ca="1">('TUSD BE'!$AM$6+'TUSD BF'!$AM$6+'TUSD CVA'!$AM$6)*1*(1-0.02)</f>
        <v>16.016998924079751</v>
      </c>
      <c r="Z253" s="70">
        <f ca="1">('TUSD BE'!$AM$7+'TUSD BF'!$AM$7+'TUSD CVA'!$AM$7)*1*(1-0.02)</f>
        <v>74.718606972898527</v>
      </c>
      <c r="AA253" s="70">
        <f>('TE BE'!$AA$6+'TE BF'!$AA$6+'TE CVA'!$AA$6)*1*(1-0.02)</f>
        <v>265.71632769942346</v>
      </c>
      <c r="AB253" s="4">
        <f>$K$253*$V$253</f>
        <v>530237.93279999995</v>
      </c>
      <c r="AC253" s="4">
        <f>$M$253*$W$253</f>
        <v>418169.11368959991</v>
      </c>
      <c r="AD253" s="4">
        <f>$O$253*$X$253</f>
        <v>1412323.9665023999</v>
      </c>
      <c r="AE253" s="4">
        <f ca="1">$K$253*$Y$253</f>
        <v>580872.48298067623</v>
      </c>
      <c r="AF253" s="4">
        <f ca="1">$M$253*$Z$253</f>
        <v>499721.92880230793</v>
      </c>
      <c r="AG253" s="4">
        <f>$O$253*$AA$253</f>
        <v>1777124.6169027844</v>
      </c>
    </row>
    <row r="254" spans="1:33" ht="11.25" customHeight="1" x14ac:dyDescent="0.25">
      <c r="A254" s="3" t="s">
        <v>21</v>
      </c>
      <c r="B254" s="3" t="s">
        <v>41</v>
      </c>
      <c r="C254" s="3" t="s">
        <v>42</v>
      </c>
      <c r="D254" s="3" t="s">
        <v>45</v>
      </c>
      <c r="E254" s="3" t="s">
        <v>53</v>
      </c>
      <c r="F254" s="3" t="s">
        <v>25</v>
      </c>
      <c r="G254" s="3" t="s">
        <v>25</v>
      </c>
      <c r="H254" s="3" t="s">
        <v>36</v>
      </c>
      <c r="I254" s="6">
        <v>44621</v>
      </c>
      <c r="J254" s="4">
        <v>29099</v>
      </c>
      <c r="K254" s="70">
        <v>29099</v>
      </c>
      <c r="L254" s="4">
        <v>4225.5450000000001</v>
      </c>
      <c r="M254" s="70">
        <v>4225.5450000000001</v>
      </c>
      <c r="N254" s="4">
        <v>4225.5450000000001</v>
      </c>
      <c r="O254" s="70">
        <v>4225.5450000000001</v>
      </c>
      <c r="P254" s="4">
        <v>0</v>
      </c>
      <c r="Q254" s="3" t="s">
        <v>26</v>
      </c>
      <c r="R254" s="3">
        <v>0</v>
      </c>
      <c r="S254" s="4">
        <v>93</v>
      </c>
      <c r="T254" s="4">
        <v>94</v>
      </c>
      <c r="U254" s="4">
        <v>48</v>
      </c>
      <c r="V254" s="70">
        <f>IF(ISERROR(VLOOKUP($S$254,'TAR FIN'!$A$1:$O$99,15,0)),0,VLOOKUP($S$254,'TAR FIN'!$A$1:$O$99,15,0))*(1-0.04)</f>
        <v>14.620799999999999</v>
      </c>
      <c r="W254" s="70">
        <f>IF(ISERROR(VLOOKUP($T$254,'TAR FIN'!$A$1:$O$99,15,0)),0,VLOOKUP($T$254,'TAR FIN'!$A$1:$O$99,15,0))*(1-0.04)</f>
        <v>62.524799999999992</v>
      </c>
      <c r="X254" s="70">
        <f>IF(ISERROR(VLOOKUP($U$254,'TAR FIN'!$A$1:$O$99,15,0)),0,VLOOKUP($U$254,'TAR FIN'!$A$1:$O$99,15,0))*(1-0.04)</f>
        <v>211.1712</v>
      </c>
      <c r="Y254" s="70">
        <f ca="1">('TUSD BE'!$AM$6+'TUSD BF'!$AM$6+'TUSD CVA'!$AM$6)*1*(1-0.02)</f>
        <v>16.016998924079751</v>
      </c>
      <c r="Z254" s="70">
        <f ca="1">('TUSD BE'!$AM$7+'TUSD BF'!$AM$7+'TUSD CVA'!$AM$7)*1*(1-0.02)</f>
        <v>74.718606972898527</v>
      </c>
      <c r="AA254" s="70">
        <f>('TE BE'!$AA$6+'TE BF'!$AA$6+'TE CVA'!$AA$6)*1*(1-0.02)</f>
        <v>265.71632769942346</v>
      </c>
      <c r="AB254" s="4">
        <f>$K$254*$V$254</f>
        <v>425450.65919999999</v>
      </c>
      <c r="AC254" s="4">
        <f>$M$254*$W$254</f>
        <v>264201.35601599998</v>
      </c>
      <c r="AD254" s="4">
        <f>$O$254*$X$254</f>
        <v>892313.40830400004</v>
      </c>
      <c r="AE254" s="4">
        <f ca="1">$K$254*$Y$254</f>
        <v>466078.65169179667</v>
      </c>
      <c r="AF254" s="4">
        <f ca="1">$M$254*$Z$254</f>
        <v>315726.83610129653</v>
      </c>
      <c r="AG254" s="4">
        <f>$O$254*$AA$254</f>
        <v>1122796.2999286603</v>
      </c>
    </row>
    <row r="255" spans="1:33" ht="11.25" customHeight="1" x14ac:dyDescent="0.25">
      <c r="A255" s="3" t="s">
        <v>56</v>
      </c>
      <c r="B255" s="3" t="s">
        <v>41</v>
      </c>
      <c r="C255" s="3" t="s">
        <v>42</v>
      </c>
      <c r="D255" s="3" t="s">
        <v>45</v>
      </c>
      <c r="E255" s="3" t="s">
        <v>53</v>
      </c>
      <c r="F255" s="3" t="s">
        <v>25</v>
      </c>
      <c r="G255" s="3" t="s">
        <v>25</v>
      </c>
      <c r="H255" s="3" t="s">
        <v>36</v>
      </c>
      <c r="I255" s="6">
        <v>44652</v>
      </c>
      <c r="J255" s="4">
        <v>29099</v>
      </c>
      <c r="K255" s="70">
        <v>29099</v>
      </c>
      <c r="L255" s="4">
        <v>4225.5450000000001</v>
      </c>
      <c r="M255" s="70">
        <v>4225.5450000000001</v>
      </c>
      <c r="N255" s="4">
        <v>4225.5450000000001</v>
      </c>
      <c r="O255" s="70">
        <v>4225.5450000000001</v>
      </c>
      <c r="P255" s="4">
        <v>0</v>
      </c>
      <c r="Q255" s="3" t="s">
        <v>26</v>
      </c>
      <c r="R255" s="3">
        <v>0</v>
      </c>
      <c r="S255" s="4">
        <v>93</v>
      </c>
      <c r="T255" s="4">
        <v>94</v>
      </c>
      <c r="U255" s="4">
        <v>48</v>
      </c>
      <c r="V255" s="70">
        <f>IF(ISERROR(VLOOKUP($S$255,'TAR FIN'!$A$1:$O$99,15,0)),0,VLOOKUP($S$255,'TAR FIN'!$A$1:$O$99,15,0))*(1-0.04)</f>
        <v>14.620799999999999</v>
      </c>
      <c r="W255" s="70">
        <f>IF(ISERROR(VLOOKUP($T$255,'TAR FIN'!$A$1:$O$99,15,0)),0,VLOOKUP($T$255,'TAR FIN'!$A$1:$O$99,15,0))*(1-0.04)</f>
        <v>62.524799999999992</v>
      </c>
      <c r="X255" s="70">
        <f>IF(ISERROR(VLOOKUP($U$255,'TAR FIN'!$A$1:$O$99,15,0)),0,VLOOKUP($U$255,'TAR FIN'!$A$1:$O$99,15,0))*(1-0.04)</f>
        <v>211.1712</v>
      </c>
      <c r="Y255" s="70">
        <f ca="1">('TUSD BE'!$AM$6+'TUSD BF'!$AM$6+'TUSD CVA'!$AM$6)*1*(1-0.02)</f>
        <v>16.016998924079751</v>
      </c>
      <c r="Z255" s="70">
        <f ca="1">('TUSD BE'!$AM$7+'TUSD BF'!$AM$7+'TUSD CVA'!$AM$7)*1*(1-0.02)</f>
        <v>74.718606972898527</v>
      </c>
      <c r="AA255" s="70">
        <f>('TE BE'!$AA$6+'TE BF'!$AA$6+'TE CVA'!$AA$6)*1*(1-0.02)</f>
        <v>265.71632769942346</v>
      </c>
      <c r="AB255" s="4">
        <f>$K$255*$V$255</f>
        <v>425450.65919999999</v>
      </c>
      <c r="AC255" s="4">
        <f>$M$255*$W$255</f>
        <v>264201.35601599998</v>
      </c>
      <c r="AD255" s="4">
        <f>$O$255*$X$255</f>
        <v>892313.40830400004</v>
      </c>
      <c r="AE255" s="4">
        <f ca="1">$K$255*$Y$255</f>
        <v>466078.65169179667</v>
      </c>
      <c r="AF255" s="4">
        <f ca="1">$M$255*$Z$255</f>
        <v>315726.83610129653</v>
      </c>
      <c r="AG255" s="4">
        <f>$O$255*$AA$255</f>
        <v>1122796.2999286603</v>
      </c>
    </row>
    <row r="256" spans="1:33" ht="11.25" customHeight="1" x14ac:dyDescent="0.25">
      <c r="A256" s="3" t="s">
        <v>21</v>
      </c>
      <c r="B256" s="3" t="s">
        <v>41</v>
      </c>
      <c r="C256" s="3" t="s">
        <v>42</v>
      </c>
      <c r="D256" s="3" t="s">
        <v>45</v>
      </c>
      <c r="E256" s="3" t="s">
        <v>53</v>
      </c>
      <c r="F256" s="3" t="s">
        <v>25</v>
      </c>
      <c r="G256" s="3" t="s">
        <v>25</v>
      </c>
      <c r="H256" s="3" t="s">
        <v>35</v>
      </c>
      <c r="I256" s="6">
        <v>44317</v>
      </c>
      <c r="J256" s="4">
        <v>2656</v>
      </c>
      <c r="K256" s="70">
        <v>2656</v>
      </c>
      <c r="L256" s="4">
        <v>57.115000000000002</v>
      </c>
      <c r="M256" s="70">
        <v>57.115000000000002</v>
      </c>
      <c r="N256" s="4">
        <v>57.115000000000002</v>
      </c>
      <c r="O256" s="70">
        <v>57.115000000000002</v>
      </c>
      <c r="P256" s="4">
        <v>0</v>
      </c>
      <c r="Q256" s="3" t="s">
        <v>26</v>
      </c>
      <c r="R256" s="3">
        <v>0</v>
      </c>
      <c r="S256" s="4">
        <v>92</v>
      </c>
      <c r="T256" s="4">
        <v>94</v>
      </c>
      <c r="U256" s="4">
        <v>47</v>
      </c>
      <c r="V256" s="70">
        <f>IF(ISERROR(VLOOKUP($S$256,'TAR FIN'!$A$1:$O$99,15,0)),0,VLOOKUP($S$256,'TAR FIN'!$A$1:$O$99,15,0))*(1-0.04)</f>
        <v>25.401599999999998</v>
      </c>
      <c r="W256" s="70">
        <f>IF(ISERROR(VLOOKUP($T$256,'TAR FIN'!$A$1:$O$99,15,0)),0,VLOOKUP($T$256,'TAR FIN'!$A$1:$O$99,15,0))*(1-0.04)</f>
        <v>62.524799999999992</v>
      </c>
      <c r="X256" s="70">
        <f>IF(ISERROR(VLOOKUP($U$256,'TAR FIN'!$A$1:$O$99,15,0)),0,VLOOKUP($U$256,'TAR FIN'!$A$1:$O$99,15,0))*(1-0.04)</f>
        <v>332.74560000000002</v>
      </c>
      <c r="Y256" s="70">
        <f ca="1">('TUSD BE'!$AM$5+'TUSD BF'!$AM$5+'TUSD CVA'!$AM$5)*1*(1-0.02)</f>
        <v>29.730549555259678</v>
      </c>
      <c r="Z256" s="70">
        <f ca="1">('TUSD BE'!$AM$7+'TUSD BF'!$AM$7+'TUSD CVA'!$AM$7)*1*(1-0.02)</f>
        <v>74.718606972898527</v>
      </c>
      <c r="AA256" s="70">
        <f>('TE BE'!$AA$5+'TE BF'!$AA$5+'TE CVA'!$AA$5)*1*(1-0.02)</f>
        <v>415.4185945530557</v>
      </c>
      <c r="AB256" s="4">
        <f>$K$256*$V$256</f>
        <v>67466.64959999999</v>
      </c>
      <c r="AC256" s="4">
        <f>$M$256*$W$256</f>
        <v>3571.1039519999995</v>
      </c>
      <c r="AD256" s="4">
        <f>$O$256*$X$256</f>
        <v>19004.764944000002</v>
      </c>
      <c r="AE256" s="4">
        <f ca="1">$K$256*$Y$256</f>
        <v>78964.339618769707</v>
      </c>
      <c r="AF256" s="4">
        <f ca="1">$M$256*$Z$256</f>
        <v>4267.5532372570997</v>
      </c>
      <c r="AG256" s="4">
        <f>$O$256*$AA$256</f>
        <v>23726.633027897777</v>
      </c>
    </row>
    <row r="257" spans="1:33" ht="11.25" customHeight="1" x14ac:dyDescent="0.25">
      <c r="A257" s="3" t="s">
        <v>21</v>
      </c>
      <c r="B257" s="3" t="s">
        <v>41</v>
      </c>
      <c r="C257" s="3" t="s">
        <v>42</v>
      </c>
      <c r="D257" s="3" t="s">
        <v>45</v>
      </c>
      <c r="E257" s="3" t="s">
        <v>53</v>
      </c>
      <c r="F257" s="3" t="s">
        <v>25</v>
      </c>
      <c r="G257" s="3" t="s">
        <v>25</v>
      </c>
      <c r="H257" s="3" t="s">
        <v>35</v>
      </c>
      <c r="I257" s="6">
        <v>44348</v>
      </c>
      <c r="J257" s="4">
        <v>2898</v>
      </c>
      <c r="K257" s="70">
        <v>2898</v>
      </c>
      <c r="L257" s="4">
        <v>55.436999999999998</v>
      </c>
      <c r="M257" s="70">
        <v>55.436999999999998</v>
      </c>
      <c r="N257" s="4">
        <v>55.436999999999998</v>
      </c>
      <c r="O257" s="70">
        <v>55.436999999999998</v>
      </c>
      <c r="P257" s="4">
        <v>0</v>
      </c>
      <c r="Q257" s="3" t="s">
        <v>26</v>
      </c>
      <c r="R257" s="3">
        <v>0</v>
      </c>
      <c r="S257" s="4">
        <v>92</v>
      </c>
      <c r="T257" s="4">
        <v>94</v>
      </c>
      <c r="U257" s="4">
        <v>47</v>
      </c>
      <c r="V257" s="70">
        <f>IF(ISERROR(VLOOKUP($S$257,'TAR FIN'!$A$1:$O$99,15,0)),0,VLOOKUP($S$257,'TAR FIN'!$A$1:$O$99,15,0))*(1-0.04)</f>
        <v>25.401599999999998</v>
      </c>
      <c r="W257" s="70">
        <f>IF(ISERROR(VLOOKUP($T$257,'TAR FIN'!$A$1:$O$99,15,0)),0,VLOOKUP($T$257,'TAR FIN'!$A$1:$O$99,15,0))*(1-0.04)</f>
        <v>62.524799999999992</v>
      </c>
      <c r="X257" s="70">
        <f>IF(ISERROR(VLOOKUP($U$257,'TAR FIN'!$A$1:$O$99,15,0)),0,VLOOKUP($U$257,'TAR FIN'!$A$1:$O$99,15,0))*(1-0.04)</f>
        <v>332.74560000000002</v>
      </c>
      <c r="Y257" s="70">
        <f ca="1">('TUSD BE'!$AM$5+'TUSD BF'!$AM$5+'TUSD CVA'!$AM$5)*1*(1-0.02)</f>
        <v>29.730549555259678</v>
      </c>
      <c r="Z257" s="70">
        <f ca="1">('TUSD BE'!$AM$7+'TUSD BF'!$AM$7+'TUSD CVA'!$AM$7)*1*(1-0.02)</f>
        <v>74.718606972898527</v>
      </c>
      <c r="AA257" s="70">
        <f>('TE BE'!$AA$5+'TE BF'!$AA$5+'TE CVA'!$AA$5)*1*(1-0.02)</f>
        <v>415.4185945530557</v>
      </c>
      <c r="AB257" s="4">
        <f>$K$257*$V$257</f>
        <v>73613.83679999999</v>
      </c>
      <c r="AC257" s="4">
        <f>$M$257*$W$257</f>
        <v>3466.1873375999994</v>
      </c>
      <c r="AD257" s="4">
        <f>$O$257*$X$257</f>
        <v>18446.417827199999</v>
      </c>
      <c r="AE257" s="4">
        <f ca="1">$K$257*$Y$257</f>
        <v>86159.132611142544</v>
      </c>
      <c r="AF257" s="4">
        <f ca="1">$M$257*$Z$257</f>
        <v>4142.1754147565753</v>
      </c>
      <c r="AG257" s="4">
        <f>$O$257*$AA$257</f>
        <v>23029.560626237748</v>
      </c>
    </row>
    <row r="258" spans="1:33" ht="11.25" customHeight="1" x14ac:dyDescent="0.25">
      <c r="A258" s="3" t="s">
        <v>21</v>
      </c>
      <c r="B258" s="3" t="s">
        <v>41</v>
      </c>
      <c r="C258" s="3" t="s">
        <v>42</v>
      </c>
      <c r="D258" s="3" t="s">
        <v>45</v>
      </c>
      <c r="E258" s="3" t="s">
        <v>53</v>
      </c>
      <c r="F258" s="3" t="s">
        <v>25</v>
      </c>
      <c r="G258" s="3" t="s">
        <v>25</v>
      </c>
      <c r="H258" s="3" t="s">
        <v>35</v>
      </c>
      <c r="I258" s="6">
        <v>44378</v>
      </c>
      <c r="J258" s="4">
        <v>2450</v>
      </c>
      <c r="K258" s="70">
        <v>2450</v>
      </c>
      <c r="L258" s="4">
        <v>66.162000000000006</v>
      </c>
      <c r="M258" s="70">
        <v>66.162000000000006</v>
      </c>
      <c r="N258" s="4">
        <v>66.162000000000006</v>
      </c>
      <c r="O258" s="70">
        <v>66.162000000000006</v>
      </c>
      <c r="P258" s="4">
        <v>0</v>
      </c>
      <c r="Q258" s="3" t="s">
        <v>26</v>
      </c>
      <c r="R258" s="3">
        <v>0</v>
      </c>
      <c r="S258" s="4">
        <v>92</v>
      </c>
      <c r="T258" s="4">
        <v>94</v>
      </c>
      <c r="U258" s="4">
        <v>47</v>
      </c>
      <c r="V258" s="70">
        <f>IF(ISERROR(VLOOKUP($S$258,'TAR FIN'!$A$1:$O$99,15,0)),0,VLOOKUP($S$258,'TAR FIN'!$A$1:$O$99,15,0))*(1-0.04)</f>
        <v>25.401599999999998</v>
      </c>
      <c r="W258" s="70">
        <f>IF(ISERROR(VLOOKUP($T$258,'TAR FIN'!$A$1:$O$99,15,0)),0,VLOOKUP($T$258,'TAR FIN'!$A$1:$O$99,15,0))*(1-0.04)</f>
        <v>62.524799999999992</v>
      </c>
      <c r="X258" s="70">
        <f>IF(ISERROR(VLOOKUP($U$258,'TAR FIN'!$A$1:$O$99,15,0)),0,VLOOKUP($U$258,'TAR FIN'!$A$1:$O$99,15,0))*(1-0.04)</f>
        <v>332.74560000000002</v>
      </c>
      <c r="Y258" s="70">
        <f ca="1">('TUSD BE'!$AM$5+'TUSD BF'!$AM$5+'TUSD CVA'!$AM$5)*1*(1-0.02)</f>
        <v>29.730549555259678</v>
      </c>
      <c r="Z258" s="70">
        <f ca="1">('TUSD BE'!$AM$7+'TUSD BF'!$AM$7+'TUSD CVA'!$AM$7)*1*(1-0.02)</f>
        <v>74.718606972898527</v>
      </c>
      <c r="AA258" s="70">
        <f>('TE BE'!$AA$5+'TE BF'!$AA$5+'TE CVA'!$AA$5)*1*(1-0.02)</f>
        <v>415.4185945530557</v>
      </c>
      <c r="AB258" s="4">
        <f>$K$258*$V$258</f>
        <v>62233.919999999998</v>
      </c>
      <c r="AC258" s="4">
        <f>$M$258*$W$258</f>
        <v>4136.7658175999995</v>
      </c>
      <c r="AD258" s="4">
        <f>$O$258*$X$258</f>
        <v>22015.114387200003</v>
      </c>
      <c r="AE258" s="4">
        <f ca="1">$K$258*$Y$258</f>
        <v>72839.846410386206</v>
      </c>
      <c r="AF258" s="4">
        <f ca="1">$M$258*$Z$258</f>
        <v>4943.5324745409125</v>
      </c>
      <c r="AG258" s="4">
        <f>$O$258*$AA$258</f>
        <v>27484.925052819275</v>
      </c>
    </row>
    <row r="259" spans="1:33" ht="11.25" customHeight="1" x14ac:dyDescent="0.25">
      <c r="A259" s="3" t="s">
        <v>21</v>
      </c>
      <c r="B259" s="3" t="s">
        <v>41</v>
      </c>
      <c r="C259" s="3" t="s">
        <v>42</v>
      </c>
      <c r="D259" s="3" t="s">
        <v>45</v>
      </c>
      <c r="E259" s="3" t="s">
        <v>53</v>
      </c>
      <c r="F259" s="3" t="s">
        <v>25</v>
      </c>
      <c r="G259" s="3" t="s">
        <v>25</v>
      </c>
      <c r="H259" s="3" t="s">
        <v>35</v>
      </c>
      <c r="I259" s="6">
        <v>44409</v>
      </c>
      <c r="J259" s="4">
        <v>6866</v>
      </c>
      <c r="K259" s="70">
        <v>6866</v>
      </c>
      <c r="L259" s="4">
        <v>41.415999999999997</v>
      </c>
      <c r="M259" s="70">
        <v>41.415999999999997</v>
      </c>
      <c r="N259" s="4">
        <v>41.415999999999997</v>
      </c>
      <c r="O259" s="70">
        <v>41.415999999999997</v>
      </c>
      <c r="P259" s="4">
        <v>0</v>
      </c>
      <c r="Q259" s="3" t="s">
        <v>26</v>
      </c>
      <c r="R259" s="3">
        <v>0</v>
      </c>
      <c r="S259" s="4">
        <v>92</v>
      </c>
      <c r="T259" s="4">
        <v>94</v>
      </c>
      <c r="U259" s="4">
        <v>47</v>
      </c>
      <c r="V259" s="70">
        <f>IF(ISERROR(VLOOKUP($S$259,'TAR FIN'!$A$1:$O$99,15,0)),0,VLOOKUP($S$259,'TAR FIN'!$A$1:$O$99,15,0))*(1-0.04)</f>
        <v>25.401599999999998</v>
      </c>
      <c r="W259" s="70">
        <f>IF(ISERROR(VLOOKUP($T$259,'TAR FIN'!$A$1:$O$99,15,0)),0,VLOOKUP($T$259,'TAR FIN'!$A$1:$O$99,15,0))*(1-0.04)</f>
        <v>62.524799999999992</v>
      </c>
      <c r="X259" s="70">
        <f>IF(ISERROR(VLOOKUP($U$259,'TAR FIN'!$A$1:$O$99,15,0)),0,VLOOKUP($U$259,'TAR FIN'!$A$1:$O$99,15,0))*(1-0.04)</f>
        <v>332.74560000000002</v>
      </c>
      <c r="Y259" s="70">
        <f ca="1">('TUSD BE'!$AM$5+'TUSD BF'!$AM$5+'TUSD CVA'!$AM$5)*1*(1-0.02)</f>
        <v>29.730549555259678</v>
      </c>
      <c r="Z259" s="70">
        <f ca="1">('TUSD BE'!$AM$7+'TUSD BF'!$AM$7+'TUSD CVA'!$AM$7)*1*(1-0.02)</f>
        <v>74.718606972898527</v>
      </c>
      <c r="AA259" s="70">
        <f>('TE BE'!$AA$5+'TE BF'!$AA$5+'TE CVA'!$AA$5)*1*(1-0.02)</f>
        <v>415.4185945530557</v>
      </c>
      <c r="AB259" s="4">
        <f>$K$259*$V$259</f>
        <v>174407.38559999998</v>
      </c>
      <c r="AC259" s="4">
        <f>$M$259*$W$259</f>
        <v>2589.5271167999995</v>
      </c>
      <c r="AD259" s="4">
        <f>$O$259*$X$259</f>
        <v>13780.991769599999</v>
      </c>
      <c r="AE259" s="4">
        <f ca="1">$K$259*$Y$259</f>
        <v>204129.95324641294</v>
      </c>
      <c r="AF259" s="4">
        <f ca="1">$M$259*$Z$259</f>
        <v>3094.5458263895653</v>
      </c>
      <c r="AG259" s="4">
        <f>$O$259*$AA$259</f>
        <v>17204.976512009354</v>
      </c>
    </row>
    <row r="260" spans="1:33" ht="11.25" customHeight="1" x14ac:dyDescent="0.25">
      <c r="A260" s="3" t="s">
        <v>27</v>
      </c>
      <c r="B260" s="3" t="s">
        <v>41</v>
      </c>
      <c r="C260" s="3" t="s">
        <v>42</v>
      </c>
      <c r="D260" s="3" t="s">
        <v>45</v>
      </c>
      <c r="E260" s="3" t="s">
        <v>53</v>
      </c>
      <c r="F260" s="3" t="s">
        <v>25</v>
      </c>
      <c r="G260" s="3" t="s">
        <v>25</v>
      </c>
      <c r="H260" s="3" t="s">
        <v>35</v>
      </c>
      <c r="I260" s="6">
        <v>44409</v>
      </c>
      <c r="J260" s="4">
        <v>-1</v>
      </c>
      <c r="K260" s="70">
        <v>-1</v>
      </c>
      <c r="L260" s="4">
        <v>-9.8640000000000008</v>
      </c>
      <c r="M260" s="70">
        <v>-9.8640000000000008</v>
      </c>
      <c r="N260" s="4">
        <v>-9.8640000000000008</v>
      </c>
      <c r="O260" s="70">
        <v>-9.8640000000000008</v>
      </c>
      <c r="P260" s="4">
        <v>0</v>
      </c>
      <c r="Q260" s="3" t="s">
        <v>26</v>
      </c>
      <c r="R260" s="3">
        <v>0</v>
      </c>
      <c r="S260" s="4">
        <v>92</v>
      </c>
      <c r="T260" s="4">
        <v>94</v>
      </c>
      <c r="U260" s="4">
        <v>47</v>
      </c>
      <c r="V260" s="70">
        <f>IF(ISERROR(VLOOKUP($S$260,'TAR FIN'!$A$1:$O$99,15,0)),0,VLOOKUP($S$260,'TAR FIN'!$A$1:$O$99,15,0))*(1-0.04)</f>
        <v>25.401599999999998</v>
      </c>
      <c r="W260" s="70">
        <f>IF(ISERROR(VLOOKUP($T$260,'TAR FIN'!$A$1:$O$99,15,0)),0,VLOOKUP($T$260,'TAR FIN'!$A$1:$O$99,15,0))*(1-0.04)</f>
        <v>62.524799999999992</v>
      </c>
      <c r="X260" s="70">
        <f>IF(ISERROR(VLOOKUP($U$260,'TAR FIN'!$A$1:$O$99,15,0)),0,VLOOKUP($U$260,'TAR FIN'!$A$1:$O$99,15,0))*(1-0.04)</f>
        <v>332.74560000000002</v>
      </c>
      <c r="Y260" s="70">
        <f ca="1">('TUSD BE'!$AM$5+'TUSD BF'!$AM$5+'TUSD CVA'!$AM$5)*1*(1-0.02)</f>
        <v>29.730549555259678</v>
      </c>
      <c r="Z260" s="70">
        <f ca="1">('TUSD BE'!$AM$7+'TUSD BF'!$AM$7+'TUSD CVA'!$AM$7)*1*(1-0.02)</f>
        <v>74.718606972898527</v>
      </c>
      <c r="AA260" s="70">
        <f>('TE BE'!$AA$5+'TE BF'!$AA$5+'TE CVA'!$AA$5)*1*(1-0.02)</f>
        <v>415.4185945530557</v>
      </c>
      <c r="AB260" s="4">
        <f>$K$260*$V$260</f>
        <v>-25.401599999999998</v>
      </c>
      <c r="AC260" s="4">
        <f>$M$260*$W$260</f>
        <v>-616.74462719999997</v>
      </c>
      <c r="AD260" s="4">
        <f>$O$260*$X$260</f>
        <v>-3282.2025984000006</v>
      </c>
      <c r="AE260" s="4">
        <f ca="1">$K$260*$Y$260</f>
        <v>-29.730549555259678</v>
      </c>
      <c r="AF260" s="4">
        <f ca="1">$M$260*$Z$260</f>
        <v>-737.02433918067118</v>
      </c>
      <c r="AG260" s="4">
        <f>$O$260*$AA$260</f>
        <v>-4097.689016671342</v>
      </c>
    </row>
    <row r="261" spans="1:33" ht="11.25" customHeight="1" x14ac:dyDescent="0.25">
      <c r="A261" s="3" t="s">
        <v>21</v>
      </c>
      <c r="B261" s="3" t="s">
        <v>41</v>
      </c>
      <c r="C261" s="3" t="s">
        <v>42</v>
      </c>
      <c r="D261" s="3" t="s">
        <v>45</v>
      </c>
      <c r="E261" s="3" t="s">
        <v>53</v>
      </c>
      <c r="F261" s="3" t="s">
        <v>25</v>
      </c>
      <c r="G261" s="3" t="s">
        <v>25</v>
      </c>
      <c r="H261" s="3" t="s">
        <v>35</v>
      </c>
      <c r="I261" s="6">
        <v>44440</v>
      </c>
      <c r="J261" s="4">
        <v>10438</v>
      </c>
      <c r="K261" s="70">
        <v>10438</v>
      </c>
      <c r="L261" s="4">
        <v>285.35899999999998</v>
      </c>
      <c r="M261" s="70">
        <v>285.35899999999998</v>
      </c>
      <c r="N261" s="4">
        <v>285.35899999999998</v>
      </c>
      <c r="O261" s="70">
        <v>285.35899999999998</v>
      </c>
      <c r="P261" s="4">
        <v>0</v>
      </c>
      <c r="Q261" s="3" t="s">
        <v>26</v>
      </c>
      <c r="R261" s="3">
        <v>0</v>
      </c>
      <c r="S261" s="4">
        <v>92</v>
      </c>
      <c r="T261" s="4">
        <v>94</v>
      </c>
      <c r="U261" s="4">
        <v>47</v>
      </c>
      <c r="V261" s="70">
        <f>IF(ISERROR(VLOOKUP($S$261,'TAR FIN'!$A$1:$O$99,15,0)),0,VLOOKUP($S$261,'TAR FIN'!$A$1:$O$99,15,0))*(1-0.04)</f>
        <v>25.401599999999998</v>
      </c>
      <c r="W261" s="70">
        <f>IF(ISERROR(VLOOKUP($T$261,'TAR FIN'!$A$1:$O$99,15,0)),0,VLOOKUP($T$261,'TAR FIN'!$A$1:$O$99,15,0))*(1-0.04)</f>
        <v>62.524799999999992</v>
      </c>
      <c r="X261" s="70">
        <f>IF(ISERROR(VLOOKUP($U$261,'TAR FIN'!$A$1:$O$99,15,0)),0,VLOOKUP($U$261,'TAR FIN'!$A$1:$O$99,15,0))*(1-0.04)</f>
        <v>332.74560000000002</v>
      </c>
      <c r="Y261" s="70">
        <f ca="1">('TUSD BE'!$AM$5+'TUSD BF'!$AM$5+'TUSD CVA'!$AM$5)*1*(1-0.02)</f>
        <v>29.730549555259678</v>
      </c>
      <c r="Z261" s="70">
        <f ca="1">('TUSD BE'!$AM$7+'TUSD BF'!$AM$7+'TUSD CVA'!$AM$7)*1*(1-0.02)</f>
        <v>74.718606972898527</v>
      </c>
      <c r="AA261" s="70">
        <f>('TE BE'!$AA$5+'TE BF'!$AA$5+'TE CVA'!$AA$5)*1*(1-0.02)</f>
        <v>415.4185945530557</v>
      </c>
      <c r="AB261" s="4">
        <f>$K$261*$V$261</f>
        <v>265141.9008</v>
      </c>
      <c r="AC261" s="4">
        <f>$M$261*$W$261</f>
        <v>17842.014403199995</v>
      </c>
      <c r="AD261" s="4">
        <f>$O$261*$X$261</f>
        <v>94951.951670399998</v>
      </c>
      <c r="AE261" s="4">
        <f ca="1">$K$261*$Y$261</f>
        <v>310327.47625780053</v>
      </c>
      <c r="AF261" s="4">
        <f ca="1">$M$261*$Z$261</f>
        <v>21321.626967179349</v>
      </c>
      <c r="AG261" s="4">
        <f>$O$261*$AA$261</f>
        <v>118543.43472306541</v>
      </c>
    </row>
    <row r="262" spans="1:33" ht="11.25" customHeight="1" x14ac:dyDescent="0.25">
      <c r="A262" s="3" t="s">
        <v>27</v>
      </c>
      <c r="B262" s="3" t="s">
        <v>41</v>
      </c>
      <c r="C262" s="3" t="s">
        <v>42</v>
      </c>
      <c r="D262" s="3" t="s">
        <v>45</v>
      </c>
      <c r="E262" s="3" t="s">
        <v>53</v>
      </c>
      <c r="F262" s="3" t="s">
        <v>25</v>
      </c>
      <c r="G262" s="3" t="s">
        <v>25</v>
      </c>
      <c r="H262" s="3" t="s">
        <v>35</v>
      </c>
      <c r="I262" s="6">
        <v>44440</v>
      </c>
      <c r="J262" s="4">
        <v>-5000</v>
      </c>
      <c r="K262" s="70">
        <v>-5000</v>
      </c>
      <c r="L262" s="4">
        <v>0</v>
      </c>
      <c r="M262" s="70">
        <v>0</v>
      </c>
      <c r="N262" s="4">
        <v>0</v>
      </c>
      <c r="O262" s="70">
        <v>0</v>
      </c>
      <c r="P262" s="4">
        <v>0</v>
      </c>
      <c r="Q262" s="3" t="s">
        <v>26</v>
      </c>
      <c r="R262" s="3">
        <v>0</v>
      </c>
      <c r="S262" s="4">
        <v>92</v>
      </c>
      <c r="T262" s="4">
        <v>0</v>
      </c>
      <c r="U262" s="4">
        <v>0</v>
      </c>
      <c r="V262" s="70">
        <f>IF(ISERROR(VLOOKUP($S$262,'TAR FIN'!$A$1:$O$99,15,0)),0,VLOOKUP($S$262,'TAR FIN'!$A$1:$O$99,15,0))*(1-0.04)</f>
        <v>25.401599999999998</v>
      </c>
      <c r="W262" s="70">
        <f>IF(ISERROR(VLOOKUP($T$262,'TAR FIN'!$A$1:$O$99,15,0)),0,VLOOKUP($T$262,'TAR FIN'!$A$1:$O$99,15,0))*(1-0.04)</f>
        <v>0</v>
      </c>
      <c r="X262" s="70">
        <f>IF(ISERROR(VLOOKUP($U$262,'TAR FIN'!$A$1:$O$99,15,0)),0,VLOOKUP($U$262,'TAR FIN'!$A$1:$O$99,15,0))*(1-0.04)</f>
        <v>0</v>
      </c>
      <c r="Y262" s="70">
        <f ca="1">('TUSD BE'!$AM$5+'TUSD BF'!$AM$5+'TUSD CVA'!$AM$5)*1*(1-0.02)</f>
        <v>29.730549555259678</v>
      </c>
      <c r="Z262" s="70">
        <f ca="1">('TUSD BE'!$AM$7+'TUSD BF'!$AM$7+'TUSD CVA'!$AM$7)*1*(1-0.02)</f>
        <v>74.718606972898527</v>
      </c>
      <c r="AA262" s="70">
        <f>('TE BE'!$AA$5+'TE BF'!$AA$5+'TE CVA'!$AA$5)*1*(1-0.02)</f>
        <v>415.4185945530557</v>
      </c>
      <c r="AB262" s="4">
        <f>$K$262*$V$262</f>
        <v>-127007.99999999999</v>
      </c>
      <c r="AC262" s="4">
        <f>$M$262*$W$262</f>
        <v>0</v>
      </c>
      <c r="AD262" s="4">
        <f>$O$262*$X$262</f>
        <v>0</v>
      </c>
      <c r="AE262" s="4">
        <f ca="1">$K$262*$Y$262</f>
        <v>-148652.74777629838</v>
      </c>
      <c r="AF262" s="4">
        <f ca="1">$M$262*$Z$262</f>
        <v>0</v>
      </c>
      <c r="AG262" s="4">
        <f>$O$262*$AA$262</f>
        <v>0</v>
      </c>
    </row>
    <row r="263" spans="1:33" ht="11.25" customHeight="1" x14ac:dyDescent="0.25">
      <c r="A263" s="3" t="s">
        <v>21</v>
      </c>
      <c r="B263" s="3" t="s">
        <v>41</v>
      </c>
      <c r="C263" s="3" t="s">
        <v>42</v>
      </c>
      <c r="D263" s="3" t="s">
        <v>45</v>
      </c>
      <c r="E263" s="3" t="s">
        <v>53</v>
      </c>
      <c r="F263" s="3" t="s">
        <v>25</v>
      </c>
      <c r="G263" s="3" t="s">
        <v>25</v>
      </c>
      <c r="H263" s="3" t="s">
        <v>35</v>
      </c>
      <c r="I263" s="6">
        <v>44470</v>
      </c>
      <c r="J263" s="4">
        <v>19181</v>
      </c>
      <c r="K263" s="70">
        <v>19181</v>
      </c>
      <c r="L263" s="4">
        <v>440.44600000000003</v>
      </c>
      <c r="M263" s="70">
        <v>440.44600000000003</v>
      </c>
      <c r="N263" s="4">
        <v>440.44600000000003</v>
      </c>
      <c r="O263" s="70">
        <v>440.44600000000003</v>
      </c>
      <c r="P263" s="4">
        <v>0</v>
      </c>
      <c r="Q263" s="3" t="s">
        <v>26</v>
      </c>
      <c r="R263" s="3">
        <v>0</v>
      </c>
      <c r="S263" s="4">
        <v>92</v>
      </c>
      <c r="T263" s="4">
        <v>94</v>
      </c>
      <c r="U263" s="4">
        <v>47</v>
      </c>
      <c r="V263" s="70">
        <f>IF(ISERROR(VLOOKUP($S$263,'TAR FIN'!$A$1:$O$99,15,0)),0,VLOOKUP($S$263,'TAR FIN'!$A$1:$O$99,15,0))*(1-0.04)</f>
        <v>25.401599999999998</v>
      </c>
      <c r="W263" s="70">
        <f>IF(ISERROR(VLOOKUP($T$263,'TAR FIN'!$A$1:$O$99,15,0)),0,VLOOKUP($T$263,'TAR FIN'!$A$1:$O$99,15,0))*(1-0.04)</f>
        <v>62.524799999999992</v>
      </c>
      <c r="X263" s="70">
        <f>IF(ISERROR(VLOOKUP($U$263,'TAR FIN'!$A$1:$O$99,15,0)),0,VLOOKUP($U$263,'TAR FIN'!$A$1:$O$99,15,0))*(1-0.04)</f>
        <v>332.74560000000002</v>
      </c>
      <c r="Y263" s="70">
        <f ca="1">('TUSD BE'!$AM$5+'TUSD BF'!$AM$5+'TUSD CVA'!$AM$5)*1*(1-0.02)</f>
        <v>29.730549555259678</v>
      </c>
      <c r="Z263" s="70">
        <f ca="1">('TUSD BE'!$AM$7+'TUSD BF'!$AM$7+'TUSD CVA'!$AM$7)*1*(1-0.02)</f>
        <v>74.718606972898527</v>
      </c>
      <c r="AA263" s="70">
        <f>('TE BE'!$AA$5+'TE BF'!$AA$5+'TE CVA'!$AA$5)*1*(1-0.02)</f>
        <v>415.4185945530557</v>
      </c>
      <c r="AB263" s="4">
        <f>$K$263*$V$263</f>
        <v>487228.08959999995</v>
      </c>
      <c r="AC263" s="4">
        <f>$M$263*$W$263</f>
        <v>27538.7980608</v>
      </c>
      <c r="AD263" s="4">
        <f>$O$263*$X$263</f>
        <v>146556.46853760001</v>
      </c>
      <c r="AE263" s="4">
        <f ca="1">$K$263*$Y$263</f>
        <v>570261.67101943586</v>
      </c>
      <c r="AF263" s="4">
        <f ca="1">$M$263*$Z$263</f>
        <v>32909.511566785266</v>
      </c>
      <c r="AG263" s="4">
        <f>$O$263*$AA$263</f>
        <v>182969.45829651519</v>
      </c>
    </row>
    <row r="264" spans="1:33" ht="11.25" customHeight="1" x14ac:dyDescent="0.25">
      <c r="A264" s="3" t="s">
        <v>21</v>
      </c>
      <c r="B264" s="3" t="s">
        <v>41</v>
      </c>
      <c r="C264" s="3" t="s">
        <v>42</v>
      </c>
      <c r="D264" s="3" t="s">
        <v>45</v>
      </c>
      <c r="E264" s="3" t="s">
        <v>53</v>
      </c>
      <c r="F264" s="3" t="s">
        <v>25</v>
      </c>
      <c r="G264" s="3" t="s">
        <v>25</v>
      </c>
      <c r="H264" s="3" t="s">
        <v>35</v>
      </c>
      <c r="I264" s="6">
        <v>44501</v>
      </c>
      <c r="J264" s="4">
        <v>17184</v>
      </c>
      <c r="K264" s="70">
        <v>17184</v>
      </c>
      <c r="L264" s="4">
        <v>393.58499999999998</v>
      </c>
      <c r="M264" s="70">
        <v>393.58499999999998</v>
      </c>
      <c r="N264" s="4">
        <v>393.58499999999998</v>
      </c>
      <c r="O264" s="70">
        <v>393.58499999999998</v>
      </c>
      <c r="P264" s="4">
        <v>0</v>
      </c>
      <c r="Q264" s="3" t="s">
        <v>26</v>
      </c>
      <c r="R264" s="3">
        <v>0</v>
      </c>
      <c r="S264" s="4">
        <v>92</v>
      </c>
      <c r="T264" s="4">
        <v>94</v>
      </c>
      <c r="U264" s="4">
        <v>47</v>
      </c>
      <c r="V264" s="70">
        <f>IF(ISERROR(VLOOKUP($S$264,'TAR FIN'!$A$1:$O$99,15,0)),0,VLOOKUP($S$264,'TAR FIN'!$A$1:$O$99,15,0))*(1-0.04)</f>
        <v>25.401599999999998</v>
      </c>
      <c r="W264" s="70">
        <f>IF(ISERROR(VLOOKUP($T$264,'TAR FIN'!$A$1:$O$99,15,0)),0,VLOOKUP($T$264,'TAR FIN'!$A$1:$O$99,15,0))*(1-0.04)</f>
        <v>62.524799999999992</v>
      </c>
      <c r="X264" s="70">
        <f>IF(ISERROR(VLOOKUP($U$264,'TAR FIN'!$A$1:$O$99,15,0)),0,VLOOKUP($U$264,'TAR FIN'!$A$1:$O$99,15,0))*(1-0.04)</f>
        <v>332.74560000000002</v>
      </c>
      <c r="Y264" s="70">
        <f ca="1">('TUSD BE'!$AM$5+'TUSD BF'!$AM$5+'TUSD CVA'!$AM$5)*1*(1-0.02)</f>
        <v>29.730549555259678</v>
      </c>
      <c r="Z264" s="70">
        <f ca="1">('TUSD BE'!$AM$7+'TUSD BF'!$AM$7+'TUSD CVA'!$AM$7)*1*(1-0.02)</f>
        <v>74.718606972898527</v>
      </c>
      <c r="AA264" s="70">
        <f>('TE BE'!$AA$5+'TE BF'!$AA$5+'TE CVA'!$AA$5)*1*(1-0.02)</f>
        <v>415.4185945530557</v>
      </c>
      <c r="AB264" s="4">
        <f>$K$264*$V$264</f>
        <v>436501.09439999994</v>
      </c>
      <c r="AC264" s="4">
        <f>$M$264*$W$264</f>
        <v>24608.823407999997</v>
      </c>
      <c r="AD264" s="4">
        <f>$O$264*$X$264</f>
        <v>130963.676976</v>
      </c>
      <c r="AE264" s="4">
        <f ca="1">$K$264*$Y$264</f>
        <v>510889.76355758234</v>
      </c>
      <c r="AF264" s="4">
        <f ca="1">$M$264*$Z$264</f>
        <v>29408.122925428266</v>
      </c>
      <c r="AG264" s="4">
        <f>$O$264*$AA$264</f>
        <v>163502.52753716442</v>
      </c>
    </row>
    <row r="265" spans="1:33" ht="11.25" customHeight="1" x14ac:dyDescent="0.25">
      <c r="A265" s="3" t="s">
        <v>21</v>
      </c>
      <c r="B265" s="3" t="s">
        <v>41</v>
      </c>
      <c r="C265" s="3" t="s">
        <v>42</v>
      </c>
      <c r="D265" s="3" t="s">
        <v>45</v>
      </c>
      <c r="E265" s="3" t="s">
        <v>53</v>
      </c>
      <c r="F265" s="3" t="s">
        <v>25</v>
      </c>
      <c r="G265" s="3" t="s">
        <v>25</v>
      </c>
      <c r="H265" s="3" t="s">
        <v>35</v>
      </c>
      <c r="I265" s="6">
        <v>44531</v>
      </c>
      <c r="J265" s="4">
        <v>13433</v>
      </c>
      <c r="K265" s="70">
        <v>13433</v>
      </c>
      <c r="L265" s="4">
        <v>339.88400000000001</v>
      </c>
      <c r="M265" s="70">
        <v>339.88400000000001</v>
      </c>
      <c r="N265" s="4">
        <v>339.88400000000001</v>
      </c>
      <c r="O265" s="70">
        <v>339.88400000000001</v>
      </c>
      <c r="P265" s="4">
        <v>0</v>
      </c>
      <c r="Q265" s="3" t="s">
        <v>26</v>
      </c>
      <c r="R265" s="3">
        <v>0</v>
      </c>
      <c r="S265" s="4">
        <v>92</v>
      </c>
      <c r="T265" s="4">
        <v>94</v>
      </c>
      <c r="U265" s="4">
        <v>47</v>
      </c>
      <c r="V265" s="70">
        <f>IF(ISERROR(VLOOKUP($S$265,'TAR FIN'!$A$1:$O$99,15,0)),0,VLOOKUP($S$265,'TAR FIN'!$A$1:$O$99,15,0))*(1-0.04)</f>
        <v>25.401599999999998</v>
      </c>
      <c r="W265" s="70">
        <f>IF(ISERROR(VLOOKUP($T$265,'TAR FIN'!$A$1:$O$99,15,0)),0,VLOOKUP($T$265,'TAR FIN'!$A$1:$O$99,15,0))*(1-0.04)</f>
        <v>62.524799999999992</v>
      </c>
      <c r="X265" s="70">
        <f>IF(ISERROR(VLOOKUP($U$265,'TAR FIN'!$A$1:$O$99,15,0)),0,VLOOKUP($U$265,'TAR FIN'!$A$1:$O$99,15,0))*(1-0.04)</f>
        <v>332.74560000000002</v>
      </c>
      <c r="Y265" s="70">
        <f ca="1">('TUSD BE'!$AM$5+'TUSD BF'!$AM$5+'TUSD CVA'!$AM$5)*1*(1-0.02)</f>
        <v>29.730549555259678</v>
      </c>
      <c r="Z265" s="70">
        <f ca="1">('TUSD BE'!$AM$7+'TUSD BF'!$AM$7+'TUSD CVA'!$AM$7)*1*(1-0.02)</f>
        <v>74.718606972898527</v>
      </c>
      <c r="AA265" s="70">
        <f>('TE BE'!$AA$5+'TE BF'!$AA$5+'TE CVA'!$AA$5)*1*(1-0.02)</f>
        <v>415.4185945530557</v>
      </c>
      <c r="AB265" s="4">
        <f>$K$265*$V$265</f>
        <v>341219.69279999996</v>
      </c>
      <c r="AC265" s="4">
        <f>$M$265*$W$265</f>
        <v>21251.1791232</v>
      </c>
      <c r="AD265" s="4">
        <f>$O$265*$X$265</f>
        <v>113094.90551040001</v>
      </c>
      <c r="AE265" s="4">
        <f ca="1">$K$265*$Y$265</f>
        <v>399370.47217580327</v>
      </c>
      <c r="AF265" s="4">
        <f ca="1">$M$265*$Z$265</f>
        <v>25395.659012376644</v>
      </c>
      <c r="AG265" s="4">
        <f>$O$265*$AA$265</f>
        <v>141194.1335910708</v>
      </c>
    </row>
    <row r="266" spans="1:33" ht="11.25" customHeight="1" x14ac:dyDescent="0.25">
      <c r="A266" s="3" t="s">
        <v>21</v>
      </c>
      <c r="B266" s="3" t="s">
        <v>41</v>
      </c>
      <c r="C266" s="3" t="s">
        <v>42</v>
      </c>
      <c r="D266" s="3" t="s">
        <v>45</v>
      </c>
      <c r="E266" s="3" t="s">
        <v>53</v>
      </c>
      <c r="F266" s="3" t="s">
        <v>25</v>
      </c>
      <c r="G266" s="3" t="s">
        <v>25</v>
      </c>
      <c r="H266" s="3" t="s">
        <v>35</v>
      </c>
      <c r="I266" s="6">
        <v>44562</v>
      </c>
      <c r="J266" s="4">
        <v>14199</v>
      </c>
      <c r="K266" s="70">
        <v>14199</v>
      </c>
      <c r="L266" s="4">
        <v>94.647000000000006</v>
      </c>
      <c r="M266" s="70">
        <v>94.647000000000006</v>
      </c>
      <c r="N266" s="4">
        <v>94.647000000000006</v>
      </c>
      <c r="O266" s="70">
        <v>94.647000000000006</v>
      </c>
      <c r="P266" s="4">
        <v>0</v>
      </c>
      <c r="Q266" s="3" t="s">
        <v>26</v>
      </c>
      <c r="R266" s="3">
        <v>0</v>
      </c>
      <c r="S266" s="4">
        <v>92</v>
      </c>
      <c r="T266" s="4">
        <v>94</v>
      </c>
      <c r="U266" s="4">
        <v>47</v>
      </c>
      <c r="V266" s="70">
        <f>IF(ISERROR(VLOOKUP($S$266,'TAR FIN'!$A$1:$O$99,15,0)),0,VLOOKUP($S$266,'TAR FIN'!$A$1:$O$99,15,0))*(1-0.04)</f>
        <v>25.401599999999998</v>
      </c>
      <c r="W266" s="70">
        <f>IF(ISERROR(VLOOKUP($T$266,'TAR FIN'!$A$1:$O$99,15,0)),0,VLOOKUP($T$266,'TAR FIN'!$A$1:$O$99,15,0))*(1-0.04)</f>
        <v>62.524799999999992</v>
      </c>
      <c r="X266" s="70">
        <f>IF(ISERROR(VLOOKUP($U$266,'TAR FIN'!$A$1:$O$99,15,0)),0,VLOOKUP($U$266,'TAR FIN'!$A$1:$O$99,15,0))*(1-0.04)</f>
        <v>332.74560000000002</v>
      </c>
      <c r="Y266" s="70">
        <f ca="1">('TUSD BE'!$AM$5+'TUSD BF'!$AM$5+'TUSD CVA'!$AM$5)*1*(1-0.02)</f>
        <v>29.730549555259678</v>
      </c>
      <c r="Z266" s="70">
        <f ca="1">('TUSD BE'!$AM$7+'TUSD BF'!$AM$7+'TUSD CVA'!$AM$7)*1*(1-0.02)</f>
        <v>74.718606972898527</v>
      </c>
      <c r="AA266" s="70">
        <f>('TE BE'!$AA$5+'TE BF'!$AA$5+'TE CVA'!$AA$5)*1*(1-0.02)</f>
        <v>415.4185945530557</v>
      </c>
      <c r="AB266" s="4">
        <f>$K$266*$V$266</f>
        <v>360677.31839999999</v>
      </c>
      <c r="AC266" s="4">
        <f>$M$266*$W$266</f>
        <v>5917.7847456</v>
      </c>
      <c r="AD266" s="4">
        <f>$O$266*$X$266</f>
        <v>31493.372803200004</v>
      </c>
      <c r="AE266" s="4">
        <f ca="1">$K$266*$Y$266</f>
        <v>422144.07313513214</v>
      </c>
      <c r="AF266" s="4">
        <f ca="1">$M$266*$Z$266</f>
        <v>7071.8919941639269</v>
      </c>
      <c r="AG266" s="4">
        <f>$O$266*$AA$266</f>
        <v>39318.123718663068</v>
      </c>
    </row>
    <row r="267" spans="1:33" ht="11.25" customHeight="1" x14ac:dyDescent="0.25">
      <c r="A267" s="3" t="s">
        <v>21</v>
      </c>
      <c r="B267" s="3" t="s">
        <v>41</v>
      </c>
      <c r="C267" s="3" t="s">
        <v>42</v>
      </c>
      <c r="D267" s="3" t="s">
        <v>45</v>
      </c>
      <c r="E267" s="3" t="s">
        <v>53</v>
      </c>
      <c r="F267" s="3" t="s">
        <v>25</v>
      </c>
      <c r="G267" s="3" t="s">
        <v>25</v>
      </c>
      <c r="H267" s="3" t="s">
        <v>35</v>
      </c>
      <c r="I267" s="6">
        <v>44593</v>
      </c>
      <c r="J267" s="4">
        <v>14550</v>
      </c>
      <c r="K267" s="70">
        <v>14550</v>
      </c>
      <c r="L267" s="4">
        <v>257.23599999999999</v>
      </c>
      <c r="M267" s="70">
        <v>257.23599999999999</v>
      </c>
      <c r="N267" s="4">
        <v>257.23599999999999</v>
      </c>
      <c r="O267" s="70">
        <v>257.23599999999999</v>
      </c>
      <c r="P267" s="4">
        <v>0</v>
      </c>
      <c r="Q267" s="3" t="s">
        <v>26</v>
      </c>
      <c r="R267" s="3">
        <v>0</v>
      </c>
      <c r="S267" s="4">
        <v>92</v>
      </c>
      <c r="T267" s="4">
        <v>94</v>
      </c>
      <c r="U267" s="4">
        <v>47</v>
      </c>
      <c r="V267" s="70">
        <f>IF(ISERROR(VLOOKUP($S$267,'TAR FIN'!$A$1:$O$99,15,0)),0,VLOOKUP($S$267,'TAR FIN'!$A$1:$O$99,15,0))*(1-0.04)</f>
        <v>25.401599999999998</v>
      </c>
      <c r="W267" s="70">
        <f>IF(ISERROR(VLOOKUP($T$267,'TAR FIN'!$A$1:$O$99,15,0)),0,VLOOKUP($T$267,'TAR FIN'!$A$1:$O$99,15,0))*(1-0.04)</f>
        <v>62.524799999999992</v>
      </c>
      <c r="X267" s="70">
        <f>IF(ISERROR(VLOOKUP($U$267,'TAR FIN'!$A$1:$O$99,15,0)),0,VLOOKUP($U$267,'TAR FIN'!$A$1:$O$99,15,0))*(1-0.04)</f>
        <v>332.74560000000002</v>
      </c>
      <c r="Y267" s="70">
        <f ca="1">('TUSD BE'!$AM$5+'TUSD BF'!$AM$5+'TUSD CVA'!$AM$5)*1*(1-0.02)</f>
        <v>29.730549555259678</v>
      </c>
      <c r="Z267" s="70">
        <f ca="1">('TUSD BE'!$AM$7+'TUSD BF'!$AM$7+'TUSD CVA'!$AM$7)*1*(1-0.02)</f>
        <v>74.718606972898527</v>
      </c>
      <c r="AA267" s="70">
        <f>('TE BE'!$AA$5+'TE BF'!$AA$5+'TE CVA'!$AA$5)*1*(1-0.02)</f>
        <v>415.4185945530557</v>
      </c>
      <c r="AB267" s="4">
        <f>$K$267*$V$267</f>
        <v>369593.27999999997</v>
      </c>
      <c r="AC267" s="4">
        <f>$M$267*$W$267</f>
        <v>16083.629452799998</v>
      </c>
      <c r="AD267" s="4">
        <f>$O$267*$X$267</f>
        <v>85594.147161600005</v>
      </c>
      <c r="AE267" s="4">
        <f ca="1">$K$267*$Y$267</f>
        <v>432579.49602902832</v>
      </c>
      <c r="AF267" s="4">
        <f ca="1">$M$267*$Z$267</f>
        <v>19220.315583280524</v>
      </c>
      <c r="AG267" s="4">
        <f>$O$267*$AA$267</f>
        <v>106860.61758844984</v>
      </c>
    </row>
    <row r="268" spans="1:33" ht="11.25" customHeight="1" x14ac:dyDescent="0.25">
      <c r="A268" s="3" t="s">
        <v>21</v>
      </c>
      <c r="B268" s="3" t="s">
        <v>41</v>
      </c>
      <c r="C268" s="3" t="s">
        <v>42</v>
      </c>
      <c r="D268" s="3" t="s">
        <v>45</v>
      </c>
      <c r="E268" s="3" t="s">
        <v>53</v>
      </c>
      <c r="F268" s="3" t="s">
        <v>25</v>
      </c>
      <c r="G268" s="3" t="s">
        <v>25</v>
      </c>
      <c r="H268" s="3" t="s">
        <v>35</v>
      </c>
      <c r="I268" s="6">
        <v>44621</v>
      </c>
      <c r="J268" s="4">
        <v>13990</v>
      </c>
      <c r="K268" s="70">
        <v>13990</v>
      </c>
      <c r="L268" s="4">
        <v>296.89499999999998</v>
      </c>
      <c r="M268" s="70">
        <v>296.89499999999998</v>
      </c>
      <c r="N268" s="4">
        <v>296.89499999999998</v>
      </c>
      <c r="O268" s="70">
        <v>296.89499999999998</v>
      </c>
      <c r="P268" s="4">
        <v>0</v>
      </c>
      <c r="Q268" s="3" t="s">
        <v>26</v>
      </c>
      <c r="R268" s="3">
        <v>0</v>
      </c>
      <c r="S268" s="4">
        <v>92</v>
      </c>
      <c r="T268" s="4">
        <v>94</v>
      </c>
      <c r="U268" s="4">
        <v>47</v>
      </c>
      <c r="V268" s="70">
        <f>IF(ISERROR(VLOOKUP($S$268,'TAR FIN'!$A$1:$O$99,15,0)),0,VLOOKUP($S$268,'TAR FIN'!$A$1:$O$99,15,0))*(1-0.04)</f>
        <v>25.401599999999998</v>
      </c>
      <c r="W268" s="70">
        <f>IF(ISERROR(VLOOKUP($T$268,'TAR FIN'!$A$1:$O$99,15,0)),0,VLOOKUP($T$268,'TAR FIN'!$A$1:$O$99,15,0))*(1-0.04)</f>
        <v>62.524799999999992</v>
      </c>
      <c r="X268" s="70">
        <f>IF(ISERROR(VLOOKUP($U$268,'TAR FIN'!$A$1:$O$99,15,0)),0,VLOOKUP($U$268,'TAR FIN'!$A$1:$O$99,15,0))*(1-0.04)</f>
        <v>332.74560000000002</v>
      </c>
      <c r="Y268" s="70">
        <f ca="1">('TUSD BE'!$AM$5+'TUSD BF'!$AM$5+'TUSD CVA'!$AM$5)*1*(1-0.02)</f>
        <v>29.730549555259678</v>
      </c>
      <c r="Z268" s="70">
        <f ca="1">('TUSD BE'!$AM$7+'TUSD BF'!$AM$7+'TUSD CVA'!$AM$7)*1*(1-0.02)</f>
        <v>74.718606972898527</v>
      </c>
      <c r="AA268" s="70">
        <f>('TE BE'!$AA$5+'TE BF'!$AA$5+'TE CVA'!$AA$5)*1*(1-0.02)</f>
        <v>415.4185945530557</v>
      </c>
      <c r="AB268" s="4">
        <f>$K$268*$V$268</f>
        <v>355368.38399999996</v>
      </c>
      <c r="AC268" s="4">
        <f>$M$268*$W$268</f>
        <v>18563.300495999996</v>
      </c>
      <c r="AD268" s="4">
        <f>$O$268*$X$268</f>
        <v>98790.504912000004</v>
      </c>
      <c r="AE268" s="4">
        <f ca="1">$K$268*$Y$268</f>
        <v>415930.38827808289</v>
      </c>
      <c r="AF268" s="4">
        <f ca="1">$M$268*$Z$268</f>
        <v>22183.580817218706</v>
      </c>
      <c r="AG268" s="4">
        <f>$O$268*$AA$268</f>
        <v>123335.70362982947</v>
      </c>
    </row>
    <row r="269" spans="1:33" ht="11.25" customHeight="1" x14ac:dyDescent="0.25">
      <c r="A269" s="3" t="s">
        <v>56</v>
      </c>
      <c r="B269" s="3" t="s">
        <v>41</v>
      </c>
      <c r="C269" s="3" t="s">
        <v>42</v>
      </c>
      <c r="D269" s="3" t="s">
        <v>45</v>
      </c>
      <c r="E269" s="3" t="s">
        <v>53</v>
      </c>
      <c r="F269" s="3" t="s">
        <v>25</v>
      </c>
      <c r="G269" s="3" t="s">
        <v>25</v>
      </c>
      <c r="H269" s="3" t="s">
        <v>35</v>
      </c>
      <c r="I269" s="6">
        <v>44652</v>
      </c>
      <c r="J269" s="4">
        <v>13990</v>
      </c>
      <c r="K269" s="70">
        <v>13990</v>
      </c>
      <c r="L269" s="4">
        <v>296.89499999999998</v>
      </c>
      <c r="M269" s="70">
        <v>296.89499999999998</v>
      </c>
      <c r="N269" s="4">
        <v>296.89499999999998</v>
      </c>
      <c r="O269" s="70">
        <v>296.89499999999998</v>
      </c>
      <c r="P269" s="4">
        <v>0</v>
      </c>
      <c r="Q269" s="3" t="s">
        <v>26</v>
      </c>
      <c r="R269" s="3">
        <v>0</v>
      </c>
      <c r="S269" s="4">
        <v>92</v>
      </c>
      <c r="T269" s="4">
        <v>94</v>
      </c>
      <c r="U269" s="4">
        <v>47</v>
      </c>
      <c r="V269" s="70">
        <f>IF(ISERROR(VLOOKUP($S$269,'TAR FIN'!$A$1:$O$99,15,0)),0,VLOOKUP($S$269,'TAR FIN'!$A$1:$O$99,15,0))*(1-0.04)</f>
        <v>25.401599999999998</v>
      </c>
      <c r="W269" s="70">
        <f>IF(ISERROR(VLOOKUP($T$269,'TAR FIN'!$A$1:$O$99,15,0)),0,VLOOKUP($T$269,'TAR FIN'!$A$1:$O$99,15,0))*(1-0.04)</f>
        <v>62.524799999999992</v>
      </c>
      <c r="X269" s="70">
        <f>IF(ISERROR(VLOOKUP($U$269,'TAR FIN'!$A$1:$O$99,15,0)),0,VLOOKUP($U$269,'TAR FIN'!$A$1:$O$99,15,0))*(1-0.04)</f>
        <v>332.74560000000002</v>
      </c>
      <c r="Y269" s="70">
        <f ca="1">('TUSD BE'!$AM$5+'TUSD BF'!$AM$5+'TUSD CVA'!$AM$5)*1*(1-0.02)</f>
        <v>29.730549555259678</v>
      </c>
      <c r="Z269" s="70">
        <f ca="1">('TUSD BE'!$AM$7+'TUSD BF'!$AM$7+'TUSD CVA'!$AM$7)*1*(1-0.02)</f>
        <v>74.718606972898527</v>
      </c>
      <c r="AA269" s="70">
        <f>('TE BE'!$AA$5+'TE BF'!$AA$5+'TE CVA'!$AA$5)*1*(1-0.02)</f>
        <v>415.4185945530557</v>
      </c>
      <c r="AB269" s="4">
        <f>$K$269*$V$269</f>
        <v>355368.38399999996</v>
      </c>
      <c r="AC269" s="4">
        <f>$M$269*$W$269</f>
        <v>18563.300495999996</v>
      </c>
      <c r="AD269" s="4">
        <f>$O$269*$X$269</f>
        <v>98790.504912000004</v>
      </c>
      <c r="AE269" s="4">
        <f ca="1">$K$269*$Y$269</f>
        <v>415930.38827808289</v>
      </c>
      <c r="AF269" s="4">
        <f ca="1">$M$269*$Z$269</f>
        <v>22183.580817218706</v>
      </c>
      <c r="AG269" s="4">
        <f>$O$269*$AA$269</f>
        <v>123335.70362982947</v>
      </c>
    </row>
    <row r="270" spans="1:33" ht="11.25" customHeight="1" x14ac:dyDescent="0.25">
      <c r="A270" s="3" t="s">
        <v>21</v>
      </c>
      <c r="B270" s="3" t="s">
        <v>41</v>
      </c>
      <c r="C270" s="3" t="s">
        <v>42</v>
      </c>
      <c r="D270" s="3" t="s">
        <v>45</v>
      </c>
      <c r="E270" s="3" t="s">
        <v>25</v>
      </c>
      <c r="F270" s="3" t="s">
        <v>25</v>
      </c>
      <c r="G270" s="3" t="s">
        <v>25</v>
      </c>
      <c r="H270" s="3" t="s">
        <v>36</v>
      </c>
      <c r="I270" s="6">
        <v>44317</v>
      </c>
      <c r="J270" s="4">
        <v>144</v>
      </c>
      <c r="K270" s="70">
        <v>144</v>
      </c>
      <c r="L270" s="4">
        <v>8.6219999999999999</v>
      </c>
      <c r="M270" s="70">
        <v>8.6219999999999999</v>
      </c>
      <c r="N270" s="4">
        <v>8.6219999999999999</v>
      </c>
      <c r="O270" s="70">
        <v>8.6219999999999999</v>
      </c>
      <c r="P270" s="4">
        <v>0</v>
      </c>
      <c r="Q270" s="3" t="s">
        <v>26</v>
      </c>
      <c r="R270" s="3">
        <v>0</v>
      </c>
      <c r="S270" s="4">
        <v>93</v>
      </c>
      <c r="T270" s="4">
        <v>94</v>
      </c>
      <c r="U270" s="4">
        <v>48</v>
      </c>
      <c r="V270" s="70">
        <f>IF(ISERROR(VLOOKUP($S$270,'TAR FIN'!$A$1:$O$99,15,0)),0,VLOOKUP($S$270,'TAR FIN'!$A$1:$O$99,15,0))*(1-0.04)</f>
        <v>14.620799999999999</v>
      </c>
      <c r="W270" s="70">
        <f>IF(ISERROR(VLOOKUP($T$270,'TAR FIN'!$A$1:$O$99,15,0)),0,VLOOKUP($T$270,'TAR FIN'!$A$1:$O$99,15,0))*(1-0.04)</f>
        <v>62.524799999999992</v>
      </c>
      <c r="X270" s="70">
        <f>IF(ISERROR(VLOOKUP($U$270,'TAR FIN'!$A$1:$O$99,15,0)),0,VLOOKUP($U$270,'TAR FIN'!$A$1:$O$99,15,0))*(1-0.04)</f>
        <v>211.1712</v>
      </c>
      <c r="Y270" s="70">
        <f ca="1">('TUSD BE'!$AM$6+'TUSD BF'!$AM$6+'TUSD CVA'!$AM$6)*1*(1-0.02)</f>
        <v>16.016998924079751</v>
      </c>
      <c r="Z270" s="70">
        <f ca="1">('TUSD BE'!$AM$7+'TUSD BF'!$AM$7+'TUSD CVA'!$AM$7)*1*(1-0.02)</f>
        <v>74.718606972898527</v>
      </c>
      <c r="AA270" s="70">
        <f>('TE BE'!$AA$6+'TE BF'!$AA$6+'TE CVA'!$AA$6)*1*(1-0.02)</f>
        <v>265.71632769942346</v>
      </c>
      <c r="AB270" s="4">
        <f>$K$270*$V$270</f>
        <v>2105.3951999999999</v>
      </c>
      <c r="AC270" s="4">
        <f>$M$270*$W$270</f>
        <v>539.08882559999995</v>
      </c>
      <c r="AD270" s="4">
        <f>$O$270*$X$270</f>
        <v>1820.7180863999999</v>
      </c>
      <c r="AE270" s="4">
        <f ca="1">$K$270*$Y$270</f>
        <v>2306.4478450674842</v>
      </c>
      <c r="AF270" s="4">
        <f ca="1">$M$270*$Z$270</f>
        <v>644.22382932033111</v>
      </c>
      <c r="AG270" s="4">
        <f>$O$270*$AA$270</f>
        <v>2291.0061774244291</v>
      </c>
    </row>
    <row r="271" spans="1:33" ht="11.25" customHeight="1" x14ac:dyDescent="0.25">
      <c r="A271" s="3" t="s">
        <v>21</v>
      </c>
      <c r="B271" s="3" t="s">
        <v>41</v>
      </c>
      <c r="C271" s="3" t="s">
        <v>42</v>
      </c>
      <c r="D271" s="3" t="s">
        <v>45</v>
      </c>
      <c r="E271" s="3" t="s">
        <v>25</v>
      </c>
      <c r="F271" s="3" t="s">
        <v>25</v>
      </c>
      <c r="G271" s="3" t="s">
        <v>25</v>
      </c>
      <c r="H271" s="3" t="s">
        <v>36</v>
      </c>
      <c r="I271" s="6">
        <v>44348</v>
      </c>
      <c r="J271" s="4">
        <v>45</v>
      </c>
      <c r="K271" s="70">
        <v>45</v>
      </c>
      <c r="L271" s="4">
        <v>8.0399999999999991</v>
      </c>
      <c r="M271" s="70">
        <v>8.0399999999999991</v>
      </c>
      <c r="N271" s="4">
        <v>8.0399999999999991</v>
      </c>
      <c r="O271" s="70">
        <v>8.0399999999999991</v>
      </c>
      <c r="P271" s="4">
        <v>0</v>
      </c>
      <c r="Q271" s="3" t="s">
        <v>26</v>
      </c>
      <c r="R271" s="3">
        <v>0</v>
      </c>
      <c r="S271" s="4">
        <v>93</v>
      </c>
      <c r="T271" s="4">
        <v>94</v>
      </c>
      <c r="U271" s="4">
        <v>48</v>
      </c>
      <c r="V271" s="70">
        <f>IF(ISERROR(VLOOKUP($S$271,'TAR FIN'!$A$1:$O$99,15,0)),0,VLOOKUP($S$271,'TAR FIN'!$A$1:$O$99,15,0))*(1-0.04)</f>
        <v>14.620799999999999</v>
      </c>
      <c r="W271" s="70">
        <f>IF(ISERROR(VLOOKUP($T$271,'TAR FIN'!$A$1:$O$99,15,0)),0,VLOOKUP($T$271,'TAR FIN'!$A$1:$O$99,15,0))*(1-0.04)</f>
        <v>62.524799999999992</v>
      </c>
      <c r="X271" s="70">
        <f>IF(ISERROR(VLOOKUP($U$271,'TAR FIN'!$A$1:$O$99,15,0)),0,VLOOKUP($U$271,'TAR FIN'!$A$1:$O$99,15,0))*(1-0.04)</f>
        <v>211.1712</v>
      </c>
      <c r="Y271" s="70">
        <f ca="1">('TUSD BE'!$AM$6+'TUSD BF'!$AM$6+'TUSD CVA'!$AM$6)*1*(1-0.02)</f>
        <v>16.016998924079751</v>
      </c>
      <c r="Z271" s="70">
        <f ca="1">('TUSD BE'!$AM$7+'TUSD BF'!$AM$7+'TUSD CVA'!$AM$7)*1*(1-0.02)</f>
        <v>74.718606972898527</v>
      </c>
      <c r="AA271" s="70">
        <f>('TE BE'!$AA$6+'TE BF'!$AA$6+'TE CVA'!$AA$6)*1*(1-0.02)</f>
        <v>265.71632769942346</v>
      </c>
      <c r="AB271" s="4">
        <f>$K$271*$V$271</f>
        <v>657.93599999999992</v>
      </c>
      <c r="AC271" s="4">
        <f>$M$271*$W$271</f>
        <v>502.69939199999988</v>
      </c>
      <c r="AD271" s="4">
        <f>$O$271*$X$271</f>
        <v>1697.8164479999998</v>
      </c>
      <c r="AE271" s="4">
        <f ca="1">$K$271*$Y$271</f>
        <v>720.76495158358875</v>
      </c>
      <c r="AF271" s="4">
        <f ca="1">$M$271*$Z$271</f>
        <v>600.73760006210409</v>
      </c>
      <c r="AG271" s="4">
        <f>$O$271*$AA$271</f>
        <v>2136.3592747033645</v>
      </c>
    </row>
    <row r="272" spans="1:33" ht="11.25" customHeight="1" x14ac:dyDescent="0.25">
      <c r="A272" s="3" t="s">
        <v>21</v>
      </c>
      <c r="B272" s="3" t="s">
        <v>41</v>
      </c>
      <c r="C272" s="3" t="s">
        <v>42</v>
      </c>
      <c r="D272" s="3" t="s">
        <v>45</v>
      </c>
      <c r="E272" s="3" t="s">
        <v>25</v>
      </c>
      <c r="F272" s="3" t="s">
        <v>25</v>
      </c>
      <c r="G272" s="3" t="s">
        <v>25</v>
      </c>
      <c r="H272" s="3" t="s">
        <v>36</v>
      </c>
      <c r="I272" s="6">
        <v>44378</v>
      </c>
      <c r="J272" s="4">
        <v>45</v>
      </c>
      <c r="K272" s="70">
        <v>45</v>
      </c>
      <c r="L272" s="4">
        <v>8.1539999999999999</v>
      </c>
      <c r="M272" s="70">
        <v>8.1539999999999999</v>
      </c>
      <c r="N272" s="4">
        <v>8.1539999999999999</v>
      </c>
      <c r="O272" s="70">
        <v>8.1539999999999999</v>
      </c>
      <c r="P272" s="4">
        <v>0</v>
      </c>
      <c r="Q272" s="3" t="s">
        <v>26</v>
      </c>
      <c r="R272" s="3">
        <v>0</v>
      </c>
      <c r="S272" s="4">
        <v>93</v>
      </c>
      <c r="T272" s="4">
        <v>94</v>
      </c>
      <c r="U272" s="4">
        <v>48</v>
      </c>
      <c r="V272" s="70">
        <f>IF(ISERROR(VLOOKUP($S$272,'TAR FIN'!$A$1:$O$99,15,0)),0,VLOOKUP($S$272,'TAR FIN'!$A$1:$O$99,15,0))*(1-0.04)</f>
        <v>14.620799999999999</v>
      </c>
      <c r="W272" s="70">
        <f>IF(ISERROR(VLOOKUP($T$272,'TAR FIN'!$A$1:$O$99,15,0)),0,VLOOKUP($T$272,'TAR FIN'!$A$1:$O$99,15,0))*(1-0.04)</f>
        <v>62.524799999999992</v>
      </c>
      <c r="X272" s="70">
        <f>IF(ISERROR(VLOOKUP($U$272,'TAR FIN'!$A$1:$O$99,15,0)),0,VLOOKUP($U$272,'TAR FIN'!$A$1:$O$99,15,0))*(1-0.04)</f>
        <v>211.1712</v>
      </c>
      <c r="Y272" s="70">
        <f ca="1">('TUSD BE'!$AM$6+'TUSD BF'!$AM$6+'TUSD CVA'!$AM$6)*1*(1-0.02)</f>
        <v>16.016998924079751</v>
      </c>
      <c r="Z272" s="70">
        <f ca="1">('TUSD BE'!$AM$7+'TUSD BF'!$AM$7+'TUSD CVA'!$AM$7)*1*(1-0.02)</f>
        <v>74.718606972898527</v>
      </c>
      <c r="AA272" s="70">
        <f>('TE BE'!$AA$6+'TE BF'!$AA$6+'TE CVA'!$AA$6)*1*(1-0.02)</f>
        <v>265.71632769942346</v>
      </c>
      <c r="AB272" s="4">
        <f>$K$272*$V$272</f>
        <v>657.93599999999992</v>
      </c>
      <c r="AC272" s="4">
        <f>$M$272*$W$272</f>
        <v>509.82721919999994</v>
      </c>
      <c r="AD272" s="4">
        <f>$O$272*$X$272</f>
        <v>1721.8899647999999</v>
      </c>
      <c r="AE272" s="4">
        <f ca="1">$K$272*$Y$272</f>
        <v>720.76495158358875</v>
      </c>
      <c r="AF272" s="4">
        <f ca="1">$M$272*$Z$272</f>
        <v>609.25552125701461</v>
      </c>
      <c r="AG272" s="4">
        <f>$O$272*$AA$272</f>
        <v>2166.6509360610989</v>
      </c>
    </row>
    <row r="273" spans="1:33" ht="11.25" customHeight="1" x14ac:dyDescent="0.25">
      <c r="A273" s="3" t="s">
        <v>21</v>
      </c>
      <c r="B273" s="3" t="s">
        <v>41</v>
      </c>
      <c r="C273" s="3" t="s">
        <v>42</v>
      </c>
      <c r="D273" s="3" t="s">
        <v>45</v>
      </c>
      <c r="E273" s="3" t="s">
        <v>25</v>
      </c>
      <c r="F273" s="3" t="s">
        <v>25</v>
      </c>
      <c r="G273" s="3" t="s">
        <v>25</v>
      </c>
      <c r="H273" s="3" t="s">
        <v>35</v>
      </c>
      <c r="I273" s="6">
        <v>44317</v>
      </c>
      <c r="J273" s="4">
        <v>1022</v>
      </c>
      <c r="K273" s="70">
        <v>1022</v>
      </c>
      <c r="L273" s="4">
        <v>0.96599999999999997</v>
      </c>
      <c r="M273" s="70">
        <v>0.96599999999999997</v>
      </c>
      <c r="N273" s="4">
        <v>0.96599999999999997</v>
      </c>
      <c r="O273" s="70">
        <v>0.96599999999999997</v>
      </c>
      <c r="P273" s="4">
        <v>0</v>
      </c>
      <c r="Q273" s="3" t="s">
        <v>26</v>
      </c>
      <c r="R273" s="3">
        <v>0</v>
      </c>
      <c r="S273" s="4">
        <v>92</v>
      </c>
      <c r="T273" s="4">
        <v>94</v>
      </c>
      <c r="U273" s="4">
        <v>47</v>
      </c>
      <c r="V273" s="70">
        <f>IF(ISERROR(VLOOKUP($S$273,'TAR FIN'!$A$1:$O$99,15,0)),0,VLOOKUP($S$273,'TAR FIN'!$A$1:$O$99,15,0))*(1-0.04)</f>
        <v>25.401599999999998</v>
      </c>
      <c r="W273" s="70">
        <f>IF(ISERROR(VLOOKUP($T$273,'TAR FIN'!$A$1:$O$99,15,0)),0,VLOOKUP($T$273,'TAR FIN'!$A$1:$O$99,15,0))*(1-0.04)</f>
        <v>62.524799999999992</v>
      </c>
      <c r="X273" s="70">
        <f>IF(ISERROR(VLOOKUP($U$273,'TAR FIN'!$A$1:$O$99,15,0)),0,VLOOKUP($U$273,'TAR FIN'!$A$1:$O$99,15,0))*(1-0.04)</f>
        <v>332.74560000000002</v>
      </c>
      <c r="Y273" s="70">
        <f ca="1">('TUSD BE'!$AM$5+'TUSD BF'!$AM$5+'TUSD CVA'!$AM$5)*1*(1-0.02)</f>
        <v>29.730549555259678</v>
      </c>
      <c r="Z273" s="70">
        <f ca="1">('TUSD BE'!$AM$7+'TUSD BF'!$AM$7+'TUSD CVA'!$AM$7)*1*(1-0.02)</f>
        <v>74.718606972898527</v>
      </c>
      <c r="AA273" s="70">
        <f>('TE BE'!$AA$5+'TE BF'!$AA$5+'TE CVA'!$AA$5)*1*(1-0.02)</f>
        <v>415.4185945530557</v>
      </c>
      <c r="AB273" s="4">
        <f>$K$273*$V$273</f>
        <v>25960.4352</v>
      </c>
      <c r="AC273" s="4">
        <f>$M$273*$W$273</f>
        <v>60.398956799999993</v>
      </c>
      <c r="AD273" s="4">
        <f>$O$273*$X$273</f>
        <v>321.43224960000003</v>
      </c>
      <c r="AE273" s="4">
        <f ca="1">$K$273*$Y$273</f>
        <v>30384.621645475392</v>
      </c>
      <c r="AF273" s="4">
        <f ca="1">$M$273*$Z$273</f>
        <v>72.178174335819975</v>
      </c>
      <c r="AG273" s="4">
        <f>$O$273*$AA$273</f>
        <v>401.2943623382518</v>
      </c>
    </row>
    <row r="274" spans="1:33" ht="11.25" customHeight="1" x14ac:dyDescent="0.25">
      <c r="A274" s="3" t="s">
        <v>21</v>
      </c>
      <c r="B274" s="3" t="s">
        <v>41</v>
      </c>
      <c r="C274" s="3" t="s">
        <v>42</v>
      </c>
      <c r="D274" s="3" t="s">
        <v>45</v>
      </c>
      <c r="E274" s="3" t="s">
        <v>25</v>
      </c>
      <c r="F274" s="3" t="s">
        <v>25</v>
      </c>
      <c r="G274" s="3" t="s">
        <v>25</v>
      </c>
      <c r="H274" s="3" t="s">
        <v>35</v>
      </c>
      <c r="I274" s="6">
        <v>44348</v>
      </c>
      <c r="J274" s="4">
        <v>24</v>
      </c>
      <c r="K274" s="70">
        <v>24</v>
      </c>
      <c r="L274" s="4">
        <v>0.93600000000000005</v>
      </c>
      <c r="M274" s="70">
        <v>0.93600000000000005</v>
      </c>
      <c r="N274" s="4">
        <v>0.93600000000000005</v>
      </c>
      <c r="O274" s="70">
        <v>0.93600000000000005</v>
      </c>
      <c r="P274" s="4">
        <v>0</v>
      </c>
      <c r="Q274" s="3" t="s">
        <v>26</v>
      </c>
      <c r="R274" s="3">
        <v>0</v>
      </c>
      <c r="S274" s="4">
        <v>92</v>
      </c>
      <c r="T274" s="4">
        <v>94</v>
      </c>
      <c r="U274" s="4">
        <v>47</v>
      </c>
      <c r="V274" s="70">
        <f>IF(ISERROR(VLOOKUP($S$274,'TAR FIN'!$A$1:$O$99,15,0)),0,VLOOKUP($S$274,'TAR FIN'!$A$1:$O$99,15,0))*(1-0.04)</f>
        <v>25.401599999999998</v>
      </c>
      <c r="W274" s="70">
        <f>IF(ISERROR(VLOOKUP($T$274,'TAR FIN'!$A$1:$O$99,15,0)),0,VLOOKUP($T$274,'TAR FIN'!$A$1:$O$99,15,0))*(1-0.04)</f>
        <v>62.524799999999992</v>
      </c>
      <c r="X274" s="70">
        <f>IF(ISERROR(VLOOKUP($U$274,'TAR FIN'!$A$1:$O$99,15,0)),0,VLOOKUP($U$274,'TAR FIN'!$A$1:$O$99,15,0))*(1-0.04)</f>
        <v>332.74560000000002</v>
      </c>
      <c r="Y274" s="70">
        <f ca="1">('TUSD BE'!$AM$5+'TUSD BF'!$AM$5+'TUSD CVA'!$AM$5)*1*(1-0.02)</f>
        <v>29.730549555259678</v>
      </c>
      <c r="Z274" s="70">
        <f ca="1">('TUSD BE'!$AM$7+'TUSD BF'!$AM$7+'TUSD CVA'!$AM$7)*1*(1-0.02)</f>
        <v>74.718606972898527</v>
      </c>
      <c r="AA274" s="70">
        <f>('TE BE'!$AA$5+'TE BF'!$AA$5+'TE CVA'!$AA$5)*1*(1-0.02)</f>
        <v>415.4185945530557</v>
      </c>
      <c r="AB274" s="4">
        <f>$K$274*$V$274</f>
        <v>609.63839999999993</v>
      </c>
      <c r="AC274" s="4">
        <f>$M$274*$W$274</f>
        <v>58.523212799999996</v>
      </c>
      <c r="AD274" s="4">
        <f>$O$274*$X$274</f>
        <v>311.44988160000003</v>
      </c>
      <c r="AE274" s="4">
        <f ca="1">$K$274*$Y$274</f>
        <v>713.53318932623233</v>
      </c>
      <c r="AF274" s="4">
        <f ca="1">$M$274*$Z$274</f>
        <v>69.936616126633027</v>
      </c>
      <c r="AG274" s="4">
        <f>$O$274*$AA$274</f>
        <v>388.83180450166014</v>
      </c>
    </row>
    <row r="275" spans="1:33" ht="11.25" customHeight="1" x14ac:dyDescent="0.25">
      <c r="A275" s="3" t="s">
        <v>21</v>
      </c>
      <c r="B275" s="3" t="s">
        <v>41</v>
      </c>
      <c r="C275" s="3" t="s">
        <v>42</v>
      </c>
      <c r="D275" s="3" t="s">
        <v>45</v>
      </c>
      <c r="E275" s="3" t="s">
        <v>25</v>
      </c>
      <c r="F275" s="3" t="s">
        <v>25</v>
      </c>
      <c r="G275" s="3" t="s">
        <v>25</v>
      </c>
      <c r="H275" s="3" t="s">
        <v>35</v>
      </c>
      <c r="I275" s="6">
        <v>44378</v>
      </c>
      <c r="J275" s="4">
        <v>24</v>
      </c>
      <c r="K275" s="70">
        <v>24</v>
      </c>
      <c r="L275" s="4">
        <v>0.99</v>
      </c>
      <c r="M275" s="70">
        <v>0.99</v>
      </c>
      <c r="N275" s="4">
        <v>0.99</v>
      </c>
      <c r="O275" s="70">
        <v>0.99</v>
      </c>
      <c r="P275" s="4">
        <v>0</v>
      </c>
      <c r="Q275" s="3" t="s">
        <v>26</v>
      </c>
      <c r="R275" s="3">
        <v>0</v>
      </c>
      <c r="S275" s="4">
        <v>92</v>
      </c>
      <c r="T275" s="4">
        <v>94</v>
      </c>
      <c r="U275" s="4">
        <v>47</v>
      </c>
      <c r="V275" s="70">
        <f>IF(ISERROR(VLOOKUP($S$275,'TAR FIN'!$A$1:$O$99,15,0)),0,VLOOKUP($S$275,'TAR FIN'!$A$1:$O$99,15,0))*(1-0.04)</f>
        <v>25.401599999999998</v>
      </c>
      <c r="W275" s="70">
        <f>IF(ISERROR(VLOOKUP($T$275,'TAR FIN'!$A$1:$O$99,15,0)),0,VLOOKUP($T$275,'TAR FIN'!$A$1:$O$99,15,0))*(1-0.04)</f>
        <v>62.524799999999992</v>
      </c>
      <c r="X275" s="70">
        <f>IF(ISERROR(VLOOKUP($U$275,'TAR FIN'!$A$1:$O$99,15,0)),0,VLOOKUP($U$275,'TAR FIN'!$A$1:$O$99,15,0))*(1-0.04)</f>
        <v>332.74560000000002</v>
      </c>
      <c r="Y275" s="70">
        <f ca="1">('TUSD BE'!$AM$5+'TUSD BF'!$AM$5+'TUSD CVA'!$AM$5)*1*(1-0.02)</f>
        <v>29.730549555259678</v>
      </c>
      <c r="Z275" s="70">
        <f ca="1">('TUSD BE'!$AM$7+'TUSD BF'!$AM$7+'TUSD CVA'!$AM$7)*1*(1-0.02)</f>
        <v>74.718606972898527</v>
      </c>
      <c r="AA275" s="70">
        <f>('TE BE'!$AA$5+'TE BF'!$AA$5+'TE CVA'!$AA$5)*1*(1-0.02)</f>
        <v>415.4185945530557</v>
      </c>
      <c r="AB275" s="4">
        <f>$K$275*$V$275</f>
        <v>609.63839999999993</v>
      </c>
      <c r="AC275" s="4">
        <f>$M$275*$W$275</f>
        <v>61.899551999999993</v>
      </c>
      <c r="AD275" s="4">
        <f>$O$275*$X$275</f>
        <v>329.41814400000004</v>
      </c>
      <c r="AE275" s="4">
        <f ca="1">$K$275*$Y$275</f>
        <v>713.53318932623233</v>
      </c>
      <c r="AF275" s="4">
        <f ca="1">$M$275*$Z$275</f>
        <v>73.971420903169545</v>
      </c>
      <c r="AG275" s="4">
        <f>$O$275*$AA$275</f>
        <v>411.26440860752513</v>
      </c>
    </row>
    <row r="276" spans="1:33" ht="11.25" customHeight="1" x14ac:dyDescent="0.25">
      <c r="A276" s="3" t="s">
        <v>21</v>
      </c>
      <c r="B276" s="3" t="s">
        <v>41</v>
      </c>
      <c r="C276" s="3" t="s">
        <v>42</v>
      </c>
      <c r="D276" s="3" t="s">
        <v>50</v>
      </c>
      <c r="E276" s="3" t="s">
        <v>51</v>
      </c>
      <c r="F276" s="3" t="s">
        <v>25</v>
      </c>
      <c r="G276" s="3" t="s">
        <v>25</v>
      </c>
      <c r="H276" s="3" t="s">
        <v>36</v>
      </c>
      <c r="I276" s="6">
        <v>44317</v>
      </c>
      <c r="J276" s="4">
        <v>4600</v>
      </c>
      <c r="K276" s="71">
        <v>4600</v>
      </c>
      <c r="L276" s="4">
        <v>225.024</v>
      </c>
      <c r="M276" s="70">
        <v>225.024</v>
      </c>
      <c r="N276" s="4">
        <v>225.024</v>
      </c>
      <c r="O276" s="70">
        <v>225.024</v>
      </c>
      <c r="P276" s="4">
        <v>0</v>
      </c>
      <c r="Q276" s="3" t="s">
        <v>26</v>
      </c>
      <c r="R276" s="3">
        <v>0</v>
      </c>
      <c r="S276" s="4">
        <v>93</v>
      </c>
      <c r="T276" s="4">
        <v>94</v>
      </c>
      <c r="U276" s="4">
        <v>48</v>
      </c>
      <c r="V276" s="70">
        <f>IF(ISERROR(VLOOKUP($S$276,'TAR FIN'!$A$1:$O$99,15,0)),0,VLOOKUP($S$276,'TAR FIN'!$A$1:$O$99,15,0))*(1-0.06)</f>
        <v>14.3162</v>
      </c>
      <c r="W276" s="70">
        <f>IF(ISERROR(VLOOKUP($T$276,'TAR FIN'!$A$1:$O$99,15,0)),0,VLOOKUP($T$276,'TAR FIN'!$A$1:$O$99,15,0))*(1-0.06)</f>
        <v>61.222199999999994</v>
      </c>
      <c r="X276" s="70">
        <f>IF(ISERROR(VLOOKUP($U$276,'TAR FIN'!$A$1:$O$99,15,0)),0,VLOOKUP($U$276,'TAR FIN'!$A$1:$O$99,15,0))*(1-0.06)</f>
        <v>206.77179999999998</v>
      </c>
      <c r="Y276" s="70">
        <f ca="1">('TUSD BE'!$AM$6+'TUSD BF'!$AM$6+'TUSD CVA'!$AM$6)*1*(1-0.03)</f>
        <v>15.853560159548325</v>
      </c>
      <c r="Z276" s="70">
        <f ca="1">('TUSD BE'!$AM$7+'TUSD BF'!$AM$7+'TUSD CVA'!$AM$7)*1*(1-0.03)</f>
        <v>73.956172207868946</v>
      </c>
      <c r="AA276" s="70">
        <f>('TE BE'!$AA$6+'TE BF'!$AA$6+'TE CVA'!$AA$6)*1*(1-0.03)</f>
        <v>263.00493660044975</v>
      </c>
      <c r="AB276" s="4">
        <f>$K$276*$V$276</f>
        <v>65854.52</v>
      </c>
      <c r="AC276" s="4">
        <f>$M$276*$W$276</f>
        <v>13776.464332799998</v>
      </c>
      <c r="AD276" s="4">
        <f>$O$276*$X$276</f>
        <v>46528.617523199995</v>
      </c>
      <c r="AE276" s="4">
        <f ca="1">$K$276*$Y$276</f>
        <v>72926.376733922298</v>
      </c>
      <c r="AF276" s="4">
        <f ca="1">$M$276*$Z$276</f>
        <v>16641.913694903502</v>
      </c>
      <c r="AG276" s="4">
        <f>$O$276*$AA$276</f>
        <v>59182.422853579606</v>
      </c>
    </row>
    <row r="277" spans="1:33" ht="11.25" customHeight="1" x14ac:dyDescent="0.25">
      <c r="A277" s="3" t="s">
        <v>21</v>
      </c>
      <c r="B277" s="3" t="s">
        <v>41</v>
      </c>
      <c r="C277" s="3" t="s">
        <v>42</v>
      </c>
      <c r="D277" s="3" t="s">
        <v>50</v>
      </c>
      <c r="E277" s="3" t="s">
        <v>51</v>
      </c>
      <c r="F277" s="3" t="s">
        <v>25</v>
      </c>
      <c r="G277" s="3" t="s">
        <v>25</v>
      </c>
      <c r="H277" s="3" t="s">
        <v>36</v>
      </c>
      <c r="I277" s="6">
        <v>44348</v>
      </c>
      <c r="J277" s="4">
        <v>4600</v>
      </c>
      <c r="K277" s="71">
        <v>4600</v>
      </c>
      <c r="L277" s="4">
        <v>282.38400000000001</v>
      </c>
      <c r="M277" s="70">
        <v>282.38400000000001</v>
      </c>
      <c r="N277" s="4">
        <v>282.38400000000001</v>
      </c>
      <c r="O277" s="70">
        <v>282.38400000000001</v>
      </c>
      <c r="P277" s="4">
        <v>0</v>
      </c>
      <c r="Q277" s="3" t="s">
        <v>26</v>
      </c>
      <c r="R277" s="3">
        <v>0</v>
      </c>
      <c r="S277" s="4">
        <v>93</v>
      </c>
      <c r="T277" s="4">
        <v>94</v>
      </c>
      <c r="U277" s="4">
        <v>48</v>
      </c>
      <c r="V277" s="70">
        <f>IF(ISERROR(VLOOKUP($S$277,'TAR FIN'!$A$1:$O$99,15,0)),0,VLOOKUP($S$277,'TAR FIN'!$A$1:$O$99,15,0))*(1-0.06)</f>
        <v>14.3162</v>
      </c>
      <c r="W277" s="70">
        <f>IF(ISERROR(VLOOKUP($T$277,'TAR FIN'!$A$1:$O$99,15,0)),0,VLOOKUP($T$277,'TAR FIN'!$A$1:$O$99,15,0))*(1-0.06)</f>
        <v>61.222199999999994</v>
      </c>
      <c r="X277" s="70">
        <f>IF(ISERROR(VLOOKUP($U$277,'TAR FIN'!$A$1:$O$99,15,0)),0,VLOOKUP($U$277,'TAR FIN'!$A$1:$O$99,15,0))*(1-0.06)</f>
        <v>206.77179999999998</v>
      </c>
      <c r="Y277" s="70">
        <f ca="1">('TUSD BE'!$AM$6+'TUSD BF'!$AM$6+'TUSD CVA'!$AM$6)*1*(1-0.03)</f>
        <v>15.853560159548325</v>
      </c>
      <c r="Z277" s="70">
        <f ca="1">('TUSD BE'!$AM$7+'TUSD BF'!$AM$7+'TUSD CVA'!$AM$7)*1*(1-0.03)</f>
        <v>73.956172207868946</v>
      </c>
      <c r="AA277" s="70">
        <f>('TE BE'!$AA$6+'TE BF'!$AA$6+'TE CVA'!$AA$6)*1*(1-0.03)</f>
        <v>263.00493660044975</v>
      </c>
      <c r="AB277" s="4">
        <f>$K$277*$V$277</f>
        <v>65854.52</v>
      </c>
      <c r="AC277" s="4">
        <f>$M$277*$W$277</f>
        <v>17288.169724799998</v>
      </c>
      <c r="AD277" s="4">
        <f>$O$277*$X$277</f>
        <v>58389.047971200001</v>
      </c>
      <c r="AE277" s="4">
        <f ca="1">$K$277*$Y$277</f>
        <v>72926.376733922298</v>
      </c>
      <c r="AF277" s="4">
        <f ca="1">$M$277*$Z$277</f>
        <v>20884.039732746867</v>
      </c>
      <c r="AG277" s="4">
        <f>$O$277*$AA$277</f>
        <v>74268.3860169814</v>
      </c>
    </row>
    <row r="278" spans="1:33" ht="11.25" customHeight="1" x14ac:dyDescent="0.25">
      <c r="A278" s="3" t="s">
        <v>21</v>
      </c>
      <c r="B278" s="3" t="s">
        <v>41</v>
      </c>
      <c r="C278" s="3" t="s">
        <v>42</v>
      </c>
      <c r="D278" s="3" t="s">
        <v>50</v>
      </c>
      <c r="E278" s="3" t="s">
        <v>51</v>
      </c>
      <c r="F278" s="3" t="s">
        <v>25</v>
      </c>
      <c r="G278" s="3" t="s">
        <v>25</v>
      </c>
      <c r="H278" s="3" t="s">
        <v>36</v>
      </c>
      <c r="I278" s="6">
        <v>44378</v>
      </c>
      <c r="J278" s="4">
        <v>4600</v>
      </c>
      <c r="K278" s="71">
        <v>4600</v>
      </c>
      <c r="L278" s="4">
        <v>240.096</v>
      </c>
      <c r="M278" s="70">
        <v>240.096</v>
      </c>
      <c r="N278" s="4">
        <v>240.096</v>
      </c>
      <c r="O278" s="70">
        <v>240.096</v>
      </c>
      <c r="P278" s="4">
        <v>0</v>
      </c>
      <c r="Q278" s="3" t="s">
        <v>26</v>
      </c>
      <c r="R278" s="3">
        <v>0</v>
      </c>
      <c r="S278" s="4">
        <v>93</v>
      </c>
      <c r="T278" s="4">
        <v>94</v>
      </c>
      <c r="U278" s="4">
        <v>48</v>
      </c>
      <c r="V278" s="70">
        <f>IF(ISERROR(VLOOKUP($S$278,'TAR FIN'!$A$1:$O$99,15,0)),0,VLOOKUP($S$278,'TAR FIN'!$A$1:$O$99,15,0))*(1-0.06)</f>
        <v>14.3162</v>
      </c>
      <c r="W278" s="70">
        <f>IF(ISERROR(VLOOKUP($T$278,'TAR FIN'!$A$1:$O$99,15,0)),0,VLOOKUP($T$278,'TAR FIN'!$A$1:$O$99,15,0))*(1-0.06)</f>
        <v>61.222199999999994</v>
      </c>
      <c r="X278" s="70">
        <f>IF(ISERROR(VLOOKUP($U$278,'TAR FIN'!$A$1:$O$99,15,0)),0,VLOOKUP($U$278,'TAR FIN'!$A$1:$O$99,15,0))*(1-0.06)</f>
        <v>206.77179999999998</v>
      </c>
      <c r="Y278" s="70">
        <f ca="1">('TUSD BE'!$AM$6+'TUSD BF'!$AM$6+'TUSD CVA'!$AM$6)*1*(1-0.03)</f>
        <v>15.853560159548325</v>
      </c>
      <c r="Z278" s="70">
        <f ca="1">('TUSD BE'!$AM$7+'TUSD BF'!$AM$7+'TUSD CVA'!$AM$7)*1*(1-0.03)</f>
        <v>73.956172207868946</v>
      </c>
      <c r="AA278" s="70">
        <f>('TE BE'!$AA$6+'TE BF'!$AA$6+'TE CVA'!$AA$6)*1*(1-0.03)</f>
        <v>263.00493660044975</v>
      </c>
      <c r="AB278" s="4">
        <f>$K$278*$V$278</f>
        <v>65854.52</v>
      </c>
      <c r="AC278" s="4">
        <f>$M$278*$W$278</f>
        <v>14699.205331199999</v>
      </c>
      <c r="AD278" s="4">
        <f>$O$278*$X$278</f>
        <v>49645.082092799996</v>
      </c>
      <c r="AE278" s="4">
        <f ca="1">$K$278*$Y$278</f>
        <v>72926.376733922298</v>
      </c>
      <c r="AF278" s="4">
        <f ca="1">$M$278*$Z$278</f>
        <v>17756.581122420503</v>
      </c>
      <c r="AG278" s="4">
        <f>$O$278*$AA$278</f>
        <v>63146.433258021585</v>
      </c>
    </row>
    <row r="279" spans="1:33" ht="11.25" customHeight="1" x14ac:dyDescent="0.25">
      <c r="A279" s="3" t="s">
        <v>21</v>
      </c>
      <c r="B279" s="3" t="s">
        <v>41</v>
      </c>
      <c r="C279" s="3" t="s">
        <v>42</v>
      </c>
      <c r="D279" s="3" t="s">
        <v>50</v>
      </c>
      <c r="E279" s="3" t="s">
        <v>51</v>
      </c>
      <c r="F279" s="3" t="s">
        <v>25</v>
      </c>
      <c r="G279" s="3" t="s">
        <v>25</v>
      </c>
      <c r="H279" s="3" t="s">
        <v>36</v>
      </c>
      <c r="I279" s="6">
        <v>44409</v>
      </c>
      <c r="J279" s="4">
        <v>4600</v>
      </c>
      <c r="K279" s="71">
        <v>4600</v>
      </c>
      <c r="L279" s="4">
        <v>341.88</v>
      </c>
      <c r="M279" s="70">
        <v>341.88</v>
      </c>
      <c r="N279" s="4">
        <v>341.88</v>
      </c>
      <c r="O279" s="70">
        <v>341.88</v>
      </c>
      <c r="P279" s="4">
        <v>0</v>
      </c>
      <c r="Q279" s="3" t="s">
        <v>26</v>
      </c>
      <c r="R279" s="3">
        <v>0</v>
      </c>
      <c r="S279" s="4">
        <v>93</v>
      </c>
      <c r="T279" s="4">
        <v>94</v>
      </c>
      <c r="U279" s="4">
        <v>48</v>
      </c>
      <c r="V279" s="70">
        <f>IF(ISERROR(VLOOKUP($S$279,'TAR FIN'!$A$1:$O$99,15,0)),0,VLOOKUP($S$279,'TAR FIN'!$A$1:$O$99,15,0))*(1-0.06)</f>
        <v>14.3162</v>
      </c>
      <c r="W279" s="70">
        <f>IF(ISERROR(VLOOKUP($T$279,'TAR FIN'!$A$1:$O$99,15,0)),0,VLOOKUP($T$279,'TAR FIN'!$A$1:$O$99,15,0))*(1-0.06)</f>
        <v>61.222199999999994</v>
      </c>
      <c r="X279" s="70">
        <f>IF(ISERROR(VLOOKUP($U$279,'TAR FIN'!$A$1:$O$99,15,0)),0,VLOOKUP($U$279,'TAR FIN'!$A$1:$O$99,15,0))*(1-0.06)</f>
        <v>206.77179999999998</v>
      </c>
      <c r="Y279" s="70">
        <f ca="1">('TUSD BE'!$AM$6+'TUSD BF'!$AM$6+'TUSD CVA'!$AM$6)*1*(1-0.03)</f>
        <v>15.853560159548325</v>
      </c>
      <c r="Z279" s="70">
        <f ca="1">('TUSD BE'!$AM$7+'TUSD BF'!$AM$7+'TUSD CVA'!$AM$7)*1*(1-0.03)</f>
        <v>73.956172207868946</v>
      </c>
      <c r="AA279" s="70">
        <f>('TE BE'!$AA$6+'TE BF'!$AA$6+'TE CVA'!$AA$6)*1*(1-0.03)</f>
        <v>263.00493660044975</v>
      </c>
      <c r="AB279" s="4">
        <f>$K$279*$V$279</f>
        <v>65854.52</v>
      </c>
      <c r="AC279" s="4">
        <f>$M$279*$W$279</f>
        <v>20930.645735999999</v>
      </c>
      <c r="AD279" s="4">
        <f>$O$279*$X$279</f>
        <v>70691.142983999991</v>
      </c>
      <c r="AE279" s="4">
        <f ca="1">$K$279*$Y$279</f>
        <v>72926.376733922298</v>
      </c>
      <c r="AF279" s="4">
        <f ca="1">$M$279*$Z$279</f>
        <v>25284.136154426236</v>
      </c>
      <c r="AG279" s="4">
        <f>$O$279*$AA$279</f>
        <v>89916.127724961756</v>
      </c>
    </row>
    <row r="280" spans="1:33" ht="11.25" customHeight="1" x14ac:dyDescent="0.25">
      <c r="A280" s="3" t="s">
        <v>21</v>
      </c>
      <c r="B280" s="3" t="s">
        <v>41</v>
      </c>
      <c r="C280" s="3" t="s">
        <v>42</v>
      </c>
      <c r="D280" s="3" t="s">
        <v>50</v>
      </c>
      <c r="E280" s="3" t="s">
        <v>51</v>
      </c>
      <c r="F280" s="3" t="s">
        <v>25</v>
      </c>
      <c r="G280" s="3" t="s">
        <v>25</v>
      </c>
      <c r="H280" s="3" t="s">
        <v>36</v>
      </c>
      <c r="I280" s="6">
        <v>44440</v>
      </c>
      <c r="J280" s="4">
        <v>4600</v>
      </c>
      <c r="K280" s="71">
        <v>4600</v>
      </c>
      <c r="L280" s="4">
        <v>384.49200000000002</v>
      </c>
      <c r="M280" s="70">
        <v>384.49200000000002</v>
      </c>
      <c r="N280" s="4">
        <v>384.49200000000002</v>
      </c>
      <c r="O280" s="70">
        <v>384.49200000000002</v>
      </c>
      <c r="P280" s="4">
        <v>0</v>
      </c>
      <c r="Q280" s="3" t="s">
        <v>26</v>
      </c>
      <c r="R280" s="3">
        <v>0</v>
      </c>
      <c r="S280" s="4">
        <v>93</v>
      </c>
      <c r="T280" s="4">
        <v>94</v>
      </c>
      <c r="U280" s="4">
        <v>48</v>
      </c>
      <c r="V280" s="70">
        <f>IF(ISERROR(VLOOKUP($S$280,'TAR FIN'!$A$1:$O$99,15,0)),0,VLOOKUP($S$280,'TAR FIN'!$A$1:$O$99,15,0))*(1-0.06)</f>
        <v>14.3162</v>
      </c>
      <c r="W280" s="70">
        <f>IF(ISERROR(VLOOKUP($T$280,'TAR FIN'!$A$1:$O$99,15,0)),0,VLOOKUP($T$280,'TAR FIN'!$A$1:$O$99,15,0))*(1-0.06)</f>
        <v>61.222199999999994</v>
      </c>
      <c r="X280" s="70">
        <f>IF(ISERROR(VLOOKUP($U$280,'TAR FIN'!$A$1:$O$99,15,0)),0,VLOOKUP($U$280,'TAR FIN'!$A$1:$O$99,15,0))*(1-0.06)</f>
        <v>206.77179999999998</v>
      </c>
      <c r="Y280" s="70">
        <f ca="1">('TUSD BE'!$AM$6+'TUSD BF'!$AM$6+'TUSD CVA'!$AM$6)*1*(1-0.03)</f>
        <v>15.853560159548325</v>
      </c>
      <c r="Z280" s="70">
        <f ca="1">('TUSD BE'!$AM$7+'TUSD BF'!$AM$7+'TUSD CVA'!$AM$7)*1*(1-0.03)</f>
        <v>73.956172207868946</v>
      </c>
      <c r="AA280" s="70">
        <f>('TE BE'!$AA$6+'TE BF'!$AA$6+'TE CVA'!$AA$6)*1*(1-0.03)</f>
        <v>263.00493660044975</v>
      </c>
      <c r="AB280" s="4">
        <f>$K$280*$V$280</f>
        <v>65854.52</v>
      </c>
      <c r="AC280" s="4">
        <f>$M$280*$W$280</f>
        <v>23539.446122399997</v>
      </c>
      <c r="AD280" s="4">
        <f>$O$280*$X$280</f>
        <v>79502.102925600004</v>
      </c>
      <c r="AE280" s="4">
        <f ca="1">$K$280*$Y$280</f>
        <v>72926.376733922298</v>
      </c>
      <c r="AF280" s="4">
        <f ca="1">$M$280*$Z$280</f>
        <v>28435.556564547947</v>
      </c>
      <c r="AG280" s="4">
        <f>$O$280*$AA$280</f>
        <v>101123.29408338013</v>
      </c>
    </row>
    <row r="281" spans="1:33" ht="11.25" customHeight="1" x14ac:dyDescent="0.25">
      <c r="A281" s="3" t="s">
        <v>21</v>
      </c>
      <c r="B281" s="3" t="s">
        <v>41</v>
      </c>
      <c r="C281" s="3" t="s">
        <v>42</v>
      </c>
      <c r="D281" s="3" t="s">
        <v>50</v>
      </c>
      <c r="E281" s="3" t="s">
        <v>51</v>
      </c>
      <c r="F281" s="3" t="s">
        <v>25</v>
      </c>
      <c r="G281" s="3" t="s">
        <v>25</v>
      </c>
      <c r="H281" s="3" t="s">
        <v>36</v>
      </c>
      <c r="I281" s="6">
        <v>44470</v>
      </c>
      <c r="J281" s="4">
        <v>4600</v>
      </c>
      <c r="K281" s="71">
        <v>4600</v>
      </c>
      <c r="L281" s="4">
        <v>380.964</v>
      </c>
      <c r="M281" s="70">
        <v>380.964</v>
      </c>
      <c r="N281" s="4">
        <v>380.964</v>
      </c>
      <c r="O281" s="70">
        <v>380.964</v>
      </c>
      <c r="P281" s="4">
        <v>0</v>
      </c>
      <c r="Q281" s="3" t="s">
        <v>26</v>
      </c>
      <c r="R281" s="3">
        <v>0</v>
      </c>
      <c r="S281" s="4">
        <v>93</v>
      </c>
      <c r="T281" s="4">
        <v>94</v>
      </c>
      <c r="U281" s="4">
        <v>48</v>
      </c>
      <c r="V281" s="70">
        <f>IF(ISERROR(VLOOKUP($S$281,'TAR FIN'!$A$1:$O$99,15,0)),0,VLOOKUP($S$281,'TAR FIN'!$A$1:$O$99,15,0))*(1-0.06)</f>
        <v>14.3162</v>
      </c>
      <c r="W281" s="70">
        <f>IF(ISERROR(VLOOKUP($T$281,'TAR FIN'!$A$1:$O$99,15,0)),0,VLOOKUP($T$281,'TAR FIN'!$A$1:$O$99,15,0))*(1-0.06)</f>
        <v>61.222199999999994</v>
      </c>
      <c r="X281" s="70">
        <f>IF(ISERROR(VLOOKUP($U$281,'TAR FIN'!$A$1:$O$99,15,0)),0,VLOOKUP($U$281,'TAR FIN'!$A$1:$O$99,15,0))*(1-0.06)</f>
        <v>206.77179999999998</v>
      </c>
      <c r="Y281" s="70">
        <f ca="1">('TUSD BE'!$AM$6+'TUSD BF'!$AM$6+'TUSD CVA'!$AM$6)*1*(1-0.03)</f>
        <v>15.853560159548325</v>
      </c>
      <c r="Z281" s="70">
        <f ca="1">('TUSD BE'!$AM$7+'TUSD BF'!$AM$7+'TUSD CVA'!$AM$7)*1*(1-0.03)</f>
        <v>73.956172207868946</v>
      </c>
      <c r="AA281" s="70">
        <f>('TE BE'!$AA$6+'TE BF'!$AA$6+'TE CVA'!$AA$6)*1*(1-0.03)</f>
        <v>263.00493660044975</v>
      </c>
      <c r="AB281" s="4">
        <f>$K$281*$V$281</f>
        <v>65854.52</v>
      </c>
      <c r="AC281" s="4">
        <f>$M$281*$W$281</f>
        <v>23323.454200799999</v>
      </c>
      <c r="AD281" s="4">
        <f>$O$281*$X$281</f>
        <v>78772.612015199993</v>
      </c>
      <c r="AE281" s="4">
        <f ca="1">$K$281*$Y$281</f>
        <v>72926.376733922298</v>
      </c>
      <c r="AF281" s="4">
        <f ca="1">$M$281*$Z$281</f>
        <v>28174.639188998586</v>
      </c>
      <c r="AG281" s="4">
        <f>$O$281*$AA$281</f>
        <v>100195.41266705374</v>
      </c>
    </row>
    <row r="282" spans="1:33" ht="11.25" customHeight="1" x14ac:dyDescent="0.25">
      <c r="A282" s="3" t="s">
        <v>21</v>
      </c>
      <c r="B282" s="3" t="s">
        <v>41</v>
      </c>
      <c r="C282" s="3" t="s">
        <v>42</v>
      </c>
      <c r="D282" s="3" t="s">
        <v>50</v>
      </c>
      <c r="E282" s="3" t="s">
        <v>51</v>
      </c>
      <c r="F282" s="3" t="s">
        <v>25</v>
      </c>
      <c r="G282" s="3" t="s">
        <v>25</v>
      </c>
      <c r="H282" s="3" t="s">
        <v>36</v>
      </c>
      <c r="I282" s="6">
        <v>44501</v>
      </c>
      <c r="J282" s="4">
        <v>4600</v>
      </c>
      <c r="K282" s="71">
        <v>4600</v>
      </c>
      <c r="L282" s="4">
        <v>427.84800000000001</v>
      </c>
      <c r="M282" s="70">
        <v>427.84800000000001</v>
      </c>
      <c r="N282" s="4">
        <v>427.84800000000001</v>
      </c>
      <c r="O282" s="70">
        <v>427.84800000000001</v>
      </c>
      <c r="P282" s="4">
        <v>0</v>
      </c>
      <c r="Q282" s="3" t="s">
        <v>26</v>
      </c>
      <c r="R282" s="3">
        <v>0</v>
      </c>
      <c r="S282" s="4">
        <v>93</v>
      </c>
      <c r="T282" s="4">
        <v>94</v>
      </c>
      <c r="U282" s="4">
        <v>48</v>
      </c>
      <c r="V282" s="70">
        <f>IF(ISERROR(VLOOKUP($S$282,'TAR FIN'!$A$1:$O$99,15,0)),0,VLOOKUP($S$282,'TAR FIN'!$A$1:$O$99,15,0))*(1-0.06)</f>
        <v>14.3162</v>
      </c>
      <c r="W282" s="70">
        <f>IF(ISERROR(VLOOKUP($T$282,'TAR FIN'!$A$1:$O$99,15,0)),0,VLOOKUP($T$282,'TAR FIN'!$A$1:$O$99,15,0))*(1-0.06)</f>
        <v>61.222199999999994</v>
      </c>
      <c r="X282" s="70">
        <f>IF(ISERROR(VLOOKUP($U$282,'TAR FIN'!$A$1:$O$99,15,0)),0,VLOOKUP($U$282,'TAR FIN'!$A$1:$O$99,15,0))*(1-0.06)</f>
        <v>206.77179999999998</v>
      </c>
      <c r="Y282" s="70">
        <f ca="1">('TUSD BE'!$AM$6+'TUSD BF'!$AM$6+'TUSD CVA'!$AM$6)*1*(1-0.03)</f>
        <v>15.853560159548325</v>
      </c>
      <c r="Z282" s="70">
        <f ca="1">('TUSD BE'!$AM$7+'TUSD BF'!$AM$7+'TUSD CVA'!$AM$7)*1*(1-0.03)</f>
        <v>73.956172207868946</v>
      </c>
      <c r="AA282" s="70">
        <f>('TE BE'!$AA$6+'TE BF'!$AA$6+'TE CVA'!$AA$6)*1*(1-0.03)</f>
        <v>263.00493660044975</v>
      </c>
      <c r="AB282" s="4">
        <f>$K$282*$V$282</f>
        <v>65854.52</v>
      </c>
      <c r="AC282" s="4">
        <f>$M$282*$W$282</f>
        <v>26193.795825599998</v>
      </c>
      <c r="AD282" s="4">
        <f>$O$282*$X$282</f>
        <v>88466.901086400001</v>
      </c>
      <c r="AE282" s="4">
        <f ca="1">$K$282*$Y$282</f>
        <v>72926.376733922298</v>
      </c>
      <c r="AF282" s="4">
        <f ca="1">$M$282*$Z$282</f>
        <v>31642.000366792312</v>
      </c>
      <c r="AG282" s="4">
        <f>$O$282*$AA$282</f>
        <v>112526.13611462923</v>
      </c>
    </row>
    <row r="283" spans="1:33" ht="11.25" customHeight="1" x14ac:dyDescent="0.25">
      <c r="A283" s="3" t="s">
        <v>21</v>
      </c>
      <c r="B283" s="3" t="s">
        <v>41</v>
      </c>
      <c r="C283" s="3" t="s">
        <v>42</v>
      </c>
      <c r="D283" s="3" t="s">
        <v>50</v>
      </c>
      <c r="E283" s="3" t="s">
        <v>51</v>
      </c>
      <c r="F283" s="3" t="s">
        <v>25</v>
      </c>
      <c r="G283" s="3" t="s">
        <v>25</v>
      </c>
      <c r="H283" s="3" t="s">
        <v>36</v>
      </c>
      <c r="I283" s="6">
        <v>44531</v>
      </c>
      <c r="J283" s="4">
        <v>4600</v>
      </c>
      <c r="K283" s="71">
        <v>4600</v>
      </c>
      <c r="L283" s="4">
        <v>392.08800000000002</v>
      </c>
      <c r="M283" s="70">
        <v>392.08800000000002</v>
      </c>
      <c r="N283" s="4">
        <v>392.08800000000002</v>
      </c>
      <c r="O283" s="70">
        <v>392.08800000000002</v>
      </c>
      <c r="P283" s="4">
        <v>0</v>
      </c>
      <c r="Q283" s="3" t="s">
        <v>26</v>
      </c>
      <c r="R283" s="3">
        <v>0</v>
      </c>
      <c r="S283" s="4">
        <v>93</v>
      </c>
      <c r="T283" s="4">
        <v>94</v>
      </c>
      <c r="U283" s="4">
        <v>48</v>
      </c>
      <c r="V283" s="70">
        <f>IF(ISERROR(VLOOKUP($S$283,'TAR FIN'!$A$1:$O$99,15,0)),0,VLOOKUP($S$283,'TAR FIN'!$A$1:$O$99,15,0))*(1-0.06)</f>
        <v>14.3162</v>
      </c>
      <c r="W283" s="70">
        <f>IF(ISERROR(VLOOKUP($T$283,'TAR FIN'!$A$1:$O$99,15,0)),0,VLOOKUP($T$283,'TAR FIN'!$A$1:$O$99,15,0))*(1-0.06)</f>
        <v>61.222199999999994</v>
      </c>
      <c r="X283" s="70">
        <f>IF(ISERROR(VLOOKUP($U$283,'TAR FIN'!$A$1:$O$99,15,0)),0,VLOOKUP($U$283,'TAR FIN'!$A$1:$O$99,15,0))*(1-0.06)</f>
        <v>206.77179999999998</v>
      </c>
      <c r="Y283" s="70">
        <f ca="1">('TUSD BE'!$AM$6+'TUSD BF'!$AM$6+'TUSD CVA'!$AM$6)*1*(1-0.03)</f>
        <v>15.853560159548325</v>
      </c>
      <c r="Z283" s="70">
        <f ca="1">('TUSD BE'!$AM$7+'TUSD BF'!$AM$7+'TUSD CVA'!$AM$7)*1*(1-0.03)</f>
        <v>73.956172207868946</v>
      </c>
      <c r="AA283" s="70">
        <f>('TE BE'!$AA$6+'TE BF'!$AA$6+'TE CVA'!$AA$6)*1*(1-0.03)</f>
        <v>263.00493660044975</v>
      </c>
      <c r="AB283" s="4">
        <f>$K$283*$V$283</f>
        <v>65854.52</v>
      </c>
      <c r="AC283" s="4">
        <f>$M$283*$W$283</f>
        <v>24004.489953599998</v>
      </c>
      <c r="AD283" s="4">
        <f>$O$283*$X$283</f>
        <v>81072.741518399998</v>
      </c>
      <c r="AE283" s="4">
        <f ca="1">$K$283*$Y$283</f>
        <v>72926.376733922298</v>
      </c>
      <c r="AF283" s="4">
        <f ca="1">$M$283*$Z$283</f>
        <v>28997.327648638922</v>
      </c>
      <c r="AG283" s="4">
        <f>$O$283*$AA$283</f>
        <v>103121.07958179715</v>
      </c>
    </row>
    <row r="284" spans="1:33" ht="11.25" customHeight="1" x14ac:dyDescent="0.25">
      <c r="A284" s="3" t="s">
        <v>21</v>
      </c>
      <c r="B284" s="3" t="s">
        <v>41</v>
      </c>
      <c r="C284" s="3" t="s">
        <v>42</v>
      </c>
      <c r="D284" s="3" t="s">
        <v>50</v>
      </c>
      <c r="E284" s="3" t="s">
        <v>51</v>
      </c>
      <c r="F284" s="3" t="s">
        <v>25</v>
      </c>
      <c r="G284" s="3" t="s">
        <v>25</v>
      </c>
      <c r="H284" s="3" t="s">
        <v>36</v>
      </c>
      <c r="I284" s="6">
        <v>44562</v>
      </c>
      <c r="J284" s="4">
        <v>4600</v>
      </c>
      <c r="K284" s="71">
        <v>4600</v>
      </c>
      <c r="L284" s="4">
        <v>325.572</v>
      </c>
      <c r="M284" s="70">
        <v>325.572</v>
      </c>
      <c r="N284" s="4">
        <v>325.572</v>
      </c>
      <c r="O284" s="70">
        <v>325.572</v>
      </c>
      <c r="P284" s="4">
        <v>0</v>
      </c>
      <c r="Q284" s="3" t="s">
        <v>26</v>
      </c>
      <c r="R284" s="3">
        <v>0</v>
      </c>
      <c r="S284" s="4">
        <v>93</v>
      </c>
      <c r="T284" s="4">
        <v>94</v>
      </c>
      <c r="U284" s="4">
        <v>48</v>
      </c>
      <c r="V284" s="70">
        <f>IF(ISERROR(VLOOKUP($S$284,'TAR FIN'!$A$1:$O$99,15,0)),0,VLOOKUP($S$284,'TAR FIN'!$A$1:$O$99,15,0))*(1-0.06)</f>
        <v>14.3162</v>
      </c>
      <c r="W284" s="70">
        <f>IF(ISERROR(VLOOKUP($T$284,'TAR FIN'!$A$1:$O$99,15,0)),0,VLOOKUP($T$284,'TAR FIN'!$A$1:$O$99,15,0))*(1-0.06)</f>
        <v>61.222199999999994</v>
      </c>
      <c r="X284" s="70">
        <f>IF(ISERROR(VLOOKUP($U$284,'TAR FIN'!$A$1:$O$99,15,0)),0,VLOOKUP($U$284,'TAR FIN'!$A$1:$O$99,15,0))*(1-0.06)</f>
        <v>206.77179999999998</v>
      </c>
      <c r="Y284" s="70">
        <f ca="1">('TUSD BE'!$AM$6+'TUSD BF'!$AM$6+'TUSD CVA'!$AM$6)*1*(1-0.03)</f>
        <v>15.853560159548325</v>
      </c>
      <c r="Z284" s="70">
        <f ca="1">('TUSD BE'!$AM$7+'TUSD BF'!$AM$7+'TUSD CVA'!$AM$7)*1*(1-0.03)</f>
        <v>73.956172207868946</v>
      </c>
      <c r="AA284" s="70">
        <f>('TE BE'!$AA$6+'TE BF'!$AA$6+'TE CVA'!$AA$6)*1*(1-0.03)</f>
        <v>263.00493660044975</v>
      </c>
      <c r="AB284" s="4">
        <f>$K$284*$V$284</f>
        <v>65854.52</v>
      </c>
      <c r="AC284" s="4">
        <f>$M$284*$W$284</f>
        <v>19932.234098399997</v>
      </c>
      <c r="AD284" s="4">
        <f>$O$284*$X$284</f>
        <v>67319.108469599989</v>
      </c>
      <c r="AE284" s="4">
        <f ca="1">$K$284*$Y$284</f>
        <v>72926.376733922298</v>
      </c>
      <c r="AF284" s="4">
        <f ca="1">$M$284*$Z$284</f>
        <v>24078.05889806031</v>
      </c>
      <c r="AG284" s="4">
        <f>$O$284*$AA$284</f>
        <v>85627.043218881634</v>
      </c>
    </row>
    <row r="285" spans="1:33" ht="11.25" customHeight="1" x14ac:dyDescent="0.25">
      <c r="A285" s="3" t="s">
        <v>21</v>
      </c>
      <c r="B285" s="3" t="s">
        <v>41</v>
      </c>
      <c r="C285" s="3" t="s">
        <v>42</v>
      </c>
      <c r="D285" s="3" t="s">
        <v>50</v>
      </c>
      <c r="E285" s="3" t="s">
        <v>51</v>
      </c>
      <c r="F285" s="3" t="s">
        <v>25</v>
      </c>
      <c r="G285" s="3" t="s">
        <v>25</v>
      </c>
      <c r="H285" s="3" t="s">
        <v>36</v>
      </c>
      <c r="I285" s="6">
        <v>44593</v>
      </c>
      <c r="J285" s="4">
        <v>4600</v>
      </c>
      <c r="K285" s="71">
        <v>4600</v>
      </c>
      <c r="L285" s="4">
        <v>324.096</v>
      </c>
      <c r="M285" s="70">
        <v>324.096</v>
      </c>
      <c r="N285" s="4">
        <v>324.096</v>
      </c>
      <c r="O285" s="70">
        <v>324.096</v>
      </c>
      <c r="P285" s="4">
        <v>0</v>
      </c>
      <c r="Q285" s="3" t="s">
        <v>26</v>
      </c>
      <c r="R285" s="3">
        <v>0</v>
      </c>
      <c r="S285" s="4">
        <v>93</v>
      </c>
      <c r="T285" s="4">
        <v>94</v>
      </c>
      <c r="U285" s="4">
        <v>48</v>
      </c>
      <c r="V285" s="70">
        <f>IF(ISERROR(VLOOKUP($S$285,'TAR FIN'!$A$1:$O$99,15,0)),0,VLOOKUP($S$285,'TAR FIN'!$A$1:$O$99,15,0))*(1-0.06)</f>
        <v>14.3162</v>
      </c>
      <c r="W285" s="70">
        <f>IF(ISERROR(VLOOKUP($T$285,'TAR FIN'!$A$1:$O$99,15,0)),0,VLOOKUP($T$285,'TAR FIN'!$A$1:$O$99,15,0))*(1-0.06)</f>
        <v>61.222199999999994</v>
      </c>
      <c r="X285" s="70">
        <f>IF(ISERROR(VLOOKUP($U$285,'TAR FIN'!$A$1:$O$99,15,0)),0,VLOOKUP($U$285,'TAR FIN'!$A$1:$O$99,15,0))*(1-0.06)</f>
        <v>206.77179999999998</v>
      </c>
      <c r="Y285" s="70">
        <f ca="1">('TUSD BE'!$AM$6+'TUSD BF'!$AM$6+'TUSD CVA'!$AM$6)*1*(1-0.03)</f>
        <v>15.853560159548325</v>
      </c>
      <c r="Z285" s="70">
        <f ca="1">('TUSD BE'!$AM$7+'TUSD BF'!$AM$7+'TUSD CVA'!$AM$7)*1*(1-0.03)</f>
        <v>73.956172207868946</v>
      </c>
      <c r="AA285" s="70">
        <f>('TE BE'!$AA$6+'TE BF'!$AA$6+'TE CVA'!$AA$6)*1*(1-0.03)</f>
        <v>263.00493660044975</v>
      </c>
      <c r="AB285" s="4">
        <f>$K$285*$V$285</f>
        <v>65854.52</v>
      </c>
      <c r="AC285" s="4">
        <f>$M$285*$W$285</f>
        <v>19841.870131199998</v>
      </c>
      <c r="AD285" s="4">
        <f>$O$285*$X$285</f>
        <v>67013.913292799989</v>
      </c>
      <c r="AE285" s="4">
        <f ca="1">$K$285*$Y$285</f>
        <v>72926.376733922298</v>
      </c>
      <c r="AF285" s="4">
        <f ca="1">$M$285*$Z$285</f>
        <v>23968.899587881493</v>
      </c>
      <c r="AG285" s="4">
        <f>$O$285*$AA$285</f>
        <v>85238.847932459365</v>
      </c>
    </row>
    <row r="286" spans="1:33" ht="11.25" customHeight="1" x14ac:dyDescent="0.25">
      <c r="A286" s="3" t="s">
        <v>21</v>
      </c>
      <c r="B286" s="3" t="s">
        <v>41</v>
      </c>
      <c r="C286" s="3" t="s">
        <v>42</v>
      </c>
      <c r="D286" s="3" t="s">
        <v>50</v>
      </c>
      <c r="E286" s="3" t="s">
        <v>51</v>
      </c>
      <c r="F286" s="3" t="s">
        <v>25</v>
      </c>
      <c r="G286" s="3" t="s">
        <v>25</v>
      </c>
      <c r="H286" s="3" t="s">
        <v>36</v>
      </c>
      <c r="I286" s="6">
        <v>44621</v>
      </c>
      <c r="J286" s="4">
        <v>4600</v>
      </c>
      <c r="K286" s="71">
        <v>4600</v>
      </c>
      <c r="L286" s="4">
        <v>407.02800000000002</v>
      </c>
      <c r="M286" s="70">
        <v>407.02800000000002</v>
      </c>
      <c r="N286" s="4">
        <v>407.02800000000002</v>
      </c>
      <c r="O286" s="70">
        <v>407.02800000000002</v>
      </c>
      <c r="P286" s="4">
        <v>0</v>
      </c>
      <c r="Q286" s="3" t="s">
        <v>26</v>
      </c>
      <c r="R286" s="3">
        <v>0</v>
      </c>
      <c r="S286" s="4">
        <v>93</v>
      </c>
      <c r="T286" s="4">
        <v>94</v>
      </c>
      <c r="U286" s="4">
        <v>48</v>
      </c>
      <c r="V286" s="70">
        <f>IF(ISERROR(VLOOKUP($S$286,'TAR FIN'!$A$1:$O$99,15,0)),0,VLOOKUP($S$286,'TAR FIN'!$A$1:$O$99,15,0))*(1-0.06)</f>
        <v>14.3162</v>
      </c>
      <c r="W286" s="70">
        <f>IF(ISERROR(VLOOKUP($T$286,'TAR FIN'!$A$1:$O$99,15,0)),0,VLOOKUP($T$286,'TAR FIN'!$A$1:$O$99,15,0))*(1-0.06)</f>
        <v>61.222199999999994</v>
      </c>
      <c r="X286" s="70">
        <f>IF(ISERROR(VLOOKUP($U$286,'TAR FIN'!$A$1:$O$99,15,0)),0,VLOOKUP($U$286,'TAR FIN'!$A$1:$O$99,15,0))*(1-0.06)</f>
        <v>206.77179999999998</v>
      </c>
      <c r="Y286" s="70">
        <f ca="1">('TUSD BE'!$AM$6+'TUSD BF'!$AM$6+'TUSD CVA'!$AM$6)*1*(1-0.03)</f>
        <v>15.853560159548325</v>
      </c>
      <c r="Z286" s="70">
        <f ca="1">('TUSD BE'!$AM$7+'TUSD BF'!$AM$7+'TUSD CVA'!$AM$7)*1*(1-0.03)</f>
        <v>73.956172207868946</v>
      </c>
      <c r="AA286" s="70">
        <f>('TE BE'!$AA$6+'TE BF'!$AA$6+'TE CVA'!$AA$6)*1*(1-0.03)</f>
        <v>263.00493660044975</v>
      </c>
      <c r="AB286" s="4">
        <f>$K$286*$V$286</f>
        <v>65854.52</v>
      </c>
      <c r="AC286" s="4">
        <f>$M$286*$W$286</f>
        <v>24919.149621599998</v>
      </c>
      <c r="AD286" s="4">
        <f>$O$286*$X$286</f>
        <v>84161.912210399998</v>
      </c>
      <c r="AE286" s="4">
        <f ca="1">$K$286*$Y$286</f>
        <v>72926.376733922298</v>
      </c>
      <c r="AF286" s="4">
        <f ca="1">$M$286*$Z$286</f>
        <v>30102.232861424483</v>
      </c>
      <c r="AG286" s="4">
        <f>$O$286*$AA$286</f>
        <v>107050.37333460787</v>
      </c>
    </row>
    <row r="287" spans="1:33" ht="11.25" customHeight="1" x14ac:dyDescent="0.25">
      <c r="A287" s="3" t="s">
        <v>56</v>
      </c>
      <c r="B287" s="3" t="s">
        <v>41</v>
      </c>
      <c r="C287" s="3" t="s">
        <v>42</v>
      </c>
      <c r="D287" s="3" t="s">
        <v>50</v>
      </c>
      <c r="E287" s="3" t="s">
        <v>51</v>
      </c>
      <c r="F287" s="3" t="s">
        <v>25</v>
      </c>
      <c r="G287" s="3" t="s">
        <v>25</v>
      </c>
      <c r="H287" s="3" t="s">
        <v>36</v>
      </c>
      <c r="I287" s="6">
        <v>44652</v>
      </c>
      <c r="J287" s="4">
        <v>4600</v>
      </c>
      <c r="K287" s="71">
        <v>4600</v>
      </c>
      <c r="L287" s="4">
        <v>407.02800000000002</v>
      </c>
      <c r="M287" s="70">
        <v>407.02800000000002</v>
      </c>
      <c r="N287" s="4">
        <v>407.02800000000002</v>
      </c>
      <c r="O287" s="70">
        <v>407.02800000000002</v>
      </c>
      <c r="P287" s="4">
        <v>0</v>
      </c>
      <c r="Q287" s="3" t="s">
        <v>26</v>
      </c>
      <c r="R287" s="3">
        <v>0</v>
      </c>
      <c r="S287" s="4">
        <v>93</v>
      </c>
      <c r="T287" s="4">
        <v>94</v>
      </c>
      <c r="U287" s="4">
        <v>48</v>
      </c>
      <c r="V287" s="70">
        <f>IF(ISERROR(VLOOKUP($S$287,'TAR FIN'!$A$1:$O$99,15,0)),0,VLOOKUP($S$287,'TAR FIN'!$A$1:$O$99,15,0))*(1-0.06)</f>
        <v>14.3162</v>
      </c>
      <c r="W287" s="70">
        <f>IF(ISERROR(VLOOKUP($T$287,'TAR FIN'!$A$1:$O$99,15,0)),0,VLOOKUP($T$287,'TAR FIN'!$A$1:$O$99,15,0))*(1-0.06)</f>
        <v>61.222199999999994</v>
      </c>
      <c r="X287" s="70">
        <f>IF(ISERROR(VLOOKUP($U$287,'TAR FIN'!$A$1:$O$99,15,0)),0,VLOOKUP($U$287,'TAR FIN'!$A$1:$O$99,15,0))*(1-0.06)</f>
        <v>206.77179999999998</v>
      </c>
      <c r="Y287" s="70">
        <f ca="1">('TUSD BE'!$AM$6+'TUSD BF'!$AM$6+'TUSD CVA'!$AM$6)*1*(1-0.03)</f>
        <v>15.853560159548325</v>
      </c>
      <c r="Z287" s="70">
        <f ca="1">('TUSD BE'!$AM$7+'TUSD BF'!$AM$7+'TUSD CVA'!$AM$7)*1*(1-0.03)</f>
        <v>73.956172207868946</v>
      </c>
      <c r="AA287" s="70">
        <f>('TE BE'!$AA$6+'TE BF'!$AA$6+'TE CVA'!$AA$6)*1*(1-0.03)</f>
        <v>263.00493660044975</v>
      </c>
      <c r="AB287" s="4">
        <f>$K$287*$V$287</f>
        <v>65854.52</v>
      </c>
      <c r="AC287" s="4">
        <f>$M$287*$W$287</f>
        <v>24919.149621599998</v>
      </c>
      <c r="AD287" s="4">
        <f>$O$287*$X$287</f>
        <v>84161.912210399998</v>
      </c>
      <c r="AE287" s="4">
        <f ca="1">$K$287*$Y$287</f>
        <v>72926.376733922298</v>
      </c>
      <c r="AF287" s="4">
        <f ca="1">$M$287*$Z$287</f>
        <v>30102.232861424483</v>
      </c>
      <c r="AG287" s="4">
        <f>$O$287*$AA$287</f>
        <v>107050.37333460787</v>
      </c>
    </row>
    <row r="288" spans="1:33" ht="11.25" customHeight="1" x14ac:dyDescent="0.25">
      <c r="A288" s="3" t="s">
        <v>21</v>
      </c>
      <c r="B288" s="3" t="s">
        <v>41</v>
      </c>
      <c r="C288" s="3" t="s">
        <v>42</v>
      </c>
      <c r="D288" s="3" t="s">
        <v>50</v>
      </c>
      <c r="E288" s="3" t="s">
        <v>51</v>
      </c>
      <c r="F288" s="3" t="s">
        <v>25</v>
      </c>
      <c r="G288" s="3" t="s">
        <v>25</v>
      </c>
      <c r="H288" s="3" t="s">
        <v>35</v>
      </c>
      <c r="I288" s="6">
        <v>44317</v>
      </c>
      <c r="J288" s="4">
        <v>50</v>
      </c>
      <c r="K288" s="71">
        <v>50</v>
      </c>
      <c r="L288" s="4">
        <v>1.764</v>
      </c>
      <c r="M288" s="70">
        <v>1.764</v>
      </c>
      <c r="N288" s="4">
        <v>1.764</v>
      </c>
      <c r="O288" s="70">
        <v>1.764</v>
      </c>
      <c r="P288" s="4">
        <v>0</v>
      </c>
      <c r="Q288" s="3" t="s">
        <v>26</v>
      </c>
      <c r="R288" s="3">
        <v>0</v>
      </c>
      <c r="S288" s="4">
        <v>92</v>
      </c>
      <c r="T288" s="4">
        <v>94</v>
      </c>
      <c r="U288" s="4">
        <v>47</v>
      </c>
      <c r="V288" s="70">
        <f>IF(ISERROR(VLOOKUP($S$288,'TAR FIN'!$A$1:$O$99,15,0)),0,VLOOKUP($S$288,'TAR FIN'!$A$1:$O$99,15,0))*(1-0.06)</f>
        <v>24.872399999999999</v>
      </c>
      <c r="W288" s="70">
        <f>IF(ISERROR(VLOOKUP($T$288,'TAR FIN'!$A$1:$O$99,15,0)),0,VLOOKUP($T$288,'TAR FIN'!$A$1:$O$99,15,0))*(1-0.06)</f>
        <v>61.222199999999994</v>
      </c>
      <c r="X288" s="70">
        <f>IF(ISERROR(VLOOKUP($U$288,'TAR FIN'!$A$1:$O$99,15,0)),0,VLOOKUP($U$288,'TAR FIN'!$A$1:$O$99,15,0))*(1-0.06)</f>
        <v>325.8134</v>
      </c>
      <c r="Y288" s="70">
        <f ca="1">('TUSD BE'!$AM$5+'TUSD BF'!$AM$5+'TUSD CVA'!$AM$5)*1*(1-0.03)</f>
        <v>29.427176600614171</v>
      </c>
      <c r="Z288" s="70">
        <f ca="1">('TUSD BE'!$AM$7+'TUSD BF'!$AM$7+'TUSD CVA'!$AM$7)*1*(1-0.03)</f>
        <v>73.956172207868946</v>
      </c>
      <c r="AA288" s="70">
        <f>('TE BE'!$AA$5+'TE BF'!$AA$5+'TE CVA'!$AA$5)*1*(1-0.03)</f>
        <v>411.17962930251429</v>
      </c>
      <c r="AB288" s="4">
        <f>$K$288*$V$288</f>
        <v>1243.6199999999999</v>
      </c>
      <c r="AC288" s="4">
        <f>$M$288*$W$288</f>
        <v>107.99596079999999</v>
      </c>
      <c r="AD288" s="4">
        <f>$O$288*$X$288</f>
        <v>574.73483759999999</v>
      </c>
      <c r="AE288" s="4">
        <f ca="1">$K$288*$Y$288</f>
        <v>1471.3588300307085</v>
      </c>
      <c r="AF288" s="4">
        <f ca="1">$M$288*$Z$288</f>
        <v>130.45868777468081</v>
      </c>
      <c r="AG288" s="4">
        <f>$O$288*$AA$288</f>
        <v>725.32086608963516</v>
      </c>
    </row>
    <row r="289" spans="1:33" ht="11.25" customHeight="1" x14ac:dyDescent="0.25">
      <c r="A289" s="3" t="s">
        <v>21</v>
      </c>
      <c r="B289" s="3" t="s">
        <v>41</v>
      </c>
      <c r="C289" s="3" t="s">
        <v>42</v>
      </c>
      <c r="D289" s="3" t="s">
        <v>50</v>
      </c>
      <c r="E289" s="3" t="s">
        <v>51</v>
      </c>
      <c r="F289" s="3" t="s">
        <v>25</v>
      </c>
      <c r="G289" s="3" t="s">
        <v>25</v>
      </c>
      <c r="H289" s="3" t="s">
        <v>35</v>
      </c>
      <c r="I289" s="6">
        <v>44348</v>
      </c>
      <c r="J289" s="4">
        <v>50</v>
      </c>
      <c r="K289" s="71">
        <v>50</v>
      </c>
      <c r="L289" s="4">
        <v>1.776</v>
      </c>
      <c r="M289" s="70">
        <v>1.776</v>
      </c>
      <c r="N289" s="4">
        <v>1.776</v>
      </c>
      <c r="O289" s="70">
        <v>1.776</v>
      </c>
      <c r="P289" s="4">
        <v>0</v>
      </c>
      <c r="Q289" s="3" t="s">
        <v>26</v>
      </c>
      <c r="R289" s="3">
        <v>0</v>
      </c>
      <c r="S289" s="4">
        <v>92</v>
      </c>
      <c r="T289" s="4">
        <v>94</v>
      </c>
      <c r="U289" s="4">
        <v>47</v>
      </c>
      <c r="V289" s="70">
        <f>IF(ISERROR(VLOOKUP($S$289,'TAR FIN'!$A$1:$O$99,15,0)),0,VLOOKUP($S$289,'TAR FIN'!$A$1:$O$99,15,0))*(1-0.06)</f>
        <v>24.872399999999999</v>
      </c>
      <c r="W289" s="70">
        <f>IF(ISERROR(VLOOKUP($T$289,'TAR FIN'!$A$1:$O$99,15,0)),0,VLOOKUP($T$289,'TAR FIN'!$A$1:$O$99,15,0))*(1-0.06)</f>
        <v>61.222199999999994</v>
      </c>
      <c r="X289" s="70">
        <f>IF(ISERROR(VLOOKUP($U$289,'TAR FIN'!$A$1:$O$99,15,0)),0,VLOOKUP($U$289,'TAR FIN'!$A$1:$O$99,15,0))*(1-0.06)</f>
        <v>325.8134</v>
      </c>
      <c r="Y289" s="70">
        <f ca="1">('TUSD BE'!$AM$5+'TUSD BF'!$AM$5+'TUSD CVA'!$AM$5)*1*(1-0.03)</f>
        <v>29.427176600614171</v>
      </c>
      <c r="Z289" s="70">
        <f ca="1">('TUSD BE'!$AM$7+'TUSD BF'!$AM$7+'TUSD CVA'!$AM$7)*1*(1-0.03)</f>
        <v>73.956172207868946</v>
      </c>
      <c r="AA289" s="70">
        <f>('TE BE'!$AA$5+'TE BF'!$AA$5+'TE CVA'!$AA$5)*1*(1-0.03)</f>
        <v>411.17962930251429</v>
      </c>
      <c r="AB289" s="4">
        <f>$K$289*$V$289</f>
        <v>1243.6199999999999</v>
      </c>
      <c r="AC289" s="4">
        <f>$M$289*$W$289</f>
        <v>108.73062719999999</v>
      </c>
      <c r="AD289" s="4">
        <f>$O$289*$X$289</f>
        <v>578.64459840000006</v>
      </c>
      <c r="AE289" s="4">
        <f ca="1">$K$289*$Y$289</f>
        <v>1471.3588300307085</v>
      </c>
      <c r="AF289" s="4">
        <f ca="1">$M$289*$Z$289</f>
        <v>131.34616184117525</v>
      </c>
      <c r="AG289" s="4">
        <f>$O$289*$AA$289</f>
        <v>730.25502164126533</v>
      </c>
    </row>
    <row r="290" spans="1:33" ht="11.25" customHeight="1" x14ac:dyDescent="0.25">
      <c r="A290" s="3" t="s">
        <v>21</v>
      </c>
      <c r="B290" s="3" t="s">
        <v>41</v>
      </c>
      <c r="C290" s="3" t="s">
        <v>42</v>
      </c>
      <c r="D290" s="3" t="s">
        <v>50</v>
      </c>
      <c r="E290" s="3" t="s">
        <v>51</v>
      </c>
      <c r="F290" s="3" t="s">
        <v>25</v>
      </c>
      <c r="G290" s="3" t="s">
        <v>25</v>
      </c>
      <c r="H290" s="3" t="s">
        <v>35</v>
      </c>
      <c r="I290" s="6">
        <v>44378</v>
      </c>
      <c r="J290" s="4">
        <v>50</v>
      </c>
      <c r="K290" s="71">
        <v>50</v>
      </c>
      <c r="L290" s="4">
        <v>1.764</v>
      </c>
      <c r="M290" s="70">
        <v>1.764</v>
      </c>
      <c r="N290" s="4">
        <v>1.764</v>
      </c>
      <c r="O290" s="70">
        <v>1.764</v>
      </c>
      <c r="P290" s="4">
        <v>0</v>
      </c>
      <c r="Q290" s="3" t="s">
        <v>26</v>
      </c>
      <c r="R290" s="3">
        <v>0</v>
      </c>
      <c r="S290" s="4">
        <v>92</v>
      </c>
      <c r="T290" s="4">
        <v>94</v>
      </c>
      <c r="U290" s="4">
        <v>47</v>
      </c>
      <c r="V290" s="70">
        <f>IF(ISERROR(VLOOKUP($S$290,'TAR FIN'!$A$1:$O$99,15,0)),0,VLOOKUP($S$290,'TAR FIN'!$A$1:$O$99,15,0))*(1-0.06)</f>
        <v>24.872399999999999</v>
      </c>
      <c r="W290" s="70">
        <f>IF(ISERROR(VLOOKUP($T$290,'TAR FIN'!$A$1:$O$99,15,0)),0,VLOOKUP($T$290,'TAR FIN'!$A$1:$O$99,15,0))*(1-0.06)</f>
        <v>61.222199999999994</v>
      </c>
      <c r="X290" s="70">
        <f>IF(ISERROR(VLOOKUP($U$290,'TAR FIN'!$A$1:$O$99,15,0)),0,VLOOKUP($U$290,'TAR FIN'!$A$1:$O$99,15,0))*(1-0.06)</f>
        <v>325.8134</v>
      </c>
      <c r="Y290" s="70">
        <f ca="1">('TUSD BE'!$AM$5+'TUSD BF'!$AM$5+'TUSD CVA'!$AM$5)*1*(1-0.03)</f>
        <v>29.427176600614171</v>
      </c>
      <c r="Z290" s="70">
        <f ca="1">('TUSD BE'!$AM$7+'TUSD BF'!$AM$7+'TUSD CVA'!$AM$7)*1*(1-0.03)</f>
        <v>73.956172207868946</v>
      </c>
      <c r="AA290" s="70">
        <f>('TE BE'!$AA$5+'TE BF'!$AA$5+'TE CVA'!$AA$5)*1*(1-0.03)</f>
        <v>411.17962930251429</v>
      </c>
      <c r="AB290" s="4">
        <f>$K$290*$V$290</f>
        <v>1243.6199999999999</v>
      </c>
      <c r="AC290" s="4">
        <f>$M$290*$W$290</f>
        <v>107.99596079999999</v>
      </c>
      <c r="AD290" s="4">
        <f>$O$290*$X$290</f>
        <v>574.73483759999999</v>
      </c>
      <c r="AE290" s="4">
        <f ca="1">$K$290*$Y$290</f>
        <v>1471.3588300307085</v>
      </c>
      <c r="AF290" s="4">
        <f ca="1">$M$290*$Z$290</f>
        <v>130.45868777468081</v>
      </c>
      <c r="AG290" s="4">
        <f>$O$290*$AA$290</f>
        <v>725.32086608963516</v>
      </c>
    </row>
    <row r="291" spans="1:33" ht="11.25" customHeight="1" x14ac:dyDescent="0.25">
      <c r="A291" s="3" t="s">
        <v>21</v>
      </c>
      <c r="B291" s="3" t="s">
        <v>41</v>
      </c>
      <c r="C291" s="3" t="s">
        <v>42</v>
      </c>
      <c r="D291" s="3" t="s">
        <v>50</v>
      </c>
      <c r="E291" s="3" t="s">
        <v>51</v>
      </c>
      <c r="F291" s="3" t="s">
        <v>25</v>
      </c>
      <c r="G291" s="3" t="s">
        <v>25</v>
      </c>
      <c r="H291" s="3" t="s">
        <v>35</v>
      </c>
      <c r="I291" s="6">
        <v>44409</v>
      </c>
      <c r="J291" s="4">
        <v>50</v>
      </c>
      <c r="K291" s="71">
        <v>50</v>
      </c>
      <c r="L291" s="4">
        <v>1.776</v>
      </c>
      <c r="M291" s="70">
        <v>1.776</v>
      </c>
      <c r="N291" s="4">
        <v>1.776</v>
      </c>
      <c r="O291" s="70">
        <v>1.776</v>
      </c>
      <c r="P291" s="4">
        <v>0</v>
      </c>
      <c r="Q291" s="3" t="s">
        <v>26</v>
      </c>
      <c r="R291" s="3">
        <v>0</v>
      </c>
      <c r="S291" s="4">
        <v>92</v>
      </c>
      <c r="T291" s="4">
        <v>94</v>
      </c>
      <c r="U291" s="4">
        <v>47</v>
      </c>
      <c r="V291" s="70">
        <f>IF(ISERROR(VLOOKUP($S$291,'TAR FIN'!$A$1:$O$99,15,0)),0,VLOOKUP($S$291,'TAR FIN'!$A$1:$O$99,15,0))*(1-0.06)</f>
        <v>24.872399999999999</v>
      </c>
      <c r="W291" s="70">
        <f>IF(ISERROR(VLOOKUP($T$291,'TAR FIN'!$A$1:$O$99,15,0)),0,VLOOKUP($T$291,'TAR FIN'!$A$1:$O$99,15,0))*(1-0.06)</f>
        <v>61.222199999999994</v>
      </c>
      <c r="X291" s="70">
        <f>IF(ISERROR(VLOOKUP($U$291,'TAR FIN'!$A$1:$O$99,15,0)),0,VLOOKUP($U$291,'TAR FIN'!$A$1:$O$99,15,0))*(1-0.06)</f>
        <v>325.8134</v>
      </c>
      <c r="Y291" s="70">
        <f ca="1">('TUSD BE'!$AM$5+'TUSD BF'!$AM$5+'TUSD CVA'!$AM$5)*1*(1-0.03)</f>
        <v>29.427176600614171</v>
      </c>
      <c r="Z291" s="70">
        <f ca="1">('TUSD BE'!$AM$7+'TUSD BF'!$AM$7+'TUSD CVA'!$AM$7)*1*(1-0.03)</f>
        <v>73.956172207868946</v>
      </c>
      <c r="AA291" s="70">
        <f>('TE BE'!$AA$5+'TE BF'!$AA$5+'TE CVA'!$AA$5)*1*(1-0.03)</f>
        <v>411.17962930251429</v>
      </c>
      <c r="AB291" s="4">
        <f>$K$291*$V$291</f>
        <v>1243.6199999999999</v>
      </c>
      <c r="AC291" s="4">
        <f>$M$291*$W$291</f>
        <v>108.73062719999999</v>
      </c>
      <c r="AD291" s="4">
        <f>$O$291*$X$291</f>
        <v>578.64459840000006</v>
      </c>
      <c r="AE291" s="4">
        <f ca="1">$K$291*$Y$291</f>
        <v>1471.3588300307085</v>
      </c>
      <c r="AF291" s="4">
        <f ca="1">$M$291*$Z$291</f>
        <v>131.34616184117525</v>
      </c>
      <c r="AG291" s="4">
        <f>$O$291*$AA$291</f>
        <v>730.25502164126533</v>
      </c>
    </row>
    <row r="292" spans="1:33" ht="11.25" customHeight="1" x14ac:dyDescent="0.25">
      <c r="A292" s="3" t="s">
        <v>21</v>
      </c>
      <c r="B292" s="3" t="s">
        <v>41</v>
      </c>
      <c r="C292" s="3" t="s">
        <v>42</v>
      </c>
      <c r="D292" s="3" t="s">
        <v>50</v>
      </c>
      <c r="E292" s="3" t="s">
        <v>51</v>
      </c>
      <c r="F292" s="3" t="s">
        <v>25</v>
      </c>
      <c r="G292" s="3" t="s">
        <v>25</v>
      </c>
      <c r="H292" s="3" t="s">
        <v>35</v>
      </c>
      <c r="I292" s="6">
        <v>44440</v>
      </c>
      <c r="J292" s="4">
        <v>50</v>
      </c>
      <c r="K292" s="71">
        <v>50</v>
      </c>
      <c r="L292" s="4">
        <v>1.74</v>
      </c>
      <c r="M292" s="70">
        <v>1.74</v>
      </c>
      <c r="N292" s="4">
        <v>1.74</v>
      </c>
      <c r="O292" s="70">
        <v>1.74</v>
      </c>
      <c r="P292" s="4">
        <v>0</v>
      </c>
      <c r="Q292" s="3" t="s">
        <v>26</v>
      </c>
      <c r="R292" s="3">
        <v>0</v>
      </c>
      <c r="S292" s="4">
        <v>92</v>
      </c>
      <c r="T292" s="4">
        <v>94</v>
      </c>
      <c r="U292" s="4">
        <v>47</v>
      </c>
      <c r="V292" s="70">
        <f>IF(ISERROR(VLOOKUP($S$292,'TAR FIN'!$A$1:$O$99,15,0)),0,VLOOKUP($S$292,'TAR FIN'!$A$1:$O$99,15,0))*(1-0.06)</f>
        <v>24.872399999999999</v>
      </c>
      <c r="W292" s="70">
        <f>IF(ISERROR(VLOOKUP($T$292,'TAR FIN'!$A$1:$O$99,15,0)),0,VLOOKUP($T$292,'TAR FIN'!$A$1:$O$99,15,0))*(1-0.06)</f>
        <v>61.222199999999994</v>
      </c>
      <c r="X292" s="70">
        <f>IF(ISERROR(VLOOKUP($U$292,'TAR FIN'!$A$1:$O$99,15,0)),0,VLOOKUP($U$292,'TAR FIN'!$A$1:$O$99,15,0))*(1-0.06)</f>
        <v>325.8134</v>
      </c>
      <c r="Y292" s="70">
        <f ca="1">('TUSD BE'!$AM$5+'TUSD BF'!$AM$5+'TUSD CVA'!$AM$5)*1*(1-0.03)</f>
        <v>29.427176600614171</v>
      </c>
      <c r="Z292" s="70">
        <f ca="1">('TUSD BE'!$AM$7+'TUSD BF'!$AM$7+'TUSD CVA'!$AM$7)*1*(1-0.03)</f>
        <v>73.956172207868946</v>
      </c>
      <c r="AA292" s="70">
        <f>('TE BE'!$AA$5+'TE BF'!$AA$5+'TE CVA'!$AA$5)*1*(1-0.03)</f>
        <v>411.17962930251429</v>
      </c>
      <c r="AB292" s="4">
        <f>$K$292*$V$292</f>
        <v>1243.6199999999999</v>
      </c>
      <c r="AC292" s="4">
        <f>$M$292*$W$292</f>
        <v>106.52662799999999</v>
      </c>
      <c r="AD292" s="4">
        <f>$O$292*$X$292</f>
        <v>566.91531599999996</v>
      </c>
      <c r="AE292" s="4">
        <f ca="1">$K$292*$Y$292</f>
        <v>1471.3588300307085</v>
      </c>
      <c r="AF292" s="4">
        <f ca="1">$M$292*$Z$292</f>
        <v>128.68373964169197</v>
      </c>
      <c r="AG292" s="4">
        <f>$O$292*$AA$292</f>
        <v>715.45255498637482</v>
      </c>
    </row>
    <row r="293" spans="1:33" ht="11.25" customHeight="1" x14ac:dyDescent="0.25">
      <c r="A293" s="3" t="s">
        <v>21</v>
      </c>
      <c r="B293" s="3" t="s">
        <v>41</v>
      </c>
      <c r="C293" s="3" t="s">
        <v>42</v>
      </c>
      <c r="D293" s="3" t="s">
        <v>50</v>
      </c>
      <c r="E293" s="3" t="s">
        <v>51</v>
      </c>
      <c r="F293" s="3" t="s">
        <v>25</v>
      </c>
      <c r="G293" s="3" t="s">
        <v>25</v>
      </c>
      <c r="H293" s="3" t="s">
        <v>35</v>
      </c>
      <c r="I293" s="6">
        <v>44470</v>
      </c>
      <c r="J293" s="4">
        <v>50</v>
      </c>
      <c r="K293" s="71">
        <v>50</v>
      </c>
      <c r="L293" s="4">
        <v>1.272</v>
      </c>
      <c r="M293" s="70">
        <v>1.272</v>
      </c>
      <c r="N293" s="4">
        <v>1.272</v>
      </c>
      <c r="O293" s="70">
        <v>1.272</v>
      </c>
      <c r="P293" s="4">
        <v>0</v>
      </c>
      <c r="Q293" s="3" t="s">
        <v>26</v>
      </c>
      <c r="R293" s="3">
        <v>0</v>
      </c>
      <c r="S293" s="4">
        <v>92</v>
      </c>
      <c r="T293" s="4">
        <v>94</v>
      </c>
      <c r="U293" s="4">
        <v>47</v>
      </c>
      <c r="V293" s="70">
        <f>IF(ISERROR(VLOOKUP($S$293,'TAR FIN'!$A$1:$O$99,15,0)),0,VLOOKUP($S$293,'TAR FIN'!$A$1:$O$99,15,0))*(1-0.06)</f>
        <v>24.872399999999999</v>
      </c>
      <c r="W293" s="70">
        <f>IF(ISERROR(VLOOKUP($T$293,'TAR FIN'!$A$1:$O$99,15,0)),0,VLOOKUP($T$293,'TAR FIN'!$A$1:$O$99,15,0))*(1-0.06)</f>
        <v>61.222199999999994</v>
      </c>
      <c r="X293" s="70">
        <f>IF(ISERROR(VLOOKUP($U$293,'TAR FIN'!$A$1:$O$99,15,0)),0,VLOOKUP($U$293,'TAR FIN'!$A$1:$O$99,15,0))*(1-0.06)</f>
        <v>325.8134</v>
      </c>
      <c r="Y293" s="70">
        <f ca="1">('TUSD BE'!$AM$5+'TUSD BF'!$AM$5+'TUSD CVA'!$AM$5)*1*(1-0.03)</f>
        <v>29.427176600614171</v>
      </c>
      <c r="Z293" s="70">
        <f ca="1">('TUSD BE'!$AM$7+'TUSD BF'!$AM$7+'TUSD CVA'!$AM$7)*1*(1-0.03)</f>
        <v>73.956172207868946</v>
      </c>
      <c r="AA293" s="70">
        <f>('TE BE'!$AA$5+'TE BF'!$AA$5+'TE CVA'!$AA$5)*1*(1-0.03)</f>
        <v>411.17962930251429</v>
      </c>
      <c r="AB293" s="4">
        <f>$K$293*$V$293</f>
        <v>1243.6199999999999</v>
      </c>
      <c r="AC293" s="4">
        <f>$M$293*$W$293</f>
        <v>77.874638399999995</v>
      </c>
      <c r="AD293" s="4">
        <f>$O$293*$X$293</f>
        <v>414.4346448</v>
      </c>
      <c r="AE293" s="4">
        <f ca="1">$K$293*$Y$293</f>
        <v>1471.3588300307085</v>
      </c>
      <c r="AF293" s="4">
        <f ca="1">$M$293*$Z$293</f>
        <v>94.072251048409299</v>
      </c>
      <c r="AG293" s="4">
        <f>$O$293*$AA$293</f>
        <v>523.02048847279821</v>
      </c>
    </row>
    <row r="294" spans="1:33" ht="11.25" customHeight="1" x14ac:dyDescent="0.25">
      <c r="A294" s="3" t="s">
        <v>21</v>
      </c>
      <c r="B294" s="3" t="s">
        <v>41</v>
      </c>
      <c r="C294" s="3" t="s">
        <v>42</v>
      </c>
      <c r="D294" s="3" t="s">
        <v>50</v>
      </c>
      <c r="E294" s="3" t="s">
        <v>51</v>
      </c>
      <c r="F294" s="3" t="s">
        <v>25</v>
      </c>
      <c r="G294" s="3" t="s">
        <v>25</v>
      </c>
      <c r="H294" s="3" t="s">
        <v>35</v>
      </c>
      <c r="I294" s="6">
        <v>44501</v>
      </c>
      <c r="J294" s="4">
        <v>50</v>
      </c>
      <c r="K294" s="71">
        <v>50</v>
      </c>
      <c r="L294" s="4">
        <v>1.716</v>
      </c>
      <c r="M294" s="70">
        <v>1.716</v>
      </c>
      <c r="N294" s="4">
        <v>1.716</v>
      </c>
      <c r="O294" s="70">
        <v>1.716</v>
      </c>
      <c r="P294" s="4">
        <v>0</v>
      </c>
      <c r="Q294" s="3" t="s">
        <v>26</v>
      </c>
      <c r="R294" s="3">
        <v>0</v>
      </c>
      <c r="S294" s="4">
        <v>92</v>
      </c>
      <c r="T294" s="4">
        <v>94</v>
      </c>
      <c r="U294" s="4">
        <v>47</v>
      </c>
      <c r="V294" s="70">
        <f>IF(ISERROR(VLOOKUP($S$294,'TAR FIN'!$A$1:$O$99,15,0)),0,VLOOKUP($S$294,'TAR FIN'!$A$1:$O$99,15,0))*(1-0.06)</f>
        <v>24.872399999999999</v>
      </c>
      <c r="W294" s="70">
        <f>IF(ISERROR(VLOOKUP($T$294,'TAR FIN'!$A$1:$O$99,15,0)),0,VLOOKUP($T$294,'TAR FIN'!$A$1:$O$99,15,0))*(1-0.06)</f>
        <v>61.222199999999994</v>
      </c>
      <c r="X294" s="70">
        <f>IF(ISERROR(VLOOKUP($U$294,'TAR FIN'!$A$1:$O$99,15,0)),0,VLOOKUP($U$294,'TAR FIN'!$A$1:$O$99,15,0))*(1-0.06)</f>
        <v>325.8134</v>
      </c>
      <c r="Y294" s="70">
        <f ca="1">('TUSD BE'!$AM$5+'TUSD BF'!$AM$5+'TUSD CVA'!$AM$5)*1*(1-0.03)</f>
        <v>29.427176600614171</v>
      </c>
      <c r="Z294" s="70">
        <f ca="1">('TUSD BE'!$AM$7+'TUSD BF'!$AM$7+'TUSD CVA'!$AM$7)*1*(1-0.03)</f>
        <v>73.956172207868946</v>
      </c>
      <c r="AA294" s="70">
        <f>('TE BE'!$AA$5+'TE BF'!$AA$5+'TE CVA'!$AA$5)*1*(1-0.03)</f>
        <v>411.17962930251429</v>
      </c>
      <c r="AB294" s="4">
        <f>$K$294*$V$294</f>
        <v>1243.6199999999999</v>
      </c>
      <c r="AC294" s="4">
        <f>$M$294*$W$294</f>
        <v>105.05729519999998</v>
      </c>
      <c r="AD294" s="4">
        <f>$O$294*$X$294</f>
        <v>559.09579440000005</v>
      </c>
      <c r="AE294" s="4">
        <f ca="1">$K$294*$Y$294</f>
        <v>1471.3588300307085</v>
      </c>
      <c r="AF294" s="4">
        <f ca="1">$M$294*$Z$294</f>
        <v>126.9087915087031</v>
      </c>
      <c r="AG294" s="4">
        <f>$O$294*$AA$294</f>
        <v>705.58424388311448</v>
      </c>
    </row>
    <row r="295" spans="1:33" ht="11.25" customHeight="1" x14ac:dyDescent="0.25">
      <c r="A295" s="3" t="s">
        <v>21</v>
      </c>
      <c r="B295" s="3" t="s">
        <v>41</v>
      </c>
      <c r="C295" s="3" t="s">
        <v>42</v>
      </c>
      <c r="D295" s="3" t="s">
        <v>50</v>
      </c>
      <c r="E295" s="3" t="s">
        <v>51</v>
      </c>
      <c r="F295" s="3" t="s">
        <v>25</v>
      </c>
      <c r="G295" s="3" t="s">
        <v>25</v>
      </c>
      <c r="H295" s="3" t="s">
        <v>35</v>
      </c>
      <c r="I295" s="6">
        <v>44531</v>
      </c>
      <c r="J295" s="4">
        <v>50</v>
      </c>
      <c r="K295" s="71">
        <v>50</v>
      </c>
      <c r="L295" s="4">
        <v>1.8240000000000001</v>
      </c>
      <c r="M295" s="70">
        <v>1.8240000000000001</v>
      </c>
      <c r="N295" s="4">
        <v>1.8240000000000001</v>
      </c>
      <c r="O295" s="70">
        <v>1.8240000000000001</v>
      </c>
      <c r="P295" s="4">
        <v>0</v>
      </c>
      <c r="Q295" s="3" t="s">
        <v>26</v>
      </c>
      <c r="R295" s="3">
        <v>0</v>
      </c>
      <c r="S295" s="4">
        <v>92</v>
      </c>
      <c r="T295" s="4">
        <v>94</v>
      </c>
      <c r="U295" s="4">
        <v>47</v>
      </c>
      <c r="V295" s="70">
        <f>IF(ISERROR(VLOOKUP($S$295,'TAR FIN'!$A$1:$O$99,15,0)),0,VLOOKUP($S$295,'TAR FIN'!$A$1:$O$99,15,0))*(1-0.06)</f>
        <v>24.872399999999999</v>
      </c>
      <c r="W295" s="70">
        <f>IF(ISERROR(VLOOKUP($T$295,'TAR FIN'!$A$1:$O$99,15,0)),0,VLOOKUP($T$295,'TAR FIN'!$A$1:$O$99,15,0))*(1-0.06)</f>
        <v>61.222199999999994</v>
      </c>
      <c r="X295" s="70">
        <f>IF(ISERROR(VLOOKUP($U$295,'TAR FIN'!$A$1:$O$99,15,0)),0,VLOOKUP($U$295,'TAR FIN'!$A$1:$O$99,15,0))*(1-0.06)</f>
        <v>325.8134</v>
      </c>
      <c r="Y295" s="70">
        <f ca="1">('TUSD BE'!$AM$5+'TUSD BF'!$AM$5+'TUSD CVA'!$AM$5)*1*(1-0.03)</f>
        <v>29.427176600614171</v>
      </c>
      <c r="Z295" s="70">
        <f ca="1">('TUSD BE'!$AM$7+'TUSD BF'!$AM$7+'TUSD CVA'!$AM$7)*1*(1-0.03)</f>
        <v>73.956172207868946</v>
      </c>
      <c r="AA295" s="70">
        <f>('TE BE'!$AA$5+'TE BF'!$AA$5+'TE CVA'!$AA$5)*1*(1-0.03)</f>
        <v>411.17962930251429</v>
      </c>
      <c r="AB295" s="4">
        <f>$K$295*$V$295</f>
        <v>1243.6199999999999</v>
      </c>
      <c r="AC295" s="4">
        <f>$M$295*$W$295</f>
        <v>111.66929279999999</v>
      </c>
      <c r="AD295" s="4">
        <f>$O$295*$X$295</f>
        <v>594.28364160000001</v>
      </c>
      <c r="AE295" s="4">
        <f ca="1">$K$295*$Y$295</f>
        <v>1471.3588300307085</v>
      </c>
      <c r="AF295" s="4">
        <f ca="1">$M$295*$Z$295</f>
        <v>134.89605810715295</v>
      </c>
      <c r="AG295" s="4">
        <f>$O$295*$AA$295</f>
        <v>749.99164384778612</v>
      </c>
    </row>
    <row r="296" spans="1:33" ht="11.25" customHeight="1" x14ac:dyDescent="0.25">
      <c r="A296" s="3" t="s">
        <v>21</v>
      </c>
      <c r="B296" s="3" t="s">
        <v>41</v>
      </c>
      <c r="C296" s="3" t="s">
        <v>42</v>
      </c>
      <c r="D296" s="3" t="s">
        <v>50</v>
      </c>
      <c r="E296" s="3" t="s">
        <v>51</v>
      </c>
      <c r="F296" s="3" t="s">
        <v>25</v>
      </c>
      <c r="G296" s="3" t="s">
        <v>25</v>
      </c>
      <c r="H296" s="3" t="s">
        <v>35</v>
      </c>
      <c r="I296" s="6">
        <v>44562</v>
      </c>
      <c r="J296" s="4">
        <v>50</v>
      </c>
      <c r="K296" s="71">
        <v>50</v>
      </c>
      <c r="L296" s="4">
        <v>1.5960000000000001</v>
      </c>
      <c r="M296" s="70">
        <v>1.5960000000000001</v>
      </c>
      <c r="N296" s="4">
        <v>1.5960000000000001</v>
      </c>
      <c r="O296" s="70">
        <v>1.5960000000000001</v>
      </c>
      <c r="P296" s="4">
        <v>0</v>
      </c>
      <c r="Q296" s="3" t="s">
        <v>26</v>
      </c>
      <c r="R296" s="3">
        <v>0</v>
      </c>
      <c r="S296" s="4">
        <v>92</v>
      </c>
      <c r="T296" s="4">
        <v>94</v>
      </c>
      <c r="U296" s="4">
        <v>47</v>
      </c>
      <c r="V296" s="70">
        <f>IF(ISERROR(VLOOKUP($S$296,'TAR FIN'!$A$1:$O$99,15,0)),0,VLOOKUP($S$296,'TAR FIN'!$A$1:$O$99,15,0))*(1-0.06)</f>
        <v>24.872399999999999</v>
      </c>
      <c r="W296" s="70">
        <f>IF(ISERROR(VLOOKUP($T$296,'TAR FIN'!$A$1:$O$99,15,0)),0,VLOOKUP($T$296,'TAR FIN'!$A$1:$O$99,15,0))*(1-0.06)</f>
        <v>61.222199999999994</v>
      </c>
      <c r="X296" s="70">
        <f>IF(ISERROR(VLOOKUP($U$296,'TAR FIN'!$A$1:$O$99,15,0)),0,VLOOKUP($U$296,'TAR FIN'!$A$1:$O$99,15,0))*(1-0.06)</f>
        <v>325.8134</v>
      </c>
      <c r="Y296" s="70">
        <f ca="1">('TUSD BE'!$AM$5+'TUSD BF'!$AM$5+'TUSD CVA'!$AM$5)*1*(1-0.03)</f>
        <v>29.427176600614171</v>
      </c>
      <c r="Z296" s="70">
        <f ca="1">('TUSD BE'!$AM$7+'TUSD BF'!$AM$7+'TUSD CVA'!$AM$7)*1*(1-0.03)</f>
        <v>73.956172207868946</v>
      </c>
      <c r="AA296" s="70">
        <f>('TE BE'!$AA$5+'TE BF'!$AA$5+'TE CVA'!$AA$5)*1*(1-0.03)</f>
        <v>411.17962930251429</v>
      </c>
      <c r="AB296" s="4">
        <f>$K$296*$V$296</f>
        <v>1243.6199999999999</v>
      </c>
      <c r="AC296" s="4">
        <f>$M$296*$W$296</f>
        <v>97.710631199999995</v>
      </c>
      <c r="AD296" s="4">
        <f>$O$296*$X$296</f>
        <v>519.99818640000001</v>
      </c>
      <c r="AE296" s="4">
        <f ca="1">$K$296*$Y$296</f>
        <v>1471.3588300307085</v>
      </c>
      <c r="AF296" s="4">
        <f ca="1">$M$296*$Z$296</f>
        <v>118.03405084375885</v>
      </c>
      <c r="AG296" s="4">
        <f>$O$296*$AA$296</f>
        <v>656.24268836681279</v>
      </c>
    </row>
    <row r="297" spans="1:33" ht="11.25" customHeight="1" x14ac:dyDescent="0.25">
      <c r="A297" s="3" t="s">
        <v>21</v>
      </c>
      <c r="B297" s="3" t="s">
        <v>41</v>
      </c>
      <c r="C297" s="3" t="s">
        <v>42</v>
      </c>
      <c r="D297" s="3" t="s">
        <v>50</v>
      </c>
      <c r="E297" s="3" t="s">
        <v>51</v>
      </c>
      <c r="F297" s="3" t="s">
        <v>25</v>
      </c>
      <c r="G297" s="3" t="s">
        <v>25</v>
      </c>
      <c r="H297" s="3" t="s">
        <v>35</v>
      </c>
      <c r="I297" s="6">
        <v>44593</v>
      </c>
      <c r="J297" s="4">
        <v>50</v>
      </c>
      <c r="K297" s="71">
        <v>50</v>
      </c>
      <c r="L297" s="4">
        <v>1.6080000000000001</v>
      </c>
      <c r="M297" s="70">
        <v>1.6080000000000001</v>
      </c>
      <c r="N297" s="4">
        <v>1.6080000000000001</v>
      </c>
      <c r="O297" s="70">
        <v>1.6080000000000001</v>
      </c>
      <c r="P297" s="4">
        <v>0</v>
      </c>
      <c r="Q297" s="3" t="s">
        <v>26</v>
      </c>
      <c r="R297" s="3">
        <v>0</v>
      </c>
      <c r="S297" s="4">
        <v>92</v>
      </c>
      <c r="T297" s="4">
        <v>94</v>
      </c>
      <c r="U297" s="4">
        <v>47</v>
      </c>
      <c r="V297" s="70">
        <f>IF(ISERROR(VLOOKUP($S$297,'TAR FIN'!$A$1:$O$99,15,0)),0,VLOOKUP($S$297,'TAR FIN'!$A$1:$O$99,15,0))*(1-0.06)</f>
        <v>24.872399999999999</v>
      </c>
      <c r="W297" s="70">
        <f>IF(ISERROR(VLOOKUP($T$297,'TAR FIN'!$A$1:$O$99,15,0)),0,VLOOKUP($T$297,'TAR FIN'!$A$1:$O$99,15,0))*(1-0.06)</f>
        <v>61.222199999999994</v>
      </c>
      <c r="X297" s="70">
        <f>IF(ISERROR(VLOOKUP($U$297,'TAR FIN'!$A$1:$O$99,15,0)),0,VLOOKUP($U$297,'TAR FIN'!$A$1:$O$99,15,0))*(1-0.06)</f>
        <v>325.8134</v>
      </c>
      <c r="Y297" s="70">
        <f ca="1">('TUSD BE'!$AM$5+'TUSD BF'!$AM$5+'TUSD CVA'!$AM$5)*1*(1-0.03)</f>
        <v>29.427176600614171</v>
      </c>
      <c r="Z297" s="70">
        <f ca="1">('TUSD BE'!$AM$7+'TUSD BF'!$AM$7+'TUSD CVA'!$AM$7)*1*(1-0.03)</f>
        <v>73.956172207868946</v>
      </c>
      <c r="AA297" s="70">
        <f>('TE BE'!$AA$5+'TE BF'!$AA$5+'TE CVA'!$AA$5)*1*(1-0.03)</f>
        <v>411.17962930251429</v>
      </c>
      <c r="AB297" s="4">
        <f>$K$297*$V$297</f>
        <v>1243.6199999999999</v>
      </c>
      <c r="AC297" s="4">
        <f>$M$297*$W$297</f>
        <v>98.445297599999989</v>
      </c>
      <c r="AD297" s="4">
        <f>$O$297*$X$297</f>
        <v>523.90794720000008</v>
      </c>
      <c r="AE297" s="4">
        <f ca="1">$K$297*$Y$297</f>
        <v>1471.3588300307085</v>
      </c>
      <c r="AF297" s="4">
        <f ca="1">$M$297*$Z$297</f>
        <v>118.92152491025327</v>
      </c>
      <c r="AG297" s="4">
        <f>$O$297*$AA$297</f>
        <v>661.17684391844296</v>
      </c>
    </row>
    <row r="298" spans="1:33" ht="11.25" customHeight="1" x14ac:dyDescent="0.25">
      <c r="A298" s="3" t="s">
        <v>21</v>
      </c>
      <c r="B298" s="3" t="s">
        <v>41</v>
      </c>
      <c r="C298" s="3" t="s">
        <v>42</v>
      </c>
      <c r="D298" s="3" t="s">
        <v>50</v>
      </c>
      <c r="E298" s="3" t="s">
        <v>51</v>
      </c>
      <c r="F298" s="3" t="s">
        <v>25</v>
      </c>
      <c r="G298" s="3" t="s">
        <v>25</v>
      </c>
      <c r="H298" s="3" t="s">
        <v>35</v>
      </c>
      <c r="I298" s="6">
        <v>44621</v>
      </c>
      <c r="J298" s="4">
        <v>50</v>
      </c>
      <c r="K298" s="71">
        <v>50</v>
      </c>
      <c r="L298" s="4">
        <v>1.728</v>
      </c>
      <c r="M298" s="70">
        <v>1.728</v>
      </c>
      <c r="N298" s="4">
        <v>1.728</v>
      </c>
      <c r="O298" s="70">
        <v>1.728</v>
      </c>
      <c r="P298" s="4">
        <v>0</v>
      </c>
      <c r="Q298" s="3" t="s">
        <v>26</v>
      </c>
      <c r="R298" s="3">
        <v>0</v>
      </c>
      <c r="S298" s="4">
        <v>92</v>
      </c>
      <c r="T298" s="4">
        <v>94</v>
      </c>
      <c r="U298" s="4">
        <v>47</v>
      </c>
      <c r="V298" s="70">
        <f>IF(ISERROR(VLOOKUP($S$298,'TAR FIN'!$A$1:$O$99,15,0)),0,VLOOKUP($S$298,'TAR FIN'!$A$1:$O$99,15,0))*(1-0.06)</f>
        <v>24.872399999999999</v>
      </c>
      <c r="W298" s="70">
        <f>IF(ISERROR(VLOOKUP($T$298,'TAR FIN'!$A$1:$O$99,15,0)),0,VLOOKUP($T$298,'TAR FIN'!$A$1:$O$99,15,0))*(1-0.06)</f>
        <v>61.222199999999994</v>
      </c>
      <c r="X298" s="70">
        <f>IF(ISERROR(VLOOKUP($U$298,'TAR FIN'!$A$1:$O$99,15,0)),0,VLOOKUP($U$298,'TAR FIN'!$A$1:$O$99,15,0))*(1-0.06)</f>
        <v>325.8134</v>
      </c>
      <c r="Y298" s="70">
        <f ca="1">('TUSD BE'!$AM$5+'TUSD BF'!$AM$5+'TUSD CVA'!$AM$5)*1*(1-0.03)</f>
        <v>29.427176600614171</v>
      </c>
      <c r="Z298" s="70">
        <f ca="1">('TUSD BE'!$AM$7+'TUSD BF'!$AM$7+'TUSD CVA'!$AM$7)*1*(1-0.03)</f>
        <v>73.956172207868946</v>
      </c>
      <c r="AA298" s="70">
        <f>('TE BE'!$AA$5+'TE BF'!$AA$5+'TE CVA'!$AA$5)*1*(1-0.03)</f>
        <v>411.17962930251429</v>
      </c>
      <c r="AB298" s="4">
        <f>$K$298*$V$298</f>
        <v>1243.6199999999999</v>
      </c>
      <c r="AC298" s="4">
        <f>$M$298*$W$298</f>
        <v>105.79196159999999</v>
      </c>
      <c r="AD298" s="4">
        <f>$O$298*$X$298</f>
        <v>563.0055552</v>
      </c>
      <c r="AE298" s="4">
        <f ca="1">$K$298*$Y$298</f>
        <v>1471.3588300307085</v>
      </c>
      <c r="AF298" s="4">
        <f ca="1">$M$298*$Z$298</f>
        <v>127.79626557519754</v>
      </c>
      <c r="AG298" s="4">
        <f>$O$298*$AA$298</f>
        <v>710.51839943474465</v>
      </c>
    </row>
    <row r="299" spans="1:33" ht="11.25" customHeight="1" x14ac:dyDescent="0.25">
      <c r="A299" s="3" t="s">
        <v>56</v>
      </c>
      <c r="B299" s="3" t="s">
        <v>41</v>
      </c>
      <c r="C299" s="3" t="s">
        <v>42</v>
      </c>
      <c r="D299" s="3" t="s">
        <v>50</v>
      </c>
      <c r="E299" s="3" t="s">
        <v>51</v>
      </c>
      <c r="F299" s="3" t="s">
        <v>25</v>
      </c>
      <c r="G299" s="3" t="s">
        <v>25</v>
      </c>
      <c r="H299" s="3" t="s">
        <v>35</v>
      </c>
      <c r="I299" s="6">
        <v>44652</v>
      </c>
      <c r="J299" s="4">
        <v>50</v>
      </c>
      <c r="K299" s="71">
        <v>50</v>
      </c>
      <c r="L299" s="4">
        <v>1.728</v>
      </c>
      <c r="M299" s="70">
        <v>1.728</v>
      </c>
      <c r="N299" s="4">
        <v>1.728</v>
      </c>
      <c r="O299" s="70">
        <v>1.728</v>
      </c>
      <c r="P299" s="4">
        <v>0</v>
      </c>
      <c r="Q299" s="3" t="s">
        <v>26</v>
      </c>
      <c r="R299" s="3">
        <v>0</v>
      </c>
      <c r="S299" s="4">
        <v>92</v>
      </c>
      <c r="T299" s="4">
        <v>94</v>
      </c>
      <c r="U299" s="4">
        <v>47</v>
      </c>
      <c r="V299" s="70">
        <f>IF(ISERROR(VLOOKUP($S$299,'TAR FIN'!$A$1:$O$99,15,0)),0,VLOOKUP($S$299,'TAR FIN'!$A$1:$O$99,15,0))*(1-0.06)</f>
        <v>24.872399999999999</v>
      </c>
      <c r="W299" s="70">
        <f>IF(ISERROR(VLOOKUP($T$299,'TAR FIN'!$A$1:$O$99,15,0)),0,VLOOKUP($T$299,'TAR FIN'!$A$1:$O$99,15,0))*(1-0.06)</f>
        <v>61.222199999999994</v>
      </c>
      <c r="X299" s="70">
        <f>IF(ISERROR(VLOOKUP($U$299,'TAR FIN'!$A$1:$O$99,15,0)),0,VLOOKUP($U$299,'TAR FIN'!$A$1:$O$99,15,0))*(1-0.06)</f>
        <v>325.8134</v>
      </c>
      <c r="Y299" s="70">
        <f ca="1">('TUSD BE'!$AM$5+'TUSD BF'!$AM$5+'TUSD CVA'!$AM$5)*1*(1-0.03)</f>
        <v>29.427176600614171</v>
      </c>
      <c r="Z299" s="70">
        <f ca="1">('TUSD BE'!$AM$7+'TUSD BF'!$AM$7+'TUSD CVA'!$AM$7)*1*(1-0.03)</f>
        <v>73.956172207868946</v>
      </c>
      <c r="AA299" s="70">
        <f>('TE BE'!$AA$5+'TE BF'!$AA$5+'TE CVA'!$AA$5)*1*(1-0.03)</f>
        <v>411.17962930251429</v>
      </c>
      <c r="AB299" s="4">
        <f>$K$299*$V$299</f>
        <v>1243.6199999999999</v>
      </c>
      <c r="AC299" s="4">
        <f>$M$299*$W$299</f>
        <v>105.79196159999999</v>
      </c>
      <c r="AD299" s="4">
        <f>$O$299*$X$299</f>
        <v>563.0055552</v>
      </c>
      <c r="AE299" s="4">
        <f ca="1">$K$299*$Y$299</f>
        <v>1471.3588300307085</v>
      </c>
      <c r="AF299" s="4">
        <f ca="1">$M$299*$Z$299</f>
        <v>127.79626557519754</v>
      </c>
      <c r="AG299" s="4">
        <f>$O$299*$AA$299</f>
        <v>710.51839943474465</v>
      </c>
    </row>
    <row r="300" spans="1:33" ht="11.25" customHeight="1" x14ac:dyDescent="0.25">
      <c r="A300" s="3" t="s">
        <v>21</v>
      </c>
      <c r="B300" s="3" t="s">
        <v>41</v>
      </c>
      <c r="C300" s="3" t="s">
        <v>61</v>
      </c>
      <c r="D300" s="3" t="s">
        <v>25</v>
      </c>
      <c r="E300" s="3" t="s">
        <v>25</v>
      </c>
      <c r="F300" s="3" t="s">
        <v>25</v>
      </c>
      <c r="G300" s="3" t="s">
        <v>62</v>
      </c>
      <c r="H300" s="3" t="s">
        <v>36</v>
      </c>
      <c r="I300" s="6">
        <v>44317</v>
      </c>
      <c r="J300" s="4">
        <v>3000</v>
      </c>
      <c r="K300" s="4">
        <v>3000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3" t="s">
        <v>63</v>
      </c>
      <c r="R300" s="3">
        <v>43</v>
      </c>
      <c r="S300" s="4">
        <v>97</v>
      </c>
      <c r="T300" s="4">
        <v>0</v>
      </c>
      <c r="U300" s="4">
        <v>0</v>
      </c>
      <c r="V300" s="4">
        <f>IF(ISERROR(VLOOKUP($S$300,'TAR FIN'!$A$1:$O$99,15,0)),0,VLOOKUP($S$300,'TAR FIN'!$A$1:$O$99,15,0))</f>
        <v>16.82</v>
      </c>
      <c r="W300" s="4">
        <f>IF(ISERROR(VLOOKUP($T$300,'TAR FIN'!$A$1:$O$99,15,0)),0,VLOOKUP($T$300,'TAR FIN'!$A$1:$O$99,15,0))</f>
        <v>0</v>
      </c>
      <c r="X300" s="4">
        <f>IF(ISERROR(VLOOKUP($U$300,'TAR FIN'!$A$1:$O$99,15,0)),0,VLOOKUP($U$300,'TAR FIN'!$A$1:$O$99,15,0))</f>
        <v>0</v>
      </c>
      <c r="Y300" s="4">
        <f ca="1">('TUSD BE'!$AM$10+'TUSD BF'!$AM$10+'TUSD CVA'!$AM$10)*1</f>
        <v>16.318210824502941</v>
      </c>
      <c r="Z300" s="4">
        <f ca="1">('TUSD BE'!$AM$11+'TUSD BF'!$AM$11+'TUSD CVA'!$AM$11)*1</f>
        <v>7.7987323869916398</v>
      </c>
      <c r="AA300" s="4"/>
      <c r="AB300" s="4">
        <f>$K$300*$V$300</f>
        <v>50460</v>
      </c>
      <c r="AC300" s="4">
        <f>$M$300*$W$300</f>
        <v>0</v>
      </c>
      <c r="AD300" s="4">
        <f>$O$300*$X$300</f>
        <v>0</v>
      </c>
      <c r="AE300" s="4">
        <f ca="1">$K$300*$Y$300</f>
        <v>48954.63247350882</v>
      </c>
      <c r="AF300" s="4">
        <f ca="1">$M$300*$Z$300</f>
        <v>0</v>
      </c>
      <c r="AG300" s="4">
        <f>$O$300*$AA$300</f>
        <v>0</v>
      </c>
    </row>
    <row r="301" spans="1:33" ht="11.25" customHeight="1" x14ac:dyDescent="0.25">
      <c r="A301" s="3" t="s">
        <v>21</v>
      </c>
      <c r="B301" s="3" t="s">
        <v>41</v>
      </c>
      <c r="C301" s="3" t="s">
        <v>61</v>
      </c>
      <c r="D301" s="3" t="s">
        <v>25</v>
      </c>
      <c r="E301" s="3" t="s">
        <v>25</v>
      </c>
      <c r="F301" s="3" t="s">
        <v>25</v>
      </c>
      <c r="G301" s="3" t="s">
        <v>62</v>
      </c>
      <c r="H301" s="3" t="s">
        <v>36</v>
      </c>
      <c r="I301" s="6">
        <v>44348</v>
      </c>
      <c r="J301" s="4">
        <v>3000</v>
      </c>
      <c r="K301" s="4">
        <v>3000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3" t="s">
        <v>63</v>
      </c>
      <c r="R301" s="3">
        <v>43</v>
      </c>
      <c r="S301" s="4">
        <v>97</v>
      </c>
      <c r="T301" s="4">
        <v>0</v>
      </c>
      <c r="U301" s="4">
        <v>0</v>
      </c>
      <c r="V301" s="4">
        <f>IF(ISERROR(VLOOKUP($S$301,'TAR FIN'!$A$1:$O$99,15,0)),0,VLOOKUP($S$301,'TAR FIN'!$A$1:$O$99,15,0))</f>
        <v>16.82</v>
      </c>
      <c r="W301" s="4">
        <f>IF(ISERROR(VLOOKUP($T$301,'TAR FIN'!$A$1:$O$99,15,0)),0,VLOOKUP($T$301,'TAR FIN'!$A$1:$O$99,15,0))</f>
        <v>0</v>
      </c>
      <c r="X301" s="4">
        <f>IF(ISERROR(VLOOKUP($U$301,'TAR FIN'!$A$1:$O$99,15,0)),0,VLOOKUP($U$301,'TAR FIN'!$A$1:$O$99,15,0))</f>
        <v>0</v>
      </c>
      <c r="Y301" s="4">
        <f ca="1">('TUSD BE'!$AM$10+'TUSD BF'!$AM$10+'TUSD CVA'!$AM$10)*1</f>
        <v>16.318210824502941</v>
      </c>
      <c r="Z301" s="4">
        <f ca="1">('TUSD BE'!$AM$11+'TUSD BF'!$AM$11+'TUSD CVA'!$AM$11)*1</f>
        <v>7.7987323869916398</v>
      </c>
      <c r="AA301" s="4"/>
      <c r="AB301" s="4">
        <f>$K$301*$V$301</f>
        <v>50460</v>
      </c>
      <c r="AC301" s="4">
        <f>$M$301*$W$301</f>
        <v>0</v>
      </c>
      <c r="AD301" s="4">
        <f>$O$301*$X$301</f>
        <v>0</v>
      </c>
      <c r="AE301" s="4">
        <f ca="1">$K$301*$Y$301</f>
        <v>48954.63247350882</v>
      </c>
      <c r="AF301" s="4">
        <f ca="1">$M$301*$Z$301</f>
        <v>0</v>
      </c>
      <c r="AG301" s="4">
        <f>$O$301*$AA$301</f>
        <v>0</v>
      </c>
    </row>
    <row r="302" spans="1:33" ht="11.25" customHeight="1" x14ac:dyDescent="0.25">
      <c r="A302" s="3" t="s">
        <v>21</v>
      </c>
      <c r="B302" s="3" t="s">
        <v>41</v>
      </c>
      <c r="C302" s="3" t="s">
        <v>61</v>
      </c>
      <c r="D302" s="3" t="s">
        <v>25</v>
      </c>
      <c r="E302" s="3" t="s">
        <v>25</v>
      </c>
      <c r="F302" s="3" t="s">
        <v>25</v>
      </c>
      <c r="G302" s="3" t="s">
        <v>62</v>
      </c>
      <c r="H302" s="3" t="s">
        <v>36</v>
      </c>
      <c r="I302" s="6">
        <v>44378</v>
      </c>
      <c r="J302" s="4">
        <v>3000</v>
      </c>
      <c r="K302" s="4">
        <v>3000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3" t="s">
        <v>63</v>
      </c>
      <c r="R302" s="3">
        <v>43</v>
      </c>
      <c r="S302" s="4">
        <v>97</v>
      </c>
      <c r="T302" s="4">
        <v>0</v>
      </c>
      <c r="U302" s="4">
        <v>0</v>
      </c>
      <c r="V302" s="4">
        <f>IF(ISERROR(VLOOKUP($S$302,'TAR FIN'!$A$1:$O$99,15,0)),0,VLOOKUP($S$302,'TAR FIN'!$A$1:$O$99,15,0))</f>
        <v>16.82</v>
      </c>
      <c r="W302" s="4">
        <f>IF(ISERROR(VLOOKUP($T$302,'TAR FIN'!$A$1:$O$99,15,0)),0,VLOOKUP($T$302,'TAR FIN'!$A$1:$O$99,15,0))</f>
        <v>0</v>
      </c>
      <c r="X302" s="4">
        <f>IF(ISERROR(VLOOKUP($U$302,'TAR FIN'!$A$1:$O$99,15,0)),0,VLOOKUP($U$302,'TAR FIN'!$A$1:$O$99,15,0))</f>
        <v>0</v>
      </c>
      <c r="Y302" s="4">
        <f ca="1">('TUSD BE'!$AM$10+'TUSD BF'!$AM$10+'TUSD CVA'!$AM$10)*1</f>
        <v>16.318210824502941</v>
      </c>
      <c r="Z302" s="4">
        <f ca="1">('TUSD BE'!$AM$11+'TUSD BF'!$AM$11+'TUSD CVA'!$AM$11)*1</f>
        <v>7.7987323869916398</v>
      </c>
      <c r="AA302" s="4"/>
      <c r="AB302" s="4">
        <f>$K$302*$V$302</f>
        <v>50460</v>
      </c>
      <c r="AC302" s="4">
        <f>$M$302*$W$302</f>
        <v>0</v>
      </c>
      <c r="AD302" s="4">
        <f>$O$302*$X$302</f>
        <v>0</v>
      </c>
      <c r="AE302" s="4">
        <f ca="1">$K$302*$Y$302</f>
        <v>48954.63247350882</v>
      </c>
      <c r="AF302" s="4">
        <f ca="1">$M$302*$Z$302</f>
        <v>0</v>
      </c>
      <c r="AG302" s="4">
        <f>$O$302*$AA$302</f>
        <v>0</v>
      </c>
    </row>
    <row r="303" spans="1:33" ht="11.25" customHeight="1" x14ac:dyDescent="0.25">
      <c r="A303" s="3" t="s">
        <v>21</v>
      </c>
      <c r="B303" s="3" t="s">
        <v>41</v>
      </c>
      <c r="C303" s="3" t="s">
        <v>61</v>
      </c>
      <c r="D303" s="3" t="s">
        <v>25</v>
      </c>
      <c r="E303" s="3" t="s">
        <v>25</v>
      </c>
      <c r="F303" s="3" t="s">
        <v>25</v>
      </c>
      <c r="G303" s="3" t="s">
        <v>62</v>
      </c>
      <c r="H303" s="3" t="s">
        <v>36</v>
      </c>
      <c r="I303" s="6">
        <v>44409</v>
      </c>
      <c r="J303" s="4">
        <v>3010</v>
      </c>
      <c r="K303" s="4">
        <v>3010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3" t="s">
        <v>63</v>
      </c>
      <c r="R303" s="3">
        <v>43</v>
      </c>
      <c r="S303" s="4">
        <v>97</v>
      </c>
      <c r="T303" s="4">
        <v>0</v>
      </c>
      <c r="U303" s="4">
        <v>0</v>
      </c>
      <c r="V303" s="4">
        <f>IF(ISERROR(VLOOKUP($S$303,'TAR FIN'!$A$1:$O$99,15,0)),0,VLOOKUP($S$303,'TAR FIN'!$A$1:$O$99,15,0))</f>
        <v>16.82</v>
      </c>
      <c r="W303" s="4">
        <f>IF(ISERROR(VLOOKUP($T$303,'TAR FIN'!$A$1:$O$99,15,0)),0,VLOOKUP($T$303,'TAR FIN'!$A$1:$O$99,15,0))</f>
        <v>0</v>
      </c>
      <c r="X303" s="4">
        <f>IF(ISERROR(VLOOKUP($U$303,'TAR FIN'!$A$1:$O$99,15,0)),0,VLOOKUP($U$303,'TAR FIN'!$A$1:$O$99,15,0))</f>
        <v>0</v>
      </c>
      <c r="Y303" s="4">
        <f ca="1">('TUSD BE'!$AM$10+'TUSD BF'!$AM$10+'TUSD CVA'!$AM$10)*1</f>
        <v>16.318210824502941</v>
      </c>
      <c r="Z303" s="4">
        <f ca="1">('TUSD BE'!$AM$11+'TUSD BF'!$AM$11+'TUSD CVA'!$AM$11)*1</f>
        <v>7.7987323869916398</v>
      </c>
      <c r="AA303" s="4"/>
      <c r="AB303" s="4">
        <f>$K$303*$V$303</f>
        <v>50628.200000000004</v>
      </c>
      <c r="AC303" s="4">
        <f>$M$303*$W$303</f>
        <v>0</v>
      </c>
      <c r="AD303" s="4">
        <f>$O$303*$X$303</f>
        <v>0</v>
      </c>
      <c r="AE303" s="4">
        <f ca="1">$K$303*$Y$303</f>
        <v>49117.814581753853</v>
      </c>
      <c r="AF303" s="4">
        <f ca="1">$M$303*$Z$303</f>
        <v>0</v>
      </c>
      <c r="AG303" s="4">
        <f>$O$303*$AA$303</f>
        <v>0</v>
      </c>
    </row>
    <row r="304" spans="1:33" ht="11.25" customHeight="1" x14ac:dyDescent="0.25">
      <c r="A304" s="3" t="s">
        <v>21</v>
      </c>
      <c r="B304" s="3" t="s">
        <v>41</v>
      </c>
      <c r="C304" s="3" t="s">
        <v>61</v>
      </c>
      <c r="D304" s="3" t="s">
        <v>25</v>
      </c>
      <c r="E304" s="3" t="s">
        <v>25</v>
      </c>
      <c r="F304" s="3" t="s">
        <v>25</v>
      </c>
      <c r="G304" s="3" t="s">
        <v>62</v>
      </c>
      <c r="H304" s="3" t="s">
        <v>36</v>
      </c>
      <c r="I304" s="6">
        <v>44440</v>
      </c>
      <c r="J304" s="4">
        <v>3010</v>
      </c>
      <c r="K304" s="4">
        <v>3010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3" t="s">
        <v>63</v>
      </c>
      <c r="R304" s="3">
        <v>43</v>
      </c>
      <c r="S304" s="4">
        <v>97</v>
      </c>
      <c r="T304" s="4">
        <v>0</v>
      </c>
      <c r="U304" s="4">
        <v>0</v>
      </c>
      <c r="V304" s="4">
        <f>IF(ISERROR(VLOOKUP($S$304,'TAR FIN'!$A$1:$O$99,15,0)),0,VLOOKUP($S$304,'TAR FIN'!$A$1:$O$99,15,0))</f>
        <v>16.82</v>
      </c>
      <c r="W304" s="4">
        <f>IF(ISERROR(VLOOKUP($T$304,'TAR FIN'!$A$1:$O$99,15,0)),0,VLOOKUP($T$304,'TAR FIN'!$A$1:$O$99,15,0))</f>
        <v>0</v>
      </c>
      <c r="X304" s="4">
        <f>IF(ISERROR(VLOOKUP($U$304,'TAR FIN'!$A$1:$O$99,15,0)),0,VLOOKUP($U$304,'TAR FIN'!$A$1:$O$99,15,0))</f>
        <v>0</v>
      </c>
      <c r="Y304" s="4">
        <f ca="1">('TUSD BE'!$AM$10+'TUSD BF'!$AM$10+'TUSD CVA'!$AM$10)*1</f>
        <v>16.318210824502941</v>
      </c>
      <c r="Z304" s="4">
        <f ca="1">('TUSD BE'!$AM$11+'TUSD BF'!$AM$11+'TUSD CVA'!$AM$11)*1</f>
        <v>7.7987323869916398</v>
      </c>
      <c r="AA304" s="4"/>
      <c r="AB304" s="4">
        <f>$K$304*$V$304</f>
        <v>50628.200000000004</v>
      </c>
      <c r="AC304" s="4">
        <f>$M$304*$W$304</f>
        <v>0</v>
      </c>
      <c r="AD304" s="4">
        <f>$O$304*$X$304</f>
        <v>0</v>
      </c>
      <c r="AE304" s="4">
        <f ca="1">$K$304*$Y$304</f>
        <v>49117.814581753853</v>
      </c>
      <c r="AF304" s="4">
        <f ca="1">$M$304*$Z$304</f>
        <v>0</v>
      </c>
      <c r="AG304" s="4">
        <f>$O$304*$AA$304</f>
        <v>0</v>
      </c>
    </row>
    <row r="305" spans="1:33" ht="11.25" customHeight="1" x14ac:dyDescent="0.25">
      <c r="A305" s="3" t="s">
        <v>21</v>
      </c>
      <c r="B305" s="3" t="s">
        <v>41</v>
      </c>
      <c r="C305" s="3" t="s">
        <v>61</v>
      </c>
      <c r="D305" s="3" t="s">
        <v>25</v>
      </c>
      <c r="E305" s="3" t="s">
        <v>25</v>
      </c>
      <c r="F305" s="3" t="s">
        <v>25</v>
      </c>
      <c r="G305" s="3" t="s">
        <v>62</v>
      </c>
      <c r="H305" s="3" t="s">
        <v>36</v>
      </c>
      <c r="I305" s="6">
        <v>44470</v>
      </c>
      <c r="J305" s="4">
        <v>3010</v>
      </c>
      <c r="K305" s="4">
        <v>3010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3" t="s">
        <v>63</v>
      </c>
      <c r="R305" s="3">
        <v>43</v>
      </c>
      <c r="S305" s="4">
        <v>97</v>
      </c>
      <c r="T305" s="4">
        <v>0</v>
      </c>
      <c r="U305" s="4">
        <v>0</v>
      </c>
      <c r="V305" s="4">
        <f>IF(ISERROR(VLOOKUP($S$305,'TAR FIN'!$A$1:$O$99,15,0)),0,VLOOKUP($S$305,'TAR FIN'!$A$1:$O$99,15,0))</f>
        <v>16.82</v>
      </c>
      <c r="W305" s="4">
        <f>IF(ISERROR(VLOOKUP($T$305,'TAR FIN'!$A$1:$O$99,15,0)),0,VLOOKUP($T$305,'TAR FIN'!$A$1:$O$99,15,0))</f>
        <v>0</v>
      </c>
      <c r="X305" s="4">
        <f>IF(ISERROR(VLOOKUP($U$305,'TAR FIN'!$A$1:$O$99,15,0)),0,VLOOKUP($U$305,'TAR FIN'!$A$1:$O$99,15,0))</f>
        <v>0</v>
      </c>
      <c r="Y305" s="4">
        <f ca="1">('TUSD BE'!$AM$10+'TUSD BF'!$AM$10+'TUSD CVA'!$AM$10)*1</f>
        <v>16.318210824502941</v>
      </c>
      <c r="Z305" s="4">
        <f ca="1">('TUSD BE'!$AM$11+'TUSD BF'!$AM$11+'TUSD CVA'!$AM$11)*1</f>
        <v>7.7987323869916398</v>
      </c>
      <c r="AA305" s="4"/>
      <c r="AB305" s="4">
        <f>$K$305*$V$305</f>
        <v>50628.200000000004</v>
      </c>
      <c r="AC305" s="4">
        <f>$M$305*$W$305</f>
        <v>0</v>
      </c>
      <c r="AD305" s="4">
        <f>$O$305*$X$305</f>
        <v>0</v>
      </c>
      <c r="AE305" s="4">
        <f ca="1">$K$305*$Y$305</f>
        <v>49117.814581753853</v>
      </c>
      <c r="AF305" s="4">
        <f ca="1">$M$305*$Z$305</f>
        <v>0</v>
      </c>
      <c r="AG305" s="4">
        <f>$O$305*$AA$305</f>
        <v>0</v>
      </c>
    </row>
    <row r="306" spans="1:33" ht="11.25" customHeight="1" x14ac:dyDescent="0.25">
      <c r="A306" s="3" t="s">
        <v>21</v>
      </c>
      <c r="B306" s="3" t="s">
        <v>41</v>
      </c>
      <c r="C306" s="3" t="s">
        <v>61</v>
      </c>
      <c r="D306" s="3" t="s">
        <v>25</v>
      </c>
      <c r="E306" s="3" t="s">
        <v>25</v>
      </c>
      <c r="F306" s="3" t="s">
        <v>25</v>
      </c>
      <c r="G306" s="3" t="s">
        <v>62</v>
      </c>
      <c r="H306" s="3" t="s">
        <v>36</v>
      </c>
      <c r="I306" s="6">
        <v>44501</v>
      </c>
      <c r="J306" s="4">
        <v>3010</v>
      </c>
      <c r="K306" s="4">
        <v>3010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3" t="s">
        <v>63</v>
      </c>
      <c r="R306" s="3">
        <v>43</v>
      </c>
      <c r="S306" s="4">
        <v>97</v>
      </c>
      <c r="T306" s="4">
        <v>0</v>
      </c>
      <c r="U306" s="4">
        <v>0</v>
      </c>
      <c r="V306" s="4">
        <f>IF(ISERROR(VLOOKUP($S$306,'TAR FIN'!$A$1:$O$99,15,0)),0,VLOOKUP($S$306,'TAR FIN'!$A$1:$O$99,15,0))</f>
        <v>16.82</v>
      </c>
      <c r="W306" s="4">
        <f>IF(ISERROR(VLOOKUP($T$306,'TAR FIN'!$A$1:$O$99,15,0)),0,VLOOKUP($T$306,'TAR FIN'!$A$1:$O$99,15,0))</f>
        <v>0</v>
      </c>
      <c r="X306" s="4">
        <f>IF(ISERROR(VLOOKUP($U$306,'TAR FIN'!$A$1:$O$99,15,0)),0,VLOOKUP($U$306,'TAR FIN'!$A$1:$O$99,15,0))</f>
        <v>0</v>
      </c>
      <c r="Y306" s="4">
        <f ca="1">('TUSD BE'!$AM$10+'TUSD BF'!$AM$10+'TUSD CVA'!$AM$10)*1</f>
        <v>16.318210824502941</v>
      </c>
      <c r="Z306" s="4">
        <f ca="1">('TUSD BE'!$AM$11+'TUSD BF'!$AM$11+'TUSD CVA'!$AM$11)*1</f>
        <v>7.7987323869916398</v>
      </c>
      <c r="AA306" s="4"/>
      <c r="AB306" s="4">
        <f>$K$306*$V$306</f>
        <v>50628.200000000004</v>
      </c>
      <c r="AC306" s="4">
        <f>$M$306*$W$306</f>
        <v>0</v>
      </c>
      <c r="AD306" s="4">
        <f>$O$306*$X$306</f>
        <v>0</v>
      </c>
      <c r="AE306" s="4">
        <f ca="1">$K$306*$Y$306</f>
        <v>49117.814581753853</v>
      </c>
      <c r="AF306" s="4">
        <f ca="1">$M$306*$Z$306</f>
        <v>0</v>
      </c>
      <c r="AG306" s="4">
        <f>$O$306*$AA$306</f>
        <v>0</v>
      </c>
    </row>
    <row r="307" spans="1:33" ht="11.25" customHeight="1" x14ac:dyDescent="0.25">
      <c r="A307" s="3" t="s">
        <v>21</v>
      </c>
      <c r="B307" s="3" t="s">
        <v>41</v>
      </c>
      <c r="C307" s="3" t="s">
        <v>61</v>
      </c>
      <c r="D307" s="3" t="s">
        <v>25</v>
      </c>
      <c r="E307" s="3" t="s">
        <v>25</v>
      </c>
      <c r="F307" s="3" t="s">
        <v>25</v>
      </c>
      <c r="G307" s="3" t="s">
        <v>62</v>
      </c>
      <c r="H307" s="3" t="s">
        <v>36</v>
      </c>
      <c r="I307" s="6">
        <v>44531</v>
      </c>
      <c r="J307" s="4">
        <v>3010</v>
      </c>
      <c r="K307" s="4">
        <v>3010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3" t="s">
        <v>63</v>
      </c>
      <c r="R307" s="3">
        <v>43</v>
      </c>
      <c r="S307" s="4">
        <v>97</v>
      </c>
      <c r="T307" s="4">
        <v>0</v>
      </c>
      <c r="U307" s="4">
        <v>0</v>
      </c>
      <c r="V307" s="4">
        <f>IF(ISERROR(VLOOKUP($S$307,'TAR FIN'!$A$1:$O$99,15,0)),0,VLOOKUP($S$307,'TAR FIN'!$A$1:$O$99,15,0))</f>
        <v>16.82</v>
      </c>
      <c r="W307" s="4">
        <f>IF(ISERROR(VLOOKUP($T$307,'TAR FIN'!$A$1:$O$99,15,0)),0,VLOOKUP($T$307,'TAR FIN'!$A$1:$O$99,15,0))</f>
        <v>0</v>
      </c>
      <c r="X307" s="4">
        <f>IF(ISERROR(VLOOKUP($U$307,'TAR FIN'!$A$1:$O$99,15,0)),0,VLOOKUP($U$307,'TAR FIN'!$A$1:$O$99,15,0))</f>
        <v>0</v>
      </c>
      <c r="Y307" s="4">
        <f ca="1">('TUSD BE'!$AM$10+'TUSD BF'!$AM$10+'TUSD CVA'!$AM$10)*1</f>
        <v>16.318210824502941</v>
      </c>
      <c r="Z307" s="4">
        <f ca="1">('TUSD BE'!$AM$11+'TUSD BF'!$AM$11+'TUSD CVA'!$AM$11)*1</f>
        <v>7.7987323869916398</v>
      </c>
      <c r="AA307" s="4"/>
      <c r="AB307" s="4">
        <f>$K$307*$V$307</f>
        <v>50628.200000000004</v>
      </c>
      <c r="AC307" s="4">
        <f>$M$307*$W$307</f>
        <v>0</v>
      </c>
      <c r="AD307" s="4">
        <f>$O$307*$X$307</f>
        <v>0</v>
      </c>
      <c r="AE307" s="4">
        <f ca="1">$K$307*$Y$307</f>
        <v>49117.814581753853</v>
      </c>
      <c r="AF307" s="4">
        <f ca="1">$M$307*$Z$307</f>
        <v>0</v>
      </c>
      <c r="AG307" s="4">
        <f>$O$307*$AA$307</f>
        <v>0</v>
      </c>
    </row>
    <row r="308" spans="1:33" ht="11.25" customHeight="1" x14ac:dyDescent="0.25">
      <c r="A308" s="3" t="s">
        <v>21</v>
      </c>
      <c r="B308" s="3" t="s">
        <v>41</v>
      </c>
      <c r="C308" s="3" t="s">
        <v>61</v>
      </c>
      <c r="D308" s="3" t="s">
        <v>25</v>
      </c>
      <c r="E308" s="3" t="s">
        <v>25</v>
      </c>
      <c r="F308" s="3" t="s">
        <v>25</v>
      </c>
      <c r="G308" s="3" t="s">
        <v>62</v>
      </c>
      <c r="H308" s="3" t="s">
        <v>36</v>
      </c>
      <c r="I308" s="6">
        <v>44562</v>
      </c>
      <c r="J308" s="4">
        <v>3010</v>
      </c>
      <c r="K308" s="4">
        <v>3010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3" t="s">
        <v>63</v>
      </c>
      <c r="R308" s="3">
        <v>43</v>
      </c>
      <c r="S308" s="4">
        <v>97</v>
      </c>
      <c r="T308" s="4">
        <v>0</v>
      </c>
      <c r="U308" s="4">
        <v>0</v>
      </c>
      <c r="V308" s="4">
        <f>IF(ISERROR(VLOOKUP($S$308,'TAR FIN'!$A$1:$O$99,15,0)),0,VLOOKUP($S$308,'TAR FIN'!$A$1:$O$99,15,0))</f>
        <v>16.82</v>
      </c>
      <c r="W308" s="4">
        <f>IF(ISERROR(VLOOKUP($T$308,'TAR FIN'!$A$1:$O$99,15,0)),0,VLOOKUP($T$308,'TAR FIN'!$A$1:$O$99,15,0))</f>
        <v>0</v>
      </c>
      <c r="X308" s="4">
        <f>IF(ISERROR(VLOOKUP($U$308,'TAR FIN'!$A$1:$O$99,15,0)),0,VLOOKUP($U$308,'TAR FIN'!$A$1:$O$99,15,0))</f>
        <v>0</v>
      </c>
      <c r="Y308" s="4">
        <f ca="1">('TUSD BE'!$AM$10+'TUSD BF'!$AM$10+'TUSD CVA'!$AM$10)*1</f>
        <v>16.318210824502941</v>
      </c>
      <c r="Z308" s="4">
        <f ca="1">('TUSD BE'!$AM$11+'TUSD BF'!$AM$11+'TUSD CVA'!$AM$11)*1</f>
        <v>7.7987323869916398</v>
      </c>
      <c r="AA308" s="4"/>
      <c r="AB308" s="4">
        <f>$K$308*$V$308</f>
        <v>50628.200000000004</v>
      </c>
      <c r="AC308" s="4">
        <f>$M$308*$W$308</f>
        <v>0</v>
      </c>
      <c r="AD308" s="4">
        <f>$O$308*$X$308</f>
        <v>0</v>
      </c>
      <c r="AE308" s="4">
        <f ca="1">$K$308*$Y$308</f>
        <v>49117.814581753853</v>
      </c>
      <c r="AF308" s="4">
        <f ca="1">$M$308*$Z$308</f>
        <v>0</v>
      </c>
      <c r="AG308" s="4">
        <f>$O$308*$AA$308</f>
        <v>0</v>
      </c>
    </row>
    <row r="309" spans="1:33" ht="11.25" customHeight="1" x14ac:dyDescent="0.25">
      <c r="A309" s="3" t="s">
        <v>21</v>
      </c>
      <c r="B309" s="3" t="s">
        <v>41</v>
      </c>
      <c r="C309" s="3" t="s">
        <v>61</v>
      </c>
      <c r="D309" s="3" t="s">
        <v>25</v>
      </c>
      <c r="E309" s="3" t="s">
        <v>25</v>
      </c>
      <c r="F309" s="3" t="s">
        <v>25</v>
      </c>
      <c r="G309" s="3" t="s">
        <v>62</v>
      </c>
      <c r="H309" s="3" t="s">
        <v>36</v>
      </c>
      <c r="I309" s="6">
        <v>44593</v>
      </c>
      <c r="J309" s="4">
        <v>3010</v>
      </c>
      <c r="K309" s="4">
        <v>3010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3" t="s">
        <v>63</v>
      </c>
      <c r="R309" s="3">
        <v>43</v>
      </c>
      <c r="S309" s="4">
        <v>97</v>
      </c>
      <c r="T309" s="4">
        <v>0</v>
      </c>
      <c r="U309" s="4">
        <v>0</v>
      </c>
      <c r="V309" s="4">
        <f>IF(ISERROR(VLOOKUP($S$309,'TAR FIN'!$A$1:$O$99,15,0)),0,VLOOKUP($S$309,'TAR FIN'!$A$1:$O$99,15,0))</f>
        <v>16.82</v>
      </c>
      <c r="W309" s="4">
        <f>IF(ISERROR(VLOOKUP($T$309,'TAR FIN'!$A$1:$O$99,15,0)),0,VLOOKUP($T$309,'TAR FIN'!$A$1:$O$99,15,0))</f>
        <v>0</v>
      </c>
      <c r="X309" s="4">
        <f>IF(ISERROR(VLOOKUP($U$309,'TAR FIN'!$A$1:$O$99,15,0)),0,VLOOKUP($U$309,'TAR FIN'!$A$1:$O$99,15,0))</f>
        <v>0</v>
      </c>
      <c r="Y309" s="4">
        <f ca="1">('TUSD BE'!$AM$10+'TUSD BF'!$AM$10+'TUSD CVA'!$AM$10)*1</f>
        <v>16.318210824502941</v>
      </c>
      <c r="Z309" s="4">
        <f ca="1">('TUSD BE'!$AM$11+'TUSD BF'!$AM$11+'TUSD CVA'!$AM$11)*1</f>
        <v>7.7987323869916398</v>
      </c>
      <c r="AA309" s="4"/>
      <c r="AB309" s="4">
        <f>$K$309*$V$309</f>
        <v>50628.200000000004</v>
      </c>
      <c r="AC309" s="4">
        <f>$M$309*$W$309</f>
        <v>0</v>
      </c>
      <c r="AD309" s="4">
        <f>$O$309*$X$309</f>
        <v>0</v>
      </c>
      <c r="AE309" s="4">
        <f ca="1">$K$309*$Y$309</f>
        <v>49117.814581753853</v>
      </c>
      <c r="AF309" s="4">
        <f ca="1">$M$309*$Z$309</f>
        <v>0</v>
      </c>
      <c r="AG309" s="4">
        <f>$O$309*$AA$309</f>
        <v>0</v>
      </c>
    </row>
    <row r="310" spans="1:33" ht="11.25" customHeight="1" x14ac:dyDescent="0.25">
      <c r="A310" s="3" t="s">
        <v>21</v>
      </c>
      <c r="B310" s="3" t="s">
        <v>41</v>
      </c>
      <c r="C310" s="3" t="s">
        <v>61</v>
      </c>
      <c r="D310" s="3" t="s">
        <v>25</v>
      </c>
      <c r="E310" s="3" t="s">
        <v>25</v>
      </c>
      <c r="F310" s="3" t="s">
        <v>25</v>
      </c>
      <c r="G310" s="3" t="s">
        <v>62</v>
      </c>
      <c r="H310" s="3" t="s">
        <v>36</v>
      </c>
      <c r="I310" s="6">
        <v>44621</v>
      </c>
      <c r="J310" s="4">
        <v>3010</v>
      </c>
      <c r="K310" s="4">
        <v>3010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3" t="s">
        <v>63</v>
      </c>
      <c r="R310" s="3">
        <v>43</v>
      </c>
      <c r="S310" s="4">
        <v>97</v>
      </c>
      <c r="T310" s="4">
        <v>0</v>
      </c>
      <c r="U310" s="4">
        <v>0</v>
      </c>
      <c r="V310" s="4">
        <f>IF(ISERROR(VLOOKUP($S$310,'TAR FIN'!$A$1:$O$99,15,0)),0,VLOOKUP($S$310,'TAR FIN'!$A$1:$O$99,15,0))</f>
        <v>16.82</v>
      </c>
      <c r="W310" s="4">
        <f>IF(ISERROR(VLOOKUP($T$310,'TAR FIN'!$A$1:$O$99,15,0)),0,VLOOKUP($T$310,'TAR FIN'!$A$1:$O$99,15,0))</f>
        <v>0</v>
      </c>
      <c r="X310" s="4">
        <f>IF(ISERROR(VLOOKUP($U$310,'TAR FIN'!$A$1:$O$99,15,0)),0,VLOOKUP($U$310,'TAR FIN'!$A$1:$O$99,15,0))</f>
        <v>0</v>
      </c>
      <c r="Y310" s="4">
        <f ca="1">('TUSD BE'!$AM$10+'TUSD BF'!$AM$10+'TUSD CVA'!$AM$10)*1</f>
        <v>16.318210824502941</v>
      </c>
      <c r="Z310" s="4">
        <f ca="1">('TUSD BE'!$AM$11+'TUSD BF'!$AM$11+'TUSD CVA'!$AM$11)*1</f>
        <v>7.7987323869916398</v>
      </c>
      <c r="AA310" s="4"/>
      <c r="AB310" s="4">
        <f>$K$310*$V$310</f>
        <v>50628.200000000004</v>
      </c>
      <c r="AC310" s="4">
        <f>$M$310*$W$310</f>
        <v>0</v>
      </c>
      <c r="AD310" s="4">
        <f>$O$310*$X$310</f>
        <v>0</v>
      </c>
      <c r="AE310" s="4">
        <f ca="1">$K$310*$Y$310</f>
        <v>49117.814581753853</v>
      </c>
      <c r="AF310" s="4">
        <f ca="1">$M$310*$Z$310</f>
        <v>0</v>
      </c>
      <c r="AG310" s="4">
        <f>$O$310*$AA$310</f>
        <v>0</v>
      </c>
    </row>
    <row r="311" spans="1:33" ht="11.25" customHeight="1" x14ac:dyDescent="0.25">
      <c r="A311" s="3" t="s">
        <v>56</v>
      </c>
      <c r="B311" s="3" t="s">
        <v>41</v>
      </c>
      <c r="C311" s="3" t="s">
        <v>61</v>
      </c>
      <c r="D311" s="3" t="s">
        <v>25</v>
      </c>
      <c r="E311" s="3" t="s">
        <v>25</v>
      </c>
      <c r="F311" s="3" t="s">
        <v>25</v>
      </c>
      <c r="G311" s="3" t="s">
        <v>62</v>
      </c>
      <c r="H311" s="3" t="s">
        <v>36</v>
      </c>
      <c r="I311" s="6">
        <v>44652</v>
      </c>
      <c r="J311" s="4">
        <v>3010</v>
      </c>
      <c r="K311" s="4">
        <v>3010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3" t="s">
        <v>63</v>
      </c>
      <c r="R311" s="3">
        <v>43</v>
      </c>
      <c r="S311" s="4">
        <v>97</v>
      </c>
      <c r="T311" s="4">
        <v>0</v>
      </c>
      <c r="U311" s="4">
        <v>0</v>
      </c>
      <c r="V311" s="4">
        <f>IF(ISERROR(VLOOKUP($S$311,'TAR FIN'!$A$1:$O$99,15,0)),0,VLOOKUP($S$311,'TAR FIN'!$A$1:$O$99,15,0))</f>
        <v>16.82</v>
      </c>
      <c r="W311" s="4">
        <f>IF(ISERROR(VLOOKUP($T$311,'TAR FIN'!$A$1:$O$99,15,0)),0,VLOOKUP($T$311,'TAR FIN'!$A$1:$O$99,15,0))</f>
        <v>0</v>
      </c>
      <c r="X311" s="4">
        <f>IF(ISERROR(VLOOKUP($U$311,'TAR FIN'!$A$1:$O$99,15,0)),0,VLOOKUP($U$311,'TAR FIN'!$A$1:$O$99,15,0))</f>
        <v>0</v>
      </c>
      <c r="Y311" s="4">
        <f ca="1">('TUSD BE'!$AM$10+'TUSD BF'!$AM$10+'TUSD CVA'!$AM$10)*1</f>
        <v>16.318210824502941</v>
      </c>
      <c r="Z311" s="4">
        <f ca="1">('TUSD BE'!$AM$11+'TUSD BF'!$AM$11+'TUSD CVA'!$AM$11)*1</f>
        <v>7.7987323869916398</v>
      </c>
      <c r="AA311" s="4"/>
      <c r="AB311" s="4">
        <f>$K$311*$V$311</f>
        <v>50628.200000000004</v>
      </c>
      <c r="AC311" s="4">
        <f>$M$311*$W$311</f>
        <v>0</v>
      </c>
      <c r="AD311" s="4">
        <f>$O$311*$X$311</f>
        <v>0</v>
      </c>
      <c r="AE311" s="4">
        <f ca="1">$K$311*$Y$311</f>
        <v>49117.814581753853</v>
      </c>
      <c r="AF311" s="4">
        <f ca="1">$M$311*$Z$311</f>
        <v>0</v>
      </c>
      <c r="AG311" s="4">
        <f>$O$311*$AA$311</f>
        <v>0</v>
      </c>
    </row>
    <row r="312" spans="1:33" ht="11.25" customHeight="1" x14ac:dyDescent="0.25">
      <c r="A312" s="3" t="s">
        <v>21</v>
      </c>
      <c r="B312" s="3" t="s">
        <v>41</v>
      </c>
      <c r="C312" s="3" t="s">
        <v>61</v>
      </c>
      <c r="D312" s="3" t="s">
        <v>25</v>
      </c>
      <c r="E312" s="3" t="s">
        <v>25</v>
      </c>
      <c r="F312" s="3" t="s">
        <v>25</v>
      </c>
      <c r="G312" s="3" t="s">
        <v>62</v>
      </c>
      <c r="H312" s="3" t="s">
        <v>25</v>
      </c>
      <c r="I312" s="6">
        <v>44317</v>
      </c>
      <c r="J312" s="4">
        <v>0</v>
      </c>
      <c r="K312" s="4">
        <v>0</v>
      </c>
      <c r="L312" s="4">
        <v>1196.905</v>
      </c>
      <c r="M312" s="4">
        <v>1196.905</v>
      </c>
      <c r="N312" s="4">
        <v>0</v>
      </c>
      <c r="O312" s="4">
        <v>0</v>
      </c>
      <c r="P312" s="4">
        <v>0</v>
      </c>
      <c r="Q312" s="3" t="s">
        <v>63</v>
      </c>
      <c r="R312" s="3">
        <v>43</v>
      </c>
      <c r="S312" s="4">
        <v>0</v>
      </c>
      <c r="T312" s="4">
        <v>98</v>
      </c>
      <c r="U312" s="4">
        <v>0</v>
      </c>
      <c r="V312" s="4">
        <f>IF(ISERROR(VLOOKUP($S$312,'TAR FIN'!$A$1:$O$99,15,0)),0,VLOOKUP($S$312,'TAR FIN'!$A$1:$O$99,15,0))</f>
        <v>0</v>
      </c>
      <c r="W312" s="4">
        <f>IF(ISERROR(VLOOKUP($T$312,'TAR FIN'!$A$1:$O$99,15,0)),0,VLOOKUP($T$312,'TAR FIN'!$A$1:$O$99,15,0))</f>
        <v>6.88</v>
      </c>
      <c r="X312" s="4">
        <f>IF(ISERROR(VLOOKUP($U$312,'TAR FIN'!$A$1:$O$99,15,0)),0,VLOOKUP($U$312,'TAR FIN'!$A$1:$O$99,15,0))</f>
        <v>0</v>
      </c>
      <c r="Y312" s="4">
        <f ca="1">0.72*('TUSD BE'!$AM$9+'TUSD BF'!$AM$9+'TUSD CVA'!$AM$9)*1+('TUSD BE'!$AM$10+'TUSD BF'!$AM$10+'TUSD CVA'!$AM$10)*1</f>
        <v>38.129471962528413</v>
      </c>
      <c r="Z312" s="4">
        <f ca="1">('TUSD BE'!$AM$11+'TUSD BF'!$AM$11+'TUSD CVA'!$AM$11)*1</f>
        <v>7.7987323869916398</v>
      </c>
      <c r="AA312" s="4"/>
      <c r="AB312" s="4">
        <f>$K$312*$V$312</f>
        <v>0</v>
      </c>
      <c r="AC312" s="4">
        <f>$M$312*$W$312</f>
        <v>8234.7063999999991</v>
      </c>
      <c r="AD312" s="4">
        <f>$O$312*$X$312</f>
        <v>0</v>
      </c>
      <c r="AE312" s="4">
        <f ca="1">$K$312*$Y$312</f>
        <v>0</v>
      </c>
      <c r="AF312" s="4">
        <f ca="1">$M$312*$Z$312</f>
        <v>9334.341787652229</v>
      </c>
      <c r="AG312" s="4">
        <f>$O$312*$AA$312</f>
        <v>0</v>
      </c>
    </row>
    <row r="313" spans="1:33" ht="11.25" customHeight="1" x14ac:dyDescent="0.25">
      <c r="A313" s="3" t="s">
        <v>21</v>
      </c>
      <c r="B313" s="3" t="s">
        <v>41</v>
      </c>
      <c r="C313" s="3" t="s">
        <v>61</v>
      </c>
      <c r="D313" s="3" t="s">
        <v>25</v>
      </c>
      <c r="E313" s="3" t="s">
        <v>25</v>
      </c>
      <c r="F313" s="3" t="s">
        <v>25</v>
      </c>
      <c r="G313" s="3" t="s">
        <v>62</v>
      </c>
      <c r="H313" s="3" t="s">
        <v>25</v>
      </c>
      <c r="I313" s="6">
        <v>44348</v>
      </c>
      <c r="J313" s="4">
        <v>0</v>
      </c>
      <c r="K313" s="4">
        <v>0</v>
      </c>
      <c r="L313" s="4">
        <v>1112.213</v>
      </c>
      <c r="M313" s="4">
        <v>1112.213</v>
      </c>
      <c r="N313" s="4">
        <v>0</v>
      </c>
      <c r="O313" s="4">
        <v>0</v>
      </c>
      <c r="P313" s="4">
        <v>0</v>
      </c>
      <c r="Q313" s="3" t="s">
        <v>63</v>
      </c>
      <c r="R313" s="3">
        <v>43</v>
      </c>
      <c r="S313" s="4">
        <v>0</v>
      </c>
      <c r="T313" s="4">
        <v>98</v>
      </c>
      <c r="U313" s="4">
        <v>0</v>
      </c>
      <c r="V313" s="4">
        <f>IF(ISERROR(VLOOKUP($S$313,'TAR FIN'!$A$1:$O$99,15,0)),0,VLOOKUP($S$313,'TAR FIN'!$A$1:$O$99,15,0))</f>
        <v>0</v>
      </c>
      <c r="W313" s="4">
        <f>IF(ISERROR(VLOOKUP($T$313,'TAR FIN'!$A$1:$O$99,15,0)),0,VLOOKUP($T$313,'TAR FIN'!$A$1:$O$99,15,0))</f>
        <v>6.88</v>
      </c>
      <c r="X313" s="4">
        <f>IF(ISERROR(VLOOKUP($U$313,'TAR FIN'!$A$1:$O$99,15,0)),0,VLOOKUP($U$313,'TAR FIN'!$A$1:$O$99,15,0))</f>
        <v>0</v>
      </c>
      <c r="Y313" s="4">
        <f ca="1">0.72*('TUSD BE'!$AM$9+'TUSD BF'!$AM$9+'TUSD CVA'!$AM$9)*1+('TUSD BE'!$AM$10+'TUSD BF'!$AM$10+'TUSD CVA'!$AM$10)*1</f>
        <v>38.129471962528413</v>
      </c>
      <c r="Z313" s="4">
        <f ca="1">('TUSD BE'!$AM$11+'TUSD BF'!$AM$11+'TUSD CVA'!$AM$11)*1</f>
        <v>7.7987323869916398</v>
      </c>
      <c r="AA313" s="4"/>
      <c r="AB313" s="4">
        <f>$K$313*$V$313</f>
        <v>0</v>
      </c>
      <c r="AC313" s="4">
        <f>$M$313*$W$313</f>
        <v>7652.0254399999994</v>
      </c>
      <c r="AD313" s="4">
        <f>$O$313*$X$313</f>
        <v>0</v>
      </c>
      <c r="AE313" s="4">
        <f ca="1">$K$313*$Y$313</f>
        <v>0</v>
      </c>
      <c r="AF313" s="4">
        <f ca="1">$M$313*$Z$313</f>
        <v>8673.8515443331326</v>
      </c>
      <c r="AG313" s="4">
        <f>$O$313*$AA$313</f>
        <v>0</v>
      </c>
    </row>
    <row r="314" spans="1:33" ht="11.25" customHeight="1" x14ac:dyDescent="0.25">
      <c r="A314" s="3" t="s">
        <v>21</v>
      </c>
      <c r="B314" s="3" t="s">
        <v>41</v>
      </c>
      <c r="C314" s="3" t="s">
        <v>61</v>
      </c>
      <c r="D314" s="3" t="s">
        <v>25</v>
      </c>
      <c r="E314" s="3" t="s">
        <v>25</v>
      </c>
      <c r="F314" s="3" t="s">
        <v>25</v>
      </c>
      <c r="G314" s="3" t="s">
        <v>62</v>
      </c>
      <c r="H314" s="3" t="s">
        <v>25</v>
      </c>
      <c r="I314" s="6">
        <v>44378</v>
      </c>
      <c r="J314" s="4">
        <v>0</v>
      </c>
      <c r="K314" s="4">
        <v>0</v>
      </c>
      <c r="L314" s="4">
        <v>1154.4970000000001</v>
      </c>
      <c r="M314" s="4">
        <v>1154.4970000000001</v>
      </c>
      <c r="N314" s="4">
        <v>0</v>
      </c>
      <c r="O314" s="4">
        <v>0</v>
      </c>
      <c r="P314" s="4">
        <v>0</v>
      </c>
      <c r="Q314" s="3" t="s">
        <v>63</v>
      </c>
      <c r="R314" s="3">
        <v>43</v>
      </c>
      <c r="S314" s="4">
        <v>0</v>
      </c>
      <c r="T314" s="4">
        <v>98</v>
      </c>
      <c r="U314" s="4">
        <v>0</v>
      </c>
      <c r="V314" s="4">
        <f>IF(ISERROR(VLOOKUP($S$314,'TAR FIN'!$A$1:$O$99,15,0)),0,VLOOKUP($S$314,'TAR FIN'!$A$1:$O$99,15,0))</f>
        <v>0</v>
      </c>
      <c r="W314" s="4">
        <f>IF(ISERROR(VLOOKUP($T$314,'TAR FIN'!$A$1:$O$99,15,0)),0,VLOOKUP($T$314,'TAR FIN'!$A$1:$O$99,15,0))</f>
        <v>6.88</v>
      </c>
      <c r="X314" s="4">
        <f>IF(ISERROR(VLOOKUP($U$314,'TAR FIN'!$A$1:$O$99,15,0)),0,VLOOKUP($U$314,'TAR FIN'!$A$1:$O$99,15,0))</f>
        <v>0</v>
      </c>
      <c r="Y314" s="4">
        <f ca="1">0.72*('TUSD BE'!$AM$9+'TUSD BF'!$AM$9+'TUSD CVA'!$AM$9)*1+('TUSD BE'!$AM$10+'TUSD BF'!$AM$10+'TUSD CVA'!$AM$10)*1</f>
        <v>38.129471962528413</v>
      </c>
      <c r="Z314" s="4">
        <f ca="1">('TUSD BE'!$AM$11+'TUSD BF'!$AM$11+'TUSD CVA'!$AM$11)*1</f>
        <v>7.7987323869916398</v>
      </c>
      <c r="AA314" s="4"/>
      <c r="AB314" s="4">
        <f>$K$314*$V$314</f>
        <v>0</v>
      </c>
      <c r="AC314" s="4">
        <f>$M$314*$W$314</f>
        <v>7942.9393600000003</v>
      </c>
      <c r="AD314" s="4">
        <f>$O$314*$X$314</f>
        <v>0</v>
      </c>
      <c r="AE314" s="4">
        <f ca="1">$K$314*$Y$314</f>
        <v>0</v>
      </c>
      <c r="AF314" s="4">
        <f ca="1">$M$314*$Z$314</f>
        <v>9003.6131445846877</v>
      </c>
      <c r="AG314" s="4">
        <f>$O$314*$AA$314</f>
        <v>0</v>
      </c>
    </row>
    <row r="315" spans="1:33" ht="11.25" customHeight="1" x14ac:dyDescent="0.25">
      <c r="A315" s="3" t="s">
        <v>21</v>
      </c>
      <c r="B315" s="3" t="s">
        <v>41</v>
      </c>
      <c r="C315" s="3" t="s">
        <v>61</v>
      </c>
      <c r="D315" s="3" t="s">
        <v>25</v>
      </c>
      <c r="E315" s="3" t="s">
        <v>25</v>
      </c>
      <c r="F315" s="3" t="s">
        <v>25</v>
      </c>
      <c r="G315" s="3" t="s">
        <v>62</v>
      </c>
      <c r="H315" s="3" t="s">
        <v>25</v>
      </c>
      <c r="I315" s="6">
        <v>44409</v>
      </c>
      <c r="J315" s="4">
        <v>0</v>
      </c>
      <c r="K315" s="4">
        <v>0</v>
      </c>
      <c r="L315" s="4">
        <v>1122.9670000000001</v>
      </c>
      <c r="M315" s="4">
        <v>1122.9670000000001</v>
      </c>
      <c r="N315" s="4">
        <v>0</v>
      </c>
      <c r="O315" s="4">
        <v>0</v>
      </c>
      <c r="P315" s="4">
        <v>0</v>
      </c>
      <c r="Q315" s="3" t="s">
        <v>63</v>
      </c>
      <c r="R315" s="3">
        <v>43</v>
      </c>
      <c r="S315" s="4">
        <v>0</v>
      </c>
      <c r="T315" s="4">
        <v>98</v>
      </c>
      <c r="U315" s="4">
        <v>0</v>
      </c>
      <c r="V315" s="4">
        <f>IF(ISERROR(VLOOKUP($S$315,'TAR FIN'!$A$1:$O$99,15,0)),0,VLOOKUP($S$315,'TAR FIN'!$A$1:$O$99,15,0))</f>
        <v>0</v>
      </c>
      <c r="W315" s="4">
        <f>IF(ISERROR(VLOOKUP($T$315,'TAR FIN'!$A$1:$O$99,15,0)),0,VLOOKUP($T$315,'TAR FIN'!$A$1:$O$99,15,0))</f>
        <v>6.88</v>
      </c>
      <c r="X315" s="4">
        <f>IF(ISERROR(VLOOKUP($U$315,'TAR FIN'!$A$1:$O$99,15,0)),0,VLOOKUP($U$315,'TAR FIN'!$A$1:$O$99,15,0))</f>
        <v>0</v>
      </c>
      <c r="Y315" s="4">
        <f ca="1">0.72*('TUSD BE'!$AM$9+'TUSD BF'!$AM$9+'TUSD CVA'!$AM$9)*1+('TUSD BE'!$AM$10+'TUSD BF'!$AM$10+'TUSD CVA'!$AM$10)*1</f>
        <v>38.129471962528413</v>
      </c>
      <c r="Z315" s="4">
        <f ca="1">('TUSD BE'!$AM$11+'TUSD BF'!$AM$11+'TUSD CVA'!$AM$11)*1</f>
        <v>7.7987323869916398</v>
      </c>
      <c r="AA315" s="4"/>
      <c r="AB315" s="4">
        <f>$K$315*$V$315</f>
        <v>0</v>
      </c>
      <c r="AC315" s="4">
        <f>$M$315*$W$315</f>
        <v>7726.0129600000009</v>
      </c>
      <c r="AD315" s="4">
        <f>$O$315*$X$315</f>
        <v>0</v>
      </c>
      <c r="AE315" s="4">
        <f ca="1">$K$315*$Y$315</f>
        <v>0</v>
      </c>
      <c r="AF315" s="4">
        <f ca="1">$M$315*$Z$315</f>
        <v>8757.7191124228411</v>
      </c>
      <c r="AG315" s="4">
        <f>$O$315*$AA$315</f>
        <v>0</v>
      </c>
    </row>
    <row r="316" spans="1:33" ht="11.25" customHeight="1" x14ac:dyDescent="0.25">
      <c r="A316" s="3" t="s">
        <v>21</v>
      </c>
      <c r="B316" s="3" t="s">
        <v>41</v>
      </c>
      <c r="C316" s="3" t="s">
        <v>61</v>
      </c>
      <c r="D316" s="3" t="s">
        <v>25</v>
      </c>
      <c r="E316" s="3" t="s">
        <v>25</v>
      </c>
      <c r="F316" s="3" t="s">
        <v>25</v>
      </c>
      <c r="G316" s="3" t="s">
        <v>62</v>
      </c>
      <c r="H316" s="3" t="s">
        <v>25</v>
      </c>
      <c r="I316" s="6">
        <v>44440</v>
      </c>
      <c r="J316" s="4">
        <v>0</v>
      </c>
      <c r="K316" s="4">
        <v>0</v>
      </c>
      <c r="L316" s="4">
        <v>1176.069</v>
      </c>
      <c r="M316" s="4">
        <v>1176.069</v>
      </c>
      <c r="N316" s="4">
        <v>0</v>
      </c>
      <c r="O316" s="4">
        <v>0</v>
      </c>
      <c r="P316" s="4">
        <v>0</v>
      </c>
      <c r="Q316" s="3" t="s">
        <v>63</v>
      </c>
      <c r="R316" s="3">
        <v>43</v>
      </c>
      <c r="S316" s="4">
        <v>0</v>
      </c>
      <c r="T316" s="4">
        <v>98</v>
      </c>
      <c r="U316" s="4">
        <v>0</v>
      </c>
      <c r="V316" s="4">
        <f>IF(ISERROR(VLOOKUP($S$316,'TAR FIN'!$A$1:$O$99,15,0)),0,VLOOKUP($S$316,'TAR FIN'!$A$1:$O$99,15,0))</f>
        <v>0</v>
      </c>
      <c r="W316" s="4">
        <f>IF(ISERROR(VLOOKUP($T$316,'TAR FIN'!$A$1:$O$99,15,0)),0,VLOOKUP($T$316,'TAR FIN'!$A$1:$O$99,15,0))</f>
        <v>6.88</v>
      </c>
      <c r="X316" s="4">
        <f>IF(ISERROR(VLOOKUP($U$316,'TAR FIN'!$A$1:$O$99,15,0)),0,VLOOKUP($U$316,'TAR FIN'!$A$1:$O$99,15,0))</f>
        <v>0</v>
      </c>
      <c r="Y316" s="4">
        <f ca="1">0.72*('TUSD BE'!$AM$9+'TUSD BF'!$AM$9+'TUSD CVA'!$AM$9)*1+('TUSD BE'!$AM$10+'TUSD BF'!$AM$10+'TUSD CVA'!$AM$10)*1</f>
        <v>38.129471962528413</v>
      </c>
      <c r="Z316" s="4">
        <f ca="1">('TUSD BE'!$AM$11+'TUSD BF'!$AM$11+'TUSD CVA'!$AM$11)*1</f>
        <v>7.7987323869916398</v>
      </c>
      <c r="AA316" s="4"/>
      <c r="AB316" s="4">
        <f>$K$316*$V$316</f>
        <v>0</v>
      </c>
      <c r="AC316" s="4">
        <f>$M$316*$W$316</f>
        <v>8091.3547199999994</v>
      </c>
      <c r="AD316" s="4">
        <f>$O$316*$X$316</f>
        <v>0</v>
      </c>
      <c r="AE316" s="4">
        <f ca="1">$K$316*$Y$316</f>
        <v>0</v>
      </c>
      <c r="AF316" s="4">
        <f ca="1">$M$316*$Z$316</f>
        <v>9171.8473996368703</v>
      </c>
      <c r="AG316" s="4">
        <f>$O$316*$AA$316</f>
        <v>0</v>
      </c>
    </row>
    <row r="317" spans="1:33" ht="11.25" customHeight="1" x14ac:dyDescent="0.25">
      <c r="A317" s="3" t="s">
        <v>21</v>
      </c>
      <c r="B317" s="3" t="s">
        <v>41</v>
      </c>
      <c r="C317" s="3" t="s">
        <v>61</v>
      </c>
      <c r="D317" s="3" t="s">
        <v>25</v>
      </c>
      <c r="E317" s="3" t="s">
        <v>25</v>
      </c>
      <c r="F317" s="3" t="s">
        <v>25</v>
      </c>
      <c r="G317" s="3" t="s">
        <v>62</v>
      </c>
      <c r="H317" s="3" t="s">
        <v>25</v>
      </c>
      <c r="I317" s="6">
        <v>44470</v>
      </c>
      <c r="J317" s="4">
        <v>0</v>
      </c>
      <c r="K317" s="4">
        <v>0</v>
      </c>
      <c r="L317" s="4">
        <v>1325.509</v>
      </c>
      <c r="M317" s="4">
        <v>1325.509</v>
      </c>
      <c r="N317" s="4">
        <v>0</v>
      </c>
      <c r="O317" s="4">
        <v>0</v>
      </c>
      <c r="P317" s="4">
        <v>0</v>
      </c>
      <c r="Q317" s="3" t="s">
        <v>63</v>
      </c>
      <c r="R317" s="3">
        <v>43</v>
      </c>
      <c r="S317" s="4">
        <v>0</v>
      </c>
      <c r="T317" s="4">
        <v>98</v>
      </c>
      <c r="U317" s="4">
        <v>0</v>
      </c>
      <c r="V317" s="4">
        <f>IF(ISERROR(VLOOKUP($S$317,'TAR FIN'!$A$1:$O$99,15,0)),0,VLOOKUP($S$317,'TAR FIN'!$A$1:$O$99,15,0))</f>
        <v>0</v>
      </c>
      <c r="W317" s="4">
        <f>IF(ISERROR(VLOOKUP($T$317,'TAR FIN'!$A$1:$O$99,15,0)),0,VLOOKUP($T$317,'TAR FIN'!$A$1:$O$99,15,0))</f>
        <v>6.88</v>
      </c>
      <c r="X317" s="4">
        <f>IF(ISERROR(VLOOKUP($U$317,'TAR FIN'!$A$1:$O$99,15,0)),0,VLOOKUP($U$317,'TAR FIN'!$A$1:$O$99,15,0))</f>
        <v>0</v>
      </c>
      <c r="Y317" s="4">
        <f ca="1">0.72*('TUSD BE'!$AM$9+'TUSD BF'!$AM$9+'TUSD CVA'!$AM$9)*1+('TUSD BE'!$AM$10+'TUSD BF'!$AM$10+'TUSD CVA'!$AM$10)*1</f>
        <v>38.129471962528413</v>
      </c>
      <c r="Z317" s="4">
        <f ca="1">('TUSD BE'!$AM$11+'TUSD BF'!$AM$11+'TUSD CVA'!$AM$11)*1</f>
        <v>7.7987323869916398</v>
      </c>
      <c r="AA317" s="4"/>
      <c r="AB317" s="4">
        <f>$K$317*$V$317</f>
        <v>0</v>
      </c>
      <c r="AC317" s="4">
        <f>$M$317*$W$317</f>
        <v>9119.5019200000006</v>
      </c>
      <c r="AD317" s="4">
        <f>$O$317*$X$317</f>
        <v>0</v>
      </c>
      <c r="AE317" s="4">
        <f ca="1">$K$317*$Y$317</f>
        <v>0</v>
      </c>
      <c r="AF317" s="4">
        <f ca="1">$M$317*$Z$317</f>
        <v>10337.289967548902</v>
      </c>
      <c r="AG317" s="4">
        <f>$O$317*$AA$317</f>
        <v>0</v>
      </c>
    </row>
    <row r="318" spans="1:33" ht="11.25" customHeight="1" x14ac:dyDescent="0.25">
      <c r="A318" s="3" t="s">
        <v>21</v>
      </c>
      <c r="B318" s="3" t="s">
        <v>41</v>
      </c>
      <c r="C318" s="3" t="s">
        <v>61</v>
      </c>
      <c r="D318" s="3" t="s">
        <v>25</v>
      </c>
      <c r="E318" s="3" t="s">
        <v>25</v>
      </c>
      <c r="F318" s="3" t="s">
        <v>25</v>
      </c>
      <c r="G318" s="3" t="s">
        <v>62</v>
      </c>
      <c r="H318" s="3" t="s">
        <v>25</v>
      </c>
      <c r="I318" s="6">
        <v>44501</v>
      </c>
      <c r="J318" s="4">
        <v>0</v>
      </c>
      <c r="K318" s="4">
        <v>0</v>
      </c>
      <c r="L318" s="4">
        <v>1340.6969999999999</v>
      </c>
      <c r="M318" s="4">
        <v>1340.6969999999999</v>
      </c>
      <c r="N318" s="4">
        <v>0</v>
      </c>
      <c r="O318" s="4">
        <v>0</v>
      </c>
      <c r="P318" s="4">
        <v>0</v>
      </c>
      <c r="Q318" s="3" t="s">
        <v>63</v>
      </c>
      <c r="R318" s="3">
        <v>43</v>
      </c>
      <c r="S318" s="4">
        <v>0</v>
      </c>
      <c r="T318" s="4">
        <v>98</v>
      </c>
      <c r="U318" s="4">
        <v>0</v>
      </c>
      <c r="V318" s="4">
        <f>IF(ISERROR(VLOOKUP($S$318,'TAR FIN'!$A$1:$O$99,15,0)),0,VLOOKUP($S$318,'TAR FIN'!$A$1:$O$99,15,0))</f>
        <v>0</v>
      </c>
      <c r="W318" s="4">
        <f>IF(ISERROR(VLOOKUP($T$318,'TAR FIN'!$A$1:$O$99,15,0)),0,VLOOKUP($T$318,'TAR FIN'!$A$1:$O$99,15,0))</f>
        <v>6.88</v>
      </c>
      <c r="X318" s="4">
        <f>IF(ISERROR(VLOOKUP($U$318,'TAR FIN'!$A$1:$O$99,15,0)),0,VLOOKUP($U$318,'TAR FIN'!$A$1:$O$99,15,0))</f>
        <v>0</v>
      </c>
      <c r="Y318" s="4">
        <f ca="1">0.72*('TUSD BE'!$AM$9+'TUSD BF'!$AM$9+'TUSD CVA'!$AM$9)*1+('TUSD BE'!$AM$10+'TUSD BF'!$AM$10+'TUSD CVA'!$AM$10)*1</f>
        <v>38.129471962528413</v>
      </c>
      <c r="Z318" s="4">
        <f ca="1">('TUSD BE'!$AM$11+'TUSD BF'!$AM$11+'TUSD CVA'!$AM$11)*1</f>
        <v>7.7987323869916398</v>
      </c>
      <c r="AA318" s="4"/>
      <c r="AB318" s="4">
        <f>$K$318*$V$318</f>
        <v>0</v>
      </c>
      <c r="AC318" s="4">
        <f>$M$318*$W$318</f>
        <v>9223.995359999999</v>
      </c>
      <c r="AD318" s="4">
        <f>$O$318*$X$318</f>
        <v>0</v>
      </c>
      <c r="AE318" s="4">
        <f ca="1">$K$318*$Y$318</f>
        <v>0</v>
      </c>
      <c r="AF318" s="4">
        <f ca="1">$M$318*$Z$318</f>
        <v>10455.73711504253</v>
      </c>
      <c r="AG318" s="4">
        <f>$O$318*$AA$318</f>
        <v>0</v>
      </c>
    </row>
    <row r="319" spans="1:33" ht="11.25" customHeight="1" x14ac:dyDescent="0.25">
      <c r="A319" s="3" t="s">
        <v>21</v>
      </c>
      <c r="B319" s="3" t="s">
        <v>41</v>
      </c>
      <c r="C319" s="3" t="s">
        <v>61</v>
      </c>
      <c r="D319" s="3" t="s">
        <v>25</v>
      </c>
      <c r="E319" s="3" t="s">
        <v>25</v>
      </c>
      <c r="F319" s="3" t="s">
        <v>25</v>
      </c>
      <c r="G319" s="3" t="s">
        <v>62</v>
      </c>
      <c r="H319" s="3" t="s">
        <v>25</v>
      </c>
      <c r="I319" s="6">
        <v>44531</v>
      </c>
      <c r="J319" s="4">
        <v>0</v>
      </c>
      <c r="K319" s="4">
        <v>0</v>
      </c>
      <c r="L319" s="4">
        <v>1372.6849999999999</v>
      </c>
      <c r="M319" s="4">
        <v>1372.6849999999999</v>
      </c>
      <c r="N319" s="4">
        <v>0</v>
      </c>
      <c r="O319" s="4">
        <v>0</v>
      </c>
      <c r="P319" s="4">
        <v>0</v>
      </c>
      <c r="Q319" s="3" t="s">
        <v>63</v>
      </c>
      <c r="R319" s="3">
        <v>43</v>
      </c>
      <c r="S319" s="4">
        <v>0</v>
      </c>
      <c r="T319" s="4">
        <v>98</v>
      </c>
      <c r="U319" s="4">
        <v>0</v>
      </c>
      <c r="V319" s="4">
        <f>IF(ISERROR(VLOOKUP($S$319,'TAR FIN'!$A$1:$O$99,15,0)),0,VLOOKUP($S$319,'TAR FIN'!$A$1:$O$99,15,0))</f>
        <v>0</v>
      </c>
      <c r="W319" s="4">
        <f>IF(ISERROR(VLOOKUP($T$319,'TAR FIN'!$A$1:$O$99,15,0)),0,VLOOKUP($T$319,'TAR FIN'!$A$1:$O$99,15,0))</f>
        <v>6.88</v>
      </c>
      <c r="X319" s="4">
        <f>IF(ISERROR(VLOOKUP($U$319,'TAR FIN'!$A$1:$O$99,15,0)),0,VLOOKUP($U$319,'TAR FIN'!$A$1:$O$99,15,0))</f>
        <v>0</v>
      </c>
      <c r="Y319" s="4">
        <f ca="1">0.72*('TUSD BE'!$AM$9+'TUSD BF'!$AM$9+'TUSD CVA'!$AM$9)*1+('TUSD BE'!$AM$10+'TUSD BF'!$AM$10+'TUSD CVA'!$AM$10)*1</f>
        <v>38.129471962528413</v>
      </c>
      <c r="Z319" s="4">
        <f ca="1">('TUSD BE'!$AM$11+'TUSD BF'!$AM$11+'TUSD CVA'!$AM$11)*1</f>
        <v>7.7987323869916398</v>
      </c>
      <c r="AA319" s="4"/>
      <c r="AB319" s="4">
        <f>$K$319*$V$319</f>
        <v>0</v>
      </c>
      <c r="AC319" s="4">
        <f>$M$319*$W$319</f>
        <v>9444.0727999999999</v>
      </c>
      <c r="AD319" s="4">
        <f>$O$319*$X$319</f>
        <v>0</v>
      </c>
      <c r="AE319" s="4">
        <f ca="1">$K$319*$Y$319</f>
        <v>0</v>
      </c>
      <c r="AF319" s="4">
        <f ca="1">$M$319*$Z$319</f>
        <v>10705.202966637618</v>
      </c>
      <c r="AG319" s="4">
        <f>$O$319*$AA$319</f>
        <v>0</v>
      </c>
    </row>
    <row r="320" spans="1:33" ht="11.25" customHeight="1" x14ac:dyDescent="0.25">
      <c r="A320" s="3" t="s">
        <v>21</v>
      </c>
      <c r="B320" s="3" t="s">
        <v>41</v>
      </c>
      <c r="C320" s="3" t="s">
        <v>61</v>
      </c>
      <c r="D320" s="3" t="s">
        <v>25</v>
      </c>
      <c r="E320" s="3" t="s">
        <v>25</v>
      </c>
      <c r="F320" s="3" t="s">
        <v>25</v>
      </c>
      <c r="G320" s="3" t="s">
        <v>62</v>
      </c>
      <c r="H320" s="3" t="s">
        <v>25</v>
      </c>
      <c r="I320" s="6">
        <v>44562</v>
      </c>
      <c r="J320" s="4">
        <v>0</v>
      </c>
      <c r="K320" s="4">
        <v>0</v>
      </c>
      <c r="L320" s="4">
        <v>1312.577</v>
      </c>
      <c r="M320" s="4">
        <v>1312.577</v>
      </c>
      <c r="N320" s="4">
        <v>0</v>
      </c>
      <c r="O320" s="4">
        <v>0</v>
      </c>
      <c r="P320" s="4">
        <v>0</v>
      </c>
      <c r="Q320" s="3" t="s">
        <v>63</v>
      </c>
      <c r="R320" s="3">
        <v>43</v>
      </c>
      <c r="S320" s="4">
        <v>0</v>
      </c>
      <c r="T320" s="4">
        <v>98</v>
      </c>
      <c r="U320" s="4">
        <v>0</v>
      </c>
      <c r="V320" s="4">
        <f>IF(ISERROR(VLOOKUP($S$320,'TAR FIN'!$A$1:$O$99,15,0)),0,VLOOKUP($S$320,'TAR FIN'!$A$1:$O$99,15,0))</f>
        <v>0</v>
      </c>
      <c r="W320" s="4">
        <f>IF(ISERROR(VLOOKUP($T$320,'TAR FIN'!$A$1:$O$99,15,0)),0,VLOOKUP($T$320,'TAR FIN'!$A$1:$O$99,15,0))</f>
        <v>6.88</v>
      </c>
      <c r="X320" s="4">
        <f>IF(ISERROR(VLOOKUP($U$320,'TAR FIN'!$A$1:$O$99,15,0)),0,VLOOKUP($U$320,'TAR FIN'!$A$1:$O$99,15,0))</f>
        <v>0</v>
      </c>
      <c r="Y320" s="4">
        <f ca="1">0.72*('TUSD BE'!$AM$9+'TUSD BF'!$AM$9+'TUSD CVA'!$AM$9)*1+('TUSD BE'!$AM$10+'TUSD BF'!$AM$10+'TUSD CVA'!$AM$10)*1</f>
        <v>38.129471962528413</v>
      </c>
      <c r="Z320" s="4">
        <f ca="1">('TUSD BE'!$AM$11+'TUSD BF'!$AM$11+'TUSD CVA'!$AM$11)*1</f>
        <v>7.7987323869916398</v>
      </c>
      <c r="AA320" s="4"/>
      <c r="AB320" s="4">
        <f>$K$320*$V$320</f>
        <v>0</v>
      </c>
      <c r="AC320" s="4">
        <f>$M$320*$W$320</f>
        <v>9030.5297599999994</v>
      </c>
      <c r="AD320" s="4">
        <f>$O$320*$X$320</f>
        <v>0</v>
      </c>
      <c r="AE320" s="4">
        <f ca="1">$K$320*$Y$320</f>
        <v>0</v>
      </c>
      <c r="AF320" s="4">
        <f ca="1">$M$320*$Z$320</f>
        <v>10236.436760320326</v>
      </c>
      <c r="AG320" s="4">
        <f>$O$320*$AA$320</f>
        <v>0</v>
      </c>
    </row>
    <row r="321" spans="1:33" ht="11.25" customHeight="1" x14ac:dyDescent="0.25">
      <c r="A321" s="3" t="s">
        <v>21</v>
      </c>
      <c r="B321" s="3" t="s">
        <v>41</v>
      </c>
      <c r="C321" s="3" t="s">
        <v>61</v>
      </c>
      <c r="D321" s="3" t="s">
        <v>25</v>
      </c>
      <c r="E321" s="3" t="s">
        <v>25</v>
      </c>
      <c r="F321" s="3" t="s">
        <v>25</v>
      </c>
      <c r="G321" s="3" t="s">
        <v>62</v>
      </c>
      <c r="H321" s="3" t="s">
        <v>25</v>
      </c>
      <c r="I321" s="6">
        <v>44593</v>
      </c>
      <c r="J321" s="4">
        <v>0</v>
      </c>
      <c r="K321" s="4">
        <v>0</v>
      </c>
      <c r="L321" s="4">
        <v>1157.5319999999999</v>
      </c>
      <c r="M321" s="4">
        <v>1157.5319999999999</v>
      </c>
      <c r="N321" s="4">
        <v>0</v>
      </c>
      <c r="O321" s="4">
        <v>0</v>
      </c>
      <c r="P321" s="4">
        <v>0</v>
      </c>
      <c r="Q321" s="3" t="s">
        <v>63</v>
      </c>
      <c r="R321" s="3">
        <v>43</v>
      </c>
      <c r="S321" s="4">
        <v>0</v>
      </c>
      <c r="T321" s="4">
        <v>98</v>
      </c>
      <c r="U321" s="4">
        <v>0</v>
      </c>
      <c r="V321" s="4">
        <f>IF(ISERROR(VLOOKUP($S$321,'TAR FIN'!$A$1:$O$99,15,0)),0,VLOOKUP($S$321,'TAR FIN'!$A$1:$O$99,15,0))</f>
        <v>0</v>
      </c>
      <c r="W321" s="4">
        <f>IF(ISERROR(VLOOKUP($T$321,'TAR FIN'!$A$1:$O$99,15,0)),0,VLOOKUP($T$321,'TAR FIN'!$A$1:$O$99,15,0))</f>
        <v>6.88</v>
      </c>
      <c r="X321" s="4">
        <f>IF(ISERROR(VLOOKUP($U$321,'TAR FIN'!$A$1:$O$99,15,0)),0,VLOOKUP($U$321,'TAR FIN'!$A$1:$O$99,15,0))</f>
        <v>0</v>
      </c>
      <c r="Y321" s="4">
        <f ca="1">0.72*('TUSD BE'!$AM$9+'TUSD BF'!$AM$9+'TUSD CVA'!$AM$9)*1+('TUSD BE'!$AM$10+'TUSD BF'!$AM$10+'TUSD CVA'!$AM$10)*1</f>
        <v>38.129471962528413</v>
      </c>
      <c r="Z321" s="4">
        <f ca="1">('TUSD BE'!$AM$11+'TUSD BF'!$AM$11+'TUSD CVA'!$AM$11)*1</f>
        <v>7.7987323869916398</v>
      </c>
      <c r="AA321" s="4"/>
      <c r="AB321" s="4">
        <f>$K$321*$V$321</f>
        <v>0</v>
      </c>
      <c r="AC321" s="4">
        <f>$M$321*$W$321</f>
        <v>7963.8201599999993</v>
      </c>
      <c r="AD321" s="4">
        <f>$O$321*$X$321</f>
        <v>0</v>
      </c>
      <c r="AE321" s="4">
        <f ca="1">$K$321*$Y$321</f>
        <v>0</v>
      </c>
      <c r="AF321" s="4">
        <f ca="1">$M$321*$Z$321</f>
        <v>9027.2822973792063</v>
      </c>
      <c r="AG321" s="4">
        <f>$O$321*$AA$321</f>
        <v>0</v>
      </c>
    </row>
    <row r="322" spans="1:33" ht="11.25" customHeight="1" x14ac:dyDescent="0.25">
      <c r="A322" s="3" t="s">
        <v>21</v>
      </c>
      <c r="B322" s="3" t="s">
        <v>41</v>
      </c>
      <c r="C322" s="3" t="s">
        <v>61</v>
      </c>
      <c r="D322" s="3" t="s">
        <v>25</v>
      </c>
      <c r="E322" s="3" t="s">
        <v>25</v>
      </c>
      <c r="F322" s="3" t="s">
        <v>25</v>
      </c>
      <c r="G322" s="3" t="s">
        <v>62</v>
      </c>
      <c r="H322" s="3" t="s">
        <v>25</v>
      </c>
      <c r="I322" s="6">
        <v>44621</v>
      </c>
      <c r="J322" s="4">
        <v>0</v>
      </c>
      <c r="K322" s="4">
        <v>0</v>
      </c>
      <c r="L322" s="4">
        <v>1298.71</v>
      </c>
      <c r="M322" s="4">
        <v>1298.71</v>
      </c>
      <c r="N322" s="4">
        <v>0</v>
      </c>
      <c r="O322" s="4">
        <v>0</v>
      </c>
      <c r="P322" s="4">
        <v>0</v>
      </c>
      <c r="Q322" s="3" t="s">
        <v>63</v>
      </c>
      <c r="R322" s="3">
        <v>43</v>
      </c>
      <c r="S322" s="4">
        <v>0</v>
      </c>
      <c r="T322" s="4">
        <v>98</v>
      </c>
      <c r="U322" s="4">
        <v>0</v>
      </c>
      <c r="V322" s="4">
        <f>IF(ISERROR(VLOOKUP($S$322,'TAR FIN'!$A$1:$O$99,15,0)),0,VLOOKUP($S$322,'TAR FIN'!$A$1:$O$99,15,0))</f>
        <v>0</v>
      </c>
      <c r="W322" s="4">
        <f>IF(ISERROR(VLOOKUP($T$322,'TAR FIN'!$A$1:$O$99,15,0)),0,VLOOKUP($T$322,'TAR FIN'!$A$1:$O$99,15,0))</f>
        <v>6.88</v>
      </c>
      <c r="X322" s="4">
        <f>IF(ISERROR(VLOOKUP($U$322,'TAR FIN'!$A$1:$O$99,15,0)),0,VLOOKUP($U$322,'TAR FIN'!$A$1:$O$99,15,0))</f>
        <v>0</v>
      </c>
      <c r="Y322" s="4">
        <f ca="1">0.72*('TUSD BE'!$AM$9+'TUSD BF'!$AM$9+'TUSD CVA'!$AM$9)*1+('TUSD BE'!$AM$10+'TUSD BF'!$AM$10+'TUSD CVA'!$AM$10)*1</f>
        <v>38.129471962528413</v>
      </c>
      <c r="Z322" s="4">
        <f ca="1">('TUSD BE'!$AM$11+'TUSD BF'!$AM$11+'TUSD CVA'!$AM$11)*1</f>
        <v>7.7987323869916398</v>
      </c>
      <c r="AA322" s="4"/>
      <c r="AB322" s="4">
        <f>$K$322*$V$322</f>
        <v>0</v>
      </c>
      <c r="AC322" s="4">
        <f>$M$322*$W$322</f>
        <v>8935.1247999999996</v>
      </c>
      <c r="AD322" s="4">
        <f>$O$322*$X$322</f>
        <v>0</v>
      </c>
      <c r="AE322" s="4">
        <f ca="1">$K$322*$Y$322</f>
        <v>0</v>
      </c>
      <c r="AF322" s="4">
        <f ca="1">$M$322*$Z$322</f>
        <v>10128.291738309912</v>
      </c>
      <c r="AG322" s="4">
        <f>$O$322*$AA$322</f>
        <v>0</v>
      </c>
    </row>
    <row r="323" spans="1:33" ht="11.25" customHeight="1" x14ac:dyDescent="0.25">
      <c r="A323" s="3" t="s">
        <v>56</v>
      </c>
      <c r="B323" s="3" t="s">
        <v>41</v>
      </c>
      <c r="C323" s="3" t="s">
        <v>61</v>
      </c>
      <c r="D323" s="3" t="s">
        <v>25</v>
      </c>
      <c r="E323" s="3" t="s">
        <v>25</v>
      </c>
      <c r="F323" s="3" t="s">
        <v>25</v>
      </c>
      <c r="G323" s="3" t="s">
        <v>62</v>
      </c>
      <c r="H323" s="3" t="s">
        <v>25</v>
      </c>
      <c r="I323" s="6">
        <v>44652</v>
      </c>
      <c r="J323" s="4">
        <v>0</v>
      </c>
      <c r="K323" s="4">
        <v>0</v>
      </c>
      <c r="L323" s="4">
        <v>1298.71</v>
      </c>
      <c r="M323" s="4">
        <v>1298.71</v>
      </c>
      <c r="N323" s="4">
        <v>0</v>
      </c>
      <c r="O323" s="4">
        <v>0</v>
      </c>
      <c r="P323" s="4">
        <v>0</v>
      </c>
      <c r="Q323" s="3" t="s">
        <v>63</v>
      </c>
      <c r="R323" s="3">
        <v>43</v>
      </c>
      <c r="S323" s="4">
        <v>0</v>
      </c>
      <c r="T323" s="4">
        <v>98</v>
      </c>
      <c r="U323" s="4">
        <v>0</v>
      </c>
      <c r="V323" s="4">
        <f>IF(ISERROR(VLOOKUP($S$323,'TAR FIN'!$A$1:$O$99,15,0)),0,VLOOKUP($S$323,'TAR FIN'!$A$1:$O$99,15,0))</f>
        <v>0</v>
      </c>
      <c r="W323" s="4">
        <f>IF(ISERROR(VLOOKUP($T$323,'TAR FIN'!$A$1:$O$99,15,0)),0,VLOOKUP($T$323,'TAR FIN'!$A$1:$O$99,15,0))</f>
        <v>6.88</v>
      </c>
      <c r="X323" s="4">
        <f>IF(ISERROR(VLOOKUP($U$323,'TAR FIN'!$A$1:$O$99,15,0)),0,VLOOKUP($U$323,'TAR FIN'!$A$1:$O$99,15,0))</f>
        <v>0</v>
      </c>
      <c r="Y323" s="4">
        <f ca="1">0.72*('TUSD BE'!$AM$9+'TUSD BF'!$AM$9+'TUSD CVA'!$AM$9)*1+('TUSD BE'!$AM$10+'TUSD BF'!$AM$10+'TUSD CVA'!$AM$10)*1</f>
        <v>38.129471962528413</v>
      </c>
      <c r="Z323" s="4">
        <f ca="1">('TUSD BE'!$AM$11+'TUSD BF'!$AM$11+'TUSD CVA'!$AM$11)*1</f>
        <v>7.7987323869916398</v>
      </c>
      <c r="AA323" s="4"/>
      <c r="AB323" s="4">
        <f>$K$323*$V$323</f>
        <v>0</v>
      </c>
      <c r="AC323" s="4">
        <f>$M$323*$W$323</f>
        <v>8935.1247999999996</v>
      </c>
      <c r="AD323" s="4">
        <f>$O$323*$X$323</f>
        <v>0</v>
      </c>
      <c r="AE323" s="4">
        <f ca="1">$K$323*$Y$323</f>
        <v>0</v>
      </c>
      <c r="AF323" s="4">
        <f ca="1">$M$323*$Z$323</f>
        <v>10128.291738309912</v>
      </c>
      <c r="AG323" s="4">
        <f>$O$323*$AA$323</f>
        <v>0</v>
      </c>
    </row>
    <row r="324" spans="1:33" ht="11.25" customHeight="1" x14ac:dyDescent="0.25">
      <c r="A324" s="3" t="s">
        <v>21</v>
      </c>
      <c r="B324" s="3" t="s">
        <v>41</v>
      </c>
      <c r="C324" s="3" t="s">
        <v>61</v>
      </c>
      <c r="D324" s="3" t="s">
        <v>25</v>
      </c>
      <c r="E324" s="3" t="s">
        <v>25</v>
      </c>
      <c r="F324" s="3" t="s">
        <v>25</v>
      </c>
      <c r="G324" s="3" t="s">
        <v>62</v>
      </c>
      <c r="H324" s="3" t="s">
        <v>35</v>
      </c>
      <c r="I324" s="6">
        <v>44317</v>
      </c>
      <c r="J324" s="4">
        <v>3000</v>
      </c>
      <c r="K324" s="4">
        <v>3000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3" t="s">
        <v>63</v>
      </c>
      <c r="R324" s="3">
        <v>43</v>
      </c>
      <c r="S324" s="4">
        <v>96</v>
      </c>
      <c r="T324" s="4">
        <v>0</v>
      </c>
      <c r="U324" s="4">
        <v>0</v>
      </c>
      <c r="V324" s="4">
        <f>IF(ISERROR(VLOOKUP($S$324,'TAR FIN'!$A$1:$O$99,15,0)),0,VLOOKUP($S$324,'TAR FIN'!$A$1:$O$99,15,0))</f>
        <v>28.93</v>
      </c>
      <c r="W324" s="4">
        <f>IF(ISERROR(VLOOKUP($T$324,'TAR FIN'!$A$1:$O$99,15,0)),0,VLOOKUP($T$324,'TAR FIN'!$A$1:$O$99,15,0))</f>
        <v>0</v>
      </c>
      <c r="X324" s="4">
        <f>IF(ISERROR(VLOOKUP($U$324,'TAR FIN'!$A$1:$O$99,15,0)),0,VLOOKUP($U$324,'TAR FIN'!$A$1:$O$99,15,0))</f>
        <v>0</v>
      </c>
      <c r="Y324" s="4">
        <f ca="1">('TUSD BE'!$AM$9+'TUSD BF'!$AM$9+'TUSD CVA'!$AM$9)*1</f>
        <v>30.293418247257595</v>
      </c>
      <c r="Z324" s="4">
        <f ca="1">('TUSD BE'!$AM$11+'TUSD BF'!$AM$11+'TUSD CVA'!$AM$11)*1</f>
        <v>7.7987323869916398</v>
      </c>
      <c r="AA324" s="4"/>
      <c r="AB324" s="4">
        <f>$K$324*$V$324</f>
        <v>86790</v>
      </c>
      <c r="AC324" s="4">
        <f>$M$324*$W$324</f>
        <v>0</v>
      </c>
      <c r="AD324" s="4">
        <f>$O$324*$X$324</f>
        <v>0</v>
      </c>
      <c r="AE324" s="4">
        <f ca="1">$K$324*$Y$324</f>
        <v>90880.254741772791</v>
      </c>
      <c r="AF324" s="4">
        <f ca="1">$M$324*$Z$324</f>
        <v>0</v>
      </c>
      <c r="AG324" s="4">
        <f>$O$324*$AA$324</f>
        <v>0</v>
      </c>
    </row>
    <row r="325" spans="1:33" ht="11.25" customHeight="1" x14ac:dyDescent="0.25">
      <c r="A325" s="3" t="s">
        <v>21</v>
      </c>
      <c r="B325" s="3" t="s">
        <v>41</v>
      </c>
      <c r="C325" s="3" t="s">
        <v>61</v>
      </c>
      <c r="D325" s="3" t="s">
        <v>25</v>
      </c>
      <c r="E325" s="3" t="s">
        <v>25</v>
      </c>
      <c r="F325" s="3" t="s">
        <v>25</v>
      </c>
      <c r="G325" s="3" t="s">
        <v>62</v>
      </c>
      <c r="H325" s="3" t="s">
        <v>35</v>
      </c>
      <c r="I325" s="6">
        <v>44348</v>
      </c>
      <c r="J325" s="4">
        <v>3000</v>
      </c>
      <c r="K325" s="4">
        <v>3000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3" t="s">
        <v>63</v>
      </c>
      <c r="R325" s="3">
        <v>43</v>
      </c>
      <c r="S325" s="4">
        <v>96</v>
      </c>
      <c r="T325" s="4">
        <v>0</v>
      </c>
      <c r="U325" s="4">
        <v>0</v>
      </c>
      <c r="V325" s="4">
        <f>IF(ISERROR(VLOOKUP($S$325,'TAR FIN'!$A$1:$O$99,15,0)),0,VLOOKUP($S$325,'TAR FIN'!$A$1:$O$99,15,0))</f>
        <v>28.93</v>
      </c>
      <c r="W325" s="4">
        <f>IF(ISERROR(VLOOKUP($T$325,'TAR FIN'!$A$1:$O$99,15,0)),0,VLOOKUP($T$325,'TAR FIN'!$A$1:$O$99,15,0))</f>
        <v>0</v>
      </c>
      <c r="X325" s="4">
        <f>IF(ISERROR(VLOOKUP($U$325,'TAR FIN'!$A$1:$O$99,15,0)),0,VLOOKUP($U$325,'TAR FIN'!$A$1:$O$99,15,0))</f>
        <v>0</v>
      </c>
      <c r="Y325" s="4">
        <f ca="1">('TUSD BE'!$AM$9+'TUSD BF'!$AM$9+'TUSD CVA'!$AM$9)*1</f>
        <v>30.293418247257595</v>
      </c>
      <c r="Z325" s="4">
        <f ca="1">('TUSD BE'!$AM$11+'TUSD BF'!$AM$11+'TUSD CVA'!$AM$11)*1</f>
        <v>7.7987323869916398</v>
      </c>
      <c r="AA325" s="4"/>
      <c r="AB325" s="4">
        <f>$K$325*$V$325</f>
        <v>86790</v>
      </c>
      <c r="AC325" s="4">
        <f>$M$325*$W$325</f>
        <v>0</v>
      </c>
      <c r="AD325" s="4">
        <f>$O$325*$X$325</f>
        <v>0</v>
      </c>
      <c r="AE325" s="4">
        <f ca="1">$K$325*$Y$325</f>
        <v>90880.254741772791</v>
      </c>
      <c r="AF325" s="4">
        <f ca="1">$M$325*$Z$325</f>
        <v>0</v>
      </c>
      <c r="AG325" s="4">
        <f>$O$325*$AA$325</f>
        <v>0</v>
      </c>
    </row>
    <row r="326" spans="1:33" ht="11.25" customHeight="1" x14ac:dyDescent="0.25">
      <c r="A326" s="3" t="s">
        <v>21</v>
      </c>
      <c r="B326" s="3" t="s">
        <v>41</v>
      </c>
      <c r="C326" s="3" t="s">
        <v>61</v>
      </c>
      <c r="D326" s="3" t="s">
        <v>25</v>
      </c>
      <c r="E326" s="3" t="s">
        <v>25</v>
      </c>
      <c r="F326" s="3" t="s">
        <v>25</v>
      </c>
      <c r="G326" s="3" t="s">
        <v>62</v>
      </c>
      <c r="H326" s="3" t="s">
        <v>35</v>
      </c>
      <c r="I326" s="6">
        <v>44378</v>
      </c>
      <c r="J326" s="4">
        <v>3000</v>
      </c>
      <c r="K326" s="4">
        <v>3000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3" t="s">
        <v>63</v>
      </c>
      <c r="R326" s="3">
        <v>43</v>
      </c>
      <c r="S326" s="4">
        <v>96</v>
      </c>
      <c r="T326" s="4">
        <v>0</v>
      </c>
      <c r="U326" s="4">
        <v>0</v>
      </c>
      <c r="V326" s="4">
        <f>IF(ISERROR(VLOOKUP($S$326,'TAR FIN'!$A$1:$O$99,15,0)),0,VLOOKUP($S$326,'TAR FIN'!$A$1:$O$99,15,0))</f>
        <v>28.93</v>
      </c>
      <c r="W326" s="4">
        <f>IF(ISERROR(VLOOKUP($T$326,'TAR FIN'!$A$1:$O$99,15,0)),0,VLOOKUP($T$326,'TAR FIN'!$A$1:$O$99,15,0))</f>
        <v>0</v>
      </c>
      <c r="X326" s="4">
        <f>IF(ISERROR(VLOOKUP($U$326,'TAR FIN'!$A$1:$O$99,15,0)),0,VLOOKUP($U$326,'TAR FIN'!$A$1:$O$99,15,0))</f>
        <v>0</v>
      </c>
      <c r="Y326" s="4">
        <f ca="1">('TUSD BE'!$AM$9+'TUSD BF'!$AM$9+'TUSD CVA'!$AM$9)*1</f>
        <v>30.293418247257595</v>
      </c>
      <c r="Z326" s="4">
        <f ca="1">('TUSD BE'!$AM$11+'TUSD BF'!$AM$11+'TUSD CVA'!$AM$11)*1</f>
        <v>7.7987323869916398</v>
      </c>
      <c r="AA326" s="4"/>
      <c r="AB326" s="4">
        <f>$K$326*$V$326</f>
        <v>86790</v>
      </c>
      <c r="AC326" s="4">
        <f>$M$326*$W$326</f>
        <v>0</v>
      </c>
      <c r="AD326" s="4">
        <f>$O$326*$X$326</f>
        <v>0</v>
      </c>
      <c r="AE326" s="4">
        <f ca="1">$K$326*$Y$326</f>
        <v>90880.254741772791</v>
      </c>
      <c r="AF326" s="4">
        <f ca="1">$M$326*$Z$326</f>
        <v>0</v>
      </c>
      <c r="AG326" s="4">
        <f>$O$326*$AA$326</f>
        <v>0</v>
      </c>
    </row>
    <row r="327" spans="1:33" ht="11.25" customHeight="1" x14ac:dyDescent="0.25">
      <c r="A327" s="3" t="s">
        <v>21</v>
      </c>
      <c r="B327" s="3" t="s">
        <v>41</v>
      </c>
      <c r="C327" s="3" t="s">
        <v>61</v>
      </c>
      <c r="D327" s="3" t="s">
        <v>25</v>
      </c>
      <c r="E327" s="3" t="s">
        <v>25</v>
      </c>
      <c r="F327" s="3" t="s">
        <v>25</v>
      </c>
      <c r="G327" s="3" t="s">
        <v>62</v>
      </c>
      <c r="H327" s="3" t="s">
        <v>35</v>
      </c>
      <c r="I327" s="6">
        <v>44409</v>
      </c>
      <c r="J327" s="4">
        <v>3010</v>
      </c>
      <c r="K327" s="4">
        <v>3010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3" t="s">
        <v>63</v>
      </c>
      <c r="R327" s="3">
        <v>43</v>
      </c>
      <c r="S327" s="4">
        <v>96</v>
      </c>
      <c r="T327" s="4">
        <v>0</v>
      </c>
      <c r="U327" s="4">
        <v>0</v>
      </c>
      <c r="V327" s="4">
        <f>IF(ISERROR(VLOOKUP($S$327,'TAR FIN'!$A$1:$O$99,15,0)),0,VLOOKUP($S$327,'TAR FIN'!$A$1:$O$99,15,0))</f>
        <v>28.93</v>
      </c>
      <c r="W327" s="4">
        <f>IF(ISERROR(VLOOKUP($T$327,'TAR FIN'!$A$1:$O$99,15,0)),0,VLOOKUP($T$327,'TAR FIN'!$A$1:$O$99,15,0))</f>
        <v>0</v>
      </c>
      <c r="X327" s="4">
        <f>IF(ISERROR(VLOOKUP($U$327,'TAR FIN'!$A$1:$O$99,15,0)),0,VLOOKUP($U$327,'TAR FIN'!$A$1:$O$99,15,0))</f>
        <v>0</v>
      </c>
      <c r="Y327" s="4">
        <f ca="1">('TUSD BE'!$AM$9+'TUSD BF'!$AM$9+'TUSD CVA'!$AM$9)*1</f>
        <v>30.293418247257595</v>
      </c>
      <c r="Z327" s="4">
        <f ca="1">('TUSD BE'!$AM$11+'TUSD BF'!$AM$11+'TUSD CVA'!$AM$11)*1</f>
        <v>7.7987323869916398</v>
      </c>
      <c r="AA327" s="4"/>
      <c r="AB327" s="4">
        <f>$K$327*$V$327</f>
        <v>87079.3</v>
      </c>
      <c r="AC327" s="4">
        <f>$M$327*$W$327</f>
        <v>0</v>
      </c>
      <c r="AD327" s="4">
        <f>$O$327*$X$327</f>
        <v>0</v>
      </c>
      <c r="AE327" s="4">
        <f ca="1">$K$327*$Y$327</f>
        <v>91183.188924245362</v>
      </c>
      <c r="AF327" s="4">
        <f ca="1">$M$327*$Z$327</f>
        <v>0</v>
      </c>
      <c r="AG327" s="4">
        <f>$O$327*$AA$327</f>
        <v>0</v>
      </c>
    </row>
    <row r="328" spans="1:33" ht="11.25" customHeight="1" x14ac:dyDescent="0.25">
      <c r="A328" s="3" t="s">
        <v>21</v>
      </c>
      <c r="B328" s="3" t="s">
        <v>41</v>
      </c>
      <c r="C328" s="3" t="s">
        <v>61</v>
      </c>
      <c r="D328" s="3" t="s">
        <v>25</v>
      </c>
      <c r="E328" s="3" t="s">
        <v>25</v>
      </c>
      <c r="F328" s="3" t="s">
        <v>25</v>
      </c>
      <c r="G328" s="3" t="s">
        <v>62</v>
      </c>
      <c r="H328" s="3" t="s">
        <v>35</v>
      </c>
      <c r="I328" s="6">
        <v>44440</v>
      </c>
      <c r="J328" s="4">
        <v>3010</v>
      </c>
      <c r="K328" s="4">
        <v>3010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3" t="s">
        <v>63</v>
      </c>
      <c r="R328" s="3">
        <v>43</v>
      </c>
      <c r="S328" s="4">
        <v>96</v>
      </c>
      <c r="T328" s="4">
        <v>0</v>
      </c>
      <c r="U328" s="4">
        <v>0</v>
      </c>
      <c r="V328" s="4">
        <f>IF(ISERROR(VLOOKUP($S$328,'TAR FIN'!$A$1:$O$99,15,0)),0,VLOOKUP($S$328,'TAR FIN'!$A$1:$O$99,15,0))</f>
        <v>28.93</v>
      </c>
      <c r="W328" s="4">
        <f>IF(ISERROR(VLOOKUP($T$328,'TAR FIN'!$A$1:$O$99,15,0)),0,VLOOKUP($T$328,'TAR FIN'!$A$1:$O$99,15,0))</f>
        <v>0</v>
      </c>
      <c r="X328" s="4">
        <f>IF(ISERROR(VLOOKUP($U$328,'TAR FIN'!$A$1:$O$99,15,0)),0,VLOOKUP($U$328,'TAR FIN'!$A$1:$O$99,15,0))</f>
        <v>0</v>
      </c>
      <c r="Y328" s="4">
        <f ca="1">('TUSD BE'!$AM$9+'TUSD BF'!$AM$9+'TUSD CVA'!$AM$9)*1</f>
        <v>30.293418247257595</v>
      </c>
      <c r="Z328" s="4">
        <f ca="1">('TUSD BE'!$AM$11+'TUSD BF'!$AM$11+'TUSD CVA'!$AM$11)*1</f>
        <v>7.7987323869916398</v>
      </c>
      <c r="AA328" s="4"/>
      <c r="AB328" s="4">
        <f>$K$328*$V$328</f>
        <v>87079.3</v>
      </c>
      <c r="AC328" s="4">
        <f>$M$328*$W$328</f>
        <v>0</v>
      </c>
      <c r="AD328" s="4">
        <f>$O$328*$X$328</f>
        <v>0</v>
      </c>
      <c r="AE328" s="4">
        <f ca="1">$K$328*$Y$328</f>
        <v>91183.188924245362</v>
      </c>
      <c r="AF328" s="4">
        <f ca="1">$M$328*$Z$328</f>
        <v>0</v>
      </c>
      <c r="AG328" s="4">
        <f>$O$328*$AA$328</f>
        <v>0</v>
      </c>
    </row>
    <row r="329" spans="1:33" ht="11.25" customHeight="1" x14ac:dyDescent="0.25">
      <c r="A329" s="3" t="s">
        <v>21</v>
      </c>
      <c r="B329" s="3" t="s">
        <v>41</v>
      </c>
      <c r="C329" s="3" t="s">
        <v>61</v>
      </c>
      <c r="D329" s="3" t="s">
        <v>25</v>
      </c>
      <c r="E329" s="3" t="s">
        <v>25</v>
      </c>
      <c r="F329" s="3" t="s">
        <v>25</v>
      </c>
      <c r="G329" s="3" t="s">
        <v>62</v>
      </c>
      <c r="H329" s="3" t="s">
        <v>35</v>
      </c>
      <c r="I329" s="6">
        <v>44470</v>
      </c>
      <c r="J329" s="4">
        <v>3010</v>
      </c>
      <c r="K329" s="4">
        <v>3010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3" t="s">
        <v>63</v>
      </c>
      <c r="R329" s="3">
        <v>43</v>
      </c>
      <c r="S329" s="4">
        <v>96</v>
      </c>
      <c r="T329" s="4">
        <v>0</v>
      </c>
      <c r="U329" s="4">
        <v>0</v>
      </c>
      <c r="V329" s="4">
        <f>IF(ISERROR(VLOOKUP($S$329,'TAR FIN'!$A$1:$O$99,15,0)),0,VLOOKUP($S$329,'TAR FIN'!$A$1:$O$99,15,0))</f>
        <v>28.93</v>
      </c>
      <c r="W329" s="4">
        <f>IF(ISERROR(VLOOKUP($T$329,'TAR FIN'!$A$1:$O$99,15,0)),0,VLOOKUP($T$329,'TAR FIN'!$A$1:$O$99,15,0))</f>
        <v>0</v>
      </c>
      <c r="X329" s="4">
        <f>IF(ISERROR(VLOOKUP($U$329,'TAR FIN'!$A$1:$O$99,15,0)),0,VLOOKUP($U$329,'TAR FIN'!$A$1:$O$99,15,0))</f>
        <v>0</v>
      </c>
      <c r="Y329" s="4">
        <f ca="1">('TUSD BE'!$AM$9+'TUSD BF'!$AM$9+'TUSD CVA'!$AM$9)*1</f>
        <v>30.293418247257595</v>
      </c>
      <c r="Z329" s="4">
        <f ca="1">('TUSD BE'!$AM$11+'TUSD BF'!$AM$11+'TUSD CVA'!$AM$11)*1</f>
        <v>7.7987323869916398</v>
      </c>
      <c r="AA329" s="4"/>
      <c r="AB329" s="4">
        <f>$K$329*$V$329</f>
        <v>87079.3</v>
      </c>
      <c r="AC329" s="4">
        <f>$M$329*$W$329</f>
        <v>0</v>
      </c>
      <c r="AD329" s="4">
        <f>$O$329*$X$329</f>
        <v>0</v>
      </c>
      <c r="AE329" s="4">
        <f ca="1">$K$329*$Y$329</f>
        <v>91183.188924245362</v>
      </c>
      <c r="AF329" s="4">
        <f ca="1">$M$329*$Z$329</f>
        <v>0</v>
      </c>
      <c r="AG329" s="4">
        <f>$O$329*$AA$329</f>
        <v>0</v>
      </c>
    </row>
    <row r="330" spans="1:33" ht="11.25" customHeight="1" x14ac:dyDescent="0.25">
      <c r="A330" s="3" t="s">
        <v>21</v>
      </c>
      <c r="B330" s="3" t="s">
        <v>41</v>
      </c>
      <c r="C330" s="3" t="s">
        <v>61</v>
      </c>
      <c r="D330" s="3" t="s">
        <v>25</v>
      </c>
      <c r="E330" s="3" t="s">
        <v>25</v>
      </c>
      <c r="F330" s="3" t="s">
        <v>25</v>
      </c>
      <c r="G330" s="3" t="s">
        <v>62</v>
      </c>
      <c r="H330" s="3" t="s">
        <v>35</v>
      </c>
      <c r="I330" s="6">
        <v>44501</v>
      </c>
      <c r="J330" s="4">
        <v>3010</v>
      </c>
      <c r="K330" s="4">
        <v>3010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3" t="s">
        <v>63</v>
      </c>
      <c r="R330" s="3">
        <v>43</v>
      </c>
      <c r="S330" s="4">
        <v>96</v>
      </c>
      <c r="T330" s="4">
        <v>0</v>
      </c>
      <c r="U330" s="4">
        <v>0</v>
      </c>
      <c r="V330" s="4">
        <f>IF(ISERROR(VLOOKUP($S$330,'TAR FIN'!$A$1:$O$99,15,0)),0,VLOOKUP($S$330,'TAR FIN'!$A$1:$O$99,15,0))</f>
        <v>28.93</v>
      </c>
      <c r="W330" s="4">
        <f>IF(ISERROR(VLOOKUP($T$330,'TAR FIN'!$A$1:$O$99,15,0)),0,VLOOKUP($T$330,'TAR FIN'!$A$1:$O$99,15,0))</f>
        <v>0</v>
      </c>
      <c r="X330" s="4">
        <f>IF(ISERROR(VLOOKUP($U$330,'TAR FIN'!$A$1:$O$99,15,0)),0,VLOOKUP($U$330,'TAR FIN'!$A$1:$O$99,15,0))</f>
        <v>0</v>
      </c>
      <c r="Y330" s="4">
        <f ca="1">('TUSD BE'!$AM$9+'TUSD BF'!$AM$9+'TUSD CVA'!$AM$9)*1</f>
        <v>30.293418247257595</v>
      </c>
      <c r="Z330" s="4">
        <f ca="1">('TUSD BE'!$AM$11+'TUSD BF'!$AM$11+'TUSD CVA'!$AM$11)*1</f>
        <v>7.7987323869916398</v>
      </c>
      <c r="AA330" s="4"/>
      <c r="AB330" s="4">
        <f>$K$330*$V$330</f>
        <v>87079.3</v>
      </c>
      <c r="AC330" s="4">
        <f>$M$330*$W$330</f>
        <v>0</v>
      </c>
      <c r="AD330" s="4">
        <f>$O$330*$X$330</f>
        <v>0</v>
      </c>
      <c r="AE330" s="4">
        <f ca="1">$K$330*$Y$330</f>
        <v>91183.188924245362</v>
      </c>
      <c r="AF330" s="4">
        <f ca="1">$M$330*$Z$330</f>
        <v>0</v>
      </c>
      <c r="AG330" s="4">
        <f>$O$330*$AA$330</f>
        <v>0</v>
      </c>
    </row>
    <row r="331" spans="1:33" ht="11.25" customHeight="1" x14ac:dyDescent="0.25">
      <c r="A331" s="3" t="s">
        <v>21</v>
      </c>
      <c r="B331" s="3" t="s">
        <v>41</v>
      </c>
      <c r="C331" s="3" t="s">
        <v>61</v>
      </c>
      <c r="D331" s="3" t="s">
        <v>25</v>
      </c>
      <c r="E331" s="3" t="s">
        <v>25</v>
      </c>
      <c r="F331" s="3" t="s">
        <v>25</v>
      </c>
      <c r="G331" s="3" t="s">
        <v>62</v>
      </c>
      <c r="H331" s="3" t="s">
        <v>35</v>
      </c>
      <c r="I331" s="6">
        <v>44531</v>
      </c>
      <c r="J331" s="4">
        <v>3010</v>
      </c>
      <c r="K331" s="4">
        <v>3010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3" t="s">
        <v>63</v>
      </c>
      <c r="R331" s="3">
        <v>43</v>
      </c>
      <c r="S331" s="4">
        <v>96</v>
      </c>
      <c r="T331" s="4">
        <v>0</v>
      </c>
      <c r="U331" s="4">
        <v>0</v>
      </c>
      <c r="V331" s="4">
        <f>IF(ISERROR(VLOOKUP($S$331,'TAR FIN'!$A$1:$O$99,15,0)),0,VLOOKUP($S$331,'TAR FIN'!$A$1:$O$99,15,0))</f>
        <v>28.93</v>
      </c>
      <c r="W331" s="4">
        <f>IF(ISERROR(VLOOKUP($T$331,'TAR FIN'!$A$1:$O$99,15,0)),0,VLOOKUP($T$331,'TAR FIN'!$A$1:$O$99,15,0))</f>
        <v>0</v>
      </c>
      <c r="X331" s="4">
        <f>IF(ISERROR(VLOOKUP($U$331,'TAR FIN'!$A$1:$O$99,15,0)),0,VLOOKUP($U$331,'TAR FIN'!$A$1:$O$99,15,0))</f>
        <v>0</v>
      </c>
      <c r="Y331" s="4">
        <f ca="1">('TUSD BE'!$AM$9+'TUSD BF'!$AM$9+'TUSD CVA'!$AM$9)*1</f>
        <v>30.293418247257595</v>
      </c>
      <c r="Z331" s="4">
        <f ca="1">('TUSD BE'!$AM$11+'TUSD BF'!$AM$11+'TUSD CVA'!$AM$11)*1</f>
        <v>7.7987323869916398</v>
      </c>
      <c r="AA331" s="4"/>
      <c r="AB331" s="4">
        <f>$K$331*$V$331</f>
        <v>87079.3</v>
      </c>
      <c r="AC331" s="4">
        <f>$M$331*$W$331</f>
        <v>0</v>
      </c>
      <c r="AD331" s="4">
        <f>$O$331*$X$331</f>
        <v>0</v>
      </c>
      <c r="AE331" s="4">
        <f ca="1">$K$331*$Y$331</f>
        <v>91183.188924245362</v>
      </c>
      <c r="AF331" s="4">
        <f ca="1">$M$331*$Z$331</f>
        <v>0</v>
      </c>
      <c r="AG331" s="4">
        <f>$O$331*$AA$331</f>
        <v>0</v>
      </c>
    </row>
    <row r="332" spans="1:33" ht="11.25" customHeight="1" x14ac:dyDescent="0.25">
      <c r="A332" s="3" t="s">
        <v>21</v>
      </c>
      <c r="B332" s="3" t="s">
        <v>41</v>
      </c>
      <c r="C332" s="3" t="s">
        <v>61</v>
      </c>
      <c r="D332" s="3" t="s">
        <v>25</v>
      </c>
      <c r="E332" s="3" t="s">
        <v>25</v>
      </c>
      <c r="F332" s="3" t="s">
        <v>25</v>
      </c>
      <c r="G332" s="3" t="s">
        <v>62</v>
      </c>
      <c r="H332" s="3" t="s">
        <v>35</v>
      </c>
      <c r="I332" s="6">
        <v>44562</v>
      </c>
      <c r="J332" s="4">
        <v>3010</v>
      </c>
      <c r="K332" s="4">
        <v>3010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3" t="s">
        <v>63</v>
      </c>
      <c r="R332" s="3">
        <v>43</v>
      </c>
      <c r="S332" s="4">
        <v>96</v>
      </c>
      <c r="T332" s="4">
        <v>0</v>
      </c>
      <c r="U332" s="4">
        <v>0</v>
      </c>
      <c r="V332" s="4">
        <f>IF(ISERROR(VLOOKUP($S$332,'TAR FIN'!$A$1:$O$99,15,0)),0,VLOOKUP($S$332,'TAR FIN'!$A$1:$O$99,15,0))</f>
        <v>28.93</v>
      </c>
      <c r="W332" s="4">
        <f>IF(ISERROR(VLOOKUP($T$332,'TAR FIN'!$A$1:$O$99,15,0)),0,VLOOKUP($T$332,'TAR FIN'!$A$1:$O$99,15,0))</f>
        <v>0</v>
      </c>
      <c r="X332" s="4">
        <f>IF(ISERROR(VLOOKUP($U$332,'TAR FIN'!$A$1:$O$99,15,0)),0,VLOOKUP($U$332,'TAR FIN'!$A$1:$O$99,15,0))</f>
        <v>0</v>
      </c>
      <c r="Y332" s="4">
        <f ca="1">('TUSD BE'!$AM$9+'TUSD BF'!$AM$9+'TUSD CVA'!$AM$9)*1</f>
        <v>30.293418247257595</v>
      </c>
      <c r="Z332" s="4">
        <f ca="1">('TUSD BE'!$AM$11+'TUSD BF'!$AM$11+'TUSD CVA'!$AM$11)*1</f>
        <v>7.7987323869916398</v>
      </c>
      <c r="AA332" s="4"/>
      <c r="AB332" s="4">
        <f>$K$332*$V$332</f>
        <v>87079.3</v>
      </c>
      <c r="AC332" s="4">
        <f>$M$332*$W$332</f>
        <v>0</v>
      </c>
      <c r="AD332" s="4">
        <f>$O$332*$X$332</f>
        <v>0</v>
      </c>
      <c r="AE332" s="4">
        <f ca="1">$K$332*$Y$332</f>
        <v>91183.188924245362</v>
      </c>
      <c r="AF332" s="4">
        <f ca="1">$M$332*$Z$332</f>
        <v>0</v>
      </c>
      <c r="AG332" s="4">
        <f>$O$332*$AA$332</f>
        <v>0</v>
      </c>
    </row>
    <row r="333" spans="1:33" ht="11.25" customHeight="1" x14ac:dyDescent="0.25">
      <c r="A333" s="3" t="s">
        <v>21</v>
      </c>
      <c r="B333" s="3" t="s">
        <v>41</v>
      </c>
      <c r="C333" s="3" t="s">
        <v>61</v>
      </c>
      <c r="D333" s="3" t="s">
        <v>25</v>
      </c>
      <c r="E333" s="3" t="s">
        <v>25</v>
      </c>
      <c r="F333" s="3" t="s">
        <v>25</v>
      </c>
      <c r="G333" s="3" t="s">
        <v>62</v>
      </c>
      <c r="H333" s="3" t="s">
        <v>35</v>
      </c>
      <c r="I333" s="6">
        <v>44593</v>
      </c>
      <c r="J333" s="4">
        <v>3010</v>
      </c>
      <c r="K333" s="4">
        <v>3010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3" t="s">
        <v>63</v>
      </c>
      <c r="R333" s="3">
        <v>43</v>
      </c>
      <c r="S333" s="4">
        <v>96</v>
      </c>
      <c r="T333" s="4">
        <v>0</v>
      </c>
      <c r="U333" s="4">
        <v>0</v>
      </c>
      <c r="V333" s="4">
        <f>IF(ISERROR(VLOOKUP($S$333,'TAR FIN'!$A$1:$O$99,15,0)),0,VLOOKUP($S$333,'TAR FIN'!$A$1:$O$99,15,0))</f>
        <v>28.93</v>
      </c>
      <c r="W333" s="4">
        <f>IF(ISERROR(VLOOKUP($T$333,'TAR FIN'!$A$1:$O$99,15,0)),0,VLOOKUP($T$333,'TAR FIN'!$A$1:$O$99,15,0))</f>
        <v>0</v>
      </c>
      <c r="X333" s="4">
        <f>IF(ISERROR(VLOOKUP($U$333,'TAR FIN'!$A$1:$O$99,15,0)),0,VLOOKUP($U$333,'TAR FIN'!$A$1:$O$99,15,0))</f>
        <v>0</v>
      </c>
      <c r="Y333" s="4">
        <f ca="1">('TUSD BE'!$AM$9+'TUSD BF'!$AM$9+'TUSD CVA'!$AM$9)*1</f>
        <v>30.293418247257595</v>
      </c>
      <c r="Z333" s="4">
        <f ca="1">('TUSD BE'!$AM$11+'TUSD BF'!$AM$11+'TUSD CVA'!$AM$11)*1</f>
        <v>7.7987323869916398</v>
      </c>
      <c r="AA333" s="4"/>
      <c r="AB333" s="4">
        <f>$K$333*$V$333</f>
        <v>87079.3</v>
      </c>
      <c r="AC333" s="4">
        <f>$M$333*$W$333</f>
        <v>0</v>
      </c>
      <c r="AD333" s="4">
        <f>$O$333*$X$333</f>
        <v>0</v>
      </c>
      <c r="AE333" s="4">
        <f ca="1">$K$333*$Y$333</f>
        <v>91183.188924245362</v>
      </c>
      <c r="AF333" s="4">
        <f ca="1">$M$333*$Z$333</f>
        <v>0</v>
      </c>
      <c r="AG333" s="4">
        <f>$O$333*$AA$333</f>
        <v>0</v>
      </c>
    </row>
    <row r="334" spans="1:33" ht="11.25" customHeight="1" x14ac:dyDescent="0.25">
      <c r="A334" s="3" t="s">
        <v>21</v>
      </c>
      <c r="B334" s="3" t="s">
        <v>41</v>
      </c>
      <c r="C334" s="3" t="s">
        <v>61</v>
      </c>
      <c r="D334" s="3" t="s">
        <v>25</v>
      </c>
      <c r="E334" s="3" t="s">
        <v>25</v>
      </c>
      <c r="F334" s="3" t="s">
        <v>25</v>
      </c>
      <c r="G334" s="3" t="s">
        <v>62</v>
      </c>
      <c r="H334" s="3" t="s">
        <v>35</v>
      </c>
      <c r="I334" s="6">
        <v>44621</v>
      </c>
      <c r="J334" s="4">
        <v>3010</v>
      </c>
      <c r="K334" s="4">
        <v>3010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3" t="s">
        <v>63</v>
      </c>
      <c r="R334" s="3">
        <v>43</v>
      </c>
      <c r="S334" s="4">
        <v>96</v>
      </c>
      <c r="T334" s="4">
        <v>0</v>
      </c>
      <c r="U334" s="4">
        <v>0</v>
      </c>
      <c r="V334" s="4">
        <f>IF(ISERROR(VLOOKUP($S$334,'TAR FIN'!$A$1:$O$99,15,0)),0,VLOOKUP($S$334,'TAR FIN'!$A$1:$O$99,15,0))</f>
        <v>28.93</v>
      </c>
      <c r="W334" s="4">
        <f>IF(ISERROR(VLOOKUP($T$334,'TAR FIN'!$A$1:$O$99,15,0)),0,VLOOKUP($T$334,'TAR FIN'!$A$1:$O$99,15,0))</f>
        <v>0</v>
      </c>
      <c r="X334" s="4">
        <f>IF(ISERROR(VLOOKUP($U$334,'TAR FIN'!$A$1:$O$99,15,0)),0,VLOOKUP($U$334,'TAR FIN'!$A$1:$O$99,15,0))</f>
        <v>0</v>
      </c>
      <c r="Y334" s="4">
        <f ca="1">('TUSD BE'!$AM$9+'TUSD BF'!$AM$9+'TUSD CVA'!$AM$9)*1</f>
        <v>30.293418247257595</v>
      </c>
      <c r="Z334" s="4">
        <f ca="1">('TUSD BE'!$AM$11+'TUSD BF'!$AM$11+'TUSD CVA'!$AM$11)*1</f>
        <v>7.7987323869916398</v>
      </c>
      <c r="AA334" s="4"/>
      <c r="AB334" s="4">
        <f>$K$334*$V$334</f>
        <v>87079.3</v>
      </c>
      <c r="AC334" s="4">
        <f>$M$334*$W$334</f>
        <v>0</v>
      </c>
      <c r="AD334" s="4">
        <f>$O$334*$X$334</f>
        <v>0</v>
      </c>
      <c r="AE334" s="4">
        <f ca="1">$K$334*$Y$334</f>
        <v>91183.188924245362</v>
      </c>
      <c r="AF334" s="4">
        <f ca="1">$M$334*$Z$334</f>
        <v>0</v>
      </c>
      <c r="AG334" s="4">
        <f>$O$334*$AA$334</f>
        <v>0</v>
      </c>
    </row>
    <row r="335" spans="1:33" ht="11.25" customHeight="1" x14ac:dyDescent="0.25">
      <c r="A335" s="3" t="s">
        <v>56</v>
      </c>
      <c r="B335" s="3" t="s">
        <v>41</v>
      </c>
      <c r="C335" s="3" t="s">
        <v>61</v>
      </c>
      <c r="D335" s="3" t="s">
        <v>25</v>
      </c>
      <c r="E335" s="3" t="s">
        <v>25</v>
      </c>
      <c r="F335" s="3" t="s">
        <v>25</v>
      </c>
      <c r="G335" s="3" t="s">
        <v>62</v>
      </c>
      <c r="H335" s="3" t="s">
        <v>35</v>
      </c>
      <c r="I335" s="6">
        <v>44652</v>
      </c>
      <c r="J335" s="4">
        <v>3010</v>
      </c>
      <c r="K335" s="4">
        <v>3010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3" t="s">
        <v>63</v>
      </c>
      <c r="R335" s="3">
        <v>43</v>
      </c>
      <c r="S335" s="4">
        <v>96</v>
      </c>
      <c r="T335" s="4">
        <v>0</v>
      </c>
      <c r="U335" s="4">
        <v>0</v>
      </c>
      <c r="V335" s="4">
        <f>IF(ISERROR(VLOOKUP($S$335,'TAR FIN'!$A$1:$O$99,15,0)),0,VLOOKUP($S$335,'TAR FIN'!$A$1:$O$99,15,0))</f>
        <v>28.93</v>
      </c>
      <c r="W335" s="4">
        <f>IF(ISERROR(VLOOKUP($T$335,'TAR FIN'!$A$1:$O$99,15,0)),0,VLOOKUP($T$335,'TAR FIN'!$A$1:$O$99,15,0))</f>
        <v>0</v>
      </c>
      <c r="X335" s="4">
        <f>IF(ISERROR(VLOOKUP($U$335,'TAR FIN'!$A$1:$O$99,15,0)),0,VLOOKUP($U$335,'TAR FIN'!$A$1:$O$99,15,0))</f>
        <v>0</v>
      </c>
      <c r="Y335" s="4">
        <f ca="1">('TUSD BE'!$AM$9+'TUSD BF'!$AM$9+'TUSD CVA'!$AM$9)*1</f>
        <v>30.293418247257595</v>
      </c>
      <c r="Z335" s="4">
        <f ca="1">('TUSD BE'!$AM$11+'TUSD BF'!$AM$11+'TUSD CVA'!$AM$11)*1</f>
        <v>7.7987323869916398</v>
      </c>
      <c r="AA335" s="4"/>
      <c r="AB335" s="4">
        <f>$K$335*$V$335</f>
        <v>87079.3</v>
      </c>
      <c r="AC335" s="4">
        <f>$M$335*$W$335</f>
        <v>0</v>
      </c>
      <c r="AD335" s="4">
        <f>$O$335*$X$335</f>
        <v>0</v>
      </c>
      <c r="AE335" s="4">
        <f ca="1">$K$335*$Y$335</f>
        <v>91183.188924245362</v>
      </c>
      <c r="AF335" s="4">
        <f ca="1">$M$335*$Z$335</f>
        <v>0</v>
      </c>
      <c r="AG335" s="4">
        <f>$O$335*$AA$335</f>
        <v>0</v>
      </c>
    </row>
    <row r="336" spans="1:33" ht="11.25" customHeight="1" x14ac:dyDescent="0.25">
      <c r="A336" s="3" t="s">
        <v>21</v>
      </c>
      <c r="B336" s="3" t="s">
        <v>41</v>
      </c>
      <c r="C336" s="3" t="s">
        <v>64</v>
      </c>
      <c r="D336" s="3" t="s">
        <v>25</v>
      </c>
      <c r="E336" s="3" t="s">
        <v>25</v>
      </c>
      <c r="F336" s="3" t="s">
        <v>65</v>
      </c>
      <c r="G336" s="3" t="s">
        <v>66</v>
      </c>
      <c r="H336" s="3" t="s">
        <v>25</v>
      </c>
      <c r="I336" s="6">
        <v>44317</v>
      </c>
      <c r="J336" s="4">
        <v>2305</v>
      </c>
      <c r="K336" s="4">
        <v>1152.5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3" t="s">
        <v>67</v>
      </c>
      <c r="R336" s="3">
        <v>28542</v>
      </c>
      <c r="S336" s="4">
        <v>90</v>
      </c>
      <c r="T336" s="4">
        <v>0</v>
      </c>
      <c r="U336" s="4">
        <v>0</v>
      </c>
      <c r="V336" s="4">
        <f>IF(ISERROR(VLOOKUP($S$336,'TAR FIN'!$A$1:$O$99,15,0)),0,VLOOKUP($S$336,'TAR FIN'!$A$1:$O$99,15,0))</f>
        <v>13.97</v>
      </c>
      <c r="W336" s="4">
        <f>IF(ISERROR(VLOOKUP($T$336,'TAR FIN'!$A$1:$O$99,15,0)),0,VLOOKUP($T$336,'TAR FIN'!$A$1:$O$99,15,0))</f>
        <v>0</v>
      </c>
      <c r="X336" s="4">
        <f>IF(ISERROR(VLOOKUP($U$336,'TAR FIN'!$A$1:$O$99,15,0)),0,VLOOKUP($U$336,'TAR FIN'!$A$1:$O$99,15,0))</f>
        <v>0</v>
      </c>
      <c r="Y336" s="4">
        <f ca="1">('TUSD BE'!$AM$12+'TUSD BF'!$AM$12+'TUSD CVA'!$AM$12)*1</f>
        <v>17.253093882326908</v>
      </c>
      <c r="Z336" s="4"/>
      <c r="AA336" s="4"/>
      <c r="AB336" s="4">
        <f>$K$336*$V$336</f>
        <v>16100.425000000001</v>
      </c>
      <c r="AC336" s="4">
        <f>$M$336*$W$336</f>
        <v>0</v>
      </c>
      <c r="AD336" s="4">
        <f>$O$336*$X$336</f>
        <v>0</v>
      </c>
      <c r="AE336" s="4">
        <f ca="1">$K$336*$Y$336</f>
        <v>19884.190699381761</v>
      </c>
      <c r="AF336" s="4">
        <f>$M$336*$Z$336</f>
        <v>0</v>
      </c>
      <c r="AG336" s="4">
        <f>$O$336*$AA$336</f>
        <v>0</v>
      </c>
    </row>
    <row r="337" spans="1:33" ht="11.25" customHeight="1" x14ac:dyDescent="0.25">
      <c r="A337" s="3" t="s">
        <v>21</v>
      </c>
      <c r="B337" s="3" t="s">
        <v>41</v>
      </c>
      <c r="C337" s="3" t="s">
        <v>64</v>
      </c>
      <c r="D337" s="3" t="s">
        <v>25</v>
      </c>
      <c r="E337" s="3" t="s">
        <v>25</v>
      </c>
      <c r="F337" s="3" t="s">
        <v>65</v>
      </c>
      <c r="G337" s="3" t="s">
        <v>70</v>
      </c>
      <c r="H337" s="3" t="s">
        <v>25</v>
      </c>
      <c r="I337" s="6">
        <v>44317</v>
      </c>
      <c r="J337" s="4">
        <v>14270</v>
      </c>
      <c r="K337" s="4">
        <v>7580.9375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3" t="s">
        <v>67</v>
      </c>
      <c r="R337" s="3">
        <v>29161</v>
      </c>
      <c r="S337" s="4">
        <v>90</v>
      </c>
      <c r="T337" s="4">
        <v>0</v>
      </c>
      <c r="U337" s="4">
        <v>0</v>
      </c>
      <c r="V337" s="4">
        <f>IF(ISERROR(VLOOKUP($S$337,'TAR FIN'!$A$1:$O$99,15,0)),0,VLOOKUP($S$337,'TAR FIN'!$A$1:$O$99,15,0))</f>
        <v>13.97</v>
      </c>
      <c r="W337" s="4">
        <f>IF(ISERROR(VLOOKUP($T$337,'TAR FIN'!$A$1:$O$99,15,0)),0,VLOOKUP($T$337,'TAR FIN'!$A$1:$O$99,15,0))</f>
        <v>0</v>
      </c>
      <c r="X337" s="4">
        <f>IF(ISERROR(VLOOKUP($U$337,'TAR FIN'!$A$1:$O$99,15,0)),0,VLOOKUP($U$337,'TAR FIN'!$A$1:$O$99,15,0))</f>
        <v>0</v>
      </c>
      <c r="Y337" s="4">
        <f ca="1">('TUSD BE'!$AM$12+'TUSD BF'!$AM$12+'TUSD CVA'!$AM$12)*1</f>
        <v>17.253093882326908</v>
      </c>
      <c r="Z337" s="4"/>
      <c r="AA337" s="4"/>
      <c r="AB337" s="4">
        <f>$K$337*$V$337</f>
        <v>105905.69687500001</v>
      </c>
      <c r="AC337" s="4">
        <f>$M$337*$W$337</f>
        <v>0</v>
      </c>
      <c r="AD337" s="4">
        <f>$O$337*$X$337</f>
        <v>0</v>
      </c>
      <c r="AE337" s="4">
        <f ca="1">$K$337*$Y$337</f>
        <v>130794.62640355264</v>
      </c>
      <c r="AF337" s="4">
        <f>$M$337*$Z$337</f>
        <v>0</v>
      </c>
      <c r="AG337" s="4">
        <f>$O$337*$AA$337</f>
        <v>0</v>
      </c>
    </row>
    <row r="338" spans="1:33" ht="11.25" customHeight="1" x14ac:dyDescent="0.25">
      <c r="A338" s="3" t="s">
        <v>21</v>
      </c>
      <c r="B338" s="3" t="s">
        <v>41</v>
      </c>
      <c r="C338" s="3" t="s">
        <v>64</v>
      </c>
      <c r="D338" s="3" t="s">
        <v>25</v>
      </c>
      <c r="E338" s="3" t="s">
        <v>25</v>
      </c>
      <c r="F338" s="3" t="s">
        <v>65</v>
      </c>
      <c r="G338" s="3" t="s">
        <v>71</v>
      </c>
      <c r="H338" s="3" t="s">
        <v>25</v>
      </c>
      <c r="I338" s="6">
        <v>44317</v>
      </c>
      <c r="J338" s="4">
        <v>30000</v>
      </c>
      <c r="K338" s="4">
        <v>15000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3" t="s">
        <v>67</v>
      </c>
      <c r="R338" s="3">
        <v>30048</v>
      </c>
      <c r="S338" s="4">
        <v>90</v>
      </c>
      <c r="T338" s="4">
        <v>0</v>
      </c>
      <c r="U338" s="4">
        <v>0</v>
      </c>
      <c r="V338" s="4">
        <f>IF(ISERROR(VLOOKUP($S$338,'TAR FIN'!$A$1:$O$99,15,0)),0,VLOOKUP($S$338,'TAR FIN'!$A$1:$O$99,15,0))</f>
        <v>13.97</v>
      </c>
      <c r="W338" s="4">
        <f>IF(ISERROR(VLOOKUP($T$338,'TAR FIN'!$A$1:$O$99,15,0)),0,VLOOKUP($T$338,'TAR FIN'!$A$1:$O$99,15,0))</f>
        <v>0</v>
      </c>
      <c r="X338" s="4">
        <f>IF(ISERROR(VLOOKUP($U$338,'TAR FIN'!$A$1:$O$99,15,0)),0,VLOOKUP($U$338,'TAR FIN'!$A$1:$O$99,15,0))</f>
        <v>0</v>
      </c>
      <c r="Y338" s="4">
        <f ca="1">('TUSD BE'!$AM$12+'TUSD BF'!$AM$12+'TUSD CVA'!$AM$12)*1</f>
        <v>17.253093882326908</v>
      </c>
      <c r="Z338" s="4"/>
      <c r="AA338" s="4"/>
      <c r="AB338" s="4">
        <f>$K$338*$V$338</f>
        <v>209550</v>
      </c>
      <c r="AC338" s="4">
        <f>$M$338*$W$338</f>
        <v>0</v>
      </c>
      <c r="AD338" s="4">
        <f>$O$338*$X$338</f>
        <v>0</v>
      </c>
      <c r="AE338" s="4">
        <f ca="1">$K$338*$Y$338</f>
        <v>258796.40823490362</v>
      </c>
      <c r="AF338" s="4">
        <f>$M$338*$Z$338</f>
        <v>0</v>
      </c>
      <c r="AG338" s="4">
        <f>$O$338*$AA$338</f>
        <v>0</v>
      </c>
    </row>
    <row r="339" spans="1:33" ht="11.25" customHeight="1" x14ac:dyDescent="0.25">
      <c r="A339" s="3" t="s">
        <v>21</v>
      </c>
      <c r="B339" s="3" t="s">
        <v>41</v>
      </c>
      <c r="C339" s="3" t="s">
        <v>64</v>
      </c>
      <c r="D339" s="3" t="s">
        <v>25</v>
      </c>
      <c r="E339" s="3" t="s">
        <v>25</v>
      </c>
      <c r="F339" s="3" t="s">
        <v>65</v>
      </c>
      <c r="G339" s="3" t="s">
        <v>73</v>
      </c>
      <c r="H339" s="3" t="s">
        <v>25</v>
      </c>
      <c r="I339" s="6">
        <v>44317</v>
      </c>
      <c r="J339" s="4">
        <v>16500</v>
      </c>
      <c r="K339" s="4">
        <v>8250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3" t="s">
        <v>67</v>
      </c>
      <c r="R339" s="3">
        <v>31371</v>
      </c>
      <c r="S339" s="4">
        <v>90</v>
      </c>
      <c r="T339" s="4">
        <v>0</v>
      </c>
      <c r="U339" s="4">
        <v>0</v>
      </c>
      <c r="V339" s="4">
        <f>IF(ISERROR(VLOOKUP($S$339,'TAR FIN'!$A$1:$O$99,15,0)),0,VLOOKUP($S$339,'TAR FIN'!$A$1:$O$99,15,0))</f>
        <v>13.97</v>
      </c>
      <c r="W339" s="4">
        <f>IF(ISERROR(VLOOKUP($T$339,'TAR FIN'!$A$1:$O$99,15,0)),0,VLOOKUP($T$339,'TAR FIN'!$A$1:$O$99,15,0))</f>
        <v>0</v>
      </c>
      <c r="X339" s="4">
        <f>IF(ISERROR(VLOOKUP($U$339,'TAR FIN'!$A$1:$O$99,15,0)),0,VLOOKUP($U$339,'TAR FIN'!$A$1:$O$99,15,0))</f>
        <v>0</v>
      </c>
      <c r="Y339" s="4">
        <f ca="1">('TUSD BE'!$AM$12+'TUSD BF'!$AM$12+'TUSD CVA'!$AM$12)*1</f>
        <v>17.253093882326908</v>
      </c>
      <c r="Z339" s="4"/>
      <c r="AA339" s="4"/>
      <c r="AB339" s="4">
        <f>$K$339*$V$339</f>
        <v>115252.5</v>
      </c>
      <c r="AC339" s="4">
        <f>$M$339*$W$339</f>
        <v>0</v>
      </c>
      <c r="AD339" s="4">
        <f>$O$339*$X$339</f>
        <v>0</v>
      </c>
      <c r="AE339" s="4">
        <f ca="1">$K$339*$Y$339</f>
        <v>142338.02452919699</v>
      </c>
      <c r="AF339" s="4">
        <f>$M$339*$Z$339</f>
        <v>0</v>
      </c>
      <c r="AG339" s="4">
        <f>$O$339*$AA$339</f>
        <v>0</v>
      </c>
    </row>
    <row r="340" spans="1:33" ht="11.25" customHeight="1" x14ac:dyDescent="0.25">
      <c r="A340" s="3" t="s">
        <v>21</v>
      </c>
      <c r="B340" s="3" t="s">
        <v>41</v>
      </c>
      <c r="C340" s="3" t="s">
        <v>64</v>
      </c>
      <c r="D340" s="3" t="s">
        <v>25</v>
      </c>
      <c r="E340" s="3" t="s">
        <v>25</v>
      </c>
      <c r="F340" s="3" t="s">
        <v>65</v>
      </c>
      <c r="G340" s="3" t="s">
        <v>66</v>
      </c>
      <c r="H340" s="3" t="s">
        <v>25</v>
      </c>
      <c r="I340" s="6">
        <v>44348</v>
      </c>
      <c r="J340" s="4">
        <v>2317</v>
      </c>
      <c r="K340" s="4">
        <v>1158.5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3" t="s">
        <v>67</v>
      </c>
      <c r="R340" s="3">
        <v>28542</v>
      </c>
      <c r="S340" s="4">
        <v>90</v>
      </c>
      <c r="T340" s="4">
        <v>0</v>
      </c>
      <c r="U340" s="4">
        <v>0</v>
      </c>
      <c r="V340" s="4">
        <f>IF(ISERROR(VLOOKUP($S$340,'TAR FIN'!$A$1:$O$99,15,0)),0,VLOOKUP($S$340,'TAR FIN'!$A$1:$O$99,15,0))</f>
        <v>13.97</v>
      </c>
      <c r="W340" s="4">
        <f>IF(ISERROR(VLOOKUP($T$340,'TAR FIN'!$A$1:$O$99,15,0)),0,VLOOKUP($T$340,'TAR FIN'!$A$1:$O$99,15,0))</f>
        <v>0</v>
      </c>
      <c r="X340" s="4">
        <f>IF(ISERROR(VLOOKUP($U$340,'TAR FIN'!$A$1:$O$99,15,0)),0,VLOOKUP($U$340,'TAR FIN'!$A$1:$O$99,15,0))</f>
        <v>0</v>
      </c>
      <c r="Y340" s="4">
        <f ca="1">('TUSD BE'!$AM$12+'TUSD BF'!$AM$12+'TUSD CVA'!$AM$12)*1</f>
        <v>17.253093882326908</v>
      </c>
      <c r="Z340" s="4"/>
      <c r="AA340" s="4"/>
      <c r="AB340" s="4">
        <f>$K$340*$V$340</f>
        <v>16184.245000000001</v>
      </c>
      <c r="AC340" s="4">
        <f>$M$340*$W$340</f>
        <v>0</v>
      </c>
      <c r="AD340" s="4">
        <f>$O$340*$X$340</f>
        <v>0</v>
      </c>
      <c r="AE340" s="4">
        <f ca="1">$K$340*$Y$340</f>
        <v>19987.709262675722</v>
      </c>
      <c r="AF340" s="4">
        <f>$M$340*$Z$340</f>
        <v>0</v>
      </c>
      <c r="AG340" s="4">
        <f>$O$340*$AA$340</f>
        <v>0</v>
      </c>
    </row>
    <row r="341" spans="1:33" ht="11.25" customHeight="1" x14ac:dyDescent="0.25">
      <c r="A341" s="3" t="s">
        <v>21</v>
      </c>
      <c r="B341" s="3" t="s">
        <v>41</v>
      </c>
      <c r="C341" s="3" t="s">
        <v>64</v>
      </c>
      <c r="D341" s="3" t="s">
        <v>25</v>
      </c>
      <c r="E341" s="3" t="s">
        <v>25</v>
      </c>
      <c r="F341" s="3" t="s">
        <v>65</v>
      </c>
      <c r="G341" s="3" t="s">
        <v>70</v>
      </c>
      <c r="H341" s="3" t="s">
        <v>25</v>
      </c>
      <c r="I341" s="6">
        <v>44348</v>
      </c>
      <c r="J341" s="4">
        <v>14250</v>
      </c>
      <c r="K341" s="4">
        <v>7570.3125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3" t="s">
        <v>67</v>
      </c>
      <c r="R341" s="3">
        <v>29161</v>
      </c>
      <c r="S341" s="4">
        <v>90</v>
      </c>
      <c r="T341" s="4">
        <v>0</v>
      </c>
      <c r="U341" s="4">
        <v>0</v>
      </c>
      <c r="V341" s="4">
        <f>IF(ISERROR(VLOOKUP($S$341,'TAR FIN'!$A$1:$O$99,15,0)),0,VLOOKUP($S$341,'TAR FIN'!$A$1:$O$99,15,0))</f>
        <v>13.97</v>
      </c>
      <c r="W341" s="4">
        <f>IF(ISERROR(VLOOKUP($T$341,'TAR FIN'!$A$1:$O$99,15,0)),0,VLOOKUP($T$341,'TAR FIN'!$A$1:$O$99,15,0))</f>
        <v>0</v>
      </c>
      <c r="X341" s="4">
        <f>IF(ISERROR(VLOOKUP($U$341,'TAR FIN'!$A$1:$O$99,15,0)),0,VLOOKUP($U$341,'TAR FIN'!$A$1:$O$99,15,0))</f>
        <v>0</v>
      </c>
      <c r="Y341" s="4">
        <f ca="1">('TUSD BE'!$AM$12+'TUSD BF'!$AM$12+'TUSD CVA'!$AM$12)*1</f>
        <v>17.253093882326908</v>
      </c>
      <c r="Z341" s="4"/>
      <c r="AA341" s="4"/>
      <c r="AB341" s="4">
        <f>$K$341*$V$341</f>
        <v>105757.265625</v>
      </c>
      <c r="AC341" s="4">
        <f>$M$341*$W$341</f>
        <v>0</v>
      </c>
      <c r="AD341" s="4">
        <f>$O$341*$X$341</f>
        <v>0</v>
      </c>
      <c r="AE341" s="4">
        <f ca="1">$K$341*$Y$341</f>
        <v>130611.31228105292</v>
      </c>
      <c r="AF341" s="4">
        <f>$M$341*$Z$341</f>
        <v>0</v>
      </c>
      <c r="AG341" s="4">
        <f>$O$341*$AA$341</f>
        <v>0</v>
      </c>
    </row>
    <row r="342" spans="1:33" ht="11.25" customHeight="1" x14ac:dyDescent="0.25">
      <c r="A342" s="3" t="s">
        <v>21</v>
      </c>
      <c r="B342" s="3" t="s">
        <v>41</v>
      </c>
      <c r="C342" s="3" t="s">
        <v>64</v>
      </c>
      <c r="D342" s="3" t="s">
        <v>25</v>
      </c>
      <c r="E342" s="3" t="s">
        <v>25</v>
      </c>
      <c r="F342" s="3" t="s">
        <v>65</v>
      </c>
      <c r="G342" s="3" t="s">
        <v>71</v>
      </c>
      <c r="H342" s="3" t="s">
        <v>25</v>
      </c>
      <c r="I342" s="6">
        <v>44348</v>
      </c>
      <c r="J342" s="4">
        <v>30000</v>
      </c>
      <c r="K342" s="4">
        <v>15000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3" t="s">
        <v>67</v>
      </c>
      <c r="R342" s="3">
        <v>30048</v>
      </c>
      <c r="S342" s="4">
        <v>90</v>
      </c>
      <c r="T342" s="4">
        <v>0</v>
      </c>
      <c r="U342" s="4">
        <v>0</v>
      </c>
      <c r="V342" s="4">
        <f>IF(ISERROR(VLOOKUP($S$342,'TAR FIN'!$A$1:$O$99,15,0)),0,VLOOKUP($S$342,'TAR FIN'!$A$1:$O$99,15,0))</f>
        <v>13.97</v>
      </c>
      <c r="W342" s="4">
        <f>IF(ISERROR(VLOOKUP($T$342,'TAR FIN'!$A$1:$O$99,15,0)),0,VLOOKUP($T$342,'TAR FIN'!$A$1:$O$99,15,0))</f>
        <v>0</v>
      </c>
      <c r="X342" s="4">
        <f>IF(ISERROR(VLOOKUP($U$342,'TAR FIN'!$A$1:$O$99,15,0)),0,VLOOKUP($U$342,'TAR FIN'!$A$1:$O$99,15,0))</f>
        <v>0</v>
      </c>
      <c r="Y342" s="4">
        <f ca="1">('TUSD BE'!$AM$12+'TUSD BF'!$AM$12+'TUSD CVA'!$AM$12)*1</f>
        <v>17.253093882326908</v>
      </c>
      <c r="Z342" s="4"/>
      <c r="AA342" s="4"/>
      <c r="AB342" s="4">
        <f>$K$342*$V$342</f>
        <v>209550</v>
      </c>
      <c r="AC342" s="4">
        <f>$M$342*$W$342</f>
        <v>0</v>
      </c>
      <c r="AD342" s="4">
        <f>$O$342*$X$342</f>
        <v>0</v>
      </c>
      <c r="AE342" s="4">
        <f ca="1">$K$342*$Y$342</f>
        <v>258796.40823490362</v>
      </c>
      <c r="AF342" s="4">
        <f>$M$342*$Z$342</f>
        <v>0</v>
      </c>
      <c r="AG342" s="4">
        <f>$O$342*$AA$342</f>
        <v>0</v>
      </c>
    </row>
    <row r="343" spans="1:33" ht="11.25" customHeight="1" x14ac:dyDescent="0.25">
      <c r="A343" s="3" t="s">
        <v>21</v>
      </c>
      <c r="B343" s="3" t="s">
        <v>41</v>
      </c>
      <c r="C343" s="3" t="s">
        <v>64</v>
      </c>
      <c r="D343" s="3" t="s">
        <v>25</v>
      </c>
      <c r="E343" s="3" t="s">
        <v>25</v>
      </c>
      <c r="F343" s="3" t="s">
        <v>65</v>
      </c>
      <c r="G343" s="3" t="s">
        <v>73</v>
      </c>
      <c r="H343" s="3" t="s">
        <v>25</v>
      </c>
      <c r="I343" s="6">
        <v>44348</v>
      </c>
      <c r="J343" s="4">
        <v>16500</v>
      </c>
      <c r="K343" s="4">
        <v>8250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3" t="s">
        <v>67</v>
      </c>
      <c r="R343" s="3">
        <v>31371</v>
      </c>
      <c r="S343" s="4">
        <v>90</v>
      </c>
      <c r="T343" s="4">
        <v>0</v>
      </c>
      <c r="U343" s="4">
        <v>0</v>
      </c>
      <c r="V343" s="4">
        <f>IF(ISERROR(VLOOKUP($S$343,'TAR FIN'!$A$1:$O$99,15,0)),0,VLOOKUP($S$343,'TAR FIN'!$A$1:$O$99,15,0))</f>
        <v>13.97</v>
      </c>
      <c r="W343" s="4">
        <f>IF(ISERROR(VLOOKUP($T$343,'TAR FIN'!$A$1:$O$99,15,0)),0,VLOOKUP($T$343,'TAR FIN'!$A$1:$O$99,15,0))</f>
        <v>0</v>
      </c>
      <c r="X343" s="4">
        <f>IF(ISERROR(VLOOKUP($U$343,'TAR FIN'!$A$1:$O$99,15,0)),0,VLOOKUP($U$343,'TAR FIN'!$A$1:$O$99,15,0))</f>
        <v>0</v>
      </c>
      <c r="Y343" s="4">
        <f ca="1">('TUSD BE'!$AM$12+'TUSD BF'!$AM$12+'TUSD CVA'!$AM$12)*1</f>
        <v>17.253093882326908</v>
      </c>
      <c r="Z343" s="4"/>
      <c r="AA343" s="4"/>
      <c r="AB343" s="4">
        <f>$K$343*$V$343</f>
        <v>115252.5</v>
      </c>
      <c r="AC343" s="4">
        <f>$M$343*$W$343</f>
        <v>0</v>
      </c>
      <c r="AD343" s="4">
        <f>$O$343*$X$343</f>
        <v>0</v>
      </c>
      <c r="AE343" s="4">
        <f ca="1">$K$343*$Y$343</f>
        <v>142338.02452919699</v>
      </c>
      <c r="AF343" s="4">
        <f>$M$343*$Z$343</f>
        <v>0</v>
      </c>
      <c r="AG343" s="4">
        <f>$O$343*$AA$343</f>
        <v>0</v>
      </c>
    </row>
    <row r="344" spans="1:33" ht="11.25" customHeight="1" x14ac:dyDescent="0.25">
      <c r="A344" s="3" t="s">
        <v>21</v>
      </c>
      <c r="B344" s="3" t="s">
        <v>41</v>
      </c>
      <c r="C344" s="3" t="s">
        <v>64</v>
      </c>
      <c r="D344" s="3" t="s">
        <v>25</v>
      </c>
      <c r="E344" s="3" t="s">
        <v>25</v>
      </c>
      <c r="F344" s="3" t="s">
        <v>65</v>
      </c>
      <c r="G344" s="3" t="s">
        <v>66</v>
      </c>
      <c r="H344" s="3" t="s">
        <v>25</v>
      </c>
      <c r="I344" s="6">
        <v>44378</v>
      </c>
      <c r="J344" s="4">
        <v>2342</v>
      </c>
      <c r="K344" s="4">
        <v>1171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3" t="s">
        <v>67</v>
      </c>
      <c r="R344" s="3">
        <v>28542</v>
      </c>
      <c r="S344" s="4">
        <v>90</v>
      </c>
      <c r="T344" s="4">
        <v>0</v>
      </c>
      <c r="U344" s="4">
        <v>0</v>
      </c>
      <c r="V344" s="4">
        <f>IF(ISERROR(VLOOKUP($S$344,'TAR FIN'!$A$1:$O$99,15,0)),0,VLOOKUP($S$344,'TAR FIN'!$A$1:$O$99,15,0))</f>
        <v>13.97</v>
      </c>
      <c r="W344" s="4">
        <f>IF(ISERROR(VLOOKUP($T$344,'TAR FIN'!$A$1:$O$99,15,0)),0,VLOOKUP($T$344,'TAR FIN'!$A$1:$O$99,15,0))</f>
        <v>0</v>
      </c>
      <c r="X344" s="4">
        <f>IF(ISERROR(VLOOKUP($U$344,'TAR FIN'!$A$1:$O$99,15,0)),0,VLOOKUP($U$344,'TAR FIN'!$A$1:$O$99,15,0))</f>
        <v>0</v>
      </c>
      <c r="Y344" s="4">
        <f ca="1">('TUSD BE'!$AM$12+'TUSD BF'!$AM$12+'TUSD CVA'!$AM$12)*1</f>
        <v>17.253093882326908</v>
      </c>
      <c r="Z344" s="4"/>
      <c r="AA344" s="4"/>
      <c r="AB344" s="4">
        <f>$K$344*$V$344</f>
        <v>16358.87</v>
      </c>
      <c r="AC344" s="4">
        <f>$M$344*$W$344</f>
        <v>0</v>
      </c>
      <c r="AD344" s="4">
        <f>$O$344*$X$344</f>
        <v>0</v>
      </c>
      <c r="AE344" s="4">
        <f ca="1">$K$344*$Y$344</f>
        <v>20203.372936204811</v>
      </c>
      <c r="AF344" s="4">
        <f>$M$344*$Z$344</f>
        <v>0</v>
      </c>
      <c r="AG344" s="4">
        <f>$O$344*$AA$344</f>
        <v>0</v>
      </c>
    </row>
    <row r="345" spans="1:33" ht="11.25" customHeight="1" x14ac:dyDescent="0.25">
      <c r="A345" s="3" t="s">
        <v>21</v>
      </c>
      <c r="B345" s="3" t="s">
        <v>41</v>
      </c>
      <c r="C345" s="3" t="s">
        <v>64</v>
      </c>
      <c r="D345" s="3" t="s">
        <v>25</v>
      </c>
      <c r="E345" s="3" t="s">
        <v>25</v>
      </c>
      <c r="F345" s="3" t="s">
        <v>65</v>
      </c>
      <c r="G345" s="3" t="s">
        <v>70</v>
      </c>
      <c r="H345" s="3" t="s">
        <v>25</v>
      </c>
      <c r="I345" s="6">
        <v>44378</v>
      </c>
      <c r="J345" s="4">
        <v>15428</v>
      </c>
      <c r="K345" s="4">
        <v>8196.125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3" t="s">
        <v>67</v>
      </c>
      <c r="R345" s="3">
        <v>29161</v>
      </c>
      <c r="S345" s="4">
        <v>90</v>
      </c>
      <c r="T345" s="4">
        <v>0</v>
      </c>
      <c r="U345" s="4">
        <v>0</v>
      </c>
      <c r="V345" s="4">
        <f>IF(ISERROR(VLOOKUP($S$345,'TAR FIN'!$A$1:$O$99,15,0)),0,VLOOKUP($S$345,'TAR FIN'!$A$1:$O$99,15,0))</f>
        <v>13.97</v>
      </c>
      <c r="W345" s="4">
        <f>IF(ISERROR(VLOOKUP($T$345,'TAR FIN'!$A$1:$O$99,15,0)),0,VLOOKUP($T$345,'TAR FIN'!$A$1:$O$99,15,0))</f>
        <v>0</v>
      </c>
      <c r="X345" s="4">
        <f>IF(ISERROR(VLOOKUP($U$345,'TAR FIN'!$A$1:$O$99,15,0)),0,VLOOKUP($U$345,'TAR FIN'!$A$1:$O$99,15,0))</f>
        <v>0</v>
      </c>
      <c r="Y345" s="4">
        <f ca="1">('TUSD BE'!$AM$12+'TUSD BF'!$AM$12+'TUSD CVA'!$AM$12)*1</f>
        <v>17.253093882326908</v>
      </c>
      <c r="Z345" s="4"/>
      <c r="AA345" s="4"/>
      <c r="AB345" s="4">
        <f>$K$345*$V$345</f>
        <v>114499.86625000001</v>
      </c>
      <c r="AC345" s="4">
        <f>$M$345*$W$345</f>
        <v>0</v>
      </c>
      <c r="AD345" s="4">
        <f>$O$345*$X$345</f>
        <v>0</v>
      </c>
      <c r="AE345" s="4">
        <f ca="1">$K$345*$Y$345</f>
        <v>141408.51409628664</v>
      </c>
      <c r="AF345" s="4">
        <f>$M$345*$Z$345</f>
        <v>0</v>
      </c>
      <c r="AG345" s="4">
        <f>$O$345*$AA$345</f>
        <v>0</v>
      </c>
    </row>
    <row r="346" spans="1:33" ht="11.25" customHeight="1" x14ac:dyDescent="0.25">
      <c r="A346" s="3" t="s">
        <v>21</v>
      </c>
      <c r="B346" s="3" t="s">
        <v>41</v>
      </c>
      <c r="C346" s="3" t="s">
        <v>64</v>
      </c>
      <c r="D346" s="3" t="s">
        <v>25</v>
      </c>
      <c r="E346" s="3" t="s">
        <v>25</v>
      </c>
      <c r="F346" s="3" t="s">
        <v>65</v>
      </c>
      <c r="G346" s="3" t="s">
        <v>71</v>
      </c>
      <c r="H346" s="3" t="s">
        <v>25</v>
      </c>
      <c r="I346" s="6">
        <v>44378</v>
      </c>
      <c r="J346" s="4">
        <v>30000</v>
      </c>
      <c r="K346" s="4">
        <v>15000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3" t="s">
        <v>67</v>
      </c>
      <c r="R346" s="3">
        <v>30048</v>
      </c>
      <c r="S346" s="4">
        <v>90</v>
      </c>
      <c r="T346" s="4">
        <v>0</v>
      </c>
      <c r="U346" s="4">
        <v>0</v>
      </c>
      <c r="V346" s="4">
        <f>IF(ISERROR(VLOOKUP($S$346,'TAR FIN'!$A$1:$O$99,15,0)),0,VLOOKUP($S$346,'TAR FIN'!$A$1:$O$99,15,0))</f>
        <v>13.97</v>
      </c>
      <c r="W346" s="4">
        <f>IF(ISERROR(VLOOKUP($T$346,'TAR FIN'!$A$1:$O$99,15,0)),0,VLOOKUP($T$346,'TAR FIN'!$A$1:$O$99,15,0))</f>
        <v>0</v>
      </c>
      <c r="X346" s="4">
        <f>IF(ISERROR(VLOOKUP($U$346,'TAR FIN'!$A$1:$O$99,15,0)),0,VLOOKUP($U$346,'TAR FIN'!$A$1:$O$99,15,0))</f>
        <v>0</v>
      </c>
      <c r="Y346" s="4">
        <f ca="1">('TUSD BE'!$AM$12+'TUSD BF'!$AM$12+'TUSD CVA'!$AM$12)*1</f>
        <v>17.253093882326908</v>
      </c>
      <c r="Z346" s="4"/>
      <c r="AA346" s="4"/>
      <c r="AB346" s="4">
        <f>$K$346*$V$346</f>
        <v>209550</v>
      </c>
      <c r="AC346" s="4">
        <f>$M$346*$W$346</f>
        <v>0</v>
      </c>
      <c r="AD346" s="4">
        <f>$O$346*$X$346</f>
        <v>0</v>
      </c>
      <c r="AE346" s="4">
        <f ca="1">$K$346*$Y$346</f>
        <v>258796.40823490362</v>
      </c>
      <c r="AF346" s="4">
        <f>$M$346*$Z$346</f>
        <v>0</v>
      </c>
      <c r="AG346" s="4">
        <f>$O$346*$AA$346</f>
        <v>0</v>
      </c>
    </row>
    <row r="347" spans="1:33" ht="11.25" customHeight="1" x14ac:dyDescent="0.25">
      <c r="A347" s="3" t="s">
        <v>21</v>
      </c>
      <c r="B347" s="3" t="s">
        <v>41</v>
      </c>
      <c r="C347" s="3" t="s">
        <v>64</v>
      </c>
      <c r="D347" s="3" t="s">
        <v>25</v>
      </c>
      <c r="E347" s="3" t="s">
        <v>25</v>
      </c>
      <c r="F347" s="3" t="s">
        <v>65</v>
      </c>
      <c r="G347" s="3" t="s">
        <v>73</v>
      </c>
      <c r="H347" s="3" t="s">
        <v>25</v>
      </c>
      <c r="I347" s="6">
        <v>44378</v>
      </c>
      <c r="J347" s="4">
        <v>16500</v>
      </c>
      <c r="K347" s="4">
        <v>8250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3" t="s">
        <v>67</v>
      </c>
      <c r="R347" s="3">
        <v>31371</v>
      </c>
      <c r="S347" s="4">
        <v>90</v>
      </c>
      <c r="T347" s="4">
        <v>0</v>
      </c>
      <c r="U347" s="4">
        <v>0</v>
      </c>
      <c r="V347" s="4">
        <f>IF(ISERROR(VLOOKUP($S$347,'TAR FIN'!$A$1:$O$99,15,0)),0,VLOOKUP($S$347,'TAR FIN'!$A$1:$O$99,15,0))</f>
        <v>13.97</v>
      </c>
      <c r="W347" s="4">
        <f>IF(ISERROR(VLOOKUP($T$347,'TAR FIN'!$A$1:$O$99,15,0)),0,VLOOKUP($T$347,'TAR FIN'!$A$1:$O$99,15,0))</f>
        <v>0</v>
      </c>
      <c r="X347" s="4">
        <f>IF(ISERROR(VLOOKUP($U$347,'TAR FIN'!$A$1:$O$99,15,0)),0,VLOOKUP($U$347,'TAR FIN'!$A$1:$O$99,15,0))</f>
        <v>0</v>
      </c>
      <c r="Y347" s="4">
        <f ca="1">('TUSD BE'!$AM$12+'TUSD BF'!$AM$12+'TUSD CVA'!$AM$12)*1</f>
        <v>17.253093882326908</v>
      </c>
      <c r="Z347" s="4"/>
      <c r="AA347" s="4"/>
      <c r="AB347" s="4">
        <f>$K$347*$V$347</f>
        <v>115252.5</v>
      </c>
      <c r="AC347" s="4">
        <f>$M$347*$W$347</f>
        <v>0</v>
      </c>
      <c r="AD347" s="4">
        <f>$O$347*$X$347</f>
        <v>0</v>
      </c>
      <c r="AE347" s="4">
        <f ca="1">$K$347*$Y$347</f>
        <v>142338.02452919699</v>
      </c>
      <c r="AF347" s="4">
        <f>$M$347*$Z$347</f>
        <v>0</v>
      </c>
      <c r="AG347" s="4">
        <f>$O$347*$AA$347</f>
        <v>0</v>
      </c>
    </row>
    <row r="348" spans="1:33" ht="11.25" customHeight="1" x14ac:dyDescent="0.25">
      <c r="A348" s="3" t="s">
        <v>21</v>
      </c>
      <c r="B348" s="3" t="s">
        <v>41</v>
      </c>
      <c r="C348" s="3" t="s">
        <v>64</v>
      </c>
      <c r="D348" s="3" t="s">
        <v>25</v>
      </c>
      <c r="E348" s="3" t="s">
        <v>25</v>
      </c>
      <c r="F348" s="3" t="s">
        <v>65</v>
      </c>
      <c r="G348" s="3" t="s">
        <v>66</v>
      </c>
      <c r="H348" s="3" t="s">
        <v>25</v>
      </c>
      <c r="I348" s="6">
        <v>44409</v>
      </c>
      <c r="J348" s="4">
        <v>1533</v>
      </c>
      <c r="K348" s="4">
        <v>766.5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3" t="s">
        <v>67</v>
      </c>
      <c r="R348" s="3">
        <v>28542</v>
      </c>
      <c r="S348" s="4">
        <v>90</v>
      </c>
      <c r="T348" s="4">
        <v>0</v>
      </c>
      <c r="U348" s="4">
        <v>0</v>
      </c>
      <c r="V348" s="4">
        <f>IF(ISERROR(VLOOKUP($S$348,'TAR FIN'!$A$1:$O$99,15,0)),0,VLOOKUP($S$348,'TAR FIN'!$A$1:$O$99,15,0))</f>
        <v>13.97</v>
      </c>
      <c r="W348" s="4">
        <f>IF(ISERROR(VLOOKUP($T$348,'TAR FIN'!$A$1:$O$99,15,0)),0,VLOOKUP($T$348,'TAR FIN'!$A$1:$O$99,15,0))</f>
        <v>0</v>
      </c>
      <c r="X348" s="4">
        <f>IF(ISERROR(VLOOKUP($U$348,'TAR FIN'!$A$1:$O$99,15,0)),0,VLOOKUP($U$348,'TAR FIN'!$A$1:$O$99,15,0))</f>
        <v>0</v>
      </c>
      <c r="Y348" s="4">
        <f ca="1">('TUSD BE'!$AM$12+'TUSD BF'!$AM$12+'TUSD CVA'!$AM$12)*1</f>
        <v>17.253093882326908</v>
      </c>
      <c r="Z348" s="4"/>
      <c r="AA348" s="4"/>
      <c r="AB348" s="4">
        <f>$K$348*$V$348</f>
        <v>10708.005000000001</v>
      </c>
      <c r="AC348" s="4">
        <f>$M$348*$W$348</f>
        <v>0</v>
      </c>
      <c r="AD348" s="4">
        <f>$O$348*$X$348</f>
        <v>0</v>
      </c>
      <c r="AE348" s="4">
        <f ca="1">$K$348*$Y$348</f>
        <v>13224.496460803575</v>
      </c>
      <c r="AF348" s="4">
        <f>$M$348*$Z$348</f>
        <v>0</v>
      </c>
      <c r="AG348" s="4">
        <f>$O$348*$AA$348</f>
        <v>0</v>
      </c>
    </row>
    <row r="349" spans="1:33" ht="11.25" customHeight="1" x14ac:dyDescent="0.25">
      <c r="A349" s="3" t="s">
        <v>21</v>
      </c>
      <c r="B349" s="3" t="s">
        <v>41</v>
      </c>
      <c r="C349" s="3" t="s">
        <v>64</v>
      </c>
      <c r="D349" s="3" t="s">
        <v>25</v>
      </c>
      <c r="E349" s="3" t="s">
        <v>25</v>
      </c>
      <c r="F349" s="3" t="s">
        <v>65</v>
      </c>
      <c r="G349" s="3" t="s">
        <v>70</v>
      </c>
      <c r="H349" s="3" t="s">
        <v>25</v>
      </c>
      <c r="I349" s="6">
        <v>44409</v>
      </c>
      <c r="J349" s="4">
        <v>14393</v>
      </c>
      <c r="K349" s="4">
        <v>7646.28125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3" t="s">
        <v>67</v>
      </c>
      <c r="R349" s="3">
        <v>29161</v>
      </c>
      <c r="S349" s="4">
        <v>90</v>
      </c>
      <c r="T349" s="4">
        <v>0</v>
      </c>
      <c r="U349" s="4">
        <v>0</v>
      </c>
      <c r="V349" s="4">
        <f>IF(ISERROR(VLOOKUP($S$349,'TAR FIN'!$A$1:$O$99,15,0)),0,VLOOKUP($S$349,'TAR FIN'!$A$1:$O$99,15,0))</f>
        <v>13.97</v>
      </c>
      <c r="W349" s="4">
        <f>IF(ISERROR(VLOOKUP($T$349,'TAR FIN'!$A$1:$O$99,15,0)),0,VLOOKUP($T$349,'TAR FIN'!$A$1:$O$99,15,0))</f>
        <v>0</v>
      </c>
      <c r="X349" s="4">
        <f>IF(ISERROR(VLOOKUP($U$349,'TAR FIN'!$A$1:$O$99,15,0)),0,VLOOKUP($U$349,'TAR FIN'!$A$1:$O$99,15,0))</f>
        <v>0</v>
      </c>
      <c r="Y349" s="4">
        <f ca="1">('TUSD BE'!$AM$12+'TUSD BF'!$AM$12+'TUSD CVA'!$AM$12)*1</f>
        <v>17.253093882326908</v>
      </c>
      <c r="Z349" s="4"/>
      <c r="AA349" s="4"/>
      <c r="AB349" s="4">
        <f>$K$349*$V$349</f>
        <v>106818.54906250001</v>
      </c>
      <c r="AC349" s="4">
        <f>$M$349*$W$349</f>
        <v>0</v>
      </c>
      <c r="AD349" s="4">
        <f>$O$349*$X$349</f>
        <v>0</v>
      </c>
      <c r="AE349" s="4">
        <f ca="1">$K$349*$Y$349</f>
        <v>131922.00825692594</v>
      </c>
      <c r="AF349" s="4">
        <f>$M$349*$Z$349</f>
        <v>0</v>
      </c>
      <c r="AG349" s="4">
        <f>$O$349*$AA$349</f>
        <v>0</v>
      </c>
    </row>
    <row r="350" spans="1:33" ht="11.25" customHeight="1" x14ac:dyDescent="0.25">
      <c r="A350" s="3" t="s">
        <v>21</v>
      </c>
      <c r="B350" s="3" t="s">
        <v>41</v>
      </c>
      <c r="C350" s="3" t="s">
        <v>64</v>
      </c>
      <c r="D350" s="3" t="s">
        <v>25</v>
      </c>
      <c r="E350" s="3" t="s">
        <v>25</v>
      </c>
      <c r="F350" s="3" t="s">
        <v>65</v>
      </c>
      <c r="G350" s="3" t="s">
        <v>71</v>
      </c>
      <c r="H350" s="3" t="s">
        <v>25</v>
      </c>
      <c r="I350" s="6">
        <v>44409</v>
      </c>
      <c r="J350" s="4">
        <v>30000</v>
      </c>
      <c r="K350" s="4">
        <v>15000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3" t="s">
        <v>67</v>
      </c>
      <c r="R350" s="3">
        <v>30048</v>
      </c>
      <c r="S350" s="4">
        <v>90</v>
      </c>
      <c r="T350" s="4">
        <v>0</v>
      </c>
      <c r="U350" s="4">
        <v>0</v>
      </c>
      <c r="V350" s="4">
        <f>IF(ISERROR(VLOOKUP($S$350,'TAR FIN'!$A$1:$O$99,15,0)),0,VLOOKUP($S$350,'TAR FIN'!$A$1:$O$99,15,0))</f>
        <v>13.97</v>
      </c>
      <c r="W350" s="4">
        <f>IF(ISERROR(VLOOKUP($T$350,'TAR FIN'!$A$1:$O$99,15,0)),0,VLOOKUP($T$350,'TAR FIN'!$A$1:$O$99,15,0))</f>
        <v>0</v>
      </c>
      <c r="X350" s="4">
        <f>IF(ISERROR(VLOOKUP($U$350,'TAR FIN'!$A$1:$O$99,15,0)),0,VLOOKUP($U$350,'TAR FIN'!$A$1:$O$99,15,0))</f>
        <v>0</v>
      </c>
      <c r="Y350" s="4">
        <f ca="1">('TUSD BE'!$AM$12+'TUSD BF'!$AM$12+'TUSD CVA'!$AM$12)*1</f>
        <v>17.253093882326908</v>
      </c>
      <c r="Z350" s="4"/>
      <c r="AA350" s="4"/>
      <c r="AB350" s="4">
        <f>$K$350*$V$350</f>
        <v>209550</v>
      </c>
      <c r="AC350" s="4">
        <f>$M$350*$W$350</f>
        <v>0</v>
      </c>
      <c r="AD350" s="4">
        <f>$O$350*$X$350</f>
        <v>0</v>
      </c>
      <c r="AE350" s="4">
        <f ca="1">$K$350*$Y$350</f>
        <v>258796.40823490362</v>
      </c>
      <c r="AF350" s="4">
        <f>$M$350*$Z$350</f>
        <v>0</v>
      </c>
      <c r="AG350" s="4">
        <f>$O$350*$AA$350</f>
        <v>0</v>
      </c>
    </row>
    <row r="351" spans="1:33" ht="11.25" customHeight="1" x14ac:dyDescent="0.25">
      <c r="A351" s="3" t="s">
        <v>21</v>
      </c>
      <c r="B351" s="3" t="s">
        <v>41</v>
      </c>
      <c r="C351" s="3" t="s">
        <v>64</v>
      </c>
      <c r="D351" s="3" t="s">
        <v>25</v>
      </c>
      <c r="E351" s="3" t="s">
        <v>25</v>
      </c>
      <c r="F351" s="3" t="s">
        <v>65</v>
      </c>
      <c r="G351" s="3" t="s">
        <v>73</v>
      </c>
      <c r="H351" s="3" t="s">
        <v>25</v>
      </c>
      <c r="I351" s="6">
        <v>44409</v>
      </c>
      <c r="J351" s="4">
        <v>16500</v>
      </c>
      <c r="K351" s="4">
        <v>8250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3" t="s">
        <v>67</v>
      </c>
      <c r="R351" s="3">
        <v>31371</v>
      </c>
      <c r="S351" s="4">
        <v>90</v>
      </c>
      <c r="T351" s="4">
        <v>0</v>
      </c>
      <c r="U351" s="4">
        <v>0</v>
      </c>
      <c r="V351" s="4">
        <f>IF(ISERROR(VLOOKUP($S$351,'TAR FIN'!$A$1:$O$99,15,0)),0,VLOOKUP($S$351,'TAR FIN'!$A$1:$O$99,15,0))</f>
        <v>13.97</v>
      </c>
      <c r="W351" s="4">
        <f>IF(ISERROR(VLOOKUP($T$351,'TAR FIN'!$A$1:$O$99,15,0)),0,VLOOKUP($T$351,'TAR FIN'!$A$1:$O$99,15,0))</f>
        <v>0</v>
      </c>
      <c r="X351" s="4">
        <f>IF(ISERROR(VLOOKUP($U$351,'TAR FIN'!$A$1:$O$99,15,0)),0,VLOOKUP($U$351,'TAR FIN'!$A$1:$O$99,15,0))</f>
        <v>0</v>
      </c>
      <c r="Y351" s="4">
        <f ca="1">('TUSD BE'!$AM$12+'TUSD BF'!$AM$12+'TUSD CVA'!$AM$12)*1</f>
        <v>17.253093882326908</v>
      </c>
      <c r="Z351" s="4"/>
      <c r="AA351" s="4"/>
      <c r="AB351" s="4">
        <f>$K$351*$V$351</f>
        <v>115252.5</v>
      </c>
      <c r="AC351" s="4">
        <f>$M$351*$W$351</f>
        <v>0</v>
      </c>
      <c r="AD351" s="4">
        <f>$O$351*$X$351</f>
        <v>0</v>
      </c>
      <c r="AE351" s="4">
        <f ca="1">$K$351*$Y$351</f>
        <v>142338.02452919699</v>
      </c>
      <c r="AF351" s="4">
        <f>$M$351*$Z$351</f>
        <v>0</v>
      </c>
      <c r="AG351" s="4">
        <f>$O$351*$AA$351</f>
        <v>0</v>
      </c>
    </row>
    <row r="352" spans="1:33" ht="11.25" customHeight="1" x14ac:dyDescent="0.25">
      <c r="A352" s="3" t="s">
        <v>21</v>
      </c>
      <c r="B352" s="3" t="s">
        <v>41</v>
      </c>
      <c r="C352" s="3" t="s">
        <v>64</v>
      </c>
      <c r="D352" s="3" t="s">
        <v>25</v>
      </c>
      <c r="E352" s="3" t="s">
        <v>25</v>
      </c>
      <c r="F352" s="3" t="s">
        <v>65</v>
      </c>
      <c r="G352" s="3" t="s">
        <v>66</v>
      </c>
      <c r="H352" s="3" t="s">
        <v>25</v>
      </c>
      <c r="I352" s="6">
        <v>44440</v>
      </c>
      <c r="J352" s="4">
        <v>1066</v>
      </c>
      <c r="K352" s="4">
        <v>533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3" t="s">
        <v>67</v>
      </c>
      <c r="R352" s="3">
        <v>28542</v>
      </c>
      <c r="S352" s="4">
        <v>90</v>
      </c>
      <c r="T352" s="4">
        <v>0</v>
      </c>
      <c r="U352" s="4">
        <v>0</v>
      </c>
      <c r="V352" s="4">
        <f>IF(ISERROR(VLOOKUP($S$352,'TAR FIN'!$A$1:$O$99,15,0)),0,VLOOKUP($S$352,'TAR FIN'!$A$1:$O$99,15,0))</f>
        <v>13.97</v>
      </c>
      <c r="W352" s="4">
        <f>IF(ISERROR(VLOOKUP($T$352,'TAR FIN'!$A$1:$O$99,15,0)),0,VLOOKUP($T$352,'TAR FIN'!$A$1:$O$99,15,0))</f>
        <v>0</v>
      </c>
      <c r="X352" s="4">
        <f>IF(ISERROR(VLOOKUP($U$352,'TAR FIN'!$A$1:$O$99,15,0)),0,VLOOKUP($U$352,'TAR FIN'!$A$1:$O$99,15,0))</f>
        <v>0</v>
      </c>
      <c r="Y352" s="4">
        <f ca="1">('TUSD BE'!$AM$12+'TUSD BF'!$AM$12+'TUSD CVA'!$AM$12)*1</f>
        <v>17.253093882326908</v>
      </c>
      <c r="Z352" s="4"/>
      <c r="AA352" s="4"/>
      <c r="AB352" s="4">
        <f>$K$352*$V$352</f>
        <v>7446.01</v>
      </c>
      <c r="AC352" s="4">
        <f>$M$352*$W$352</f>
        <v>0</v>
      </c>
      <c r="AD352" s="4">
        <f>$O$352*$X$352</f>
        <v>0</v>
      </c>
      <c r="AE352" s="4">
        <f ca="1">$K$352*$Y$352</f>
        <v>9195.8990392802425</v>
      </c>
      <c r="AF352" s="4">
        <f>$M$352*$Z$352</f>
        <v>0</v>
      </c>
      <c r="AG352" s="4">
        <f>$O$352*$AA$352</f>
        <v>0</v>
      </c>
    </row>
    <row r="353" spans="1:33" ht="11.25" customHeight="1" x14ac:dyDescent="0.25">
      <c r="A353" s="3" t="s">
        <v>21</v>
      </c>
      <c r="B353" s="3" t="s">
        <v>41</v>
      </c>
      <c r="C353" s="3" t="s">
        <v>64</v>
      </c>
      <c r="D353" s="3" t="s">
        <v>25</v>
      </c>
      <c r="E353" s="3" t="s">
        <v>25</v>
      </c>
      <c r="F353" s="3" t="s">
        <v>65</v>
      </c>
      <c r="G353" s="3" t="s">
        <v>70</v>
      </c>
      <c r="H353" s="3" t="s">
        <v>25</v>
      </c>
      <c r="I353" s="6">
        <v>44440</v>
      </c>
      <c r="J353" s="4">
        <v>12295</v>
      </c>
      <c r="K353" s="4">
        <v>6531.71875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3" t="s">
        <v>67</v>
      </c>
      <c r="R353" s="3">
        <v>29161</v>
      </c>
      <c r="S353" s="4">
        <v>90</v>
      </c>
      <c r="T353" s="4">
        <v>0</v>
      </c>
      <c r="U353" s="4">
        <v>0</v>
      </c>
      <c r="V353" s="4">
        <f>IF(ISERROR(VLOOKUP($S$353,'TAR FIN'!$A$1:$O$99,15,0)),0,VLOOKUP($S$353,'TAR FIN'!$A$1:$O$99,15,0))</f>
        <v>13.97</v>
      </c>
      <c r="W353" s="4">
        <f>IF(ISERROR(VLOOKUP($T$353,'TAR FIN'!$A$1:$O$99,15,0)),0,VLOOKUP($T$353,'TAR FIN'!$A$1:$O$99,15,0))</f>
        <v>0</v>
      </c>
      <c r="X353" s="4">
        <f>IF(ISERROR(VLOOKUP($U$353,'TAR FIN'!$A$1:$O$99,15,0)),0,VLOOKUP($U$353,'TAR FIN'!$A$1:$O$99,15,0))</f>
        <v>0</v>
      </c>
      <c r="Y353" s="4">
        <f ca="1">('TUSD BE'!$AM$12+'TUSD BF'!$AM$12+'TUSD CVA'!$AM$12)*1</f>
        <v>17.253093882326908</v>
      </c>
      <c r="Z353" s="4"/>
      <c r="AA353" s="4"/>
      <c r="AB353" s="4">
        <f>$K$353*$V$353</f>
        <v>91248.110937500009</v>
      </c>
      <c r="AC353" s="4">
        <f>$M$353*$W$353</f>
        <v>0</v>
      </c>
      <c r="AD353" s="4">
        <f>$O$353*$X$353</f>
        <v>0</v>
      </c>
      <c r="AE353" s="4">
        <f ca="1">$K$353*$Y$353</f>
        <v>112692.35680670496</v>
      </c>
      <c r="AF353" s="4">
        <f>$M$353*$Z$353</f>
        <v>0</v>
      </c>
      <c r="AG353" s="4">
        <f>$O$353*$AA$353</f>
        <v>0</v>
      </c>
    </row>
    <row r="354" spans="1:33" ht="11.25" customHeight="1" x14ac:dyDescent="0.25">
      <c r="A354" s="3" t="s">
        <v>21</v>
      </c>
      <c r="B354" s="3" t="s">
        <v>41</v>
      </c>
      <c r="C354" s="3" t="s">
        <v>64</v>
      </c>
      <c r="D354" s="3" t="s">
        <v>25</v>
      </c>
      <c r="E354" s="3" t="s">
        <v>25</v>
      </c>
      <c r="F354" s="3" t="s">
        <v>65</v>
      </c>
      <c r="G354" s="3" t="s">
        <v>71</v>
      </c>
      <c r="H354" s="3" t="s">
        <v>25</v>
      </c>
      <c r="I354" s="6">
        <v>44440</v>
      </c>
      <c r="J354" s="4">
        <v>30000</v>
      </c>
      <c r="K354" s="4">
        <v>15000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3" t="s">
        <v>67</v>
      </c>
      <c r="R354" s="3">
        <v>30048</v>
      </c>
      <c r="S354" s="4">
        <v>90</v>
      </c>
      <c r="T354" s="4">
        <v>0</v>
      </c>
      <c r="U354" s="4">
        <v>0</v>
      </c>
      <c r="V354" s="4">
        <f>IF(ISERROR(VLOOKUP($S$354,'TAR FIN'!$A$1:$O$99,15,0)),0,VLOOKUP($S$354,'TAR FIN'!$A$1:$O$99,15,0))</f>
        <v>13.97</v>
      </c>
      <c r="W354" s="4">
        <f>IF(ISERROR(VLOOKUP($T$354,'TAR FIN'!$A$1:$O$99,15,0)),0,VLOOKUP($T$354,'TAR FIN'!$A$1:$O$99,15,0))</f>
        <v>0</v>
      </c>
      <c r="X354" s="4">
        <f>IF(ISERROR(VLOOKUP($U$354,'TAR FIN'!$A$1:$O$99,15,0)),0,VLOOKUP($U$354,'TAR FIN'!$A$1:$O$99,15,0))</f>
        <v>0</v>
      </c>
      <c r="Y354" s="4">
        <f ca="1">('TUSD BE'!$AM$12+'TUSD BF'!$AM$12+'TUSD CVA'!$AM$12)*1</f>
        <v>17.253093882326908</v>
      </c>
      <c r="Z354" s="4"/>
      <c r="AA354" s="4"/>
      <c r="AB354" s="4">
        <f>$K$354*$V$354</f>
        <v>209550</v>
      </c>
      <c r="AC354" s="4">
        <f>$M$354*$W$354</f>
        <v>0</v>
      </c>
      <c r="AD354" s="4">
        <f>$O$354*$X$354</f>
        <v>0</v>
      </c>
      <c r="AE354" s="4">
        <f ca="1">$K$354*$Y$354</f>
        <v>258796.40823490362</v>
      </c>
      <c r="AF354" s="4">
        <f>$M$354*$Z$354</f>
        <v>0</v>
      </c>
      <c r="AG354" s="4">
        <f>$O$354*$AA$354</f>
        <v>0</v>
      </c>
    </row>
    <row r="355" spans="1:33" ht="11.25" customHeight="1" x14ac:dyDescent="0.25">
      <c r="A355" s="3" t="s">
        <v>21</v>
      </c>
      <c r="B355" s="3" t="s">
        <v>41</v>
      </c>
      <c r="C355" s="3" t="s">
        <v>64</v>
      </c>
      <c r="D355" s="3" t="s">
        <v>25</v>
      </c>
      <c r="E355" s="3" t="s">
        <v>25</v>
      </c>
      <c r="F355" s="3" t="s">
        <v>65</v>
      </c>
      <c r="G355" s="3" t="s">
        <v>73</v>
      </c>
      <c r="H355" s="3" t="s">
        <v>25</v>
      </c>
      <c r="I355" s="6">
        <v>44440</v>
      </c>
      <c r="J355" s="4">
        <v>16500</v>
      </c>
      <c r="K355" s="4">
        <v>8250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3" t="s">
        <v>67</v>
      </c>
      <c r="R355" s="3">
        <v>31371</v>
      </c>
      <c r="S355" s="4">
        <v>90</v>
      </c>
      <c r="T355" s="4">
        <v>0</v>
      </c>
      <c r="U355" s="4">
        <v>0</v>
      </c>
      <c r="V355" s="4">
        <f>IF(ISERROR(VLOOKUP($S$355,'TAR FIN'!$A$1:$O$99,15,0)),0,VLOOKUP($S$355,'TAR FIN'!$A$1:$O$99,15,0))</f>
        <v>13.97</v>
      </c>
      <c r="W355" s="4">
        <f>IF(ISERROR(VLOOKUP($T$355,'TAR FIN'!$A$1:$O$99,15,0)),0,VLOOKUP($T$355,'TAR FIN'!$A$1:$O$99,15,0))</f>
        <v>0</v>
      </c>
      <c r="X355" s="4">
        <f>IF(ISERROR(VLOOKUP($U$355,'TAR FIN'!$A$1:$O$99,15,0)),0,VLOOKUP($U$355,'TAR FIN'!$A$1:$O$99,15,0))</f>
        <v>0</v>
      </c>
      <c r="Y355" s="4">
        <f ca="1">('TUSD BE'!$AM$12+'TUSD BF'!$AM$12+'TUSD CVA'!$AM$12)*1</f>
        <v>17.253093882326908</v>
      </c>
      <c r="Z355" s="4"/>
      <c r="AA355" s="4"/>
      <c r="AB355" s="4">
        <f>$K$355*$V$355</f>
        <v>115252.5</v>
      </c>
      <c r="AC355" s="4">
        <f>$M$355*$W$355</f>
        <v>0</v>
      </c>
      <c r="AD355" s="4">
        <f>$O$355*$X$355</f>
        <v>0</v>
      </c>
      <c r="AE355" s="4">
        <f ca="1">$K$355*$Y$355</f>
        <v>142338.02452919699</v>
      </c>
      <c r="AF355" s="4">
        <f>$M$355*$Z$355</f>
        <v>0</v>
      </c>
      <c r="AG355" s="4">
        <f>$O$355*$AA$355</f>
        <v>0</v>
      </c>
    </row>
    <row r="356" spans="1:33" ht="11.25" customHeight="1" x14ac:dyDescent="0.25">
      <c r="A356" s="3" t="s">
        <v>21</v>
      </c>
      <c r="B356" s="3" t="s">
        <v>41</v>
      </c>
      <c r="C356" s="3" t="s">
        <v>64</v>
      </c>
      <c r="D356" s="3" t="s">
        <v>25</v>
      </c>
      <c r="E356" s="3" t="s">
        <v>25</v>
      </c>
      <c r="F356" s="3" t="s">
        <v>65</v>
      </c>
      <c r="G356" s="3" t="s">
        <v>66</v>
      </c>
      <c r="H356" s="3" t="s">
        <v>25</v>
      </c>
      <c r="I356" s="6">
        <v>44470</v>
      </c>
      <c r="J356" s="4">
        <v>1994</v>
      </c>
      <c r="K356" s="4">
        <v>997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3" t="s">
        <v>67</v>
      </c>
      <c r="R356" s="3">
        <v>28542</v>
      </c>
      <c r="S356" s="4">
        <v>90</v>
      </c>
      <c r="T356" s="4">
        <v>0</v>
      </c>
      <c r="U356" s="4">
        <v>0</v>
      </c>
      <c r="V356" s="4">
        <f>IF(ISERROR(VLOOKUP($S$356,'TAR FIN'!$A$1:$O$99,15,0)),0,VLOOKUP($S$356,'TAR FIN'!$A$1:$O$99,15,0))</f>
        <v>13.97</v>
      </c>
      <c r="W356" s="4">
        <f>IF(ISERROR(VLOOKUP($T$356,'TAR FIN'!$A$1:$O$99,15,0)),0,VLOOKUP($T$356,'TAR FIN'!$A$1:$O$99,15,0))</f>
        <v>0</v>
      </c>
      <c r="X356" s="4">
        <f>IF(ISERROR(VLOOKUP($U$356,'TAR FIN'!$A$1:$O$99,15,0)),0,VLOOKUP($U$356,'TAR FIN'!$A$1:$O$99,15,0))</f>
        <v>0</v>
      </c>
      <c r="Y356" s="4">
        <f ca="1">('TUSD BE'!$AM$12+'TUSD BF'!$AM$12+'TUSD CVA'!$AM$12)*1</f>
        <v>17.253093882326908</v>
      </c>
      <c r="Z356" s="4"/>
      <c r="AA356" s="4"/>
      <c r="AB356" s="4">
        <f>$K$356*$V$356</f>
        <v>13928.09</v>
      </c>
      <c r="AC356" s="4">
        <f>$M$356*$W$356</f>
        <v>0</v>
      </c>
      <c r="AD356" s="4">
        <f>$O$356*$X$356</f>
        <v>0</v>
      </c>
      <c r="AE356" s="4">
        <f ca="1">$K$356*$Y$356</f>
        <v>17201.334600679929</v>
      </c>
      <c r="AF356" s="4">
        <f>$M$356*$Z$356</f>
        <v>0</v>
      </c>
      <c r="AG356" s="4">
        <f>$O$356*$AA$356</f>
        <v>0</v>
      </c>
    </row>
    <row r="357" spans="1:33" ht="11.25" customHeight="1" x14ac:dyDescent="0.25">
      <c r="A357" s="3" t="s">
        <v>21</v>
      </c>
      <c r="B357" s="3" t="s">
        <v>41</v>
      </c>
      <c r="C357" s="3" t="s">
        <v>64</v>
      </c>
      <c r="D357" s="3" t="s">
        <v>25</v>
      </c>
      <c r="E357" s="3" t="s">
        <v>25</v>
      </c>
      <c r="F357" s="3" t="s">
        <v>65</v>
      </c>
      <c r="G357" s="3" t="s">
        <v>70</v>
      </c>
      <c r="H357" s="3" t="s">
        <v>25</v>
      </c>
      <c r="I357" s="6">
        <v>44470</v>
      </c>
      <c r="J357" s="4">
        <v>11378</v>
      </c>
      <c r="K357" s="4">
        <v>6044.5625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3" t="s">
        <v>67</v>
      </c>
      <c r="R357" s="3">
        <v>29161</v>
      </c>
      <c r="S357" s="4">
        <v>90</v>
      </c>
      <c r="T357" s="4">
        <v>0</v>
      </c>
      <c r="U357" s="4">
        <v>0</v>
      </c>
      <c r="V357" s="4">
        <f>IF(ISERROR(VLOOKUP($S$357,'TAR FIN'!$A$1:$O$99,15,0)),0,VLOOKUP($S$357,'TAR FIN'!$A$1:$O$99,15,0))</f>
        <v>13.97</v>
      </c>
      <c r="W357" s="4">
        <f>IF(ISERROR(VLOOKUP($T$357,'TAR FIN'!$A$1:$O$99,15,0)),0,VLOOKUP($T$357,'TAR FIN'!$A$1:$O$99,15,0))</f>
        <v>0</v>
      </c>
      <c r="X357" s="4">
        <f>IF(ISERROR(VLOOKUP($U$357,'TAR FIN'!$A$1:$O$99,15,0)),0,VLOOKUP($U$357,'TAR FIN'!$A$1:$O$99,15,0))</f>
        <v>0</v>
      </c>
      <c r="Y357" s="4">
        <f ca="1">('TUSD BE'!$AM$12+'TUSD BF'!$AM$12+'TUSD CVA'!$AM$12)*1</f>
        <v>17.253093882326908</v>
      </c>
      <c r="Z357" s="4"/>
      <c r="AA357" s="4"/>
      <c r="AB357" s="4">
        <f>$K$357*$V$357</f>
        <v>84442.538125000006</v>
      </c>
      <c r="AC357" s="4">
        <f>$M$357*$W$357</f>
        <v>0</v>
      </c>
      <c r="AD357" s="4">
        <f>$O$357*$X$357</f>
        <v>0</v>
      </c>
      <c r="AE357" s="4">
        <f ca="1">$K$357*$Y$357</f>
        <v>104287.40429009264</v>
      </c>
      <c r="AF357" s="4">
        <f>$M$357*$Z$357</f>
        <v>0</v>
      </c>
      <c r="AG357" s="4">
        <f>$O$357*$AA$357</f>
        <v>0</v>
      </c>
    </row>
    <row r="358" spans="1:33" ht="11.25" customHeight="1" x14ac:dyDescent="0.25">
      <c r="A358" s="3" t="s">
        <v>21</v>
      </c>
      <c r="B358" s="3" t="s">
        <v>41</v>
      </c>
      <c r="C358" s="3" t="s">
        <v>64</v>
      </c>
      <c r="D358" s="3" t="s">
        <v>25</v>
      </c>
      <c r="E358" s="3" t="s">
        <v>25</v>
      </c>
      <c r="F358" s="3" t="s">
        <v>65</v>
      </c>
      <c r="G358" s="3" t="s">
        <v>71</v>
      </c>
      <c r="H358" s="3" t="s">
        <v>25</v>
      </c>
      <c r="I358" s="6">
        <v>44470</v>
      </c>
      <c r="J358" s="4">
        <v>30000</v>
      </c>
      <c r="K358" s="4">
        <v>15000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3" t="s">
        <v>67</v>
      </c>
      <c r="R358" s="3">
        <v>30048</v>
      </c>
      <c r="S358" s="4">
        <v>90</v>
      </c>
      <c r="T358" s="4">
        <v>0</v>
      </c>
      <c r="U358" s="4">
        <v>0</v>
      </c>
      <c r="V358" s="4">
        <f>IF(ISERROR(VLOOKUP($S$358,'TAR FIN'!$A$1:$O$99,15,0)),0,VLOOKUP($S$358,'TAR FIN'!$A$1:$O$99,15,0))</f>
        <v>13.97</v>
      </c>
      <c r="W358" s="4">
        <f>IF(ISERROR(VLOOKUP($T$358,'TAR FIN'!$A$1:$O$99,15,0)),0,VLOOKUP($T$358,'TAR FIN'!$A$1:$O$99,15,0))</f>
        <v>0</v>
      </c>
      <c r="X358" s="4">
        <f>IF(ISERROR(VLOOKUP($U$358,'TAR FIN'!$A$1:$O$99,15,0)),0,VLOOKUP($U$358,'TAR FIN'!$A$1:$O$99,15,0))</f>
        <v>0</v>
      </c>
      <c r="Y358" s="4">
        <f ca="1">('TUSD BE'!$AM$12+'TUSD BF'!$AM$12+'TUSD CVA'!$AM$12)*1</f>
        <v>17.253093882326908</v>
      </c>
      <c r="Z358" s="4"/>
      <c r="AA358" s="4"/>
      <c r="AB358" s="4">
        <f>$K$358*$V$358</f>
        <v>209550</v>
      </c>
      <c r="AC358" s="4">
        <f>$M$358*$W$358</f>
        <v>0</v>
      </c>
      <c r="AD358" s="4">
        <f>$O$358*$X$358</f>
        <v>0</v>
      </c>
      <c r="AE358" s="4">
        <f ca="1">$K$358*$Y$358</f>
        <v>258796.40823490362</v>
      </c>
      <c r="AF358" s="4">
        <f>$M$358*$Z$358</f>
        <v>0</v>
      </c>
      <c r="AG358" s="4">
        <f>$O$358*$AA$358</f>
        <v>0</v>
      </c>
    </row>
    <row r="359" spans="1:33" ht="11.25" customHeight="1" x14ac:dyDescent="0.25">
      <c r="A359" s="3" t="s">
        <v>21</v>
      </c>
      <c r="B359" s="3" t="s">
        <v>41</v>
      </c>
      <c r="C359" s="3" t="s">
        <v>64</v>
      </c>
      <c r="D359" s="3" t="s">
        <v>25</v>
      </c>
      <c r="E359" s="3" t="s">
        <v>25</v>
      </c>
      <c r="F359" s="3" t="s">
        <v>65</v>
      </c>
      <c r="G359" s="3" t="s">
        <v>73</v>
      </c>
      <c r="H359" s="3" t="s">
        <v>25</v>
      </c>
      <c r="I359" s="6">
        <v>44470</v>
      </c>
      <c r="J359" s="4">
        <v>20888</v>
      </c>
      <c r="K359" s="4">
        <v>10444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3" t="s">
        <v>67</v>
      </c>
      <c r="R359" s="3">
        <v>31371</v>
      </c>
      <c r="S359" s="4">
        <v>90</v>
      </c>
      <c r="T359" s="4">
        <v>0</v>
      </c>
      <c r="U359" s="4">
        <v>0</v>
      </c>
      <c r="V359" s="4">
        <f>IF(ISERROR(VLOOKUP($S$359,'TAR FIN'!$A$1:$O$99,15,0)),0,VLOOKUP($S$359,'TAR FIN'!$A$1:$O$99,15,0))</f>
        <v>13.97</v>
      </c>
      <c r="W359" s="4">
        <f>IF(ISERROR(VLOOKUP($T$359,'TAR FIN'!$A$1:$O$99,15,0)),0,VLOOKUP($T$359,'TAR FIN'!$A$1:$O$99,15,0))</f>
        <v>0</v>
      </c>
      <c r="X359" s="4">
        <f>IF(ISERROR(VLOOKUP($U$359,'TAR FIN'!$A$1:$O$99,15,0)),0,VLOOKUP($U$359,'TAR FIN'!$A$1:$O$99,15,0))</f>
        <v>0</v>
      </c>
      <c r="Y359" s="4">
        <f ca="1">('TUSD BE'!$AM$12+'TUSD BF'!$AM$12+'TUSD CVA'!$AM$12)*1</f>
        <v>17.253093882326908</v>
      </c>
      <c r="Z359" s="4"/>
      <c r="AA359" s="4"/>
      <c r="AB359" s="4">
        <f>$K$359*$V$359</f>
        <v>145902.68</v>
      </c>
      <c r="AC359" s="4">
        <f>$M$359*$W$359</f>
        <v>0</v>
      </c>
      <c r="AD359" s="4">
        <f>$O$359*$X$359</f>
        <v>0</v>
      </c>
      <c r="AE359" s="4">
        <f ca="1">$K$359*$Y$359</f>
        <v>180191.31250702223</v>
      </c>
      <c r="AF359" s="4">
        <f>$M$359*$Z$359</f>
        <v>0</v>
      </c>
      <c r="AG359" s="4">
        <f>$O$359*$AA$359</f>
        <v>0</v>
      </c>
    </row>
    <row r="360" spans="1:33" ht="11.25" customHeight="1" x14ac:dyDescent="0.25">
      <c r="A360" s="3" t="s">
        <v>21</v>
      </c>
      <c r="B360" s="3" t="s">
        <v>41</v>
      </c>
      <c r="C360" s="3" t="s">
        <v>64</v>
      </c>
      <c r="D360" s="3" t="s">
        <v>25</v>
      </c>
      <c r="E360" s="3" t="s">
        <v>25</v>
      </c>
      <c r="F360" s="3" t="s">
        <v>65</v>
      </c>
      <c r="G360" s="3" t="s">
        <v>66</v>
      </c>
      <c r="H360" s="3" t="s">
        <v>25</v>
      </c>
      <c r="I360" s="6">
        <v>44501</v>
      </c>
      <c r="J360" s="4">
        <v>2636</v>
      </c>
      <c r="K360" s="4">
        <v>1318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3" t="s">
        <v>67</v>
      </c>
      <c r="R360" s="3">
        <v>28542</v>
      </c>
      <c r="S360" s="4">
        <v>90</v>
      </c>
      <c r="T360" s="4">
        <v>0</v>
      </c>
      <c r="U360" s="4">
        <v>0</v>
      </c>
      <c r="V360" s="4">
        <f>IF(ISERROR(VLOOKUP($S$360,'TAR FIN'!$A$1:$O$99,15,0)),0,VLOOKUP($S$360,'TAR FIN'!$A$1:$O$99,15,0))</f>
        <v>13.97</v>
      </c>
      <c r="W360" s="4">
        <f>IF(ISERROR(VLOOKUP($T$360,'TAR FIN'!$A$1:$O$99,15,0)),0,VLOOKUP($T$360,'TAR FIN'!$A$1:$O$99,15,0))</f>
        <v>0</v>
      </c>
      <c r="X360" s="4">
        <f>IF(ISERROR(VLOOKUP($U$360,'TAR FIN'!$A$1:$O$99,15,0)),0,VLOOKUP($U$360,'TAR FIN'!$A$1:$O$99,15,0))</f>
        <v>0</v>
      </c>
      <c r="Y360" s="4">
        <f ca="1">('TUSD BE'!$AM$12+'TUSD BF'!$AM$12+'TUSD CVA'!$AM$12)*1</f>
        <v>17.253093882326908</v>
      </c>
      <c r="Z360" s="4"/>
      <c r="AA360" s="4"/>
      <c r="AB360" s="4">
        <f>$K$360*$V$360</f>
        <v>18412.46</v>
      </c>
      <c r="AC360" s="4">
        <f>$M$360*$W$360</f>
        <v>0</v>
      </c>
      <c r="AD360" s="4">
        <f>$O$360*$X$360</f>
        <v>0</v>
      </c>
      <c r="AE360" s="4">
        <f ca="1">$K$360*$Y$360</f>
        <v>22739.577736906864</v>
      </c>
      <c r="AF360" s="4">
        <f>$M$360*$Z$360</f>
        <v>0</v>
      </c>
      <c r="AG360" s="4">
        <f>$O$360*$AA$360</f>
        <v>0</v>
      </c>
    </row>
    <row r="361" spans="1:33" ht="11.25" customHeight="1" x14ac:dyDescent="0.25">
      <c r="A361" s="3" t="s">
        <v>21</v>
      </c>
      <c r="B361" s="3" t="s">
        <v>41</v>
      </c>
      <c r="C361" s="3" t="s">
        <v>64</v>
      </c>
      <c r="D361" s="3" t="s">
        <v>25</v>
      </c>
      <c r="E361" s="3" t="s">
        <v>25</v>
      </c>
      <c r="F361" s="3" t="s">
        <v>65</v>
      </c>
      <c r="G361" s="3" t="s">
        <v>70</v>
      </c>
      <c r="H361" s="3" t="s">
        <v>25</v>
      </c>
      <c r="I361" s="6">
        <v>44501</v>
      </c>
      <c r="J361" s="4">
        <v>12479</v>
      </c>
      <c r="K361" s="4">
        <v>6629.46875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3" t="s">
        <v>67</v>
      </c>
      <c r="R361" s="3">
        <v>29161</v>
      </c>
      <c r="S361" s="4">
        <v>90</v>
      </c>
      <c r="T361" s="4">
        <v>0</v>
      </c>
      <c r="U361" s="4">
        <v>0</v>
      </c>
      <c r="V361" s="4">
        <f>IF(ISERROR(VLOOKUP($S$361,'TAR FIN'!$A$1:$O$99,15,0)),0,VLOOKUP($S$361,'TAR FIN'!$A$1:$O$99,15,0))</f>
        <v>13.97</v>
      </c>
      <c r="W361" s="4">
        <f>IF(ISERROR(VLOOKUP($T$361,'TAR FIN'!$A$1:$O$99,15,0)),0,VLOOKUP($T$361,'TAR FIN'!$A$1:$O$99,15,0))</f>
        <v>0</v>
      </c>
      <c r="X361" s="4">
        <f>IF(ISERROR(VLOOKUP($U$361,'TAR FIN'!$A$1:$O$99,15,0)),0,VLOOKUP($U$361,'TAR FIN'!$A$1:$O$99,15,0))</f>
        <v>0</v>
      </c>
      <c r="Y361" s="4">
        <f ca="1">('TUSD BE'!$AM$12+'TUSD BF'!$AM$12+'TUSD CVA'!$AM$12)*1</f>
        <v>17.253093882326908</v>
      </c>
      <c r="Z361" s="4"/>
      <c r="AA361" s="4"/>
      <c r="AB361" s="4">
        <f>$K$361*$V$361</f>
        <v>92613.678437499999</v>
      </c>
      <c r="AC361" s="4">
        <f>$M$361*$W$361</f>
        <v>0</v>
      </c>
      <c r="AD361" s="4">
        <f>$O$361*$X$361</f>
        <v>0</v>
      </c>
      <c r="AE361" s="4">
        <f ca="1">$K$361*$Y$361</f>
        <v>114378.84673370242</v>
      </c>
      <c r="AF361" s="4">
        <f>$M$361*$Z$361</f>
        <v>0</v>
      </c>
      <c r="AG361" s="4">
        <f>$O$361*$AA$361</f>
        <v>0</v>
      </c>
    </row>
    <row r="362" spans="1:33" ht="11.25" customHeight="1" x14ac:dyDescent="0.25">
      <c r="A362" s="3" t="s">
        <v>21</v>
      </c>
      <c r="B362" s="3" t="s">
        <v>41</v>
      </c>
      <c r="C362" s="3" t="s">
        <v>64</v>
      </c>
      <c r="D362" s="3" t="s">
        <v>25</v>
      </c>
      <c r="E362" s="3" t="s">
        <v>25</v>
      </c>
      <c r="F362" s="3" t="s">
        <v>65</v>
      </c>
      <c r="G362" s="3" t="s">
        <v>71</v>
      </c>
      <c r="H362" s="3" t="s">
        <v>25</v>
      </c>
      <c r="I362" s="6">
        <v>44501</v>
      </c>
      <c r="J362" s="4">
        <v>30000</v>
      </c>
      <c r="K362" s="4">
        <v>15000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3" t="s">
        <v>67</v>
      </c>
      <c r="R362" s="3">
        <v>30048</v>
      </c>
      <c r="S362" s="4">
        <v>90</v>
      </c>
      <c r="T362" s="4">
        <v>0</v>
      </c>
      <c r="U362" s="4">
        <v>0</v>
      </c>
      <c r="V362" s="4">
        <f>IF(ISERROR(VLOOKUP($S$362,'TAR FIN'!$A$1:$O$99,15,0)),0,VLOOKUP($S$362,'TAR FIN'!$A$1:$O$99,15,0))</f>
        <v>13.97</v>
      </c>
      <c r="W362" s="4">
        <f>IF(ISERROR(VLOOKUP($T$362,'TAR FIN'!$A$1:$O$99,15,0)),0,VLOOKUP($T$362,'TAR FIN'!$A$1:$O$99,15,0))</f>
        <v>0</v>
      </c>
      <c r="X362" s="4">
        <f>IF(ISERROR(VLOOKUP($U$362,'TAR FIN'!$A$1:$O$99,15,0)),0,VLOOKUP($U$362,'TAR FIN'!$A$1:$O$99,15,0))</f>
        <v>0</v>
      </c>
      <c r="Y362" s="4">
        <f ca="1">('TUSD BE'!$AM$12+'TUSD BF'!$AM$12+'TUSD CVA'!$AM$12)*1</f>
        <v>17.253093882326908</v>
      </c>
      <c r="Z362" s="4"/>
      <c r="AA362" s="4"/>
      <c r="AB362" s="4">
        <f>$K$362*$V$362</f>
        <v>209550</v>
      </c>
      <c r="AC362" s="4">
        <f>$M$362*$W$362</f>
        <v>0</v>
      </c>
      <c r="AD362" s="4">
        <f>$O$362*$X$362</f>
        <v>0</v>
      </c>
      <c r="AE362" s="4">
        <f ca="1">$K$362*$Y$362</f>
        <v>258796.40823490362</v>
      </c>
      <c r="AF362" s="4">
        <f>$M$362*$Z$362</f>
        <v>0</v>
      </c>
      <c r="AG362" s="4">
        <f>$O$362*$AA$362</f>
        <v>0</v>
      </c>
    </row>
    <row r="363" spans="1:33" ht="11.25" customHeight="1" x14ac:dyDescent="0.25">
      <c r="A363" s="3" t="s">
        <v>21</v>
      </c>
      <c r="B363" s="3" t="s">
        <v>41</v>
      </c>
      <c r="C363" s="3" t="s">
        <v>64</v>
      </c>
      <c r="D363" s="3" t="s">
        <v>25</v>
      </c>
      <c r="E363" s="3" t="s">
        <v>25</v>
      </c>
      <c r="F363" s="3" t="s">
        <v>65</v>
      </c>
      <c r="G363" s="3" t="s">
        <v>73</v>
      </c>
      <c r="H363" s="3" t="s">
        <v>25</v>
      </c>
      <c r="I363" s="6">
        <v>44501</v>
      </c>
      <c r="J363" s="4">
        <v>20751</v>
      </c>
      <c r="K363" s="4">
        <v>10375.5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3" t="s">
        <v>67</v>
      </c>
      <c r="R363" s="3">
        <v>31371</v>
      </c>
      <c r="S363" s="4">
        <v>90</v>
      </c>
      <c r="T363" s="4">
        <v>0</v>
      </c>
      <c r="U363" s="4">
        <v>0</v>
      </c>
      <c r="V363" s="4">
        <f>IF(ISERROR(VLOOKUP($S$363,'TAR FIN'!$A$1:$O$99,15,0)),0,VLOOKUP($S$363,'TAR FIN'!$A$1:$O$99,15,0))</f>
        <v>13.97</v>
      </c>
      <c r="W363" s="4">
        <f>IF(ISERROR(VLOOKUP($T$363,'TAR FIN'!$A$1:$O$99,15,0)),0,VLOOKUP($T$363,'TAR FIN'!$A$1:$O$99,15,0))</f>
        <v>0</v>
      </c>
      <c r="X363" s="4">
        <f>IF(ISERROR(VLOOKUP($U$363,'TAR FIN'!$A$1:$O$99,15,0)),0,VLOOKUP($U$363,'TAR FIN'!$A$1:$O$99,15,0))</f>
        <v>0</v>
      </c>
      <c r="Y363" s="4">
        <f ca="1">('TUSD BE'!$AM$12+'TUSD BF'!$AM$12+'TUSD CVA'!$AM$12)*1</f>
        <v>17.253093882326908</v>
      </c>
      <c r="Z363" s="4"/>
      <c r="AA363" s="4"/>
      <c r="AB363" s="4">
        <f>$K$363*$V$363</f>
        <v>144945.73500000002</v>
      </c>
      <c r="AC363" s="4">
        <f>$M$363*$W$363</f>
        <v>0</v>
      </c>
      <c r="AD363" s="4">
        <f>$O$363*$X$363</f>
        <v>0</v>
      </c>
      <c r="AE363" s="4">
        <f ca="1">$K$363*$Y$363</f>
        <v>179009.47557608283</v>
      </c>
      <c r="AF363" s="4">
        <f>$M$363*$Z$363</f>
        <v>0</v>
      </c>
      <c r="AG363" s="4">
        <f>$O$363*$AA$363</f>
        <v>0</v>
      </c>
    </row>
    <row r="364" spans="1:33" ht="11.25" customHeight="1" x14ac:dyDescent="0.25">
      <c r="A364" s="3" t="s">
        <v>21</v>
      </c>
      <c r="B364" s="3" t="s">
        <v>41</v>
      </c>
      <c r="C364" s="3" t="s">
        <v>64</v>
      </c>
      <c r="D364" s="3" t="s">
        <v>25</v>
      </c>
      <c r="E364" s="3" t="s">
        <v>25</v>
      </c>
      <c r="F364" s="3" t="s">
        <v>65</v>
      </c>
      <c r="G364" s="3" t="s">
        <v>66</v>
      </c>
      <c r="H364" s="3" t="s">
        <v>25</v>
      </c>
      <c r="I364" s="6">
        <v>44531</v>
      </c>
      <c r="J364" s="4">
        <v>1869</v>
      </c>
      <c r="K364" s="4">
        <v>934.5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3" t="s">
        <v>67</v>
      </c>
      <c r="R364" s="3">
        <v>28542</v>
      </c>
      <c r="S364" s="4">
        <v>90</v>
      </c>
      <c r="T364" s="4">
        <v>0</v>
      </c>
      <c r="U364" s="4">
        <v>0</v>
      </c>
      <c r="V364" s="4">
        <f>IF(ISERROR(VLOOKUP($S$364,'TAR FIN'!$A$1:$O$99,15,0)),0,VLOOKUP($S$364,'TAR FIN'!$A$1:$O$99,15,0))</f>
        <v>13.97</v>
      </c>
      <c r="W364" s="4">
        <f>IF(ISERROR(VLOOKUP($T$364,'TAR FIN'!$A$1:$O$99,15,0)),0,VLOOKUP($T$364,'TAR FIN'!$A$1:$O$99,15,0))</f>
        <v>0</v>
      </c>
      <c r="X364" s="4">
        <f>IF(ISERROR(VLOOKUP($U$364,'TAR FIN'!$A$1:$O$99,15,0)),0,VLOOKUP($U$364,'TAR FIN'!$A$1:$O$99,15,0))</f>
        <v>0</v>
      </c>
      <c r="Y364" s="4">
        <f ca="1">('TUSD BE'!$AM$12+'TUSD BF'!$AM$12+'TUSD CVA'!$AM$12)*1</f>
        <v>17.253093882326908</v>
      </c>
      <c r="Z364" s="4"/>
      <c r="AA364" s="4"/>
      <c r="AB364" s="4">
        <f>$K$364*$V$364</f>
        <v>13054.965</v>
      </c>
      <c r="AC364" s="4">
        <f>$M$364*$W$364</f>
        <v>0</v>
      </c>
      <c r="AD364" s="4">
        <f>$O$364*$X$364</f>
        <v>0</v>
      </c>
      <c r="AE364" s="4">
        <f ca="1">$K$364*$Y$364</f>
        <v>16123.016233034496</v>
      </c>
      <c r="AF364" s="4">
        <f>$M$364*$Z$364</f>
        <v>0</v>
      </c>
      <c r="AG364" s="4">
        <f>$O$364*$AA$364</f>
        <v>0</v>
      </c>
    </row>
    <row r="365" spans="1:33" ht="11.25" customHeight="1" x14ac:dyDescent="0.25">
      <c r="A365" s="3" t="s">
        <v>21</v>
      </c>
      <c r="B365" s="3" t="s">
        <v>41</v>
      </c>
      <c r="C365" s="3" t="s">
        <v>64</v>
      </c>
      <c r="D365" s="3" t="s">
        <v>25</v>
      </c>
      <c r="E365" s="3" t="s">
        <v>25</v>
      </c>
      <c r="F365" s="3" t="s">
        <v>65</v>
      </c>
      <c r="G365" s="3" t="s">
        <v>70</v>
      </c>
      <c r="H365" s="3" t="s">
        <v>25</v>
      </c>
      <c r="I365" s="6">
        <v>44531</v>
      </c>
      <c r="J365" s="4">
        <v>13259</v>
      </c>
      <c r="K365" s="4">
        <v>7043.84375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3" t="s">
        <v>67</v>
      </c>
      <c r="R365" s="3">
        <v>29161</v>
      </c>
      <c r="S365" s="4">
        <v>90</v>
      </c>
      <c r="T365" s="4">
        <v>0</v>
      </c>
      <c r="U365" s="4">
        <v>0</v>
      </c>
      <c r="V365" s="4">
        <f>IF(ISERROR(VLOOKUP($S$365,'TAR FIN'!$A$1:$O$99,15,0)),0,VLOOKUP($S$365,'TAR FIN'!$A$1:$O$99,15,0))</f>
        <v>13.97</v>
      </c>
      <c r="W365" s="4">
        <f>IF(ISERROR(VLOOKUP($T$365,'TAR FIN'!$A$1:$O$99,15,0)),0,VLOOKUP($T$365,'TAR FIN'!$A$1:$O$99,15,0))</f>
        <v>0</v>
      </c>
      <c r="X365" s="4">
        <f>IF(ISERROR(VLOOKUP($U$365,'TAR FIN'!$A$1:$O$99,15,0)),0,VLOOKUP($U$365,'TAR FIN'!$A$1:$O$99,15,0))</f>
        <v>0</v>
      </c>
      <c r="Y365" s="4">
        <f ca="1">('TUSD BE'!$AM$12+'TUSD BF'!$AM$12+'TUSD CVA'!$AM$12)*1</f>
        <v>17.253093882326908</v>
      </c>
      <c r="Z365" s="4"/>
      <c r="AA365" s="4"/>
      <c r="AB365" s="4">
        <f>$K$365*$V$365</f>
        <v>98402.497187500005</v>
      </c>
      <c r="AC365" s="4">
        <f>$M$365*$W$365</f>
        <v>0</v>
      </c>
      <c r="AD365" s="4">
        <f>$O$365*$X$365</f>
        <v>0</v>
      </c>
      <c r="AE365" s="4">
        <f ca="1">$K$365*$Y$365</f>
        <v>121528.09751119163</v>
      </c>
      <c r="AF365" s="4">
        <f>$M$365*$Z$365</f>
        <v>0</v>
      </c>
      <c r="AG365" s="4">
        <f>$O$365*$AA$365</f>
        <v>0</v>
      </c>
    </row>
    <row r="366" spans="1:33" ht="11.25" customHeight="1" x14ac:dyDescent="0.25">
      <c r="A366" s="3" t="s">
        <v>21</v>
      </c>
      <c r="B366" s="3" t="s">
        <v>41</v>
      </c>
      <c r="C366" s="3" t="s">
        <v>64</v>
      </c>
      <c r="D366" s="3" t="s">
        <v>25</v>
      </c>
      <c r="E366" s="3" t="s">
        <v>25</v>
      </c>
      <c r="F366" s="3" t="s">
        <v>65</v>
      </c>
      <c r="G366" s="3" t="s">
        <v>71</v>
      </c>
      <c r="H366" s="3" t="s">
        <v>25</v>
      </c>
      <c r="I366" s="6">
        <v>44531</v>
      </c>
      <c r="J366" s="4">
        <v>30000</v>
      </c>
      <c r="K366" s="4">
        <v>15000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3" t="s">
        <v>67</v>
      </c>
      <c r="R366" s="3">
        <v>30048</v>
      </c>
      <c r="S366" s="4">
        <v>90</v>
      </c>
      <c r="T366" s="4">
        <v>0</v>
      </c>
      <c r="U366" s="4">
        <v>0</v>
      </c>
      <c r="V366" s="4">
        <f>IF(ISERROR(VLOOKUP($S$366,'TAR FIN'!$A$1:$O$99,15,0)),0,VLOOKUP($S$366,'TAR FIN'!$A$1:$O$99,15,0))</f>
        <v>13.97</v>
      </c>
      <c r="W366" s="4">
        <f>IF(ISERROR(VLOOKUP($T$366,'TAR FIN'!$A$1:$O$99,15,0)),0,VLOOKUP($T$366,'TAR FIN'!$A$1:$O$99,15,0))</f>
        <v>0</v>
      </c>
      <c r="X366" s="4">
        <f>IF(ISERROR(VLOOKUP($U$366,'TAR FIN'!$A$1:$O$99,15,0)),0,VLOOKUP($U$366,'TAR FIN'!$A$1:$O$99,15,0))</f>
        <v>0</v>
      </c>
      <c r="Y366" s="4">
        <f ca="1">('TUSD BE'!$AM$12+'TUSD BF'!$AM$12+'TUSD CVA'!$AM$12)*1</f>
        <v>17.253093882326908</v>
      </c>
      <c r="Z366" s="4"/>
      <c r="AA366" s="4"/>
      <c r="AB366" s="4">
        <f>$K$366*$V$366</f>
        <v>209550</v>
      </c>
      <c r="AC366" s="4">
        <f>$M$366*$W$366</f>
        <v>0</v>
      </c>
      <c r="AD366" s="4">
        <f>$O$366*$X$366</f>
        <v>0</v>
      </c>
      <c r="AE366" s="4">
        <f ca="1">$K$366*$Y$366</f>
        <v>258796.40823490362</v>
      </c>
      <c r="AF366" s="4">
        <f>$M$366*$Z$366</f>
        <v>0</v>
      </c>
      <c r="AG366" s="4">
        <f>$O$366*$AA$366</f>
        <v>0</v>
      </c>
    </row>
    <row r="367" spans="1:33" ht="11.25" customHeight="1" x14ac:dyDescent="0.25">
      <c r="A367" s="3" t="s">
        <v>21</v>
      </c>
      <c r="B367" s="3" t="s">
        <v>41</v>
      </c>
      <c r="C367" s="3" t="s">
        <v>64</v>
      </c>
      <c r="D367" s="3" t="s">
        <v>25</v>
      </c>
      <c r="E367" s="3" t="s">
        <v>25</v>
      </c>
      <c r="F367" s="3" t="s">
        <v>65</v>
      </c>
      <c r="G367" s="3" t="s">
        <v>73</v>
      </c>
      <c r="H367" s="3" t="s">
        <v>25</v>
      </c>
      <c r="I367" s="6">
        <v>44531</v>
      </c>
      <c r="J367" s="4">
        <v>21732</v>
      </c>
      <c r="K367" s="4">
        <v>10866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3" t="s">
        <v>67</v>
      </c>
      <c r="R367" s="3">
        <v>31371</v>
      </c>
      <c r="S367" s="4">
        <v>90</v>
      </c>
      <c r="T367" s="4">
        <v>0</v>
      </c>
      <c r="U367" s="4">
        <v>0</v>
      </c>
      <c r="V367" s="4">
        <f>IF(ISERROR(VLOOKUP($S$367,'TAR FIN'!$A$1:$O$99,15,0)),0,VLOOKUP($S$367,'TAR FIN'!$A$1:$O$99,15,0))</f>
        <v>13.97</v>
      </c>
      <c r="W367" s="4">
        <f>IF(ISERROR(VLOOKUP($T$367,'TAR FIN'!$A$1:$O$99,15,0)),0,VLOOKUP($T$367,'TAR FIN'!$A$1:$O$99,15,0))</f>
        <v>0</v>
      </c>
      <c r="X367" s="4">
        <f>IF(ISERROR(VLOOKUP($U$367,'TAR FIN'!$A$1:$O$99,15,0)),0,VLOOKUP($U$367,'TAR FIN'!$A$1:$O$99,15,0))</f>
        <v>0</v>
      </c>
      <c r="Y367" s="4">
        <f ca="1">('TUSD BE'!$AM$12+'TUSD BF'!$AM$12+'TUSD CVA'!$AM$12)*1</f>
        <v>17.253093882326908</v>
      </c>
      <c r="Z367" s="4"/>
      <c r="AA367" s="4"/>
      <c r="AB367" s="4">
        <f>$K$367*$V$367</f>
        <v>151798.02000000002</v>
      </c>
      <c r="AC367" s="4">
        <f>$M$367*$W$367</f>
        <v>0</v>
      </c>
      <c r="AD367" s="4">
        <f>$O$367*$X$367</f>
        <v>0</v>
      </c>
      <c r="AE367" s="4">
        <f ca="1">$K$367*$Y$367</f>
        <v>187472.11812536418</v>
      </c>
      <c r="AF367" s="4">
        <f>$M$367*$Z$367</f>
        <v>0</v>
      </c>
      <c r="AG367" s="4">
        <f>$O$367*$AA$367</f>
        <v>0</v>
      </c>
    </row>
    <row r="368" spans="1:33" ht="11.25" customHeight="1" x14ac:dyDescent="0.25">
      <c r="A368" s="3" t="s">
        <v>21</v>
      </c>
      <c r="B368" s="3" t="s">
        <v>41</v>
      </c>
      <c r="C368" s="3" t="s">
        <v>64</v>
      </c>
      <c r="D368" s="3" t="s">
        <v>25</v>
      </c>
      <c r="E368" s="3" t="s">
        <v>25</v>
      </c>
      <c r="F368" s="3" t="s">
        <v>65</v>
      </c>
      <c r="G368" s="3" t="s">
        <v>66</v>
      </c>
      <c r="H368" s="3" t="s">
        <v>25</v>
      </c>
      <c r="I368" s="6">
        <v>44562</v>
      </c>
      <c r="J368" s="4">
        <v>2327</v>
      </c>
      <c r="K368" s="4">
        <v>1163.5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3" t="s">
        <v>67</v>
      </c>
      <c r="R368" s="3">
        <v>28542</v>
      </c>
      <c r="S368" s="4">
        <v>90</v>
      </c>
      <c r="T368" s="4">
        <v>0</v>
      </c>
      <c r="U368" s="4">
        <v>0</v>
      </c>
      <c r="V368" s="4">
        <f>IF(ISERROR(VLOOKUP($S$368,'TAR FIN'!$A$1:$O$99,15,0)),0,VLOOKUP($S$368,'TAR FIN'!$A$1:$O$99,15,0))</f>
        <v>13.97</v>
      </c>
      <c r="W368" s="4">
        <f>IF(ISERROR(VLOOKUP($T$368,'TAR FIN'!$A$1:$O$99,15,0)),0,VLOOKUP($T$368,'TAR FIN'!$A$1:$O$99,15,0))</f>
        <v>0</v>
      </c>
      <c r="X368" s="4">
        <f>IF(ISERROR(VLOOKUP($U$368,'TAR FIN'!$A$1:$O$99,15,0)),0,VLOOKUP($U$368,'TAR FIN'!$A$1:$O$99,15,0))</f>
        <v>0</v>
      </c>
      <c r="Y368" s="4">
        <f ca="1">('TUSD BE'!$AM$12+'TUSD BF'!$AM$12+'TUSD CVA'!$AM$12)*1</f>
        <v>17.253093882326908</v>
      </c>
      <c r="Z368" s="4"/>
      <c r="AA368" s="4"/>
      <c r="AB368" s="4">
        <f>$K$368*$V$368</f>
        <v>16254.095000000001</v>
      </c>
      <c r="AC368" s="4">
        <f>$M$368*$W$368</f>
        <v>0</v>
      </c>
      <c r="AD368" s="4">
        <f>$O$368*$X$368</f>
        <v>0</v>
      </c>
      <c r="AE368" s="4">
        <f ca="1">$K$368*$Y$368</f>
        <v>20073.974732087358</v>
      </c>
      <c r="AF368" s="4">
        <f>$M$368*$Z$368</f>
        <v>0</v>
      </c>
      <c r="AG368" s="4">
        <f>$O$368*$AA$368</f>
        <v>0</v>
      </c>
    </row>
    <row r="369" spans="1:33" ht="11.25" customHeight="1" x14ac:dyDescent="0.25">
      <c r="A369" s="3" t="s">
        <v>21</v>
      </c>
      <c r="B369" s="3" t="s">
        <v>41</v>
      </c>
      <c r="C369" s="3" t="s">
        <v>64</v>
      </c>
      <c r="D369" s="3" t="s">
        <v>25</v>
      </c>
      <c r="E369" s="3" t="s">
        <v>25</v>
      </c>
      <c r="F369" s="3" t="s">
        <v>65</v>
      </c>
      <c r="G369" s="3" t="s">
        <v>70</v>
      </c>
      <c r="H369" s="3" t="s">
        <v>25</v>
      </c>
      <c r="I369" s="6">
        <v>44562</v>
      </c>
      <c r="J369" s="4">
        <v>12784</v>
      </c>
      <c r="K369" s="4">
        <v>6791.5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3" t="s">
        <v>67</v>
      </c>
      <c r="R369" s="3">
        <v>29161</v>
      </c>
      <c r="S369" s="4">
        <v>90</v>
      </c>
      <c r="T369" s="4">
        <v>0</v>
      </c>
      <c r="U369" s="4">
        <v>0</v>
      </c>
      <c r="V369" s="4">
        <f>IF(ISERROR(VLOOKUP($S$369,'TAR FIN'!$A$1:$O$99,15,0)),0,VLOOKUP($S$369,'TAR FIN'!$A$1:$O$99,15,0))</f>
        <v>13.97</v>
      </c>
      <c r="W369" s="4">
        <f>IF(ISERROR(VLOOKUP($T$369,'TAR FIN'!$A$1:$O$99,15,0)),0,VLOOKUP($T$369,'TAR FIN'!$A$1:$O$99,15,0))</f>
        <v>0</v>
      </c>
      <c r="X369" s="4">
        <f>IF(ISERROR(VLOOKUP($U$369,'TAR FIN'!$A$1:$O$99,15,0)),0,VLOOKUP($U$369,'TAR FIN'!$A$1:$O$99,15,0))</f>
        <v>0</v>
      </c>
      <c r="Y369" s="4">
        <f ca="1">('TUSD BE'!$AM$12+'TUSD BF'!$AM$12+'TUSD CVA'!$AM$12)*1</f>
        <v>17.253093882326908</v>
      </c>
      <c r="Z369" s="4"/>
      <c r="AA369" s="4"/>
      <c r="AB369" s="4">
        <f>$K$369*$V$369</f>
        <v>94877.255000000005</v>
      </c>
      <c r="AC369" s="4">
        <f>$M$369*$W$369</f>
        <v>0</v>
      </c>
      <c r="AD369" s="4">
        <f>$O$369*$X$369</f>
        <v>0</v>
      </c>
      <c r="AE369" s="4">
        <f ca="1">$K$369*$Y$369</f>
        <v>117174.3871018232</v>
      </c>
      <c r="AF369" s="4">
        <f>$M$369*$Z$369</f>
        <v>0</v>
      </c>
      <c r="AG369" s="4">
        <f>$O$369*$AA$369</f>
        <v>0</v>
      </c>
    </row>
    <row r="370" spans="1:33" ht="11.25" customHeight="1" x14ac:dyDescent="0.25">
      <c r="A370" s="3" t="s">
        <v>21</v>
      </c>
      <c r="B370" s="3" t="s">
        <v>41</v>
      </c>
      <c r="C370" s="3" t="s">
        <v>64</v>
      </c>
      <c r="D370" s="3" t="s">
        <v>25</v>
      </c>
      <c r="E370" s="3" t="s">
        <v>25</v>
      </c>
      <c r="F370" s="3" t="s">
        <v>65</v>
      </c>
      <c r="G370" s="3" t="s">
        <v>71</v>
      </c>
      <c r="H370" s="3" t="s">
        <v>25</v>
      </c>
      <c r="I370" s="6">
        <v>44562</v>
      </c>
      <c r="J370" s="4">
        <v>30000</v>
      </c>
      <c r="K370" s="4">
        <v>15000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3" t="s">
        <v>67</v>
      </c>
      <c r="R370" s="3">
        <v>30048</v>
      </c>
      <c r="S370" s="4">
        <v>90</v>
      </c>
      <c r="T370" s="4">
        <v>0</v>
      </c>
      <c r="U370" s="4">
        <v>0</v>
      </c>
      <c r="V370" s="4">
        <f>IF(ISERROR(VLOOKUP($S$370,'TAR FIN'!$A$1:$O$99,15,0)),0,VLOOKUP($S$370,'TAR FIN'!$A$1:$O$99,15,0))</f>
        <v>13.97</v>
      </c>
      <c r="W370" s="4">
        <f>IF(ISERROR(VLOOKUP($T$370,'TAR FIN'!$A$1:$O$99,15,0)),0,VLOOKUP($T$370,'TAR FIN'!$A$1:$O$99,15,0))</f>
        <v>0</v>
      </c>
      <c r="X370" s="4">
        <f>IF(ISERROR(VLOOKUP($U$370,'TAR FIN'!$A$1:$O$99,15,0)),0,VLOOKUP($U$370,'TAR FIN'!$A$1:$O$99,15,0))</f>
        <v>0</v>
      </c>
      <c r="Y370" s="4">
        <f ca="1">('TUSD BE'!$AM$12+'TUSD BF'!$AM$12+'TUSD CVA'!$AM$12)*1</f>
        <v>17.253093882326908</v>
      </c>
      <c r="Z370" s="4"/>
      <c r="AA370" s="4"/>
      <c r="AB370" s="4">
        <f>$K$370*$V$370</f>
        <v>209550</v>
      </c>
      <c r="AC370" s="4">
        <f>$M$370*$W$370</f>
        <v>0</v>
      </c>
      <c r="AD370" s="4">
        <f>$O$370*$X$370</f>
        <v>0</v>
      </c>
      <c r="AE370" s="4">
        <f ca="1">$K$370*$Y$370</f>
        <v>258796.40823490362</v>
      </c>
      <c r="AF370" s="4">
        <f>$M$370*$Z$370</f>
        <v>0</v>
      </c>
      <c r="AG370" s="4">
        <f>$O$370*$AA$370</f>
        <v>0</v>
      </c>
    </row>
    <row r="371" spans="1:33" ht="11.25" customHeight="1" x14ac:dyDescent="0.25">
      <c r="A371" s="3" t="s">
        <v>21</v>
      </c>
      <c r="B371" s="3" t="s">
        <v>41</v>
      </c>
      <c r="C371" s="3" t="s">
        <v>64</v>
      </c>
      <c r="D371" s="3" t="s">
        <v>25</v>
      </c>
      <c r="E371" s="3" t="s">
        <v>25</v>
      </c>
      <c r="F371" s="3" t="s">
        <v>65</v>
      </c>
      <c r="G371" s="3" t="s">
        <v>73</v>
      </c>
      <c r="H371" s="3" t="s">
        <v>25</v>
      </c>
      <c r="I371" s="6">
        <v>44562</v>
      </c>
      <c r="J371" s="4">
        <v>16500</v>
      </c>
      <c r="K371" s="4">
        <v>8250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3" t="s">
        <v>67</v>
      </c>
      <c r="R371" s="3">
        <v>31371</v>
      </c>
      <c r="S371" s="4">
        <v>90</v>
      </c>
      <c r="T371" s="4">
        <v>0</v>
      </c>
      <c r="U371" s="4">
        <v>0</v>
      </c>
      <c r="V371" s="4">
        <f>IF(ISERROR(VLOOKUP($S$371,'TAR FIN'!$A$1:$O$99,15,0)),0,VLOOKUP($S$371,'TAR FIN'!$A$1:$O$99,15,0))</f>
        <v>13.97</v>
      </c>
      <c r="W371" s="4">
        <f>IF(ISERROR(VLOOKUP($T$371,'TAR FIN'!$A$1:$O$99,15,0)),0,VLOOKUP($T$371,'TAR FIN'!$A$1:$O$99,15,0))</f>
        <v>0</v>
      </c>
      <c r="X371" s="4">
        <f>IF(ISERROR(VLOOKUP($U$371,'TAR FIN'!$A$1:$O$99,15,0)),0,VLOOKUP($U$371,'TAR FIN'!$A$1:$O$99,15,0))</f>
        <v>0</v>
      </c>
      <c r="Y371" s="4">
        <f ca="1">('TUSD BE'!$AM$12+'TUSD BF'!$AM$12+'TUSD CVA'!$AM$12)*1</f>
        <v>17.253093882326908</v>
      </c>
      <c r="Z371" s="4"/>
      <c r="AA371" s="4"/>
      <c r="AB371" s="4">
        <f>$K$371*$V$371</f>
        <v>115252.5</v>
      </c>
      <c r="AC371" s="4">
        <f>$M$371*$W$371</f>
        <v>0</v>
      </c>
      <c r="AD371" s="4">
        <f>$O$371*$X$371</f>
        <v>0</v>
      </c>
      <c r="AE371" s="4">
        <f ca="1">$K$371*$Y$371</f>
        <v>142338.02452919699</v>
      </c>
      <c r="AF371" s="4">
        <f>$M$371*$Z$371</f>
        <v>0</v>
      </c>
      <c r="AG371" s="4">
        <f>$O$371*$AA$371</f>
        <v>0</v>
      </c>
    </row>
    <row r="372" spans="1:33" ht="11.25" customHeight="1" x14ac:dyDescent="0.25">
      <c r="A372" s="3" t="s">
        <v>21</v>
      </c>
      <c r="B372" s="3" t="s">
        <v>41</v>
      </c>
      <c r="C372" s="3" t="s">
        <v>64</v>
      </c>
      <c r="D372" s="3" t="s">
        <v>25</v>
      </c>
      <c r="E372" s="3" t="s">
        <v>25</v>
      </c>
      <c r="F372" s="3" t="s">
        <v>65</v>
      </c>
      <c r="G372" s="3" t="s">
        <v>66</v>
      </c>
      <c r="H372" s="3" t="s">
        <v>25</v>
      </c>
      <c r="I372" s="6">
        <v>44593</v>
      </c>
      <c r="J372" s="4">
        <v>1362</v>
      </c>
      <c r="K372" s="4">
        <v>681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3" t="s">
        <v>67</v>
      </c>
      <c r="R372" s="3">
        <v>28542</v>
      </c>
      <c r="S372" s="4">
        <v>90</v>
      </c>
      <c r="T372" s="4">
        <v>0</v>
      </c>
      <c r="U372" s="4">
        <v>0</v>
      </c>
      <c r="V372" s="4">
        <f>IF(ISERROR(VLOOKUP($S$372,'TAR FIN'!$A$1:$O$99,15,0)),0,VLOOKUP($S$372,'TAR FIN'!$A$1:$O$99,15,0))</f>
        <v>13.97</v>
      </c>
      <c r="W372" s="4">
        <f>IF(ISERROR(VLOOKUP($T$372,'TAR FIN'!$A$1:$O$99,15,0)),0,VLOOKUP($T$372,'TAR FIN'!$A$1:$O$99,15,0))</f>
        <v>0</v>
      </c>
      <c r="X372" s="4">
        <f>IF(ISERROR(VLOOKUP($U$372,'TAR FIN'!$A$1:$O$99,15,0)),0,VLOOKUP($U$372,'TAR FIN'!$A$1:$O$99,15,0))</f>
        <v>0</v>
      </c>
      <c r="Y372" s="4">
        <f ca="1">('TUSD BE'!$AM$12+'TUSD BF'!$AM$12+'TUSD CVA'!$AM$12)*1</f>
        <v>17.253093882326908</v>
      </c>
      <c r="Z372" s="4"/>
      <c r="AA372" s="4"/>
      <c r="AB372" s="4">
        <f>$K$372*$V$372</f>
        <v>9513.57</v>
      </c>
      <c r="AC372" s="4">
        <f>$M$372*$W$372</f>
        <v>0</v>
      </c>
      <c r="AD372" s="4">
        <f>$O$372*$X$372</f>
        <v>0</v>
      </c>
      <c r="AE372" s="4">
        <f ca="1">$K$372*$Y$372</f>
        <v>11749.356933864625</v>
      </c>
      <c r="AF372" s="4">
        <f>$M$372*$Z$372</f>
        <v>0</v>
      </c>
      <c r="AG372" s="4">
        <f>$O$372*$AA$372</f>
        <v>0</v>
      </c>
    </row>
    <row r="373" spans="1:33" ht="11.25" customHeight="1" x14ac:dyDescent="0.25">
      <c r="A373" s="3" t="s">
        <v>21</v>
      </c>
      <c r="B373" s="3" t="s">
        <v>41</v>
      </c>
      <c r="C373" s="3" t="s">
        <v>64</v>
      </c>
      <c r="D373" s="3" t="s">
        <v>25</v>
      </c>
      <c r="E373" s="3" t="s">
        <v>25</v>
      </c>
      <c r="F373" s="3" t="s">
        <v>65</v>
      </c>
      <c r="G373" s="3" t="s">
        <v>70</v>
      </c>
      <c r="H373" s="3" t="s">
        <v>25</v>
      </c>
      <c r="I373" s="6">
        <v>44593</v>
      </c>
      <c r="J373" s="4">
        <v>11990</v>
      </c>
      <c r="K373" s="4">
        <v>6369.6875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3" t="s">
        <v>67</v>
      </c>
      <c r="R373" s="3">
        <v>29161</v>
      </c>
      <c r="S373" s="4">
        <v>90</v>
      </c>
      <c r="T373" s="4">
        <v>0</v>
      </c>
      <c r="U373" s="4">
        <v>0</v>
      </c>
      <c r="V373" s="4">
        <f>IF(ISERROR(VLOOKUP($S$373,'TAR FIN'!$A$1:$O$99,15,0)),0,VLOOKUP($S$373,'TAR FIN'!$A$1:$O$99,15,0))</f>
        <v>13.97</v>
      </c>
      <c r="W373" s="4">
        <f>IF(ISERROR(VLOOKUP($T$373,'TAR FIN'!$A$1:$O$99,15,0)),0,VLOOKUP($T$373,'TAR FIN'!$A$1:$O$99,15,0))</f>
        <v>0</v>
      </c>
      <c r="X373" s="4">
        <f>IF(ISERROR(VLOOKUP($U$373,'TAR FIN'!$A$1:$O$99,15,0)),0,VLOOKUP($U$373,'TAR FIN'!$A$1:$O$99,15,0))</f>
        <v>0</v>
      </c>
      <c r="Y373" s="4">
        <f ca="1">('TUSD BE'!$AM$12+'TUSD BF'!$AM$12+'TUSD CVA'!$AM$12)*1</f>
        <v>17.253093882326908</v>
      </c>
      <c r="Z373" s="4"/>
      <c r="AA373" s="4"/>
      <c r="AB373" s="4">
        <f>$K$373*$V$373</f>
        <v>88984.534375000003</v>
      </c>
      <c r="AC373" s="4">
        <f>$M$373*$W$373</f>
        <v>0</v>
      </c>
      <c r="AD373" s="4">
        <f>$O$373*$X$373</f>
        <v>0</v>
      </c>
      <c r="AE373" s="4">
        <f ca="1">$K$373*$Y$373</f>
        <v>109896.81643858418</v>
      </c>
      <c r="AF373" s="4">
        <f>$M$373*$Z$373</f>
        <v>0</v>
      </c>
      <c r="AG373" s="4">
        <f>$O$373*$AA$373</f>
        <v>0</v>
      </c>
    </row>
    <row r="374" spans="1:33" ht="11.25" customHeight="1" x14ac:dyDescent="0.25">
      <c r="A374" s="3" t="s">
        <v>21</v>
      </c>
      <c r="B374" s="3" t="s">
        <v>41</v>
      </c>
      <c r="C374" s="3" t="s">
        <v>64</v>
      </c>
      <c r="D374" s="3" t="s">
        <v>25</v>
      </c>
      <c r="E374" s="3" t="s">
        <v>25</v>
      </c>
      <c r="F374" s="3" t="s">
        <v>65</v>
      </c>
      <c r="G374" s="3" t="s">
        <v>71</v>
      </c>
      <c r="H374" s="3" t="s">
        <v>25</v>
      </c>
      <c r="I374" s="6">
        <v>44593</v>
      </c>
      <c r="J374" s="4">
        <v>30000</v>
      </c>
      <c r="K374" s="4">
        <v>15000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3" t="s">
        <v>67</v>
      </c>
      <c r="R374" s="3">
        <v>30048</v>
      </c>
      <c r="S374" s="4">
        <v>90</v>
      </c>
      <c r="T374" s="4">
        <v>0</v>
      </c>
      <c r="U374" s="4">
        <v>0</v>
      </c>
      <c r="V374" s="4">
        <f>IF(ISERROR(VLOOKUP($S$374,'TAR FIN'!$A$1:$O$99,15,0)),0,VLOOKUP($S$374,'TAR FIN'!$A$1:$O$99,15,0))</f>
        <v>13.97</v>
      </c>
      <c r="W374" s="4">
        <f>IF(ISERROR(VLOOKUP($T$374,'TAR FIN'!$A$1:$O$99,15,0)),0,VLOOKUP($T$374,'TAR FIN'!$A$1:$O$99,15,0))</f>
        <v>0</v>
      </c>
      <c r="X374" s="4">
        <f>IF(ISERROR(VLOOKUP($U$374,'TAR FIN'!$A$1:$O$99,15,0)),0,VLOOKUP($U$374,'TAR FIN'!$A$1:$O$99,15,0))</f>
        <v>0</v>
      </c>
      <c r="Y374" s="4">
        <f ca="1">('TUSD BE'!$AM$12+'TUSD BF'!$AM$12+'TUSD CVA'!$AM$12)*1</f>
        <v>17.253093882326908</v>
      </c>
      <c r="Z374" s="4"/>
      <c r="AA374" s="4"/>
      <c r="AB374" s="4">
        <f>$K$374*$V$374</f>
        <v>209550</v>
      </c>
      <c r="AC374" s="4">
        <f>$M$374*$W$374</f>
        <v>0</v>
      </c>
      <c r="AD374" s="4">
        <f>$O$374*$X$374</f>
        <v>0</v>
      </c>
      <c r="AE374" s="4">
        <f ca="1">$K$374*$Y$374</f>
        <v>258796.40823490362</v>
      </c>
      <c r="AF374" s="4">
        <f>$M$374*$Z$374</f>
        <v>0</v>
      </c>
      <c r="AG374" s="4">
        <f>$O$374*$AA$374</f>
        <v>0</v>
      </c>
    </row>
    <row r="375" spans="1:33" ht="11.25" customHeight="1" x14ac:dyDescent="0.25">
      <c r="A375" s="3" t="s">
        <v>21</v>
      </c>
      <c r="B375" s="3" t="s">
        <v>41</v>
      </c>
      <c r="C375" s="3" t="s">
        <v>64</v>
      </c>
      <c r="D375" s="3" t="s">
        <v>25</v>
      </c>
      <c r="E375" s="3" t="s">
        <v>25</v>
      </c>
      <c r="F375" s="3" t="s">
        <v>65</v>
      </c>
      <c r="G375" s="3" t="s">
        <v>73</v>
      </c>
      <c r="H375" s="3" t="s">
        <v>25</v>
      </c>
      <c r="I375" s="6">
        <v>44593</v>
      </c>
      <c r="J375" s="4">
        <v>16500</v>
      </c>
      <c r="K375" s="4">
        <v>8250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3" t="s">
        <v>67</v>
      </c>
      <c r="R375" s="3">
        <v>31371</v>
      </c>
      <c r="S375" s="4">
        <v>90</v>
      </c>
      <c r="T375" s="4">
        <v>0</v>
      </c>
      <c r="U375" s="4">
        <v>0</v>
      </c>
      <c r="V375" s="4">
        <f>IF(ISERROR(VLOOKUP($S$375,'TAR FIN'!$A$1:$O$99,15,0)),0,VLOOKUP($S$375,'TAR FIN'!$A$1:$O$99,15,0))</f>
        <v>13.97</v>
      </c>
      <c r="W375" s="4">
        <f>IF(ISERROR(VLOOKUP($T$375,'TAR FIN'!$A$1:$O$99,15,0)),0,VLOOKUP($T$375,'TAR FIN'!$A$1:$O$99,15,0))</f>
        <v>0</v>
      </c>
      <c r="X375" s="4">
        <f>IF(ISERROR(VLOOKUP($U$375,'TAR FIN'!$A$1:$O$99,15,0)),0,VLOOKUP($U$375,'TAR FIN'!$A$1:$O$99,15,0))</f>
        <v>0</v>
      </c>
      <c r="Y375" s="4">
        <f ca="1">('TUSD BE'!$AM$12+'TUSD BF'!$AM$12+'TUSD CVA'!$AM$12)*1</f>
        <v>17.253093882326908</v>
      </c>
      <c r="Z375" s="4"/>
      <c r="AA375" s="4"/>
      <c r="AB375" s="4">
        <f>$K$375*$V$375</f>
        <v>115252.5</v>
      </c>
      <c r="AC375" s="4">
        <f>$M$375*$W$375</f>
        <v>0</v>
      </c>
      <c r="AD375" s="4">
        <f>$O$375*$X$375</f>
        <v>0</v>
      </c>
      <c r="AE375" s="4">
        <f ca="1">$K$375*$Y$375</f>
        <v>142338.02452919699</v>
      </c>
      <c r="AF375" s="4">
        <f>$M$375*$Z$375</f>
        <v>0</v>
      </c>
      <c r="AG375" s="4">
        <f>$O$375*$AA$375</f>
        <v>0</v>
      </c>
    </row>
    <row r="376" spans="1:33" ht="11.25" customHeight="1" x14ac:dyDescent="0.25">
      <c r="A376" s="3" t="s">
        <v>21</v>
      </c>
      <c r="B376" s="3" t="s">
        <v>41</v>
      </c>
      <c r="C376" s="3" t="s">
        <v>64</v>
      </c>
      <c r="D376" s="3" t="s">
        <v>25</v>
      </c>
      <c r="E376" s="3" t="s">
        <v>25</v>
      </c>
      <c r="F376" s="3" t="s">
        <v>65</v>
      </c>
      <c r="G376" s="3" t="s">
        <v>66</v>
      </c>
      <c r="H376" s="3" t="s">
        <v>25</v>
      </c>
      <c r="I376" s="6">
        <v>44621</v>
      </c>
      <c r="J376" s="4">
        <v>1131</v>
      </c>
      <c r="K376" s="4">
        <v>565.5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3" t="s">
        <v>67</v>
      </c>
      <c r="R376" s="3">
        <v>28542</v>
      </c>
      <c r="S376" s="4">
        <v>90</v>
      </c>
      <c r="T376" s="4">
        <v>0</v>
      </c>
      <c r="U376" s="4">
        <v>0</v>
      </c>
      <c r="V376" s="4">
        <f>IF(ISERROR(VLOOKUP($S$376,'TAR FIN'!$A$1:$O$99,15,0)),0,VLOOKUP($S$376,'TAR FIN'!$A$1:$O$99,15,0))</f>
        <v>13.97</v>
      </c>
      <c r="W376" s="4">
        <f>IF(ISERROR(VLOOKUP($T$376,'TAR FIN'!$A$1:$O$99,15,0)),0,VLOOKUP($T$376,'TAR FIN'!$A$1:$O$99,15,0))</f>
        <v>0</v>
      </c>
      <c r="X376" s="4">
        <f>IF(ISERROR(VLOOKUP($U$376,'TAR FIN'!$A$1:$O$99,15,0)),0,VLOOKUP($U$376,'TAR FIN'!$A$1:$O$99,15,0))</f>
        <v>0</v>
      </c>
      <c r="Y376" s="4">
        <f ca="1">('TUSD BE'!$AM$12+'TUSD BF'!$AM$12+'TUSD CVA'!$AM$12)*1</f>
        <v>17.253093882326908</v>
      </c>
      <c r="Z376" s="4"/>
      <c r="AA376" s="4"/>
      <c r="AB376" s="4">
        <f>$K$376*$V$376</f>
        <v>7900.0350000000008</v>
      </c>
      <c r="AC376" s="4">
        <f>$M$376*$W$376</f>
        <v>0</v>
      </c>
      <c r="AD376" s="4">
        <f>$O$376*$X$376</f>
        <v>0</v>
      </c>
      <c r="AE376" s="4">
        <f ca="1">$K$376*$Y$376</f>
        <v>9756.6245904558673</v>
      </c>
      <c r="AF376" s="4">
        <f>$M$376*$Z$376</f>
        <v>0</v>
      </c>
      <c r="AG376" s="4">
        <f>$O$376*$AA$376</f>
        <v>0</v>
      </c>
    </row>
    <row r="377" spans="1:33" ht="11.25" customHeight="1" x14ac:dyDescent="0.25">
      <c r="A377" s="3" t="s">
        <v>21</v>
      </c>
      <c r="B377" s="3" t="s">
        <v>41</v>
      </c>
      <c r="C377" s="3" t="s">
        <v>64</v>
      </c>
      <c r="D377" s="3" t="s">
        <v>25</v>
      </c>
      <c r="E377" s="3" t="s">
        <v>25</v>
      </c>
      <c r="F377" s="3" t="s">
        <v>65</v>
      </c>
      <c r="G377" s="3" t="s">
        <v>70</v>
      </c>
      <c r="H377" s="3" t="s">
        <v>25</v>
      </c>
      <c r="I377" s="6">
        <v>44621</v>
      </c>
      <c r="J377" s="4">
        <v>11908</v>
      </c>
      <c r="K377" s="4">
        <v>6326.125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3" t="s">
        <v>67</v>
      </c>
      <c r="R377" s="3">
        <v>29161</v>
      </c>
      <c r="S377" s="4">
        <v>90</v>
      </c>
      <c r="T377" s="4">
        <v>0</v>
      </c>
      <c r="U377" s="4">
        <v>0</v>
      </c>
      <c r="V377" s="4">
        <f>IF(ISERROR(VLOOKUP($S$377,'TAR FIN'!$A$1:$O$99,15,0)),0,VLOOKUP($S$377,'TAR FIN'!$A$1:$O$99,15,0))</f>
        <v>13.97</v>
      </c>
      <c r="W377" s="4">
        <f>IF(ISERROR(VLOOKUP($T$377,'TAR FIN'!$A$1:$O$99,15,0)),0,VLOOKUP($T$377,'TAR FIN'!$A$1:$O$99,15,0))</f>
        <v>0</v>
      </c>
      <c r="X377" s="4">
        <f>IF(ISERROR(VLOOKUP($U$377,'TAR FIN'!$A$1:$O$99,15,0)),0,VLOOKUP($U$377,'TAR FIN'!$A$1:$O$99,15,0))</f>
        <v>0</v>
      </c>
      <c r="Y377" s="4">
        <f ca="1">('TUSD BE'!$AM$12+'TUSD BF'!$AM$12+'TUSD CVA'!$AM$12)*1</f>
        <v>17.253093882326908</v>
      </c>
      <c r="Z377" s="4"/>
      <c r="AA377" s="4"/>
      <c r="AB377" s="4">
        <f>$K$377*$V$377</f>
        <v>88375.966249999998</v>
      </c>
      <c r="AC377" s="4">
        <f>$M$377*$W$377</f>
        <v>0</v>
      </c>
      <c r="AD377" s="4">
        <f>$O$377*$X$377</f>
        <v>0</v>
      </c>
      <c r="AE377" s="4">
        <f ca="1">$K$377*$Y$377</f>
        <v>109145.22853633531</v>
      </c>
      <c r="AF377" s="4">
        <f>$M$377*$Z$377</f>
        <v>0</v>
      </c>
      <c r="AG377" s="4">
        <f>$O$377*$AA$377</f>
        <v>0</v>
      </c>
    </row>
    <row r="378" spans="1:33" ht="11.25" customHeight="1" x14ac:dyDescent="0.25">
      <c r="A378" s="3" t="s">
        <v>21</v>
      </c>
      <c r="B378" s="3" t="s">
        <v>41</v>
      </c>
      <c r="C378" s="3" t="s">
        <v>64</v>
      </c>
      <c r="D378" s="3" t="s">
        <v>25</v>
      </c>
      <c r="E378" s="3" t="s">
        <v>25</v>
      </c>
      <c r="F378" s="3" t="s">
        <v>65</v>
      </c>
      <c r="G378" s="3" t="s">
        <v>71</v>
      </c>
      <c r="H378" s="3" t="s">
        <v>25</v>
      </c>
      <c r="I378" s="6">
        <v>44621</v>
      </c>
      <c r="J378" s="4">
        <v>30000</v>
      </c>
      <c r="K378" s="4">
        <v>15000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3" t="s">
        <v>67</v>
      </c>
      <c r="R378" s="3">
        <v>30048</v>
      </c>
      <c r="S378" s="4">
        <v>90</v>
      </c>
      <c r="T378" s="4">
        <v>0</v>
      </c>
      <c r="U378" s="4">
        <v>0</v>
      </c>
      <c r="V378" s="4">
        <f>IF(ISERROR(VLOOKUP($S$378,'TAR FIN'!$A$1:$O$99,15,0)),0,VLOOKUP($S$378,'TAR FIN'!$A$1:$O$99,15,0))</f>
        <v>13.97</v>
      </c>
      <c r="W378" s="4">
        <f>IF(ISERROR(VLOOKUP($T$378,'TAR FIN'!$A$1:$O$99,15,0)),0,VLOOKUP($T$378,'TAR FIN'!$A$1:$O$99,15,0))</f>
        <v>0</v>
      </c>
      <c r="X378" s="4">
        <f>IF(ISERROR(VLOOKUP($U$378,'TAR FIN'!$A$1:$O$99,15,0)),0,VLOOKUP($U$378,'TAR FIN'!$A$1:$O$99,15,0))</f>
        <v>0</v>
      </c>
      <c r="Y378" s="4">
        <f ca="1">('TUSD BE'!$AM$12+'TUSD BF'!$AM$12+'TUSD CVA'!$AM$12)*1</f>
        <v>17.253093882326908</v>
      </c>
      <c r="Z378" s="4"/>
      <c r="AA378" s="4"/>
      <c r="AB378" s="4">
        <f>$K$378*$V$378</f>
        <v>209550</v>
      </c>
      <c r="AC378" s="4">
        <f>$M$378*$W$378</f>
        <v>0</v>
      </c>
      <c r="AD378" s="4">
        <f>$O$378*$X$378</f>
        <v>0</v>
      </c>
      <c r="AE378" s="4">
        <f ca="1">$K$378*$Y$378</f>
        <v>258796.40823490362</v>
      </c>
      <c r="AF378" s="4">
        <f>$M$378*$Z$378</f>
        <v>0</v>
      </c>
      <c r="AG378" s="4">
        <f>$O$378*$AA$378</f>
        <v>0</v>
      </c>
    </row>
    <row r="379" spans="1:33" ht="11.25" customHeight="1" x14ac:dyDescent="0.25">
      <c r="A379" s="3" t="s">
        <v>21</v>
      </c>
      <c r="B379" s="3" t="s">
        <v>41</v>
      </c>
      <c r="C379" s="3" t="s">
        <v>64</v>
      </c>
      <c r="D379" s="3" t="s">
        <v>25</v>
      </c>
      <c r="E379" s="3" t="s">
        <v>25</v>
      </c>
      <c r="F379" s="3" t="s">
        <v>65</v>
      </c>
      <c r="G379" s="3" t="s">
        <v>73</v>
      </c>
      <c r="H379" s="3" t="s">
        <v>25</v>
      </c>
      <c r="I379" s="6">
        <v>44621</v>
      </c>
      <c r="J379" s="4">
        <v>16500</v>
      </c>
      <c r="K379" s="4">
        <v>8250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3" t="s">
        <v>67</v>
      </c>
      <c r="R379" s="3">
        <v>31371</v>
      </c>
      <c r="S379" s="4">
        <v>90</v>
      </c>
      <c r="T379" s="4">
        <v>0</v>
      </c>
      <c r="U379" s="4">
        <v>0</v>
      </c>
      <c r="V379" s="4">
        <f>IF(ISERROR(VLOOKUP($S$379,'TAR FIN'!$A$1:$O$99,15,0)),0,VLOOKUP($S$379,'TAR FIN'!$A$1:$O$99,15,0))</f>
        <v>13.97</v>
      </c>
      <c r="W379" s="4">
        <f>IF(ISERROR(VLOOKUP($T$379,'TAR FIN'!$A$1:$O$99,15,0)),0,VLOOKUP($T$379,'TAR FIN'!$A$1:$O$99,15,0))</f>
        <v>0</v>
      </c>
      <c r="X379" s="4">
        <f>IF(ISERROR(VLOOKUP($U$379,'TAR FIN'!$A$1:$O$99,15,0)),0,VLOOKUP($U$379,'TAR FIN'!$A$1:$O$99,15,0))</f>
        <v>0</v>
      </c>
      <c r="Y379" s="4">
        <f ca="1">('TUSD BE'!$AM$12+'TUSD BF'!$AM$12+'TUSD CVA'!$AM$12)*1</f>
        <v>17.253093882326908</v>
      </c>
      <c r="Z379" s="4"/>
      <c r="AA379" s="4"/>
      <c r="AB379" s="4">
        <f>$K$379*$V$379</f>
        <v>115252.5</v>
      </c>
      <c r="AC379" s="4">
        <f>$M$379*$W$379</f>
        <v>0</v>
      </c>
      <c r="AD379" s="4">
        <f>$O$379*$X$379</f>
        <v>0</v>
      </c>
      <c r="AE379" s="4">
        <f ca="1">$K$379*$Y$379</f>
        <v>142338.02452919699</v>
      </c>
      <c r="AF379" s="4">
        <f>$M$379*$Z$379</f>
        <v>0</v>
      </c>
      <c r="AG379" s="4">
        <f>$O$379*$AA$379</f>
        <v>0</v>
      </c>
    </row>
    <row r="380" spans="1:33" ht="11.25" customHeight="1" x14ac:dyDescent="0.25">
      <c r="A380" s="3" t="s">
        <v>56</v>
      </c>
      <c r="B380" s="3" t="s">
        <v>41</v>
      </c>
      <c r="C380" s="3" t="s">
        <v>64</v>
      </c>
      <c r="D380" s="3" t="s">
        <v>25</v>
      </c>
      <c r="E380" s="3" t="s">
        <v>25</v>
      </c>
      <c r="F380" s="3" t="s">
        <v>65</v>
      </c>
      <c r="G380" s="3" t="s">
        <v>66</v>
      </c>
      <c r="H380" s="3" t="s">
        <v>25</v>
      </c>
      <c r="I380" s="6">
        <v>44652</v>
      </c>
      <c r="J380" s="4">
        <v>1131</v>
      </c>
      <c r="K380" s="4">
        <v>565.5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3" t="s">
        <v>67</v>
      </c>
      <c r="R380" s="3">
        <v>28542</v>
      </c>
      <c r="S380" s="4">
        <v>90</v>
      </c>
      <c r="T380" s="4">
        <v>0</v>
      </c>
      <c r="U380" s="4">
        <v>0</v>
      </c>
      <c r="V380" s="4">
        <f>IF(ISERROR(VLOOKUP($S$380,'TAR FIN'!$A$1:$O$99,15,0)),0,VLOOKUP($S$380,'TAR FIN'!$A$1:$O$99,15,0))</f>
        <v>13.97</v>
      </c>
      <c r="W380" s="4">
        <f>IF(ISERROR(VLOOKUP($T$380,'TAR FIN'!$A$1:$O$99,15,0)),0,VLOOKUP($T$380,'TAR FIN'!$A$1:$O$99,15,0))</f>
        <v>0</v>
      </c>
      <c r="X380" s="4">
        <f>IF(ISERROR(VLOOKUP($U$380,'TAR FIN'!$A$1:$O$99,15,0)),0,VLOOKUP($U$380,'TAR FIN'!$A$1:$O$99,15,0))</f>
        <v>0</v>
      </c>
      <c r="Y380" s="4">
        <f ca="1">('TUSD BE'!$AM$12+'TUSD BF'!$AM$12+'TUSD CVA'!$AM$12)*1</f>
        <v>17.253093882326908</v>
      </c>
      <c r="Z380" s="4"/>
      <c r="AA380" s="4"/>
      <c r="AB380" s="4">
        <f>$K$380*$V$380</f>
        <v>7900.0350000000008</v>
      </c>
      <c r="AC380" s="4">
        <f>$M$380*$W$380</f>
        <v>0</v>
      </c>
      <c r="AD380" s="4">
        <f>$O$380*$X$380</f>
        <v>0</v>
      </c>
      <c r="AE380" s="4">
        <f ca="1">$K$380*$Y$380</f>
        <v>9756.6245904558673</v>
      </c>
      <c r="AF380" s="4">
        <f>$M$380*$Z$380</f>
        <v>0</v>
      </c>
      <c r="AG380" s="4">
        <f>$O$380*$AA$380</f>
        <v>0</v>
      </c>
    </row>
    <row r="381" spans="1:33" ht="11.25" customHeight="1" x14ac:dyDescent="0.25">
      <c r="A381" s="3" t="s">
        <v>56</v>
      </c>
      <c r="B381" s="3" t="s">
        <v>41</v>
      </c>
      <c r="C381" s="3" t="s">
        <v>64</v>
      </c>
      <c r="D381" s="3" t="s">
        <v>25</v>
      </c>
      <c r="E381" s="3" t="s">
        <v>25</v>
      </c>
      <c r="F381" s="3" t="s">
        <v>65</v>
      </c>
      <c r="G381" s="3" t="s">
        <v>70</v>
      </c>
      <c r="H381" s="3" t="s">
        <v>25</v>
      </c>
      <c r="I381" s="6">
        <v>44652</v>
      </c>
      <c r="J381" s="4">
        <v>11908</v>
      </c>
      <c r="K381" s="4">
        <v>6326.125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3" t="s">
        <v>67</v>
      </c>
      <c r="R381" s="3">
        <v>29161</v>
      </c>
      <c r="S381" s="4">
        <v>90</v>
      </c>
      <c r="T381" s="4">
        <v>0</v>
      </c>
      <c r="U381" s="4">
        <v>0</v>
      </c>
      <c r="V381" s="4">
        <f>IF(ISERROR(VLOOKUP($S$381,'TAR FIN'!$A$1:$O$99,15,0)),0,VLOOKUP($S$381,'TAR FIN'!$A$1:$O$99,15,0))</f>
        <v>13.97</v>
      </c>
      <c r="W381" s="4">
        <f>IF(ISERROR(VLOOKUP($T$381,'TAR FIN'!$A$1:$O$99,15,0)),0,VLOOKUP($T$381,'TAR FIN'!$A$1:$O$99,15,0))</f>
        <v>0</v>
      </c>
      <c r="X381" s="4">
        <f>IF(ISERROR(VLOOKUP($U$381,'TAR FIN'!$A$1:$O$99,15,0)),0,VLOOKUP($U$381,'TAR FIN'!$A$1:$O$99,15,0))</f>
        <v>0</v>
      </c>
      <c r="Y381" s="4">
        <f ca="1">('TUSD BE'!$AM$12+'TUSD BF'!$AM$12+'TUSD CVA'!$AM$12)*1</f>
        <v>17.253093882326908</v>
      </c>
      <c r="Z381" s="4"/>
      <c r="AA381" s="4"/>
      <c r="AB381" s="4">
        <f>$K$381*$V$381</f>
        <v>88375.966249999998</v>
      </c>
      <c r="AC381" s="4">
        <f>$M$381*$W$381</f>
        <v>0</v>
      </c>
      <c r="AD381" s="4">
        <f>$O$381*$X$381</f>
        <v>0</v>
      </c>
      <c r="AE381" s="4">
        <f ca="1">$K$381*$Y$381</f>
        <v>109145.22853633531</v>
      </c>
      <c r="AF381" s="4">
        <f>$M$381*$Z$381</f>
        <v>0</v>
      </c>
      <c r="AG381" s="4">
        <f>$O$381*$AA$381</f>
        <v>0</v>
      </c>
    </row>
    <row r="382" spans="1:33" ht="11.25" customHeight="1" x14ac:dyDescent="0.25">
      <c r="A382" s="3" t="s">
        <v>56</v>
      </c>
      <c r="B382" s="3" t="s">
        <v>41</v>
      </c>
      <c r="C382" s="3" t="s">
        <v>64</v>
      </c>
      <c r="D382" s="3" t="s">
        <v>25</v>
      </c>
      <c r="E382" s="3" t="s">
        <v>25</v>
      </c>
      <c r="F382" s="3" t="s">
        <v>65</v>
      </c>
      <c r="G382" s="3" t="s">
        <v>71</v>
      </c>
      <c r="H382" s="3" t="s">
        <v>25</v>
      </c>
      <c r="I382" s="6">
        <v>44652</v>
      </c>
      <c r="J382" s="4">
        <v>30000</v>
      </c>
      <c r="K382" s="4">
        <v>15000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3" t="s">
        <v>67</v>
      </c>
      <c r="R382" s="3">
        <v>30048</v>
      </c>
      <c r="S382" s="4">
        <v>90</v>
      </c>
      <c r="T382" s="4">
        <v>0</v>
      </c>
      <c r="U382" s="4">
        <v>0</v>
      </c>
      <c r="V382" s="4">
        <f>IF(ISERROR(VLOOKUP($S$382,'TAR FIN'!$A$1:$O$99,15,0)),0,VLOOKUP($S$382,'TAR FIN'!$A$1:$O$99,15,0))</f>
        <v>13.97</v>
      </c>
      <c r="W382" s="4">
        <f>IF(ISERROR(VLOOKUP($T$382,'TAR FIN'!$A$1:$O$99,15,0)),0,VLOOKUP($T$382,'TAR FIN'!$A$1:$O$99,15,0))</f>
        <v>0</v>
      </c>
      <c r="X382" s="4">
        <f>IF(ISERROR(VLOOKUP($U$382,'TAR FIN'!$A$1:$O$99,15,0)),0,VLOOKUP($U$382,'TAR FIN'!$A$1:$O$99,15,0))</f>
        <v>0</v>
      </c>
      <c r="Y382" s="4">
        <f ca="1">('TUSD BE'!$AM$12+'TUSD BF'!$AM$12+'TUSD CVA'!$AM$12)*1</f>
        <v>17.253093882326908</v>
      </c>
      <c r="Z382" s="4"/>
      <c r="AA382" s="4"/>
      <c r="AB382" s="4">
        <f>$K$382*$V$382</f>
        <v>209550</v>
      </c>
      <c r="AC382" s="4">
        <f>$M$382*$W$382</f>
        <v>0</v>
      </c>
      <c r="AD382" s="4">
        <f>$O$382*$X$382</f>
        <v>0</v>
      </c>
      <c r="AE382" s="4">
        <f ca="1">$K$382*$Y$382</f>
        <v>258796.40823490362</v>
      </c>
      <c r="AF382" s="4">
        <f>$M$382*$Z$382</f>
        <v>0</v>
      </c>
      <c r="AG382" s="4">
        <f>$O$382*$AA$382</f>
        <v>0</v>
      </c>
    </row>
    <row r="383" spans="1:33" ht="11.25" customHeight="1" x14ac:dyDescent="0.25">
      <c r="A383" s="3" t="s">
        <v>56</v>
      </c>
      <c r="B383" s="3" t="s">
        <v>41</v>
      </c>
      <c r="C383" s="3" t="s">
        <v>64</v>
      </c>
      <c r="D383" s="3" t="s">
        <v>25</v>
      </c>
      <c r="E383" s="3" t="s">
        <v>25</v>
      </c>
      <c r="F383" s="3" t="s">
        <v>65</v>
      </c>
      <c r="G383" s="3" t="s">
        <v>73</v>
      </c>
      <c r="H383" s="3" t="s">
        <v>25</v>
      </c>
      <c r="I383" s="6">
        <v>44652</v>
      </c>
      <c r="J383" s="4">
        <v>16500</v>
      </c>
      <c r="K383" s="4">
        <v>8250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3" t="s">
        <v>67</v>
      </c>
      <c r="R383" s="3">
        <v>31371</v>
      </c>
      <c r="S383" s="4">
        <v>90</v>
      </c>
      <c r="T383" s="4">
        <v>0</v>
      </c>
      <c r="U383" s="4">
        <v>0</v>
      </c>
      <c r="V383" s="4">
        <f>IF(ISERROR(VLOOKUP($S$383,'TAR FIN'!$A$1:$O$99,15,0)),0,VLOOKUP($S$383,'TAR FIN'!$A$1:$O$99,15,0))</f>
        <v>13.97</v>
      </c>
      <c r="W383" s="4">
        <f>IF(ISERROR(VLOOKUP($T$383,'TAR FIN'!$A$1:$O$99,15,0)),0,VLOOKUP($T$383,'TAR FIN'!$A$1:$O$99,15,0))</f>
        <v>0</v>
      </c>
      <c r="X383" s="4">
        <f>IF(ISERROR(VLOOKUP($U$383,'TAR FIN'!$A$1:$O$99,15,0)),0,VLOOKUP($U$383,'TAR FIN'!$A$1:$O$99,15,0))</f>
        <v>0</v>
      </c>
      <c r="Y383" s="4">
        <f ca="1">('TUSD BE'!$AM$12+'TUSD BF'!$AM$12+'TUSD CVA'!$AM$12)*1</f>
        <v>17.253093882326908</v>
      </c>
      <c r="Z383" s="4"/>
      <c r="AA383" s="4"/>
      <c r="AB383" s="4">
        <f>$K$383*$V$383</f>
        <v>115252.5</v>
      </c>
      <c r="AC383" s="4">
        <f>$M$383*$W$383</f>
        <v>0</v>
      </c>
      <c r="AD383" s="4">
        <f>$O$383*$X$383</f>
        <v>0</v>
      </c>
      <c r="AE383" s="4">
        <f ca="1">$K$383*$Y$383</f>
        <v>142338.02452919699</v>
      </c>
      <c r="AF383" s="4">
        <f>$M$383*$Z$383</f>
        <v>0</v>
      </c>
      <c r="AG383" s="4">
        <f>$O$383*$AA$383</f>
        <v>0</v>
      </c>
    </row>
    <row r="384" spans="1:33" ht="11.25" customHeight="1" x14ac:dyDescent="0.25">
      <c r="A384" s="3" t="s">
        <v>21</v>
      </c>
      <c r="B384" s="3" t="s">
        <v>41</v>
      </c>
      <c r="C384" s="3" t="s">
        <v>64</v>
      </c>
      <c r="D384" s="3" t="s">
        <v>25</v>
      </c>
      <c r="E384" s="3" t="s">
        <v>25</v>
      </c>
      <c r="F384" s="3" t="s">
        <v>25</v>
      </c>
      <c r="G384" s="3" t="s">
        <v>69</v>
      </c>
      <c r="H384" s="3" t="s">
        <v>25</v>
      </c>
      <c r="I384" s="6">
        <v>44317</v>
      </c>
      <c r="J384" s="4">
        <v>13000</v>
      </c>
      <c r="K384" s="4">
        <v>6500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3" t="s">
        <v>67</v>
      </c>
      <c r="R384" s="3">
        <v>28708</v>
      </c>
      <c r="S384" s="4">
        <v>90</v>
      </c>
      <c r="T384" s="4">
        <v>0</v>
      </c>
      <c r="U384" s="4">
        <v>0</v>
      </c>
      <c r="V384" s="4">
        <f>IF(ISERROR(VLOOKUP($S$384,'TAR FIN'!$A$1:$O$99,15,0)),0,VLOOKUP($S$384,'TAR FIN'!$A$1:$O$99,15,0))</f>
        <v>13.97</v>
      </c>
      <c r="W384" s="4">
        <f>IF(ISERROR(VLOOKUP($T$384,'TAR FIN'!$A$1:$O$99,15,0)),0,VLOOKUP($T$384,'TAR FIN'!$A$1:$O$99,15,0))</f>
        <v>0</v>
      </c>
      <c r="X384" s="4">
        <f>IF(ISERROR(VLOOKUP($U$384,'TAR FIN'!$A$1:$O$99,15,0)),0,VLOOKUP($U$384,'TAR FIN'!$A$1:$O$99,15,0))</f>
        <v>0</v>
      </c>
      <c r="Y384" s="4">
        <f ca="1">('TUSD BE'!$AM$12+'TUSD BF'!$AM$12+'TUSD CVA'!$AM$12)*1</f>
        <v>17.253093882326908</v>
      </c>
      <c r="Z384" s="4"/>
      <c r="AA384" s="4"/>
      <c r="AB384" s="4">
        <f>$K$384*$V$384</f>
        <v>90805</v>
      </c>
      <c r="AC384" s="4">
        <f>$M$384*$W$384</f>
        <v>0</v>
      </c>
      <c r="AD384" s="4">
        <f>$O$384*$X$384</f>
        <v>0</v>
      </c>
      <c r="AE384" s="4">
        <f ca="1">$K$384*$Y$384</f>
        <v>112145.1102351249</v>
      </c>
      <c r="AF384" s="4">
        <f>$M$384*$Z$384</f>
        <v>0</v>
      </c>
      <c r="AG384" s="4">
        <f>$O$384*$AA$384</f>
        <v>0</v>
      </c>
    </row>
    <row r="385" spans="1:33" ht="11.25" customHeight="1" x14ac:dyDescent="0.25">
      <c r="A385" s="3" t="s">
        <v>21</v>
      </c>
      <c r="B385" s="3" t="s">
        <v>41</v>
      </c>
      <c r="C385" s="3" t="s">
        <v>64</v>
      </c>
      <c r="D385" s="3" t="s">
        <v>25</v>
      </c>
      <c r="E385" s="3" t="s">
        <v>25</v>
      </c>
      <c r="F385" s="3" t="s">
        <v>25</v>
      </c>
      <c r="G385" s="3" t="s">
        <v>69</v>
      </c>
      <c r="H385" s="3" t="s">
        <v>25</v>
      </c>
      <c r="I385" s="6">
        <v>44348</v>
      </c>
      <c r="J385" s="4">
        <v>13000</v>
      </c>
      <c r="K385" s="4">
        <v>6500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3" t="s">
        <v>67</v>
      </c>
      <c r="R385" s="3">
        <v>28708</v>
      </c>
      <c r="S385" s="4">
        <v>90</v>
      </c>
      <c r="T385" s="4">
        <v>0</v>
      </c>
      <c r="U385" s="4">
        <v>0</v>
      </c>
      <c r="V385" s="4">
        <f>IF(ISERROR(VLOOKUP($S$385,'TAR FIN'!$A$1:$O$99,15,0)),0,VLOOKUP($S$385,'TAR FIN'!$A$1:$O$99,15,0))</f>
        <v>13.97</v>
      </c>
      <c r="W385" s="4">
        <f>IF(ISERROR(VLOOKUP($T$385,'TAR FIN'!$A$1:$O$99,15,0)),0,VLOOKUP($T$385,'TAR FIN'!$A$1:$O$99,15,0))</f>
        <v>0</v>
      </c>
      <c r="X385" s="4">
        <f>IF(ISERROR(VLOOKUP($U$385,'TAR FIN'!$A$1:$O$99,15,0)),0,VLOOKUP($U$385,'TAR FIN'!$A$1:$O$99,15,0))</f>
        <v>0</v>
      </c>
      <c r="Y385" s="4">
        <f ca="1">('TUSD BE'!$AM$12+'TUSD BF'!$AM$12+'TUSD CVA'!$AM$12)*1</f>
        <v>17.253093882326908</v>
      </c>
      <c r="Z385" s="4"/>
      <c r="AA385" s="4"/>
      <c r="AB385" s="4">
        <f>$K$385*$V$385</f>
        <v>90805</v>
      </c>
      <c r="AC385" s="4">
        <f>$M$385*$W$385</f>
        <v>0</v>
      </c>
      <c r="AD385" s="4">
        <f>$O$385*$X$385</f>
        <v>0</v>
      </c>
      <c r="AE385" s="4">
        <f ca="1">$K$385*$Y$385</f>
        <v>112145.1102351249</v>
      </c>
      <c r="AF385" s="4">
        <f>$M$385*$Z$385</f>
        <v>0</v>
      </c>
      <c r="AG385" s="4">
        <f>$O$385*$AA$385</f>
        <v>0</v>
      </c>
    </row>
    <row r="386" spans="1:33" ht="11.25" customHeight="1" x14ac:dyDescent="0.25">
      <c r="A386" s="3" t="s">
        <v>21</v>
      </c>
      <c r="B386" s="3" t="s">
        <v>41</v>
      </c>
      <c r="C386" s="3" t="s">
        <v>64</v>
      </c>
      <c r="D386" s="3" t="s">
        <v>25</v>
      </c>
      <c r="E386" s="3" t="s">
        <v>25</v>
      </c>
      <c r="F386" s="3" t="s">
        <v>25</v>
      </c>
      <c r="G386" s="3" t="s">
        <v>69</v>
      </c>
      <c r="H386" s="3" t="s">
        <v>25</v>
      </c>
      <c r="I386" s="6">
        <v>44378</v>
      </c>
      <c r="J386" s="4">
        <v>13000</v>
      </c>
      <c r="K386" s="4">
        <v>6500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3" t="s">
        <v>67</v>
      </c>
      <c r="R386" s="3">
        <v>28708</v>
      </c>
      <c r="S386" s="4">
        <v>90</v>
      </c>
      <c r="T386" s="4">
        <v>0</v>
      </c>
      <c r="U386" s="4">
        <v>0</v>
      </c>
      <c r="V386" s="4">
        <f>IF(ISERROR(VLOOKUP($S$386,'TAR FIN'!$A$1:$O$99,15,0)),0,VLOOKUP($S$386,'TAR FIN'!$A$1:$O$99,15,0))</f>
        <v>13.97</v>
      </c>
      <c r="W386" s="4">
        <f>IF(ISERROR(VLOOKUP($T$386,'TAR FIN'!$A$1:$O$99,15,0)),0,VLOOKUP($T$386,'TAR FIN'!$A$1:$O$99,15,0))</f>
        <v>0</v>
      </c>
      <c r="X386" s="4">
        <f>IF(ISERROR(VLOOKUP($U$386,'TAR FIN'!$A$1:$O$99,15,0)),0,VLOOKUP($U$386,'TAR FIN'!$A$1:$O$99,15,0))</f>
        <v>0</v>
      </c>
      <c r="Y386" s="4">
        <f ca="1">('TUSD BE'!$AM$12+'TUSD BF'!$AM$12+'TUSD CVA'!$AM$12)*1</f>
        <v>17.253093882326908</v>
      </c>
      <c r="Z386" s="4"/>
      <c r="AA386" s="4"/>
      <c r="AB386" s="4">
        <f>$K$386*$V$386</f>
        <v>90805</v>
      </c>
      <c r="AC386" s="4">
        <f>$M$386*$W$386</f>
        <v>0</v>
      </c>
      <c r="AD386" s="4">
        <f>$O$386*$X$386</f>
        <v>0</v>
      </c>
      <c r="AE386" s="4">
        <f ca="1">$K$386*$Y$386</f>
        <v>112145.1102351249</v>
      </c>
      <c r="AF386" s="4">
        <f>$M$386*$Z$386</f>
        <v>0</v>
      </c>
      <c r="AG386" s="4">
        <f>$O$386*$AA$386</f>
        <v>0</v>
      </c>
    </row>
    <row r="387" spans="1:33" ht="11.25" customHeight="1" x14ac:dyDescent="0.25">
      <c r="A387" s="3" t="s">
        <v>21</v>
      </c>
      <c r="B387" s="3" t="s">
        <v>41</v>
      </c>
      <c r="C387" s="3" t="s">
        <v>64</v>
      </c>
      <c r="D387" s="3" t="s">
        <v>25</v>
      </c>
      <c r="E387" s="3" t="s">
        <v>25</v>
      </c>
      <c r="F387" s="3" t="s">
        <v>25</v>
      </c>
      <c r="G387" s="3" t="s">
        <v>69</v>
      </c>
      <c r="H387" s="3" t="s">
        <v>25</v>
      </c>
      <c r="I387" s="6">
        <v>44409</v>
      </c>
      <c r="J387" s="4">
        <v>11000</v>
      </c>
      <c r="K387" s="4">
        <v>5500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3" t="s">
        <v>67</v>
      </c>
      <c r="R387" s="3">
        <v>28708</v>
      </c>
      <c r="S387" s="4">
        <v>90</v>
      </c>
      <c r="T387" s="4">
        <v>0</v>
      </c>
      <c r="U387" s="4">
        <v>0</v>
      </c>
      <c r="V387" s="4">
        <f>IF(ISERROR(VLOOKUP($S$387,'TAR FIN'!$A$1:$O$99,15,0)),0,VLOOKUP($S$387,'TAR FIN'!$A$1:$O$99,15,0))</f>
        <v>13.97</v>
      </c>
      <c r="W387" s="4">
        <f>IF(ISERROR(VLOOKUP($T$387,'TAR FIN'!$A$1:$O$99,15,0)),0,VLOOKUP($T$387,'TAR FIN'!$A$1:$O$99,15,0))</f>
        <v>0</v>
      </c>
      <c r="X387" s="4">
        <f>IF(ISERROR(VLOOKUP($U$387,'TAR FIN'!$A$1:$O$99,15,0)),0,VLOOKUP($U$387,'TAR FIN'!$A$1:$O$99,15,0))</f>
        <v>0</v>
      </c>
      <c r="Y387" s="4">
        <f ca="1">('TUSD BE'!$AM$12+'TUSD BF'!$AM$12+'TUSD CVA'!$AM$12)*1</f>
        <v>17.253093882326908</v>
      </c>
      <c r="Z387" s="4"/>
      <c r="AA387" s="4"/>
      <c r="AB387" s="4">
        <f>$K$387*$V$387</f>
        <v>76835</v>
      </c>
      <c r="AC387" s="4">
        <f>$M$387*$W$387</f>
        <v>0</v>
      </c>
      <c r="AD387" s="4">
        <f>$O$387*$X$387</f>
        <v>0</v>
      </c>
      <c r="AE387" s="4">
        <f ca="1">$K$387*$Y$387</f>
        <v>94892.016352797989</v>
      </c>
      <c r="AF387" s="4">
        <f>$M$387*$Z$387</f>
        <v>0</v>
      </c>
      <c r="AG387" s="4">
        <f>$O$387*$AA$387</f>
        <v>0</v>
      </c>
    </row>
    <row r="388" spans="1:33" ht="11.25" customHeight="1" x14ac:dyDescent="0.25">
      <c r="A388" s="3" t="s">
        <v>21</v>
      </c>
      <c r="B388" s="3" t="s">
        <v>41</v>
      </c>
      <c r="C388" s="3" t="s">
        <v>64</v>
      </c>
      <c r="D388" s="3" t="s">
        <v>25</v>
      </c>
      <c r="E388" s="3" t="s">
        <v>25</v>
      </c>
      <c r="F388" s="3" t="s">
        <v>25</v>
      </c>
      <c r="G388" s="3" t="s">
        <v>69</v>
      </c>
      <c r="H388" s="3" t="s">
        <v>25</v>
      </c>
      <c r="I388" s="6">
        <v>44440</v>
      </c>
      <c r="J388" s="4">
        <v>11000</v>
      </c>
      <c r="K388" s="4">
        <v>5500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3" t="s">
        <v>67</v>
      </c>
      <c r="R388" s="3">
        <v>28708</v>
      </c>
      <c r="S388" s="4">
        <v>90</v>
      </c>
      <c r="T388" s="4">
        <v>0</v>
      </c>
      <c r="U388" s="4">
        <v>0</v>
      </c>
      <c r="V388" s="4">
        <f>IF(ISERROR(VLOOKUP($S$388,'TAR FIN'!$A$1:$O$99,15,0)),0,VLOOKUP($S$388,'TAR FIN'!$A$1:$O$99,15,0))</f>
        <v>13.97</v>
      </c>
      <c r="W388" s="4">
        <f>IF(ISERROR(VLOOKUP($T$388,'TAR FIN'!$A$1:$O$99,15,0)),0,VLOOKUP($T$388,'TAR FIN'!$A$1:$O$99,15,0))</f>
        <v>0</v>
      </c>
      <c r="X388" s="4">
        <f>IF(ISERROR(VLOOKUP($U$388,'TAR FIN'!$A$1:$O$99,15,0)),0,VLOOKUP($U$388,'TAR FIN'!$A$1:$O$99,15,0))</f>
        <v>0</v>
      </c>
      <c r="Y388" s="4">
        <f ca="1">('TUSD BE'!$AM$12+'TUSD BF'!$AM$12+'TUSD CVA'!$AM$12)*1</f>
        <v>17.253093882326908</v>
      </c>
      <c r="Z388" s="4"/>
      <c r="AA388" s="4"/>
      <c r="AB388" s="4">
        <f>$K$388*$V$388</f>
        <v>76835</v>
      </c>
      <c r="AC388" s="4">
        <f>$M$388*$W$388</f>
        <v>0</v>
      </c>
      <c r="AD388" s="4">
        <f>$O$388*$X$388</f>
        <v>0</v>
      </c>
      <c r="AE388" s="4">
        <f ca="1">$K$388*$Y$388</f>
        <v>94892.016352797989</v>
      </c>
      <c r="AF388" s="4">
        <f>$M$388*$Z$388</f>
        <v>0</v>
      </c>
      <c r="AG388" s="4">
        <f>$O$388*$AA$388</f>
        <v>0</v>
      </c>
    </row>
    <row r="389" spans="1:33" ht="11.25" customHeight="1" x14ac:dyDescent="0.25">
      <c r="A389" s="3" t="s">
        <v>21</v>
      </c>
      <c r="B389" s="3" t="s">
        <v>41</v>
      </c>
      <c r="C389" s="3" t="s">
        <v>64</v>
      </c>
      <c r="D389" s="3" t="s">
        <v>25</v>
      </c>
      <c r="E389" s="3" t="s">
        <v>25</v>
      </c>
      <c r="F389" s="3" t="s">
        <v>25</v>
      </c>
      <c r="G389" s="3" t="s">
        <v>69</v>
      </c>
      <c r="H389" s="3" t="s">
        <v>25</v>
      </c>
      <c r="I389" s="6">
        <v>44470</v>
      </c>
      <c r="J389" s="4">
        <v>11000</v>
      </c>
      <c r="K389" s="4">
        <v>5500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3" t="s">
        <v>67</v>
      </c>
      <c r="R389" s="3">
        <v>28708</v>
      </c>
      <c r="S389" s="4">
        <v>90</v>
      </c>
      <c r="T389" s="4">
        <v>0</v>
      </c>
      <c r="U389" s="4">
        <v>0</v>
      </c>
      <c r="V389" s="4">
        <f>IF(ISERROR(VLOOKUP($S$389,'TAR FIN'!$A$1:$O$99,15,0)),0,VLOOKUP($S$389,'TAR FIN'!$A$1:$O$99,15,0))</f>
        <v>13.97</v>
      </c>
      <c r="W389" s="4">
        <f>IF(ISERROR(VLOOKUP($T$389,'TAR FIN'!$A$1:$O$99,15,0)),0,VLOOKUP($T$389,'TAR FIN'!$A$1:$O$99,15,0))</f>
        <v>0</v>
      </c>
      <c r="X389" s="4">
        <f>IF(ISERROR(VLOOKUP($U$389,'TAR FIN'!$A$1:$O$99,15,0)),0,VLOOKUP($U$389,'TAR FIN'!$A$1:$O$99,15,0))</f>
        <v>0</v>
      </c>
      <c r="Y389" s="4">
        <f ca="1">('TUSD BE'!$AM$12+'TUSD BF'!$AM$12+'TUSD CVA'!$AM$12)*1</f>
        <v>17.253093882326908</v>
      </c>
      <c r="Z389" s="4"/>
      <c r="AA389" s="4"/>
      <c r="AB389" s="4">
        <f>$K$389*$V$389</f>
        <v>76835</v>
      </c>
      <c r="AC389" s="4">
        <f>$M$389*$W$389</f>
        <v>0</v>
      </c>
      <c r="AD389" s="4">
        <f>$O$389*$X$389</f>
        <v>0</v>
      </c>
      <c r="AE389" s="4">
        <f ca="1">$K$389*$Y$389</f>
        <v>94892.016352797989</v>
      </c>
      <c r="AF389" s="4">
        <f>$M$389*$Z$389</f>
        <v>0</v>
      </c>
      <c r="AG389" s="4">
        <f>$O$389*$AA$389</f>
        <v>0</v>
      </c>
    </row>
    <row r="390" spans="1:33" ht="11.25" customHeight="1" x14ac:dyDescent="0.25">
      <c r="A390" s="3" t="s">
        <v>21</v>
      </c>
      <c r="B390" s="3" t="s">
        <v>41</v>
      </c>
      <c r="C390" s="3" t="s">
        <v>64</v>
      </c>
      <c r="D390" s="3" t="s">
        <v>25</v>
      </c>
      <c r="E390" s="3" t="s">
        <v>25</v>
      </c>
      <c r="F390" s="3" t="s">
        <v>25</v>
      </c>
      <c r="G390" s="3" t="s">
        <v>69</v>
      </c>
      <c r="H390" s="3" t="s">
        <v>25</v>
      </c>
      <c r="I390" s="6">
        <v>44501</v>
      </c>
      <c r="J390" s="4">
        <v>11000</v>
      </c>
      <c r="K390" s="4">
        <v>5500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3" t="s">
        <v>67</v>
      </c>
      <c r="R390" s="3">
        <v>28708</v>
      </c>
      <c r="S390" s="4">
        <v>90</v>
      </c>
      <c r="T390" s="4">
        <v>0</v>
      </c>
      <c r="U390" s="4">
        <v>0</v>
      </c>
      <c r="V390" s="4">
        <f>IF(ISERROR(VLOOKUP($S$390,'TAR FIN'!$A$1:$O$99,15,0)),0,VLOOKUP($S$390,'TAR FIN'!$A$1:$O$99,15,0))</f>
        <v>13.97</v>
      </c>
      <c r="W390" s="4">
        <f>IF(ISERROR(VLOOKUP($T$390,'TAR FIN'!$A$1:$O$99,15,0)),0,VLOOKUP($T$390,'TAR FIN'!$A$1:$O$99,15,0))</f>
        <v>0</v>
      </c>
      <c r="X390" s="4">
        <f>IF(ISERROR(VLOOKUP($U$390,'TAR FIN'!$A$1:$O$99,15,0)),0,VLOOKUP($U$390,'TAR FIN'!$A$1:$O$99,15,0))</f>
        <v>0</v>
      </c>
      <c r="Y390" s="4">
        <f ca="1">('TUSD BE'!$AM$12+'TUSD BF'!$AM$12+'TUSD CVA'!$AM$12)*1</f>
        <v>17.253093882326908</v>
      </c>
      <c r="Z390" s="4"/>
      <c r="AA390" s="4"/>
      <c r="AB390" s="4">
        <f>$K$390*$V$390</f>
        <v>76835</v>
      </c>
      <c r="AC390" s="4">
        <f>$M$390*$W$390</f>
        <v>0</v>
      </c>
      <c r="AD390" s="4">
        <f>$O$390*$X$390</f>
        <v>0</v>
      </c>
      <c r="AE390" s="4">
        <f ca="1">$K$390*$Y$390</f>
        <v>94892.016352797989</v>
      </c>
      <c r="AF390" s="4">
        <f>$M$390*$Z$390</f>
        <v>0</v>
      </c>
      <c r="AG390" s="4">
        <f>$O$390*$AA$390</f>
        <v>0</v>
      </c>
    </row>
    <row r="391" spans="1:33" ht="11.25" customHeight="1" x14ac:dyDescent="0.25">
      <c r="A391" s="3" t="s">
        <v>21</v>
      </c>
      <c r="B391" s="3" t="s">
        <v>41</v>
      </c>
      <c r="C391" s="3" t="s">
        <v>64</v>
      </c>
      <c r="D391" s="3" t="s">
        <v>25</v>
      </c>
      <c r="E391" s="3" t="s">
        <v>25</v>
      </c>
      <c r="F391" s="3" t="s">
        <v>25</v>
      </c>
      <c r="G391" s="3" t="s">
        <v>69</v>
      </c>
      <c r="H391" s="3" t="s">
        <v>25</v>
      </c>
      <c r="I391" s="6">
        <v>44531</v>
      </c>
      <c r="J391" s="4">
        <v>11000</v>
      </c>
      <c r="K391" s="4">
        <v>5500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3" t="s">
        <v>67</v>
      </c>
      <c r="R391" s="3">
        <v>28708</v>
      </c>
      <c r="S391" s="4">
        <v>90</v>
      </c>
      <c r="T391" s="4">
        <v>0</v>
      </c>
      <c r="U391" s="4">
        <v>0</v>
      </c>
      <c r="V391" s="4">
        <f>IF(ISERROR(VLOOKUP($S$391,'TAR FIN'!$A$1:$O$99,15,0)),0,VLOOKUP($S$391,'TAR FIN'!$A$1:$O$99,15,0))</f>
        <v>13.97</v>
      </c>
      <c r="W391" s="4">
        <f>IF(ISERROR(VLOOKUP($T$391,'TAR FIN'!$A$1:$O$99,15,0)),0,VLOOKUP($T$391,'TAR FIN'!$A$1:$O$99,15,0))</f>
        <v>0</v>
      </c>
      <c r="X391" s="4">
        <f>IF(ISERROR(VLOOKUP($U$391,'TAR FIN'!$A$1:$O$99,15,0)),0,VLOOKUP($U$391,'TAR FIN'!$A$1:$O$99,15,0))</f>
        <v>0</v>
      </c>
      <c r="Y391" s="4">
        <f ca="1">('TUSD BE'!$AM$12+'TUSD BF'!$AM$12+'TUSD CVA'!$AM$12)*1</f>
        <v>17.253093882326908</v>
      </c>
      <c r="Z391" s="4"/>
      <c r="AA391" s="4"/>
      <c r="AB391" s="4">
        <f>$K$391*$V$391</f>
        <v>76835</v>
      </c>
      <c r="AC391" s="4">
        <f>$M$391*$W$391</f>
        <v>0</v>
      </c>
      <c r="AD391" s="4">
        <f>$O$391*$X$391</f>
        <v>0</v>
      </c>
      <c r="AE391" s="4">
        <f ca="1">$K$391*$Y$391</f>
        <v>94892.016352797989</v>
      </c>
      <c r="AF391" s="4">
        <f>$M$391*$Z$391</f>
        <v>0</v>
      </c>
      <c r="AG391" s="4">
        <f>$O$391*$AA$391</f>
        <v>0</v>
      </c>
    </row>
    <row r="392" spans="1:33" ht="11.25" customHeight="1" x14ac:dyDescent="0.25">
      <c r="A392" s="3" t="s">
        <v>21</v>
      </c>
      <c r="B392" s="3" t="s">
        <v>41</v>
      </c>
      <c r="C392" s="3" t="s">
        <v>64</v>
      </c>
      <c r="D392" s="3" t="s">
        <v>25</v>
      </c>
      <c r="E392" s="3" t="s">
        <v>25</v>
      </c>
      <c r="F392" s="3" t="s">
        <v>25</v>
      </c>
      <c r="G392" s="3" t="s">
        <v>69</v>
      </c>
      <c r="H392" s="3" t="s">
        <v>25</v>
      </c>
      <c r="I392" s="6">
        <v>44562</v>
      </c>
      <c r="J392" s="4">
        <v>11000</v>
      </c>
      <c r="K392" s="4">
        <v>5500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3" t="s">
        <v>67</v>
      </c>
      <c r="R392" s="3">
        <v>28708</v>
      </c>
      <c r="S392" s="4">
        <v>90</v>
      </c>
      <c r="T392" s="4">
        <v>0</v>
      </c>
      <c r="U392" s="4">
        <v>0</v>
      </c>
      <c r="V392" s="4">
        <f>IF(ISERROR(VLOOKUP($S$392,'TAR FIN'!$A$1:$O$99,15,0)),0,VLOOKUP($S$392,'TAR FIN'!$A$1:$O$99,15,0))</f>
        <v>13.97</v>
      </c>
      <c r="W392" s="4">
        <f>IF(ISERROR(VLOOKUP($T$392,'TAR FIN'!$A$1:$O$99,15,0)),0,VLOOKUP($T$392,'TAR FIN'!$A$1:$O$99,15,0))</f>
        <v>0</v>
      </c>
      <c r="X392" s="4">
        <f>IF(ISERROR(VLOOKUP($U$392,'TAR FIN'!$A$1:$O$99,15,0)),0,VLOOKUP($U$392,'TAR FIN'!$A$1:$O$99,15,0))</f>
        <v>0</v>
      </c>
      <c r="Y392" s="4">
        <f ca="1">('TUSD BE'!$AM$12+'TUSD BF'!$AM$12+'TUSD CVA'!$AM$12)*1</f>
        <v>17.253093882326908</v>
      </c>
      <c r="Z392" s="4"/>
      <c r="AA392" s="4"/>
      <c r="AB392" s="4">
        <f>$K$392*$V$392</f>
        <v>76835</v>
      </c>
      <c r="AC392" s="4">
        <f>$M$392*$W$392</f>
        <v>0</v>
      </c>
      <c r="AD392" s="4">
        <f>$O$392*$X$392</f>
        <v>0</v>
      </c>
      <c r="AE392" s="4">
        <f ca="1">$K$392*$Y$392</f>
        <v>94892.016352797989</v>
      </c>
      <c r="AF392" s="4">
        <f>$M$392*$Z$392</f>
        <v>0</v>
      </c>
      <c r="AG392" s="4">
        <f>$O$392*$AA$392</f>
        <v>0</v>
      </c>
    </row>
    <row r="393" spans="1:33" ht="11.25" customHeight="1" x14ac:dyDescent="0.25">
      <c r="A393" s="3" t="s">
        <v>21</v>
      </c>
      <c r="B393" s="3" t="s">
        <v>41</v>
      </c>
      <c r="C393" s="3" t="s">
        <v>64</v>
      </c>
      <c r="D393" s="3" t="s">
        <v>25</v>
      </c>
      <c r="E393" s="3" t="s">
        <v>25</v>
      </c>
      <c r="F393" s="3" t="s">
        <v>25</v>
      </c>
      <c r="G393" s="3" t="s">
        <v>69</v>
      </c>
      <c r="H393" s="3" t="s">
        <v>25</v>
      </c>
      <c r="I393" s="6">
        <v>44593</v>
      </c>
      <c r="J393" s="4">
        <v>11000</v>
      </c>
      <c r="K393" s="4">
        <v>5500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3" t="s">
        <v>67</v>
      </c>
      <c r="R393" s="3">
        <v>28708</v>
      </c>
      <c r="S393" s="4">
        <v>90</v>
      </c>
      <c r="T393" s="4">
        <v>0</v>
      </c>
      <c r="U393" s="4">
        <v>0</v>
      </c>
      <c r="V393" s="4">
        <f>IF(ISERROR(VLOOKUP($S$393,'TAR FIN'!$A$1:$O$99,15,0)),0,VLOOKUP($S$393,'TAR FIN'!$A$1:$O$99,15,0))</f>
        <v>13.97</v>
      </c>
      <c r="W393" s="4">
        <f>IF(ISERROR(VLOOKUP($T$393,'TAR FIN'!$A$1:$O$99,15,0)),0,VLOOKUP($T$393,'TAR FIN'!$A$1:$O$99,15,0))</f>
        <v>0</v>
      </c>
      <c r="X393" s="4">
        <f>IF(ISERROR(VLOOKUP($U$393,'TAR FIN'!$A$1:$O$99,15,0)),0,VLOOKUP($U$393,'TAR FIN'!$A$1:$O$99,15,0))</f>
        <v>0</v>
      </c>
      <c r="Y393" s="4">
        <f ca="1">('TUSD BE'!$AM$12+'TUSD BF'!$AM$12+'TUSD CVA'!$AM$12)*1</f>
        <v>17.253093882326908</v>
      </c>
      <c r="Z393" s="4"/>
      <c r="AA393" s="4"/>
      <c r="AB393" s="4">
        <f>$K$393*$V$393</f>
        <v>76835</v>
      </c>
      <c r="AC393" s="4">
        <f>$M$393*$W$393</f>
        <v>0</v>
      </c>
      <c r="AD393" s="4">
        <f>$O$393*$X$393</f>
        <v>0</v>
      </c>
      <c r="AE393" s="4">
        <f ca="1">$K$393*$Y$393</f>
        <v>94892.016352797989</v>
      </c>
      <c r="AF393" s="4">
        <f>$M$393*$Z$393</f>
        <v>0</v>
      </c>
      <c r="AG393" s="4">
        <f>$O$393*$AA$393</f>
        <v>0</v>
      </c>
    </row>
    <row r="394" spans="1:33" ht="11.25" customHeight="1" x14ac:dyDescent="0.25">
      <c r="A394" s="3" t="s">
        <v>21</v>
      </c>
      <c r="B394" s="3" t="s">
        <v>41</v>
      </c>
      <c r="C394" s="3" t="s">
        <v>64</v>
      </c>
      <c r="D394" s="3" t="s">
        <v>25</v>
      </c>
      <c r="E394" s="3" t="s">
        <v>25</v>
      </c>
      <c r="F394" s="3" t="s">
        <v>25</v>
      </c>
      <c r="G394" s="3" t="s">
        <v>69</v>
      </c>
      <c r="H394" s="3" t="s">
        <v>25</v>
      </c>
      <c r="I394" s="6">
        <v>44621</v>
      </c>
      <c r="J394" s="4">
        <v>11000</v>
      </c>
      <c r="K394" s="4">
        <v>5500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3" t="s">
        <v>67</v>
      </c>
      <c r="R394" s="3">
        <v>28708</v>
      </c>
      <c r="S394" s="4">
        <v>90</v>
      </c>
      <c r="T394" s="4">
        <v>0</v>
      </c>
      <c r="U394" s="4">
        <v>0</v>
      </c>
      <c r="V394" s="4">
        <f>IF(ISERROR(VLOOKUP($S$394,'TAR FIN'!$A$1:$O$99,15,0)),0,VLOOKUP($S$394,'TAR FIN'!$A$1:$O$99,15,0))</f>
        <v>13.97</v>
      </c>
      <c r="W394" s="4">
        <f>IF(ISERROR(VLOOKUP($T$394,'TAR FIN'!$A$1:$O$99,15,0)),0,VLOOKUP($T$394,'TAR FIN'!$A$1:$O$99,15,0))</f>
        <v>0</v>
      </c>
      <c r="X394" s="4">
        <f>IF(ISERROR(VLOOKUP($U$394,'TAR FIN'!$A$1:$O$99,15,0)),0,VLOOKUP($U$394,'TAR FIN'!$A$1:$O$99,15,0))</f>
        <v>0</v>
      </c>
      <c r="Y394" s="4">
        <f ca="1">('TUSD BE'!$AM$12+'TUSD BF'!$AM$12+'TUSD CVA'!$AM$12)*1</f>
        <v>17.253093882326908</v>
      </c>
      <c r="Z394" s="4"/>
      <c r="AA394" s="4"/>
      <c r="AB394" s="4">
        <f>$K$394*$V$394</f>
        <v>76835</v>
      </c>
      <c r="AC394" s="4">
        <f>$M$394*$W$394</f>
        <v>0</v>
      </c>
      <c r="AD394" s="4">
        <f>$O$394*$X$394</f>
        <v>0</v>
      </c>
      <c r="AE394" s="4">
        <f ca="1">$K$394*$Y$394</f>
        <v>94892.016352797989</v>
      </c>
      <c r="AF394" s="4">
        <f>$M$394*$Z$394</f>
        <v>0</v>
      </c>
      <c r="AG394" s="4">
        <f>$O$394*$AA$394</f>
        <v>0</v>
      </c>
    </row>
    <row r="395" spans="1:33" ht="11.25" customHeight="1" x14ac:dyDescent="0.25">
      <c r="A395" s="3" t="s">
        <v>56</v>
      </c>
      <c r="B395" s="3" t="s">
        <v>41</v>
      </c>
      <c r="C395" s="3" t="s">
        <v>64</v>
      </c>
      <c r="D395" s="3" t="s">
        <v>25</v>
      </c>
      <c r="E395" s="3" t="s">
        <v>25</v>
      </c>
      <c r="F395" s="3" t="s">
        <v>25</v>
      </c>
      <c r="G395" s="3" t="s">
        <v>69</v>
      </c>
      <c r="H395" s="3" t="s">
        <v>25</v>
      </c>
      <c r="I395" s="6">
        <v>44652</v>
      </c>
      <c r="J395" s="4">
        <v>11000</v>
      </c>
      <c r="K395" s="4">
        <v>5500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3" t="s">
        <v>67</v>
      </c>
      <c r="R395" s="3">
        <v>28708</v>
      </c>
      <c r="S395" s="4">
        <v>90</v>
      </c>
      <c r="T395" s="4">
        <v>0</v>
      </c>
      <c r="U395" s="4">
        <v>0</v>
      </c>
      <c r="V395" s="4">
        <f>IF(ISERROR(VLOOKUP($S$395,'TAR FIN'!$A$1:$O$99,15,0)),0,VLOOKUP($S$395,'TAR FIN'!$A$1:$O$99,15,0))</f>
        <v>13.97</v>
      </c>
      <c r="W395" s="4">
        <f>IF(ISERROR(VLOOKUP($T$395,'TAR FIN'!$A$1:$O$99,15,0)),0,VLOOKUP($T$395,'TAR FIN'!$A$1:$O$99,15,0))</f>
        <v>0</v>
      </c>
      <c r="X395" s="4">
        <f>IF(ISERROR(VLOOKUP($U$395,'TAR FIN'!$A$1:$O$99,15,0)),0,VLOOKUP($U$395,'TAR FIN'!$A$1:$O$99,15,0))</f>
        <v>0</v>
      </c>
      <c r="Y395" s="4">
        <f ca="1">('TUSD BE'!$AM$12+'TUSD BF'!$AM$12+'TUSD CVA'!$AM$12)*1</f>
        <v>17.253093882326908</v>
      </c>
      <c r="Z395" s="4"/>
      <c r="AA395" s="4"/>
      <c r="AB395" s="4">
        <f>$K$395*$V$395</f>
        <v>76835</v>
      </c>
      <c r="AC395" s="4">
        <f>$M$395*$W$395</f>
        <v>0</v>
      </c>
      <c r="AD395" s="4">
        <f>$O$395*$X$395</f>
        <v>0</v>
      </c>
      <c r="AE395" s="4">
        <f ca="1">$K$395*$Y$395</f>
        <v>94892.016352797989</v>
      </c>
      <c r="AF395" s="4">
        <f>$M$395*$Z$395</f>
        <v>0</v>
      </c>
      <c r="AG395" s="4">
        <f>$O$395*$AA$395</f>
        <v>0</v>
      </c>
    </row>
    <row r="396" spans="1:33" ht="11.25" customHeight="1" x14ac:dyDescent="0.25">
      <c r="A396" s="3" t="s">
        <v>21</v>
      </c>
      <c r="B396" s="3" t="s">
        <v>33</v>
      </c>
      <c r="C396" s="3" t="s">
        <v>42</v>
      </c>
      <c r="D396" s="3" t="s">
        <v>43</v>
      </c>
      <c r="E396" s="3" t="s">
        <v>25</v>
      </c>
      <c r="F396" s="3" t="s">
        <v>25</v>
      </c>
      <c r="G396" s="3" t="s">
        <v>25</v>
      </c>
      <c r="H396" s="3" t="s">
        <v>36</v>
      </c>
      <c r="I396" s="6">
        <v>44317</v>
      </c>
      <c r="J396" s="4">
        <v>9000</v>
      </c>
      <c r="K396" s="4">
        <v>9000</v>
      </c>
      <c r="L396" s="4">
        <v>2327.5320000000002</v>
      </c>
      <c r="M396" s="4">
        <v>2327.5320000000002</v>
      </c>
      <c r="N396" s="4">
        <v>2327.5320000000002</v>
      </c>
      <c r="O396" s="4">
        <v>2327.5320000000002</v>
      </c>
      <c r="P396" s="4">
        <v>0</v>
      </c>
      <c r="Q396" s="3" t="s">
        <v>26</v>
      </c>
      <c r="R396" s="3">
        <v>0</v>
      </c>
      <c r="S396" s="4">
        <v>87</v>
      </c>
      <c r="T396" s="4">
        <v>88</v>
      </c>
      <c r="U396" s="4">
        <v>73</v>
      </c>
      <c r="V396" s="4">
        <f>IF(ISERROR(VLOOKUP($S$396,'TAR FIN'!$A$1:$O$99,15,0)),0,VLOOKUP($S$396,'TAR FIN'!$A$1:$O$99,15,0))</f>
        <v>21.85</v>
      </c>
      <c r="W396" s="4">
        <f>IF(ISERROR(VLOOKUP($T$396,'TAR FIN'!$A$1:$O$99,15,0)),0,VLOOKUP($T$396,'TAR FIN'!$A$1:$O$99,15,0))</f>
        <v>97.61</v>
      </c>
      <c r="X396" s="4">
        <f>IF(ISERROR(VLOOKUP($U$396,'TAR FIN'!$A$1:$O$99,15,0)),0,VLOOKUP($U$396,'TAR FIN'!$A$1:$O$99,15,0))</f>
        <v>219.97</v>
      </c>
      <c r="Y396" s="4">
        <f ca="1">('TUSD BE'!$AM$14+'TUSD BF'!$AM$14+'TUSD CVA'!$AM$14)*1</f>
        <v>24.669398821277586</v>
      </c>
      <c r="Z396" s="4">
        <f ca="1">('TUSD BE'!$AM$15+'TUSD BF'!$AM$15+'TUSD CVA'!$AM$15)*1</f>
        <v>117.59114529324071</v>
      </c>
      <c r="AA396" s="4">
        <f>('TE BE'!$AA$8+'TE BF'!$AA$8+'TE CVA'!$AA$8)*1</f>
        <v>271.13910989737087</v>
      </c>
      <c r="AB396" s="4">
        <f>$K$396*$V$396</f>
        <v>196650</v>
      </c>
      <c r="AC396" s="4">
        <f>$M$396*$W$396</f>
        <v>227190.39852000002</v>
      </c>
      <c r="AD396" s="4">
        <f>$O$396*$X$396</f>
        <v>511987.21404000005</v>
      </c>
      <c r="AE396" s="4">
        <f ca="1">$K$396*$Y$396</f>
        <v>222024.58939149827</v>
      </c>
      <c r="AF396" s="4">
        <f ca="1">$M$396*$Z$396</f>
        <v>273697.15358666715</v>
      </c>
      <c r="AG396" s="4">
        <f>$O$396*$AA$396</f>
        <v>631084.95473764744</v>
      </c>
    </row>
    <row r="397" spans="1:33" ht="11.25" customHeight="1" x14ac:dyDescent="0.25">
      <c r="A397" s="3" t="s">
        <v>27</v>
      </c>
      <c r="B397" s="3" t="s">
        <v>33</v>
      </c>
      <c r="C397" s="3" t="s">
        <v>42</v>
      </c>
      <c r="D397" s="3" t="s">
        <v>43</v>
      </c>
      <c r="E397" s="3" t="s">
        <v>25</v>
      </c>
      <c r="F397" s="3" t="s">
        <v>25</v>
      </c>
      <c r="G397" s="3" t="s">
        <v>25</v>
      </c>
      <c r="H397" s="3" t="s">
        <v>36</v>
      </c>
      <c r="I397" s="6">
        <v>44317</v>
      </c>
      <c r="J397" s="4">
        <v>-53</v>
      </c>
      <c r="K397" s="4">
        <v>-53</v>
      </c>
      <c r="L397" s="4">
        <v>-9.5820000000000007</v>
      </c>
      <c r="M397" s="4">
        <v>-9.5820000000000007</v>
      </c>
      <c r="N397" s="4">
        <v>-9.5820000000000007</v>
      </c>
      <c r="O397" s="4">
        <v>-9.5820000000000007</v>
      </c>
      <c r="P397" s="4">
        <v>0</v>
      </c>
      <c r="Q397" s="3" t="s">
        <v>26</v>
      </c>
      <c r="R397" s="3">
        <v>0</v>
      </c>
      <c r="S397" s="4">
        <v>87</v>
      </c>
      <c r="T397" s="4">
        <v>88</v>
      </c>
      <c r="U397" s="4">
        <v>73</v>
      </c>
      <c r="V397" s="4">
        <f>IF(ISERROR(VLOOKUP($S$397,'TAR FIN'!$A$1:$O$99,15,0)),0,VLOOKUP($S$397,'TAR FIN'!$A$1:$O$99,15,0))</f>
        <v>21.85</v>
      </c>
      <c r="W397" s="4">
        <f>IF(ISERROR(VLOOKUP($T$397,'TAR FIN'!$A$1:$O$99,15,0)),0,VLOOKUP($T$397,'TAR FIN'!$A$1:$O$99,15,0))</f>
        <v>97.61</v>
      </c>
      <c r="X397" s="4">
        <f>IF(ISERROR(VLOOKUP($U$397,'TAR FIN'!$A$1:$O$99,15,0)),0,VLOOKUP($U$397,'TAR FIN'!$A$1:$O$99,15,0))</f>
        <v>219.97</v>
      </c>
      <c r="Y397" s="4">
        <f ca="1">('TUSD BE'!$AM$14+'TUSD BF'!$AM$14+'TUSD CVA'!$AM$14)*1</f>
        <v>24.669398821277586</v>
      </c>
      <c r="Z397" s="4">
        <f ca="1">('TUSD BE'!$AM$15+'TUSD BF'!$AM$15+'TUSD CVA'!$AM$15)*1</f>
        <v>117.59114529324071</v>
      </c>
      <c r="AA397" s="4">
        <f>('TE BE'!$AA$8+'TE BF'!$AA$8+'TE CVA'!$AA$8)*1</f>
        <v>271.13910989737087</v>
      </c>
      <c r="AB397" s="4">
        <f>$K$397*$V$397</f>
        <v>-1158.0500000000002</v>
      </c>
      <c r="AC397" s="4">
        <f>$M$397*$W$397</f>
        <v>-935.29902000000004</v>
      </c>
      <c r="AD397" s="4">
        <f>$O$397*$X$397</f>
        <v>-2107.75254</v>
      </c>
      <c r="AE397" s="4">
        <f ca="1">$K$397*$Y$397</f>
        <v>-1307.4781375277121</v>
      </c>
      <c r="AF397" s="4">
        <f ca="1">$M$397*$Z$397</f>
        <v>-1126.7583541998326</v>
      </c>
      <c r="AG397" s="4">
        <f>$O$397*$AA$397</f>
        <v>-2598.0549510366077</v>
      </c>
    </row>
    <row r="398" spans="1:33" ht="11.25" customHeight="1" x14ac:dyDescent="0.25">
      <c r="A398" s="3" t="s">
        <v>28</v>
      </c>
      <c r="B398" s="3" t="s">
        <v>33</v>
      </c>
      <c r="C398" s="3" t="s">
        <v>42</v>
      </c>
      <c r="D398" s="3" t="s">
        <v>43</v>
      </c>
      <c r="E398" s="3" t="s">
        <v>25</v>
      </c>
      <c r="F398" s="3" t="s">
        <v>25</v>
      </c>
      <c r="G398" s="3" t="s">
        <v>25</v>
      </c>
      <c r="H398" s="3" t="s">
        <v>36</v>
      </c>
      <c r="I398" s="6">
        <v>44317</v>
      </c>
      <c r="J398" s="4">
        <v>90</v>
      </c>
      <c r="K398" s="4">
        <v>90</v>
      </c>
      <c r="L398" s="4">
        <v>18.356999999999999</v>
      </c>
      <c r="M398" s="4">
        <v>18.356999999999999</v>
      </c>
      <c r="N398" s="4">
        <v>18.356999999999999</v>
      </c>
      <c r="O398" s="4">
        <v>18.356999999999999</v>
      </c>
      <c r="P398" s="4">
        <v>0</v>
      </c>
      <c r="Q398" s="3" t="s">
        <v>26</v>
      </c>
      <c r="R398" s="3">
        <v>0</v>
      </c>
      <c r="S398" s="4">
        <v>87</v>
      </c>
      <c r="T398" s="4">
        <v>88</v>
      </c>
      <c r="U398" s="4">
        <v>73</v>
      </c>
      <c r="V398" s="4">
        <f>IF(ISERROR(VLOOKUP($S$398,'TAR FIN'!$A$1:$O$99,15,0)),0,VLOOKUP($S$398,'TAR FIN'!$A$1:$O$99,15,0))</f>
        <v>21.85</v>
      </c>
      <c r="W398" s="4">
        <f>IF(ISERROR(VLOOKUP($T$398,'TAR FIN'!$A$1:$O$99,15,0)),0,VLOOKUP($T$398,'TAR FIN'!$A$1:$O$99,15,0))</f>
        <v>97.61</v>
      </c>
      <c r="X398" s="4">
        <f>IF(ISERROR(VLOOKUP($U$398,'TAR FIN'!$A$1:$O$99,15,0)),0,VLOOKUP($U$398,'TAR FIN'!$A$1:$O$99,15,0))</f>
        <v>219.97</v>
      </c>
      <c r="Y398" s="4">
        <f ca="1">('TUSD BE'!$AM$14+'TUSD BF'!$AM$14+'TUSD CVA'!$AM$14)*1</f>
        <v>24.669398821277586</v>
      </c>
      <c r="Z398" s="4">
        <f ca="1">('TUSD BE'!$AM$15+'TUSD BF'!$AM$15+'TUSD CVA'!$AM$15)*1</f>
        <v>117.59114529324071</v>
      </c>
      <c r="AA398" s="4">
        <f>('TE BE'!$AA$8+'TE BF'!$AA$8+'TE CVA'!$AA$8)*1</f>
        <v>271.13910989737087</v>
      </c>
      <c r="AB398" s="4">
        <f>$K$398*$V$398</f>
        <v>1966.5000000000002</v>
      </c>
      <c r="AC398" s="4">
        <f>$M$398*$W$398</f>
        <v>1791.8267699999999</v>
      </c>
      <c r="AD398" s="4">
        <f>$O$398*$X$398</f>
        <v>4037.98929</v>
      </c>
      <c r="AE398" s="4">
        <f ca="1">$K$398*$Y$398</f>
        <v>2220.2458939149828</v>
      </c>
      <c r="AF398" s="4">
        <f ca="1">$M$398*$Z$398</f>
        <v>2158.6206541480196</v>
      </c>
      <c r="AG398" s="4">
        <f>$O$398*$AA$398</f>
        <v>4977.3006403860372</v>
      </c>
    </row>
    <row r="399" spans="1:33" ht="11.25" customHeight="1" x14ac:dyDescent="0.25">
      <c r="A399" s="3" t="s">
        <v>28</v>
      </c>
      <c r="B399" s="3" t="s">
        <v>33</v>
      </c>
      <c r="C399" s="3" t="s">
        <v>42</v>
      </c>
      <c r="D399" s="3" t="s">
        <v>43</v>
      </c>
      <c r="E399" s="3" t="s">
        <v>25</v>
      </c>
      <c r="F399" s="3" t="s">
        <v>25</v>
      </c>
      <c r="G399" s="3" t="s">
        <v>25</v>
      </c>
      <c r="H399" s="3" t="s">
        <v>36</v>
      </c>
      <c r="I399" s="6">
        <v>44317</v>
      </c>
      <c r="J399" s="4">
        <v>-36</v>
      </c>
      <c r="K399" s="4">
        <v>-36</v>
      </c>
      <c r="L399" s="4">
        <v>-9.9580000000000002</v>
      </c>
      <c r="M399" s="4">
        <v>-9.9580000000000002</v>
      </c>
      <c r="N399" s="4">
        <v>-9.9580000000000002</v>
      </c>
      <c r="O399" s="4">
        <v>-9.9580000000000002</v>
      </c>
      <c r="P399" s="4">
        <v>0</v>
      </c>
      <c r="Q399" s="3" t="s">
        <v>26</v>
      </c>
      <c r="R399" s="3">
        <v>0</v>
      </c>
      <c r="S399" s="4">
        <v>87</v>
      </c>
      <c r="T399" s="4">
        <v>88</v>
      </c>
      <c r="U399" s="4">
        <v>73</v>
      </c>
      <c r="V399" s="4">
        <f>IF(ISERROR(VLOOKUP($S$399,'TAR FIN'!$A$1:$O$99,15,0)),0,VLOOKUP($S$399,'TAR FIN'!$A$1:$O$99,15,0))</f>
        <v>21.85</v>
      </c>
      <c r="W399" s="4">
        <f>IF(ISERROR(VLOOKUP($T$399,'TAR FIN'!$A$1:$O$99,15,0)),0,VLOOKUP($T$399,'TAR FIN'!$A$1:$O$99,15,0))</f>
        <v>97.61</v>
      </c>
      <c r="X399" s="4">
        <f>IF(ISERROR(VLOOKUP($U$399,'TAR FIN'!$A$1:$O$99,15,0)),0,VLOOKUP($U$399,'TAR FIN'!$A$1:$O$99,15,0))</f>
        <v>219.97</v>
      </c>
      <c r="Y399" s="4">
        <f ca="1">('TUSD BE'!$AM$14+'TUSD BF'!$AM$14+'TUSD CVA'!$AM$14)*1</f>
        <v>24.669398821277586</v>
      </c>
      <c r="Z399" s="4">
        <f ca="1">('TUSD BE'!$AM$15+'TUSD BF'!$AM$15+'TUSD CVA'!$AM$15)*1</f>
        <v>117.59114529324071</v>
      </c>
      <c r="AA399" s="4">
        <f>('TE BE'!$AA$8+'TE BF'!$AA$8+'TE CVA'!$AA$8)*1</f>
        <v>271.13910989737087</v>
      </c>
      <c r="AB399" s="4">
        <f>$K$399*$V$399</f>
        <v>-786.6</v>
      </c>
      <c r="AC399" s="4">
        <f>$M$399*$W$399</f>
        <v>-972.00038000000006</v>
      </c>
      <c r="AD399" s="4">
        <f>$O$399*$X$399</f>
        <v>-2190.46126</v>
      </c>
      <c r="AE399" s="4">
        <f ca="1">$K$399*$Y$399</f>
        <v>-888.09835756599307</v>
      </c>
      <c r="AF399" s="4">
        <f ca="1">$M$399*$Z$399</f>
        <v>-1170.972624830091</v>
      </c>
      <c r="AG399" s="4">
        <f>$O$399*$AA$399</f>
        <v>-2700.0032563580194</v>
      </c>
    </row>
    <row r="400" spans="1:33" ht="11.25" customHeight="1" x14ac:dyDescent="0.25">
      <c r="A400" s="3" t="s">
        <v>21</v>
      </c>
      <c r="B400" s="3" t="s">
        <v>33</v>
      </c>
      <c r="C400" s="3" t="s">
        <v>42</v>
      </c>
      <c r="D400" s="3" t="s">
        <v>43</v>
      </c>
      <c r="E400" s="3" t="s">
        <v>25</v>
      </c>
      <c r="F400" s="3" t="s">
        <v>25</v>
      </c>
      <c r="G400" s="3" t="s">
        <v>25</v>
      </c>
      <c r="H400" s="3" t="s">
        <v>36</v>
      </c>
      <c r="I400" s="6">
        <v>44348</v>
      </c>
      <c r="J400" s="4">
        <v>8821</v>
      </c>
      <c r="K400" s="4">
        <v>8821</v>
      </c>
      <c r="L400" s="4">
        <v>2243.261</v>
      </c>
      <c r="M400" s="4">
        <v>2243.261</v>
      </c>
      <c r="N400" s="4">
        <v>2243.261</v>
      </c>
      <c r="O400" s="4">
        <v>2243.261</v>
      </c>
      <c r="P400" s="4">
        <v>0</v>
      </c>
      <c r="Q400" s="3" t="s">
        <v>26</v>
      </c>
      <c r="R400" s="3">
        <v>0</v>
      </c>
      <c r="S400" s="4">
        <v>87</v>
      </c>
      <c r="T400" s="4">
        <v>88</v>
      </c>
      <c r="U400" s="4">
        <v>73</v>
      </c>
      <c r="V400" s="4">
        <f>IF(ISERROR(VLOOKUP($S$400,'TAR FIN'!$A$1:$O$99,15,0)),0,VLOOKUP($S$400,'TAR FIN'!$A$1:$O$99,15,0))</f>
        <v>21.85</v>
      </c>
      <c r="W400" s="4">
        <f>IF(ISERROR(VLOOKUP($T$400,'TAR FIN'!$A$1:$O$99,15,0)),0,VLOOKUP($T$400,'TAR FIN'!$A$1:$O$99,15,0))</f>
        <v>97.61</v>
      </c>
      <c r="X400" s="4">
        <f>IF(ISERROR(VLOOKUP($U$400,'TAR FIN'!$A$1:$O$99,15,0)),0,VLOOKUP($U$400,'TAR FIN'!$A$1:$O$99,15,0))</f>
        <v>219.97</v>
      </c>
      <c r="Y400" s="4">
        <f ca="1">('TUSD BE'!$AM$14+'TUSD BF'!$AM$14+'TUSD CVA'!$AM$14)*1</f>
        <v>24.669398821277586</v>
      </c>
      <c r="Z400" s="4">
        <f ca="1">('TUSD BE'!$AM$15+'TUSD BF'!$AM$15+'TUSD CVA'!$AM$15)*1</f>
        <v>117.59114529324071</v>
      </c>
      <c r="AA400" s="4">
        <f>('TE BE'!$AA$8+'TE BF'!$AA$8+'TE CVA'!$AA$8)*1</f>
        <v>271.13910989737087</v>
      </c>
      <c r="AB400" s="4">
        <f>$K$400*$V$400</f>
        <v>192738.85</v>
      </c>
      <c r="AC400" s="4">
        <f>$M$400*$W$400</f>
        <v>218964.70621</v>
      </c>
      <c r="AD400" s="4">
        <f>$O$400*$X$400</f>
        <v>493450.12216999999</v>
      </c>
      <c r="AE400" s="4">
        <f ca="1">$K$400*$Y$400</f>
        <v>217608.76700248959</v>
      </c>
      <c r="AF400" s="4">
        <f ca="1">$M$400*$Z$400</f>
        <v>263787.63018166047</v>
      </c>
      <c r="AG400" s="4">
        <f>$O$400*$AA$400</f>
        <v>608235.79080748605</v>
      </c>
    </row>
    <row r="401" spans="1:33" ht="11.25" customHeight="1" x14ac:dyDescent="0.25">
      <c r="A401" s="3" t="s">
        <v>28</v>
      </c>
      <c r="B401" s="3" t="s">
        <v>33</v>
      </c>
      <c r="C401" s="3" t="s">
        <v>42</v>
      </c>
      <c r="D401" s="3" t="s">
        <v>43</v>
      </c>
      <c r="E401" s="3" t="s">
        <v>25</v>
      </c>
      <c r="F401" s="3" t="s">
        <v>25</v>
      </c>
      <c r="G401" s="3" t="s">
        <v>25</v>
      </c>
      <c r="H401" s="3" t="s">
        <v>36</v>
      </c>
      <c r="I401" s="6">
        <v>44348</v>
      </c>
      <c r="J401" s="4">
        <v>90</v>
      </c>
      <c r="K401" s="4">
        <v>90</v>
      </c>
      <c r="L401" s="4">
        <v>16.402000000000001</v>
      </c>
      <c r="M401" s="4">
        <v>16.402000000000001</v>
      </c>
      <c r="N401" s="4">
        <v>16.402000000000001</v>
      </c>
      <c r="O401" s="4">
        <v>16.402000000000001</v>
      </c>
      <c r="P401" s="4">
        <v>0</v>
      </c>
      <c r="Q401" s="3" t="s">
        <v>26</v>
      </c>
      <c r="R401" s="3">
        <v>0</v>
      </c>
      <c r="S401" s="4">
        <v>87</v>
      </c>
      <c r="T401" s="4">
        <v>88</v>
      </c>
      <c r="U401" s="4">
        <v>73</v>
      </c>
      <c r="V401" s="4">
        <f>IF(ISERROR(VLOOKUP($S$401,'TAR FIN'!$A$1:$O$99,15,0)),0,VLOOKUP($S$401,'TAR FIN'!$A$1:$O$99,15,0))</f>
        <v>21.85</v>
      </c>
      <c r="W401" s="4">
        <f>IF(ISERROR(VLOOKUP($T$401,'TAR FIN'!$A$1:$O$99,15,0)),0,VLOOKUP($T$401,'TAR FIN'!$A$1:$O$99,15,0))</f>
        <v>97.61</v>
      </c>
      <c r="X401" s="4">
        <f>IF(ISERROR(VLOOKUP($U$401,'TAR FIN'!$A$1:$O$99,15,0)),0,VLOOKUP($U$401,'TAR FIN'!$A$1:$O$99,15,0))</f>
        <v>219.97</v>
      </c>
      <c r="Y401" s="4">
        <f ca="1">('TUSD BE'!$AM$14+'TUSD BF'!$AM$14+'TUSD CVA'!$AM$14)*1</f>
        <v>24.669398821277586</v>
      </c>
      <c r="Z401" s="4">
        <f ca="1">('TUSD BE'!$AM$15+'TUSD BF'!$AM$15+'TUSD CVA'!$AM$15)*1</f>
        <v>117.59114529324071</v>
      </c>
      <c r="AA401" s="4">
        <f>('TE BE'!$AA$8+'TE BF'!$AA$8+'TE CVA'!$AA$8)*1</f>
        <v>271.13910989737087</v>
      </c>
      <c r="AB401" s="4">
        <f>$K$401*$V$401</f>
        <v>1966.5000000000002</v>
      </c>
      <c r="AC401" s="4">
        <f>$M$401*$W$401</f>
        <v>1600.9992200000002</v>
      </c>
      <c r="AD401" s="4">
        <f>$O$401*$X$401</f>
        <v>3607.94794</v>
      </c>
      <c r="AE401" s="4">
        <f ca="1">$K$401*$Y$401</f>
        <v>2220.2458939149828</v>
      </c>
      <c r="AF401" s="4">
        <f ca="1">$M$401*$Z$401</f>
        <v>1928.7299650997343</v>
      </c>
      <c r="AG401" s="4">
        <f>$O$401*$AA$401</f>
        <v>4447.2236805366774</v>
      </c>
    </row>
    <row r="402" spans="1:33" ht="11.25" customHeight="1" x14ac:dyDescent="0.25">
      <c r="A402" s="3" t="s">
        <v>21</v>
      </c>
      <c r="B402" s="3" t="s">
        <v>33</v>
      </c>
      <c r="C402" s="3" t="s">
        <v>42</v>
      </c>
      <c r="D402" s="3" t="s">
        <v>43</v>
      </c>
      <c r="E402" s="3" t="s">
        <v>25</v>
      </c>
      <c r="F402" s="3" t="s">
        <v>25</v>
      </c>
      <c r="G402" s="3" t="s">
        <v>25</v>
      </c>
      <c r="H402" s="3" t="s">
        <v>36</v>
      </c>
      <c r="I402" s="6">
        <v>44378</v>
      </c>
      <c r="J402" s="4">
        <v>8926</v>
      </c>
      <c r="K402" s="4">
        <v>8926</v>
      </c>
      <c r="L402" s="4">
        <v>2717.0369999999998</v>
      </c>
      <c r="M402" s="4">
        <v>2717.0369999999998</v>
      </c>
      <c r="N402" s="4">
        <v>2717.0369999999998</v>
      </c>
      <c r="O402" s="4">
        <v>2717.0369999999998</v>
      </c>
      <c r="P402" s="4">
        <v>0</v>
      </c>
      <c r="Q402" s="3" t="s">
        <v>26</v>
      </c>
      <c r="R402" s="3">
        <v>0</v>
      </c>
      <c r="S402" s="4">
        <v>87</v>
      </c>
      <c r="T402" s="4">
        <v>88</v>
      </c>
      <c r="U402" s="4">
        <v>73</v>
      </c>
      <c r="V402" s="4">
        <f>IF(ISERROR(VLOOKUP($S$402,'TAR FIN'!$A$1:$O$99,15,0)),0,VLOOKUP($S$402,'TAR FIN'!$A$1:$O$99,15,0))</f>
        <v>21.85</v>
      </c>
      <c r="W402" s="4">
        <f>IF(ISERROR(VLOOKUP($T$402,'TAR FIN'!$A$1:$O$99,15,0)),0,VLOOKUP($T$402,'TAR FIN'!$A$1:$O$99,15,0))</f>
        <v>97.61</v>
      </c>
      <c r="X402" s="4">
        <f>IF(ISERROR(VLOOKUP($U$402,'TAR FIN'!$A$1:$O$99,15,0)),0,VLOOKUP($U$402,'TAR FIN'!$A$1:$O$99,15,0))</f>
        <v>219.97</v>
      </c>
      <c r="Y402" s="4">
        <f ca="1">('TUSD BE'!$AM$14+'TUSD BF'!$AM$14+'TUSD CVA'!$AM$14)*1</f>
        <v>24.669398821277586</v>
      </c>
      <c r="Z402" s="4">
        <f ca="1">('TUSD BE'!$AM$15+'TUSD BF'!$AM$15+'TUSD CVA'!$AM$15)*1</f>
        <v>117.59114529324071</v>
      </c>
      <c r="AA402" s="4">
        <f>('TE BE'!$AA$8+'TE BF'!$AA$8+'TE CVA'!$AA$8)*1</f>
        <v>271.13910989737087</v>
      </c>
      <c r="AB402" s="4">
        <f>$K$402*$V$402</f>
        <v>195033.1</v>
      </c>
      <c r="AC402" s="4">
        <f>$M$402*$W$402</f>
        <v>265209.98157</v>
      </c>
      <c r="AD402" s="4">
        <f>$O$402*$X$402</f>
        <v>597666.62888999993</v>
      </c>
      <c r="AE402" s="4">
        <f ca="1">$K$402*$Y$402</f>
        <v>220199.05387872373</v>
      </c>
      <c r="AF402" s="4">
        <f ca="1">$M$402*$Z$402</f>
        <v>319499.49263411085</v>
      </c>
      <c r="AG402" s="4">
        <f>$O$402*$AA$402</f>
        <v>736694.99373822287</v>
      </c>
    </row>
    <row r="403" spans="1:33" ht="11.25" customHeight="1" x14ac:dyDescent="0.25">
      <c r="A403" s="3" t="s">
        <v>28</v>
      </c>
      <c r="B403" s="3" t="s">
        <v>33</v>
      </c>
      <c r="C403" s="3" t="s">
        <v>42</v>
      </c>
      <c r="D403" s="3" t="s">
        <v>43</v>
      </c>
      <c r="E403" s="3" t="s">
        <v>25</v>
      </c>
      <c r="F403" s="3" t="s">
        <v>25</v>
      </c>
      <c r="G403" s="3" t="s">
        <v>25</v>
      </c>
      <c r="H403" s="3" t="s">
        <v>36</v>
      </c>
      <c r="I403" s="6">
        <v>44378</v>
      </c>
      <c r="J403" s="4">
        <v>90</v>
      </c>
      <c r="K403" s="4">
        <v>90</v>
      </c>
      <c r="L403" s="4">
        <v>16.648</v>
      </c>
      <c r="M403" s="4">
        <v>16.648</v>
      </c>
      <c r="N403" s="4">
        <v>16.648</v>
      </c>
      <c r="O403" s="4">
        <v>16.648</v>
      </c>
      <c r="P403" s="4">
        <v>0</v>
      </c>
      <c r="Q403" s="3" t="s">
        <v>26</v>
      </c>
      <c r="R403" s="3">
        <v>0</v>
      </c>
      <c r="S403" s="4">
        <v>87</v>
      </c>
      <c r="T403" s="4">
        <v>88</v>
      </c>
      <c r="U403" s="4">
        <v>73</v>
      </c>
      <c r="V403" s="4">
        <f>IF(ISERROR(VLOOKUP($S$403,'TAR FIN'!$A$1:$O$99,15,0)),0,VLOOKUP($S$403,'TAR FIN'!$A$1:$O$99,15,0))</f>
        <v>21.85</v>
      </c>
      <c r="W403" s="4">
        <f>IF(ISERROR(VLOOKUP($T$403,'TAR FIN'!$A$1:$O$99,15,0)),0,VLOOKUP($T$403,'TAR FIN'!$A$1:$O$99,15,0))</f>
        <v>97.61</v>
      </c>
      <c r="X403" s="4">
        <f>IF(ISERROR(VLOOKUP($U$403,'TAR FIN'!$A$1:$O$99,15,0)),0,VLOOKUP($U$403,'TAR FIN'!$A$1:$O$99,15,0))</f>
        <v>219.97</v>
      </c>
      <c r="Y403" s="4">
        <f ca="1">('TUSD BE'!$AM$14+'TUSD BF'!$AM$14+'TUSD CVA'!$AM$14)*1</f>
        <v>24.669398821277586</v>
      </c>
      <c r="Z403" s="4">
        <f ca="1">('TUSD BE'!$AM$15+'TUSD BF'!$AM$15+'TUSD CVA'!$AM$15)*1</f>
        <v>117.59114529324071</v>
      </c>
      <c r="AA403" s="4">
        <f>('TE BE'!$AA$8+'TE BF'!$AA$8+'TE CVA'!$AA$8)*1</f>
        <v>271.13910989737087</v>
      </c>
      <c r="AB403" s="4">
        <f>$K$403*$V$403</f>
        <v>1966.5000000000002</v>
      </c>
      <c r="AC403" s="4">
        <f>$M$403*$W$403</f>
        <v>1625.0112799999999</v>
      </c>
      <c r="AD403" s="4">
        <f>$O$403*$X$403</f>
        <v>3662.0605599999999</v>
      </c>
      <c r="AE403" s="4">
        <f ca="1">$K$403*$Y$403</f>
        <v>2220.2458939149828</v>
      </c>
      <c r="AF403" s="4">
        <f ca="1">$M$403*$Z$403</f>
        <v>1957.6573868418714</v>
      </c>
      <c r="AG403" s="4">
        <f>$O$403*$AA$403</f>
        <v>4513.9239015714302</v>
      </c>
    </row>
    <row r="404" spans="1:33" ht="11.25" customHeight="1" x14ac:dyDescent="0.25">
      <c r="A404" s="3" t="s">
        <v>21</v>
      </c>
      <c r="B404" s="3" t="s">
        <v>33</v>
      </c>
      <c r="C404" s="3" t="s">
        <v>42</v>
      </c>
      <c r="D404" s="3" t="s">
        <v>43</v>
      </c>
      <c r="E404" s="3" t="s">
        <v>25</v>
      </c>
      <c r="F404" s="3" t="s">
        <v>25</v>
      </c>
      <c r="G404" s="3" t="s">
        <v>25</v>
      </c>
      <c r="H404" s="3" t="s">
        <v>36</v>
      </c>
      <c r="I404" s="6">
        <v>44409</v>
      </c>
      <c r="J404" s="4">
        <v>8286</v>
      </c>
      <c r="K404" s="4">
        <v>8286</v>
      </c>
      <c r="L404" s="4">
        <v>2280.4450000000002</v>
      </c>
      <c r="M404" s="4">
        <v>2280.4450000000002</v>
      </c>
      <c r="N404" s="4">
        <v>2280.4450000000002</v>
      </c>
      <c r="O404" s="4">
        <v>2280.4450000000002</v>
      </c>
      <c r="P404" s="4">
        <v>0</v>
      </c>
      <c r="Q404" s="3" t="s">
        <v>26</v>
      </c>
      <c r="R404" s="3">
        <v>0</v>
      </c>
      <c r="S404" s="4">
        <v>87</v>
      </c>
      <c r="T404" s="4">
        <v>88</v>
      </c>
      <c r="U404" s="4">
        <v>73</v>
      </c>
      <c r="V404" s="4">
        <f>IF(ISERROR(VLOOKUP($S$404,'TAR FIN'!$A$1:$O$99,15,0)),0,VLOOKUP($S$404,'TAR FIN'!$A$1:$O$99,15,0))</f>
        <v>21.85</v>
      </c>
      <c r="W404" s="4">
        <f>IF(ISERROR(VLOOKUP($T$404,'TAR FIN'!$A$1:$O$99,15,0)),0,VLOOKUP($T$404,'TAR FIN'!$A$1:$O$99,15,0))</f>
        <v>97.61</v>
      </c>
      <c r="X404" s="4">
        <f>IF(ISERROR(VLOOKUP($U$404,'TAR FIN'!$A$1:$O$99,15,0)),0,VLOOKUP($U$404,'TAR FIN'!$A$1:$O$99,15,0))</f>
        <v>219.97</v>
      </c>
      <c r="Y404" s="4">
        <f ca="1">('TUSD BE'!$AM$14+'TUSD BF'!$AM$14+'TUSD CVA'!$AM$14)*1</f>
        <v>24.669398821277586</v>
      </c>
      <c r="Z404" s="4">
        <f ca="1">('TUSD BE'!$AM$15+'TUSD BF'!$AM$15+'TUSD CVA'!$AM$15)*1</f>
        <v>117.59114529324071</v>
      </c>
      <c r="AA404" s="4">
        <f>('TE BE'!$AA$8+'TE BF'!$AA$8+'TE CVA'!$AA$8)*1</f>
        <v>271.13910989737087</v>
      </c>
      <c r="AB404" s="4">
        <f>$K$404*$V$404</f>
        <v>181049.1</v>
      </c>
      <c r="AC404" s="4">
        <f>$M$404*$W$404</f>
        <v>222594.23645000003</v>
      </c>
      <c r="AD404" s="4">
        <f>$O$404*$X$404</f>
        <v>501629.48665000004</v>
      </c>
      <c r="AE404" s="4">
        <f ca="1">$K$404*$Y$404</f>
        <v>204410.63863310608</v>
      </c>
      <c r="AF404" s="4">
        <f ca="1">$M$404*$Z$404</f>
        <v>268160.13932824432</v>
      </c>
      <c r="AG404" s="4">
        <f>$O$404*$AA$404</f>
        <v>618317.82746990991</v>
      </c>
    </row>
    <row r="405" spans="1:33" ht="11.25" customHeight="1" x14ac:dyDescent="0.25">
      <c r="A405" s="3" t="s">
        <v>28</v>
      </c>
      <c r="B405" s="3" t="s">
        <v>33</v>
      </c>
      <c r="C405" s="3" t="s">
        <v>42</v>
      </c>
      <c r="D405" s="3" t="s">
        <v>43</v>
      </c>
      <c r="E405" s="3" t="s">
        <v>25</v>
      </c>
      <c r="F405" s="3" t="s">
        <v>25</v>
      </c>
      <c r="G405" s="3" t="s">
        <v>25</v>
      </c>
      <c r="H405" s="3" t="s">
        <v>36</v>
      </c>
      <c r="I405" s="6">
        <v>44409</v>
      </c>
      <c r="J405" s="4">
        <v>77</v>
      </c>
      <c r="K405" s="4">
        <v>77</v>
      </c>
      <c r="L405" s="4">
        <v>17.574000000000002</v>
      </c>
      <c r="M405" s="4">
        <v>17.574000000000002</v>
      </c>
      <c r="N405" s="4">
        <v>17.574000000000002</v>
      </c>
      <c r="O405" s="4">
        <v>17.574000000000002</v>
      </c>
      <c r="P405" s="4">
        <v>0</v>
      </c>
      <c r="Q405" s="3" t="s">
        <v>26</v>
      </c>
      <c r="R405" s="3">
        <v>0</v>
      </c>
      <c r="S405" s="4">
        <v>87</v>
      </c>
      <c r="T405" s="4">
        <v>88</v>
      </c>
      <c r="U405" s="4">
        <v>73</v>
      </c>
      <c r="V405" s="4">
        <f>IF(ISERROR(VLOOKUP($S$405,'TAR FIN'!$A$1:$O$99,15,0)),0,VLOOKUP($S$405,'TAR FIN'!$A$1:$O$99,15,0))</f>
        <v>21.85</v>
      </c>
      <c r="W405" s="4">
        <f>IF(ISERROR(VLOOKUP($T$405,'TAR FIN'!$A$1:$O$99,15,0)),0,VLOOKUP($T$405,'TAR FIN'!$A$1:$O$99,15,0))</f>
        <v>97.61</v>
      </c>
      <c r="X405" s="4">
        <f>IF(ISERROR(VLOOKUP($U$405,'TAR FIN'!$A$1:$O$99,15,0)),0,VLOOKUP($U$405,'TAR FIN'!$A$1:$O$99,15,0))</f>
        <v>219.97</v>
      </c>
      <c r="Y405" s="4">
        <f ca="1">('TUSD BE'!$AM$14+'TUSD BF'!$AM$14+'TUSD CVA'!$AM$14)*1</f>
        <v>24.669398821277586</v>
      </c>
      <c r="Z405" s="4">
        <f ca="1">('TUSD BE'!$AM$15+'TUSD BF'!$AM$15+'TUSD CVA'!$AM$15)*1</f>
        <v>117.59114529324071</v>
      </c>
      <c r="AA405" s="4">
        <f>('TE BE'!$AA$8+'TE BF'!$AA$8+'TE CVA'!$AA$8)*1</f>
        <v>271.13910989737087</v>
      </c>
      <c r="AB405" s="4">
        <f>$K$405*$V$405</f>
        <v>1682.45</v>
      </c>
      <c r="AC405" s="4">
        <f>$M$405*$W$405</f>
        <v>1715.3981400000002</v>
      </c>
      <c r="AD405" s="4">
        <f>$O$405*$X$405</f>
        <v>3865.7527800000003</v>
      </c>
      <c r="AE405" s="4">
        <f ca="1">$K$405*$Y$405</f>
        <v>1899.543709238374</v>
      </c>
      <c r="AF405" s="4">
        <f ca="1">$M$405*$Z$405</f>
        <v>2066.5467873834127</v>
      </c>
      <c r="AG405" s="4">
        <f>$O$405*$AA$405</f>
        <v>4764.9987173363961</v>
      </c>
    </row>
    <row r="406" spans="1:33" ht="11.25" customHeight="1" x14ac:dyDescent="0.25">
      <c r="A406" s="3" t="s">
        <v>21</v>
      </c>
      <c r="B406" s="3" t="s">
        <v>33</v>
      </c>
      <c r="C406" s="3" t="s">
        <v>42</v>
      </c>
      <c r="D406" s="3" t="s">
        <v>43</v>
      </c>
      <c r="E406" s="3" t="s">
        <v>25</v>
      </c>
      <c r="F406" s="3" t="s">
        <v>25</v>
      </c>
      <c r="G406" s="3" t="s">
        <v>25</v>
      </c>
      <c r="H406" s="3" t="s">
        <v>36</v>
      </c>
      <c r="I406" s="6">
        <v>44440</v>
      </c>
      <c r="J406" s="4">
        <v>8868</v>
      </c>
      <c r="K406" s="4">
        <v>8868</v>
      </c>
      <c r="L406" s="4">
        <v>2539.4430000000002</v>
      </c>
      <c r="M406" s="4">
        <v>2539.4430000000002</v>
      </c>
      <c r="N406" s="4">
        <v>2539.4430000000002</v>
      </c>
      <c r="O406" s="4">
        <v>2539.4430000000002</v>
      </c>
      <c r="P406" s="4">
        <v>0</v>
      </c>
      <c r="Q406" s="3" t="s">
        <v>26</v>
      </c>
      <c r="R406" s="3">
        <v>0</v>
      </c>
      <c r="S406" s="4">
        <v>87</v>
      </c>
      <c r="T406" s="4">
        <v>88</v>
      </c>
      <c r="U406" s="4">
        <v>73</v>
      </c>
      <c r="V406" s="4">
        <f>IF(ISERROR(VLOOKUP($S$406,'TAR FIN'!$A$1:$O$99,15,0)),0,VLOOKUP($S$406,'TAR FIN'!$A$1:$O$99,15,0))</f>
        <v>21.85</v>
      </c>
      <c r="W406" s="4">
        <f>IF(ISERROR(VLOOKUP($T$406,'TAR FIN'!$A$1:$O$99,15,0)),0,VLOOKUP($T$406,'TAR FIN'!$A$1:$O$99,15,0))</f>
        <v>97.61</v>
      </c>
      <c r="X406" s="4">
        <f>IF(ISERROR(VLOOKUP($U$406,'TAR FIN'!$A$1:$O$99,15,0)),0,VLOOKUP($U$406,'TAR FIN'!$A$1:$O$99,15,0))</f>
        <v>219.97</v>
      </c>
      <c r="Y406" s="4">
        <f ca="1">('TUSD BE'!$AM$14+'TUSD BF'!$AM$14+'TUSD CVA'!$AM$14)*1</f>
        <v>24.669398821277586</v>
      </c>
      <c r="Z406" s="4">
        <f ca="1">('TUSD BE'!$AM$15+'TUSD BF'!$AM$15+'TUSD CVA'!$AM$15)*1</f>
        <v>117.59114529324071</v>
      </c>
      <c r="AA406" s="4">
        <f>('TE BE'!$AA$8+'TE BF'!$AA$8+'TE CVA'!$AA$8)*1</f>
        <v>271.13910989737087</v>
      </c>
      <c r="AB406" s="4">
        <f>$K$406*$V$406</f>
        <v>193765.80000000002</v>
      </c>
      <c r="AC406" s="4">
        <f>$M$406*$W$406</f>
        <v>247875.03123000002</v>
      </c>
      <c r="AD406" s="4">
        <f>$O$406*$X$406</f>
        <v>558601.27671000001</v>
      </c>
      <c r="AE406" s="4">
        <f ca="1">$K$406*$Y$406</f>
        <v>218768.22874708963</v>
      </c>
      <c r="AF406" s="4">
        <f ca="1">$M$406*$Z$406</f>
        <v>298616.01077690313</v>
      </c>
      <c r="AG406" s="4">
        <f>$O$406*$AA$406</f>
        <v>688542.31465510919</v>
      </c>
    </row>
    <row r="407" spans="1:33" ht="11.25" customHeight="1" x14ac:dyDescent="0.25">
      <c r="A407" s="3" t="s">
        <v>27</v>
      </c>
      <c r="B407" s="3" t="s">
        <v>33</v>
      </c>
      <c r="C407" s="3" t="s">
        <v>42</v>
      </c>
      <c r="D407" s="3" t="s">
        <v>43</v>
      </c>
      <c r="E407" s="3" t="s">
        <v>25</v>
      </c>
      <c r="F407" s="3" t="s">
        <v>25</v>
      </c>
      <c r="G407" s="3" t="s">
        <v>25</v>
      </c>
      <c r="H407" s="3" t="s">
        <v>36</v>
      </c>
      <c r="I407" s="6">
        <v>44440</v>
      </c>
      <c r="J407" s="4">
        <v>210</v>
      </c>
      <c r="K407" s="4">
        <v>210</v>
      </c>
      <c r="L407" s="4">
        <v>27.459</v>
      </c>
      <c r="M407" s="4">
        <v>27.459</v>
      </c>
      <c r="N407" s="4">
        <v>27.459</v>
      </c>
      <c r="O407" s="4">
        <v>27.459</v>
      </c>
      <c r="P407" s="4">
        <v>0</v>
      </c>
      <c r="Q407" s="3" t="s">
        <v>26</v>
      </c>
      <c r="R407" s="3">
        <v>0</v>
      </c>
      <c r="S407" s="4">
        <v>87</v>
      </c>
      <c r="T407" s="4">
        <v>88</v>
      </c>
      <c r="U407" s="4">
        <v>73</v>
      </c>
      <c r="V407" s="4">
        <f>IF(ISERROR(VLOOKUP($S$407,'TAR FIN'!$A$1:$O$99,15,0)),0,VLOOKUP($S$407,'TAR FIN'!$A$1:$O$99,15,0))</f>
        <v>21.85</v>
      </c>
      <c r="W407" s="4">
        <f>IF(ISERROR(VLOOKUP($T$407,'TAR FIN'!$A$1:$O$99,15,0)),0,VLOOKUP($T$407,'TAR FIN'!$A$1:$O$99,15,0))</f>
        <v>97.61</v>
      </c>
      <c r="X407" s="4">
        <f>IF(ISERROR(VLOOKUP($U$407,'TAR FIN'!$A$1:$O$99,15,0)),0,VLOOKUP($U$407,'TAR FIN'!$A$1:$O$99,15,0))</f>
        <v>219.97</v>
      </c>
      <c r="Y407" s="4">
        <f ca="1">('TUSD BE'!$AM$14+'TUSD BF'!$AM$14+'TUSD CVA'!$AM$14)*1</f>
        <v>24.669398821277586</v>
      </c>
      <c r="Z407" s="4">
        <f ca="1">('TUSD BE'!$AM$15+'TUSD BF'!$AM$15+'TUSD CVA'!$AM$15)*1</f>
        <v>117.59114529324071</v>
      </c>
      <c r="AA407" s="4">
        <f>('TE BE'!$AA$8+'TE BF'!$AA$8+'TE CVA'!$AA$8)*1</f>
        <v>271.13910989737087</v>
      </c>
      <c r="AB407" s="4">
        <f>$K$407*$V$407</f>
        <v>4588.5</v>
      </c>
      <c r="AC407" s="4">
        <f>$M$407*$W$407</f>
        <v>2680.2729899999999</v>
      </c>
      <c r="AD407" s="4">
        <f>$O$407*$X$407</f>
        <v>6040.1562299999996</v>
      </c>
      <c r="AE407" s="4">
        <f ca="1">$K$407*$Y$407</f>
        <v>5180.5737524682927</v>
      </c>
      <c r="AF407" s="4">
        <f ca="1">$M$407*$Z$407</f>
        <v>3228.9352586070968</v>
      </c>
      <c r="AG407" s="4">
        <f>$O$407*$AA$407</f>
        <v>7445.2088186719066</v>
      </c>
    </row>
    <row r="408" spans="1:33" ht="11.25" customHeight="1" x14ac:dyDescent="0.25">
      <c r="A408" s="3" t="s">
        <v>28</v>
      </c>
      <c r="B408" s="3" t="s">
        <v>33</v>
      </c>
      <c r="C408" s="3" t="s">
        <v>42</v>
      </c>
      <c r="D408" s="3" t="s">
        <v>43</v>
      </c>
      <c r="E408" s="3" t="s">
        <v>25</v>
      </c>
      <c r="F408" s="3" t="s">
        <v>25</v>
      </c>
      <c r="G408" s="3" t="s">
        <v>25</v>
      </c>
      <c r="H408" s="3" t="s">
        <v>36</v>
      </c>
      <c r="I408" s="6">
        <v>44440</v>
      </c>
      <c r="J408" s="4">
        <v>77</v>
      </c>
      <c r="K408" s="4">
        <v>77</v>
      </c>
      <c r="L408" s="4">
        <v>16.547999999999998</v>
      </c>
      <c r="M408" s="4">
        <v>16.547999999999998</v>
      </c>
      <c r="N408" s="4">
        <v>16.547999999999998</v>
      </c>
      <c r="O408" s="4">
        <v>16.547999999999998</v>
      </c>
      <c r="P408" s="4">
        <v>0</v>
      </c>
      <c r="Q408" s="3" t="s">
        <v>26</v>
      </c>
      <c r="R408" s="3">
        <v>0</v>
      </c>
      <c r="S408" s="4">
        <v>87</v>
      </c>
      <c r="T408" s="4">
        <v>88</v>
      </c>
      <c r="U408" s="4">
        <v>73</v>
      </c>
      <c r="V408" s="4">
        <f>IF(ISERROR(VLOOKUP($S$408,'TAR FIN'!$A$1:$O$99,15,0)),0,VLOOKUP($S$408,'TAR FIN'!$A$1:$O$99,15,0))</f>
        <v>21.85</v>
      </c>
      <c r="W408" s="4">
        <f>IF(ISERROR(VLOOKUP($T$408,'TAR FIN'!$A$1:$O$99,15,0)),0,VLOOKUP($T$408,'TAR FIN'!$A$1:$O$99,15,0))</f>
        <v>97.61</v>
      </c>
      <c r="X408" s="4">
        <f>IF(ISERROR(VLOOKUP($U$408,'TAR FIN'!$A$1:$O$99,15,0)),0,VLOOKUP($U$408,'TAR FIN'!$A$1:$O$99,15,0))</f>
        <v>219.97</v>
      </c>
      <c r="Y408" s="4">
        <f ca="1">('TUSD BE'!$AM$14+'TUSD BF'!$AM$14+'TUSD CVA'!$AM$14)*1</f>
        <v>24.669398821277586</v>
      </c>
      <c r="Z408" s="4">
        <f ca="1">('TUSD BE'!$AM$15+'TUSD BF'!$AM$15+'TUSD CVA'!$AM$15)*1</f>
        <v>117.59114529324071</v>
      </c>
      <c r="AA408" s="4">
        <f>('TE BE'!$AA$8+'TE BF'!$AA$8+'TE CVA'!$AA$8)*1</f>
        <v>271.13910989737087</v>
      </c>
      <c r="AB408" s="4">
        <f>$K$408*$V$408</f>
        <v>1682.45</v>
      </c>
      <c r="AC408" s="4">
        <f>$M$408*$W$408</f>
        <v>1615.2502799999997</v>
      </c>
      <c r="AD408" s="4">
        <f>$O$408*$X$408</f>
        <v>3640.0635599999996</v>
      </c>
      <c r="AE408" s="4">
        <f ca="1">$K$408*$Y$408</f>
        <v>1899.543709238374</v>
      </c>
      <c r="AF408" s="4">
        <f ca="1">$M$408*$Z$408</f>
        <v>1945.8982723125471</v>
      </c>
      <c r="AG408" s="4">
        <f>$O$408*$AA$408</f>
        <v>4486.8099905816925</v>
      </c>
    </row>
    <row r="409" spans="1:33" ht="11.25" customHeight="1" x14ac:dyDescent="0.25">
      <c r="A409" s="3" t="s">
        <v>21</v>
      </c>
      <c r="B409" s="3" t="s">
        <v>33</v>
      </c>
      <c r="C409" s="3" t="s">
        <v>42</v>
      </c>
      <c r="D409" s="3" t="s">
        <v>43</v>
      </c>
      <c r="E409" s="3" t="s">
        <v>25</v>
      </c>
      <c r="F409" s="3" t="s">
        <v>25</v>
      </c>
      <c r="G409" s="3" t="s">
        <v>25</v>
      </c>
      <c r="H409" s="3" t="s">
        <v>36</v>
      </c>
      <c r="I409" s="6">
        <v>44470</v>
      </c>
      <c r="J409" s="4">
        <v>8561</v>
      </c>
      <c r="K409" s="4">
        <v>8561</v>
      </c>
      <c r="L409" s="4">
        <v>2759.384</v>
      </c>
      <c r="M409" s="4">
        <v>2759.384</v>
      </c>
      <c r="N409" s="4">
        <v>2759.384</v>
      </c>
      <c r="O409" s="4">
        <v>2759.384</v>
      </c>
      <c r="P409" s="4">
        <v>0</v>
      </c>
      <c r="Q409" s="3" t="s">
        <v>26</v>
      </c>
      <c r="R409" s="3">
        <v>0</v>
      </c>
      <c r="S409" s="4">
        <v>87</v>
      </c>
      <c r="T409" s="4">
        <v>88</v>
      </c>
      <c r="U409" s="4">
        <v>73</v>
      </c>
      <c r="V409" s="4">
        <f>IF(ISERROR(VLOOKUP($S$409,'TAR FIN'!$A$1:$O$99,15,0)),0,VLOOKUP($S$409,'TAR FIN'!$A$1:$O$99,15,0))</f>
        <v>21.85</v>
      </c>
      <c r="W409" s="4">
        <f>IF(ISERROR(VLOOKUP($T$409,'TAR FIN'!$A$1:$O$99,15,0)),0,VLOOKUP($T$409,'TAR FIN'!$A$1:$O$99,15,0))</f>
        <v>97.61</v>
      </c>
      <c r="X409" s="4">
        <f>IF(ISERROR(VLOOKUP($U$409,'TAR FIN'!$A$1:$O$99,15,0)),0,VLOOKUP($U$409,'TAR FIN'!$A$1:$O$99,15,0))</f>
        <v>219.97</v>
      </c>
      <c r="Y409" s="4">
        <f ca="1">('TUSD BE'!$AM$14+'TUSD BF'!$AM$14+'TUSD CVA'!$AM$14)*1</f>
        <v>24.669398821277586</v>
      </c>
      <c r="Z409" s="4">
        <f ca="1">('TUSD BE'!$AM$15+'TUSD BF'!$AM$15+'TUSD CVA'!$AM$15)*1</f>
        <v>117.59114529324071</v>
      </c>
      <c r="AA409" s="4">
        <f>('TE BE'!$AA$8+'TE BF'!$AA$8+'TE CVA'!$AA$8)*1</f>
        <v>271.13910989737087</v>
      </c>
      <c r="AB409" s="4">
        <f>$K$409*$V$409</f>
        <v>187057.85</v>
      </c>
      <c r="AC409" s="4">
        <f>$M$409*$W$409</f>
        <v>269343.47223999997</v>
      </c>
      <c r="AD409" s="4">
        <f>$O$409*$X$409</f>
        <v>606981.69848000002</v>
      </c>
      <c r="AE409" s="4">
        <f ca="1">$K$409*$Y$409</f>
        <v>211194.72330895741</v>
      </c>
      <c r="AF409" s="4">
        <f ca="1">$M$409*$Z$409</f>
        <v>324479.12486384372</v>
      </c>
      <c r="AG409" s="4">
        <f>$O$409*$AA$409</f>
        <v>748176.92162504687</v>
      </c>
    </row>
    <row r="410" spans="1:33" ht="11.25" customHeight="1" x14ac:dyDescent="0.25">
      <c r="A410" s="3" t="s">
        <v>28</v>
      </c>
      <c r="B410" s="3" t="s">
        <v>33</v>
      </c>
      <c r="C410" s="3" t="s">
        <v>42</v>
      </c>
      <c r="D410" s="3" t="s">
        <v>43</v>
      </c>
      <c r="E410" s="3" t="s">
        <v>25</v>
      </c>
      <c r="F410" s="3" t="s">
        <v>25</v>
      </c>
      <c r="G410" s="3" t="s">
        <v>25</v>
      </c>
      <c r="H410" s="3" t="s">
        <v>36</v>
      </c>
      <c r="I410" s="6">
        <v>44470</v>
      </c>
      <c r="J410" s="4">
        <v>82</v>
      </c>
      <c r="K410" s="4">
        <v>82</v>
      </c>
      <c r="L410" s="4">
        <v>18.934000000000001</v>
      </c>
      <c r="M410" s="4">
        <v>18.934000000000001</v>
      </c>
      <c r="N410" s="4">
        <v>18.934000000000001</v>
      </c>
      <c r="O410" s="4">
        <v>18.934000000000001</v>
      </c>
      <c r="P410" s="4">
        <v>0</v>
      </c>
      <c r="Q410" s="3" t="s">
        <v>26</v>
      </c>
      <c r="R410" s="3">
        <v>0</v>
      </c>
      <c r="S410" s="4">
        <v>87</v>
      </c>
      <c r="T410" s="4">
        <v>88</v>
      </c>
      <c r="U410" s="4">
        <v>73</v>
      </c>
      <c r="V410" s="4">
        <f>IF(ISERROR(VLOOKUP($S$410,'TAR FIN'!$A$1:$O$99,15,0)),0,VLOOKUP($S$410,'TAR FIN'!$A$1:$O$99,15,0))</f>
        <v>21.85</v>
      </c>
      <c r="W410" s="4">
        <f>IF(ISERROR(VLOOKUP($T$410,'TAR FIN'!$A$1:$O$99,15,0)),0,VLOOKUP($T$410,'TAR FIN'!$A$1:$O$99,15,0))</f>
        <v>97.61</v>
      </c>
      <c r="X410" s="4">
        <f>IF(ISERROR(VLOOKUP($U$410,'TAR FIN'!$A$1:$O$99,15,0)),0,VLOOKUP($U$410,'TAR FIN'!$A$1:$O$99,15,0))</f>
        <v>219.97</v>
      </c>
      <c r="Y410" s="4">
        <f ca="1">('TUSD BE'!$AM$14+'TUSD BF'!$AM$14+'TUSD CVA'!$AM$14)*1</f>
        <v>24.669398821277586</v>
      </c>
      <c r="Z410" s="4">
        <f ca="1">('TUSD BE'!$AM$15+'TUSD BF'!$AM$15+'TUSD CVA'!$AM$15)*1</f>
        <v>117.59114529324071</v>
      </c>
      <c r="AA410" s="4">
        <f>('TE BE'!$AA$8+'TE BF'!$AA$8+'TE CVA'!$AA$8)*1</f>
        <v>271.13910989737087</v>
      </c>
      <c r="AB410" s="4">
        <f>$K$410*$V$410</f>
        <v>1791.7</v>
      </c>
      <c r="AC410" s="4">
        <f>$M$410*$W$410</f>
        <v>1848.1477400000001</v>
      </c>
      <c r="AD410" s="4">
        <f>$O$410*$X$410</f>
        <v>4164.9119799999999</v>
      </c>
      <c r="AE410" s="4">
        <f ca="1">$K$410*$Y$410</f>
        <v>2022.890703344762</v>
      </c>
      <c r="AF410" s="4">
        <f ca="1">$M$410*$Z$410</f>
        <v>2226.4707449822199</v>
      </c>
      <c r="AG410" s="4">
        <f>$O$410*$AA$410</f>
        <v>5133.7479067968206</v>
      </c>
    </row>
    <row r="411" spans="1:33" ht="11.25" customHeight="1" x14ac:dyDescent="0.25">
      <c r="A411" s="3" t="s">
        <v>21</v>
      </c>
      <c r="B411" s="3" t="s">
        <v>33</v>
      </c>
      <c r="C411" s="3" t="s">
        <v>42</v>
      </c>
      <c r="D411" s="3" t="s">
        <v>43</v>
      </c>
      <c r="E411" s="3" t="s">
        <v>25</v>
      </c>
      <c r="F411" s="3" t="s">
        <v>25</v>
      </c>
      <c r="G411" s="3" t="s">
        <v>25</v>
      </c>
      <c r="H411" s="3" t="s">
        <v>36</v>
      </c>
      <c r="I411" s="6">
        <v>44501</v>
      </c>
      <c r="J411" s="4">
        <v>8002</v>
      </c>
      <c r="K411" s="4">
        <v>8002</v>
      </c>
      <c r="L411" s="4">
        <v>2650.36</v>
      </c>
      <c r="M411" s="4">
        <v>2650.36</v>
      </c>
      <c r="N411" s="4">
        <v>2650.36</v>
      </c>
      <c r="O411" s="4">
        <v>2650.36</v>
      </c>
      <c r="P411" s="4">
        <v>0</v>
      </c>
      <c r="Q411" s="3" t="s">
        <v>26</v>
      </c>
      <c r="R411" s="3">
        <v>0</v>
      </c>
      <c r="S411" s="4">
        <v>87</v>
      </c>
      <c r="T411" s="4">
        <v>88</v>
      </c>
      <c r="U411" s="4">
        <v>73</v>
      </c>
      <c r="V411" s="4">
        <f>IF(ISERROR(VLOOKUP($S$411,'TAR FIN'!$A$1:$O$99,15,0)),0,VLOOKUP($S$411,'TAR FIN'!$A$1:$O$99,15,0))</f>
        <v>21.85</v>
      </c>
      <c r="W411" s="4">
        <f>IF(ISERROR(VLOOKUP($T$411,'TAR FIN'!$A$1:$O$99,15,0)),0,VLOOKUP($T$411,'TAR FIN'!$A$1:$O$99,15,0))</f>
        <v>97.61</v>
      </c>
      <c r="X411" s="4">
        <f>IF(ISERROR(VLOOKUP($U$411,'TAR FIN'!$A$1:$O$99,15,0)),0,VLOOKUP($U$411,'TAR FIN'!$A$1:$O$99,15,0))</f>
        <v>219.97</v>
      </c>
      <c r="Y411" s="4">
        <f ca="1">('TUSD BE'!$AM$14+'TUSD BF'!$AM$14+'TUSD CVA'!$AM$14)*1</f>
        <v>24.669398821277586</v>
      </c>
      <c r="Z411" s="4">
        <f ca="1">('TUSD BE'!$AM$15+'TUSD BF'!$AM$15+'TUSD CVA'!$AM$15)*1</f>
        <v>117.59114529324071</v>
      </c>
      <c r="AA411" s="4">
        <f>('TE BE'!$AA$8+'TE BF'!$AA$8+'TE CVA'!$AA$8)*1</f>
        <v>271.13910989737087</v>
      </c>
      <c r="AB411" s="4">
        <f>$K$411*$V$411</f>
        <v>174843.7</v>
      </c>
      <c r="AC411" s="4">
        <f>$M$411*$W$411</f>
        <v>258701.63960000002</v>
      </c>
      <c r="AD411" s="4">
        <f>$O$411*$X$411</f>
        <v>582999.68920000002</v>
      </c>
      <c r="AE411" s="4">
        <f ca="1">$K$411*$Y$411</f>
        <v>197404.52936786323</v>
      </c>
      <c r="AF411" s="4">
        <f ca="1">$M$411*$Z$411</f>
        <v>311658.8678393935</v>
      </c>
      <c r="AG411" s="4">
        <f>$O$411*$AA$411</f>
        <v>718616.25130759587</v>
      </c>
    </row>
    <row r="412" spans="1:33" ht="11.25" customHeight="1" x14ac:dyDescent="0.25">
      <c r="A412" s="3" t="s">
        <v>27</v>
      </c>
      <c r="B412" s="3" t="s">
        <v>33</v>
      </c>
      <c r="C412" s="3" t="s">
        <v>42</v>
      </c>
      <c r="D412" s="3" t="s">
        <v>43</v>
      </c>
      <c r="E412" s="3" t="s">
        <v>25</v>
      </c>
      <c r="F412" s="3" t="s">
        <v>25</v>
      </c>
      <c r="G412" s="3" t="s">
        <v>25</v>
      </c>
      <c r="H412" s="3" t="s">
        <v>36</v>
      </c>
      <c r="I412" s="6">
        <v>44501</v>
      </c>
      <c r="J412" s="4">
        <v>0</v>
      </c>
      <c r="K412" s="4">
        <v>0</v>
      </c>
      <c r="L412" s="4">
        <v>0.86399999999999999</v>
      </c>
      <c r="M412" s="4">
        <v>0.86399999999999999</v>
      </c>
      <c r="N412" s="4">
        <v>0.86399999999999999</v>
      </c>
      <c r="O412" s="4">
        <v>0.86399999999999999</v>
      </c>
      <c r="P412" s="4">
        <v>0</v>
      </c>
      <c r="Q412" s="3" t="s">
        <v>26</v>
      </c>
      <c r="R412" s="3">
        <v>0</v>
      </c>
      <c r="S412" s="4">
        <v>0</v>
      </c>
      <c r="T412" s="4">
        <v>88</v>
      </c>
      <c r="U412" s="4">
        <v>73</v>
      </c>
      <c r="V412" s="4">
        <f>IF(ISERROR(VLOOKUP($S$412,'TAR FIN'!$A$1:$O$99,15,0)),0,VLOOKUP($S$412,'TAR FIN'!$A$1:$O$99,15,0))</f>
        <v>0</v>
      </c>
      <c r="W412" s="4">
        <f>IF(ISERROR(VLOOKUP($T$412,'TAR FIN'!$A$1:$O$99,15,0)),0,VLOOKUP($T$412,'TAR FIN'!$A$1:$O$99,15,0))</f>
        <v>97.61</v>
      </c>
      <c r="X412" s="4">
        <f>IF(ISERROR(VLOOKUP($U$412,'TAR FIN'!$A$1:$O$99,15,0)),0,VLOOKUP($U$412,'TAR FIN'!$A$1:$O$99,15,0))</f>
        <v>219.97</v>
      </c>
      <c r="Y412" s="4">
        <f ca="1">('TUSD BE'!$AM$14+'TUSD BF'!$AM$14+'TUSD CVA'!$AM$14)*1</f>
        <v>24.669398821277586</v>
      </c>
      <c r="Z412" s="4">
        <f ca="1">('TUSD BE'!$AM$15+'TUSD BF'!$AM$15+'TUSD CVA'!$AM$15)*1</f>
        <v>117.59114529324071</v>
      </c>
      <c r="AA412" s="4">
        <f>('TE BE'!$AA$8+'TE BF'!$AA$8+'TE CVA'!$AA$8)*1</f>
        <v>271.13910989737087</v>
      </c>
      <c r="AB412" s="4">
        <f>$K$412*$V$412</f>
        <v>0</v>
      </c>
      <c r="AC412" s="4">
        <f>$M$412*$W$412</f>
        <v>84.335039999999992</v>
      </c>
      <c r="AD412" s="4">
        <f>$O$412*$X$412</f>
        <v>190.05408</v>
      </c>
      <c r="AE412" s="4">
        <f ca="1">$K$412*$Y$412</f>
        <v>0</v>
      </c>
      <c r="AF412" s="4">
        <f ca="1">$M$412*$Z$412</f>
        <v>101.59874953335998</v>
      </c>
      <c r="AG412" s="4">
        <f>$O$412*$AA$412</f>
        <v>234.26419095132843</v>
      </c>
    </row>
    <row r="413" spans="1:33" ht="11.25" customHeight="1" x14ac:dyDescent="0.25">
      <c r="A413" s="3" t="s">
        <v>28</v>
      </c>
      <c r="B413" s="3" t="s">
        <v>33</v>
      </c>
      <c r="C413" s="3" t="s">
        <v>42</v>
      </c>
      <c r="D413" s="3" t="s">
        <v>43</v>
      </c>
      <c r="E413" s="3" t="s">
        <v>25</v>
      </c>
      <c r="F413" s="3" t="s">
        <v>25</v>
      </c>
      <c r="G413" s="3" t="s">
        <v>25</v>
      </c>
      <c r="H413" s="3" t="s">
        <v>36</v>
      </c>
      <c r="I413" s="6">
        <v>44501</v>
      </c>
      <c r="J413" s="4">
        <v>77</v>
      </c>
      <c r="K413" s="4">
        <v>77</v>
      </c>
      <c r="L413" s="4">
        <v>16.690999999999999</v>
      </c>
      <c r="M413" s="4">
        <v>16.690999999999999</v>
      </c>
      <c r="N413" s="4">
        <v>16.690999999999999</v>
      </c>
      <c r="O413" s="4">
        <v>16.690999999999999</v>
      </c>
      <c r="P413" s="4">
        <v>0</v>
      </c>
      <c r="Q413" s="3" t="s">
        <v>26</v>
      </c>
      <c r="R413" s="3">
        <v>0</v>
      </c>
      <c r="S413" s="4">
        <v>87</v>
      </c>
      <c r="T413" s="4">
        <v>88</v>
      </c>
      <c r="U413" s="4">
        <v>73</v>
      </c>
      <c r="V413" s="4">
        <f>IF(ISERROR(VLOOKUP($S$413,'TAR FIN'!$A$1:$O$99,15,0)),0,VLOOKUP($S$413,'TAR FIN'!$A$1:$O$99,15,0))</f>
        <v>21.85</v>
      </c>
      <c r="W413" s="4">
        <f>IF(ISERROR(VLOOKUP($T$413,'TAR FIN'!$A$1:$O$99,15,0)),0,VLOOKUP($T$413,'TAR FIN'!$A$1:$O$99,15,0))</f>
        <v>97.61</v>
      </c>
      <c r="X413" s="4">
        <f>IF(ISERROR(VLOOKUP($U$413,'TAR FIN'!$A$1:$O$99,15,0)),0,VLOOKUP($U$413,'TAR FIN'!$A$1:$O$99,15,0))</f>
        <v>219.97</v>
      </c>
      <c r="Y413" s="4">
        <f ca="1">('TUSD BE'!$AM$14+'TUSD BF'!$AM$14+'TUSD CVA'!$AM$14)*1</f>
        <v>24.669398821277586</v>
      </c>
      <c r="Z413" s="4">
        <f ca="1">('TUSD BE'!$AM$15+'TUSD BF'!$AM$15+'TUSD CVA'!$AM$15)*1</f>
        <v>117.59114529324071</v>
      </c>
      <c r="AA413" s="4">
        <f>('TE BE'!$AA$8+'TE BF'!$AA$8+'TE CVA'!$AA$8)*1</f>
        <v>271.13910989737087</v>
      </c>
      <c r="AB413" s="4">
        <f>$K$413*$V$413</f>
        <v>1682.45</v>
      </c>
      <c r="AC413" s="4">
        <f>$M$413*$W$413</f>
        <v>1629.2085099999999</v>
      </c>
      <c r="AD413" s="4">
        <f>$O$413*$X$413</f>
        <v>3671.5192699999998</v>
      </c>
      <c r="AE413" s="4">
        <f ca="1">$K$413*$Y$413</f>
        <v>1899.543709238374</v>
      </c>
      <c r="AF413" s="4">
        <f ca="1">$M$413*$Z$413</f>
        <v>1962.7138060894806</v>
      </c>
      <c r="AG413" s="4">
        <f>$O$413*$AA$413</f>
        <v>4525.5828832970174</v>
      </c>
    </row>
    <row r="414" spans="1:33" ht="11.25" customHeight="1" x14ac:dyDescent="0.25">
      <c r="A414" s="3" t="s">
        <v>21</v>
      </c>
      <c r="B414" s="3" t="s">
        <v>33</v>
      </c>
      <c r="C414" s="3" t="s">
        <v>42</v>
      </c>
      <c r="D414" s="3" t="s">
        <v>43</v>
      </c>
      <c r="E414" s="3" t="s">
        <v>25</v>
      </c>
      <c r="F414" s="3" t="s">
        <v>25</v>
      </c>
      <c r="G414" s="3" t="s">
        <v>25</v>
      </c>
      <c r="H414" s="3" t="s">
        <v>36</v>
      </c>
      <c r="I414" s="6">
        <v>44531</v>
      </c>
      <c r="J414" s="4">
        <v>7650</v>
      </c>
      <c r="K414" s="4">
        <v>7650</v>
      </c>
      <c r="L414" s="4">
        <v>2537.6129999999998</v>
      </c>
      <c r="M414" s="4">
        <v>2537.6129999999998</v>
      </c>
      <c r="N414" s="4">
        <v>2537.6129999999998</v>
      </c>
      <c r="O414" s="4">
        <v>2537.6129999999998</v>
      </c>
      <c r="P414" s="4">
        <v>0</v>
      </c>
      <c r="Q414" s="3" t="s">
        <v>26</v>
      </c>
      <c r="R414" s="3">
        <v>0</v>
      </c>
      <c r="S414" s="4">
        <v>87</v>
      </c>
      <c r="T414" s="4">
        <v>88</v>
      </c>
      <c r="U414" s="4">
        <v>73</v>
      </c>
      <c r="V414" s="4">
        <f>IF(ISERROR(VLOOKUP($S$414,'TAR FIN'!$A$1:$O$99,15,0)),0,VLOOKUP($S$414,'TAR FIN'!$A$1:$O$99,15,0))</f>
        <v>21.85</v>
      </c>
      <c r="W414" s="4">
        <f>IF(ISERROR(VLOOKUP($T$414,'TAR FIN'!$A$1:$O$99,15,0)),0,VLOOKUP($T$414,'TAR FIN'!$A$1:$O$99,15,0))</f>
        <v>97.61</v>
      </c>
      <c r="X414" s="4">
        <f>IF(ISERROR(VLOOKUP($U$414,'TAR FIN'!$A$1:$O$99,15,0)),0,VLOOKUP($U$414,'TAR FIN'!$A$1:$O$99,15,0))</f>
        <v>219.97</v>
      </c>
      <c r="Y414" s="4">
        <f ca="1">('TUSD BE'!$AM$14+'TUSD BF'!$AM$14+'TUSD CVA'!$AM$14)*1</f>
        <v>24.669398821277586</v>
      </c>
      <c r="Z414" s="4">
        <f ca="1">('TUSD BE'!$AM$15+'TUSD BF'!$AM$15+'TUSD CVA'!$AM$15)*1</f>
        <v>117.59114529324071</v>
      </c>
      <c r="AA414" s="4">
        <f>('TE BE'!$AA$8+'TE BF'!$AA$8+'TE CVA'!$AA$8)*1</f>
        <v>271.13910989737087</v>
      </c>
      <c r="AB414" s="4">
        <f>$K$414*$V$414</f>
        <v>167152.5</v>
      </c>
      <c r="AC414" s="4">
        <f>$M$414*$W$414</f>
        <v>247696.40492999999</v>
      </c>
      <c r="AD414" s="4">
        <f>$O$414*$X$414</f>
        <v>558198.73161000002</v>
      </c>
      <c r="AE414" s="4">
        <f ca="1">$K$414*$Y$414</f>
        <v>188720.90098277354</v>
      </c>
      <c r="AF414" s="4">
        <f ca="1">$M$414*$Z$414</f>
        <v>298400.8189810164</v>
      </c>
      <c r="AG414" s="4">
        <f>$O$414*$AA$414</f>
        <v>688046.13008399692</v>
      </c>
    </row>
    <row r="415" spans="1:33" ht="11.25" customHeight="1" x14ac:dyDescent="0.25">
      <c r="A415" s="3" t="s">
        <v>28</v>
      </c>
      <c r="B415" s="3" t="s">
        <v>33</v>
      </c>
      <c r="C415" s="3" t="s">
        <v>42</v>
      </c>
      <c r="D415" s="3" t="s">
        <v>43</v>
      </c>
      <c r="E415" s="3" t="s">
        <v>25</v>
      </c>
      <c r="F415" s="3" t="s">
        <v>25</v>
      </c>
      <c r="G415" s="3" t="s">
        <v>25</v>
      </c>
      <c r="H415" s="3" t="s">
        <v>36</v>
      </c>
      <c r="I415" s="6">
        <v>44531</v>
      </c>
      <c r="J415" s="4">
        <v>77</v>
      </c>
      <c r="K415" s="4">
        <v>77</v>
      </c>
      <c r="L415" s="4">
        <v>19.433</v>
      </c>
      <c r="M415" s="4">
        <v>19.433</v>
      </c>
      <c r="N415" s="4">
        <v>19.433</v>
      </c>
      <c r="O415" s="4">
        <v>19.433</v>
      </c>
      <c r="P415" s="4">
        <v>0</v>
      </c>
      <c r="Q415" s="3" t="s">
        <v>26</v>
      </c>
      <c r="R415" s="3">
        <v>0</v>
      </c>
      <c r="S415" s="4">
        <v>87</v>
      </c>
      <c r="T415" s="4">
        <v>88</v>
      </c>
      <c r="U415" s="4">
        <v>73</v>
      </c>
      <c r="V415" s="4">
        <f>IF(ISERROR(VLOOKUP($S$415,'TAR FIN'!$A$1:$O$99,15,0)),0,VLOOKUP($S$415,'TAR FIN'!$A$1:$O$99,15,0))</f>
        <v>21.85</v>
      </c>
      <c r="W415" s="4">
        <f>IF(ISERROR(VLOOKUP($T$415,'TAR FIN'!$A$1:$O$99,15,0)),0,VLOOKUP($T$415,'TAR FIN'!$A$1:$O$99,15,0))</f>
        <v>97.61</v>
      </c>
      <c r="X415" s="4">
        <f>IF(ISERROR(VLOOKUP($U$415,'TAR FIN'!$A$1:$O$99,15,0)),0,VLOOKUP($U$415,'TAR FIN'!$A$1:$O$99,15,0))</f>
        <v>219.97</v>
      </c>
      <c r="Y415" s="4">
        <f ca="1">('TUSD BE'!$AM$14+'TUSD BF'!$AM$14+'TUSD CVA'!$AM$14)*1</f>
        <v>24.669398821277586</v>
      </c>
      <c r="Z415" s="4">
        <f ca="1">('TUSD BE'!$AM$15+'TUSD BF'!$AM$15+'TUSD CVA'!$AM$15)*1</f>
        <v>117.59114529324071</v>
      </c>
      <c r="AA415" s="4">
        <f>('TE BE'!$AA$8+'TE BF'!$AA$8+'TE CVA'!$AA$8)*1</f>
        <v>271.13910989737087</v>
      </c>
      <c r="AB415" s="4">
        <f>$K$415*$V$415</f>
        <v>1682.45</v>
      </c>
      <c r="AC415" s="4">
        <f>$M$415*$W$415</f>
        <v>1896.8551299999999</v>
      </c>
      <c r="AD415" s="4">
        <f>$O$415*$X$415</f>
        <v>4274.6770100000003</v>
      </c>
      <c r="AE415" s="4">
        <f ca="1">$K$415*$Y$415</f>
        <v>1899.543709238374</v>
      </c>
      <c r="AF415" s="4">
        <f ca="1">$M$415*$Z$415</f>
        <v>2285.1487264835469</v>
      </c>
      <c r="AG415" s="4">
        <f>$O$415*$AA$415</f>
        <v>5269.0463226356078</v>
      </c>
    </row>
    <row r="416" spans="1:33" ht="11.25" customHeight="1" x14ac:dyDescent="0.25">
      <c r="A416" s="3" t="s">
        <v>21</v>
      </c>
      <c r="B416" s="3" t="s">
        <v>33</v>
      </c>
      <c r="C416" s="3" t="s">
        <v>42</v>
      </c>
      <c r="D416" s="3" t="s">
        <v>43</v>
      </c>
      <c r="E416" s="3" t="s">
        <v>25</v>
      </c>
      <c r="F416" s="3" t="s">
        <v>25</v>
      </c>
      <c r="G416" s="3" t="s">
        <v>25</v>
      </c>
      <c r="H416" s="3" t="s">
        <v>36</v>
      </c>
      <c r="I416" s="6">
        <v>44562</v>
      </c>
      <c r="J416" s="4">
        <v>7571</v>
      </c>
      <c r="K416" s="4">
        <v>7571</v>
      </c>
      <c r="L416" s="4">
        <v>2580.549</v>
      </c>
      <c r="M416" s="4">
        <v>2580.549</v>
      </c>
      <c r="N416" s="4">
        <v>2580.549</v>
      </c>
      <c r="O416" s="4">
        <v>2580.549</v>
      </c>
      <c r="P416" s="4">
        <v>0</v>
      </c>
      <c r="Q416" s="3" t="s">
        <v>26</v>
      </c>
      <c r="R416" s="3">
        <v>0</v>
      </c>
      <c r="S416" s="4">
        <v>87</v>
      </c>
      <c r="T416" s="4">
        <v>88</v>
      </c>
      <c r="U416" s="4">
        <v>73</v>
      </c>
      <c r="V416" s="4">
        <f>IF(ISERROR(VLOOKUP($S$416,'TAR FIN'!$A$1:$O$99,15,0)),0,VLOOKUP($S$416,'TAR FIN'!$A$1:$O$99,15,0))</f>
        <v>21.85</v>
      </c>
      <c r="W416" s="4">
        <f>IF(ISERROR(VLOOKUP($T$416,'TAR FIN'!$A$1:$O$99,15,0)),0,VLOOKUP($T$416,'TAR FIN'!$A$1:$O$99,15,0))</f>
        <v>97.61</v>
      </c>
      <c r="X416" s="4">
        <f>IF(ISERROR(VLOOKUP($U$416,'TAR FIN'!$A$1:$O$99,15,0)),0,VLOOKUP($U$416,'TAR FIN'!$A$1:$O$99,15,0))</f>
        <v>219.97</v>
      </c>
      <c r="Y416" s="4">
        <f ca="1">('TUSD BE'!$AM$14+'TUSD BF'!$AM$14+'TUSD CVA'!$AM$14)*1</f>
        <v>24.669398821277586</v>
      </c>
      <c r="Z416" s="4">
        <f ca="1">('TUSD BE'!$AM$15+'TUSD BF'!$AM$15+'TUSD CVA'!$AM$15)*1</f>
        <v>117.59114529324071</v>
      </c>
      <c r="AA416" s="4">
        <f>('TE BE'!$AA$8+'TE BF'!$AA$8+'TE CVA'!$AA$8)*1</f>
        <v>271.13910989737087</v>
      </c>
      <c r="AB416" s="4">
        <f>$K$416*$V$416</f>
        <v>165426.35</v>
      </c>
      <c r="AC416" s="4">
        <f>$M$416*$W$416</f>
        <v>251887.38788999998</v>
      </c>
      <c r="AD416" s="4">
        <f>$O$416*$X$416</f>
        <v>567643.36352999997</v>
      </c>
      <c r="AE416" s="4">
        <f ca="1">$K$416*$Y$416</f>
        <v>186772.0184758926</v>
      </c>
      <c r="AF416" s="4">
        <f ca="1">$M$416*$Z$416</f>
        <v>303449.71239532705</v>
      </c>
      <c r="AG416" s="4">
        <f>$O$416*$AA$416</f>
        <v>699687.75890655047</v>
      </c>
    </row>
    <row r="417" spans="1:33" ht="11.25" customHeight="1" x14ac:dyDescent="0.25">
      <c r="A417" s="3" t="s">
        <v>27</v>
      </c>
      <c r="B417" s="3" t="s">
        <v>33</v>
      </c>
      <c r="C417" s="3" t="s">
        <v>42</v>
      </c>
      <c r="D417" s="3" t="s">
        <v>43</v>
      </c>
      <c r="E417" s="3" t="s">
        <v>25</v>
      </c>
      <c r="F417" s="3" t="s">
        <v>25</v>
      </c>
      <c r="G417" s="3" t="s">
        <v>25</v>
      </c>
      <c r="H417" s="3" t="s">
        <v>36</v>
      </c>
      <c r="I417" s="6">
        <v>44562</v>
      </c>
      <c r="J417" s="4">
        <v>-334</v>
      </c>
      <c r="K417" s="4">
        <v>-334</v>
      </c>
      <c r="L417" s="4">
        <v>-118.333</v>
      </c>
      <c r="M417" s="4">
        <v>-118.333</v>
      </c>
      <c r="N417" s="4">
        <v>-118.333</v>
      </c>
      <c r="O417" s="4">
        <v>-118.333</v>
      </c>
      <c r="P417" s="4">
        <v>0</v>
      </c>
      <c r="Q417" s="3" t="s">
        <v>26</v>
      </c>
      <c r="R417" s="3">
        <v>0</v>
      </c>
      <c r="S417" s="4">
        <v>87</v>
      </c>
      <c r="T417" s="4">
        <v>88</v>
      </c>
      <c r="U417" s="4">
        <v>73</v>
      </c>
      <c r="V417" s="4">
        <f>IF(ISERROR(VLOOKUP($S$417,'TAR FIN'!$A$1:$O$99,15,0)),0,VLOOKUP($S$417,'TAR FIN'!$A$1:$O$99,15,0))</f>
        <v>21.85</v>
      </c>
      <c r="W417" s="4">
        <f>IF(ISERROR(VLOOKUP($T$417,'TAR FIN'!$A$1:$O$99,15,0)),0,VLOOKUP($T$417,'TAR FIN'!$A$1:$O$99,15,0))</f>
        <v>97.61</v>
      </c>
      <c r="X417" s="4">
        <f>IF(ISERROR(VLOOKUP($U$417,'TAR FIN'!$A$1:$O$99,15,0)),0,VLOOKUP($U$417,'TAR FIN'!$A$1:$O$99,15,0))</f>
        <v>219.97</v>
      </c>
      <c r="Y417" s="4">
        <f ca="1">('TUSD BE'!$AM$14+'TUSD BF'!$AM$14+'TUSD CVA'!$AM$14)*1</f>
        <v>24.669398821277586</v>
      </c>
      <c r="Z417" s="4">
        <f ca="1">('TUSD BE'!$AM$15+'TUSD BF'!$AM$15+'TUSD CVA'!$AM$15)*1</f>
        <v>117.59114529324071</v>
      </c>
      <c r="AA417" s="4">
        <f>('TE BE'!$AA$8+'TE BF'!$AA$8+'TE CVA'!$AA$8)*1</f>
        <v>271.13910989737087</v>
      </c>
      <c r="AB417" s="4">
        <f>$K$417*$V$417</f>
        <v>-7297.9000000000005</v>
      </c>
      <c r="AC417" s="4">
        <f>$M$417*$W$417</f>
        <v>-11550.484129999999</v>
      </c>
      <c r="AD417" s="4">
        <f>$O$417*$X$417</f>
        <v>-26029.710009999999</v>
      </c>
      <c r="AE417" s="4">
        <f ca="1">$K$417*$Y$417</f>
        <v>-8239.5792063067129</v>
      </c>
      <c r="AF417" s="4">
        <f ca="1">$M$417*$Z$417</f>
        <v>-13914.912995985052</v>
      </c>
      <c r="AG417" s="4">
        <f>$O$417*$AA$417</f>
        <v>-32084.704291485588</v>
      </c>
    </row>
    <row r="418" spans="1:33" ht="11.25" customHeight="1" x14ac:dyDescent="0.25">
      <c r="A418" s="3" t="s">
        <v>28</v>
      </c>
      <c r="B418" s="3" t="s">
        <v>33</v>
      </c>
      <c r="C418" s="3" t="s">
        <v>42</v>
      </c>
      <c r="D418" s="3" t="s">
        <v>43</v>
      </c>
      <c r="E418" s="3" t="s">
        <v>25</v>
      </c>
      <c r="F418" s="3" t="s">
        <v>25</v>
      </c>
      <c r="G418" s="3" t="s">
        <v>25</v>
      </c>
      <c r="H418" s="3" t="s">
        <v>36</v>
      </c>
      <c r="I418" s="6">
        <v>44562</v>
      </c>
      <c r="J418" s="4">
        <v>77</v>
      </c>
      <c r="K418" s="4">
        <v>77</v>
      </c>
      <c r="L418" s="4">
        <v>14.002000000000001</v>
      </c>
      <c r="M418" s="4">
        <v>14.002000000000001</v>
      </c>
      <c r="N418" s="4">
        <v>14.002000000000001</v>
      </c>
      <c r="O418" s="4">
        <v>14.002000000000001</v>
      </c>
      <c r="P418" s="4">
        <v>0</v>
      </c>
      <c r="Q418" s="3" t="s">
        <v>26</v>
      </c>
      <c r="R418" s="3">
        <v>0</v>
      </c>
      <c r="S418" s="4">
        <v>87</v>
      </c>
      <c r="T418" s="4">
        <v>88</v>
      </c>
      <c r="U418" s="4">
        <v>73</v>
      </c>
      <c r="V418" s="4">
        <f>IF(ISERROR(VLOOKUP($S$418,'TAR FIN'!$A$1:$O$99,15,0)),0,VLOOKUP($S$418,'TAR FIN'!$A$1:$O$99,15,0))</f>
        <v>21.85</v>
      </c>
      <c r="W418" s="4">
        <f>IF(ISERROR(VLOOKUP($T$418,'TAR FIN'!$A$1:$O$99,15,0)),0,VLOOKUP($T$418,'TAR FIN'!$A$1:$O$99,15,0))</f>
        <v>97.61</v>
      </c>
      <c r="X418" s="4">
        <f>IF(ISERROR(VLOOKUP($U$418,'TAR FIN'!$A$1:$O$99,15,0)),0,VLOOKUP($U$418,'TAR FIN'!$A$1:$O$99,15,0))</f>
        <v>219.97</v>
      </c>
      <c r="Y418" s="4">
        <f ca="1">('TUSD BE'!$AM$14+'TUSD BF'!$AM$14+'TUSD CVA'!$AM$14)*1</f>
        <v>24.669398821277586</v>
      </c>
      <c r="Z418" s="4">
        <f ca="1">('TUSD BE'!$AM$15+'TUSD BF'!$AM$15+'TUSD CVA'!$AM$15)*1</f>
        <v>117.59114529324071</v>
      </c>
      <c r="AA418" s="4">
        <f>('TE BE'!$AA$8+'TE BF'!$AA$8+'TE CVA'!$AA$8)*1</f>
        <v>271.13910989737087</v>
      </c>
      <c r="AB418" s="4">
        <f>$K$418*$V$418</f>
        <v>1682.45</v>
      </c>
      <c r="AC418" s="4">
        <f>$M$418*$W$418</f>
        <v>1366.73522</v>
      </c>
      <c r="AD418" s="4">
        <f>$O$418*$X$418</f>
        <v>3080.0199400000001</v>
      </c>
      <c r="AE418" s="4">
        <f ca="1">$K$418*$Y$418</f>
        <v>1899.543709238374</v>
      </c>
      <c r="AF418" s="4">
        <f ca="1">$M$418*$Z$418</f>
        <v>1646.5112163959566</v>
      </c>
      <c r="AG418" s="4">
        <f>$O$418*$AA$418</f>
        <v>3796.489816782987</v>
      </c>
    </row>
    <row r="419" spans="1:33" ht="11.25" customHeight="1" x14ac:dyDescent="0.25">
      <c r="A419" s="3" t="s">
        <v>21</v>
      </c>
      <c r="B419" s="3" t="s">
        <v>33</v>
      </c>
      <c r="C419" s="3" t="s">
        <v>42</v>
      </c>
      <c r="D419" s="3" t="s">
        <v>43</v>
      </c>
      <c r="E419" s="3" t="s">
        <v>25</v>
      </c>
      <c r="F419" s="3" t="s">
        <v>25</v>
      </c>
      <c r="G419" s="3" t="s">
        <v>25</v>
      </c>
      <c r="H419" s="3" t="s">
        <v>36</v>
      </c>
      <c r="I419" s="6">
        <v>44593</v>
      </c>
      <c r="J419" s="4">
        <v>7014</v>
      </c>
      <c r="K419" s="4">
        <v>7014</v>
      </c>
      <c r="L419" s="4">
        <v>2161.12</v>
      </c>
      <c r="M419" s="4">
        <v>2161.12</v>
      </c>
      <c r="N419" s="4">
        <v>2161.12</v>
      </c>
      <c r="O419" s="4">
        <v>2161.12</v>
      </c>
      <c r="P419" s="4">
        <v>0</v>
      </c>
      <c r="Q419" s="3" t="s">
        <v>26</v>
      </c>
      <c r="R419" s="3">
        <v>0</v>
      </c>
      <c r="S419" s="4">
        <v>87</v>
      </c>
      <c r="T419" s="4">
        <v>88</v>
      </c>
      <c r="U419" s="4">
        <v>73</v>
      </c>
      <c r="V419" s="4">
        <f>IF(ISERROR(VLOOKUP($S$419,'TAR FIN'!$A$1:$O$99,15,0)),0,VLOOKUP($S$419,'TAR FIN'!$A$1:$O$99,15,0))</f>
        <v>21.85</v>
      </c>
      <c r="W419" s="4">
        <f>IF(ISERROR(VLOOKUP($T$419,'TAR FIN'!$A$1:$O$99,15,0)),0,VLOOKUP($T$419,'TAR FIN'!$A$1:$O$99,15,0))</f>
        <v>97.61</v>
      </c>
      <c r="X419" s="4">
        <f>IF(ISERROR(VLOOKUP($U$419,'TAR FIN'!$A$1:$O$99,15,0)),0,VLOOKUP($U$419,'TAR FIN'!$A$1:$O$99,15,0))</f>
        <v>219.97</v>
      </c>
      <c r="Y419" s="4">
        <f ca="1">('TUSD BE'!$AM$14+'TUSD BF'!$AM$14+'TUSD CVA'!$AM$14)*1</f>
        <v>24.669398821277586</v>
      </c>
      <c r="Z419" s="4">
        <f ca="1">('TUSD BE'!$AM$15+'TUSD BF'!$AM$15+'TUSD CVA'!$AM$15)*1</f>
        <v>117.59114529324071</v>
      </c>
      <c r="AA419" s="4">
        <f>('TE BE'!$AA$8+'TE BF'!$AA$8+'TE CVA'!$AA$8)*1</f>
        <v>271.13910989737087</v>
      </c>
      <c r="AB419" s="4">
        <f>$K$419*$V$419</f>
        <v>153255.90000000002</v>
      </c>
      <c r="AC419" s="4">
        <f>$M$419*$W$419</f>
        <v>210946.92319999999</v>
      </c>
      <c r="AD419" s="4">
        <f>$O$419*$X$419</f>
        <v>475381.56639999995</v>
      </c>
      <c r="AE419" s="4">
        <f ca="1">$K$419*$Y$419</f>
        <v>173031.16333244098</v>
      </c>
      <c r="AF419" s="4">
        <f ca="1">$M$419*$Z$419</f>
        <v>254128.57591612835</v>
      </c>
      <c r="AG419" s="4">
        <f>$O$419*$AA$419</f>
        <v>585964.15318140609</v>
      </c>
    </row>
    <row r="420" spans="1:33" ht="11.25" customHeight="1" x14ac:dyDescent="0.25">
      <c r="A420" s="3" t="s">
        <v>28</v>
      </c>
      <c r="B420" s="3" t="s">
        <v>33</v>
      </c>
      <c r="C420" s="3" t="s">
        <v>42</v>
      </c>
      <c r="D420" s="3" t="s">
        <v>43</v>
      </c>
      <c r="E420" s="3" t="s">
        <v>25</v>
      </c>
      <c r="F420" s="3" t="s">
        <v>25</v>
      </c>
      <c r="G420" s="3" t="s">
        <v>25</v>
      </c>
      <c r="H420" s="3" t="s">
        <v>36</v>
      </c>
      <c r="I420" s="6">
        <v>44593</v>
      </c>
      <c r="J420" s="4">
        <v>77</v>
      </c>
      <c r="K420" s="4">
        <v>77</v>
      </c>
      <c r="L420" s="4">
        <v>11.167</v>
      </c>
      <c r="M420" s="4">
        <v>11.167</v>
      </c>
      <c r="N420" s="4">
        <v>11.167</v>
      </c>
      <c r="O420" s="4">
        <v>11.167</v>
      </c>
      <c r="P420" s="4">
        <v>0</v>
      </c>
      <c r="Q420" s="3" t="s">
        <v>26</v>
      </c>
      <c r="R420" s="3">
        <v>0</v>
      </c>
      <c r="S420" s="4">
        <v>87</v>
      </c>
      <c r="T420" s="4">
        <v>88</v>
      </c>
      <c r="U420" s="4">
        <v>73</v>
      </c>
      <c r="V420" s="4">
        <f>IF(ISERROR(VLOOKUP($S$420,'TAR FIN'!$A$1:$O$99,15,0)),0,VLOOKUP($S$420,'TAR FIN'!$A$1:$O$99,15,0))</f>
        <v>21.85</v>
      </c>
      <c r="W420" s="4">
        <f>IF(ISERROR(VLOOKUP($T$420,'TAR FIN'!$A$1:$O$99,15,0)),0,VLOOKUP($T$420,'TAR FIN'!$A$1:$O$99,15,0))</f>
        <v>97.61</v>
      </c>
      <c r="X420" s="4">
        <f>IF(ISERROR(VLOOKUP($U$420,'TAR FIN'!$A$1:$O$99,15,0)),0,VLOOKUP($U$420,'TAR FIN'!$A$1:$O$99,15,0))</f>
        <v>219.97</v>
      </c>
      <c r="Y420" s="4">
        <f ca="1">('TUSD BE'!$AM$14+'TUSD BF'!$AM$14+'TUSD CVA'!$AM$14)*1</f>
        <v>24.669398821277586</v>
      </c>
      <c r="Z420" s="4">
        <f ca="1">('TUSD BE'!$AM$15+'TUSD BF'!$AM$15+'TUSD CVA'!$AM$15)*1</f>
        <v>117.59114529324071</v>
      </c>
      <c r="AA420" s="4">
        <f>('TE BE'!$AA$8+'TE BF'!$AA$8+'TE CVA'!$AA$8)*1</f>
        <v>271.13910989737087</v>
      </c>
      <c r="AB420" s="4">
        <f>$K$420*$V$420</f>
        <v>1682.45</v>
      </c>
      <c r="AC420" s="4">
        <f>$M$420*$W$420</f>
        <v>1090.0108700000001</v>
      </c>
      <c r="AD420" s="4">
        <f>$O$420*$X$420</f>
        <v>2456.40499</v>
      </c>
      <c r="AE420" s="4">
        <f ca="1">$K$420*$Y$420</f>
        <v>1899.543709238374</v>
      </c>
      <c r="AF420" s="4">
        <f ca="1">$M$420*$Z$420</f>
        <v>1313.1403194896191</v>
      </c>
      <c r="AG420" s="4">
        <f>$O$420*$AA$420</f>
        <v>3027.8104402239405</v>
      </c>
    </row>
    <row r="421" spans="1:33" ht="11.25" customHeight="1" x14ac:dyDescent="0.25">
      <c r="A421" s="3" t="s">
        <v>21</v>
      </c>
      <c r="B421" s="3" t="s">
        <v>33</v>
      </c>
      <c r="C421" s="3" t="s">
        <v>42</v>
      </c>
      <c r="D421" s="3" t="s">
        <v>43</v>
      </c>
      <c r="E421" s="3" t="s">
        <v>25</v>
      </c>
      <c r="F421" s="3" t="s">
        <v>25</v>
      </c>
      <c r="G421" s="3" t="s">
        <v>25</v>
      </c>
      <c r="H421" s="3" t="s">
        <v>36</v>
      </c>
      <c r="I421" s="6">
        <v>44621</v>
      </c>
      <c r="J421" s="4">
        <v>6060</v>
      </c>
      <c r="K421" s="4">
        <v>6060</v>
      </c>
      <c r="L421" s="4">
        <v>1839.3389999999999</v>
      </c>
      <c r="M421" s="4">
        <v>1839.3389999999999</v>
      </c>
      <c r="N421" s="4">
        <v>1839.3389999999999</v>
      </c>
      <c r="O421" s="4">
        <v>1839.3389999999999</v>
      </c>
      <c r="P421" s="4">
        <v>0</v>
      </c>
      <c r="Q421" s="3" t="s">
        <v>26</v>
      </c>
      <c r="R421" s="3">
        <v>0</v>
      </c>
      <c r="S421" s="4">
        <v>87</v>
      </c>
      <c r="T421" s="4">
        <v>88</v>
      </c>
      <c r="U421" s="4">
        <v>73</v>
      </c>
      <c r="V421" s="4">
        <f>IF(ISERROR(VLOOKUP($S$421,'TAR FIN'!$A$1:$O$99,15,0)),0,VLOOKUP($S$421,'TAR FIN'!$A$1:$O$99,15,0))</f>
        <v>21.85</v>
      </c>
      <c r="W421" s="4">
        <f>IF(ISERROR(VLOOKUP($T$421,'TAR FIN'!$A$1:$O$99,15,0)),0,VLOOKUP($T$421,'TAR FIN'!$A$1:$O$99,15,0))</f>
        <v>97.61</v>
      </c>
      <c r="X421" s="4">
        <f>IF(ISERROR(VLOOKUP($U$421,'TAR FIN'!$A$1:$O$99,15,0)),0,VLOOKUP($U$421,'TAR FIN'!$A$1:$O$99,15,0))</f>
        <v>219.97</v>
      </c>
      <c r="Y421" s="4">
        <f ca="1">('TUSD BE'!$AM$14+'TUSD BF'!$AM$14+'TUSD CVA'!$AM$14)*1</f>
        <v>24.669398821277586</v>
      </c>
      <c r="Z421" s="4">
        <f ca="1">('TUSD BE'!$AM$15+'TUSD BF'!$AM$15+'TUSD CVA'!$AM$15)*1</f>
        <v>117.59114529324071</v>
      </c>
      <c r="AA421" s="4">
        <f>('TE BE'!$AA$8+'TE BF'!$AA$8+'TE CVA'!$AA$8)*1</f>
        <v>271.13910989737087</v>
      </c>
      <c r="AB421" s="4">
        <f>$K$421*$V$421</f>
        <v>132411</v>
      </c>
      <c r="AC421" s="4">
        <f>$M$421*$W$421</f>
        <v>179537.87979000001</v>
      </c>
      <c r="AD421" s="4">
        <f>$O$421*$X$421</f>
        <v>404599.39983000001</v>
      </c>
      <c r="AE421" s="4">
        <f ca="1">$K$421*$Y$421</f>
        <v>149496.55685694216</v>
      </c>
      <c r="AF421" s="4">
        <f ca="1">$M$421*$Z$421</f>
        <v>216289.97959252406</v>
      </c>
      <c r="AG421" s="4">
        <f>$O$421*$AA$421</f>
        <v>498716.73925952025</v>
      </c>
    </row>
    <row r="422" spans="1:33" ht="11.25" customHeight="1" x14ac:dyDescent="0.25">
      <c r="A422" s="3" t="s">
        <v>28</v>
      </c>
      <c r="B422" s="3" t="s">
        <v>33</v>
      </c>
      <c r="C422" s="3" t="s">
        <v>42</v>
      </c>
      <c r="D422" s="3" t="s">
        <v>43</v>
      </c>
      <c r="E422" s="3" t="s">
        <v>25</v>
      </c>
      <c r="F422" s="3" t="s">
        <v>25</v>
      </c>
      <c r="G422" s="3" t="s">
        <v>25</v>
      </c>
      <c r="H422" s="3" t="s">
        <v>36</v>
      </c>
      <c r="I422" s="6">
        <v>44621</v>
      </c>
      <c r="J422" s="4">
        <v>77</v>
      </c>
      <c r="K422" s="4">
        <v>77</v>
      </c>
      <c r="L422" s="4">
        <v>17.690000000000001</v>
      </c>
      <c r="M422" s="4">
        <v>17.690000000000001</v>
      </c>
      <c r="N422" s="4">
        <v>17.690000000000001</v>
      </c>
      <c r="O422" s="4">
        <v>17.690000000000001</v>
      </c>
      <c r="P422" s="4">
        <v>0</v>
      </c>
      <c r="Q422" s="3" t="s">
        <v>26</v>
      </c>
      <c r="R422" s="3">
        <v>0</v>
      </c>
      <c r="S422" s="4">
        <v>87</v>
      </c>
      <c r="T422" s="4">
        <v>88</v>
      </c>
      <c r="U422" s="4">
        <v>73</v>
      </c>
      <c r="V422" s="4">
        <f>IF(ISERROR(VLOOKUP($S$422,'TAR FIN'!$A$1:$O$99,15,0)),0,VLOOKUP($S$422,'TAR FIN'!$A$1:$O$99,15,0))</f>
        <v>21.85</v>
      </c>
      <c r="W422" s="4">
        <f>IF(ISERROR(VLOOKUP($T$422,'TAR FIN'!$A$1:$O$99,15,0)),0,VLOOKUP($T$422,'TAR FIN'!$A$1:$O$99,15,0))</f>
        <v>97.61</v>
      </c>
      <c r="X422" s="4">
        <f>IF(ISERROR(VLOOKUP($U$422,'TAR FIN'!$A$1:$O$99,15,0)),0,VLOOKUP($U$422,'TAR FIN'!$A$1:$O$99,15,0))</f>
        <v>219.97</v>
      </c>
      <c r="Y422" s="4">
        <f ca="1">('TUSD BE'!$AM$14+'TUSD BF'!$AM$14+'TUSD CVA'!$AM$14)*1</f>
        <v>24.669398821277586</v>
      </c>
      <c r="Z422" s="4">
        <f ca="1">('TUSD BE'!$AM$15+'TUSD BF'!$AM$15+'TUSD CVA'!$AM$15)*1</f>
        <v>117.59114529324071</v>
      </c>
      <c r="AA422" s="4">
        <f>('TE BE'!$AA$8+'TE BF'!$AA$8+'TE CVA'!$AA$8)*1</f>
        <v>271.13910989737087</v>
      </c>
      <c r="AB422" s="4">
        <f>$K$422*$V$422</f>
        <v>1682.45</v>
      </c>
      <c r="AC422" s="4">
        <f>$M$422*$W$422</f>
        <v>1726.7209</v>
      </c>
      <c r="AD422" s="4">
        <f>$O$422*$X$422</f>
        <v>3891.2693000000004</v>
      </c>
      <c r="AE422" s="4">
        <f ca="1">$K$422*$Y$422</f>
        <v>1899.543709238374</v>
      </c>
      <c r="AF422" s="4">
        <f ca="1">$M$422*$Z$422</f>
        <v>2080.1873602374285</v>
      </c>
      <c r="AG422" s="4">
        <f>$O$422*$AA$422</f>
        <v>4796.4508540844909</v>
      </c>
    </row>
    <row r="423" spans="1:33" ht="11.25" customHeight="1" x14ac:dyDescent="0.25">
      <c r="A423" s="3" t="s">
        <v>56</v>
      </c>
      <c r="B423" s="3" t="s">
        <v>33</v>
      </c>
      <c r="C423" s="3" t="s">
        <v>42</v>
      </c>
      <c r="D423" s="3" t="s">
        <v>43</v>
      </c>
      <c r="E423" s="3" t="s">
        <v>25</v>
      </c>
      <c r="F423" s="3" t="s">
        <v>25</v>
      </c>
      <c r="G423" s="3" t="s">
        <v>25</v>
      </c>
      <c r="H423" s="3" t="s">
        <v>36</v>
      </c>
      <c r="I423" s="6">
        <v>44652</v>
      </c>
      <c r="J423" s="4">
        <v>6060</v>
      </c>
      <c r="K423" s="4">
        <v>6060</v>
      </c>
      <c r="L423" s="4">
        <v>1839.3389999999999</v>
      </c>
      <c r="M423" s="4">
        <v>1839.3389999999999</v>
      </c>
      <c r="N423" s="4">
        <v>1839.3389999999999</v>
      </c>
      <c r="O423" s="4">
        <v>1839.3389999999999</v>
      </c>
      <c r="P423" s="4">
        <v>0</v>
      </c>
      <c r="Q423" s="3" t="s">
        <v>26</v>
      </c>
      <c r="R423" s="3">
        <v>0</v>
      </c>
      <c r="S423" s="4">
        <v>87</v>
      </c>
      <c r="T423" s="4">
        <v>88</v>
      </c>
      <c r="U423" s="4">
        <v>73</v>
      </c>
      <c r="V423" s="4">
        <f>IF(ISERROR(VLOOKUP($S$423,'TAR FIN'!$A$1:$O$99,15,0)),0,VLOOKUP($S$423,'TAR FIN'!$A$1:$O$99,15,0))</f>
        <v>21.85</v>
      </c>
      <c r="W423" s="4">
        <f>IF(ISERROR(VLOOKUP($T$423,'TAR FIN'!$A$1:$O$99,15,0)),0,VLOOKUP($T$423,'TAR FIN'!$A$1:$O$99,15,0))</f>
        <v>97.61</v>
      </c>
      <c r="X423" s="4">
        <f>IF(ISERROR(VLOOKUP($U$423,'TAR FIN'!$A$1:$O$99,15,0)),0,VLOOKUP($U$423,'TAR FIN'!$A$1:$O$99,15,0))</f>
        <v>219.97</v>
      </c>
      <c r="Y423" s="4">
        <f ca="1">('TUSD BE'!$AM$14+'TUSD BF'!$AM$14+'TUSD CVA'!$AM$14)*1</f>
        <v>24.669398821277586</v>
      </c>
      <c r="Z423" s="4">
        <f ca="1">('TUSD BE'!$AM$15+'TUSD BF'!$AM$15+'TUSD CVA'!$AM$15)*1</f>
        <v>117.59114529324071</v>
      </c>
      <c r="AA423" s="4">
        <f>('TE BE'!$AA$8+'TE BF'!$AA$8+'TE CVA'!$AA$8)*1</f>
        <v>271.13910989737087</v>
      </c>
      <c r="AB423" s="4">
        <f>$K$423*$V$423</f>
        <v>132411</v>
      </c>
      <c r="AC423" s="4">
        <f>$M$423*$W$423</f>
        <v>179537.87979000001</v>
      </c>
      <c r="AD423" s="4">
        <f>$O$423*$X$423</f>
        <v>404599.39983000001</v>
      </c>
      <c r="AE423" s="4">
        <f ca="1">$K$423*$Y$423</f>
        <v>149496.55685694216</v>
      </c>
      <c r="AF423" s="4">
        <f ca="1">$M$423*$Z$423</f>
        <v>216289.97959252406</v>
      </c>
      <c r="AG423" s="4">
        <f>$O$423*$AA$423</f>
        <v>498716.73925952025</v>
      </c>
    </row>
    <row r="424" spans="1:33" ht="11.25" customHeight="1" x14ac:dyDescent="0.25">
      <c r="A424" s="3" t="s">
        <v>56</v>
      </c>
      <c r="B424" s="3" t="s">
        <v>33</v>
      </c>
      <c r="C424" s="3" t="s">
        <v>42</v>
      </c>
      <c r="D424" s="3" t="s">
        <v>43</v>
      </c>
      <c r="E424" s="3" t="s">
        <v>25</v>
      </c>
      <c r="F424" s="3" t="s">
        <v>25</v>
      </c>
      <c r="G424" s="3" t="s">
        <v>25</v>
      </c>
      <c r="H424" s="3" t="s">
        <v>36</v>
      </c>
      <c r="I424" s="6">
        <v>44652</v>
      </c>
      <c r="J424" s="4">
        <v>77</v>
      </c>
      <c r="K424" s="4">
        <v>77</v>
      </c>
      <c r="L424" s="4">
        <v>17.690000000000001</v>
      </c>
      <c r="M424" s="4">
        <v>17.690000000000001</v>
      </c>
      <c r="N424" s="4">
        <v>17.690000000000001</v>
      </c>
      <c r="O424" s="4">
        <v>17.690000000000001</v>
      </c>
      <c r="P424" s="4">
        <v>0</v>
      </c>
      <c r="Q424" s="3" t="s">
        <v>26</v>
      </c>
      <c r="R424" s="3">
        <v>0</v>
      </c>
      <c r="S424" s="4">
        <v>87</v>
      </c>
      <c r="T424" s="4">
        <v>88</v>
      </c>
      <c r="U424" s="4">
        <v>73</v>
      </c>
      <c r="V424" s="4">
        <f>IF(ISERROR(VLOOKUP($S$424,'TAR FIN'!$A$1:$O$99,15,0)),0,VLOOKUP($S$424,'TAR FIN'!$A$1:$O$99,15,0))</f>
        <v>21.85</v>
      </c>
      <c r="W424" s="4">
        <f>IF(ISERROR(VLOOKUP($T$424,'TAR FIN'!$A$1:$O$99,15,0)),0,VLOOKUP($T$424,'TAR FIN'!$A$1:$O$99,15,0))</f>
        <v>97.61</v>
      </c>
      <c r="X424" s="4">
        <f>IF(ISERROR(VLOOKUP($U$424,'TAR FIN'!$A$1:$O$99,15,0)),0,VLOOKUP($U$424,'TAR FIN'!$A$1:$O$99,15,0))</f>
        <v>219.97</v>
      </c>
      <c r="Y424" s="4">
        <f ca="1">('TUSD BE'!$AM$14+'TUSD BF'!$AM$14+'TUSD CVA'!$AM$14)*1</f>
        <v>24.669398821277586</v>
      </c>
      <c r="Z424" s="4">
        <f ca="1">('TUSD BE'!$AM$15+'TUSD BF'!$AM$15+'TUSD CVA'!$AM$15)*1</f>
        <v>117.59114529324071</v>
      </c>
      <c r="AA424" s="4">
        <f>('TE BE'!$AA$8+'TE BF'!$AA$8+'TE CVA'!$AA$8)*1</f>
        <v>271.13910989737087</v>
      </c>
      <c r="AB424" s="4">
        <f>$K$424*$V$424</f>
        <v>1682.45</v>
      </c>
      <c r="AC424" s="4">
        <f>$M$424*$W$424</f>
        <v>1726.7209</v>
      </c>
      <c r="AD424" s="4">
        <f>$O$424*$X$424</f>
        <v>3891.2693000000004</v>
      </c>
      <c r="AE424" s="4">
        <f ca="1">$K$424*$Y$424</f>
        <v>1899.543709238374</v>
      </c>
      <c r="AF424" s="4">
        <f ca="1">$M$424*$Z$424</f>
        <v>2080.1873602374285</v>
      </c>
      <c r="AG424" s="4">
        <f>$O$424*$AA$424</f>
        <v>4796.4508540844909</v>
      </c>
    </row>
    <row r="425" spans="1:33" ht="11.25" customHeight="1" x14ac:dyDescent="0.25">
      <c r="A425" s="3" t="s">
        <v>21</v>
      </c>
      <c r="B425" s="3" t="s">
        <v>33</v>
      </c>
      <c r="C425" s="3" t="s">
        <v>42</v>
      </c>
      <c r="D425" s="3" t="s">
        <v>43</v>
      </c>
      <c r="E425" s="3" t="s">
        <v>25</v>
      </c>
      <c r="F425" s="3" t="s">
        <v>25</v>
      </c>
      <c r="G425" s="3" t="s">
        <v>25</v>
      </c>
      <c r="H425" s="3" t="s">
        <v>35</v>
      </c>
      <c r="I425" s="6">
        <v>44317</v>
      </c>
      <c r="J425" s="4">
        <v>8101</v>
      </c>
      <c r="K425" s="4">
        <v>8101</v>
      </c>
      <c r="L425" s="4">
        <v>269.06</v>
      </c>
      <c r="M425" s="4">
        <v>269.06</v>
      </c>
      <c r="N425" s="4">
        <v>269.06</v>
      </c>
      <c r="O425" s="4">
        <v>269.06</v>
      </c>
      <c r="P425" s="4">
        <v>0</v>
      </c>
      <c r="Q425" s="3" t="s">
        <v>26</v>
      </c>
      <c r="R425" s="3">
        <v>0</v>
      </c>
      <c r="S425" s="4">
        <v>91</v>
      </c>
      <c r="T425" s="4">
        <v>88</v>
      </c>
      <c r="U425" s="4">
        <v>72</v>
      </c>
      <c r="V425" s="4">
        <f>IF(ISERROR(VLOOKUP($S$425,'TAR FIN'!$A$1:$O$99,15,0)),0,VLOOKUP($S$425,'TAR FIN'!$A$1:$O$99,15,0))</f>
        <v>60.2</v>
      </c>
      <c r="W425" s="4">
        <f>IF(ISERROR(VLOOKUP($T$425,'TAR FIN'!$A$1:$O$99,15,0)),0,VLOOKUP($T$425,'TAR FIN'!$A$1:$O$99,15,0))</f>
        <v>97.61</v>
      </c>
      <c r="X425" s="4">
        <f>IF(ISERROR(VLOOKUP($U$425,'TAR FIN'!$A$1:$O$99,15,0)),0,VLOOKUP($U$425,'TAR FIN'!$A$1:$O$99,15,0))</f>
        <v>346.61</v>
      </c>
      <c r="Y425" s="4">
        <f ca="1">('TUSD BE'!$AM$13+'TUSD BF'!$AM$13+'TUSD CVA'!$AM$13)*1</f>
        <v>69.255133620748211</v>
      </c>
      <c r="Z425" s="4">
        <f ca="1">('TUSD BE'!$AM$15+'TUSD BF'!$AM$15+'TUSD CVA'!$AM$15)*1</f>
        <v>117.59114529324071</v>
      </c>
      <c r="AA425" s="4">
        <f>('TE BE'!$AA$7+'TE BF'!$AA$7+'TE CVA'!$AA$7)*1</f>
        <v>423.89652505413846</v>
      </c>
      <c r="AB425" s="4">
        <f>$K$425*$V$425</f>
        <v>487680.2</v>
      </c>
      <c r="AC425" s="4">
        <f>$M$425*$W$425</f>
        <v>26262.946599999999</v>
      </c>
      <c r="AD425" s="4">
        <f>$O$425*$X$425</f>
        <v>93258.886599999998</v>
      </c>
      <c r="AE425" s="4">
        <f ca="1">$K$425*$Y$425</f>
        <v>561035.83746168122</v>
      </c>
      <c r="AF425" s="4">
        <f ca="1">$M$425*$Z$425</f>
        <v>31639.073552599348</v>
      </c>
      <c r="AG425" s="4">
        <f>$O$425*$AA$425</f>
        <v>114053.59903106649</v>
      </c>
    </row>
    <row r="426" spans="1:33" ht="11.25" customHeight="1" x14ac:dyDescent="0.25">
      <c r="A426" s="3" t="s">
        <v>27</v>
      </c>
      <c r="B426" s="3" t="s">
        <v>33</v>
      </c>
      <c r="C426" s="3" t="s">
        <v>42</v>
      </c>
      <c r="D426" s="3" t="s">
        <v>43</v>
      </c>
      <c r="E426" s="3" t="s">
        <v>25</v>
      </c>
      <c r="F426" s="3" t="s">
        <v>25</v>
      </c>
      <c r="G426" s="3" t="s">
        <v>25</v>
      </c>
      <c r="H426" s="3" t="s">
        <v>35</v>
      </c>
      <c r="I426" s="6">
        <v>44317</v>
      </c>
      <c r="J426" s="4">
        <v>-43</v>
      </c>
      <c r="K426" s="4">
        <v>-43</v>
      </c>
      <c r="L426" s="4">
        <v>-1.3640000000000001</v>
      </c>
      <c r="M426" s="4">
        <v>-1.3640000000000001</v>
      </c>
      <c r="N426" s="4">
        <v>-1.3640000000000001</v>
      </c>
      <c r="O426" s="4">
        <v>-1.3640000000000001</v>
      </c>
      <c r="P426" s="4">
        <v>0</v>
      </c>
      <c r="Q426" s="3" t="s">
        <v>26</v>
      </c>
      <c r="R426" s="3">
        <v>0</v>
      </c>
      <c r="S426" s="4">
        <v>91</v>
      </c>
      <c r="T426" s="4">
        <v>88</v>
      </c>
      <c r="U426" s="4">
        <v>72</v>
      </c>
      <c r="V426" s="4">
        <f>IF(ISERROR(VLOOKUP($S$426,'TAR FIN'!$A$1:$O$99,15,0)),0,VLOOKUP($S$426,'TAR FIN'!$A$1:$O$99,15,0))</f>
        <v>60.2</v>
      </c>
      <c r="W426" s="4">
        <f>IF(ISERROR(VLOOKUP($T$426,'TAR FIN'!$A$1:$O$99,15,0)),0,VLOOKUP($T$426,'TAR FIN'!$A$1:$O$99,15,0))</f>
        <v>97.61</v>
      </c>
      <c r="X426" s="4">
        <f>IF(ISERROR(VLOOKUP($U$426,'TAR FIN'!$A$1:$O$99,15,0)),0,VLOOKUP($U$426,'TAR FIN'!$A$1:$O$99,15,0))</f>
        <v>346.61</v>
      </c>
      <c r="Y426" s="4">
        <f ca="1">('TUSD BE'!$AM$13+'TUSD BF'!$AM$13+'TUSD CVA'!$AM$13)*1</f>
        <v>69.255133620748211</v>
      </c>
      <c r="Z426" s="4">
        <f ca="1">('TUSD BE'!$AM$15+'TUSD BF'!$AM$15+'TUSD CVA'!$AM$15)*1</f>
        <v>117.59114529324071</v>
      </c>
      <c r="AA426" s="4">
        <f>('TE BE'!$AA$7+'TE BF'!$AA$7+'TE CVA'!$AA$7)*1</f>
        <v>423.89652505413846</v>
      </c>
      <c r="AB426" s="4">
        <f>$K$426*$V$426</f>
        <v>-2588.6</v>
      </c>
      <c r="AC426" s="4">
        <f>$M$426*$W$426</f>
        <v>-133.14004</v>
      </c>
      <c r="AD426" s="4">
        <f>$O$426*$X$426</f>
        <v>-472.77604000000008</v>
      </c>
      <c r="AE426" s="4">
        <f ca="1">$K$426*$Y$426</f>
        <v>-2977.9707456921733</v>
      </c>
      <c r="AF426" s="4">
        <f ca="1">$M$426*$Z$426</f>
        <v>-160.39432217998035</v>
      </c>
      <c r="AG426" s="4">
        <f>$O$426*$AA$426</f>
        <v>-578.19486017384486</v>
      </c>
    </row>
    <row r="427" spans="1:33" ht="11.25" customHeight="1" x14ac:dyDescent="0.25">
      <c r="A427" s="3" t="s">
        <v>28</v>
      </c>
      <c r="B427" s="3" t="s">
        <v>33</v>
      </c>
      <c r="C427" s="3" t="s">
        <v>42</v>
      </c>
      <c r="D427" s="3" t="s">
        <v>43</v>
      </c>
      <c r="E427" s="3" t="s">
        <v>25</v>
      </c>
      <c r="F427" s="3" t="s">
        <v>25</v>
      </c>
      <c r="G427" s="3" t="s">
        <v>25</v>
      </c>
      <c r="H427" s="3" t="s">
        <v>35</v>
      </c>
      <c r="I427" s="6">
        <v>44317</v>
      </c>
      <c r="J427" s="4">
        <v>90</v>
      </c>
      <c r="K427" s="4">
        <v>90</v>
      </c>
      <c r="L427" s="4">
        <v>3.44</v>
      </c>
      <c r="M427" s="4">
        <v>3.44</v>
      </c>
      <c r="N427" s="4">
        <v>3.44</v>
      </c>
      <c r="O427" s="4">
        <v>3.44</v>
      </c>
      <c r="P427" s="4">
        <v>0</v>
      </c>
      <c r="Q427" s="3" t="s">
        <v>26</v>
      </c>
      <c r="R427" s="3">
        <v>0</v>
      </c>
      <c r="S427" s="4">
        <v>91</v>
      </c>
      <c r="T427" s="4">
        <v>88</v>
      </c>
      <c r="U427" s="4">
        <v>72</v>
      </c>
      <c r="V427" s="4">
        <f>IF(ISERROR(VLOOKUP($S$427,'TAR FIN'!$A$1:$O$99,15,0)),0,VLOOKUP($S$427,'TAR FIN'!$A$1:$O$99,15,0))</f>
        <v>60.2</v>
      </c>
      <c r="W427" s="4">
        <f>IF(ISERROR(VLOOKUP($T$427,'TAR FIN'!$A$1:$O$99,15,0)),0,VLOOKUP($T$427,'TAR FIN'!$A$1:$O$99,15,0))</f>
        <v>97.61</v>
      </c>
      <c r="X427" s="4">
        <f>IF(ISERROR(VLOOKUP($U$427,'TAR FIN'!$A$1:$O$99,15,0)),0,VLOOKUP($U$427,'TAR FIN'!$A$1:$O$99,15,0))</f>
        <v>346.61</v>
      </c>
      <c r="Y427" s="4">
        <f ca="1">('TUSD BE'!$AM$13+'TUSD BF'!$AM$13+'TUSD CVA'!$AM$13)*1</f>
        <v>69.255133620748211</v>
      </c>
      <c r="Z427" s="4">
        <f ca="1">('TUSD BE'!$AM$15+'TUSD BF'!$AM$15+'TUSD CVA'!$AM$15)*1</f>
        <v>117.59114529324071</v>
      </c>
      <c r="AA427" s="4">
        <f>('TE BE'!$AA$7+'TE BF'!$AA$7+'TE CVA'!$AA$7)*1</f>
        <v>423.89652505413846</v>
      </c>
      <c r="AB427" s="4">
        <f>$K$427*$V$427</f>
        <v>5418</v>
      </c>
      <c r="AC427" s="4">
        <f>$M$427*$W$427</f>
        <v>335.77839999999998</v>
      </c>
      <c r="AD427" s="4">
        <f>$O$427*$X$427</f>
        <v>1192.3384000000001</v>
      </c>
      <c r="AE427" s="4">
        <f ca="1">$K$427*$Y$427</f>
        <v>6232.9620258673385</v>
      </c>
      <c r="AF427" s="4">
        <f ca="1">$M$427*$Z$427</f>
        <v>404.51353980874808</v>
      </c>
      <c r="AG427" s="4">
        <f>$O$427*$AA$427</f>
        <v>1458.2040461862364</v>
      </c>
    </row>
    <row r="428" spans="1:33" ht="11.25" customHeight="1" x14ac:dyDescent="0.25">
      <c r="A428" s="3" t="s">
        <v>28</v>
      </c>
      <c r="B428" s="3" t="s">
        <v>33</v>
      </c>
      <c r="C428" s="3" t="s">
        <v>42</v>
      </c>
      <c r="D428" s="3" t="s">
        <v>43</v>
      </c>
      <c r="E428" s="3" t="s">
        <v>25</v>
      </c>
      <c r="F428" s="3" t="s">
        <v>25</v>
      </c>
      <c r="G428" s="3" t="s">
        <v>25</v>
      </c>
      <c r="H428" s="3" t="s">
        <v>35</v>
      </c>
      <c r="I428" s="6">
        <v>44317</v>
      </c>
      <c r="J428" s="4">
        <v>-38</v>
      </c>
      <c r="K428" s="4">
        <v>-38</v>
      </c>
      <c r="L428" s="4">
        <v>-1.859</v>
      </c>
      <c r="M428" s="4">
        <v>-1.859</v>
      </c>
      <c r="N428" s="4">
        <v>-1.859</v>
      </c>
      <c r="O428" s="4">
        <v>-1.859</v>
      </c>
      <c r="P428" s="4">
        <v>0</v>
      </c>
      <c r="Q428" s="3" t="s">
        <v>26</v>
      </c>
      <c r="R428" s="3">
        <v>0</v>
      </c>
      <c r="S428" s="4">
        <v>91</v>
      </c>
      <c r="T428" s="4">
        <v>88</v>
      </c>
      <c r="U428" s="4">
        <v>72</v>
      </c>
      <c r="V428" s="4">
        <f>IF(ISERROR(VLOOKUP($S$428,'TAR FIN'!$A$1:$O$99,15,0)),0,VLOOKUP($S$428,'TAR FIN'!$A$1:$O$99,15,0))</f>
        <v>60.2</v>
      </c>
      <c r="W428" s="4">
        <f>IF(ISERROR(VLOOKUP($T$428,'TAR FIN'!$A$1:$O$99,15,0)),0,VLOOKUP($T$428,'TAR FIN'!$A$1:$O$99,15,0))</f>
        <v>97.61</v>
      </c>
      <c r="X428" s="4">
        <f>IF(ISERROR(VLOOKUP($U$428,'TAR FIN'!$A$1:$O$99,15,0)),0,VLOOKUP($U$428,'TAR FIN'!$A$1:$O$99,15,0))</f>
        <v>346.61</v>
      </c>
      <c r="Y428" s="4">
        <f ca="1">('TUSD BE'!$AM$13+'TUSD BF'!$AM$13+'TUSD CVA'!$AM$13)*1</f>
        <v>69.255133620748211</v>
      </c>
      <c r="Z428" s="4">
        <f ca="1">('TUSD BE'!$AM$15+'TUSD BF'!$AM$15+'TUSD CVA'!$AM$15)*1</f>
        <v>117.59114529324071</v>
      </c>
      <c r="AA428" s="4">
        <f>('TE BE'!$AA$7+'TE BF'!$AA$7+'TE CVA'!$AA$7)*1</f>
        <v>423.89652505413846</v>
      </c>
      <c r="AB428" s="4">
        <f>$K$428*$V$428</f>
        <v>-2287.6</v>
      </c>
      <c r="AC428" s="4">
        <f>$M$428*$W$428</f>
        <v>-181.45698999999999</v>
      </c>
      <c r="AD428" s="4">
        <f>$O$428*$X$428</f>
        <v>-644.34798999999998</v>
      </c>
      <c r="AE428" s="4">
        <f ca="1">$K$428*$Y$428</f>
        <v>-2631.695077588432</v>
      </c>
      <c r="AF428" s="4">
        <f ca="1">$M$428*$Z$428</f>
        <v>-218.60193910013447</v>
      </c>
      <c r="AG428" s="4">
        <f>$O$428*$AA$428</f>
        <v>-788.02364007564336</v>
      </c>
    </row>
    <row r="429" spans="1:33" ht="11.25" customHeight="1" x14ac:dyDescent="0.25">
      <c r="A429" s="3" t="s">
        <v>21</v>
      </c>
      <c r="B429" s="3" t="s">
        <v>33</v>
      </c>
      <c r="C429" s="3" t="s">
        <v>42</v>
      </c>
      <c r="D429" s="3" t="s">
        <v>43</v>
      </c>
      <c r="E429" s="3" t="s">
        <v>25</v>
      </c>
      <c r="F429" s="3" t="s">
        <v>25</v>
      </c>
      <c r="G429" s="3" t="s">
        <v>25</v>
      </c>
      <c r="H429" s="3" t="s">
        <v>35</v>
      </c>
      <c r="I429" s="6">
        <v>44348</v>
      </c>
      <c r="J429" s="4">
        <v>7913</v>
      </c>
      <c r="K429" s="4">
        <v>7913</v>
      </c>
      <c r="L429" s="4">
        <v>255.839</v>
      </c>
      <c r="M429" s="4">
        <v>255.839</v>
      </c>
      <c r="N429" s="4">
        <v>255.839</v>
      </c>
      <c r="O429" s="4">
        <v>255.839</v>
      </c>
      <c r="P429" s="4">
        <v>0</v>
      </c>
      <c r="Q429" s="3" t="s">
        <v>26</v>
      </c>
      <c r="R429" s="3">
        <v>0</v>
      </c>
      <c r="S429" s="4">
        <v>91</v>
      </c>
      <c r="T429" s="4">
        <v>88</v>
      </c>
      <c r="U429" s="4">
        <v>72</v>
      </c>
      <c r="V429" s="4">
        <f>IF(ISERROR(VLOOKUP($S$429,'TAR FIN'!$A$1:$O$99,15,0)),0,VLOOKUP($S$429,'TAR FIN'!$A$1:$O$99,15,0))</f>
        <v>60.2</v>
      </c>
      <c r="W429" s="4">
        <f>IF(ISERROR(VLOOKUP($T$429,'TAR FIN'!$A$1:$O$99,15,0)),0,VLOOKUP($T$429,'TAR FIN'!$A$1:$O$99,15,0))</f>
        <v>97.61</v>
      </c>
      <c r="X429" s="4">
        <f>IF(ISERROR(VLOOKUP($U$429,'TAR FIN'!$A$1:$O$99,15,0)),0,VLOOKUP($U$429,'TAR FIN'!$A$1:$O$99,15,0))</f>
        <v>346.61</v>
      </c>
      <c r="Y429" s="4">
        <f ca="1">('TUSD BE'!$AM$13+'TUSD BF'!$AM$13+'TUSD CVA'!$AM$13)*1</f>
        <v>69.255133620748211</v>
      </c>
      <c r="Z429" s="4">
        <f ca="1">('TUSD BE'!$AM$15+'TUSD BF'!$AM$15+'TUSD CVA'!$AM$15)*1</f>
        <v>117.59114529324071</v>
      </c>
      <c r="AA429" s="4">
        <f>('TE BE'!$AA$7+'TE BF'!$AA$7+'TE CVA'!$AA$7)*1</f>
        <v>423.89652505413846</v>
      </c>
      <c r="AB429" s="4">
        <f>$K$429*$V$429</f>
        <v>476362.60000000003</v>
      </c>
      <c r="AC429" s="4">
        <f>$M$429*$W$429</f>
        <v>24972.444790000001</v>
      </c>
      <c r="AD429" s="4">
        <f>$O$429*$X$429</f>
        <v>88676.355790000001</v>
      </c>
      <c r="AE429" s="4">
        <f ca="1">$K$429*$Y$429</f>
        <v>548015.87234098057</v>
      </c>
      <c r="AF429" s="4">
        <f ca="1">$M$429*$Z$429</f>
        <v>30084.401020677411</v>
      </c>
      <c r="AG429" s="4">
        <f>$O$429*$AA$429</f>
        <v>108449.26307332572</v>
      </c>
    </row>
    <row r="430" spans="1:33" ht="11.25" customHeight="1" x14ac:dyDescent="0.25">
      <c r="A430" s="3" t="s">
        <v>28</v>
      </c>
      <c r="B430" s="3" t="s">
        <v>33</v>
      </c>
      <c r="C430" s="3" t="s">
        <v>42</v>
      </c>
      <c r="D430" s="3" t="s">
        <v>43</v>
      </c>
      <c r="E430" s="3" t="s">
        <v>25</v>
      </c>
      <c r="F430" s="3" t="s">
        <v>25</v>
      </c>
      <c r="G430" s="3" t="s">
        <v>25</v>
      </c>
      <c r="H430" s="3" t="s">
        <v>35</v>
      </c>
      <c r="I430" s="6">
        <v>44348</v>
      </c>
      <c r="J430" s="4">
        <v>90</v>
      </c>
      <c r="K430" s="4">
        <v>90</v>
      </c>
      <c r="L430" s="4">
        <v>3.048</v>
      </c>
      <c r="M430" s="4">
        <v>3.048</v>
      </c>
      <c r="N430" s="4">
        <v>3.048</v>
      </c>
      <c r="O430" s="4">
        <v>3.048</v>
      </c>
      <c r="P430" s="4">
        <v>0</v>
      </c>
      <c r="Q430" s="3" t="s">
        <v>26</v>
      </c>
      <c r="R430" s="3">
        <v>0</v>
      </c>
      <c r="S430" s="4">
        <v>91</v>
      </c>
      <c r="T430" s="4">
        <v>88</v>
      </c>
      <c r="U430" s="4">
        <v>72</v>
      </c>
      <c r="V430" s="4">
        <f>IF(ISERROR(VLOOKUP($S$430,'TAR FIN'!$A$1:$O$99,15,0)),0,VLOOKUP($S$430,'TAR FIN'!$A$1:$O$99,15,0))</f>
        <v>60.2</v>
      </c>
      <c r="W430" s="4">
        <f>IF(ISERROR(VLOOKUP($T$430,'TAR FIN'!$A$1:$O$99,15,0)),0,VLOOKUP($T$430,'TAR FIN'!$A$1:$O$99,15,0))</f>
        <v>97.61</v>
      </c>
      <c r="X430" s="4">
        <f>IF(ISERROR(VLOOKUP($U$430,'TAR FIN'!$A$1:$O$99,15,0)),0,VLOOKUP($U$430,'TAR FIN'!$A$1:$O$99,15,0))</f>
        <v>346.61</v>
      </c>
      <c r="Y430" s="4">
        <f ca="1">('TUSD BE'!$AM$13+'TUSD BF'!$AM$13+'TUSD CVA'!$AM$13)*1</f>
        <v>69.255133620748211</v>
      </c>
      <c r="Z430" s="4">
        <f ca="1">('TUSD BE'!$AM$15+'TUSD BF'!$AM$15+'TUSD CVA'!$AM$15)*1</f>
        <v>117.59114529324071</v>
      </c>
      <c r="AA430" s="4">
        <f>('TE BE'!$AA$7+'TE BF'!$AA$7+'TE CVA'!$AA$7)*1</f>
        <v>423.89652505413846</v>
      </c>
      <c r="AB430" s="4">
        <f>$K$430*$V$430</f>
        <v>5418</v>
      </c>
      <c r="AC430" s="4">
        <f>$M$430*$W$430</f>
        <v>297.51528000000002</v>
      </c>
      <c r="AD430" s="4">
        <f>$O$430*$X$430</f>
        <v>1056.4672800000001</v>
      </c>
      <c r="AE430" s="4">
        <f ca="1">$K$430*$Y$430</f>
        <v>6232.9620258673385</v>
      </c>
      <c r="AF430" s="4">
        <f ca="1">$M$430*$Z$430</f>
        <v>358.41781085379768</v>
      </c>
      <c r="AG430" s="4">
        <f>$O$430*$AA$430</f>
        <v>1292.036608365014</v>
      </c>
    </row>
    <row r="431" spans="1:33" ht="11.25" customHeight="1" x14ac:dyDescent="0.25">
      <c r="A431" s="3" t="s">
        <v>21</v>
      </c>
      <c r="B431" s="3" t="s">
        <v>33</v>
      </c>
      <c r="C431" s="3" t="s">
        <v>42</v>
      </c>
      <c r="D431" s="3" t="s">
        <v>43</v>
      </c>
      <c r="E431" s="3" t="s">
        <v>25</v>
      </c>
      <c r="F431" s="3" t="s">
        <v>25</v>
      </c>
      <c r="G431" s="3" t="s">
        <v>25</v>
      </c>
      <c r="H431" s="3" t="s">
        <v>35</v>
      </c>
      <c r="I431" s="6">
        <v>44378</v>
      </c>
      <c r="J431" s="4">
        <v>8028</v>
      </c>
      <c r="K431" s="4">
        <v>8028</v>
      </c>
      <c r="L431" s="4">
        <v>314.69400000000002</v>
      </c>
      <c r="M431" s="4">
        <v>314.69400000000002</v>
      </c>
      <c r="N431" s="4">
        <v>314.69400000000002</v>
      </c>
      <c r="O431" s="4">
        <v>314.69400000000002</v>
      </c>
      <c r="P431" s="4">
        <v>0</v>
      </c>
      <c r="Q431" s="3" t="s">
        <v>26</v>
      </c>
      <c r="R431" s="3">
        <v>0</v>
      </c>
      <c r="S431" s="4">
        <v>91</v>
      </c>
      <c r="T431" s="4">
        <v>88</v>
      </c>
      <c r="U431" s="4">
        <v>72</v>
      </c>
      <c r="V431" s="4">
        <f>IF(ISERROR(VLOOKUP($S$431,'TAR FIN'!$A$1:$O$99,15,0)),0,VLOOKUP($S$431,'TAR FIN'!$A$1:$O$99,15,0))</f>
        <v>60.2</v>
      </c>
      <c r="W431" s="4">
        <f>IF(ISERROR(VLOOKUP($T$431,'TAR FIN'!$A$1:$O$99,15,0)),0,VLOOKUP($T$431,'TAR FIN'!$A$1:$O$99,15,0))</f>
        <v>97.61</v>
      </c>
      <c r="X431" s="4">
        <f>IF(ISERROR(VLOOKUP($U$431,'TAR FIN'!$A$1:$O$99,15,0)),0,VLOOKUP($U$431,'TAR FIN'!$A$1:$O$99,15,0))</f>
        <v>346.61</v>
      </c>
      <c r="Y431" s="4">
        <f ca="1">('TUSD BE'!$AM$13+'TUSD BF'!$AM$13+'TUSD CVA'!$AM$13)*1</f>
        <v>69.255133620748211</v>
      </c>
      <c r="Z431" s="4">
        <f ca="1">('TUSD BE'!$AM$15+'TUSD BF'!$AM$15+'TUSD CVA'!$AM$15)*1</f>
        <v>117.59114529324071</v>
      </c>
      <c r="AA431" s="4">
        <f>('TE BE'!$AA$7+'TE BF'!$AA$7+'TE CVA'!$AA$7)*1</f>
        <v>423.89652505413846</v>
      </c>
      <c r="AB431" s="4">
        <f>$K$431*$V$431</f>
        <v>483285.60000000003</v>
      </c>
      <c r="AC431" s="4">
        <f>$M$431*$W$431</f>
        <v>30717.281340000001</v>
      </c>
      <c r="AD431" s="4">
        <f>$O$431*$X$431</f>
        <v>109076.08734000001</v>
      </c>
      <c r="AE431" s="4">
        <f ca="1">$K$431*$Y$431</f>
        <v>555980.21270736668</v>
      </c>
      <c r="AF431" s="4">
        <f ca="1">$M$431*$Z$431</f>
        <v>37005.227876911093</v>
      </c>
      <c r="AG431" s="4">
        <f>$O$431*$AA$431</f>
        <v>133397.69305538706</v>
      </c>
    </row>
    <row r="432" spans="1:33" ht="11.25" customHeight="1" x14ac:dyDescent="0.25">
      <c r="A432" s="3" t="s">
        <v>28</v>
      </c>
      <c r="B432" s="3" t="s">
        <v>33</v>
      </c>
      <c r="C432" s="3" t="s">
        <v>42</v>
      </c>
      <c r="D432" s="3" t="s">
        <v>43</v>
      </c>
      <c r="E432" s="3" t="s">
        <v>25</v>
      </c>
      <c r="F432" s="3" t="s">
        <v>25</v>
      </c>
      <c r="G432" s="3" t="s">
        <v>25</v>
      </c>
      <c r="H432" s="3" t="s">
        <v>35</v>
      </c>
      <c r="I432" s="6">
        <v>44378</v>
      </c>
      <c r="J432" s="4">
        <v>90</v>
      </c>
      <c r="K432" s="4">
        <v>90</v>
      </c>
      <c r="L432" s="4">
        <v>3.0590000000000002</v>
      </c>
      <c r="M432" s="4">
        <v>3.0590000000000002</v>
      </c>
      <c r="N432" s="4">
        <v>3.0590000000000002</v>
      </c>
      <c r="O432" s="4">
        <v>3.0590000000000002</v>
      </c>
      <c r="P432" s="4">
        <v>0</v>
      </c>
      <c r="Q432" s="3" t="s">
        <v>26</v>
      </c>
      <c r="R432" s="3">
        <v>0</v>
      </c>
      <c r="S432" s="4">
        <v>91</v>
      </c>
      <c r="T432" s="4">
        <v>88</v>
      </c>
      <c r="U432" s="4">
        <v>72</v>
      </c>
      <c r="V432" s="4">
        <f>IF(ISERROR(VLOOKUP($S$432,'TAR FIN'!$A$1:$O$99,15,0)),0,VLOOKUP($S$432,'TAR FIN'!$A$1:$O$99,15,0))</f>
        <v>60.2</v>
      </c>
      <c r="W432" s="4">
        <f>IF(ISERROR(VLOOKUP($T$432,'TAR FIN'!$A$1:$O$99,15,0)),0,VLOOKUP($T$432,'TAR FIN'!$A$1:$O$99,15,0))</f>
        <v>97.61</v>
      </c>
      <c r="X432" s="4">
        <f>IF(ISERROR(VLOOKUP($U$432,'TAR FIN'!$A$1:$O$99,15,0)),0,VLOOKUP($U$432,'TAR FIN'!$A$1:$O$99,15,0))</f>
        <v>346.61</v>
      </c>
      <c r="Y432" s="4">
        <f ca="1">('TUSD BE'!$AM$13+'TUSD BF'!$AM$13+'TUSD CVA'!$AM$13)*1</f>
        <v>69.255133620748211</v>
      </c>
      <c r="Z432" s="4">
        <f ca="1">('TUSD BE'!$AM$15+'TUSD BF'!$AM$15+'TUSD CVA'!$AM$15)*1</f>
        <v>117.59114529324071</v>
      </c>
      <c r="AA432" s="4">
        <f>('TE BE'!$AA$7+'TE BF'!$AA$7+'TE CVA'!$AA$7)*1</f>
        <v>423.89652505413846</v>
      </c>
      <c r="AB432" s="4">
        <f>$K$432*$V$432</f>
        <v>5418</v>
      </c>
      <c r="AC432" s="4">
        <f>$M$432*$W$432</f>
        <v>298.58899000000002</v>
      </c>
      <c r="AD432" s="4">
        <f>$O$432*$X$432</f>
        <v>1060.27999</v>
      </c>
      <c r="AE432" s="4">
        <f ca="1">$K$432*$Y$432</f>
        <v>6232.9620258673385</v>
      </c>
      <c r="AF432" s="4">
        <f ca="1">$M$432*$Z$432</f>
        <v>359.71131345202338</v>
      </c>
      <c r="AG432" s="4">
        <f>$O$432*$AA$432</f>
        <v>1296.6994701406097</v>
      </c>
    </row>
    <row r="433" spans="1:33" ht="11.25" customHeight="1" x14ac:dyDescent="0.25">
      <c r="A433" s="3" t="s">
        <v>21</v>
      </c>
      <c r="B433" s="3" t="s">
        <v>33</v>
      </c>
      <c r="C433" s="3" t="s">
        <v>42</v>
      </c>
      <c r="D433" s="3" t="s">
        <v>43</v>
      </c>
      <c r="E433" s="3" t="s">
        <v>25</v>
      </c>
      <c r="F433" s="3" t="s">
        <v>25</v>
      </c>
      <c r="G433" s="3" t="s">
        <v>25</v>
      </c>
      <c r="H433" s="3" t="s">
        <v>35</v>
      </c>
      <c r="I433" s="6">
        <v>44409</v>
      </c>
      <c r="J433" s="4">
        <v>7513</v>
      </c>
      <c r="K433" s="4">
        <v>7513</v>
      </c>
      <c r="L433" s="4">
        <v>265.96899999999999</v>
      </c>
      <c r="M433" s="4">
        <v>265.96899999999999</v>
      </c>
      <c r="N433" s="4">
        <v>265.96899999999999</v>
      </c>
      <c r="O433" s="4">
        <v>265.96899999999999</v>
      </c>
      <c r="P433" s="4">
        <v>0</v>
      </c>
      <c r="Q433" s="3" t="s">
        <v>26</v>
      </c>
      <c r="R433" s="3">
        <v>0</v>
      </c>
      <c r="S433" s="4">
        <v>91</v>
      </c>
      <c r="T433" s="4">
        <v>88</v>
      </c>
      <c r="U433" s="4">
        <v>72</v>
      </c>
      <c r="V433" s="4">
        <f>IF(ISERROR(VLOOKUP($S$433,'TAR FIN'!$A$1:$O$99,15,0)),0,VLOOKUP($S$433,'TAR FIN'!$A$1:$O$99,15,0))</f>
        <v>60.2</v>
      </c>
      <c r="W433" s="4">
        <f>IF(ISERROR(VLOOKUP($T$433,'TAR FIN'!$A$1:$O$99,15,0)),0,VLOOKUP($T$433,'TAR FIN'!$A$1:$O$99,15,0))</f>
        <v>97.61</v>
      </c>
      <c r="X433" s="4">
        <f>IF(ISERROR(VLOOKUP($U$433,'TAR FIN'!$A$1:$O$99,15,0)),0,VLOOKUP($U$433,'TAR FIN'!$A$1:$O$99,15,0))</f>
        <v>346.61</v>
      </c>
      <c r="Y433" s="4">
        <f ca="1">('TUSD BE'!$AM$13+'TUSD BF'!$AM$13+'TUSD CVA'!$AM$13)*1</f>
        <v>69.255133620748211</v>
      </c>
      <c r="Z433" s="4">
        <f ca="1">('TUSD BE'!$AM$15+'TUSD BF'!$AM$15+'TUSD CVA'!$AM$15)*1</f>
        <v>117.59114529324071</v>
      </c>
      <c r="AA433" s="4">
        <f>('TE BE'!$AA$7+'TE BF'!$AA$7+'TE CVA'!$AA$7)*1</f>
        <v>423.89652505413846</v>
      </c>
      <c r="AB433" s="4">
        <f>$K$433*$V$433</f>
        <v>452282.60000000003</v>
      </c>
      <c r="AC433" s="4">
        <f>$M$433*$W$433</f>
        <v>25961.234089999998</v>
      </c>
      <c r="AD433" s="4">
        <f>$O$433*$X$433</f>
        <v>92187.515090000001</v>
      </c>
      <c r="AE433" s="4">
        <f ca="1">$K$433*$Y$433</f>
        <v>520313.81889268133</v>
      </c>
      <c r="AF433" s="4">
        <f ca="1">$M$433*$Z$433</f>
        <v>31275.599322497939</v>
      </c>
      <c r="AG433" s="4">
        <f>$O$433*$AA$433</f>
        <v>112743.33487212415</v>
      </c>
    </row>
    <row r="434" spans="1:33" ht="11.25" customHeight="1" x14ac:dyDescent="0.25">
      <c r="A434" s="3" t="s">
        <v>28</v>
      </c>
      <c r="B434" s="3" t="s">
        <v>33</v>
      </c>
      <c r="C434" s="3" t="s">
        <v>42</v>
      </c>
      <c r="D434" s="3" t="s">
        <v>43</v>
      </c>
      <c r="E434" s="3" t="s">
        <v>25</v>
      </c>
      <c r="F434" s="3" t="s">
        <v>25</v>
      </c>
      <c r="G434" s="3" t="s">
        <v>25</v>
      </c>
      <c r="H434" s="3" t="s">
        <v>35</v>
      </c>
      <c r="I434" s="6">
        <v>44409</v>
      </c>
      <c r="J434" s="4">
        <v>82</v>
      </c>
      <c r="K434" s="4">
        <v>82</v>
      </c>
      <c r="L434" s="4">
        <v>3.226</v>
      </c>
      <c r="M434" s="4">
        <v>3.226</v>
      </c>
      <c r="N434" s="4">
        <v>3.226</v>
      </c>
      <c r="O434" s="4">
        <v>3.226</v>
      </c>
      <c r="P434" s="4">
        <v>0</v>
      </c>
      <c r="Q434" s="3" t="s">
        <v>26</v>
      </c>
      <c r="R434" s="3">
        <v>0</v>
      </c>
      <c r="S434" s="4">
        <v>91</v>
      </c>
      <c r="T434" s="4">
        <v>88</v>
      </c>
      <c r="U434" s="4">
        <v>72</v>
      </c>
      <c r="V434" s="4">
        <f>IF(ISERROR(VLOOKUP($S$434,'TAR FIN'!$A$1:$O$99,15,0)),0,VLOOKUP($S$434,'TAR FIN'!$A$1:$O$99,15,0))</f>
        <v>60.2</v>
      </c>
      <c r="W434" s="4">
        <f>IF(ISERROR(VLOOKUP($T$434,'TAR FIN'!$A$1:$O$99,15,0)),0,VLOOKUP($T$434,'TAR FIN'!$A$1:$O$99,15,0))</f>
        <v>97.61</v>
      </c>
      <c r="X434" s="4">
        <f>IF(ISERROR(VLOOKUP($U$434,'TAR FIN'!$A$1:$O$99,15,0)),0,VLOOKUP($U$434,'TAR FIN'!$A$1:$O$99,15,0))</f>
        <v>346.61</v>
      </c>
      <c r="Y434" s="4">
        <f ca="1">('TUSD BE'!$AM$13+'TUSD BF'!$AM$13+'TUSD CVA'!$AM$13)*1</f>
        <v>69.255133620748211</v>
      </c>
      <c r="Z434" s="4">
        <f ca="1">('TUSD BE'!$AM$15+'TUSD BF'!$AM$15+'TUSD CVA'!$AM$15)*1</f>
        <v>117.59114529324071</v>
      </c>
      <c r="AA434" s="4">
        <f>('TE BE'!$AA$7+'TE BF'!$AA$7+'TE CVA'!$AA$7)*1</f>
        <v>423.89652505413846</v>
      </c>
      <c r="AB434" s="4">
        <f>$K$434*$V$434</f>
        <v>4936.4000000000005</v>
      </c>
      <c r="AC434" s="4">
        <f>$M$434*$W$434</f>
        <v>314.88986</v>
      </c>
      <c r="AD434" s="4">
        <f>$O$434*$X$434</f>
        <v>1118.1638600000001</v>
      </c>
      <c r="AE434" s="4">
        <f ca="1">$K$434*$Y$434</f>
        <v>5678.9209569013528</v>
      </c>
      <c r="AF434" s="4">
        <f ca="1">$M$434*$Z$434</f>
        <v>379.34903471599455</v>
      </c>
      <c r="AG434" s="4">
        <f>$O$434*$AA$434</f>
        <v>1367.4901898246508</v>
      </c>
    </row>
    <row r="435" spans="1:33" ht="11.25" customHeight="1" x14ac:dyDescent="0.25">
      <c r="A435" s="3" t="s">
        <v>21</v>
      </c>
      <c r="B435" s="3" t="s">
        <v>33</v>
      </c>
      <c r="C435" s="3" t="s">
        <v>42</v>
      </c>
      <c r="D435" s="3" t="s">
        <v>43</v>
      </c>
      <c r="E435" s="3" t="s">
        <v>25</v>
      </c>
      <c r="F435" s="3" t="s">
        <v>25</v>
      </c>
      <c r="G435" s="3" t="s">
        <v>25</v>
      </c>
      <c r="H435" s="3" t="s">
        <v>35</v>
      </c>
      <c r="I435" s="6">
        <v>44440</v>
      </c>
      <c r="J435" s="4">
        <v>8153</v>
      </c>
      <c r="K435" s="4">
        <v>8153</v>
      </c>
      <c r="L435" s="4">
        <v>294.86799999999999</v>
      </c>
      <c r="M435" s="4">
        <v>294.86799999999999</v>
      </c>
      <c r="N435" s="4">
        <v>294.86799999999999</v>
      </c>
      <c r="O435" s="4">
        <v>294.86799999999999</v>
      </c>
      <c r="P435" s="4">
        <v>0</v>
      </c>
      <c r="Q435" s="3" t="s">
        <v>26</v>
      </c>
      <c r="R435" s="3">
        <v>0</v>
      </c>
      <c r="S435" s="4">
        <v>91</v>
      </c>
      <c r="T435" s="4">
        <v>88</v>
      </c>
      <c r="U435" s="4">
        <v>72</v>
      </c>
      <c r="V435" s="4">
        <f>IF(ISERROR(VLOOKUP($S$435,'TAR FIN'!$A$1:$O$99,15,0)),0,VLOOKUP($S$435,'TAR FIN'!$A$1:$O$99,15,0))</f>
        <v>60.2</v>
      </c>
      <c r="W435" s="4">
        <f>IF(ISERROR(VLOOKUP($T$435,'TAR FIN'!$A$1:$O$99,15,0)),0,VLOOKUP($T$435,'TAR FIN'!$A$1:$O$99,15,0))</f>
        <v>97.61</v>
      </c>
      <c r="X435" s="4">
        <f>IF(ISERROR(VLOOKUP($U$435,'TAR FIN'!$A$1:$O$99,15,0)),0,VLOOKUP($U$435,'TAR FIN'!$A$1:$O$99,15,0))</f>
        <v>346.61</v>
      </c>
      <c r="Y435" s="4">
        <f ca="1">('TUSD BE'!$AM$13+'TUSD BF'!$AM$13+'TUSD CVA'!$AM$13)*1</f>
        <v>69.255133620748211</v>
      </c>
      <c r="Z435" s="4">
        <f ca="1">('TUSD BE'!$AM$15+'TUSD BF'!$AM$15+'TUSD CVA'!$AM$15)*1</f>
        <v>117.59114529324071</v>
      </c>
      <c r="AA435" s="4">
        <f>('TE BE'!$AA$7+'TE BF'!$AA$7+'TE CVA'!$AA$7)*1</f>
        <v>423.89652505413846</v>
      </c>
      <c r="AB435" s="4">
        <f>$K$435*$V$435</f>
        <v>490810.60000000003</v>
      </c>
      <c r="AC435" s="4">
        <f>$M$435*$W$435</f>
        <v>28782.065480000001</v>
      </c>
      <c r="AD435" s="4">
        <f>$O$435*$X$435</f>
        <v>102204.19748</v>
      </c>
      <c r="AE435" s="4">
        <f ca="1">$K$435*$Y$435</f>
        <v>564637.10440996021</v>
      </c>
      <c r="AF435" s="4">
        <f ca="1">$M$435*$Z$435</f>
        <v>34673.865830327304</v>
      </c>
      <c r="AG435" s="4">
        <f>$O$435*$AA$435</f>
        <v>124993.52054966369</v>
      </c>
    </row>
    <row r="436" spans="1:33" ht="11.25" customHeight="1" x14ac:dyDescent="0.25">
      <c r="A436" s="3" t="s">
        <v>27</v>
      </c>
      <c r="B436" s="3" t="s">
        <v>33</v>
      </c>
      <c r="C436" s="3" t="s">
        <v>42</v>
      </c>
      <c r="D436" s="3" t="s">
        <v>43</v>
      </c>
      <c r="E436" s="3" t="s">
        <v>25</v>
      </c>
      <c r="F436" s="3" t="s">
        <v>25</v>
      </c>
      <c r="G436" s="3" t="s">
        <v>25</v>
      </c>
      <c r="H436" s="3" t="s">
        <v>35</v>
      </c>
      <c r="I436" s="6">
        <v>44440</v>
      </c>
      <c r="J436" s="4">
        <v>210</v>
      </c>
      <c r="K436" s="4">
        <v>210</v>
      </c>
      <c r="L436" s="4">
        <v>7.47</v>
      </c>
      <c r="M436" s="4">
        <v>7.47</v>
      </c>
      <c r="N436" s="4">
        <v>7.47</v>
      </c>
      <c r="O436" s="4">
        <v>7.47</v>
      </c>
      <c r="P436" s="4">
        <v>0</v>
      </c>
      <c r="Q436" s="3" t="s">
        <v>26</v>
      </c>
      <c r="R436" s="3">
        <v>0</v>
      </c>
      <c r="S436" s="4">
        <v>91</v>
      </c>
      <c r="T436" s="4">
        <v>88</v>
      </c>
      <c r="U436" s="4">
        <v>72</v>
      </c>
      <c r="V436" s="4">
        <f>IF(ISERROR(VLOOKUP($S$436,'TAR FIN'!$A$1:$O$99,15,0)),0,VLOOKUP($S$436,'TAR FIN'!$A$1:$O$99,15,0))</f>
        <v>60.2</v>
      </c>
      <c r="W436" s="4">
        <f>IF(ISERROR(VLOOKUP($T$436,'TAR FIN'!$A$1:$O$99,15,0)),0,VLOOKUP($T$436,'TAR FIN'!$A$1:$O$99,15,0))</f>
        <v>97.61</v>
      </c>
      <c r="X436" s="4">
        <f>IF(ISERROR(VLOOKUP($U$436,'TAR FIN'!$A$1:$O$99,15,0)),0,VLOOKUP($U$436,'TAR FIN'!$A$1:$O$99,15,0))</f>
        <v>346.61</v>
      </c>
      <c r="Y436" s="4">
        <f ca="1">('TUSD BE'!$AM$13+'TUSD BF'!$AM$13+'TUSD CVA'!$AM$13)*1</f>
        <v>69.255133620748211</v>
      </c>
      <c r="Z436" s="4">
        <f ca="1">('TUSD BE'!$AM$15+'TUSD BF'!$AM$15+'TUSD CVA'!$AM$15)*1</f>
        <v>117.59114529324071</v>
      </c>
      <c r="AA436" s="4">
        <f>('TE BE'!$AA$7+'TE BF'!$AA$7+'TE CVA'!$AA$7)*1</f>
        <v>423.89652505413846</v>
      </c>
      <c r="AB436" s="4">
        <f>$K$436*$V$436</f>
        <v>12642</v>
      </c>
      <c r="AC436" s="4">
        <f>$M$436*$W$436</f>
        <v>729.14670000000001</v>
      </c>
      <c r="AD436" s="4">
        <f>$O$436*$X$436</f>
        <v>2589.1767</v>
      </c>
      <c r="AE436" s="4">
        <f ca="1">$K$436*$Y$436</f>
        <v>14543.578060357124</v>
      </c>
      <c r="AF436" s="4">
        <f ca="1">$M$436*$Z$436</f>
        <v>878.40585534050808</v>
      </c>
      <c r="AG436" s="4">
        <f>$O$436*$AA$436</f>
        <v>3166.5070421544142</v>
      </c>
    </row>
    <row r="437" spans="1:33" ht="11.25" customHeight="1" x14ac:dyDescent="0.25">
      <c r="A437" s="3" t="s">
        <v>28</v>
      </c>
      <c r="B437" s="3" t="s">
        <v>33</v>
      </c>
      <c r="C437" s="3" t="s">
        <v>42</v>
      </c>
      <c r="D437" s="3" t="s">
        <v>43</v>
      </c>
      <c r="E437" s="3" t="s">
        <v>25</v>
      </c>
      <c r="F437" s="3" t="s">
        <v>25</v>
      </c>
      <c r="G437" s="3" t="s">
        <v>25</v>
      </c>
      <c r="H437" s="3" t="s">
        <v>35</v>
      </c>
      <c r="I437" s="6">
        <v>44440</v>
      </c>
      <c r="J437" s="4">
        <v>82</v>
      </c>
      <c r="K437" s="4">
        <v>82</v>
      </c>
      <c r="L437" s="4">
        <v>3.109</v>
      </c>
      <c r="M437" s="4">
        <v>3.109</v>
      </c>
      <c r="N437" s="4">
        <v>3.109</v>
      </c>
      <c r="O437" s="4">
        <v>3.109</v>
      </c>
      <c r="P437" s="4">
        <v>0</v>
      </c>
      <c r="Q437" s="3" t="s">
        <v>26</v>
      </c>
      <c r="R437" s="3">
        <v>0</v>
      </c>
      <c r="S437" s="4">
        <v>91</v>
      </c>
      <c r="T437" s="4">
        <v>88</v>
      </c>
      <c r="U437" s="4">
        <v>72</v>
      </c>
      <c r="V437" s="4">
        <f>IF(ISERROR(VLOOKUP($S$437,'TAR FIN'!$A$1:$O$99,15,0)),0,VLOOKUP($S$437,'TAR FIN'!$A$1:$O$99,15,0))</f>
        <v>60.2</v>
      </c>
      <c r="W437" s="4">
        <f>IF(ISERROR(VLOOKUP($T$437,'TAR FIN'!$A$1:$O$99,15,0)),0,VLOOKUP($T$437,'TAR FIN'!$A$1:$O$99,15,0))</f>
        <v>97.61</v>
      </c>
      <c r="X437" s="4">
        <f>IF(ISERROR(VLOOKUP($U$437,'TAR FIN'!$A$1:$O$99,15,0)),0,VLOOKUP($U$437,'TAR FIN'!$A$1:$O$99,15,0))</f>
        <v>346.61</v>
      </c>
      <c r="Y437" s="4">
        <f ca="1">('TUSD BE'!$AM$13+'TUSD BF'!$AM$13+'TUSD CVA'!$AM$13)*1</f>
        <v>69.255133620748211</v>
      </c>
      <c r="Z437" s="4">
        <f ca="1">('TUSD BE'!$AM$15+'TUSD BF'!$AM$15+'TUSD CVA'!$AM$15)*1</f>
        <v>117.59114529324071</v>
      </c>
      <c r="AA437" s="4">
        <f>('TE BE'!$AA$7+'TE BF'!$AA$7+'TE CVA'!$AA$7)*1</f>
        <v>423.89652505413846</v>
      </c>
      <c r="AB437" s="4">
        <f>$K$437*$V$437</f>
        <v>4936.4000000000005</v>
      </c>
      <c r="AC437" s="4">
        <f>$M$437*$W$437</f>
        <v>303.46949000000001</v>
      </c>
      <c r="AD437" s="4">
        <f>$O$437*$X$437</f>
        <v>1077.61049</v>
      </c>
      <c r="AE437" s="4">
        <f ca="1">$K$437*$Y$437</f>
        <v>5678.9209569013528</v>
      </c>
      <c r="AF437" s="4">
        <f ca="1">$M$437*$Z$437</f>
        <v>365.5908707166854</v>
      </c>
      <c r="AG437" s="4">
        <f>$O$437*$AA$437</f>
        <v>1317.8942963933164</v>
      </c>
    </row>
    <row r="438" spans="1:33" ht="11.25" customHeight="1" x14ac:dyDescent="0.25">
      <c r="A438" s="3" t="s">
        <v>21</v>
      </c>
      <c r="B438" s="3" t="s">
        <v>33</v>
      </c>
      <c r="C438" s="3" t="s">
        <v>42</v>
      </c>
      <c r="D438" s="3" t="s">
        <v>43</v>
      </c>
      <c r="E438" s="3" t="s">
        <v>25</v>
      </c>
      <c r="F438" s="3" t="s">
        <v>25</v>
      </c>
      <c r="G438" s="3" t="s">
        <v>25</v>
      </c>
      <c r="H438" s="3" t="s">
        <v>35</v>
      </c>
      <c r="I438" s="6">
        <v>44470</v>
      </c>
      <c r="J438" s="4">
        <v>7788</v>
      </c>
      <c r="K438" s="4">
        <v>7788</v>
      </c>
      <c r="L438" s="4">
        <v>287.26900000000001</v>
      </c>
      <c r="M438" s="4">
        <v>287.26900000000001</v>
      </c>
      <c r="N438" s="4">
        <v>287.26900000000001</v>
      </c>
      <c r="O438" s="4">
        <v>287.26900000000001</v>
      </c>
      <c r="P438" s="4">
        <v>0</v>
      </c>
      <c r="Q438" s="3" t="s">
        <v>26</v>
      </c>
      <c r="R438" s="3">
        <v>0</v>
      </c>
      <c r="S438" s="4">
        <v>91</v>
      </c>
      <c r="T438" s="4">
        <v>88</v>
      </c>
      <c r="U438" s="4">
        <v>72</v>
      </c>
      <c r="V438" s="4">
        <f>IF(ISERROR(VLOOKUP($S$438,'TAR FIN'!$A$1:$O$99,15,0)),0,VLOOKUP($S$438,'TAR FIN'!$A$1:$O$99,15,0))</f>
        <v>60.2</v>
      </c>
      <c r="W438" s="4">
        <f>IF(ISERROR(VLOOKUP($T$438,'TAR FIN'!$A$1:$O$99,15,0)),0,VLOOKUP($T$438,'TAR FIN'!$A$1:$O$99,15,0))</f>
        <v>97.61</v>
      </c>
      <c r="X438" s="4">
        <f>IF(ISERROR(VLOOKUP($U$438,'TAR FIN'!$A$1:$O$99,15,0)),0,VLOOKUP($U$438,'TAR FIN'!$A$1:$O$99,15,0))</f>
        <v>346.61</v>
      </c>
      <c r="Y438" s="4">
        <f ca="1">('TUSD BE'!$AM$13+'TUSD BF'!$AM$13+'TUSD CVA'!$AM$13)*1</f>
        <v>69.255133620748211</v>
      </c>
      <c r="Z438" s="4">
        <f ca="1">('TUSD BE'!$AM$15+'TUSD BF'!$AM$15+'TUSD CVA'!$AM$15)*1</f>
        <v>117.59114529324071</v>
      </c>
      <c r="AA438" s="4">
        <f>('TE BE'!$AA$7+'TE BF'!$AA$7+'TE CVA'!$AA$7)*1</f>
        <v>423.89652505413846</v>
      </c>
      <c r="AB438" s="4">
        <f>$K$438*$V$438</f>
        <v>468837.60000000003</v>
      </c>
      <c r="AC438" s="4">
        <f>$M$438*$W$438</f>
        <v>28040.327089999999</v>
      </c>
      <c r="AD438" s="4">
        <f>$O$438*$X$438</f>
        <v>99570.308090000006</v>
      </c>
      <c r="AE438" s="4">
        <f ca="1">$K$438*$Y$438</f>
        <v>539358.98063838703</v>
      </c>
      <c r="AF438" s="4">
        <f ca="1">$M$438*$Z$438</f>
        <v>33780.290717243966</v>
      </c>
      <c r="AG438" s="4">
        <f>$O$438*$AA$438</f>
        <v>121772.3308557773</v>
      </c>
    </row>
    <row r="439" spans="1:33" ht="11.25" customHeight="1" x14ac:dyDescent="0.25">
      <c r="A439" s="3" t="s">
        <v>28</v>
      </c>
      <c r="B439" s="3" t="s">
        <v>33</v>
      </c>
      <c r="C439" s="3" t="s">
        <v>42</v>
      </c>
      <c r="D439" s="3" t="s">
        <v>43</v>
      </c>
      <c r="E439" s="3" t="s">
        <v>25</v>
      </c>
      <c r="F439" s="3" t="s">
        <v>25</v>
      </c>
      <c r="G439" s="3" t="s">
        <v>25</v>
      </c>
      <c r="H439" s="3" t="s">
        <v>35</v>
      </c>
      <c r="I439" s="6">
        <v>44470</v>
      </c>
      <c r="J439" s="4">
        <v>93</v>
      </c>
      <c r="K439" s="4">
        <v>93</v>
      </c>
      <c r="L439" s="4">
        <v>3.444</v>
      </c>
      <c r="M439" s="4">
        <v>3.444</v>
      </c>
      <c r="N439" s="4">
        <v>3.444</v>
      </c>
      <c r="O439" s="4">
        <v>3.444</v>
      </c>
      <c r="P439" s="4">
        <v>0</v>
      </c>
      <c r="Q439" s="3" t="s">
        <v>26</v>
      </c>
      <c r="R439" s="3">
        <v>0</v>
      </c>
      <c r="S439" s="4">
        <v>91</v>
      </c>
      <c r="T439" s="4">
        <v>88</v>
      </c>
      <c r="U439" s="4">
        <v>72</v>
      </c>
      <c r="V439" s="4">
        <f>IF(ISERROR(VLOOKUP($S$439,'TAR FIN'!$A$1:$O$99,15,0)),0,VLOOKUP($S$439,'TAR FIN'!$A$1:$O$99,15,0))</f>
        <v>60.2</v>
      </c>
      <c r="W439" s="4">
        <f>IF(ISERROR(VLOOKUP($T$439,'TAR FIN'!$A$1:$O$99,15,0)),0,VLOOKUP($T$439,'TAR FIN'!$A$1:$O$99,15,0))</f>
        <v>97.61</v>
      </c>
      <c r="X439" s="4">
        <f>IF(ISERROR(VLOOKUP($U$439,'TAR FIN'!$A$1:$O$99,15,0)),0,VLOOKUP($U$439,'TAR FIN'!$A$1:$O$99,15,0))</f>
        <v>346.61</v>
      </c>
      <c r="Y439" s="4">
        <f ca="1">('TUSD BE'!$AM$13+'TUSD BF'!$AM$13+'TUSD CVA'!$AM$13)*1</f>
        <v>69.255133620748211</v>
      </c>
      <c r="Z439" s="4">
        <f ca="1">('TUSD BE'!$AM$15+'TUSD BF'!$AM$15+'TUSD CVA'!$AM$15)*1</f>
        <v>117.59114529324071</v>
      </c>
      <c r="AA439" s="4">
        <f>('TE BE'!$AA$7+'TE BF'!$AA$7+'TE CVA'!$AA$7)*1</f>
        <v>423.89652505413846</v>
      </c>
      <c r="AB439" s="4">
        <f>$K$439*$V$439</f>
        <v>5598.6</v>
      </c>
      <c r="AC439" s="4">
        <f>$M$439*$W$439</f>
        <v>336.16883999999999</v>
      </c>
      <c r="AD439" s="4">
        <f>$O$439*$X$439</f>
        <v>1193.7248400000001</v>
      </c>
      <c r="AE439" s="4">
        <f ca="1">$K$439*$Y$439</f>
        <v>6440.7274267295834</v>
      </c>
      <c r="AF439" s="4">
        <f ca="1">$M$439*$Z$439</f>
        <v>404.98390438992101</v>
      </c>
      <c r="AG439" s="4">
        <f>$O$439*$AA$439</f>
        <v>1459.8996322864527</v>
      </c>
    </row>
    <row r="440" spans="1:33" ht="11.25" customHeight="1" x14ac:dyDescent="0.25">
      <c r="A440" s="3" t="s">
        <v>21</v>
      </c>
      <c r="B440" s="3" t="s">
        <v>33</v>
      </c>
      <c r="C440" s="3" t="s">
        <v>42</v>
      </c>
      <c r="D440" s="3" t="s">
        <v>43</v>
      </c>
      <c r="E440" s="3" t="s">
        <v>25</v>
      </c>
      <c r="F440" s="3" t="s">
        <v>25</v>
      </c>
      <c r="G440" s="3" t="s">
        <v>25</v>
      </c>
      <c r="H440" s="3" t="s">
        <v>35</v>
      </c>
      <c r="I440" s="6">
        <v>44501</v>
      </c>
      <c r="J440" s="4">
        <v>7184</v>
      </c>
      <c r="K440" s="4">
        <v>7184</v>
      </c>
      <c r="L440" s="4">
        <v>278.85700000000003</v>
      </c>
      <c r="M440" s="4">
        <v>278.85700000000003</v>
      </c>
      <c r="N440" s="4">
        <v>278.85700000000003</v>
      </c>
      <c r="O440" s="4">
        <v>278.85700000000003</v>
      </c>
      <c r="P440" s="4">
        <v>0</v>
      </c>
      <c r="Q440" s="3" t="s">
        <v>26</v>
      </c>
      <c r="R440" s="3">
        <v>0</v>
      </c>
      <c r="S440" s="4">
        <v>91</v>
      </c>
      <c r="T440" s="4">
        <v>88</v>
      </c>
      <c r="U440" s="4">
        <v>72</v>
      </c>
      <c r="V440" s="4">
        <f>IF(ISERROR(VLOOKUP($S$440,'TAR FIN'!$A$1:$O$99,15,0)),0,VLOOKUP($S$440,'TAR FIN'!$A$1:$O$99,15,0))</f>
        <v>60.2</v>
      </c>
      <c r="W440" s="4">
        <f>IF(ISERROR(VLOOKUP($T$440,'TAR FIN'!$A$1:$O$99,15,0)),0,VLOOKUP($T$440,'TAR FIN'!$A$1:$O$99,15,0))</f>
        <v>97.61</v>
      </c>
      <c r="X440" s="4">
        <f>IF(ISERROR(VLOOKUP($U$440,'TAR FIN'!$A$1:$O$99,15,0)),0,VLOOKUP($U$440,'TAR FIN'!$A$1:$O$99,15,0))</f>
        <v>346.61</v>
      </c>
      <c r="Y440" s="4">
        <f ca="1">('TUSD BE'!$AM$13+'TUSD BF'!$AM$13+'TUSD CVA'!$AM$13)*1</f>
        <v>69.255133620748211</v>
      </c>
      <c r="Z440" s="4">
        <f ca="1">('TUSD BE'!$AM$15+'TUSD BF'!$AM$15+'TUSD CVA'!$AM$15)*1</f>
        <v>117.59114529324071</v>
      </c>
      <c r="AA440" s="4">
        <f>('TE BE'!$AA$7+'TE BF'!$AA$7+'TE CVA'!$AA$7)*1</f>
        <v>423.89652505413846</v>
      </c>
      <c r="AB440" s="4">
        <f>$K$440*$V$440</f>
        <v>432476.80000000005</v>
      </c>
      <c r="AC440" s="4">
        <f>$M$440*$W$440</f>
        <v>27219.231770000002</v>
      </c>
      <c r="AD440" s="4">
        <f>$O$440*$X$440</f>
        <v>96654.624770000009</v>
      </c>
      <c r="AE440" s="4">
        <f ca="1">$K$440*$Y$440</f>
        <v>497528.87993145513</v>
      </c>
      <c r="AF440" s="4">
        <f ca="1">$M$440*$Z$440</f>
        <v>32791.114003037226</v>
      </c>
      <c r="AG440" s="4">
        <f>$O$440*$AA$440</f>
        <v>118206.51328702189</v>
      </c>
    </row>
    <row r="441" spans="1:33" ht="11.25" customHeight="1" x14ac:dyDescent="0.25">
      <c r="A441" s="3" t="s">
        <v>27</v>
      </c>
      <c r="B441" s="3" t="s">
        <v>33</v>
      </c>
      <c r="C441" s="3" t="s">
        <v>42</v>
      </c>
      <c r="D441" s="3" t="s">
        <v>43</v>
      </c>
      <c r="E441" s="3" t="s">
        <v>25</v>
      </c>
      <c r="F441" s="3" t="s">
        <v>25</v>
      </c>
      <c r="G441" s="3" t="s">
        <v>25</v>
      </c>
      <c r="H441" s="3" t="s">
        <v>35</v>
      </c>
      <c r="I441" s="6">
        <v>44501</v>
      </c>
      <c r="J441" s="4">
        <v>10</v>
      </c>
      <c r="K441" s="4">
        <v>10</v>
      </c>
      <c r="L441" s="4">
        <v>-1.0999999999999999E-2</v>
      </c>
      <c r="M441" s="4">
        <v>-1.0999999999999999E-2</v>
      </c>
      <c r="N441" s="4">
        <v>-1.0999999999999999E-2</v>
      </c>
      <c r="O441" s="4">
        <v>-1.0999999999999999E-2</v>
      </c>
      <c r="P441" s="4">
        <v>0</v>
      </c>
      <c r="Q441" s="3" t="s">
        <v>26</v>
      </c>
      <c r="R441" s="3">
        <v>0</v>
      </c>
      <c r="S441" s="4">
        <v>91</v>
      </c>
      <c r="T441" s="4">
        <v>88</v>
      </c>
      <c r="U441" s="4">
        <v>72</v>
      </c>
      <c r="V441" s="4">
        <f>IF(ISERROR(VLOOKUP($S$441,'TAR FIN'!$A$1:$O$99,15,0)),0,VLOOKUP($S$441,'TAR FIN'!$A$1:$O$99,15,0))</f>
        <v>60.2</v>
      </c>
      <c r="W441" s="4">
        <f>IF(ISERROR(VLOOKUP($T$441,'TAR FIN'!$A$1:$O$99,15,0)),0,VLOOKUP($T$441,'TAR FIN'!$A$1:$O$99,15,0))</f>
        <v>97.61</v>
      </c>
      <c r="X441" s="4">
        <f>IF(ISERROR(VLOOKUP($U$441,'TAR FIN'!$A$1:$O$99,15,0)),0,VLOOKUP($U$441,'TAR FIN'!$A$1:$O$99,15,0))</f>
        <v>346.61</v>
      </c>
      <c r="Y441" s="4">
        <f ca="1">('TUSD BE'!$AM$13+'TUSD BF'!$AM$13+'TUSD CVA'!$AM$13)*1</f>
        <v>69.255133620748211</v>
      </c>
      <c r="Z441" s="4">
        <f ca="1">('TUSD BE'!$AM$15+'TUSD BF'!$AM$15+'TUSD CVA'!$AM$15)*1</f>
        <v>117.59114529324071</v>
      </c>
      <c r="AA441" s="4">
        <f>('TE BE'!$AA$7+'TE BF'!$AA$7+'TE CVA'!$AA$7)*1</f>
        <v>423.89652505413846</v>
      </c>
      <c r="AB441" s="4">
        <f>$K$441*$V$441</f>
        <v>602</v>
      </c>
      <c r="AC441" s="4">
        <f>$M$441*$W$441</f>
        <v>-1.0737099999999999</v>
      </c>
      <c r="AD441" s="4">
        <f>$O$441*$X$441</f>
        <v>-3.81271</v>
      </c>
      <c r="AE441" s="4">
        <f ca="1">$K$441*$Y$441</f>
        <v>692.55133620748211</v>
      </c>
      <c r="AF441" s="4">
        <f ca="1">$M$441*$Z$441</f>
        <v>-1.2935025982256478</v>
      </c>
      <c r="AG441" s="4">
        <f>$O$441*$AA$441</f>
        <v>-4.6628617755955233</v>
      </c>
    </row>
    <row r="442" spans="1:33" ht="11.25" customHeight="1" x14ac:dyDescent="0.25">
      <c r="A442" s="3" t="s">
        <v>28</v>
      </c>
      <c r="B442" s="3" t="s">
        <v>33</v>
      </c>
      <c r="C442" s="3" t="s">
        <v>42</v>
      </c>
      <c r="D442" s="3" t="s">
        <v>43</v>
      </c>
      <c r="E442" s="3" t="s">
        <v>25</v>
      </c>
      <c r="F442" s="3" t="s">
        <v>25</v>
      </c>
      <c r="G442" s="3" t="s">
        <v>25</v>
      </c>
      <c r="H442" s="3" t="s">
        <v>35</v>
      </c>
      <c r="I442" s="6">
        <v>44501</v>
      </c>
      <c r="J442" s="4">
        <v>82</v>
      </c>
      <c r="K442" s="4">
        <v>82</v>
      </c>
      <c r="L442" s="4">
        <v>2.9860000000000002</v>
      </c>
      <c r="M442" s="4">
        <v>2.9860000000000002</v>
      </c>
      <c r="N442" s="4">
        <v>2.9860000000000002</v>
      </c>
      <c r="O442" s="4">
        <v>2.9860000000000002</v>
      </c>
      <c r="P442" s="4">
        <v>0</v>
      </c>
      <c r="Q442" s="3" t="s">
        <v>26</v>
      </c>
      <c r="R442" s="3">
        <v>0</v>
      </c>
      <c r="S442" s="4">
        <v>91</v>
      </c>
      <c r="T442" s="4">
        <v>88</v>
      </c>
      <c r="U442" s="4">
        <v>72</v>
      </c>
      <c r="V442" s="4">
        <f>IF(ISERROR(VLOOKUP($S$442,'TAR FIN'!$A$1:$O$99,15,0)),0,VLOOKUP($S$442,'TAR FIN'!$A$1:$O$99,15,0))</f>
        <v>60.2</v>
      </c>
      <c r="W442" s="4">
        <f>IF(ISERROR(VLOOKUP($T$442,'TAR FIN'!$A$1:$O$99,15,0)),0,VLOOKUP($T$442,'TAR FIN'!$A$1:$O$99,15,0))</f>
        <v>97.61</v>
      </c>
      <c r="X442" s="4">
        <f>IF(ISERROR(VLOOKUP($U$442,'TAR FIN'!$A$1:$O$99,15,0)),0,VLOOKUP($U$442,'TAR FIN'!$A$1:$O$99,15,0))</f>
        <v>346.61</v>
      </c>
      <c r="Y442" s="4">
        <f ca="1">('TUSD BE'!$AM$13+'TUSD BF'!$AM$13+'TUSD CVA'!$AM$13)*1</f>
        <v>69.255133620748211</v>
      </c>
      <c r="Z442" s="4">
        <f ca="1">('TUSD BE'!$AM$15+'TUSD BF'!$AM$15+'TUSD CVA'!$AM$15)*1</f>
        <v>117.59114529324071</v>
      </c>
      <c r="AA442" s="4">
        <f>('TE BE'!$AA$7+'TE BF'!$AA$7+'TE CVA'!$AA$7)*1</f>
        <v>423.89652505413846</v>
      </c>
      <c r="AB442" s="4">
        <f>$K$442*$V$442</f>
        <v>4936.4000000000005</v>
      </c>
      <c r="AC442" s="4">
        <f>$M$442*$W$442</f>
        <v>291.46346</v>
      </c>
      <c r="AD442" s="4">
        <f>$O$442*$X$442</f>
        <v>1034.9774600000001</v>
      </c>
      <c r="AE442" s="4">
        <f ca="1">$K$442*$Y$442</f>
        <v>5678.9209569013528</v>
      </c>
      <c r="AF442" s="4">
        <f ca="1">$M$442*$Z$442</f>
        <v>351.1271598456168</v>
      </c>
      <c r="AG442" s="4">
        <f>$O$442*$AA$442</f>
        <v>1265.7550238116576</v>
      </c>
    </row>
    <row r="443" spans="1:33" ht="11.25" customHeight="1" x14ac:dyDescent="0.25">
      <c r="A443" s="3" t="s">
        <v>21</v>
      </c>
      <c r="B443" s="3" t="s">
        <v>33</v>
      </c>
      <c r="C443" s="3" t="s">
        <v>42</v>
      </c>
      <c r="D443" s="3" t="s">
        <v>43</v>
      </c>
      <c r="E443" s="3" t="s">
        <v>25</v>
      </c>
      <c r="F443" s="3" t="s">
        <v>25</v>
      </c>
      <c r="G443" s="3" t="s">
        <v>25</v>
      </c>
      <c r="H443" s="3" t="s">
        <v>35</v>
      </c>
      <c r="I443" s="6">
        <v>44531</v>
      </c>
      <c r="J443" s="4">
        <v>6864</v>
      </c>
      <c r="K443" s="4">
        <v>6864</v>
      </c>
      <c r="L443" s="4">
        <v>293.11200000000002</v>
      </c>
      <c r="M443" s="4">
        <v>293.11200000000002</v>
      </c>
      <c r="N443" s="4">
        <v>293.11200000000002</v>
      </c>
      <c r="O443" s="4">
        <v>293.11200000000002</v>
      </c>
      <c r="P443" s="4">
        <v>0</v>
      </c>
      <c r="Q443" s="3" t="s">
        <v>26</v>
      </c>
      <c r="R443" s="3">
        <v>0</v>
      </c>
      <c r="S443" s="4">
        <v>91</v>
      </c>
      <c r="T443" s="4">
        <v>88</v>
      </c>
      <c r="U443" s="4">
        <v>72</v>
      </c>
      <c r="V443" s="4">
        <f>IF(ISERROR(VLOOKUP($S$443,'TAR FIN'!$A$1:$O$99,15,0)),0,VLOOKUP($S$443,'TAR FIN'!$A$1:$O$99,15,0))</f>
        <v>60.2</v>
      </c>
      <c r="W443" s="4">
        <f>IF(ISERROR(VLOOKUP($T$443,'TAR FIN'!$A$1:$O$99,15,0)),0,VLOOKUP($T$443,'TAR FIN'!$A$1:$O$99,15,0))</f>
        <v>97.61</v>
      </c>
      <c r="X443" s="4">
        <f>IF(ISERROR(VLOOKUP($U$443,'TAR FIN'!$A$1:$O$99,15,0)),0,VLOOKUP($U$443,'TAR FIN'!$A$1:$O$99,15,0))</f>
        <v>346.61</v>
      </c>
      <c r="Y443" s="4">
        <f ca="1">('TUSD BE'!$AM$13+'TUSD BF'!$AM$13+'TUSD CVA'!$AM$13)*1</f>
        <v>69.255133620748211</v>
      </c>
      <c r="Z443" s="4">
        <f ca="1">('TUSD BE'!$AM$15+'TUSD BF'!$AM$15+'TUSD CVA'!$AM$15)*1</f>
        <v>117.59114529324071</v>
      </c>
      <c r="AA443" s="4">
        <f>('TE BE'!$AA$7+'TE BF'!$AA$7+'TE CVA'!$AA$7)*1</f>
        <v>423.89652505413846</v>
      </c>
      <c r="AB443" s="4">
        <f>$K$443*$V$443</f>
        <v>413212.80000000005</v>
      </c>
      <c r="AC443" s="4">
        <f>$M$443*$W$443</f>
        <v>28610.662320000003</v>
      </c>
      <c r="AD443" s="4">
        <f>$O$443*$X$443</f>
        <v>101595.55032000001</v>
      </c>
      <c r="AE443" s="4">
        <f ca="1">$K$443*$Y$443</f>
        <v>475367.23717281572</v>
      </c>
      <c r="AF443" s="4">
        <f ca="1">$M$443*$Z$443</f>
        <v>34467.375779192378</v>
      </c>
      <c r="AG443" s="4">
        <f>$O$443*$AA$443</f>
        <v>124249.15825166865</v>
      </c>
    </row>
    <row r="444" spans="1:33" ht="11.25" customHeight="1" x14ac:dyDescent="0.25">
      <c r="A444" s="3" t="s">
        <v>28</v>
      </c>
      <c r="B444" s="3" t="s">
        <v>33</v>
      </c>
      <c r="C444" s="3" t="s">
        <v>42</v>
      </c>
      <c r="D444" s="3" t="s">
        <v>43</v>
      </c>
      <c r="E444" s="3" t="s">
        <v>25</v>
      </c>
      <c r="F444" s="3" t="s">
        <v>25</v>
      </c>
      <c r="G444" s="3" t="s">
        <v>25</v>
      </c>
      <c r="H444" s="3" t="s">
        <v>35</v>
      </c>
      <c r="I444" s="6">
        <v>44531</v>
      </c>
      <c r="J444" s="4">
        <v>82</v>
      </c>
      <c r="K444" s="4">
        <v>82</v>
      </c>
      <c r="L444" s="4">
        <v>3.891</v>
      </c>
      <c r="M444" s="4">
        <v>3.891</v>
      </c>
      <c r="N444" s="4">
        <v>3.891</v>
      </c>
      <c r="O444" s="4">
        <v>3.891</v>
      </c>
      <c r="P444" s="4">
        <v>0</v>
      </c>
      <c r="Q444" s="3" t="s">
        <v>26</v>
      </c>
      <c r="R444" s="3">
        <v>0</v>
      </c>
      <c r="S444" s="4">
        <v>91</v>
      </c>
      <c r="T444" s="4">
        <v>88</v>
      </c>
      <c r="U444" s="4">
        <v>72</v>
      </c>
      <c r="V444" s="4">
        <f>IF(ISERROR(VLOOKUP($S$444,'TAR FIN'!$A$1:$O$99,15,0)),0,VLOOKUP($S$444,'TAR FIN'!$A$1:$O$99,15,0))</f>
        <v>60.2</v>
      </c>
      <c r="W444" s="4">
        <f>IF(ISERROR(VLOOKUP($T$444,'TAR FIN'!$A$1:$O$99,15,0)),0,VLOOKUP($T$444,'TAR FIN'!$A$1:$O$99,15,0))</f>
        <v>97.61</v>
      </c>
      <c r="X444" s="4">
        <f>IF(ISERROR(VLOOKUP($U$444,'TAR FIN'!$A$1:$O$99,15,0)),0,VLOOKUP($U$444,'TAR FIN'!$A$1:$O$99,15,0))</f>
        <v>346.61</v>
      </c>
      <c r="Y444" s="4">
        <f ca="1">('TUSD BE'!$AM$13+'TUSD BF'!$AM$13+'TUSD CVA'!$AM$13)*1</f>
        <v>69.255133620748211</v>
      </c>
      <c r="Z444" s="4">
        <f ca="1">('TUSD BE'!$AM$15+'TUSD BF'!$AM$15+'TUSD CVA'!$AM$15)*1</f>
        <v>117.59114529324071</v>
      </c>
      <c r="AA444" s="4">
        <f>('TE BE'!$AA$7+'TE BF'!$AA$7+'TE CVA'!$AA$7)*1</f>
        <v>423.89652505413846</v>
      </c>
      <c r="AB444" s="4">
        <f>$K$444*$V$444</f>
        <v>4936.4000000000005</v>
      </c>
      <c r="AC444" s="4">
        <f>$M$444*$W$444</f>
        <v>379.80050999999997</v>
      </c>
      <c r="AD444" s="4">
        <f>$O$444*$X$444</f>
        <v>1348.65951</v>
      </c>
      <c r="AE444" s="4">
        <f ca="1">$K$444*$Y$444</f>
        <v>5678.9209569013528</v>
      </c>
      <c r="AF444" s="4">
        <f ca="1">$M$444*$Z$444</f>
        <v>457.54714633599963</v>
      </c>
      <c r="AG444" s="4">
        <f>$O$444*$AA$444</f>
        <v>1649.3813789856529</v>
      </c>
    </row>
    <row r="445" spans="1:33" ht="11.25" customHeight="1" x14ac:dyDescent="0.25">
      <c r="A445" s="3" t="s">
        <v>21</v>
      </c>
      <c r="B445" s="3" t="s">
        <v>33</v>
      </c>
      <c r="C445" s="3" t="s">
        <v>42</v>
      </c>
      <c r="D445" s="3" t="s">
        <v>43</v>
      </c>
      <c r="E445" s="3" t="s">
        <v>25</v>
      </c>
      <c r="F445" s="3" t="s">
        <v>25</v>
      </c>
      <c r="G445" s="3" t="s">
        <v>25</v>
      </c>
      <c r="H445" s="3" t="s">
        <v>35</v>
      </c>
      <c r="I445" s="6">
        <v>44562</v>
      </c>
      <c r="J445" s="4">
        <v>6816</v>
      </c>
      <c r="K445" s="4">
        <v>6816</v>
      </c>
      <c r="L445" s="4">
        <v>269.83499999999998</v>
      </c>
      <c r="M445" s="4">
        <v>269.83499999999998</v>
      </c>
      <c r="N445" s="4">
        <v>269.83499999999998</v>
      </c>
      <c r="O445" s="4">
        <v>269.83499999999998</v>
      </c>
      <c r="P445" s="4">
        <v>0</v>
      </c>
      <c r="Q445" s="3" t="s">
        <v>26</v>
      </c>
      <c r="R445" s="3">
        <v>0</v>
      </c>
      <c r="S445" s="4">
        <v>91</v>
      </c>
      <c r="T445" s="4">
        <v>88</v>
      </c>
      <c r="U445" s="4">
        <v>72</v>
      </c>
      <c r="V445" s="4">
        <f>IF(ISERROR(VLOOKUP($S$445,'TAR FIN'!$A$1:$O$99,15,0)),0,VLOOKUP($S$445,'TAR FIN'!$A$1:$O$99,15,0))</f>
        <v>60.2</v>
      </c>
      <c r="W445" s="4">
        <f>IF(ISERROR(VLOOKUP($T$445,'TAR FIN'!$A$1:$O$99,15,0)),0,VLOOKUP($T$445,'TAR FIN'!$A$1:$O$99,15,0))</f>
        <v>97.61</v>
      </c>
      <c r="X445" s="4">
        <f>IF(ISERROR(VLOOKUP($U$445,'TAR FIN'!$A$1:$O$99,15,0)),0,VLOOKUP($U$445,'TAR FIN'!$A$1:$O$99,15,0))</f>
        <v>346.61</v>
      </c>
      <c r="Y445" s="4">
        <f ca="1">('TUSD BE'!$AM$13+'TUSD BF'!$AM$13+'TUSD CVA'!$AM$13)*1</f>
        <v>69.255133620748211</v>
      </c>
      <c r="Z445" s="4">
        <f ca="1">('TUSD BE'!$AM$15+'TUSD BF'!$AM$15+'TUSD CVA'!$AM$15)*1</f>
        <v>117.59114529324071</v>
      </c>
      <c r="AA445" s="4">
        <f>('TE BE'!$AA$7+'TE BF'!$AA$7+'TE CVA'!$AA$7)*1</f>
        <v>423.89652505413846</v>
      </c>
      <c r="AB445" s="4">
        <f>$K$445*$V$445</f>
        <v>410323.20000000001</v>
      </c>
      <c r="AC445" s="4">
        <f>$M$445*$W$445</f>
        <v>26338.594349999999</v>
      </c>
      <c r="AD445" s="4">
        <f>$O$445*$X$445</f>
        <v>93527.509349999993</v>
      </c>
      <c r="AE445" s="4">
        <f ca="1">$K$445*$Y$445</f>
        <v>472042.9907590198</v>
      </c>
      <c r="AF445" s="4">
        <f ca="1">$M$445*$Z$445</f>
        <v>31730.206690201605</v>
      </c>
      <c r="AG445" s="4">
        <f>$O$445*$AA$445</f>
        <v>114382.11883798345</v>
      </c>
    </row>
    <row r="446" spans="1:33" ht="11.25" customHeight="1" x14ac:dyDescent="0.25">
      <c r="A446" s="3" t="s">
        <v>27</v>
      </c>
      <c r="B446" s="3" t="s">
        <v>33</v>
      </c>
      <c r="C446" s="3" t="s">
        <v>42</v>
      </c>
      <c r="D446" s="3" t="s">
        <v>43</v>
      </c>
      <c r="E446" s="3" t="s">
        <v>25</v>
      </c>
      <c r="F446" s="3" t="s">
        <v>25</v>
      </c>
      <c r="G446" s="3" t="s">
        <v>25</v>
      </c>
      <c r="H446" s="3" t="s">
        <v>35</v>
      </c>
      <c r="I446" s="6">
        <v>44562</v>
      </c>
      <c r="J446" s="4">
        <v>-327</v>
      </c>
      <c r="K446" s="4">
        <v>-327</v>
      </c>
      <c r="L446" s="4">
        <v>-13.249000000000001</v>
      </c>
      <c r="M446" s="4">
        <v>-13.249000000000001</v>
      </c>
      <c r="N446" s="4">
        <v>-13.249000000000001</v>
      </c>
      <c r="O446" s="4">
        <v>-13.249000000000001</v>
      </c>
      <c r="P446" s="4">
        <v>0</v>
      </c>
      <c r="Q446" s="3" t="s">
        <v>26</v>
      </c>
      <c r="R446" s="3">
        <v>0</v>
      </c>
      <c r="S446" s="4">
        <v>91</v>
      </c>
      <c r="T446" s="4">
        <v>88</v>
      </c>
      <c r="U446" s="4">
        <v>72</v>
      </c>
      <c r="V446" s="4">
        <f>IF(ISERROR(VLOOKUP($S$446,'TAR FIN'!$A$1:$O$99,15,0)),0,VLOOKUP($S$446,'TAR FIN'!$A$1:$O$99,15,0))</f>
        <v>60.2</v>
      </c>
      <c r="W446" s="4">
        <f>IF(ISERROR(VLOOKUP($T$446,'TAR FIN'!$A$1:$O$99,15,0)),0,VLOOKUP($T$446,'TAR FIN'!$A$1:$O$99,15,0))</f>
        <v>97.61</v>
      </c>
      <c r="X446" s="4">
        <f>IF(ISERROR(VLOOKUP($U$446,'TAR FIN'!$A$1:$O$99,15,0)),0,VLOOKUP($U$446,'TAR FIN'!$A$1:$O$99,15,0))</f>
        <v>346.61</v>
      </c>
      <c r="Y446" s="4">
        <f ca="1">('TUSD BE'!$AM$13+'TUSD BF'!$AM$13+'TUSD CVA'!$AM$13)*1</f>
        <v>69.255133620748211</v>
      </c>
      <c r="Z446" s="4">
        <f ca="1">('TUSD BE'!$AM$15+'TUSD BF'!$AM$15+'TUSD CVA'!$AM$15)*1</f>
        <v>117.59114529324071</v>
      </c>
      <c r="AA446" s="4">
        <f>('TE BE'!$AA$7+'TE BF'!$AA$7+'TE CVA'!$AA$7)*1</f>
        <v>423.89652505413846</v>
      </c>
      <c r="AB446" s="4">
        <f>$K$446*$V$446</f>
        <v>-19685.400000000001</v>
      </c>
      <c r="AC446" s="4">
        <f>$M$446*$W$446</f>
        <v>-1293.23489</v>
      </c>
      <c r="AD446" s="4">
        <f>$O$446*$X$446</f>
        <v>-4592.2358899999999</v>
      </c>
      <c r="AE446" s="4">
        <f ca="1">$K$446*$Y$446</f>
        <v>-22646.428693984664</v>
      </c>
      <c r="AF446" s="4">
        <f ca="1">$M$446*$Z$446</f>
        <v>-1557.9650839901462</v>
      </c>
      <c r="AG446" s="4">
        <f>$O$446*$AA$446</f>
        <v>-5616.2050604422811</v>
      </c>
    </row>
    <row r="447" spans="1:33" ht="11.25" customHeight="1" x14ac:dyDescent="0.25">
      <c r="A447" s="3" t="s">
        <v>28</v>
      </c>
      <c r="B447" s="3" t="s">
        <v>33</v>
      </c>
      <c r="C447" s="3" t="s">
        <v>42</v>
      </c>
      <c r="D447" s="3" t="s">
        <v>43</v>
      </c>
      <c r="E447" s="3" t="s">
        <v>25</v>
      </c>
      <c r="F447" s="3" t="s">
        <v>25</v>
      </c>
      <c r="G447" s="3" t="s">
        <v>25</v>
      </c>
      <c r="H447" s="3" t="s">
        <v>35</v>
      </c>
      <c r="I447" s="6">
        <v>44562</v>
      </c>
      <c r="J447" s="4">
        <v>82</v>
      </c>
      <c r="K447" s="4">
        <v>82</v>
      </c>
      <c r="L447" s="4">
        <v>2.657</v>
      </c>
      <c r="M447" s="4">
        <v>2.657</v>
      </c>
      <c r="N447" s="4">
        <v>2.657</v>
      </c>
      <c r="O447" s="4">
        <v>2.657</v>
      </c>
      <c r="P447" s="4">
        <v>0</v>
      </c>
      <c r="Q447" s="3" t="s">
        <v>26</v>
      </c>
      <c r="R447" s="3">
        <v>0</v>
      </c>
      <c r="S447" s="4">
        <v>91</v>
      </c>
      <c r="T447" s="4">
        <v>88</v>
      </c>
      <c r="U447" s="4">
        <v>72</v>
      </c>
      <c r="V447" s="4">
        <f>IF(ISERROR(VLOOKUP($S$447,'TAR FIN'!$A$1:$O$99,15,0)),0,VLOOKUP($S$447,'TAR FIN'!$A$1:$O$99,15,0))</f>
        <v>60.2</v>
      </c>
      <c r="W447" s="4">
        <f>IF(ISERROR(VLOOKUP($T$447,'TAR FIN'!$A$1:$O$99,15,0)),0,VLOOKUP($T$447,'TAR FIN'!$A$1:$O$99,15,0))</f>
        <v>97.61</v>
      </c>
      <c r="X447" s="4">
        <f>IF(ISERROR(VLOOKUP($U$447,'TAR FIN'!$A$1:$O$99,15,0)),0,VLOOKUP($U$447,'TAR FIN'!$A$1:$O$99,15,0))</f>
        <v>346.61</v>
      </c>
      <c r="Y447" s="4">
        <f ca="1">('TUSD BE'!$AM$13+'TUSD BF'!$AM$13+'TUSD CVA'!$AM$13)*1</f>
        <v>69.255133620748211</v>
      </c>
      <c r="Z447" s="4">
        <f ca="1">('TUSD BE'!$AM$15+'TUSD BF'!$AM$15+'TUSD CVA'!$AM$15)*1</f>
        <v>117.59114529324071</v>
      </c>
      <c r="AA447" s="4">
        <f>('TE BE'!$AA$7+'TE BF'!$AA$7+'TE CVA'!$AA$7)*1</f>
        <v>423.89652505413846</v>
      </c>
      <c r="AB447" s="4">
        <f>$K$447*$V$447</f>
        <v>4936.4000000000005</v>
      </c>
      <c r="AC447" s="4">
        <f>$M$447*$W$447</f>
        <v>259.34976999999998</v>
      </c>
      <c r="AD447" s="4">
        <f>$O$447*$X$447</f>
        <v>920.94277</v>
      </c>
      <c r="AE447" s="4">
        <f ca="1">$K$447*$Y$447</f>
        <v>5678.9209569013528</v>
      </c>
      <c r="AF447" s="4">
        <f ca="1">$M$447*$Z$447</f>
        <v>312.43967304414059</v>
      </c>
      <c r="AG447" s="4">
        <f>$O$447*$AA$447</f>
        <v>1126.2930670688459</v>
      </c>
    </row>
    <row r="448" spans="1:33" ht="11.25" customHeight="1" x14ac:dyDescent="0.25">
      <c r="A448" s="3" t="s">
        <v>21</v>
      </c>
      <c r="B448" s="3" t="s">
        <v>33</v>
      </c>
      <c r="C448" s="3" t="s">
        <v>42</v>
      </c>
      <c r="D448" s="3" t="s">
        <v>43</v>
      </c>
      <c r="E448" s="3" t="s">
        <v>25</v>
      </c>
      <c r="F448" s="3" t="s">
        <v>25</v>
      </c>
      <c r="G448" s="3" t="s">
        <v>25</v>
      </c>
      <c r="H448" s="3" t="s">
        <v>35</v>
      </c>
      <c r="I448" s="6">
        <v>44593</v>
      </c>
      <c r="J448" s="4">
        <v>6401</v>
      </c>
      <c r="K448" s="4">
        <v>6401</v>
      </c>
      <c r="L448" s="4">
        <v>245.26300000000001</v>
      </c>
      <c r="M448" s="4">
        <v>245.26300000000001</v>
      </c>
      <c r="N448" s="4">
        <v>245.26300000000001</v>
      </c>
      <c r="O448" s="4">
        <v>245.26300000000001</v>
      </c>
      <c r="P448" s="4">
        <v>0</v>
      </c>
      <c r="Q448" s="3" t="s">
        <v>26</v>
      </c>
      <c r="R448" s="3">
        <v>0</v>
      </c>
      <c r="S448" s="4">
        <v>91</v>
      </c>
      <c r="T448" s="4">
        <v>88</v>
      </c>
      <c r="U448" s="4">
        <v>72</v>
      </c>
      <c r="V448" s="4">
        <f>IF(ISERROR(VLOOKUP($S$448,'TAR FIN'!$A$1:$O$99,15,0)),0,VLOOKUP($S$448,'TAR FIN'!$A$1:$O$99,15,0))</f>
        <v>60.2</v>
      </c>
      <c r="W448" s="4">
        <f>IF(ISERROR(VLOOKUP($T$448,'TAR FIN'!$A$1:$O$99,15,0)),0,VLOOKUP($T$448,'TAR FIN'!$A$1:$O$99,15,0))</f>
        <v>97.61</v>
      </c>
      <c r="X448" s="4">
        <f>IF(ISERROR(VLOOKUP($U$448,'TAR FIN'!$A$1:$O$99,15,0)),0,VLOOKUP($U$448,'TAR FIN'!$A$1:$O$99,15,0))</f>
        <v>346.61</v>
      </c>
      <c r="Y448" s="4">
        <f ca="1">('TUSD BE'!$AM$13+'TUSD BF'!$AM$13+'TUSD CVA'!$AM$13)*1</f>
        <v>69.255133620748211</v>
      </c>
      <c r="Z448" s="4">
        <f ca="1">('TUSD BE'!$AM$15+'TUSD BF'!$AM$15+'TUSD CVA'!$AM$15)*1</f>
        <v>117.59114529324071</v>
      </c>
      <c r="AA448" s="4">
        <f>('TE BE'!$AA$7+'TE BF'!$AA$7+'TE CVA'!$AA$7)*1</f>
        <v>423.89652505413846</v>
      </c>
      <c r="AB448" s="4">
        <f>$K$448*$V$448</f>
        <v>385340.2</v>
      </c>
      <c r="AC448" s="4">
        <f>$M$448*$W$448</f>
        <v>23940.121429999999</v>
      </c>
      <c r="AD448" s="4">
        <f>$O$448*$X$448</f>
        <v>85010.608430000008</v>
      </c>
      <c r="AE448" s="4">
        <f ca="1">$K$448*$Y$448</f>
        <v>443302.1103064093</v>
      </c>
      <c r="AF448" s="4">
        <f ca="1">$M$448*$Z$448</f>
        <v>28840.757068056097</v>
      </c>
      <c r="AG448" s="4">
        <f>$O$448*$AA$448</f>
        <v>103966.13342435316</v>
      </c>
    </row>
    <row r="449" spans="1:33" ht="11.25" customHeight="1" x14ac:dyDescent="0.25">
      <c r="A449" s="3" t="s">
        <v>28</v>
      </c>
      <c r="B449" s="3" t="s">
        <v>33</v>
      </c>
      <c r="C449" s="3" t="s">
        <v>42</v>
      </c>
      <c r="D449" s="3" t="s">
        <v>43</v>
      </c>
      <c r="E449" s="3" t="s">
        <v>25</v>
      </c>
      <c r="F449" s="3" t="s">
        <v>25</v>
      </c>
      <c r="G449" s="3" t="s">
        <v>25</v>
      </c>
      <c r="H449" s="3" t="s">
        <v>35</v>
      </c>
      <c r="I449" s="6">
        <v>44593</v>
      </c>
      <c r="J449" s="4">
        <v>82</v>
      </c>
      <c r="K449" s="4">
        <v>82</v>
      </c>
      <c r="L449" s="4">
        <v>2.21</v>
      </c>
      <c r="M449" s="4">
        <v>2.21</v>
      </c>
      <c r="N449" s="4">
        <v>2.21</v>
      </c>
      <c r="O449" s="4">
        <v>2.21</v>
      </c>
      <c r="P449" s="4">
        <v>0</v>
      </c>
      <c r="Q449" s="3" t="s">
        <v>26</v>
      </c>
      <c r="R449" s="3">
        <v>0</v>
      </c>
      <c r="S449" s="4">
        <v>91</v>
      </c>
      <c r="T449" s="4">
        <v>88</v>
      </c>
      <c r="U449" s="4">
        <v>72</v>
      </c>
      <c r="V449" s="4">
        <f>IF(ISERROR(VLOOKUP($S$449,'TAR FIN'!$A$1:$O$99,15,0)),0,VLOOKUP($S$449,'TAR FIN'!$A$1:$O$99,15,0))</f>
        <v>60.2</v>
      </c>
      <c r="W449" s="4">
        <f>IF(ISERROR(VLOOKUP($T$449,'TAR FIN'!$A$1:$O$99,15,0)),0,VLOOKUP($T$449,'TAR FIN'!$A$1:$O$99,15,0))</f>
        <v>97.61</v>
      </c>
      <c r="X449" s="4">
        <f>IF(ISERROR(VLOOKUP($U$449,'TAR FIN'!$A$1:$O$99,15,0)),0,VLOOKUP($U$449,'TAR FIN'!$A$1:$O$99,15,0))</f>
        <v>346.61</v>
      </c>
      <c r="Y449" s="4">
        <f ca="1">('TUSD BE'!$AM$13+'TUSD BF'!$AM$13+'TUSD CVA'!$AM$13)*1</f>
        <v>69.255133620748211</v>
      </c>
      <c r="Z449" s="4">
        <f ca="1">('TUSD BE'!$AM$15+'TUSD BF'!$AM$15+'TUSD CVA'!$AM$15)*1</f>
        <v>117.59114529324071</v>
      </c>
      <c r="AA449" s="4">
        <f>('TE BE'!$AA$7+'TE BF'!$AA$7+'TE CVA'!$AA$7)*1</f>
        <v>423.89652505413846</v>
      </c>
      <c r="AB449" s="4">
        <f>$K$449*$V$449</f>
        <v>4936.4000000000005</v>
      </c>
      <c r="AC449" s="4">
        <f>$M$449*$W$449</f>
        <v>215.71809999999999</v>
      </c>
      <c r="AD449" s="4">
        <f>$O$449*$X$449</f>
        <v>766.00810000000001</v>
      </c>
      <c r="AE449" s="4">
        <f ca="1">$K$449*$Y$449</f>
        <v>5678.9209569013528</v>
      </c>
      <c r="AF449" s="4">
        <f ca="1">$M$449*$Z$449</f>
        <v>259.87643109806197</v>
      </c>
      <c r="AG449" s="4">
        <f>$O$449*$AA$449</f>
        <v>936.81132036964595</v>
      </c>
    </row>
    <row r="450" spans="1:33" ht="11.25" customHeight="1" x14ac:dyDescent="0.25">
      <c r="A450" s="3" t="s">
        <v>21</v>
      </c>
      <c r="B450" s="3" t="s">
        <v>33</v>
      </c>
      <c r="C450" s="3" t="s">
        <v>42</v>
      </c>
      <c r="D450" s="3" t="s">
        <v>43</v>
      </c>
      <c r="E450" s="3" t="s">
        <v>25</v>
      </c>
      <c r="F450" s="3" t="s">
        <v>25</v>
      </c>
      <c r="G450" s="3" t="s">
        <v>25</v>
      </c>
      <c r="H450" s="3" t="s">
        <v>35</v>
      </c>
      <c r="I450" s="6">
        <v>44621</v>
      </c>
      <c r="J450" s="4">
        <v>5449</v>
      </c>
      <c r="K450" s="4">
        <v>5449</v>
      </c>
      <c r="L450" s="4">
        <v>210.15199999999999</v>
      </c>
      <c r="M450" s="4">
        <v>210.15199999999999</v>
      </c>
      <c r="N450" s="4">
        <v>210.15199999999999</v>
      </c>
      <c r="O450" s="4">
        <v>210.15199999999999</v>
      </c>
      <c r="P450" s="4">
        <v>0</v>
      </c>
      <c r="Q450" s="3" t="s">
        <v>26</v>
      </c>
      <c r="R450" s="3">
        <v>0</v>
      </c>
      <c r="S450" s="4">
        <v>91</v>
      </c>
      <c r="T450" s="4">
        <v>88</v>
      </c>
      <c r="U450" s="4">
        <v>72</v>
      </c>
      <c r="V450" s="4">
        <f>IF(ISERROR(VLOOKUP($S$450,'TAR FIN'!$A$1:$O$99,15,0)),0,VLOOKUP($S$450,'TAR FIN'!$A$1:$O$99,15,0))</f>
        <v>60.2</v>
      </c>
      <c r="W450" s="4">
        <f>IF(ISERROR(VLOOKUP($T$450,'TAR FIN'!$A$1:$O$99,15,0)),0,VLOOKUP($T$450,'TAR FIN'!$A$1:$O$99,15,0))</f>
        <v>97.61</v>
      </c>
      <c r="X450" s="4">
        <f>IF(ISERROR(VLOOKUP($U$450,'TAR FIN'!$A$1:$O$99,15,0)),0,VLOOKUP($U$450,'TAR FIN'!$A$1:$O$99,15,0))</f>
        <v>346.61</v>
      </c>
      <c r="Y450" s="4">
        <f ca="1">('TUSD BE'!$AM$13+'TUSD BF'!$AM$13+'TUSD CVA'!$AM$13)*1</f>
        <v>69.255133620748211</v>
      </c>
      <c r="Z450" s="4">
        <f ca="1">('TUSD BE'!$AM$15+'TUSD BF'!$AM$15+'TUSD CVA'!$AM$15)*1</f>
        <v>117.59114529324071</v>
      </c>
      <c r="AA450" s="4">
        <f>('TE BE'!$AA$7+'TE BF'!$AA$7+'TE CVA'!$AA$7)*1</f>
        <v>423.89652505413846</v>
      </c>
      <c r="AB450" s="4">
        <f>$K$450*$V$450</f>
        <v>328029.8</v>
      </c>
      <c r="AC450" s="4">
        <f>$M$450*$W$450</f>
        <v>20512.936719999998</v>
      </c>
      <c r="AD450" s="4">
        <f>$O$450*$X$450</f>
        <v>72840.784719999996</v>
      </c>
      <c r="AE450" s="4">
        <f ca="1">$K$450*$Y$450</f>
        <v>377371.22309945698</v>
      </c>
      <c r="AF450" s="4">
        <f ca="1">$M$450*$Z$450</f>
        <v>24712.01436566512</v>
      </c>
      <c r="AG450" s="4">
        <f>$O$450*$AA$450</f>
        <v>89082.702533177304</v>
      </c>
    </row>
    <row r="451" spans="1:33" ht="11.25" customHeight="1" x14ac:dyDescent="0.25">
      <c r="A451" s="3" t="s">
        <v>28</v>
      </c>
      <c r="B451" s="3" t="s">
        <v>33</v>
      </c>
      <c r="C451" s="3" t="s">
        <v>42</v>
      </c>
      <c r="D451" s="3" t="s">
        <v>43</v>
      </c>
      <c r="E451" s="3" t="s">
        <v>25</v>
      </c>
      <c r="F451" s="3" t="s">
        <v>25</v>
      </c>
      <c r="G451" s="3" t="s">
        <v>25</v>
      </c>
      <c r="H451" s="3" t="s">
        <v>35</v>
      </c>
      <c r="I451" s="6">
        <v>44621</v>
      </c>
      <c r="J451" s="4">
        <v>82</v>
      </c>
      <c r="K451" s="4">
        <v>82</v>
      </c>
      <c r="L451" s="4">
        <v>2.923</v>
      </c>
      <c r="M451" s="4">
        <v>2.923</v>
      </c>
      <c r="N451" s="4">
        <v>2.923</v>
      </c>
      <c r="O451" s="4">
        <v>2.923</v>
      </c>
      <c r="P451" s="4">
        <v>0</v>
      </c>
      <c r="Q451" s="3" t="s">
        <v>26</v>
      </c>
      <c r="R451" s="3">
        <v>0</v>
      </c>
      <c r="S451" s="4">
        <v>91</v>
      </c>
      <c r="T451" s="4">
        <v>88</v>
      </c>
      <c r="U451" s="4">
        <v>72</v>
      </c>
      <c r="V451" s="4">
        <f>IF(ISERROR(VLOOKUP($S$451,'TAR FIN'!$A$1:$O$99,15,0)),0,VLOOKUP($S$451,'TAR FIN'!$A$1:$O$99,15,0))</f>
        <v>60.2</v>
      </c>
      <c r="W451" s="4">
        <f>IF(ISERROR(VLOOKUP($T$451,'TAR FIN'!$A$1:$O$99,15,0)),0,VLOOKUP($T$451,'TAR FIN'!$A$1:$O$99,15,0))</f>
        <v>97.61</v>
      </c>
      <c r="X451" s="4">
        <f>IF(ISERROR(VLOOKUP($U$451,'TAR FIN'!$A$1:$O$99,15,0)),0,VLOOKUP($U$451,'TAR FIN'!$A$1:$O$99,15,0))</f>
        <v>346.61</v>
      </c>
      <c r="Y451" s="4">
        <f ca="1">('TUSD BE'!$AM$13+'TUSD BF'!$AM$13+'TUSD CVA'!$AM$13)*1</f>
        <v>69.255133620748211</v>
      </c>
      <c r="Z451" s="4">
        <f ca="1">('TUSD BE'!$AM$15+'TUSD BF'!$AM$15+'TUSD CVA'!$AM$15)*1</f>
        <v>117.59114529324071</v>
      </c>
      <c r="AA451" s="4">
        <f>('TE BE'!$AA$7+'TE BF'!$AA$7+'TE CVA'!$AA$7)*1</f>
        <v>423.89652505413846</v>
      </c>
      <c r="AB451" s="4">
        <f>$K$451*$V$451</f>
        <v>4936.4000000000005</v>
      </c>
      <c r="AC451" s="4">
        <f>$M$451*$W$451</f>
        <v>285.31403</v>
      </c>
      <c r="AD451" s="4">
        <f>$O$451*$X$451</f>
        <v>1013.14103</v>
      </c>
      <c r="AE451" s="4">
        <f ca="1">$K$451*$Y$451</f>
        <v>5678.9209569013528</v>
      </c>
      <c r="AF451" s="4">
        <f ca="1">$M$451*$Z$451</f>
        <v>343.71891769214261</v>
      </c>
      <c r="AG451" s="4">
        <f>$O$451*$AA$451</f>
        <v>1239.0495427332467</v>
      </c>
    </row>
    <row r="452" spans="1:33" ht="11.25" customHeight="1" x14ac:dyDescent="0.25">
      <c r="A452" s="3" t="s">
        <v>56</v>
      </c>
      <c r="B452" s="3" t="s">
        <v>33</v>
      </c>
      <c r="C452" s="3" t="s">
        <v>42</v>
      </c>
      <c r="D452" s="3" t="s">
        <v>43</v>
      </c>
      <c r="E452" s="3" t="s">
        <v>25</v>
      </c>
      <c r="F452" s="3" t="s">
        <v>25</v>
      </c>
      <c r="G452" s="3" t="s">
        <v>25</v>
      </c>
      <c r="H452" s="3" t="s">
        <v>35</v>
      </c>
      <c r="I452" s="6">
        <v>44652</v>
      </c>
      <c r="J452" s="4">
        <v>5449</v>
      </c>
      <c r="K452" s="4">
        <v>5449</v>
      </c>
      <c r="L452" s="4">
        <v>210.15199999999999</v>
      </c>
      <c r="M452" s="4">
        <v>210.15199999999999</v>
      </c>
      <c r="N452" s="4">
        <v>210.15199999999999</v>
      </c>
      <c r="O452" s="4">
        <v>210.15199999999999</v>
      </c>
      <c r="P452" s="4">
        <v>0</v>
      </c>
      <c r="Q452" s="3" t="s">
        <v>26</v>
      </c>
      <c r="R452" s="3">
        <v>0</v>
      </c>
      <c r="S452" s="4">
        <v>91</v>
      </c>
      <c r="T452" s="4">
        <v>88</v>
      </c>
      <c r="U452" s="4">
        <v>72</v>
      </c>
      <c r="V452" s="4">
        <f>IF(ISERROR(VLOOKUP($S$452,'TAR FIN'!$A$1:$O$99,15,0)),0,VLOOKUP($S$452,'TAR FIN'!$A$1:$O$99,15,0))</f>
        <v>60.2</v>
      </c>
      <c r="W452" s="4">
        <f>IF(ISERROR(VLOOKUP($T$452,'TAR FIN'!$A$1:$O$99,15,0)),0,VLOOKUP($T$452,'TAR FIN'!$A$1:$O$99,15,0))</f>
        <v>97.61</v>
      </c>
      <c r="X452" s="4">
        <f>IF(ISERROR(VLOOKUP($U$452,'TAR FIN'!$A$1:$O$99,15,0)),0,VLOOKUP($U$452,'TAR FIN'!$A$1:$O$99,15,0))</f>
        <v>346.61</v>
      </c>
      <c r="Y452" s="4">
        <f ca="1">('TUSD BE'!$AM$13+'TUSD BF'!$AM$13+'TUSD CVA'!$AM$13)*1</f>
        <v>69.255133620748211</v>
      </c>
      <c r="Z452" s="4">
        <f ca="1">('TUSD BE'!$AM$15+'TUSD BF'!$AM$15+'TUSD CVA'!$AM$15)*1</f>
        <v>117.59114529324071</v>
      </c>
      <c r="AA452" s="4">
        <f>('TE BE'!$AA$7+'TE BF'!$AA$7+'TE CVA'!$AA$7)*1</f>
        <v>423.89652505413846</v>
      </c>
      <c r="AB452" s="4">
        <f>$K$452*$V$452</f>
        <v>328029.8</v>
      </c>
      <c r="AC452" s="4">
        <f>$M$452*$W$452</f>
        <v>20512.936719999998</v>
      </c>
      <c r="AD452" s="4">
        <f>$O$452*$X$452</f>
        <v>72840.784719999996</v>
      </c>
      <c r="AE452" s="4">
        <f ca="1">$K$452*$Y$452</f>
        <v>377371.22309945698</v>
      </c>
      <c r="AF452" s="4">
        <f ca="1">$M$452*$Z$452</f>
        <v>24712.01436566512</v>
      </c>
      <c r="AG452" s="4">
        <f>$O$452*$AA$452</f>
        <v>89082.702533177304</v>
      </c>
    </row>
    <row r="453" spans="1:33" ht="11.25" customHeight="1" x14ac:dyDescent="0.25">
      <c r="A453" s="3" t="s">
        <v>56</v>
      </c>
      <c r="B453" s="3" t="s">
        <v>33</v>
      </c>
      <c r="C453" s="3" t="s">
        <v>42</v>
      </c>
      <c r="D453" s="3" t="s">
        <v>43</v>
      </c>
      <c r="E453" s="3" t="s">
        <v>25</v>
      </c>
      <c r="F453" s="3" t="s">
        <v>25</v>
      </c>
      <c r="G453" s="3" t="s">
        <v>25</v>
      </c>
      <c r="H453" s="3" t="s">
        <v>35</v>
      </c>
      <c r="I453" s="6">
        <v>44652</v>
      </c>
      <c r="J453" s="4">
        <v>82</v>
      </c>
      <c r="K453" s="4">
        <v>82</v>
      </c>
      <c r="L453" s="4">
        <v>2.923</v>
      </c>
      <c r="M453" s="4">
        <v>2.923</v>
      </c>
      <c r="N453" s="4">
        <v>2.923</v>
      </c>
      <c r="O453" s="4">
        <v>2.923</v>
      </c>
      <c r="P453" s="4">
        <v>0</v>
      </c>
      <c r="Q453" s="3" t="s">
        <v>26</v>
      </c>
      <c r="R453" s="3">
        <v>0</v>
      </c>
      <c r="S453" s="4">
        <v>91</v>
      </c>
      <c r="T453" s="4">
        <v>88</v>
      </c>
      <c r="U453" s="4">
        <v>72</v>
      </c>
      <c r="V453" s="4">
        <f>IF(ISERROR(VLOOKUP($S$453,'TAR FIN'!$A$1:$O$99,15,0)),0,VLOOKUP($S$453,'TAR FIN'!$A$1:$O$99,15,0))</f>
        <v>60.2</v>
      </c>
      <c r="W453" s="4">
        <f>IF(ISERROR(VLOOKUP($T$453,'TAR FIN'!$A$1:$O$99,15,0)),0,VLOOKUP($T$453,'TAR FIN'!$A$1:$O$99,15,0))</f>
        <v>97.61</v>
      </c>
      <c r="X453" s="4">
        <f>IF(ISERROR(VLOOKUP($U$453,'TAR FIN'!$A$1:$O$99,15,0)),0,VLOOKUP($U$453,'TAR FIN'!$A$1:$O$99,15,0))</f>
        <v>346.61</v>
      </c>
      <c r="Y453" s="4">
        <f ca="1">('TUSD BE'!$AM$13+'TUSD BF'!$AM$13+'TUSD CVA'!$AM$13)*1</f>
        <v>69.255133620748211</v>
      </c>
      <c r="Z453" s="4">
        <f ca="1">('TUSD BE'!$AM$15+'TUSD BF'!$AM$15+'TUSD CVA'!$AM$15)*1</f>
        <v>117.59114529324071</v>
      </c>
      <c r="AA453" s="4">
        <f>('TE BE'!$AA$7+'TE BF'!$AA$7+'TE CVA'!$AA$7)*1</f>
        <v>423.89652505413846</v>
      </c>
      <c r="AB453" s="4">
        <f>$K$453*$V$453</f>
        <v>4936.4000000000005</v>
      </c>
      <c r="AC453" s="4">
        <f>$M$453*$W$453</f>
        <v>285.31403</v>
      </c>
      <c r="AD453" s="4">
        <f>$O$453*$X$453</f>
        <v>1013.14103</v>
      </c>
      <c r="AE453" s="4">
        <f ca="1">$K$453*$Y$453</f>
        <v>5678.9209569013528</v>
      </c>
      <c r="AF453" s="4">
        <f ca="1">$M$453*$Z$453</f>
        <v>343.71891769214261</v>
      </c>
      <c r="AG453" s="4">
        <f>$O$453*$AA$453</f>
        <v>1239.0495427332467</v>
      </c>
    </row>
    <row r="454" spans="1:33" ht="11.25" customHeight="1" x14ac:dyDescent="0.25">
      <c r="A454" s="3" t="s">
        <v>21</v>
      </c>
      <c r="B454" s="3" t="s">
        <v>33</v>
      </c>
      <c r="C454" s="3" t="s">
        <v>42</v>
      </c>
      <c r="D454" s="3" t="s">
        <v>40</v>
      </c>
      <c r="E454" s="3" t="s">
        <v>25</v>
      </c>
      <c r="F454" s="3" t="s">
        <v>60</v>
      </c>
      <c r="G454" s="3" t="s">
        <v>25</v>
      </c>
      <c r="H454" s="3" t="s">
        <v>36</v>
      </c>
      <c r="I454" s="6">
        <v>44317</v>
      </c>
      <c r="J454" s="4">
        <v>11934</v>
      </c>
      <c r="K454" s="4">
        <v>4575.6024092999996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3" t="s">
        <v>57</v>
      </c>
      <c r="R454" s="3">
        <v>0</v>
      </c>
      <c r="S454" s="4">
        <v>87</v>
      </c>
      <c r="T454" s="4">
        <v>0</v>
      </c>
      <c r="U454" s="4">
        <v>0</v>
      </c>
      <c r="V454" s="4">
        <f>IF(ISERROR(VLOOKUP($S$454,'TAR FIN'!$A$1:$O$99,15,0)),0,VLOOKUP($S$454,'TAR FIN'!$A$1:$O$99,15,0))</f>
        <v>21.85</v>
      </c>
      <c r="W454" s="4">
        <f>IF(ISERROR(VLOOKUP($T$454,'TAR FIN'!$A$1:$O$99,15,0)),0,VLOOKUP($T$454,'TAR FIN'!$A$1:$O$99,15,0))</f>
        <v>0</v>
      </c>
      <c r="X454" s="4">
        <f>IF(ISERROR(VLOOKUP($U$454,'TAR FIN'!$A$1:$O$99,15,0)),0,VLOOKUP($U$454,'TAR FIN'!$A$1:$O$99,15,0))</f>
        <v>0</v>
      </c>
      <c r="Y454" s="4">
        <f ca="1">('TUSD BE'!$AM$14+'TUSD BF'!$AM$14+'TUSD CVA'!$AM$14)*1</f>
        <v>24.669398821277586</v>
      </c>
      <c r="Z454" s="4">
        <f ca="1">('TUSD BE'!$AM$15+'TUSD BF'!$AM$15+'TUSD CVA'!$AM$15)*1</f>
        <v>117.59114529324071</v>
      </c>
      <c r="AA454" s="4"/>
      <c r="AB454" s="4">
        <f>$K$454*$V$454</f>
        <v>99976.912643204996</v>
      </c>
      <c r="AC454" s="4">
        <f>$M$454*$W$454</f>
        <v>0</v>
      </c>
      <c r="AD454" s="4">
        <f>$O$454*$X$454</f>
        <v>0</v>
      </c>
      <c r="AE454" s="4">
        <f ca="1">$K$454*$Y$454</f>
        <v>112877.36068262029</v>
      </c>
      <c r="AF454" s="4">
        <f ca="1">$M$454*$Z$454</f>
        <v>0</v>
      </c>
      <c r="AG454" s="4">
        <f>$O$454*$AA$454</f>
        <v>0</v>
      </c>
    </row>
    <row r="455" spans="1:33" ht="11.25" customHeight="1" x14ac:dyDescent="0.25">
      <c r="A455" s="3" t="s">
        <v>21</v>
      </c>
      <c r="B455" s="3" t="s">
        <v>33</v>
      </c>
      <c r="C455" s="3" t="s">
        <v>42</v>
      </c>
      <c r="D455" s="3" t="s">
        <v>40</v>
      </c>
      <c r="E455" s="3" t="s">
        <v>25</v>
      </c>
      <c r="F455" s="3" t="s">
        <v>60</v>
      </c>
      <c r="G455" s="3" t="s">
        <v>25</v>
      </c>
      <c r="H455" s="3" t="s">
        <v>36</v>
      </c>
      <c r="I455" s="6">
        <v>44348</v>
      </c>
      <c r="J455" s="4">
        <v>12806</v>
      </c>
      <c r="K455" s="4">
        <v>5134.5000052200003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3" t="s">
        <v>57</v>
      </c>
      <c r="R455" s="3">
        <v>0</v>
      </c>
      <c r="S455" s="4">
        <v>87</v>
      </c>
      <c r="T455" s="4">
        <v>0</v>
      </c>
      <c r="U455" s="4">
        <v>0</v>
      </c>
      <c r="V455" s="4">
        <f>IF(ISERROR(VLOOKUP($S$455,'TAR FIN'!$A$1:$O$99,15,0)),0,VLOOKUP($S$455,'TAR FIN'!$A$1:$O$99,15,0))</f>
        <v>21.85</v>
      </c>
      <c r="W455" s="4">
        <f>IF(ISERROR(VLOOKUP($T$455,'TAR FIN'!$A$1:$O$99,15,0)),0,VLOOKUP($T$455,'TAR FIN'!$A$1:$O$99,15,0))</f>
        <v>0</v>
      </c>
      <c r="X455" s="4">
        <f>IF(ISERROR(VLOOKUP($U$455,'TAR FIN'!$A$1:$O$99,15,0)),0,VLOOKUP($U$455,'TAR FIN'!$A$1:$O$99,15,0))</f>
        <v>0</v>
      </c>
      <c r="Y455" s="4">
        <f ca="1">('TUSD BE'!$AM$14+'TUSD BF'!$AM$14+'TUSD CVA'!$AM$14)*1</f>
        <v>24.669398821277586</v>
      </c>
      <c r="Z455" s="4">
        <f ca="1">('TUSD BE'!$AM$15+'TUSD BF'!$AM$15+'TUSD CVA'!$AM$15)*1</f>
        <v>117.59114529324071</v>
      </c>
      <c r="AA455" s="4"/>
      <c r="AB455" s="4">
        <f>$K$455*$V$455</f>
        <v>112188.82511405701</v>
      </c>
      <c r="AC455" s="4">
        <f>$M$455*$W$455</f>
        <v>0</v>
      </c>
      <c r="AD455" s="4">
        <f>$O$455*$X$455</f>
        <v>0</v>
      </c>
      <c r="AE455" s="4">
        <f ca="1">$K$455*$Y$455</f>
        <v>126665.02837662403</v>
      </c>
      <c r="AF455" s="4">
        <f ca="1">$M$455*$Z$455</f>
        <v>0</v>
      </c>
      <c r="AG455" s="4">
        <f>$O$455*$AA$455</f>
        <v>0</v>
      </c>
    </row>
    <row r="456" spans="1:33" ht="11.25" customHeight="1" x14ac:dyDescent="0.25">
      <c r="A456" s="3" t="s">
        <v>21</v>
      </c>
      <c r="B456" s="3" t="s">
        <v>33</v>
      </c>
      <c r="C456" s="3" t="s">
        <v>42</v>
      </c>
      <c r="D456" s="3" t="s">
        <v>40</v>
      </c>
      <c r="E456" s="3" t="s">
        <v>25</v>
      </c>
      <c r="F456" s="3" t="s">
        <v>60</v>
      </c>
      <c r="G456" s="3" t="s">
        <v>25</v>
      </c>
      <c r="H456" s="3" t="s">
        <v>36</v>
      </c>
      <c r="I456" s="6">
        <v>44378</v>
      </c>
      <c r="J456" s="4">
        <v>14440</v>
      </c>
      <c r="K456" s="4">
        <v>5777.5833460000003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3" t="s">
        <v>57</v>
      </c>
      <c r="R456" s="3">
        <v>0</v>
      </c>
      <c r="S456" s="4">
        <v>87</v>
      </c>
      <c r="T456" s="4">
        <v>0</v>
      </c>
      <c r="U456" s="4">
        <v>0</v>
      </c>
      <c r="V456" s="4">
        <f>IF(ISERROR(VLOOKUP($S$456,'TAR FIN'!$A$1:$O$99,15,0)),0,VLOOKUP($S$456,'TAR FIN'!$A$1:$O$99,15,0))</f>
        <v>21.85</v>
      </c>
      <c r="W456" s="4">
        <f>IF(ISERROR(VLOOKUP($T$456,'TAR FIN'!$A$1:$O$99,15,0)),0,VLOOKUP($T$456,'TAR FIN'!$A$1:$O$99,15,0))</f>
        <v>0</v>
      </c>
      <c r="X456" s="4">
        <f>IF(ISERROR(VLOOKUP($U$456,'TAR FIN'!$A$1:$O$99,15,0)),0,VLOOKUP($U$456,'TAR FIN'!$A$1:$O$99,15,0))</f>
        <v>0</v>
      </c>
      <c r="Y456" s="4">
        <f ca="1">('TUSD BE'!$AM$14+'TUSD BF'!$AM$14+'TUSD CVA'!$AM$14)*1</f>
        <v>24.669398821277586</v>
      </c>
      <c r="Z456" s="4">
        <f ca="1">('TUSD BE'!$AM$15+'TUSD BF'!$AM$15+'TUSD CVA'!$AM$15)*1</f>
        <v>117.59114529324071</v>
      </c>
      <c r="AA456" s="4"/>
      <c r="AB456" s="4">
        <f>$K$456*$V$456</f>
        <v>126240.19611010002</v>
      </c>
      <c r="AC456" s="4">
        <f>$M$456*$W$456</f>
        <v>0</v>
      </c>
      <c r="AD456" s="4">
        <f>$O$456*$X$456</f>
        <v>0</v>
      </c>
      <c r="AE456" s="4">
        <f ca="1">$K$456*$Y$456</f>
        <v>142529.50778564543</v>
      </c>
      <c r="AF456" s="4">
        <f ca="1">$M$456*$Z$456</f>
        <v>0</v>
      </c>
      <c r="AG456" s="4">
        <f>$O$456*$AA$456</f>
        <v>0</v>
      </c>
    </row>
    <row r="457" spans="1:33" ht="11.25" customHeight="1" x14ac:dyDescent="0.25">
      <c r="A457" s="3" t="s">
        <v>21</v>
      </c>
      <c r="B457" s="3" t="s">
        <v>33</v>
      </c>
      <c r="C457" s="3" t="s">
        <v>42</v>
      </c>
      <c r="D457" s="3" t="s">
        <v>40</v>
      </c>
      <c r="E457" s="3" t="s">
        <v>25</v>
      </c>
      <c r="F457" s="3" t="s">
        <v>60</v>
      </c>
      <c r="G457" s="3" t="s">
        <v>25</v>
      </c>
      <c r="H457" s="3" t="s">
        <v>36</v>
      </c>
      <c r="I457" s="6">
        <v>44409</v>
      </c>
      <c r="J457" s="4">
        <v>16638</v>
      </c>
      <c r="K457" s="4">
        <v>7136.5000708799998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3" t="s">
        <v>57</v>
      </c>
      <c r="R457" s="3">
        <v>0</v>
      </c>
      <c r="S457" s="4">
        <v>87</v>
      </c>
      <c r="T457" s="4">
        <v>0</v>
      </c>
      <c r="U457" s="4">
        <v>0</v>
      </c>
      <c r="V457" s="4">
        <f>IF(ISERROR(VLOOKUP($S$457,'TAR FIN'!$A$1:$O$99,15,0)),0,VLOOKUP($S$457,'TAR FIN'!$A$1:$O$99,15,0))</f>
        <v>21.85</v>
      </c>
      <c r="W457" s="4">
        <f>IF(ISERROR(VLOOKUP($T$457,'TAR FIN'!$A$1:$O$99,15,0)),0,VLOOKUP($T$457,'TAR FIN'!$A$1:$O$99,15,0))</f>
        <v>0</v>
      </c>
      <c r="X457" s="4">
        <f>IF(ISERROR(VLOOKUP($U$457,'TAR FIN'!$A$1:$O$99,15,0)),0,VLOOKUP($U$457,'TAR FIN'!$A$1:$O$99,15,0))</f>
        <v>0</v>
      </c>
      <c r="Y457" s="4">
        <f ca="1">('TUSD BE'!$AM$14+'TUSD BF'!$AM$14+'TUSD CVA'!$AM$14)*1</f>
        <v>24.669398821277586</v>
      </c>
      <c r="Z457" s="4">
        <f ca="1">('TUSD BE'!$AM$15+'TUSD BF'!$AM$15+'TUSD CVA'!$AM$15)*1</f>
        <v>117.59114529324071</v>
      </c>
      <c r="AA457" s="4"/>
      <c r="AB457" s="4">
        <f>$K$457*$V$457</f>
        <v>155932.526548728</v>
      </c>
      <c r="AC457" s="4">
        <f>$M$457*$W$457</f>
        <v>0</v>
      </c>
      <c r="AD457" s="4">
        <f>$O$457*$X$457</f>
        <v>0</v>
      </c>
      <c r="AE457" s="4">
        <f ca="1">$K$457*$Y$457</f>
        <v>176053.16643661447</v>
      </c>
      <c r="AF457" s="4">
        <f ca="1">$M$457*$Z$457</f>
        <v>0</v>
      </c>
      <c r="AG457" s="4">
        <f>$O$457*$AA$457</f>
        <v>0</v>
      </c>
    </row>
    <row r="458" spans="1:33" ht="11.25" customHeight="1" x14ac:dyDescent="0.25">
      <c r="A458" s="3" t="s">
        <v>21</v>
      </c>
      <c r="B458" s="3" t="s">
        <v>33</v>
      </c>
      <c r="C458" s="3" t="s">
        <v>42</v>
      </c>
      <c r="D458" s="3" t="s">
        <v>40</v>
      </c>
      <c r="E458" s="3" t="s">
        <v>25</v>
      </c>
      <c r="F458" s="3" t="s">
        <v>60</v>
      </c>
      <c r="G458" s="3" t="s">
        <v>25</v>
      </c>
      <c r="H458" s="3" t="s">
        <v>36</v>
      </c>
      <c r="I458" s="6">
        <v>44440</v>
      </c>
      <c r="J458" s="4">
        <v>16596</v>
      </c>
      <c r="K458" s="4">
        <v>6355.4322254400004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3" t="s">
        <v>57</v>
      </c>
      <c r="R458" s="3">
        <v>0</v>
      </c>
      <c r="S458" s="4">
        <v>87</v>
      </c>
      <c r="T458" s="4">
        <v>0</v>
      </c>
      <c r="U458" s="4">
        <v>0</v>
      </c>
      <c r="V458" s="4">
        <f>IF(ISERROR(VLOOKUP($S$458,'TAR FIN'!$A$1:$O$99,15,0)),0,VLOOKUP($S$458,'TAR FIN'!$A$1:$O$99,15,0))</f>
        <v>21.85</v>
      </c>
      <c r="W458" s="4">
        <f>IF(ISERROR(VLOOKUP($T$458,'TAR FIN'!$A$1:$O$99,15,0)),0,VLOOKUP($T$458,'TAR FIN'!$A$1:$O$99,15,0))</f>
        <v>0</v>
      </c>
      <c r="X458" s="4">
        <f>IF(ISERROR(VLOOKUP($U$458,'TAR FIN'!$A$1:$O$99,15,0)),0,VLOOKUP($U$458,'TAR FIN'!$A$1:$O$99,15,0))</f>
        <v>0</v>
      </c>
      <c r="Y458" s="4">
        <f ca="1">('TUSD BE'!$AM$14+'TUSD BF'!$AM$14+'TUSD CVA'!$AM$14)*1</f>
        <v>24.669398821277586</v>
      </c>
      <c r="Z458" s="4">
        <f ca="1">('TUSD BE'!$AM$15+'TUSD BF'!$AM$15+'TUSD CVA'!$AM$15)*1</f>
        <v>117.59114529324071</v>
      </c>
      <c r="AA458" s="4"/>
      <c r="AB458" s="4">
        <f>$K$458*$V$458</f>
        <v>138866.19412586401</v>
      </c>
      <c r="AC458" s="4">
        <f>$M$458*$W$458</f>
        <v>0</v>
      </c>
      <c r="AD458" s="4">
        <f>$O$458*$X$458</f>
        <v>0</v>
      </c>
      <c r="AE458" s="4">
        <f ca="1">$K$458*$Y$458</f>
        <v>156784.69225097913</v>
      </c>
      <c r="AF458" s="4">
        <f ca="1">$M$458*$Z$458</f>
        <v>0</v>
      </c>
      <c r="AG458" s="4">
        <f>$O$458*$AA$458</f>
        <v>0</v>
      </c>
    </row>
    <row r="459" spans="1:33" ht="11.25" customHeight="1" x14ac:dyDescent="0.25">
      <c r="A459" s="3" t="s">
        <v>21</v>
      </c>
      <c r="B459" s="3" t="s">
        <v>33</v>
      </c>
      <c r="C459" s="3" t="s">
        <v>42</v>
      </c>
      <c r="D459" s="3" t="s">
        <v>40</v>
      </c>
      <c r="E459" s="3" t="s">
        <v>25</v>
      </c>
      <c r="F459" s="3" t="s">
        <v>60</v>
      </c>
      <c r="G459" s="3" t="s">
        <v>25</v>
      </c>
      <c r="H459" s="3" t="s">
        <v>36</v>
      </c>
      <c r="I459" s="6">
        <v>44470</v>
      </c>
      <c r="J459" s="4">
        <v>17990</v>
      </c>
      <c r="K459" s="4">
        <v>7682.4999719999996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3" t="s">
        <v>57</v>
      </c>
      <c r="R459" s="3">
        <v>0</v>
      </c>
      <c r="S459" s="4">
        <v>87</v>
      </c>
      <c r="T459" s="4">
        <v>0</v>
      </c>
      <c r="U459" s="4">
        <v>0</v>
      </c>
      <c r="V459" s="4">
        <f>IF(ISERROR(VLOOKUP($S$459,'TAR FIN'!$A$1:$O$99,15,0)),0,VLOOKUP($S$459,'TAR FIN'!$A$1:$O$99,15,0))</f>
        <v>21.85</v>
      </c>
      <c r="W459" s="4">
        <f>IF(ISERROR(VLOOKUP($T$459,'TAR FIN'!$A$1:$O$99,15,0)),0,VLOOKUP($T$459,'TAR FIN'!$A$1:$O$99,15,0))</f>
        <v>0</v>
      </c>
      <c r="X459" s="4">
        <f>IF(ISERROR(VLOOKUP($U$459,'TAR FIN'!$A$1:$O$99,15,0)),0,VLOOKUP($U$459,'TAR FIN'!$A$1:$O$99,15,0))</f>
        <v>0</v>
      </c>
      <c r="Y459" s="4">
        <f ca="1">('TUSD BE'!$AM$14+'TUSD BF'!$AM$14+'TUSD CVA'!$AM$14)*1</f>
        <v>24.669398821277586</v>
      </c>
      <c r="Z459" s="4">
        <f ca="1">('TUSD BE'!$AM$15+'TUSD BF'!$AM$15+'TUSD CVA'!$AM$15)*1</f>
        <v>117.59114529324071</v>
      </c>
      <c r="AA459" s="4"/>
      <c r="AB459" s="4">
        <f>$K$459*$V$459</f>
        <v>167862.6243882</v>
      </c>
      <c r="AC459" s="4">
        <f>$M$459*$W$459</f>
        <v>0</v>
      </c>
      <c r="AD459" s="4">
        <f>$O$459*$X$459</f>
        <v>0</v>
      </c>
      <c r="AE459" s="4">
        <f ca="1">$K$459*$Y$459</f>
        <v>189522.65575372186</v>
      </c>
      <c r="AF459" s="4">
        <f ca="1">$M$459*$Z$459</f>
        <v>0</v>
      </c>
      <c r="AG459" s="4">
        <f>$O$459*$AA$459</f>
        <v>0</v>
      </c>
    </row>
    <row r="460" spans="1:33" ht="11.25" customHeight="1" x14ac:dyDescent="0.25">
      <c r="A460" s="3" t="s">
        <v>21</v>
      </c>
      <c r="B460" s="3" t="s">
        <v>33</v>
      </c>
      <c r="C460" s="3" t="s">
        <v>42</v>
      </c>
      <c r="D460" s="3" t="s">
        <v>40</v>
      </c>
      <c r="E460" s="3" t="s">
        <v>25</v>
      </c>
      <c r="F460" s="3" t="s">
        <v>60</v>
      </c>
      <c r="G460" s="3" t="s">
        <v>25</v>
      </c>
      <c r="H460" s="3" t="s">
        <v>36</v>
      </c>
      <c r="I460" s="6">
        <v>44501</v>
      </c>
      <c r="J460" s="4">
        <v>17616</v>
      </c>
      <c r="K460" s="4">
        <v>5862.0558854399997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3" t="s">
        <v>57</v>
      </c>
      <c r="R460" s="3">
        <v>0</v>
      </c>
      <c r="S460" s="4">
        <v>87</v>
      </c>
      <c r="T460" s="4">
        <v>0</v>
      </c>
      <c r="U460" s="4">
        <v>0</v>
      </c>
      <c r="V460" s="4">
        <f>IF(ISERROR(VLOOKUP($S$460,'TAR FIN'!$A$1:$O$99,15,0)),0,VLOOKUP($S$460,'TAR FIN'!$A$1:$O$99,15,0))</f>
        <v>21.85</v>
      </c>
      <c r="W460" s="4">
        <f>IF(ISERROR(VLOOKUP($T$460,'TAR FIN'!$A$1:$O$99,15,0)),0,VLOOKUP($T$460,'TAR FIN'!$A$1:$O$99,15,0))</f>
        <v>0</v>
      </c>
      <c r="X460" s="4">
        <f>IF(ISERROR(VLOOKUP($U$460,'TAR FIN'!$A$1:$O$99,15,0)),0,VLOOKUP($U$460,'TAR FIN'!$A$1:$O$99,15,0))</f>
        <v>0</v>
      </c>
      <c r="Y460" s="4">
        <f ca="1">('TUSD BE'!$AM$14+'TUSD BF'!$AM$14+'TUSD CVA'!$AM$14)*1</f>
        <v>24.669398821277586</v>
      </c>
      <c r="Z460" s="4">
        <f ca="1">('TUSD BE'!$AM$15+'TUSD BF'!$AM$15+'TUSD CVA'!$AM$15)*1</f>
        <v>117.59114529324071</v>
      </c>
      <c r="AA460" s="4"/>
      <c r="AB460" s="4">
        <f>$K$460*$V$460</f>
        <v>128085.921096864</v>
      </c>
      <c r="AC460" s="4">
        <f>$M$460*$W$460</f>
        <v>0</v>
      </c>
      <c r="AD460" s="4">
        <f>$O$460*$X$460</f>
        <v>0</v>
      </c>
      <c r="AE460" s="4">
        <f ca="1">$K$460*$Y$460</f>
        <v>144613.39455053688</v>
      </c>
      <c r="AF460" s="4">
        <f ca="1">$M$460*$Z$460</f>
        <v>0</v>
      </c>
      <c r="AG460" s="4">
        <f>$O$460*$AA$460</f>
        <v>0</v>
      </c>
    </row>
    <row r="461" spans="1:33" ht="11.25" customHeight="1" x14ac:dyDescent="0.25">
      <c r="A461" s="3" t="s">
        <v>21</v>
      </c>
      <c r="B461" s="3" t="s">
        <v>33</v>
      </c>
      <c r="C461" s="3" t="s">
        <v>42</v>
      </c>
      <c r="D461" s="3" t="s">
        <v>40</v>
      </c>
      <c r="E461" s="3" t="s">
        <v>25</v>
      </c>
      <c r="F461" s="3" t="s">
        <v>60</v>
      </c>
      <c r="G461" s="3" t="s">
        <v>25</v>
      </c>
      <c r="H461" s="3" t="s">
        <v>36</v>
      </c>
      <c r="I461" s="6">
        <v>44531</v>
      </c>
      <c r="J461" s="4">
        <v>18413</v>
      </c>
      <c r="K461" s="4">
        <v>7289.0000090599997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3" t="s">
        <v>57</v>
      </c>
      <c r="R461" s="3">
        <v>0</v>
      </c>
      <c r="S461" s="4">
        <v>87</v>
      </c>
      <c r="T461" s="4">
        <v>0</v>
      </c>
      <c r="U461" s="4">
        <v>0</v>
      </c>
      <c r="V461" s="4">
        <f>IF(ISERROR(VLOOKUP($S$461,'TAR FIN'!$A$1:$O$99,15,0)),0,VLOOKUP($S$461,'TAR FIN'!$A$1:$O$99,15,0))</f>
        <v>21.85</v>
      </c>
      <c r="W461" s="4">
        <f>IF(ISERROR(VLOOKUP($T$461,'TAR FIN'!$A$1:$O$99,15,0)),0,VLOOKUP($T$461,'TAR FIN'!$A$1:$O$99,15,0))</f>
        <v>0</v>
      </c>
      <c r="X461" s="4">
        <f>IF(ISERROR(VLOOKUP($U$461,'TAR FIN'!$A$1:$O$99,15,0)),0,VLOOKUP($U$461,'TAR FIN'!$A$1:$O$99,15,0))</f>
        <v>0</v>
      </c>
      <c r="Y461" s="4">
        <f ca="1">('TUSD BE'!$AM$14+'TUSD BF'!$AM$14+'TUSD CVA'!$AM$14)*1</f>
        <v>24.669398821277586</v>
      </c>
      <c r="Z461" s="4">
        <f ca="1">('TUSD BE'!$AM$15+'TUSD BF'!$AM$15+'TUSD CVA'!$AM$15)*1</f>
        <v>117.59114529324071</v>
      </c>
      <c r="AA461" s="4"/>
      <c r="AB461" s="4">
        <f>$K$461*$V$461</f>
        <v>159264.65019796099</v>
      </c>
      <c r="AC461" s="4">
        <f>$M$461*$W$461</f>
        <v>0</v>
      </c>
      <c r="AD461" s="4">
        <f>$O$461*$X$461</f>
        <v>0</v>
      </c>
      <c r="AE461" s="4">
        <f ca="1">$K$461*$Y$461</f>
        <v>179815.24823179707</v>
      </c>
      <c r="AF461" s="4">
        <f ca="1">$M$461*$Z$461</f>
        <v>0</v>
      </c>
      <c r="AG461" s="4">
        <f>$O$461*$AA$461</f>
        <v>0</v>
      </c>
    </row>
    <row r="462" spans="1:33" ht="11.25" customHeight="1" x14ac:dyDescent="0.25">
      <c r="A462" s="3" t="s">
        <v>21</v>
      </c>
      <c r="B462" s="3" t="s">
        <v>33</v>
      </c>
      <c r="C462" s="3" t="s">
        <v>42</v>
      </c>
      <c r="D462" s="3" t="s">
        <v>40</v>
      </c>
      <c r="E462" s="3" t="s">
        <v>25</v>
      </c>
      <c r="F462" s="3" t="s">
        <v>60</v>
      </c>
      <c r="G462" s="3" t="s">
        <v>25</v>
      </c>
      <c r="H462" s="3" t="s">
        <v>36</v>
      </c>
      <c r="I462" s="6">
        <v>44562</v>
      </c>
      <c r="J462" s="4">
        <v>18542</v>
      </c>
      <c r="K462" s="4">
        <v>7958.5000799199997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3" t="s">
        <v>57</v>
      </c>
      <c r="R462" s="3">
        <v>0</v>
      </c>
      <c r="S462" s="4">
        <v>87</v>
      </c>
      <c r="T462" s="4">
        <v>0</v>
      </c>
      <c r="U462" s="4">
        <v>0</v>
      </c>
      <c r="V462" s="4">
        <f>IF(ISERROR(VLOOKUP($S$462,'TAR FIN'!$A$1:$O$99,15,0)),0,VLOOKUP($S$462,'TAR FIN'!$A$1:$O$99,15,0))</f>
        <v>21.85</v>
      </c>
      <c r="W462" s="4">
        <f>IF(ISERROR(VLOOKUP($T$462,'TAR FIN'!$A$1:$O$99,15,0)),0,VLOOKUP($T$462,'TAR FIN'!$A$1:$O$99,15,0))</f>
        <v>0</v>
      </c>
      <c r="X462" s="4">
        <f>IF(ISERROR(VLOOKUP($U$462,'TAR FIN'!$A$1:$O$99,15,0)),0,VLOOKUP($U$462,'TAR FIN'!$A$1:$O$99,15,0))</f>
        <v>0</v>
      </c>
      <c r="Y462" s="4">
        <f ca="1">('TUSD BE'!$AM$14+'TUSD BF'!$AM$14+'TUSD CVA'!$AM$14)*1</f>
        <v>24.669398821277586</v>
      </c>
      <c r="Z462" s="4">
        <f ca="1">('TUSD BE'!$AM$15+'TUSD BF'!$AM$15+'TUSD CVA'!$AM$15)*1</f>
        <v>117.59114529324071</v>
      </c>
      <c r="AA462" s="4"/>
      <c r="AB462" s="4">
        <f>$K$462*$V$462</f>
        <v>173893.22674625201</v>
      </c>
      <c r="AC462" s="4">
        <f>$M$462*$W$462</f>
        <v>0</v>
      </c>
      <c r="AD462" s="4">
        <f>$O$462*$X$462</f>
        <v>0</v>
      </c>
      <c r="AE462" s="4">
        <f ca="1">$K$462*$Y$462</f>
        <v>196331.412490716</v>
      </c>
      <c r="AF462" s="4">
        <f ca="1">$M$462*$Z$462</f>
        <v>0</v>
      </c>
      <c r="AG462" s="4">
        <f>$O$462*$AA$462</f>
        <v>0</v>
      </c>
    </row>
    <row r="463" spans="1:33" ht="11.25" customHeight="1" x14ac:dyDescent="0.25">
      <c r="A463" s="3" t="s">
        <v>21</v>
      </c>
      <c r="B463" s="3" t="s">
        <v>33</v>
      </c>
      <c r="C463" s="3" t="s">
        <v>42</v>
      </c>
      <c r="D463" s="3" t="s">
        <v>40</v>
      </c>
      <c r="E463" s="3" t="s">
        <v>25</v>
      </c>
      <c r="F463" s="3" t="s">
        <v>60</v>
      </c>
      <c r="G463" s="3" t="s">
        <v>25</v>
      </c>
      <c r="H463" s="3" t="s">
        <v>36</v>
      </c>
      <c r="I463" s="6">
        <v>44593</v>
      </c>
      <c r="J463" s="4">
        <v>19122</v>
      </c>
      <c r="K463" s="4">
        <v>8248.4999571600001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3" t="s">
        <v>57</v>
      </c>
      <c r="R463" s="3">
        <v>0</v>
      </c>
      <c r="S463" s="4">
        <v>87</v>
      </c>
      <c r="T463" s="4">
        <v>0</v>
      </c>
      <c r="U463" s="4">
        <v>0</v>
      </c>
      <c r="V463" s="4">
        <f>IF(ISERROR(VLOOKUP($S$463,'TAR FIN'!$A$1:$O$99,15,0)),0,VLOOKUP($S$463,'TAR FIN'!$A$1:$O$99,15,0))</f>
        <v>21.85</v>
      </c>
      <c r="W463" s="4">
        <f>IF(ISERROR(VLOOKUP($T$463,'TAR FIN'!$A$1:$O$99,15,0)),0,VLOOKUP($T$463,'TAR FIN'!$A$1:$O$99,15,0))</f>
        <v>0</v>
      </c>
      <c r="X463" s="4">
        <f>IF(ISERROR(VLOOKUP($U$463,'TAR FIN'!$A$1:$O$99,15,0)),0,VLOOKUP($U$463,'TAR FIN'!$A$1:$O$99,15,0))</f>
        <v>0</v>
      </c>
      <c r="Y463" s="4">
        <f ca="1">('TUSD BE'!$AM$14+'TUSD BF'!$AM$14+'TUSD CVA'!$AM$14)*1</f>
        <v>24.669398821277586</v>
      </c>
      <c r="Z463" s="4">
        <f ca="1">('TUSD BE'!$AM$15+'TUSD BF'!$AM$15+'TUSD CVA'!$AM$15)*1</f>
        <v>117.59114529324071</v>
      </c>
      <c r="AA463" s="4"/>
      <c r="AB463" s="4">
        <f>$K$463*$V$463</f>
        <v>180229.72406394602</v>
      </c>
      <c r="AC463" s="4">
        <f>$M$463*$W$463</f>
        <v>0</v>
      </c>
      <c r="AD463" s="4">
        <f>$O$463*$X$463</f>
        <v>0</v>
      </c>
      <c r="AE463" s="4">
        <f ca="1">$K$463*$Y$463</f>
        <v>203485.53512047112</v>
      </c>
      <c r="AF463" s="4">
        <f ca="1">$M$463*$Z$463</f>
        <v>0</v>
      </c>
      <c r="AG463" s="4">
        <f>$O$463*$AA$463</f>
        <v>0</v>
      </c>
    </row>
    <row r="464" spans="1:33" ht="11.25" customHeight="1" x14ac:dyDescent="0.25">
      <c r="A464" s="3" t="s">
        <v>21</v>
      </c>
      <c r="B464" s="3" t="s">
        <v>33</v>
      </c>
      <c r="C464" s="3" t="s">
        <v>42</v>
      </c>
      <c r="D464" s="3" t="s">
        <v>40</v>
      </c>
      <c r="E464" s="3" t="s">
        <v>25</v>
      </c>
      <c r="F464" s="3" t="s">
        <v>60</v>
      </c>
      <c r="G464" s="3" t="s">
        <v>25</v>
      </c>
      <c r="H464" s="3" t="s">
        <v>36</v>
      </c>
      <c r="I464" s="6">
        <v>44621</v>
      </c>
      <c r="J464" s="4">
        <v>19895</v>
      </c>
      <c r="K464" s="4">
        <v>8634.9999917500008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3" t="s">
        <v>57</v>
      </c>
      <c r="R464" s="3">
        <v>0</v>
      </c>
      <c r="S464" s="4">
        <v>87</v>
      </c>
      <c r="T464" s="4">
        <v>0</v>
      </c>
      <c r="U464" s="4">
        <v>0</v>
      </c>
      <c r="V464" s="4">
        <f>IF(ISERROR(VLOOKUP($S$464,'TAR FIN'!$A$1:$O$99,15,0)),0,VLOOKUP($S$464,'TAR FIN'!$A$1:$O$99,15,0))</f>
        <v>21.85</v>
      </c>
      <c r="W464" s="4">
        <f>IF(ISERROR(VLOOKUP($T$464,'TAR FIN'!$A$1:$O$99,15,0)),0,VLOOKUP($T$464,'TAR FIN'!$A$1:$O$99,15,0))</f>
        <v>0</v>
      </c>
      <c r="X464" s="4">
        <f>IF(ISERROR(VLOOKUP($U$464,'TAR FIN'!$A$1:$O$99,15,0)),0,VLOOKUP($U$464,'TAR FIN'!$A$1:$O$99,15,0))</f>
        <v>0</v>
      </c>
      <c r="Y464" s="4">
        <f ca="1">('TUSD BE'!$AM$14+'TUSD BF'!$AM$14+'TUSD CVA'!$AM$14)*1</f>
        <v>24.669398821277586</v>
      </c>
      <c r="Z464" s="4">
        <f ca="1">('TUSD BE'!$AM$15+'TUSD BF'!$AM$15+'TUSD CVA'!$AM$15)*1</f>
        <v>117.59114529324071</v>
      </c>
      <c r="AA464" s="4"/>
      <c r="AB464" s="4">
        <f>$K$464*$V$464</f>
        <v>188674.74981973754</v>
      </c>
      <c r="AC464" s="4">
        <f>$M$464*$W$464</f>
        <v>0</v>
      </c>
      <c r="AD464" s="4">
        <f>$O$464*$X$464</f>
        <v>0</v>
      </c>
      <c r="AE464" s="4">
        <f ca="1">$K$464*$Y$464</f>
        <v>213020.25861820942</v>
      </c>
      <c r="AF464" s="4">
        <f ca="1">$M$464*$Z$464</f>
        <v>0</v>
      </c>
      <c r="AG464" s="4">
        <f>$O$464*$AA$464</f>
        <v>0</v>
      </c>
    </row>
    <row r="465" spans="1:33" ht="11.25" customHeight="1" x14ac:dyDescent="0.25">
      <c r="A465" s="3" t="s">
        <v>56</v>
      </c>
      <c r="B465" s="3" t="s">
        <v>33</v>
      </c>
      <c r="C465" s="3" t="s">
        <v>42</v>
      </c>
      <c r="D465" s="3" t="s">
        <v>40</v>
      </c>
      <c r="E465" s="3" t="s">
        <v>25</v>
      </c>
      <c r="F465" s="3" t="s">
        <v>60</v>
      </c>
      <c r="G465" s="3" t="s">
        <v>25</v>
      </c>
      <c r="H465" s="3" t="s">
        <v>36</v>
      </c>
      <c r="I465" s="6">
        <v>44652</v>
      </c>
      <c r="J465" s="4">
        <v>19895</v>
      </c>
      <c r="K465" s="4">
        <v>8634.9999917500008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3" t="s">
        <v>57</v>
      </c>
      <c r="R465" s="3">
        <v>0</v>
      </c>
      <c r="S465" s="4">
        <v>87</v>
      </c>
      <c r="T465" s="4">
        <v>0</v>
      </c>
      <c r="U465" s="4">
        <v>0</v>
      </c>
      <c r="V465" s="4">
        <f>IF(ISERROR(VLOOKUP($S$465,'TAR FIN'!$A$1:$O$99,15,0)),0,VLOOKUP($S$465,'TAR FIN'!$A$1:$O$99,15,0))</f>
        <v>21.85</v>
      </c>
      <c r="W465" s="4">
        <f>IF(ISERROR(VLOOKUP($T$465,'TAR FIN'!$A$1:$O$99,15,0)),0,VLOOKUP($T$465,'TAR FIN'!$A$1:$O$99,15,0))</f>
        <v>0</v>
      </c>
      <c r="X465" s="4">
        <f>IF(ISERROR(VLOOKUP($U$465,'TAR FIN'!$A$1:$O$99,15,0)),0,VLOOKUP($U$465,'TAR FIN'!$A$1:$O$99,15,0))</f>
        <v>0</v>
      </c>
      <c r="Y465" s="4">
        <f ca="1">('TUSD BE'!$AM$14+'TUSD BF'!$AM$14+'TUSD CVA'!$AM$14)*1</f>
        <v>24.669398821277586</v>
      </c>
      <c r="Z465" s="4">
        <f ca="1">('TUSD BE'!$AM$15+'TUSD BF'!$AM$15+'TUSD CVA'!$AM$15)*1</f>
        <v>117.59114529324071</v>
      </c>
      <c r="AA465" s="4"/>
      <c r="AB465" s="4">
        <f>$K$465*$V$465</f>
        <v>188674.74981973754</v>
      </c>
      <c r="AC465" s="4">
        <f>$M$465*$W$465</f>
        <v>0</v>
      </c>
      <c r="AD465" s="4">
        <f>$O$465*$X$465</f>
        <v>0</v>
      </c>
      <c r="AE465" s="4">
        <f ca="1">$K$465*$Y$465</f>
        <v>213020.25861820942</v>
      </c>
      <c r="AF465" s="4">
        <f ca="1">$M$465*$Z$465</f>
        <v>0</v>
      </c>
      <c r="AG465" s="4">
        <f>$O$465*$AA$465</f>
        <v>0</v>
      </c>
    </row>
    <row r="466" spans="1:33" ht="11.25" customHeight="1" x14ac:dyDescent="0.25">
      <c r="A466" s="3" t="s">
        <v>21</v>
      </c>
      <c r="B466" s="3" t="s">
        <v>33</v>
      </c>
      <c r="C466" s="3" t="s">
        <v>42</v>
      </c>
      <c r="D466" s="3" t="s">
        <v>40</v>
      </c>
      <c r="E466" s="3" t="s">
        <v>25</v>
      </c>
      <c r="F466" s="3" t="s">
        <v>60</v>
      </c>
      <c r="G466" s="3" t="s">
        <v>25</v>
      </c>
      <c r="H466" s="3" t="s">
        <v>25</v>
      </c>
      <c r="I466" s="6">
        <v>44317</v>
      </c>
      <c r="J466" s="4">
        <v>0</v>
      </c>
      <c r="K466" s="4">
        <v>0</v>
      </c>
      <c r="L466" s="4">
        <v>4198.491</v>
      </c>
      <c r="M466" s="4">
        <v>4198.491</v>
      </c>
      <c r="N466" s="4">
        <v>0</v>
      </c>
      <c r="O466" s="4">
        <v>0</v>
      </c>
      <c r="P466" s="4">
        <v>22</v>
      </c>
      <c r="Q466" s="3" t="s">
        <v>57</v>
      </c>
      <c r="R466" s="3">
        <v>0</v>
      </c>
      <c r="S466" s="4">
        <v>0</v>
      </c>
      <c r="T466" s="4">
        <v>88</v>
      </c>
      <c r="U466" s="4">
        <v>0</v>
      </c>
      <c r="V466" s="4">
        <f>IF(ISERROR(VLOOKUP($S$466,'TAR FIN'!$A$1:$O$99,15,0)),0,VLOOKUP($S$466,'TAR FIN'!$A$1:$O$99,15,0))</f>
        <v>0</v>
      </c>
      <c r="W466" s="4">
        <f>IF(ISERROR(VLOOKUP($T$466,'TAR FIN'!$A$1:$O$99,15,0)),0,VLOOKUP($T$466,'TAR FIN'!$A$1:$O$99,15,0))</f>
        <v>97.61</v>
      </c>
      <c r="X466" s="4">
        <f>IF(ISERROR(VLOOKUP($U$466,'TAR FIN'!$A$1:$O$99,15,0)),0,VLOOKUP($U$466,'TAR FIN'!$A$1:$O$99,15,0))</f>
        <v>0</v>
      </c>
      <c r="Y466" s="4"/>
      <c r="Z466" s="4">
        <f ca="1">('TUSD BE'!$AM$15+'TUSD BF'!$AM$15+'TUSD CVA'!$AM$15)*1</f>
        <v>117.59114529324071</v>
      </c>
      <c r="AA466" s="4"/>
      <c r="AB466" s="4">
        <f>$K$466*$V$466</f>
        <v>0</v>
      </c>
      <c r="AC466" s="4">
        <f>$M$466*$W$466</f>
        <v>409814.70650999999</v>
      </c>
      <c r="AD466" s="4">
        <f>$O$466*$X$466</f>
        <v>0</v>
      </c>
      <c r="AE466" s="4">
        <f>$K$466*$Y$466</f>
        <v>0</v>
      </c>
      <c r="AF466" s="4">
        <f ca="1">$M$466*$Z$466</f>
        <v>493705.36519336351</v>
      </c>
      <c r="AG466" s="4">
        <f>$O$466*$AA$466</f>
        <v>0</v>
      </c>
    </row>
    <row r="467" spans="1:33" ht="11.25" customHeight="1" x14ac:dyDescent="0.25">
      <c r="A467" s="3" t="s">
        <v>21</v>
      </c>
      <c r="B467" s="3" t="s">
        <v>33</v>
      </c>
      <c r="C467" s="3" t="s">
        <v>42</v>
      </c>
      <c r="D467" s="3" t="s">
        <v>40</v>
      </c>
      <c r="E467" s="3" t="s">
        <v>25</v>
      </c>
      <c r="F467" s="3" t="s">
        <v>60</v>
      </c>
      <c r="G467" s="3" t="s">
        <v>25</v>
      </c>
      <c r="H467" s="3" t="s">
        <v>25</v>
      </c>
      <c r="I467" s="6">
        <v>44348</v>
      </c>
      <c r="J467" s="4">
        <v>0</v>
      </c>
      <c r="K467" s="4">
        <v>0</v>
      </c>
      <c r="L467" s="4">
        <v>4216.2759999999998</v>
      </c>
      <c r="M467" s="4">
        <v>4216.2759999999998</v>
      </c>
      <c r="N467" s="4">
        <v>0</v>
      </c>
      <c r="O467" s="4">
        <v>0</v>
      </c>
      <c r="P467" s="4">
        <v>24</v>
      </c>
      <c r="Q467" s="3" t="s">
        <v>57</v>
      </c>
      <c r="R467" s="3">
        <v>0</v>
      </c>
      <c r="S467" s="4">
        <v>0</v>
      </c>
      <c r="T467" s="4">
        <v>88</v>
      </c>
      <c r="U467" s="4">
        <v>0</v>
      </c>
      <c r="V467" s="4">
        <f>IF(ISERROR(VLOOKUP($S$467,'TAR FIN'!$A$1:$O$99,15,0)),0,VLOOKUP($S$467,'TAR FIN'!$A$1:$O$99,15,0))</f>
        <v>0</v>
      </c>
      <c r="W467" s="4">
        <f>IF(ISERROR(VLOOKUP($T$467,'TAR FIN'!$A$1:$O$99,15,0)),0,VLOOKUP($T$467,'TAR FIN'!$A$1:$O$99,15,0))</f>
        <v>97.61</v>
      </c>
      <c r="X467" s="4">
        <f>IF(ISERROR(VLOOKUP($U$467,'TAR FIN'!$A$1:$O$99,15,0)),0,VLOOKUP($U$467,'TAR FIN'!$A$1:$O$99,15,0))</f>
        <v>0</v>
      </c>
      <c r="Y467" s="4"/>
      <c r="Z467" s="4">
        <f ca="1">('TUSD BE'!$AM$15+'TUSD BF'!$AM$15+'TUSD CVA'!$AM$15)*1</f>
        <v>117.59114529324071</v>
      </c>
      <c r="AA467" s="4"/>
      <c r="AB467" s="4">
        <f>$K$467*$V$467</f>
        <v>0</v>
      </c>
      <c r="AC467" s="4">
        <f>$M$467*$W$467</f>
        <v>411550.70035999996</v>
      </c>
      <c r="AD467" s="4">
        <f>$O$467*$X$467</f>
        <v>0</v>
      </c>
      <c r="AE467" s="4">
        <f>$K$467*$Y$467</f>
        <v>0</v>
      </c>
      <c r="AF467" s="4">
        <f ca="1">$M$467*$Z$467</f>
        <v>495796.72371240379</v>
      </c>
      <c r="AG467" s="4">
        <f>$O$467*$AA$467</f>
        <v>0</v>
      </c>
    </row>
    <row r="468" spans="1:33" ht="11.25" customHeight="1" x14ac:dyDescent="0.25">
      <c r="A468" s="3" t="s">
        <v>21</v>
      </c>
      <c r="B468" s="3" t="s">
        <v>33</v>
      </c>
      <c r="C468" s="3" t="s">
        <v>42</v>
      </c>
      <c r="D468" s="3" t="s">
        <v>40</v>
      </c>
      <c r="E468" s="3" t="s">
        <v>25</v>
      </c>
      <c r="F468" s="3" t="s">
        <v>60</v>
      </c>
      <c r="G468" s="3" t="s">
        <v>25</v>
      </c>
      <c r="H468" s="3" t="s">
        <v>25</v>
      </c>
      <c r="I468" s="6">
        <v>44378</v>
      </c>
      <c r="J468" s="4">
        <v>0</v>
      </c>
      <c r="K468" s="4">
        <v>0</v>
      </c>
      <c r="L468" s="4">
        <v>5093.99</v>
      </c>
      <c r="M468" s="4">
        <v>5093.99</v>
      </c>
      <c r="N468" s="4">
        <v>0</v>
      </c>
      <c r="O468" s="4">
        <v>0</v>
      </c>
      <c r="P468" s="4">
        <v>24</v>
      </c>
      <c r="Q468" s="3" t="s">
        <v>57</v>
      </c>
      <c r="R468" s="3">
        <v>0</v>
      </c>
      <c r="S468" s="4">
        <v>0</v>
      </c>
      <c r="T468" s="4">
        <v>88</v>
      </c>
      <c r="U468" s="4">
        <v>0</v>
      </c>
      <c r="V468" s="4">
        <f>IF(ISERROR(VLOOKUP($S$468,'TAR FIN'!$A$1:$O$99,15,0)),0,VLOOKUP($S$468,'TAR FIN'!$A$1:$O$99,15,0))</f>
        <v>0</v>
      </c>
      <c r="W468" s="4">
        <f>IF(ISERROR(VLOOKUP($T$468,'TAR FIN'!$A$1:$O$99,15,0)),0,VLOOKUP($T$468,'TAR FIN'!$A$1:$O$99,15,0))</f>
        <v>97.61</v>
      </c>
      <c r="X468" s="4">
        <f>IF(ISERROR(VLOOKUP($U$468,'TAR FIN'!$A$1:$O$99,15,0)),0,VLOOKUP($U$468,'TAR FIN'!$A$1:$O$99,15,0))</f>
        <v>0</v>
      </c>
      <c r="Y468" s="4"/>
      <c r="Z468" s="4">
        <f ca="1">('TUSD BE'!$AM$15+'TUSD BF'!$AM$15+'TUSD CVA'!$AM$15)*1</f>
        <v>117.59114529324071</v>
      </c>
      <c r="AA468" s="4"/>
      <c r="AB468" s="4">
        <f>$K$468*$V$468</f>
        <v>0</v>
      </c>
      <c r="AC468" s="4">
        <f>$M$468*$W$468</f>
        <v>497224.3639</v>
      </c>
      <c r="AD468" s="4">
        <f>$O$468*$X$468</f>
        <v>0</v>
      </c>
      <c r="AE468" s="4">
        <f>$K$468*$Y$468</f>
        <v>0</v>
      </c>
      <c r="AF468" s="4">
        <f ca="1">$M$468*$Z$468</f>
        <v>599008.11821231525</v>
      </c>
      <c r="AG468" s="4">
        <f>$O$468*$AA$468</f>
        <v>0</v>
      </c>
    </row>
    <row r="469" spans="1:33" ht="11.25" customHeight="1" x14ac:dyDescent="0.25">
      <c r="A469" s="3" t="s">
        <v>21</v>
      </c>
      <c r="B469" s="3" t="s">
        <v>33</v>
      </c>
      <c r="C469" s="3" t="s">
        <v>42</v>
      </c>
      <c r="D469" s="3" t="s">
        <v>40</v>
      </c>
      <c r="E469" s="3" t="s">
        <v>25</v>
      </c>
      <c r="F469" s="3" t="s">
        <v>60</v>
      </c>
      <c r="G469" s="3" t="s">
        <v>25</v>
      </c>
      <c r="H469" s="3" t="s">
        <v>25</v>
      </c>
      <c r="I469" s="6">
        <v>44409</v>
      </c>
      <c r="J469" s="4">
        <v>0</v>
      </c>
      <c r="K469" s="4">
        <v>0</v>
      </c>
      <c r="L469" s="4">
        <v>5794.2820000000002</v>
      </c>
      <c r="M469" s="4">
        <v>5794.2820000000002</v>
      </c>
      <c r="N469" s="4">
        <v>0</v>
      </c>
      <c r="O469" s="4">
        <v>0</v>
      </c>
      <c r="P469" s="4">
        <v>27</v>
      </c>
      <c r="Q469" s="3" t="s">
        <v>57</v>
      </c>
      <c r="R469" s="3">
        <v>0</v>
      </c>
      <c r="S469" s="4">
        <v>0</v>
      </c>
      <c r="T469" s="4">
        <v>88</v>
      </c>
      <c r="U469" s="4">
        <v>0</v>
      </c>
      <c r="V469" s="4">
        <f>IF(ISERROR(VLOOKUP($S$469,'TAR FIN'!$A$1:$O$99,15,0)),0,VLOOKUP($S$469,'TAR FIN'!$A$1:$O$99,15,0))</f>
        <v>0</v>
      </c>
      <c r="W469" s="4">
        <f>IF(ISERROR(VLOOKUP($T$469,'TAR FIN'!$A$1:$O$99,15,0)),0,VLOOKUP($T$469,'TAR FIN'!$A$1:$O$99,15,0))</f>
        <v>97.61</v>
      </c>
      <c r="X469" s="4">
        <f>IF(ISERROR(VLOOKUP($U$469,'TAR FIN'!$A$1:$O$99,15,0)),0,VLOOKUP($U$469,'TAR FIN'!$A$1:$O$99,15,0))</f>
        <v>0</v>
      </c>
      <c r="Y469" s="4"/>
      <c r="Z469" s="4">
        <f ca="1">('TUSD BE'!$AM$15+'TUSD BF'!$AM$15+'TUSD CVA'!$AM$15)*1</f>
        <v>117.59114529324071</v>
      </c>
      <c r="AA469" s="4"/>
      <c r="AB469" s="4">
        <f>$K$469*$V$469</f>
        <v>0</v>
      </c>
      <c r="AC469" s="4">
        <f>$M$469*$W$469</f>
        <v>565579.86601999996</v>
      </c>
      <c r="AD469" s="4">
        <f>$O$469*$X$469</f>
        <v>0</v>
      </c>
      <c r="AE469" s="4">
        <f>$K$469*$Y$469</f>
        <v>0</v>
      </c>
      <c r="AF469" s="4">
        <f ca="1">$M$469*$Z$469</f>
        <v>681356.25653200946</v>
      </c>
      <c r="AG469" s="4">
        <f>$O$469*$AA$469</f>
        <v>0</v>
      </c>
    </row>
    <row r="470" spans="1:33" ht="11.25" customHeight="1" x14ac:dyDescent="0.25">
      <c r="A470" s="3" t="s">
        <v>21</v>
      </c>
      <c r="B470" s="3" t="s">
        <v>33</v>
      </c>
      <c r="C470" s="3" t="s">
        <v>42</v>
      </c>
      <c r="D470" s="3" t="s">
        <v>40</v>
      </c>
      <c r="E470" s="3" t="s">
        <v>25</v>
      </c>
      <c r="F470" s="3" t="s">
        <v>60</v>
      </c>
      <c r="G470" s="3" t="s">
        <v>25</v>
      </c>
      <c r="H470" s="3" t="s">
        <v>25</v>
      </c>
      <c r="I470" s="6">
        <v>44440</v>
      </c>
      <c r="J470" s="4">
        <v>0</v>
      </c>
      <c r="K470" s="4">
        <v>0</v>
      </c>
      <c r="L470" s="4">
        <v>6393.9769999999999</v>
      </c>
      <c r="M470" s="4">
        <v>6393.9769999999999</v>
      </c>
      <c r="N470" s="4">
        <v>0</v>
      </c>
      <c r="O470" s="4">
        <v>0</v>
      </c>
      <c r="P470" s="4">
        <v>29</v>
      </c>
      <c r="Q470" s="3" t="s">
        <v>57</v>
      </c>
      <c r="R470" s="3">
        <v>0</v>
      </c>
      <c r="S470" s="4">
        <v>0</v>
      </c>
      <c r="T470" s="4">
        <v>88</v>
      </c>
      <c r="U470" s="4">
        <v>0</v>
      </c>
      <c r="V470" s="4">
        <f>IF(ISERROR(VLOOKUP($S$470,'TAR FIN'!$A$1:$O$99,15,0)),0,VLOOKUP($S$470,'TAR FIN'!$A$1:$O$99,15,0))</f>
        <v>0</v>
      </c>
      <c r="W470" s="4">
        <f>IF(ISERROR(VLOOKUP($T$470,'TAR FIN'!$A$1:$O$99,15,0)),0,VLOOKUP($T$470,'TAR FIN'!$A$1:$O$99,15,0))</f>
        <v>97.61</v>
      </c>
      <c r="X470" s="4">
        <f>IF(ISERROR(VLOOKUP($U$470,'TAR FIN'!$A$1:$O$99,15,0)),0,VLOOKUP($U$470,'TAR FIN'!$A$1:$O$99,15,0))</f>
        <v>0</v>
      </c>
      <c r="Y470" s="4"/>
      <c r="Z470" s="4">
        <f ca="1">('TUSD BE'!$AM$15+'TUSD BF'!$AM$15+'TUSD CVA'!$AM$15)*1</f>
        <v>117.59114529324071</v>
      </c>
      <c r="AA470" s="4"/>
      <c r="AB470" s="4">
        <f>$K$470*$V$470</f>
        <v>0</v>
      </c>
      <c r="AC470" s="4">
        <f>$M$470*$W$470</f>
        <v>624116.09496999998</v>
      </c>
      <c r="AD470" s="4">
        <f>$O$470*$X$470</f>
        <v>0</v>
      </c>
      <c r="AE470" s="4">
        <f>$K$470*$Y$470</f>
        <v>0</v>
      </c>
      <c r="AF470" s="4">
        <f ca="1">$M$470*$Z$470</f>
        <v>751875.07840863941</v>
      </c>
      <c r="AG470" s="4">
        <f>$O$470*$AA$470</f>
        <v>0</v>
      </c>
    </row>
    <row r="471" spans="1:33" ht="11.25" customHeight="1" x14ac:dyDescent="0.25">
      <c r="A471" s="3" t="s">
        <v>21</v>
      </c>
      <c r="B471" s="3" t="s">
        <v>33</v>
      </c>
      <c r="C471" s="3" t="s">
        <v>42</v>
      </c>
      <c r="D471" s="3" t="s">
        <v>40</v>
      </c>
      <c r="E471" s="3" t="s">
        <v>25</v>
      </c>
      <c r="F471" s="3" t="s">
        <v>60</v>
      </c>
      <c r="G471" s="3" t="s">
        <v>25</v>
      </c>
      <c r="H471" s="3" t="s">
        <v>25</v>
      </c>
      <c r="I471" s="6">
        <v>44470</v>
      </c>
      <c r="J471" s="4">
        <v>0</v>
      </c>
      <c r="K471" s="4">
        <v>0</v>
      </c>
      <c r="L471" s="4">
        <v>7168.2340000000004</v>
      </c>
      <c r="M471" s="4">
        <v>7168.2340000000004</v>
      </c>
      <c r="N471" s="4">
        <v>0</v>
      </c>
      <c r="O471" s="4">
        <v>0</v>
      </c>
      <c r="P471" s="4">
        <v>31</v>
      </c>
      <c r="Q471" s="3" t="s">
        <v>57</v>
      </c>
      <c r="R471" s="3">
        <v>0</v>
      </c>
      <c r="S471" s="4">
        <v>0</v>
      </c>
      <c r="T471" s="4">
        <v>88</v>
      </c>
      <c r="U471" s="4">
        <v>0</v>
      </c>
      <c r="V471" s="4">
        <f>IF(ISERROR(VLOOKUP($S$471,'TAR FIN'!$A$1:$O$99,15,0)),0,VLOOKUP($S$471,'TAR FIN'!$A$1:$O$99,15,0))</f>
        <v>0</v>
      </c>
      <c r="W471" s="4">
        <f>IF(ISERROR(VLOOKUP($T$471,'TAR FIN'!$A$1:$O$99,15,0)),0,VLOOKUP($T$471,'TAR FIN'!$A$1:$O$99,15,0))</f>
        <v>97.61</v>
      </c>
      <c r="X471" s="4">
        <f>IF(ISERROR(VLOOKUP($U$471,'TAR FIN'!$A$1:$O$99,15,0)),0,VLOOKUP($U$471,'TAR FIN'!$A$1:$O$99,15,0))</f>
        <v>0</v>
      </c>
      <c r="Y471" s="4"/>
      <c r="Z471" s="4">
        <f ca="1">('TUSD BE'!$AM$15+'TUSD BF'!$AM$15+'TUSD CVA'!$AM$15)*1</f>
        <v>117.59114529324071</v>
      </c>
      <c r="AA471" s="4"/>
      <c r="AB471" s="4">
        <f>$K$471*$V$471</f>
        <v>0</v>
      </c>
      <c r="AC471" s="4">
        <f>$M$471*$W$471</f>
        <v>699691.32074</v>
      </c>
      <c r="AD471" s="4">
        <f>$O$471*$X$471</f>
        <v>0</v>
      </c>
      <c r="AE471" s="4">
        <f>$K$471*$Y$471</f>
        <v>0</v>
      </c>
      <c r="AF471" s="4">
        <f ca="1">$M$471*$Z$471</f>
        <v>842920.84578994813</v>
      </c>
      <c r="AG471" s="4">
        <f>$O$471*$AA$471</f>
        <v>0</v>
      </c>
    </row>
    <row r="472" spans="1:33" ht="11.25" customHeight="1" x14ac:dyDescent="0.25">
      <c r="A472" s="3" t="s">
        <v>21</v>
      </c>
      <c r="B472" s="3" t="s">
        <v>33</v>
      </c>
      <c r="C472" s="3" t="s">
        <v>42</v>
      </c>
      <c r="D472" s="3" t="s">
        <v>40</v>
      </c>
      <c r="E472" s="3" t="s">
        <v>25</v>
      </c>
      <c r="F472" s="3" t="s">
        <v>60</v>
      </c>
      <c r="G472" s="3" t="s">
        <v>25</v>
      </c>
      <c r="H472" s="3" t="s">
        <v>25</v>
      </c>
      <c r="I472" s="6">
        <v>44501</v>
      </c>
      <c r="J472" s="4">
        <v>0</v>
      </c>
      <c r="K472" s="4">
        <v>0</v>
      </c>
      <c r="L472" s="4">
        <v>6906.5820000000003</v>
      </c>
      <c r="M472" s="4">
        <v>6906.5820000000003</v>
      </c>
      <c r="N472" s="4">
        <v>0</v>
      </c>
      <c r="O472" s="4">
        <v>0</v>
      </c>
      <c r="P472" s="4">
        <v>32</v>
      </c>
      <c r="Q472" s="3" t="s">
        <v>57</v>
      </c>
      <c r="R472" s="3">
        <v>0</v>
      </c>
      <c r="S472" s="4">
        <v>0</v>
      </c>
      <c r="T472" s="4">
        <v>88</v>
      </c>
      <c r="U472" s="4">
        <v>0</v>
      </c>
      <c r="V472" s="4">
        <f>IF(ISERROR(VLOOKUP($S$472,'TAR FIN'!$A$1:$O$99,15,0)),0,VLOOKUP($S$472,'TAR FIN'!$A$1:$O$99,15,0))</f>
        <v>0</v>
      </c>
      <c r="W472" s="4">
        <f>IF(ISERROR(VLOOKUP($T$472,'TAR FIN'!$A$1:$O$99,15,0)),0,VLOOKUP($T$472,'TAR FIN'!$A$1:$O$99,15,0))</f>
        <v>97.61</v>
      </c>
      <c r="X472" s="4">
        <f>IF(ISERROR(VLOOKUP($U$472,'TAR FIN'!$A$1:$O$99,15,0)),0,VLOOKUP($U$472,'TAR FIN'!$A$1:$O$99,15,0))</f>
        <v>0</v>
      </c>
      <c r="Y472" s="4"/>
      <c r="Z472" s="4">
        <f ca="1">('TUSD BE'!$AM$15+'TUSD BF'!$AM$15+'TUSD CVA'!$AM$15)*1</f>
        <v>117.59114529324071</v>
      </c>
      <c r="AA472" s="4"/>
      <c r="AB472" s="4">
        <f>$K$472*$V$472</f>
        <v>0</v>
      </c>
      <c r="AC472" s="4">
        <f>$M$472*$W$472</f>
        <v>674151.46902000008</v>
      </c>
      <c r="AD472" s="4">
        <f>$O$472*$X$472</f>
        <v>0</v>
      </c>
      <c r="AE472" s="4">
        <f>$K$472*$Y$472</f>
        <v>0</v>
      </c>
      <c r="AF472" s="4">
        <f ca="1">$M$472*$Z$472</f>
        <v>812152.88744168112</v>
      </c>
      <c r="AG472" s="4">
        <f>$O$472*$AA$472</f>
        <v>0</v>
      </c>
    </row>
    <row r="473" spans="1:33" ht="11.25" customHeight="1" x14ac:dyDescent="0.25">
      <c r="A473" s="3" t="s">
        <v>21</v>
      </c>
      <c r="B473" s="3" t="s">
        <v>33</v>
      </c>
      <c r="C473" s="3" t="s">
        <v>42</v>
      </c>
      <c r="D473" s="3" t="s">
        <v>40</v>
      </c>
      <c r="E473" s="3" t="s">
        <v>25</v>
      </c>
      <c r="F473" s="3" t="s">
        <v>60</v>
      </c>
      <c r="G473" s="3" t="s">
        <v>25</v>
      </c>
      <c r="H473" s="3" t="s">
        <v>25</v>
      </c>
      <c r="I473" s="6">
        <v>44531</v>
      </c>
      <c r="J473" s="4">
        <v>0</v>
      </c>
      <c r="K473" s="4">
        <v>0</v>
      </c>
      <c r="L473" s="4">
        <v>6939.7569999999996</v>
      </c>
      <c r="M473" s="4">
        <v>6939.7569999999996</v>
      </c>
      <c r="N473" s="4">
        <v>0</v>
      </c>
      <c r="O473" s="4">
        <v>0</v>
      </c>
      <c r="P473" s="4">
        <v>33</v>
      </c>
      <c r="Q473" s="3" t="s">
        <v>57</v>
      </c>
      <c r="R473" s="3">
        <v>0</v>
      </c>
      <c r="S473" s="4">
        <v>0</v>
      </c>
      <c r="T473" s="4">
        <v>88</v>
      </c>
      <c r="U473" s="4">
        <v>0</v>
      </c>
      <c r="V473" s="4">
        <f>IF(ISERROR(VLOOKUP($S$473,'TAR FIN'!$A$1:$O$99,15,0)),0,VLOOKUP($S$473,'TAR FIN'!$A$1:$O$99,15,0))</f>
        <v>0</v>
      </c>
      <c r="W473" s="4">
        <f>IF(ISERROR(VLOOKUP($T$473,'TAR FIN'!$A$1:$O$99,15,0)),0,VLOOKUP($T$473,'TAR FIN'!$A$1:$O$99,15,0))</f>
        <v>97.61</v>
      </c>
      <c r="X473" s="4">
        <f>IF(ISERROR(VLOOKUP($U$473,'TAR FIN'!$A$1:$O$99,15,0)),0,VLOOKUP($U$473,'TAR FIN'!$A$1:$O$99,15,0))</f>
        <v>0</v>
      </c>
      <c r="Y473" s="4"/>
      <c r="Z473" s="4">
        <f ca="1">('TUSD BE'!$AM$15+'TUSD BF'!$AM$15+'TUSD CVA'!$AM$15)*1</f>
        <v>117.59114529324071</v>
      </c>
      <c r="AA473" s="4"/>
      <c r="AB473" s="4">
        <f>$K$473*$V$473</f>
        <v>0</v>
      </c>
      <c r="AC473" s="4">
        <f>$M$473*$W$473</f>
        <v>677389.68076999998</v>
      </c>
      <c r="AD473" s="4">
        <f>$O$473*$X$473</f>
        <v>0</v>
      </c>
      <c r="AE473" s="4">
        <f>$K$473*$Y$473</f>
        <v>0</v>
      </c>
      <c r="AF473" s="4">
        <f ca="1">$M$473*$Z$473</f>
        <v>816053.97368678427</v>
      </c>
      <c r="AG473" s="4">
        <f>$O$473*$AA$473</f>
        <v>0</v>
      </c>
    </row>
    <row r="474" spans="1:33" ht="11.25" customHeight="1" x14ac:dyDescent="0.25">
      <c r="A474" s="3" t="s">
        <v>21</v>
      </c>
      <c r="B474" s="3" t="s">
        <v>33</v>
      </c>
      <c r="C474" s="3" t="s">
        <v>42</v>
      </c>
      <c r="D474" s="3" t="s">
        <v>40</v>
      </c>
      <c r="E474" s="3" t="s">
        <v>25</v>
      </c>
      <c r="F474" s="3" t="s">
        <v>60</v>
      </c>
      <c r="G474" s="3" t="s">
        <v>25</v>
      </c>
      <c r="H474" s="3" t="s">
        <v>25</v>
      </c>
      <c r="I474" s="6">
        <v>44562</v>
      </c>
      <c r="J474" s="4">
        <v>0</v>
      </c>
      <c r="K474" s="4">
        <v>0</v>
      </c>
      <c r="L474" s="4">
        <v>6524.7719999999999</v>
      </c>
      <c r="M474" s="4">
        <v>6524.7719999999999</v>
      </c>
      <c r="N474" s="4">
        <v>0</v>
      </c>
      <c r="O474" s="4">
        <v>0</v>
      </c>
      <c r="P474" s="4">
        <v>34</v>
      </c>
      <c r="Q474" s="3" t="s">
        <v>57</v>
      </c>
      <c r="R474" s="3">
        <v>0</v>
      </c>
      <c r="S474" s="4">
        <v>0</v>
      </c>
      <c r="T474" s="4">
        <v>88</v>
      </c>
      <c r="U474" s="4">
        <v>0</v>
      </c>
      <c r="V474" s="4">
        <f>IF(ISERROR(VLOOKUP($S$474,'TAR FIN'!$A$1:$O$99,15,0)),0,VLOOKUP($S$474,'TAR FIN'!$A$1:$O$99,15,0))</f>
        <v>0</v>
      </c>
      <c r="W474" s="4">
        <f>IF(ISERROR(VLOOKUP($T$474,'TAR FIN'!$A$1:$O$99,15,0)),0,VLOOKUP($T$474,'TAR FIN'!$A$1:$O$99,15,0))</f>
        <v>97.61</v>
      </c>
      <c r="X474" s="4">
        <f>IF(ISERROR(VLOOKUP($U$474,'TAR FIN'!$A$1:$O$99,15,0)),0,VLOOKUP($U$474,'TAR FIN'!$A$1:$O$99,15,0))</f>
        <v>0</v>
      </c>
      <c r="Y474" s="4"/>
      <c r="Z474" s="4">
        <f ca="1">('TUSD BE'!$AM$15+'TUSD BF'!$AM$15+'TUSD CVA'!$AM$15)*1</f>
        <v>117.59114529324071</v>
      </c>
      <c r="AA474" s="4"/>
      <c r="AB474" s="4">
        <f>$K$474*$V$474</f>
        <v>0</v>
      </c>
      <c r="AC474" s="4">
        <f>$M$474*$W$474</f>
        <v>636882.99491999997</v>
      </c>
      <c r="AD474" s="4">
        <f>$O$474*$X$474</f>
        <v>0</v>
      </c>
      <c r="AE474" s="4">
        <f>$K$474*$Y$474</f>
        <v>0</v>
      </c>
      <c r="AF474" s="4">
        <f ca="1">$M$474*$Z$474</f>
        <v>767255.41225726879</v>
      </c>
      <c r="AG474" s="4">
        <f>$O$474*$AA$474</f>
        <v>0</v>
      </c>
    </row>
    <row r="475" spans="1:33" ht="11.25" customHeight="1" x14ac:dyDescent="0.25">
      <c r="A475" s="3" t="s">
        <v>21</v>
      </c>
      <c r="B475" s="3" t="s">
        <v>33</v>
      </c>
      <c r="C475" s="3" t="s">
        <v>42</v>
      </c>
      <c r="D475" s="3" t="s">
        <v>40</v>
      </c>
      <c r="E475" s="3" t="s">
        <v>25</v>
      </c>
      <c r="F475" s="3" t="s">
        <v>60</v>
      </c>
      <c r="G475" s="3" t="s">
        <v>25</v>
      </c>
      <c r="H475" s="3" t="s">
        <v>25</v>
      </c>
      <c r="I475" s="6">
        <v>44593</v>
      </c>
      <c r="J475" s="4">
        <v>0</v>
      </c>
      <c r="K475" s="4">
        <v>0</v>
      </c>
      <c r="L475" s="4">
        <v>6430.9620000000004</v>
      </c>
      <c r="M475" s="4">
        <v>6430.9620000000004</v>
      </c>
      <c r="N475" s="4">
        <v>0</v>
      </c>
      <c r="O475" s="4">
        <v>0</v>
      </c>
      <c r="P475" s="4">
        <v>35</v>
      </c>
      <c r="Q475" s="3" t="s">
        <v>57</v>
      </c>
      <c r="R475" s="3">
        <v>0</v>
      </c>
      <c r="S475" s="4">
        <v>0</v>
      </c>
      <c r="T475" s="4">
        <v>88</v>
      </c>
      <c r="U475" s="4">
        <v>0</v>
      </c>
      <c r="V475" s="4">
        <f>IF(ISERROR(VLOOKUP($S$475,'TAR FIN'!$A$1:$O$99,15,0)),0,VLOOKUP($S$475,'TAR FIN'!$A$1:$O$99,15,0))</f>
        <v>0</v>
      </c>
      <c r="W475" s="4">
        <f>IF(ISERROR(VLOOKUP($T$475,'TAR FIN'!$A$1:$O$99,15,0)),0,VLOOKUP($T$475,'TAR FIN'!$A$1:$O$99,15,0))</f>
        <v>97.61</v>
      </c>
      <c r="X475" s="4">
        <f>IF(ISERROR(VLOOKUP($U$475,'TAR FIN'!$A$1:$O$99,15,0)),0,VLOOKUP($U$475,'TAR FIN'!$A$1:$O$99,15,0))</f>
        <v>0</v>
      </c>
      <c r="Y475" s="4"/>
      <c r="Z475" s="4">
        <f ca="1">('TUSD BE'!$AM$15+'TUSD BF'!$AM$15+'TUSD CVA'!$AM$15)*1</f>
        <v>117.59114529324071</v>
      </c>
      <c r="AA475" s="4"/>
      <c r="AB475" s="4">
        <f>$K$475*$V$475</f>
        <v>0</v>
      </c>
      <c r="AC475" s="4">
        <f>$M$475*$W$475</f>
        <v>627726.20082000003</v>
      </c>
      <c r="AD475" s="4">
        <f>$O$475*$X$475</f>
        <v>0</v>
      </c>
      <c r="AE475" s="4">
        <f>$K$475*$Y$475</f>
        <v>0</v>
      </c>
      <c r="AF475" s="4">
        <f ca="1">$M$475*$Z$475</f>
        <v>756224.18691731</v>
      </c>
      <c r="AG475" s="4">
        <f>$O$475*$AA$475</f>
        <v>0</v>
      </c>
    </row>
    <row r="476" spans="1:33" ht="11.25" customHeight="1" x14ac:dyDescent="0.25">
      <c r="A476" s="3" t="s">
        <v>21</v>
      </c>
      <c r="B476" s="3" t="s">
        <v>33</v>
      </c>
      <c r="C476" s="3" t="s">
        <v>42</v>
      </c>
      <c r="D476" s="3" t="s">
        <v>40</v>
      </c>
      <c r="E476" s="3" t="s">
        <v>25</v>
      </c>
      <c r="F476" s="3" t="s">
        <v>60</v>
      </c>
      <c r="G476" s="3" t="s">
        <v>25</v>
      </c>
      <c r="H476" s="3" t="s">
        <v>25</v>
      </c>
      <c r="I476" s="6">
        <v>44621</v>
      </c>
      <c r="J476" s="4">
        <v>0</v>
      </c>
      <c r="K476" s="4">
        <v>0</v>
      </c>
      <c r="L476" s="4">
        <v>7094.2309999999998</v>
      </c>
      <c r="M476" s="4">
        <v>7094.2309999999998</v>
      </c>
      <c r="N476" s="4">
        <v>0</v>
      </c>
      <c r="O476" s="4">
        <v>0</v>
      </c>
      <c r="P476" s="4">
        <v>36</v>
      </c>
      <c r="Q476" s="3" t="s">
        <v>57</v>
      </c>
      <c r="R476" s="3">
        <v>0</v>
      </c>
      <c r="S476" s="4">
        <v>0</v>
      </c>
      <c r="T476" s="4">
        <v>88</v>
      </c>
      <c r="U476" s="4">
        <v>0</v>
      </c>
      <c r="V476" s="4">
        <f>IF(ISERROR(VLOOKUP($S$476,'TAR FIN'!$A$1:$O$99,15,0)),0,VLOOKUP($S$476,'TAR FIN'!$A$1:$O$99,15,0))</f>
        <v>0</v>
      </c>
      <c r="W476" s="4">
        <f>IF(ISERROR(VLOOKUP($T$476,'TAR FIN'!$A$1:$O$99,15,0)),0,VLOOKUP($T$476,'TAR FIN'!$A$1:$O$99,15,0))</f>
        <v>97.61</v>
      </c>
      <c r="X476" s="4">
        <f>IF(ISERROR(VLOOKUP($U$476,'TAR FIN'!$A$1:$O$99,15,0)),0,VLOOKUP($U$476,'TAR FIN'!$A$1:$O$99,15,0))</f>
        <v>0</v>
      </c>
      <c r="Y476" s="4"/>
      <c r="Z476" s="4">
        <f ca="1">('TUSD BE'!$AM$15+'TUSD BF'!$AM$15+'TUSD CVA'!$AM$15)*1</f>
        <v>117.59114529324071</v>
      </c>
      <c r="AA476" s="4"/>
      <c r="AB476" s="4">
        <f>$K$476*$V$476</f>
        <v>0</v>
      </c>
      <c r="AC476" s="4">
        <f>$M$476*$W$476</f>
        <v>692467.88790999993</v>
      </c>
      <c r="AD476" s="4">
        <f>$O$476*$X$476</f>
        <v>0</v>
      </c>
      <c r="AE476" s="4">
        <f>$K$476*$Y$476</f>
        <v>0</v>
      </c>
      <c r="AF476" s="4">
        <f ca="1">$M$476*$Z$476</f>
        <v>834218.74826481228</v>
      </c>
      <c r="AG476" s="4">
        <f>$O$476*$AA$476</f>
        <v>0</v>
      </c>
    </row>
    <row r="477" spans="1:33" ht="11.25" customHeight="1" x14ac:dyDescent="0.25">
      <c r="A477" s="3" t="s">
        <v>56</v>
      </c>
      <c r="B477" s="3" t="s">
        <v>33</v>
      </c>
      <c r="C477" s="3" t="s">
        <v>42</v>
      </c>
      <c r="D477" s="3" t="s">
        <v>40</v>
      </c>
      <c r="E477" s="3" t="s">
        <v>25</v>
      </c>
      <c r="F477" s="3" t="s">
        <v>60</v>
      </c>
      <c r="G477" s="3" t="s">
        <v>25</v>
      </c>
      <c r="H477" s="3" t="s">
        <v>25</v>
      </c>
      <c r="I477" s="6">
        <v>44652</v>
      </c>
      <c r="J477" s="4">
        <v>0</v>
      </c>
      <c r="K477" s="4">
        <v>0</v>
      </c>
      <c r="L477" s="4">
        <v>7094.2309999999998</v>
      </c>
      <c r="M477" s="4">
        <v>7094.2309999999998</v>
      </c>
      <c r="N477" s="4">
        <v>0</v>
      </c>
      <c r="O477" s="4">
        <v>0</v>
      </c>
      <c r="P477" s="4">
        <v>36</v>
      </c>
      <c r="Q477" s="3" t="s">
        <v>57</v>
      </c>
      <c r="R477" s="3">
        <v>0</v>
      </c>
      <c r="S477" s="4">
        <v>0</v>
      </c>
      <c r="T477" s="4">
        <v>88</v>
      </c>
      <c r="U477" s="4">
        <v>0</v>
      </c>
      <c r="V477" s="4">
        <f>IF(ISERROR(VLOOKUP($S$477,'TAR FIN'!$A$1:$O$99,15,0)),0,VLOOKUP($S$477,'TAR FIN'!$A$1:$O$99,15,0))</f>
        <v>0</v>
      </c>
      <c r="W477" s="4">
        <f>IF(ISERROR(VLOOKUP($T$477,'TAR FIN'!$A$1:$O$99,15,0)),0,VLOOKUP($T$477,'TAR FIN'!$A$1:$O$99,15,0))</f>
        <v>97.61</v>
      </c>
      <c r="X477" s="4">
        <f>IF(ISERROR(VLOOKUP($U$477,'TAR FIN'!$A$1:$O$99,15,0)),0,VLOOKUP($U$477,'TAR FIN'!$A$1:$O$99,15,0))</f>
        <v>0</v>
      </c>
      <c r="Y477" s="4"/>
      <c r="Z477" s="4">
        <f ca="1">('TUSD BE'!$AM$15+'TUSD BF'!$AM$15+'TUSD CVA'!$AM$15)*1</f>
        <v>117.59114529324071</v>
      </c>
      <c r="AA477" s="4"/>
      <c r="AB477" s="4">
        <f>$K$477*$V$477</f>
        <v>0</v>
      </c>
      <c r="AC477" s="4">
        <f>$M$477*$W$477</f>
        <v>692467.88790999993</v>
      </c>
      <c r="AD477" s="4">
        <f>$O$477*$X$477</f>
        <v>0</v>
      </c>
      <c r="AE477" s="4">
        <f>$K$477*$Y$477</f>
        <v>0</v>
      </c>
      <c r="AF477" s="4">
        <f ca="1">$M$477*$Z$477</f>
        <v>834218.74826481228</v>
      </c>
      <c r="AG477" s="4">
        <f>$O$477*$AA$477</f>
        <v>0</v>
      </c>
    </row>
    <row r="478" spans="1:33" ht="11.25" customHeight="1" x14ac:dyDescent="0.25">
      <c r="A478" s="3" t="s">
        <v>21</v>
      </c>
      <c r="B478" s="3" t="s">
        <v>33</v>
      </c>
      <c r="C478" s="3" t="s">
        <v>42</v>
      </c>
      <c r="D478" s="3" t="s">
        <v>40</v>
      </c>
      <c r="E478" s="3" t="s">
        <v>25</v>
      </c>
      <c r="F478" s="3" t="s">
        <v>60</v>
      </c>
      <c r="G478" s="3" t="s">
        <v>25</v>
      </c>
      <c r="H478" s="3" t="s">
        <v>35</v>
      </c>
      <c r="I478" s="6">
        <v>44317</v>
      </c>
      <c r="J478" s="4">
        <v>11035</v>
      </c>
      <c r="K478" s="4">
        <v>4134.4795877500001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3" t="s">
        <v>57</v>
      </c>
      <c r="R478" s="3">
        <v>0</v>
      </c>
      <c r="S478" s="4">
        <v>91</v>
      </c>
      <c r="T478" s="4">
        <v>0</v>
      </c>
      <c r="U478" s="4">
        <v>0</v>
      </c>
      <c r="V478" s="4">
        <f>IF(ISERROR(VLOOKUP($S$478,'TAR FIN'!$A$1:$O$99,15,0)),0,VLOOKUP($S$478,'TAR FIN'!$A$1:$O$99,15,0))</f>
        <v>60.2</v>
      </c>
      <c r="W478" s="4">
        <f>IF(ISERROR(VLOOKUP($T$478,'TAR FIN'!$A$1:$O$99,15,0)),0,VLOOKUP($T$478,'TAR FIN'!$A$1:$O$99,15,0))</f>
        <v>0</v>
      </c>
      <c r="X478" s="4">
        <f>IF(ISERROR(VLOOKUP($U$478,'TAR FIN'!$A$1:$O$99,15,0)),0,VLOOKUP($U$478,'TAR FIN'!$A$1:$O$99,15,0))</f>
        <v>0</v>
      </c>
      <c r="Y478" s="4">
        <f ca="1">('TUSD BE'!$AM$13+'TUSD BF'!$AM$13+'TUSD CVA'!$AM$13)*1</f>
        <v>69.255133620748211</v>
      </c>
      <c r="Z478" s="4">
        <f ca="1">('TUSD BE'!$AM$15+'TUSD BF'!$AM$15+'TUSD CVA'!$AM$15)*1</f>
        <v>117.59114529324071</v>
      </c>
      <c r="AA478" s="4"/>
      <c r="AB478" s="4">
        <f>$K$478*$V$478</f>
        <v>248895.67118255002</v>
      </c>
      <c r="AC478" s="4">
        <f>$M$478*$W$478</f>
        <v>0</v>
      </c>
      <c r="AD478" s="4">
        <f>$O$478*$X$478</f>
        <v>0</v>
      </c>
      <c r="AE478" s="4">
        <f ca="1">$K$478*$Y$478</f>
        <v>286333.9363018822</v>
      </c>
      <c r="AF478" s="4">
        <f ca="1">$M$478*$Z$478</f>
        <v>0</v>
      </c>
      <c r="AG478" s="4">
        <f>$O$478*$AA$478</f>
        <v>0</v>
      </c>
    </row>
    <row r="479" spans="1:33" ht="11.25" customHeight="1" x14ac:dyDescent="0.25">
      <c r="A479" s="3" t="s">
        <v>21</v>
      </c>
      <c r="B479" s="3" t="s">
        <v>33</v>
      </c>
      <c r="C479" s="3" t="s">
        <v>42</v>
      </c>
      <c r="D479" s="3" t="s">
        <v>40</v>
      </c>
      <c r="E479" s="3" t="s">
        <v>25</v>
      </c>
      <c r="F479" s="3" t="s">
        <v>60</v>
      </c>
      <c r="G479" s="3" t="s">
        <v>25</v>
      </c>
      <c r="H479" s="3" t="s">
        <v>35</v>
      </c>
      <c r="I479" s="6">
        <v>44348</v>
      </c>
      <c r="J479" s="4">
        <v>11843</v>
      </c>
      <c r="K479" s="4">
        <v>4690.9999832800004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3" t="s">
        <v>57</v>
      </c>
      <c r="R479" s="3">
        <v>0</v>
      </c>
      <c r="S479" s="4">
        <v>91</v>
      </c>
      <c r="T479" s="4">
        <v>0</v>
      </c>
      <c r="U479" s="4">
        <v>0</v>
      </c>
      <c r="V479" s="4">
        <f>IF(ISERROR(VLOOKUP($S$479,'TAR FIN'!$A$1:$O$99,15,0)),0,VLOOKUP($S$479,'TAR FIN'!$A$1:$O$99,15,0))</f>
        <v>60.2</v>
      </c>
      <c r="W479" s="4">
        <f>IF(ISERROR(VLOOKUP($T$479,'TAR FIN'!$A$1:$O$99,15,0)),0,VLOOKUP($T$479,'TAR FIN'!$A$1:$O$99,15,0))</f>
        <v>0</v>
      </c>
      <c r="X479" s="4">
        <f>IF(ISERROR(VLOOKUP($U$479,'TAR FIN'!$A$1:$O$99,15,0)),0,VLOOKUP($U$479,'TAR FIN'!$A$1:$O$99,15,0))</f>
        <v>0</v>
      </c>
      <c r="Y479" s="4">
        <f ca="1">('TUSD BE'!$AM$13+'TUSD BF'!$AM$13+'TUSD CVA'!$AM$13)*1</f>
        <v>69.255133620748211</v>
      </c>
      <c r="Z479" s="4">
        <f ca="1">('TUSD BE'!$AM$15+'TUSD BF'!$AM$15+'TUSD CVA'!$AM$15)*1</f>
        <v>117.59114529324071</v>
      </c>
      <c r="AA479" s="4"/>
      <c r="AB479" s="4">
        <f>$K$479*$V$479</f>
        <v>282398.19899345603</v>
      </c>
      <c r="AC479" s="4">
        <f>$M$479*$W$479</f>
        <v>0</v>
      </c>
      <c r="AD479" s="4">
        <f>$O$479*$X$479</f>
        <v>0</v>
      </c>
      <c r="AE479" s="4">
        <f ca="1">$K$479*$Y$479</f>
        <v>324875.83065698406</v>
      </c>
      <c r="AF479" s="4">
        <f ca="1">$M$479*$Z$479</f>
        <v>0</v>
      </c>
      <c r="AG479" s="4">
        <f>$O$479*$AA$479</f>
        <v>0</v>
      </c>
    </row>
    <row r="480" spans="1:33" ht="11.25" customHeight="1" x14ac:dyDescent="0.25">
      <c r="A480" s="3" t="s">
        <v>21</v>
      </c>
      <c r="B480" s="3" t="s">
        <v>33</v>
      </c>
      <c r="C480" s="3" t="s">
        <v>42</v>
      </c>
      <c r="D480" s="3" t="s">
        <v>40</v>
      </c>
      <c r="E480" s="3" t="s">
        <v>25</v>
      </c>
      <c r="F480" s="3" t="s">
        <v>60</v>
      </c>
      <c r="G480" s="3" t="s">
        <v>25</v>
      </c>
      <c r="H480" s="3" t="s">
        <v>35</v>
      </c>
      <c r="I480" s="6">
        <v>44378</v>
      </c>
      <c r="J480" s="4">
        <v>13530</v>
      </c>
      <c r="K480" s="4">
        <v>5327.5820003999997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3" t="s">
        <v>57</v>
      </c>
      <c r="R480" s="3">
        <v>0</v>
      </c>
      <c r="S480" s="4">
        <v>91</v>
      </c>
      <c r="T480" s="4">
        <v>0</v>
      </c>
      <c r="U480" s="4">
        <v>0</v>
      </c>
      <c r="V480" s="4">
        <f>IF(ISERROR(VLOOKUP($S$480,'TAR FIN'!$A$1:$O$99,15,0)),0,VLOOKUP($S$480,'TAR FIN'!$A$1:$O$99,15,0))</f>
        <v>60.2</v>
      </c>
      <c r="W480" s="4">
        <f>IF(ISERROR(VLOOKUP($T$480,'TAR FIN'!$A$1:$O$99,15,0)),0,VLOOKUP($T$480,'TAR FIN'!$A$1:$O$99,15,0))</f>
        <v>0</v>
      </c>
      <c r="X480" s="4">
        <f>IF(ISERROR(VLOOKUP($U$480,'TAR FIN'!$A$1:$O$99,15,0)),0,VLOOKUP($U$480,'TAR FIN'!$A$1:$O$99,15,0))</f>
        <v>0</v>
      </c>
      <c r="Y480" s="4">
        <f ca="1">('TUSD BE'!$AM$13+'TUSD BF'!$AM$13+'TUSD CVA'!$AM$13)*1</f>
        <v>69.255133620748211</v>
      </c>
      <c r="Z480" s="4">
        <f ca="1">('TUSD BE'!$AM$15+'TUSD BF'!$AM$15+'TUSD CVA'!$AM$15)*1</f>
        <v>117.59114529324071</v>
      </c>
      <c r="AA480" s="4"/>
      <c r="AB480" s="4">
        <f>$K$480*$V$480</f>
        <v>320720.43642407999</v>
      </c>
      <c r="AC480" s="4">
        <f>$M$480*$W$480</f>
        <v>0</v>
      </c>
      <c r="AD480" s="4">
        <f>$O$480*$X$480</f>
        <v>0</v>
      </c>
      <c r="AE480" s="4">
        <f ca="1">$K$480*$Y$480</f>
        <v>368962.40331319504</v>
      </c>
      <c r="AF480" s="4">
        <f ca="1">$M$480*$Z$480</f>
        <v>0</v>
      </c>
      <c r="AG480" s="4">
        <f>$O$480*$AA$480</f>
        <v>0</v>
      </c>
    </row>
    <row r="481" spans="1:33" ht="11.25" customHeight="1" x14ac:dyDescent="0.25">
      <c r="A481" s="3" t="s">
        <v>21</v>
      </c>
      <c r="B481" s="3" t="s">
        <v>33</v>
      </c>
      <c r="C481" s="3" t="s">
        <v>42</v>
      </c>
      <c r="D481" s="3" t="s">
        <v>40</v>
      </c>
      <c r="E481" s="3" t="s">
        <v>25</v>
      </c>
      <c r="F481" s="3" t="s">
        <v>60</v>
      </c>
      <c r="G481" s="3" t="s">
        <v>25</v>
      </c>
      <c r="H481" s="3" t="s">
        <v>35</v>
      </c>
      <c r="I481" s="6">
        <v>44409</v>
      </c>
      <c r="J481" s="4">
        <v>15338</v>
      </c>
      <c r="K481" s="4">
        <v>6491.5000528199998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3" t="s">
        <v>57</v>
      </c>
      <c r="R481" s="3">
        <v>0</v>
      </c>
      <c r="S481" s="4">
        <v>91</v>
      </c>
      <c r="T481" s="4">
        <v>0</v>
      </c>
      <c r="U481" s="4">
        <v>0</v>
      </c>
      <c r="V481" s="4">
        <f>IF(ISERROR(VLOOKUP($S$481,'TAR FIN'!$A$1:$O$99,15,0)),0,VLOOKUP($S$481,'TAR FIN'!$A$1:$O$99,15,0))</f>
        <v>60.2</v>
      </c>
      <c r="W481" s="4">
        <f>IF(ISERROR(VLOOKUP($T$481,'TAR FIN'!$A$1:$O$99,15,0)),0,VLOOKUP($T$481,'TAR FIN'!$A$1:$O$99,15,0))</f>
        <v>0</v>
      </c>
      <c r="X481" s="4">
        <f>IF(ISERROR(VLOOKUP($U$481,'TAR FIN'!$A$1:$O$99,15,0)),0,VLOOKUP($U$481,'TAR FIN'!$A$1:$O$99,15,0))</f>
        <v>0</v>
      </c>
      <c r="Y481" s="4">
        <f ca="1">('TUSD BE'!$AM$13+'TUSD BF'!$AM$13+'TUSD CVA'!$AM$13)*1</f>
        <v>69.255133620748211</v>
      </c>
      <c r="Z481" s="4">
        <f ca="1">('TUSD BE'!$AM$15+'TUSD BF'!$AM$15+'TUSD CVA'!$AM$15)*1</f>
        <v>117.59114529324071</v>
      </c>
      <c r="AA481" s="4"/>
      <c r="AB481" s="4">
        <f>$K$481*$V$481</f>
        <v>390788.30317976401</v>
      </c>
      <c r="AC481" s="4">
        <f>$M$481*$W$481</f>
        <v>0</v>
      </c>
      <c r="AD481" s="4">
        <f>$O$481*$X$481</f>
        <v>0</v>
      </c>
      <c r="AE481" s="4">
        <f ca="1">$K$481*$Y$481</f>
        <v>449569.70355714316</v>
      </c>
      <c r="AF481" s="4">
        <f ca="1">$M$481*$Z$481</f>
        <v>0</v>
      </c>
      <c r="AG481" s="4">
        <f>$O$481*$AA$481</f>
        <v>0</v>
      </c>
    </row>
    <row r="482" spans="1:33" ht="11.25" customHeight="1" x14ac:dyDescent="0.25">
      <c r="A482" s="3" t="s">
        <v>21</v>
      </c>
      <c r="B482" s="3" t="s">
        <v>33</v>
      </c>
      <c r="C482" s="3" t="s">
        <v>42</v>
      </c>
      <c r="D482" s="3" t="s">
        <v>40</v>
      </c>
      <c r="E482" s="3" t="s">
        <v>25</v>
      </c>
      <c r="F482" s="3" t="s">
        <v>60</v>
      </c>
      <c r="G482" s="3" t="s">
        <v>25</v>
      </c>
      <c r="H482" s="3" t="s">
        <v>35</v>
      </c>
      <c r="I482" s="6">
        <v>44440</v>
      </c>
      <c r="J482" s="4">
        <v>15730</v>
      </c>
      <c r="K482" s="4">
        <v>5927.4009366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3" t="s">
        <v>57</v>
      </c>
      <c r="R482" s="3">
        <v>0</v>
      </c>
      <c r="S482" s="4">
        <v>91</v>
      </c>
      <c r="T482" s="4">
        <v>0</v>
      </c>
      <c r="U482" s="4">
        <v>0</v>
      </c>
      <c r="V482" s="4">
        <f>IF(ISERROR(VLOOKUP($S$482,'TAR FIN'!$A$1:$O$99,15,0)),0,VLOOKUP($S$482,'TAR FIN'!$A$1:$O$99,15,0))</f>
        <v>60.2</v>
      </c>
      <c r="W482" s="4">
        <f>IF(ISERROR(VLOOKUP($T$482,'TAR FIN'!$A$1:$O$99,15,0)),0,VLOOKUP($T$482,'TAR FIN'!$A$1:$O$99,15,0))</f>
        <v>0</v>
      </c>
      <c r="X482" s="4">
        <f>IF(ISERROR(VLOOKUP($U$482,'TAR FIN'!$A$1:$O$99,15,0)),0,VLOOKUP($U$482,'TAR FIN'!$A$1:$O$99,15,0))</f>
        <v>0</v>
      </c>
      <c r="Y482" s="4">
        <f ca="1">('TUSD BE'!$AM$13+'TUSD BF'!$AM$13+'TUSD CVA'!$AM$13)*1</f>
        <v>69.255133620748211</v>
      </c>
      <c r="Z482" s="4">
        <f ca="1">('TUSD BE'!$AM$15+'TUSD BF'!$AM$15+'TUSD CVA'!$AM$15)*1</f>
        <v>117.59114529324071</v>
      </c>
      <c r="AA482" s="4"/>
      <c r="AB482" s="4">
        <f>$K$482*$V$482</f>
        <v>356829.53638332</v>
      </c>
      <c r="AC482" s="4">
        <f>$M$482*$W$482</f>
        <v>0</v>
      </c>
      <c r="AD482" s="4">
        <f>$O$482*$X$482</f>
        <v>0</v>
      </c>
      <c r="AE482" s="4">
        <f ca="1">$K$482*$Y$482</f>
        <v>410502.94388798112</v>
      </c>
      <c r="AF482" s="4">
        <f ca="1">$M$482*$Z$482</f>
        <v>0</v>
      </c>
      <c r="AG482" s="4">
        <f>$O$482*$AA$482</f>
        <v>0</v>
      </c>
    </row>
    <row r="483" spans="1:33" ht="11.25" customHeight="1" x14ac:dyDescent="0.25">
      <c r="A483" s="3" t="s">
        <v>21</v>
      </c>
      <c r="B483" s="3" t="s">
        <v>33</v>
      </c>
      <c r="C483" s="3" t="s">
        <v>42</v>
      </c>
      <c r="D483" s="3" t="s">
        <v>40</v>
      </c>
      <c r="E483" s="3" t="s">
        <v>25</v>
      </c>
      <c r="F483" s="3" t="s">
        <v>60</v>
      </c>
      <c r="G483" s="3" t="s">
        <v>25</v>
      </c>
      <c r="H483" s="3" t="s">
        <v>35</v>
      </c>
      <c r="I483" s="6">
        <v>44470</v>
      </c>
      <c r="J483" s="4">
        <v>16882</v>
      </c>
      <c r="K483" s="4">
        <v>7133.5000732999997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3" t="s">
        <v>57</v>
      </c>
      <c r="R483" s="3">
        <v>0</v>
      </c>
      <c r="S483" s="4">
        <v>91</v>
      </c>
      <c r="T483" s="4">
        <v>0</v>
      </c>
      <c r="U483" s="4">
        <v>0</v>
      </c>
      <c r="V483" s="4">
        <f>IF(ISERROR(VLOOKUP($S$483,'TAR FIN'!$A$1:$O$99,15,0)),0,VLOOKUP($S$483,'TAR FIN'!$A$1:$O$99,15,0))</f>
        <v>60.2</v>
      </c>
      <c r="W483" s="4">
        <f>IF(ISERROR(VLOOKUP($T$483,'TAR FIN'!$A$1:$O$99,15,0)),0,VLOOKUP($T$483,'TAR FIN'!$A$1:$O$99,15,0))</f>
        <v>0</v>
      </c>
      <c r="X483" s="4">
        <f>IF(ISERROR(VLOOKUP($U$483,'TAR FIN'!$A$1:$O$99,15,0)),0,VLOOKUP($U$483,'TAR FIN'!$A$1:$O$99,15,0))</f>
        <v>0</v>
      </c>
      <c r="Y483" s="4">
        <f ca="1">('TUSD BE'!$AM$13+'TUSD BF'!$AM$13+'TUSD CVA'!$AM$13)*1</f>
        <v>69.255133620748211</v>
      </c>
      <c r="Z483" s="4">
        <f ca="1">('TUSD BE'!$AM$15+'TUSD BF'!$AM$15+'TUSD CVA'!$AM$15)*1</f>
        <v>117.59114529324071</v>
      </c>
      <c r="AA483" s="4"/>
      <c r="AB483" s="4">
        <f>$K$483*$V$483</f>
        <v>429436.70441265998</v>
      </c>
      <c r="AC483" s="4">
        <f>$M$483*$W$483</f>
        <v>0</v>
      </c>
      <c r="AD483" s="4">
        <f>$O$483*$X$483</f>
        <v>0</v>
      </c>
      <c r="AE483" s="4">
        <f ca="1">$K$483*$Y$483</f>
        <v>494031.50076000864</v>
      </c>
      <c r="AF483" s="4">
        <f ca="1">$M$483*$Z$483</f>
        <v>0</v>
      </c>
      <c r="AG483" s="4">
        <f>$O$483*$AA$483</f>
        <v>0</v>
      </c>
    </row>
    <row r="484" spans="1:33" ht="11.25" customHeight="1" x14ac:dyDescent="0.25">
      <c r="A484" s="3" t="s">
        <v>21</v>
      </c>
      <c r="B484" s="3" t="s">
        <v>33</v>
      </c>
      <c r="C484" s="3" t="s">
        <v>42</v>
      </c>
      <c r="D484" s="3" t="s">
        <v>40</v>
      </c>
      <c r="E484" s="3" t="s">
        <v>25</v>
      </c>
      <c r="F484" s="3" t="s">
        <v>60</v>
      </c>
      <c r="G484" s="3" t="s">
        <v>25</v>
      </c>
      <c r="H484" s="3" t="s">
        <v>35</v>
      </c>
      <c r="I484" s="6">
        <v>44501</v>
      </c>
      <c r="J484" s="4">
        <v>16746</v>
      </c>
      <c r="K484" s="4">
        <v>5488.6229085000004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3" t="s">
        <v>57</v>
      </c>
      <c r="R484" s="3">
        <v>0</v>
      </c>
      <c r="S484" s="4">
        <v>91</v>
      </c>
      <c r="T484" s="4">
        <v>0</v>
      </c>
      <c r="U484" s="4">
        <v>0</v>
      </c>
      <c r="V484" s="4">
        <f>IF(ISERROR(VLOOKUP($S$484,'TAR FIN'!$A$1:$O$99,15,0)),0,VLOOKUP($S$484,'TAR FIN'!$A$1:$O$99,15,0))</f>
        <v>60.2</v>
      </c>
      <c r="W484" s="4">
        <f>IF(ISERROR(VLOOKUP($T$484,'TAR FIN'!$A$1:$O$99,15,0)),0,VLOOKUP($T$484,'TAR FIN'!$A$1:$O$99,15,0))</f>
        <v>0</v>
      </c>
      <c r="X484" s="4">
        <f>IF(ISERROR(VLOOKUP($U$484,'TAR FIN'!$A$1:$O$99,15,0)),0,VLOOKUP($U$484,'TAR FIN'!$A$1:$O$99,15,0))</f>
        <v>0</v>
      </c>
      <c r="Y484" s="4">
        <f ca="1">('TUSD BE'!$AM$13+'TUSD BF'!$AM$13+'TUSD CVA'!$AM$13)*1</f>
        <v>69.255133620748211</v>
      </c>
      <c r="Z484" s="4">
        <f ca="1">('TUSD BE'!$AM$15+'TUSD BF'!$AM$15+'TUSD CVA'!$AM$15)*1</f>
        <v>117.59114529324071</v>
      </c>
      <c r="AA484" s="4"/>
      <c r="AB484" s="4">
        <f>$K$484*$V$484</f>
        <v>330415.09909170005</v>
      </c>
      <c r="AC484" s="4">
        <f>$M$484*$W$484</f>
        <v>0</v>
      </c>
      <c r="AD484" s="4">
        <f>$O$484*$X$484</f>
        <v>0</v>
      </c>
      <c r="AE484" s="4">
        <f ca="1">$K$484*$Y$484</f>
        <v>380115.31292206718</v>
      </c>
      <c r="AF484" s="4">
        <f ca="1">$M$484*$Z$484</f>
        <v>0</v>
      </c>
      <c r="AG484" s="4">
        <f>$O$484*$AA$484</f>
        <v>0</v>
      </c>
    </row>
    <row r="485" spans="1:33" ht="11.25" customHeight="1" x14ac:dyDescent="0.25">
      <c r="A485" s="3" t="s">
        <v>21</v>
      </c>
      <c r="B485" s="3" t="s">
        <v>33</v>
      </c>
      <c r="C485" s="3" t="s">
        <v>42</v>
      </c>
      <c r="D485" s="3" t="s">
        <v>40</v>
      </c>
      <c r="E485" s="3" t="s">
        <v>25</v>
      </c>
      <c r="F485" s="3" t="s">
        <v>60</v>
      </c>
      <c r="G485" s="3" t="s">
        <v>25</v>
      </c>
      <c r="H485" s="3" t="s">
        <v>35</v>
      </c>
      <c r="I485" s="6">
        <v>44531</v>
      </c>
      <c r="J485" s="4">
        <v>17504</v>
      </c>
      <c r="K485" s="4">
        <v>6839.5000070400001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3" t="s">
        <v>57</v>
      </c>
      <c r="R485" s="3">
        <v>0</v>
      </c>
      <c r="S485" s="4">
        <v>91</v>
      </c>
      <c r="T485" s="4">
        <v>0</v>
      </c>
      <c r="U485" s="4">
        <v>0</v>
      </c>
      <c r="V485" s="4">
        <f>IF(ISERROR(VLOOKUP($S$485,'TAR FIN'!$A$1:$O$99,15,0)),0,VLOOKUP($S$485,'TAR FIN'!$A$1:$O$99,15,0))</f>
        <v>60.2</v>
      </c>
      <c r="W485" s="4">
        <f>IF(ISERROR(VLOOKUP($T$485,'TAR FIN'!$A$1:$O$99,15,0)),0,VLOOKUP($T$485,'TAR FIN'!$A$1:$O$99,15,0))</f>
        <v>0</v>
      </c>
      <c r="X485" s="4">
        <f>IF(ISERROR(VLOOKUP($U$485,'TAR FIN'!$A$1:$O$99,15,0)),0,VLOOKUP($U$485,'TAR FIN'!$A$1:$O$99,15,0))</f>
        <v>0</v>
      </c>
      <c r="Y485" s="4">
        <f ca="1">('TUSD BE'!$AM$13+'TUSD BF'!$AM$13+'TUSD CVA'!$AM$13)*1</f>
        <v>69.255133620748211</v>
      </c>
      <c r="Z485" s="4">
        <f ca="1">('TUSD BE'!$AM$15+'TUSD BF'!$AM$15+'TUSD CVA'!$AM$15)*1</f>
        <v>117.59114529324071</v>
      </c>
      <c r="AA485" s="4"/>
      <c r="AB485" s="4">
        <f>$K$485*$V$485</f>
        <v>411737.90042380802</v>
      </c>
      <c r="AC485" s="4">
        <f>$M$485*$W$485</f>
        <v>0</v>
      </c>
      <c r="AD485" s="4">
        <f>$O$485*$X$485</f>
        <v>0</v>
      </c>
      <c r="AE485" s="4">
        <f ca="1">$K$485*$Y$485</f>
        <v>473670.48688666354</v>
      </c>
      <c r="AF485" s="4">
        <f ca="1">$M$485*$Z$485</f>
        <v>0</v>
      </c>
      <c r="AG485" s="4">
        <f>$O$485*$AA$485</f>
        <v>0</v>
      </c>
    </row>
    <row r="486" spans="1:33" ht="11.25" customHeight="1" x14ac:dyDescent="0.25">
      <c r="A486" s="3" t="s">
        <v>21</v>
      </c>
      <c r="B486" s="3" t="s">
        <v>33</v>
      </c>
      <c r="C486" s="3" t="s">
        <v>42</v>
      </c>
      <c r="D486" s="3" t="s">
        <v>40</v>
      </c>
      <c r="E486" s="3" t="s">
        <v>25</v>
      </c>
      <c r="F486" s="3" t="s">
        <v>60</v>
      </c>
      <c r="G486" s="3" t="s">
        <v>25</v>
      </c>
      <c r="H486" s="3" t="s">
        <v>35</v>
      </c>
      <c r="I486" s="6">
        <v>44562</v>
      </c>
      <c r="J486" s="4">
        <v>17596</v>
      </c>
      <c r="K486" s="4">
        <v>7490.5000106400003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3" t="s">
        <v>57</v>
      </c>
      <c r="R486" s="3">
        <v>0</v>
      </c>
      <c r="S486" s="4">
        <v>91</v>
      </c>
      <c r="T486" s="4">
        <v>0</v>
      </c>
      <c r="U486" s="4">
        <v>0</v>
      </c>
      <c r="V486" s="4">
        <f>IF(ISERROR(VLOOKUP($S$486,'TAR FIN'!$A$1:$O$99,15,0)),0,VLOOKUP($S$486,'TAR FIN'!$A$1:$O$99,15,0))</f>
        <v>60.2</v>
      </c>
      <c r="W486" s="4">
        <f>IF(ISERROR(VLOOKUP($T$486,'TAR FIN'!$A$1:$O$99,15,0)),0,VLOOKUP($T$486,'TAR FIN'!$A$1:$O$99,15,0))</f>
        <v>0</v>
      </c>
      <c r="X486" s="4">
        <f>IF(ISERROR(VLOOKUP($U$486,'TAR FIN'!$A$1:$O$99,15,0)),0,VLOOKUP($U$486,'TAR FIN'!$A$1:$O$99,15,0))</f>
        <v>0</v>
      </c>
      <c r="Y486" s="4">
        <f ca="1">('TUSD BE'!$AM$13+'TUSD BF'!$AM$13+'TUSD CVA'!$AM$13)*1</f>
        <v>69.255133620748211</v>
      </c>
      <c r="Z486" s="4">
        <f ca="1">('TUSD BE'!$AM$15+'TUSD BF'!$AM$15+'TUSD CVA'!$AM$15)*1</f>
        <v>117.59114529324071</v>
      </c>
      <c r="AA486" s="4"/>
      <c r="AB486" s="4">
        <f>$K$486*$V$486</f>
        <v>450928.10064052802</v>
      </c>
      <c r="AC486" s="4">
        <f>$M$486*$W$486</f>
        <v>0</v>
      </c>
      <c r="AD486" s="4">
        <f>$O$486*$X$486</f>
        <v>0</v>
      </c>
      <c r="AE486" s="4">
        <f ca="1">$K$486*$Y$486</f>
        <v>518755.57912308909</v>
      </c>
      <c r="AF486" s="4">
        <f ca="1">$M$486*$Z$486</f>
        <v>0</v>
      </c>
      <c r="AG486" s="4">
        <f>$O$486*$AA$486</f>
        <v>0</v>
      </c>
    </row>
    <row r="487" spans="1:33" ht="11.25" customHeight="1" x14ac:dyDescent="0.25">
      <c r="A487" s="3" t="s">
        <v>21</v>
      </c>
      <c r="B487" s="3" t="s">
        <v>33</v>
      </c>
      <c r="C487" s="3" t="s">
        <v>42</v>
      </c>
      <c r="D487" s="3" t="s">
        <v>40</v>
      </c>
      <c r="E487" s="3" t="s">
        <v>25</v>
      </c>
      <c r="F487" s="3" t="s">
        <v>60</v>
      </c>
      <c r="G487" s="3" t="s">
        <v>25</v>
      </c>
      <c r="H487" s="3" t="s">
        <v>35</v>
      </c>
      <c r="I487" s="6">
        <v>44593</v>
      </c>
      <c r="J487" s="4">
        <v>18083</v>
      </c>
      <c r="K487" s="4">
        <v>7734.00000516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3" t="s">
        <v>57</v>
      </c>
      <c r="R487" s="3">
        <v>0</v>
      </c>
      <c r="S487" s="4">
        <v>91</v>
      </c>
      <c r="T487" s="4">
        <v>0</v>
      </c>
      <c r="U487" s="4">
        <v>0</v>
      </c>
      <c r="V487" s="4">
        <f>IF(ISERROR(VLOOKUP($S$487,'TAR FIN'!$A$1:$O$99,15,0)),0,VLOOKUP($S$487,'TAR FIN'!$A$1:$O$99,15,0))</f>
        <v>60.2</v>
      </c>
      <c r="W487" s="4">
        <f>IF(ISERROR(VLOOKUP($T$487,'TAR FIN'!$A$1:$O$99,15,0)),0,VLOOKUP($T$487,'TAR FIN'!$A$1:$O$99,15,0))</f>
        <v>0</v>
      </c>
      <c r="X487" s="4">
        <f>IF(ISERROR(VLOOKUP($U$487,'TAR FIN'!$A$1:$O$99,15,0)),0,VLOOKUP($U$487,'TAR FIN'!$A$1:$O$99,15,0))</f>
        <v>0</v>
      </c>
      <c r="Y487" s="4">
        <f ca="1">('TUSD BE'!$AM$13+'TUSD BF'!$AM$13+'TUSD CVA'!$AM$13)*1</f>
        <v>69.255133620748211</v>
      </c>
      <c r="Z487" s="4">
        <f ca="1">('TUSD BE'!$AM$15+'TUSD BF'!$AM$15+'TUSD CVA'!$AM$15)*1</f>
        <v>117.59114529324071</v>
      </c>
      <c r="AA487" s="4"/>
      <c r="AB487" s="4">
        <f>$K$487*$V$487</f>
        <v>465586.80031063204</v>
      </c>
      <c r="AC487" s="4">
        <f>$M$487*$W$487</f>
        <v>0</v>
      </c>
      <c r="AD487" s="4">
        <f>$O$487*$X$487</f>
        <v>0</v>
      </c>
      <c r="AE487" s="4">
        <f ca="1">$K$487*$Y$487</f>
        <v>535619.20378022315</v>
      </c>
      <c r="AF487" s="4">
        <f ca="1">$M$487*$Z$487</f>
        <v>0</v>
      </c>
      <c r="AG487" s="4">
        <f>$O$487*$AA$487</f>
        <v>0</v>
      </c>
    </row>
    <row r="488" spans="1:33" ht="11.25" customHeight="1" x14ac:dyDescent="0.25">
      <c r="A488" s="3" t="s">
        <v>21</v>
      </c>
      <c r="B488" s="3" t="s">
        <v>33</v>
      </c>
      <c r="C488" s="3" t="s">
        <v>42</v>
      </c>
      <c r="D488" s="3" t="s">
        <v>40</v>
      </c>
      <c r="E488" s="3" t="s">
        <v>25</v>
      </c>
      <c r="F488" s="3" t="s">
        <v>60</v>
      </c>
      <c r="G488" s="3" t="s">
        <v>25</v>
      </c>
      <c r="H488" s="3" t="s">
        <v>35</v>
      </c>
      <c r="I488" s="6">
        <v>44621</v>
      </c>
      <c r="J488" s="4">
        <v>18973</v>
      </c>
      <c r="K488" s="4">
        <v>8178.9999904400001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3" t="s">
        <v>57</v>
      </c>
      <c r="R488" s="3">
        <v>0</v>
      </c>
      <c r="S488" s="4">
        <v>91</v>
      </c>
      <c r="T488" s="4">
        <v>0</v>
      </c>
      <c r="U488" s="4">
        <v>0</v>
      </c>
      <c r="V488" s="4">
        <f>IF(ISERROR(VLOOKUP($S$488,'TAR FIN'!$A$1:$O$99,15,0)),0,VLOOKUP($S$488,'TAR FIN'!$A$1:$O$99,15,0))</f>
        <v>60.2</v>
      </c>
      <c r="W488" s="4">
        <f>IF(ISERROR(VLOOKUP($T$488,'TAR FIN'!$A$1:$O$99,15,0)),0,VLOOKUP($T$488,'TAR FIN'!$A$1:$O$99,15,0))</f>
        <v>0</v>
      </c>
      <c r="X488" s="4">
        <f>IF(ISERROR(VLOOKUP($U$488,'TAR FIN'!$A$1:$O$99,15,0)),0,VLOOKUP($U$488,'TAR FIN'!$A$1:$O$99,15,0))</f>
        <v>0</v>
      </c>
      <c r="Y488" s="4">
        <f ca="1">('TUSD BE'!$AM$13+'TUSD BF'!$AM$13+'TUSD CVA'!$AM$13)*1</f>
        <v>69.255133620748211</v>
      </c>
      <c r="Z488" s="4">
        <f ca="1">('TUSD BE'!$AM$15+'TUSD BF'!$AM$15+'TUSD CVA'!$AM$15)*1</f>
        <v>117.59114529324071</v>
      </c>
      <c r="AA488" s="4"/>
      <c r="AB488" s="4">
        <f>$K$488*$V$488</f>
        <v>492375.79942448804</v>
      </c>
      <c r="AC488" s="4">
        <f>$M$488*$W$488</f>
        <v>0</v>
      </c>
      <c r="AD488" s="4">
        <f>$O$488*$X$488</f>
        <v>0</v>
      </c>
      <c r="AE488" s="4">
        <f ca="1">$K$488*$Y$488</f>
        <v>566437.73722202051</v>
      </c>
      <c r="AF488" s="4">
        <f ca="1">$M$488*$Z$488</f>
        <v>0</v>
      </c>
      <c r="AG488" s="4">
        <f>$O$488*$AA$488</f>
        <v>0</v>
      </c>
    </row>
    <row r="489" spans="1:33" ht="11.25" customHeight="1" x14ac:dyDescent="0.25">
      <c r="A489" s="3" t="s">
        <v>56</v>
      </c>
      <c r="B489" s="3" t="s">
        <v>33</v>
      </c>
      <c r="C489" s="3" t="s">
        <v>42</v>
      </c>
      <c r="D489" s="3" t="s">
        <v>40</v>
      </c>
      <c r="E489" s="3" t="s">
        <v>25</v>
      </c>
      <c r="F489" s="3" t="s">
        <v>60</v>
      </c>
      <c r="G489" s="3" t="s">
        <v>25</v>
      </c>
      <c r="H489" s="3" t="s">
        <v>35</v>
      </c>
      <c r="I489" s="6">
        <v>44652</v>
      </c>
      <c r="J489" s="4">
        <v>18973</v>
      </c>
      <c r="K489" s="4">
        <v>8178.9999904400001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3" t="s">
        <v>57</v>
      </c>
      <c r="R489" s="3">
        <v>0</v>
      </c>
      <c r="S489" s="4">
        <v>91</v>
      </c>
      <c r="T489" s="4">
        <v>0</v>
      </c>
      <c r="U489" s="4">
        <v>0</v>
      </c>
      <c r="V489" s="4">
        <f>IF(ISERROR(VLOOKUP($S$489,'TAR FIN'!$A$1:$O$99,15,0)),0,VLOOKUP($S$489,'TAR FIN'!$A$1:$O$99,15,0))</f>
        <v>60.2</v>
      </c>
      <c r="W489" s="4">
        <f>IF(ISERROR(VLOOKUP($T$489,'TAR FIN'!$A$1:$O$99,15,0)),0,VLOOKUP($T$489,'TAR FIN'!$A$1:$O$99,15,0))</f>
        <v>0</v>
      </c>
      <c r="X489" s="4">
        <f>IF(ISERROR(VLOOKUP($U$489,'TAR FIN'!$A$1:$O$99,15,0)),0,VLOOKUP($U$489,'TAR FIN'!$A$1:$O$99,15,0))</f>
        <v>0</v>
      </c>
      <c r="Y489" s="4">
        <f ca="1">('TUSD BE'!$AM$13+'TUSD BF'!$AM$13+'TUSD CVA'!$AM$13)*1</f>
        <v>69.255133620748211</v>
      </c>
      <c r="Z489" s="4">
        <f ca="1">('TUSD BE'!$AM$15+'TUSD BF'!$AM$15+'TUSD CVA'!$AM$15)*1</f>
        <v>117.59114529324071</v>
      </c>
      <c r="AA489" s="4"/>
      <c r="AB489" s="4">
        <f>$K$489*$V$489</f>
        <v>492375.79942448804</v>
      </c>
      <c r="AC489" s="4">
        <f>$M$489*$W$489</f>
        <v>0</v>
      </c>
      <c r="AD489" s="4">
        <f>$O$489*$X$489</f>
        <v>0</v>
      </c>
      <c r="AE489" s="4">
        <f ca="1">$K$489*$Y$489</f>
        <v>566437.73722202051</v>
      </c>
      <c r="AF489" s="4">
        <f ca="1">$M$489*$Z$489</f>
        <v>0</v>
      </c>
      <c r="AG489" s="4">
        <f>$O$489*$AA$489</f>
        <v>0</v>
      </c>
    </row>
    <row r="490" spans="1:33" ht="11.25" customHeight="1" x14ac:dyDescent="0.25">
      <c r="A490" s="3" t="s">
        <v>21</v>
      </c>
      <c r="B490" s="3" t="s">
        <v>33</v>
      </c>
      <c r="C490" s="3" t="s">
        <v>42</v>
      </c>
      <c r="D490" s="3" t="s">
        <v>40</v>
      </c>
      <c r="E490" s="3" t="s">
        <v>25</v>
      </c>
      <c r="F490" s="3" t="s">
        <v>25</v>
      </c>
      <c r="G490" s="3" t="s">
        <v>25</v>
      </c>
      <c r="H490" s="3" t="s">
        <v>36</v>
      </c>
      <c r="I490" s="6">
        <v>44317</v>
      </c>
      <c r="J490" s="4">
        <v>4068</v>
      </c>
      <c r="K490" s="4">
        <v>4068</v>
      </c>
      <c r="L490" s="4">
        <v>1539.5229999999999</v>
      </c>
      <c r="M490" s="4">
        <v>1539.5229999999999</v>
      </c>
      <c r="N490" s="4">
        <v>1539.5229999999999</v>
      </c>
      <c r="O490" s="4">
        <v>1539.5229999999999</v>
      </c>
      <c r="P490" s="4">
        <v>0</v>
      </c>
      <c r="Q490" s="3" t="s">
        <v>26</v>
      </c>
      <c r="R490" s="3">
        <v>0</v>
      </c>
      <c r="S490" s="4">
        <v>87</v>
      </c>
      <c r="T490" s="4">
        <v>88</v>
      </c>
      <c r="U490" s="4">
        <v>73</v>
      </c>
      <c r="V490" s="4">
        <f>IF(ISERROR(VLOOKUP($S$490,'TAR FIN'!$A$1:$O$99,15,0)),0,VLOOKUP($S$490,'TAR FIN'!$A$1:$O$99,15,0))</f>
        <v>21.85</v>
      </c>
      <c r="W490" s="4">
        <f>IF(ISERROR(VLOOKUP($T$490,'TAR FIN'!$A$1:$O$99,15,0)),0,VLOOKUP($T$490,'TAR FIN'!$A$1:$O$99,15,0))</f>
        <v>97.61</v>
      </c>
      <c r="X490" s="4">
        <f>IF(ISERROR(VLOOKUP($U$490,'TAR FIN'!$A$1:$O$99,15,0)),0,VLOOKUP($U$490,'TAR FIN'!$A$1:$O$99,15,0))</f>
        <v>219.97</v>
      </c>
      <c r="Y490" s="4">
        <f ca="1">('TUSD BE'!$AM$14+'TUSD BF'!$AM$14+'TUSD CVA'!$AM$14)*1</f>
        <v>24.669398821277586</v>
      </c>
      <c r="Z490" s="4">
        <f ca="1">('TUSD BE'!$AM$15+'TUSD BF'!$AM$15+'TUSD CVA'!$AM$15)*1</f>
        <v>117.59114529324071</v>
      </c>
      <c r="AA490" s="4">
        <f>('TE BE'!$AA$8+'TE BF'!$AA$8+'TE CVA'!$AA$8)*1</f>
        <v>271.13910989737087</v>
      </c>
      <c r="AB490" s="4">
        <f>$K$490*$V$490</f>
        <v>88885.8</v>
      </c>
      <c r="AC490" s="4">
        <f>$M$490*$W$490</f>
        <v>150272.84002999999</v>
      </c>
      <c r="AD490" s="4">
        <f>$O$490*$X$490</f>
        <v>338648.87430999998</v>
      </c>
      <c r="AE490" s="4">
        <f ca="1">$K$490*$Y$490</f>
        <v>100355.11440495722</v>
      </c>
      <c r="AF490" s="4">
        <f ca="1">$M$490*$Z$490</f>
        <v>181034.27277528582</v>
      </c>
      <c r="AG490" s="4">
        <f>$O$490*$AA$490</f>
        <v>417424.89588653005</v>
      </c>
    </row>
    <row r="491" spans="1:33" ht="11.25" customHeight="1" x14ac:dyDescent="0.25">
      <c r="A491" s="3" t="s">
        <v>21</v>
      </c>
      <c r="B491" s="3" t="s">
        <v>33</v>
      </c>
      <c r="C491" s="3" t="s">
        <v>42</v>
      </c>
      <c r="D491" s="3" t="s">
        <v>40</v>
      </c>
      <c r="E491" s="3" t="s">
        <v>25</v>
      </c>
      <c r="F491" s="3" t="s">
        <v>25</v>
      </c>
      <c r="G491" s="3" t="s">
        <v>25</v>
      </c>
      <c r="H491" s="3" t="s">
        <v>36</v>
      </c>
      <c r="I491" s="6">
        <v>44348</v>
      </c>
      <c r="J491" s="4">
        <v>3974</v>
      </c>
      <c r="K491" s="4">
        <v>3974</v>
      </c>
      <c r="L491" s="4">
        <v>1430.9970000000001</v>
      </c>
      <c r="M491" s="4">
        <v>1430.9970000000001</v>
      </c>
      <c r="N491" s="4">
        <v>1430.9970000000001</v>
      </c>
      <c r="O491" s="4">
        <v>1430.9970000000001</v>
      </c>
      <c r="P491" s="4">
        <v>0</v>
      </c>
      <c r="Q491" s="3" t="s">
        <v>26</v>
      </c>
      <c r="R491" s="3">
        <v>0</v>
      </c>
      <c r="S491" s="4">
        <v>87</v>
      </c>
      <c r="T491" s="4">
        <v>88</v>
      </c>
      <c r="U491" s="4">
        <v>73</v>
      </c>
      <c r="V491" s="4">
        <f>IF(ISERROR(VLOOKUP($S$491,'TAR FIN'!$A$1:$O$99,15,0)),0,VLOOKUP($S$491,'TAR FIN'!$A$1:$O$99,15,0))</f>
        <v>21.85</v>
      </c>
      <c r="W491" s="4">
        <f>IF(ISERROR(VLOOKUP($T$491,'TAR FIN'!$A$1:$O$99,15,0)),0,VLOOKUP($T$491,'TAR FIN'!$A$1:$O$99,15,0))</f>
        <v>97.61</v>
      </c>
      <c r="X491" s="4">
        <f>IF(ISERROR(VLOOKUP($U$491,'TAR FIN'!$A$1:$O$99,15,0)),0,VLOOKUP($U$491,'TAR FIN'!$A$1:$O$99,15,0))</f>
        <v>219.97</v>
      </c>
      <c r="Y491" s="4">
        <f ca="1">('TUSD BE'!$AM$14+'TUSD BF'!$AM$14+'TUSD CVA'!$AM$14)*1</f>
        <v>24.669398821277586</v>
      </c>
      <c r="Z491" s="4">
        <f ca="1">('TUSD BE'!$AM$15+'TUSD BF'!$AM$15+'TUSD CVA'!$AM$15)*1</f>
        <v>117.59114529324071</v>
      </c>
      <c r="AA491" s="4">
        <f>('TE BE'!$AA$8+'TE BF'!$AA$8+'TE CVA'!$AA$8)*1</f>
        <v>271.13910989737087</v>
      </c>
      <c r="AB491" s="4">
        <f>$K$491*$V$491</f>
        <v>86831.900000000009</v>
      </c>
      <c r="AC491" s="4">
        <f>$M$491*$W$491</f>
        <v>139679.61717000001</v>
      </c>
      <c r="AD491" s="4">
        <f>$O$491*$X$491</f>
        <v>314776.41009000002</v>
      </c>
      <c r="AE491" s="4">
        <f ca="1">$K$491*$Y$491</f>
        <v>98036.190915757121</v>
      </c>
      <c r="AF491" s="4">
        <f ca="1">$M$491*$Z$491</f>
        <v>168272.57614119159</v>
      </c>
      <c r="AG491" s="4">
        <f>$O$491*$AA$491</f>
        <v>387999.25284580805</v>
      </c>
    </row>
    <row r="492" spans="1:33" ht="11.25" customHeight="1" x14ac:dyDescent="0.25">
      <c r="A492" s="3" t="s">
        <v>21</v>
      </c>
      <c r="B492" s="3" t="s">
        <v>33</v>
      </c>
      <c r="C492" s="3" t="s">
        <v>42</v>
      </c>
      <c r="D492" s="3" t="s">
        <v>40</v>
      </c>
      <c r="E492" s="3" t="s">
        <v>25</v>
      </c>
      <c r="F492" s="3" t="s">
        <v>25</v>
      </c>
      <c r="G492" s="3" t="s">
        <v>25</v>
      </c>
      <c r="H492" s="3" t="s">
        <v>36</v>
      </c>
      <c r="I492" s="6">
        <v>44378</v>
      </c>
      <c r="J492" s="4">
        <v>4241</v>
      </c>
      <c r="K492" s="4">
        <v>4241</v>
      </c>
      <c r="L492" s="4">
        <v>1515.44</v>
      </c>
      <c r="M492" s="4">
        <v>1515.44</v>
      </c>
      <c r="N492" s="4">
        <v>1515.44</v>
      </c>
      <c r="O492" s="4">
        <v>1515.44</v>
      </c>
      <c r="P492" s="4">
        <v>0</v>
      </c>
      <c r="Q492" s="3" t="s">
        <v>26</v>
      </c>
      <c r="R492" s="3">
        <v>0</v>
      </c>
      <c r="S492" s="4">
        <v>87</v>
      </c>
      <c r="T492" s="4">
        <v>88</v>
      </c>
      <c r="U492" s="4">
        <v>73</v>
      </c>
      <c r="V492" s="4">
        <f>IF(ISERROR(VLOOKUP($S$492,'TAR FIN'!$A$1:$O$99,15,0)),0,VLOOKUP($S$492,'TAR FIN'!$A$1:$O$99,15,0))</f>
        <v>21.85</v>
      </c>
      <c r="W492" s="4">
        <f>IF(ISERROR(VLOOKUP($T$492,'TAR FIN'!$A$1:$O$99,15,0)),0,VLOOKUP($T$492,'TAR FIN'!$A$1:$O$99,15,0))</f>
        <v>97.61</v>
      </c>
      <c r="X492" s="4">
        <f>IF(ISERROR(VLOOKUP($U$492,'TAR FIN'!$A$1:$O$99,15,0)),0,VLOOKUP($U$492,'TAR FIN'!$A$1:$O$99,15,0))</f>
        <v>219.97</v>
      </c>
      <c r="Y492" s="4">
        <f ca="1">('TUSD BE'!$AM$14+'TUSD BF'!$AM$14+'TUSD CVA'!$AM$14)*1</f>
        <v>24.669398821277586</v>
      </c>
      <c r="Z492" s="4">
        <f ca="1">('TUSD BE'!$AM$15+'TUSD BF'!$AM$15+'TUSD CVA'!$AM$15)*1</f>
        <v>117.59114529324071</v>
      </c>
      <c r="AA492" s="4">
        <f>('TE BE'!$AA$8+'TE BF'!$AA$8+'TE CVA'!$AA$8)*1</f>
        <v>271.13910989737087</v>
      </c>
      <c r="AB492" s="4">
        <f>$K$492*$V$492</f>
        <v>92665.85</v>
      </c>
      <c r="AC492" s="4">
        <f>$M$492*$W$492</f>
        <v>147922.09840000002</v>
      </c>
      <c r="AD492" s="4">
        <f>$O$492*$X$492</f>
        <v>333351.33679999999</v>
      </c>
      <c r="AE492" s="4">
        <f ca="1">$K$492*$Y$492</f>
        <v>104622.92040103824</v>
      </c>
      <c r="AF492" s="4">
        <f ca="1">$M$492*$Z$492</f>
        <v>178202.3252231887</v>
      </c>
      <c r="AG492" s="4">
        <f>$O$492*$AA$492</f>
        <v>410895.05270287173</v>
      </c>
    </row>
    <row r="493" spans="1:33" ht="11.25" customHeight="1" x14ac:dyDescent="0.25">
      <c r="A493" s="3" t="s">
        <v>21</v>
      </c>
      <c r="B493" s="3" t="s">
        <v>33</v>
      </c>
      <c r="C493" s="3" t="s">
        <v>42</v>
      </c>
      <c r="D493" s="3" t="s">
        <v>40</v>
      </c>
      <c r="E493" s="3" t="s">
        <v>25</v>
      </c>
      <c r="F493" s="3" t="s">
        <v>25</v>
      </c>
      <c r="G493" s="3" t="s">
        <v>25</v>
      </c>
      <c r="H493" s="3" t="s">
        <v>36</v>
      </c>
      <c r="I493" s="6">
        <v>44409</v>
      </c>
      <c r="J493" s="4">
        <v>4283</v>
      </c>
      <c r="K493" s="4">
        <v>4283</v>
      </c>
      <c r="L493" s="4">
        <v>1633.893</v>
      </c>
      <c r="M493" s="4">
        <v>1633.893</v>
      </c>
      <c r="N493" s="4">
        <v>1633.893</v>
      </c>
      <c r="O493" s="4">
        <v>1633.893</v>
      </c>
      <c r="P493" s="4">
        <v>0</v>
      </c>
      <c r="Q493" s="3" t="s">
        <v>26</v>
      </c>
      <c r="R493" s="3">
        <v>0</v>
      </c>
      <c r="S493" s="4">
        <v>87</v>
      </c>
      <c r="T493" s="4">
        <v>88</v>
      </c>
      <c r="U493" s="4">
        <v>73</v>
      </c>
      <c r="V493" s="4">
        <f>IF(ISERROR(VLOOKUP($S$493,'TAR FIN'!$A$1:$O$99,15,0)),0,VLOOKUP($S$493,'TAR FIN'!$A$1:$O$99,15,0))</f>
        <v>21.85</v>
      </c>
      <c r="W493" s="4">
        <f>IF(ISERROR(VLOOKUP($T$493,'TAR FIN'!$A$1:$O$99,15,0)),0,VLOOKUP($T$493,'TAR FIN'!$A$1:$O$99,15,0))</f>
        <v>97.61</v>
      </c>
      <c r="X493" s="4">
        <f>IF(ISERROR(VLOOKUP($U$493,'TAR FIN'!$A$1:$O$99,15,0)),0,VLOOKUP($U$493,'TAR FIN'!$A$1:$O$99,15,0))</f>
        <v>219.97</v>
      </c>
      <c r="Y493" s="4">
        <f ca="1">('TUSD BE'!$AM$14+'TUSD BF'!$AM$14+'TUSD CVA'!$AM$14)*1</f>
        <v>24.669398821277586</v>
      </c>
      <c r="Z493" s="4">
        <f ca="1">('TUSD BE'!$AM$15+'TUSD BF'!$AM$15+'TUSD CVA'!$AM$15)*1</f>
        <v>117.59114529324071</v>
      </c>
      <c r="AA493" s="4">
        <f>('TE BE'!$AA$8+'TE BF'!$AA$8+'TE CVA'!$AA$8)*1</f>
        <v>271.13910989737087</v>
      </c>
      <c r="AB493" s="4">
        <f>$K$493*$V$493</f>
        <v>93583.55</v>
      </c>
      <c r="AC493" s="4">
        <f>$M$493*$W$493</f>
        <v>159484.29573000001</v>
      </c>
      <c r="AD493" s="4">
        <f>$O$493*$X$493</f>
        <v>359407.44321</v>
      </c>
      <c r="AE493" s="4">
        <f ca="1">$K$493*$Y$493</f>
        <v>105659.03515153191</v>
      </c>
      <c r="AF493" s="4">
        <f ca="1">$M$493*$Z$493</f>
        <v>192131.34915660895</v>
      </c>
      <c r="AG493" s="4">
        <f>$O$493*$AA$493</f>
        <v>443012.293687545</v>
      </c>
    </row>
    <row r="494" spans="1:33" ht="11.25" customHeight="1" x14ac:dyDescent="0.25">
      <c r="A494" s="3" t="s">
        <v>21</v>
      </c>
      <c r="B494" s="3" t="s">
        <v>33</v>
      </c>
      <c r="C494" s="3" t="s">
        <v>42</v>
      </c>
      <c r="D494" s="3" t="s">
        <v>40</v>
      </c>
      <c r="E494" s="3" t="s">
        <v>25</v>
      </c>
      <c r="F494" s="3" t="s">
        <v>25</v>
      </c>
      <c r="G494" s="3" t="s">
        <v>25</v>
      </c>
      <c r="H494" s="3" t="s">
        <v>36</v>
      </c>
      <c r="I494" s="6">
        <v>44440</v>
      </c>
      <c r="J494" s="4">
        <v>4261</v>
      </c>
      <c r="K494" s="4">
        <v>4261</v>
      </c>
      <c r="L494" s="4">
        <v>1544.037</v>
      </c>
      <c r="M494" s="4">
        <v>1544.037</v>
      </c>
      <c r="N494" s="4">
        <v>1544.037</v>
      </c>
      <c r="O494" s="4">
        <v>1544.037</v>
      </c>
      <c r="P494" s="4">
        <v>0</v>
      </c>
      <c r="Q494" s="3" t="s">
        <v>26</v>
      </c>
      <c r="R494" s="3">
        <v>0</v>
      </c>
      <c r="S494" s="4">
        <v>87</v>
      </c>
      <c r="T494" s="4">
        <v>88</v>
      </c>
      <c r="U494" s="4">
        <v>73</v>
      </c>
      <c r="V494" s="4">
        <f>IF(ISERROR(VLOOKUP($S$494,'TAR FIN'!$A$1:$O$99,15,0)),0,VLOOKUP($S$494,'TAR FIN'!$A$1:$O$99,15,0))</f>
        <v>21.85</v>
      </c>
      <c r="W494" s="4">
        <f>IF(ISERROR(VLOOKUP($T$494,'TAR FIN'!$A$1:$O$99,15,0)),0,VLOOKUP($T$494,'TAR FIN'!$A$1:$O$99,15,0))</f>
        <v>97.61</v>
      </c>
      <c r="X494" s="4">
        <f>IF(ISERROR(VLOOKUP($U$494,'TAR FIN'!$A$1:$O$99,15,0)),0,VLOOKUP($U$494,'TAR FIN'!$A$1:$O$99,15,0))</f>
        <v>219.97</v>
      </c>
      <c r="Y494" s="4">
        <f ca="1">('TUSD BE'!$AM$14+'TUSD BF'!$AM$14+'TUSD CVA'!$AM$14)*1</f>
        <v>24.669398821277586</v>
      </c>
      <c r="Z494" s="4">
        <f ca="1">('TUSD BE'!$AM$15+'TUSD BF'!$AM$15+'TUSD CVA'!$AM$15)*1</f>
        <v>117.59114529324071</v>
      </c>
      <c r="AA494" s="4">
        <f>('TE BE'!$AA$8+'TE BF'!$AA$8+'TE CVA'!$AA$8)*1</f>
        <v>271.13910989737087</v>
      </c>
      <c r="AB494" s="4">
        <f>$K$494*$V$494</f>
        <v>93102.85</v>
      </c>
      <c r="AC494" s="4">
        <f>$M$494*$W$494</f>
        <v>150713.45157</v>
      </c>
      <c r="AD494" s="4">
        <f>$O$494*$X$494</f>
        <v>339641.81889</v>
      </c>
      <c r="AE494" s="4">
        <f ca="1">$K$494*$Y$494</f>
        <v>105116.30837746379</v>
      </c>
      <c r="AF494" s="4">
        <f ca="1">$M$494*$Z$494</f>
        <v>181565.07920513951</v>
      </c>
      <c r="AG494" s="4">
        <f>$O$494*$AA$494</f>
        <v>418648.81782860681</v>
      </c>
    </row>
    <row r="495" spans="1:33" ht="11.25" customHeight="1" x14ac:dyDescent="0.25">
      <c r="A495" s="3" t="s">
        <v>21</v>
      </c>
      <c r="B495" s="3" t="s">
        <v>33</v>
      </c>
      <c r="C495" s="3" t="s">
        <v>42</v>
      </c>
      <c r="D495" s="3" t="s">
        <v>40</v>
      </c>
      <c r="E495" s="3" t="s">
        <v>25</v>
      </c>
      <c r="F495" s="3" t="s">
        <v>25</v>
      </c>
      <c r="G495" s="3" t="s">
        <v>25</v>
      </c>
      <c r="H495" s="3" t="s">
        <v>36</v>
      </c>
      <c r="I495" s="6">
        <v>44470</v>
      </c>
      <c r="J495" s="4">
        <v>4264</v>
      </c>
      <c r="K495" s="4">
        <v>4264</v>
      </c>
      <c r="L495" s="4">
        <v>1557.8910000000001</v>
      </c>
      <c r="M495" s="4">
        <v>1557.8910000000001</v>
      </c>
      <c r="N495" s="4">
        <v>1557.8910000000001</v>
      </c>
      <c r="O495" s="4">
        <v>1557.8910000000001</v>
      </c>
      <c r="P495" s="4">
        <v>0</v>
      </c>
      <c r="Q495" s="3" t="s">
        <v>26</v>
      </c>
      <c r="R495" s="3">
        <v>0</v>
      </c>
      <c r="S495" s="4">
        <v>87</v>
      </c>
      <c r="T495" s="4">
        <v>88</v>
      </c>
      <c r="U495" s="4">
        <v>73</v>
      </c>
      <c r="V495" s="4">
        <f>IF(ISERROR(VLOOKUP($S$495,'TAR FIN'!$A$1:$O$99,15,0)),0,VLOOKUP($S$495,'TAR FIN'!$A$1:$O$99,15,0))</f>
        <v>21.85</v>
      </c>
      <c r="W495" s="4">
        <f>IF(ISERROR(VLOOKUP($T$495,'TAR FIN'!$A$1:$O$99,15,0)),0,VLOOKUP($T$495,'TAR FIN'!$A$1:$O$99,15,0))</f>
        <v>97.61</v>
      </c>
      <c r="X495" s="4">
        <f>IF(ISERROR(VLOOKUP($U$495,'TAR FIN'!$A$1:$O$99,15,0)),0,VLOOKUP($U$495,'TAR FIN'!$A$1:$O$99,15,0))</f>
        <v>219.97</v>
      </c>
      <c r="Y495" s="4">
        <f ca="1">('TUSD BE'!$AM$14+'TUSD BF'!$AM$14+'TUSD CVA'!$AM$14)*1</f>
        <v>24.669398821277586</v>
      </c>
      <c r="Z495" s="4">
        <f ca="1">('TUSD BE'!$AM$15+'TUSD BF'!$AM$15+'TUSD CVA'!$AM$15)*1</f>
        <v>117.59114529324071</v>
      </c>
      <c r="AA495" s="4">
        <f>('TE BE'!$AA$8+'TE BF'!$AA$8+'TE CVA'!$AA$8)*1</f>
        <v>271.13910989737087</v>
      </c>
      <c r="AB495" s="4">
        <f>$K$495*$V$495</f>
        <v>93168.400000000009</v>
      </c>
      <c r="AC495" s="4">
        <f>$M$495*$W$495</f>
        <v>152065.74051</v>
      </c>
      <c r="AD495" s="4">
        <f>$O$495*$X$495</f>
        <v>342689.28327000001</v>
      </c>
      <c r="AE495" s="4">
        <f ca="1">$K$495*$Y$495</f>
        <v>105190.31657392763</v>
      </c>
      <c r="AF495" s="4">
        <f ca="1">$M$495*$Z$495</f>
        <v>183194.18693203208</v>
      </c>
      <c r="AG495" s="4">
        <f>$O$495*$AA$495</f>
        <v>422405.179057125</v>
      </c>
    </row>
    <row r="496" spans="1:33" ht="11.25" customHeight="1" x14ac:dyDescent="0.25">
      <c r="A496" s="3" t="s">
        <v>21</v>
      </c>
      <c r="B496" s="3" t="s">
        <v>33</v>
      </c>
      <c r="C496" s="3" t="s">
        <v>42</v>
      </c>
      <c r="D496" s="3" t="s">
        <v>40</v>
      </c>
      <c r="E496" s="3" t="s">
        <v>25</v>
      </c>
      <c r="F496" s="3" t="s">
        <v>25</v>
      </c>
      <c r="G496" s="3" t="s">
        <v>25</v>
      </c>
      <c r="H496" s="3" t="s">
        <v>36</v>
      </c>
      <c r="I496" s="6">
        <v>44501</v>
      </c>
      <c r="J496" s="4">
        <v>4228</v>
      </c>
      <c r="K496" s="4">
        <v>4228</v>
      </c>
      <c r="L496" s="4">
        <v>1300.816</v>
      </c>
      <c r="M496" s="4">
        <v>1300.816</v>
      </c>
      <c r="N496" s="4">
        <v>1300.816</v>
      </c>
      <c r="O496" s="4">
        <v>1300.816</v>
      </c>
      <c r="P496" s="4">
        <v>0</v>
      </c>
      <c r="Q496" s="3" t="s">
        <v>26</v>
      </c>
      <c r="R496" s="3">
        <v>0</v>
      </c>
      <c r="S496" s="4">
        <v>87</v>
      </c>
      <c r="T496" s="4">
        <v>88</v>
      </c>
      <c r="U496" s="4">
        <v>73</v>
      </c>
      <c r="V496" s="4">
        <f>IF(ISERROR(VLOOKUP($S$496,'TAR FIN'!$A$1:$O$99,15,0)),0,VLOOKUP($S$496,'TAR FIN'!$A$1:$O$99,15,0))</f>
        <v>21.85</v>
      </c>
      <c r="W496" s="4">
        <f>IF(ISERROR(VLOOKUP($T$496,'TAR FIN'!$A$1:$O$99,15,0)),0,VLOOKUP($T$496,'TAR FIN'!$A$1:$O$99,15,0))</f>
        <v>97.61</v>
      </c>
      <c r="X496" s="4">
        <f>IF(ISERROR(VLOOKUP($U$496,'TAR FIN'!$A$1:$O$99,15,0)),0,VLOOKUP($U$496,'TAR FIN'!$A$1:$O$99,15,0))</f>
        <v>219.97</v>
      </c>
      <c r="Y496" s="4">
        <f ca="1">('TUSD BE'!$AM$14+'TUSD BF'!$AM$14+'TUSD CVA'!$AM$14)*1</f>
        <v>24.669398821277586</v>
      </c>
      <c r="Z496" s="4">
        <f ca="1">('TUSD BE'!$AM$15+'TUSD BF'!$AM$15+'TUSD CVA'!$AM$15)*1</f>
        <v>117.59114529324071</v>
      </c>
      <c r="AA496" s="4">
        <f>('TE BE'!$AA$8+'TE BF'!$AA$8+'TE CVA'!$AA$8)*1</f>
        <v>271.13910989737087</v>
      </c>
      <c r="AB496" s="4">
        <f>$K$496*$V$496</f>
        <v>92381.8</v>
      </c>
      <c r="AC496" s="4">
        <f>$M$496*$W$496</f>
        <v>126972.64976</v>
      </c>
      <c r="AD496" s="4">
        <f>$O$496*$X$496</f>
        <v>286140.49552</v>
      </c>
      <c r="AE496" s="4">
        <f ca="1">$K$496*$Y$496</f>
        <v>104302.21821636164</v>
      </c>
      <c r="AF496" s="4">
        <f ca="1">$M$496*$Z$496</f>
        <v>152964.4432557722</v>
      </c>
      <c r="AG496" s="4">
        <f>$O$496*$AA$496</f>
        <v>352702.09238025837</v>
      </c>
    </row>
    <row r="497" spans="1:33" ht="11.25" customHeight="1" x14ac:dyDescent="0.25">
      <c r="A497" s="3" t="s">
        <v>21</v>
      </c>
      <c r="B497" s="3" t="s">
        <v>33</v>
      </c>
      <c r="C497" s="3" t="s">
        <v>42</v>
      </c>
      <c r="D497" s="3" t="s">
        <v>40</v>
      </c>
      <c r="E497" s="3" t="s">
        <v>25</v>
      </c>
      <c r="F497" s="3" t="s">
        <v>25</v>
      </c>
      <c r="G497" s="3" t="s">
        <v>25</v>
      </c>
      <c r="H497" s="3" t="s">
        <v>36</v>
      </c>
      <c r="I497" s="6">
        <v>44531</v>
      </c>
      <c r="J497" s="4">
        <v>4294</v>
      </c>
      <c r="K497" s="4">
        <v>4294</v>
      </c>
      <c r="L497" s="4">
        <v>1602.269</v>
      </c>
      <c r="M497" s="4">
        <v>1602.269</v>
      </c>
      <c r="N497" s="4">
        <v>1602.269</v>
      </c>
      <c r="O497" s="4">
        <v>1602.269</v>
      </c>
      <c r="P497" s="4">
        <v>0</v>
      </c>
      <c r="Q497" s="3" t="s">
        <v>26</v>
      </c>
      <c r="R497" s="3">
        <v>0</v>
      </c>
      <c r="S497" s="4">
        <v>87</v>
      </c>
      <c r="T497" s="4">
        <v>88</v>
      </c>
      <c r="U497" s="4">
        <v>73</v>
      </c>
      <c r="V497" s="4">
        <f>IF(ISERROR(VLOOKUP($S$497,'TAR FIN'!$A$1:$O$99,15,0)),0,VLOOKUP($S$497,'TAR FIN'!$A$1:$O$99,15,0))</f>
        <v>21.85</v>
      </c>
      <c r="W497" s="4">
        <f>IF(ISERROR(VLOOKUP($T$497,'TAR FIN'!$A$1:$O$99,15,0)),0,VLOOKUP($T$497,'TAR FIN'!$A$1:$O$99,15,0))</f>
        <v>97.61</v>
      </c>
      <c r="X497" s="4">
        <f>IF(ISERROR(VLOOKUP($U$497,'TAR FIN'!$A$1:$O$99,15,0)),0,VLOOKUP($U$497,'TAR FIN'!$A$1:$O$99,15,0))</f>
        <v>219.97</v>
      </c>
      <c r="Y497" s="4">
        <f ca="1">('TUSD BE'!$AM$14+'TUSD BF'!$AM$14+'TUSD CVA'!$AM$14)*1</f>
        <v>24.669398821277586</v>
      </c>
      <c r="Z497" s="4">
        <f ca="1">('TUSD BE'!$AM$15+'TUSD BF'!$AM$15+'TUSD CVA'!$AM$15)*1</f>
        <v>117.59114529324071</v>
      </c>
      <c r="AA497" s="4">
        <f>('TE BE'!$AA$8+'TE BF'!$AA$8+'TE CVA'!$AA$8)*1</f>
        <v>271.13910989737087</v>
      </c>
      <c r="AB497" s="4">
        <f>$K$497*$V$497</f>
        <v>93823.900000000009</v>
      </c>
      <c r="AC497" s="4">
        <f>$M$497*$W$497</f>
        <v>156397.47709</v>
      </c>
      <c r="AD497" s="4">
        <f>$O$497*$X$497</f>
        <v>352451.11193000001</v>
      </c>
      <c r="AE497" s="4">
        <f ca="1">$K$497*$Y$497</f>
        <v>105930.39853856595</v>
      </c>
      <c r="AF497" s="4">
        <f ca="1">$M$497*$Z$497</f>
        <v>188412.64677785549</v>
      </c>
      <c r="AG497" s="4">
        <f>$O$497*$AA$497</f>
        <v>434437.79047615052</v>
      </c>
    </row>
    <row r="498" spans="1:33" ht="11.25" customHeight="1" x14ac:dyDescent="0.25">
      <c r="A498" s="3" t="s">
        <v>21</v>
      </c>
      <c r="B498" s="3" t="s">
        <v>33</v>
      </c>
      <c r="C498" s="3" t="s">
        <v>42</v>
      </c>
      <c r="D498" s="3" t="s">
        <v>40</v>
      </c>
      <c r="E498" s="3" t="s">
        <v>25</v>
      </c>
      <c r="F498" s="3" t="s">
        <v>25</v>
      </c>
      <c r="G498" s="3" t="s">
        <v>25</v>
      </c>
      <c r="H498" s="3" t="s">
        <v>36</v>
      </c>
      <c r="I498" s="6">
        <v>44562</v>
      </c>
      <c r="J498" s="4">
        <v>4255</v>
      </c>
      <c r="K498" s="4">
        <v>4255</v>
      </c>
      <c r="L498" s="4">
        <v>1529.8979999999999</v>
      </c>
      <c r="M498" s="4">
        <v>1529.8979999999999</v>
      </c>
      <c r="N498" s="4">
        <v>1529.8979999999999</v>
      </c>
      <c r="O498" s="4">
        <v>1529.8979999999999</v>
      </c>
      <c r="P498" s="4">
        <v>0</v>
      </c>
      <c r="Q498" s="3" t="s">
        <v>26</v>
      </c>
      <c r="R498" s="3">
        <v>0</v>
      </c>
      <c r="S498" s="4">
        <v>87</v>
      </c>
      <c r="T498" s="4">
        <v>88</v>
      </c>
      <c r="U498" s="4">
        <v>73</v>
      </c>
      <c r="V498" s="4">
        <f>IF(ISERROR(VLOOKUP($S$498,'TAR FIN'!$A$1:$O$99,15,0)),0,VLOOKUP($S$498,'TAR FIN'!$A$1:$O$99,15,0))</f>
        <v>21.85</v>
      </c>
      <c r="W498" s="4">
        <f>IF(ISERROR(VLOOKUP($T$498,'TAR FIN'!$A$1:$O$99,15,0)),0,VLOOKUP($T$498,'TAR FIN'!$A$1:$O$99,15,0))</f>
        <v>97.61</v>
      </c>
      <c r="X498" s="4">
        <f>IF(ISERROR(VLOOKUP($U$498,'TAR FIN'!$A$1:$O$99,15,0)),0,VLOOKUP($U$498,'TAR FIN'!$A$1:$O$99,15,0))</f>
        <v>219.97</v>
      </c>
      <c r="Y498" s="4">
        <f ca="1">('TUSD BE'!$AM$14+'TUSD BF'!$AM$14+'TUSD CVA'!$AM$14)*1</f>
        <v>24.669398821277586</v>
      </c>
      <c r="Z498" s="4">
        <f ca="1">('TUSD BE'!$AM$15+'TUSD BF'!$AM$15+'TUSD CVA'!$AM$15)*1</f>
        <v>117.59114529324071</v>
      </c>
      <c r="AA498" s="4">
        <f>('TE BE'!$AA$8+'TE BF'!$AA$8+'TE CVA'!$AA$8)*1</f>
        <v>271.13910989737087</v>
      </c>
      <c r="AB498" s="4">
        <f>$K$498*$V$498</f>
        <v>92971.75</v>
      </c>
      <c r="AC498" s="4">
        <f>$M$498*$W$498</f>
        <v>149333.34378</v>
      </c>
      <c r="AD498" s="4">
        <f>$O$498*$X$498</f>
        <v>336531.66305999999</v>
      </c>
      <c r="AE498" s="4">
        <f ca="1">$K$498*$Y$498</f>
        <v>104968.29198453613</v>
      </c>
      <c r="AF498" s="4">
        <f ca="1">$M$498*$Z$498</f>
        <v>179902.45800183839</v>
      </c>
      <c r="AG498" s="4">
        <f>$O$498*$AA$498</f>
        <v>414815.1819537679</v>
      </c>
    </row>
    <row r="499" spans="1:33" ht="11.25" customHeight="1" x14ac:dyDescent="0.25">
      <c r="A499" s="3" t="s">
        <v>21</v>
      </c>
      <c r="B499" s="3" t="s">
        <v>33</v>
      </c>
      <c r="C499" s="3" t="s">
        <v>42</v>
      </c>
      <c r="D499" s="3" t="s">
        <v>40</v>
      </c>
      <c r="E499" s="3" t="s">
        <v>25</v>
      </c>
      <c r="F499" s="3" t="s">
        <v>25</v>
      </c>
      <c r="G499" s="3" t="s">
        <v>25</v>
      </c>
      <c r="H499" s="3" t="s">
        <v>36</v>
      </c>
      <c r="I499" s="6">
        <v>44593</v>
      </c>
      <c r="J499" s="4">
        <v>4207</v>
      </c>
      <c r="K499" s="4">
        <v>4207</v>
      </c>
      <c r="L499" s="4">
        <v>1412.491</v>
      </c>
      <c r="M499" s="4">
        <v>1412.491</v>
      </c>
      <c r="N499" s="4">
        <v>1412.491</v>
      </c>
      <c r="O499" s="4">
        <v>1412.491</v>
      </c>
      <c r="P499" s="4">
        <v>0</v>
      </c>
      <c r="Q499" s="3" t="s">
        <v>26</v>
      </c>
      <c r="R499" s="3">
        <v>0</v>
      </c>
      <c r="S499" s="4">
        <v>87</v>
      </c>
      <c r="T499" s="4">
        <v>88</v>
      </c>
      <c r="U499" s="4">
        <v>73</v>
      </c>
      <c r="V499" s="4">
        <f>IF(ISERROR(VLOOKUP($S$499,'TAR FIN'!$A$1:$O$99,15,0)),0,VLOOKUP($S$499,'TAR FIN'!$A$1:$O$99,15,0))</f>
        <v>21.85</v>
      </c>
      <c r="W499" s="4">
        <f>IF(ISERROR(VLOOKUP($T$499,'TAR FIN'!$A$1:$O$99,15,0)),0,VLOOKUP($T$499,'TAR FIN'!$A$1:$O$99,15,0))</f>
        <v>97.61</v>
      </c>
      <c r="X499" s="4">
        <f>IF(ISERROR(VLOOKUP($U$499,'TAR FIN'!$A$1:$O$99,15,0)),0,VLOOKUP($U$499,'TAR FIN'!$A$1:$O$99,15,0))</f>
        <v>219.97</v>
      </c>
      <c r="Y499" s="4">
        <f ca="1">('TUSD BE'!$AM$14+'TUSD BF'!$AM$14+'TUSD CVA'!$AM$14)*1</f>
        <v>24.669398821277586</v>
      </c>
      <c r="Z499" s="4">
        <f ca="1">('TUSD BE'!$AM$15+'TUSD BF'!$AM$15+'TUSD CVA'!$AM$15)*1</f>
        <v>117.59114529324071</v>
      </c>
      <c r="AA499" s="4">
        <f>('TE BE'!$AA$8+'TE BF'!$AA$8+'TE CVA'!$AA$8)*1</f>
        <v>271.13910989737087</v>
      </c>
      <c r="AB499" s="4">
        <f>$K$499*$V$499</f>
        <v>91922.950000000012</v>
      </c>
      <c r="AC499" s="4">
        <f>$M$499*$W$499</f>
        <v>137873.24651</v>
      </c>
      <c r="AD499" s="4">
        <f>$O$499*$X$499</f>
        <v>310705.64526999998</v>
      </c>
      <c r="AE499" s="4">
        <f ca="1">$K$499*$Y$499</f>
        <v>103784.1608411148</v>
      </c>
      <c r="AF499" s="4">
        <f ca="1">$M$499*$Z$499</f>
        <v>166096.43440639487</v>
      </c>
      <c r="AG499" s="4">
        <f>$O$499*$AA$499</f>
        <v>382981.55247804726</v>
      </c>
    </row>
    <row r="500" spans="1:33" ht="11.25" customHeight="1" x14ac:dyDescent="0.25">
      <c r="A500" s="3" t="s">
        <v>21</v>
      </c>
      <c r="B500" s="3" t="s">
        <v>33</v>
      </c>
      <c r="C500" s="3" t="s">
        <v>42</v>
      </c>
      <c r="D500" s="3" t="s">
        <v>40</v>
      </c>
      <c r="E500" s="3" t="s">
        <v>25</v>
      </c>
      <c r="F500" s="3" t="s">
        <v>25</v>
      </c>
      <c r="G500" s="3" t="s">
        <v>25</v>
      </c>
      <c r="H500" s="3" t="s">
        <v>36</v>
      </c>
      <c r="I500" s="6">
        <v>44621</v>
      </c>
      <c r="J500" s="4">
        <v>4211</v>
      </c>
      <c r="K500" s="4">
        <v>4211</v>
      </c>
      <c r="L500" s="4">
        <v>1638.9929999999999</v>
      </c>
      <c r="M500" s="4">
        <v>1638.9929999999999</v>
      </c>
      <c r="N500" s="4">
        <v>1638.9929999999999</v>
      </c>
      <c r="O500" s="4">
        <v>1638.9929999999999</v>
      </c>
      <c r="P500" s="4">
        <v>0</v>
      </c>
      <c r="Q500" s="3" t="s">
        <v>26</v>
      </c>
      <c r="R500" s="3">
        <v>0</v>
      </c>
      <c r="S500" s="4">
        <v>87</v>
      </c>
      <c r="T500" s="4">
        <v>88</v>
      </c>
      <c r="U500" s="4">
        <v>73</v>
      </c>
      <c r="V500" s="4">
        <f>IF(ISERROR(VLOOKUP($S$500,'TAR FIN'!$A$1:$O$99,15,0)),0,VLOOKUP($S$500,'TAR FIN'!$A$1:$O$99,15,0))</f>
        <v>21.85</v>
      </c>
      <c r="W500" s="4">
        <f>IF(ISERROR(VLOOKUP($T$500,'TAR FIN'!$A$1:$O$99,15,0)),0,VLOOKUP($T$500,'TAR FIN'!$A$1:$O$99,15,0))</f>
        <v>97.61</v>
      </c>
      <c r="X500" s="4">
        <f>IF(ISERROR(VLOOKUP($U$500,'TAR FIN'!$A$1:$O$99,15,0)),0,VLOOKUP($U$500,'TAR FIN'!$A$1:$O$99,15,0))</f>
        <v>219.97</v>
      </c>
      <c r="Y500" s="4">
        <f ca="1">('TUSD BE'!$AM$14+'TUSD BF'!$AM$14+'TUSD CVA'!$AM$14)*1</f>
        <v>24.669398821277586</v>
      </c>
      <c r="Z500" s="4">
        <f ca="1">('TUSD BE'!$AM$15+'TUSD BF'!$AM$15+'TUSD CVA'!$AM$15)*1</f>
        <v>117.59114529324071</v>
      </c>
      <c r="AA500" s="4">
        <f>('TE BE'!$AA$8+'TE BF'!$AA$8+'TE CVA'!$AA$8)*1</f>
        <v>271.13910989737087</v>
      </c>
      <c r="AB500" s="4">
        <f>$K$500*$V$500</f>
        <v>92010.35</v>
      </c>
      <c r="AC500" s="4">
        <f>$M$500*$W$500</f>
        <v>159982.10673</v>
      </c>
      <c r="AD500" s="4">
        <f>$O$500*$X$500</f>
        <v>360529.29021000001</v>
      </c>
      <c r="AE500" s="4">
        <f ca="1">$K$500*$Y$500</f>
        <v>103882.83843639991</v>
      </c>
      <c r="AF500" s="4">
        <f ca="1">$M$500*$Z$500</f>
        <v>192731.06399760448</v>
      </c>
      <c r="AG500" s="4">
        <f>$O$500*$AA$500</f>
        <v>444395.10314802156</v>
      </c>
    </row>
    <row r="501" spans="1:33" ht="11.25" customHeight="1" x14ac:dyDescent="0.25">
      <c r="A501" s="3" t="s">
        <v>56</v>
      </c>
      <c r="B501" s="3" t="s">
        <v>33</v>
      </c>
      <c r="C501" s="3" t="s">
        <v>42</v>
      </c>
      <c r="D501" s="3" t="s">
        <v>40</v>
      </c>
      <c r="E501" s="3" t="s">
        <v>25</v>
      </c>
      <c r="F501" s="3" t="s">
        <v>25</v>
      </c>
      <c r="G501" s="3" t="s">
        <v>25</v>
      </c>
      <c r="H501" s="3" t="s">
        <v>36</v>
      </c>
      <c r="I501" s="6">
        <v>44652</v>
      </c>
      <c r="J501" s="4">
        <v>4211</v>
      </c>
      <c r="K501" s="4">
        <v>4211</v>
      </c>
      <c r="L501" s="4">
        <v>1638.9929999999999</v>
      </c>
      <c r="M501" s="4">
        <v>1638.9929999999999</v>
      </c>
      <c r="N501" s="4">
        <v>1638.9929999999999</v>
      </c>
      <c r="O501" s="4">
        <v>1638.9929999999999</v>
      </c>
      <c r="P501" s="4">
        <v>0</v>
      </c>
      <c r="Q501" s="3" t="s">
        <v>26</v>
      </c>
      <c r="R501" s="3">
        <v>0</v>
      </c>
      <c r="S501" s="4">
        <v>87</v>
      </c>
      <c r="T501" s="4">
        <v>88</v>
      </c>
      <c r="U501" s="4">
        <v>73</v>
      </c>
      <c r="V501" s="4">
        <f>IF(ISERROR(VLOOKUP($S$501,'TAR FIN'!$A$1:$O$99,15,0)),0,VLOOKUP($S$501,'TAR FIN'!$A$1:$O$99,15,0))</f>
        <v>21.85</v>
      </c>
      <c r="W501" s="4">
        <f>IF(ISERROR(VLOOKUP($T$501,'TAR FIN'!$A$1:$O$99,15,0)),0,VLOOKUP($T$501,'TAR FIN'!$A$1:$O$99,15,0))</f>
        <v>97.61</v>
      </c>
      <c r="X501" s="4">
        <f>IF(ISERROR(VLOOKUP($U$501,'TAR FIN'!$A$1:$O$99,15,0)),0,VLOOKUP($U$501,'TAR FIN'!$A$1:$O$99,15,0))</f>
        <v>219.97</v>
      </c>
      <c r="Y501" s="4">
        <f ca="1">('TUSD BE'!$AM$14+'TUSD BF'!$AM$14+'TUSD CVA'!$AM$14)*1</f>
        <v>24.669398821277586</v>
      </c>
      <c r="Z501" s="4">
        <f ca="1">('TUSD BE'!$AM$15+'TUSD BF'!$AM$15+'TUSD CVA'!$AM$15)*1</f>
        <v>117.59114529324071</v>
      </c>
      <c r="AA501" s="4">
        <f>('TE BE'!$AA$8+'TE BF'!$AA$8+'TE CVA'!$AA$8)*1</f>
        <v>271.13910989737087</v>
      </c>
      <c r="AB501" s="4">
        <f>$K$501*$V$501</f>
        <v>92010.35</v>
      </c>
      <c r="AC501" s="4">
        <f>$M$501*$W$501</f>
        <v>159982.10673</v>
      </c>
      <c r="AD501" s="4">
        <f>$O$501*$X$501</f>
        <v>360529.29021000001</v>
      </c>
      <c r="AE501" s="4">
        <f ca="1">$K$501*$Y$501</f>
        <v>103882.83843639991</v>
      </c>
      <c r="AF501" s="4">
        <f ca="1">$M$501*$Z$501</f>
        <v>192731.06399760448</v>
      </c>
      <c r="AG501" s="4">
        <f>$O$501*$AA$501</f>
        <v>444395.10314802156</v>
      </c>
    </row>
    <row r="502" spans="1:33" ht="11.25" customHeight="1" x14ac:dyDescent="0.25">
      <c r="A502" s="3" t="s">
        <v>21</v>
      </c>
      <c r="B502" s="3" t="s">
        <v>33</v>
      </c>
      <c r="C502" s="3" t="s">
        <v>42</v>
      </c>
      <c r="D502" s="3" t="s">
        <v>40</v>
      </c>
      <c r="E502" s="3" t="s">
        <v>25</v>
      </c>
      <c r="F502" s="3" t="s">
        <v>25</v>
      </c>
      <c r="G502" s="3" t="s">
        <v>25</v>
      </c>
      <c r="H502" s="3" t="s">
        <v>35</v>
      </c>
      <c r="I502" s="6">
        <v>44317</v>
      </c>
      <c r="J502" s="4">
        <v>3175</v>
      </c>
      <c r="K502" s="4">
        <v>3175</v>
      </c>
      <c r="L502" s="4">
        <v>132.727</v>
      </c>
      <c r="M502" s="4">
        <v>132.727</v>
      </c>
      <c r="N502" s="4">
        <v>132.727</v>
      </c>
      <c r="O502" s="4">
        <v>132.727</v>
      </c>
      <c r="P502" s="4">
        <v>0</v>
      </c>
      <c r="Q502" s="3" t="s">
        <v>26</v>
      </c>
      <c r="R502" s="3">
        <v>0</v>
      </c>
      <c r="S502" s="4">
        <v>91</v>
      </c>
      <c r="T502" s="4">
        <v>88</v>
      </c>
      <c r="U502" s="4">
        <v>72</v>
      </c>
      <c r="V502" s="4">
        <f>IF(ISERROR(VLOOKUP($S$502,'TAR FIN'!$A$1:$O$99,15,0)),0,VLOOKUP($S$502,'TAR FIN'!$A$1:$O$99,15,0))</f>
        <v>60.2</v>
      </c>
      <c r="W502" s="4">
        <f>IF(ISERROR(VLOOKUP($T$502,'TAR FIN'!$A$1:$O$99,15,0)),0,VLOOKUP($T$502,'TAR FIN'!$A$1:$O$99,15,0))</f>
        <v>97.61</v>
      </c>
      <c r="X502" s="4">
        <f>IF(ISERROR(VLOOKUP($U$502,'TAR FIN'!$A$1:$O$99,15,0)),0,VLOOKUP($U$502,'TAR FIN'!$A$1:$O$99,15,0))</f>
        <v>346.61</v>
      </c>
      <c r="Y502" s="4">
        <f ca="1">('TUSD BE'!$AM$13+'TUSD BF'!$AM$13+'TUSD CVA'!$AM$13)*1</f>
        <v>69.255133620748211</v>
      </c>
      <c r="Z502" s="4">
        <f ca="1">('TUSD BE'!$AM$15+'TUSD BF'!$AM$15+'TUSD CVA'!$AM$15)*1</f>
        <v>117.59114529324071</v>
      </c>
      <c r="AA502" s="4">
        <f>('TE BE'!$AA$7+'TE BF'!$AA$7+'TE CVA'!$AA$7)*1</f>
        <v>423.89652505413846</v>
      </c>
      <c r="AB502" s="4">
        <f>$K$502*$V$502</f>
        <v>191135</v>
      </c>
      <c r="AC502" s="4">
        <f>$M$502*$W$502</f>
        <v>12955.482470000001</v>
      </c>
      <c r="AD502" s="4">
        <f>$O$502*$X$502</f>
        <v>46004.505470000004</v>
      </c>
      <c r="AE502" s="4">
        <f ca="1">$K$502*$Y$502</f>
        <v>219885.04924587556</v>
      </c>
      <c r="AF502" s="4">
        <f ca="1">$M$502*$Z$502</f>
        <v>15607.519941335961</v>
      </c>
      <c r="AG502" s="4">
        <f>$O$502*$AA$502</f>
        <v>56262.514080860637</v>
      </c>
    </row>
    <row r="503" spans="1:33" ht="11.25" customHeight="1" x14ac:dyDescent="0.25">
      <c r="A503" s="3" t="s">
        <v>21</v>
      </c>
      <c r="B503" s="3" t="s">
        <v>33</v>
      </c>
      <c r="C503" s="3" t="s">
        <v>42</v>
      </c>
      <c r="D503" s="3" t="s">
        <v>40</v>
      </c>
      <c r="E503" s="3" t="s">
        <v>25</v>
      </c>
      <c r="F503" s="3" t="s">
        <v>25</v>
      </c>
      <c r="G503" s="3" t="s">
        <v>25</v>
      </c>
      <c r="H503" s="3" t="s">
        <v>35</v>
      </c>
      <c r="I503" s="6">
        <v>44348</v>
      </c>
      <c r="J503" s="4">
        <v>3087</v>
      </c>
      <c r="K503" s="4">
        <v>3087</v>
      </c>
      <c r="L503" s="4">
        <v>121.614</v>
      </c>
      <c r="M503" s="4">
        <v>121.614</v>
      </c>
      <c r="N503" s="4">
        <v>121.614</v>
      </c>
      <c r="O503" s="4">
        <v>121.614</v>
      </c>
      <c r="P503" s="4">
        <v>0</v>
      </c>
      <c r="Q503" s="3" t="s">
        <v>26</v>
      </c>
      <c r="R503" s="3">
        <v>0</v>
      </c>
      <c r="S503" s="4">
        <v>91</v>
      </c>
      <c r="T503" s="4">
        <v>88</v>
      </c>
      <c r="U503" s="4">
        <v>72</v>
      </c>
      <c r="V503" s="4">
        <f>IF(ISERROR(VLOOKUP($S$503,'TAR FIN'!$A$1:$O$99,15,0)),0,VLOOKUP($S$503,'TAR FIN'!$A$1:$O$99,15,0))</f>
        <v>60.2</v>
      </c>
      <c r="W503" s="4">
        <f>IF(ISERROR(VLOOKUP($T$503,'TAR FIN'!$A$1:$O$99,15,0)),0,VLOOKUP($T$503,'TAR FIN'!$A$1:$O$99,15,0))</f>
        <v>97.61</v>
      </c>
      <c r="X503" s="4">
        <f>IF(ISERROR(VLOOKUP($U$503,'TAR FIN'!$A$1:$O$99,15,0)),0,VLOOKUP($U$503,'TAR FIN'!$A$1:$O$99,15,0))</f>
        <v>346.61</v>
      </c>
      <c r="Y503" s="4">
        <f ca="1">('TUSD BE'!$AM$13+'TUSD BF'!$AM$13+'TUSD CVA'!$AM$13)*1</f>
        <v>69.255133620748211</v>
      </c>
      <c r="Z503" s="4">
        <f ca="1">('TUSD BE'!$AM$15+'TUSD BF'!$AM$15+'TUSD CVA'!$AM$15)*1</f>
        <v>117.59114529324071</v>
      </c>
      <c r="AA503" s="4">
        <f>('TE BE'!$AA$7+'TE BF'!$AA$7+'TE CVA'!$AA$7)*1</f>
        <v>423.89652505413846</v>
      </c>
      <c r="AB503" s="4">
        <f>$K$503*$V$503</f>
        <v>185837.40000000002</v>
      </c>
      <c r="AC503" s="4">
        <f>$M$503*$W$503</f>
        <v>11870.742540000001</v>
      </c>
      <c r="AD503" s="4">
        <f>$O$503*$X$503</f>
        <v>42152.628540000005</v>
      </c>
      <c r="AE503" s="4">
        <f ca="1">$K$503*$Y$503</f>
        <v>213790.59748724973</v>
      </c>
      <c r="AF503" s="4">
        <f ca="1">$M$503*$Z$503</f>
        <v>14300.729543692176</v>
      </c>
      <c r="AG503" s="4">
        <f>$O$503*$AA$503</f>
        <v>51551.751997934</v>
      </c>
    </row>
    <row r="504" spans="1:33" ht="11.25" customHeight="1" x14ac:dyDescent="0.25">
      <c r="A504" s="3" t="s">
        <v>21</v>
      </c>
      <c r="B504" s="3" t="s">
        <v>33</v>
      </c>
      <c r="C504" s="3" t="s">
        <v>42</v>
      </c>
      <c r="D504" s="3" t="s">
        <v>40</v>
      </c>
      <c r="E504" s="3" t="s">
        <v>25</v>
      </c>
      <c r="F504" s="3" t="s">
        <v>25</v>
      </c>
      <c r="G504" s="3" t="s">
        <v>25</v>
      </c>
      <c r="H504" s="3" t="s">
        <v>35</v>
      </c>
      <c r="I504" s="6">
        <v>44378</v>
      </c>
      <c r="J504" s="4">
        <v>3380</v>
      </c>
      <c r="K504" s="4">
        <v>3380</v>
      </c>
      <c r="L504" s="4">
        <v>132.97300000000001</v>
      </c>
      <c r="M504" s="4">
        <v>132.97300000000001</v>
      </c>
      <c r="N504" s="4">
        <v>132.97300000000001</v>
      </c>
      <c r="O504" s="4">
        <v>132.97300000000001</v>
      </c>
      <c r="P504" s="4">
        <v>0</v>
      </c>
      <c r="Q504" s="3" t="s">
        <v>26</v>
      </c>
      <c r="R504" s="3">
        <v>0</v>
      </c>
      <c r="S504" s="4">
        <v>91</v>
      </c>
      <c r="T504" s="4">
        <v>88</v>
      </c>
      <c r="U504" s="4">
        <v>72</v>
      </c>
      <c r="V504" s="4">
        <f>IF(ISERROR(VLOOKUP($S$504,'TAR FIN'!$A$1:$O$99,15,0)),0,VLOOKUP($S$504,'TAR FIN'!$A$1:$O$99,15,0))</f>
        <v>60.2</v>
      </c>
      <c r="W504" s="4">
        <f>IF(ISERROR(VLOOKUP($T$504,'TAR FIN'!$A$1:$O$99,15,0)),0,VLOOKUP($T$504,'TAR FIN'!$A$1:$O$99,15,0))</f>
        <v>97.61</v>
      </c>
      <c r="X504" s="4">
        <f>IF(ISERROR(VLOOKUP($U$504,'TAR FIN'!$A$1:$O$99,15,0)),0,VLOOKUP($U$504,'TAR FIN'!$A$1:$O$99,15,0))</f>
        <v>346.61</v>
      </c>
      <c r="Y504" s="4">
        <f ca="1">('TUSD BE'!$AM$13+'TUSD BF'!$AM$13+'TUSD CVA'!$AM$13)*1</f>
        <v>69.255133620748211</v>
      </c>
      <c r="Z504" s="4">
        <f ca="1">('TUSD BE'!$AM$15+'TUSD BF'!$AM$15+'TUSD CVA'!$AM$15)*1</f>
        <v>117.59114529324071</v>
      </c>
      <c r="AA504" s="4">
        <f>('TE BE'!$AA$7+'TE BF'!$AA$7+'TE CVA'!$AA$7)*1</f>
        <v>423.89652505413846</v>
      </c>
      <c r="AB504" s="4">
        <f>$K$504*$V$504</f>
        <v>203476</v>
      </c>
      <c r="AC504" s="4">
        <f>$M$504*$W$504</f>
        <v>12979.494530000002</v>
      </c>
      <c r="AD504" s="4">
        <f>$O$504*$X$504</f>
        <v>46089.771530000005</v>
      </c>
      <c r="AE504" s="4">
        <f ca="1">$K$504*$Y$504</f>
        <v>234082.35163812895</v>
      </c>
      <c r="AF504" s="4">
        <f ca="1">$M$504*$Z$504</f>
        <v>15636.447363078099</v>
      </c>
      <c r="AG504" s="4">
        <f>$O$504*$AA$504</f>
        <v>56366.792626023962</v>
      </c>
    </row>
    <row r="505" spans="1:33" ht="11.25" customHeight="1" x14ac:dyDescent="0.25">
      <c r="A505" s="3" t="s">
        <v>21</v>
      </c>
      <c r="B505" s="3" t="s">
        <v>33</v>
      </c>
      <c r="C505" s="3" t="s">
        <v>42</v>
      </c>
      <c r="D505" s="3" t="s">
        <v>40</v>
      </c>
      <c r="E505" s="3" t="s">
        <v>25</v>
      </c>
      <c r="F505" s="3" t="s">
        <v>25</v>
      </c>
      <c r="G505" s="3" t="s">
        <v>25</v>
      </c>
      <c r="H505" s="3" t="s">
        <v>35</v>
      </c>
      <c r="I505" s="6">
        <v>44409</v>
      </c>
      <c r="J505" s="4">
        <v>3368</v>
      </c>
      <c r="K505" s="4">
        <v>3368</v>
      </c>
      <c r="L505" s="4">
        <v>141.18899999999999</v>
      </c>
      <c r="M505" s="4">
        <v>141.18899999999999</v>
      </c>
      <c r="N505" s="4">
        <v>141.18899999999999</v>
      </c>
      <c r="O505" s="4">
        <v>141.18899999999999</v>
      </c>
      <c r="P505" s="4">
        <v>0</v>
      </c>
      <c r="Q505" s="3" t="s">
        <v>26</v>
      </c>
      <c r="R505" s="3">
        <v>0</v>
      </c>
      <c r="S505" s="4">
        <v>91</v>
      </c>
      <c r="T505" s="4">
        <v>88</v>
      </c>
      <c r="U505" s="4">
        <v>72</v>
      </c>
      <c r="V505" s="4">
        <f>IF(ISERROR(VLOOKUP($S$505,'TAR FIN'!$A$1:$O$99,15,0)),0,VLOOKUP($S$505,'TAR FIN'!$A$1:$O$99,15,0))</f>
        <v>60.2</v>
      </c>
      <c r="W505" s="4">
        <f>IF(ISERROR(VLOOKUP($T$505,'TAR FIN'!$A$1:$O$99,15,0)),0,VLOOKUP($T$505,'TAR FIN'!$A$1:$O$99,15,0))</f>
        <v>97.61</v>
      </c>
      <c r="X505" s="4">
        <f>IF(ISERROR(VLOOKUP($U$505,'TAR FIN'!$A$1:$O$99,15,0)),0,VLOOKUP($U$505,'TAR FIN'!$A$1:$O$99,15,0))</f>
        <v>346.61</v>
      </c>
      <c r="Y505" s="4">
        <f ca="1">('TUSD BE'!$AM$13+'TUSD BF'!$AM$13+'TUSD CVA'!$AM$13)*1</f>
        <v>69.255133620748211</v>
      </c>
      <c r="Z505" s="4">
        <f ca="1">('TUSD BE'!$AM$15+'TUSD BF'!$AM$15+'TUSD CVA'!$AM$15)*1</f>
        <v>117.59114529324071</v>
      </c>
      <c r="AA505" s="4">
        <f>('TE BE'!$AA$7+'TE BF'!$AA$7+'TE CVA'!$AA$7)*1</f>
        <v>423.89652505413846</v>
      </c>
      <c r="AB505" s="4">
        <f>$K$505*$V$505</f>
        <v>202753.6</v>
      </c>
      <c r="AC505" s="4">
        <f>$M$505*$W$505</f>
        <v>13781.458289999999</v>
      </c>
      <c r="AD505" s="4">
        <f>$O$505*$X$505</f>
        <v>48937.519289999997</v>
      </c>
      <c r="AE505" s="4">
        <f ca="1">$K$505*$Y$505</f>
        <v>233251.29003467999</v>
      </c>
      <c r="AF505" s="4">
        <f ca="1">$M$505*$Z$505</f>
        <v>16602.576212807362</v>
      </c>
      <c r="AG505" s="4">
        <f>$O$505*$AA$505</f>
        <v>59849.526475868755</v>
      </c>
    </row>
    <row r="506" spans="1:33" ht="11.25" customHeight="1" x14ac:dyDescent="0.25">
      <c r="A506" s="3" t="s">
        <v>21</v>
      </c>
      <c r="B506" s="3" t="s">
        <v>33</v>
      </c>
      <c r="C506" s="3" t="s">
        <v>42</v>
      </c>
      <c r="D506" s="3" t="s">
        <v>40</v>
      </c>
      <c r="E506" s="3" t="s">
        <v>25</v>
      </c>
      <c r="F506" s="3" t="s">
        <v>25</v>
      </c>
      <c r="G506" s="3" t="s">
        <v>25</v>
      </c>
      <c r="H506" s="3" t="s">
        <v>35</v>
      </c>
      <c r="I506" s="6">
        <v>44440</v>
      </c>
      <c r="J506" s="4">
        <v>3365</v>
      </c>
      <c r="K506" s="4">
        <v>3365</v>
      </c>
      <c r="L506" s="4">
        <v>135.57</v>
      </c>
      <c r="M506" s="4">
        <v>135.57</v>
      </c>
      <c r="N506" s="4">
        <v>135.57</v>
      </c>
      <c r="O506" s="4">
        <v>135.57</v>
      </c>
      <c r="P506" s="4">
        <v>0</v>
      </c>
      <c r="Q506" s="3" t="s">
        <v>26</v>
      </c>
      <c r="R506" s="3">
        <v>0</v>
      </c>
      <c r="S506" s="4">
        <v>91</v>
      </c>
      <c r="T506" s="4">
        <v>88</v>
      </c>
      <c r="U506" s="4">
        <v>72</v>
      </c>
      <c r="V506" s="4">
        <f>IF(ISERROR(VLOOKUP($S$506,'TAR FIN'!$A$1:$O$99,15,0)),0,VLOOKUP($S$506,'TAR FIN'!$A$1:$O$99,15,0))</f>
        <v>60.2</v>
      </c>
      <c r="W506" s="4">
        <f>IF(ISERROR(VLOOKUP($T$506,'TAR FIN'!$A$1:$O$99,15,0)),0,VLOOKUP($T$506,'TAR FIN'!$A$1:$O$99,15,0))</f>
        <v>97.61</v>
      </c>
      <c r="X506" s="4">
        <f>IF(ISERROR(VLOOKUP($U$506,'TAR FIN'!$A$1:$O$99,15,0)),0,VLOOKUP($U$506,'TAR FIN'!$A$1:$O$99,15,0))</f>
        <v>346.61</v>
      </c>
      <c r="Y506" s="4">
        <f ca="1">('TUSD BE'!$AM$13+'TUSD BF'!$AM$13+'TUSD CVA'!$AM$13)*1</f>
        <v>69.255133620748211</v>
      </c>
      <c r="Z506" s="4">
        <f ca="1">('TUSD BE'!$AM$15+'TUSD BF'!$AM$15+'TUSD CVA'!$AM$15)*1</f>
        <v>117.59114529324071</v>
      </c>
      <c r="AA506" s="4">
        <f>('TE BE'!$AA$7+'TE BF'!$AA$7+'TE CVA'!$AA$7)*1</f>
        <v>423.89652505413846</v>
      </c>
      <c r="AB506" s="4">
        <f>$K$506*$V$506</f>
        <v>202573</v>
      </c>
      <c r="AC506" s="4">
        <f>$M$506*$W$506</f>
        <v>13232.9877</v>
      </c>
      <c r="AD506" s="4">
        <f>$O$506*$X$506</f>
        <v>46989.917699999998</v>
      </c>
      <c r="AE506" s="4">
        <f ca="1">$K$506*$Y$506</f>
        <v>233043.52463381772</v>
      </c>
      <c r="AF506" s="4">
        <f ca="1">$M$506*$Z$506</f>
        <v>15941.831567404643</v>
      </c>
      <c r="AG506" s="4">
        <f>$O$506*$AA$506</f>
        <v>57467.651901589546</v>
      </c>
    </row>
    <row r="507" spans="1:33" ht="11.25" customHeight="1" x14ac:dyDescent="0.25">
      <c r="A507" s="3" t="s">
        <v>21</v>
      </c>
      <c r="B507" s="3" t="s">
        <v>33</v>
      </c>
      <c r="C507" s="3" t="s">
        <v>42</v>
      </c>
      <c r="D507" s="3" t="s">
        <v>40</v>
      </c>
      <c r="E507" s="3" t="s">
        <v>25</v>
      </c>
      <c r="F507" s="3" t="s">
        <v>25</v>
      </c>
      <c r="G507" s="3" t="s">
        <v>25</v>
      </c>
      <c r="H507" s="3" t="s">
        <v>35</v>
      </c>
      <c r="I507" s="6">
        <v>44470</v>
      </c>
      <c r="J507" s="4">
        <v>3373</v>
      </c>
      <c r="K507" s="4">
        <v>3373</v>
      </c>
      <c r="L507" s="4">
        <v>122.151</v>
      </c>
      <c r="M507" s="4">
        <v>122.151</v>
      </c>
      <c r="N507" s="4">
        <v>122.151</v>
      </c>
      <c r="O507" s="4">
        <v>122.151</v>
      </c>
      <c r="P507" s="4">
        <v>0</v>
      </c>
      <c r="Q507" s="3" t="s">
        <v>26</v>
      </c>
      <c r="R507" s="3">
        <v>0</v>
      </c>
      <c r="S507" s="4">
        <v>91</v>
      </c>
      <c r="T507" s="4">
        <v>88</v>
      </c>
      <c r="U507" s="4">
        <v>72</v>
      </c>
      <c r="V507" s="4">
        <f>IF(ISERROR(VLOOKUP($S$507,'TAR FIN'!$A$1:$O$99,15,0)),0,VLOOKUP($S$507,'TAR FIN'!$A$1:$O$99,15,0))</f>
        <v>60.2</v>
      </c>
      <c r="W507" s="4">
        <f>IF(ISERROR(VLOOKUP($T$507,'TAR FIN'!$A$1:$O$99,15,0)),0,VLOOKUP($T$507,'TAR FIN'!$A$1:$O$99,15,0))</f>
        <v>97.61</v>
      </c>
      <c r="X507" s="4">
        <f>IF(ISERROR(VLOOKUP($U$507,'TAR FIN'!$A$1:$O$99,15,0)),0,VLOOKUP($U$507,'TAR FIN'!$A$1:$O$99,15,0))</f>
        <v>346.61</v>
      </c>
      <c r="Y507" s="4">
        <f ca="1">('TUSD BE'!$AM$13+'TUSD BF'!$AM$13+'TUSD CVA'!$AM$13)*1</f>
        <v>69.255133620748211</v>
      </c>
      <c r="Z507" s="4">
        <f ca="1">('TUSD BE'!$AM$15+'TUSD BF'!$AM$15+'TUSD CVA'!$AM$15)*1</f>
        <v>117.59114529324071</v>
      </c>
      <c r="AA507" s="4">
        <f>('TE BE'!$AA$7+'TE BF'!$AA$7+'TE CVA'!$AA$7)*1</f>
        <v>423.89652505413846</v>
      </c>
      <c r="AB507" s="4">
        <f>$K$507*$V$507</f>
        <v>203054.6</v>
      </c>
      <c r="AC507" s="4">
        <f>$M$507*$W$507</f>
        <v>11923.159109999999</v>
      </c>
      <c r="AD507" s="4">
        <f>$O$507*$X$507</f>
        <v>42338.758110000002</v>
      </c>
      <c r="AE507" s="4">
        <f ca="1">$K$507*$Y$507</f>
        <v>233597.56570278373</v>
      </c>
      <c r="AF507" s="4">
        <f ca="1">$M$507*$Z$507</f>
        <v>14363.875988714646</v>
      </c>
      <c r="AG507" s="4">
        <f>$O$507*$AA$507</f>
        <v>51779.384431888066</v>
      </c>
    </row>
    <row r="508" spans="1:33" ht="11.25" customHeight="1" x14ac:dyDescent="0.25">
      <c r="A508" s="3" t="s">
        <v>21</v>
      </c>
      <c r="B508" s="3" t="s">
        <v>33</v>
      </c>
      <c r="C508" s="3" t="s">
        <v>42</v>
      </c>
      <c r="D508" s="3" t="s">
        <v>40</v>
      </c>
      <c r="E508" s="3" t="s">
        <v>25</v>
      </c>
      <c r="F508" s="3" t="s">
        <v>25</v>
      </c>
      <c r="G508" s="3" t="s">
        <v>25</v>
      </c>
      <c r="H508" s="3" t="s">
        <v>35</v>
      </c>
      <c r="I508" s="6">
        <v>44501</v>
      </c>
      <c r="J508" s="4">
        <v>3367</v>
      </c>
      <c r="K508" s="4">
        <v>3367</v>
      </c>
      <c r="L508" s="4">
        <v>101.785</v>
      </c>
      <c r="M508" s="4">
        <v>101.785</v>
      </c>
      <c r="N508" s="4">
        <v>101.785</v>
      </c>
      <c r="O508" s="4">
        <v>101.785</v>
      </c>
      <c r="P508" s="4">
        <v>0</v>
      </c>
      <c r="Q508" s="3" t="s">
        <v>26</v>
      </c>
      <c r="R508" s="3">
        <v>0</v>
      </c>
      <c r="S508" s="4">
        <v>91</v>
      </c>
      <c r="T508" s="4">
        <v>88</v>
      </c>
      <c r="U508" s="4">
        <v>72</v>
      </c>
      <c r="V508" s="4">
        <f>IF(ISERROR(VLOOKUP($S$508,'TAR FIN'!$A$1:$O$99,15,0)),0,VLOOKUP($S$508,'TAR FIN'!$A$1:$O$99,15,0))</f>
        <v>60.2</v>
      </c>
      <c r="W508" s="4">
        <f>IF(ISERROR(VLOOKUP($T$508,'TAR FIN'!$A$1:$O$99,15,0)),0,VLOOKUP($T$508,'TAR FIN'!$A$1:$O$99,15,0))</f>
        <v>97.61</v>
      </c>
      <c r="X508" s="4">
        <f>IF(ISERROR(VLOOKUP($U$508,'TAR FIN'!$A$1:$O$99,15,0)),0,VLOOKUP($U$508,'TAR FIN'!$A$1:$O$99,15,0))</f>
        <v>346.61</v>
      </c>
      <c r="Y508" s="4">
        <f ca="1">('TUSD BE'!$AM$13+'TUSD BF'!$AM$13+'TUSD CVA'!$AM$13)*1</f>
        <v>69.255133620748211</v>
      </c>
      <c r="Z508" s="4">
        <f ca="1">('TUSD BE'!$AM$15+'TUSD BF'!$AM$15+'TUSD CVA'!$AM$15)*1</f>
        <v>117.59114529324071</v>
      </c>
      <c r="AA508" s="4">
        <f>('TE BE'!$AA$7+'TE BF'!$AA$7+'TE CVA'!$AA$7)*1</f>
        <v>423.89652505413846</v>
      </c>
      <c r="AB508" s="4">
        <f>$K$508*$V$508</f>
        <v>202693.40000000002</v>
      </c>
      <c r="AC508" s="4">
        <f>$M$508*$W$508</f>
        <v>9935.2338499999987</v>
      </c>
      <c r="AD508" s="4">
        <f>$O$508*$X$508</f>
        <v>35279.698850000001</v>
      </c>
      <c r="AE508" s="4">
        <f ca="1">$K$508*$Y$508</f>
        <v>233182.03490105923</v>
      </c>
      <c r="AF508" s="4">
        <f ca="1">$M$508*$Z$508</f>
        <v>11969.014723672506</v>
      </c>
      <c r="AG508" s="4">
        <f>$O$508*$AA$508</f>
        <v>43146.307802635485</v>
      </c>
    </row>
    <row r="509" spans="1:33" ht="11.25" customHeight="1" x14ac:dyDescent="0.25">
      <c r="A509" s="3" t="s">
        <v>21</v>
      </c>
      <c r="B509" s="3" t="s">
        <v>33</v>
      </c>
      <c r="C509" s="3" t="s">
        <v>42</v>
      </c>
      <c r="D509" s="3" t="s">
        <v>40</v>
      </c>
      <c r="E509" s="3" t="s">
        <v>25</v>
      </c>
      <c r="F509" s="3" t="s">
        <v>25</v>
      </c>
      <c r="G509" s="3" t="s">
        <v>25</v>
      </c>
      <c r="H509" s="3" t="s">
        <v>35</v>
      </c>
      <c r="I509" s="6">
        <v>44531</v>
      </c>
      <c r="J509" s="4">
        <v>3405</v>
      </c>
      <c r="K509" s="4">
        <v>3405</v>
      </c>
      <c r="L509" s="4">
        <v>142.667</v>
      </c>
      <c r="M509" s="4">
        <v>142.667</v>
      </c>
      <c r="N509" s="4">
        <v>142.667</v>
      </c>
      <c r="O509" s="4">
        <v>142.667</v>
      </c>
      <c r="P509" s="4">
        <v>0</v>
      </c>
      <c r="Q509" s="3" t="s">
        <v>26</v>
      </c>
      <c r="R509" s="3">
        <v>0</v>
      </c>
      <c r="S509" s="4">
        <v>91</v>
      </c>
      <c r="T509" s="4">
        <v>88</v>
      </c>
      <c r="U509" s="4">
        <v>72</v>
      </c>
      <c r="V509" s="4">
        <f>IF(ISERROR(VLOOKUP($S$509,'TAR FIN'!$A$1:$O$99,15,0)),0,VLOOKUP($S$509,'TAR FIN'!$A$1:$O$99,15,0))</f>
        <v>60.2</v>
      </c>
      <c r="W509" s="4">
        <f>IF(ISERROR(VLOOKUP($T$509,'TAR FIN'!$A$1:$O$99,15,0)),0,VLOOKUP($T$509,'TAR FIN'!$A$1:$O$99,15,0))</f>
        <v>97.61</v>
      </c>
      <c r="X509" s="4">
        <f>IF(ISERROR(VLOOKUP($U$509,'TAR FIN'!$A$1:$O$99,15,0)),0,VLOOKUP($U$509,'TAR FIN'!$A$1:$O$99,15,0))</f>
        <v>346.61</v>
      </c>
      <c r="Y509" s="4">
        <f ca="1">('TUSD BE'!$AM$13+'TUSD BF'!$AM$13+'TUSD CVA'!$AM$13)*1</f>
        <v>69.255133620748211</v>
      </c>
      <c r="Z509" s="4">
        <f ca="1">('TUSD BE'!$AM$15+'TUSD BF'!$AM$15+'TUSD CVA'!$AM$15)*1</f>
        <v>117.59114529324071</v>
      </c>
      <c r="AA509" s="4">
        <f>('TE BE'!$AA$7+'TE BF'!$AA$7+'TE CVA'!$AA$7)*1</f>
        <v>423.89652505413846</v>
      </c>
      <c r="AB509" s="4">
        <f>$K$509*$V$509</f>
        <v>204981</v>
      </c>
      <c r="AC509" s="4">
        <f>$M$509*$W$509</f>
        <v>13925.72587</v>
      </c>
      <c r="AD509" s="4">
        <f>$O$509*$X$509</f>
        <v>49449.808870000001</v>
      </c>
      <c r="AE509" s="4">
        <f ca="1">$K$509*$Y$509</f>
        <v>235813.72997864767</v>
      </c>
      <c r="AF509" s="4">
        <f ca="1">$M$509*$Z$509</f>
        <v>16776.375925550772</v>
      </c>
      <c r="AG509" s="4">
        <f>$O$509*$AA$509</f>
        <v>60476.045539898776</v>
      </c>
    </row>
    <row r="510" spans="1:33" ht="11.25" customHeight="1" x14ac:dyDescent="0.25">
      <c r="A510" s="3" t="s">
        <v>21</v>
      </c>
      <c r="B510" s="3" t="s">
        <v>33</v>
      </c>
      <c r="C510" s="3" t="s">
        <v>42</v>
      </c>
      <c r="D510" s="3" t="s">
        <v>40</v>
      </c>
      <c r="E510" s="3" t="s">
        <v>25</v>
      </c>
      <c r="F510" s="3" t="s">
        <v>25</v>
      </c>
      <c r="G510" s="3" t="s">
        <v>25</v>
      </c>
      <c r="H510" s="3" t="s">
        <v>35</v>
      </c>
      <c r="I510" s="6">
        <v>44562</v>
      </c>
      <c r="J510" s="4">
        <v>3365</v>
      </c>
      <c r="K510" s="4">
        <v>3365</v>
      </c>
      <c r="L510" s="4">
        <v>125.032</v>
      </c>
      <c r="M510" s="4">
        <v>125.032</v>
      </c>
      <c r="N510" s="4">
        <v>125.032</v>
      </c>
      <c r="O510" s="4">
        <v>125.032</v>
      </c>
      <c r="P510" s="4">
        <v>0</v>
      </c>
      <c r="Q510" s="3" t="s">
        <v>26</v>
      </c>
      <c r="R510" s="3">
        <v>0</v>
      </c>
      <c r="S510" s="4">
        <v>91</v>
      </c>
      <c r="T510" s="4">
        <v>88</v>
      </c>
      <c r="U510" s="4">
        <v>72</v>
      </c>
      <c r="V510" s="4">
        <f>IF(ISERROR(VLOOKUP($S$510,'TAR FIN'!$A$1:$O$99,15,0)),0,VLOOKUP($S$510,'TAR FIN'!$A$1:$O$99,15,0))</f>
        <v>60.2</v>
      </c>
      <c r="W510" s="4">
        <f>IF(ISERROR(VLOOKUP($T$510,'TAR FIN'!$A$1:$O$99,15,0)),0,VLOOKUP($T$510,'TAR FIN'!$A$1:$O$99,15,0))</f>
        <v>97.61</v>
      </c>
      <c r="X510" s="4">
        <f>IF(ISERROR(VLOOKUP($U$510,'TAR FIN'!$A$1:$O$99,15,0)),0,VLOOKUP($U$510,'TAR FIN'!$A$1:$O$99,15,0))</f>
        <v>346.61</v>
      </c>
      <c r="Y510" s="4">
        <f ca="1">('TUSD BE'!$AM$13+'TUSD BF'!$AM$13+'TUSD CVA'!$AM$13)*1</f>
        <v>69.255133620748211</v>
      </c>
      <c r="Z510" s="4">
        <f ca="1">('TUSD BE'!$AM$15+'TUSD BF'!$AM$15+'TUSD CVA'!$AM$15)*1</f>
        <v>117.59114529324071</v>
      </c>
      <c r="AA510" s="4">
        <f>('TE BE'!$AA$7+'TE BF'!$AA$7+'TE CVA'!$AA$7)*1</f>
        <v>423.89652505413846</v>
      </c>
      <c r="AB510" s="4">
        <f>$K$510*$V$510</f>
        <v>202573</v>
      </c>
      <c r="AC510" s="4">
        <f>$M$510*$W$510</f>
        <v>12204.373519999999</v>
      </c>
      <c r="AD510" s="4">
        <f>$O$510*$X$510</f>
        <v>43337.341520000002</v>
      </c>
      <c r="AE510" s="4">
        <f ca="1">$K$510*$Y$510</f>
        <v>233043.52463381772</v>
      </c>
      <c r="AF510" s="4">
        <f ca="1">$M$510*$Z$510</f>
        <v>14702.656078304473</v>
      </c>
      <c r="AG510" s="4">
        <f>$O$510*$AA$510</f>
        <v>53000.630320569042</v>
      </c>
    </row>
    <row r="511" spans="1:33" ht="11.25" customHeight="1" x14ac:dyDescent="0.25">
      <c r="A511" s="3" t="s">
        <v>21</v>
      </c>
      <c r="B511" s="3" t="s">
        <v>33</v>
      </c>
      <c r="C511" s="3" t="s">
        <v>42</v>
      </c>
      <c r="D511" s="3" t="s">
        <v>40</v>
      </c>
      <c r="E511" s="3" t="s">
        <v>25</v>
      </c>
      <c r="F511" s="3" t="s">
        <v>25</v>
      </c>
      <c r="G511" s="3" t="s">
        <v>25</v>
      </c>
      <c r="H511" s="3" t="s">
        <v>35</v>
      </c>
      <c r="I511" s="6">
        <v>44593</v>
      </c>
      <c r="J511" s="4">
        <v>3330</v>
      </c>
      <c r="K511" s="4">
        <v>3330</v>
      </c>
      <c r="L511" s="4">
        <v>121.858</v>
      </c>
      <c r="M511" s="4">
        <v>121.858</v>
      </c>
      <c r="N511" s="4">
        <v>121.858</v>
      </c>
      <c r="O511" s="4">
        <v>121.858</v>
      </c>
      <c r="P511" s="4">
        <v>0</v>
      </c>
      <c r="Q511" s="3" t="s">
        <v>26</v>
      </c>
      <c r="R511" s="3">
        <v>0</v>
      </c>
      <c r="S511" s="4">
        <v>91</v>
      </c>
      <c r="T511" s="4">
        <v>88</v>
      </c>
      <c r="U511" s="4">
        <v>72</v>
      </c>
      <c r="V511" s="4">
        <f>IF(ISERROR(VLOOKUP($S$511,'TAR FIN'!$A$1:$O$99,15,0)),0,VLOOKUP($S$511,'TAR FIN'!$A$1:$O$99,15,0))</f>
        <v>60.2</v>
      </c>
      <c r="W511" s="4">
        <f>IF(ISERROR(VLOOKUP($T$511,'TAR FIN'!$A$1:$O$99,15,0)),0,VLOOKUP($T$511,'TAR FIN'!$A$1:$O$99,15,0))</f>
        <v>97.61</v>
      </c>
      <c r="X511" s="4">
        <f>IF(ISERROR(VLOOKUP($U$511,'TAR FIN'!$A$1:$O$99,15,0)),0,VLOOKUP($U$511,'TAR FIN'!$A$1:$O$99,15,0))</f>
        <v>346.61</v>
      </c>
      <c r="Y511" s="4">
        <f ca="1">('TUSD BE'!$AM$13+'TUSD BF'!$AM$13+'TUSD CVA'!$AM$13)*1</f>
        <v>69.255133620748211</v>
      </c>
      <c r="Z511" s="4">
        <f ca="1">('TUSD BE'!$AM$15+'TUSD BF'!$AM$15+'TUSD CVA'!$AM$15)*1</f>
        <v>117.59114529324071</v>
      </c>
      <c r="AA511" s="4">
        <f>('TE BE'!$AA$7+'TE BF'!$AA$7+'TE CVA'!$AA$7)*1</f>
        <v>423.89652505413846</v>
      </c>
      <c r="AB511" s="4">
        <f>$K$511*$V$511</f>
        <v>200466</v>
      </c>
      <c r="AC511" s="4">
        <f>$M$511*$W$511</f>
        <v>11894.559380000001</v>
      </c>
      <c r="AD511" s="4">
        <f>$O$511*$X$511</f>
        <v>42237.201380000006</v>
      </c>
      <c r="AE511" s="4">
        <f ca="1">$K$511*$Y$511</f>
        <v>230619.59495709155</v>
      </c>
      <c r="AF511" s="4">
        <f ca="1">$M$511*$Z$511</f>
        <v>14329.421783143727</v>
      </c>
      <c r="AG511" s="4">
        <f>$O$511*$AA$511</f>
        <v>51655.182750047206</v>
      </c>
    </row>
    <row r="512" spans="1:33" ht="11.25" customHeight="1" x14ac:dyDescent="0.25">
      <c r="A512" s="3" t="s">
        <v>21</v>
      </c>
      <c r="B512" s="3" t="s">
        <v>33</v>
      </c>
      <c r="C512" s="3" t="s">
        <v>42</v>
      </c>
      <c r="D512" s="3" t="s">
        <v>40</v>
      </c>
      <c r="E512" s="3" t="s">
        <v>25</v>
      </c>
      <c r="F512" s="3" t="s">
        <v>25</v>
      </c>
      <c r="G512" s="3" t="s">
        <v>25</v>
      </c>
      <c r="H512" s="3" t="s">
        <v>35</v>
      </c>
      <c r="I512" s="6">
        <v>44621</v>
      </c>
      <c r="J512" s="4">
        <v>3325</v>
      </c>
      <c r="K512" s="4">
        <v>3325</v>
      </c>
      <c r="L512" s="4">
        <v>132.77099999999999</v>
      </c>
      <c r="M512" s="4">
        <v>132.77099999999999</v>
      </c>
      <c r="N512" s="4">
        <v>132.77099999999999</v>
      </c>
      <c r="O512" s="4">
        <v>132.77099999999999</v>
      </c>
      <c r="P512" s="4">
        <v>0</v>
      </c>
      <c r="Q512" s="3" t="s">
        <v>26</v>
      </c>
      <c r="R512" s="3">
        <v>0</v>
      </c>
      <c r="S512" s="4">
        <v>91</v>
      </c>
      <c r="T512" s="4">
        <v>88</v>
      </c>
      <c r="U512" s="4">
        <v>72</v>
      </c>
      <c r="V512" s="4">
        <f>IF(ISERROR(VLOOKUP($S$512,'TAR FIN'!$A$1:$O$99,15,0)),0,VLOOKUP($S$512,'TAR FIN'!$A$1:$O$99,15,0))</f>
        <v>60.2</v>
      </c>
      <c r="W512" s="4">
        <f>IF(ISERROR(VLOOKUP($T$512,'TAR FIN'!$A$1:$O$99,15,0)),0,VLOOKUP($T$512,'TAR FIN'!$A$1:$O$99,15,0))</f>
        <v>97.61</v>
      </c>
      <c r="X512" s="4">
        <f>IF(ISERROR(VLOOKUP($U$512,'TAR FIN'!$A$1:$O$99,15,0)),0,VLOOKUP($U$512,'TAR FIN'!$A$1:$O$99,15,0))</f>
        <v>346.61</v>
      </c>
      <c r="Y512" s="4">
        <f ca="1">('TUSD BE'!$AM$13+'TUSD BF'!$AM$13+'TUSD CVA'!$AM$13)*1</f>
        <v>69.255133620748211</v>
      </c>
      <c r="Z512" s="4">
        <f ca="1">('TUSD BE'!$AM$15+'TUSD BF'!$AM$15+'TUSD CVA'!$AM$15)*1</f>
        <v>117.59114529324071</v>
      </c>
      <c r="AA512" s="4">
        <f>('TE BE'!$AA$7+'TE BF'!$AA$7+'TE CVA'!$AA$7)*1</f>
        <v>423.89652505413846</v>
      </c>
      <c r="AB512" s="4">
        <f>$K$512*$V$512</f>
        <v>200165</v>
      </c>
      <c r="AC512" s="4">
        <f>$M$512*$W$512</f>
        <v>12959.777309999999</v>
      </c>
      <c r="AD512" s="4">
        <f>$O$512*$X$512</f>
        <v>46019.756309999997</v>
      </c>
      <c r="AE512" s="4">
        <f ca="1">$K$512*$Y$512</f>
        <v>230273.31928898781</v>
      </c>
      <c r="AF512" s="4">
        <f ca="1">$M$512*$Z$512</f>
        <v>15612.693951728861</v>
      </c>
      <c r="AG512" s="4">
        <f>$O$512*$AA$512</f>
        <v>56281.165527963014</v>
      </c>
    </row>
    <row r="513" spans="1:33" ht="11.25" customHeight="1" x14ac:dyDescent="0.25">
      <c r="A513" s="3" t="s">
        <v>56</v>
      </c>
      <c r="B513" s="3" t="s">
        <v>33</v>
      </c>
      <c r="C513" s="3" t="s">
        <v>42</v>
      </c>
      <c r="D513" s="3" t="s">
        <v>40</v>
      </c>
      <c r="E513" s="3" t="s">
        <v>25</v>
      </c>
      <c r="F513" s="3" t="s">
        <v>25</v>
      </c>
      <c r="G513" s="3" t="s">
        <v>25</v>
      </c>
      <c r="H513" s="3" t="s">
        <v>35</v>
      </c>
      <c r="I513" s="6">
        <v>44652</v>
      </c>
      <c r="J513" s="4">
        <v>3325</v>
      </c>
      <c r="K513" s="4">
        <v>3325</v>
      </c>
      <c r="L513" s="4">
        <v>132.77099999999999</v>
      </c>
      <c r="M513" s="4">
        <v>132.77099999999999</v>
      </c>
      <c r="N513" s="4">
        <v>132.77099999999999</v>
      </c>
      <c r="O513" s="4">
        <v>132.77099999999999</v>
      </c>
      <c r="P513" s="4">
        <v>0</v>
      </c>
      <c r="Q513" s="3" t="s">
        <v>26</v>
      </c>
      <c r="R513" s="3">
        <v>0</v>
      </c>
      <c r="S513" s="4">
        <v>91</v>
      </c>
      <c r="T513" s="4">
        <v>88</v>
      </c>
      <c r="U513" s="4">
        <v>72</v>
      </c>
      <c r="V513" s="4">
        <f>IF(ISERROR(VLOOKUP($S$513,'TAR FIN'!$A$1:$O$99,15,0)),0,VLOOKUP($S$513,'TAR FIN'!$A$1:$O$99,15,0))</f>
        <v>60.2</v>
      </c>
      <c r="W513" s="4">
        <f>IF(ISERROR(VLOOKUP($T$513,'TAR FIN'!$A$1:$O$99,15,0)),0,VLOOKUP($T$513,'TAR FIN'!$A$1:$O$99,15,0))</f>
        <v>97.61</v>
      </c>
      <c r="X513" s="4">
        <f>IF(ISERROR(VLOOKUP($U$513,'TAR FIN'!$A$1:$O$99,15,0)),0,VLOOKUP($U$513,'TAR FIN'!$A$1:$O$99,15,0))</f>
        <v>346.61</v>
      </c>
      <c r="Y513" s="4">
        <f ca="1">('TUSD BE'!$AM$13+'TUSD BF'!$AM$13+'TUSD CVA'!$AM$13)*1</f>
        <v>69.255133620748211</v>
      </c>
      <c r="Z513" s="4">
        <f ca="1">('TUSD BE'!$AM$15+'TUSD BF'!$AM$15+'TUSD CVA'!$AM$15)*1</f>
        <v>117.59114529324071</v>
      </c>
      <c r="AA513" s="4">
        <f>('TE BE'!$AA$7+'TE BF'!$AA$7+'TE CVA'!$AA$7)*1</f>
        <v>423.89652505413846</v>
      </c>
      <c r="AB513" s="4">
        <f>$K$513*$V$513</f>
        <v>200165</v>
      </c>
      <c r="AC513" s="4">
        <f>$M$513*$W$513</f>
        <v>12959.777309999999</v>
      </c>
      <c r="AD513" s="4">
        <f>$O$513*$X$513</f>
        <v>46019.756309999997</v>
      </c>
      <c r="AE513" s="4">
        <f ca="1">$K$513*$Y$513</f>
        <v>230273.31928898781</v>
      </c>
      <c r="AF513" s="4">
        <f ca="1">$M$513*$Z$513</f>
        <v>15612.693951728861</v>
      </c>
      <c r="AG513" s="4">
        <f>$O$513*$AA$513</f>
        <v>56281.165527963014</v>
      </c>
    </row>
    <row r="514" spans="1:33" ht="11.25" customHeight="1" x14ac:dyDescent="0.25">
      <c r="A514" s="3" t="s">
        <v>21</v>
      </c>
      <c r="B514" s="3" t="s">
        <v>33</v>
      </c>
      <c r="C514" s="3" t="s">
        <v>42</v>
      </c>
      <c r="D514" s="3" t="s">
        <v>46</v>
      </c>
      <c r="E514" s="3" t="s">
        <v>25</v>
      </c>
      <c r="F514" s="3" t="s">
        <v>25</v>
      </c>
      <c r="G514" s="3" t="s">
        <v>25</v>
      </c>
      <c r="H514" s="3" t="s">
        <v>36</v>
      </c>
      <c r="I514" s="6">
        <v>44317</v>
      </c>
      <c r="J514" s="4">
        <v>1088</v>
      </c>
      <c r="K514" s="4">
        <v>1088</v>
      </c>
      <c r="L514" s="4">
        <v>194.16499999999999</v>
      </c>
      <c r="M514" s="4">
        <v>194.16499999999999</v>
      </c>
      <c r="N514" s="4">
        <v>194.16499999999999</v>
      </c>
      <c r="O514" s="4">
        <v>194.16499999999999</v>
      </c>
      <c r="P514" s="4">
        <v>0</v>
      </c>
      <c r="Q514" s="3" t="s">
        <v>26</v>
      </c>
      <c r="R514" s="3">
        <v>0</v>
      </c>
      <c r="S514" s="4">
        <v>87</v>
      </c>
      <c r="T514" s="4">
        <v>88</v>
      </c>
      <c r="U514" s="4">
        <v>73</v>
      </c>
      <c r="V514" s="4">
        <f>IF(ISERROR(VLOOKUP($S$514,'TAR FIN'!$A$1:$O$99,15,0)),0,VLOOKUP($S$514,'TAR FIN'!$A$1:$O$99,15,0))</f>
        <v>21.85</v>
      </c>
      <c r="W514" s="4">
        <f>IF(ISERROR(VLOOKUP($T$514,'TAR FIN'!$A$1:$O$99,15,0)),0,VLOOKUP($T$514,'TAR FIN'!$A$1:$O$99,15,0))</f>
        <v>97.61</v>
      </c>
      <c r="X514" s="4">
        <f>IF(ISERROR(VLOOKUP($U$514,'TAR FIN'!$A$1:$O$99,15,0)),0,VLOOKUP($U$514,'TAR FIN'!$A$1:$O$99,15,0))</f>
        <v>219.97</v>
      </c>
      <c r="Y514" s="4">
        <f ca="1">('TUSD BE'!$AM$14+'TUSD BF'!$AM$14+'TUSD CVA'!$AM$14)*1</f>
        <v>24.669398821277586</v>
      </c>
      <c r="Z514" s="4">
        <f ca="1">('TUSD BE'!$AM$15+'TUSD BF'!$AM$15+'TUSD CVA'!$AM$15)*1</f>
        <v>117.59114529324071</v>
      </c>
      <c r="AA514" s="4">
        <f>('TE BE'!$AA$8+'TE BF'!$AA$8+'TE CVA'!$AA$8)*1</f>
        <v>271.13910989737087</v>
      </c>
      <c r="AB514" s="4">
        <f>$K$514*$V$514</f>
        <v>23772.800000000003</v>
      </c>
      <c r="AC514" s="4">
        <f>$M$514*$W$514</f>
        <v>18952.445649999998</v>
      </c>
      <c r="AD514" s="4">
        <f>$O$514*$X$514</f>
        <v>42710.475050000001</v>
      </c>
      <c r="AE514" s="4">
        <f ca="1">$K$514*$Y$514</f>
        <v>26840.305917550013</v>
      </c>
      <c r="AF514" s="4">
        <f ca="1">$M$514*$Z$514</f>
        <v>22832.084725862082</v>
      </c>
      <c r="AG514" s="4">
        <f>$O$514*$AA$514</f>
        <v>52645.725273223012</v>
      </c>
    </row>
    <row r="515" spans="1:33" ht="11.25" customHeight="1" x14ac:dyDescent="0.25">
      <c r="A515" s="3" t="s">
        <v>21</v>
      </c>
      <c r="B515" s="3" t="s">
        <v>33</v>
      </c>
      <c r="C515" s="3" t="s">
        <v>42</v>
      </c>
      <c r="D515" s="3" t="s">
        <v>46</v>
      </c>
      <c r="E515" s="3" t="s">
        <v>25</v>
      </c>
      <c r="F515" s="3" t="s">
        <v>25</v>
      </c>
      <c r="G515" s="3" t="s">
        <v>25</v>
      </c>
      <c r="H515" s="3" t="s">
        <v>36</v>
      </c>
      <c r="I515" s="6">
        <v>44348</v>
      </c>
      <c r="J515" s="4">
        <v>1088</v>
      </c>
      <c r="K515" s="4">
        <v>1088</v>
      </c>
      <c r="L515" s="4">
        <v>180.59</v>
      </c>
      <c r="M515" s="4">
        <v>180.59</v>
      </c>
      <c r="N515" s="4">
        <v>180.59</v>
      </c>
      <c r="O515" s="4">
        <v>180.59</v>
      </c>
      <c r="P515" s="4">
        <v>0</v>
      </c>
      <c r="Q515" s="3" t="s">
        <v>26</v>
      </c>
      <c r="R515" s="3">
        <v>0</v>
      </c>
      <c r="S515" s="4">
        <v>87</v>
      </c>
      <c r="T515" s="4">
        <v>88</v>
      </c>
      <c r="U515" s="4">
        <v>73</v>
      </c>
      <c r="V515" s="4">
        <f>IF(ISERROR(VLOOKUP($S$515,'TAR FIN'!$A$1:$O$99,15,0)),0,VLOOKUP($S$515,'TAR FIN'!$A$1:$O$99,15,0))</f>
        <v>21.85</v>
      </c>
      <c r="W515" s="4">
        <f>IF(ISERROR(VLOOKUP($T$515,'TAR FIN'!$A$1:$O$99,15,0)),0,VLOOKUP($T$515,'TAR FIN'!$A$1:$O$99,15,0))</f>
        <v>97.61</v>
      </c>
      <c r="X515" s="4">
        <f>IF(ISERROR(VLOOKUP($U$515,'TAR FIN'!$A$1:$O$99,15,0)),0,VLOOKUP($U$515,'TAR FIN'!$A$1:$O$99,15,0))</f>
        <v>219.97</v>
      </c>
      <c r="Y515" s="4">
        <f ca="1">('TUSD BE'!$AM$14+'TUSD BF'!$AM$14+'TUSD CVA'!$AM$14)*1</f>
        <v>24.669398821277586</v>
      </c>
      <c r="Z515" s="4">
        <f ca="1">('TUSD BE'!$AM$15+'TUSD BF'!$AM$15+'TUSD CVA'!$AM$15)*1</f>
        <v>117.59114529324071</v>
      </c>
      <c r="AA515" s="4">
        <f>('TE BE'!$AA$8+'TE BF'!$AA$8+'TE CVA'!$AA$8)*1</f>
        <v>271.13910989737087</v>
      </c>
      <c r="AB515" s="4">
        <f>$K$515*$V$515</f>
        <v>23772.800000000003</v>
      </c>
      <c r="AC515" s="4">
        <f>$M$515*$W$515</f>
        <v>17627.389900000002</v>
      </c>
      <c r="AD515" s="4">
        <f>$O$515*$X$515</f>
        <v>39724.382299999997</v>
      </c>
      <c r="AE515" s="4">
        <f ca="1">$K$515*$Y$515</f>
        <v>26840.305917550013</v>
      </c>
      <c r="AF515" s="4">
        <f ca="1">$M$515*$Z$515</f>
        <v>21235.784928506342</v>
      </c>
      <c r="AG515" s="4">
        <f>$O$515*$AA$515</f>
        <v>48965.011856366204</v>
      </c>
    </row>
    <row r="516" spans="1:33" ht="11.25" customHeight="1" x14ac:dyDescent="0.25">
      <c r="A516" s="3" t="s">
        <v>21</v>
      </c>
      <c r="B516" s="3" t="s">
        <v>33</v>
      </c>
      <c r="C516" s="3" t="s">
        <v>42</v>
      </c>
      <c r="D516" s="3" t="s">
        <v>46</v>
      </c>
      <c r="E516" s="3" t="s">
        <v>25</v>
      </c>
      <c r="F516" s="3" t="s">
        <v>25</v>
      </c>
      <c r="G516" s="3" t="s">
        <v>25</v>
      </c>
      <c r="H516" s="3" t="s">
        <v>36</v>
      </c>
      <c r="I516" s="6">
        <v>44378</v>
      </c>
      <c r="J516" s="4">
        <v>1088</v>
      </c>
      <c r="K516" s="4">
        <v>1088</v>
      </c>
      <c r="L516" s="4">
        <v>182.44</v>
      </c>
      <c r="M516" s="4">
        <v>182.44</v>
      </c>
      <c r="N516" s="4">
        <v>182.44</v>
      </c>
      <c r="O516" s="4">
        <v>182.44</v>
      </c>
      <c r="P516" s="4">
        <v>0</v>
      </c>
      <c r="Q516" s="3" t="s">
        <v>26</v>
      </c>
      <c r="R516" s="3">
        <v>0</v>
      </c>
      <c r="S516" s="4">
        <v>87</v>
      </c>
      <c r="T516" s="4">
        <v>88</v>
      </c>
      <c r="U516" s="4">
        <v>73</v>
      </c>
      <c r="V516" s="4">
        <f>IF(ISERROR(VLOOKUP($S$516,'TAR FIN'!$A$1:$O$99,15,0)),0,VLOOKUP($S$516,'TAR FIN'!$A$1:$O$99,15,0))</f>
        <v>21.85</v>
      </c>
      <c r="W516" s="4">
        <f>IF(ISERROR(VLOOKUP($T$516,'TAR FIN'!$A$1:$O$99,15,0)),0,VLOOKUP($T$516,'TAR FIN'!$A$1:$O$99,15,0))</f>
        <v>97.61</v>
      </c>
      <c r="X516" s="4">
        <f>IF(ISERROR(VLOOKUP($U$516,'TAR FIN'!$A$1:$O$99,15,0)),0,VLOOKUP($U$516,'TAR FIN'!$A$1:$O$99,15,0))</f>
        <v>219.97</v>
      </c>
      <c r="Y516" s="4">
        <f ca="1">('TUSD BE'!$AM$14+'TUSD BF'!$AM$14+'TUSD CVA'!$AM$14)*1</f>
        <v>24.669398821277586</v>
      </c>
      <c r="Z516" s="4">
        <f ca="1">('TUSD BE'!$AM$15+'TUSD BF'!$AM$15+'TUSD CVA'!$AM$15)*1</f>
        <v>117.59114529324071</v>
      </c>
      <c r="AA516" s="4">
        <f>('TE BE'!$AA$8+'TE BF'!$AA$8+'TE CVA'!$AA$8)*1</f>
        <v>271.13910989737087</v>
      </c>
      <c r="AB516" s="4">
        <f>$K$516*$V$516</f>
        <v>23772.800000000003</v>
      </c>
      <c r="AC516" s="4">
        <f>$M$516*$W$516</f>
        <v>17807.968399999998</v>
      </c>
      <c r="AD516" s="4">
        <f>$O$516*$X$516</f>
        <v>40131.326800000003</v>
      </c>
      <c r="AE516" s="4">
        <f ca="1">$K$516*$Y$516</f>
        <v>26840.305917550013</v>
      </c>
      <c r="AF516" s="4">
        <f ca="1">$M$516*$Z$516</f>
        <v>21453.328547298835</v>
      </c>
      <c r="AG516" s="4">
        <f>$O$516*$AA$516</f>
        <v>49466.619209676341</v>
      </c>
    </row>
    <row r="517" spans="1:33" ht="11.25" customHeight="1" x14ac:dyDescent="0.25">
      <c r="A517" s="3" t="s">
        <v>21</v>
      </c>
      <c r="B517" s="3" t="s">
        <v>33</v>
      </c>
      <c r="C517" s="3" t="s">
        <v>42</v>
      </c>
      <c r="D517" s="3" t="s">
        <v>46</v>
      </c>
      <c r="E517" s="3" t="s">
        <v>25</v>
      </c>
      <c r="F517" s="3" t="s">
        <v>25</v>
      </c>
      <c r="G517" s="3" t="s">
        <v>25</v>
      </c>
      <c r="H517" s="3" t="s">
        <v>36</v>
      </c>
      <c r="I517" s="6">
        <v>44409</v>
      </c>
      <c r="J517" s="4">
        <v>1088</v>
      </c>
      <c r="K517" s="4">
        <v>1088</v>
      </c>
      <c r="L517" s="4">
        <v>192.91</v>
      </c>
      <c r="M517" s="4">
        <v>192.91</v>
      </c>
      <c r="N517" s="4">
        <v>192.91</v>
      </c>
      <c r="O517" s="4">
        <v>192.91</v>
      </c>
      <c r="P517" s="4">
        <v>0</v>
      </c>
      <c r="Q517" s="3" t="s">
        <v>26</v>
      </c>
      <c r="R517" s="3">
        <v>0</v>
      </c>
      <c r="S517" s="4">
        <v>87</v>
      </c>
      <c r="T517" s="4">
        <v>88</v>
      </c>
      <c r="U517" s="4">
        <v>73</v>
      </c>
      <c r="V517" s="4">
        <f>IF(ISERROR(VLOOKUP($S$517,'TAR FIN'!$A$1:$O$99,15,0)),0,VLOOKUP($S$517,'TAR FIN'!$A$1:$O$99,15,0))</f>
        <v>21.85</v>
      </c>
      <c r="W517" s="4">
        <f>IF(ISERROR(VLOOKUP($T$517,'TAR FIN'!$A$1:$O$99,15,0)),0,VLOOKUP($T$517,'TAR FIN'!$A$1:$O$99,15,0))</f>
        <v>97.61</v>
      </c>
      <c r="X517" s="4">
        <f>IF(ISERROR(VLOOKUP($U$517,'TAR FIN'!$A$1:$O$99,15,0)),0,VLOOKUP($U$517,'TAR FIN'!$A$1:$O$99,15,0))</f>
        <v>219.97</v>
      </c>
      <c r="Y517" s="4">
        <f ca="1">('TUSD BE'!$AM$14+'TUSD BF'!$AM$14+'TUSD CVA'!$AM$14)*1</f>
        <v>24.669398821277586</v>
      </c>
      <c r="Z517" s="4">
        <f ca="1">('TUSD BE'!$AM$15+'TUSD BF'!$AM$15+'TUSD CVA'!$AM$15)*1</f>
        <v>117.59114529324071</v>
      </c>
      <c r="AA517" s="4">
        <f>('TE BE'!$AA$8+'TE BF'!$AA$8+'TE CVA'!$AA$8)*1</f>
        <v>271.13910989737087</v>
      </c>
      <c r="AB517" s="4">
        <f>$K$517*$V$517</f>
        <v>23772.800000000003</v>
      </c>
      <c r="AC517" s="4">
        <f>$M$517*$W$517</f>
        <v>18829.945100000001</v>
      </c>
      <c r="AD517" s="4">
        <f>$O$517*$X$517</f>
        <v>42434.412700000001</v>
      </c>
      <c r="AE517" s="4">
        <f ca="1">$K$517*$Y$517</f>
        <v>26840.305917550013</v>
      </c>
      <c r="AF517" s="4">
        <f ca="1">$M$517*$Z$517</f>
        <v>22684.507838519065</v>
      </c>
      <c r="AG517" s="4">
        <f>$O$517*$AA$517</f>
        <v>52305.445690301814</v>
      </c>
    </row>
    <row r="518" spans="1:33" ht="11.25" customHeight="1" x14ac:dyDescent="0.25">
      <c r="A518" s="3" t="s">
        <v>28</v>
      </c>
      <c r="B518" s="3" t="s">
        <v>33</v>
      </c>
      <c r="C518" s="3" t="s">
        <v>42</v>
      </c>
      <c r="D518" s="3" t="s">
        <v>46</v>
      </c>
      <c r="E518" s="3" t="s">
        <v>25</v>
      </c>
      <c r="F518" s="3" t="s">
        <v>25</v>
      </c>
      <c r="G518" s="3" t="s">
        <v>25</v>
      </c>
      <c r="H518" s="3" t="s">
        <v>36</v>
      </c>
      <c r="I518" s="6">
        <v>44409</v>
      </c>
      <c r="J518" s="4">
        <v>312</v>
      </c>
      <c r="K518" s="4">
        <v>312</v>
      </c>
      <c r="L518" s="4">
        <v>44.753</v>
      </c>
      <c r="M518" s="4">
        <v>44.753</v>
      </c>
      <c r="N518" s="4">
        <v>44.753</v>
      </c>
      <c r="O518" s="4">
        <v>44.753</v>
      </c>
      <c r="P518" s="4">
        <v>0</v>
      </c>
      <c r="Q518" s="3" t="s">
        <v>26</v>
      </c>
      <c r="R518" s="3">
        <v>0</v>
      </c>
      <c r="S518" s="4">
        <v>87</v>
      </c>
      <c r="T518" s="4">
        <v>88</v>
      </c>
      <c r="U518" s="4">
        <v>73</v>
      </c>
      <c r="V518" s="4">
        <f>IF(ISERROR(VLOOKUP($S$518,'TAR FIN'!$A$1:$O$99,15,0)),0,VLOOKUP($S$518,'TAR FIN'!$A$1:$O$99,15,0))</f>
        <v>21.85</v>
      </c>
      <c r="W518" s="4">
        <f>IF(ISERROR(VLOOKUP($T$518,'TAR FIN'!$A$1:$O$99,15,0)),0,VLOOKUP($T$518,'TAR FIN'!$A$1:$O$99,15,0))</f>
        <v>97.61</v>
      </c>
      <c r="X518" s="4">
        <f>IF(ISERROR(VLOOKUP($U$518,'TAR FIN'!$A$1:$O$99,15,0)),0,VLOOKUP($U$518,'TAR FIN'!$A$1:$O$99,15,0))</f>
        <v>219.97</v>
      </c>
      <c r="Y518" s="4">
        <f ca="1">('TUSD BE'!$AM$14+'TUSD BF'!$AM$14+'TUSD CVA'!$AM$14)*1</f>
        <v>24.669398821277586</v>
      </c>
      <c r="Z518" s="4">
        <f ca="1">('TUSD BE'!$AM$15+'TUSD BF'!$AM$15+'TUSD CVA'!$AM$15)*1</f>
        <v>117.59114529324071</v>
      </c>
      <c r="AA518" s="4">
        <f>('TE BE'!$AA$8+'TE BF'!$AA$8+'TE CVA'!$AA$8)*1</f>
        <v>271.13910989737087</v>
      </c>
      <c r="AB518" s="4">
        <f>$K$518*$V$518</f>
        <v>6817.2000000000007</v>
      </c>
      <c r="AC518" s="4">
        <f>$M$518*$W$518</f>
        <v>4368.34033</v>
      </c>
      <c r="AD518" s="4">
        <f>$O$518*$X$518</f>
        <v>9844.3174099999997</v>
      </c>
      <c r="AE518" s="4">
        <f ca="1">$K$518*$Y$518</f>
        <v>7696.8524322386065</v>
      </c>
      <c r="AF518" s="4">
        <f ca="1">$M$518*$Z$518</f>
        <v>5262.5565253084014</v>
      </c>
      <c r="AG518" s="4">
        <f>$O$518*$AA$518</f>
        <v>12134.288585237038</v>
      </c>
    </row>
    <row r="519" spans="1:33" ht="11.25" customHeight="1" x14ac:dyDescent="0.25">
      <c r="A519" s="3" t="s">
        <v>21</v>
      </c>
      <c r="B519" s="3" t="s">
        <v>33</v>
      </c>
      <c r="C519" s="3" t="s">
        <v>42</v>
      </c>
      <c r="D519" s="3" t="s">
        <v>46</v>
      </c>
      <c r="E519" s="3" t="s">
        <v>25</v>
      </c>
      <c r="F519" s="3" t="s">
        <v>25</v>
      </c>
      <c r="G519" s="3" t="s">
        <v>25</v>
      </c>
      <c r="H519" s="3" t="s">
        <v>36</v>
      </c>
      <c r="I519" s="6">
        <v>44440</v>
      </c>
      <c r="J519" s="4">
        <v>1088</v>
      </c>
      <c r="K519" s="4">
        <v>1088</v>
      </c>
      <c r="L519" s="4">
        <v>206.185</v>
      </c>
      <c r="M519" s="4">
        <v>206.185</v>
      </c>
      <c r="N519" s="4">
        <v>206.185</v>
      </c>
      <c r="O519" s="4">
        <v>206.185</v>
      </c>
      <c r="P519" s="4">
        <v>0</v>
      </c>
      <c r="Q519" s="3" t="s">
        <v>26</v>
      </c>
      <c r="R519" s="3">
        <v>0</v>
      </c>
      <c r="S519" s="4">
        <v>87</v>
      </c>
      <c r="T519" s="4">
        <v>88</v>
      </c>
      <c r="U519" s="4">
        <v>73</v>
      </c>
      <c r="V519" s="4">
        <f>IF(ISERROR(VLOOKUP($S$519,'TAR FIN'!$A$1:$O$99,15,0)),0,VLOOKUP($S$519,'TAR FIN'!$A$1:$O$99,15,0))</f>
        <v>21.85</v>
      </c>
      <c r="W519" s="4">
        <f>IF(ISERROR(VLOOKUP($T$519,'TAR FIN'!$A$1:$O$99,15,0)),0,VLOOKUP($T$519,'TAR FIN'!$A$1:$O$99,15,0))</f>
        <v>97.61</v>
      </c>
      <c r="X519" s="4">
        <f>IF(ISERROR(VLOOKUP($U$519,'TAR FIN'!$A$1:$O$99,15,0)),0,VLOOKUP($U$519,'TAR FIN'!$A$1:$O$99,15,0))</f>
        <v>219.97</v>
      </c>
      <c r="Y519" s="4">
        <f ca="1">('TUSD BE'!$AM$14+'TUSD BF'!$AM$14+'TUSD CVA'!$AM$14)*1</f>
        <v>24.669398821277586</v>
      </c>
      <c r="Z519" s="4">
        <f ca="1">('TUSD BE'!$AM$15+'TUSD BF'!$AM$15+'TUSD CVA'!$AM$15)*1</f>
        <v>117.59114529324071</v>
      </c>
      <c r="AA519" s="4">
        <f>('TE BE'!$AA$8+'TE BF'!$AA$8+'TE CVA'!$AA$8)*1</f>
        <v>271.13910989737087</v>
      </c>
      <c r="AB519" s="4">
        <f>$K$519*$V$519</f>
        <v>23772.800000000003</v>
      </c>
      <c r="AC519" s="4">
        <f>$M$519*$W$519</f>
        <v>20125.717850000001</v>
      </c>
      <c r="AD519" s="4">
        <f>$O$519*$X$519</f>
        <v>45354.514450000002</v>
      </c>
      <c r="AE519" s="4">
        <f ca="1">$K$519*$Y$519</f>
        <v>26840.305917550013</v>
      </c>
      <c r="AF519" s="4">
        <f ca="1">$M$519*$Z$519</f>
        <v>24245.530292286836</v>
      </c>
      <c r="AG519" s="4">
        <f>$O$519*$AA$519</f>
        <v>55904.817374189413</v>
      </c>
    </row>
    <row r="520" spans="1:33" ht="11.25" customHeight="1" x14ac:dyDescent="0.25">
      <c r="A520" s="3" t="s">
        <v>28</v>
      </c>
      <c r="B520" s="3" t="s">
        <v>33</v>
      </c>
      <c r="C520" s="3" t="s">
        <v>42</v>
      </c>
      <c r="D520" s="3" t="s">
        <v>46</v>
      </c>
      <c r="E520" s="3" t="s">
        <v>25</v>
      </c>
      <c r="F520" s="3" t="s">
        <v>25</v>
      </c>
      <c r="G520" s="3" t="s">
        <v>25</v>
      </c>
      <c r="H520" s="3" t="s">
        <v>36</v>
      </c>
      <c r="I520" s="6">
        <v>44440</v>
      </c>
      <c r="J520" s="4">
        <v>312</v>
      </c>
      <c r="K520" s="4">
        <v>312</v>
      </c>
      <c r="L520" s="4">
        <v>48.06</v>
      </c>
      <c r="M520" s="4">
        <v>48.06</v>
      </c>
      <c r="N520" s="4">
        <v>48.06</v>
      </c>
      <c r="O520" s="4">
        <v>48.06</v>
      </c>
      <c r="P520" s="4">
        <v>0</v>
      </c>
      <c r="Q520" s="3" t="s">
        <v>26</v>
      </c>
      <c r="R520" s="3">
        <v>0</v>
      </c>
      <c r="S520" s="4">
        <v>87</v>
      </c>
      <c r="T520" s="4">
        <v>88</v>
      </c>
      <c r="U520" s="4">
        <v>73</v>
      </c>
      <c r="V520" s="4">
        <f>IF(ISERROR(VLOOKUP($S$520,'TAR FIN'!$A$1:$O$99,15,0)),0,VLOOKUP($S$520,'TAR FIN'!$A$1:$O$99,15,0))</f>
        <v>21.85</v>
      </c>
      <c r="W520" s="4">
        <f>IF(ISERROR(VLOOKUP($T$520,'TAR FIN'!$A$1:$O$99,15,0)),0,VLOOKUP($T$520,'TAR FIN'!$A$1:$O$99,15,0))</f>
        <v>97.61</v>
      </c>
      <c r="X520" s="4">
        <f>IF(ISERROR(VLOOKUP($U$520,'TAR FIN'!$A$1:$O$99,15,0)),0,VLOOKUP($U$520,'TAR FIN'!$A$1:$O$99,15,0))</f>
        <v>219.97</v>
      </c>
      <c r="Y520" s="4">
        <f ca="1">('TUSD BE'!$AM$14+'TUSD BF'!$AM$14+'TUSD CVA'!$AM$14)*1</f>
        <v>24.669398821277586</v>
      </c>
      <c r="Z520" s="4">
        <f ca="1">('TUSD BE'!$AM$15+'TUSD BF'!$AM$15+'TUSD CVA'!$AM$15)*1</f>
        <v>117.59114529324071</v>
      </c>
      <c r="AA520" s="4">
        <f>('TE BE'!$AA$8+'TE BF'!$AA$8+'TE CVA'!$AA$8)*1</f>
        <v>271.13910989737087</v>
      </c>
      <c r="AB520" s="4">
        <f>$K$520*$V$520</f>
        <v>6817.2000000000007</v>
      </c>
      <c r="AC520" s="4">
        <f>$M$520*$W$520</f>
        <v>4691.1365999999998</v>
      </c>
      <c r="AD520" s="4">
        <f>$O$520*$X$520</f>
        <v>10571.7582</v>
      </c>
      <c r="AE520" s="4">
        <f ca="1">$K$520*$Y$520</f>
        <v>7696.8524322386065</v>
      </c>
      <c r="AF520" s="4">
        <f ca="1">$M$520*$Z$520</f>
        <v>5651.4304427931493</v>
      </c>
      <c r="AG520" s="4">
        <f>$O$520*$AA$520</f>
        <v>13030.945621667644</v>
      </c>
    </row>
    <row r="521" spans="1:33" ht="11.25" customHeight="1" x14ac:dyDescent="0.25">
      <c r="A521" s="3" t="s">
        <v>21</v>
      </c>
      <c r="B521" s="3" t="s">
        <v>33</v>
      </c>
      <c r="C521" s="3" t="s">
        <v>42</v>
      </c>
      <c r="D521" s="3" t="s">
        <v>46</v>
      </c>
      <c r="E521" s="3" t="s">
        <v>25</v>
      </c>
      <c r="F521" s="3" t="s">
        <v>25</v>
      </c>
      <c r="G521" s="3" t="s">
        <v>25</v>
      </c>
      <c r="H521" s="3" t="s">
        <v>36</v>
      </c>
      <c r="I521" s="6">
        <v>44470</v>
      </c>
      <c r="J521" s="4">
        <v>1095</v>
      </c>
      <c r="K521" s="4">
        <v>1095</v>
      </c>
      <c r="L521" s="4">
        <v>222.536</v>
      </c>
      <c r="M521" s="4">
        <v>222.536</v>
      </c>
      <c r="N521" s="4">
        <v>222.536</v>
      </c>
      <c r="O521" s="4">
        <v>222.536</v>
      </c>
      <c r="P521" s="4">
        <v>0</v>
      </c>
      <c r="Q521" s="3" t="s">
        <v>26</v>
      </c>
      <c r="R521" s="3">
        <v>0</v>
      </c>
      <c r="S521" s="4">
        <v>87</v>
      </c>
      <c r="T521" s="4">
        <v>88</v>
      </c>
      <c r="U521" s="4">
        <v>73</v>
      </c>
      <c r="V521" s="4">
        <f>IF(ISERROR(VLOOKUP($S$521,'TAR FIN'!$A$1:$O$99,15,0)),0,VLOOKUP($S$521,'TAR FIN'!$A$1:$O$99,15,0))</f>
        <v>21.85</v>
      </c>
      <c r="W521" s="4">
        <f>IF(ISERROR(VLOOKUP($T$521,'TAR FIN'!$A$1:$O$99,15,0)),0,VLOOKUP($T$521,'TAR FIN'!$A$1:$O$99,15,0))</f>
        <v>97.61</v>
      </c>
      <c r="X521" s="4">
        <f>IF(ISERROR(VLOOKUP($U$521,'TAR FIN'!$A$1:$O$99,15,0)),0,VLOOKUP($U$521,'TAR FIN'!$A$1:$O$99,15,0))</f>
        <v>219.97</v>
      </c>
      <c r="Y521" s="4">
        <f ca="1">('TUSD BE'!$AM$14+'TUSD BF'!$AM$14+'TUSD CVA'!$AM$14)*1</f>
        <v>24.669398821277586</v>
      </c>
      <c r="Z521" s="4">
        <f ca="1">('TUSD BE'!$AM$15+'TUSD BF'!$AM$15+'TUSD CVA'!$AM$15)*1</f>
        <v>117.59114529324071</v>
      </c>
      <c r="AA521" s="4">
        <f>('TE BE'!$AA$8+'TE BF'!$AA$8+'TE CVA'!$AA$8)*1</f>
        <v>271.13910989737087</v>
      </c>
      <c r="AB521" s="4">
        <f>$K$521*$V$521</f>
        <v>23925.75</v>
      </c>
      <c r="AC521" s="4">
        <f>$M$521*$W$521</f>
        <v>21721.738959999999</v>
      </c>
      <c r="AD521" s="4">
        <f>$O$521*$X$521</f>
        <v>48951.243920000001</v>
      </c>
      <c r="AE521" s="4">
        <f ca="1">$K$521*$Y$521</f>
        <v>27012.991709298956</v>
      </c>
      <c r="AF521" s="4">
        <f ca="1">$M$521*$Z$521</f>
        <v>26168.263108976615</v>
      </c>
      <c r="AG521" s="4">
        <f>$O$521*$AA$521</f>
        <v>60338.212960121324</v>
      </c>
    </row>
    <row r="522" spans="1:33" ht="11.25" customHeight="1" x14ac:dyDescent="0.25">
      <c r="A522" s="3" t="s">
        <v>28</v>
      </c>
      <c r="B522" s="3" t="s">
        <v>33</v>
      </c>
      <c r="C522" s="3" t="s">
        <v>42</v>
      </c>
      <c r="D522" s="3" t="s">
        <v>46</v>
      </c>
      <c r="E522" s="3" t="s">
        <v>25</v>
      </c>
      <c r="F522" s="3" t="s">
        <v>25</v>
      </c>
      <c r="G522" s="3" t="s">
        <v>25</v>
      </c>
      <c r="H522" s="3" t="s">
        <v>36</v>
      </c>
      <c r="I522" s="6">
        <v>44470</v>
      </c>
      <c r="J522" s="4">
        <v>312</v>
      </c>
      <c r="K522" s="4">
        <v>312</v>
      </c>
      <c r="L522" s="4">
        <v>52.655000000000001</v>
      </c>
      <c r="M522" s="4">
        <v>52.655000000000001</v>
      </c>
      <c r="N522" s="4">
        <v>52.655000000000001</v>
      </c>
      <c r="O522" s="4">
        <v>52.655000000000001</v>
      </c>
      <c r="P522" s="4">
        <v>0</v>
      </c>
      <c r="Q522" s="3" t="s">
        <v>26</v>
      </c>
      <c r="R522" s="3">
        <v>0</v>
      </c>
      <c r="S522" s="4">
        <v>87</v>
      </c>
      <c r="T522" s="4">
        <v>88</v>
      </c>
      <c r="U522" s="4">
        <v>73</v>
      </c>
      <c r="V522" s="4">
        <f>IF(ISERROR(VLOOKUP($S$522,'TAR FIN'!$A$1:$O$99,15,0)),0,VLOOKUP($S$522,'TAR FIN'!$A$1:$O$99,15,0))</f>
        <v>21.85</v>
      </c>
      <c r="W522" s="4">
        <f>IF(ISERROR(VLOOKUP($T$522,'TAR FIN'!$A$1:$O$99,15,0)),0,VLOOKUP($T$522,'TAR FIN'!$A$1:$O$99,15,0))</f>
        <v>97.61</v>
      </c>
      <c r="X522" s="4">
        <f>IF(ISERROR(VLOOKUP($U$522,'TAR FIN'!$A$1:$O$99,15,0)),0,VLOOKUP($U$522,'TAR FIN'!$A$1:$O$99,15,0))</f>
        <v>219.97</v>
      </c>
      <c r="Y522" s="4">
        <f ca="1">('TUSD BE'!$AM$14+'TUSD BF'!$AM$14+'TUSD CVA'!$AM$14)*1</f>
        <v>24.669398821277586</v>
      </c>
      <c r="Z522" s="4">
        <f ca="1">('TUSD BE'!$AM$15+'TUSD BF'!$AM$15+'TUSD CVA'!$AM$15)*1</f>
        <v>117.59114529324071</v>
      </c>
      <c r="AA522" s="4">
        <f>('TE BE'!$AA$8+'TE BF'!$AA$8+'TE CVA'!$AA$8)*1</f>
        <v>271.13910989737087</v>
      </c>
      <c r="AB522" s="4">
        <f>$K$522*$V$522</f>
        <v>6817.2000000000007</v>
      </c>
      <c r="AC522" s="4">
        <f>$M$522*$W$522</f>
        <v>5139.6545500000002</v>
      </c>
      <c r="AD522" s="4">
        <f>$O$522*$X$522</f>
        <v>11582.520350000001</v>
      </c>
      <c r="AE522" s="4">
        <f ca="1">$K$522*$Y$522</f>
        <v>7696.8524322386065</v>
      </c>
      <c r="AF522" s="4">
        <f ca="1">$M$522*$Z$522</f>
        <v>6191.7617554155895</v>
      </c>
      <c r="AG522" s="4">
        <f>$O$522*$AA$522</f>
        <v>14276.829831646064</v>
      </c>
    </row>
    <row r="523" spans="1:33" ht="11.25" customHeight="1" x14ac:dyDescent="0.25">
      <c r="A523" s="3" t="s">
        <v>21</v>
      </c>
      <c r="B523" s="3" t="s">
        <v>33</v>
      </c>
      <c r="C523" s="3" t="s">
        <v>42</v>
      </c>
      <c r="D523" s="3" t="s">
        <v>46</v>
      </c>
      <c r="E523" s="3" t="s">
        <v>25</v>
      </c>
      <c r="F523" s="3" t="s">
        <v>25</v>
      </c>
      <c r="G523" s="3" t="s">
        <v>25</v>
      </c>
      <c r="H523" s="3" t="s">
        <v>36</v>
      </c>
      <c r="I523" s="6">
        <v>44501</v>
      </c>
      <c r="J523" s="4">
        <v>1094</v>
      </c>
      <c r="K523" s="4">
        <v>1094</v>
      </c>
      <c r="L523" s="4">
        <v>228.05699999999999</v>
      </c>
      <c r="M523" s="4">
        <v>228.05699999999999</v>
      </c>
      <c r="N523" s="4">
        <v>228.05699999999999</v>
      </c>
      <c r="O523" s="4">
        <v>228.05699999999999</v>
      </c>
      <c r="P523" s="4">
        <v>0</v>
      </c>
      <c r="Q523" s="3" t="s">
        <v>26</v>
      </c>
      <c r="R523" s="3">
        <v>0</v>
      </c>
      <c r="S523" s="4">
        <v>87</v>
      </c>
      <c r="T523" s="4">
        <v>88</v>
      </c>
      <c r="U523" s="4">
        <v>73</v>
      </c>
      <c r="V523" s="4">
        <f>IF(ISERROR(VLOOKUP($S$523,'TAR FIN'!$A$1:$O$99,15,0)),0,VLOOKUP($S$523,'TAR FIN'!$A$1:$O$99,15,0))</f>
        <v>21.85</v>
      </c>
      <c r="W523" s="4">
        <f>IF(ISERROR(VLOOKUP($T$523,'TAR FIN'!$A$1:$O$99,15,0)),0,VLOOKUP($T$523,'TAR FIN'!$A$1:$O$99,15,0))</f>
        <v>97.61</v>
      </c>
      <c r="X523" s="4">
        <f>IF(ISERROR(VLOOKUP($U$523,'TAR FIN'!$A$1:$O$99,15,0)),0,VLOOKUP($U$523,'TAR FIN'!$A$1:$O$99,15,0))</f>
        <v>219.97</v>
      </c>
      <c r="Y523" s="4">
        <f ca="1">('TUSD BE'!$AM$14+'TUSD BF'!$AM$14+'TUSD CVA'!$AM$14)*1</f>
        <v>24.669398821277586</v>
      </c>
      <c r="Z523" s="4">
        <f ca="1">('TUSD BE'!$AM$15+'TUSD BF'!$AM$15+'TUSD CVA'!$AM$15)*1</f>
        <v>117.59114529324071</v>
      </c>
      <c r="AA523" s="4">
        <f>('TE BE'!$AA$8+'TE BF'!$AA$8+'TE CVA'!$AA$8)*1</f>
        <v>271.13910989737087</v>
      </c>
      <c r="AB523" s="4">
        <f>$K$523*$V$523</f>
        <v>23903.9</v>
      </c>
      <c r="AC523" s="4">
        <f>$M$523*$W$523</f>
        <v>22260.643769999999</v>
      </c>
      <c r="AD523" s="4">
        <f>$O$523*$X$523</f>
        <v>50165.69829</v>
      </c>
      <c r="AE523" s="4">
        <f ca="1">$K$523*$Y$523</f>
        <v>26988.322310477677</v>
      </c>
      <c r="AF523" s="4">
        <f ca="1">$M$523*$Z$523</f>
        <v>26817.483822140595</v>
      </c>
      <c r="AG523" s="4">
        <f>$O$523*$AA$523</f>
        <v>61835.171985864705</v>
      </c>
    </row>
    <row r="524" spans="1:33" ht="11.25" customHeight="1" x14ac:dyDescent="0.25">
      <c r="A524" s="3" t="s">
        <v>28</v>
      </c>
      <c r="B524" s="3" t="s">
        <v>33</v>
      </c>
      <c r="C524" s="3" t="s">
        <v>42</v>
      </c>
      <c r="D524" s="3" t="s">
        <v>46</v>
      </c>
      <c r="E524" s="3" t="s">
        <v>25</v>
      </c>
      <c r="F524" s="3" t="s">
        <v>25</v>
      </c>
      <c r="G524" s="3" t="s">
        <v>25</v>
      </c>
      <c r="H524" s="3" t="s">
        <v>36</v>
      </c>
      <c r="I524" s="6">
        <v>44501</v>
      </c>
      <c r="J524" s="4">
        <v>312</v>
      </c>
      <c r="K524" s="4">
        <v>312</v>
      </c>
      <c r="L524" s="4">
        <v>52.478000000000002</v>
      </c>
      <c r="M524" s="4">
        <v>52.478000000000002</v>
      </c>
      <c r="N524" s="4">
        <v>52.478000000000002</v>
      </c>
      <c r="O524" s="4">
        <v>52.478000000000002</v>
      </c>
      <c r="P524" s="4">
        <v>0</v>
      </c>
      <c r="Q524" s="3" t="s">
        <v>26</v>
      </c>
      <c r="R524" s="3">
        <v>0</v>
      </c>
      <c r="S524" s="4">
        <v>87</v>
      </c>
      <c r="T524" s="4">
        <v>88</v>
      </c>
      <c r="U524" s="4">
        <v>73</v>
      </c>
      <c r="V524" s="4">
        <f>IF(ISERROR(VLOOKUP($S$524,'TAR FIN'!$A$1:$O$99,15,0)),0,VLOOKUP($S$524,'TAR FIN'!$A$1:$O$99,15,0))</f>
        <v>21.85</v>
      </c>
      <c r="W524" s="4">
        <f>IF(ISERROR(VLOOKUP($T$524,'TAR FIN'!$A$1:$O$99,15,0)),0,VLOOKUP($T$524,'TAR FIN'!$A$1:$O$99,15,0))</f>
        <v>97.61</v>
      </c>
      <c r="X524" s="4">
        <f>IF(ISERROR(VLOOKUP($U$524,'TAR FIN'!$A$1:$O$99,15,0)),0,VLOOKUP($U$524,'TAR FIN'!$A$1:$O$99,15,0))</f>
        <v>219.97</v>
      </c>
      <c r="Y524" s="4">
        <f ca="1">('TUSD BE'!$AM$14+'TUSD BF'!$AM$14+'TUSD CVA'!$AM$14)*1</f>
        <v>24.669398821277586</v>
      </c>
      <c r="Z524" s="4">
        <f ca="1">('TUSD BE'!$AM$15+'TUSD BF'!$AM$15+'TUSD CVA'!$AM$15)*1</f>
        <v>117.59114529324071</v>
      </c>
      <c r="AA524" s="4">
        <f>('TE BE'!$AA$8+'TE BF'!$AA$8+'TE CVA'!$AA$8)*1</f>
        <v>271.13910989737087</v>
      </c>
      <c r="AB524" s="4">
        <f>$K$524*$V$524</f>
        <v>6817.2000000000007</v>
      </c>
      <c r="AC524" s="4">
        <f>$M$524*$W$524</f>
        <v>5122.3775800000003</v>
      </c>
      <c r="AD524" s="4">
        <f>$O$524*$X$524</f>
        <v>11543.585660000001</v>
      </c>
      <c r="AE524" s="4">
        <f ca="1">$K$524*$Y$524</f>
        <v>7696.8524322386065</v>
      </c>
      <c r="AF524" s="4">
        <f ca="1">$M$524*$Z$524</f>
        <v>6170.9481226986863</v>
      </c>
      <c r="AG524" s="4">
        <f>$O$524*$AA$524</f>
        <v>14228.838209194229</v>
      </c>
    </row>
    <row r="525" spans="1:33" ht="11.25" customHeight="1" x14ac:dyDescent="0.25">
      <c r="A525" s="3" t="s">
        <v>21</v>
      </c>
      <c r="B525" s="3" t="s">
        <v>33</v>
      </c>
      <c r="C525" s="3" t="s">
        <v>42</v>
      </c>
      <c r="D525" s="3" t="s">
        <v>46</v>
      </c>
      <c r="E525" s="3" t="s">
        <v>25</v>
      </c>
      <c r="F525" s="3" t="s">
        <v>25</v>
      </c>
      <c r="G525" s="3" t="s">
        <v>25</v>
      </c>
      <c r="H525" s="3" t="s">
        <v>36</v>
      </c>
      <c r="I525" s="6">
        <v>44531</v>
      </c>
      <c r="J525" s="4">
        <v>1097</v>
      </c>
      <c r="K525" s="4">
        <v>1097</v>
      </c>
      <c r="L525" s="4">
        <v>226.24</v>
      </c>
      <c r="M525" s="4">
        <v>226.24</v>
      </c>
      <c r="N525" s="4">
        <v>226.24</v>
      </c>
      <c r="O525" s="4">
        <v>226.24</v>
      </c>
      <c r="P525" s="4">
        <v>0</v>
      </c>
      <c r="Q525" s="3" t="s">
        <v>26</v>
      </c>
      <c r="R525" s="3">
        <v>0</v>
      </c>
      <c r="S525" s="4">
        <v>87</v>
      </c>
      <c r="T525" s="4">
        <v>88</v>
      </c>
      <c r="U525" s="4">
        <v>73</v>
      </c>
      <c r="V525" s="4">
        <f>IF(ISERROR(VLOOKUP($S$525,'TAR FIN'!$A$1:$O$99,15,0)),0,VLOOKUP($S$525,'TAR FIN'!$A$1:$O$99,15,0))</f>
        <v>21.85</v>
      </c>
      <c r="W525" s="4">
        <f>IF(ISERROR(VLOOKUP($T$525,'TAR FIN'!$A$1:$O$99,15,0)),0,VLOOKUP($T$525,'TAR FIN'!$A$1:$O$99,15,0))</f>
        <v>97.61</v>
      </c>
      <c r="X525" s="4">
        <f>IF(ISERROR(VLOOKUP($U$525,'TAR FIN'!$A$1:$O$99,15,0)),0,VLOOKUP($U$525,'TAR FIN'!$A$1:$O$99,15,0))</f>
        <v>219.97</v>
      </c>
      <c r="Y525" s="4">
        <f ca="1">('TUSD BE'!$AM$14+'TUSD BF'!$AM$14+'TUSD CVA'!$AM$14)*1</f>
        <v>24.669398821277586</v>
      </c>
      <c r="Z525" s="4">
        <f ca="1">('TUSD BE'!$AM$15+'TUSD BF'!$AM$15+'TUSD CVA'!$AM$15)*1</f>
        <v>117.59114529324071</v>
      </c>
      <c r="AA525" s="4">
        <f>('TE BE'!$AA$8+'TE BF'!$AA$8+'TE CVA'!$AA$8)*1</f>
        <v>271.13910989737087</v>
      </c>
      <c r="AB525" s="4">
        <f>$K$525*$V$525</f>
        <v>23969.45</v>
      </c>
      <c r="AC525" s="4">
        <f>$M$525*$W$525</f>
        <v>22083.286400000001</v>
      </c>
      <c r="AD525" s="4">
        <f>$O$525*$X$525</f>
        <v>49766.012800000004</v>
      </c>
      <c r="AE525" s="4">
        <f ca="1">$K$525*$Y$525</f>
        <v>27062.330506941511</v>
      </c>
      <c r="AF525" s="4">
        <f ca="1">$M$525*$Z$525</f>
        <v>26603.82071114278</v>
      </c>
      <c r="AG525" s="4">
        <f>$O$525*$AA$525</f>
        <v>61342.512223181191</v>
      </c>
    </row>
    <row r="526" spans="1:33" ht="11.25" customHeight="1" x14ac:dyDescent="0.25">
      <c r="A526" s="3" t="s">
        <v>28</v>
      </c>
      <c r="B526" s="3" t="s">
        <v>33</v>
      </c>
      <c r="C526" s="3" t="s">
        <v>42</v>
      </c>
      <c r="D526" s="3" t="s">
        <v>46</v>
      </c>
      <c r="E526" s="3" t="s">
        <v>25</v>
      </c>
      <c r="F526" s="3" t="s">
        <v>25</v>
      </c>
      <c r="G526" s="3" t="s">
        <v>25</v>
      </c>
      <c r="H526" s="3" t="s">
        <v>36</v>
      </c>
      <c r="I526" s="6">
        <v>44531</v>
      </c>
      <c r="J526" s="4">
        <v>312</v>
      </c>
      <c r="K526" s="4">
        <v>312</v>
      </c>
      <c r="L526" s="4">
        <v>46.518000000000001</v>
      </c>
      <c r="M526" s="4">
        <v>46.518000000000001</v>
      </c>
      <c r="N526" s="4">
        <v>46.518000000000001</v>
      </c>
      <c r="O526" s="4">
        <v>46.518000000000001</v>
      </c>
      <c r="P526" s="4">
        <v>0</v>
      </c>
      <c r="Q526" s="3" t="s">
        <v>26</v>
      </c>
      <c r="R526" s="3">
        <v>0</v>
      </c>
      <c r="S526" s="4">
        <v>87</v>
      </c>
      <c r="T526" s="4">
        <v>88</v>
      </c>
      <c r="U526" s="4">
        <v>73</v>
      </c>
      <c r="V526" s="4">
        <f>IF(ISERROR(VLOOKUP($S$526,'TAR FIN'!$A$1:$O$99,15,0)),0,VLOOKUP($S$526,'TAR FIN'!$A$1:$O$99,15,0))</f>
        <v>21.85</v>
      </c>
      <c r="W526" s="4">
        <f>IF(ISERROR(VLOOKUP($T$526,'TAR FIN'!$A$1:$O$99,15,0)),0,VLOOKUP($T$526,'TAR FIN'!$A$1:$O$99,15,0))</f>
        <v>97.61</v>
      </c>
      <c r="X526" s="4">
        <f>IF(ISERROR(VLOOKUP($U$526,'TAR FIN'!$A$1:$O$99,15,0)),0,VLOOKUP($U$526,'TAR FIN'!$A$1:$O$99,15,0))</f>
        <v>219.97</v>
      </c>
      <c r="Y526" s="4">
        <f ca="1">('TUSD BE'!$AM$14+'TUSD BF'!$AM$14+'TUSD CVA'!$AM$14)*1</f>
        <v>24.669398821277586</v>
      </c>
      <c r="Z526" s="4">
        <f ca="1">('TUSD BE'!$AM$15+'TUSD BF'!$AM$15+'TUSD CVA'!$AM$15)*1</f>
        <v>117.59114529324071</v>
      </c>
      <c r="AA526" s="4">
        <f>('TE BE'!$AA$8+'TE BF'!$AA$8+'TE CVA'!$AA$8)*1</f>
        <v>271.13910989737087</v>
      </c>
      <c r="AB526" s="4">
        <f>$K$526*$V$526</f>
        <v>6817.2000000000007</v>
      </c>
      <c r="AC526" s="4">
        <f>$M$526*$W$526</f>
        <v>4540.6219799999999</v>
      </c>
      <c r="AD526" s="4">
        <f>$O$526*$X$526</f>
        <v>10232.56446</v>
      </c>
      <c r="AE526" s="4">
        <f ca="1">$K$526*$Y$526</f>
        <v>7696.8524322386065</v>
      </c>
      <c r="AF526" s="4">
        <f ca="1">$M$526*$Z$526</f>
        <v>5470.1048967509714</v>
      </c>
      <c r="AG526" s="4">
        <f>$O$526*$AA$526</f>
        <v>12612.849114205899</v>
      </c>
    </row>
    <row r="527" spans="1:33" ht="11.25" customHeight="1" x14ac:dyDescent="0.25">
      <c r="A527" s="3" t="s">
        <v>21</v>
      </c>
      <c r="B527" s="3" t="s">
        <v>33</v>
      </c>
      <c r="C527" s="3" t="s">
        <v>42</v>
      </c>
      <c r="D527" s="3" t="s">
        <v>46</v>
      </c>
      <c r="E527" s="3" t="s">
        <v>25</v>
      </c>
      <c r="F527" s="3" t="s">
        <v>25</v>
      </c>
      <c r="G527" s="3" t="s">
        <v>25</v>
      </c>
      <c r="H527" s="3" t="s">
        <v>36</v>
      </c>
      <c r="I527" s="6">
        <v>44562</v>
      </c>
      <c r="J527" s="4">
        <v>1091</v>
      </c>
      <c r="K527" s="4">
        <v>1091</v>
      </c>
      <c r="L527" s="4">
        <v>220.06399999999999</v>
      </c>
      <c r="M527" s="4">
        <v>220.06399999999999</v>
      </c>
      <c r="N527" s="4">
        <v>220.06399999999999</v>
      </c>
      <c r="O527" s="4">
        <v>220.06399999999999</v>
      </c>
      <c r="P527" s="4">
        <v>0</v>
      </c>
      <c r="Q527" s="3" t="s">
        <v>26</v>
      </c>
      <c r="R527" s="3">
        <v>0</v>
      </c>
      <c r="S527" s="4">
        <v>87</v>
      </c>
      <c r="T527" s="4">
        <v>88</v>
      </c>
      <c r="U527" s="4">
        <v>73</v>
      </c>
      <c r="V527" s="4">
        <f>IF(ISERROR(VLOOKUP($S$527,'TAR FIN'!$A$1:$O$99,15,0)),0,VLOOKUP($S$527,'TAR FIN'!$A$1:$O$99,15,0))</f>
        <v>21.85</v>
      </c>
      <c r="W527" s="4">
        <f>IF(ISERROR(VLOOKUP($T$527,'TAR FIN'!$A$1:$O$99,15,0)),0,VLOOKUP($T$527,'TAR FIN'!$A$1:$O$99,15,0))</f>
        <v>97.61</v>
      </c>
      <c r="X527" s="4">
        <f>IF(ISERROR(VLOOKUP($U$527,'TAR FIN'!$A$1:$O$99,15,0)),0,VLOOKUP($U$527,'TAR FIN'!$A$1:$O$99,15,0))</f>
        <v>219.97</v>
      </c>
      <c r="Y527" s="4">
        <f ca="1">('TUSD BE'!$AM$14+'TUSD BF'!$AM$14+'TUSD CVA'!$AM$14)*1</f>
        <v>24.669398821277586</v>
      </c>
      <c r="Z527" s="4">
        <f ca="1">('TUSD BE'!$AM$15+'TUSD BF'!$AM$15+'TUSD CVA'!$AM$15)*1</f>
        <v>117.59114529324071</v>
      </c>
      <c r="AA527" s="4">
        <f>('TE BE'!$AA$8+'TE BF'!$AA$8+'TE CVA'!$AA$8)*1</f>
        <v>271.13910989737087</v>
      </c>
      <c r="AB527" s="4">
        <f>$K$527*$V$527</f>
        <v>23838.350000000002</v>
      </c>
      <c r="AC527" s="4">
        <f>$M$527*$W$527</f>
        <v>21480.447039999999</v>
      </c>
      <c r="AD527" s="4">
        <f>$O$527*$X$527</f>
        <v>48407.478080000001</v>
      </c>
      <c r="AE527" s="4">
        <f ca="1">$K$527*$Y$527</f>
        <v>26914.314114013847</v>
      </c>
      <c r="AF527" s="4">
        <f ca="1">$M$527*$Z$527</f>
        <v>25877.577797811722</v>
      </c>
      <c r="AG527" s="4">
        <f>$O$527*$AA$527</f>
        <v>59667.957080455024</v>
      </c>
    </row>
    <row r="528" spans="1:33" ht="11.25" customHeight="1" x14ac:dyDescent="0.25">
      <c r="A528" s="3" t="s">
        <v>28</v>
      </c>
      <c r="B528" s="3" t="s">
        <v>33</v>
      </c>
      <c r="C528" s="3" t="s">
        <v>42</v>
      </c>
      <c r="D528" s="3" t="s">
        <v>46</v>
      </c>
      <c r="E528" s="3" t="s">
        <v>25</v>
      </c>
      <c r="F528" s="3" t="s">
        <v>25</v>
      </c>
      <c r="G528" s="3" t="s">
        <v>25</v>
      </c>
      <c r="H528" s="3" t="s">
        <v>36</v>
      </c>
      <c r="I528" s="6">
        <v>44562</v>
      </c>
      <c r="J528" s="4">
        <v>312</v>
      </c>
      <c r="K528" s="4">
        <v>312</v>
      </c>
      <c r="L528" s="4">
        <v>53.384</v>
      </c>
      <c r="M528" s="4">
        <v>53.384</v>
      </c>
      <c r="N528" s="4">
        <v>53.384</v>
      </c>
      <c r="O528" s="4">
        <v>53.384</v>
      </c>
      <c r="P528" s="4">
        <v>0</v>
      </c>
      <c r="Q528" s="3" t="s">
        <v>26</v>
      </c>
      <c r="R528" s="3">
        <v>0</v>
      </c>
      <c r="S528" s="4">
        <v>87</v>
      </c>
      <c r="T528" s="4">
        <v>88</v>
      </c>
      <c r="U528" s="4">
        <v>73</v>
      </c>
      <c r="V528" s="4">
        <f>IF(ISERROR(VLOOKUP($S$528,'TAR FIN'!$A$1:$O$99,15,0)),0,VLOOKUP($S$528,'TAR FIN'!$A$1:$O$99,15,0))</f>
        <v>21.85</v>
      </c>
      <c r="W528" s="4">
        <f>IF(ISERROR(VLOOKUP($T$528,'TAR FIN'!$A$1:$O$99,15,0)),0,VLOOKUP($T$528,'TAR FIN'!$A$1:$O$99,15,0))</f>
        <v>97.61</v>
      </c>
      <c r="X528" s="4">
        <f>IF(ISERROR(VLOOKUP($U$528,'TAR FIN'!$A$1:$O$99,15,0)),0,VLOOKUP($U$528,'TAR FIN'!$A$1:$O$99,15,0))</f>
        <v>219.97</v>
      </c>
      <c r="Y528" s="4">
        <f ca="1">('TUSD BE'!$AM$14+'TUSD BF'!$AM$14+'TUSD CVA'!$AM$14)*1</f>
        <v>24.669398821277586</v>
      </c>
      <c r="Z528" s="4">
        <f ca="1">('TUSD BE'!$AM$15+'TUSD BF'!$AM$15+'TUSD CVA'!$AM$15)*1</f>
        <v>117.59114529324071</v>
      </c>
      <c r="AA528" s="4">
        <f>('TE BE'!$AA$8+'TE BF'!$AA$8+'TE CVA'!$AA$8)*1</f>
        <v>271.13910989737087</v>
      </c>
      <c r="AB528" s="4">
        <f>$K$528*$V$528</f>
        <v>6817.2000000000007</v>
      </c>
      <c r="AC528" s="4">
        <f>$M$528*$W$528</f>
        <v>5210.8122400000002</v>
      </c>
      <c r="AD528" s="4">
        <f>$O$528*$X$528</f>
        <v>11742.878479999999</v>
      </c>
      <c r="AE528" s="4">
        <f ca="1">$K$528*$Y$528</f>
        <v>7696.8524322386065</v>
      </c>
      <c r="AF528" s="4">
        <f ca="1">$M$528*$Z$528</f>
        <v>6277.4857003343623</v>
      </c>
      <c r="AG528" s="4">
        <f>$O$528*$AA$528</f>
        <v>14474.490242761247</v>
      </c>
    </row>
    <row r="529" spans="1:33" ht="11.25" customHeight="1" x14ac:dyDescent="0.25">
      <c r="A529" s="3" t="s">
        <v>21</v>
      </c>
      <c r="B529" s="3" t="s">
        <v>33</v>
      </c>
      <c r="C529" s="3" t="s">
        <v>42</v>
      </c>
      <c r="D529" s="3" t="s">
        <v>46</v>
      </c>
      <c r="E529" s="3" t="s">
        <v>25</v>
      </c>
      <c r="F529" s="3" t="s">
        <v>25</v>
      </c>
      <c r="G529" s="3" t="s">
        <v>25</v>
      </c>
      <c r="H529" s="3" t="s">
        <v>36</v>
      </c>
      <c r="I529" s="6">
        <v>44593</v>
      </c>
      <c r="J529" s="4">
        <v>1095</v>
      </c>
      <c r="K529" s="4">
        <v>1095</v>
      </c>
      <c r="L529" s="4">
        <v>226.57499999999999</v>
      </c>
      <c r="M529" s="4">
        <v>226.57499999999999</v>
      </c>
      <c r="N529" s="4">
        <v>226.57499999999999</v>
      </c>
      <c r="O529" s="4">
        <v>226.57499999999999</v>
      </c>
      <c r="P529" s="4">
        <v>0</v>
      </c>
      <c r="Q529" s="3" t="s">
        <v>26</v>
      </c>
      <c r="R529" s="3">
        <v>0</v>
      </c>
      <c r="S529" s="4">
        <v>87</v>
      </c>
      <c r="T529" s="4">
        <v>88</v>
      </c>
      <c r="U529" s="4">
        <v>73</v>
      </c>
      <c r="V529" s="4">
        <f>IF(ISERROR(VLOOKUP($S$529,'TAR FIN'!$A$1:$O$99,15,0)),0,VLOOKUP($S$529,'TAR FIN'!$A$1:$O$99,15,0))</f>
        <v>21.85</v>
      </c>
      <c r="W529" s="4">
        <f>IF(ISERROR(VLOOKUP($T$529,'TAR FIN'!$A$1:$O$99,15,0)),0,VLOOKUP($T$529,'TAR FIN'!$A$1:$O$99,15,0))</f>
        <v>97.61</v>
      </c>
      <c r="X529" s="4">
        <f>IF(ISERROR(VLOOKUP($U$529,'TAR FIN'!$A$1:$O$99,15,0)),0,VLOOKUP($U$529,'TAR FIN'!$A$1:$O$99,15,0))</f>
        <v>219.97</v>
      </c>
      <c r="Y529" s="4">
        <f ca="1">('TUSD BE'!$AM$14+'TUSD BF'!$AM$14+'TUSD CVA'!$AM$14)*1</f>
        <v>24.669398821277586</v>
      </c>
      <c r="Z529" s="4">
        <f ca="1">('TUSD BE'!$AM$15+'TUSD BF'!$AM$15+'TUSD CVA'!$AM$15)*1</f>
        <v>117.59114529324071</v>
      </c>
      <c r="AA529" s="4">
        <f>('TE BE'!$AA$8+'TE BF'!$AA$8+'TE CVA'!$AA$8)*1</f>
        <v>271.13910989737087</v>
      </c>
      <c r="AB529" s="4">
        <f>$K$529*$V$529</f>
        <v>23925.75</v>
      </c>
      <c r="AC529" s="4">
        <f>$M$529*$W$529</f>
        <v>22115.98575</v>
      </c>
      <c r="AD529" s="4">
        <f>$O$529*$X$529</f>
        <v>49839.702749999997</v>
      </c>
      <c r="AE529" s="4">
        <f ca="1">$K$529*$Y$529</f>
        <v>27012.991709298956</v>
      </c>
      <c r="AF529" s="4">
        <f ca="1">$M$529*$Z$529</f>
        <v>26643.213744816014</v>
      </c>
      <c r="AG529" s="4">
        <f>$O$529*$AA$529</f>
        <v>61433.343824996802</v>
      </c>
    </row>
    <row r="530" spans="1:33" ht="11.25" customHeight="1" x14ac:dyDescent="0.25">
      <c r="A530" s="3" t="s">
        <v>28</v>
      </c>
      <c r="B530" s="3" t="s">
        <v>33</v>
      </c>
      <c r="C530" s="3" t="s">
        <v>42</v>
      </c>
      <c r="D530" s="3" t="s">
        <v>46</v>
      </c>
      <c r="E530" s="3" t="s">
        <v>25</v>
      </c>
      <c r="F530" s="3" t="s">
        <v>25</v>
      </c>
      <c r="G530" s="3" t="s">
        <v>25</v>
      </c>
      <c r="H530" s="3" t="s">
        <v>36</v>
      </c>
      <c r="I530" s="6">
        <v>44593</v>
      </c>
      <c r="J530" s="4">
        <v>312</v>
      </c>
      <c r="K530" s="4">
        <v>312</v>
      </c>
      <c r="L530" s="4">
        <v>49.319000000000003</v>
      </c>
      <c r="M530" s="4">
        <v>49.319000000000003</v>
      </c>
      <c r="N530" s="4">
        <v>49.319000000000003</v>
      </c>
      <c r="O530" s="4">
        <v>49.319000000000003</v>
      </c>
      <c r="P530" s="4">
        <v>0</v>
      </c>
      <c r="Q530" s="3" t="s">
        <v>26</v>
      </c>
      <c r="R530" s="3">
        <v>0</v>
      </c>
      <c r="S530" s="4">
        <v>87</v>
      </c>
      <c r="T530" s="4">
        <v>88</v>
      </c>
      <c r="U530" s="4">
        <v>73</v>
      </c>
      <c r="V530" s="4">
        <f>IF(ISERROR(VLOOKUP($S$530,'TAR FIN'!$A$1:$O$99,15,0)),0,VLOOKUP($S$530,'TAR FIN'!$A$1:$O$99,15,0))</f>
        <v>21.85</v>
      </c>
      <c r="W530" s="4">
        <f>IF(ISERROR(VLOOKUP($T$530,'TAR FIN'!$A$1:$O$99,15,0)),0,VLOOKUP($T$530,'TAR FIN'!$A$1:$O$99,15,0))</f>
        <v>97.61</v>
      </c>
      <c r="X530" s="4">
        <f>IF(ISERROR(VLOOKUP($U$530,'TAR FIN'!$A$1:$O$99,15,0)),0,VLOOKUP($U$530,'TAR FIN'!$A$1:$O$99,15,0))</f>
        <v>219.97</v>
      </c>
      <c r="Y530" s="4">
        <f ca="1">('TUSD BE'!$AM$14+'TUSD BF'!$AM$14+'TUSD CVA'!$AM$14)*1</f>
        <v>24.669398821277586</v>
      </c>
      <c r="Z530" s="4">
        <f ca="1">('TUSD BE'!$AM$15+'TUSD BF'!$AM$15+'TUSD CVA'!$AM$15)*1</f>
        <v>117.59114529324071</v>
      </c>
      <c r="AA530" s="4">
        <f>('TE BE'!$AA$8+'TE BF'!$AA$8+'TE CVA'!$AA$8)*1</f>
        <v>271.13910989737087</v>
      </c>
      <c r="AB530" s="4">
        <f>$K$530*$V$530</f>
        <v>6817.2000000000007</v>
      </c>
      <c r="AC530" s="4">
        <f>$M$530*$W$530</f>
        <v>4814.0275900000006</v>
      </c>
      <c r="AD530" s="4">
        <f>$O$530*$X$530</f>
        <v>10848.700430000001</v>
      </c>
      <c r="AE530" s="4">
        <f ca="1">$K$530*$Y$530</f>
        <v>7696.8524322386065</v>
      </c>
      <c r="AF530" s="4">
        <f ca="1">$M$530*$Z$530</f>
        <v>5799.4776947173395</v>
      </c>
      <c r="AG530" s="4">
        <f>$O$530*$AA$530</f>
        <v>13372.309761028435</v>
      </c>
    </row>
    <row r="531" spans="1:33" ht="11.25" customHeight="1" x14ac:dyDescent="0.25">
      <c r="A531" s="3" t="s">
        <v>21</v>
      </c>
      <c r="B531" s="3" t="s">
        <v>33</v>
      </c>
      <c r="C531" s="3" t="s">
        <v>42</v>
      </c>
      <c r="D531" s="3" t="s">
        <v>46</v>
      </c>
      <c r="E531" s="3" t="s">
        <v>25</v>
      </c>
      <c r="F531" s="3" t="s">
        <v>25</v>
      </c>
      <c r="G531" s="3" t="s">
        <v>25</v>
      </c>
      <c r="H531" s="3" t="s">
        <v>36</v>
      </c>
      <c r="I531" s="6">
        <v>44621</v>
      </c>
      <c r="J531" s="4">
        <v>1104</v>
      </c>
      <c r="K531" s="4">
        <v>1104</v>
      </c>
      <c r="L531" s="4">
        <v>256.05900000000003</v>
      </c>
      <c r="M531" s="4">
        <v>256.05900000000003</v>
      </c>
      <c r="N531" s="4">
        <v>256.05900000000003</v>
      </c>
      <c r="O531" s="4">
        <v>256.05900000000003</v>
      </c>
      <c r="P531" s="4">
        <v>0</v>
      </c>
      <c r="Q531" s="3" t="s">
        <v>26</v>
      </c>
      <c r="R531" s="3">
        <v>0</v>
      </c>
      <c r="S531" s="4">
        <v>87</v>
      </c>
      <c r="T531" s="4">
        <v>88</v>
      </c>
      <c r="U531" s="4">
        <v>73</v>
      </c>
      <c r="V531" s="4">
        <f>IF(ISERROR(VLOOKUP($S$531,'TAR FIN'!$A$1:$O$99,15,0)),0,VLOOKUP($S$531,'TAR FIN'!$A$1:$O$99,15,0))</f>
        <v>21.85</v>
      </c>
      <c r="W531" s="4">
        <f>IF(ISERROR(VLOOKUP($T$531,'TAR FIN'!$A$1:$O$99,15,0)),0,VLOOKUP($T$531,'TAR FIN'!$A$1:$O$99,15,0))</f>
        <v>97.61</v>
      </c>
      <c r="X531" s="4">
        <f>IF(ISERROR(VLOOKUP($U$531,'TAR FIN'!$A$1:$O$99,15,0)),0,VLOOKUP($U$531,'TAR FIN'!$A$1:$O$99,15,0))</f>
        <v>219.97</v>
      </c>
      <c r="Y531" s="4">
        <f ca="1">('TUSD BE'!$AM$14+'TUSD BF'!$AM$14+'TUSD CVA'!$AM$14)*1</f>
        <v>24.669398821277586</v>
      </c>
      <c r="Z531" s="4">
        <f ca="1">('TUSD BE'!$AM$15+'TUSD BF'!$AM$15+'TUSD CVA'!$AM$15)*1</f>
        <v>117.59114529324071</v>
      </c>
      <c r="AA531" s="4">
        <f>('TE BE'!$AA$8+'TE BF'!$AA$8+'TE CVA'!$AA$8)*1</f>
        <v>271.13910989737087</v>
      </c>
      <c r="AB531" s="4">
        <f>$K$531*$V$531</f>
        <v>24122.400000000001</v>
      </c>
      <c r="AC531" s="4">
        <f>$M$531*$W$531</f>
        <v>24993.918990000002</v>
      </c>
      <c r="AD531" s="4">
        <f>$O$531*$X$531</f>
        <v>56325.298230000008</v>
      </c>
      <c r="AE531" s="4">
        <f ca="1">$K$531*$Y$531</f>
        <v>27235.016298690454</v>
      </c>
      <c r="AF531" s="4">
        <f ca="1">$M$531*$Z$531</f>
        <v>30110.271072641928</v>
      </c>
      <c r="AG531" s="4">
        <f>$O$531*$AA$531</f>
        <v>69427.609341210889</v>
      </c>
    </row>
    <row r="532" spans="1:33" ht="11.25" customHeight="1" x14ac:dyDescent="0.25">
      <c r="A532" s="3" t="s">
        <v>28</v>
      </c>
      <c r="B532" s="3" t="s">
        <v>33</v>
      </c>
      <c r="C532" s="3" t="s">
        <v>42</v>
      </c>
      <c r="D532" s="3" t="s">
        <v>46</v>
      </c>
      <c r="E532" s="3" t="s">
        <v>25</v>
      </c>
      <c r="F532" s="3" t="s">
        <v>25</v>
      </c>
      <c r="G532" s="3" t="s">
        <v>25</v>
      </c>
      <c r="H532" s="3" t="s">
        <v>36</v>
      </c>
      <c r="I532" s="6">
        <v>44621</v>
      </c>
      <c r="J532" s="4">
        <v>312</v>
      </c>
      <c r="K532" s="4">
        <v>312</v>
      </c>
      <c r="L532" s="4">
        <v>50.709000000000003</v>
      </c>
      <c r="M532" s="4">
        <v>50.709000000000003</v>
      </c>
      <c r="N532" s="4">
        <v>50.709000000000003</v>
      </c>
      <c r="O532" s="4">
        <v>50.709000000000003</v>
      </c>
      <c r="P532" s="4">
        <v>0</v>
      </c>
      <c r="Q532" s="3" t="s">
        <v>26</v>
      </c>
      <c r="R532" s="3">
        <v>0</v>
      </c>
      <c r="S532" s="4">
        <v>87</v>
      </c>
      <c r="T532" s="4">
        <v>88</v>
      </c>
      <c r="U532" s="4">
        <v>73</v>
      </c>
      <c r="V532" s="4">
        <f>IF(ISERROR(VLOOKUP($S$532,'TAR FIN'!$A$1:$O$99,15,0)),0,VLOOKUP($S$532,'TAR FIN'!$A$1:$O$99,15,0))</f>
        <v>21.85</v>
      </c>
      <c r="W532" s="4">
        <f>IF(ISERROR(VLOOKUP($T$532,'TAR FIN'!$A$1:$O$99,15,0)),0,VLOOKUP($T$532,'TAR FIN'!$A$1:$O$99,15,0))</f>
        <v>97.61</v>
      </c>
      <c r="X532" s="4">
        <f>IF(ISERROR(VLOOKUP($U$532,'TAR FIN'!$A$1:$O$99,15,0)),0,VLOOKUP($U$532,'TAR FIN'!$A$1:$O$99,15,0))</f>
        <v>219.97</v>
      </c>
      <c r="Y532" s="4">
        <f ca="1">('TUSD BE'!$AM$14+'TUSD BF'!$AM$14+'TUSD CVA'!$AM$14)*1</f>
        <v>24.669398821277586</v>
      </c>
      <c r="Z532" s="4">
        <f ca="1">('TUSD BE'!$AM$15+'TUSD BF'!$AM$15+'TUSD CVA'!$AM$15)*1</f>
        <v>117.59114529324071</v>
      </c>
      <c r="AA532" s="4">
        <f>('TE BE'!$AA$8+'TE BF'!$AA$8+'TE CVA'!$AA$8)*1</f>
        <v>271.13910989737087</v>
      </c>
      <c r="AB532" s="4">
        <f>$K$532*$V$532</f>
        <v>6817.2000000000007</v>
      </c>
      <c r="AC532" s="4">
        <f>$M$532*$W$532</f>
        <v>4949.7054900000003</v>
      </c>
      <c r="AD532" s="4">
        <f>$O$532*$X$532</f>
        <v>11154.45873</v>
      </c>
      <c r="AE532" s="4">
        <f ca="1">$K$532*$Y$532</f>
        <v>7696.8524322386065</v>
      </c>
      <c r="AF532" s="4">
        <f ca="1">$M$532*$Z$532</f>
        <v>5962.929386674944</v>
      </c>
      <c r="AG532" s="4">
        <f>$O$532*$AA$532</f>
        <v>13749.193123785781</v>
      </c>
    </row>
    <row r="533" spans="1:33" ht="11.25" customHeight="1" x14ac:dyDescent="0.25">
      <c r="A533" s="3" t="s">
        <v>56</v>
      </c>
      <c r="B533" s="3" t="s">
        <v>33</v>
      </c>
      <c r="C533" s="3" t="s">
        <v>42</v>
      </c>
      <c r="D533" s="3" t="s">
        <v>46</v>
      </c>
      <c r="E533" s="3" t="s">
        <v>25</v>
      </c>
      <c r="F533" s="3" t="s">
        <v>25</v>
      </c>
      <c r="G533" s="3" t="s">
        <v>25</v>
      </c>
      <c r="H533" s="3" t="s">
        <v>36</v>
      </c>
      <c r="I533" s="6">
        <v>44652</v>
      </c>
      <c r="J533" s="4">
        <v>1104</v>
      </c>
      <c r="K533" s="4">
        <v>1104</v>
      </c>
      <c r="L533" s="4">
        <v>256.05900000000003</v>
      </c>
      <c r="M533" s="4">
        <v>256.05900000000003</v>
      </c>
      <c r="N533" s="4">
        <v>256.05900000000003</v>
      </c>
      <c r="O533" s="4">
        <v>256.05900000000003</v>
      </c>
      <c r="P533" s="4">
        <v>0</v>
      </c>
      <c r="Q533" s="3" t="s">
        <v>26</v>
      </c>
      <c r="R533" s="3">
        <v>0</v>
      </c>
      <c r="S533" s="4">
        <v>87</v>
      </c>
      <c r="T533" s="4">
        <v>88</v>
      </c>
      <c r="U533" s="4">
        <v>73</v>
      </c>
      <c r="V533" s="4">
        <f>IF(ISERROR(VLOOKUP($S$533,'TAR FIN'!$A$1:$O$99,15,0)),0,VLOOKUP($S$533,'TAR FIN'!$A$1:$O$99,15,0))</f>
        <v>21.85</v>
      </c>
      <c r="W533" s="4">
        <f>IF(ISERROR(VLOOKUP($T$533,'TAR FIN'!$A$1:$O$99,15,0)),0,VLOOKUP($T$533,'TAR FIN'!$A$1:$O$99,15,0))</f>
        <v>97.61</v>
      </c>
      <c r="X533" s="4">
        <f>IF(ISERROR(VLOOKUP($U$533,'TAR FIN'!$A$1:$O$99,15,0)),0,VLOOKUP($U$533,'TAR FIN'!$A$1:$O$99,15,0))</f>
        <v>219.97</v>
      </c>
      <c r="Y533" s="4">
        <f ca="1">('TUSD BE'!$AM$14+'TUSD BF'!$AM$14+'TUSD CVA'!$AM$14)*1</f>
        <v>24.669398821277586</v>
      </c>
      <c r="Z533" s="4">
        <f ca="1">('TUSD BE'!$AM$15+'TUSD BF'!$AM$15+'TUSD CVA'!$AM$15)*1</f>
        <v>117.59114529324071</v>
      </c>
      <c r="AA533" s="4">
        <f>('TE BE'!$AA$8+'TE BF'!$AA$8+'TE CVA'!$AA$8)*1</f>
        <v>271.13910989737087</v>
      </c>
      <c r="AB533" s="4">
        <f>$K$533*$V$533</f>
        <v>24122.400000000001</v>
      </c>
      <c r="AC533" s="4">
        <f>$M$533*$W$533</f>
        <v>24993.918990000002</v>
      </c>
      <c r="AD533" s="4">
        <f>$O$533*$X$533</f>
        <v>56325.298230000008</v>
      </c>
      <c r="AE533" s="4">
        <f ca="1">$K$533*$Y$533</f>
        <v>27235.016298690454</v>
      </c>
      <c r="AF533" s="4">
        <f ca="1">$M$533*$Z$533</f>
        <v>30110.271072641928</v>
      </c>
      <c r="AG533" s="4">
        <f>$O$533*$AA$533</f>
        <v>69427.609341210889</v>
      </c>
    </row>
    <row r="534" spans="1:33" ht="11.25" customHeight="1" x14ac:dyDescent="0.25">
      <c r="A534" s="3" t="s">
        <v>56</v>
      </c>
      <c r="B534" s="3" t="s">
        <v>33</v>
      </c>
      <c r="C534" s="3" t="s">
        <v>42</v>
      </c>
      <c r="D534" s="3" t="s">
        <v>46</v>
      </c>
      <c r="E534" s="3" t="s">
        <v>25</v>
      </c>
      <c r="F534" s="3" t="s">
        <v>25</v>
      </c>
      <c r="G534" s="3" t="s">
        <v>25</v>
      </c>
      <c r="H534" s="3" t="s">
        <v>36</v>
      </c>
      <c r="I534" s="6">
        <v>44652</v>
      </c>
      <c r="J534" s="4">
        <v>312</v>
      </c>
      <c r="K534" s="4">
        <v>312</v>
      </c>
      <c r="L534" s="4">
        <v>50.709000000000003</v>
      </c>
      <c r="M534" s="4">
        <v>50.709000000000003</v>
      </c>
      <c r="N534" s="4">
        <v>50.709000000000003</v>
      </c>
      <c r="O534" s="4">
        <v>50.709000000000003</v>
      </c>
      <c r="P534" s="4">
        <v>0</v>
      </c>
      <c r="Q534" s="3" t="s">
        <v>26</v>
      </c>
      <c r="R534" s="3">
        <v>0</v>
      </c>
      <c r="S534" s="4">
        <v>87</v>
      </c>
      <c r="T534" s="4">
        <v>88</v>
      </c>
      <c r="U534" s="4">
        <v>73</v>
      </c>
      <c r="V534" s="4">
        <f>IF(ISERROR(VLOOKUP($S$534,'TAR FIN'!$A$1:$O$99,15,0)),0,VLOOKUP($S$534,'TAR FIN'!$A$1:$O$99,15,0))</f>
        <v>21.85</v>
      </c>
      <c r="W534" s="4">
        <f>IF(ISERROR(VLOOKUP($T$534,'TAR FIN'!$A$1:$O$99,15,0)),0,VLOOKUP($T$534,'TAR FIN'!$A$1:$O$99,15,0))</f>
        <v>97.61</v>
      </c>
      <c r="X534" s="4">
        <f>IF(ISERROR(VLOOKUP($U$534,'TAR FIN'!$A$1:$O$99,15,0)),0,VLOOKUP($U$534,'TAR FIN'!$A$1:$O$99,15,0))</f>
        <v>219.97</v>
      </c>
      <c r="Y534" s="4">
        <f ca="1">('TUSD BE'!$AM$14+'TUSD BF'!$AM$14+'TUSD CVA'!$AM$14)*1</f>
        <v>24.669398821277586</v>
      </c>
      <c r="Z534" s="4">
        <f ca="1">('TUSD BE'!$AM$15+'TUSD BF'!$AM$15+'TUSD CVA'!$AM$15)*1</f>
        <v>117.59114529324071</v>
      </c>
      <c r="AA534" s="4">
        <f>('TE BE'!$AA$8+'TE BF'!$AA$8+'TE CVA'!$AA$8)*1</f>
        <v>271.13910989737087</v>
      </c>
      <c r="AB534" s="4">
        <f>$K$534*$V$534</f>
        <v>6817.2000000000007</v>
      </c>
      <c r="AC534" s="4">
        <f>$M$534*$W$534</f>
        <v>4949.7054900000003</v>
      </c>
      <c r="AD534" s="4">
        <f>$O$534*$X$534</f>
        <v>11154.45873</v>
      </c>
      <c r="AE534" s="4">
        <f ca="1">$K$534*$Y$534</f>
        <v>7696.8524322386065</v>
      </c>
      <c r="AF534" s="4">
        <f ca="1">$M$534*$Z$534</f>
        <v>5962.929386674944</v>
      </c>
      <c r="AG534" s="4">
        <f>$O$534*$AA$534</f>
        <v>13749.193123785781</v>
      </c>
    </row>
    <row r="535" spans="1:33" ht="11.25" customHeight="1" x14ac:dyDescent="0.25">
      <c r="A535" s="3" t="s">
        <v>21</v>
      </c>
      <c r="B535" s="3" t="s">
        <v>33</v>
      </c>
      <c r="C535" s="3" t="s">
        <v>42</v>
      </c>
      <c r="D535" s="3" t="s">
        <v>46</v>
      </c>
      <c r="E535" s="3" t="s">
        <v>25</v>
      </c>
      <c r="F535" s="3" t="s">
        <v>25</v>
      </c>
      <c r="G535" s="3" t="s">
        <v>25</v>
      </c>
      <c r="H535" s="3" t="s">
        <v>35</v>
      </c>
      <c r="I535" s="6">
        <v>44317</v>
      </c>
      <c r="J535" s="4">
        <v>866</v>
      </c>
      <c r="K535" s="4">
        <v>866</v>
      </c>
      <c r="L535" s="4">
        <v>17.103999999999999</v>
      </c>
      <c r="M535" s="4">
        <v>17.103999999999999</v>
      </c>
      <c r="N535" s="4">
        <v>17.103999999999999</v>
      </c>
      <c r="O535" s="4">
        <v>17.103999999999999</v>
      </c>
      <c r="P535" s="4">
        <v>0</v>
      </c>
      <c r="Q535" s="3" t="s">
        <v>26</v>
      </c>
      <c r="R535" s="3">
        <v>0</v>
      </c>
      <c r="S535" s="4">
        <v>91</v>
      </c>
      <c r="T535" s="4">
        <v>88</v>
      </c>
      <c r="U535" s="4">
        <v>72</v>
      </c>
      <c r="V535" s="4">
        <f>IF(ISERROR(VLOOKUP($S$535,'TAR FIN'!$A$1:$O$99,15,0)),0,VLOOKUP($S$535,'TAR FIN'!$A$1:$O$99,15,0))</f>
        <v>60.2</v>
      </c>
      <c r="W535" s="4">
        <f>IF(ISERROR(VLOOKUP($T$535,'TAR FIN'!$A$1:$O$99,15,0)),0,VLOOKUP($T$535,'TAR FIN'!$A$1:$O$99,15,0))</f>
        <v>97.61</v>
      </c>
      <c r="X535" s="4">
        <f>IF(ISERROR(VLOOKUP($U$535,'TAR FIN'!$A$1:$O$99,15,0)),0,VLOOKUP($U$535,'TAR FIN'!$A$1:$O$99,15,0))</f>
        <v>346.61</v>
      </c>
      <c r="Y535" s="4">
        <f ca="1">('TUSD BE'!$AM$13+'TUSD BF'!$AM$13+'TUSD CVA'!$AM$13)*1</f>
        <v>69.255133620748211</v>
      </c>
      <c r="Z535" s="4">
        <f ca="1">('TUSD BE'!$AM$15+'TUSD BF'!$AM$15+'TUSD CVA'!$AM$15)*1</f>
        <v>117.59114529324071</v>
      </c>
      <c r="AA535" s="4">
        <f>('TE BE'!$AA$7+'TE BF'!$AA$7+'TE CVA'!$AA$7)*1</f>
        <v>423.89652505413846</v>
      </c>
      <c r="AB535" s="4">
        <f>$K$535*$V$535</f>
        <v>52133.200000000004</v>
      </c>
      <c r="AC535" s="4">
        <f>$M$535*$W$535</f>
        <v>1669.52144</v>
      </c>
      <c r="AD535" s="4">
        <f>$O$535*$X$535</f>
        <v>5928.4174400000002</v>
      </c>
      <c r="AE535" s="4">
        <f ca="1">$K$535*$Y$535</f>
        <v>59974.945715567948</v>
      </c>
      <c r="AF535" s="4">
        <f ca="1">$M$535*$Z$535</f>
        <v>2011.278949095589</v>
      </c>
      <c r="AG535" s="4">
        <f>$O$535*$AA$535</f>
        <v>7250.3261645259836</v>
      </c>
    </row>
    <row r="536" spans="1:33" ht="11.25" customHeight="1" x14ac:dyDescent="0.25">
      <c r="A536" s="3" t="s">
        <v>21</v>
      </c>
      <c r="B536" s="3" t="s">
        <v>33</v>
      </c>
      <c r="C536" s="3" t="s">
        <v>42</v>
      </c>
      <c r="D536" s="3" t="s">
        <v>46</v>
      </c>
      <c r="E536" s="3" t="s">
        <v>25</v>
      </c>
      <c r="F536" s="3" t="s">
        <v>25</v>
      </c>
      <c r="G536" s="3" t="s">
        <v>25</v>
      </c>
      <c r="H536" s="3" t="s">
        <v>35</v>
      </c>
      <c r="I536" s="6">
        <v>44348</v>
      </c>
      <c r="J536" s="4">
        <v>863</v>
      </c>
      <c r="K536" s="4">
        <v>863</v>
      </c>
      <c r="L536" s="4">
        <v>16.802</v>
      </c>
      <c r="M536" s="4">
        <v>16.802</v>
      </c>
      <c r="N536" s="4">
        <v>16.802</v>
      </c>
      <c r="O536" s="4">
        <v>16.802</v>
      </c>
      <c r="P536" s="4">
        <v>0</v>
      </c>
      <c r="Q536" s="3" t="s">
        <v>26</v>
      </c>
      <c r="R536" s="3">
        <v>0</v>
      </c>
      <c r="S536" s="4">
        <v>91</v>
      </c>
      <c r="T536" s="4">
        <v>88</v>
      </c>
      <c r="U536" s="4">
        <v>72</v>
      </c>
      <c r="V536" s="4">
        <f>IF(ISERROR(VLOOKUP($S$536,'TAR FIN'!$A$1:$O$99,15,0)),0,VLOOKUP($S$536,'TAR FIN'!$A$1:$O$99,15,0))</f>
        <v>60.2</v>
      </c>
      <c r="W536" s="4">
        <f>IF(ISERROR(VLOOKUP($T$536,'TAR FIN'!$A$1:$O$99,15,0)),0,VLOOKUP($T$536,'TAR FIN'!$A$1:$O$99,15,0))</f>
        <v>97.61</v>
      </c>
      <c r="X536" s="4">
        <f>IF(ISERROR(VLOOKUP($U$536,'TAR FIN'!$A$1:$O$99,15,0)),0,VLOOKUP($U$536,'TAR FIN'!$A$1:$O$99,15,0))</f>
        <v>346.61</v>
      </c>
      <c r="Y536" s="4">
        <f ca="1">('TUSD BE'!$AM$13+'TUSD BF'!$AM$13+'TUSD CVA'!$AM$13)*1</f>
        <v>69.255133620748211</v>
      </c>
      <c r="Z536" s="4">
        <f ca="1">('TUSD BE'!$AM$15+'TUSD BF'!$AM$15+'TUSD CVA'!$AM$15)*1</f>
        <v>117.59114529324071</v>
      </c>
      <c r="AA536" s="4">
        <f>('TE BE'!$AA$7+'TE BF'!$AA$7+'TE CVA'!$AA$7)*1</f>
        <v>423.89652505413846</v>
      </c>
      <c r="AB536" s="4">
        <f>$K$536*$V$536</f>
        <v>51952.600000000006</v>
      </c>
      <c r="AC536" s="4">
        <f>$M$536*$W$536</f>
        <v>1640.04322</v>
      </c>
      <c r="AD536" s="4">
        <f>$O$536*$X$536</f>
        <v>5823.7412199999999</v>
      </c>
      <c r="AE536" s="4">
        <f ca="1">$K$536*$Y$536</f>
        <v>59767.180314705707</v>
      </c>
      <c r="AF536" s="4">
        <f ca="1">$M$536*$Z$536</f>
        <v>1975.7664232170305</v>
      </c>
      <c r="AG536" s="4">
        <f>$O$536*$AA$536</f>
        <v>7122.3094139596342</v>
      </c>
    </row>
    <row r="537" spans="1:33" ht="11.25" customHeight="1" x14ac:dyDescent="0.25">
      <c r="A537" s="3" t="s">
        <v>21</v>
      </c>
      <c r="B537" s="3" t="s">
        <v>33</v>
      </c>
      <c r="C537" s="3" t="s">
        <v>42</v>
      </c>
      <c r="D537" s="3" t="s">
        <v>46</v>
      </c>
      <c r="E537" s="3" t="s">
        <v>25</v>
      </c>
      <c r="F537" s="3" t="s">
        <v>25</v>
      </c>
      <c r="G537" s="3" t="s">
        <v>25</v>
      </c>
      <c r="H537" s="3" t="s">
        <v>35</v>
      </c>
      <c r="I537" s="6">
        <v>44378</v>
      </c>
      <c r="J537" s="4">
        <v>856</v>
      </c>
      <c r="K537" s="4">
        <v>856</v>
      </c>
      <c r="L537" s="4">
        <v>17.195</v>
      </c>
      <c r="M537" s="4">
        <v>17.195</v>
      </c>
      <c r="N537" s="4">
        <v>17.195</v>
      </c>
      <c r="O537" s="4">
        <v>17.195</v>
      </c>
      <c r="P537" s="4">
        <v>0</v>
      </c>
      <c r="Q537" s="3" t="s">
        <v>26</v>
      </c>
      <c r="R537" s="3">
        <v>0</v>
      </c>
      <c r="S537" s="4">
        <v>91</v>
      </c>
      <c r="T537" s="4">
        <v>88</v>
      </c>
      <c r="U537" s="4">
        <v>72</v>
      </c>
      <c r="V537" s="4">
        <f>IF(ISERROR(VLOOKUP($S$537,'TAR FIN'!$A$1:$O$99,15,0)),0,VLOOKUP($S$537,'TAR FIN'!$A$1:$O$99,15,0))</f>
        <v>60.2</v>
      </c>
      <c r="W537" s="4">
        <f>IF(ISERROR(VLOOKUP($T$537,'TAR FIN'!$A$1:$O$99,15,0)),0,VLOOKUP($T$537,'TAR FIN'!$A$1:$O$99,15,0))</f>
        <v>97.61</v>
      </c>
      <c r="X537" s="4">
        <f>IF(ISERROR(VLOOKUP($U$537,'TAR FIN'!$A$1:$O$99,15,0)),0,VLOOKUP($U$537,'TAR FIN'!$A$1:$O$99,15,0))</f>
        <v>346.61</v>
      </c>
      <c r="Y537" s="4">
        <f ca="1">('TUSD BE'!$AM$13+'TUSD BF'!$AM$13+'TUSD CVA'!$AM$13)*1</f>
        <v>69.255133620748211</v>
      </c>
      <c r="Z537" s="4">
        <f ca="1">('TUSD BE'!$AM$15+'TUSD BF'!$AM$15+'TUSD CVA'!$AM$15)*1</f>
        <v>117.59114529324071</v>
      </c>
      <c r="AA537" s="4">
        <f>('TE BE'!$AA$7+'TE BF'!$AA$7+'TE CVA'!$AA$7)*1</f>
        <v>423.89652505413846</v>
      </c>
      <c r="AB537" s="4">
        <f>$K$537*$V$537</f>
        <v>51531.200000000004</v>
      </c>
      <c r="AC537" s="4">
        <f>$M$537*$W$537</f>
        <v>1678.4039500000001</v>
      </c>
      <c r="AD537" s="4">
        <f>$O$537*$X$537</f>
        <v>5959.9589500000002</v>
      </c>
      <c r="AE537" s="4">
        <f ca="1">$K$537*$Y$537</f>
        <v>59282.39437936047</v>
      </c>
      <c r="AF537" s="4">
        <f ca="1">$M$537*$Z$537</f>
        <v>2021.9797433172741</v>
      </c>
      <c r="AG537" s="4">
        <f>$O$537*$AA$537</f>
        <v>7288.9007483059113</v>
      </c>
    </row>
    <row r="538" spans="1:33" ht="11.25" customHeight="1" x14ac:dyDescent="0.25">
      <c r="A538" s="3" t="s">
        <v>21</v>
      </c>
      <c r="B538" s="3" t="s">
        <v>33</v>
      </c>
      <c r="C538" s="3" t="s">
        <v>42</v>
      </c>
      <c r="D538" s="3" t="s">
        <v>46</v>
      </c>
      <c r="E538" s="3" t="s">
        <v>25</v>
      </c>
      <c r="F538" s="3" t="s">
        <v>25</v>
      </c>
      <c r="G538" s="3" t="s">
        <v>25</v>
      </c>
      <c r="H538" s="3" t="s">
        <v>35</v>
      </c>
      <c r="I538" s="6">
        <v>44409</v>
      </c>
      <c r="J538" s="4">
        <v>806</v>
      </c>
      <c r="K538" s="4">
        <v>806</v>
      </c>
      <c r="L538" s="4">
        <v>18.239999999999998</v>
      </c>
      <c r="M538" s="4">
        <v>18.239999999999998</v>
      </c>
      <c r="N538" s="4">
        <v>18.239999999999998</v>
      </c>
      <c r="O538" s="4">
        <v>18.239999999999998</v>
      </c>
      <c r="P538" s="4">
        <v>0</v>
      </c>
      <c r="Q538" s="3" t="s">
        <v>26</v>
      </c>
      <c r="R538" s="3">
        <v>0</v>
      </c>
      <c r="S538" s="4">
        <v>91</v>
      </c>
      <c r="T538" s="4">
        <v>88</v>
      </c>
      <c r="U538" s="4">
        <v>72</v>
      </c>
      <c r="V538" s="4">
        <f>IF(ISERROR(VLOOKUP($S$538,'TAR FIN'!$A$1:$O$99,15,0)),0,VLOOKUP($S$538,'TAR FIN'!$A$1:$O$99,15,0))</f>
        <v>60.2</v>
      </c>
      <c r="W538" s="4">
        <f>IF(ISERROR(VLOOKUP($T$538,'TAR FIN'!$A$1:$O$99,15,0)),0,VLOOKUP($T$538,'TAR FIN'!$A$1:$O$99,15,0))</f>
        <v>97.61</v>
      </c>
      <c r="X538" s="4">
        <f>IF(ISERROR(VLOOKUP($U$538,'TAR FIN'!$A$1:$O$99,15,0)),0,VLOOKUP($U$538,'TAR FIN'!$A$1:$O$99,15,0))</f>
        <v>346.61</v>
      </c>
      <c r="Y538" s="4">
        <f ca="1">('TUSD BE'!$AM$13+'TUSD BF'!$AM$13+'TUSD CVA'!$AM$13)*1</f>
        <v>69.255133620748211</v>
      </c>
      <c r="Z538" s="4">
        <f ca="1">('TUSD BE'!$AM$15+'TUSD BF'!$AM$15+'TUSD CVA'!$AM$15)*1</f>
        <v>117.59114529324071</v>
      </c>
      <c r="AA538" s="4">
        <f>('TE BE'!$AA$7+'TE BF'!$AA$7+'TE CVA'!$AA$7)*1</f>
        <v>423.89652505413846</v>
      </c>
      <c r="AB538" s="4">
        <f>$K$538*$V$538</f>
        <v>48521.200000000004</v>
      </c>
      <c r="AC538" s="4">
        <f>$M$538*$W$538</f>
        <v>1780.4063999999998</v>
      </c>
      <c r="AD538" s="4">
        <f>$O$538*$X$538</f>
        <v>6322.1664000000001</v>
      </c>
      <c r="AE538" s="4">
        <f ca="1">$K$538*$Y$538</f>
        <v>55819.637698323058</v>
      </c>
      <c r="AF538" s="4">
        <f ca="1">$M$538*$Z$538</f>
        <v>2144.8624901487105</v>
      </c>
      <c r="AG538" s="4">
        <f>$O$538*$AA$538</f>
        <v>7731.8726169874853</v>
      </c>
    </row>
    <row r="539" spans="1:33" ht="11.25" customHeight="1" x14ac:dyDescent="0.25">
      <c r="A539" s="3" t="s">
        <v>28</v>
      </c>
      <c r="B539" s="3" t="s">
        <v>33</v>
      </c>
      <c r="C539" s="3" t="s">
        <v>42</v>
      </c>
      <c r="D539" s="3" t="s">
        <v>46</v>
      </c>
      <c r="E539" s="3" t="s">
        <v>25</v>
      </c>
      <c r="F539" s="3" t="s">
        <v>25</v>
      </c>
      <c r="G539" s="3" t="s">
        <v>25</v>
      </c>
      <c r="H539" s="3" t="s">
        <v>35</v>
      </c>
      <c r="I539" s="6">
        <v>44409</v>
      </c>
      <c r="J539" s="4">
        <v>312</v>
      </c>
      <c r="K539" s="4">
        <v>312</v>
      </c>
      <c r="L539" s="4">
        <v>6.1740000000000004</v>
      </c>
      <c r="M539" s="4">
        <v>6.1740000000000004</v>
      </c>
      <c r="N539" s="4">
        <v>6.1740000000000004</v>
      </c>
      <c r="O539" s="4">
        <v>6.1740000000000004</v>
      </c>
      <c r="P539" s="4">
        <v>0</v>
      </c>
      <c r="Q539" s="3" t="s">
        <v>26</v>
      </c>
      <c r="R539" s="3">
        <v>0</v>
      </c>
      <c r="S539" s="4">
        <v>91</v>
      </c>
      <c r="T539" s="4">
        <v>88</v>
      </c>
      <c r="U539" s="4">
        <v>72</v>
      </c>
      <c r="V539" s="4">
        <f>IF(ISERROR(VLOOKUP($S$539,'TAR FIN'!$A$1:$O$99,15,0)),0,VLOOKUP($S$539,'TAR FIN'!$A$1:$O$99,15,0))</f>
        <v>60.2</v>
      </c>
      <c r="W539" s="4">
        <f>IF(ISERROR(VLOOKUP($T$539,'TAR FIN'!$A$1:$O$99,15,0)),0,VLOOKUP($T$539,'TAR FIN'!$A$1:$O$99,15,0))</f>
        <v>97.61</v>
      </c>
      <c r="X539" s="4">
        <f>IF(ISERROR(VLOOKUP($U$539,'TAR FIN'!$A$1:$O$99,15,0)),0,VLOOKUP($U$539,'TAR FIN'!$A$1:$O$99,15,0))</f>
        <v>346.61</v>
      </c>
      <c r="Y539" s="4">
        <f ca="1">('TUSD BE'!$AM$13+'TUSD BF'!$AM$13+'TUSD CVA'!$AM$13)*1</f>
        <v>69.255133620748211</v>
      </c>
      <c r="Z539" s="4">
        <f ca="1">('TUSD BE'!$AM$15+'TUSD BF'!$AM$15+'TUSD CVA'!$AM$15)*1</f>
        <v>117.59114529324071</v>
      </c>
      <c r="AA539" s="4">
        <f>('TE BE'!$AA$7+'TE BF'!$AA$7+'TE CVA'!$AA$7)*1</f>
        <v>423.89652505413846</v>
      </c>
      <c r="AB539" s="4">
        <f>$K$539*$V$539</f>
        <v>18782.400000000001</v>
      </c>
      <c r="AC539" s="4">
        <f>$M$539*$W$539</f>
        <v>602.64413999999999</v>
      </c>
      <c r="AD539" s="4">
        <f>$O$539*$X$539</f>
        <v>2139.9701400000004</v>
      </c>
      <c r="AE539" s="4">
        <f ca="1">$K$539*$Y$539</f>
        <v>21607.601689673444</v>
      </c>
      <c r="AF539" s="4">
        <f ca="1">$M$539*$Z$539</f>
        <v>726.00773104046823</v>
      </c>
      <c r="AG539" s="4">
        <f>$O$539*$AA$539</f>
        <v>2617.1371456842512</v>
      </c>
    </row>
    <row r="540" spans="1:33" ht="11.25" customHeight="1" x14ac:dyDescent="0.25">
      <c r="A540" s="3" t="s">
        <v>21</v>
      </c>
      <c r="B540" s="3" t="s">
        <v>33</v>
      </c>
      <c r="C540" s="3" t="s">
        <v>42</v>
      </c>
      <c r="D540" s="3" t="s">
        <v>46</v>
      </c>
      <c r="E540" s="3" t="s">
        <v>25</v>
      </c>
      <c r="F540" s="3" t="s">
        <v>25</v>
      </c>
      <c r="G540" s="3" t="s">
        <v>25</v>
      </c>
      <c r="H540" s="3" t="s">
        <v>35</v>
      </c>
      <c r="I540" s="6">
        <v>44440</v>
      </c>
      <c r="J540" s="4">
        <v>807</v>
      </c>
      <c r="K540" s="4">
        <v>807</v>
      </c>
      <c r="L540" s="4">
        <v>19.024999999999999</v>
      </c>
      <c r="M540" s="4">
        <v>19.024999999999999</v>
      </c>
      <c r="N540" s="4">
        <v>19.024999999999999</v>
      </c>
      <c r="O540" s="4">
        <v>19.024999999999999</v>
      </c>
      <c r="P540" s="4">
        <v>0</v>
      </c>
      <c r="Q540" s="3" t="s">
        <v>26</v>
      </c>
      <c r="R540" s="3">
        <v>0</v>
      </c>
      <c r="S540" s="4">
        <v>91</v>
      </c>
      <c r="T540" s="4">
        <v>88</v>
      </c>
      <c r="U540" s="4">
        <v>72</v>
      </c>
      <c r="V540" s="4">
        <f>IF(ISERROR(VLOOKUP($S$540,'TAR FIN'!$A$1:$O$99,15,0)),0,VLOOKUP($S$540,'TAR FIN'!$A$1:$O$99,15,0))</f>
        <v>60.2</v>
      </c>
      <c r="W540" s="4">
        <f>IF(ISERROR(VLOOKUP($T$540,'TAR FIN'!$A$1:$O$99,15,0)),0,VLOOKUP($T$540,'TAR FIN'!$A$1:$O$99,15,0))</f>
        <v>97.61</v>
      </c>
      <c r="X540" s="4">
        <f>IF(ISERROR(VLOOKUP($U$540,'TAR FIN'!$A$1:$O$99,15,0)),0,VLOOKUP($U$540,'TAR FIN'!$A$1:$O$99,15,0))</f>
        <v>346.61</v>
      </c>
      <c r="Y540" s="4">
        <f ca="1">('TUSD BE'!$AM$13+'TUSD BF'!$AM$13+'TUSD CVA'!$AM$13)*1</f>
        <v>69.255133620748211</v>
      </c>
      <c r="Z540" s="4">
        <f ca="1">('TUSD BE'!$AM$15+'TUSD BF'!$AM$15+'TUSD CVA'!$AM$15)*1</f>
        <v>117.59114529324071</v>
      </c>
      <c r="AA540" s="4">
        <f>('TE BE'!$AA$7+'TE BF'!$AA$7+'TE CVA'!$AA$7)*1</f>
        <v>423.89652505413846</v>
      </c>
      <c r="AB540" s="4">
        <f>$K$540*$V$540</f>
        <v>48581.4</v>
      </c>
      <c r="AC540" s="4">
        <f>$M$540*$W$540</f>
        <v>1857.0302499999998</v>
      </c>
      <c r="AD540" s="4">
        <f>$O$540*$X$540</f>
        <v>6594.2552500000002</v>
      </c>
      <c r="AE540" s="4">
        <f ca="1">$K$540*$Y$540</f>
        <v>55888.892831943806</v>
      </c>
      <c r="AF540" s="4">
        <f ca="1">$M$540*$Z$540</f>
        <v>2237.1715392039046</v>
      </c>
      <c r="AG540" s="4">
        <f>$O$540*$AA$540</f>
        <v>8064.6313891549835</v>
      </c>
    </row>
    <row r="541" spans="1:33" ht="11.25" customHeight="1" x14ac:dyDescent="0.25">
      <c r="A541" s="3" t="s">
        <v>28</v>
      </c>
      <c r="B541" s="3" t="s">
        <v>33</v>
      </c>
      <c r="C541" s="3" t="s">
        <v>42</v>
      </c>
      <c r="D541" s="3" t="s">
        <v>46</v>
      </c>
      <c r="E541" s="3" t="s">
        <v>25</v>
      </c>
      <c r="F541" s="3" t="s">
        <v>25</v>
      </c>
      <c r="G541" s="3" t="s">
        <v>25</v>
      </c>
      <c r="H541" s="3" t="s">
        <v>35</v>
      </c>
      <c r="I541" s="6">
        <v>44440</v>
      </c>
      <c r="J541" s="4">
        <v>312</v>
      </c>
      <c r="K541" s="4">
        <v>312</v>
      </c>
      <c r="L541" s="4">
        <v>6.3449999999999998</v>
      </c>
      <c r="M541" s="4">
        <v>6.3449999999999998</v>
      </c>
      <c r="N541" s="4">
        <v>6.3449999999999998</v>
      </c>
      <c r="O541" s="4">
        <v>6.3449999999999998</v>
      </c>
      <c r="P541" s="4">
        <v>0</v>
      </c>
      <c r="Q541" s="3" t="s">
        <v>26</v>
      </c>
      <c r="R541" s="3">
        <v>0</v>
      </c>
      <c r="S541" s="4">
        <v>91</v>
      </c>
      <c r="T541" s="4">
        <v>88</v>
      </c>
      <c r="U541" s="4">
        <v>72</v>
      </c>
      <c r="V541" s="4">
        <f>IF(ISERROR(VLOOKUP($S$541,'TAR FIN'!$A$1:$O$99,15,0)),0,VLOOKUP($S$541,'TAR FIN'!$A$1:$O$99,15,0))</f>
        <v>60.2</v>
      </c>
      <c r="W541" s="4">
        <f>IF(ISERROR(VLOOKUP($T$541,'TAR FIN'!$A$1:$O$99,15,0)),0,VLOOKUP($T$541,'TAR FIN'!$A$1:$O$99,15,0))</f>
        <v>97.61</v>
      </c>
      <c r="X541" s="4">
        <f>IF(ISERROR(VLOOKUP($U$541,'TAR FIN'!$A$1:$O$99,15,0)),0,VLOOKUP($U$541,'TAR FIN'!$A$1:$O$99,15,0))</f>
        <v>346.61</v>
      </c>
      <c r="Y541" s="4">
        <f ca="1">('TUSD BE'!$AM$13+'TUSD BF'!$AM$13+'TUSD CVA'!$AM$13)*1</f>
        <v>69.255133620748211</v>
      </c>
      <c r="Z541" s="4">
        <f ca="1">('TUSD BE'!$AM$15+'TUSD BF'!$AM$15+'TUSD CVA'!$AM$15)*1</f>
        <v>117.59114529324071</v>
      </c>
      <c r="AA541" s="4">
        <f>('TE BE'!$AA$7+'TE BF'!$AA$7+'TE CVA'!$AA$7)*1</f>
        <v>423.89652505413846</v>
      </c>
      <c r="AB541" s="4">
        <f>$K$541*$V$541</f>
        <v>18782.400000000001</v>
      </c>
      <c r="AC541" s="4">
        <f>$M$541*$W$541</f>
        <v>619.33544999999992</v>
      </c>
      <c r="AD541" s="4">
        <f>$O$541*$X$541</f>
        <v>2199.2404499999998</v>
      </c>
      <c r="AE541" s="4">
        <f ca="1">$K$541*$Y$541</f>
        <v>21607.601689673444</v>
      </c>
      <c r="AF541" s="4">
        <f ca="1">$M$541*$Z$541</f>
        <v>746.11581688561228</v>
      </c>
      <c r="AG541" s="4">
        <f>$O$541*$AA$541</f>
        <v>2689.6234514685084</v>
      </c>
    </row>
    <row r="542" spans="1:33" ht="11.25" customHeight="1" x14ac:dyDescent="0.25">
      <c r="A542" s="3" t="s">
        <v>21</v>
      </c>
      <c r="B542" s="3" t="s">
        <v>33</v>
      </c>
      <c r="C542" s="3" t="s">
        <v>42</v>
      </c>
      <c r="D542" s="3" t="s">
        <v>46</v>
      </c>
      <c r="E542" s="3" t="s">
        <v>25</v>
      </c>
      <c r="F542" s="3" t="s">
        <v>25</v>
      </c>
      <c r="G542" s="3" t="s">
        <v>25</v>
      </c>
      <c r="H542" s="3" t="s">
        <v>35</v>
      </c>
      <c r="I542" s="6">
        <v>44470</v>
      </c>
      <c r="J542" s="4">
        <v>806</v>
      </c>
      <c r="K542" s="4">
        <v>806</v>
      </c>
      <c r="L542" s="4">
        <v>19.119</v>
      </c>
      <c r="M542" s="4">
        <v>19.119</v>
      </c>
      <c r="N542" s="4">
        <v>19.119</v>
      </c>
      <c r="O542" s="4">
        <v>19.119</v>
      </c>
      <c r="P542" s="4">
        <v>0</v>
      </c>
      <c r="Q542" s="3" t="s">
        <v>26</v>
      </c>
      <c r="R542" s="3">
        <v>0</v>
      </c>
      <c r="S542" s="4">
        <v>91</v>
      </c>
      <c r="T542" s="4">
        <v>88</v>
      </c>
      <c r="U542" s="4">
        <v>72</v>
      </c>
      <c r="V542" s="4">
        <f>IF(ISERROR(VLOOKUP($S$542,'TAR FIN'!$A$1:$O$99,15,0)),0,VLOOKUP($S$542,'TAR FIN'!$A$1:$O$99,15,0))</f>
        <v>60.2</v>
      </c>
      <c r="W542" s="4">
        <f>IF(ISERROR(VLOOKUP($T$542,'TAR FIN'!$A$1:$O$99,15,0)),0,VLOOKUP($T$542,'TAR FIN'!$A$1:$O$99,15,0))</f>
        <v>97.61</v>
      </c>
      <c r="X542" s="4">
        <f>IF(ISERROR(VLOOKUP($U$542,'TAR FIN'!$A$1:$O$99,15,0)),0,VLOOKUP($U$542,'TAR FIN'!$A$1:$O$99,15,0))</f>
        <v>346.61</v>
      </c>
      <c r="Y542" s="4">
        <f ca="1">('TUSD BE'!$AM$13+'TUSD BF'!$AM$13+'TUSD CVA'!$AM$13)*1</f>
        <v>69.255133620748211</v>
      </c>
      <c r="Z542" s="4">
        <f ca="1">('TUSD BE'!$AM$15+'TUSD BF'!$AM$15+'TUSD CVA'!$AM$15)*1</f>
        <v>117.59114529324071</v>
      </c>
      <c r="AA542" s="4">
        <f>('TE BE'!$AA$7+'TE BF'!$AA$7+'TE CVA'!$AA$7)*1</f>
        <v>423.89652505413846</v>
      </c>
      <c r="AB542" s="4">
        <f>$K$542*$V$542</f>
        <v>48521.200000000004</v>
      </c>
      <c r="AC542" s="4">
        <f>$M$542*$W$542</f>
        <v>1866.20559</v>
      </c>
      <c r="AD542" s="4">
        <f>$O$542*$X$542</f>
        <v>6626.8365899999999</v>
      </c>
      <c r="AE542" s="4">
        <f ca="1">$K$542*$Y$542</f>
        <v>55819.637698323058</v>
      </c>
      <c r="AF542" s="4">
        <f ca="1">$M$542*$Z$542</f>
        <v>2248.2251068614692</v>
      </c>
      <c r="AG542" s="4">
        <f>$O$542*$AA$542</f>
        <v>8104.4776625100731</v>
      </c>
    </row>
    <row r="543" spans="1:33" ht="11.25" customHeight="1" x14ac:dyDescent="0.25">
      <c r="A543" s="3" t="s">
        <v>28</v>
      </c>
      <c r="B543" s="3" t="s">
        <v>33</v>
      </c>
      <c r="C543" s="3" t="s">
        <v>42</v>
      </c>
      <c r="D543" s="3" t="s">
        <v>46</v>
      </c>
      <c r="E543" s="3" t="s">
        <v>25</v>
      </c>
      <c r="F543" s="3" t="s">
        <v>25</v>
      </c>
      <c r="G543" s="3" t="s">
        <v>25</v>
      </c>
      <c r="H543" s="3" t="s">
        <v>35</v>
      </c>
      <c r="I543" s="6">
        <v>44470</v>
      </c>
      <c r="J543" s="4">
        <v>312</v>
      </c>
      <c r="K543" s="4">
        <v>312</v>
      </c>
      <c r="L543" s="4">
        <v>6.4</v>
      </c>
      <c r="M543" s="4">
        <v>6.4</v>
      </c>
      <c r="N543" s="4">
        <v>6.4</v>
      </c>
      <c r="O543" s="4">
        <v>6.4</v>
      </c>
      <c r="P543" s="4">
        <v>0</v>
      </c>
      <c r="Q543" s="3" t="s">
        <v>26</v>
      </c>
      <c r="R543" s="3">
        <v>0</v>
      </c>
      <c r="S543" s="4">
        <v>91</v>
      </c>
      <c r="T543" s="4">
        <v>88</v>
      </c>
      <c r="U543" s="4">
        <v>72</v>
      </c>
      <c r="V543" s="4">
        <f>IF(ISERROR(VLOOKUP($S$543,'TAR FIN'!$A$1:$O$99,15,0)),0,VLOOKUP($S$543,'TAR FIN'!$A$1:$O$99,15,0))</f>
        <v>60.2</v>
      </c>
      <c r="W543" s="4">
        <f>IF(ISERROR(VLOOKUP($T$543,'TAR FIN'!$A$1:$O$99,15,0)),0,VLOOKUP($T$543,'TAR FIN'!$A$1:$O$99,15,0))</f>
        <v>97.61</v>
      </c>
      <c r="X543" s="4">
        <f>IF(ISERROR(VLOOKUP($U$543,'TAR FIN'!$A$1:$O$99,15,0)),0,VLOOKUP($U$543,'TAR FIN'!$A$1:$O$99,15,0))</f>
        <v>346.61</v>
      </c>
      <c r="Y543" s="4">
        <f ca="1">('TUSD BE'!$AM$13+'TUSD BF'!$AM$13+'TUSD CVA'!$AM$13)*1</f>
        <v>69.255133620748211</v>
      </c>
      <c r="Z543" s="4">
        <f ca="1">('TUSD BE'!$AM$15+'TUSD BF'!$AM$15+'TUSD CVA'!$AM$15)*1</f>
        <v>117.59114529324071</v>
      </c>
      <c r="AA543" s="4">
        <f>('TE BE'!$AA$7+'TE BF'!$AA$7+'TE CVA'!$AA$7)*1</f>
        <v>423.89652505413846</v>
      </c>
      <c r="AB543" s="4">
        <f>$K$543*$V$543</f>
        <v>18782.400000000001</v>
      </c>
      <c r="AC543" s="4">
        <f>$M$543*$W$543</f>
        <v>624.70400000000006</v>
      </c>
      <c r="AD543" s="4">
        <f>$O$543*$X$543</f>
        <v>2218.3040000000001</v>
      </c>
      <c r="AE543" s="4">
        <f ca="1">$K$543*$Y$543</f>
        <v>21607.601689673444</v>
      </c>
      <c r="AF543" s="4">
        <f ca="1">$M$543*$Z$543</f>
        <v>752.58332987674066</v>
      </c>
      <c r="AG543" s="4">
        <f>$O$543*$AA$543</f>
        <v>2712.9377603464864</v>
      </c>
    </row>
    <row r="544" spans="1:33" ht="11.25" customHeight="1" x14ac:dyDescent="0.25">
      <c r="A544" s="3" t="s">
        <v>21</v>
      </c>
      <c r="B544" s="3" t="s">
        <v>33</v>
      </c>
      <c r="C544" s="3" t="s">
        <v>42</v>
      </c>
      <c r="D544" s="3" t="s">
        <v>46</v>
      </c>
      <c r="E544" s="3" t="s">
        <v>25</v>
      </c>
      <c r="F544" s="3" t="s">
        <v>25</v>
      </c>
      <c r="G544" s="3" t="s">
        <v>25</v>
      </c>
      <c r="H544" s="3" t="s">
        <v>35</v>
      </c>
      <c r="I544" s="6">
        <v>44501</v>
      </c>
      <c r="J544" s="4">
        <v>814</v>
      </c>
      <c r="K544" s="4">
        <v>814</v>
      </c>
      <c r="L544" s="4">
        <v>19.366</v>
      </c>
      <c r="M544" s="4">
        <v>19.366</v>
      </c>
      <c r="N544" s="4">
        <v>19.366</v>
      </c>
      <c r="O544" s="4">
        <v>19.366</v>
      </c>
      <c r="P544" s="4">
        <v>0</v>
      </c>
      <c r="Q544" s="3" t="s">
        <v>26</v>
      </c>
      <c r="R544" s="3">
        <v>0</v>
      </c>
      <c r="S544" s="4">
        <v>91</v>
      </c>
      <c r="T544" s="4">
        <v>88</v>
      </c>
      <c r="U544" s="4">
        <v>72</v>
      </c>
      <c r="V544" s="4">
        <f>IF(ISERROR(VLOOKUP($S$544,'TAR FIN'!$A$1:$O$99,15,0)),0,VLOOKUP($S$544,'TAR FIN'!$A$1:$O$99,15,0))</f>
        <v>60.2</v>
      </c>
      <c r="W544" s="4">
        <f>IF(ISERROR(VLOOKUP($T$544,'TAR FIN'!$A$1:$O$99,15,0)),0,VLOOKUP($T$544,'TAR FIN'!$A$1:$O$99,15,0))</f>
        <v>97.61</v>
      </c>
      <c r="X544" s="4">
        <f>IF(ISERROR(VLOOKUP($U$544,'TAR FIN'!$A$1:$O$99,15,0)),0,VLOOKUP($U$544,'TAR FIN'!$A$1:$O$99,15,0))</f>
        <v>346.61</v>
      </c>
      <c r="Y544" s="4">
        <f ca="1">('TUSD BE'!$AM$13+'TUSD BF'!$AM$13+'TUSD CVA'!$AM$13)*1</f>
        <v>69.255133620748211</v>
      </c>
      <c r="Z544" s="4">
        <f ca="1">('TUSD BE'!$AM$15+'TUSD BF'!$AM$15+'TUSD CVA'!$AM$15)*1</f>
        <v>117.59114529324071</v>
      </c>
      <c r="AA544" s="4">
        <f>('TE BE'!$AA$7+'TE BF'!$AA$7+'TE CVA'!$AA$7)*1</f>
        <v>423.89652505413846</v>
      </c>
      <c r="AB544" s="4">
        <f>$K$544*$V$544</f>
        <v>49002.8</v>
      </c>
      <c r="AC544" s="4">
        <f>$M$544*$W$544</f>
        <v>1890.3152599999999</v>
      </c>
      <c r="AD544" s="4">
        <f>$O$544*$X$544</f>
        <v>6712.4492600000003</v>
      </c>
      <c r="AE544" s="4">
        <f ca="1">$K$544*$Y$544</f>
        <v>56373.678767289042</v>
      </c>
      <c r="AF544" s="4">
        <f ca="1">$M$544*$Z$544</f>
        <v>2277.2701197488996</v>
      </c>
      <c r="AG544" s="4">
        <f>$O$544*$AA$544</f>
        <v>8209.1801041984454</v>
      </c>
    </row>
    <row r="545" spans="1:33" ht="11.25" customHeight="1" x14ac:dyDescent="0.25">
      <c r="A545" s="3" t="s">
        <v>28</v>
      </c>
      <c r="B545" s="3" t="s">
        <v>33</v>
      </c>
      <c r="C545" s="3" t="s">
        <v>42</v>
      </c>
      <c r="D545" s="3" t="s">
        <v>46</v>
      </c>
      <c r="E545" s="3" t="s">
        <v>25</v>
      </c>
      <c r="F545" s="3" t="s">
        <v>25</v>
      </c>
      <c r="G545" s="3" t="s">
        <v>25</v>
      </c>
      <c r="H545" s="3" t="s">
        <v>35</v>
      </c>
      <c r="I545" s="6">
        <v>44501</v>
      </c>
      <c r="J545" s="4">
        <v>312</v>
      </c>
      <c r="K545" s="4">
        <v>312</v>
      </c>
      <c r="L545" s="4">
        <v>6.65</v>
      </c>
      <c r="M545" s="4">
        <v>6.65</v>
      </c>
      <c r="N545" s="4">
        <v>6.65</v>
      </c>
      <c r="O545" s="4">
        <v>6.65</v>
      </c>
      <c r="P545" s="4">
        <v>0</v>
      </c>
      <c r="Q545" s="3" t="s">
        <v>26</v>
      </c>
      <c r="R545" s="3">
        <v>0</v>
      </c>
      <c r="S545" s="4">
        <v>91</v>
      </c>
      <c r="T545" s="4">
        <v>88</v>
      </c>
      <c r="U545" s="4">
        <v>72</v>
      </c>
      <c r="V545" s="4">
        <f>IF(ISERROR(VLOOKUP($S$545,'TAR FIN'!$A$1:$O$99,15,0)),0,VLOOKUP($S$545,'TAR FIN'!$A$1:$O$99,15,0))</f>
        <v>60.2</v>
      </c>
      <c r="W545" s="4">
        <f>IF(ISERROR(VLOOKUP($T$545,'TAR FIN'!$A$1:$O$99,15,0)),0,VLOOKUP($T$545,'TAR FIN'!$A$1:$O$99,15,0))</f>
        <v>97.61</v>
      </c>
      <c r="X545" s="4">
        <f>IF(ISERROR(VLOOKUP($U$545,'TAR FIN'!$A$1:$O$99,15,0)),0,VLOOKUP($U$545,'TAR FIN'!$A$1:$O$99,15,0))</f>
        <v>346.61</v>
      </c>
      <c r="Y545" s="4">
        <f ca="1">('TUSD BE'!$AM$13+'TUSD BF'!$AM$13+'TUSD CVA'!$AM$13)*1</f>
        <v>69.255133620748211</v>
      </c>
      <c r="Z545" s="4">
        <f ca="1">('TUSD BE'!$AM$15+'TUSD BF'!$AM$15+'TUSD CVA'!$AM$15)*1</f>
        <v>117.59114529324071</v>
      </c>
      <c r="AA545" s="4">
        <f>('TE BE'!$AA$7+'TE BF'!$AA$7+'TE CVA'!$AA$7)*1</f>
        <v>423.89652505413846</v>
      </c>
      <c r="AB545" s="4">
        <f>$K$545*$V$545</f>
        <v>18782.400000000001</v>
      </c>
      <c r="AC545" s="4">
        <f>$M$545*$W$545</f>
        <v>649.10649999999998</v>
      </c>
      <c r="AD545" s="4">
        <f>$O$545*$X$545</f>
        <v>2304.9565000000002</v>
      </c>
      <c r="AE545" s="4">
        <f ca="1">$K$545*$Y$545</f>
        <v>21607.601689673444</v>
      </c>
      <c r="AF545" s="4">
        <f ca="1">$M$545*$Z$545</f>
        <v>781.98111620005079</v>
      </c>
      <c r="AG545" s="4">
        <f>$O$545*$AA$545</f>
        <v>2818.911891610021</v>
      </c>
    </row>
    <row r="546" spans="1:33" ht="11.25" customHeight="1" x14ac:dyDescent="0.25">
      <c r="A546" s="3" t="s">
        <v>21</v>
      </c>
      <c r="B546" s="3" t="s">
        <v>33</v>
      </c>
      <c r="C546" s="3" t="s">
        <v>42</v>
      </c>
      <c r="D546" s="3" t="s">
        <v>46</v>
      </c>
      <c r="E546" s="3" t="s">
        <v>25</v>
      </c>
      <c r="F546" s="3" t="s">
        <v>25</v>
      </c>
      <c r="G546" s="3" t="s">
        <v>25</v>
      </c>
      <c r="H546" s="3" t="s">
        <v>35</v>
      </c>
      <c r="I546" s="6">
        <v>44531</v>
      </c>
      <c r="J546" s="4">
        <v>816</v>
      </c>
      <c r="K546" s="4">
        <v>816</v>
      </c>
      <c r="L546" s="4">
        <v>22.01</v>
      </c>
      <c r="M546" s="4">
        <v>22.01</v>
      </c>
      <c r="N546" s="4">
        <v>22.01</v>
      </c>
      <c r="O546" s="4">
        <v>22.01</v>
      </c>
      <c r="P546" s="4">
        <v>0</v>
      </c>
      <c r="Q546" s="3" t="s">
        <v>26</v>
      </c>
      <c r="R546" s="3">
        <v>0</v>
      </c>
      <c r="S546" s="4">
        <v>91</v>
      </c>
      <c r="T546" s="4">
        <v>88</v>
      </c>
      <c r="U546" s="4">
        <v>72</v>
      </c>
      <c r="V546" s="4">
        <f>IF(ISERROR(VLOOKUP($S$546,'TAR FIN'!$A$1:$O$99,15,0)),0,VLOOKUP($S$546,'TAR FIN'!$A$1:$O$99,15,0))</f>
        <v>60.2</v>
      </c>
      <c r="W546" s="4">
        <f>IF(ISERROR(VLOOKUP($T$546,'TAR FIN'!$A$1:$O$99,15,0)),0,VLOOKUP($T$546,'TAR FIN'!$A$1:$O$99,15,0))</f>
        <v>97.61</v>
      </c>
      <c r="X546" s="4">
        <f>IF(ISERROR(VLOOKUP($U$546,'TAR FIN'!$A$1:$O$99,15,0)),0,VLOOKUP($U$546,'TAR FIN'!$A$1:$O$99,15,0))</f>
        <v>346.61</v>
      </c>
      <c r="Y546" s="4">
        <f ca="1">('TUSD BE'!$AM$13+'TUSD BF'!$AM$13+'TUSD CVA'!$AM$13)*1</f>
        <v>69.255133620748211</v>
      </c>
      <c r="Z546" s="4">
        <f ca="1">('TUSD BE'!$AM$15+'TUSD BF'!$AM$15+'TUSD CVA'!$AM$15)*1</f>
        <v>117.59114529324071</v>
      </c>
      <c r="AA546" s="4">
        <f>('TE BE'!$AA$7+'TE BF'!$AA$7+'TE CVA'!$AA$7)*1</f>
        <v>423.89652505413846</v>
      </c>
      <c r="AB546" s="4">
        <f>$K$546*$V$546</f>
        <v>49123.200000000004</v>
      </c>
      <c r="AC546" s="4">
        <f>$M$546*$W$546</f>
        <v>2148.3960999999999</v>
      </c>
      <c r="AD546" s="4">
        <f>$O$546*$X$546</f>
        <v>7628.8861000000006</v>
      </c>
      <c r="AE546" s="4">
        <f ca="1">$K$546*$Y$546</f>
        <v>56512.189034530544</v>
      </c>
      <c r="AF546" s="4">
        <f ca="1">$M$546*$Z$546</f>
        <v>2588.1811079042282</v>
      </c>
      <c r="AG546" s="4">
        <f>$O$546*$AA$546</f>
        <v>9329.9625164415884</v>
      </c>
    </row>
    <row r="547" spans="1:33" ht="11.25" customHeight="1" x14ac:dyDescent="0.25">
      <c r="A547" s="3" t="s">
        <v>28</v>
      </c>
      <c r="B547" s="3" t="s">
        <v>33</v>
      </c>
      <c r="C547" s="3" t="s">
        <v>42</v>
      </c>
      <c r="D547" s="3" t="s">
        <v>46</v>
      </c>
      <c r="E547" s="3" t="s">
        <v>25</v>
      </c>
      <c r="F547" s="3" t="s">
        <v>25</v>
      </c>
      <c r="G547" s="3" t="s">
        <v>25</v>
      </c>
      <c r="H547" s="3" t="s">
        <v>35</v>
      </c>
      <c r="I547" s="6">
        <v>44531</v>
      </c>
      <c r="J547" s="4">
        <v>312</v>
      </c>
      <c r="K547" s="4">
        <v>312</v>
      </c>
      <c r="L547" s="4">
        <v>6.367</v>
      </c>
      <c r="M547" s="4">
        <v>6.367</v>
      </c>
      <c r="N547" s="4">
        <v>6.367</v>
      </c>
      <c r="O547" s="4">
        <v>6.367</v>
      </c>
      <c r="P547" s="4">
        <v>0</v>
      </c>
      <c r="Q547" s="3" t="s">
        <v>26</v>
      </c>
      <c r="R547" s="3">
        <v>0</v>
      </c>
      <c r="S547" s="4">
        <v>91</v>
      </c>
      <c r="T547" s="4">
        <v>88</v>
      </c>
      <c r="U547" s="4">
        <v>72</v>
      </c>
      <c r="V547" s="4">
        <f>IF(ISERROR(VLOOKUP($S$547,'TAR FIN'!$A$1:$O$99,15,0)),0,VLOOKUP($S$547,'TAR FIN'!$A$1:$O$99,15,0))</f>
        <v>60.2</v>
      </c>
      <c r="W547" s="4">
        <f>IF(ISERROR(VLOOKUP($T$547,'TAR FIN'!$A$1:$O$99,15,0)),0,VLOOKUP($T$547,'TAR FIN'!$A$1:$O$99,15,0))</f>
        <v>97.61</v>
      </c>
      <c r="X547" s="4">
        <f>IF(ISERROR(VLOOKUP($U$547,'TAR FIN'!$A$1:$O$99,15,0)),0,VLOOKUP($U$547,'TAR FIN'!$A$1:$O$99,15,0))</f>
        <v>346.61</v>
      </c>
      <c r="Y547" s="4">
        <f ca="1">('TUSD BE'!$AM$13+'TUSD BF'!$AM$13+'TUSD CVA'!$AM$13)*1</f>
        <v>69.255133620748211</v>
      </c>
      <c r="Z547" s="4">
        <f ca="1">('TUSD BE'!$AM$15+'TUSD BF'!$AM$15+'TUSD CVA'!$AM$15)*1</f>
        <v>117.59114529324071</v>
      </c>
      <c r="AA547" s="4">
        <f>('TE BE'!$AA$7+'TE BF'!$AA$7+'TE CVA'!$AA$7)*1</f>
        <v>423.89652505413846</v>
      </c>
      <c r="AB547" s="4">
        <f>$K$547*$V$547</f>
        <v>18782.400000000001</v>
      </c>
      <c r="AC547" s="4">
        <f>$M$547*$W$547</f>
        <v>621.48287000000005</v>
      </c>
      <c r="AD547" s="4">
        <f>$O$547*$X$547</f>
        <v>2206.8658700000001</v>
      </c>
      <c r="AE547" s="4">
        <f ca="1">$K$547*$Y$547</f>
        <v>21607.601689673444</v>
      </c>
      <c r="AF547" s="4">
        <f ca="1">$M$547*$Z$547</f>
        <v>748.70282208206368</v>
      </c>
      <c r="AG547" s="4">
        <f>$O$547*$AA$547</f>
        <v>2698.9491750196994</v>
      </c>
    </row>
    <row r="548" spans="1:33" ht="11.25" customHeight="1" x14ac:dyDescent="0.25">
      <c r="A548" s="3" t="s">
        <v>21</v>
      </c>
      <c r="B548" s="3" t="s">
        <v>33</v>
      </c>
      <c r="C548" s="3" t="s">
        <v>42</v>
      </c>
      <c r="D548" s="3" t="s">
        <v>46</v>
      </c>
      <c r="E548" s="3" t="s">
        <v>25</v>
      </c>
      <c r="F548" s="3" t="s">
        <v>25</v>
      </c>
      <c r="G548" s="3" t="s">
        <v>25</v>
      </c>
      <c r="H548" s="3" t="s">
        <v>35</v>
      </c>
      <c r="I548" s="6">
        <v>44562</v>
      </c>
      <c r="J548" s="4">
        <v>826</v>
      </c>
      <c r="K548" s="4">
        <v>826</v>
      </c>
      <c r="L548" s="4">
        <v>19.744</v>
      </c>
      <c r="M548" s="4">
        <v>19.744</v>
      </c>
      <c r="N548" s="4">
        <v>19.744</v>
      </c>
      <c r="O548" s="4">
        <v>19.744</v>
      </c>
      <c r="P548" s="4">
        <v>0</v>
      </c>
      <c r="Q548" s="3" t="s">
        <v>26</v>
      </c>
      <c r="R548" s="3">
        <v>0</v>
      </c>
      <c r="S548" s="4">
        <v>91</v>
      </c>
      <c r="T548" s="4">
        <v>88</v>
      </c>
      <c r="U548" s="4">
        <v>72</v>
      </c>
      <c r="V548" s="4">
        <f>IF(ISERROR(VLOOKUP($S$548,'TAR FIN'!$A$1:$O$99,15,0)),0,VLOOKUP($S$548,'TAR FIN'!$A$1:$O$99,15,0))</f>
        <v>60.2</v>
      </c>
      <c r="W548" s="4">
        <f>IF(ISERROR(VLOOKUP($T$548,'TAR FIN'!$A$1:$O$99,15,0)),0,VLOOKUP($T$548,'TAR FIN'!$A$1:$O$99,15,0))</f>
        <v>97.61</v>
      </c>
      <c r="X548" s="4">
        <f>IF(ISERROR(VLOOKUP($U$548,'TAR FIN'!$A$1:$O$99,15,0)),0,VLOOKUP($U$548,'TAR FIN'!$A$1:$O$99,15,0))</f>
        <v>346.61</v>
      </c>
      <c r="Y548" s="4">
        <f ca="1">('TUSD BE'!$AM$13+'TUSD BF'!$AM$13+'TUSD CVA'!$AM$13)*1</f>
        <v>69.255133620748211</v>
      </c>
      <c r="Z548" s="4">
        <f ca="1">('TUSD BE'!$AM$15+'TUSD BF'!$AM$15+'TUSD CVA'!$AM$15)*1</f>
        <v>117.59114529324071</v>
      </c>
      <c r="AA548" s="4">
        <f>('TE BE'!$AA$7+'TE BF'!$AA$7+'TE CVA'!$AA$7)*1</f>
        <v>423.89652505413846</v>
      </c>
      <c r="AB548" s="4">
        <f>$K$548*$V$548</f>
        <v>49725.200000000004</v>
      </c>
      <c r="AC548" s="4">
        <f>$M$548*$W$548</f>
        <v>1927.2118399999999</v>
      </c>
      <c r="AD548" s="4">
        <f>$O$548*$X$548</f>
        <v>6843.4678400000003</v>
      </c>
      <c r="AE548" s="4">
        <f ca="1">$K$548*$Y$548</f>
        <v>57204.740370738022</v>
      </c>
      <c r="AF548" s="4">
        <f ca="1">$M$548*$Z$548</f>
        <v>2321.7195726697446</v>
      </c>
      <c r="AG548" s="4">
        <f>$O$548*$AA$548</f>
        <v>8369.4129906689104</v>
      </c>
    </row>
    <row r="549" spans="1:33" ht="11.25" customHeight="1" x14ac:dyDescent="0.25">
      <c r="A549" s="3" t="s">
        <v>28</v>
      </c>
      <c r="B549" s="3" t="s">
        <v>33</v>
      </c>
      <c r="C549" s="3" t="s">
        <v>42</v>
      </c>
      <c r="D549" s="3" t="s">
        <v>46</v>
      </c>
      <c r="E549" s="3" t="s">
        <v>25</v>
      </c>
      <c r="F549" s="3" t="s">
        <v>25</v>
      </c>
      <c r="G549" s="3" t="s">
        <v>25</v>
      </c>
      <c r="H549" s="3" t="s">
        <v>35</v>
      </c>
      <c r="I549" s="6">
        <v>44562</v>
      </c>
      <c r="J549" s="4">
        <v>312</v>
      </c>
      <c r="K549" s="4">
        <v>312</v>
      </c>
      <c r="L549" s="4">
        <v>6.5380000000000003</v>
      </c>
      <c r="M549" s="4">
        <v>6.5380000000000003</v>
      </c>
      <c r="N549" s="4">
        <v>6.5380000000000003</v>
      </c>
      <c r="O549" s="4">
        <v>6.5380000000000003</v>
      </c>
      <c r="P549" s="4">
        <v>0</v>
      </c>
      <c r="Q549" s="3" t="s">
        <v>26</v>
      </c>
      <c r="R549" s="3">
        <v>0</v>
      </c>
      <c r="S549" s="4">
        <v>91</v>
      </c>
      <c r="T549" s="4">
        <v>88</v>
      </c>
      <c r="U549" s="4">
        <v>72</v>
      </c>
      <c r="V549" s="4">
        <f>IF(ISERROR(VLOOKUP($S$549,'TAR FIN'!$A$1:$O$99,15,0)),0,VLOOKUP($S$549,'TAR FIN'!$A$1:$O$99,15,0))</f>
        <v>60.2</v>
      </c>
      <c r="W549" s="4">
        <f>IF(ISERROR(VLOOKUP($T$549,'TAR FIN'!$A$1:$O$99,15,0)),0,VLOOKUP($T$549,'TAR FIN'!$A$1:$O$99,15,0))</f>
        <v>97.61</v>
      </c>
      <c r="X549" s="4">
        <f>IF(ISERROR(VLOOKUP($U$549,'TAR FIN'!$A$1:$O$99,15,0)),0,VLOOKUP($U$549,'TAR FIN'!$A$1:$O$99,15,0))</f>
        <v>346.61</v>
      </c>
      <c r="Y549" s="4">
        <f ca="1">('TUSD BE'!$AM$13+'TUSD BF'!$AM$13+'TUSD CVA'!$AM$13)*1</f>
        <v>69.255133620748211</v>
      </c>
      <c r="Z549" s="4">
        <f ca="1">('TUSD BE'!$AM$15+'TUSD BF'!$AM$15+'TUSD CVA'!$AM$15)*1</f>
        <v>117.59114529324071</v>
      </c>
      <c r="AA549" s="4">
        <f>('TE BE'!$AA$7+'TE BF'!$AA$7+'TE CVA'!$AA$7)*1</f>
        <v>423.89652505413846</v>
      </c>
      <c r="AB549" s="4">
        <f>$K$549*$V$549</f>
        <v>18782.400000000001</v>
      </c>
      <c r="AC549" s="4">
        <f>$M$549*$W$549</f>
        <v>638.17417999999998</v>
      </c>
      <c r="AD549" s="4">
        <f>$O$549*$X$549</f>
        <v>2266.13618</v>
      </c>
      <c r="AE549" s="4">
        <f ca="1">$K$549*$Y$549</f>
        <v>21607.601689673444</v>
      </c>
      <c r="AF549" s="4">
        <f ca="1">$M$549*$Z$549</f>
        <v>768.81090792720784</v>
      </c>
      <c r="AG549" s="4">
        <f>$O$549*$AA$549</f>
        <v>2771.4354808039575</v>
      </c>
    </row>
    <row r="550" spans="1:33" ht="11.25" customHeight="1" x14ac:dyDescent="0.25">
      <c r="A550" s="3" t="s">
        <v>21</v>
      </c>
      <c r="B550" s="3" t="s">
        <v>33</v>
      </c>
      <c r="C550" s="3" t="s">
        <v>42</v>
      </c>
      <c r="D550" s="3" t="s">
        <v>46</v>
      </c>
      <c r="E550" s="3" t="s">
        <v>25</v>
      </c>
      <c r="F550" s="3" t="s">
        <v>25</v>
      </c>
      <c r="G550" s="3" t="s">
        <v>25</v>
      </c>
      <c r="H550" s="3" t="s">
        <v>35</v>
      </c>
      <c r="I550" s="6">
        <v>44593</v>
      </c>
      <c r="J550" s="4">
        <v>814</v>
      </c>
      <c r="K550" s="4">
        <v>814</v>
      </c>
      <c r="L550" s="4">
        <v>20.157</v>
      </c>
      <c r="M550" s="4">
        <v>20.157</v>
      </c>
      <c r="N550" s="4">
        <v>20.157</v>
      </c>
      <c r="O550" s="4">
        <v>20.157</v>
      </c>
      <c r="P550" s="4">
        <v>0</v>
      </c>
      <c r="Q550" s="3" t="s">
        <v>26</v>
      </c>
      <c r="R550" s="3">
        <v>0</v>
      </c>
      <c r="S550" s="4">
        <v>91</v>
      </c>
      <c r="T550" s="4">
        <v>88</v>
      </c>
      <c r="U550" s="4">
        <v>72</v>
      </c>
      <c r="V550" s="4">
        <f>IF(ISERROR(VLOOKUP($S$550,'TAR FIN'!$A$1:$O$99,15,0)),0,VLOOKUP($S$550,'TAR FIN'!$A$1:$O$99,15,0))</f>
        <v>60.2</v>
      </c>
      <c r="W550" s="4">
        <f>IF(ISERROR(VLOOKUP($T$550,'TAR FIN'!$A$1:$O$99,15,0)),0,VLOOKUP($T$550,'TAR FIN'!$A$1:$O$99,15,0))</f>
        <v>97.61</v>
      </c>
      <c r="X550" s="4">
        <f>IF(ISERROR(VLOOKUP($U$550,'TAR FIN'!$A$1:$O$99,15,0)),0,VLOOKUP($U$550,'TAR FIN'!$A$1:$O$99,15,0))</f>
        <v>346.61</v>
      </c>
      <c r="Y550" s="4">
        <f ca="1">('TUSD BE'!$AM$13+'TUSD BF'!$AM$13+'TUSD CVA'!$AM$13)*1</f>
        <v>69.255133620748211</v>
      </c>
      <c r="Z550" s="4">
        <f ca="1">('TUSD BE'!$AM$15+'TUSD BF'!$AM$15+'TUSD CVA'!$AM$15)*1</f>
        <v>117.59114529324071</v>
      </c>
      <c r="AA550" s="4">
        <f>('TE BE'!$AA$7+'TE BF'!$AA$7+'TE CVA'!$AA$7)*1</f>
        <v>423.89652505413846</v>
      </c>
      <c r="AB550" s="4">
        <f>$K$550*$V$550</f>
        <v>49002.8</v>
      </c>
      <c r="AC550" s="4">
        <f>$M$550*$W$550</f>
        <v>1967.52477</v>
      </c>
      <c r="AD550" s="4">
        <f>$O$550*$X$550</f>
        <v>6986.6177699999998</v>
      </c>
      <c r="AE550" s="4">
        <f ca="1">$K$550*$Y$550</f>
        <v>56373.678767289042</v>
      </c>
      <c r="AF550" s="4">
        <f ca="1">$M$550*$Z$550</f>
        <v>2370.284715675853</v>
      </c>
      <c r="AG550" s="4">
        <f>$O$550*$AA$550</f>
        <v>8544.4822555162682</v>
      </c>
    </row>
    <row r="551" spans="1:33" ht="11.25" customHeight="1" x14ac:dyDescent="0.25">
      <c r="A551" s="3" t="s">
        <v>28</v>
      </c>
      <c r="B551" s="3" t="s">
        <v>33</v>
      </c>
      <c r="C551" s="3" t="s">
        <v>42</v>
      </c>
      <c r="D551" s="3" t="s">
        <v>46</v>
      </c>
      <c r="E551" s="3" t="s">
        <v>25</v>
      </c>
      <c r="F551" s="3" t="s">
        <v>25</v>
      </c>
      <c r="G551" s="3" t="s">
        <v>25</v>
      </c>
      <c r="H551" s="3" t="s">
        <v>35</v>
      </c>
      <c r="I551" s="6">
        <v>44593</v>
      </c>
      <c r="J551" s="4">
        <v>312</v>
      </c>
      <c r="K551" s="4">
        <v>312</v>
      </c>
      <c r="L551" s="4">
        <v>6.5170000000000003</v>
      </c>
      <c r="M551" s="4">
        <v>6.5170000000000003</v>
      </c>
      <c r="N551" s="4">
        <v>6.5170000000000003</v>
      </c>
      <c r="O551" s="4">
        <v>6.5170000000000003</v>
      </c>
      <c r="P551" s="4">
        <v>0</v>
      </c>
      <c r="Q551" s="3" t="s">
        <v>26</v>
      </c>
      <c r="R551" s="3">
        <v>0</v>
      </c>
      <c r="S551" s="4">
        <v>91</v>
      </c>
      <c r="T551" s="4">
        <v>88</v>
      </c>
      <c r="U551" s="4">
        <v>72</v>
      </c>
      <c r="V551" s="4">
        <f>IF(ISERROR(VLOOKUP($S$551,'TAR FIN'!$A$1:$O$99,15,0)),0,VLOOKUP($S$551,'TAR FIN'!$A$1:$O$99,15,0))</f>
        <v>60.2</v>
      </c>
      <c r="W551" s="4">
        <f>IF(ISERROR(VLOOKUP($T$551,'TAR FIN'!$A$1:$O$99,15,0)),0,VLOOKUP($T$551,'TAR FIN'!$A$1:$O$99,15,0))</f>
        <v>97.61</v>
      </c>
      <c r="X551" s="4">
        <f>IF(ISERROR(VLOOKUP($U$551,'TAR FIN'!$A$1:$O$99,15,0)),0,VLOOKUP($U$551,'TAR FIN'!$A$1:$O$99,15,0))</f>
        <v>346.61</v>
      </c>
      <c r="Y551" s="4">
        <f ca="1">('TUSD BE'!$AM$13+'TUSD BF'!$AM$13+'TUSD CVA'!$AM$13)*1</f>
        <v>69.255133620748211</v>
      </c>
      <c r="Z551" s="4">
        <f ca="1">('TUSD BE'!$AM$15+'TUSD BF'!$AM$15+'TUSD CVA'!$AM$15)*1</f>
        <v>117.59114529324071</v>
      </c>
      <c r="AA551" s="4">
        <f>('TE BE'!$AA$7+'TE BF'!$AA$7+'TE CVA'!$AA$7)*1</f>
        <v>423.89652505413846</v>
      </c>
      <c r="AB551" s="4">
        <f>$K$551*$V$551</f>
        <v>18782.400000000001</v>
      </c>
      <c r="AC551" s="4">
        <f>$M$551*$W$551</f>
        <v>636.12437</v>
      </c>
      <c r="AD551" s="4">
        <f>$O$551*$X$551</f>
        <v>2258.8573700000002</v>
      </c>
      <c r="AE551" s="4">
        <f ca="1">$K$551*$Y$551</f>
        <v>21607.601689673444</v>
      </c>
      <c r="AF551" s="4">
        <f ca="1">$M$551*$Z$551</f>
        <v>766.34149387604975</v>
      </c>
      <c r="AG551" s="4">
        <f>$O$551*$AA$551</f>
        <v>2762.5336537778207</v>
      </c>
    </row>
    <row r="552" spans="1:33" ht="11.25" customHeight="1" x14ac:dyDescent="0.25">
      <c r="A552" s="3" t="s">
        <v>21</v>
      </c>
      <c r="B552" s="3" t="s">
        <v>33</v>
      </c>
      <c r="C552" s="3" t="s">
        <v>42</v>
      </c>
      <c r="D552" s="3" t="s">
        <v>46</v>
      </c>
      <c r="E552" s="3" t="s">
        <v>25</v>
      </c>
      <c r="F552" s="3" t="s">
        <v>25</v>
      </c>
      <c r="G552" s="3" t="s">
        <v>25</v>
      </c>
      <c r="H552" s="3" t="s">
        <v>35</v>
      </c>
      <c r="I552" s="6">
        <v>44621</v>
      </c>
      <c r="J552" s="4">
        <v>812</v>
      </c>
      <c r="K552" s="4">
        <v>812</v>
      </c>
      <c r="L552" s="4">
        <v>23.706</v>
      </c>
      <c r="M552" s="4">
        <v>23.706</v>
      </c>
      <c r="N552" s="4">
        <v>23.706</v>
      </c>
      <c r="O552" s="4">
        <v>23.706</v>
      </c>
      <c r="P552" s="4">
        <v>0</v>
      </c>
      <c r="Q552" s="3" t="s">
        <v>26</v>
      </c>
      <c r="R552" s="3">
        <v>0</v>
      </c>
      <c r="S552" s="4">
        <v>91</v>
      </c>
      <c r="T552" s="4">
        <v>88</v>
      </c>
      <c r="U552" s="4">
        <v>72</v>
      </c>
      <c r="V552" s="4">
        <f>IF(ISERROR(VLOOKUP($S$552,'TAR FIN'!$A$1:$O$99,15,0)),0,VLOOKUP($S$552,'TAR FIN'!$A$1:$O$99,15,0))</f>
        <v>60.2</v>
      </c>
      <c r="W552" s="4">
        <f>IF(ISERROR(VLOOKUP($T$552,'TAR FIN'!$A$1:$O$99,15,0)),0,VLOOKUP($T$552,'TAR FIN'!$A$1:$O$99,15,0))</f>
        <v>97.61</v>
      </c>
      <c r="X552" s="4">
        <f>IF(ISERROR(VLOOKUP($U$552,'TAR FIN'!$A$1:$O$99,15,0)),0,VLOOKUP($U$552,'TAR FIN'!$A$1:$O$99,15,0))</f>
        <v>346.61</v>
      </c>
      <c r="Y552" s="4">
        <f ca="1">('TUSD BE'!$AM$13+'TUSD BF'!$AM$13+'TUSD CVA'!$AM$13)*1</f>
        <v>69.255133620748211</v>
      </c>
      <c r="Z552" s="4">
        <f ca="1">('TUSD BE'!$AM$15+'TUSD BF'!$AM$15+'TUSD CVA'!$AM$15)*1</f>
        <v>117.59114529324071</v>
      </c>
      <c r="AA552" s="4">
        <f>('TE BE'!$AA$7+'TE BF'!$AA$7+'TE CVA'!$AA$7)*1</f>
        <v>423.89652505413846</v>
      </c>
      <c r="AB552" s="4">
        <f>$K$552*$V$552</f>
        <v>48882.400000000001</v>
      </c>
      <c r="AC552" s="4">
        <f>$M$552*$W$552</f>
        <v>2313.9426600000002</v>
      </c>
      <c r="AD552" s="4">
        <f>$O$552*$X$552</f>
        <v>8216.7366600000005</v>
      </c>
      <c r="AE552" s="4">
        <f ca="1">$K$552*$Y$552</f>
        <v>56235.168500047548</v>
      </c>
      <c r="AF552" s="4">
        <f ca="1">$M$552*$Z$552</f>
        <v>2787.6156903215642</v>
      </c>
      <c r="AG552" s="4">
        <f>$O$552*$AA$552</f>
        <v>10048.891022933407</v>
      </c>
    </row>
    <row r="553" spans="1:33" ht="11.25" customHeight="1" x14ac:dyDescent="0.25">
      <c r="A553" s="3" t="s">
        <v>28</v>
      </c>
      <c r="B553" s="3" t="s">
        <v>33</v>
      </c>
      <c r="C553" s="3" t="s">
        <v>42</v>
      </c>
      <c r="D553" s="3" t="s">
        <v>46</v>
      </c>
      <c r="E553" s="3" t="s">
        <v>25</v>
      </c>
      <c r="F553" s="3" t="s">
        <v>25</v>
      </c>
      <c r="G553" s="3" t="s">
        <v>25</v>
      </c>
      <c r="H553" s="3" t="s">
        <v>35</v>
      </c>
      <c r="I553" s="6">
        <v>44621</v>
      </c>
      <c r="J553" s="4">
        <v>312</v>
      </c>
      <c r="K553" s="4">
        <v>312</v>
      </c>
      <c r="L553" s="4">
        <v>6.5090000000000003</v>
      </c>
      <c r="M553" s="4">
        <v>6.5090000000000003</v>
      </c>
      <c r="N553" s="4">
        <v>6.5090000000000003</v>
      </c>
      <c r="O553" s="4">
        <v>6.5090000000000003</v>
      </c>
      <c r="P553" s="4">
        <v>0</v>
      </c>
      <c r="Q553" s="3" t="s">
        <v>26</v>
      </c>
      <c r="R553" s="3">
        <v>0</v>
      </c>
      <c r="S553" s="4">
        <v>91</v>
      </c>
      <c r="T553" s="4">
        <v>88</v>
      </c>
      <c r="U553" s="4">
        <v>72</v>
      </c>
      <c r="V553" s="4">
        <f>IF(ISERROR(VLOOKUP($S$553,'TAR FIN'!$A$1:$O$99,15,0)),0,VLOOKUP($S$553,'TAR FIN'!$A$1:$O$99,15,0))</f>
        <v>60.2</v>
      </c>
      <c r="W553" s="4">
        <f>IF(ISERROR(VLOOKUP($T$553,'TAR FIN'!$A$1:$O$99,15,0)),0,VLOOKUP($T$553,'TAR FIN'!$A$1:$O$99,15,0))</f>
        <v>97.61</v>
      </c>
      <c r="X553" s="4">
        <f>IF(ISERROR(VLOOKUP($U$553,'TAR FIN'!$A$1:$O$99,15,0)),0,VLOOKUP($U$553,'TAR FIN'!$A$1:$O$99,15,0))</f>
        <v>346.61</v>
      </c>
      <c r="Y553" s="4">
        <f ca="1">('TUSD BE'!$AM$13+'TUSD BF'!$AM$13+'TUSD CVA'!$AM$13)*1</f>
        <v>69.255133620748211</v>
      </c>
      <c r="Z553" s="4">
        <f ca="1">('TUSD BE'!$AM$15+'TUSD BF'!$AM$15+'TUSD CVA'!$AM$15)*1</f>
        <v>117.59114529324071</v>
      </c>
      <c r="AA553" s="4">
        <f>('TE BE'!$AA$7+'TE BF'!$AA$7+'TE CVA'!$AA$7)*1</f>
        <v>423.89652505413846</v>
      </c>
      <c r="AB553" s="4">
        <f>$K$553*$V$553</f>
        <v>18782.400000000001</v>
      </c>
      <c r="AC553" s="4">
        <f>$M$553*$W$553</f>
        <v>635.34348999999997</v>
      </c>
      <c r="AD553" s="4">
        <f>$O$553*$X$553</f>
        <v>2256.0844900000002</v>
      </c>
      <c r="AE553" s="4">
        <f ca="1">$K$553*$Y$553</f>
        <v>21607.601689673444</v>
      </c>
      <c r="AF553" s="4">
        <f ca="1">$M$553*$Z$553</f>
        <v>765.40076471370389</v>
      </c>
      <c r="AG553" s="4">
        <f>$O$553*$AA$553</f>
        <v>2759.1424815773876</v>
      </c>
    </row>
    <row r="554" spans="1:33" ht="11.25" customHeight="1" x14ac:dyDescent="0.25">
      <c r="A554" s="3" t="s">
        <v>56</v>
      </c>
      <c r="B554" s="3" t="s">
        <v>33</v>
      </c>
      <c r="C554" s="3" t="s">
        <v>42</v>
      </c>
      <c r="D554" s="3" t="s">
        <v>46</v>
      </c>
      <c r="E554" s="3" t="s">
        <v>25</v>
      </c>
      <c r="F554" s="3" t="s">
        <v>25</v>
      </c>
      <c r="G554" s="3" t="s">
        <v>25</v>
      </c>
      <c r="H554" s="3" t="s">
        <v>35</v>
      </c>
      <c r="I554" s="6">
        <v>44652</v>
      </c>
      <c r="J554" s="4">
        <v>812</v>
      </c>
      <c r="K554" s="4">
        <v>812</v>
      </c>
      <c r="L554" s="4">
        <v>23.706</v>
      </c>
      <c r="M554" s="4">
        <v>23.706</v>
      </c>
      <c r="N554" s="4">
        <v>23.706</v>
      </c>
      <c r="O554" s="4">
        <v>23.706</v>
      </c>
      <c r="P554" s="4">
        <v>0</v>
      </c>
      <c r="Q554" s="3" t="s">
        <v>26</v>
      </c>
      <c r="R554" s="3">
        <v>0</v>
      </c>
      <c r="S554" s="4">
        <v>91</v>
      </c>
      <c r="T554" s="4">
        <v>88</v>
      </c>
      <c r="U554" s="4">
        <v>72</v>
      </c>
      <c r="V554" s="4">
        <f>IF(ISERROR(VLOOKUP($S$554,'TAR FIN'!$A$1:$O$99,15,0)),0,VLOOKUP($S$554,'TAR FIN'!$A$1:$O$99,15,0))</f>
        <v>60.2</v>
      </c>
      <c r="W554" s="4">
        <f>IF(ISERROR(VLOOKUP($T$554,'TAR FIN'!$A$1:$O$99,15,0)),0,VLOOKUP($T$554,'TAR FIN'!$A$1:$O$99,15,0))</f>
        <v>97.61</v>
      </c>
      <c r="X554" s="4">
        <f>IF(ISERROR(VLOOKUP($U$554,'TAR FIN'!$A$1:$O$99,15,0)),0,VLOOKUP($U$554,'TAR FIN'!$A$1:$O$99,15,0))</f>
        <v>346.61</v>
      </c>
      <c r="Y554" s="4">
        <f ca="1">('TUSD BE'!$AM$13+'TUSD BF'!$AM$13+'TUSD CVA'!$AM$13)*1</f>
        <v>69.255133620748211</v>
      </c>
      <c r="Z554" s="4">
        <f ca="1">('TUSD BE'!$AM$15+'TUSD BF'!$AM$15+'TUSD CVA'!$AM$15)*1</f>
        <v>117.59114529324071</v>
      </c>
      <c r="AA554" s="4">
        <f>('TE BE'!$AA$7+'TE BF'!$AA$7+'TE CVA'!$AA$7)*1</f>
        <v>423.89652505413846</v>
      </c>
      <c r="AB554" s="4">
        <f>$K$554*$V$554</f>
        <v>48882.400000000001</v>
      </c>
      <c r="AC554" s="4">
        <f>$M$554*$W$554</f>
        <v>2313.9426600000002</v>
      </c>
      <c r="AD554" s="4">
        <f>$O$554*$X$554</f>
        <v>8216.7366600000005</v>
      </c>
      <c r="AE554" s="4">
        <f ca="1">$K$554*$Y$554</f>
        <v>56235.168500047548</v>
      </c>
      <c r="AF554" s="4">
        <f ca="1">$M$554*$Z$554</f>
        <v>2787.6156903215642</v>
      </c>
      <c r="AG554" s="4">
        <f>$O$554*$AA$554</f>
        <v>10048.891022933407</v>
      </c>
    </row>
    <row r="555" spans="1:33" ht="11.25" customHeight="1" x14ac:dyDescent="0.25">
      <c r="A555" s="3" t="s">
        <v>56</v>
      </c>
      <c r="B555" s="3" t="s">
        <v>33</v>
      </c>
      <c r="C555" s="3" t="s">
        <v>42</v>
      </c>
      <c r="D555" s="3" t="s">
        <v>46</v>
      </c>
      <c r="E555" s="3" t="s">
        <v>25</v>
      </c>
      <c r="F555" s="3" t="s">
        <v>25</v>
      </c>
      <c r="G555" s="3" t="s">
        <v>25</v>
      </c>
      <c r="H555" s="3" t="s">
        <v>35</v>
      </c>
      <c r="I555" s="6">
        <v>44652</v>
      </c>
      <c r="J555" s="4">
        <v>312</v>
      </c>
      <c r="K555" s="4">
        <v>312</v>
      </c>
      <c r="L555" s="4">
        <v>6.5090000000000003</v>
      </c>
      <c r="M555" s="4">
        <v>6.5090000000000003</v>
      </c>
      <c r="N555" s="4">
        <v>6.5090000000000003</v>
      </c>
      <c r="O555" s="4">
        <v>6.5090000000000003</v>
      </c>
      <c r="P555" s="4">
        <v>0</v>
      </c>
      <c r="Q555" s="3" t="s">
        <v>26</v>
      </c>
      <c r="R555" s="3">
        <v>0</v>
      </c>
      <c r="S555" s="4">
        <v>91</v>
      </c>
      <c r="T555" s="4">
        <v>88</v>
      </c>
      <c r="U555" s="4">
        <v>72</v>
      </c>
      <c r="V555" s="4">
        <f>IF(ISERROR(VLOOKUP($S$555,'TAR FIN'!$A$1:$O$99,15,0)),0,VLOOKUP($S$555,'TAR FIN'!$A$1:$O$99,15,0))</f>
        <v>60.2</v>
      </c>
      <c r="W555" s="4">
        <f>IF(ISERROR(VLOOKUP($T$555,'TAR FIN'!$A$1:$O$99,15,0)),0,VLOOKUP($T$555,'TAR FIN'!$A$1:$O$99,15,0))</f>
        <v>97.61</v>
      </c>
      <c r="X555" s="4">
        <f>IF(ISERROR(VLOOKUP($U$555,'TAR FIN'!$A$1:$O$99,15,0)),0,VLOOKUP($U$555,'TAR FIN'!$A$1:$O$99,15,0))</f>
        <v>346.61</v>
      </c>
      <c r="Y555" s="4">
        <f ca="1">('TUSD BE'!$AM$13+'TUSD BF'!$AM$13+'TUSD CVA'!$AM$13)*1</f>
        <v>69.255133620748211</v>
      </c>
      <c r="Z555" s="4">
        <f ca="1">('TUSD BE'!$AM$15+'TUSD BF'!$AM$15+'TUSD CVA'!$AM$15)*1</f>
        <v>117.59114529324071</v>
      </c>
      <c r="AA555" s="4">
        <f>('TE BE'!$AA$7+'TE BF'!$AA$7+'TE CVA'!$AA$7)*1</f>
        <v>423.89652505413846</v>
      </c>
      <c r="AB555" s="4">
        <f>$K$555*$V$555</f>
        <v>18782.400000000001</v>
      </c>
      <c r="AC555" s="4">
        <f>$M$555*$W$555</f>
        <v>635.34348999999997</v>
      </c>
      <c r="AD555" s="4">
        <f>$O$555*$X$555</f>
        <v>2256.0844900000002</v>
      </c>
      <c r="AE555" s="4">
        <f ca="1">$K$555*$Y$555</f>
        <v>21607.601689673444</v>
      </c>
      <c r="AF555" s="4">
        <f ca="1">$M$555*$Z$555</f>
        <v>765.40076471370389</v>
      </c>
      <c r="AG555" s="4">
        <f>$O$555*$AA$555</f>
        <v>2759.1424815773876</v>
      </c>
    </row>
    <row r="556" spans="1:33" ht="11.25" customHeight="1" x14ac:dyDescent="0.25">
      <c r="A556" s="3" t="s">
        <v>21</v>
      </c>
      <c r="B556" s="3" t="s">
        <v>33</v>
      </c>
      <c r="C556" s="3" t="s">
        <v>42</v>
      </c>
      <c r="D556" s="3" t="s">
        <v>50</v>
      </c>
      <c r="E556" s="3" t="s">
        <v>51</v>
      </c>
      <c r="F556" s="3" t="s">
        <v>25</v>
      </c>
      <c r="G556" s="3" t="s">
        <v>25</v>
      </c>
      <c r="H556" s="3" t="s">
        <v>36</v>
      </c>
      <c r="I556" s="6">
        <v>44317</v>
      </c>
      <c r="J556" s="4">
        <v>20470</v>
      </c>
      <c r="K556" s="71">
        <v>20470</v>
      </c>
      <c r="L556" s="4">
        <v>10577.843000000001</v>
      </c>
      <c r="M556" s="70">
        <v>10577.843000000001</v>
      </c>
      <c r="N556" s="4">
        <v>10577.843000000001</v>
      </c>
      <c r="O556" s="70">
        <v>10577.843000000001</v>
      </c>
      <c r="P556" s="4">
        <v>0</v>
      </c>
      <c r="Q556" s="3" t="s">
        <v>26</v>
      </c>
      <c r="R556" s="3">
        <v>0</v>
      </c>
      <c r="S556" s="4">
        <v>87</v>
      </c>
      <c r="T556" s="4">
        <v>88</v>
      </c>
      <c r="U556" s="4">
        <v>73</v>
      </c>
      <c r="V556" s="70">
        <f>IF(ISERROR(VLOOKUP($S$556,'TAR FIN'!$A$1:$O$99,15,0)),0,VLOOKUP($S$556,'TAR FIN'!$A$1:$O$99,15,0))*(1-0.06)</f>
        <v>20.539000000000001</v>
      </c>
      <c r="W556" s="70">
        <f>IF(ISERROR(VLOOKUP($T$556,'TAR FIN'!$A$1:$O$99,15,0)),0,VLOOKUP($T$556,'TAR FIN'!$A$1:$O$99,15,0))*(1-0.06)</f>
        <v>91.753399999999999</v>
      </c>
      <c r="X556" s="70">
        <f>IF(ISERROR(VLOOKUP($U$556,'TAR FIN'!$A$1:$O$99,15,0)),0,VLOOKUP($U$556,'TAR FIN'!$A$1:$O$99,15,0))*(1-0.06)</f>
        <v>206.77179999999998</v>
      </c>
      <c r="Y556" s="70">
        <f ca="1">('TUSD BE'!$AM$14+'TUSD BF'!$AM$14+'TUSD CVA'!$AM$14)*1*(1-0.03)</f>
        <v>23.929316856639257</v>
      </c>
      <c r="Z556" s="70">
        <f ca="1">('TUSD BE'!$AM$15+'TUSD BF'!$AM$15+'TUSD CVA'!$AM$15)*1*(1-0.03)</f>
        <v>114.0634109344435</v>
      </c>
      <c r="AA556" s="70">
        <f>('TE BE'!$AA$8+'TE BF'!$AA$8+'TE CVA'!$AA$8)*1*(1-0.03)</f>
        <v>263.00493660044975</v>
      </c>
      <c r="AB556" s="4">
        <f>$K$556*$V$556</f>
        <v>420433.33</v>
      </c>
      <c r="AC556" s="4">
        <f>$M$556*$W$556</f>
        <v>970553.05991620012</v>
      </c>
      <c r="AD556" s="4">
        <f>$O$556*$X$556</f>
        <v>2187199.6372274002</v>
      </c>
      <c r="AE556" s="4">
        <f ca="1">$K$556*$Y$556</f>
        <v>489833.11605540558</v>
      </c>
      <c r="AF556" s="4">
        <f ca="1">$M$556*$Z$556</f>
        <v>1206544.8529090267</v>
      </c>
      <c r="AG556" s="4">
        <f>$O$556*$AA$556</f>
        <v>2782024.9275845112</v>
      </c>
    </row>
    <row r="557" spans="1:33" ht="11.25" customHeight="1" x14ac:dyDescent="0.25">
      <c r="A557" s="3" t="s">
        <v>21</v>
      </c>
      <c r="B557" s="3" t="s">
        <v>33</v>
      </c>
      <c r="C557" s="3" t="s">
        <v>42</v>
      </c>
      <c r="D557" s="3" t="s">
        <v>50</v>
      </c>
      <c r="E557" s="3" t="s">
        <v>51</v>
      </c>
      <c r="F557" s="3" t="s">
        <v>25</v>
      </c>
      <c r="G557" s="3" t="s">
        <v>25</v>
      </c>
      <c r="H557" s="3" t="s">
        <v>36</v>
      </c>
      <c r="I557" s="6">
        <v>44348</v>
      </c>
      <c r="J557" s="4">
        <v>20341</v>
      </c>
      <c r="K557" s="71">
        <v>20341</v>
      </c>
      <c r="L557" s="4">
        <v>10061.18</v>
      </c>
      <c r="M557" s="70">
        <v>10061.18</v>
      </c>
      <c r="N557" s="4">
        <v>10061.18</v>
      </c>
      <c r="O557" s="70">
        <v>10061.18</v>
      </c>
      <c r="P557" s="4">
        <v>0</v>
      </c>
      <c r="Q557" s="3" t="s">
        <v>26</v>
      </c>
      <c r="R557" s="3">
        <v>0</v>
      </c>
      <c r="S557" s="4">
        <v>87</v>
      </c>
      <c r="T557" s="4">
        <v>88</v>
      </c>
      <c r="U557" s="4">
        <v>73</v>
      </c>
      <c r="V557" s="70">
        <f>IF(ISERROR(VLOOKUP($S$557,'TAR FIN'!$A$1:$O$99,15,0)),0,VLOOKUP($S$557,'TAR FIN'!$A$1:$O$99,15,0))*(1-0.06)</f>
        <v>20.539000000000001</v>
      </c>
      <c r="W557" s="70">
        <f>IF(ISERROR(VLOOKUP($T$557,'TAR FIN'!$A$1:$O$99,15,0)),0,VLOOKUP($T$557,'TAR FIN'!$A$1:$O$99,15,0))*(1-0.06)</f>
        <v>91.753399999999999</v>
      </c>
      <c r="X557" s="70">
        <f>IF(ISERROR(VLOOKUP($U$557,'TAR FIN'!$A$1:$O$99,15,0)),0,VLOOKUP($U$557,'TAR FIN'!$A$1:$O$99,15,0))*(1-0.06)</f>
        <v>206.77179999999998</v>
      </c>
      <c r="Y557" s="70">
        <f ca="1">('TUSD BE'!$AM$14+'TUSD BF'!$AM$14+'TUSD CVA'!$AM$14)*1*(1-0.03)</f>
        <v>23.929316856639257</v>
      </c>
      <c r="Z557" s="70">
        <f ca="1">('TUSD BE'!$AM$15+'TUSD BF'!$AM$15+'TUSD CVA'!$AM$15)*1*(1-0.03)</f>
        <v>114.0634109344435</v>
      </c>
      <c r="AA557" s="70">
        <f>('TE BE'!$AA$8+'TE BF'!$AA$8+'TE CVA'!$AA$8)*1*(1-0.03)</f>
        <v>263.00493660044975</v>
      </c>
      <c r="AB557" s="4">
        <f>$K$557*$V$557</f>
        <v>417783.79900000006</v>
      </c>
      <c r="AC557" s="4">
        <f>$M$557*$W$557</f>
        <v>923147.47301199997</v>
      </c>
      <c r="AD557" s="4">
        <f>$O$557*$X$557</f>
        <v>2080368.2987239999</v>
      </c>
      <c r="AE557" s="4">
        <f ca="1">$K$557*$Y$557</f>
        <v>486746.23418089916</v>
      </c>
      <c r="AF557" s="4">
        <f ca="1">$M$557*$Z$557</f>
        <v>1147612.5088254043</v>
      </c>
      <c r="AG557" s="4">
        <f>$O$557*$AA$557</f>
        <v>2646140.0080257133</v>
      </c>
    </row>
    <row r="558" spans="1:33" ht="11.25" customHeight="1" x14ac:dyDescent="0.25">
      <c r="A558" s="3" t="s">
        <v>21</v>
      </c>
      <c r="B558" s="3" t="s">
        <v>33</v>
      </c>
      <c r="C558" s="3" t="s">
        <v>42</v>
      </c>
      <c r="D558" s="3" t="s">
        <v>50</v>
      </c>
      <c r="E558" s="3" t="s">
        <v>51</v>
      </c>
      <c r="F558" s="3" t="s">
        <v>25</v>
      </c>
      <c r="G558" s="3" t="s">
        <v>25</v>
      </c>
      <c r="H558" s="3" t="s">
        <v>36</v>
      </c>
      <c r="I558" s="6">
        <v>44378</v>
      </c>
      <c r="J558" s="4">
        <v>19650</v>
      </c>
      <c r="K558" s="71">
        <v>19650</v>
      </c>
      <c r="L558" s="4">
        <v>10526.98</v>
      </c>
      <c r="M558" s="70">
        <v>10526.98</v>
      </c>
      <c r="N558" s="4">
        <v>10526.98</v>
      </c>
      <c r="O558" s="70">
        <v>10526.98</v>
      </c>
      <c r="P558" s="4">
        <v>0</v>
      </c>
      <c r="Q558" s="3" t="s">
        <v>26</v>
      </c>
      <c r="R558" s="3">
        <v>0</v>
      </c>
      <c r="S558" s="4">
        <v>87</v>
      </c>
      <c r="T558" s="4">
        <v>88</v>
      </c>
      <c r="U558" s="4">
        <v>73</v>
      </c>
      <c r="V558" s="70">
        <f>IF(ISERROR(VLOOKUP($S$558,'TAR FIN'!$A$1:$O$99,15,0)),0,VLOOKUP($S$558,'TAR FIN'!$A$1:$O$99,15,0))*(1-0.06)</f>
        <v>20.539000000000001</v>
      </c>
      <c r="W558" s="70">
        <f>IF(ISERROR(VLOOKUP($T$558,'TAR FIN'!$A$1:$O$99,15,0)),0,VLOOKUP($T$558,'TAR FIN'!$A$1:$O$99,15,0))*(1-0.06)</f>
        <v>91.753399999999999</v>
      </c>
      <c r="X558" s="70">
        <f>IF(ISERROR(VLOOKUP($U$558,'TAR FIN'!$A$1:$O$99,15,0)),0,VLOOKUP($U$558,'TAR FIN'!$A$1:$O$99,15,0))*(1-0.06)</f>
        <v>206.77179999999998</v>
      </c>
      <c r="Y558" s="70">
        <f ca="1">('TUSD BE'!$AM$14+'TUSD BF'!$AM$14+'TUSD CVA'!$AM$14)*1*(1-0.03)</f>
        <v>23.929316856639257</v>
      </c>
      <c r="Z558" s="70">
        <f ca="1">('TUSD BE'!$AM$15+'TUSD BF'!$AM$15+'TUSD CVA'!$AM$15)*1*(1-0.03)</f>
        <v>114.0634109344435</v>
      </c>
      <c r="AA558" s="70">
        <f>('TE BE'!$AA$8+'TE BF'!$AA$8+'TE CVA'!$AA$8)*1*(1-0.03)</f>
        <v>263.00493660044975</v>
      </c>
      <c r="AB558" s="4">
        <f>$K$558*$V$558</f>
        <v>403591.35000000003</v>
      </c>
      <c r="AC558" s="4">
        <f>$M$558*$W$558</f>
        <v>965886.20673199999</v>
      </c>
      <c r="AD558" s="4">
        <f>$O$558*$X$558</f>
        <v>2176682.603164</v>
      </c>
      <c r="AE558" s="4">
        <f ca="1">$K$558*$Y$558</f>
        <v>470211.07623296138</v>
      </c>
      <c r="AF558" s="4">
        <f ca="1">$M$558*$Z$558</f>
        <v>1200743.2456386678</v>
      </c>
      <c r="AG558" s="4">
        <f>$O$558*$AA$558</f>
        <v>2768647.7074942025</v>
      </c>
    </row>
    <row r="559" spans="1:33" ht="11.25" customHeight="1" x14ac:dyDescent="0.25">
      <c r="A559" s="3" t="s">
        <v>21</v>
      </c>
      <c r="B559" s="3" t="s">
        <v>33</v>
      </c>
      <c r="C559" s="3" t="s">
        <v>42</v>
      </c>
      <c r="D559" s="3" t="s">
        <v>50</v>
      </c>
      <c r="E559" s="3" t="s">
        <v>51</v>
      </c>
      <c r="F559" s="3" t="s">
        <v>25</v>
      </c>
      <c r="G559" s="3" t="s">
        <v>25</v>
      </c>
      <c r="H559" s="3" t="s">
        <v>36</v>
      </c>
      <c r="I559" s="6">
        <v>44409</v>
      </c>
      <c r="J559" s="4">
        <v>20326</v>
      </c>
      <c r="K559" s="71">
        <v>20326</v>
      </c>
      <c r="L559" s="4">
        <v>10516.733</v>
      </c>
      <c r="M559" s="70">
        <v>10516.733</v>
      </c>
      <c r="N559" s="4">
        <v>10516.733</v>
      </c>
      <c r="O559" s="70">
        <v>10516.733</v>
      </c>
      <c r="P559" s="4">
        <v>0</v>
      </c>
      <c r="Q559" s="3" t="s">
        <v>26</v>
      </c>
      <c r="R559" s="3">
        <v>0</v>
      </c>
      <c r="S559" s="4">
        <v>87</v>
      </c>
      <c r="T559" s="4">
        <v>88</v>
      </c>
      <c r="U559" s="4">
        <v>73</v>
      </c>
      <c r="V559" s="70">
        <f>IF(ISERROR(VLOOKUP($S$559,'TAR FIN'!$A$1:$O$99,15,0)),0,VLOOKUP($S$559,'TAR FIN'!$A$1:$O$99,15,0))*(1-0.06)</f>
        <v>20.539000000000001</v>
      </c>
      <c r="W559" s="70">
        <f>IF(ISERROR(VLOOKUP($T$559,'TAR FIN'!$A$1:$O$99,15,0)),0,VLOOKUP($T$559,'TAR FIN'!$A$1:$O$99,15,0))*(1-0.06)</f>
        <v>91.753399999999999</v>
      </c>
      <c r="X559" s="70">
        <f>IF(ISERROR(VLOOKUP($U$559,'TAR FIN'!$A$1:$O$99,15,0)),0,VLOOKUP($U$559,'TAR FIN'!$A$1:$O$99,15,0))*(1-0.06)</f>
        <v>206.77179999999998</v>
      </c>
      <c r="Y559" s="70">
        <f ca="1">('TUSD BE'!$AM$14+'TUSD BF'!$AM$14+'TUSD CVA'!$AM$14)*1*(1-0.03)</f>
        <v>23.929316856639257</v>
      </c>
      <c r="Z559" s="70">
        <f ca="1">('TUSD BE'!$AM$15+'TUSD BF'!$AM$15+'TUSD CVA'!$AM$15)*1*(1-0.03)</f>
        <v>114.0634109344435</v>
      </c>
      <c r="AA559" s="70">
        <f>('TE BE'!$AA$8+'TE BF'!$AA$8+'TE CVA'!$AA$8)*1*(1-0.03)</f>
        <v>263.00493660044975</v>
      </c>
      <c r="AB559" s="4">
        <f>$K$559*$V$559</f>
        <v>417475.71400000004</v>
      </c>
      <c r="AC559" s="4">
        <f>$M$559*$W$559</f>
        <v>964946.00964219996</v>
      </c>
      <c r="AD559" s="4">
        <f>$O$559*$X$559</f>
        <v>2174563.8125294</v>
      </c>
      <c r="AE559" s="4">
        <f ca="1">$K$559*$Y$559</f>
        <v>486387.29442804953</v>
      </c>
      <c r="AF559" s="4">
        <f ca="1">$M$559*$Z$559</f>
        <v>1199574.4378668228</v>
      </c>
      <c r="AG559" s="4">
        <f>$O$559*$AA$559</f>
        <v>2765952.695908858</v>
      </c>
    </row>
    <row r="560" spans="1:33" ht="11.25" customHeight="1" x14ac:dyDescent="0.25">
      <c r="A560" s="3" t="s">
        <v>21</v>
      </c>
      <c r="B560" s="3" t="s">
        <v>33</v>
      </c>
      <c r="C560" s="3" t="s">
        <v>42</v>
      </c>
      <c r="D560" s="3" t="s">
        <v>50</v>
      </c>
      <c r="E560" s="3" t="s">
        <v>51</v>
      </c>
      <c r="F560" s="3" t="s">
        <v>25</v>
      </c>
      <c r="G560" s="3" t="s">
        <v>25</v>
      </c>
      <c r="H560" s="3" t="s">
        <v>36</v>
      </c>
      <c r="I560" s="6">
        <v>44440</v>
      </c>
      <c r="J560" s="4">
        <v>20296</v>
      </c>
      <c r="K560" s="71">
        <v>20296</v>
      </c>
      <c r="L560" s="4">
        <v>10032.277</v>
      </c>
      <c r="M560" s="70">
        <v>10032.277</v>
      </c>
      <c r="N560" s="4">
        <v>10032.277</v>
      </c>
      <c r="O560" s="70">
        <v>10032.277</v>
      </c>
      <c r="P560" s="4">
        <v>0</v>
      </c>
      <c r="Q560" s="3" t="s">
        <v>26</v>
      </c>
      <c r="R560" s="3">
        <v>0</v>
      </c>
      <c r="S560" s="4">
        <v>87</v>
      </c>
      <c r="T560" s="4">
        <v>88</v>
      </c>
      <c r="U560" s="4">
        <v>73</v>
      </c>
      <c r="V560" s="70">
        <f>IF(ISERROR(VLOOKUP($S$560,'TAR FIN'!$A$1:$O$99,15,0)),0,VLOOKUP($S$560,'TAR FIN'!$A$1:$O$99,15,0))*(1-0.06)</f>
        <v>20.539000000000001</v>
      </c>
      <c r="W560" s="70">
        <f>IF(ISERROR(VLOOKUP($T$560,'TAR FIN'!$A$1:$O$99,15,0)),0,VLOOKUP($T$560,'TAR FIN'!$A$1:$O$99,15,0))*(1-0.06)</f>
        <v>91.753399999999999</v>
      </c>
      <c r="X560" s="70">
        <f>IF(ISERROR(VLOOKUP($U$560,'TAR FIN'!$A$1:$O$99,15,0)),0,VLOOKUP($U$560,'TAR FIN'!$A$1:$O$99,15,0))*(1-0.06)</f>
        <v>206.77179999999998</v>
      </c>
      <c r="Y560" s="70">
        <f ca="1">('TUSD BE'!$AM$14+'TUSD BF'!$AM$14+'TUSD CVA'!$AM$14)*1*(1-0.03)</f>
        <v>23.929316856639257</v>
      </c>
      <c r="Z560" s="70">
        <f ca="1">('TUSD BE'!$AM$15+'TUSD BF'!$AM$15+'TUSD CVA'!$AM$15)*1*(1-0.03)</f>
        <v>114.0634109344435</v>
      </c>
      <c r="AA560" s="70">
        <f>('TE BE'!$AA$8+'TE BF'!$AA$8+'TE CVA'!$AA$8)*1*(1-0.03)</f>
        <v>263.00493660044975</v>
      </c>
      <c r="AB560" s="4">
        <f>$K$560*$V$560</f>
        <v>416859.54400000005</v>
      </c>
      <c r="AC560" s="4">
        <f>$M$560*$W$560</f>
        <v>920495.5244918</v>
      </c>
      <c r="AD560" s="4">
        <f>$O$560*$X$560</f>
        <v>2074391.9733885999</v>
      </c>
      <c r="AE560" s="4">
        <f ca="1">$K$560*$Y$560</f>
        <v>485669.41492235038</v>
      </c>
      <c r="AF560" s="4">
        <f ca="1">$M$560*$Z$560</f>
        <v>1144315.7340591659</v>
      </c>
      <c r="AG560" s="4">
        <f>$O$560*$AA$560</f>
        <v>2638538.3763431502</v>
      </c>
    </row>
    <row r="561" spans="1:33" ht="11.25" customHeight="1" x14ac:dyDescent="0.25">
      <c r="A561" s="3" t="s">
        <v>21</v>
      </c>
      <c r="B561" s="3" t="s">
        <v>33</v>
      </c>
      <c r="C561" s="3" t="s">
        <v>42</v>
      </c>
      <c r="D561" s="3" t="s">
        <v>50</v>
      </c>
      <c r="E561" s="3" t="s">
        <v>51</v>
      </c>
      <c r="F561" s="3" t="s">
        <v>25</v>
      </c>
      <c r="G561" s="3" t="s">
        <v>25</v>
      </c>
      <c r="H561" s="3" t="s">
        <v>36</v>
      </c>
      <c r="I561" s="6">
        <v>44470</v>
      </c>
      <c r="J561" s="4">
        <v>19387</v>
      </c>
      <c r="K561" s="71">
        <v>19387</v>
      </c>
      <c r="L561" s="4">
        <v>11187.18</v>
      </c>
      <c r="M561" s="70">
        <v>11187.18</v>
      </c>
      <c r="N561" s="4">
        <v>11187.18</v>
      </c>
      <c r="O561" s="70">
        <v>11187.18</v>
      </c>
      <c r="P561" s="4">
        <v>0</v>
      </c>
      <c r="Q561" s="3" t="s">
        <v>26</v>
      </c>
      <c r="R561" s="3">
        <v>0</v>
      </c>
      <c r="S561" s="4">
        <v>87</v>
      </c>
      <c r="T561" s="4">
        <v>88</v>
      </c>
      <c r="U561" s="4">
        <v>73</v>
      </c>
      <c r="V561" s="70">
        <f>IF(ISERROR(VLOOKUP($S$561,'TAR FIN'!$A$1:$O$99,15,0)),0,VLOOKUP($S$561,'TAR FIN'!$A$1:$O$99,15,0))*(1-0.06)</f>
        <v>20.539000000000001</v>
      </c>
      <c r="W561" s="70">
        <f>IF(ISERROR(VLOOKUP($T$561,'TAR FIN'!$A$1:$O$99,15,0)),0,VLOOKUP($T$561,'TAR FIN'!$A$1:$O$99,15,0))*(1-0.06)</f>
        <v>91.753399999999999</v>
      </c>
      <c r="X561" s="70">
        <f>IF(ISERROR(VLOOKUP($U$561,'TAR FIN'!$A$1:$O$99,15,0)),0,VLOOKUP($U$561,'TAR FIN'!$A$1:$O$99,15,0))*(1-0.06)</f>
        <v>206.77179999999998</v>
      </c>
      <c r="Y561" s="70">
        <f ca="1">('TUSD BE'!$AM$14+'TUSD BF'!$AM$14+'TUSD CVA'!$AM$14)*1*(1-0.03)</f>
        <v>23.929316856639257</v>
      </c>
      <c r="Z561" s="70">
        <f ca="1">('TUSD BE'!$AM$15+'TUSD BF'!$AM$15+'TUSD CVA'!$AM$15)*1*(1-0.03)</f>
        <v>114.0634109344435</v>
      </c>
      <c r="AA561" s="70">
        <f>('TE BE'!$AA$8+'TE BF'!$AA$8+'TE CVA'!$AA$8)*1*(1-0.03)</f>
        <v>263.00493660044975</v>
      </c>
      <c r="AB561" s="4">
        <f>$K$561*$V$561</f>
        <v>398189.59300000005</v>
      </c>
      <c r="AC561" s="4">
        <f>$M$561*$W$561</f>
        <v>1026461.801412</v>
      </c>
      <c r="AD561" s="4">
        <f>$O$561*$X$561</f>
        <v>2313193.345524</v>
      </c>
      <c r="AE561" s="4">
        <f ca="1">$K$561*$Y$561</f>
        <v>463917.66589966527</v>
      </c>
      <c r="AF561" s="4">
        <f ca="1">$M$561*$Z$561</f>
        <v>1276047.9095375875</v>
      </c>
      <c r="AG561" s="4">
        <f>$O$561*$AA$561</f>
        <v>2942283.5666378196</v>
      </c>
    </row>
    <row r="562" spans="1:33" ht="11.25" customHeight="1" x14ac:dyDescent="0.25">
      <c r="A562" s="3" t="s">
        <v>21</v>
      </c>
      <c r="B562" s="3" t="s">
        <v>33</v>
      </c>
      <c r="C562" s="3" t="s">
        <v>42</v>
      </c>
      <c r="D562" s="3" t="s">
        <v>50</v>
      </c>
      <c r="E562" s="3" t="s">
        <v>51</v>
      </c>
      <c r="F562" s="3" t="s">
        <v>25</v>
      </c>
      <c r="G562" s="3" t="s">
        <v>25</v>
      </c>
      <c r="H562" s="3" t="s">
        <v>36</v>
      </c>
      <c r="I562" s="6">
        <v>44501</v>
      </c>
      <c r="J562" s="4">
        <v>19732</v>
      </c>
      <c r="K562" s="71">
        <v>19732</v>
      </c>
      <c r="L562" s="4">
        <v>10315.536</v>
      </c>
      <c r="M562" s="70">
        <v>10315.536</v>
      </c>
      <c r="N562" s="4">
        <v>10315.536</v>
      </c>
      <c r="O562" s="70">
        <v>10315.536</v>
      </c>
      <c r="P562" s="4">
        <v>0</v>
      </c>
      <c r="Q562" s="3" t="s">
        <v>26</v>
      </c>
      <c r="R562" s="3">
        <v>0</v>
      </c>
      <c r="S562" s="4">
        <v>87</v>
      </c>
      <c r="T562" s="4">
        <v>88</v>
      </c>
      <c r="U562" s="4">
        <v>73</v>
      </c>
      <c r="V562" s="70">
        <f>IF(ISERROR(VLOOKUP($S$562,'TAR FIN'!$A$1:$O$99,15,0)),0,VLOOKUP($S$562,'TAR FIN'!$A$1:$O$99,15,0))*(1-0.06)</f>
        <v>20.539000000000001</v>
      </c>
      <c r="W562" s="70">
        <f>IF(ISERROR(VLOOKUP($T$562,'TAR FIN'!$A$1:$O$99,15,0)),0,VLOOKUP($T$562,'TAR FIN'!$A$1:$O$99,15,0))*(1-0.06)</f>
        <v>91.753399999999999</v>
      </c>
      <c r="X562" s="70">
        <f>IF(ISERROR(VLOOKUP($U$562,'TAR FIN'!$A$1:$O$99,15,0)),0,VLOOKUP($U$562,'TAR FIN'!$A$1:$O$99,15,0))*(1-0.06)</f>
        <v>206.77179999999998</v>
      </c>
      <c r="Y562" s="70">
        <f ca="1">('TUSD BE'!$AM$14+'TUSD BF'!$AM$14+'TUSD CVA'!$AM$14)*1*(1-0.03)</f>
        <v>23.929316856639257</v>
      </c>
      <c r="Z562" s="70">
        <f ca="1">('TUSD BE'!$AM$15+'TUSD BF'!$AM$15+'TUSD CVA'!$AM$15)*1*(1-0.03)</f>
        <v>114.0634109344435</v>
      </c>
      <c r="AA562" s="70">
        <f>('TE BE'!$AA$8+'TE BF'!$AA$8+'TE CVA'!$AA$8)*1*(1-0.03)</f>
        <v>263.00493660044975</v>
      </c>
      <c r="AB562" s="4">
        <f>$K$562*$V$562</f>
        <v>405275.54800000001</v>
      </c>
      <c r="AC562" s="4">
        <f>$M$562*$W$562</f>
        <v>946485.50082239998</v>
      </c>
      <c r="AD562" s="4">
        <f>$O$562*$X$562</f>
        <v>2132961.9466847996</v>
      </c>
      <c r="AE562" s="4">
        <f ca="1">$K$562*$Y$562</f>
        <v>472173.2802152058</v>
      </c>
      <c r="AF562" s="4">
        <f ca="1">$M$562*$Z$562</f>
        <v>1176625.2217770456</v>
      </c>
      <c r="AG562" s="4">
        <f>$O$562*$AA$562</f>
        <v>2713036.8916796572</v>
      </c>
    </row>
    <row r="563" spans="1:33" ht="11.25" customHeight="1" x14ac:dyDescent="0.25">
      <c r="A563" s="3" t="s">
        <v>21</v>
      </c>
      <c r="B563" s="3" t="s">
        <v>33</v>
      </c>
      <c r="C563" s="3" t="s">
        <v>42</v>
      </c>
      <c r="D563" s="3" t="s">
        <v>50</v>
      </c>
      <c r="E563" s="3" t="s">
        <v>51</v>
      </c>
      <c r="F563" s="3" t="s">
        <v>25</v>
      </c>
      <c r="G563" s="3" t="s">
        <v>25</v>
      </c>
      <c r="H563" s="3" t="s">
        <v>36</v>
      </c>
      <c r="I563" s="6">
        <v>44531</v>
      </c>
      <c r="J563" s="4">
        <v>19343</v>
      </c>
      <c r="K563" s="71">
        <v>19343</v>
      </c>
      <c r="L563" s="4">
        <v>10367.769</v>
      </c>
      <c r="M563" s="70">
        <v>10367.769</v>
      </c>
      <c r="N563" s="4">
        <v>10367.769</v>
      </c>
      <c r="O563" s="70">
        <v>10367.769</v>
      </c>
      <c r="P563" s="4">
        <v>0</v>
      </c>
      <c r="Q563" s="3" t="s">
        <v>26</v>
      </c>
      <c r="R563" s="3">
        <v>0</v>
      </c>
      <c r="S563" s="4">
        <v>87</v>
      </c>
      <c r="T563" s="4">
        <v>88</v>
      </c>
      <c r="U563" s="4">
        <v>73</v>
      </c>
      <c r="V563" s="70">
        <f>IF(ISERROR(VLOOKUP($S$563,'TAR FIN'!$A$1:$O$99,15,0)),0,VLOOKUP($S$563,'TAR FIN'!$A$1:$O$99,15,0))*(1-0.06)</f>
        <v>20.539000000000001</v>
      </c>
      <c r="W563" s="70">
        <f>IF(ISERROR(VLOOKUP($T$563,'TAR FIN'!$A$1:$O$99,15,0)),0,VLOOKUP($T$563,'TAR FIN'!$A$1:$O$99,15,0))*(1-0.06)</f>
        <v>91.753399999999999</v>
      </c>
      <c r="X563" s="70">
        <f>IF(ISERROR(VLOOKUP($U$563,'TAR FIN'!$A$1:$O$99,15,0)),0,VLOOKUP($U$563,'TAR FIN'!$A$1:$O$99,15,0))*(1-0.06)</f>
        <v>206.77179999999998</v>
      </c>
      <c r="Y563" s="70">
        <f ca="1">('TUSD BE'!$AM$14+'TUSD BF'!$AM$14+'TUSD CVA'!$AM$14)*1*(1-0.03)</f>
        <v>23.929316856639257</v>
      </c>
      <c r="Z563" s="70">
        <f ca="1">('TUSD BE'!$AM$15+'TUSD BF'!$AM$15+'TUSD CVA'!$AM$15)*1*(1-0.03)</f>
        <v>114.0634109344435</v>
      </c>
      <c r="AA563" s="70">
        <f>('TE BE'!$AA$8+'TE BF'!$AA$8+'TE CVA'!$AA$8)*1*(1-0.03)</f>
        <v>263.00493660044975</v>
      </c>
      <c r="AB563" s="4">
        <f>$K$563*$V$563</f>
        <v>397285.87700000004</v>
      </c>
      <c r="AC563" s="4">
        <f>$M$563*$W$563</f>
        <v>951278.05616459996</v>
      </c>
      <c r="AD563" s="4">
        <f>$O$563*$X$563</f>
        <v>2143762.2581142001</v>
      </c>
      <c r="AE563" s="4">
        <f ca="1">$K$563*$Y$563</f>
        <v>462864.77595797315</v>
      </c>
      <c r="AF563" s="4">
        <f ca="1">$M$563*$Z$563</f>
        <v>1182583.0959203844</v>
      </c>
      <c r="AG563" s="4">
        <f>$O$563*$AA$563</f>
        <v>2726774.4285331084</v>
      </c>
    </row>
    <row r="564" spans="1:33" ht="11.25" customHeight="1" x14ac:dyDescent="0.25">
      <c r="A564" s="3" t="s">
        <v>21</v>
      </c>
      <c r="B564" s="3" t="s">
        <v>33</v>
      </c>
      <c r="C564" s="3" t="s">
        <v>42</v>
      </c>
      <c r="D564" s="3" t="s">
        <v>50</v>
      </c>
      <c r="E564" s="3" t="s">
        <v>51</v>
      </c>
      <c r="F564" s="3" t="s">
        <v>25</v>
      </c>
      <c r="G564" s="3" t="s">
        <v>25</v>
      </c>
      <c r="H564" s="3" t="s">
        <v>36</v>
      </c>
      <c r="I564" s="6">
        <v>44562</v>
      </c>
      <c r="J564" s="4">
        <v>19310</v>
      </c>
      <c r="K564" s="71">
        <v>19310</v>
      </c>
      <c r="L564" s="4">
        <v>10213.36</v>
      </c>
      <c r="M564" s="70">
        <v>10213.36</v>
      </c>
      <c r="N564" s="4">
        <v>10213.36</v>
      </c>
      <c r="O564" s="70">
        <v>10213.36</v>
      </c>
      <c r="P564" s="4">
        <v>0</v>
      </c>
      <c r="Q564" s="3" t="s">
        <v>26</v>
      </c>
      <c r="R564" s="3">
        <v>0</v>
      </c>
      <c r="S564" s="4">
        <v>87</v>
      </c>
      <c r="T564" s="4">
        <v>88</v>
      </c>
      <c r="U564" s="4">
        <v>73</v>
      </c>
      <c r="V564" s="70">
        <f>IF(ISERROR(VLOOKUP($S$564,'TAR FIN'!$A$1:$O$99,15,0)),0,VLOOKUP($S$564,'TAR FIN'!$A$1:$O$99,15,0))*(1-0.06)</f>
        <v>20.539000000000001</v>
      </c>
      <c r="W564" s="70">
        <f>IF(ISERROR(VLOOKUP($T$564,'TAR FIN'!$A$1:$O$99,15,0)),0,VLOOKUP($T$564,'TAR FIN'!$A$1:$O$99,15,0))*(1-0.06)</f>
        <v>91.753399999999999</v>
      </c>
      <c r="X564" s="70">
        <f>IF(ISERROR(VLOOKUP($U$564,'TAR FIN'!$A$1:$O$99,15,0)),0,VLOOKUP($U$564,'TAR FIN'!$A$1:$O$99,15,0))*(1-0.06)</f>
        <v>206.77179999999998</v>
      </c>
      <c r="Y564" s="70">
        <f ca="1">('TUSD BE'!$AM$14+'TUSD BF'!$AM$14+'TUSD CVA'!$AM$14)*1*(1-0.03)</f>
        <v>23.929316856639257</v>
      </c>
      <c r="Z564" s="70">
        <f ca="1">('TUSD BE'!$AM$15+'TUSD BF'!$AM$15+'TUSD CVA'!$AM$15)*1*(1-0.03)</f>
        <v>114.0634109344435</v>
      </c>
      <c r="AA564" s="70">
        <f>('TE BE'!$AA$8+'TE BF'!$AA$8+'TE CVA'!$AA$8)*1*(1-0.03)</f>
        <v>263.00493660044975</v>
      </c>
      <c r="AB564" s="4">
        <f>$K$564*$V$564</f>
        <v>396608.09</v>
      </c>
      <c r="AC564" s="4">
        <f>$M$564*$W$564</f>
        <v>937110.50542400009</v>
      </c>
      <c r="AD564" s="4">
        <f>$O$564*$X$564</f>
        <v>2111834.8312479998</v>
      </c>
      <c r="AE564" s="4">
        <f ca="1">$K$564*$Y$564</f>
        <v>462075.10850170406</v>
      </c>
      <c r="AF564" s="4">
        <f ca="1">$M$564*$Z$564</f>
        <v>1164970.678701408</v>
      </c>
      <c r="AG564" s="4">
        <f>$O$564*$AA$564</f>
        <v>2686164.0992775694</v>
      </c>
    </row>
    <row r="565" spans="1:33" ht="11.25" customHeight="1" x14ac:dyDescent="0.25">
      <c r="A565" s="3" t="s">
        <v>21</v>
      </c>
      <c r="B565" s="3" t="s">
        <v>33</v>
      </c>
      <c r="C565" s="3" t="s">
        <v>42</v>
      </c>
      <c r="D565" s="3" t="s">
        <v>50</v>
      </c>
      <c r="E565" s="3" t="s">
        <v>51</v>
      </c>
      <c r="F565" s="3" t="s">
        <v>25</v>
      </c>
      <c r="G565" s="3" t="s">
        <v>25</v>
      </c>
      <c r="H565" s="3" t="s">
        <v>36</v>
      </c>
      <c r="I565" s="6">
        <v>44593</v>
      </c>
      <c r="J565" s="4">
        <v>19161</v>
      </c>
      <c r="K565" s="71">
        <v>19161</v>
      </c>
      <c r="L565" s="4">
        <v>8892.4869999999992</v>
      </c>
      <c r="M565" s="70">
        <v>8892.4869999999992</v>
      </c>
      <c r="N565" s="4">
        <v>8892.4869999999992</v>
      </c>
      <c r="O565" s="70">
        <v>8892.4869999999992</v>
      </c>
      <c r="P565" s="4">
        <v>0</v>
      </c>
      <c r="Q565" s="3" t="s">
        <v>26</v>
      </c>
      <c r="R565" s="3">
        <v>0</v>
      </c>
      <c r="S565" s="4">
        <v>87</v>
      </c>
      <c r="T565" s="4">
        <v>88</v>
      </c>
      <c r="U565" s="4">
        <v>73</v>
      </c>
      <c r="V565" s="70">
        <f>IF(ISERROR(VLOOKUP($S$565,'TAR FIN'!$A$1:$O$99,15,0)),0,VLOOKUP($S$565,'TAR FIN'!$A$1:$O$99,15,0))*(1-0.06)</f>
        <v>20.539000000000001</v>
      </c>
      <c r="W565" s="70">
        <f>IF(ISERROR(VLOOKUP($T$565,'TAR FIN'!$A$1:$O$99,15,0)),0,VLOOKUP($T$565,'TAR FIN'!$A$1:$O$99,15,0))*(1-0.06)</f>
        <v>91.753399999999999</v>
      </c>
      <c r="X565" s="70">
        <f>IF(ISERROR(VLOOKUP($U$565,'TAR FIN'!$A$1:$O$99,15,0)),0,VLOOKUP($U$565,'TAR FIN'!$A$1:$O$99,15,0))*(1-0.06)</f>
        <v>206.77179999999998</v>
      </c>
      <c r="Y565" s="70">
        <f ca="1">('TUSD BE'!$AM$14+'TUSD BF'!$AM$14+'TUSD CVA'!$AM$14)*1*(1-0.03)</f>
        <v>23.929316856639257</v>
      </c>
      <c r="Z565" s="70">
        <f ca="1">('TUSD BE'!$AM$15+'TUSD BF'!$AM$15+'TUSD CVA'!$AM$15)*1*(1-0.03)</f>
        <v>114.0634109344435</v>
      </c>
      <c r="AA565" s="70">
        <f>('TE BE'!$AA$8+'TE BF'!$AA$8+'TE CVA'!$AA$8)*1*(1-0.03)</f>
        <v>263.00493660044975</v>
      </c>
      <c r="AB565" s="4">
        <f>$K$565*$V$565</f>
        <v>393547.77900000004</v>
      </c>
      <c r="AC565" s="4">
        <f>$M$565*$W$565</f>
        <v>815915.91670579987</v>
      </c>
      <c r="AD565" s="4">
        <f>$O$565*$X$565</f>
        <v>1838715.5434665997</v>
      </c>
      <c r="AE565" s="4">
        <f ca="1">$K$565*$Y$565</f>
        <v>458509.6402900648</v>
      </c>
      <c r="AF565" s="4">
        <f ca="1">$M$565*$Z$565</f>
        <v>1014307.3989101965</v>
      </c>
      <c r="AG565" s="4">
        <f>$O$565*$AA$565</f>
        <v>2338767.9796553236</v>
      </c>
    </row>
    <row r="566" spans="1:33" ht="11.25" customHeight="1" x14ac:dyDescent="0.25">
      <c r="A566" s="3" t="s">
        <v>21</v>
      </c>
      <c r="B566" s="3" t="s">
        <v>33</v>
      </c>
      <c r="C566" s="3" t="s">
        <v>42</v>
      </c>
      <c r="D566" s="3" t="s">
        <v>50</v>
      </c>
      <c r="E566" s="3" t="s">
        <v>51</v>
      </c>
      <c r="F566" s="3" t="s">
        <v>25</v>
      </c>
      <c r="G566" s="3" t="s">
        <v>25</v>
      </c>
      <c r="H566" s="3" t="s">
        <v>36</v>
      </c>
      <c r="I566" s="6">
        <v>44621</v>
      </c>
      <c r="J566" s="4">
        <v>19195</v>
      </c>
      <c r="K566" s="71">
        <v>19195</v>
      </c>
      <c r="L566" s="4">
        <v>10114.501</v>
      </c>
      <c r="M566" s="70">
        <v>10114.501</v>
      </c>
      <c r="N566" s="4">
        <v>10114.501</v>
      </c>
      <c r="O566" s="70">
        <v>10114.501</v>
      </c>
      <c r="P566" s="4">
        <v>0</v>
      </c>
      <c r="Q566" s="3" t="s">
        <v>26</v>
      </c>
      <c r="R566" s="3">
        <v>0</v>
      </c>
      <c r="S566" s="4">
        <v>87</v>
      </c>
      <c r="T566" s="4">
        <v>88</v>
      </c>
      <c r="U566" s="4">
        <v>73</v>
      </c>
      <c r="V566" s="70">
        <f>IF(ISERROR(VLOOKUP($S$566,'TAR FIN'!$A$1:$O$99,15,0)),0,VLOOKUP($S$566,'TAR FIN'!$A$1:$O$99,15,0))*(1-0.06)</f>
        <v>20.539000000000001</v>
      </c>
      <c r="W566" s="70">
        <f>IF(ISERROR(VLOOKUP($T$566,'TAR FIN'!$A$1:$O$99,15,0)),0,VLOOKUP($T$566,'TAR FIN'!$A$1:$O$99,15,0))*(1-0.06)</f>
        <v>91.753399999999999</v>
      </c>
      <c r="X566" s="70">
        <f>IF(ISERROR(VLOOKUP($U$566,'TAR FIN'!$A$1:$O$99,15,0)),0,VLOOKUP($U$566,'TAR FIN'!$A$1:$O$99,15,0))*(1-0.06)</f>
        <v>206.77179999999998</v>
      </c>
      <c r="Y566" s="70">
        <f ca="1">('TUSD BE'!$AM$14+'TUSD BF'!$AM$14+'TUSD CVA'!$AM$14)*1*(1-0.03)</f>
        <v>23.929316856639257</v>
      </c>
      <c r="Z566" s="70">
        <f ca="1">('TUSD BE'!$AM$15+'TUSD BF'!$AM$15+'TUSD CVA'!$AM$15)*1*(1-0.03)</f>
        <v>114.0634109344435</v>
      </c>
      <c r="AA566" s="70">
        <f>('TE BE'!$AA$8+'TE BF'!$AA$8+'TE CVA'!$AA$8)*1*(1-0.03)</f>
        <v>263.00493660044975</v>
      </c>
      <c r="AB566" s="4">
        <f>$K$566*$V$566</f>
        <v>394246.10500000004</v>
      </c>
      <c r="AC566" s="4">
        <f>$M$566*$W$566</f>
        <v>928039.85605339997</v>
      </c>
      <c r="AD566" s="4">
        <f>$O$566*$X$566</f>
        <v>2091393.5778717999</v>
      </c>
      <c r="AE566" s="4">
        <f ca="1">$K$566*$Y$566</f>
        <v>459323.23706319055</v>
      </c>
      <c r="AF566" s="4">
        <f ca="1">$M$566*$Z$566</f>
        <v>1153694.4839598397</v>
      </c>
      <c r="AG566" s="4">
        <f>$O$566*$AA$566</f>
        <v>2660163.6942501855</v>
      </c>
    </row>
    <row r="567" spans="1:33" ht="11.25" customHeight="1" x14ac:dyDescent="0.25">
      <c r="A567" s="3" t="s">
        <v>56</v>
      </c>
      <c r="B567" s="3" t="s">
        <v>33</v>
      </c>
      <c r="C567" s="3" t="s">
        <v>42</v>
      </c>
      <c r="D567" s="3" t="s">
        <v>50</v>
      </c>
      <c r="E567" s="3" t="s">
        <v>51</v>
      </c>
      <c r="F567" s="3" t="s">
        <v>25</v>
      </c>
      <c r="G567" s="3" t="s">
        <v>25</v>
      </c>
      <c r="H567" s="3" t="s">
        <v>36</v>
      </c>
      <c r="I567" s="6">
        <v>44652</v>
      </c>
      <c r="J567" s="4">
        <v>19195</v>
      </c>
      <c r="K567" s="71">
        <v>19195</v>
      </c>
      <c r="L567" s="4">
        <v>10114.501</v>
      </c>
      <c r="M567" s="70">
        <v>10114.501</v>
      </c>
      <c r="N567" s="4">
        <v>10114.501</v>
      </c>
      <c r="O567" s="70">
        <v>10114.501</v>
      </c>
      <c r="P567" s="4">
        <v>0</v>
      </c>
      <c r="Q567" s="3" t="s">
        <v>26</v>
      </c>
      <c r="R567" s="3">
        <v>0</v>
      </c>
      <c r="S567" s="4">
        <v>87</v>
      </c>
      <c r="T567" s="4">
        <v>88</v>
      </c>
      <c r="U567" s="4">
        <v>73</v>
      </c>
      <c r="V567" s="70">
        <f>IF(ISERROR(VLOOKUP($S$567,'TAR FIN'!$A$1:$O$99,15,0)),0,VLOOKUP($S$567,'TAR FIN'!$A$1:$O$99,15,0))*(1-0.06)</f>
        <v>20.539000000000001</v>
      </c>
      <c r="W567" s="70">
        <f>IF(ISERROR(VLOOKUP($T$567,'TAR FIN'!$A$1:$O$99,15,0)),0,VLOOKUP($T$567,'TAR FIN'!$A$1:$O$99,15,0))*(1-0.06)</f>
        <v>91.753399999999999</v>
      </c>
      <c r="X567" s="70">
        <f>IF(ISERROR(VLOOKUP($U$567,'TAR FIN'!$A$1:$O$99,15,0)),0,VLOOKUP($U$567,'TAR FIN'!$A$1:$O$99,15,0))*(1-0.06)</f>
        <v>206.77179999999998</v>
      </c>
      <c r="Y567" s="70">
        <f ca="1">('TUSD BE'!$AM$14+'TUSD BF'!$AM$14+'TUSD CVA'!$AM$14)*1*(1-0.03)</f>
        <v>23.929316856639257</v>
      </c>
      <c r="Z567" s="70">
        <f ca="1">('TUSD BE'!$AM$15+'TUSD BF'!$AM$15+'TUSD CVA'!$AM$15)*1*(1-0.03)</f>
        <v>114.0634109344435</v>
      </c>
      <c r="AA567" s="70">
        <f>('TE BE'!$AA$8+'TE BF'!$AA$8+'TE CVA'!$AA$8)*1*(1-0.03)</f>
        <v>263.00493660044975</v>
      </c>
      <c r="AB567" s="4">
        <f>$K$567*$V$567</f>
        <v>394246.10500000004</v>
      </c>
      <c r="AC567" s="4">
        <f>$M$567*$W$567</f>
        <v>928039.85605339997</v>
      </c>
      <c r="AD567" s="4">
        <f>$O$567*$X$567</f>
        <v>2091393.5778717999</v>
      </c>
      <c r="AE567" s="4">
        <f ca="1">$K$567*$Y$567</f>
        <v>459323.23706319055</v>
      </c>
      <c r="AF567" s="4">
        <f ca="1">$M$567*$Z$567</f>
        <v>1153694.4839598397</v>
      </c>
      <c r="AG567" s="4">
        <f>$O$567*$AA$567</f>
        <v>2660163.6942501855</v>
      </c>
    </row>
    <row r="568" spans="1:33" ht="11.25" customHeight="1" x14ac:dyDescent="0.25">
      <c r="A568" s="3" t="s">
        <v>21</v>
      </c>
      <c r="B568" s="3" t="s">
        <v>33</v>
      </c>
      <c r="C568" s="3" t="s">
        <v>42</v>
      </c>
      <c r="D568" s="3" t="s">
        <v>50</v>
      </c>
      <c r="E568" s="3" t="s">
        <v>51</v>
      </c>
      <c r="F568" s="3" t="s">
        <v>25</v>
      </c>
      <c r="G568" s="3" t="s">
        <v>25</v>
      </c>
      <c r="H568" s="3" t="s">
        <v>35</v>
      </c>
      <c r="I568" s="6">
        <v>44317</v>
      </c>
      <c r="J568" s="4">
        <v>19802</v>
      </c>
      <c r="K568" s="71">
        <v>19802</v>
      </c>
      <c r="L568" s="4">
        <v>938.35599999999999</v>
      </c>
      <c r="M568" s="70">
        <v>938.35599999999999</v>
      </c>
      <c r="N568" s="4">
        <v>938.35599999999999</v>
      </c>
      <c r="O568" s="70">
        <v>938.35599999999999</v>
      </c>
      <c r="P568" s="4">
        <v>0</v>
      </c>
      <c r="Q568" s="3" t="s">
        <v>26</v>
      </c>
      <c r="R568" s="3">
        <v>0</v>
      </c>
      <c r="S568" s="4">
        <v>91</v>
      </c>
      <c r="T568" s="4">
        <v>88</v>
      </c>
      <c r="U568" s="4">
        <v>72</v>
      </c>
      <c r="V568" s="70">
        <f>IF(ISERROR(VLOOKUP($S$568,'TAR FIN'!$A$1:$O$99,15,0)),0,VLOOKUP($S$568,'TAR FIN'!$A$1:$O$99,15,0))*(1-0.06)</f>
        <v>56.588000000000001</v>
      </c>
      <c r="W568" s="70">
        <f>IF(ISERROR(VLOOKUP($T$568,'TAR FIN'!$A$1:$O$99,15,0)),0,VLOOKUP($T$568,'TAR FIN'!$A$1:$O$99,15,0))*(1-0.06)</f>
        <v>91.753399999999999</v>
      </c>
      <c r="X568" s="70">
        <f>IF(ISERROR(VLOOKUP($U$568,'TAR FIN'!$A$1:$O$99,15,0)),0,VLOOKUP($U$568,'TAR FIN'!$A$1:$O$99,15,0))*(1-0.06)</f>
        <v>325.8134</v>
      </c>
      <c r="Y568" s="70">
        <f ca="1">('TUSD BE'!$AM$13+'TUSD BF'!$AM$13+'TUSD CVA'!$AM$13)*1*(1-0.03)</f>
        <v>67.177479612125765</v>
      </c>
      <c r="Z568" s="70">
        <f ca="1">('TUSD BE'!$AM$15+'TUSD BF'!$AM$15+'TUSD CVA'!$AM$15)*1*(1-0.03)</f>
        <v>114.0634109344435</v>
      </c>
      <c r="AA568" s="70">
        <f>('TE BE'!$AA$7+'TE BF'!$AA$7+'TE CVA'!$AA$7)*1*(1-0.03)</f>
        <v>411.17962930251429</v>
      </c>
      <c r="AB568" s="4">
        <f>$K$568*$V$568</f>
        <v>1120555.5760000001</v>
      </c>
      <c r="AC568" s="4">
        <f>$M$568*$W$568</f>
        <v>86097.353410399999</v>
      </c>
      <c r="AD568" s="4">
        <f>$O$568*$X$568</f>
        <v>305728.95877039997</v>
      </c>
      <c r="AE568" s="4">
        <f ca="1">$K$568*$Y$568</f>
        <v>1330248.4512793145</v>
      </c>
      <c r="AF568" s="4">
        <f ca="1">$M$568*$Z$568</f>
        <v>107032.08603080067</v>
      </c>
      <c r="AG568" s="4">
        <f>$O$568*$AA$568</f>
        <v>385832.87223379011</v>
      </c>
    </row>
    <row r="569" spans="1:33" ht="11.25" customHeight="1" x14ac:dyDescent="0.25">
      <c r="A569" s="3" t="s">
        <v>21</v>
      </c>
      <c r="B569" s="3" t="s">
        <v>33</v>
      </c>
      <c r="C569" s="3" t="s">
        <v>42</v>
      </c>
      <c r="D569" s="3" t="s">
        <v>50</v>
      </c>
      <c r="E569" s="3" t="s">
        <v>51</v>
      </c>
      <c r="F569" s="3" t="s">
        <v>25</v>
      </c>
      <c r="G569" s="3" t="s">
        <v>25</v>
      </c>
      <c r="H569" s="3" t="s">
        <v>35</v>
      </c>
      <c r="I569" s="6">
        <v>44348</v>
      </c>
      <c r="J569" s="4">
        <v>19837</v>
      </c>
      <c r="K569" s="71">
        <v>19837</v>
      </c>
      <c r="L569" s="4">
        <v>924.98900000000003</v>
      </c>
      <c r="M569" s="70">
        <v>924.98900000000003</v>
      </c>
      <c r="N569" s="4">
        <v>924.98900000000003</v>
      </c>
      <c r="O569" s="70">
        <v>924.98900000000003</v>
      </c>
      <c r="P569" s="4">
        <v>0</v>
      </c>
      <c r="Q569" s="3" t="s">
        <v>26</v>
      </c>
      <c r="R569" s="3">
        <v>0</v>
      </c>
      <c r="S569" s="4">
        <v>91</v>
      </c>
      <c r="T569" s="4">
        <v>88</v>
      </c>
      <c r="U569" s="4">
        <v>72</v>
      </c>
      <c r="V569" s="70">
        <f>IF(ISERROR(VLOOKUP($S$569,'TAR FIN'!$A$1:$O$99,15,0)),0,VLOOKUP($S$569,'TAR FIN'!$A$1:$O$99,15,0))*(1-0.06)</f>
        <v>56.588000000000001</v>
      </c>
      <c r="W569" s="70">
        <f>IF(ISERROR(VLOOKUP($T$569,'TAR FIN'!$A$1:$O$99,15,0)),0,VLOOKUP($T$569,'TAR FIN'!$A$1:$O$99,15,0))*(1-0.06)</f>
        <v>91.753399999999999</v>
      </c>
      <c r="X569" s="70">
        <f>IF(ISERROR(VLOOKUP($U$569,'TAR FIN'!$A$1:$O$99,15,0)),0,VLOOKUP($U$569,'TAR FIN'!$A$1:$O$99,15,0))*(1-0.06)</f>
        <v>325.8134</v>
      </c>
      <c r="Y569" s="70">
        <f ca="1">('TUSD BE'!$AM$13+'TUSD BF'!$AM$13+'TUSD CVA'!$AM$13)*1*(1-0.03)</f>
        <v>67.177479612125765</v>
      </c>
      <c r="Z569" s="70">
        <f ca="1">('TUSD BE'!$AM$15+'TUSD BF'!$AM$15+'TUSD CVA'!$AM$15)*1*(1-0.03)</f>
        <v>114.0634109344435</v>
      </c>
      <c r="AA569" s="70">
        <f>('TE BE'!$AA$7+'TE BF'!$AA$7+'TE CVA'!$AA$7)*1*(1-0.03)</f>
        <v>411.17962930251429</v>
      </c>
      <c r="AB569" s="4">
        <f>$K$569*$V$569</f>
        <v>1122536.156</v>
      </c>
      <c r="AC569" s="4">
        <f>$M$569*$W$569</f>
        <v>84870.885712600008</v>
      </c>
      <c r="AD569" s="4">
        <f>$O$569*$X$569</f>
        <v>301373.81105260004</v>
      </c>
      <c r="AE569" s="4">
        <f ca="1">$K$569*$Y$569</f>
        <v>1332599.6630657387</v>
      </c>
      <c r="AF569" s="4">
        <f ca="1">$M$569*$Z$569</f>
        <v>105507.40041683996</v>
      </c>
      <c r="AG569" s="4">
        <f>$O$569*$AA$569</f>
        <v>380336.63412890339</v>
      </c>
    </row>
    <row r="570" spans="1:33" ht="11.25" customHeight="1" x14ac:dyDescent="0.25">
      <c r="A570" s="3" t="s">
        <v>21</v>
      </c>
      <c r="B570" s="3" t="s">
        <v>33</v>
      </c>
      <c r="C570" s="3" t="s">
        <v>42</v>
      </c>
      <c r="D570" s="3" t="s">
        <v>50</v>
      </c>
      <c r="E570" s="3" t="s">
        <v>51</v>
      </c>
      <c r="F570" s="3" t="s">
        <v>25</v>
      </c>
      <c r="G570" s="3" t="s">
        <v>25</v>
      </c>
      <c r="H570" s="3" t="s">
        <v>35</v>
      </c>
      <c r="I570" s="6">
        <v>44378</v>
      </c>
      <c r="J570" s="4">
        <v>19603</v>
      </c>
      <c r="K570" s="71">
        <v>19603</v>
      </c>
      <c r="L570" s="4">
        <v>995.70600000000002</v>
      </c>
      <c r="M570" s="70">
        <v>995.70600000000002</v>
      </c>
      <c r="N570" s="4">
        <v>995.70600000000002</v>
      </c>
      <c r="O570" s="70">
        <v>995.70600000000002</v>
      </c>
      <c r="P570" s="4">
        <v>0</v>
      </c>
      <c r="Q570" s="3" t="s">
        <v>26</v>
      </c>
      <c r="R570" s="3">
        <v>0</v>
      </c>
      <c r="S570" s="4">
        <v>91</v>
      </c>
      <c r="T570" s="4">
        <v>88</v>
      </c>
      <c r="U570" s="4">
        <v>72</v>
      </c>
      <c r="V570" s="70">
        <f>IF(ISERROR(VLOOKUP($S$570,'TAR FIN'!$A$1:$O$99,15,0)),0,VLOOKUP($S$570,'TAR FIN'!$A$1:$O$99,15,0))*(1-0.06)</f>
        <v>56.588000000000001</v>
      </c>
      <c r="W570" s="70">
        <f>IF(ISERROR(VLOOKUP($T$570,'TAR FIN'!$A$1:$O$99,15,0)),0,VLOOKUP($T$570,'TAR FIN'!$A$1:$O$99,15,0))*(1-0.06)</f>
        <v>91.753399999999999</v>
      </c>
      <c r="X570" s="70">
        <f>IF(ISERROR(VLOOKUP($U$570,'TAR FIN'!$A$1:$O$99,15,0)),0,VLOOKUP($U$570,'TAR FIN'!$A$1:$O$99,15,0))*(1-0.06)</f>
        <v>325.8134</v>
      </c>
      <c r="Y570" s="70">
        <f ca="1">('TUSD BE'!$AM$13+'TUSD BF'!$AM$13+'TUSD CVA'!$AM$13)*1*(1-0.03)</f>
        <v>67.177479612125765</v>
      </c>
      <c r="Z570" s="70">
        <f ca="1">('TUSD BE'!$AM$15+'TUSD BF'!$AM$15+'TUSD CVA'!$AM$15)*1*(1-0.03)</f>
        <v>114.0634109344435</v>
      </c>
      <c r="AA570" s="70">
        <f>('TE BE'!$AA$7+'TE BF'!$AA$7+'TE CVA'!$AA$7)*1*(1-0.03)</f>
        <v>411.17962930251429</v>
      </c>
      <c r="AB570" s="4">
        <f>$K$570*$V$570</f>
        <v>1109294.564</v>
      </c>
      <c r="AC570" s="4">
        <f>$M$570*$W$570</f>
        <v>91359.410900400006</v>
      </c>
      <c r="AD570" s="4">
        <f>$O$570*$X$570</f>
        <v>324414.35726040002</v>
      </c>
      <c r="AE570" s="4">
        <f ca="1">$K$570*$Y$570</f>
        <v>1316880.1328365013</v>
      </c>
      <c r="AF570" s="4">
        <f ca="1">$M$570*$Z$570</f>
        <v>113573.622647891</v>
      </c>
      <c r="AG570" s="4">
        <f>$O$570*$AA$570</f>
        <v>409414.0239742893</v>
      </c>
    </row>
    <row r="571" spans="1:33" ht="11.25" customHeight="1" x14ac:dyDescent="0.25">
      <c r="A571" s="3" t="s">
        <v>21</v>
      </c>
      <c r="B571" s="3" t="s">
        <v>33</v>
      </c>
      <c r="C571" s="3" t="s">
        <v>42</v>
      </c>
      <c r="D571" s="3" t="s">
        <v>50</v>
      </c>
      <c r="E571" s="3" t="s">
        <v>51</v>
      </c>
      <c r="F571" s="3" t="s">
        <v>25</v>
      </c>
      <c r="G571" s="3" t="s">
        <v>25</v>
      </c>
      <c r="H571" s="3" t="s">
        <v>35</v>
      </c>
      <c r="I571" s="6">
        <v>44409</v>
      </c>
      <c r="J571" s="4">
        <v>20222</v>
      </c>
      <c r="K571" s="71">
        <v>20222</v>
      </c>
      <c r="L571" s="4">
        <v>996.13300000000004</v>
      </c>
      <c r="M571" s="70">
        <v>996.13300000000004</v>
      </c>
      <c r="N571" s="4">
        <v>996.13300000000004</v>
      </c>
      <c r="O571" s="70">
        <v>996.13300000000004</v>
      </c>
      <c r="P571" s="4">
        <v>0</v>
      </c>
      <c r="Q571" s="3" t="s">
        <v>26</v>
      </c>
      <c r="R571" s="3">
        <v>0</v>
      </c>
      <c r="S571" s="4">
        <v>91</v>
      </c>
      <c r="T571" s="4">
        <v>88</v>
      </c>
      <c r="U571" s="4">
        <v>72</v>
      </c>
      <c r="V571" s="70">
        <f>IF(ISERROR(VLOOKUP($S$571,'TAR FIN'!$A$1:$O$99,15,0)),0,VLOOKUP($S$571,'TAR FIN'!$A$1:$O$99,15,0))*(1-0.06)</f>
        <v>56.588000000000001</v>
      </c>
      <c r="W571" s="70">
        <f>IF(ISERROR(VLOOKUP($T$571,'TAR FIN'!$A$1:$O$99,15,0)),0,VLOOKUP($T$571,'TAR FIN'!$A$1:$O$99,15,0))*(1-0.06)</f>
        <v>91.753399999999999</v>
      </c>
      <c r="X571" s="70">
        <f>IF(ISERROR(VLOOKUP($U$571,'TAR FIN'!$A$1:$O$99,15,0)),0,VLOOKUP($U$571,'TAR FIN'!$A$1:$O$99,15,0))*(1-0.06)</f>
        <v>325.8134</v>
      </c>
      <c r="Y571" s="70">
        <f ca="1">('TUSD BE'!$AM$13+'TUSD BF'!$AM$13+'TUSD CVA'!$AM$13)*1*(1-0.03)</f>
        <v>67.177479612125765</v>
      </c>
      <c r="Z571" s="70">
        <f ca="1">('TUSD BE'!$AM$15+'TUSD BF'!$AM$15+'TUSD CVA'!$AM$15)*1*(1-0.03)</f>
        <v>114.0634109344435</v>
      </c>
      <c r="AA571" s="70">
        <f>('TE BE'!$AA$7+'TE BF'!$AA$7+'TE CVA'!$AA$7)*1*(1-0.03)</f>
        <v>411.17962930251429</v>
      </c>
      <c r="AB571" s="4">
        <f>$K$571*$V$571</f>
        <v>1144322.5360000001</v>
      </c>
      <c r="AC571" s="4">
        <f>$M$571*$W$571</f>
        <v>91398.589602200009</v>
      </c>
      <c r="AD571" s="4">
        <f>$O$571*$X$571</f>
        <v>324553.4795822</v>
      </c>
      <c r="AE571" s="4">
        <f ca="1">$K$571*$Y$571</f>
        <v>1358462.9927164072</v>
      </c>
      <c r="AF571" s="4">
        <f ca="1">$M$571*$Z$571</f>
        <v>113622.32772436</v>
      </c>
      <c r="AG571" s="4">
        <f>$O$571*$AA$571</f>
        <v>409589.59767600149</v>
      </c>
    </row>
    <row r="572" spans="1:33" ht="11.25" customHeight="1" x14ac:dyDescent="0.25">
      <c r="A572" s="3" t="s">
        <v>21</v>
      </c>
      <c r="B572" s="3" t="s">
        <v>33</v>
      </c>
      <c r="C572" s="3" t="s">
        <v>42</v>
      </c>
      <c r="D572" s="3" t="s">
        <v>50</v>
      </c>
      <c r="E572" s="3" t="s">
        <v>51</v>
      </c>
      <c r="F572" s="3" t="s">
        <v>25</v>
      </c>
      <c r="G572" s="3" t="s">
        <v>25</v>
      </c>
      <c r="H572" s="3" t="s">
        <v>35</v>
      </c>
      <c r="I572" s="6">
        <v>44440</v>
      </c>
      <c r="J572" s="4">
        <v>20187</v>
      </c>
      <c r="K572" s="71">
        <v>20187</v>
      </c>
      <c r="L572" s="4">
        <v>962.42899999999997</v>
      </c>
      <c r="M572" s="70">
        <v>962.42899999999997</v>
      </c>
      <c r="N572" s="4">
        <v>962.42899999999997</v>
      </c>
      <c r="O572" s="70">
        <v>962.42899999999997</v>
      </c>
      <c r="P572" s="4">
        <v>0</v>
      </c>
      <c r="Q572" s="3" t="s">
        <v>26</v>
      </c>
      <c r="R572" s="3">
        <v>0</v>
      </c>
      <c r="S572" s="4">
        <v>91</v>
      </c>
      <c r="T572" s="4">
        <v>88</v>
      </c>
      <c r="U572" s="4">
        <v>72</v>
      </c>
      <c r="V572" s="70">
        <f>IF(ISERROR(VLOOKUP($S$572,'TAR FIN'!$A$1:$O$99,15,0)),0,VLOOKUP($S$572,'TAR FIN'!$A$1:$O$99,15,0))*(1-0.06)</f>
        <v>56.588000000000001</v>
      </c>
      <c r="W572" s="70">
        <f>IF(ISERROR(VLOOKUP($T$572,'TAR FIN'!$A$1:$O$99,15,0)),0,VLOOKUP($T$572,'TAR FIN'!$A$1:$O$99,15,0))*(1-0.06)</f>
        <v>91.753399999999999</v>
      </c>
      <c r="X572" s="70">
        <f>IF(ISERROR(VLOOKUP($U$572,'TAR FIN'!$A$1:$O$99,15,0)),0,VLOOKUP($U$572,'TAR FIN'!$A$1:$O$99,15,0))*(1-0.06)</f>
        <v>325.8134</v>
      </c>
      <c r="Y572" s="70">
        <f ca="1">('TUSD BE'!$AM$13+'TUSD BF'!$AM$13+'TUSD CVA'!$AM$13)*1*(1-0.03)</f>
        <v>67.177479612125765</v>
      </c>
      <c r="Z572" s="70">
        <f ca="1">('TUSD BE'!$AM$15+'TUSD BF'!$AM$15+'TUSD CVA'!$AM$15)*1*(1-0.03)</f>
        <v>114.0634109344435</v>
      </c>
      <c r="AA572" s="70">
        <f>('TE BE'!$AA$7+'TE BF'!$AA$7+'TE CVA'!$AA$7)*1*(1-0.03)</f>
        <v>411.17962930251429</v>
      </c>
      <c r="AB572" s="4">
        <f>$K$572*$V$572</f>
        <v>1142341.956</v>
      </c>
      <c r="AC572" s="4">
        <f>$M$572*$W$572</f>
        <v>88306.133008599994</v>
      </c>
      <c r="AD572" s="4">
        <f>$O$572*$X$572</f>
        <v>313572.26474860002</v>
      </c>
      <c r="AE572" s="4">
        <f ca="1">$K$572*$Y$572</f>
        <v>1356111.7809299829</v>
      </c>
      <c r="AF572" s="4">
        <f ca="1">$M$572*$Z$572</f>
        <v>109777.93452222552</v>
      </c>
      <c r="AG572" s="4">
        <f>$O$572*$AA$572</f>
        <v>395731.19944998954</v>
      </c>
    </row>
    <row r="573" spans="1:33" ht="11.25" customHeight="1" x14ac:dyDescent="0.25">
      <c r="A573" s="3" t="s">
        <v>21</v>
      </c>
      <c r="B573" s="3" t="s">
        <v>33</v>
      </c>
      <c r="C573" s="3" t="s">
        <v>42</v>
      </c>
      <c r="D573" s="3" t="s">
        <v>50</v>
      </c>
      <c r="E573" s="3" t="s">
        <v>51</v>
      </c>
      <c r="F573" s="3" t="s">
        <v>25</v>
      </c>
      <c r="G573" s="3" t="s">
        <v>25</v>
      </c>
      <c r="H573" s="3" t="s">
        <v>35</v>
      </c>
      <c r="I573" s="6">
        <v>44470</v>
      </c>
      <c r="J573" s="4">
        <v>19306</v>
      </c>
      <c r="K573" s="71">
        <v>19306</v>
      </c>
      <c r="L573" s="4">
        <v>996.08100000000002</v>
      </c>
      <c r="M573" s="70">
        <v>996.08100000000002</v>
      </c>
      <c r="N573" s="4">
        <v>996.08100000000002</v>
      </c>
      <c r="O573" s="70">
        <v>996.08100000000002</v>
      </c>
      <c r="P573" s="4">
        <v>0</v>
      </c>
      <c r="Q573" s="3" t="s">
        <v>26</v>
      </c>
      <c r="R573" s="3">
        <v>0</v>
      </c>
      <c r="S573" s="4">
        <v>91</v>
      </c>
      <c r="T573" s="4">
        <v>88</v>
      </c>
      <c r="U573" s="4">
        <v>72</v>
      </c>
      <c r="V573" s="70">
        <f>IF(ISERROR(VLOOKUP($S$573,'TAR FIN'!$A$1:$O$99,15,0)),0,VLOOKUP($S$573,'TAR FIN'!$A$1:$O$99,15,0))*(1-0.06)</f>
        <v>56.588000000000001</v>
      </c>
      <c r="W573" s="70">
        <f>IF(ISERROR(VLOOKUP($T$573,'TAR FIN'!$A$1:$O$99,15,0)),0,VLOOKUP($T$573,'TAR FIN'!$A$1:$O$99,15,0))*(1-0.06)</f>
        <v>91.753399999999999</v>
      </c>
      <c r="X573" s="70">
        <f>IF(ISERROR(VLOOKUP($U$573,'TAR FIN'!$A$1:$O$99,15,0)),0,VLOOKUP($U$573,'TAR FIN'!$A$1:$O$99,15,0))*(1-0.06)</f>
        <v>325.8134</v>
      </c>
      <c r="Y573" s="70">
        <f ca="1">('TUSD BE'!$AM$13+'TUSD BF'!$AM$13+'TUSD CVA'!$AM$13)*1*(1-0.03)</f>
        <v>67.177479612125765</v>
      </c>
      <c r="Z573" s="70">
        <f ca="1">('TUSD BE'!$AM$15+'TUSD BF'!$AM$15+'TUSD CVA'!$AM$15)*1*(1-0.03)</f>
        <v>114.0634109344435</v>
      </c>
      <c r="AA573" s="70">
        <f>('TE BE'!$AA$7+'TE BF'!$AA$7+'TE CVA'!$AA$7)*1*(1-0.03)</f>
        <v>411.17962930251429</v>
      </c>
      <c r="AB573" s="4">
        <f>$K$573*$V$573</f>
        <v>1092487.9280000001</v>
      </c>
      <c r="AC573" s="4">
        <f>$M$573*$W$573</f>
        <v>91393.818425400008</v>
      </c>
      <c r="AD573" s="4">
        <f>$O$573*$X$573</f>
        <v>324536.53728540003</v>
      </c>
      <c r="AE573" s="4">
        <f ca="1">$K$573*$Y$573</f>
        <v>1296928.4213916999</v>
      </c>
      <c r="AF573" s="4">
        <f ca="1">$M$573*$Z$573</f>
        <v>113616.39642699141</v>
      </c>
      <c r="AG573" s="4">
        <f>$O$573*$AA$573</f>
        <v>409568.21633527771</v>
      </c>
    </row>
    <row r="574" spans="1:33" ht="11.25" customHeight="1" x14ac:dyDescent="0.25">
      <c r="A574" s="3" t="s">
        <v>21</v>
      </c>
      <c r="B574" s="3" t="s">
        <v>33</v>
      </c>
      <c r="C574" s="3" t="s">
        <v>42</v>
      </c>
      <c r="D574" s="3" t="s">
        <v>50</v>
      </c>
      <c r="E574" s="3" t="s">
        <v>51</v>
      </c>
      <c r="F574" s="3" t="s">
        <v>25</v>
      </c>
      <c r="G574" s="3" t="s">
        <v>25</v>
      </c>
      <c r="H574" s="3" t="s">
        <v>35</v>
      </c>
      <c r="I574" s="6">
        <v>44501</v>
      </c>
      <c r="J574" s="4">
        <v>19318</v>
      </c>
      <c r="K574" s="71">
        <v>19318</v>
      </c>
      <c r="L574" s="4">
        <v>908.31200000000001</v>
      </c>
      <c r="M574" s="70">
        <v>908.31200000000001</v>
      </c>
      <c r="N574" s="4">
        <v>908.31200000000001</v>
      </c>
      <c r="O574" s="70">
        <v>908.31200000000001</v>
      </c>
      <c r="P574" s="4">
        <v>0</v>
      </c>
      <c r="Q574" s="3" t="s">
        <v>26</v>
      </c>
      <c r="R574" s="3">
        <v>0</v>
      </c>
      <c r="S574" s="4">
        <v>91</v>
      </c>
      <c r="T574" s="4">
        <v>88</v>
      </c>
      <c r="U574" s="4">
        <v>72</v>
      </c>
      <c r="V574" s="70">
        <f>IF(ISERROR(VLOOKUP($S$574,'TAR FIN'!$A$1:$O$99,15,0)),0,VLOOKUP($S$574,'TAR FIN'!$A$1:$O$99,15,0))*(1-0.06)</f>
        <v>56.588000000000001</v>
      </c>
      <c r="W574" s="70">
        <f>IF(ISERROR(VLOOKUP($T$574,'TAR FIN'!$A$1:$O$99,15,0)),0,VLOOKUP($T$574,'TAR FIN'!$A$1:$O$99,15,0))*(1-0.06)</f>
        <v>91.753399999999999</v>
      </c>
      <c r="X574" s="70">
        <f>IF(ISERROR(VLOOKUP($U$574,'TAR FIN'!$A$1:$O$99,15,0)),0,VLOOKUP($U$574,'TAR FIN'!$A$1:$O$99,15,0))*(1-0.06)</f>
        <v>325.8134</v>
      </c>
      <c r="Y574" s="70">
        <f ca="1">('TUSD BE'!$AM$13+'TUSD BF'!$AM$13+'TUSD CVA'!$AM$13)*1*(1-0.03)</f>
        <v>67.177479612125765</v>
      </c>
      <c r="Z574" s="70">
        <f ca="1">('TUSD BE'!$AM$15+'TUSD BF'!$AM$15+'TUSD CVA'!$AM$15)*1*(1-0.03)</f>
        <v>114.0634109344435</v>
      </c>
      <c r="AA574" s="70">
        <f>('TE BE'!$AA$7+'TE BF'!$AA$7+'TE CVA'!$AA$7)*1*(1-0.03)</f>
        <v>411.17962930251429</v>
      </c>
      <c r="AB574" s="4">
        <f>$K$574*$V$574</f>
        <v>1093166.9839999999</v>
      </c>
      <c r="AC574" s="4">
        <f>$M$574*$W$574</f>
        <v>83340.714260799999</v>
      </c>
      <c r="AD574" s="4">
        <f>$O$574*$X$574</f>
        <v>295940.22098079999</v>
      </c>
      <c r="AE574" s="4">
        <f ca="1">$K$574*$Y$574</f>
        <v>1297734.5511470456</v>
      </c>
      <c r="AF574" s="4">
        <f ca="1">$M$574*$Z$574</f>
        <v>103605.16491268625</v>
      </c>
      <c r="AG574" s="4">
        <f>$O$574*$AA$574</f>
        <v>373479.39145102538</v>
      </c>
    </row>
    <row r="575" spans="1:33" ht="11.25" customHeight="1" x14ac:dyDescent="0.25">
      <c r="A575" s="3" t="s">
        <v>21</v>
      </c>
      <c r="B575" s="3" t="s">
        <v>33</v>
      </c>
      <c r="C575" s="3" t="s">
        <v>42</v>
      </c>
      <c r="D575" s="3" t="s">
        <v>50</v>
      </c>
      <c r="E575" s="3" t="s">
        <v>51</v>
      </c>
      <c r="F575" s="3" t="s">
        <v>25</v>
      </c>
      <c r="G575" s="3" t="s">
        <v>25</v>
      </c>
      <c r="H575" s="3" t="s">
        <v>35</v>
      </c>
      <c r="I575" s="6">
        <v>44531</v>
      </c>
      <c r="J575" s="4">
        <v>19424</v>
      </c>
      <c r="K575" s="71">
        <v>19424</v>
      </c>
      <c r="L575" s="4">
        <v>1059.7370000000001</v>
      </c>
      <c r="M575" s="70">
        <v>1059.7370000000001</v>
      </c>
      <c r="N575" s="4">
        <v>1059.7370000000001</v>
      </c>
      <c r="O575" s="70">
        <v>1059.7370000000001</v>
      </c>
      <c r="P575" s="4">
        <v>0</v>
      </c>
      <c r="Q575" s="3" t="s">
        <v>26</v>
      </c>
      <c r="R575" s="3">
        <v>0</v>
      </c>
      <c r="S575" s="4">
        <v>91</v>
      </c>
      <c r="T575" s="4">
        <v>88</v>
      </c>
      <c r="U575" s="4">
        <v>72</v>
      </c>
      <c r="V575" s="70">
        <f>IF(ISERROR(VLOOKUP($S$575,'TAR FIN'!$A$1:$O$99,15,0)),0,VLOOKUP($S$575,'TAR FIN'!$A$1:$O$99,15,0))*(1-0.06)</f>
        <v>56.588000000000001</v>
      </c>
      <c r="W575" s="70">
        <f>IF(ISERROR(VLOOKUP($T$575,'TAR FIN'!$A$1:$O$99,15,0)),0,VLOOKUP($T$575,'TAR FIN'!$A$1:$O$99,15,0))*(1-0.06)</f>
        <v>91.753399999999999</v>
      </c>
      <c r="X575" s="70">
        <f>IF(ISERROR(VLOOKUP($U$575,'TAR FIN'!$A$1:$O$99,15,0)),0,VLOOKUP($U$575,'TAR FIN'!$A$1:$O$99,15,0))*(1-0.06)</f>
        <v>325.8134</v>
      </c>
      <c r="Y575" s="70">
        <f ca="1">('TUSD BE'!$AM$13+'TUSD BF'!$AM$13+'TUSD CVA'!$AM$13)*1*(1-0.03)</f>
        <v>67.177479612125765</v>
      </c>
      <c r="Z575" s="70">
        <f ca="1">('TUSD BE'!$AM$15+'TUSD BF'!$AM$15+'TUSD CVA'!$AM$15)*1*(1-0.03)</f>
        <v>114.0634109344435</v>
      </c>
      <c r="AA575" s="70">
        <f>('TE BE'!$AA$7+'TE BF'!$AA$7+'TE CVA'!$AA$7)*1*(1-0.03)</f>
        <v>411.17962930251429</v>
      </c>
      <c r="AB575" s="4">
        <f>$K$575*$V$575</f>
        <v>1099165.3119999999</v>
      </c>
      <c r="AC575" s="4">
        <f>$M$575*$W$575</f>
        <v>97234.472855800006</v>
      </c>
      <c r="AD575" s="4">
        <f>$O$575*$X$575</f>
        <v>345276.51507580001</v>
      </c>
      <c r="AE575" s="4">
        <f ca="1">$K$575*$Y$575</f>
        <v>1304855.3639859308</v>
      </c>
      <c r="AF575" s="4">
        <f ca="1">$M$575*$Z$575</f>
        <v>120877.21691343436</v>
      </c>
      <c r="AG575" s="4">
        <f>$O$575*$AA$575</f>
        <v>435742.26681815862</v>
      </c>
    </row>
    <row r="576" spans="1:33" ht="11.25" customHeight="1" x14ac:dyDescent="0.25">
      <c r="A576" s="3" t="s">
        <v>21</v>
      </c>
      <c r="B576" s="3" t="s">
        <v>33</v>
      </c>
      <c r="C576" s="3" t="s">
        <v>42</v>
      </c>
      <c r="D576" s="3" t="s">
        <v>50</v>
      </c>
      <c r="E576" s="3" t="s">
        <v>51</v>
      </c>
      <c r="F576" s="3" t="s">
        <v>25</v>
      </c>
      <c r="G576" s="3" t="s">
        <v>25</v>
      </c>
      <c r="H576" s="3" t="s">
        <v>35</v>
      </c>
      <c r="I576" s="6">
        <v>44562</v>
      </c>
      <c r="J576" s="4">
        <v>19206</v>
      </c>
      <c r="K576" s="71">
        <v>19206</v>
      </c>
      <c r="L576" s="4">
        <v>944.80399999999997</v>
      </c>
      <c r="M576" s="70">
        <v>944.80399999999997</v>
      </c>
      <c r="N576" s="4">
        <v>944.80399999999997</v>
      </c>
      <c r="O576" s="70">
        <v>944.80399999999997</v>
      </c>
      <c r="P576" s="4">
        <v>0</v>
      </c>
      <c r="Q576" s="3" t="s">
        <v>26</v>
      </c>
      <c r="R576" s="3">
        <v>0</v>
      </c>
      <c r="S576" s="4">
        <v>91</v>
      </c>
      <c r="T576" s="4">
        <v>88</v>
      </c>
      <c r="U576" s="4">
        <v>72</v>
      </c>
      <c r="V576" s="70">
        <f>IF(ISERROR(VLOOKUP($S$576,'TAR FIN'!$A$1:$O$99,15,0)),0,VLOOKUP($S$576,'TAR FIN'!$A$1:$O$99,15,0))*(1-0.06)</f>
        <v>56.588000000000001</v>
      </c>
      <c r="W576" s="70">
        <f>IF(ISERROR(VLOOKUP($T$576,'TAR FIN'!$A$1:$O$99,15,0)),0,VLOOKUP($T$576,'TAR FIN'!$A$1:$O$99,15,0))*(1-0.06)</f>
        <v>91.753399999999999</v>
      </c>
      <c r="X576" s="70">
        <f>IF(ISERROR(VLOOKUP($U$576,'TAR FIN'!$A$1:$O$99,15,0)),0,VLOOKUP($U$576,'TAR FIN'!$A$1:$O$99,15,0))*(1-0.06)</f>
        <v>325.8134</v>
      </c>
      <c r="Y576" s="70">
        <f ca="1">('TUSD BE'!$AM$13+'TUSD BF'!$AM$13+'TUSD CVA'!$AM$13)*1*(1-0.03)</f>
        <v>67.177479612125765</v>
      </c>
      <c r="Z576" s="70">
        <f ca="1">('TUSD BE'!$AM$15+'TUSD BF'!$AM$15+'TUSD CVA'!$AM$15)*1*(1-0.03)</f>
        <v>114.0634109344435</v>
      </c>
      <c r="AA576" s="70">
        <f>('TE BE'!$AA$7+'TE BF'!$AA$7+'TE CVA'!$AA$7)*1*(1-0.03)</f>
        <v>411.17962930251429</v>
      </c>
      <c r="AB576" s="4">
        <f>$K$576*$V$576</f>
        <v>1086829.128</v>
      </c>
      <c r="AC576" s="4">
        <f>$M$576*$W$576</f>
        <v>86688.9793336</v>
      </c>
      <c r="AD576" s="4">
        <f>$O$576*$X$576</f>
        <v>307829.80357360002</v>
      </c>
      <c r="AE576" s="4">
        <f ca="1">$K$576*$Y$576</f>
        <v>1290210.6734304875</v>
      </c>
      <c r="AF576" s="4">
        <f ca="1">$M$576*$Z$576</f>
        <v>107767.56690450595</v>
      </c>
      <c r="AG576" s="4">
        <f>$O$576*$AA$576</f>
        <v>388484.15848353272</v>
      </c>
    </row>
    <row r="577" spans="1:33" ht="11.25" customHeight="1" x14ac:dyDescent="0.25">
      <c r="A577" s="3" t="s">
        <v>21</v>
      </c>
      <c r="B577" s="3" t="s">
        <v>33</v>
      </c>
      <c r="C577" s="3" t="s">
        <v>42</v>
      </c>
      <c r="D577" s="3" t="s">
        <v>50</v>
      </c>
      <c r="E577" s="3" t="s">
        <v>51</v>
      </c>
      <c r="F577" s="3" t="s">
        <v>25</v>
      </c>
      <c r="G577" s="3" t="s">
        <v>25</v>
      </c>
      <c r="H577" s="3" t="s">
        <v>35</v>
      </c>
      <c r="I577" s="6">
        <v>44593</v>
      </c>
      <c r="J577" s="4">
        <v>19036</v>
      </c>
      <c r="K577" s="71">
        <v>19036</v>
      </c>
      <c r="L577" s="4">
        <v>854.39700000000005</v>
      </c>
      <c r="M577" s="70">
        <v>854.39700000000005</v>
      </c>
      <c r="N577" s="4">
        <v>854.39700000000005</v>
      </c>
      <c r="O577" s="70">
        <v>854.39700000000005</v>
      </c>
      <c r="P577" s="4">
        <v>0</v>
      </c>
      <c r="Q577" s="3" t="s">
        <v>26</v>
      </c>
      <c r="R577" s="3">
        <v>0</v>
      </c>
      <c r="S577" s="4">
        <v>91</v>
      </c>
      <c r="T577" s="4">
        <v>88</v>
      </c>
      <c r="U577" s="4">
        <v>72</v>
      </c>
      <c r="V577" s="70">
        <f>IF(ISERROR(VLOOKUP($S$577,'TAR FIN'!$A$1:$O$99,15,0)),0,VLOOKUP($S$577,'TAR FIN'!$A$1:$O$99,15,0))*(1-0.06)</f>
        <v>56.588000000000001</v>
      </c>
      <c r="W577" s="70">
        <f>IF(ISERROR(VLOOKUP($T$577,'TAR FIN'!$A$1:$O$99,15,0)),0,VLOOKUP($T$577,'TAR FIN'!$A$1:$O$99,15,0))*(1-0.06)</f>
        <v>91.753399999999999</v>
      </c>
      <c r="X577" s="70">
        <f>IF(ISERROR(VLOOKUP($U$577,'TAR FIN'!$A$1:$O$99,15,0)),0,VLOOKUP($U$577,'TAR FIN'!$A$1:$O$99,15,0))*(1-0.06)</f>
        <v>325.8134</v>
      </c>
      <c r="Y577" s="70">
        <f ca="1">('TUSD BE'!$AM$13+'TUSD BF'!$AM$13+'TUSD CVA'!$AM$13)*1*(1-0.03)</f>
        <v>67.177479612125765</v>
      </c>
      <c r="Z577" s="70">
        <f ca="1">('TUSD BE'!$AM$15+'TUSD BF'!$AM$15+'TUSD CVA'!$AM$15)*1*(1-0.03)</f>
        <v>114.0634109344435</v>
      </c>
      <c r="AA577" s="70">
        <f>('TE BE'!$AA$7+'TE BF'!$AA$7+'TE CVA'!$AA$7)*1*(1-0.03)</f>
        <v>411.17962930251429</v>
      </c>
      <c r="AB577" s="4">
        <f>$K$577*$V$577</f>
        <v>1077209.1680000001</v>
      </c>
      <c r="AC577" s="4">
        <f>$M$577*$W$577</f>
        <v>78393.829699800001</v>
      </c>
      <c r="AD577" s="4">
        <f>$O$577*$X$577</f>
        <v>278373.99151980004</v>
      </c>
      <c r="AE577" s="4">
        <f ca="1">$K$577*$Y$577</f>
        <v>1278790.5018964261</v>
      </c>
      <c r="AF577" s="4">
        <f ca="1">$M$577*$Z$577</f>
        <v>97455.43611215573</v>
      </c>
      <c r="AG577" s="4">
        <f>$O$577*$AA$577</f>
        <v>351310.6417371803</v>
      </c>
    </row>
    <row r="578" spans="1:33" ht="11.25" customHeight="1" x14ac:dyDescent="0.25">
      <c r="A578" s="3" t="s">
        <v>21</v>
      </c>
      <c r="B578" s="3" t="s">
        <v>33</v>
      </c>
      <c r="C578" s="3" t="s">
        <v>42</v>
      </c>
      <c r="D578" s="3" t="s">
        <v>50</v>
      </c>
      <c r="E578" s="3" t="s">
        <v>51</v>
      </c>
      <c r="F578" s="3" t="s">
        <v>25</v>
      </c>
      <c r="G578" s="3" t="s">
        <v>25</v>
      </c>
      <c r="H578" s="3" t="s">
        <v>35</v>
      </c>
      <c r="I578" s="6">
        <v>44621</v>
      </c>
      <c r="J578" s="4">
        <v>19159</v>
      </c>
      <c r="K578" s="71">
        <v>19159</v>
      </c>
      <c r="L578" s="4">
        <v>969.45799999999997</v>
      </c>
      <c r="M578" s="70">
        <v>969.45799999999997</v>
      </c>
      <c r="N578" s="4">
        <v>969.45799999999997</v>
      </c>
      <c r="O578" s="70">
        <v>969.45799999999997</v>
      </c>
      <c r="P578" s="4">
        <v>0</v>
      </c>
      <c r="Q578" s="3" t="s">
        <v>26</v>
      </c>
      <c r="R578" s="3">
        <v>0</v>
      </c>
      <c r="S578" s="4">
        <v>91</v>
      </c>
      <c r="T578" s="4">
        <v>88</v>
      </c>
      <c r="U578" s="4">
        <v>72</v>
      </c>
      <c r="V578" s="70">
        <f>IF(ISERROR(VLOOKUP($S$578,'TAR FIN'!$A$1:$O$99,15,0)),0,VLOOKUP($S$578,'TAR FIN'!$A$1:$O$99,15,0))*(1-0.06)</f>
        <v>56.588000000000001</v>
      </c>
      <c r="W578" s="70">
        <f>IF(ISERROR(VLOOKUP($T$578,'TAR FIN'!$A$1:$O$99,15,0)),0,VLOOKUP($T$578,'TAR FIN'!$A$1:$O$99,15,0))*(1-0.06)</f>
        <v>91.753399999999999</v>
      </c>
      <c r="X578" s="70">
        <f>IF(ISERROR(VLOOKUP($U$578,'TAR FIN'!$A$1:$O$99,15,0)),0,VLOOKUP($U$578,'TAR FIN'!$A$1:$O$99,15,0))*(1-0.06)</f>
        <v>325.8134</v>
      </c>
      <c r="Y578" s="70">
        <f ca="1">('TUSD BE'!$AM$13+'TUSD BF'!$AM$13+'TUSD CVA'!$AM$13)*1*(1-0.03)</f>
        <v>67.177479612125765</v>
      </c>
      <c r="Z578" s="70">
        <f ca="1">('TUSD BE'!$AM$15+'TUSD BF'!$AM$15+'TUSD CVA'!$AM$15)*1*(1-0.03)</f>
        <v>114.0634109344435</v>
      </c>
      <c r="AA578" s="70">
        <f>('TE BE'!$AA$7+'TE BF'!$AA$7+'TE CVA'!$AA$7)*1*(1-0.03)</f>
        <v>411.17962930251429</v>
      </c>
      <c r="AB578" s="4">
        <f>$K$578*$V$578</f>
        <v>1084169.4920000001</v>
      </c>
      <c r="AC578" s="4">
        <f>$M$578*$W$578</f>
        <v>88951.067657199994</v>
      </c>
      <c r="AD578" s="4">
        <f>$O$578*$X$578</f>
        <v>315862.4071372</v>
      </c>
      <c r="AE578" s="4">
        <f ca="1">$K$578*$Y$578</f>
        <v>1287053.3318887176</v>
      </c>
      <c r="AF578" s="4">
        <f ca="1">$M$578*$Z$578</f>
        <v>110579.68623768372</v>
      </c>
      <c r="AG578" s="4">
        <f>$O$578*$AA$578</f>
        <v>398621.38106435689</v>
      </c>
    </row>
    <row r="579" spans="1:33" ht="11.25" customHeight="1" x14ac:dyDescent="0.25">
      <c r="A579" s="3" t="s">
        <v>56</v>
      </c>
      <c r="B579" s="3" t="s">
        <v>33</v>
      </c>
      <c r="C579" s="3" t="s">
        <v>42</v>
      </c>
      <c r="D579" s="3" t="s">
        <v>50</v>
      </c>
      <c r="E579" s="3" t="s">
        <v>51</v>
      </c>
      <c r="F579" s="3" t="s">
        <v>25</v>
      </c>
      <c r="G579" s="3" t="s">
        <v>25</v>
      </c>
      <c r="H579" s="3" t="s">
        <v>35</v>
      </c>
      <c r="I579" s="6">
        <v>44652</v>
      </c>
      <c r="J579" s="4">
        <v>19159</v>
      </c>
      <c r="K579" s="71">
        <v>19159</v>
      </c>
      <c r="L579" s="4">
        <v>969.45799999999997</v>
      </c>
      <c r="M579" s="70">
        <v>969.45799999999997</v>
      </c>
      <c r="N579" s="4">
        <v>969.45799999999997</v>
      </c>
      <c r="O579" s="70">
        <v>969.45799999999997</v>
      </c>
      <c r="P579" s="4">
        <v>0</v>
      </c>
      <c r="Q579" s="3" t="s">
        <v>26</v>
      </c>
      <c r="R579" s="3">
        <v>0</v>
      </c>
      <c r="S579" s="4">
        <v>91</v>
      </c>
      <c r="T579" s="4">
        <v>88</v>
      </c>
      <c r="U579" s="4">
        <v>72</v>
      </c>
      <c r="V579" s="70">
        <f>IF(ISERROR(VLOOKUP($S$579,'TAR FIN'!$A$1:$O$99,15,0)),0,VLOOKUP($S$579,'TAR FIN'!$A$1:$O$99,15,0))*(1-0.06)</f>
        <v>56.588000000000001</v>
      </c>
      <c r="W579" s="70">
        <f>IF(ISERROR(VLOOKUP($T$579,'TAR FIN'!$A$1:$O$99,15,0)),0,VLOOKUP($T$579,'TAR FIN'!$A$1:$O$99,15,0))*(1-0.06)</f>
        <v>91.753399999999999</v>
      </c>
      <c r="X579" s="70">
        <f>IF(ISERROR(VLOOKUP($U$579,'TAR FIN'!$A$1:$O$99,15,0)),0,VLOOKUP($U$579,'TAR FIN'!$A$1:$O$99,15,0))*(1-0.06)</f>
        <v>325.8134</v>
      </c>
      <c r="Y579" s="70">
        <f ca="1">('TUSD BE'!$AM$13+'TUSD BF'!$AM$13+'TUSD CVA'!$AM$13)*1*(1-0.03)</f>
        <v>67.177479612125765</v>
      </c>
      <c r="Z579" s="70">
        <f ca="1">('TUSD BE'!$AM$15+'TUSD BF'!$AM$15+'TUSD CVA'!$AM$15)*1*(1-0.03)</f>
        <v>114.0634109344435</v>
      </c>
      <c r="AA579" s="70">
        <f>('TE BE'!$AA$7+'TE BF'!$AA$7+'TE CVA'!$AA$7)*1*(1-0.03)</f>
        <v>411.17962930251429</v>
      </c>
      <c r="AB579" s="4">
        <f>$K$579*$V$579</f>
        <v>1084169.4920000001</v>
      </c>
      <c r="AC579" s="4">
        <f>$M$579*$W$579</f>
        <v>88951.067657199994</v>
      </c>
      <c r="AD579" s="4">
        <f>$O$579*$X$579</f>
        <v>315862.4071372</v>
      </c>
      <c r="AE579" s="4">
        <f ca="1">$K$579*$Y$579</f>
        <v>1287053.3318887176</v>
      </c>
      <c r="AF579" s="4">
        <f ca="1">$M$579*$Z$579</f>
        <v>110579.68623768372</v>
      </c>
      <c r="AG579" s="4">
        <f>$O$579*$AA$579</f>
        <v>398621.38106435689</v>
      </c>
    </row>
    <row r="580" spans="1:33" ht="11.25" customHeight="1" x14ac:dyDescent="0.25">
      <c r="A580" s="3" t="s">
        <v>21</v>
      </c>
      <c r="B580" s="3" t="s">
        <v>33</v>
      </c>
      <c r="C580" s="3" t="s">
        <v>61</v>
      </c>
      <c r="D580" s="3" t="s">
        <v>25</v>
      </c>
      <c r="E580" s="3" t="s">
        <v>25</v>
      </c>
      <c r="F580" s="3" t="s">
        <v>25</v>
      </c>
      <c r="G580" s="3" t="s">
        <v>62</v>
      </c>
      <c r="H580" s="3" t="s">
        <v>36</v>
      </c>
      <c r="I580" s="6">
        <v>44317</v>
      </c>
      <c r="J580" s="4">
        <v>600</v>
      </c>
      <c r="K580" s="4">
        <v>600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3" t="s">
        <v>63</v>
      </c>
      <c r="R580" s="3">
        <v>43</v>
      </c>
      <c r="S580" s="4">
        <v>4</v>
      </c>
      <c r="T580" s="4">
        <v>0</v>
      </c>
      <c r="U580" s="4">
        <v>0</v>
      </c>
      <c r="V580" s="4">
        <f>IF(ISERROR(VLOOKUP($S$580,'TAR FIN'!$A$1:$O$99,15,0)),0,VLOOKUP($S$580,'TAR FIN'!$A$1:$O$99,15,0))</f>
        <v>12.67</v>
      </c>
      <c r="W580" s="4">
        <f>IF(ISERROR(VLOOKUP($T$580,'TAR FIN'!$A$1:$O$99,15,0)),0,VLOOKUP($T$580,'TAR FIN'!$A$1:$O$99,15,0))</f>
        <v>0</v>
      </c>
      <c r="X580" s="4">
        <f>IF(ISERROR(VLOOKUP($U$580,'TAR FIN'!$A$1:$O$99,15,0)),0,VLOOKUP($U$580,'TAR FIN'!$A$1:$O$99,15,0))</f>
        <v>0</v>
      </c>
      <c r="Y580" s="4">
        <f ca="1">('TUSD BE'!$AM$18+'TUSD BF'!$AM$18+'TUSD CVA'!$AM$18)*1</f>
        <v>12.385867955383693</v>
      </c>
      <c r="Z580" s="4">
        <f ca="1">('TUSD BE'!$AM$19+'TUSD BF'!$AM$19+'TUSD CVA'!$AM$19)*1</f>
        <v>20.085616142643524</v>
      </c>
      <c r="AA580" s="4"/>
      <c r="AB580" s="4">
        <f>$K$580*$V$580</f>
        <v>7602</v>
      </c>
      <c r="AC580" s="4">
        <f>$M$580*$W$580</f>
        <v>0</v>
      </c>
      <c r="AD580" s="4">
        <f>$O$580*$X$580</f>
        <v>0</v>
      </c>
      <c r="AE580" s="4">
        <f ca="1">$K$580*$Y$580</f>
        <v>7431.520773230216</v>
      </c>
      <c r="AF580" s="4">
        <f ca="1">$M$580*$Z$580</f>
        <v>0</v>
      </c>
      <c r="AG580" s="4">
        <f>$O$580*$AA$580</f>
        <v>0</v>
      </c>
    </row>
    <row r="581" spans="1:33" ht="11.25" customHeight="1" x14ac:dyDescent="0.25">
      <c r="A581" s="3" t="s">
        <v>21</v>
      </c>
      <c r="B581" s="3" t="s">
        <v>33</v>
      </c>
      <c r="C581" s="3" t="s">
        <v>61</v>
      </c>
      <c r="D581" s="3" t="s">
        <v>25</v>
      </c>
      <c r="E581" s="3" t="s">
        <v>25</v>
      </c>
      <c r="F581" s="3" t="s">
        <v>25</v>
      </c>
      <c r="G581" s="3" t="s">
        <v>62</v>
      </c>
      <c r="H581" s="3" t="s">
        <v>36</v>
      </c>
      <c r="I581" s="6">
        <v>44348</v>
      </c>
      <c r="J581" s="4">
        <v>600</v>
      </c>
      <c r="K581" s="4">
        <v>600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3" t="s">
        <v>63</v>
      </c>
      <c r="R581" s="3">
        <v>43</v>
      </c>
      <c r="S581" s="4">
        <v>4</v>
      </c>
      <c r="T581" s="4">
        <v>0</v>
      </c>
      <c r="U581" s="4">
        <v>0</v>
      </c>
      <c r="V581" s="4">
        <f>IF(ISERROR(VLOOKUP($S$581,'TAR FIN'!$A$1:$O$99,15,0)),0,VLOOKUP($S$581,'TAR FIN'!$A$1:$O$99,15,0))</f>
        <v>12.67</v>
      </c>
      <c r="W581" s="4">
        <f>IF(ISERROR(VLOOKUP($T$581,'TAR FIN'!$A$1:$O$99,15,0)),0,VLOOKUP($T$581,'TAR FIN'!$A$1:$O$99,15,0))</f>
        <v>0</v>
      </c>
      <c r="X581" s="4">
        <f>IF(ISERROR(VLOOKUP($U$581,'TAR FIN'!$A$1:$O$99,15,0)),0,VLOOKUP($U$581,'TAR FIN'!$A$1:$O$99,15,0))</f>
        <v>0</v>
      </c>
      <c r="Y581" s="4">
        <f ca="1">('TUSD BE'!$AM$18+'TUSD BF'!$AM$18+'TUSD CVA'!$AM$18)*1</f>
        <v>12.385867955383693</v>
      </c>
      <c r="Z581" s="4">
        <f ca="1">('TUSD BE'!$AM$19+'TUSD BF'!$AM$19+'TUSD CVA'!$AM$19)*1</f>
        <v>20.085616142643524</v>
      </c>
      <c r="AA581" s="4"/>
      <c r="AB581" s="4">
        <f>$K$581*$V$581</f>
        <v>7602</v>
      </c>
      <c r="AC581" s="4">
        <f>$M$581*$W$581</f>
        <v>0</v>
      </c>
      <c r="AD581" s="4">
        <f>$O$581*$X$581</f>
        <v>0</v>
      </c>
      <c r="AE581" s="4">
        <f ca="1">$K$581*$Y$581</f>
        <v>7431.520773230216</v>
      </c>
      <c r="AF581" s="4">
        <f ca="1">$M$581*$Z$581</f>
        <v>0</v>
      </c>
      <c r="AG581" s="4">
        <f>$O$581*$AA$581</f>
        <v>0</v>
      </c>
    </row>
    <row r="582" spans="1:33" ht="11.25" customHeight="1" x14ac:dyDescent="0.25">
      <c r="A582" s="3" t="s">
        <v>21</v>
      </c>
      <c r="B582" s="3" t="s">
        <v>33</v>
      </c>
      <c r="C582" s="3" t="s">
        <v>61</v>
      </c>
      <c r="D582" s="3" t="s">
        <v>25</v>
      </c>
      <c r="E582" s="3" t="s">
        <v>25</v>
      </c>
      <c r="F582" s="3" t="s">
        <v>25</v>
      </c>
      <c r="G582" s="3" t="s">
        <v>62</v>
      </c>
      <c r="H582" s="3" t="s">
        <v>36</v>
      </c>
      <c r="I582" s="6">
        <v>44378</v>
      </c>
      <c r="J582" s="4">
        <v>1196</v>
      </c>
      <c r="K582" s="4">
        <v>1196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3" t="s">
        <v>63</v>
      </c>
      <c r="R582" s="3">
        <v>43</v>
      </c>
      <c r="S582" s="4">
        <v>4</v>
      </c>
      <c r="T582" s="4">
        <v>0</v>
      </c>
      <c r="U582" s="4">
        <v>0</v>
      </c>
      <c r="V582" s="4">
        <f>IF(ISERROR(VLOOKUP($S$582,'TAR FIN'!$A$1:$O$99,15,0)),0,VLOOKUP($S$582,'TAR FIN'!$A$1:$O$99,15,0))</f>
        <v>12.67</v>
      </c>
      <c r="W582" s="4">
        <f>IF(ISERROR(VLOOKUP($T$582,'TAR FIN'!$A$1:$O$99,15,0)),0,VLOOKUP($T$582,'TAR FIN'!$A$1:$O$99,15,0))</f>
        <v>0</v>
      </c>
      <c r="X582" s="4">
        <f>IF(ISERROR(VLOOKUP($U$582,'TAR FIN'!$A$1:$O$99,15,0)),0,VLOOKUP($U$582,'TAR FIN'!$A$1:$O$99,15,0))</f>
        <v>0</v>
      </c>
      <c r="Y582" s="4">
        <f ca="1">('TUSD BE'!$AM$18+'TUSD BF'!$AM$18+'TUSD CVA'!$AM$18)*1</f>
        <v>12.385867955383693</v>
      </c>
      <c r="Z582" s="4">
        <f ca="1">('TUSD BE'!$AM$19+'TUSD BF'!$AM$19+'TUSD CVA'!$AM$19)*1</f>
        <v>20.085616142643524</v>
      </c>
      <c r="AA582" s="4"/>
      <c r="AB582" s="4">
        <f>$K$582*$V$582</f>
        <v>15153.32</v>
      </c>
      <c r="AC582" s="4">
        <f>$M$582*$W$582</f>
        <v>0</v>
      </c>
      <c r="AD582" s="4">
        <f>$O$582*$X$582</f>
        <v>0</v>
      </c>
      <c r="AE582" s="4">
        <f ca="1">$K$582*$Y$582</f>
        <v>14813.498074638897</v>
      </c>
      <c r="AF582" s="4">
        <f ca="1">$M$582*$Z$582</f>
        <v>0</v>
      </c>
      <c r="AG582" s="4">
        <f>$O$582*$AA$582</f>
        <v>0</v>
      </c>
    </row>
    <row r="583" spans="1:33" ht="11.25" customHeight="1" x14ac:dyDescent="0.25">
      <c r="A583" s="3" t="s">
        <v>21</v>
      </c>
      <c r="B583" s="3" t="s">
        <v>33</v>
      </c>
      <c r="C583" s="3" t="s">
        <v>61</v>
      </c>
      <c r="D583" s="3" t="s">
        <v>25</v>
      </c>
      <c r="E583" s="3" t="s">
        <v>25</v>
      </c>
      <c r="F583" s="3" t="s">
        <v>25</v>
      </c>
      <c r="G583" s="3" t="s">
        <v>62</v>
      </c>
      <c r="H583" s="3" t="s">
        <v>36</v>
      </c>
      <c r="I583" s="6">
        <v>44409</v>
      </c>
      <c r="J583" s="4">
        <v>600</v>
      </c>
      <c r="K583" s="4">
        <v>600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3" t="s">
        <v>63</v>
      </c>
      <c r="R583" s="3">
        <v>43</v>
      </c>
      <c r="S583" s="4">
        <v>4</v>
      </c>
      <c r="T583" s="4">
        <v>0</v>
      </c>
      <c r="U583" s="4">
        <v>0</v>
      </c>
      <c r="V583" s="4">
        <f>IF(ISERROR(VLOOKUP($S$583,'TAR FIN'!$A$1:$O$99,15,0)),0,VLOOKUP($S$583,'TAR FIN'!$A$1:$O$99,15,0))</f>
        <v>12.67</v>
      </c>
      <c r="W583" s="4">
        <f>IF(ISERROR(VLOOKUP($T$583,'TAR FIN'!$A$1:$O$99,15,0)),0,VLOOKUP($T$583,'TAR FIN'!$A$1:$O$99,15,0))</f>
        <v>0</v>
      </c>
      <c r="X583" s="4">
        <f>IF(ISERROR(VLOOKUP($U$583,'TAR FIN'!$A$1:$O$99,15,0)),0,VLOOKUP($U$583,'TAR FIN'!$A$1:$O$99,15,0))</f>
        <v>0</v>
      </c>
      <c r="Y583" s="4">
        <f ca="1">('TUSD BE'!$AM$18+'TUSD BF'!$AM$18+'TUSD CVA'!$AM$18)*1</f>
        <v>12.385867955383693</v>
      </c>
      <c r="Z583" s="4">
        <f ca="1">('TUSD BE'!$AM$19+'TUSD BF'!$AM$19+'TUSD CVA'!$AM$19)*1</f>
        <v>20.085616142643524</v>
      </c>
      <c r="AA583" s="4"/>
      <c r="AB583" s="4">
        <f>$K$583*$V$583</f>
        <v>7602</v>
      </c>
      <c r="AC583" s="4">
        <f>$M$583*$W$583</f>
        <v>0</v>
      </c>
      <c r="AD583" s="4">
        <f>$O$583*$X$583</f>
        <v>0</v>
      </c>
      <c r="AE583" s="4">
        <f ca="1">$K$583*$Y$583</f>
        <v>7431.520773230216</v>
      </c>
      <c r="AF583" s="4">
        <f ca="1">$M$583*$Z$583</f>
        <v>0</v>
      </c>
      <c r="AG583" s="4">
        <f>$O$583*$AA$583</f>
        <v>0</v>
      </c>
    </row>
    <row r="584" spans="1:33" ht="11.25" customHeight="1" x14ac:dyDescent="0.25">
      <c r="A584" s="3" t="s">
        <v>21</v>
      </c>
      <c r="B584" s="3" t="s">
        <v>33</v>
      </c>
      <c r="C584" s="3" t="s">
        <v>61</v>
      </c>
      <c r="D584" s="3" t="s">
        <v>25</v>
      </c>
      <c r="E584" s="3" t="s">
        <v>25</v>
      </c>
      <c r="F584" s="3" t="s">
        <v>25</v>
      </c>
      <c r="G584" s="3" t="s">
        <v>62</v>
      </c>
      <c r="H584" s="3" t="s">
        <v>36</v>
      </c>
      <c r="I584" s="6">
        <v>44440</v>
      </c>
      <c r="J584" s="4">
        <v>600</v>
      </c>
      <c r="K584" s="4">
        <v>600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3" t="s">
        <v>63</v>
      </c>
      <c r="R584" s="3">
        <v>43</v>
      </c>
      <c r="S584" s="4">
        <v>4</v>
      </c>
      <c r="T584" s="4">
        <v>0</v>
      </c>
      <c r="U584" s="4">
        <v>0</v>
      </c>
      <c r="V584" s="4">
        <f>IF(ISERROR(VLOOKUP($S$584,'TAR FIN'!$A$1:$O$99,15,0)),0,VLOOKUP($S$584,'TAR FIN'!$A$1:$O$99,15,0))</f>
        <v>12.67</v>
      </c>
      <c r="W584" s="4">
        <f>IF(ISERROR(VLOOKUP($T$584,'TAR FIN'!$A$1:$O$99,15,0)),0,VLOOKUP($T$584,'TAR FIN'!$A$1:$O$99,15,0))</f>
        <v>0</v>
      </c>
      <c r="X584" s="4">
        <f>IF(ISERROR(VLOOKUP($U$584,'TAR FIN'!$A$1:$O$99,15,0)),0,VLOOKUP($U$584,'TAR FIN'!$A$1:$O$99,15,0))</f>
        <v>0</v>
      </c>
      <c r="Y584" s="4">
        <f ca="1">('TUSD BE'!$AM$18+'TUSD BF'!$AM$18+'TUSD CVA'!$AM$18)*1</f>
        <v>12.385867955383693</v>
      </c>
      <c r="Z584" s="4">
        <f ca="1">('TUSD BE'!$AM$19+'TUSD BF'!$AM$19+'TUSD CVA'!$AM$19)*1</f>
        <v>20.085616142643524</v>
      </c>
      <c r="AA584" s="4"/>
      <c r="AB584" s="4">
        <f>$K$584*$V$584</f>
        <v>7602</v>
      </c>
      <c r="AC584" s="4">
        <f>$M$584*$W$584</f>
        <v>0</v>
      </c>
      <c r="AD584" s="4">
        <f>$O$584*$X$584</f>
        <v>0</v>
      </c>
      <c r="AE584" s="4">
        <f ca="1">$K$584*$Y$584</f>
        <v>7431.520773230216</v>
      </c>
      <c r="AF584" s="4">
        <f ca="1">$M$584*$Z$584</f>
        <v>0</v>
      </c>
      <c r="AG584" s="4">
        <f>$O$584*$AA$584</f>
        <v>0</v>
      </c>
    </row>
    <row r="585" spans="1:33" ht="11.25" customHeight="1" x14ac:dyDescent="0.25">
      <c r="A585" s="3" t="s">
        <v>21</v>
      </c>
      <c r="B585" s="3" t="s">
        <v>33</v>
      </c>
      <c r="C585" s="3" t="s">
        <v>61</v>
      </c>
      <c r="D585" s="3" t="s">
        <v>25</v>
      </c>
      <c r="E585" s="3" t="s">
        <v>25</v>
      </c>
      <c r="F585" s="3" t="s">
        <v>25</v>
      </c>
      <c r="G585" s="3" t="s">
        <v>62</v>
      </c>
      <c r="H585" s="3" t="s">
        <v>36</v>
      </c>
      <c r="I585" s="6">
        <v>44470</v>
      </c>
      <c r="J585" s="4">
        <v>600</v>
      </c>
      <c r="K585" s="4">
        <v>600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3" t="s">
        <v>63</v>
      </c>
      <c r="R585" s="3">
        <v>43</v>
      </c>
      <c r="S585" s="4">
        <v>4</v>
      </c>
      <c r="T585" s="4">
        <v>0</v>
      </c>
      <c r="U585" s="4">
        <v>0</v>
      </c>
      <c r="V585" s="4">
        <f>IF(ISERROR(VLOOKUP($S$585,'TAR FIN'!$A$1:$O$99,15,0)),0,VLOOKUP($S$585,'TAR FIN'!$A$1:$O$99,15,0))</f>
        <v>12.67</v>
      </c>
      <c r="W585" s="4">
        <f>IF(ISERROR(VLOOKUP($T$585,'TAR FIN'!$A$1:$O$99,15,0)),0,VLOOKUP($T$585,'TAR FIN'!$A$1:$O$99,15,0))</f>
        <v>0</v>
      </c>
      <c r="X585" s="4">
        <f>IF(ISERROR(VLOOKUP($U$585,'TAR FIN'!$A$1:$O$99,15,0)),0,VLOOKUP($U$585,'TAR FIN'!$A$1:$O$99,15,0))</f>
        <v>0</v>
      </c>
      <c r="Y585" s="4">
        <f ca="1">('TUSD BE'!$AM$18+'TUSD BF'!$AM$18+'TUSD CVA'!$AM$18)*1</f>
        <v>12.385867955383693</v>
      </c>
      <c r="Z585" s="4">
        <f ca="1">('TUSD BE'!$AM$19+'TUSD BF'!$AM$19+'TUSD CVA'!$AM$19)*1</f>
        <v>20.085616142643524</v>
      </c>
      <c r="AA585" s="4"/>
      <c r="AB585" s="4">
        <f>$K$585*$V$585</f>
        <v>7602</v>
      </c>
      <c r="AC585" s="4">
        <f>$M$585*$W$585</f>
        <v>0</v>
      </c>
      <c r="AD585" s="4">
        <f>$O$585*$X$585</f>
        <v>0</v>
      </c>
      <c r="AE585" s="4">
        <f ca="1">$K$585*$Y$585</f>
        <v>7431.520773230216</v>
      </c>
      <c r="AF585" s="4">
        <f ca="1">$M$585*$Z$585</f>
        <v>0</v>
      </c>
      <c r="AG585" s="4">
        <f>$O$585*$AA$585</f>
        <v>0</v>
      </c>
    </row>
    <row r="586" spans="1:33" ht="11.25" customHeight="1" x14ac:dyDescent="0.25">
      <c r="A586" s="3" t="s">
        <v>21</v>
      </c>
      <c r="B586" s="3" t="s">
        <v>33</v>
      </c>
      <c r="C586" s="3" t="s">
        <v>61</v>
      </c>
      <c r="D586" s="3" t="s">
        <v>25</v>
      </c>
      <c r="E586" s="3" t="s">
        <v>25</v>
      </c>
      <c r="F586" s="3" t="s">
        <v>25</v>
      </c>
      <c r="G586" s="3" t="s">
        <v>62</v>
      </c>
      <c r="H586" s="3" t="s">
        <v>36</v>
      </c>
      <c r="I586" s="6">
        <v>44501</v>
      </c>
      <c r="J586" s="4">
        <v>600</v>
      </c>
      <c r="K586" s="4">
        <v>600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3" t="s">
        <v>63</v>
      </c>
      <c r="R586" s="3">
        <v>43</v>
      </c>
      <c r="S586" s="4">
        <v>4</v>
      </c>
      <c r="T586" s="4">
        <v>0</v>
      </c>
      <c r="U586" s="4">
        <v>0</v>
      </c>
      <c r="V586" s="4">
        <f>IF(ISERROR(VLOOKUP($S$586,'TAR FIN'!$A$1:$O$99,15,0)),0,VLOOKUP($S$586,'TAR FIN'!$A$1:$O$99,15,0))</f>
        <v>12.67</v>
      </c>
      <c r="W586" s="4">
        <f>IF(ISERROR(VLOOKUP($T$586,'TAR FIN'!$A$1:$O$99,15,0)),0,VLOOKUP($T$586,'TAR FIN'!$A$1:$O$99,15,0))</f>
        <v>0</v>
      </c>
      <c r="X586" s="4">
        <f>IF(ISERROR(VLOOKUP($U$586,'TAR FIN'!$A$1:$O$99,15,0)),0,VLOOKUP($U$586,'TAR FIN'!$A$1:$O$99,15,0))</f>
        <v>0</v>
      </c>
      <c r="Y586" s="4">
        <f ca="1">('TUSD BE'!$AM$18+'TUSD BF'!$AM$18+'TUSD CVA'!$AM$18)*1</f>
        <v>12.385867955383693</v>
      </c>
      <c r="Z586" s="4">
        <f ca="1">('TUSD BE'!$AM$19+'TUSD BF'!$AM$19+'TUSD CVA'!$AM$19)*1</f>
        <v>20.085616142643524</v>
      </c>
      <c r="AA586" s="4"/>
      <c r="AB586" s="4">
        <f>$K$586*$V$586</f>
        <v>7602</v>
      </c>
      <c r="AC586" s="4">
        <f>$M$586*$W$586</f>
        <v>0</v>
      </c>
      <c r="AD586" s="4">
        <f>$O$586*$X$586</f>
        <v>0</v>
      </c>
      <c r="AE586" s="4">
        <f ca="1">$K$586*$Y$586</f>
        <v>7431.520773230216</v>
      </c>
      <c r="AF586" s="4">
        <f ca="1">$M$586*$Z$586</f>
        <v>0</v>
      </c>
      <c r="AG586" s="4">
        <f>$O$586*$AA$586</f>
        <v>0</v>
      </c>
    </row>
    <row r="587" spans="1:33" ht="11.25" customHeight="1" x14ac:dyDescent="0.25">
      <c r="A587" s="3" t="s">
        <v>21</v>
      </c>
      <c r="B587" s="3" t="s">
        <v>33</v>
      </c>
      <c r="C587" s="3" t="s">
        <v>61</v>
      </c>
      <c r="D587" s="3" t="s">
        <v>25</v>
      </c>
      <c r="E587" s="3" t="s">
        <v>25</v>
      </c>
      <c r="F587" s="3" t="s">
        <v>25</v>
      </c>
      <c r="G587" s="3" t="s">
        <v>62</v>
      </c>
      <c r="H587" s="3" t="s">
        <v>36</v>
      </c>
      <c r="I587" s="6">
        <v>44531</v>
      </c>
      <c r="J587" s="4">
        <v>600</v>
      </c>
      <c r="K587" s="4">
        <v>600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3" t="s">
        <v>63</v>
      </c>
      <c r="R587" s="3">
        <v>43</v>
      </c>
      <c r="S587" s="4">
        <v>4</v>
      </c>
      <c r="T587" s="4">
        <v>0</v>
      </c>
      <c r="U587" s="4">
        <v>0</v>
      </c>
      <c r="V587" s="4">
        <f>IF(ISERROR(VLOOKUP($S$587,'TAR FIN'!$A$1:$O$99,15,0)),0,VLOOKUP($S$587,'TAR FIN'!$A$1:$O$99,15,0))</f>
        <v>12.67</v>
      </c>
      <c r="W587" s="4">
        <f>IF(ISERROR(VLOOKUP($T$587,'TAR FIN'!$A$1:$O$99,15,0)),0,VLOOKUP($T$587,'TAR FIN'!$A$1:$O$99,15,0))</f>
        <v>0</v>
      </c>
      <c r="X587" s="4">
        <f>IF(ISERROR(VLOOKUP($U$587,'TAR FIN'!$A$1:$O$99,15,0)),0,VLOOKUP($U$587,'TAR FIN'!$A$1:$O$99,15,0))</f>
        <v>0</v>
      </c>
      <c r="Y587" s="4">
        <f ca="1">('TUSD BE'!$AM$18+'TUSD BF'!$AM$18+'TUSD CVA'!$AM$18)*1</f>
        <v>12.385867955383693</v>
      </c>
      <c r="Z587" s="4">
        <f ca="1">('TUSD BE'!$AM$19+'TUSD BF'!$AM$19+'TUSD CVA'!$AM$19)*1</f>
        <v>20.085616142643524</v>
      </c>
      <c r="AA587" s="4"/>
      <c r="AB587" s="4">
        <f>$K$587*$V$587</f>
        <v>7602</v>
      </c>
      <c r="AC587" s="4">
        <f>$M$587*$W$587</f>
        <v>0</v>
      </c>
      <c r="AD587" s="4">
        <f>$O$587*$X$587</f>
        <v>0</v>
      </c>
      <c r="AE587" s="4">
        <f ca="1">$K$587*$Y$587</f>
        <v>7431.520773230216</v>
      </c>
      <c r="AF587" s="4">
        <f ca="1">$M$587*$Z$587</f>
        <v>0</v>
      </c>
      <c r="AG587" s="4">
        <f>$O$587*$AA$587</f>
        <v>0</v>
      </c>
    </row>
    <row r="588" spans="1:33" ht="11.25" customHeight="1" x14ac:dyDescent="0.25">
      <c r="A588" s="3" t="s">
        <v>21</v>
      </c>
      <c r="B588" s="3" t="s">
        <v>33</v>
      </c>
      <c r="C588" s="3" t="s">
        <v>61</v>
      </c>
      <c r="D588" s="3" t="s">
        <v>25</v>
      </c>
      <c r="E588" s="3" t="s">
        <v>25</v>
      </c>
      <c r="F588" s="3" t="s">
        <v>25</v>
      </c>
      <c r="G588" s="3" t="s">
        <v>62</v>
      </c>
      <c r="H588" s="3" t="s">
        <v>36</v>
      </c>
      <c r="I588" s="6">
        <v>44562</v>
      </c>
      <c r="J588" s="4">
        <v>600</v>
      </c>
      <c r="K588" s="4">
        <v>600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3" t="s">
        <v>63</v>
      </c>
      <c r="R588" s="3">
        <v>43</v>
      </c>
      <c r="S588" s="4">
        <v>4</v>
      </c>
      <c r="T588" s="4">
        <v>0</v>
      </c>
      <c r="U588" s="4">
        <v>0</v>
      </c>
      <c r="V588" s="4">
        <f>IF(ISERROR(VLOOKUP($S$588,'TAR FIN'!$A$1:$O$99,15,0)),0,VLOOKUP($S$588,'TAR FIN'!$A$1:$O$99,15,0))</f>
        <v>12.67</v>
      </c>
      <c r="W588" s="4">
        <f>IF(ISERROR(VLOOKUP($T$588,'TAR FIN'!$A$1:$O$99,15,0)),0,VLOOKUP($T$588,'TAR FIN'!$A$1:$O$99,15,0))</f>
        <v>0</v>
      </c>
      <c r="X588" s="4">
        <f>IF(ISERROR(VLOOKUP($U$588,'TAR FIN'!$A$1:$O$99,15,0)),0,VLOOKUP($U$588,'TAR FIN'!$A$1:$O$99,15,0))</f>
        <v>0</v>
      </c>
      <c r="Y588" s="4">
        <f ca="1">('TUSD BE'!$AM$18+'TUSD BF'!$AM$18+'TUSD CVA'!$AM$18)*1</f>
        <v>12.385867955383693</v>
      </c>
      <c r="Z588" s="4">
        <f ca="1">('TUSD BE'!$AM$19+'TUSD BF'!$AM$19+'TUSD CVA'!$AM$19)*1</f>
        <v>20.085616142643524</v>
      </c>
      <c r="AA588" s="4"/>
      <c r="AB588" s="4">
        <f>$K$588*$V$588</f>
        <v>7602</v>
      </c>
      <c r="AC588" s="4">
        <f>$M$588*$W$588</f>
        <v>0</v>
      </c>
      <c r="AD588" s="4">
        <f>$O$588*$X$588</f>
        <v>0</v>
      </c>
      <c r="AE588" s="4">
        <f ca="1">$K$588*$Y$588</f>
        <v>7431.520773230216</v>
      </c>
      <c r="AF588" s="4">
        <f ca="1">$M$588*$Z$588</f>
        <v>0</v>
      </c>
      <c r="AG588" s="4">
        <f>$O$588*$AA$588</f>
        <v>0</v>
      </c>
    </row>
    <row r="589" spans="1:33" ht="11.25" customHeight="1" x14ac:dyDescent="0.25">
      <c r="A589" s="3" t="s">
        <v>21</v>
      </c>
      <c r="B589" s="3" t="s">
        <v>33</v>
      </c>
      <c r="C589" s="3" t="s">
        <v>61</v>
      </c>
      <c r="D589" s="3" t="s">
        <v>25</v>
      </c>
      <c r="E589" s="3" t="s">
        <v>25</v>
      </c>
      <c r="F589" s="3" t="s">
        <v>25</v>
      </c>
      <c r="G589" s="3" t="s">
        <v>62</v>
      </c>
      <c r="H589" s="3" t="s">
        <v>36</v>
      </c>
      <c r="I589" s="6">
        <v>44593</v>
      </c>
      <c r="J589" s="4">
        <v>600</v>
      </c>
      <c r="K589" s="4">
        <v>600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3" t="s">
        <v>63</v>
      </c>
      <c r="R589" s="3">
        <v>43</v>
      </c>
      <c r="S589" s="4">
        <v>4</v>
      </c>
      <c r="T589" s="4">
        <v>0</v>
      </c>
      <c r="U589" s="4">
        <v>0</v>
      </c>
      <c r="V589" s="4">
        <f>IF(ISERROR(VLOOKUP($S$589,'TAR FIN'!$A$1:$O$99,15,0)),0,VLOOKUP($S$589,'TAR FIN'!$A$1:$O$99,15,0))</f>
        <v>12.67</v>
      </c>
      <c r="W589" s="4">
        <f>IF(ISERROR(VLOOKUP($T$589,'TAR FIN'!$A$1:$O$99,15,0)),0,VLOOKUP($T$589,'TAR FIN'!$A$1:$O$99,15,0))</f>
        <v>0</v>
      </c>
      <c r="X589" s="4">
        <f>IF(ISERROR(VLOOKUP($U$589,'TAR FIN'!$A$1:$O$99,15,0)),0,VLOOKUP($U$589,'TAR FIN'!$A$1:$O$99,15,0))</f>
        <v>0</v>
      </c>
      <c r="Y589" s="4">
        <f ca="1">('TUSD BE'!$AM$18+'TUSD BF'!$AM$18+'TUSD CVA'!$AM$18)*1</f>
        <v>12.385867955383693</v>
      </c>
      <c r="Z589" s="4">
        <f ca="1">('TUSD BE'!$AM$19+'TUSD BF'!$AM$19+'TUSD CVA'!$AM$19)*1</f>
        <v>20.085616142643524</v>
      </c>
      <c r="AA589" s="4"/>
      <c r="AB589" s="4">
        <f>$K$589*$V$589</f>
        <v>7602</v>
      </c>
      <c r="AC589" s="4">
        <f>$M$589*$W$589</f>
        <v>0</v>
      </c>
      <c r="AD589" s="4">
        <f>$O$589*$X$589</f>
        <v>0</v>
      </c>
      <c r="AE589" s="4">
        <f ca="1">$K$589*$Y$589</f>
        <v>7431.520773230216</v>
      </c>
      <c r="AF589" s="4">
        <f ca="1">$M$589*$Z$589</f>
        <v>0</v>
      </c>
      <c r="AG589" s="4">
        <f>$O$589*$AA$589</f>
        <v>0</v>
      </c>
    </row>
    <row r="590" spans="1:33" ht="11.25" customHeight="1" x14ac:dyDescent="0.25">
      <c r="A590" s="3" t="s">
        <v>21</v>
      </c>
      <c r="B590" s="3" t="s">
        <v>33</v>
      </c>
      <c r="C590" s="3" t="s">
        <v>61</v>
      </c>
      <c r="D590" s="3" t="s">
        <v>25</v>
      </c>
      <c r="E590" s="3" t="s">
        <v>25</v>
      </c>
      <c r="F590" s="3" t="s">
        <v>25</v>
      </c>
      <c r="G590" s="3" t="s">
        <v>62</v>
      </c>
      <c r="H590" s="3" t="s">
        <v>36</v>
      </c>
      <c r="I590" s="6">
        <v>44621</v>
      </c>
      <c r="J590" s="4">
        <v>600</v>
      </c>
      <c r="K590" s="4">
        <v>600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3" t="s">
        <v>63</v>
      </c>
      <c r="R590" s="3">
        <v>43</v>
      </c>
      <c r="S590" s="4">
        <v>4</v>
      </c>
      <c r="T590" s="4">
        <v>0</v>
      </c>
      <c r="U590" s="4">
        <v>0</v>
      </c>
      <c r="V590" s="4">
        <f>IF(ISERROR(VLOOKUP($S$590,'TAR FIN'!$A$1:$O$99,15,0)),0,VLOOKUP($S$590,'TAR FIN'!$A$1:$O$99,15,0))</f>
        <v>12.67</v>
      </c>
      <c r="W590" s="4">
        <f>IF(ISERROR(VLOOKUP($T$590,'TAR FIN'!$A$1:$O$99,15,0)),0,VLOOKUP($T$590,'TAR FIN'!$A$1:$O$99,15,0))</f>
        <v>0</v>
      </c>
      <c r="X590" s="4">
        <f>IF(ISERROR(VLOOKUP($U$590,'TAR FIN'!$A$1:$O$99,15,0)),0,VLOOKUP($U$590,'TAR FIN'!$A$1:$O$99,15,0))</f>
        <v>0</v>
      </c>
      <c r="Y590" s="4">
        <f ca="1">('TUSD BE'!$AM$18+'TUSD BF'!$AM$18+'TUSD CVA'!$AM$18)*1</f>
        <v>12.385867955383693</v>
      </c>
      <c r="Z590" s="4">
        <f ca="1">('TUSD BE'!$AM$19+'TUSD BF'!$AM$19+'TUSD CVA'!$AM$19)*1</f>
        <v>20.085616142643524</v>
      </c>
      <c r="AA590" s="4"/>
      <c r="AB590" s="4">
        <f>$K$590*$V$590</f>
        <v>7602</v>
      </c>
      <c r="AC590" s="4">
        <f>$M$590*$W$590</f>
        <v>0</v>
      </c>
      <c r="AD590" s="4">
        <f>$O$590*$X$590</f>
        <v>0</v>
      </c>
      <c r="AE590" s="4">
        <f ca="1">$K$590*$Y$590</f>
        <v>7431.520773230216</v>
      </c>
      <c r="AF590" s="4">
        <f ca="1">$M$590*$Z$590</f>
        <v>0</v>
      </c>
      <c r="AG590" s="4">
        <f>$O$590*$AA$590</f>
        <v>0</v>
      </c>
    </row>
    <row r="591" spans="1:33" ht="11.25" customHeight="1" x14ac:dyDescent="0.25">
      <c r="A591" s="3" t="s">
        <v>56</v>
      </c>
      <c r="B591" s="3" t="s">
        <v>33</v>
      </c>
      <c r="C591" s="3" t="s">
        <v>61</v>
      </c>
      <c r="D591" s="3" t="s">
        <v>25</v>
      </c>
      <c r="E591" s="3" t="s">
        <v>25</v>
      </c>
      <c r="F591" s="3" t="s">
        <v>25</v>
      </c>
      <c r="G591" s="3" t="s">
        <v>62</v>
      </c>
      <c r="H591" s="3" t="s">
        <v>36</v>
      </c>
      <c r="I591" s="6">
        <v>44652</v>
      </c>
      <c r="J591" s="4">
        <v>600</v>
      </c>
      <c r="K591" s="4">
        <v>600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3" t="s">
        <v>63</v>
      </c>
      <c r="R591" s="3">
        <v>43</v>
      </c>
      <c r="S591" s="4">
        <v>4</v>
      </c>
      <c r="T591" s="4">
        <v>0</v>
      </c>
      <c r="U591" s="4">
        <v>0</v>
      </c>
      <c r="V591" s="4">
        <f>IF(ISERROR(VLOOKUP($S$591,'TAR FIN'!$A$1:$O$99,15,0)),0,VLOOKUP($S$591,'TAR FIN'!$A$1:$O$99,15,0))</f>
        <v>12.67</v>
      </c>
      <c r="W591" s="4">
        <f>IF(ISERROR(VLOOKUP($T$591,'TAR FIN'!$A$1:$O$99,15,0)),0,VLOOKUP($T$591,'TAR FIN'!$A$1:$O$99,15,0))</f>
        <v>0</v>
      </c>
      <c r="X591" s="4">
        <f>IF(ISERROR(VLOOKUP($U$591,'TAR FIN'!$A$1:$O$99,15,0)),0,VLOOKUP($U$591,'TAR FIN'!$A$1:$O$99,15,0))</f>
        <v>0</v>
      </c>
      <c r="Y591" s="4">
        <f ca="1">('TUSD BE'!$AM$18+'TUSD BF'!$AM$18+'TUSD CVA'!$AM$18)*1</f>
        <v>12.385867955383693</v>
      </c>
      <c r="Z591" s="4">
        <f ca="1">('TUSD BE'!$AM$19+'TUSD BF'!$AM$19+'TUSD CVA'!$AM$19)*1</f>
        <v>20.085616142643524</v>
      </c>
      <c r="AA591" s="4"/>
      <c r="AB591" s="4">
        <f>$K$591*$V$591</f>
        <v>7602</v>
      </c>
      <c r="AC591" s="4">
        <f>$M$591*$W$591</f>
        <v>0</v>
      </c>
      <c r="AD591" s="4">
        <f>$O$591*$X$591</f>
        <v>0</v>
      </c>
      <c r="AE591" s="4">
        <f ca="1">$K$591*$Y$591</f>
        <v>7431.520773230216</v>
      </c>
      <c r="AF591" s="4">
        <f ca="1">$M$591*$Z$591</f>
        <v>0</v>
      </c>
      <c r="AG591" s="4">
        <f>$O$591*$AA$591</f>
        <v>0</v>
      </c>
    </row>
    <row r="592" spans="1:33" ht="11.25" customHeight="1" x14ac:dyDescent="0.25">
      <c r="A592" s="3" t="s">
        <v>21</v>
      </c>
      <c r="B592" s="3" t="s">
        <v>33</v>
      </c>
      <c r="C592" s="3" t="s">
        <v>61</v>
      </c>
      <c r="D592" s="3" t="s">
        <v>25</v>
      </c>
      <c r="E592" s="3" t="s">
        <v>25</v>
      </c>
      <c r="F592" s="3" t="s">
        <v>25</v>
      </c>
      <c r="G592" s="3" t="s">
        <v>62</v>
      </c>
      <c r="H592" s="3" t="s">
        <v>25</v>
      </c>
      <c r="I592" s="6">
        <v>44317</v>
      </c>
      <c r="J592" s="4">
        <v>0</v>
      </c>
      <c r="K592" s="4">
        <v>0</v>
      </c>
      <c r="L592" s="4">
        <v>237.31200000000001</v>
      </c>
      <c r="M592" s="4">
        <v>237.31200000000001</v>
      </c>
      <c r="N592" s="4">
        <v>0</v>
      </c>
      <c r="O592" s="4">
        <v>0</v>
      </c>
      <c r="P592" s="4">
        <v>0</v>
      </c>
      <c r="Q592" s="3" t="s">
        <v>63</v>
      </c>
      <c r="R592" s="3">
        <v>43</v>
      </c>
      <c r="S592" s="4">
        <v>0</v>
      </c>
      <c r="T592" s="4">
        <v>5</v>
      </c>
      <c r="U592" s="4">
        <v>0</v>
      </c>
      <c r="V592" s="4">
        <f>IF(ISERROR(VLOOKUP($S$592,'TAR FIN'!$A$1:$O$99,15,0)),0,VLOOKUP($S$592,'TAR FIN'!$A$1:$O$99,15,0))</f>
        <v>0</v>
      </c>
      <c r="W592" s="4">
        <f>IF(ISERROR(VLOOKUP($T$592,'TAR FIN'!$A$1:$O$99,15,0)),0,VLOOKUP($T$592,'TAR FIN'!$A$1:$O$99,15,0))</f>
        <v>17.72</v>
      </c>
      <c r="X592" s="4">
        <f>IF(ISERROR(VLOOKUP($U$592,'TAR FIN'!$A$1:$O$99,15,0)),0,VLOOKUP($U$592,'TAR FIN'!$A$1:$O$99,15,0))</f>
        <v>0</v>
      </c>
      <c r="Y592" s="4">
        <f ca="1">0.72*('TUSD BE'!$AM$17+'TUSD BF'!$AM$17+'TUSD CVA'!$AM$17)*1+('TUSD BE'!$AM$18+'TUSD BF'!$AM$18+'TUSD CVA'!$AM$18)*1</f>
        <v>34.346475398327271</v>
      </c>
      <c r="Z592" s="4">
        <f ca="1">('TUSD BE'!$AM$19+'TUSD BF'!$AM$19+'TUSD CVA'!$AM$19)*1</f>
        <v>20.085616142643524</v>
      </c>
      <c r="AA592" s="4"/>
      <c r="AB592" s="4">
        <f>$K$592*$V$592</f>
        <v>0</v>
      </c>
      <c r="AC592" s="4">
        <f>$M$592*$W$592</f>
        <v>4205.1686399999999</v>
      </c>
      <c r="AD592" s="4">
        <f>$O$592*$X$592</f>
        <v>0</v>
      </c>
      <c r="AE592" s="4">
        <f ca="1">$K$592*$Y$592</f>
        <v>0</v>
      </c>
      <c r="AF592" s="4">
        <f ca="1">$M$592*$Z$592</f>
        <v>4766.5577380430204</v>
      </c>
      <c r="AG592" s="4">
        <f>$O$592*$AA$592</f>
        <v>0</v>
      </c>
    </row>
    <row r="593" spans="1:33" ht="11.25" customHeight="1" x14ac:dyDescent="0.25">
      <c r="A593" s="3" t="s">
        <v>21</v>
      </c>
      <c r="B593" s="3" t="s">
        <v>33</v>
      </c>
      <c r="C593" s="3" t="s">
        <v>61</v>
      </c>
      <c r="D593" s="3" t="s">
        <v>25</v>
      </c>
      <c r="E593" s="3" t="s">
        <v>25</v>
      </c>
      <c r="F593" s="3" t="s">
        <v>25</v>
      </c>
      <c r="G593" s="3" t="s">
        <v>62</v>
      </c>
      <c r="H593" s="3" t="s">
        <v>25</v>
      </c>
      <c r="I593" s="6">
        <v>44348</v>
      </c>
      <c r="J593" s="4">
        <v>0</v>
      </c>
      <c r="K593" s="4">
        <v>0</v>
      </c>
      <c r="L593" s="4">
        <v>216.12200000000001</v>
      </c>
      <c r="M593" s="4">
        <v>216.12200000000001</v>
      </c>
      <c r="N593" s="4">
        <v>0</v>
      </c>
      <c r="O593" s="4">
        <v>0</v>
      </c>
      <c r="P593" s="4">
        <v>0</v>
      </c>
      <c r="Q593" s="3" t="s">
        <v>63</v>
      </c>
      <c r="R593" s="3">
        <v>43</v>
      </c>
      <c r="S593" s="4">
        <v>0</v>
      </c>
      <c r="T593" s="4">
        <v>5</v>
      </c>
      <c r="U593" s="4">
        <v>0</v>
      </c>
      <c r="V593" s="4">
        <f>IF(ISERROR(VLOOKUP($S$593,'TAR FIN'!$A$1:$O$99,15,0)),0,VLOOKUP($S$593,'TAR FIN'!$A$1:$O$99,15,0))</f>
        <v>0</v>
      </c>
      <c r="W593" s="4">
        <f>IF(ISERROR(VLOOKUP($T$593,'TAR FIN'!$A$1:$O$99,15,0)),0,VLOOKUP($T$593,'TAR FIN'!$A$1:$O$99,15,0))</f>
        <v>17.72</v>
      </c>
      <c r="X593" s="4">
        <f>IF(ISERROR(VLOOKUP($U$593,'TAR FIN'!$A$1:$O$99,15,0)),0,VLOOKUP($U$593,'TAR FIN'!$A$1:$O$99,15,0))</f>
        <v>0</v>
      </c>
      <c r="Y593" s="4">
        <f ca="1">0.72*('TUSD BE'!$AM$17+'TUSD BF'!$AM$17+'TUSD CVA'!$AM$17)*1+('TUSD BE'!$AM$18+'TUSD BF'!$AM$18+'TUSD CVA'!$AM$18)*1</f>
        <v>34.346475398327271</v>
      </c>
      <c r="Z593" s="4">
        <f ca="1">('TUSD BE'!$AM$19+'TUSD BF'!$AM$19+'TUSD CVA'!$AM$19)*1</f>
        <v>20.085616142643524</v>
      </c>
      <c r="AA593" s="4"/>
      <c r="AB593" s="4">
        <f>$K$593*$V$593</f>
        <v>0</v>
      </c>
      <c r="AC593" s="4">
        <f>$M$593*$W$593</f>
        <v>3829.6818400000002</v>
      </c>
      <c r="AD593" s="4">
        <f>$O$593*$X$593</f>
        <v>0</v>
      </c>
      <c r="AE593" s="4">
        <f ca="1">$K$593*$Y$593</f>
        <v>0</v>
      </c>
      <c r="AF593" s="4">
        <f ca="1">$M$593*$Z$593</f>
        <v>4340.9435319804043</v>
      </c>
      <c r="AG593" s="4">
        <f>$O$593*$AA$593</f>
        <v>0</v>
      </c>
    </row>
    <row r="594" spans="1:33" ht="11.25" customHeight="1" x14ac:dyDescent="0.25">
      <c r="A594" s="3" t="s">
        <v>21</v>
      </c>
      <c r="B594" s="3" t="s">
        <v>33</v>
      </c>
      <c r="C594" s="3" t="s">
        <v>61</v>
      </c>
      <c r="D594" s="3" t="s">
        <v>25</v>
      </c>
      <c r="E594" s="3" t="s">
        <v>25</v>
      </c>
      <c r="F594" s="3" t="s">
        <v>25</v>
      </c>
      <c r="G594" s="3" t="s">
        <v>62</v>
      </c>
      <c r="H594" s="3" t="s">
        <v>25</v>
      </c>
      <c r="I594" s="6">
        <v>44378</v>
      </c>
      <c r="J594" s="4">
        <v>0</v>
      </c>
      <c r="K594" s="4">
        <v>0</v>
      </c>
      <c r="L594" s="4">
        <v>221.47499999999999</v>
      </c>
      <c r="M594" s="4">
        <v>221.47499999999999</v>
      </c>
      <c r="N594" s="4">
        <v>0</v>
      </c>
      <c r="O594" s="4">
        <v>0</v>
      </c>
      <c r="P594" s="4">
        <v>0</v>
      </c>
      <c r="Q594" s="3" t="s">
        <v>63</v>
      </c>
      <c r="R594" s="3">
        <v>43</v>
      </c>
      <c r="S594" s="4">
        <v>0</v>
      </c>
      <c r="T594" s="4">
        <v>5</v>
      </c>
      <c r="U594" s="4">
        <v>0</v>
      </c>
      <c r="V594" s="4">
        <f>IF(ISERROR(VLOOKUP($S$594,'TAR FIN'!$A$1:$O$99,15,0)),0,VLOOKUP($S$594,'TAR FIN'!$A$1:$O$99,15,0))</f>
        <v>0</v>
      </c>
      <c r="W594" s="4">
        <f>IF(ISERROR(VLOOKUP($T$594,'TAR FIN'!$A$1:$O$99,15,0)),0,VLOOKUP($T$594,'TAR FIN'!$A$1:$O$99,15,0))</f>
        <v>17.72</v>
      </c>
      <c r="X594" s="4">
        <f>IF(ISERROR(VLOOKUP($U$594,'TAR FIN'!$A$1:$O$99,15,0)),0,VLOOKUP($U$594,'TAR FIN'!$A$1:$O$99,15,0))</f>
        <v>0</v>
      </c>
      <c r="Y594" s="4">
        <f ca="1">0.72*('TUSD BE'!$AM$17+'TUSD BF'!$AM$17+'TUSD CVA'!$AM$17)*1+('TUSD BE'!$AM$18+'TUSD BF'!$AM$18+'TUSD CVA'!$AM$18)*1</f>
        <v>34.346475398327271</v>
      </c>
      <c r="Z594" s="4">
        <f ca="1">('TUSD BE'!$AM$19+'TUSD BF'!$AM$19+'TUSD CVA'!$AM$19)*1</f>
        <v>20.085616142643524</v>
      </c>
      <c r="AA594" s="4"/>
      <c r="AB594" s="4">
        <f>$K$594*$V$594</f>
        <v>0</v>
      </c>
      <c r="AC594" s="4">
        <f>$M$594*$W$594</f>
        <v>3924.5369999999998</v>
      </c>
      <c r="AD594" s="4">
        <f>$O$594*$X$594</f>
        <v>0</v>
      </c>
      <c r="AE594" s="4">
        <f ca="1">$K$594*$Y$594</f>
        <v>0</v>
      </c>
      <c r="AF594" s="4">
        <f ca="1">$M$594*$Z$594</f>
        <v>4448.4618351919744</v>
      </c>
      <c r="AG594" s="4">
        <f>$O$594*$AA$594</f>
        <v>0</v>
      </c>
    </row>
    <row r="595" spans="1:33" ht="11.25" customHeight="1" x14ac:dyDescent="0.25">
      <c r="A595" s="3" t="s">
        <v>21</v>
      </c>
      <c r="B595" s="3" t="s">
        <v>33</v>
      </c>
      <c r="C595" s="3" t="s">
        <v>61</v>
      </c>
      <c r="D595" s="3" t="s">
        <v>25</v>
      </c>
      <c r="E595" s="3" t="s">
        <v>25</v>
      </c>
      <c r="F595" s="3" t="s">
        <v>25</v>
      </c>
      <c r="G595" s="3" t="s">
        <v>62</v>
      </c>
      <c r="H595" s="3" t="s">
        <v>25</v>
      </c>
      <c r="I595" s="6">
        <v>44409</v>
      </c>
      <c r="J595" s="4">
        <v>0</v>
      </c>
      <c r="K595" s="4">
        <v>0</v>
      </c>
      <c r="L595" s="4">
        <v>217.27799999999999</v>
      </c>
      <c r="M595" s="4">
        <v>217.27799999999999</v>
      </c>
      <c r="N595" s="4">
        <v>0</v>
      </c>
      <c r="O595" s="4">
        <v>0</v>
      </c>
      <c r="P595" s="4">
        <v>0</v>
      </c>
      <c r="Q595" s="3" t="s">
        <v>63</v>
      </c>
      <c r="R595" s="3">
        <v>43</v>
      </c>
      <c r="S595" s="4">
        <v>0</v>
      </c>
      <c r="T595" s="4">
        <v>5</v>
      </c>
      <c r="U595" s="4">
        <v>0</v>
      </c>
      <c r="V595" s="4">
        <f>IF(ISERROR(VLOOKUP($S$595,'TAR FIN'!$A$1:$O$99,15,0)),0,VLOOKUP($S$595,'TAR FIN'!$A$1:$O$99,15,0))</f>
        <v>0</v>
      </c>
      <c r="W595" s="4">
        <f>IF(ISERROR(VLOOKUP($T$595,'TAR FIN'!$A$1:$O$99,15,0)),0,VLOOKUP($T$595,'TAR FIN'!$A$1:$O$99,15,0))</f>
        <v>17.72</v>
      </c>
      <c r="X595" s="4">
        <f>IF(ISERROR(VLOOKUP($U$595,'TAR FIN'!$A$1:$O$99,15,0)),0,VLOOKUP($U$595,'TAR FIN'!$A$1:$O$99,15,0))</f>
        <v>0</v>
      </c>
      <c r="Y595" s="4">
        <f ca="1">0.72*('TUSD BE'!$AM$17+'TUSD BF'!$AM$17+'TUSD CVA'!$AM$17)*1+('TUSD BE'!$AM$18+'TUSD BF'!$AM$18+'TUSD CVA'!$AM$18)*1</f>
        <v>34.346475398327271</v>
      </c>
      <c r="Z595" s="4">
        <f ca="1">('TUSD BE'!$AM$19+'TUSD BF'!$AM$19+'TUSD CVA'!$AM$19)*1</f>
        <v>20.085616142643524</v>
      </c>
      <c r="AA595" s="4"/>
      <c r="AB595" s="4">
        <f>$K$595*$V$595</f>
        <v>0</v>
      </c>
      <c r="AC595" s="4">
        <f>$M$595*$W$595</f>
        <v>3850.1661599999998</v>
      </c>
      <c r="AD595" s="4">
        <f>$O$595*$X$595</f>
        <v>0</v>
      </c>
      <c r="AE595" s="4">
        <f ca="1">$K$595*$Y$595</f>
        <v>0</v>
      </c>
      <c r="AF595" s="4">
        <f ca="1">$M$595*$Z$595</f>
        <v>4364.1625042412998</v>
      </c>
      <c r="AG595" s="4">
        <f>$O$595*$AA$595</f>
        <v>0</v>
      </c>
    </row>
    <row r="596" spans="1:33" ht="11.25" customHeight="1" x14ac:dyDescent="0.25">
      <c r="A596" s="3" t="s">
        <v>21</v>
      </c>
      <c r="B596" s="3" t="s">
        <v>33</v>
      </c>
      <c r="C596" s="3" t="s">
        <v>61</v>
      </c>
      <c r="D596" s="3" t="s">
        <v>25</v>
      </c>
      <c r="E596" s="3" t="s">
        <v>25</v>
      </c>
      <c r="F596" s="3" t="s">
        <v>25</v>
      </c>
      <c r="G596" s="3" t="s">
        <v>62</v>
      </c>
      <c r="H596" s="3" t="s">
        <v>25</v>
      </c>
      <c r="I596" s="6">
        <v>44440</v>
      </c>
      <c r="J596" s="4">
        <v>0</v>
      </c>
      <c r="K596" s="4">
        <v>0</v>
      </c>
      <c r="L596" s="4">
        <v>219.21600000000001</v>
      </c>
      <c r="M596" s="4">
        <v>219.21600000000001</v>
      </c>
      <c r="N596" s="4">
        <v>0</v>
      </c>
      <c r="O596" s="4">
        <v>0</v>
      </c>
      <c r="P596" s="4">
        <v>0</v>
      </c>
      <c r="Q596" s="3" t="s">
        <v>63</v>
      </c>
      <c r="R596" s="3">
        <v>43</v>
      </c>
      <c r="S596" s="4">
        <v>0</v>
      </c>
      <c r="T596" s="4">
        <v>5</v>
      </c>
      <c r="U596" s="4">
        <v>0</v>
      </c>
      <c r="V596" s="4">
        <f>IF(ISERROR(VLOOKUP($S$596,'TAR FIN'!$A$1:$O$99,15,0)),0,VLOOKUP($S$596,'TAR FIN'!$A$1:$O$99,15,0))</f>
        <v>0</v>
      </c>
      <c r="W596" s="4">
        <f>IF(ISERROR(VLOOKUP($T$596,'TAR FIN'!$A$1:$O$99,15,0)),0,VLOOKUP($T$596,'TAR FIN'!$A$1:$O$99,15,0))</f>
        <v>17.72</v>
      </c>
      <c r="X596" s="4">
        <f>IF(ISERROR(VLOOKUP($U$596,'TAR FIN'!$A$1:$O$99,15,0)),0,VLOOKUP($U$596,'TAR FIN'!$A$1:$O$99,15,0))</f>
        <v>0</v>
      </c>
      <c r="Y596" s="4">
        <f ca="1">0.72*('TUSD BE'!$AM$17+'TUSD BF'!$AM$17+'TUSD CVA'!$AM$17)*1+('TUSD BE'!$AM$18+'TUSD BF'!$AM$18+'TUSD CVA'!$AM$18)*1</f>
        <v>34.346475398327271</v>
      </c>
      <c r="Z596" s="4">
        <f ca="1">('TUSD BE'!$AM$19+'TUSD BF'!$AM$19+'TUSD CVA'!$AM$19)*1</f>
        <v>20.085616142643524</v>
      </c>
      <c r="AA596" s="4"/>
      <c r="AB596" s="4">
        <f>$K$596*$V$596</f>
        <v>0</v>
      </c>
      <c r="AC596" s="4">
        <f>$M$596*$W$596</f>
        <v>3884.5075200000001</v>
      </c>
      <c r="AD596" s="4">
        <f>$O$596*$X$596</f>
        <v>0</v>
      </c>
      <c r="AE596" s="4">
        <f ca="1">$K$596*$Y$596</f>
        <v>0</v>
      </c>
      <c r="AF596" s="4">
        <f ca="1">$M$596*$Z$596</f>
        <v>4403.0884283257428</v>
      </c>
      <c r="AG596" s="4">
        <f>$O$596*$AA$596</f>
        <v>0</v>
      </c>
    </row>
    <row r="597" spans="1:33" ht="11.25" customHeight="1" x14ac:dyDescent="0.25">
      <c r="A597" s="3" t="s">
        <v>21</v>
      </c>
      <c r="B597" s="3" t="s">
        <v>33</v>
      </c>
      <c r="C597" s="3" t="s">
        <v>61</v>
      </c>
      <c r="D597" s="3" t="s">
        <v>25</v>
      </c>
      <c r="E597" s="3" t="s">
        <v>25</v>
      </c>
      <c r="F597" s="3" t="s">
        <v>25</v>
      </c>
      <c r="G597" s="3" t="s">
        <v>62</v>
      </c>
      <c r="H597" s="3" t="s">
        <v>25</v>
      </c>
      <c r="I597" s="6">
        <v>44470</v>
      </c>
      <c r="J597" s="4">
        <v>0</v>
      </c>
      <c r="K597" s="4">
        <v>0</v>
      </c>
      <c r="L597" s="4">
        <v>241.21199999999999</v>
      </c>
      <c r="M597" s="4">
        <v>241.21199999999999</v>
      </c>
      <c r="N597" s="4">
        <v>0</v>
      </c>
      <c r="O597" s="4">
        <v>0</v>
      </c>
      <c r="P597" s="4">
        <v>0</v>
      </c>
      <c r="Q597" s="3" t="s">
        <v>63</v>
      </c>
      <c r="R597" s="3">
        <v>43</v>
      </c>
      <c r="S597" s="4">
        <v>0</v>
      </c>
      <c r="T597" s="4">
        <v>5</v>
      </c>
      <c r="U597" s="4">
        <v>0</v>
      </c>
      <c r="V597" s="4">
        <f>IF(ISERROR(VLOOKUP($S$597,'TAR FIN'!$A$1:$O$99,15,0)),0,VLOOKUP($S$597,'TAR FIN'!$A$1:$O$99,15,0))</f>
        <v>0</v>
      </c>
      <c r="W597" s="4">
        <f>IF(ISERROR(VLOOKUP($T$597,'TAR FIN'!$A$1:$O$99,15,0)),0,VLOOKUP($T$597,'TAR FIN'!$A$1:$O$99,15,0))</f>
        <v>17.72</v>
      </c>
      <c r="X597" s="4">
        <f>IF(ISERROR(VLOOKUP($U$597,'TAR FIN'!$A$1:$O$99,15,0)),0,VLOOKUP($U$597,'TAR FIN'!$A$1:$O$99,15,0))</f>
        <v>0</v>
      </c>
      <c r="Y597" s="4">
        <f ca="1">0.72*('TUSD BE'!$AM$17+'TUSD BF'!$AM$17+'TUSD CVA'!$AM$17)*1+('TUSD BE'!$AM$18+'TUSD BF'!$AM$18+'TUSD CVA'!$AM$18)*1</f>
        <v>34.346475398327271</v>
      </c>
      <c r="Z597" s="4">
        <f ca="1">('TUSD BE'!$AM$19+'TUSD BF'!$AM$19+'TUSD CVA'!$AM$19)*1</f>
        <v>20.085616142643524</v>
      </c>
      <c r="AA597" s="4"/>
      <c r="AB597" s="4">
        <f>$K$597*$V$597</f>
        <v>0</v>
      </c>
      <c r="AC597" s="4">
        <f>$M$597*$W$597</f>
        <v>4274.2766399999991</v>
      </c>
      <c r="AD597" s="4">
        <f>$O$597*$X$597</f>
        <v>0</v>
      </c>
      <c r="AE597" s="4">
        <f ca="1">$K$597*$Y$597</f>
        <v>0</v>
      </c>
      <c r="AF597" s="4">
        <f ca="1">$M$597*$Z$597</f>
        <v>4844.891640999329</v>
      </c>
      <c r="AG597" s="4">
        <f>$O$597*$AA$597</f>
        <v>0</v>
      </c>
    </row>
    <row r="598" spans="1:33" ht="11.25" customHeight="1" x14ac:dyDescent="0.25">
      <c r="A598" s="3" t="s">
        <v>21</v>
      </c>
      <c r="B598" s="3" t="s">
        <v>33</v>
      </c>
      <c r="C598" s="3" t="s">
        <v>61</v>
      </c>
      <c r="D598" s="3" t="s">
        <v>25</v>
      </c>
      <c r="E598" s="3" t="s">
        <v>25</v>
      </c>
      <c r="F598" s="3" t="s">
        <v>25</v>
      </c>
      <c r="G598" s="3" t="s">
        <v>62</v>
      </c>
      <c r="H598" s="3" t="s">
        <v>25</v>
      </c>
      <c r="I598" s="6">
        <v>44501</v>
      </c>
      <c r="J598" s="4">
        <v>0</v>
      </c>
      <c r="K598" s="4">
        <v>0</v>
      </c>
      <c r="L598" s="4">
        <v>250.42400000000001</v>
      </c>
      <c r="M598" s="4">
        <v>250.42400000000001</v>
      </c>
      <c r="N598" s="4">
        <v>0</v>
      </c>
      <c r="O598" s="4">
        <v>0</v>
      </c>
      <c r="P598" s="4">
        <v>0</v>
      </c>
      <c r="Q598" s="3" t="s">
        <v>63</v>
      </c>
      <c r="R598" s="3">
        <v>43</v>
      </c>
      <c r="S598" s="4">
        <v>0</v>
      </c>
      <c r="T598" s="4">
        <v>5</v>
      </c>
      <c r="U598" s="4">
        <v>0</v>
      </c>
      <c r="V598" s="4">
        <f>IF(ISERROR(VLOOKUP($S$598,'TAR FIN'!$A$1:$O$99,15,0)),0,VLOOKUP($S$598,'TAR FIN'!$A$1:$O$99,15,0))</f>
        <v>0</v>
      </c>
      <c r="W598" s="4">
        <f>IF(ISERROR(VLOOKUP($T$598,'TAR FIN'!$A$1:$O$99,15,0)),0,VLOOKUP($T$598,'TAR FIN'!$A$1:$O$99,15,0))</f>
        <v>17.72</v>
      </c>
      <c r="X598" s="4">
        <f>IF(ISERROR(VLOOKUP($U$598,'TAR FIN'!$A$1:$O$99,15,0)),0,VLOOKUP($U$598,'TAR FIN'!$A$1:$O$99,15,0))</f>
        <v>0</v>
      </c>
      <c r="Y598" s="4">
        <f ca="1">0.72*('TUSD BE'!$AM$17+'TUSD BF'!$AM$17+'TUSD CVA'!$AM$17)*1+('TUSD BE'!$AM$18+'TUSD BF'!$AM$18+'TUSD CVA'!$AM$18)*1</f>
        <v>34.346475398327271</v>
      </c>
      <c r="Z598" s="4">
        <f ca="1">('TUSD BE'!$AM$19+'TUSD BF'!$AM$19+'TUSD CVA'!$AM$19)*1</f>
        <v>20.085616142643524</v>
      </c>
      <c r="AA598" s="4"/>
      <c r="AB598" s="4">
        <f>$K$598*$V$598</f>
        <v>0</v>
      </c>
      <c r="AC598" s="4">
        <f>$M$598*$W$598</f>
        <v>4437.5132800000001</v>
      </c>
      <c r="AD598" s="4">
        <f>$O$598*$X$598</f>
        <v>0</v>
      </c>
      <c r="AE598" s="4">
        <f ca="1">$K$598*$Y$598</f>
        <v>0</v>
      </c>
      <c r="AF598" s="4">
        <f ca="1">$M$598*$Z$598</f>
        <v>5029.9203369053621</v>
      </c>
      <c r="AG598" s="4">
        <f>$O$598*$AA$598</f>
        <v>0</v>
      </c>
    </row>
    <row r="599" spans="1:33" ht="11.25" customHeight="1" x14ac:dyDescent="0.25">
      <c r="A599" s="3" t="s">
        <v>21</v>
      </c>
      <c r="B599" s="3" t="s">
        <v>33</v>
      </c>
      <c r="C599" s="3" t="s">
        <v>61</v>
      </c>
      <c r="D599" s="3" t="s">
        <v>25</v>
      </c>
      <c r="E599" s="3" t="s">
        <v>25</v>
      </c>
      <c r="F599" s="3" t="s">
        <v>25</v>
      </c>
      <c r="G599" s="3" t="s">
        <v>62</v>
      </c>
      <c r="H599" s="3" t="s">
        <v>25</v>
      </c>
      <c r="I599" s="6">
        <v>44531</v>
      </c>
      <c r="J599" s="4">
        <v>0</v>
      </c>
      <c r="K599" s="4">
        <v>0</v>
      </c>
      <c r="L599" s="4">
        <v>261.13099999999997</v>
      </c>
      <c r="M599" s="4">
        <v>261.13099999999997</v>
      </c>
      <c r="N599" s="4">
        <v>0</v>
      </c>
      <c r="O599" s="4">
        <v>0</v>
      </c>
      <c r="P599" s="4">
        <v>0</v>
      </c>
      <c r="Q599" s="3" t="s">
        <v>63</v>
      </c>
      <c r="R599" s="3">
        <v>43</v>
      </c>
      <c r="S599" s="4">
        <v>0</v>
      </c>
      <c r="T599" s="4">
        <v>5</v>
      </c>
      <c r="U599" s="4">
        <v>0</v>
      </c>
      <c r="V599" s="4">
        <f>IF(ISERROR(VLOOKUP($S$599,'TAR FIN'!$A$1:$O$99,15,0)),0,VLOOKUP($S$599,'TAR FIN'!$A$1:$O$99,15,0))</f>
        <v>0</v>
      </c>
      <c r="W599" s="4">
        <f>IF(ISERROR(VLOOKUP($T$599,'TAR FIN'!$A$1:$O$99,15,0)),0,VLOOKUP($T$599,'TAR FIN'!$A$1:$O$99,15,0))</f>
        <v>17.72</v>
      </c>
      <c r="X599" s="4">
        <f>IF(ISERROR(VLOOKUP($U$599,'TAR FIN'!$A$1:$O$99,15,0)),0,VLOOKUP($U$599,'TAR FIN'!$A$1:$O$99,15,0))</f>
        <v>0</v>
      </c>
      <c r="Y599" s="4">
        <f ca="1">0.72*('TUSD BE'!$AM$17+'TUSD BF'!$AM$17+'TUSD CVA'!$AM$17)*1+('TUSD BE'!$AM$18+'TUSD BF'!$AM$18+'TUSD CVA'!$AM$18)*1</f>
        <v>34.346475398327271</v>
      </c>
      <c r="Z599" s="4">
        <f ca="1">('TUSD BE'!$AM$19+'TUSD BF'!$AM$19+'TUSD CVA'!$AM$19)*1</f>
        <v>20.085616142643524</v>
      </c>
      <c r="AA599" s="4"/>
      <c r="AB599" s="4">
        <f>$K$599*$V$599</f>
        <v>0</v>
      </c>
      <c r="AC599" s="4">
        <f>$M$599*$W$599</f>
        <v>4627.2413199999992</v>
      </c>
      <c r="AD599" s="4">
        <f>$O$599*$X$599</f>
        <v>0</v>
      </c>
      <c r="AE599" s="4">
        <f ca="1">$K$599*$Y$599</f>
        <v>0</v>
      </c>
      <c r="AF599" s="4">
        <f ca="1">$M$599*$Z$599</f>
        <v>5244.9770289446451</v>
      </c>
      <c r="AG599" s="4">
        <f>$O$599*$AA$599</f>
        <v>0</v>
      </c>
    </row>
    <row r="600" spans="1:33" ht="11.25" customHeight="1" x14ac:dyDescent="0.25">
      <c r="A600" s="3" t="s">
        <v>21</v>
      </c>
      <c r="B600" s="3" t="s">
        <v>33</v>
      </c>
      <c r="C600" s="3" t="s">
        <v>61</v>
      </c>
      <c r="D600" s="3" t="s">
        <v>25</v>
      </c>
      <c r="E600" s="3" t="s">
        <v>25</v>
      </c>
      <c r="F600" s="3" t="s">
        <v>25</v>
      </c>
      <c r="G600" s="3" t="s">
        <v>62</v>
      </c>
      <c r="H600" s="3" t="s">
        <v>25</v>
      </c>
      <c r="I600" s="6">
        <v>44562</v>
      </c>
      <c r="J600" s="4">
        <v>0</v>
      </c>
      <c r="K600" s="4">
        <v>0</v>
      </c>
      <c r="L600" s="4">
        <v>253.48</v>
      </c>
      <c r="M600" s="4">
        <v>253.48</v>
      </c>
      <c r="N600" s="4">
        <v>0</v>
      </c>
      <c r="O600" s="4">
        <v>0</v>
      </c>
      <c r="P600" s="4">
        <v>0</v>
      </c>
      <c r="Q600" s="3" t="s">
        <v>63</v>
      </c>
      <c r="R600" s="3">
        <v>43</v>
      </c>
      <c r="S600" s="4">
        <v>0</v>
      </c>
      <c r="T600" s="4">
        <v>5</v>
      </c>
      <c r="U600" s="4">
        <v>0</v>
      </c>
      <c r="V600" s="4">
        <f>IF(ISERROR(VLOOKUP($S$600,'TAR FIN'!$A$1:$O$99,15,0)),0,VLOOKUP($S$600,'TAR FIN'!$A$1:$O$99,15,0))</f>
        <v>0</v>
      </c>
      <c r="W600" s="4">
        <f>IF(ISERROR(VLOOKUP($T$600,'TAR FIN'!$A$1:$O$99,15,0)),0,VLOOKUP($T$600,'TAR FIN'!$A$1:$O$99,15,0))</f>
        <v>17.72</v>
      </c>
      <c r="X600" s="4">
        <f>IF(ISERROR(VLOOKUP($U$600,'TAR FIN'!$A$1:$O$99,15,0)),0,VLOOKUP($U$600,'TAR FIN'!$A$1:$O$99,15,0))</f>
        <v>0</v>
      </c>
      <c r="Y600" s="4">
        <f ca="1">0.72*('TUSD BE'!$AM$17+'TUSD BF'!$AM$17+'TUSD CVA'!$AM$17)*1+('TUSD BE'!$AM$18+'TUSD BF'!$AM$18+'TUSD CVA'!$AM$18)*1</f>
        <v>34.346475398327271</v>
      </c>
      <c r="Z600" s="4">
        <f ca="1">('TUSD BE'!$AM$19+'TUSD BF'!$AM$19+'TUSD CVA'!$AM$19)*1</f>
        <v>20.085616142643524</v>
      </c>
      <c r="AA600" s="4"/>
      <c r="AB600" s="4">
        <f>$K$600*$V$600</f>
        <v>0</v>
      </c>
      <c r="AC600" s="4">
        <f>$M$600*$W$600</f>
        <v>4491.6655999999994</v>
      </c>
      <c r="AD600" s="4">
        <f>$O$600*$X$600</f>
        <v>0</v>
      </c>
      <c r="AE600" s="4">
        <f ca="1">$K$600*$Y$600</f>
        <v>0</v>
      </c>
      <c r="AF600" s="4">
        <f ca="1">$M$600*$Z$600</f>
        <v>5091.3019798372798</v>
      </c>
      <c r="AG600" s="4">
        <f>$O$600*$AA$600</f>
        <v>0</v>
      </c>
    </row>
    <row r="601" spans="1:33" ht="11.25" customHeight="1" x14ac:dyDescent="0.25">
      <c r="A601" s="3" t="s">
        <v>21</v>
      </c>
      <c r="B601" s="3" t="s">
        <v>33</v>
      </c>
      <c r="C601" s="3" t="s">
        <v>61</v>
      </c>
      <c r="D601" s="3" t="s">
        <v>25</v>
      </c>
      <c r="E601" s="3" t="s">
        <v>25</v>
      </c>
      <c r="F601" s="3" t="s">
        <v>25</v>
      </c>
      <c r="G601" s="3" t="s">
        <v>62</v>
      </c>
      <c r="H601" s="3" t="s">
        <v>25</v>
      </c>
      <c r="I601" s="6">
        <v>44593</v>
      </c>
      <c r="J601" s="4">
        <v>0</v>
      </c>
      <c r="K601" s="4">
        <v>0</v>
      </c>
      <c r="L601" s="4">
        <v>243.672</v>
      </c>
      <c r="M601" s="4">
        <v>243.672</v>
      </c>
      <c r="N601" s="4">
        <v>0</v>
      </c>
      <c r="O601" s="4">
        <v>0</v>
      </c>
      <c r="P601" s="4">
        <v>0</v>
      </c>
      <c r="Q601" s="3" t="s">
        <v>63</v>
      </c>
      <c r="R601" s="3">
        <v>43</v>
      </c>
      <c r="S601" s="4">
        <v>0</v>
      </c>
      <c r="T601" s="4">
        <v>5</v>
      </c>
      <c r="U601" s="4">
        <v>0</v>
      </c>
      <c r="V601" s="4">
        <f>IF(ISERROR(VLOOKUP($S$601,'TAR FIN'!$A$1:$O$99,15,0)),0,VLOOKUP($S$601,'TAR FIN'!$A$1:$O$99,15,0))</f>
        <v>0</v>
      </c>
      <c r="W601" s="4">
        <f>IF(ISERROR(VLOOKUP($T$601,'TAR FIN'!$A$1:$O$99,15,0)),0,VLOOKUP($T$601,'TAR FIN'!$A$1:$O$99,15,0))</f>
        <v>17.72</v>
      </c>
      <c r="X601" s="4">
        <f>IF(ISERROR(VLOOKUP($U$601,'TAR FIN'!$A$1:$O$99,15,0)),0,VLOOKUP($U$601,'TAR FIN'!$A$1:$O$99,15,0))</f>
        <v>0</v>
      </c>
      <c r="Y601" s="4">
        <f ca="1">0.72*('TUSD BE'!$AM$17+'TUSD BF'!$AM$17+'TUSD CVA'!$AM$17)*1+('TUSD BE'!$AM$18+'TUSD BF'!$AM$18+'TUSD CVA'!$AM$18)*1</f>
        <v>34.346475398327271</v>
      </c>
      <c r="Z601" s="4">
        <f ca="1">('TUSD BE'!$AM$19+'TUSD BF'!$AM$19+'TUSD CVA'!$AM$19)*1</f>
        <v>20.085616142643524</v>
      </c>
      <c r="AA601" s="4"/>
      <c r="AB601" s="4">
        <f>$K$601*$V$601</f>
        <v>0</v>
      </c>
      <c r="AC601" s="4">
        <f>$M$601*$W$601</f>
        <v>4317.8678399999999</v>
      </c>
      <c r="AD601" s="4">
        <f>$O$601*$X$601</f>
        <v>0</v>
      </c>
      <c r="AE601" s="4">
        <f ca="1">$K$601*$Y$601</f>
        <v>0</v>
      </c>
      <c r="AF601" s="4">
        <f ca="1">$M$601*$Z$601</f>
        <v>4894.3022567102325</v>
      </c>
      <c r="AG601" s="4">
        <f>$O$601*$AA$601</f>
        <v>0</v>
      </c>
    </row>
    <row r="602" spans="1:33" ht="11.25" customHeight="1" x14ac:dyDescent="0.25">
      <c r="A602" s="3" t="s">
        <v>21</v>
      </c>
      <c r="B602" s="3" t="s">
        <v>33</v>
      </c>
      <c r="C602" s="3" t="s">
        <v>61</v>
      </c>
      <c r="D602" s="3" t="s">
        <v>25</v>
      </c>
      <c r="E602" s="3" t="s">
        <v>25</v>
      </c>
      <c r="F602" s="3" t="s">
        <v>25</v>
      </c>
      <c r="G602" s="3" t="s">
        <v>62</v>
      </c>
      <c r="H602" s="3" t="s">
        <v>25</v>
      </c>
      <c r="I602" s="6">
        <v>44621</v>
      </c>
      <c r="J602" s="4">
        <v>0</v>
      </c>
      <c r="K602" s="4">
        <v>0</v>
      </c>
      <c r="L602" s="4">
        <v>259.66199999999998</v>
      </c>
      <c r="M602" s="4">
        <v>259.66199999999998</v>
      </c>
      <c r="N602" s="4">
        <v>0</v>
      </c>
      <c r="O602" s="4">
        <v>0</v>
      </c>
      <c r="P602" s="4">
        <v>0</v>
      </c>
      <c r="Q602" s="3" t="s">
        <v>63</v>
      </c>
      <c r="R602" s="3">
        <v>43</v>
      </c>
      <c r="S602" s="4">
        <v>0</v>
      </c>
      <c r="T602" s="4">
        <v>5</v>
      </c>
      <c r="U602" s="4">
        <v>0</v>
      </c>
      <c r="V602" s="4">
        <f>IF(ISERROR(VLOOKUP($S$602,'TAR FIN'!$A$1:$O$99,15,0)),0,VLOOKUP($S$602,'TAR FIN'!$A$1:$O$99,15,0))</f>
        <v>0</v>
      </c>
      <c r="W602" s="4">
        <f>IF(ISERROR(VLOOKUP($T$602,'TAR FIN'!$A$1:$O$99,15,0)),0,VLOOKUP($T$602,'TAR FIN'!$A$1:$O$99,15,0))</f>
        <v>17.72</v>
      </c>
      <c r="X602" s="4">
        <f>IF(ISERROR(VLOOKUP($U$602,'TAR FIN'!$A$1:$O$99,15,0)),0,VLOOKUP($U$602,'TAR FIN'!$A$1:$O$99,15,0))</f>
        <v>0</v>
      </c>
      <c r="Y602" s="4">
        <f ca="1">0.72*('TUSD BE'!$AM$17+'TUSD BF'!$AM$17+'TUSD CVA'!$AM$17)*1+('TUSD BE'!$AM$18+'TUSD BF'!$AM$18+'TUSD CVA'!$AM$18)*1</f>
        <v>34.346475398327271</v>
      </c>
      <c r="Z602" s="4">
        <f ca="1">('TUSD BE'!$AM$19+'TUSD BF'!$AM$19+'TUSD CVA'!$AM$19)*1</f>
        <v>20.085616142643524</v>
      </c>
      <c r="AA602" s="4"/>
      <c r="AB602" s="4">
        <f>$K$602*$V$602</f>
        <v>0</v>
      </c>
      <c r="AC602" s="4">
        <f>$M$602*$W$602</f>
        <v>4601.2106399999993</v>
      </c>
      <c r="AD602" s="4">
        <f>$O$602*$X$602</f>
        <v>0</v>
      </c>
      <c r="AE602" s="4">
        <f ca="1">$K$602*$Y$602</f>
        <v>0</v>
      </c>
      <c r="AF602" s="4">
        <f ca="1">$M$602*$Z$602</f>
        <v>5215.4712588311022</v>
      </c>
      <c r="AG602" s="4">
        <f>$O$602*$AA$602</f>
        <v>0</v>
      </c>
    </row>
    <row r="603" spans="1:33" ht="11.25" customHeight="1" x14ac:dyDescent="0.25">
      <c r="A603" s="3" t="s">
        <v>56</v>
      </c>
      <c r="B603" s="3" t="s">
        <v>33</v>
      </c>
      <c r="C603" s="3" t="s">
        <v>61</v>
      </c>
      <c r="D603" s="3" t="s">
        <v>25</v>
      </c>
      <c r="E603" s="3" t="s">
        <v>25</v>
      </c>
      <c r="F603" s="3" t="s">
        <v>25</v>
      </c>
      <c r="G603" s="3" t="s">
        <v>62</v>
      </c>
      <c r="H603" s="3" t="s">
        <v>25</v>
      </c>
      <c r="I603" s="6">
        <v>44652</v>
      </c>
      <c r="J603" s="4">
        <v>0</v>
      </c>
      <c r="K603" s="4">
        <v>0</v>
      </c>
      <c r="L603" s="4">
        <v>259.66199999999998</v>
      </c>
      <c r="M603" s="4">
        <v>259.66199999999998</v>
      </c>
      <c r="N603" s="4">
        <v>0</v>
      </c>
      <c r="O603" s="4">
        <v>0</v>
      </c>
      <c r="P603" s="4">
        <v>0</v>
      </c>
      <c r="Q603" s="3" t="s">
        <v>63</v>
      </c>
      <c r="R603" s="3">
        <v>43</v>
      </c>
      <c r="S603" s="4">
        <v>0</v>
      </c>
      <c r="T603" s="4">
        <v>5</v>
      </c>
      <c r="U603" s="4">
        <v>0</v>
      </c>
      <c r="V603" s="4">
        <f>IF(ISERROR(VLOOKUP($S$603,'TAR FIN'!$A$1:$O$99,15,0)),0,VLOOKUP($S$603,'TAR FIN'!$A$1:$O$99,15,0))</f>
        <v>0</v>
      </c>
      <c r="W603" s="4">
        <f>IF(ISERROR(VLOOKUP($T$603,'TAR FIN'!$A$1:$O$99,15,0)),0,VLOOKUP($T$603,'TAR FIN'!$A$1:$O$99,15,0))</f>
        <v>17.72</v>
      </c>
      <c r="X603" s="4">
        <f>IF(ISERROR(VLOOKUP($U$603,'TAR FIN'!$A$1:$O$99,15,0)),0,VLOOKUP($U$603,'TAR FIN'!$A$1:$O$99,15,0))</f>
        <v>0</v>
      </c>
      <c r="Y603" s="4">
        <f ca="1">0.72*('TUSD BE'!$AM$17+'TUSD BF'!$AM$17+'TUSD CVA'!$AM$17)*1+('TUSD BE'!$AM$18+'TUSD BF'!$AM$18+'TUSD CVA'!$AM$18)*1</f>
        <v>34.346475398327271</v>
      </c>
      <c r="Z603" s="4">
        <f ca="1">('TUSD BE'!$AM$19+'TUSD BF'!$AM$19+'TUSD CVA'!$AM$19)*1</f>
        <v>20.085616142643524</v>
      </c>
      <c r="AA603" s="4"/>
      <c r="AB603" s="4">
        <f>$K$603*$V$603</f>
        <v>0</v>
      </c>
      <c r="AC603" s="4">
        <f>$M$603*$W$603</f>
        <v>4601.2106399999993</v>
      </c>
      <c r="AD603" s="4">
        <f>$O$603*$X$603</f>
        <v>0</v>
      </c>
      <c r="AE603" s="4">
        <f ca="1">$K$603*$Y$603</f>
        <v>0</v>
      </c>
      <c r="AF603" s="4">
        <f ca="1">$M$603*$Z$603</f>
        <v>5215.4712588311022</v>
      </c>
      <c r="AG603" s="4">
        <f>$O$603*$AA$603</f>
        <v>0</v>
      </c>
    </row>
    <row r="604" spans="1:33" ht="11.25" customHeight="1" x14ac:dyDescent="0.25">
      <c r="A604" s="3" t="s">
        <v>21</v>
      </c>
      <c r="B604" s="3" t="s">
        <v>33</v>
      </c>
      <c r="C604" s="3" t="s">
        <v>61</v>
      </c>
      <c r="D604" s="3" t="s">
        <v>25</v>
      </c>
      <c r="E604" s="3" t="s">
        <v>25</v>
      </c>
      <c r="F604" s="3" t="s">
        <v>25</v>
      </c>
      <c r="G604" s="3" t="s">
        <v>62</v>
      </c>
      <c r="H604" s="3" t="s">
        <v>35</v>
      </c>
      <c r="I604" s="6">
        <v>44317</v>
      </c>
      <c r="J604" s="4">
        <v>470</v>
      </c>
      <c r="K604" s="4">
        <v>470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3" t="s">
        <v>63</v>
      </c>
      <c r="R604" s="3">
        <v>43</v>
      </c>
      <c r="S604" s="4">
        <v>3</v>
      </c>
      <c r="T604" s="4">
        <v>0</v>
      </c>
      <c r="U604" s="4">
        <v>0</v>
      </c>
      <c r="V604" s="4">
        <f>IF(ISERROR(VLOOKUP($S$604,'TAR FIN'!$A$1:$O$99,15,0)),0,VLOOKUP($S$604,'TAR FIN'!$A$1:$O$99,15,0))</f>
        <v>30.29</v>
      </c>
      <c r="W604" s="4">
        <f>IF(ISERROR(VLOOKUP($T$604,'TAR FIN'!$A$1:$O$99,15,0)),0,VLOOKUP($T$604,'TAR FIN'!$A$1:$O$99,15,0))</f>
        <v>0</v>
      </c>
      <c r="X604" s="4">
        <f>IF(ISERROR(VLOOKUP($U$604,'TAR FIN'!$A$1:$O$99,15,0)),0,VLOOKUP($U$604,'TAR FIN'!$A$1:$O$99,15,0))</f>
        <v>0</v>
      </c>
      <c r="Y604" s="4">
        <f ca="1">('TUSD BE'!$AM$17+'TUSD BF'!$AM$17+'TUSD CVA'!$AM$17)*1</f>
        <v>30.500843670754975</v>
      </c>
      <c r="Z604" s="4">
        <f ca="1">('TUSD BE'!$AM$19+'TUSD BF'!$AM$19+'TUSD CVA'!$AM$19)*1</f>
        <v>20.085616142643524</v>
      </c>
      <c r="AA604" s="4"/>
      <c r="AB604" s="4">
        <f>$K$604*$V$604</f>
        <v>14236.3</v>
      </c>
      <c r="AC604" s="4">
        <f>$M$604*$W$604</f>
        <v>0</v>
      </c>
      <c r="AD604" s="4">
        <f>$O$604*$X$604</f>
        <v>0</v>
      </c>
      <c r="AE604" s="4">
        <f ca="1">$K$604*$Y$604</f>
        <v>14335.396525254839</v>
      </c>
      <c r="AF604" s="4">
        <f ca="1">$M$604*$Z$604</f>
        <v>0</v>
      </c>
      <c r="AG604" s="4">
        <f>$O$604*$AA$604</f>
        <v>0</v>
      </c>
    </row>
    <row r="605" spans="1:33" ht="11.25" customHeight="1" x14ac:dyDescent="0.25">
      <c r="A605" s="3" t="s">
        <v>21</v>
      </c>
      <c r="B605" s="3" t="s">
        <v>33</v>
      </c>
      <c r="C605" s="3" t="s">
        <v>61</v>
      </c>
      <c r="D605" s="3" t="s">
        <v>25</v>
      </c>
      <c r="E605" s="3" t="s">
        <v>25</v>
      </c>
      <c r="F605" s="3" t="s">
        <v>25</v>
      </c>
      <c r="G605" s="3" t="s">
        <v>62</v>
      </c>
      <c r="H605" s="3" t="s">
        <v>35</v>
      </c>
      <c r="I605" s="6">
        <v>44348</v>
      </c>
      <c r="J605" s="4">
        <v>470</v>
      </c>
      <c r="K605" s="4">
        <v>470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3" t="s">
        <v>63</v>
      </c>
      <c r="R605" s="3">
        <v>43</v>
      </c>
      <c r="S605" s="4">
        <v>3</v>
      </c>
      <c r="T605" s="4">
        <v>0</v>
      </c>
      <c r="U605" s="4">
        <v>0</v>
      </c>
      <c r="V605" s="4">
        <f>IF(ISERROR(VLOOKUP($S$605,'TAR FIN'!$A$1:$O$99,15,0)),0,VLOOKUP($S$605,'TAR FIN'!$A$1:$O$99,15,0))</f>
        <v>30.29</v>
      </c>
      <c r="W605" s="4">
        <f>IF(ISERROR(VLOOKUP($T$605,'TAR FIN'!$A$1:$O$99,15,0)),0,VLOOKUP($T$605,'TAR FIN'!$A$1:$O$99,15,0))</f>
        <v>0</v>
      </c>
      <c r="X605" s="4">
        <f>IF(ISERROR(VLOOKUP($U$605,'TAR FIN'!$A$1:$O$99,15,0)),0,VLOOKUP($U$605,'TAR FIN'!$A$1:$O$99,15,0))</f>
        <v>0</v>
      </c>
      <c r="Y605" s="4">
        <f ca="1">('TUSD BE'!$AM$17+'TUSD BF'!$AM$17+'TUSD CVA'!$AM$17)*1</f>
        <v>30.500843670754975</v>
      </c>
      <c r="Z605" s="4">
        <f ca="1">('TUSD BE'!$AM$19+'TUSD BF'!$AM$19+'TUSD CVA'!$AM$19)*1</f>
        <v>20.085616142643524</v>
      </c>
      <c r="AA605" s="4"/>
      <c r="AB605" s="4">
        <f>$K$605*$V$605</f>
        <v>14236.3</v>
      </c>
      <c r="AC605" s="4">
        <f>$M$605*$W$605</f>
        <v>0</v>
      </c>
      <c r="AD605" s="4">
        <f>$O$605*$X$605</f>
        <v>0</v>
      </c>
      <c r="AE605" s="4">
        <f ca="1">$K$605*$Y$605</f>
        <v>14335.396525254839</v>
      </c>
      <c r="AF605" s="4">
        <f ca="1">$M$605*$Z$605</f>
        <v>0</v>
      </c>
      <c r="AG605" s="4">
        <f>$O$605*$AA$605</f>
        <v>0</v>
      </c>
    </row>
    <row r="606" spans="1:33" ht="11.25" customHeight="1" x14ac:dyDescent="0.25">
      <c r="A606" s="3" t="s">
        <v>21</v>
      </c>
      <c r="B606" s="3" t="s">
        <v>33</v>
      </c>
      <c r="C606" s="3" t="s">
        <v>61</v>
      </c>
      <c r="D606" s="3" t="s">
        <v>25</v>
      </c>
      <c r="E606" s="3" t="s">
        <v>25</v>
      </c>
      <c r="F606" s="3" t="s">
        <v>25</v>
      </c>
      <c r="G606" s="3" t="s">
        <v>62</v>
      </c>
      <c r="H606" s="3" t="s">
        <v>35</v>
      </c>
      <c r="I606" s="6">
        <v>44378</v>
      </c>
      <c r="J606" s="4">
        <v>470</v>
      </c>
      <c r="K606" s="4">
        <v>470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3" t="s">
        <v>63</v>
      </c>
      <c r="R606" s="3">
        <v>43</v>
      </c>
      <c r="S606" s="4">
        <v>3</v>
      </c>
      <c r="T606" s="4">
        <v>0</v>
      </c>
      <c r="U606" s="4">
        <v>0</v>
      </c>
      <c r="V606" s="4">
        <f>IF(ISERROR(VLOOKUP($S$606,'TAR FIN'!$A$1:$O$99,15,0)),0,VLOOKUP($S$606,'TAR FIN'!$A$1:$O$99,15,0))</f>
        <v>30.29</v>
      </c>
      <c r="W606" s="4">
        <f>IF(ISERROR(VLOOKUP($T$606,'TAR FIN'!$A$1:$O$99,15,0)),0,VLOOKUP($T$606,'TAR FIN'!$A$1:$O$99,15,0))</f>
        <v>0</v>
      </c>
      <c r="X606" s="4">
        <f>IF(ISERROR(VLOOKUP($U$606,'TAR FIN'!$A$1:$O$99,15,0)),0,VLOOKUP($U$606,'TAR FIN'!$A$1:$O$99,15,0))</f>
        <v>0</v>
      </c>
      <c r="Y606" s="4">
        <f ca="1">('TUSD BE'!$AM$17+'TUSD BF'!$AM$17+'TUSD CVA'!$AM$17)*1</f>
        <v>30.500843670754975</v>
      </c>
      <c r="Z606" s="4">
        <f ca="1">('TUSD BE'!$AM$19+'TUSD BF'!$AM$19+'TUSD CVA'!$AM$19)*1</f>
        <v>20.085616142643524</v>
      </c>
      <c r="AA606" s="4"/>
      <c r="AB606" s="4">
        <f>$K$606*$V$606</f>
        <v>14236.3</v>
      </c>
      <c r="AC606" s="4">
        <f>$M$606*$W$606</f>
        <v>0</v>
      </c>
      <c r="AD606" s="4">
        <f>$O$606*$X$606</f>
        <v>0</v>
      </c>
      <c r="AE606" s="4">
        <f ca="1">$K$606*$Y$606</f>
        <v>14335.396525254839</v>
      </c>
      <c r="AF606" s="4">
        <f ca="1">$M$606*$Z$606</f>
        <v>0</v>
      </c>
      <c r="AG606" s="4">
        <f>$O$606*$AA$606</f>
        <v>0</v>
      </c>
    </row>
    <row r="607" spans="1:33" ht="11.25" customHeight="1" x14ac:dyDescent="0.25">
      <c r="A607" s="3" t="s">
        <v>21</v>
      </c>
      <c r="B607" s="3" t="s">
        <v>33</v>
      </c>
      <c r="C607" s="3" t="s">
        <v>61</v>
      </c>
      <c r="D607" s="3" t="s">
        <v>25</v>
      </c>
      <c r="E607" s="3" t="s">
        <v>25</v>
      </c>
      <c r="F607" s="3" t="s">
        <v>25</v>
      </c>
      <c r="G607" s="3" t="s">
        <v>62</v>
      </c>
      <c r="H607" s="3" t="s">
        <v>35</v>
      </c>
      <c r="I607" s="6">
        <v>44409</v>
      </c>
      <c r="J607" s="4">
        <v>470</v>
      </c>
      <c r="K607" s="4">
        <v>470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3" t="s">
        <v>63</v>
      </c>
      <c r="R607" s="3">
        <v>43</v>
      </c>
      <c r="S607" s="4">
        <v>3</v>
      </c>
      <c r="T607" s="4">
        <v>0</v>
      </c>
      <c r="U607" s="4">
        <v>0</v>
      </c>
      <c r="V607" s="4">
        <f>IF(ISERROR(VLOOKUP($S$607,'TAR FIN'!$A$1:$O$99,15,0)),0,VLOOKUP($S$607,'TAR FIN'!$A$1:$O$99,15,0))</f>
        <v>30.29</v>
      </c>
      <c r="W607" s="4">
        <f>IF(ISERROR(VLOOKUP($T$607,'TAR FIN'!$A$1:$O$99,15,0)),0,VLOOKUP($T$607,'TAR FIN'!$A$1:$O$99,15,0))</f>
        <v>0</v>
      </c>
      <c r="X607" s="4">
        <f>IF(ISERROR(VLOOKUP($U$607,'TAR FIN'!$A$1:$O$99,15,0)),0,VLOOKUP($U$607,'TAR FIN'!$A$1:$O$99,15,0))</f>
        <v>0</v>
      </c>
      <c r="Y607" s="4">
        <f ca="1">('TUSD BE'!$AM$17+'TUSD BF'!$AM$17+'TUSD CVA'!$AM$17)*1</f>
        <v>30.500843670754975</v>
      </c>
      <c r="Z607" s="4">
        <f ca="1">('TUSD BE'!$AM$19+'TUSD BF'!$AM$19+'TUSD CVA'!$AM$19)*1</f>
        <v>20.085616142643524</v>
      </c>
      <c r="AA607" s="4"/>
      <c r="AB607" s="4">
        <f>$K$607*$V$607</f>
        <v>14236.3</v>
      </c>
      <c r="AC607" s="4">
        <f>$M$607*$W$607</f>
        <v>0</v>
      </c>
      <c r="AD607" s="4">
        <f>$O$607*$X$607</f>
        <v>0</v>
      </c>
      <c r="AE607" s="4">
        <f ca="1">$K$607*$Y$607</f>
        <v>14335.396525254839</v>
      </c>
      <c r="AF607" s="4">
        <f ca="1">$M$607*$Z$607</f>
        <v>0</v>
      </c>
      <c r="AG607" s="4">
        <f>$O$607*$AA$607</f>
        <v>0</v>
      </c>
    </row>
    <row r="608" spans="1:33" ht="11.25" customHeight="1" x14ac:dyDescent="0.25">
      <c r="A608" s="3" t="s">
        <v>21</v>
      </c>
      <c r="B608" s="3" t="s">
        <v>33</v>
      </c>
      <c r="C608" s="3" t="s">
        <v>61</v>
      </c>
      <c r="D608" s="3" t="s">
        <v>25</v>
      </c>
      <c r="E608" s="3" t="s">
        <v>25</v>
      </c>
      <c r="F608" s="3" t="s">
        <v>25</v>
      </c>
      <c r="G608" s="3" t="s">
        <v>62</v>
      </c>
      <c r="H608" s="3" t="s">
        <v>35</v>
      </c>
      <c r="I608" s="6">
        <v>44440</v>
      </c>
      <c r="J608" s="4">
        <v>470</v>
      </c>
      <c r="K608" s="4">
        <v>470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3" t="s">
        <v>63</v>
      </c>
      <c r="R608" s="3">
        <v>43</v>
      </c>
      <c r="S608" s="4">
        <v>3</v>
      </c>
      <c r="T608" s="4">
        <v>0</v>
      </c>
      <c r="U608" s="4">
        <v>0</v>
      </c>
      <c r="V608" s="4">
        <f>IF(ISERROR(VLOOKUP($S$608,'TAR FIN'!$A$1:$O$99,15,0)),0,VLOOKUP($S$608,'TAR FIN'!$A$1:$O$99,15,0))</f>
        <v>30.29</v>
      </c>
      <c r="W608" s="4">
        <f>IF(ISERROR(VLOOKUP($T$608,'TAR FIN'!$A$1:$O$99,15,0)),0,VLOOKUP($T$608,'TAR FIN'!$A$1:$O$99,15,0))</f>
        <v>0</v>
      </c>
      <c r="X608" s="4">
        <f>IF(ISERROR(VLOOKUP($U$608,'TAR FIN'!$A$1:$O$99,15,0)),0,VLOOKUP($U$608,'TAR FIN'!$A$1:$O$99,15,0))</f>
        <v>0</v>
      </c>
      <c r="Y608" s="4">
        <f ca="1">('TUSD BE'!$AM$17+'TUSD BF'!$AM$17+'TUSD CVA'!$AM$17)*1</f>
        <v>30.500843670754975</v>
      </c>
      <c r="Z608" s="4">
        <f ca="1">('TUSD BE'!$AM$19+'TUSD BF'!$AM$19+'TUSD CVA'!$AM$19)*1</f>
        <v>20.085616142643524</v>
      </c>
      <c r="AA608" s="4"/>
      <c r="AB608" s="4">
        <f>$K$608*$V$608</f>
        <v>14236.3</v>
      </c>
      <c r="AC608" s="4">
        <f>$M$608*$W$608</f>
        <v>0</v>
      </c>
      <c r="AD608" s="4">
        <f>$O$608*$X$608</f>
        <v>0</v>
      </c>
      <c r="AE608" s="4">
        <f ca="1">$K$608*$Y$608</f>
        <v>14335.396525254839</v>
      </c>
      <c r="AF608" s="4">
        <f ca="1">$M$608*$Z$608</f>
        <v>0</v>
      </c>
      <c r="AG608" s="4">
        <f>$O$608*$AA$608</f>
        <v>0</v>
      </c>
    </row>
    <row r="609" spans="1:33" ht="11.25" customHeight="1" x14ac:dyDescent="0.25">
      <c r="A609" s="3" t="s">
        <v>21</v>
      </c>
      <c r="B609" s="3" t="s">
        <v>33</v>
      </c>
      <c r="C609" s="3" t="s">
        <v>61</v>
      </c>
      <c r="D609" s="3" t="s">
        <v>25</v>
      </c>
      <c r="E609" s="3" t="s">
        <v>25</v>
      </c>
      <c r="F609" s="3" t="s">
        <v>25</v>
      </c>
      <c r="G609" s="3" t="s">
        <v>62</v>
      </c>
      <c r="H609" s="3" t="s">
        <v>35</v>
      </c>
      <c r="I609" s="6">
        <v>44470</v>
      </c>
      <c r="J609" s="4">
        <v>470</v>
      </c>
      <c r="K609" s="4">
        <v>470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3" t="s">
        <v>63</v>
      </c>
      <c r="R609" s="3">
        <v>43</v>
      </c>
      <c r="S609" s="4">
        <v>3</v>
      </c>
      <c r="T609" s="4">
        <v>0</v>
      </c>
      <c r="U609" s="4">
        <v>0</v>
      </c>
      <c r="V609" s="4">
        <f>IF(ISERROR(VLOOKUP($S$609,'TAR FIN'!$A$1:$O$99,15,0)),0,VLOOKUP($S$609,'TAR FIN'!$A$1:$O$99,15,0))</f>
        <v>30.29</v>
      </c>
      <c r="W609" s="4">
        <f>IF(ISERROR(VLOOKUP($T$609,'TAR FIN'!$A$1:$O$99,15,0)),0,VLOOKUP($T$609,'TAR FIN'!$A$1:$O$99,15,0))</f>
        <v>0</v>
      </c>
      <c r="X609" s="4">
        <f>IF(ISERROR(VLOOKUP($U$609,'TAR FIN'!$A$1:$O$99,15,0)),0,VLOOKUP($U$609,'TAR FIN'!$A$1:$O$99,15,0))</f>
        <v>0</v>
      </c>
      <c r="Y609" s="4">
        <f ca="1">('TUSD BE'!$AM$17+'TUSD BF'!$AM$17+'TUSD CVA'!$AM$17)*1</f>
        <v>30.500843670754975</v>
      </c>
      <c r="Z609" s="4">
        <f ca="1">('TUSD BE'!$AM$19+'TUSD BF'!$AM$19+'TUSD CVA'!$AM$19)*1</f>
        <v>20.085616142643524</v>
      </c>
      <c r="AA609" s="4"/>
      <c r="AB609" s="4">
        <f>$K$609*$V$609</f>
        <v>14236.3</v>
      </c>
      <c r="AC609" s="4">
        <f>$M$609*$W$609</f>
        <v>0</v>
      </c>
      <c r="AD609" s="4">
        <f>$O$609*$X$609</f>
        <v>0</v>
      </c>
      <c r="AE609" s="4">
        <f ca="1">$K$609*$Y$609</f>
        <v>14335.396525254839</v>
      </c>
      <c r="AF609" s="4">
        <f ca="1">$M$609*$Z$609</f>
        <v>0</v>
      </c>
      <c r="AG609" s="4">
        <f>$O$609*$AA$609</f>
        <v>0</v>
      </c>
    </row>
    <row r="610" spans="1:33" ht="11.25" customHeight="1" x14ac:dyDescent="0.25">
      <c r="A610" s="3" t="s">
        <v>21</v>
      </c>
      <c r="B610" s="3" t="s">
        <v>33</v>
      </c>
      <c r="C610" s="3" t="s">
        <v>61</v>
      </c>
      <c r="D610" s="3" t="s">
        <v>25</v>
      </c>
      <c r="E610" s="3" t="s">
        <v>25</v>
      </c>
      <c r="F610" s="3" t="s">
        <v>25</v>
      </c>
      <c r="G610" s="3" t="s">
        <v>62</v>
      </c>
      <c r="H610" s="3" t="s">
        <v>35</v>
      </c>
      <c r="I610" s="6">
        <v>44501</v>
      </c>
      <c r="J610" s="4">
        <v>470</v>
      </c>
      <c r="K610" s="4">
        <v>470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3" t="s">
        <v>63</v>
      </c>
      <c r="R610" s="3">
        <v>43</v>
      </c>
      <c r="S610" s="4">
        <v>3</v>
      </c>
      <c r="T610" s="4">
        <v>0</v>
      </c>
      <c r="U610" s="4">
        <v>0</v>
      </c>
      <c r="V610" s="4">
        <f>IF(ISERROR(VLOOKUP($S$610,'TAR FIN'!$A$1:$O$99,15,0)),0,VLOOKUP($S$610,'TAR FIN'!$A$1:$O$99,15,0))</f>
        <v>30.29</v>
      </c>
      <c r="W610" s="4">
        <f>IF(ISERROR(VLOOKUP($T$610,'TAR FIN'!$A$1:$O$99,15,0)),0,VLOOKUP($T$610,'TAR FIN'!$A$1:$O$99,15,0))</f>
        <v>0</v>
      </c>
      <c r="X610" s="4">
        <f>IF(ISERROR(VLOOKUP($U$610,'TAR FIN'!$A$1:$O$99,15,0)),0,VLOOKUP($U$610,'TAR FIN'!$A$1:$O$99,15,0))</f>
        <v>0</v>
      </c>
      <c r="Y610" s="4">
        <f ca="1">('TUSD BE'!$AM$17+'TUSD BF'!$AM$17+'TUSD CVA'!$AM$17)*1</f>
        <v>30.500843670754975</v>
      </c>
      <c r="Z610" s="4">
        <f ca="1">('TUSD BE'!$AM$19+'TUSD BF'!$AM$19+'TUSD CVA'!$AM$19)*1</f>
        <v>20.085616142643524</v>
      </c>
      <c r="AA610" s="4"/>
      <c r="AB610" s="4">
        <f>$K$610*$V$610</f>
        <v>14236.3</v>
      </c>
      <c r="AC610" s="4">
        <f>$M$610*$W$610</f>
        <v>0</v>
      </c>
      <c r="AD610" s="4">
        <f>$O$610*$X$610</f>
        <v>0</v>
      </c>
      <c r="AE610" s="4">
        <f ca="1">$K$610*$Y$610</f>
        <v>14335.396525254839</v>
      </c>
      <c r="AF610" s="4">
        <f ca="1">$M$610*$Z$610</f>
        <v>0</v>
      </c>
      <c r="AG610" s="4">
        <f>$O$610*$AA$610</f>
        <v>0</v>
      </c>
    </row>
    <row r="611" spans="1:33" ht="11.25" customHeight="1" x14ac:dyDescent="0.25">
      <c r="A611" s="3" t="s">
        <v>21</v>
      </c>
      <c r="B611" s="3" t="s">
        <v>33</v>
      </c>
      <c r="C611" s="3" t="s">
        <v>61</v>
      </c>
      <c r="D611" s="3" t="s">
        <v>25</v>
      </c>
      <c r="E611" s="3" t="s">
        <v>25</v>
      </c>
      <c r="F611" s="3" t="s">
        <v>25</v>
      </c>
      <c r="G611" s="3" t="s">
        <v>62</v>
      </c>
      <c r="H611" s="3" t="s">
        <v>35</v>
      </c>
      <c r="I611" s="6">
        <v>44531</v>
      </c>
      <c r="J611" s="4">
        <v>502</v>
      </c>
      <c r="K611" s="4">
        <v>502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3" t="s">
        <v>63</v>
      </c>
      <c r="R611" s="3">
        <v>43</v>
      </c>
      <c r="S611" s="4">
        <v>3</v>
      </c>
      <c r="T611" s="4">
        <v>0</v>
      </c>
      <c r="U611" s="4">
        <v>0</v>
      </c>
      <c r="V611" s="4">
        <f>IF(ISERROR(VLOOKUP($S$611,'TAR FIN'!$A$1:$O$99,15,0)),0,VLOOKUP($S$611,'TAR FIN'!$A$1:$O$99,15,0))</f>
        <v>30.29</v>
      </c>
      <c r="W611" s="4">
        <f>IF(ISERROR(VLOOKUP($T$611,'TAR FIN'!$A$1:$O$99,15,0)),0,VLOOKUP($T$611,'TAR FIN'!$A$1:$O$99,15,0))</f>
        <v>0</v>
      </c>
      <c r="X611" s="4">
        <f>IF(ISERROR(VLOOKUP($U$611,'TAR FIN'!$A$1:$O$99,15,0)),0,VLOOKUP($U$611,'TAR FIN'!$A$1:$O$99,15,0))</f>
        <v>0</v>
      </c>
      <c r="Y611" s="4">
        <f ca="1">('TUSD BE'!$AM$17+'TUSD BF'!$AM$17+'TUSD CVA'!$AM$17)*1</f>
        <v>30.500843670754975</v>
      </c>
      <c r="Z611" s="4">
        <f ca="1">('TUSD BE'!$AM$19+'TUSD BF'!$AM$19+'TUSD CVA'!$AM$19)*1</f>
        <v>20.085616142643524</v>
      </c>
      <c r="AA611" s="4"/>
      <c r="AB611" s="4">
        <f>$K$611*$V$611</f>
        <v>15205.58</v>
      </c>
      <c r="AC611" s="4">
        <f>$M$611*$W$611</f>
        <v>0</v>
      </c>
      <c r="AD611" s="4">
        <f>$O$611*$X$611</f>
        <v>0</v>
      </c>
      <c r="AE611" s="4">
        <f ca="1">$K$611*$Y$611</f>
        <v>15311.423522718997</v>
      </c>
      <c r="AF611" s="4">
        <f ca="1">$M$611*$Z$611</f>
        <v>0</v>
      </c>
      <c r="AG611" s="4">
        <f>$O$611*$AA$611</f>
        <v>0</v>
      </c>
    </row>
    <row r="612" spans="1:33" ht="11.25" customHeight="1" x14ac:dyDescent="0.25">
      <c r="A612" s="3" t="s">
        <v>21</v>
      </c>
      <c r="B612" s="3" t="s">
        <v>33</v>
      </c>
      <c r="C612" s="3" t="s">
        <v>61</v>
      </c>
      <c r="D612" s="3" t="s">
        <v>25</v>
      </c>
      <c r="E612" s="3" t="s">
        <v>25</v>
      </c>
      <c r="F612" s="3" t="s">
        <v>25</v>
      </c>
      <c r="G612" s="3" t="s">
        <v>62</v>
      </c>
      <c r="H612" s="3" t="s">
        <v>35</v>
      </c>
      <c r="I612" s="6">
        <v>44562</v>
      </c>
      <c r="J612" s="4">
        <v>470</v>
      </c>
      <c r="K612" s="4">
        <v>470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3" t="s">
        <v>63</v>
      </c>
      <c r="R612" s="3">
        <v>43</v>
      </c>
      <c r="S612" s="4">
        <v>3</v>
      </c>
      <c r="T612" s="4">
        <v>0</v>
      </c>
      <c r="U612" s="4">
        <v>0</v>
      </c>
      <c r="V612" s="4">
        <f>IF(ISERROR(VLOOKUP($S$612,'TAR FIN'!$A$1:$O$99,15,0)),0,VLOOKUP($S$612,'TAR FIN'!$A$1:$O$99,15,0))</f>
        <v>30.29</v>
      </c>
      <c r="W612" s="4">
        <f>IF(ISERROR(VLOOKUP($T$612,'TAR FIN'!$A$1:$O$99,15,0)),0,VLOOKUP($T$612,'TAR FIN'!$A$1:$O$99,15,0))</f>
        <v>0</v>
      </c>
      <c r="X612" s="4">
        <f>IF(ISERROR(VLOOKUP($U$612,'TAR FIN'!$A$1:$O$99,15,0)),0,VLOOKUP($U$612,'TAR FIN'!$A$1:$O$99,15,0))</f>
        <v>0</v>
      </c>
      <c r="Y612" s="4">
        <f ca="1">('TUSD BE'!$AM$17+'TUSD BF'!$AM$17+'TUSD CVA'!$AM$17)*1</f>
        <v>30.500843670754975</v>
      </c>
      <c r="Z612" s="4">
        <f ca="1">('TUSD BE'!$AM$19+'TUSD BF'!$AM$19+'TUSD CVA'!$AM$19)*1</f>
        <v>20.085616142643524</v>
      </c>
      <c r="AA612" s="4"/>
      <c r="AB612" s="4">
        <f>$K$612*$V$612</f>
        <v>14236.3</v>
      </c>
      <c r="AC612" s="4">
        <f>$M$612*$W$612</f>
        <v>0</v>
      </c>
      <c r="AD612" s="4">
        <f>$O$612*$X$612</f>
        <v>0</v>
      </c>
      <c r="AE612" s="4">
        <f ca="1">$K$612*$Y$612</f>
        <v>14335.396525254839</v>
      </c>
      <c r="AF612" s="4">
        <f ca="1">$M$612*$Z$612</f>
        <v>0</v>
      </c>
      <c r="AG612" s="4">
        <f>$O$612*$AA$612</f>
        <v>0</v>
      </c>
    </row>
    <row r="613" spans="1:33" ht="11.25" customHeight="1" x14ac:dyDescent="0.25">
      <c r="A613" s="3" t="s">
        <v>21</v>
      </c>
      <c r="B613" s="3" t="s">
        <v>33</v>
      </c>
      <c r="C613" s="3" t="s">
        <v>61</v>
      </c>
      <c r="D613" s="3" t="s">
        <v>25</v>
      </c>
      <c r="E613" s="3" t="s">
        <v>25</v>
      </c>
      <c r="F613" s="3" t="s">
        <v>25</v>
      </c>
      <c r="G613" s="3" t="s">
        <v>62</v>
      </c>
      <c r="H613" s="3" t="s">
        <v>35</v>
      </c>
      <c r="I613" s="6">
        <v>44593</v>
      </c>
      <c r="J613" s="4">
        <v>479</v>
      </c>
      <c r="K613" s="4">
        <v>479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3" t="s">
        <v>63</v>
      </c>
      <c r="R613" s="3">
        <v>43</v>
      </c>
      <c r="S613" s="4">
        <v>3</v>
      </c>
      <c r="T613" s="4">
        <v>0</v>
      </c>
      <c r="U613" s="4">
        <v>0</v>
      </c>
      <c r="V613" s="4">
        <f>IF(ISERROR(VLOOKUP($S$613,'TAR FIN'!$A$1:$O$99,15,0)),0,VLOOKUP($S$613,'TAR FIN'!$A$1:$O$99,15,0))</f>
        <v>30.29</v>
      </c>
      <c r="W613" s="4">
        <f>IF(ISERROR(VLOOKUP($T$613,'TAR FIN'!$A$1:$O$99,15,0)),0,VLOOKUP($T$613,'TAR FIN'!$A$1:$O$99,15,0))</f>
        <v>0</v>
      </c>
      <c r="X613" s="4">
        <f>IF(ISERROR(VLOOKUP($U$613,'TAR FIN'!$A$1:$O$99,15,0)),0,VLOOKUP($U$613,'TAR FIN'!$A$1:$O$99,15,0))</f>
        <v>0</v>
      </c>
      <c r="Y613" s="4">
        <f ca="1">('TUSD BE'!$AM$17+'TUSD BF'!$AM$17+'TUSD CVA'!$AM$17)*1</f>
        <v>30.500843670754975</v>
      </c>
      <c r="Z613" s="4">
        <f ca="1">('TUSD BE'!$AM$19+'TUSD BF'!$AM$19+'TUSD CVA'!$AM$19)*1</f>
        <v>20.085616142643524</v>
      </c>
      <c r="AA613" s="4"/>
      <c r="AB613" s="4">
        <f>$K$613*$V$613</f>
        <v>14508.91</v>
      </c>
      <c r="AC613" s="4">
        <f>$M$613*$W$613</f>
        <v>0</v>
      </c>
      <c r="AD613" s="4">
        <f>$O$613*$X$613</f>
        <v>0</v>
      </c>
      <c r="AE613" s="4">
        <f ca="1">$K$613*$Y$613</f>
        <v>14609.904118291633</v>
      </c>
      <c r="AF613" s="4">
        <f ca="1">$M$613*$Z$613</f>
        <v>0</v>
      </c>
      <c r="AG613" s="4">
        <f>$O$613*$AA$613</f>
        <v>0</v>
      </c>
    </row>
    <row r="614" spans="1:33" ht="11.25" customHeight="1" x14ac:dyDescent="0.25">
      <c r="A614" s="3" t="s">
        <v>21</v>
      </c>
      <c r="B614" s="3" t="s">
        <v>33</v>
      </c>
      <c r="C614" s="3" t="s">
        <v>61</v>
      </c>
      <c r="D614" s="3" t="s">
        <v>25</v>
      </c>
      <c r="E614" s="3" t="s">
        <v>25</v>
      </c>
      <c r="F614" s="3" t="s">
        <v>25</v>
      </c>
      <c r="G614" s="3" t="s">
        <v>62</v>
      </c>
      <c r="H614" s="3" t="s">
        <v>35</v>
      </c>
      <c r="I614" s="6">
        <v>44621</v>
      </c>
      <c r="J614" s="4">
        <v>475</v>
      </c>
      <c r="K614" s="4">
        <v>475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3" t="s">
        <v>63</v>
      </c>
      <c r="R614" s="3">
        <v>43</v>
      </c>
      <c r="S614" s="4">
        <v>3</v>
      </c>
      <c r="T614" s="4">
        <v>0</v>
      </c>
      <c r="U614" s="4">
        <v>0</v>
      </c>
      <c r="V614" s="4">
        <f>IF(ISERROR(VLOOKUP($S$614,'TAR FIN'!$A$1:$O$99,15,0)),0,VLOOKUP($S$614,'TAR FIN'!$A$1:$O$99,15,0))</f>
        <v>30.29</v>
      </c>
      <c r="W614" s="4">
        <f>IF(ISERROR(VLOOKUP($T$614,'TAR FIN'!$A$1:$O$99,15,0)),0,VLOOKUP($T$614,'TAR FIN'!$A$1:$O$99,15,0))</f>
        <v>0</v>
      </c>
      <c r="X614" s="4">
        <f>IF(ISERROR(VLOOKUP($U$614,'TAR FIN'!$A$1:$O$99,15,0)),0,VLOOKUP($U$614,'TAR FIN'!$A$1:$O$99,15,0))</f>
        <v>0</v>
      </c>
      <c r="Y614" s="4">
        <f ca="1">('TUSD BE'!$AM$17+'TUSD BF'!$AM$17+'TUSD CVA'!$AM$17)*1</f>
        <v>30.500843670754975</v>
      </c>
      <c r="Z614" s="4">
        <f ca="1">('TUSD BE'!$AM$19+'TUSD BF'!$AM$19+'TUSD CVA'!$AM$19)*1</f>
        <v>20.085616142643524</v>
      </c>
      <c r="AA614" s="4"/>
      <c r="AB614" s="4">
        <f>$K$614*$V$614</f>
        <v>14387.75</v>
      </c>
      <c r="AC614" s="4">
        <f>$M$614*$W$614</f>
        <v>0</v>
      </c>
      <c r="AD614" s="4">
        <f>$O$614*$X$614</f>
        <v>0</v>
      </c>
      <c r="AE614" s="4">
        <f ca="1">$K$614*$Y$614</f>
        <v>14487.900743608612</v>
      </c>
      <c r="AF614" s="4">
        <f ca="1">$M$614*$Z$614</f>
        <v>0</v>
      </c>
      <c r="AG614" s="4">
        <f>$O$614*$AA$614</f>
        <v>0</v>
      </c>
    </row>
    <row r="615" spans="1:33" ht="11.25" customHeight="1" x14ac:dyDescent="0.25">
      <c r="A615" s="3" t="s">
        <v>56</v>
      </c>
      <c r="B615" s="3" t="s">
        <v>33</v>
      </c>
      <c r="C615" s="3" t="s">
        <v>61</v>
      </c>
      <c r="D615" s="3" t="s">
        <v>25</v>
      </c>
      <c r="E615" s="3" t="s">
        <v>25</v>
      </c>
      <c r="F615" s="3" t="s">
        <v>25</v>
      </c>
      <c r="G615" s="3" t="s">
        <v>62</v>
      </c>
      <c r="H615" s="3" t="s">
        <v>35</v>
      </c>
      <c r="I615" s="6">
        <v>44652</v>
      </c>
      <c r="J615" s="4">
        <v>475</v>
      </c>
      <c r="K615" s="4">
        <v>475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3" t="s">
        <v>63</v>
      </c>
      <c r="R615" s="3">
        <v>43</v>
      </c>
      <c r="S615" s="4">
        <v>3</v>
      </c>
      <c r="T615" s="4">
        <v>0</v>
      </c>
      <c r="U615" s="4">
        <v>0</v>
      </c>
      <c r="V615" s="4">
        <f>IF(ISERROR(VLOOKUP($S$615,'TAR FIN'!$A$1:$O$99,15,0)),0,VLOOKUP($S$615,'TAR FIN'!$A$1:$O$99,15,0))</f>
        <v>30.29</v>
      </c>
      <c r="W615" s="4">
        <f>IF(ISERROR(VLOOKUP($T$615,'TAR FIN'!$A$1:$O$99,15,0)),0,VLOOKUP($T$615,'TAR FIN'!$A$1:$O$99,15,0))</f>
        <v>0</v>
      </c>
      <c r="X615" s="4">
        <f>IF(ISERROR(VLOOKUP($U$615,'TAR FIN'!$A$1:$O$99,15,0)),0,VLOOKUP($U$615,'TAR FIN'!$A$1:$O$99,15,0))</f>
        <v>0</v>
      </c>
      <c r="Y615" s="4">
        <f ca="1">('TUSD BE'!$AM$17+'TUSD BF'!$AM$17+'TUSD CVA'!$AM$17)*1</f>
        <v>30.500843670754975</v>
      </c>
      <c r="Z615" s="4">
        <f ca="1">('TUSD BE'!$AM$19+'TUSD BF'!$AM$19+'TUSD CVA'!$AM$19)*1</f>
        <v>20.085616142643524</v>
      </c>
      <c r="AA615" s="4"/>
      <c r="AB615" s="4">
        <f>$K$615*$V$615</f>
        <v>14387.75</v>
      </c>
      <c r="AC615" s="4">
        <f>$M$615*$W$615</f>
        <v>0</v>
      </c>
      <c r="AD615" s="4">
        <f>$O$615*$X$615</f>
        <v>0</v>
      </c>
      <c r="AE615" s="4">
        <f ca="1">$K$615*$Y$615</f>
        <v>14487.900743608612</v>
      </c>
      <c r="AF615" s="4">
        <f ca="1">$M$615*$Z$615</f>
        <v>0</v>
      </c>
      <c r="AG615" s="4">
        <f>$O$615*$AA$615</f>
        <v>0</v>
      </c>
    </row>
    <row r="616" spans="1:33" ht="11.25" customHeight="1" x14ac:dyDescent="0.25">
      <c r="A616" s="3" t="s">
        <v>21</v>
      </c>
      <c r="B616" s="3" t="s">
        <v>33</v>
      </c>
      <c r="C616" s="3" t="s">
        <v>64</v>
      </c>
      <c r="D616" s="3" t="s">
        <v>25</v>
      </c>
      <c r="E616" s="3" t="s">
        <v>25</v>
      </c>
      <c r="F616" s="3" t="s">
        <v>65</v>
      </c>
      <c r="G616" s="3" t="s">
        <v>68</v>
      </c>
      <c r="H616" s="3" t="s">
        <v>25</v>
      </c>
      <c r="I616" s="6">
        <v>44317</v>
      </c>
      <c r="J616" s="4">
        <v>2228</v>
      </c>
      <c r="K616" s="4">
        <v>1114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3" t="s">
        <v>67</v>
      </c>
      <c r="R616" s="3">
        <v>28543</v>
      </c>
      <c r="S616" s="4">
        <v>6</v>
      </c>
      <c r="T616" s="4">
        <v>0</v>
      </c>
      <c r="U616" s="4">
        <v>0</v>
      </c>
      <c r="V616" s="4">
        <f>IF(ISERROR(VLOOKUP($S$616,'TAR FIN'!$A$1:$O$99,15,0)),0,VLOOKUP($S$616,'TAR FIN'!$A$1:$O$99,15,0))</f>
        <v>11.99</v>
      </c>
      <c r="W616" s="4">
        <f>IF(ISERROR(VLOOKUP($T$616,'TAR FIN'!$A$1:$O$99,15,0)),0,VLOOKUP($T$616,'TAR FIN'!$A$1:$O$99,15,0))</f>
        <v>0</v>
      </c>
      <c r="X616" s="4">
        <f>IF(ISERROR(VLOOKUP($U$616,'TAR FIN'!$A$1:$O$99,15,0)),0,VLOOKUP($U$616,'TAR FIN'!$A$1:$O$99,15,0))</f>
        <v>0</v>
      </c>
      <c r="Y616" s="4">
        <f ca="1">('TUSD BE'!$AM$20+'TUSD BF'!$AM$20+'TUSD CVA'!$AM$20)*1</f>
        <v>15.10133596192736</v>
      </c>
      <c r="Z616" s="4"/>
      <c r="AA616" s="4"/>
      <c r="AB616" s="4">
        <f>$K$616*$V$616</f>
        <v>13356.86</v>
      </c>
      <c r="AC616" s="4">
        <f>$M$616*$W$616</f>
        <v>0</v>
      </c>
      <c r="AD616" s="4">
        <f>$O$616*$X$616</f>
        <v>0</v>
      </c>
      <c r="AE616" s="4">
        <f ca="1">$K$616*$Y$616</f>
        <v>16822.888261587079</v>
      </c>
      <c r="AF616" s="4">
        <f>$M$616*$Z$616</f>
        <v>0</v>
      </c>
      <c r="AG616" s="4">
        <f>$O$616*$AA$616</f>
        <v>0</v>
      </c>
    </row>
    <row r="617" spans="1:33" ht="11.25" customHeight="1" x14ac:dyDescent="0.25">
      <c r="A617" s="3" t="s">
        <v>21</v>
      </c>
      <c r="B617" s="3" t="s">
        <v>33</v>
      </c>
      <c r="C617" s="3" t="s">
        <v>64</v>
      </c>
      <c r="D617" s="3" t="s">
        <v>25</v>
      </c>
      <c r="E617" s="3" t="s">
        <v>25</v>
      </c>
      <c r="F617" s="3" t="s">
        <v>65</v>
      </c>
      <c r="G617" s="3" t="s">
        <v>68</v>
      </c>
      <c r="H617" s="3" t="s">
        <v>25</v>
      </c>
      <c r="I617" s="6">
        <v>44348</v>
      </c>
      <c r="J617" s="4">
        <v>2297</v>
      </c>
      <c r="K617" s="4">
        <v>1148.5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3" t="s">
        <v>67</v>
      </c>
      <c r="R617" s="3">
        <v>28543</v>
      </c>
      <c r="S617" s="4">
        <v>6</v>
      </c>
      <c r="T617" s="4">
        <v>0</v>
      </c>
      <c r="U617" s="4">
        <v>0</v>
      </c>
      <c r="V617" s="4">
        <f>IF(ISERROR(VLOOKUP($S$617,'TAR FIN'!$A$1:$O$99,15,0)),0,VLOOKUP($S$617,'TAR FIN'!$A$1:$O$99,15,0))</f>
        <v>11.99</v>
      </c>
      <c r="W617" s="4">
        <f>IF(ISERROR(VLOOKUP($T$617,'TAR FIN'!$A$1:$O$99,15,0)),0,VLOOKUP($T$617,'TAR FIN'!$A$1:$O$99,15,0))</f>
        <v>0</v>
      </c>
      <c r="X617" s="4">
        <f>IF(ISERROR(VLOOKUP($U$617,'TAR FIN'!$A$1:$O$99,15,0)),0,VLOOKUP($U$617,'TAR FIN'!$A$1:$O$99,15,0))</f>
        <v>0</v>
      </c>
      <c r="Y617" s="4">
        <f ca="1">('TUSD BE'!$AM$20+'TUSD BF'!$AM$20+'TUSD CVA'!$AM$20)*1</f>
        <v>15.10133596192736</v>
      </c>
      <c r="Z617" s="4"/>
      <c r="AA617" s="4"/>
      <c r="AB617" s="4">
        <f>$K$617*$V$617</f>
        <v>13770.514999999999</v>
      </c>
      <c r="AC617" s="4">
        <f>$M$617*$W$617</f>
        <v>0</v>
      </c>
      <c r="AD617" s="4">
        <f>$O$617*$X$617</f>
        <v>0</v>
      </c>
      <c r="AE617" s="4">
        <f ca="1">$K$617*$Y$617</f>
        <v>17343.884352273573</v>
      </c>
      <c r="AF617" s="4">
        <f>$M$617*$Z$617</f>
        <v>0</v>
      </c>
      <c r="AG617" s="4">
        <f>$O$617*$AA$617</f>
        <v>0</v>
      </c>
    </row>
    <row r="618" spans="1:33" ht="11.25" customHeight="1" x14ac:dyDescent="0.25">
      <c r="A618" s="3" t="s">
        <v>21</v>
      </c>
      <c r="B618" s="3" t="s">
        <v>33</v>
      </c>
      <c r="C618" s="3" t="s">
        <v>64</v>
      </c>
      <c r="D618" s="3" t="s">
        <v>25</v>
      </c>
      <c r="E618" s="3" t="s">
        <v>25</v>
      </c>
      <c r="F618" s="3" t="s">
        <v>65</v>
      </c>
      <c r="G618" s="3" t="s">
        <v>68</v>
      </c>
      <c r="H618" s="3" t="s">
        <v>25</v>
      </c>
      <c r="I618" s="6">
        <v>44378</v>
      </c>
      <c r="J618" s="4">
        <v>2266</v>
      </c>
      <c r="K618" s="4">
        <v>1133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3" t="s">
        <v>67</v>
      </c>
      <c r="R618" s="3">
        <v>28543</v>
      </c>
      <c r="S618" s="4">
        <v>6</v>
      </c>
      <c r="T618" s="4">
        <v>0</v>
      </c>
      <c r="U618" s="4">
        <v>0</v>
      </c>
      <c r="V618" s="4">
        <f>IF(ISERROR(VLOOKUP($S$618,'TAR FIN'!$A$1:$O$99,15,0)),0,VLOOKUP($S$618,'TAR FIN'!$A$1:$O$99,15,0))</f>
        <v>11.99</v>
      </c>
      <c r="W618" s="4">
        <f>IF(ISERROR(VLOOKUP($T$618,'TAR FIN'!$A$1:$O$99,15,0)),0,VLOOKUP($T$618,'TAR FIN'!$A$1:$O$99,15,0))</f>
        <v>0</v>
      </c>
      <c r="X618" s="4">
        <f>IF(ISERROR(VLOOKUP($U$618,'TAR FIN'!$A$1:$O$99,15,0)),0,VLOOKUP($U$618,'TAR FIN'!$A$1:$O$99,15,0))</f>
        <v>0</v>
      </c>
      <c r="Y618" s="4">
        <f ca="1">('TUSD BE'!$AM$20+'TUSD BF'!$AM$20+'TUSD CVA'!$AM$20)*1</f>
        <v>15.10133596192736</v>
      </c>
      <c r="Z618" s="4"/>
      <c r="AA618" s="4"/>
      <c r="AB618" s="4">
        <f>$K$618*$V$618</f>
        <v>13584.67</v>
      </c>
      <c r="AC618" s="4">
        <f>$M$618*$W$618</f>
        <v>0</v>
      </c>
      <c r="AD618" s="4">
        <f>$O$618*$X$618</f>
        <v>0</v>
      </c>
      <c r="AE618" s="4">
        <f ca="1">$K$618*$Y$618</f>
        <v>17109.813644863698</v>
      </c>
      <c r="AF618" s="4">
        <f>$M$618*$Z$618</f>
        <v>0</v>
      </c>
      <c r="AG618" s="4">
        <f>$O$618*$AA$618</f>
        <v>0</v>
      </c>
    </row>
    <row r="619" spans="1:33" ht="11.25" customHeight="1" x14ac:dyDescent="0.25">
      <c r="A619" s="3" t="s">
        <v>21</v>
      </c>
      <c r="B619" s="3" t="s">
        <v>33</v>
      </c>
      <c r="C619" s="3" t="s">
        <v>64</v>
      </c>
      <c r="D619" s="3" t="s">
        <v>25</v>
      </c>
      <c r="E619" s="3" t="s">
        <v>25</v>
      </c>
      <c r="F619" s="3" t="s">
        <v>65</v>
      </c>
      <c r="G619" s="3" t="s">
        <v>68</v>
      </c>
      <c r="H619" s="3" t="s">
        <v>25</v>
      </c>
      <c r="I619" s="6">
        <v>44409</v>
      </c>
      <c r="J619" s="4">
        <v>2173</v>
      </c>
      <c r="K619" s="4">
        <v>1086.5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3" t="s">
        <v>67</v>
      </c>
      <c r="R619" s="3">
        <v>28543</v>
      </c>
      <c r="S619" s="4">
        <v>6</v>
      </c>
      <c r="T619" s="4">
        <v>0</v>
      </c>
      <c r="U619" s="4">
        <v>0</v>
      </c>
      <c r="V619" s="4">
        <f>IF(ISERROR(VLOOKUP($S$619,'TAR FIN'!$A$1:$O$99,15,0)),0,VLOOKUP($S$619,'TAR FIN'!$A$1:$O$99,15,0))</f>
        <v>11.99</v>
      </c>
      <c r="W619" s="4">
        <f>IF(ISERROR(VLOOKUP($T$619,'TAR FIN'!$A$1:$O$99,15,0)),0,VLOOKUP($T$619,'TAR FIN'!$A$1:$O$99,15,0))</f>
        <v>0</v>
      </c>
      <c r="X619" s="4">
        <f>IF(ISERROR(VLOOKUP($U$619,'TAR FIN'!$A$1:$O$99,15,0)),0,VLOOKUP($U$619,'TAR FIN'!$A$1:$O$99,15,0))</f>
        <v>0</v>
      </c>
      <c r="Y619" s="4">
        <f ca="1">('TUSD BE'!$AM$20+'TUSD BF'!$AM$20+'TUSD CVA'!$AM$20)*1</f>
        <v>15.10133596192736</v>
      </c>
      <c r="Z619" s="4"/>
      <c r="AA619" s="4"/>
      <c r="AB619" s="4">
        <f>$K$619*$V$619</f>
        <v>13027.135</v>
      </c>
      <c r="AC619" s="4">
        <f>$M$619*$W$619</f>
        <v>0</v>
      </c>
      <c r="AD619" s="4">
        <f>$O$619*$X$619</f>
        <v>0</v>
      </c>
      <c r="AE619" s="4">
        <f ca="1">$K$619*$Y$619</f>
        <v>16407.601522634075</v>
      </c>
      <c r="AF619" s="4">
        <f>$M$619*$Z$619</f>
        <v>0</v>
      </c>
      <c r="AG619" s="4">
        <f>$O$619*$AA$619</f>
        <v>0</v>
      </c>
    </row>
    <row r="620" spans="1:33" ht="11.25" customHeight="1" x14ac:dyDescent="0.25">
      <c r="A620" s="3" t="s">
        <v>21</v>
      </c>
      <c r="B620" s="3" t="s">
        <v>33</v>
      </c>
      <c r="C620" s="3" t="s">
        <v>64</v>
      </c>
      <c r="D620" s="3" t="s">
        <v>25</v>
      </c>
      <c r="E620" s="3" t="s">
        <v>25</v>
      </c>
      <c r="F620" s="3" t="s">
        <v>65</v>
      </c>
      <c r="G620" s="3" t="s">
        <v>68</v>
      </c>
      <c r="H620" s="3" t="s">
        <v>25</v>
      </c>
      <c r="I620" s="6">
        <v>44440</v>
      </c>
      <c r="J620" s="4">
        <v>3136</v>
      </c>
      <c r="K620" s="4">
        <v>1568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3" t="s">
        <v>67</v>
      </c>
      <c r="R620" s="3">
        <v>28543</v>
      </c>
      <c r="S620" s="4">
        <v>6</v>
      </c>
      <c r="T620" s="4">
        <v>0</v>
      </c>
      <c r="U620" s="4">
        <v>0</v>
      </c>
      <c r="V620" s="4">
        <f>IF(ISERROR(VLOOKUP($S$620,'TAR FIN'!$A$1:$O$99,15,0)),0,VLOOKUP($S$620,'TAR FIN'!$A$1:$O$99,15,0))</f>
        <v>11.99</v>
      </c>
      <c r="W620" s="4">
        <f>IF(ISERROR(VLOOKUP($T$620,'TAR FIN'!$A$1:$O$99,15,0)),0,VLOOKUP($T$620,'TAR FIN'!$A$1:$O$99,15,0))</f>
        <v>0</v>
      </c>
      <c r="X620" s="4">
        <f>IF(ISERROR(VLOOKUP($U$620,'TAR FIN'!$A$1:$O$99,15,0)),0,VLOOKUP($U$620,'TAR FIN'!$A$1:$O$99,15,0))</f>
        <v>0</v>
      </c>
      <c r="Y620" s="4">
        <f ca="1">('TUSD BE'!$AM$20+'TUSD BF'!$AM$20+'TUSD CVA'!$AM$20)*1</f>
        <v>15.10133596192736</v>
      </c>
      <c r="Z620" s="4"/>
      <c r="AA620" s="4"/>
      <c r="AB620" s="4">
        <f>$K$620*$V$620</f>
        <v>18800.32</v>
      </c>
      <c r="AC620" s="4">
        <f>$M$620*$W$620</f>
        <v>0</v>
      </c>
      <c r="AD620" s="4">
        <f>$O$620*$X$620</f>
        <v>0</v>
      </c>
      <c r="AE620" s="4">
        <f ca="1">$K$620*$Y$620</f>
        <v>23678.894788302099</v>
      </c>
      <c r="AF620" s="4">
        <f>$M$620*$Z$620</f>
        <v>0</v>
      </c>
      <c r="AG620" s="4">
        <f>$O$620*$AA$620</f>
        <v>0</v>
      </c>
    </row>
    <row r="621" spans="1:33" ht="11.25" customHeight="1" x14ac:dyDescent="0.25">
      <c r="A621" s="3" t="s">
        <v>21</v>
      </c>
      <c r="B621" s="3" t="s">
        <v>33</v>
      </c>
      <c r="C621" s="3" t="s">
        <v>64</v>
      </c>
      <c r="D621" s="3" t="s">
        <v>25</v>
      </c>
      <c r="E621" s="3" t="s">
        <v>25</v>
      </c>
      <c r="F621" s="3" t="s">
        <v>65</v>
      </c>
      <c r="G621" s="3" t="s">
        <v>68</v>
      </c>
      <c r="H621" s="3" t="s">
        <v>25</v>
      </c>
      <c r="I621" s="6">
        <v>44470</v>
      </c>
      <c r="J621" s="4">
        <v>2407</v>
      </c>
      <c r="K621" s="4">
        <v>1203.5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3" t="s">
        <v>67</v>
      </c>
      <c r="R621" s="3">
        <v>28543</v>
      </c>
      <c r="S621" s="4">
        <v>6</v>
      </c>
      <c r="T621" s="4">
        <v>0</v>
      </c>
      <c r="U621" s="4">
        <v>0</v>
      </c>
      <c r="V621" s="4">
        <f>IF(ISERROR(VLOOKUP($S$621,'TAR FIN'!$A$1:$O$99,15,0)),0,VLOOKUP($S$621,'TAR FIN'!$A$1:$O$99,15,0))</f>
        <v>11.99</v>
      </c>
      <c r="W621" s="4">
        <f>IF(ISERROR(VLOOKUP($T$621,'TAR FIN'!$A$1:$O$99,15,0)),0,VLOOKUP($T$621,'TAR FIN'!$A$1:$O$99,15,0))</f>
        <v>0</v>
      </c>
      <c r="X621" s="4">
        <f>IF(ISERROR(VLOOKUP($U$621,'TAR FIN'!$A$1:$O$99,15,0)),0,VLOOKUP($U$621,'TAR FIN'!$A$1:$O$99,15,0))</f>
        <v>0</v>
      </c>
      <c r="Y621" s="4">
        <f ca="1">('TUSD BE'!$AM$20+'TUSD BF'!$AM$20+'TUSD CVA'!$AM$20)*1</f>
        <v>15.10133596192736</v>
      </c>
      <c r="Z621" s="4"/>
      <c r="AA621" s="4"/>
      <c r="AB621" s="4">
        <f>$K$621*$V$621</f>
        <v>14429.965</v>
      </c>
      <c r="AC621" s="4">
        <f>$M$621*$W$621</f>
        <v>0</v>
      </c>
      <c r="AD621" s="4">
        <f>$O$621*$X$621</f>
        <v>0</v>
      </c>
      <c r="AE621" s="4">
        <f ca="1">$K$621*$Y$621</f>
        <v>18174.457830179577</v>
      </c>
      <c r="AF621" s="4">
        <f>$M$621*$Z$621</f>
        <v>0</v>
      </c>
      <c r="AG621" s="4">
        <f>$O$621*$AA$621</f>
        <v>0</v>
      </c>
    </row>
    <row r="622" spans="1:33" ht="11.25" customHeight="1" x14ac:dyDescent="0.25">
      <c r="A622" s="3" t="s">
        <v>21</v>
      </c>
      <c r="B622" s="3" t="s">
        <v>33</v>
      </c>
      <c r="C622" s="3" t="s">
        <v>64</v>
      </c>
      <c r="D622" s="3" t="s">
        <v>25</v>
      </c>
      <c r="E622" s="3" t="s">
        <v>25</v>
      </c>
      <c r="F622" s="3" t="s">
        <v>65</v>
      </c>
      <c r="G622" s="3" t="s">
        <v>68</v>
      </c>
      <c r="H622" s="3" t="s">
        <v>25</v>
      </c>
      <c r="I622" s="6">
        <v>44501</v>
      </c>
      <c r="J622" s="4">
        <v>2002</v>
      </c>
      <c r="K622" s="4">
        <v>1001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3" t="s">
        <v>67</v>
      </c>
      <c r="R622" s="3">
        <v>28543</v>
      </c>
      <c r="S622" s="4">
        <v>6</v>
      </c>
      <c r="T622" s="4">
        <v>0</v>
      </c>
      <c r="U622" s="4">
        <v>0</v>
      </c>
      <c r="V622" s="4">
        <f>IF(ISERROR(VLOOKUP($S$622,'TAR FIN'!$A$1:$O$99,15,0)),0,VLOOKUP($S$622,'TAR FIN'!$A$1:$O$99,15,0))</f>
        <v>11.99</v>
      </c>
      <c r="W622" s="4">
        <f>IF(ISERROR(VLOOKUP($T$622,'TAR FIN'!$A$1:$O$99,15,0)),0,VLOOKUP($T$622,'TAR FIN'!$A$1:$O$99,15,0))</f>
        <v>0</v>
      </c>
      <c r="X622" s="4">
        <f>IF(ISERROR(VLOOKUP($U$622,'TAR FIN'!$A$1:$O$99,15,0)),0,VLOOKUP($U$622,'TAR FIN'!$A$1:$O$99,15,0))</f>
        <v>0</v>
      </c>
      <c r="Y622" s="4">
        <f ca="1">('TUSD BE'!$AM$20+'TUSD BF'!$AM$20+'TUSD CVA'!$AM$20)*1</f>
        <v>15.10133596192736</v>
      </c>
      <c r="Z622" s="4"/>
      <c r="AA622" s="4"/>
      <c r="AB622" s="4">
        <f>$K$622*$V$622</f>
        <v>12001.99</v>
      </c>
      <c r="AC622" s="4">
        <f>$M$622*$W$622</f>
        <v>0</v>
      </c>
      <c r="AD622" s="4">
        <f>$O$622*$X$622</f>
        <v>0</v>
      </c>
      <c r="AE622" s="4">
        <f ca="1">$K$622*$Y$622</f>
        <v>15116.437297889288</v>
      </c>
      <c r="AF622" s="4">
        <f>$M$622*$Z$622</f>
        <v>0</v>
      </c>
      <c r="AG622" s="4">
        <f>$O$622*$AA$622</f>
        <v>0</v>
      </c>
    </row>
    <row r="623" spans="1:33" ht="11.25" customHeight="1" x14ac:dyDescent="0.25">
      <c r="A623" s="3" t="s">
        <v>21</v>
      </c>
      <c r="B623" s="3" t="s">
        <v>33</v>
      </c>
      <c r="C623" s="3" t="s">
        <v>64</v>
      </c>
      <c r="D623" s="3" t="s">
        <v>25</v>
      </c>
      <c r="E623" s="3" t="s">
        <v>25</v>
      </c>
      <c r="F623" s="3" t="s">
        <v>65</v>
      </c>
      <c r="G623" s="3" t="s">
        <v>68</v>
      </c>
      <c r="H623" s="3" t="s">
        <v>25</v>
      </c>
      <c r="I623" s="6">
        <v>44531</v>
      </c>
      <c r="J623" s="4">
        <v>2119</v>
      </c>
      <c r="K623" s="4">
        <v>1059.5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3" t="s">
        <v>67</v>
      </c>
      <c r="R623" s="3">
        <v>28543</v>
      </c>
      <c r="S623" s="4">
        <v>6</v>
      </c>
      <c r="T623" s="4">
        <v>0</v>
      </c>
      <c r="U623" s="4">
        <v>0</v>
      </c>
      <c r="V623" s="4">
        <f>IF(ISERROR(VLOOKUP($S$623,'TAR FIN'!$A$1:$O$99,15,0)),0,VLOOKUP($S$623,'TAR FIN'!$A$1:$O$99,15,0))</f>
        <v>11.99</v>
      </c>
      <c r="W623" s="4">
        <f>IF(ISERROR(VLOOKUP($T$623,'TAR FIN'!$A$1:$O$99,15,0)),0,VLOOKUP($T$623,'TAR FIN'!$A$1:$O$99,15,0))</f>
        <v>0</v>
      </c>
      <c r="X623" s="4">
        <f>IF(ISERROR(VLOOKUP($U$623,'TAR FIN'!$A$1:$O$99,15,0)),0,VLOOKUP($U$623,'TAR FIN'!$A$1:$O$99,15,0))</f>
        <v>0</v>
      </c>
      <c r="Y623" s="4">
        <f ca="1">('TUSD BE'!$AM$20+'TUSD BF'!$AM$20+'TUSD CVA'!$AM$20)*1</f>
        <v>15.10133596192736</v>
      </c>
      <c r="Z623" s="4"/>
      <c r="AA623" s="4"/>
      <c r="AB623" s="4">
        <f>$K$623*$V$623</f>
        <v>12703.405000000001</v>
      </c>
      <c r="AC623" s="4">
        <f>$M$623*$W$623</f>
        <v>0</v>
      </c>
      <c r="AD623" s="4">
        <f>$O$623*$X$623</f>
        <v>0</v>
      </c>
      <c r="AE623" s="4">
        <f ca="1">$K$623*$Y$623</f>
        <v>15999.865451662037</v>
      </c>
      <c r="AF623" s="4">
        <f>$M$623*$Z$623</f>
        <v>0</v>
      </c>
      <c r="AG623" s="4">
        <f>$O$623*$AA$623</f>
        <v>0</v>
      </c>
    </row>
    <row r="624" spans="1:33" ht="11.25" customHeight="1" x14ac:dyDescent="0.25">
      <c r="A624" s="3" t="s">
        <v>21</v>
      </c>
      <c r="B624" s="3" t="s">
        <v>33</v>
      </c>
      <c r="C624" s="3" t="s">
        <v>64</v>
      </c>
      <c r="D624" s="3" t="s">
        <v>25</v>
      </c>
      <c r="E624" s="3" t="s">
        <v>25</v>
      </c>
      <c r="F624" s="3" t="s">
        <v>65</v>
      </c>
      <c r="G624" s="3" t="s">
        <v>68</v>
      </c>
      <c r="H624" s="3" t="s">
        <v>25</v>
      </c>
      <c r="I624" s="6">
        <v>44562</v>
      </c>
      <c r="J624" s="4">
        <v>2083</v>
      </c>
      <c r="K624" s="4">
        <v>1041.5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3" t="s">
        <v>67</v>
      </c>
      <c r="R624" s="3">
        <v>28543</v>
      </c>
      <c r="S624" s="4">
        <v>6</v>
      </c>
      <c r="T624" s="4">
        <v>0</v>
      </c>
      <c r="U624" s="4">
        <v>0</v>
      </c>
      <c r="V624" s="4">
        <f>IF(ISERROR(VLOOKUP($S$624,'TAR FIN'!$A$1:$O$99,15,0)),0,VLOOKUP($S$624,'TAR FIN'!$A$1:$O$99,15,0))</f>
        <v>11.99</v>
      </c>
      <c r="W624" s="4">
        <f>IF(ISERROR(VLOOKUP($T$624,'TAR FIN'!$A$1:$O$99,15,0)),0,VLOOKUP($T$624,'TAR FIN'!$A$1:$O$99,15,0))</f>
        <v>0</v>
      </c>
      <c r="X624" s="4">
        <f>IF(ISERROR(VLOOKUP($U$624,'TAR FIN'!$A$1:$O$99,15,0)),0,VLOOKUP($U$624,'TAR FIN'!$A$1:$O$99,15,0))</f>
        <v>0</v>
      </c>
      <c r="Y624" s="4">
        <f ca="1">('TUSD BE'!$AM$20+'TUSD BF'!$AM$20+'TUSD CVA'!$AM$20)*1</f>
        <v>15.10133596192736</v>
      </c>
      <c r="Z624" s="4"/>
      <c r="AA624" s="4"/>
      <c r="AB624" s="4">
        <f>$K$624*$V$624</f>
        <v>12487.585000000001</v>
      </c>
      <c r="AC624" s="4">
        <f>$M$624*$W$624</f>
        <v>0</v>
      </c>
      <c r="AD624" s="4">
        <f>$O$624*$X$624</f>
        <v>0</v>
      </c>
      <c r="AE624" s="4">
        <f ca="1">$K$624*$Y$624</f>
        <v>15728.041404347345</v>
      </c>
      <c r="AF624" s="4">
        <f>$M$624*$Z$624</f>
        <v>0</v>
      </c>
      <c r="AG624" s="4">
        <f>$O$624*$AA$624</f>
        <v>0</v>
      </c>
    </row>
    <row r="625" spans="1:33" ht="11.25" customHeight="1" x14ac:dyDescent="0.25">
      <c r="A625" s="3" t="s">
        <v>21</v>
      </c>
      <c r="B625" s="3" t="s">
        <v>33</v>
      </c>
      <c r="C625" s="3" t="s">
        <v>64</v>
      </c>
      <c r="D625" s="3" t="s">
        <v>25</v>
      </c>
      <c r="E625" s="3" t="s">
        <v>25</v>
      </c>
      <c r="F625" s="3" t="s">
        <v>65</v>
      </c>
      <c r="G625" s="3" t="s">
        <v>68</v>
      </c>
      <c r="H625" s="3" t="s">
        <v>25</v>
      </c>
      <c r="I625" s="6">
        <v>44593</v>
      </c>
      <c r="J625" s="4">
        <v>1997</v>
      </c>
      <c r="K625" s="4">
        <v>998.5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3" t="s">
        <v>67</v>
      </c>
      <c r="R625" s="3">
        <v>28543</v>
      </c>
      <c r="S625" s="4">
        <v>6</v>
      </c>
      <c r="T625" s="4">
        <v>0</v>
      </c>
      <c r="U625" s="4">
        <v>0</v>
      </c>
      <c r="V625" s="4">
        <f>IF(ISERROR(VLOOKUP($S$625,'TAR FIN'!$A$1:$O$99,15,0)),0,VLOOKUP($S$625,'TAR FIN'!$A$1:$O$99,15,0))</f>
        <v>11.99</v>
      </c>
      <c r="W625" s="4">
        <f>IF(ISERROR(VLOOKUP($T$625,'TAR FIN'!$A$1:$O$99,15,0)),0,VLOOKUP($T$625,'TAR FIN'!$A$1:$O$99,15,0))</f>
        <v>0</v>
      </c>
      <c r="X625" s="4">
        <f>IF(ISERROR(VLOOKUP($U$625,'TAR FIN'!$A$1:$O$99,15,0)),0,VLOOKUP($U$625,'TAR FIN'!$A$1:$O$99,15,0))</f>
        <v>0</v>
      </c>
      <c r="Y625" s="4">
        <f ca="1">('TUSD BE'!$AM$20+'TUSD BF'!$AM$20+'TUSD CVA'!$AM$20)*1</f>
        <v>15.10133596192736</v>
      </c>
      <c r="Z625" s="4"/>
      <c r="AA625" s="4"/>
      <c r="AB625" s="4">
        <f>$K$625*$V$625</f>
        <v>11972.014999999999</v>
      </c>
      <c r="AC625" s="4">
        <f>$M$625*$W$625</f>
        <v>0</v>
      </c>
      <c r="AD625" s="4">
        <f>$O$625*$X$625</f>
        <v>0</v>
      </c>
      <c r="AE625" s="4">
        <f ca="1">$K$625*$Y$625</f>
        <v>15078.683957984469</v>
      </c>
      <c r="AF625" s="4">
        <f>$M$625*$Z$625</f>
        <v>0</v>
      </c>
      <c r="AG625" s="4">
        <f>$O$625*$AA$625</f>
        <v>0</v>
      </c>
    </row>
    <row r="626" spans="1:33" ht="11.25" customHeight="1" x14ac:dyDescent="0.25">
      <c r="A626" s="3" t="s">
        <v>21</v>
      </c>
      <c r="B626" s="3" t="s">
        <v>33</v>
      </c>
      <c r="C626" s="3" t="s">
        <v>64</v>
      </c>
      <c r="D626" s="3" t="s">
        <v>25</v>
      </c>
      <c r="E626" s="3" t="s">
        <v>25</v>
      </c>
      <c r="F626" s="3" t="s">
        <v>65</v>
      </c>
      <c r="G626" s="3" t="s">
        <v>68</v>
      </c>
      <c r="H626" s="3" t="s">
        <v>25</v>
      </c>
      <c r="I626" s="6">
        <v>44621</v>
      </c>
      <c r="J626" s="4">
        <v>1963</v>
      </c>
      <c r="K626" s="4">
        <v>981.5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3" t="s">
        <v>67</v>
      </c>
      <c r="R626" s="3">
        <v>28543</v>
      </c>
      <c r="S626" s="4">
        <v>6</v>
      </c>
      <c r="T626" s="4">
        <v>0</v>
      </c>
      <c r="U626" s="4">
        <v>0</v>
      </c>
      <c r="V626" s="4">
        <f>IF(ISERROR(VLOOKUP($S$626,'TAR FIN'!$A$1:$O$99,15,0)),0,VLOOKUP($S$626,'TAR FIN'!$A$1:$O$99,15,0))</f>
        <v>11.99</v>
      </c>
      <c r="W626" s="4">
        <f>IF(ISERROR(VLOOKUP($T$626,'TAR FIN'!$A$1:$O$99,15,0)),0,VLOOKUP($T$626,'TAR FIN'!$A$1:$O$99,15,0))</f>
        <v>0</v>
      </c>
      <c r="X626" s="4">
        <f>IF(ISERROR(VLOOKUP($U$626,'TAR FIN'!$A$1:$O$99,15,0)),0,VLOOKUP($U$626,'TAR FIN'!$A$1:$O$99,15,0))</f>
        <v>0</v>
      </c>
      <c r="Y626" s="4">
        <f ca="1">('TUSD BE'!$AM$20+'TUSD BF'!$AM$20+'TUSD CVA'!$AM$20)*1</f>
        <v>15.10133596192736</v>
      </c>
      <c r="Z626" s="4"/>
      <c r="AA626" s="4"/>
      <c r="AB626" s="4">
        <f>$K$626*$V$626</f>
        <v>11768.184999999999</v>
      </c>
      <c r="AC626" s="4">
        <f>$M$626*$W$626</f>
        <v>0</v>
      </c>
      <c r="AD626" s="4">
        <f>$O$626*$X$626</f>
        <v>0</v>
      </c>
      <c r="AE626" s="4">
        <f ca="1">$K$626*$Y$626</f>
        <v>14821.961246631703</v>
      </c>
      <c r="AF626" s="4">
        <f>$M$626*$Z$626</f>
        <v>0</v>
      </c>
      <c r="AG626" s="4">
        <f>$O$626*$AA$626</f>
        <v>0</v>
      </c>
    </row>
    <row r="627" spans="1:33" ht="11.25" customHeight="1" x14ac:dyDescent="0.25">
      <c r="A627" s="3" t="s">
        <v>56</v>
      </c>
      <c r="B627" s="3" t="s">
        <v>33</v>
      </c>
      <c r="C627" s="3" t="s">
        <v>64</v>
      </c>
      <c r="D627" s="3" t="s">
        <v>25</v>
      </c>
      <c r="E627" s="3" t="s">
        <v>25</v>
      </c>
      <c r="F627" s="3" t="s">
        <v>65</v>
      </c>
      <c r="G627" s="3" t="s">
        <v>68</v>
      </c>
      <c r="H627" s="3" t="s">
        <v>25</v>
      </c>
      <c r="I627" s="6">
        <v>44652</v>
      </c>
      <c r="J627" s="4">
        <v>1963</v>
      </c>
      <c r="K627" s="4">
        <v>981.5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3" t="s">
        <v>67</v>
      </c>
      <c r="R627" s="3">
        <v>28543</v>
      </c>
      <c r="S627" s="4">
        <v>6</v>
      </c>
      <c r="T627" s="4">
        <v>0</v>
      </c>
      <c r="U627" s="4">
        <v>0</v>
      </c>
      <c r="V627" s="4">
        <f>IF(ISERROR(VLOOKUP($S$627,'TAR FIN'!$A$1:$O$99,15,0)),0,VLOOKUP($S$627,'TAR FIN'!$A$1:$O$99,15,0))</f>
        <v>11.99</v>
      </c>
      <c r="W627" s="4">
        <f>IF(ISERROR(VLOOKUP($T$627,'TAR FIN'!$A$1:$O$99,15,0)),0,VLOOKUP($T$627,'TAR FIN'!$A$1:$O$99,15,0))</f>
        <v>0</v>
      </c>
      <c r="X627" s="4">
        <f>IF(ISERROR(VLOOKUP($U$627,'TAR FIN'!$A$1:$O$99,15,0)),0,VLOOKUP($U$627,'TAR FIN'!$A$1:$O$99,15,0))</f>
        <v>0</v>
      </c>
      <c r="Y627" s="4">
        <f ca="1">('TUSD BE'!$AM$20+'TUSD BF'!$AM$20+'TUSD CVA'!$AM$20)*1</f>
        <v>15.10133596192736</v>
      </c>
      <c r="Z627" s="4"/>
      <c r="AA627" s="4"/>
      <c r="AB627" s="4">
        <f>$K$627*$V$627</f>
        <v>11768.184999999999</v>
      </c>
      <c r="AC627" s="4">
        <f>$M$627*$W$627</f>
        <v>0</v>
      </c>
      <c r="AD627" s="4">
        <f>$O$627*$X$627</f>
        <v>0</v>
      </c>
      <c r="AE627" s="4">
        <f ca="1">$K$627*$Y$627</f>
        <v>14821.961246631703</v>
      </c>
      <c r="AF627" s="4">
        <f>$M$627*$Z$627</f>
        <v>0</v>
      </c>
      <c r="AG627" s="4">
        <f>$O$627*$AA$627</f>
        <v>0</v>
      </c>
    </row>
    <row r="628" spans="1:33" ht="11.25" customHeight="1" x14ac:dyDescent="0.25">
      <c r="A628" s="3" t="s">
        <v>21</v>
      </c>
      <c r="B628" s="3" t="s">
        <v>33</v>
      </c>
      <c r="C628" s="3" t="s">
        <v>64</v>
      </c>
      <c r="D628" s="3" t="s">
        <v>25</v>
      </c>
      <c r="E628" s="3" t="s">
        <v>25</v>
      </c>
      <c r="F628" s="3" t="s">
        <v>25</v>
      </c>
      <c r="G628" s="3" t="s">
        <v>72</v>
      </c>
      <c r="H628" s="3" t="s">
        <v>25</v>
      </c>
      <c r="I628" s="6">
        <v>44317</v>
      </c>
      <c r="J628" s="4">
        <v>950</v>
      </c>
      <c r="K628" s="4">
        <v>475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3" t="s">
        <v>67</v>
      </c>
      <c r="R628" s="3">
        <v>30112</v>
      </c>
      <c r="S628" s="4">
        <v>6</v>
      </c>
      <c r="T628" s="4">
        <v>0</v>
      </c>
      <c r="U628" s="4">
        <v>0</v>
      </c>
      <c r="V628" s="4">
        <f>IF(ISERROR(VLOOKUP($S$628,'TAR FIN'!$A$1:$O$99,15,0)),0,VLOOKUP($S$628,'TAR FIN'!$A$1:$O$99,15,0))</f>
        <v>11.99</v>
      </c>
      <c r="W628" s="4">
        <f>IF(ISERROR(VLOOKUP($T$628,'TAR FIN'!$A$1:$O$99,15,0)),0,VLOOKUP($T$628,'TAR FIN'!$A$1:$O$99,15,0))</f>
        <v>0</v>
      </c>
      <c r="X628" s="4">
        <f>IF(ISERROR(VLOOKUP($U$628,'TAR FIN'!$A$1:$O$99,15,0)),0,VLOOKUP($U$628,'TAR FIN'!$A$1:$O$99,15,0))</f>
        <v>0</v>
      </c>
      <c r="Y628" s="4">
        <f ca="1">('TUSD BE'!$AM$20+'TUSD BF'!$AM$20+'TUSD CVA'!$AM$20)*1</f>
        <v>15.10133596192736</v>
      </c>
      <c r="Z628" s="4"/>
      <c r="AA628" s="4"/>
      <c r="AB628" s="4">
        <f>$K$628*$V$628</f>
        <v>5695.25</v>
      </c>
      <c r="AC628" s="4">
        <f>$M$628*$W$628</f>
        <v>0</v>
      </c>
      <c r="AD628" s="4">
        <f>$O$628*$X$628</f>
        <v>0</v>
      </c>
      <c r="AE628" s="4">
        <f ca="1">$K$628*$Y$628</f>
        <v>7173.1345819154958</v>
      </c>
      <c r="AF628" s="4">
        <f>$M$628*$Z$628</f>
        <v>0</v>
      </c>
      <c r="AG628" s="4">
        <f>$O$628*$AA$628</f>
        <v>0</v>
      </c>
    </row>
    <row r="629" spans="1:33" ht="11.25" customHeight="1" x14ac:dyDescent="0.25">
      <c r="A629" s="3" t="s">
        <v>21</v>
      </c>
      <c r="B629" s="3" t="s">
        <v>33</v>
      </c>
      <c r="C629" s="3" t="s">
        <v>64</v>
      </c>
      <c r="D629" s="3" t="s">
        <v>25</v>
      </c>
      <c r="E629" s="3" t="s">
        <v>25</v>
      </c>
      <c r="F629" s="3" t="s">
        <v>25</v>
      </c>
      <c r="G629" s="3" t="s">
        <v>72</v>
      </c>
      <c r="H629" s="3" t="s">
        <v>25</v>
      </c>
      <c r="I629" s="6">
        <v>44348</v>
      </c>
      <c r="J629" s="4">
        <v>950</v>
      </c>
      <c r="K629" s="4">
        <v>475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3" t="s">
        <v>67</v>
      </c>
      <c r="R629" s="3">
        <v>30112</v>
      </c>
      <c r="S629" s="4">
        <v>6</v>
      </c>
      <c r="T629" s="4">
        <v>0</v>
      </c>
      <c r="U629" s="4">
        <v>0</v>
      </c>
      <c r="V629" s="4">
        <f>IF(ISERROR(VLOOKUP($S$629,'TAR FIN'!$A$1:$O$99,15,0)),0,VLOOKUP($S$629,'TAR FIN'!$A$1:$O$99,15,0))</f>
        <v>11.99</v>
      </c>
      <c r="W629" s="4">
        <f>IF(ISERROR(VLOOKUP($T$629,'TAR FIN'!$A$1:$O$99,15,0)),0,VLOOKUP($T$629,'TAR FIN'!$A$1:$O$99,15,0))</f>
        <v>0</v>
      </c>
      <c r="X629" s="4">
        <f>IF(ISERROR(VLOOKUP($U$629,'TAR FIN'!$A$1:$O$99,15,0)),0,VLOOKUP($U$629,'TAR FIN'!$A$1:$O$99,15,0))</f>
        <v>0</v>
      </c>
      <c r="Y629" s="4">
        <f ca="1">('TUSD BE'!$AM$20+'TUSD BF'!$AM$20+'TUSD CVA'!$AM$20)*1</f>
        <v>15.10133596192736</v>
      </c>
      <c r="Z629" s="4"/>
      <c r="AA629" s="4"/>
      <c r="AB629" s="4">
        <f>$K$629*$V$629</f>
        <v>5695.25</v>
      </c>
      <c r="AC629" s="4">
        <f>$M$629*$W$629</f>
        <v>0</v>
      </c>
      <c r="AD629" s="4">
        <f>$O$629*$X$629</f>
        <v>0</v>
      </c>
      <c r="AE629" s="4">
        <f ca="1">$K$629*$Y$629</f>
        <v>7173.1345819154958</v>
      </c>
      <c r="AF629" s="4">
        <f>$M$629*$Z$629</f>
        <v>0</v>
      </c>
      <c r="AG629" s="4">
        <f>$O$629*$AA$629</f>
        <v>0</v>
      </c>
    </row>
    <row r="630" spans="1:33" ht="11.25" customHeight="1" x14ac:dyDescent="0.25">
      <c r="A630" s="3" t="s">
        <v>21</v>
      </c>
      <c r="B630" s="3" t="s">
        <v>33</v>
      </c>
      <c r="C630" s="3" t="s">
        <v>64</v>
      </c>
      <c r="D630" s="3" t="s">
        <v>25</v>
      </c>
      <c r="E630" s="3" t="s">
        <v>25</v>
      </c>
      <c r="F630" s="3" t="s">
        <v>25</v>
      </c>
      <c r="G630" s="3" t="s">
        <v>72</v>
      </c>
      <c r="H630" s="3" t="s">
        <v>25</v>
      </c>
      <c r="I630" s="6">
        <v>44378</v>
      </c>
      <c r="J630" s="4">
        <v>955</v>
      </c>
      <c r="K630" s="4">
        <v>477.5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3" t="s">
        <v>67</v>
      </c>
      <c r="R630" s="3">
        <v>30112</v>
      </c>
      <c r="S630" s="4">
        <v>6</v>
      </c>
      <c r="T630" s="4">
        <v>0</v>
      </c>
      <c r="U630" s="4">
        <v>0</v>
      </c>
      <c r="V630" s="4">
        <f>IF(ISERROR(VLOOKUP($S$630,'TAR FIN'!$A$1:$O$99,15,0)),0,VLOOKUP($S$630,'TAR FIN'!$A$1:$O$99,15,0))</f>
        <v>11.99</v>
      </c>
      <c r="W630" s="4">
        <f>IF(ISERROR(VLOOKUP($T$630,'TAR FIN'!$A$1:$O$99,15,0)),0,VLOOKUP($T$630,'TAR FIN'!$A$1:$O$99,15,0))</f>
        <v>0</v>
      </c>
      <c r="X630" s="4">
        <f>IF(ISERROR(VLOOKUP($U$630,'TAR FIN'!$A$1:$O$99,15,0)),0,VLOOKUP($U$630,'TAR FIN'!$A$1:$O$99,15,0))</f>
        <v>0</v>
      </c>
      <c r="Y630" s="4">
        <f ca="1">('TUSD BE'!$AM$20+'TUSD BF'!$AM$20+'TUSD CVA'!$AM$20)*1</f>
        <v>15.10133596192736</v>
      </c>
      <c r="Z630" s="4"/>
      <c r="AA630" s="4"/>
      <c r="AB630" s="4">
        <f>$K$630*$V$630</f>
        <v>5725.2250000000004</v>
      </c>
      <c r="AC630" s="4">
        <f>$M$630*$W$630</f>
        <v>0</v>
      </c>
      <c r="AD630" s="4">
        <f>$O$630*$X$630</f>
        <v>0</v>
      </c>
      <c r="AE630" s="4">
        <f ca="1">$K$630*$Y$630</f>
        <v>7210.8879218203147</v>
      </c>
      <c r="AF630" s="4">
        <f>$M$630*$Z$630</f>
        <v>0</v>
      </c>
      <c r="AG630" s="4">
        <f>$O$630*$AA$630</f>
        <v>0</v>
      </c>
    </row>
    <row r="631" spans="1:33" ht="11.25" customHeight="1" x14ac:dyDescent="0.25">
      <c r="A631" s="3" t="s">
        <v>21</v>
      </c>
      <c r="B631" s="3" t="s">
        <v>33</v>
      </c>
      <c r="C631" s="3" t="s">
        <v>64</v>
      </c>
      <c r="D631" s="3" t="s">
        <v>25</v>
      </c>
      <c r="E631" s="3" t="s">
        <v>25</v>
      </c>
      <c r="F631" s="3" t="s">
        <v>25</v>
      </c>
      <c r="G631" s="3" t="s">
        <v>72</v>
      </c>
      <c r="H631" s="3" t="s">
        <v>25</v>
      </c>
      <c r="I631" s="6">
        <v>44409</v>
      </c>
      <c r="J631" s="4">
        <v>985</v>
      </c>
      <c r="K631" s="4">
        <v>492.5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3" t="s">
        <v>67</v>
      </c>
      <c r="R631" s="3">
        <v>30112</v>
      </c>
      <c r="S631" s="4">
        <v>6</v>
      </c>
      <c r="T631" s="4">
        <v>0</v>
      </c>
      <c r="U631" s="4">
        <v>0</v>
      </c>
      <c r="V631" s="4">
        <f>IF(ISERROR(VLOOKUP($S$631,'TAR FIN'!$A$1:$O$99,15,0)),0,VLOOKUP($S$631,'TAR FIN'!$A$1:$O$99,15,0))</f>
        <v>11.99</v>
      </c>
      <c r="W631" s="4">
        <f>IF(ISERROR(VLOOKUP($T$631,'TAR FIN'!$A$1:$O$99,15,0)),0,VLOOKUP($T$631,'TAR FIN'!$A$1:$O$99,15,0))</f>
        <v>0</v>
      </c>
      <c r="X631" s="4">
        <f>IF(ISERROR(VLOOKUP($U$631,'TAR FIN'!$A$1:$O$99,15,0)),0,VLOOKUP($U$631,'TAR FIN'!$A$1:$O$99,15,0))</f>
        <v>0</v>
      </c>
      <c r="Y631" s="4">
        <f ca="1">('TUSD BE'!$AM$20+'TUSD BF'!$AM$20+'TUSD CVA'!$AM$20)*1</f>
        <v>15.10133596192736</v>
      </c>
      <c r="Z631" s="4"/>
      <c r="AA631" s="4"/>
      <c r="AB631" s="4">
        <f>$K$631*$V$631</f>
        <v>5905.0749999999998</v>
      </c>
      <c r="AC631" s="4">
        <f>$M$631*$W$631</f>
        <v>0</v>
      </c>
      <c r="AD631" s="4">
        <f>$O$631*$X$631</f>
        <v>0</v>
      </c>
      <c r="AE631" s="4">
        <f ca="1">$K$631*$Y$631</f>
        <v>7437.4079612492251</v>
      </c>
      <c r="AF631" s="4">
        <f>$M$631*$Z$631</f>
        <v>0</v>
      </c>
      <c r="AG631" s="4">
        <f>$O$631*$AA$631</f>
        <v>0</v>
      </c>
    </row>
    <row r="632" spans="1:33" ht="11.25" customHeight="1" x14ac:dyDescent="0.25">
      <c r="A632" s="3" t="s">
        <v>21</v>
      </c>
      <c r="B632" s="3" t="s">
        <v>33</v>
      </c>
      <c r="C632" s="3" t="s">
        <v>64</v>
      </c>
      <c r="D632" s="3" t="s">
        <v>25</v>
      </c>
      <c r="E632" s="3" t="s">
        <v>25</v>
      </c>
      <c r="F632" s="3" t="s">
        <v>25</v>
      </c>
      <c r="G632" s="3" t="s">
        <v>72</v>
      </c>
      <c r="H632" s="3" t="s">
        <v>25</v>
      </c>
      <c r="I632" s="6">
        <v>44440</v>
      </c>
      <c r="J632" s="4">
        <v>1010</v>
      </c>
      <c r="K632" s="4">
        <v>505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3" t="s">
        <v>67</v>
      </c>
      <c r="R632" s="3">
        <v>30112</v>
      </c>
      <c r="S632" s="4">
        <v>6</v>
      </c>
      <c r="T632" s="4">
        <v>0</v>
      </c>
      <c r="U632" s="4">
        <v>0</v>
      </c>
      <c r="V632" s="4">
        <f>IF(ISERROR(VLOOKUP($S$632,'TAR FIN'!$A$1:$O$99,15,0)),0,VLOOKUP($S$632,'TAR FIN'!$A$1:$O$99,15,0))</f>
        <v>11.99</v>
      </c>
      <c r="W632" s="4">
        <f>IF(ISERROR(VLOOKUP($T$632,'TAR FIN'!$A$1:$O$99,15,0)),0,VLOOKUP($T$632,'TAR FIN'!$A$1:$O$99,15,0))</f>
        <v>0</v>
      </c>
      <c r="X632" s="4">
        <f>IF(ISERROR(VLOOKUP($U$632,'TAR FIN'!$A$1:$O$99,15,0)),0,VLOOKUP($U$632,'TAR FIN'!$A$1:$O$99,15,0))</f>
        <v>0</v>
      </c>
      <c r="Y632" s="4">
        <f ca="1">('TUSD BE'!$AM$20+'TUSD BF'!$AM$20+'TUSD CVA'!$AM$20)*1</f>
        <v>15.10133596192736</v>
      </c>
      <c r="Z632" s="4"/>
      <c r="AA632" s="4"/>
      <c r="AB632" s="4">
        <f>$K$632*$V$632</f>
        <v>6054.95</v>
      </c>
      <c r="AC632" s="4">
        <f>$M$632*$W$632</f>
        <v>0</v>
      </c>
      <c r="AD632" s="4">
        <f>$O$632*$X$632</f>
        <v>0</v>
      </c>
      <c r="AE632" s="4">
        <f ca="1">$K$632*$Y$632</f>
        <v>7626.1746607733166</v>
      </c>
      <c r="AF632" s="4">
        <f>$M$632*$Z$632</f>
        <v>0</v>
      </c>
      <c r="AG632" s="4">
        <f>$O$632*$AA$632</f>
        <v>0</v>
      </c>
    </row>
    <row r="633" spans="1:33" ht="11.25" customHeight="1" x14ac:dyDescent="0.25">
      <c r="A633" s="3" t="s">
        <v>21</v>
      </c>
      <c r="B633" s="3" t="s">
        <v>33</v>
      </c>
      <c r="C633" s="3" t="s">
        <v>64</v>
      </c>
      <c r="D633" s="3" t="s">
        <v>25</v>
      </c>
      <c r="E633" s="3" t="s">
        <v>25</v>
      </c>
      <c r="F633" s="3" t="s">
        <v>25</v>
      </c>
      <c r="G633" s="3" t="s">
        <v>72</v>
      </c>
      <c r="H633" s="3" t="s">
        <v>25</v>
      </c>
      <c r="I633" s="6">
        <v>44470</v>
      </c>
      <c r="J633" s="4">
        <v>1010</v>
      </c>
      <c r="K633" s="4">
        <v>505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3" t="s">
        <v>67</v>
      </c>
      <c r="R633" s="3">
        <v>30112</v>
      </c>
      <c r="S633" s="4">
        <v>6</v>
      </c>
      <c r="T633" s="4">
        <v>0</v>
      </c>
      <c r="U633" s="4">
        <v>0</v>
      </c>
      <c r="V633" s="4">
        <f>IF(ISERROR(VLOOKUP($S$633,'TAR FIN'!$A$1:$O$99,15,0)),0,VLOOKUP($S$633,'TAR FIN'!$A$1:$O$99,15,0))</f>
        <v>11.99</v>
      </c>
      <c r="W633" s="4">
        <f>IF(ISERROR(VLOOKUP($T$633,'TAR FIN'!$A$1:$O$99,15,0)),0,VLOOKUP($T$633,'TAR FIN'!$A$1:$O$99,15,0))</f>
        <v>0</v>
      </c>
      <c r="X633" s="4">
        <f>IF(ISERROR(VLOOKUP($U$633,'TAR FIN'!$A$1:$O$99,15,0)),0,VLOOKUP($U$633,'TAR FIN'!$A$1:$O$99,15,0))</f>
        <v>0</v>
      </c>
      <c r="Y633" s="4">
        <f ca="1">('TUSD BE'!$AM$20+'TUSD BF'!$AM$20+'TUSD CVA'!$AM$20)*1</f>
        <v>15.10133596192736</v>
      </c>
      <c r="Z633" s="4"/>
      <c r="AA633" s="4"/>
      <c r="AB633" s="4">
        <f>$K$633*$V$633</f>
        <v>6054.95</v>
      </c>
      <c r="AC633" s="4">
        <f>$M$633*$W$633</f>
        <v>0</v>
      </c>
      <c r="AD633" s="4">
        <f>$O$633*$X$633</f>
        <v>0</v>
      </c>
      <c r="AE633" s="4">
        <f ca="1">$K$633*$Y$633</f>
        <v>7626.1746607733166</v>
      </c>
      <c r="AF633" s="4">
        <f>$M$633*$Z$633</f>
        <v>0</v>
      </c>
      <c r="AG633" s="4">
        <f>$O$633*$AA$633</f>
        <v>0</v>
      </c>
    </row>
    <row r="634" spans="1:33" ht="11.25" customHeight="1" x14ac:dyDescent="0.25">
      <c r="A634" s="3" t="s">
        <v>21</v>
      </c>
      <c r="B634" s="3" t="s">
        <v>33</v>
      </c>
      <c r="C634" s="3" t="s">
        <v>64</v>
      </c>
      <c r="D634" s="3" t="s">
        <v>25</v>
      </c>
      <c r="E634" s="3" t="s">
        <v>25</v>
      </c>
      <c r="F634" s="3" t="s">
        <v>25</v>
      </c>
      <c r="G634" s="3" t="s">
        <v>72</v>
      </c>
      <c r="H634" s="3" t="s">
        <v>25</v>
      </c>
      <c r="I634" s="6">
        <v>44501</v>
      </c>
      <c r="J634" s="4">
        <v>1010</v>
      </c>
      <c r="K634" s="4">
        <v>505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3" t="s">
        <v>67</v>
      </c>
      <c r="R634" s="3">
        <v>30112</v>
      </c>
      <c r="S634" s="4">
        <v>6</v>
      </c>
      <c r="T634" s="4">
        <v>0</v>
      </c>
      <c r="U634" s="4">
        <v>0</v>
      </c>
      <c r="V634" s="4">
        <f>IF(ISERROR(VLOOKUP($S$634,'TAR FIN'!$A$1:$O$99,15,0)),0,VLOOKUP($S$634,'TAR FIN'!$A$1:$O$99,15,0))</f>
        <v>11.99</v>
      </c>
      <c r="W634" s="4">
        <f>IF(ISERROR(VLOOKUP($T$634,'TAR FIN'!$A$1:$O$99,15,0)),0,VLOOKUP($T$634,'TAR FIN'!$A$1:$O$99,15,0))</f>
        <v>0</v>
      </c>
      <c r="X634" s="4">
        <f>IF(ISERROR(VLOOKUP($U$634,'TAR FIN'!$A$1:$O$99,15,0)),0,VLOOKUP($U$634,'TAR FIN'!$A$1:$O$99,15,0))</f>
        <v>0</v>
      </c>
      <c r="Y634" s="4">
        <f ca="1">('TUSD BE'!$AM$20+'TUSD BF'!$AM$20+'TUSD CVA'!$AM$20)*1</f>
        <v>15.10133596192736</v>
      </c>
      <c r="Z634" s="4"/>
      <c r="AA634" s="4"/>
      <c r="AB634" s="4">
        <f>$K$634*$V$634</f>
        <v>6054.95</v>
      </c>
      <c r="AC634" s="4">
        <f>$M$634*$W$634</f>
        <v>0</v>
      </c>
      <c r="AD634" s="4">
        <f>$O$634*$X$634</f>
        <v>0</v>
      </c>
      <c r="AE634" s="4">
        <f ca="1">$K$634*$Y$634</f>
        <v>7626.1746607733166</v>
      </c>
      <c r="AF634" s="4">
        <f>$M$634*$Z$634</f>
        <v>0</v>
      </c>
      <c r="AG634" s="4">
        <f>$O$634*$AA$634</f>
        <v>0</v>
      </c>
    </row>
    <row r="635" spans="1:33" ht="11.25" customHeight="1" x14ac:dyDescent="0.25">
      <c r="A635" s="3" t="s">
        <v>21</v>
      </c>
      <c r="B635" s="3" t="s">
        <v>33</v>
      </c>
      <c r="C635" s="3" t="s">
        <v>64</v>
      </c>
      <c r="D635" s="3" t="s">
        <v>25</v>
      </c>
      <c r="E635" s="3" t="s">
        <v>25</v>
      </c>
      <c r="F635" s="3" t="s">
        <v>25</v>
      </c>
      <c r="G635" s="3" t="s">
        <v>72</v>
      </c>
      <c r="H635" s="3" t="s">
        <v>25</v>
      </c>
      <c r="I635" s="6">
        <v>44531</v>
      </c>
      <c r="J635" s="4">
        <v>1010</v>
      </c>
      <c r="K635" s="4">
        <v>505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3" t="s">
        <v>67</v>
      </c>
      <c r="R635" s="3">
        <v>30112</v>
      </c>
      <c r="S635" s="4">
        <v>6</v>
      </c>
      <c r="T635" s="4">
        <v>0</v>
      </c>
      <c r="U635" s="4">
        <v>0</v>
      </c>
      <c r="V635" s="4">
        <f>IF(ISERROR(VLOOKUP($S$635,'TAR FIN'!$A$1:$O$99,15,0)),0,VLOOKUP($S$635,'TAR FIN'!$A$1:$O$99,15,0))</f>
        <v>11.99</v>
      </c>
      <c r="W635" s="4">
        <f>IF(ISERROR(VLOOKUP($T$635,'TAR FIN'!$A$1:$O$99,15,0)),0,VLOOKUP($T$635,'TAR FIN'!$A$1:$O$99,15,0))</f>
        <v>0</v>
      </c>
      <c r="X635" s="4">
        <f>IF(ISERROR(VLOOKUP($U$635,'TAR FIN'!$A$1:$O$99,15,0)),0,VLOOKUP($U$635,'TAR FIN'!$A$1:$O$99,15,0))</f>
        <v>0</v>
      </c>
      <c r="Y635" s="4">
        <f ca="1">('TUSD BE'!$AM$20+'TUSD BF'!$AM$20+'TUSD CVA'!$AM$20)*1</f>
        <v>15.10133596192736</v>
      </c>
      <c r="Z635" s="4"/>
      <c r="AA635" s="4"/>
      <c r="AB635" s="4">
        <f>$K$635*$V$635</f>
        <v>6054.95</v>
      </c>
      <c r="AC635" s="4">
        <f>$M$635*$W$635</f>
        <v>0</v>
      </c>
      <c r="AD635" s="4">
        <f>$O$635*$X$635</f>
        <v>0</v>
      </c>
      <c r="AE635" s="4">
        <f ca="1">$K$635*$Y$635</f>
        <v>7626.1746607733166</v>
      </c>
      <c r="AF635" s="4">
        <f>$M$635*$Z$635</f>
        <v>0</v>
      </c>
      <c r="AG635" s="4">
        <f>$O$635*$AA$635</f>
        <v>0</v>
      </c>
    </row>
    <row r="636" spans="1:33" ht="11.25" customHeight="1" x14ac:dyDescent="0.25">
      <c r="A636" s="3" t="s">
        <v>21</v>
      </c>
      <c r="B636" s="3" t="s">
        <v>33</v>
      </c>
      <c r="C636" s="3" t="s">
        <v>64</v>
      </c>
      <c r="D636" s="3" t="s">
        <v>25</v>
      </c>
      <c r="E636" s="3" t="s">
        <v>25</v>
      </c>
      <c r="F636" s="3" t="s">
        <v>25</v>
      </c>
      <c r="G636" s="3" t="s">
        <v>72</v>
      </c>
      <c r="H636" s="3" t="s">
        <v>25</v>
      </c>
      <c r="I636" s="6">
        <v>44562</v>
      </c>
      <c r="J636" s="4">
        <v>948</v>
      </c>
      <c r="K636" s="4">
        <v>474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3" t="s">
        <v>67</v>
      </c>
      <c r="R636" s="3">
        <v>30112</v>
      </c>
      <c r="S636" s="4">
        <v>6</v>
      </c>
      <c r="T636" s="4">
        <v>0</v>
      </c>
      <c r="U636" s="4">
        <v>0</v>
      </c>
      <c r="V636" s="4">
        <f>IF(ISERROR(VLOOKUP($S$636,'TAR FIN'!$A$1:$O$99,15,0)),0,VLOOKUP($S$636,'TAR FIN'!$A$1:$O$99,15,0))</f>
        <v>11.99</v>
      </c>
      <c r="W636" s="4">
        <f>IF(ISERROR(VLOOKUP($T$636,'TAR FIN'!$A$1:$O$99,15,0)),0,VLOOKUP($T$636,'TAR FIN'!$A$1:$O$99,15,0))</f>
        <v>0</v>
      </c>
      <c r="X636" s="4">
        <f>IF(ISERROR(VLOOKUP($U$636,'TAR FIN'!$A$1:$O$99,15,0)),0,VLOOKUP($U$636,'TAR FIN'!$A$1:$O$99,15,0))</f>
        <v>0</v>
      </c>
      <c r="Y636" s="4">
        <f ca="1">('TUSD BE'!$AM$20+'TUSD BF'!$AM$20+'TUSD CVA'!$AM$20)*1</f>
        <v>15.10133596192736</v>
      </c>
      <c r="Z636" s="4"/>
      <c r="AA636" s="4"/>
      <c r="AB636" s="4">
        <f>$K$636*$V$636</f>
        <v>5683.26</v>
      </c>
      <c r="AC636" s="4">
        <f>$M$636*$W$636</f>
        <v>0</v>
      </c>
      <c r="AD636" s="4">
        <f>$O$636*$X$636</f>
        <v>0</v>
      </c>
      <c r="AE636" s="4">
        <f ca="1">$K$636*$Y$636</f>
        <v>7158.0332459535684</v>
      </c>
      <c r="AF636" s="4">
        <f>$M$636*$Z$636</f>
        <v>0</v>
      </c>
      <c r="AG636" s="4">
        <f>$O$636*$AA$636</f>
        <v>0</v>
      </c>
    </row>
    <row r="637" spans="1:33" ht="11.25" customHeight="1" x14ac:dyDescent="0.25">
      <c r="A637" s="3" t="s">
        <v>21</v>
      </c>
      <c r="B637" s="3" t="s">
        <v>33</v>
      </c>
      <c r="C637" s="3" t="s">
        <v>64</v>
      </c>
      <c r="D637" s="3" t="s">
        <v>25</v>
      </c>
      <c r="E637" s="3" t="s">
        <v>25</v>
      </c>
      <c r="F637" s="3" t="s">
        <v>25</v>
      </c>
      <c r="G637" s="3" t="s">
        <v>72</v>
      </c>
      <c r="H637" s="3" t="s">
        <v>25</v>
      </c>
      <c r="I637" s="6">
        <v>44593</v>
      </c>
      <c r="J637" s="4">
        <v>860</v>
      </c>
      <c r="K637" s="4">
        <v>430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3" t="s">
        <v>67</v>
      </c>
      <c r="R637" s="3">
        <v>30112</v>
      </c>
      <c r="S637" s="4">
        <v>6</v>
      </c>
      <c r="T637" s="4">
        <v>0</v>
      </c>
      <c r="U637" s="4">
        <v>0</v>
      </c>
      <c r="V637" s="4">
        <f>IF(ISERROR(VLOOKUP($S$637,'TAR FIN'!$A$1:$O$99,15,0)),0,VLOOKUP($S$637,'TAR FIN'!$A$1:$O$99,15,0))</f>
        <v>11.99</v>
      </c>
      <c r="W637" s="4">
        <f>IF(ISERROR(VLOOKUP($T$637,'TAR FIN'!$A$1:$O$99,15,0)),0,VLOOKUP($T$637,'TAR FIN'!$A$1:$O$99,15,0))</f>
        <v>0</v>
      </c>
      <c r="X637" s="4">
        <f>IF(ISERROR(VLOOKUP($U$637,'TAR FIN'!$A$1:$O$99,15,0)),0,VLOOKUP($U$637,'TAR FIN'!$A$1:$O$99,15,0))</f>
        <v>0</v>
      </c>
      <c r="Y637" s="4">
        <f ca="1">('TUSD BE'!$AM$20+'TUSD BF'!$AM$20+'TUSD CVA'!$AM$20)*1</f>
        <v>15.10133596192736</v>
      </c>
      <c r="Z637" s="4"/>
      <c r="AA637" s="4"/>
      <c r="AB637" s="4">
        <f>$K$637*$V$637</f>
        <v>5155.7</v>
      </c>
      <c r="AC637" s="4">
        <f>$M$637*$W$637</f>
        <v>0</v>
      </c>
      <c r="AD637" s="4">
        <f>$O$637*$X$637</f>
        <v>0</v>
      </c>
      <c r="AE637" s="4">
        <f ca="1">$K$637*$Y$637</f>
        <v>6493.5744636287645</v>
      </c>
      <c r="AF637" s="4">
        <f>$M$637*$Z$637</f>
        <v>0</v>
      </c>
      <c r="AG637" s="4">
        <f>$O$637*$AA$637</f>
        <v>0</v>
      </c>
    </row>
    <row r="638" spans="1:33" ht="11.25" customHeight="1" x14ac:dyDescent="0.25">
      <c r="A638" s="3" t="s">
        <v>21</v>
      </c>
      <c r="B638" s="3" t="s">
        <v>33</v>
      </c>
      <c r="C638" s="3" t="s">
        <v>64</v>
      </c>
      <c r="D638" s="3" t="s">
        <v>25</v>
      </c>
      <c r="E638" s="3" t="s">
        <v>25</v>
      </c>
      <c r="F638" s="3" t="s">
        <v>25</v>
      </c>
      <c r="G638" s="3" t="s">
        <v>72</v>
      </c>
      <c r="H638" s="3" t="s">
        <v>25</v>
      </c>
      <c r="I638" s="6">
        <v>44621</v>
      </c>
      <c r="J638" s="4">
        <v>908</v>
      </c>
      <c r="K638" s="4">
        <v>454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3" t="s">
        <v>67</v>
      </c>
      <c r="R638" s="3">
        <v>30112</v>
      </c>
      <c r="S638" s="4">
        <v>6</v>
      </c>
      <c r="T638" s="4">
        <v>0</v>
      </c>
      <c r="U638" s="4">
        <v>0</v>
      </c>
      <c r="V638" s="4">
        <f>IF(ISERROR(VLOOKUP($S$638,'TAR FIN'!$A$1:$O$99,15,0)),0,VLOOKUP($S$638,'TAR FIN'!$A$1:$O$99,15,0))</f>
        <v>11.99</v>
      </c>
      <c r="W638" s="4">
        <f>IF(ISERROR(VLOOKUP($T$638,'TAR FIN'!$A$1:$O$99,15,0)),0,VLOOKUP($T$638,'TAR FIN'!$A$1:$O$99,15,0))</f>
        <v>0</v>
      </c>
      <c r="X638" s="4">
        <f>IF(ISERROR(VLOOKUP($U$638,'TAR FIN'!$A$1:$O$99,15,0)),0,VLOOKUP($U$638,'TAR FIN'!$A$1:$O$99,15,0))</f>
        <v>0</v>
      </c>
      <c r="Y638" s="4">
        <f ca="1">('TUSD BE'!$AM$20+'TUSD BF'!$AM$20+'TUSD CVA'!$AM$20)*1</f>
        <v>15.10133596192736</v>
      </c>
      <c r="Z638" s="4"/>
      <c r="AA638" s="4"/>
      <c r="AB638" s="4">
        <f>$K$638*$V$638</f>
        <v>5443.46</v>
      </c>
      <c r="AC638" s="4">
        <f>$M$638*$W$638</f>
        <v>0</v>
      </c>
      <c r="AD638" s="4">
        <f>$O$638*$X$638</f>
        <v>0</v>
      </c>
      <c r="AE638" s="4">
        <f ca="1">$K$638*$Y$638</f>
        <v>6856.0065267150212</v>
      </c>
      <c r="AF638" s="4">
        <f>$M$638*$Z$638</f>
        <v>0</v>
      </c>
      <c r="AG638" s="4">
        <f>$O$638*$AA$638</f>
        <v>0</v>
      </c>
    </row>
    <row r="639" spans="1:33" ht="11.25" customHeight="1" x14ac:dyDescent="0.25">
      <c r="A639" s="3" t="s">
        <v>56</v>
      </c>
      <c r="B639" s="3" t="s">
        <v>33</v>
      </c>
      <c r="C639" s="3" t="s">
        <v>64</v>
      </c>
      <c r="D639" s="3" t="s">
        <v>25</v>
      </c>
      <c r="E639" s="3" t="s">
        <v>25</v>
      </c>
      <c r="F639" s="3" t="s">
        <v>25</v>
      </c>
      <c r="G639" s="3" t="s">
        <v>72</v>
      </c>
      <c r="H639" s="3" t="s">
        <v>25</v>
      </c>
      <c r="I639" s="6">
        <v>44652</v>
      </c>
      <c r="J639" s="4">
        <v>908</v>
      </c>
      <c r="K639" s="4">
        <v>454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3" t="s">
        <v>67</v>
      </c>
      <c r="R639" s="3">
        <v>30112</v>
      </c>
      <c r="S639" s="4">
        <v>6</v>
      </c>
      <c r="T639" s="4">
        <v>0</v>
      </c>
      <c r="U639" s="4">
        <v>0</v>
      </c>
      <c r="V639" s="4">
        <f>IF(ISERROR(VLOOKUP($S$639,'TAR FIN'!$A$1:$O$99,15,0)),0,VLOOKUP($S$639,'TAR FIN'!$A$1:$O$99,15,0))</f>
        <v>11.99</v>
      </c>
      <c r="W639" s="4">
        <f>IF(ISERROR(VLOOKUP($T$639,'TAR FIN'!$A$1:$O$99,15,0)),0,VLOOKUP($T$639,'TAR FIN'!$A$1:$O$99,15,0))</f>
        <v>0</v>
      </c>
      <c r="X639" s="4">
        <f>IF(ISERROR(VLOOKUP($U$639,'TAR FIN'!$A$1:$O$99,15,0)),0,VLOOKUP($U$639,'TAR FIN'!$A$1:$O$99,15,0))</f>
        <v>0</v>
      </c>
      <c r="Y639" s="4">
        <f ca="1">('TUSD BE'!$AM$20+'TUSD BF'!$AM$20+'TUSD CVA'!$AM$20)*1</f>
        <v>15.10133596192736</v>
      </c>
      <c r="Z639" s="4"/>
      <c r="AA639" s="4"/>
      <c r="AB639" s="4">
        <f>$K$639*$V$639</f>
        <v>5443.46</v>
      </c>
      <c r="AC639" s="4">
        <f>$M$639*$W$639</f>
        <v>0</v>
      </c>
      <c r="AD639" s="4">
        <f>$O$639*$X$639</f>
        <v>0</v>
      </c>
      <c r="AE639" s="4">
        <f ca="1">$K$639*$Y$639</f>
        <v>6856.0065267150212</v>
      </c>
      <c r="AF639" s="4">
        <f>$M$639*$Z$639</f>
        <v>0</v>
      </c>
      <c r="AG639" s="4">
        <f>$O$639*$AA$639</f>
        <v>0</v>
      </c>
    </row>
    <row r="640" spans="1:33" ht="11.25" customHeight="1" x14ac:dyDescent="0.25">
      <c r="A640" s="3" t="s">
        <v>21</v>
      </c>
      <c r="B640" s="3" t="s">
        <v>33</v>
      </c>
      <c r="C640" s="3" t="s">
        <v>34</v>
      </c>
      <c r="D640" s="3" t="s">
        <v>43</v>
      </c>
      <c r="E640" s="3" t="s">
        <v>25</v>
      </c>
      <c r="F640" s="3" t="s">
        <v>25</v>
      </c>
      <c r="G640" s="3" t="s">
        <v>25</v>
      </c>
      <c r="H640" s="3" t="s">
        <v>36</v>
      </c>
      <c r="I640" s="6">
        <v>44317</v>
      </c>
      <c r="J640" s="4">
        <v>0</v>
      </c>
      <c r="K640" s="4">
        <v>0</v>
      </c>
      <c r="L640" s="4">
        <v>17912.308000000001</v>
      </c>
      <c r="M640" s="4">
        <v>17912.308000000001</v>
      </c>
      <c r="N640" s="4">
        <v>17912.308000000001</v>
      </c>
      <c r="O640" s="4">
        <v>17912.308000000001</v>
      </c>
      <c r="P640" s="4">
        <v>0</v>
      </c>
      <c r="Q640" s="3" t="s">
        <v>26</v>
      </c>
      <c r="R640" s="3">
        <v>0</v>
      </c>
      <c r="S640" s="4">
        <v>0</v>
      </c>
      <c r="T640" s="4">
        <v>29</v>
      </c>
      <c r="U640" s="4">
        <v>73</v>
      </c>
      <c r="V640" s="4">
        <f>IF(ISERROR(VLOOKUP($S$640,'TAR FIN'!$A$1:$O$99,15,0)),0,VLOOKUP($S$640,'TAR FIN'!$A$1:$O$99,15,0))</f>
        <v>0</v>
      </c>
      <c r="W640" s="4">
        <f>IF(ISERROR(VLOOKUP($T$640,'TAR FIN'!$A$1:$O$99,15,0)),0,VLOOKUP($T$640,'TAR FIN'!$A$1:$O$99,15,0))</f>
        <v>97.61</v>
      </c>
      <c r="X640" s="4">
        <f>IF(ISERROR(VLOOKUP($U$640,'TAR FIN'!$A$1:$O$99,15,0)),0,VLOOKUP($U$640,'TAR FIN'!$A$1:$O$99,15,0))</f>
        <v>219.97</v>
      </c>
      <c r="Y640" s="4"/>
      <c r="Z640" s="4">
        <f ca="1">('TUSD BE'!$AM$23+'TUSD BF'!$AM$23+'TUSD CVA'!$AM$23)*1</f>
        <v>117.59114529324071</v>
      </c>
      <c r="AA640" s="4">
        <f>('TE BE'!$AA$8+'TE BF'!$AA$8+'TE CVA'!$AA$8)*1</f>
        <v>271.13910989737087</v>
      </c>
      <c r="AB640" s="4">
        <f>$K$640*$V$640</f>
        <v>0</v>
      </c>
      <c r="AC640" s="4">
        <f>$M$640*$W$640</f>
        <v>1748420.3838800001</v>
      </c>
      <c r="AD640" s="4">
        <f>$O$640*$X$640</f>
        <v>3940170.3907600003</v>
      </c>
      <c r="AE640" s="4">
        <f>$K$640*$Y$640</f>
        <v>0</v>
      </c>
      <c r="AF640" s="4">
        <f ca="1">$M$640*$Z$640</f>
        <v>2106328.8125652783</v>
      </c>
      <c r="AG640" s="4">
        <f>$O$640*$AA$640</f>
        <v>4856727.2473275559</v>
      </c>
    </row>
    <row r="641" spans="1:33" ht="11.25" customHeight="1" x14ac:dyDescent="0.25">
      <c r="A641" s="3" t="s">
        <v>28</v>
      </c>
      <c r="B641" s="3" t="s">
        <v>33</v>
      </c>
      <c r="C641" s="3" t="s">
        <v>34</v>
      </c>
      <c r="D641" s="3" t="s">
        <v>43</v>
      </c>
      <c r="E641" s="3" t="s">
        <v>25</v>
      </c>
      <c r="F641" s="3" t="s">
        <v>25</v>
      </c>
      <c r="G641" s="3" t="s">
        <v>25</v>
      </c>
      <c r="H641" s="3" t="s">
        <v>36</v>
      </c>
      <c r="I641" s="6">
        <v>44317</v>
      </c>
      <c r="J641" s="4">
        <v>0</v>
      </c>
      <c r="K641" s="4">
        <v>0</v>
      </c>
      <c r="L641" s="4">
        <v>234.97</v>
      </c>
      <c r="M641" s="4">
        <v>234.97</v>
      </c>
      <c r="N641" s="4">
        <v>234.97</v>
      </c>
      <c r="O641" s="4">
        <v>234.97</v>
      </c>
      <c r="P641" s="4">
        <v>0</v>
      </c>
      <c r="Q641" s="3" t="s">
        <v>26</v>
      </c>
      <c r="R641" s="3">
        <v>0</v>
      </c>
      <c r="S641" s="4">
        <v>0</v>
      </c>
      <c r="T641" s="4">
        <v>29</v>
      </c>
      <c r="U641" s="4">
        <v>73</v>
      </c>
      <c r="V641" s="4">
        <f>IF(ISERROR(VLOOKUP($S$641,'TAR FIN'!$A$1:$O$99,15,0)),0,VLOOKUP($S$641,'TAR FIN'!$A$1:$O$99,15,0))</f>
        <v>0</v>
      </c>
      <c r="W641" s="4">
        <f>IF(ISERROR(VLOOKUP($T$641,'TAR FIN'!$A$1:$O$99,15,0)),0,VLOOKUP($T$641,'TAR FIN'!$A$1:$O$99,15,0))</f>
        <v>97.61</v>
      </c>
      <c r="X641" s="4">
        <f>IF(ISERROR(VLOOKUP($U$641,'TAR FIN'!$A$1:$O$99,15,0)),0,VLOOKUP($U$641,'TAR FIN'!$A$1:$O$99,15,0))</f>
        <v>219.97</v>
      </c>
      <c r="Y641" s="4"/>
      <c r="Z641" s="4">
        <f ca="1">('TUSD BE'!$AM$23+'TUSD BF'!$AM$23+'TUSD CVA'!$AM$23)*1</f>
        <v>117.59114529324071</v>
      </c>
      <c r="AA641" s="4">
        <f>('TE BE'!$AA$8+'TE BF'!$AA$8+'TE CVA'!$AA$8)*1</f>
        <v>271.13910989737087</v>
      </c>
      <c r="AB641" s="4">
        <f>$K$641*$V$641</f>
        <v>0</v>
      </c>
      <c r="AC641" s="4">
        <f>$M$641*$W$641</f>
        <v>22935.421699999999</v>
      </c>
      <c r="AD641" s="4">
        <f>$O$641*$X$641</f>
        <v>51686.350899999998</v>
      </c>
      <c r="AE641" s="4">
        <f>$K$641*$Y$641</f>
        <v>0</v>
      </c>
      <c r="AF641" s="4">
        <f ca="1">$M$641*$Z$641</f>
        <v>27630.391409552769</v>
      </c>
      <c r="AG641" s="4">
        <f>$O$641*$AA$641</f>
        <v>63709.556652585234</v>
      </c>
    </row>
    <row r="642" spans="1:33" ht="11.25" customHeight="1" x14ac:dyDescent="0.25">
      <c r="A642" s="3" t="s">
        <v>28</v>
      </c>
      <c r="B642" s="3" t="s">
        <v>33</v>
      </c>
      <c r="C642" s="3" t="s">
        <v>34</v>
      </c>
      <c r="D642" s="3" t="s">
        <v>43</v>
      </c>
      <c r="E642" s="3" t="s">
        <v>25</v>
      </c>
      <c r="F642" s="3" t="s">
        <v>25</v>
      </c>
      <c r="G642" s="3" t="s">
        <v>25</v>
      </c>
      <c r="H642" s="3" t="s">
        <v>36</v>
      </c>
      <c r="I642" s="6">
        <v>44317</v>
      </c>
      <c r="J642" s="4">
        <v>0</v>
      </c>
      <c r="K642" s="4">
        <v>0</v>
      </c>
      <c r="L642" s="4">
        <v>-13.118</v>
      </c>
      <c r="M642" s="4">
        <v>-13.118</v>
      </c>
      <c r="N642" s="4">
        <v>-13.118</v>
      </c>
      <c r="O642" s="4">
        <v>-13.118</v>
      </c>
      <c r="P642" s="4">
        <v>0</v>
      </c>
      <c r="Q642" s="3" t="s">
        <v>26</v>
      </c>
      <c r="R642" s="3">
        <v>0</v>
      </c>
      <c r="S642" s="4">
        <v>0</v>
      </c>
      <c r="T642" s="4">
        <v>29</v>
      </c>
      <c r="U642" s="4">
        <v>73</v>
      </c>
      <c r="V642" s="4">
        <f>IF(ISERROR(VLOOKUP($S$642,'TAR FIN'!$A$1:$O$99,15,0)),0,VLOOKUP($S$642,'TAR FIN'!$A$1:$O$99,15,0))</f>
        <v>0</v>
      </c>
      <c r="W642" s="4">
        <f>IF(ISERROR(VLOOKUP($T$642,'TAR FIN'!$A$1:$O$99,15,0)),0,VLOOKUP($T$642,'TAR FIN'!$A$1:$O$99,15,0))</f>
        <v>97.61</v>
      </c>
      <c r="X642" s="4">
        <f>IF(ISERROR(VLOOKUP($U$642,'TAR FIN'!$A$1:$O$99,15,0)),0,VLOOKUP($U$642,'TAR FIN'!$A$1:$O$99,15,0))</f>
        <v>219.97</v>
      </c>
      <c r="Y642" s="4"/>
      <c r="Z642" s="4">
        <f ca="1">('TUSD BE'!$AM$23+'TUSD BF'!$AM$23+'TUSD CVA'!$AM$23)*1</f>
        <v>117.59114529324071</v>
      </c>
      <c r="AA642" s="4">
        <f>('TE BE'!$AA$8+'TE BF'!$AA$8+'TE CVA'!$AA$8)*1</f>
        <v>271.13910989737087</v>
      </c>
      <c r="AB642" s="4">
        <f>$K$642*$V$642</f>
        <v>0</v>
      </c>
      <c r="AC642" s="4">
        <f>$M$642*$W$642</f>
        <v>-1280.4479799999999</v>
      </c>
      <c r="AD642" s="4">
        <f>$O$642*$X$642</f>
        <v>-2885.56646</v>
      </c>
      <c r="AE642" s="4">
        <f>$K$642*$Y$642</f>
        <v>0</v>
      </c>
      <c r="AF642" s="4">
        <f ca="1">$M$642*$Z$642</f>
        <v>-1542.5606439567318</v>
      </c>
      <c r="AG642" s="4">
        <f>$O$642*$AA$642</f>
        <v>-3556.8028436337113</v>
      </c>
    </row>
    <row r="643" spans="1:33" ht="11.25" customHeight="1" x14ac:dyDescent="0.25">
      <c r="A643" s="3" t="s">
        <v>21</v>
      </c>
      <c r="B643" s="3" t="s">
        <v>33</v>
      </c>
      <c r="C643" s="3" t="s">
        <v>34</v>
      </c>
      <c r="D643" s="3" t="s">
        <v>43</v>
      </c>
      <c r="E643" s="3" t="s">
        <v>25</v>
      </c>
      <c r="F643" s="3" t="s">
        <v>25</v>
      </c>
      <c r="G643" s="3" t="s">
        <v>25</v>
      </c>
      <c r="H643" s="3" t="s">
        <v>36</v>
      </c>
      <c r="I643" s="6">
        <v>44348</v>
      </c>
      <c r="J643" s="4">
        <v>0</v>
      </c>
      <c r="K643" s="4">
        <v>0</v>
      </c>
      <c r="L643" s="4">
        <v>16130.38</v>
      </c>
      <c r="M643" s="4">
        <v>16130.38</v>
      </c>
      <c r="N643" s="4">
        <v>16130.38</v>
      </c>
      <c r="O643" s="4">
        <v>16130.38</v>
      </c>
      <c r="P643" s="4">
        <v>0</v>
      </c>
      <c r="Q643" s="3" t="s">
        <v>26</v>
      </c>
      <c r="R643" s="3">
        <v>0</v>
      </c>
      <c r="S643" s="4">
        <v>0</v>
      </c>
      <c r="T643" s="4">
        <v>29</v>
      </c>
      <c r="U643" s="4">
        <v>73</v>
      </c>
      <c r="V643" s="4">
        <f>IF(ISERROR(VLOOKUP($S$643,'TAR FIN'!$A$1:$O$99,15,0)),0,VLOOKUP($S$643,'TAR FIN'!$A$1:$O$99,15,0))</f>
        <v>0</v>
      </c>
      <c r="W643" s="4">
        <f>IF(ISERROR(VLOOKUP($T$643,'TAR FIN'!$A$1:$O$99,15,0)),0,VLOOKUP($T$643,'TAR FIN'!$A$1:$O$99,15,0))</f>
        <v>97.61</v>
      </c>
      <c r="X643" s="4">
        <f>IF(ISERROR(VLOOKUP($U$643,'TAR FIN'!$A$1:$O$99,15,0)),0,VLOOKUP($U$643,'TAR FIN'!$A$1:$O$99,15,0))</f>
        <v>219.97</v>
      </c>
      <c r="Y643" s="4"/>
      <c r="Z643" s="4">
        <f ca="1">('TUSD BE'!$AM$23+'TUSD BF'!$AM$23+'TUSD CVA'!$AM$23)*1</f>
        <v>117.59114529324071</v>
      </c>
      <c r="AA643" s="4">
        <f>('TE BE'!$AA$8+'TE BF'!$AA$8+'TE CVA'!$AA$8)*1</f>
        <v>271.13910989737087</v>
      </c>
      <c r="AB643" s="4">
        <f>$K$643*$V$643</f>
        <v>0</v>
      </c>
      <c r="AC643" s="4">
        <f>$M$643*$W$643</f>
        <v>1574486.3917999999</v>
      </c>
      <c r="AD643" s="4">
        <f>$O$643*$X$643</f>
        <v>3548199.6886</v>
      </c>
      <c r="AE643" s="4">
        <f>$K$643*$Y$643</f>
        <v>0</v>
      </c>
      <c r="AF643" s="4">
        <f ca="1">$M$643*$Z$643</f>
        <v>1896789.858215184</v>
      </c>
      <c r="AG643" s="4">
        <f>$O$643*$AA$643</f>
        <v>4373576.8755063526</v>
      </c>
    </row>
    <row r="644" spans="1:33" ht="11.25" customHeight="1" x14ac:dyDescent="0.25">
      <c r="A644" s="3" t="s">
        <v>27</v>
      </c>
      <c r="B644" s="3" t="s">
        <v>33</v>
      </c>
      <c r="C644" s="3" t="s">
        <v>34</v>
      </c>
      <c r="D644" s="3" t="s">
        <v>43</v>
      </c>
      <c r="E644" s="3" t="s">
        <v>25</v>
      </c>
      <c r="F644" s="3" t="s">
        <v>25</v>
      </c>
      <c r="G644" s="3" t="s">
        <v>25</v>
      </c>
      <c r="H644" s="3" t="s">
        <v>36</v>
      </c>
      <c r="I644" s="6">
        <v>44348</v>
      </c>
      <c r="J644" s="4">
        <v>0</v>
      </c>
      <c r="K644" s="4">
        <v>0</v>
      </c>
      <c r="L644" s="4">
        <v>-117.631</v>
      </c>
      <c r="M644" s="4">
        <v>-117.631</v>
      </c>
      <c r="N644" s="4">
        <v>-117.631</v>
      </c>
      <c r="O644" s="4">
        <v>-117.631</v>
      </c>
      <c r="P644" s="4">
        <v>0</v>
      </c>
      <c r="Q644" s="3" t="s">
        <v>26</v>
      </c>
      <c r="R644" s="3">
        <v>0</v>
      </c>
      <c r="S644" s="4">
        <v>0</v>
      </c>
      <c r="T644" s="4">
        <v>29</v>
      </c>
      <c r="U644" s="4">
        <v>73</v>
      </c>
      <c r="V644" s="4">
        <f>IF(ISERROR(VLOOKUP($S$644,'TAR FIN'!$A$1:$O$99,15,0)),0,VLOOKUP($S$644,'TAR FIN'!$A$1:$O$99,15,0))</f>
        <v>0</v>
      </c>
      <c r="W644" s="4">
        <f>IF(ISERROR(VLOOKUP($T$644,'TAR FIN'!$A$1:$O$99,15,0)),0,VLOOKUP($T$644,'TAR FIN'!$A$1:$O$99,15,0))</f>
        <v>97.61</v>
      </c>
      <c r="X644" s="4">
        <f>IF(ISERROR(VLOOKUP($U$644,'TAR FIN'!$A$1:$O$99,15,0)),0,VLOOKUP($U$644,'TAR FIN'!$A$1:$O$99,15,0))</f>
        <v>219.97</v>
      </c>
      <c r="Y644" s="4"/>
      <c r="Z644" s="4">
        <f ca="1">('TUSD BE'!$AM$23+'TUSD BF'!$AM$23+'TUSD CVA'!$AM$23)*1</f>
        <v>117.59114529324071</v>
      </c>
      <c r="AA644" s="4">
        <f>('TE BE'!$AA$8+'TE BF'!$AA$8+'TE CVA'!$AA$8)*1</f>
        <v>271.13910989737087</v>
      </c>
      <c r="AB644" s="4">
        <f>$K$644*$V$644</f>
        <v>0</v>
      </c>
      <c r="AC644" s="4">
        <f>$M$644*$W$644</f>
        <v>-11481.96191</v>
      </c>
      <c r="AD644" s="4">
        <f>$O$644*$X$644</f>
        <v>-25875.291069999999</v>
      </c>
      <c r="AE644" s="4">
        <f>$K$644*$Y$644</f>
        <v>0</v>
      </c>
      <c r="AF644" s="4">
        <f ca="1">$M$644*$Z$644</f>
        <v>-13832.364011989199</v>
      </c>
      <c r="AG644" s="4">
        <f>$O$644*$AA$644</f>
        <v>-31894.364636337632</v>
      </c>
    </row>
    <row r="645" spans="1:33" ht="11.25" customHeight="1" x14ac:dyDescent="0.25">
      <c r="A645" s="3" t="s">
        <v>28</v>
      </c>
      <c r="B645" s="3" t="s">
        <v>33</v>
      </c>
      <c r="C645" s="3" t="s">
        <v>34</v>
      </c>
      <c r="D645" s="3" t="s">
        <v>43</v>
      </c>
      <c r="E645" s="3" t="s">
        <v>25</v>
      </c>
      <c r="F645" s="3" t="s">
        <v>25</v>
      </c>
      <c r="G645" s="3" t="s">
        <v>25</v>
      </c>
      <c r="H645" s="3" t="s">
        <v>36</v>
      </c>
      <c r="I645" s="6">
        <v>44348</v>
      </c>
      <c r="J645" s="4">
        <v>0</v>
      </c>
      <c r="K645" s="4">
        <v>0</v>
      </c>
      <c r="L645" s="4">
        <v>214.50399999999999</v>
      </c>
      <c r="M645" s="4">
        <v>214.50399999999999</v>
      </c>
      <c r="N645" s="4">
        <v>214.50399999999999</v>
      </c>
      <c r="O645" s="4">
        <v>214.50399999999999</v>
      </c>
      <c r="P645" s="4">
        <v>0</v>
      </c>
      <c r="Q645" s="3" t="s">
        <v>26</v>
      </c>
      <c r="R645" s="3">
        <v>0</v>
      </c>
      <c r="S645" s="4">
        <v>0</v>
      </c>
      <c r="T645" s="4">
        <v>29</v>
      </c>
      <c r="U645" s="4">
        <v>73</v>
      </c>
      <c r="V645" s="4">
        <f>IF(ISERROR(VLOOKUP($S$645,'TAR FIN'!$A$1:$O$99,15,0)),0,VLOOKUP($S$645,'TAR FIN'!$A$1:$O$99,15,0))</f>
        <v>0</v>
      </c>
      <c r="W645" s="4">
        <f>IF(ISERROR(VLOOKUP($T$645,'TAR FIN'!$A$1:$O$99,15,0)),0,VLOOKUP($T$645,'TAR FIN'!$A$1:$O$99,15,0))</f>
        <v>97.61</v>
      </c>
      <c r="X645" s="4">
        <f>IF(ISERROR(VLOOKUP($U$645,'TAR FIN'!$A$1:$O$99,15,0)),0,VLOOKUP($U$645,'TAR FIN'!$A$1:$O$99,15,0))</f>
        <v>219.97</v>
      </c>
      <c r="Y645" s="4"/>
      <c r="Z645" s="4">
        <f ca="1">('TUSD BE'!$AM$23+'TUSD BF'!$AM$23+'TUSD CVA'!$AM$23)*1</f>
        <v>117.59114529324071</v>
      </c>
      <c r="AA645" s="4">
        <f>('TE BE'!$AA$8+'TE BF'!$AA$8+'TE CVA'!$AA$8)*1</f>
        <v>271.13910989737087</v>
      </c>
      <c r="AB645" s="4">
        <f>$K$645*$V$645</f>
        <v>0</v>
      </c>
      <c r="AC645" s="4">
        <f>$M$645*$W$645</f>
        <v>20937.73544</v>
      </c>
      <c r="AD645" s="4">
        <f>$O$645*$X$645</f>
        <v>47184.444879999995</v>
      </c>
      <c r="AE645" s="4">
        <f>$K$645*$Y$645</f>
        <v>0</v>
      </c>
      <c r="AF645" s="4">
        <f ca="1">$M$645*$Z$645</f>
        <v>25223.771029981304</v>
      </c>
      <c r="AG645" s="4">
        <f>$O$645*$AA$645</f>
        <v>58160.423629425641</v>
      </c>
    </row>
    <row r="646" spans="1:33" ht="11.25" customHeight="1" x14ac:dyDescent="0.25">
      <c r="A646" s="3" t="s">
        <v>21</v>
      </c>
      <c r="B646" s="3" t="s">
        <v>33</v>
      </c>
      <c r="C646" s="3" t="s">
        <v>34</v>
      </c>
      <c r="D646" s="3" t="s">
        <v>43</v>
      </c>
      <c r="E646" s="3" t="s">
        <v>25</v>
      </c>
      <c r="F646" s="3" t="s">
        <v>25</v>
      </c>
      <c r="G646" s="3" t="s">
        <v>25</v>
      </c>
      <c r="H646" s="3" t="s">
        <v>36</v>
      </c>
      <c r="I646" s="6">
        <v>44378</v>
      </c>
      <c r="J646" s="4">
        <v>0</v>
      </c>
      <c r="K646" s="4">
        <v>0</v>
      </c>
      <c r="L646" s="4">
        <v>17105.807000000001</v>
      </c>
      <c r="M646" s="4">
        <v>17105.807000000001</v>
      </c>
      <c r="N646" s="4">
        <v>17105.807000000001</v>
      </c>
      <c r="O646" s="4">
        <v>17105.807000000001</v>
      </c>
      <c r="P646" s="4">
        <v>0</v>
      </c>
      <c r="Q646" s="3" t="s">
        <v>26</v>
      </c>
      <c r="R646" s="3">
        <v>0</v>
      </c>
      <c r="S646" s="4">
        <v>0</v>
      </c>
      <c r="T646" s="4">
        <v>29</v>
      </c>
      <c r="U646" s="4">
        <v>73</v>
      </c>
      <c r="V646" s="4">
        <f>IF(ISERROR(VLOOKUP($S$646,'TAR FIN'!$A$1:$O$99,15,0)),0,VLOOKUP($S$646,'TAR FIN'!$A$1:$O$99,15,0))</f>
        <v>0</v>
      </c>
      <c r="W646" s="4">
        <f>IF(ISERROR(VLOOKUP($T$646,'TAR FIN'!$A$1:$O$99,15,0)),0,VLOOKUP($T$646,'TAR FIN'!$A$1:$O$99,15,0))</f>
        <v>97.61</v>
      </c>
      <c r="X646" s="4">
        <f>IF(ISERROR(VLOOKUP($U$646,'TAR FIN'!$A$1:$O$99,15,0)),0,VLOOKUP($U$646,'TAR FIN'!$A$1:$O$99,15,0))</f>
        <v>219.97</v>
      </c>
      <c r="Y646" s="4"/>
      <c r="Z646" s="4">
        <f ca="1">('TUSD BE'!$AM$23+'TUSD BF'!$AM$23+'TUSD CVA'!$AM$23)*1</f>
        <v>117.59114529324071</v>
      </c>
      <c r="AA646" s="4">
        <f>('TE BE'!$AA$8+'TE BF'!$AA$8+'TE CVA'!$AA$8)*1</f>
        <v>271.13910989737087</v>
      </c>
      <c r="AB646" s="4">
        <f>$K$646*$V$646</f>
        <v>0</v>
      </c>
      <c r="AC646" s="4">
        <f>$M$646*$W$646</f>
        <v>1669697.82127</v>
      </c>
      <c r="AD646" s="4">
        <f>$O$646*$X$646</f>
        <v>3762764.3657900002</v>
      </c>
      <c r="AE646" s="4">
        <f>$K$646*$Y$646</f>
        <v>0</v>
      </c>
      <c r="AF646" s="4">
        <f ca="1">$M$646*$Z$646</f>
        <v>2011491.4362951342</v>
      </c>
      <c r="AG646" s="4">
        <f>$O$646*$AA$646</f>
        <v>4638053.2840562165</v>
      </c>
    </row>
    <row r="647" spans="1:33" ht="11.25" customHeight="1" x14ac:dyDescent="0.25">
      <c r="A647" s="3" t="s">
        <v>27</v>
      </c>
      <c r="B647" s="3" t="s">
        <v>33</v>
      </c>
      <c r="C647" s="3" t="s">
        <v>34</v>
      </c>
      <c r="D647" s="3" t="s">
        <v>43</v>
      </c>
      <c r="E647" s="3" t="s">
        <v>25</v>
      </c>
      <c r="F647" s="3" t="s">
        <v>25</v>
      </c>
      <c r="G647" s="3" t="s">
        <v>25</v>
      </c>
      <c r="H647" s="3" t="s">
        <v>36</v>
      </c>
      <c r="I647" s="6">
        <v>44378</v>
      </c>
      <c r="J647" s="4">
        <v>0</v>
      </c>
      <c r="K647" s="4">
        <v>0</v>
      </c>
      <c r="L647" s="4">
        <v>3.9929999999999999</v>
      </c>
      <c r="M647" s="4">
        <v>3.9929999999999999</v>
      </c>
      <c r="N647" s="4">
        <v>3.9929999999999999</v>
      </c>
      <c r="O647" s="4">
        <v>3.9929999999999999</v>
      </c>
      <c r="P647" s="4">
        <v>0</v>
      </c>
      <c r="Q647" s="3" t="s">
        <v>26</v>
      </c>
      <c r="R647" s="3">
        <v>0</v>
      </c>
      <c r="S647" s="4">
        <v>0</v>
      </c>
      <c r="T647" s="4">
        <v>29</v>
      </c>
      <c r="U647" s="4">
        <v>73</v>
      </c>
      <c r="V647" s="4">
        <f>IF(ISERROR(VLOOKUP($S$647,'TAR FIN'!$A$1:$O$99,15,0)),0,VLOOKUP($S$647,'TAR FIN'!$A$1:$O$99,15,0))</f>
        <v>0</v>
      </c>
      <c r="W647" s="4">
        <f>IF(ISERROR(VLOOKUP($T$647,'TAR FIN'!$A$1:$O$99,15,0)),0,VLOOKUP($T$647,'TAR FIN'!$A$1:$O$99,15,0))</f>
        <v>97.61</v>
      </c>
      <c r="X647" s="4">
        <f>IF(ISERROR(VLOOKUP($U$647,'TAR FIN'!$A$1:$O$99,15,0)),0,VLOOKUP($U$647,'TAR FIN'!$A$1:$O$99,15,0))</f>
        <v>219.97</v>
      </c>
      <c r="Y647" s="4"/>
      <c r="Z647" s="4">
        <f ca="1">('TUSD BE'!$AM$23+'TUSD BF'!$AM$23+'TUSD CVA'!$AM$23)*1</f>
        <v>117.59114529324071</v>
      </c>
      <c r="AA647" s="4">
        <f>('TE BE'!$AA$8+'TE BF'!$AA$8+'TE CVA'!$AA$8)*1</f>
        <v>271.13910989737087</v>
      </c>
      <c r="AB647" s="4">
        <f>$K$647*$V$647</f>
        <v>0</v>
      </c>
      <c r="AC647" s="4">
        <f>$M$647*$W$647</f>
        <v>389.75673</v>
      </c>
      <c r="AD647" s="4">
        <f>$O$647*$X$647</f>
        <v>878.34020999999996</v>
      </c>
      <c r="AE647" s="4">
        <f>$K$647*$Y$647</f>
        <v>0</v>
      </c>
      <c r="AF647" s="4">
        <f ca="1">$M$647*$Z$647</f>
        <v>469.54144315591014</v>
      </c>
      <c r="AG647" s="4">
        <f>$O$647*$AA$647</f>
        <v>1082.6584658202019</v>
      </c>
    </row>
    <row r="648" spans="1:33" ht="11.25" customHeight="1" x14ac:dyDescent="0.25">
      <c r="A648" s="3" t="s">
        <v>28</v>
      </c>
      <c r="B648" s="3" t="s">
        <v>33</v>
      </c>
      <c r="C648" s="3" t="s">
        <v>34</v>
      </c>
      <c r="D648" s="3" t="s">
        <v>43</v>
      </c>
      <c r="E648" s="3" t="s">
        <v>25</v>
      </c>
      <c r="F648" s="3" t="s">
        <v>25</v>
      </c>
      <c r="G648" s="3" t="s">
        <v>25</v>
      </c>
      <c r="H648" s="3" t="s">
        <v>36</v>
      </c>
      <c r="I648" s="6">
        <v>44378</v>
      </c>
      <c r="J648" s="4">
        <v>0</v>
      </c>
      <c r="K648" s="4">
        <v>0</v>
      </c>
      <c r="L648" s="4">
        <v>283.07100000000003</v>
      </c>
      <c r="M648" s="4">
        <v>283.07100000000003</v>
      </c>
      <c r="N648" s="4">
        <v>283.07100000000003</v>
      </c>
      <c r="O648" s="4">
        <v>283.07100000000003</v>
      </c>
      <c r="P648" s="4">
        <v>0</v>
      </c>
      <c r="Q648" s="3" t="s">
        <v>26</v>
      </c>
      <c r="R648" s="3">
        <v>0</v>
      </c>
      <c r="S648" s="4">
        <v>0</v>
      </c>
      <c r="T648" s="4">
        <v>29</v>
      </c>
      <c r="U648" s="4">
        <v>73</v>
      </c>
      <c r="V648" s="4">
        <f>IF(ISERROR(VLOOKUP($S$648,'TAR FIN'!$A$1:$O$99,15,0)),0,VLOOKUP($S$648,'TAR FIN'!$A$1:$O$99,15,0))</f>
        <v>0</v>
      </c>
      <c r="W648" s="4">
        <f>IF(ISERROR(VLOOKUP($T$648,'TAR FIN'!$A$1:$O$99,15,0)),0,VLOOKUP($T$648,'TAR FIN'!$A$1:$O$99,15,0))</f>
        <v>97.61</v>
      </c>
      <c r="X648" s="4">
        <f>IF(ISERROR(VLOOKUP($U$648,'TAR FIN'!$A$1:$O$99,15,0)),0,VLOOKUP($U$648,'TAR FIN'!$A$1:$O$99,15,0))</f>
        <v>219.97</v>
      </c>
      <c r="Y648" s="4"/>
      <c r="Z648" s="4">
        <f ca="1">('TUSD BE'!$AM$23+'TUSD BF'!$AM$23+'TUSD CVA'!$AM$23)*1</f>
        <v>117.59114529324071</v>
      </c>
      <c r="AA648" s="4">
        <f>('TE BE'!$AA$8+'TE BF'!$AA$8+'TE CVA'!$AA$8)*1</f>
        <v>271.13910989737087</v>
      </c>
      <c r="AB648" s="4">
        <f>$K$648*$V$648</f>
        <v>0</v>
      </c>
      <c r="AC648" s="4">
        <f>$M$648*$W$648</f>
        <v>27630.560310000001</v>
      </c>
      <c r="AD648" s="4">
        <f>$O$648*$X$648</f>
        <v>62267.127870000004</v>
      </c>
      <c r="AE648" s="4">
        <f>$K$648*$Y$648</f>
        <v>0</v>
      </c>
      <c r="AF648" s="4">
        <f ca="1">$M$648*$Z$648</f>
        <v>33286.643089302946</v>
      </c>
      <c r="AG648" s="4">
        <f>$O$648*$AA$648</f>
        <v>76751.618977758684</v>
      </c>
    </row>
    <row r="649" spans="1:33" ht="11.25" customHeight="1" x14ac:dyDescent="0.25">
      <c r="A649" s="3" t="s">
        <v>28</v>
      </c>
      <c r="B649" s="3" t="s">
        <v>33</v>
      </c>
      <c r="C649" s="3" t="s">
        <v>34</v>
      </c>
      <c r="D649" s="3" t="s">
        <v>43</v>
      </c>
      <c r="E649" s="3" t="s">
        <v>25</v>
      </c>
      <c r="F649" s="3" t="s">
        <v>25</v>
      </c>
      <c r="G649" s="3" t="s">
        <v>25</v>
      </c>
      <c r="H649" s="3" t="s">
        <v>36</v>
      </c>
      <c r="I649" s="6">
        <v>44378</v>
      </c>
      <c r="J649" s="4">
        <v>0</v>
      </c>
      <c r="K649" s="4">
        <v>0</v>
      </c>
      <c r="L649" s="4">
        <v>8.9990000000000006</v>
      </c>
      <c r="M649" s="4">
        <v>8.9990000000000006</v>
      </c>
      <c r="N649" s="4">
        <v>8.9990000000000006</v>
      </c>
      <c r="O649" s="4">
        <v>8.9990000000000006</v>
      </c>
      <c r="P649" s="4">
        <v>0</v>
      </c>
      <c r="Q649" s="3" t="s">
        <v>26</v>
      </c>
      <c r="R649" s="3">
        <v>0</v>
      </c>
      <c r="S649" s="4">
        <v>0</v>
      </c>
      <c r="T649" s="4">
        <v>29</v>
      </c>
      <c r="U649" s="4">
        <v>73</v>
      </c>
      <c r="V649" s="4">
        <f>IF(ISERROR(VLOOKUP($S$649,'TAR FIN'!$A$1:$O$99,15,0)),0,VLOOKUP($S$649,'TAR FIN'!$A$1:$O$99,15,0))</f>
        <v>0</v>
      </c>
      <c r="W649" s="4">
        <f>IF(ISERROR(VLOOKUP($T$649,'TAR FIN'!$A$1:$O$99,15,0)),0,VLOOKUP($T$649,'TAR FIN'!$A$1:$O$99,15,0))</f>
        <v>97.61</v>
      </c>
      <c r="X649" s="4">
        <f>IF(ISERROR(VLOOKUP($U$649,'TAR FIN'!$A$1:$O$99,15,0)),0,VLOOKUP($U$649,'TAR FIN'!$A$1:$O$99,15,0))</f>
        <v>219.97</v>
      </c>
      <c r="Y649" s="4"/>
      <c r="Z649" s="4">
        <f ca="1">('TUSD BE'!$AM$23+'TUSD BF'!$AM$23+'TUSD CVA'!$AM$23)*1</f>
        <v>117.59114529324071</v>
      </c>
      <c r="AA649" s="4">
        <f>('TE BE'!$AA$8+'TE BF'!$AA$8+'TE CVA'!$AA$8)*1</f>
        <v>271.13910989737087</v>
      </c>
      <c r="AB649" s="4">
        <f>$K$649*$V$649</f>
        <v>0</v>
      </c>
      <c r="AC649" s="4">
        <f>$M$649*$W$649</f>
        <v>878.39239000000009</v>
      </c>
      <c r="AD649" s="4">
        <f>$O$649*$X$649</f>
        <v>1979.5100300000001</v>
      </c>
      <c r="AE649" s="4">
        <f>$K$649*$Y$649</f>
        <v>0</v>
      </c>
      <c r="AF649" s="4">
        <f ca="1">$M$649*$Z$649</f>
        <v>1058.2027164938734</v>
      </c>
      <c r="AG649" s="4">
        <f>$O$649*$AA$649</f>
        <v>2439.9808499664405</v>
      </c>
    </row>
    <row r="650" spans="1:33" ht="11.25" customHeight="1" x14ac:dyDescent="0.25">
      <c r="A650" s="3" t="s">
        <v>21</v>
      </c>
      <c r="B650" s="3" t="s">
        <v>33</v>
      </c>
      <c r="C650" s="3" t="s">
        <v>34</v>
      </c>
      <c r="D650" s="3" t="s">
        <v>43</v>
      </c>
      <c r="E650" s="3" t="s">
        <v>25</v>
      </c>
      <c r="F650" s="3" t="s">
        <v>25</v>
      </c>
      <c r="G650" s="3" t="s">
        <v>25</v>
      </c>
      <c r="H650" s="3" t="s">
        <v>36</v>
      </c>
      <c r="I650" s="6">
        <v>44409</v>
      </c>
      <c r="J650" s="4">
        <v>0</v>
      </c>
      <c r="K650" s="4">
        <v>0</v>
      </c>
      <c r="L650" s="4">
        <v>16842.151000000002</v>
      </c>
      <c r="M650" s="4">
        <v>16842.151000000002</v>
      </c>
      <c r="N650" s="4">
        <v>16842.151000000002</v>
      </c>
      <c r="O650" s="4">
        <v>16842.151000000002</v>
      </c>
      <c r="P650" s="4">
        <v>0</v>
      </c>
      <c r="Q650" s="3" t="s">
        <v>26</v>
      </c>
      <c r="R650" s="3">
        <v>0</v>
      </c>
      <c r="S650" s="4">
        <v>0</v>
      </c>
      <c r="T650" s="4">
        <v>29</v>
      </c>
      <c r="U650" s="4">
        <v>73</v>
      </c>
      <c r="V650" s="4">
        <f>IF(ISERROR(VLOOKUP($S$650,'TAR FIN'!$A$1:$O$99,15,0)),0,VLOOKUP($S$650,'TAR FIN'!$A$1:$O$99,15,0))</f>
        <v>0</v>
      </c>
      <c r="W650" s="4">
        <f>IF(ISERROR(VLOOKUP($T$650,'TAR FIN'!$A$1:$O$99,15,0)),0,VLOOKUP($T$650,'TAR FIN'!$A$1:$O$99,15,0))</f>
        <v>97.61</v>
      </c>
      <c r="X650" s="4">
        <f>IF(ISERROR(VLOOKUP($U$650,'TAR FIN'!$A$1:$O$99,15,0)),0,VLOOKUP($U$650,'TAR FIN'!$A$1:$O$99,15,0))</f>
        <v>219.97</v>
      </c>
      <c r="Y650" s="4"/>
      <c r="Z650" s="4">
        <f ca="1">('TUSD BE'!$AM$23+'TUSD BF'!$AM$23+'TUSD CVA'!$AM$23)*1</f>
        <v>117.59114529324071</v>
      </c>
      <c r="AA650" s="4">
        <f>('TE BE'!$AA$8+'TE BF'!$AA$8+'TE CVA'!$AA$8)*1</f>
        <v>271.13910989737087</v>
      </c>
      <c r="AB650" s="4">
        <f>$K$650*$V$650</f>
        <v>0</v>
      </c>
      <c r="AC650" s="4">
        <f>$M$650*$W$650</f>
        <v>1643962.3591100001</v>
      </c>
      <c r="AD650" s="4">
        <f>$O$650*$X$650</f>
        <v>3704767.9554700004</v>
      </c>
      <c r="AE650" s="4">
        <f>$K$650*$Y$650</f>
        <v>0</v>
      </c>
      <c r="AF650" s="4">
        <f ca="1">$M$650*$Z$650</f>
        <v>1980487.8252916995</v>
      </c>
      <c r="AG650" s="4">
        <f>$O$650*$AA$650</f>
        <v>4566565.8308971152</v>
      </c>
    </row>
    <row r="651" spans="1:33" ht="11.25" customHeight="1" x14ac:dyDescent="0.25">
      <c r="A651" s="3" t="s">
        <v>27</v>
      </c>
      <c r="B651" s="3" t="s">
        <v>33</v>
      </c>
      <c r="C651" s="3" t="s">
        <v>34</v>
      </c>
      <c r="D651" s="3" t="s">
        <v>43</v>
      </c>
      <c r="E651" s="3" t="s">
        <v>25</v>
      </c>
      <c r="F651" s="3" t="s">
        <v>25</v>
      </c>
      <c r="G651" s="3" t="s">
        <v>25</v>
      </c>
      <c r="H651" s="3" t="s">
        <v>36</v>
      </c>
      <c r="I651" s="6">
        <v>44409</v>
      </c>
      <c r="J651" s="4">
        <v>0</v>
      </c>
      <c r="K651" s="4">
        <v>0</v>
      </c>
      <c r="L651" s="4">
        <v>-62.997999999999998</v>
      </c>
      <c r="M651" s="4">
        <v>-62.997999999999998</v>
      </c>
      <c r="N651" s="4">
        <v>-62.997999999999998</v>
      </c>
      <c r="O651" s="4">
        <v>-62.997999999999998</v>
      </c>
      <c r="P651" s="4">
        <v>0</v>
      </c>
      <c r="Q651" s="3" t="s">
        <v>26</v>
      </c>
      <c r="R651" s="3">
        <v>0</v>
      </c>
      <c r="S651" s="4">
        <v>0</v>
      </c>
      <c r="T651" s="4">
        <v>29</v>
      </c>
      <c r="U651" s="4">
        <v>73</v>
      </c>
      <c r="V651" s="4">
        <f>IF(ISERROR(VLOOKUP($S$651,'TAR FIN'!$A$1:$O$99,15,0)),0,VLOOKUP($S$651,'TAR FIN'!$A$1:$O$99,15,0))</f>
        <v>0</v>
      </c>
      <c r="W651" s="4">
        <f>IF(ISERROR(VLOOKUP($T$651,'TAR FIN'!$A$1:$O$99,15,0)),0,VLOOKUP($T$651,'TAR FIN'!$A$1:$O$99,15,0))</f>
        <v>97.61</v>
      </c>
      <c r="X651" s="4">
        <f>IF(ISERROR(VLOOKUP($U$651,'TAR FIN'!$A$1:$O$99,15,0)),0,VLOOKUP($U$651,'TAR FIN'!$A$1:$O$99,15,0))</f>
        <v>219.97</v>
      </c>
      <c r="Y651" s="4"/>
      <c r="Z651" s="4">
        <f ca="1">('TUSD BE'!$AM$23+'TUSD BF'!$AM$23+'TUSD CVA'!$AM$23)*1</f>
        <v>117.59114529324071</v>
      </c>
      <c r="AA651" s="4">
        <f>('TE BE'!$AA$8+'TE BF'!$AA$8+'TE CVA'!$AA$8)*1</f>
        <v>271.13910989737087</v>
      </c>
      <c r="AB651" s="4">
        <f>$K$651*$V$651</f>
        <v>0</v>
      </c>
      <c r="AC651" s="4">
        <f>$M$651*$W$651</f>
        <v>-6149.2347799999998</v>
      </c>
      <c r="AD651" s="4">
        <f>$O$651*$X$651</f>
        <v>-13857.670059999999</v>
      </c>
      <c r="AE651" s="4">
        <f>$K$651*$Y$651</f>
        <v>0</v>
      </c>
      <c r="AF651" s="4">
        <f ca="1">$M$651*$Z$651</f>
        <v>-7408.0069711835786</v>
      </c>
      <c r="AG651" s="4">
        <f>$O$651*$AA$651</f>
        <v>-17081.22164531457</v>
      </c>
    </row>
    <row r="652" spans="1:33" ht="11.25" customHeight="1" x14ac:dyDescent="0.25">
      <c r="A652" s="3" t="s">
        <v>28</v>
      </c>
      <c r="B652" s="3" t="s">
        <v>33</v>
      </c>
      <c r="C652" s="3" t="s">
        <v>34</v>
      </c>
      <c r="D652" s="3" t="s">
        <v>43</v>
      </c>
      <c r="E652" s="3" t="s">
        <v>25</v>
      </c>
      <c r="F652" s="3" t="s">
        <v>25</v>
      </c>
      <c r="G652" s="3" t="s">
        <v>25</v>
      </c>
      <c r="H652" s="3" t="s">
        <v>36</v>
      </c>
      <c r="I652" s="6">
        <v>44409</v>
      </c>
      <c r="J652" s="4">
        <v>0</v>
      </c>
      <c r="K652" s="4">
        <v>0</v>
      </c>
      <c r="L652" s="4">
        <v>340.54</v>
      </c>
      <c r="M652" s="4">
        <v>340.54</v>
      </c>
      <c r="N652" s="4">
        <v>340.54</v>
      </c>
      <c r="O652" s="4">
        <v>340.54</v>
      </c>
      <c r="P652" s="4">
        <v>0</v>
      </c>
      <c r="Q652" s="3" t="s">
        <v>26</v>
      </c>
      <c r="R652" s="3">
        <v>0</v>
      </c>
      <c r="S652" s="4">
        <v>0</v>
      </c>
      <c r="T652" s="4">
        <v>29</v>
      </c>
      <c r="U652" s="4">
        <v>73</v>
      </c>
      <c r="V652" s="4">
        <f>IF(ISERROR(VLOOKUP($S$652,'TAR FIN'!$A$1:$O$99,15,0)),0,VLOOKUP($S$652,'TAR FIN'!$A$1:$O$99,15,0))</f>
        <v>0</v>
      </c>
      <c r="W652" s="4">
        <f>IF(ISERROR(VLOOKUP($T$652,'TAR FIN'!$A$1:$O$99,15,0)),0,VLOOKUP($T$652,'TAR FIN'!$A$1:$O$99,15,0))</f>
        <v>97.61</v>
      </c>
      <c r="X652" s="4">
        <f>IF(ISERROR(VLOOKUP($U$652,'TAR FIN'!$A$1:$O$99,15,0)),0,VLOOKUP($U$652,'TAR FIN'!$A$1:$O$99,15,0))</f>
        <v>219.97</v>
      </c>
      <c r="Y652" s="4"/>
      <c r="Z652" s="4">
        <f ca="1">('TUSD BE'!$AM$23+'TUSD BF'!$AM$23+'TUSD CVA'!$AM$23)*1</f>
        <v>117.59114529324071</v>
      </c>
      <c r="AA652" s="4">
        <f>('TE BE'!$AA$8+'TE BF'!$AA$8+'TE CVA'!$AA$8)*1</f>
        <v>271.13910989737087</v>
      </c>
      <c r="AB652" s="4">
        <f>$K$652*$V$652</f>
        <v>0</v>
      </c>
      <c r="AC652" s="4">
        <f>$M$652*$W$652</f>
        <v>33240.109400000001</v>
      </c>
      <c r="AD652" s="4">
        <f>$O$652*$X$652</f>
        <v>74908.583800000008</v>
      </c>
      <c r="AE652" s="4">
        <f>$K$652*$Y$652</f>
        <v>0</v>
      </c>
      <c r="AF652" s="4">
        <f ca="1">$M$652*$Z$652</f>
        <v>40044.488618160198</v>
      </c>
      <c r="AG652" s="4">
        <f>$O$652*$AA$652</f>
        <v>92333.712484450676</v>
      </c>
    </row>
    <row r="653" spans="1:33" ht="11.25" customHeight="1" x14ac:dyDescent="0.25">
      <c r="A653" s="3" t="s">
        <v>28</v>
      </c>
      <c r="B653" s="3" t="s">
        <v>33</v>
      </c>
      <c r="C653" s="3" t="s">
        <v>34</v>
      </c>
      <c r="D653" s="3" t="s">
        <v>43</v>
      </c>
      <c r="E653" s="3" t="s">
        <v>25</v>
      </c>
      <c r="F653" s="3" t="s">
        <v>25</v>
      </c>
      <c r="G653" s="3" t="s">
        <v>25</v>
      </c>
      <c r="H653" s="3" t="s">
        <v>36</v>
      </c>
      <c r="I653" s="6">
        <v>44409</v>
      </c>
      <c r="J653" s="4">
        <v>0</v>
      </c>
      <c r="K653" s="4">
        <v>0</v>
      </c>
      <c r="L653" s="4">
        <v>-12.396000000000001</v>
      </c>
      <c r="M653" s="4">
        <v>-12.396000000000001</v>
      </c>
      <c r="N653" s="4">
        <v>-12.396000000000001</v>
      </c>
      <c r="O653" s="4">
        <v>-12.396000000000001</v>
      </c>
      <c r="P653" s="4">
        <v>0</v>
      </c>
      <c r="Q653" s="3" t="s">
        <v>26</v>
      </c>
      <c r="R653" s="3">
        <v>0</v>
      </c>
      <c r="S653" s="4">
        <v>0</v>
      </c>
      <c r="T653" s="4">
        <v>29</v>
      </c>
      <c r="U653" s="4">
        <v>73</v>
      </c>
      <c r="V653" s="4">
        <f>IF(ISERROR(VLOOKUP($S$653,'TAR FIN'!$A$1:$O$99,15,0)),0,VLOOKUP($S$653,'TAR FIN'!$A$1:$O$99,15,0))</f>
        <v>0</v>
      </c>
      <c r="W653" s="4">
        <f>IF(ISERROR(VLOOKUP($T$653,'TAR FIN'!$A$1:$O$99,15,0)),0,VLOOKUP($T$653,'TAR FIN'!$A$1:$O$99,15,0))</f>
        <v>97.61</v>
      </c>
      <c r="X653" s="4">
        <f>IF(ISERROR(VLOOKUP($U$653,'TAR FIN'!$A$1:$O$99,15,0)),0,VLOOKUP($U$653,'TAR FIN'!$A$1:$O$99,15,0))</f>
        <v>219.97</v>
      </c>
      <c r="Y653" s="4"/>
      <c r="Z653" s="4">
        <f ca="1">('TUSD BE'!$AM$23+'TUSD BF'!$AM$23+'TUSD CVA'!$AM$23)*1</f>
        <v>117.59114529324071</v>
      </c>
      <c r="AA653" s="4">
        <f>('TE BE'!$AA$8+'TE BF'!$AA$8+'TE CVA'!$AA$8)*1</f>
        <v>271.13910989737087</v>
      </c>
      <c r="AB653" s="4">
        <f>$K$653*$V$653</f>
        <v>0</v>
      </c>
      <c r="AC653" s="4">
        <f>$M$653*$W$653</f>
        <v>-1209.9735600000001</v>
      </c>
      <c r="AD653" s="4">
        <f>$O$653*$X$653</f>
        <v>-2726.7481200000002</v>
      </c>
      <c r="AE653" s="4">
        <f>$K$653*$Y$653</f>
        <v>0</v>
      </c>
      <c r="AF653" s="4">
        <f ca="1">$M$653*$Z$653</f>
        <v>-1457.6598370550121</v>
      </c>
      <c r="AG653" s="4">
        <f>$O$653*$AA$653</f>
        <v>-3361.0404062878097</v>
      </c>
    </row>
    <row r="654" spans="1:33" ht="11.25" customHeight="1" x14ac:dyDescent="0.25">
      <c r="A654" s="3" t="s">
        <v>21</v>
      </c>
      <c r="B654" s="3" t="s">
        <v>33</v>
      </c>
      <c r="C654" s="3" t="s">
        <v>34</v>
      </c>
      <c r="D654" s="3" t="s">
        <v>43</v>
      </c>
      <c r="E654" s="3" t="s">
        <v>25</v>
      </c>
      <c r="F654" s="3" t="s">
        <v>25</v>
      </c>
      <c r="G654" s="3" t="s">
        <v>25</v>
      </c>
      <c r="H654" s="3" t="s">
        <v>36</v>
      </c>
      <c r="I654" s="6">
        <v>44440</v>
      </c>
      <c r="J654" s="4">
        <v>0</v>
      </c>
      <c r="K654" s="4">
        <v>0</v>
      </c>
      <c r="L654" s="4">
        <v>17968.821</v>
      </c>
      <c r="M654" s="4">
        <v>17968.821</v>
      </c>
      <c r="N654" s="4">
        <v>17968.821</v>
      </c>
      <c r="O654" s="4">
        <v>17968.821</v>
      </c>
      <c r="P654" s="4">
        <v>0</v>
      </c>
      <c r="Q654" s="3" t="s">
        <v>26</v>
      </c>
      <c r="R654" s="3">
        <v>0</v>
      </c>
      <c r="S654" s="4">
        <v>0</v>
      </c>
      <c r="T654" s="4">
        <v>29</v>
      </c>
      <c r="U654" s="4">
        <v>73</v>
      </c>
      <c r="V654" s="4">
        <f>IF(ISERROR(VLOOKUP($S$654,'TAR FIN'!$A$1:$O$99,15,0)),0,VLOOKUP($S$654,'TAR FIN'!$A$1:$O$99,15,0))</f>
        <v>0</v>
      </c>
      <c r="W654" s="4">
        <f>IF(ISERROR(VLOOKUP($T$654,'TAR FIN'!$A$1:$O$99,15,0)),0,VLOOKUP($T$654,'TAR FIN'!$A$1:$O$99,15,0))</f>
        <v>97.61</v>
      </c>
      <c r="X654" s="4">
        <f>IF(ISERROR(VLOOKUP($U$654,'TAR FIN'!$A$1:$O$99,15,0)),0,VLOOKUP($U$654,'TAR FIN'!$A$1:$O$99,15,0))</f>
        <v>219.97</v>
      </c>
      <c r="Y654" s="4"/>
      <c r="Z654" s="4">
        <f ca="1">('TUSD BE'!$AM$23+'TUSD BF'!$AM$23+'TUSD CVA'!$AM$23)*1</f>
        <v>117.59114529324071</v>
      </c>
      <c r="AA654" s="4">
        <f>('TE BE'!$AA$8+'TE BF'!$AA$8+'TE CVA'!$AA$8)*1</f>
        <v>271.13910989737087</v>
      </c>
      <c r="AB654" s="4">
        <f>$K$654*$V$654</f>
        <v>0</v>
      </c>
      <c r="AC654" s="4">
        <f>$M$654*$W$654</f>
        <v>1753936.61781</v>
      </c>
      <c r="AD654" s="4">
        <f>$O$654*$X$654</f>
        <v>3952601.5553700002</v>
      </c>
      <c r="AE654" s="4">
        <f>$K$654*$Y$654</f>
        <v>0</v>
      </c>
      <c r="AF654" s="4">
        <f ca="1">$M$654*$Z$654</f>
        <v>2112974.240959235</v>
      </c>
      <c r="AG654" s="4">
        <f>$O$654*$AA$654</f>
        <v>4872050.1318451855</v>
      </c>
    </row>
    <row r="655" spans="1:33" ht="11.25" customHeight="1" x14ac:dyDescent="0.25">
      <c r="A655" s="3" t="s">
        <v>27</v>
      </c>
      <c r="B655" s="3" t="s">
        <v>33</v>
      </c>
      <c r="C655" s="3" t="s">
        <v>34</v>
      </c>
      <c r="D655" s="3" t="s">
        <v>43</v>
      </c>
      <c r="E655" s="3" t="s">
        <v>25</v>
      </c>
      <c r="F655" s="3" t="s">
        <v>25</v>
      </c>
      <c r="G655" s="3" t="s">
        <v>25</v>
      </c>
      <c r="H655" s="3" t="s">
        <v>36</v>
      </c>
      <c r="I655" s="6">
        <v>44440</v>
      </c>
      <c r="J655" s="4">
        <v>0</v>
      </c>
      <c r="K655" s="4">
        <v>0</v>
      </c>
      <c r="L655" s="4">
        <v>-27.638000000000002</v>
      </c>
      <c r="M655" s="4">
        <v>-27.638000000000002</v>
      </c>
      <c r="N655" s="4">
        <v>-27.638000000000002</v>
      </c>
      <c r="O655" s="4">
        <v>-27.638000000000002</v>
      </c>
      <c r="P655" s="4">
        <v>0</v>
      </c>
      <c r="Q655" s="3" t="s">
        <v>26</v>
      </c>
      <c r="R655" s="3">
        <v>0</v>
      </c>
      <c r="S655" s="4">
        <v>0</v>
      </c>
      <c r="T655" s="4">
        <v>29</v>
      </c>
      <c r="U655" s="4">
        <v>73</v>
      </c>
      <c r="V655" s="4">
        <f>IF(ISERROR(VLOOKUP($S$655,'TAR FIN'!$A$1:$O$99,15,0)),0,VLOOKUP($S$655,'TAR FIN'!$A$1:$O$99,15,0))</f>
        <v>0</v>
      </c>
      <c r="W655" s="4">
        <f>IF(ISERROR(VLOOKUP($T$655,'TAR FIN'!$A$1:$O$99,15,0)),0,VLOOKUP($T$655,'TAR FIN'!$A$1:$O$99,15,0))</f>
        <v>97.61</v>
      </c>
      <c r="X655" s="4">
        <f>IF(ISERROR(VLOOKUP($U$655,'TAR FIN'!$A$1:$O$99,15,0)),0,VLOOKUP($U$655,'TAR FIN'!$A$1:$O$99,15,0))</f>
        <v>219.97</v>
      </c>
      <c r="Y655" s="4"/>
      <c r="Z655" s="4">
        <f ca="1">('TUSD BE'!$AM$23+'TUSD BF'!$AM$23+'TUSD CVA'!$AM$23)*1</f>
        <v>117.59114529324071</v>
      </c>
      <c r="AA655" s="4">
        <f>('TE BE'!$AA$8+'TE BF'!$AA$8+'TE CVA'!$AA$8)*1</f>
        <v>271.13910989737087</v>
      </c>
      <c r="AB655" s="4">
        <f>$K$655*$V$655</f>
        <v>0</v>
      </c>
      <c r="AC655" s="4">
        <f>$M$655*$W$655</f>
        <v>-2697.7451800000003</v>
      </c>
      <c r="AD655" s="4">
        <f>$O$655*$X$655</f>
        <v>-6079.5308600000008</v>
      </c>
      <c r="AE655" s="4">
        <f>$K$655*$Y$655</f>
        <v>0</v>
      </c>
      <c r="AF655" s="4">
        <f ca="1">$M$655*$Z$655</f>
        <v>-3249.984073614587</v>
      </c>
      <c r="AG655" s="4">
        <f>$O$655*$AA$655</f>
        <v>-7493.7427193435369</v>
      </c>
    </row>
    <row r="656" spans="1:33" ht="11.25" customHeight="1" x14ac:dyDescent="0.25">
      <c r="A656" s="3" t="s">
        <v>28</v>
      </c>
      <c r="B656" s="3" t="s">
        <v>33</v>
      </c>
      <c r="C656" s="3" t="s">
        <v>34</v>
      </c>
      <c r="D656" s="3" t="s">
        <v>43</v>
      </c>
      <c r="E656" s="3" t="s">
        <v>25</v>
      </c>
      <c r="F656" s="3" t="s">
        <v>25</v>
      </c>
      <c r="G656" s="3" t="s">
        <v>25</v>
      </c>
      <c r="H656" s="3" t="s">
        <v>36</v>
      </c>
      <c r="I656" s="6">
        <v>44440</v>
      </c>
      <c r="J656" s="4">
        <v>0</v>
      </c>
      <c r="K656" s="4">
        <v>0</v>
      </c>
      <c r="L656" s="4">
        <v>337.34100000000001</v>
      </c>
      <c r="M656" s="4">
        <v>337.34100000000001</v>
      </c>
      <c r="N656" s="4">
        <v>337.34100000000001</v>
      </c>
      <c r="O656" s="4">
        <v>337.34100000000001</v>
      </c>
      <c r="P656" s="4">
        <v>0</v>
      </c>
      <c r="Q656" s="3" t="s">
        <v>26</v>
      </c>
      <c r="R656" s="3">
        <v>0</v>
      </c>
      <c r="S656" s="4">
        <v>0</v>
      </c>
      <c r="T656" s="4">
        <v>29</v>
      </c>
      <c r="U656" s="4">
        <v>73</v>
      </c>
      <c r="V656" s="4">
        <f>IF(ISERROR(VLOOKUP($S$656,'TAR FIN'!$A$1:$O$99,15,0)),0,VLOOKUP($S$656,'TAR FIN'!$A$1:$O$99,15,0))</f>
        <v>0</v>
      </c>
      <c r="W656" s="4">
        <f>IF(ISERROR(VLOOKUP($T$656,'TAR FIN'!$A$1:$O$99,15,0)),0,VLOOKUP($T$656,'TAR FIN'!$A$1:$O$99,15,0))</f>
        <v>97.61</v>
      </c>
      <c r="X656" s="4">
        <f>IF(ISERROR(VLOOKUP($U$656,'TAR FIN'!$A$1:$O$99,15,0)),0,VLOOKUP($U$656,'TAR FIN'!$A$1:$O$99,15,0))</f>
        <v>219.97</v>
      </c>
      <c r="Y656" s="4"/>
      <c r="Z656" s="4">
        <f ca="1">('TUSD BE'!$AM$23+'TUSD BF'!$AM$23+'TUSD CVA'!$AM$23)*1</f>
        <v>117.59114529324071</v>
      </c>
      <c r="AA656" s="4">
        <f>('TE BE'!$AA$8+'TE BF'!$AA$8+'TE CVA'!$AA$8)*1</f>
        <v>271.13910989737087</v>
      </c>
      <c r="AB656" s="4">
        <f>$K$656*$V$656</f>
        <v>0</v>
      </c>
      <c r="AC656" s="4">
        <f>$M$656*$W$656</f>
        <v>32927.855009999999</v>
      </c>
      <c r="AD656" s="4">
        <f>$O$656*$X$656</f>
        <v>74204.899770000004</v>
      </c>
      <c r="AE656" s="4">
        <f>$K$656*$Y$656</f>
        <v>0</v>
      </c>
      <c r="AF656" s="4">
        <f ca="1">$M$656*$Z$656</f>
        <v>39668.314544367116</v>
      </c>
      <c r="AG656" s="4">
        <f>$O$656*$AA$656</f>
        <v>91466.338471888987</v>
      </c>
    </row>
    <row r="657" spans="1:33" ht="11.25" customHeight="1" x14ac:dyDescent="0.25">
      <c r="A657" s="3" t="s">
        <v>28</v>
      </c>
      <c r="B657" s="3" t="s">
        <v>33</v>
      </c>
      <c r="C657" s="3" t="s">
        <v>34</v>
      </c>
      <c r="D657" s="3" t="s">
        <v>43</v>
      </c>
      <c r="E657" s="3" t="s">
        <v>25</v>
      </c>
      <c r="F657" s="3" t="s">
        <v>25</v>
      </c>
      <c r="G657" s="3" t="s">
        <v>25</v>
      </c>
      <c r="H657" s="3" t="s">
        <v>36</v>
      </c>
      <c r="I657" s="6">
        <v>44440</v>
      </c>
      <c r="J657" s="4">
        <v>0</v>
      </c>
      <c r="K657" s="4">
        <v>0</v>
      </c>
      <c r="L657" s="4">
        <v>0.57199999999999995</v>
      </c>
      <c r="M657" s="4">
        <v>0.57199999999999995</v>
      </c>
      <c r="N657" s="4">
        <v>0.57199999999999995</v>
      </c>
      <c r="O657" s="4">
        <v>0.57199999999999995</v>
      </c>
      <c r="P657" s="4">
        <v>0</v>
      </c>
      <c r="Q657" s="3" t="s">
        <v>26</v>
      </c>
      <c r="R657" s="3">
        <v>0</v>
      </c>
      <c r="S657" s="4">
        <v>0</v>
      </c>
      <c r="T657" s="4">
        <v>29</v>
      </c>
      <c r="U657" s="4">
        <v>73</v>
      </c>
      <c r="V657" s="4">
        <f>IF(ISERROR(VLOOKUP($S$657,'TAR FIN'!$A$1:$O$99,15,0)),0,VLOOKUP($S$657,'TAR FIN'!$A$1:$O$99,15,0))</f>
        <v>0</v>
      </c>
      <c r="W657" s="4">
        <f>IF(ISERROR(VLOOKUP($T$657,'TAR FIN'!$A$1:$O$99,15,0)),0,VLOOKUP($T$657,'TAR FIN'!$A$1:$O$99,15,0))</f>
        <v>97.61</v>
      </c>
      <c r="X657" s="4">
        <f>IF(ISERROR(VLOOKUP($U$657,'TAR FIN'!$A$1:$O$99,15,0)),0,VLOOKUP($U$657,'TAR FIN'!$A$1:$O$99,15,0))</f>
        <v>219.97</v>
      </c>
      <c r="Y657" s="4"/>
      <c r="Z657" s="4">
        <f ca="1">('TUSD BE'!$AM$23+'TUSD BF'!$AM$23+'TUSD CVA'!$AM$23)*1</f>
        <v>117.59114529324071</v>
      </c>
      <c r="AA657" s="4">
        <f>('TE BE'!$AA$8+'TE BF'!$AA$8+'TE CVA'!$AA$8)*1</f>
        <v>271.13910989737087</v>
      </c>
      <c r="AB657" s="4">
        <f>$K$657*$V$657</f>
        <v>0</v>
      </c>
      <c r="AC657" s="4">
        <f>$M$657*$W$657</f>
        <v>55.832919999999994</v>
      </c>
      <c r="AD657" s="4">
        <f>$O$657*$X$657</f>
        <v>125.82283999999999</v>
      </c>
      <c r="AE657" s="4">
        <f>$K$657*$Y$657</f>
        <v>0</v>
      </c>
      <c r="AF657" s="4">
        <f ca="1">$M$657*$Z$657</f>
        <v>67.262135107733684</v>
      </c>
      <c r="AG657" s="4">
        <f>$O$657*$AA$657</f>
        <v>155.09157086129613</v>
      </c>
    </row>
    <row r="658" spans="1:33" ht="11.25" customHeight="1" x14ac:dyDescent="0.25">
      <c r="A658" s="3" t="s">
        <v>21</v>
      </c>
      <c r="B658" s="3" t="s">
        <v>33</v>
      </c>
      <c r="C658" s="3" t="s">
        <v>34</v>
      </c>
      <c r="D658" s="3" t="s">
        <v>43</v>
      </c>
      <c r="E658" s="3" t="s">
        <v>25</v>
      </c>
      <c r="F658" s="3" t="s">
        <v>25</v>
      </c>
      <c r="G658" s="3" t="s">
        <v>25</v>
      </c>
      <c r="H658" s="3" t="s">
        <v>36</v>
      </c>
      <c r="I658" s="6">
        <v>44470</v>
      </c>
      <c r="J658" s="4">
        <v>0</v>
      </c>
      <c r="K658" s="4">
        <v>0</v>
      </c>
      <c r="L658" s="4">
        <v>19749.526999999998</v>
      </c>
      <c r="M658" s="4">
        <v>19749.526999999998</v>
      </c>
      <c r="N658" s="4">
        <v>19749.526999999998</v>
      </c>
      <c r="O658" s="4">
        <v>19749.526999999998</v>
      </c>
      <c r="P658" s="4">
        <v>0</v>
      </c>
      <c r="Q658" s="3" t="s">
        <v>26</v>
      </c>
      <c r="R658" s="3">
        <v>0</v>
      </c>
      <c r="S658" s="4">
        <v>0</v>
      </c>
      <c r="T658" s="4">
        <v>29</v>
      </c>
      <c r="U658" s="4">
        <v>73</v>
      </c>
      <c r="V658" s="4">
        <f>IF(ISERROR(VLOOKUP($S$658,'TAR FIN'!$A$1:$O$99,15,0)),0,VLOOKUP($S$658,'TAR FIN'!$A$1:$O$99,15,0))</f>
        <v>0</v>
      </c>
      <c r="W658" s="4">
        <f>IF(ISERROR(VLOOKUP($T$658,'TAR FIN'!$A$1:$O$99,15,0)),0,VLOOKUP($T$658,'TAR FIN'!$A$1:$O$99,15,0))</f>
        <v>97.61</v>
      </c>
      <c r="X658" s="4">
        <f>IF(ISERROR(VLOOKUP($U$658,'TAR FIN'!$A$1:$O$99,15,0)),0,VLOOKUP($U$658,'TAR FIN'!$A$1:$O$99,15,0))</f>
        <v>219.97</v>
      </c>
      <c r="Y658" s="4"/>
      <c r="Z658" s="4">
        <f ca="1">('TUSD BE'!$AM$23+'TUSD BF'!$AM$23+'TUSD CVA'!$AM$23)*1</f>
        <v>117.59114529324071</v>
      </c>
      <c r="AA658" s="4">
        <f>('TE BE'!$AA$8+'TE BF'!$AA$8+'TE CVA'!$AA$8)*1</f>
        <v>271.13910989737087</v>
      </c>
      <c r="AB658" s="4">
        <f>$K$658*$V$658</f>
        <v>0</v>
      </c>
      <c r="AC658" s="4">
        <f>$M$658*$W$658</f>
        <v>1927751.3304699999</v>
      </c>
      <c r="AD658" s="4">
        <f>$O$658*$X$658</f>
        <v>4344303.45419</v>
      </c>
      <c r="AE658" s="4">
        <f>$K$658*$Y$658</f>
        <v>0</v>
      </c>
      <c r="AF658" s="4">
        <f ca="1">$M$658*$Z$658</f>
        <v>2322369.49892978</v>
      </c>
      <c r="AG658" s="4">
        <f>$O$658*$AA$658</f>
        <v>5354869.1716740932</v>
      </c>
    </row>
    <row r="659" spans="1:33" ht="11.25" customHeight="1" x14ac:dyDescent="0.25">
      <c r="A659" s="3" t="s">
        <v>27</v>
      </c>
      <c r="B659" s="3" t="s">
        <v>33</v>
      </c>
      <c r="C659" s="3" t="s">
        <v>34</v>
      </c>
      <c r="D659" s="3" t="s">
        <v>43</v>
      </c>
      <c r="E659" s="3" t="s">
        <v>25</v>
      </c>
      <c r="F659" s="3" t="s">
        <v>25</v>
      </c>
      <c r="G659" s="3" t="s">
        <v>25</v>
      </c>
      <c r="H659" s="3" t="s">
        <v>36</v>
      </c>
      <c r="I659" s="6">
        <v>44470</v>
      </c>
      <c r="J659" s="4">
        <v>0</v>
      </c>
      <c r="K659" s="4">
        <v>0</v>
      </c>
      <c r="L659" s="4">
        <v>-847.28599999999994</v>
      </c>
      <c r="M659" s="4">
        <v>-847.28599999999994</v>
      </c>
      <c r="N659" s="4">
        <v>-847.28599999999994</v>
      </c>
      <c r="O659" s="4">
        <v>-847.28599999999994</v>
      </c>
      <c r="P659" s="4">
        <v>0</v>
      </c>
      <c r="Q659" s="3" t="s">
        <v>26</v>
      </c>
      <c r="R659" s="3">
        <v>0</v>
      </c>
      <c r="S659" s="4">
        <v>0</v>
      </c>
      <c r="T659" s="4">
        <v>29</v>
      </c>
      <c r="U659" s="4">
        <v>73</v>
      </c>
      <c r="V659" s="4">
        <f>IF(ISERROR(VLOOKUP($S$659,'TAR FIN'!$A$1:$O$99,15,0)),0,VLOOKUP($S$659,'TAR FIN'!$A$1:$O$99,15,0))</f>
        <v>0</v>
      </c>
      <c r="W659" s="4">
        <f>IF(ISERROR(VLOOKUP($T$659,'TAR FIN'!$A$1:$O$99,15,0)),0,VLOOKUP($T$659,'TAR FIN'!$A$1:$O$99,15,0))</f>
        <v>97.61</v>
      </c>
      <c r="X659" s="4">
        <f>IF(ISERROR(VLOOKUP($U$659,'TAR FIN'!$A$1:$O$99,15,0)),0,VLOOKUP($U$659,'TAR FIN'!$A$1:$O$99,15,0))</f>
        <v>219.97</v>
      </c>
      <c r="Y659" s="4"/>
      <c r="Z659" s="4">
        <f ca="1">('TUSD BE'!$AM$23+'TUSD BF'!$AM$23+'TUSD CVA'!$AM$23)*1</f>
        <v>117.59114529324071</v>
      </c>
      <c r="AA659" s="4">
        <f>('TE BE'!$AA$8+'TE BF'!$AA$8+'TE CVA'!$AA$8)*1</f>
        <v>271.13910989737087</v>
      </c>
      <c r="AB659" s="4">
        <f>$K$659*$V$659</f>
        <v>0</v>
      </c>
      <c r="AC659" s="4">
        <f>$M$659*$W$659</f>
        <v>-82703.586459999991</v>
      </c>
      <c r="AD659" s="4">
        <f>$O$659*$X$659</f>
        <v>-186377.50141999999</v>
      </c>
      <c r="AE659" s="4">
        <f>$K$659*$Y$659</f>
        <v>0</v>
      </c>
      <c r="AF659" s="4">
        <f ca="1">$M$659*$Z$659</f>
        <v>-99633.331130928738</v>
      </c>
      <c r="AG659" s="4">
        <f>$O$659*$AA$659</f>
        <v>-229732.37186850377</v>
      </c>
    </row>
    <row r="660" spans="1:33" ht="11.25" customHeight="1" x14ac:dyDescent="0.25">
      <c r="A660" s="3" t="s">
        <v>28</v>
      </c>
      <c r="B660" s="3" t="s">
        <v>33</v>
      </c>
      <c r="C660" s="3" t="s">
        <v>34</v>
      </c>
      <c r="D660" s="3" t="s">
        <v>43</v>
      </c>
      <c r="E660" s="3" t="s">
        <v>25</v>
      </c>
      <c r="F660" s="3" t="s">
        <v>25</v>
      </c>
      <c r="G660" s="3" t="s">
        <v>25</v>
      </c>
      <c r="H660" s="3" t="s">
        <v>36</v>
      </c>
      <c r="I660" s="6">
        <v>44470</v>
      </c>
      <c r="J660" s="4">
        <v>0</v>
      </c>
      <c r="K660" s="4">
        <v>0</v>
      </c>
      <c r="L660" s="4">
        <v>468.77100000000002</v>
      </c>
      <c r="M660" s="4">
        <v>468.77100000000002</v>
      </c>
      <c r="N660" s="4">
        <v>468.77100000000002</v>
      </c>
      <c r="O660" s="4">
        <v>468.77100000000002</v>
      </c>
      <c r="P660" s="4">
        <v>0</v>
      </c>
      <c r="Q660" s="3" t="s">
        <v>26</v>
      </c>
      <c r="R660" s="3">
        <v>0</v>
      </c>
      <c r="S660" s="4">
        <v>0</v>
      </c>
      <c r="T660" s="4">
        <v>29</v>
      </c>
      <c r="U660" s="4">
        <v>73</v>
      </c>
      <c r="V660" s="4">
        <f>IF(ISERROR(VLOOKUP($S$660,'TAR FIN'!$A$1:$O$99,15,0)),0,VLOOKUP($S$660,'TAR FIN'!$A$1:$O$99,15,0))</f>
        <v>0</v>
      </c>
      <c r="W660" s="4">
        <f>IF(ISERROR(VLOOKUP($T$660,'TAR FIN'!$A$1:$O$99,15,0)),0,VLOOKUP($T$660,'TAR FIN'!$A$1:$O$99,15,0))</f>
        <v>97.61</v>
      </c>
      <c r="X660" s="4">
        <f>IF(ISERROR(VLOOKUP($U$660,'TAR FIN'!$A$1:$O$99,15,0)),0,VLOOKUP($U$660,'TAR FIN'!$A$1:$O$99,15,0))</f>
        <v>219.97</v>
      </c>
      <c r="Y660" s="4"/>
      <c r="Z660" s="4">
        <f ca="1">('TUSD BE'!$AM$23+'TUSD BF'!$AM$23+'TUSD CVA'!$AM$23)*1</f>
        <v>117.59114529324071</v>
      </c>
      <c r="AA660" s="4">
        <f>('TE BE'!$AA$8+'TE BF'!$AA$8+'TE CVA'!$AA$8)*1</f>
        <v>271.13910989737087</v>
      </c>
      <c r="AB660" s="4">
        <f>$K$660*$V$660</f>
        <v>0</v>
      </c>
      <c r="AC660" s="4">
        <f>$M$660*$W$660</f>
        <v>45756.737310000004</v>
      </c>
      <c r="AD660" s="4">
        <f>$O$660*$X$660</f>
        <v>103115.55687</v>
      </c>
      <c r="AE660" s="4">
        <f>$K$660*$Y$660</f>
        <v>0</v>
      </c>
      <c r="AF660" s="4">
        <f ca="1">$M$660*$Z$660</f>
        <v>55123.318770257742</v>
      </c>
      <c r="AG660" s="4">
        <f>$O$660*$AA$660</f>
        <v>127102.15168570045</v>
      </c>
    </row>
    <row r="661" spans="1:33" ht="11.25" customHeight="1" x14ac:dyDescent="0.25">
      <c r="A661" s="3" t="s">
        <v>28</v>
      </c>
      <c r="B661" s="3" t="s">
        <v>33</v>
      </c>
      <c r="C661" s="3" t="s">
        <v>34</v>
      </c>
      <c r="D661" s="3" t="s">
        <v>43</v>
      </c>
      <c r="E661" s="3" t="s">
        <v>25</v>
      </c>
      <c r="F661" s="3" t="s">
        <v>25</v>
      </c>
      <c r="G661" s="3" t="s">
        <v>25</v>
      </c>
      <c r="H661" s="3" t="s">
        <v>36</v>
      </c>
      <c r="I661" s="6">
        <v>44470</v>
      </c>
      <c r="J661" s="4">
        <v>0</v>
      </c>
      <c r="K661" s="4">
        <v>0</v>
      </c>
      <c r="L661" s="4">
        <v>36.360999999999997</v>
      </c>
      <c r="M661" s="4">
        <v>36.360999999999997</v>
      </c>
      <c r="N661" s="4">
        <v>36.360999999999997</v>
      </c>
      <c r="O661" s="4">
        <v>36.360999999999997</v>
      </c>
      <c r="P661" s="4">
        <v>0</v>
      </c>
      <c r="Q661" s="3" t="s">
        <v>26</v>
      </c>
      <c r="R661" s="3">
        <v>0</v>
      </c>
      <c r="S661" s="4">
        <v>0</v>
      </c>
      <c r="T661" s="4">
        <v>29</v>
      </c>
      <c r="U661" s="4">
        <v>73</v>
      </c>
      <c r="V661" s="4">
        <f>IF(ISERROR(VLOOKUP($S$661,'TAR FIN'!$A$1:$O$99,15,0)),0,VLOOKUP($S$661,'TAR FIN'!$A$1:$O$99,15,0))</f>
        <v>0</v>
      </c>
      <c r="W661" s="4">
        <f>IF(ISERROR(VLOOKUP($T$661,'TAR FIN'!$A$1:$O$99,15,0)),0,VLOOKUP($T$661,'TAR FIN'!$A$1:$O$99,15,0))</f>
        <v>97.61</v>
      </c>
      <c r="X661" s="4">
        <f>IF(ISERROR(VLOOKUP($U$661,'TAR FIN'!$A$1:$O$99,15,0)),0,VLOOKUP($U$661,'TAR FIN'!$A$1:$O$99,15,0))</f>
        <v>219.97</v>
      </c>
      <c r="Y661" s="4"/>
      <c r="Z661" s="4">
        <f ca="1">('TUSD BE'!$AM$23+'TUSD BF'!$AM$23+'TUSD CVA'!$AM$23)*1</f>
        <v>117.59114529324071</v>
      </c>
      <c r="AA661" s="4">
        <f>('TE BE'!$AA$8+'TE BF'!$AA$8+'TE CVA'!$AA$8)*1</f>
        <v>271.13910989737087</v>
      </c>
      <c r="AB661" s="4">
        <f>$K$661*$V$661</f>
        <v>0</v>
      </c>
      <c r="AC661" s="4">
        <f>$M$661*$W$661</f>
        <v>3549.1972099999998</v>
      </c>
      <c r="AD661" s="4">
        <f>$O$661*$X$661</f>
        <v>7998.3291699999991</v>
      </c>
      <c r="AE661" s="4">
        <f>$K$661*$Y$661</f>
        <v>0</v>
      </c>
      <c r="AF661" s="4">
        <f ca="1">$M$661*$Z$661</f>
        <v>4275.7316340075249</v>
      </c>
      <c r="AG661" s="4">
        <f>$O$661*$AA$661</f>
        <v>9858.8891749783015</v>
      </c>
    </row>
    <row r="662" spans="1:33" ht="11.25" customHeight="1" x14ac:dyDescent="0.25">
      <c r="A662" s="3" t="s">
        <v>21</v>
      </c>
      <c r="B662" s="3" t="s">
        <v>33</v>
      </c>
      <c r="C662" s="3" t="s">
        <v>34</v>
      </c>
      <c r="D662" s="3" t="s">
        <v>43</v>
      </c>
      <c r="E662" s="3" t="s">
        <v>25</v>
      </c>
      <c r="F662" s="3" t="s">
        <v>25</v>
      </c>
      <c r="G662" s="3" t="s">
        <v>25</v>
      </c>
      <c r="H662" s="3" t="s">
        <v>36</v>
      </c>
      <c r="I662" s="6">
        <v>44501</v>
      </c>
      <c r="J662" s="4">
        <v>0</v>
      </c>
      <c r="K662" s="4">
        <v>0</v>
      </c>
      <c r="L662" s="4">
        <v>20164.677</v>
      </c>
      <c r="M662" s="4">
        <v>20164.677</v>
      </c>
      <c r="N662" s="4">
        <v>20164.677</v>
      </c>
      <c r="O662" s="4">
        <v>20164.677</v>
      </c>
      <c r="P662" s="4">
        <v>0</v>
      </c>
      <c r="Q662" s="3" t="s">
        <v>26</v>
      </c>
      <c r="R662" s="3">
        <v>0</v>
      </c>
      <c r="S662" s="4">
        <v>0</v>
      </c>
      <c r="T662" s="4">
        <v>29</v>
      </c>
      <c r="U662" s="4">
        <v>73</v>
      </c>
      <c r="V662" s="4">
        <f>IF(ISERROR(VLOOKUP($S$662,'TAR FIN'!$A$1:$O$99,15,0)),0,VLOOKUP($S$662,'TAR FIN'!$A$1:$O$99,15,0))</f>
        <v>0</v>
      </c>
      <c r="W662" s="4">
        <f>IF(ISERROR(VLOOKUP($T$662,'TAR FIN'!$A$1:$O$99,15,0)),0,VLOOKUP($T$662,'TAR FIN'!$A$1:$O$99,15,0))</f>
        <v>97.61</v>
      </c>
      <c r="X662" s="4">
        <f>IF(ISERROR(VLOOKUP($U$662,'TAR FIN'!$A$1:$O$99,15,0)),0,VLOOKUP($U$662,'TAR FIN'!$A$1:$O$99,15,0))</f>
        <v>219.97</v>
      </c>
      <c r="Y662" s="4"/>
      <c r="Z662" s="4">
        <f ca="1">('TUSD BE'!$AM$23+'TUSD BF'!$AM$23+'TUSD CVA'!$AM$23)*1</f>
        <v>117.59114529324071</v>
      </c>
      <c r="AA662" s="4">
        <f>('TE BE'!$AA$8+'TE BF'!$AA$8+'TE CVA'!$AA$8)*1</f>
        <v>271.13910989737087</v>
      </c>
      <c r="AB662" s="4">
        <f>$K$662*$V$662</f>
        <v>0</v>
      </c>
      <c r="AC662" s="4">
        <f>$M$662*$W$662</f>
        <v>1968274.12197</v>
      </c>
      <c r="AD662" s="4">
        <f>$O$662*$X$662</f>
        <v>4435623.99969</v>
      </c>
      <c r="AE662" s="4">
        <f>$K$662*$Y$662</f>
        <v>0</v>
      </c>
      <c r="AF662" s="4">
        <f ca="1">$M$662*$Z$662</f>
        <v>2371187.4628982693</v>
      </c>
      <c r="AG662" s="4">
        <f>$O$662*$AA$662</f>
        <v>5467432.573147987</v>
      </c>
    </row>
    <row r="663" spans="1:33" ht="11.25" customHeight="1" x14ac:dyDescent="0.25">
      <c r="A663" s="3" t="s">
        <v>27</v>
      </c>
      <c r="B663" s="3" t="s">
        <v>33</v>
      </c>
      <c r="C663" s="3" t="s">
        <v>34</v>
      </c>
      <c r="D663" s="3" t="s">
        <v>43</v>
      </c>
      <c r="E663" s="3" t="s">
        <v>25</v>
      </c>
      <c r="F663" s="3" t="s">
        <v>25</v>
      </c>
      <c r="G663" s="3" t="s">
        <v>25</v>
      </c>
      <c r="H663" s="3" t="s">
        <v>36</v>
      </c>
      <c r="I663" s="6">
        <v>44501</v>
      </c>
      <c r="J663" s="4">
        <v>0</v>
      </c>
      <c r="K663" s="4">
        <v>0</v>
      </c>
      <c r="L663" s="4">
        <v>20.45</v>
      </c>
      <c r="M663" s="4">
        <v>20.45</v>
      </c>
      <c r="N663" s="4">
        <v>20.45</v>
      </c>
      <c r="O663" s="4">
        <v>20.45</v>
      </c>
      <c r="P663" s="4">
        <v>0</v>
      </c>
      <c r="Q663" s="3" t="s">
        <v>26</v>
      </c>
      <c r="R663" s="3">
        <v>0</v>
      </c>
      <c r="S663" s="4">
        <v>0</v>
      </c>
      <c r="T663" s="4">
        <v>29</v>
      </c>
      <c r="U663" s="4">
        <v>73</v>
      </c>
      <c r="V663" s="4">
        <f>IF(ISERROR(VLOOKUP($S$663,'TAR FIN'!$A$1:$O$99,15,0)),0,VLOOKUP($S$663,'TAR FIN'!$A$1:$O$99,15,0))</f>
        <v>0</v>
      </c>
      <c r="W663" s="4">
        <f>IF(ISERROR(VLOOKUP($T$663,'TAR FIN'!$A$1:$O$99,15,0)),0,VLOOKUP($T$663,'TAR FIN'!$A$1:$O$99,15,0))</f>
        <v>97.61</v>
      </c>
      <c r="X663" s="4">
        <f>IF(ISERROR(VLOOKUP($U$663,'TAR FIN'!$A$1:$O$99,15,0)),0,VLOOKUP($U$663,'TAR FIN'!$A$1:$O$99,15,0))</f>
        <v>219.97</v>
      </c>
      <c r="Y663" s="4"/>
      <c r="Z663" s="4">
        <f ca="1">('TUSD BE'!$AM$23+'TUSD BF'!$AM$23+'TUSD CVA'!$AM$23)*1</f>
        <v>117.59114529324071</v>
      </c>
      <c r="AA663" s="4">
        <f>('TE BE'!$AA$8+'TE BF'!$AA$8+'TE CVA'!$AA$8)*1</f>
        <v>271.13910989737087</v>
      </c>
      <c r="AB663" s="4">
        <f>$K$663*$V$663</f>
        <v>0</v>
      </c>
      <c r="AC663" s="4">
        <f>$M$663*$W$663</f>
        <v>1996.1244999999999</v>
      </c>
      <c r="AD663" s="4">
        <f>$O$663*$X$663</f>
        <v>4498.3864999999996</v>
      </c>
      <c r="AE663" s="4">
        <f>$K$663*$Y$663</f>
        <v>0</v>
      </c>
      <c r="AF663" s="4">
        <f ca="1">$M$663*$Z$663</f>
        <v>2404.7389212467724</v>
      </c>
      <c r="AG663" s="4">
        <f>$O$663*$AA$663</f>
        <v>5544.7947974012341</v>
      </c>
    </row>
    <row r="664" spans="1:33" ht="11.25" customHeight="1" x14ac:dyDescent="0.25">
      <c r="A664" s="3" t="s">
        <v>28</v>
      </c>
      <c r="B664" s="3" t="s">
        <v>33</v>
      </c>
      <c r="C664" s="3" t="s">
        <v>34</v>
      </c>
      <c r="D664" s="3" t="s">
        <v>43</v>
      </c>
      <c r="E664" s="3" t="s">
        <v>25</v>
      </c>
      <c r="F664" s="3" t="s">
        <v>25</v>
      </c>
      <c r="G664" s="3" t="s">
        <v>25</v>
      </c>
      <c r="H664" s="3" t="s">
        <v>36</v>
      </c>
      <c r="I664" s="6">
        <v>44501</v>
      </c>
      <c r="J664" s="4">
        <v>0</v>
      </c>
      <c r="K664" s="4">
        <v>0</v>
      </c>
      <c r="L664" s="4">
        <v>517.45699999999999</v>
      </c>
      <c r="M664" s="4">
        <v>517.45699999999999</v>
      </c>
      <c r="N664" s="4">
        <v>517.45699999999999</v>
      </c>
      <c r="O664" s="4">
        <v>517.45699999999999</v>
      </c>
      <c r="P664" s="4">
        <v>0</v>
      </c>
      <c r="Q664" s="3" t="s">
        <v>26</v>
      </c>
      <c r="R664" s="3">
        <v>0</v>
      </c>
      <c r="S664" s="4">
        <v>0</v>
      </c>
      <c r="T664" s="4">
        <v>29</v>
      </c>
      <c r="U664" s="4">
        <v>73</v>
      </c>
      <c r="V664" s="4">
        <f>IF(ISERROR(VLOOKUP($S$664,'TAR FIN'!$A$1:$O$99,15,0)),0,VLOOKUP($S$664,'TAR FIN'!$A$1:$O$99,15,0))</f>
        <v>0</v>
      </c>
      <c r="W664" s="4">
        <f>IF(ISERROR(VLOOKUP($T$664,'TAR FIN'!$A$1:$O$99,15,0)),0,VLOOKUP($T$664,'TAR FIN'!$A$1:$O$99,15,0))</f>
        <v>97.61</v>
      </c>
      <c r="X664" s="4">
        <f>IF(ISERROR(VLOOKUP($U$664,'TAR FIN'!$A$1:$O$99,15,0)),0,VLOOKUP($U$664,'TAR FIN'!$A$1:$O$99,15,0))</f>
        <v>219.97</v>
      </c>
      <c r="Y664" s="4"/>
      <c r="Z664" s="4">
        <f ca="1">('TUSD BE'!$AM$23+'TUSD BF'!$AM$23+'TUSD CVA'!$AM$23)*1</f>
        <v>117.59114529324071</v>
      </c>
      <c r="AA664" s="4">
        <f>('TE BE'!$AA$8+'TE BF'!$AA$8+'TE CVA'!$AA$8)*1</f>
        <v>271.13910989737087</v>
      </c>
      <c r="AB664" s="4">
        <f>$K$664*$V$664</f>
        <v>0</v>
      </c>
      <c r="AC664" s="4">
        <f>$M$664*$W$664</f>
        <v>50508.977769999998</v>
      </c>
      <c r="AD664" s="4">
        <f>$O$664*$X$664</f>
        <v>113825.01629</v>
      </c>
      <c r="AE664" s="4">
        <f>$K$664*$Y$664</f>
        <v>0</v>
      </c>
      <c r="AF664" s="4">
        <f ca="1">$M$664*$Z$664</f>
        <v>60848.361270004461</v>
      </c>
      <c r="AG664" s="4">
        <f>$O$664*$AA$664</f>
        <v>140302.83039016384</v>
      </c>
    </row>
    <row r="665" spans="1:33" ht="11.25" customHeight="1" x14ac:dyDescent="0.25">
      <c r="A665" s="3" t="s">
        <v>28</v>
      </c>
      <c r="B665" s="3" t="s">
        <v>33</v>
      </c>
      <c r="C665" s="3" t="s">
        <v>34</v>
      </c>
      <c r="D665" s="3" t="s">
        <v>43</v>
      </c>
      <c r="E665" s="3" t="s">
        <v>25</v>
      </c>
      <c r="F665" s="3" t="s">
        <v>25</v>
      </c>
      <c r="G665" s="3" t="s">
        <v>25</v>
      </c>
      <c r="H665" s="3" t="s">
        <v>36</v>
      </c>
      <c r="I665" s="6">
        <v>44501</v>
      </c>
      <c r="J665" s="4">
        <v>0</v>
      </c>
      <c r="K665" s="4">
        <v>0</v>
      </c>
      <c r="L665" s="4">
        <v>12.778</v>
      </c>
      <c r="M665" s="4">
        <v>12.778</v>
      </c>
      <c r="N665" s="4">
        <v>12.778</v>
      </c>
      <c r="O665" s="4">
        <v>12.778</v>
      </c>
      <c r="P665" s="4">
        <v>0</v>
      </c>
      <c r="Q665" s="3" t="s">
        <v>26</v>
      </c>
      <c r="R665" s="3">
        <v>0</v>
      </c>
      <c r="S665" s="4">
        <v>0</v>
      </c>
      <c r="T665" s="4">
        <v>29</v>
      </c>
      <c r="U665" s="4">
        <v>73</v>
      </c>
      <c r="V665" s="4">
        <f>IF(ISERROR(VLOOKUP($S$665,'TAR FIN'!$A$1:$O$99,15,0)),0,VLOOKUP($S$665,'TAR FIN'!$A$1:$O$99,15,0))</f>
        <v>0</v>
      </c>
      <c r="W665" s="4">
        <f>IF(ISERROR(VLOOKUP($T$665,'TAR FIN'!$A$1:$O$99,15,0)),0,VLOOKUP($T$665,'TAR FIN'!$A$1:$O$99,15,0))</f>
        <v>97.61</v>
      </c>
      <c r="X665" s="4">
        <f>IF(ISERROR(VLOOKUP($U$665,'TAR FIN'!$A$1:$O$99,15,0)),0,VLOOKUP($U$665,'TAR FIN'!$A$1:$O$99,15,0))</f>
        <v>219.97</v>
      </c>
      <c r="Y665" s="4"/>
      <c r="Z665" s="4">
        <f ca="1">('TUSD BE'!$AM$23+'TUSD BF'!$AM$23+'TUSD CVA'!$AM$23)*1</f>
        <v>117.59114529324071</v>
      </c>
      <c r="AA665" s="4">
        <f>('TE BE'!$AA$8+'TE BF'!$AA$8+'TE CVA'!$AA$8)*1</f>
        <v>271.13910989737087</v>
      </c>
      <c r="AB665" s="4">
        <f>$K$665*$V$665</f>
        <v>0</v>
      </c>
      <c r="AC665" s="4">
        <f>$M$665*$W$665</f>
        <v>1247.2605800000001</v>
      </c>
      <c r="AD665" s="4">
        <f>$O$665*$X$665</f>
        <v>2810.77666</v>
      </c>
      <c r="AE665" s="4">
        <f>$K$665*$Y$665</f>
        <v>0</v>
      </c>
      <c r="AF665" s="4">
        <f ca="1">$M$665*$Z$665</f>
        <v>1502.5796545570299</v>
      </c>
      <c r="AG665" s="4">
        <f>$O$665*$AA$665</f>
        <v>3464.6155462686052</v>
      </c>
    </row>
    <row r="666" spans="1:33" ht="11.25" customHeight="1" x14ac:dyDescent="0.25">
      <c r="A666" s="3" t="s">
        <v>21</v>
      </c>
      <c r="B666" s="3" t="s">
        <v>33</v>
      </c>
      <c r="C666" s="3" t="s">
        <v>34</v>
      </c>
      <c r="D666" s="3" t="s">
        <v>43</v>
      </c>
      <c r="E666" s="3" t="s">
        <v>25</v>
      </c>
      <c r="F666" s="3" t="s">
        <v>25</v>
      </c>
      <c r="G666" s="3" t="s">
        <v>25</v>
      </c>
      <c r="H666" s="3" t="s">
        <v>36</v>
      </c>
      <c r="I666" s="6">
        <v>44531</v>
      </c>
      <c r="J666" s="4">
        <v>0</v>
      </c>
      <c r="K666" s="4">
        <v>0</v>
      </c>
      <c r="L666" s="4">
        <v>19778.853999999999</v>
      </c>
      <c r="M666" s="4">
        <v>19778.853999999999</v>
      </c>
      <c r="N666" s="4">
        <v>19778.853999999999</v>
      </c>
      <c r="O666" s="4">
        <v>19778.853999999999</v>
      </c>
      <c r="P666" s="4">
        <v>0</v>
      </c>
      <c r="Q666" s="3" t="s">
        <v>26</v>
      </c>
      <c r="R666" s="3">
        <v>0</v>
      </c>
      <c r="S666" s="4">
        <v>0</v>
      </c>
      <c r="T666" s="4">
        <v>29</v>
      </c>
      <c r="U666" s="4">
        <v>73</v>
      </c>
      <c r="V666" s="4">
        <f>IF(ISERROR(VLOOKUP($S$666,'TAR FIN'!$A$1:$O$99,15,0)),0,VLOOKUP($S$666,'TAR FIN'!$A$1:$O$99,15,0))</f>
        <v>0</v>
      </c>
      <c r="W666" s="4">
        <f>IF(ISERROR(VLOOKUP($T$666,'TAR FIN'!$A$1:$O$99,15,0)),0,VLOOKUP($T$666,'TAR FIN'!$A$1:$O$99,15,0))</f>
        <v>97.61</v>
      </c>
      <c r="X666" s="4">
        <f>IF(ISERROR(VLOOKUP($U$666,'TAR FIN'!$A$1:$O$99,15,0)),0,VLOOKUP($U$666,'TAR FIN'!$A$1:$O$99,15,0))</f>
        <v>219.97</v>
      </c>
      <c r="Y666" s="4"/>
      <c r="Z666" s="4">
        <f ca="1">('TUSD BE'!$AM$23+'TUSD BF'!$AM$23+'TUSD CVA'!$AM$23)*1</f>
        <v>117.59114529324071</v>
      </c>
      <c r="AA666" s="4">
        <f>('TE BE'!$AA$8+'TE BF'!$AA$8+'TE CVA'!$AA$8)*1</f>
        <v>271.13910989737087</v>
      </c>
      <c r="AB666" s="4">
        <f>$K$666*$V$666</f>
        <v>0</v>
      </c>
      <c r="AC666" s="4">
        <f>$M$666*$W$666</f>
        <v>1930613.93894</v>
      </c>
      <c r="AD666" s="4">
        <f>$O$666*$X$666</f>
        <v>4350754.5143799996</v>
      </c>
      <c r="AE666" s="4">
        <f>$K$666*$Y$666</f>
        <v>0</v>
      </c>
      <c r="AF666" s="4">
        <f ca="1">$M$666*$Z$666</f>
        <v>2325818.0944477953</v>
      </c>
      <c r="AG666" s="4">
        <f>$O$666*$AA$666</f>
        <v>5362820.8683500532</v>
      </c>
    </row>
    <row r="667" spans="1:33" ht="11.25" customHeight="1" x14ac:dyDescent="0.25">
      <c r="A667" s="3" t="s">
        <v>27</v>
      </c>
      <c r="B667" s="3" t="s">
        <v>33</v>
      </c>
      <c r="C667" s="3" t="s">
        <v>34</v>
      </c>
      <c r="D667" s="3" t="s">
        <v>43</v>
      </c>
      <c r="E667" s="3" t="s">
        <v>25</v>
      </c>
      <c r="F667" s="3" t="s">
        <v>25</v>
      </c>
      <c r="G667" s="3" t="s">
        <v>25</v>
      </c>
      <c r="H667" s="3" t="s">
        <v>36</v>
      </c>
      <c r="I667" s="6">
        <v>44531</v>
      </c>
      <c r="J667" s="4">
        <v>0</v>
      </c>
      <c r="K667" s="4">
        <v>0</v>
      </c>
      <c r="L667" s="4">
        <v>41.680999999999997</v>
      </c>
      <c r="M667" s="4">
        <v>41.680999999999997</v>
      </c>
      <c r="N667" s="4">
        <v>41.680999999999997</v>
      </c>
      <c r="O667" s="4">
        <v>41.680999999999997</v>
      </c>
      <c r="P667" s="4">
        <v>0</v>
      </c>
      <c r="Q667" s="3" t="s">
        <v>26</v>
      </c>
      <c r="R667" s="3">
        <v>0</v>
      </c>
      <c r="S667" s="4">
        <v>0</v>
      </c>
      <c r="T667" s="4">
        <v>29</v>
      </c>
      <c r="U667" s="4">
        <v>73</v>
      </c>
      <c r="V667" s="4">
        <f>IF(ISERROR(VLOOKUP($S$667,'TAR FIN'!$A$1:$O$99,15,0)),0,VLOOKUP($S$667,'TAR FIN'!$A$1:$O$99,15,0))</f>
        <v>0</v>
      </c>
      <c r="W667" s="4">
        <f>IF(ISERROR(VLOOKUP($T$667,'TAR FIN'!$A$1:$O$99,15,0)),0,VLOOKUP($T$667,'TAR FIN'!$A$1:$O$99,15,0))</f>
        <v>97.61</v>
      </c>
      <c r="X667" s="4">
        <f>IF(ISERROR(VLOOKUP($U$667,'TAR FIN'!$A$1:$O$99,15,0)),0,VLOOKUP($U$667,'TAR FIN'!$A$1:$O$99,15,0))</f>
        <v>219.97</v>
      </c>
      <c r="Y667" s="4"/>
      <c r="Z667" s="4">
        <f ca="1">('TUSD BE'!$AM$23+'TUSD BF'!$AM$23+'TUSD CVA'!$AM$23)*1</f>
        <v>117.59114529324071</v>
      </c>
      <c r="AA667" s="4">
        <f>('TE BE'!$AA$8+'TE BF'!$AA$8+'TE CVA'!$AA$8)*1</f>
        <v>271.13910989737087</v>
      </c>
      <c r="AB667" s="4">
        <f>$K$667*$V$667</f>
        <v>0</v>
      </c>
      <c r="AC667" s="4">
        <f>$M$667*$W$667</f>
        <v>4068.4824099999996</v>
      </c>
      <c r="AD667" s="4">
        <f>$O$667*$X$667</f>
        <v>9168.5695699999997</v>
      </c>
      <c r="AE667" s="4">
        <f>$K$667*$Y$667</f>
        <v>0</v>
      </c>
      <c r="AF667" s="4">
        <f ca="1">$M$667*$Z$667</f>
        <v>4901.3165269675656</v>
      </c>
      <c r="AG667" s="4">
        <f>$O$667*$AA$667</f>
        <v>11301.349239632314</v>
      </c>
    </row>
    <row r="668" spans="1:33" ht="11.25" customHeight="1" x14ac:dyDescent="0.25">
      <c r="A668" s="3" t="s">
        <v>28</v>
      </c>
      <c r="B668" s="3" t="s">
        <v>33</v>
      </c>
      <c r="C668" s="3" t="s">
        <v>34</v>
      </c>
      <c r="D668" s="3" t="s">
        <v>43</v>
      </c>
      <c r="E668" s="3" t="s">
        <v>25</v>
      </c>
      <c r="F668" s="3" t="s">
        <v>25</v>
      </c>
      <c r="G668" s="3" t="s">
        <v>25</v>
      </c>
      <c r="H668" s="3" t="s">
        <v>36</v>
      </c>
      <c r="I668" s="6">
        <v>44531</v>
      </c>
      <c r="J668" s="4">
        <v>0</v>
      </c>
      <c r="K668" s="4">
        <v>0</v>
      </c>
      <c r="L668" s="4">
        <v>886.15499999999997</v>
      </c>
      <c r="M668" s="4">
        <v>886.15499999999997</v>
      </c>
      <c r="N668" s="4">
        <v>886.15499999999997</v>
      </c>
      <c r="O668" s="4">
        <v>886.15499999999997</v>
      </c>
      <c r="P668" s="4">
        <v>0</v>
      </c>
      <c r="Q668" s="3" t="s">
        <v>26</v>
      </c>
      <c r="R668" s="3">
        <v>0</v>
      </c>
      <c r="S668" s="4">
        <v>0</v>
      </c>
      <c r="T668" s="4">
        <v>29</v>
      </c>
      <c r="U668" s="4">
        <v>73</v>
      </c>
      <c r="V668" s="4">
        <f>IF(ISERROR(VLOOKUP($S$668,'TAR FIN'!$A$1:$O$99,15,0)),0,VLOOKUP($S$668,'TAR FIN'!$A$1:$O$99,15,0))</f>
        <v>0</v>
      </c>
      <c r="W668" s="4">
        <f>IF(ISERROR(VLOOKUP($T$668,'TAR FIN'!$A$1:$O$99,15,0)),0,VLOOKUP($T$668,'TAR FIN'!$A$1:$O$99,15,0))</f>
        <v>97.61</v>
      </c>
      <c r="X668" s="4">
        <f>IF(ISERROR(VLOOKUP($U$668,'TAR FIN'!$A$1:$O$99,15,0)),0,VLOOKUP($U$668,'TAR FIN'!$A$1:$O$99,15,0))</f>
        <v>219.97</v>
      </c>
      <c r="Y668" s="4"/>
      <c r="Z668" s="4">
        <f ca="1">('TUSD BE'!$AM$23+'TUSD BF'!$AM$23+'TUSD CVA'!$AM$23)*1</f>
        <v>117.59114529324071</v>
      </c>
      <c r="AA668" s="4">
        <f>('TE BE'!$AA$8+'TE BF'!$AA$8+'TE CVA'!$AA$8)*1</f>
        <v>271.13910989737087</v>
      </c>
      <c r="AB668" s="4">
        <f>$K$668*$V$668</f>
        <v>0</v>
      </c>
      <c r="AC668" s="4">
        <f>$M$668*$W$668</f>
        <v>86497.58954999999</v>
      </c>
      <c r="AD668" s="4">
        <f>$O$668*$X$668</f>
        <v>194927.51535</v>
      </c>
      <c r="AE668" s="4">
        <f>$K$668*$Y$668</f>
        <v>0</v>
      </c>
      <c r="AF668" s="4">
        <f ca="1">$M$668*$Z$668</f>
        <v>104203.98135733172</v>
      </c>
      <c r="AG668" s="4">
        <f>$O$668*$AA$668</f>
        <v>240271.27793110468</v>
      </c>
    </row>
    <row r="669" spans="1:33" ht="11.25" customHeight="1" x14ac:dyDescent="0.25">
      <c r="A669" s="3" t="s">
        <v>28</v>
      </c>
      <c r="B669" s="3" t="s">
        <v>33</v>
      </c>
      <c r="C669" s="3" t="s">
        <v>34</v>
      </c>
      <c r="D669" s="3" t="s">
        <v>43</v>
      </c>
      <c r="E669" s="3" t="s">
        <v>25</v>
      </c>
      <c r="F669" s="3" t="s">
        <v>25</v>
      </c>
      <c r="G669" s="3" t="s">
        <v>25</v>
      </c>
      <c r="H669" s="3" t="s">
        <v>36</v>
      </c>
      <c r="I669" s="6">
        <v>44531</v>
      </c>
      <c r="J669" s="4">
        <v>0</v>
      </c>
      <c r="K669" s="4">
        <v>0</v>
      </c>
      <c r="L669" s="4">
        <v>9.2219999999999995</v>
      </c>
      <c r="M669" s="4">
        <v>9.2219999999999995</v>
      </c>
      <c r="N669" s="4">
        <v>9.2219999999999995</v>
      </c>
      <c r="O669" s="4">
        <v>9.2219999999999995</v>
      </c>
      <c r="P669" s="4">
        <v>0</v>
      </c>
      <c r="Q669" s="3" t="s">
        <v>26</v>
      </c>
      <c r="R669" s="3">
        <v>0</v>
      </c>
      <c r="S669" s="4">
        <v>0</v>
      </c>
      <c r="T669" s="4">
        <v>29</v>
      </c>
      <c r="U669" s="4">
        <v>73</v>
      </c>
      <c r="V669" s="4">
        <f>IF(ISERROR(VLOOKUP($S$669,'TAR FIN'!$A$1:$O$99,15,0)),0,VLOOKUP($S$669,'TAR FIN'!$A$1:$O$99,15,0))</f>
        <v>0</v>
      </c>
      <c r="W669" s="4">
        <f>IF(ISERROR(VLOOKUP($T$669,'TAR FIN'!$A$1:$O$99,15,0)),0,VLOOKUP($T$669,'TAR FIN'!$A$1:$O$99,15,0))</f>
        <v>97.61</v>
      </c>
      <c r="X669" s="4">
        <f>IF(ISERROR(VLOOKUP($U$669,'TAR FIN'!$A$1:$O$99,15,0)),0,VLOOKUP($U$669,'TAR FIN'!$A$1:$O$99,15,0))</f>
        <v>219.97</v>
      </c>
      <c r="Y669" s="4"/>
      <c r="Z669" s="4">
        <f ca="1">('TUSD BE'!$AM$23+'TUSD BF'!$AM$23+'TUSD CVA'!$AM$23)*1</f>
        <v>117.59114529324071</v>
      </c>
      <c r="AA669" s="4">
        <f>('TE BE'!$AA$8+'TE BF'!$AA$8+'TE CVA'!$AA$8)*1</f>
        <v>271.13910989737087</v>
      </c>
      <c r="AB669" s="4">
        <f>$K$669*$V$669</f>
        <v>0</v>
      </c>
      <c r="AC669" s="4">
        <f>$M$669*$W$669</f>
        <v>900.15941999999995</v>
      </c>
      <c r="AD669" s="4">
        <f>$O$669*$X$669</f>
        <v>2028.5633399999999</v>
      </c>
      <c r="AE669" s="4">
        <f>$K$669*$Y$669</f>
        <v>0</v>
      </c>
      <c r="AF669" s="4">
        <f ca="1">$M$669*$Z$669</f>
        <v>1084.4255418942657</v>
      </c>
      <c r="AG669" s="4">
        <f>$O$669*$AA$669</f>
        <v>2500.444871473554</v>
      </c>
    </row>
    <row r="670" spans="1:33" ht="11.25" customHeight="1" x14ac:dyDescent="0.25">
      <c r="A670" s="3" t="s">
        <v>21</v>
      </c>
      <c r="B670" s="3" t="s">
        <v>33</v>
      </c>
      <c r="C670" s="3" t="s">
        <v>34</v>
      </c>
      <c r="D670" s="3" t="s">
        <v>43</v>
      </c>
      <c r="E670" s="3" t="s">
        <v>25</v>
      </c>
      <c r="F670" s="3" t="s">
        <v>25</v>
      </c>
      <c r="G670" s="3" t="s">
        <v>25</v>
      </c>
      <c r="H670" s="3" t="s">
        <v>36</v>
      </c>
      <c r="I670" s="6">
        <v>44562</v>
      </c>
      <c r="J670" s="4">
        <v>0</v>
      </c>
      <c r="K670" s="4">
        <v>0</v>
      </c>
      <c r="L670" s="4">
        <v>19695.589</v>
      </c>
      <c r="M670" s="4">
        <v>19695.589</v>
      </c>
      <c r="N670" s="4">
        <v>19695.589</v>
      </c>
      <c r="O670" s="4">
        <v>19695.589</v>
      </c>
      <c r="P670" s="4">
        <v>0</v>
      </c>
      <c r="Q670" s="3" t="s">
        <v>26</v>
      </c>
      <c r="R670" s="3">
        <v>0</v>
      </c>
      <c r="S670" s="4">
        <v>0</v>
      </c>
      <c r="T670" s="4">
        <v>29</v>
      </c>
      <c r="U670" s="4">
        <v>73</v>
      </c>
      <c r="V670" s="4">
        <f>IF(ISERROR(VLOOKUP($S$670,'TAR FIN'!$A$1:$O$99,15,0)),0,VLOOKUP($S$670,'TAR FIN'!$A$1:$O$99,15,0))</f>
        <v>0</v>
      </c>
      <c r="W670" s="4">
        <f>IF(ISERROR(VLOOKUP($T$670,'TAR FIN'!$A$1:$O$99,15,0)),0,VLOOKUP($T$670,'TAR FIN'!$A$1:$O$99,15,0))</f>
        <v>97.61</v>
      </c>
      <c r="X670" s="4">
        <f>IF(ISERROR(VLOOKUP($U$670,'TAR FIN'!$A$1:$O$99,15,0)),0,VLOOKUP($U$670,'TAR FIN'!$A$1:$O$99,15,0))</f>
        <v>219.97</v>
      </c>
      <c r="Y670" s="4"/>
      <c r="Z670" s="4">
        <f ca="1">('TUSD BE'!$AM$23+'TUSD BF'!$AM$23+'TUSD CVA'!$AM$23)*1</f>
        <v>117.59114529324071</v>
      </c>
      <c r="AA670" s="4">
        <f>('TE BE'!$AA$8+'TE BF'!$AA$8+'TE CVA'!$AA$8)*1</f>
        <v>271.13910989737087</v>
      </c>
      <c r="AB670" s="4">
        <f>$K$670*$V$670</f>
        <v>0</v>
      </c>
      <c r="AC670" s="4">
        <f>$M$670*$W$670</f>
        <v>1922486.4422899999</v>
      </c>
      <c r="AD670" s="4">
        <f>$O$670*$X$670</f>
        <v>4332438.7123299995</v>
      </c>
      <c r="AE670" s="4">
        <f>$K$670*$Y$670</f>
        <v>0</v>
      </c>
      <c r="AF670" s="4">
        <f ca="1">$M$670*$Z$670</f>
        <v>2316026.8677349538</v>
      </c>
      <c r="AG670" s="4">
        <f>$O$670*$AA$670</f>
        <v>5340244.4703644486</v>
      </c>
    </row>
    <row r="671" spans="1:33" ht="11.25" customHeight="1" x14ac:dyDescent="0.25">
      <c r="A671" s="3" t="s">
        <v>27</v>
      </c>
      <c r="B671" s="3" t="s">
        <v>33</v>
      </c>
      <c r="C671" s="3" t="s">
        <v>34</v>
      </c>
      <c r="D671" s="3" t="s">
        <v>43</v>
      </c>
      <c r="E671" s="3" t="s">
        <v>25</v>
      </c>
      <c r="F671" s="3" t="s">
        <v>25</v>
      </c>
      <c r="G671" s="3" t="s">
        <v>25</v>
      </c>
      <c r="H671" s="3" t="s">
        <v>36</v>
      </c>
      <c r="I671" s="6">
        <v>44562</v>
      </c>
      <c r="J671" s="4">
        <v>0</v>
      </c>
      <c r="K671" s="4">
        <v>0</v>
      </c>
      <c r="L671" s="4">
        <v>133.47</v>
      </c>
      <c r="M671" s="4">
        <v>133.47</v>
      </c>
      <c r="N671" s="4">
        <v>133.47</v>
      </c>
      <c r="O671" s="4">
        <v>133.47</v>
      </c>
      <c r="P671" s="4">
        <v>0</v>
      </c>
      <c r="Q671" s="3" t="s">
        <v>26</v>
      </c>
      <c r="R671" s="3">
        <v>0</v>
      </c>
      <c r="S671" s="4">
        <v>0</v>
      </c>
      <c r="T671" s="4">
        <v>29</v>
      </c>
      <c r="U671" s="4">
        <v>73</v>
      </c>
      <c r="V671" s="4">
        <f>IF(ISERROR(VLOOKUP($S$671,'TAR FIN'!$A$1:$O$99,15,0)),0,VLOOKUP($S$671,'TAR FIN'!$A$1:$O$99,15,0))</f>
        <v>0</v>
      </c>
      <c r="W671" s="4">
        <f>IF(ISERROR(VLOOKUP($T$671,'TAR FIN'!$A$1:$O$99,15,0)),0,VLOOKUP($T$671,'TAR FIN'!$A$1:$O$99,15,0))</f>
        <v>97.61</v>
      </c>
      <c r="X671" s="4">
        <f>IF(ISERROR(VLOOKUP($U$671,'TAR FIN'!$A$1:$O$99,15,0)),0,VLOOKUP($U$671,'TAR FIN'!$A$1:$O$99,15,0))</f>
        <v>219.97</v>
      </c>
      <c r="Y671" s="4"/>
      <c r="Z671" s="4">
        <f ca="1">('TUSD BE'!$AM$23+'TUSD BF'!$AM$23+'TUSD CVA'!$AM$23)*1</f>
        <v>117.59114529324071</v>
      </c>
      <c r="AA671" s="4">
        <f>('TE BE'!$AA$8+'TE BF'!$AA$8+'TE CVA'!$AA$8)*1</f>
        <v>271.13910989737087</v>
      </c>
      <c r="AB671" s="4">
        <f>$K$671*$V$671</f>
        <v>0</v>
      </c>
      <c r="AC671" s="4">
        <f>$M$671*$W$671</f>
        <v>13028.0067</v>
      </c>
      <c r="AD671" s="4">
        <f>$O$671*$X$671</f>
        <v>29359.3959</v>
      </c>
      <c r="AE671" s="4">
        <f>$K$671*$Y$671</f>
        <v>0</v>
      </c>
      <c r="AF671" s="4">
        <f ca="1">$M$671*$Z$671</f>
        <v>15694.890162288839</v>
      </c>
      <c r="AG671" s="4">
        <f>$O$671*$AA$671</f>
        <v>36188.936998002093</v>
      </c>
    </row>
    <row r="672" spans="1:33" ht="11.25" customHeight="1" x14ac:dyDescent="0.25">
      <c r="A672" s="3" t="s">
        <v>28</v>
      </c>
      <c r="B672" s="3" t="s">
        <v>33</v>
      </c>
      <c r="C672" s="3" t="s">
        <v>34</v>
      </c>
      <c r="D672" s="3" t="s">
        <v>43</v>
      </c>
      <c r="E672" s="3" t="s">
        <v>25</v>
      </c>
      <c r="F672" s="3" t="s">
        <v>25</v>
      </c>
      <c r="G672" s="3" t="s">
        <v>25</v>
      </c>
      <c r="H672" s="3" t="s">
        <v>36</v>
      </c>
      <c r="I672" s="6">
        <v>44562</v>
      </c>
      <c r="J672" s="4">
        <v>0</v>
      </c>
      <c r="K672" s="4">
        <v>0</v>
      </c>
      <c r="L672" s="4">
        <v>661.45299999999997</v>
      </c>
      <c r="M672" s="4">
        <v>661.45299999999997</v>
      </c>
      <c r="N672" s="4">
        <v>661.45299999999997</v>
      </c>
      <c r="O672" s="4">
        <v>661.45299999999997</v>
      </c>
      <c r="P672" s="4">
        <v>0</v>
      </c>
      <c r="Q672" s="3" t="s">
        <v>26</v>
      </c>
      <c r="R672" s="3">
        <v>0</v>
      </c>
      <c r="S672" s="4">
        <v>0</v>
      </c>
      <c r="T672" s="4">
        <v>29</v>
      </c>
      <c r="U672" s="4">
        <v>73</v>
      </c>
      <c r="V672" s="4">
        <f>IF(ISERROR(VLOOKUP($S$672,'TAR FIN'!$A$1:$O$99,15,0)),0,VLOOKUP($S$672,'TAR FIN'!$A$1:$O$99,15,0))</f>
        <v>0</v>
      </c>
      <c r="W672" s="4">
        <f>IF(ISERROR(VLOOKUP($T$672,'TAR FIN'!$A$1:$O$99,15,0)),0,VLOOKUP($T$672,'TAR FIN'!$A$1:$O$99,15,0))</f>
        <v>97.61</v>
      </c>
      <c r="X672" s="4">
        <f>IF(ISERROR(VLOOKUP($U$672,'TAR FIN'!$A$1:$O$99,15,0)),0,VLOOKUP($U$672,'TAR FIN'!$A$1:$O$99,15,0))</f>
        <v>219.97</v>
      </c>
      <c r="Y672" s="4"/>
      <c r="Z672" s="4">
        <f ca="1">('TUSD BE'!$AM$23+'TUSD BF'!$AM$23+'TUSD CVA'!$AM$23)*1</f>
        <v>117.59114529324071</v>
      </c>
      <c r="AA672" s="4">
        <f>('TE BE'!$AA$8+'TE BF'!$AA$8+'TE CVA'!$AA$8)*1</f>
        <v>271.13910989737087</v>
      </c>
      <c r="AB672" s="4">
        <f>$K$672*$V$672</f>
        <v>0</v>
      </c>
      <c r="AC672" s="4">
        <f>$M$672*$W$672</f>
        <v>64564.427329999999</v>
      </c>
      <c r="AD672" s="4">
        <f>$O$672*$X$672</f>
        <v>145499.81641</v>
      </c>
      <c r="AE672" s="4">
        <f>$K$672*$Y$672</f>
        <v>0</v>
      </c>
      <c r="AF672" s="4">
        <f ca="1">$M$672*$Z$672</f>
        <v>77781.015827649942</v>
      </c>
      <c r="AG672" s="4">
        <f>$O$672*$AA$672</f>
        <v>179345.77765894565</v>
      </c>
    </row>
    <row r="673" spans="1:33" ht="11.25" customHeight="1" x14ac:dyDescent="0.25">
      <c r="A673" s="3" t="s">
        <v>28</v>
      </c>
      <c r="B673" s="3" t="s">
        <v>33</v>
      </c>
      <c r="C673" s="3" t="s">
        <v>34</v>
      </c>
      <c r="D673" s="3" t="s">
        <v>43</v>
      </c>
      <c r="E673" s="3" t="s">
        <v>25</v>
      </c>
      <c r="F673" s="3" t="s">
        <v>25</v>
      </c>
      <c r="G673" s="3" t="s">
        <v>25</v>
      </c>
      <c r="H673" s="3" t="s">
        <v>36</v>
      </c>
      <c r="I673" s="6">
        <v>44562</v>
      </c>
      <c r="J673" s="4">
        <v>0</v>
      </c>
      <c r="K673" s="4">
        <v>0</v>
      </c>
      <c r="L673" s="4">
        <v>-6.1020000000000003</v>
      </c>
      <c r="M673" s="4">
        <v>-6.1020000000000003</v>
      </c>
      <c r="N673" s="4">
        <v>-6.1020000000000003</v>
      </c>
      <c r="O673" s="4">
        <v>-6.1020000000000003</v>
      </c>
      <c r="P673" s="4">
        <v>0</v>
      </c>
      <c r="Q673" s="3" t="s">
        <v>26</v>
      </c>
      <c r="R673" s="3">
        <v>0</v>
      </c>
      <c r="S673" s="4">
        <v>0</v>
      </c>
      <c r="T673" s="4">
        <v>29</v>
      </c>
      <c r="U673" s="4">
        <v>73</v>
      </c>
      <c r="V673" s="4">
        <f>IF(ISERROR(VLOOKUP($S$673,'TAR FIN'!$A$1:$O$99,15,0)),0,VLOOKUP($S$673,'TAR FIN'!$A$1:$O$99,15,0))</f>
        <v>0</v>
      </c>
      <c r="W673" s="4">
        <f>IF(ISERROR(VLOOKUP($T$673,'TAR FIN'!$A$1:$O$99,15,0)),0,VLOOKUP($T$673,'TAR FIN'!$A$1:$O$99,15,0))</f>
        <v>97.61</v>
      </c>
      <c r="X673" s="4">
        <f>IF(ISERROR(VLOOKUP($U$673,'TAR FIN'!$A$1:$O$99,15,0)),0,VLOOKUP($U$673,'TAR FIN'!$A$1:$O$99,15,0))</f>
        <v>219.97</v>
      </c>
      <c r="Y673" s="4"/>
      <c r="Z673" s="4">
        <f ca="1">('TUSD BE'!$AM$23+'TUSD BF'!$AM$23+'TUSD CVA'!$AM$23)*1</f>
        <v>117.59114529324071</v>
      </c>
      <c r="AA673" s="4">
        <f>('TE BE'!$AA$8+'TE BF'!$AA$8+'TE CVA'!$AA$8)*1</f>
        <v>271.13910989737087</v>
      </c>
      <c r="AB673" s="4">
        <f>$K$673*$V$673</f>
        <v>0</v>
      </c>
      <c r="AC673" s="4">
        <f>$M$673*$W$673</f>
        <v>-595.61622</v>
      </c>
      <c r="AD673" s="4">
        <f>$O$673*$X$673</f>
        <v>-1342.25694</v>
      </c>
      <c r="AE673" s="4">
        <f>$K$673*$Y$673</f>
        <v>0</v>
      </c>
      <c r="AF673" s="4">
        <f ca="1">$M$673*$Z$673</f>
        <v>-717.54116857935492</v>
      </c>
      <c r="AG673" s="4">
        <f>$O$673*$AA$673</f>
        <v>-1654.4908485937572</v>
      </c>
    </row>
    <row r="674" spans="1:33" ht="11.25" customHeight="1" x14ac:dyDescent="0.25">
      <c r="A674" s="3" t="s">
        <v>21</v>
      </c>
      <c r="B674" s="3" t="s">
        <v>33</v>
      </c>
      <c r="C674" s="3" t="s">
        <v>34</v>
      </c>
      <c r="D674" s="3" t="s">
        <v>43</v>
      </c>
      <c r="E674" s="3" t="s">
        <v>25</v>
      </c>
      <c r="F674" s="3" t="s">
        <v>25</v>
      </c>
      <c r="G674" s="3" t="s">
        <v>25</v>
      </c>
      <c r="H674" s="3" t="s">
        <v>36</v>
      </c>
      <c r="I674" s="6">
        <v>44593</v>
      </c>
      <c r="J674" s="4">
        <v>0</v>
      </c>
      <c r="K674" s="4">
        <v>0</v>
      </c>
      <c r="L674" s="4">
        <v>18745.844000000001</v>
      </c>
      <c r="M674" s="4">
        <v>18745.844000000001</v>
      </c>
      <c r="N674" s="4">
        <v>18745.844000000001</v>
      </c>
      <c r="O674" s="4">
        <v>18745.844000000001</v>
      </c>
      <c r="P674" s="4">
        <v>0</v>
      </c>
      <c r="Q674" s="3" t="s">
        <v>26</v>
      </c>
      <c r="R674" s="3">
        <v>0</v>
      </c>
      <c r="S674" s="4">
        <v>0</v>
      </c>
      <c r="T674" s="4">
        <v>29</v>
      </c>
      <c r="U674" s="4">
        <v>73</v>
      </c>
      <c r="V674" s="4">
        <f>IF(ISERROR(VLOOKUP($S$674,'TAR FIN'!$A$1:$O$99,15,0)),0,VLOOKUP($S$674,'TAR FIN'!$A$1:$O$99,15,0))</f>
        <v>0</v>
      </c>
      <c r="W674" s="4">
        <f>IF(ISERROR(VLOOKUP($T$674,'TAR FIN'!$A$1:$O$99,15,0)),0,VLOOKUP($T$674,'TAR FIN'!$A$1:$O$99,15,0))</f>
        <v>97.61</v>
      </c>
      <c r="X674" s="4">
        <f>IF(ISERROR(VLOOKUP($U$674,'TAR FIN'!$A$1:$O$99,15,0)),0,VLOOKUP($U$674,'TAR FIN'!$A$1:$O$99,15,0))</f>
        <v>219.97</v>
      </c>
      <c r="Y674" s="4"/>
      <c r="Z674" s="4">
        <f ca="1">('TUSD BE'!$AM$23+'TUSD BF'!$AM$23+'TUSD CVA'!$AM$23)*1</f>
        <v>117.59114529324071</v>
      </c>
      <c r="AA674" s="4">
        <f>('TE BE'!$AA$8+'TE BF'!$AA$8+'TE CVA'!$AA$8)*1</f>
        <v>271.13910989737087</v>
      </c>
      <c r="AB674" s="4">
        <f>$K$674*$V$674</f>
        <v>0</v>
      </c>
      <c r="AC674" s="4">
        <f>$M$674*$W$674</f>
        <v>1829781.83284</v>
      </c>
      <c r="AD674" s="4">
        <f>$O$674*$X$674</f>
        <v>4123523.3046800001</v>
      </c>
      <c r="AE674" s="4">
        <f>$K$674*$Y$674</f>
        <v>0</v>
      </c>
      <c r="AF674" s="4">
        <f ca="1">$M$674*$Z$674</f>
        <v>2204345.265448425</v>
      </c>
      <c r="AG674" s="4">
        <f>$O$674*$AA$674</f>
        <v>5082731.4564349707</v>
      </c>
    </row>
    <row r="675" spans="1:33" ht="11.25" customHeight="1" x14ac:dyDescent="0.25">
      <c r="A675" s="3" t="s">
        <v>27</v>
      </c>
      <c r="B675" s="3" t="s">
        <v>33</v>
      </c>
      <c r="C675" s="3" t="s">
        <v>34</v>
      </c>
      <c r="D675" s="3" t="s">
        <v>43</v>
      </c>
      <c r="E675" s="3" t="s">
        <v>25</v>
      </c>
      <c r="F675" s="3" t="s">
        <v>25</v>
      </c>
      <c r="G675" s="3" t="s">
        <v>25</v>
      </c>
      <c r="H675" s="3" t="s">
        <v>36</v>
      </c>
      <c r="I675" s="6">
        <v>44593</v>
      </c>
      <c r="J675" s="4">
        <v>0</v>
      </c>
      <c r="K675" s="4">
        <v>0</v>
      </c>
      <c r="L675" s="4">
        <v>-2.4340000000000002</v>
      </c>
      <c r="M675" s="4">
        <v>-2.4340000000000002</v>
      </c>
      <c r="N675" s="4">
        <v>-2.4340000000000002</v>
      </c>
      <c r="O675" s="4">
        <v>-2.4340000000000002</v>
      </c>
      <c r="P675" s="4">
        <v>0</v>
      </c>
      <c r="Q675" s="3" t="s">
        <v>26</v>
      </c>
      <c r="R675" s="3">
        <v>0</v>
      </c>
      <c r="S675" s="4">
        <v>0</v>
      </c>
      <c r="T675" s="4">
        <v>29</v>
      </c>
      <c r="U675" s="4">
        <v>73</v>
      </c>
      <c r="V675" s="4">
        <f>IF(ISERROR(VLOOKUP($S$675,'TAR FIN'!$A$1:$O$99,15,0)),0,VLOOKUP($S$675,'TAR FIN'!$A$1:$O$99,15,0))</f>
        <v>0</v>
      </c>
      <c r="W675" s="4">
        <f>IF(ISERROR(VLOOKUP($T$675,'TAR FIN'!$A$1:$O$99,15,0)),0,VLOOKUP($T$675,'TAR FIN'!$A$1:$O$99,15,0))</f>
        <v>97.61</v>
      </c>
      <c r="X675" s="4">
        <f>IF(ISERROR(VLOOKUP($U$675,'TAR FIN'!$A$1:$O$99,15,0)),0,VLOOKUP($U$675,'TAR FIN'!$A$1:$O$99,15,0))</f>
        <v>219.97</v>
      </c>
      <c r="Y675" s="4"/>
      <c r="Z675" s="4">
        <f ca="1">('TUSD BE'!$AM$23+'TUSD BF'!$AM$23+'TUSD CVA'!$AM$23)*1</f>
        <v>117.59114529324071</v>
      </c>
      <c r="AA675" s="4">
        <f>('TE BE'!$AA$8+'TE BF'!$AA$8+'TE CVA'!$AA$8)*1</f>
        <v>271.13910989737087</v>
      </c>
      <c r="AB675" s="4">
        <f>$K$675*$V$675</f>
        <v>0</v>
      </c>
      <c r="AC675" s="4">
        <f>$M$675*$W$675</f>
        <v>-237.58274</v>
      </c>
      <c r="AD675" s="4">
        <f>$O$675*$X$675</f>
        <v>-535.40698000000009</v>
      </c>
      <c r="AE675" s="4">
        <f>$K$675*$Y$675</f>
        <v>0</v>
      </c>
      <c r="AF675" s="4">
        <f ca="1">$M$675*$Z$675</f>
        <v>-286.21684764374794</v>
      </c>
      <c r="AG675" s="4">
        <f>$O$675*$AA$675</f>
        <v>-659.9525934902008</v>
      </c>
    </row>
    <row r="676" spans="1:33" ht="11.25" customHeight="1" x14ac:dyDescent="0.25">
      <c r="A676" s="3" t="s">
        <v>28</v>
      </c>
      <c r="B676" s="3" t="s">
        <v>33</v>
      </c>
      <c r="C676" s="3" t="s">
        <v>34</v>
      </c>
      <c r="D676" s="3" t="s">
        <v>43</v>
      </c>
      <c r="E676" s="3" t="s">
        <v>25</v>
      </c>
      <c r="F676" s="3" t="s">
        <v>25</v>
      </c>
      <c r="G676" s="3" t="s">
        <v>25</v>
      </c>
      <c r="H676" s="3" t="s">
        <v>36</v>
      </c>
      <c r="I676" s="6">
        <v>44593</v>
      </c>
      <c r="J676" s="4">
        <v>0</v>
      </c>
      <c r="K676" s="4">
        <v>0</v>
      </c>
      <c r="L676" s="4">
        <v>589.59299999999996</v>
      </c>
      <c r="M676" s="4">
        <v>589.59299999999996</v>
      </c>
      <c r="N676" s="4">
        <v>589.59299999999996</v>
      </c>
      <c r="O676" s="4">
        <v>589.59299999999996</v>
      </c>
      <c r="P676" s="4">
        <v>0</v>
      </c>
      <c r="Q676" s="3" t="s">
        <v>26</v>
      </c>
      <c r="R676" s="3">
        <v>0</v>
      </c>
      <c r="S676" s="4">
        <v>0</v>
      </c>
      <c r="T676" s="4">
        <v>29</v>
      </c>
      <c r="U676" s="4">
        <v>73</v>
      </c>
      <c r="V676" s="4">
        <f>IF(ISERROR(VLOOKUP($S$676,'TAR FIN'!$A$1:$O$99,15,0)),0,VLOOKUP($S$676,'TAR FIN'!$A$1:$O$99,15,0))</f>
        <v>0</v>
      </c>
      <c r="W676" s="4">
        <f>IF(ISERROR(VLOOKUP($T$676,'TAR FIN'!$A$1:$O$99,15,0)),0,VLOOKUP($T$676,'TAR FIN'!$A$1:$O$99,15,0))</f>
        <v>97.61</v>
      </c>
      <c r="X676" s="4">
        <f>IF(ISERROR(VLOOKUP($U$676,'TAR FIN'!$A$1:$O$99,15,0)),0,VLOOKUP($U$676,'TAR FIN'!$A$1:$O$99,15,0))</f>
        <v>219.97</v>
      </c>
      <c r="Y676" s="4"/>
      <c r="Z676" s="4">
        <f ca="1">('TUSD BE'!$AM$23+'TUSD BF'!$AM$23+'TUSD CVA'!$AM$23)*1</f>
        <v>117.59114529324071</v>
      </c>
      <c r="AA676" s="4">
        <f>('TE BE'!$AA$8+'TE BF'!$AA$8+'TE CVA'!$AA$8)*1</f>
        <v>271.13910989737087</v>
      </c>
      <c r="AB676" s="4">
        <f>$K$676*$V$676</f>
        <v>0</v>
      </c>
      <c r="AC676" s="4">
        <f>$M$676*$W$676</f>
        <v>57550.172729999998</v>
      </c>
      <c r="AD676" s="4">
        <f>$O$676*$X$676</f>
        <v>129692.77221</v>
      </c>
      <c r="AE676" s="4">
        <f>$K$676*$Y$676</f>
        <v>0</v>
      </c>
      <c r="AF676" s="4">
        <f ca="1">$M$676*$Z$676</f>
        <v>69330.916126877666</v>
      </c>
      <c r="AG676" s="4">
        <f>$O$676*$AA$676</f>
        <v>159861.72122172057</v>
      </c>
    </row>
    <row r="677" spans="1:33" ht="11.25" customHeight="1" x14ac:dyDescent="0.25">
      <c r="A677" s="3" t="s">
        <v>28</v>
      </c>
      <c r="B677" s="3" t="s">
        <v>33</v>
      </c>
      <c r="C677" s="3" t="s">
        <v>34</v>
      </c>
      <c r="D677" s="3" t="s">
        <v>43</v>
      </c>
      <c r="E677" s="3" t="s">
        <v>25</v>
      </c>
      <c r="F677" s="3" t="s">
        <v>25</v>
      </c>
      <c r="G677" s="3" t="s">
        <v>25</v>
      </c>
      <c r="H677" s="3" t="s">
        <v>36</v>
      </c>
      <c r="I677" s="6">
        <v>44593</v>
      </c>
      <c r="J677" s="4">
        <v>0</v>
      </c>
      <c r="K677" s="4">
        <v>0</v>
      </c>
      <c r="L677" s="4">
        <v>-5.3789999999999996</v>
      </c>
      <c r="M677" s="4">
        <v>-5.3789999999999996</v>
      </c>
      <c r="N677" s="4">
        <v>-5.3789999999999996</v>
      </c>
      <c r="O677" s="4">
        <v>-5.3789999999999996</v>
      </c>
      <c r="P677" s="4">
        <v>0</v>
      </c>
      <c r="Q677" s="3" t="s">
        <v>26</v>
      </c>
      <c r="R677" s="3">
        <v>0</v>
      </c>
      <c r="S677" s="4">
        <v>0</v>
      </c>
      <c r="T677" s="4">
        <v>29</v>
      </c>
      <c r="U677" s="4">
        <v>73</v>
      </c>
      <c r="V677" s="4">
        <f>IF(ISERROR(VLOOKUP($S$677,'TAR FIN'!$A$1:$O$99,15,0)),0,VLOOKUP($S$677,'TAR FIN'!$A$1:$O$99,15,0))</f>
        <v>0</v>
      </c>
      <c r="W677" s="4">
        <f>IF(ISERROR(VLOOKUP($T$677,'TAR FIN'!$A$1:$O$99,15,0)),0,VLOOKUP($T$677,'TAR FIN'!$A$1:$O$99,15,0))</f>
        <v>97.61</v>
      </c>
      <c r="X677" s="4">
        <f>IF(ISERROR(VLOOKUP($U$677,'TAR FIN'!$A$1:$O$99,15,0)),0,VLOOKUP($U$677,'TAR FIN'!$A$1:$O$99,15,0))</f>
        <v>219.97</v>
      </c>
      <c r="Y677" s="4"/>
      <c r="Z677" s="4">
        <f ca="1">('TUSD BE'!$AM$23+'TUSD BF'!$AM$23+'TUSD CVA'!$AM$23)*1</f>
        <v>117.59114529324071</v>
      </c>
      <c r="AA677" s="4">
        <f>('TE BE'!$AA$8+'TE BF'!$AA$8+'TE CVA'!$AA$8)*1</f>
        <v>271.13910989737087</v>
      </c>
      <c r="AB677" s="4">
        <f>$K$677*$V$677</f>
        <v>0</v>
      </c>
      <c r="AC677" s="4">
        <f>$M$677*$W$677</f>
        <v>-525.04418999999996</v>
      </c>
      <c r="AD677" s="4">
        <f>$O$677*$X$677</f>
        <v>-1183.2186299999998</v>
      </c>
      <c r="AE677" s="4">
        <f>$K$677*$Y$677</f>
        <v>0</v>
      </c>
      <c r="AF677" s="4">
        <f ca="1">$M$677*$Z$677</f>
        <v>-632.52277053234172</v>
      </c>
      <c r="AG677" s="4">
        <f>$O$677*$AA$677</f>
        <v>-1458.4572721379577</v>
      </c>
    </row>
    <row r="678" spans="1:33" ht="11.25" customHeight="1" x14ac:dyDescent="0.25">
      <c r="A678" s="3" t="s">
        <v>21</v>
      </c>
      <c r="B678" s="3" t="s">
        <v>33</v>
      </c>
      <c r="C678" s="3" t="s">
        <v>34</v>
      </c>
      <c r="D678" s="3" t="s">
        <v>43</v>
      </c>
      <c r="E678" s="3" t="s">
        <v>25</v>
      </c>
      <c r="F678" s="3" t="s">
        <v>25</v>
      </c>
      <c r="G678" s="3" t="s">
        <v>25</v>
      </c>
      <c r="H678" s="3" t="s">
        <v>36</v>
      </c>
      <c r="I678" s="6">
        <v>44621</v>
      </c>
      <c r="J678" s="4">
        <v>0</v>
      </c>
      <c r="K678" s="4">
        <v>0</v>
      </c>
      <c r="L678" s="4">
        <v>20167.039000000001</v>
      </c>
      <c r="M678" s="4">
        <v>20167.039000000001</v>
      </c>
      <c r="N678" s="4">
        <v>20167.039000000001</v>
      </c>
      <c r="O678" s="4">
        <v>20167.039000000001</v>
      </c>
      <c r="P678" s="4">
        <v>0</v>
      </c>
      <c r="Q678" s="3" t="s">
        <v>26</v>
      </c>
      <c r="R678" s="3">
        <v>0</v>
      </c>
      <c r="S678" s="4">
        <v>0</v>
      </c>
      <c r="T678" s="4">
        <v>29</v>
      </c>
      <c r="U678" s="4">
        <v>73</v>
      </c>
      <c r="V678" s="4">
        <f>IF(ISERROR(VLOOKUP($S$678,'TAR FIN'!$A$1:$O$99,15,0)),0,VLOOKUP($S$678,'TAR FIN'!$A$1:$O$99,15,0))</f>
        <v>0</v>
      </c>
      <c r="W678" s="4">
        <f>IF(ISERROR(VLOOKUP($T$678,'TAR FIN'!$A$1:$O$99,15,0)),0,VLOOKUP($T$678,'TAR FIN'!$A$1:$O$99,15,0))</f>
        <v>97.61</v>
      </c>
      <c r="X678" s="4">
        <f>IF(ISERROR(VLOOKUP($U$678,'TAR FIN'!$A$1:$O$99,15,0)),0,VLOOKUP($U$678,'TAR FIN'!$A$1:$O$99,15,0))</f>
        <v>219.97</v>
      </c>
      <c r="Y678" s="4"/>
      <c r="Z678" s="4">
        <f ca="1">('TUSD BE'!$AM$23+'TUSD BF'!$AM$23+'TUSD CVA'!$AM$23)*1</f>
        <v>117.59114529324071</v>
      </c>
      <c r="AA678" s="4">
        <f>('TE BE'!$AA$8+'TE BF'!$AA$8+'TE CVA'!$AA$8)*1</f>
        <v>271.13910989737087</v>
      </c>
      <c r="AB678" s="4">
        <f>$K$678*$V$678</f>
        <v>0</v>
      </c>
      <c r="AC678" s="4">
        <f>$M$678*$W$678</f>
        <v>1968504.6767899999</v>
      </c>
      <c r="AD678" s="4">
        <f>$O$678*$X$678</f>
        <v>4436143.5688300002</v>
      </c>
      <c r="AE678" s="4">
        <f>$K$678*$Y$678</f>
        <v>0</v>
      </c>
      <c r="AF678" s="4">
        <f ca="1">$M$678*$Z$678</f>
        <v>2371465.2131834519</v>
      </c>
      <c r="AG678" s="4">
        <f>$O$678*$AA$678</f>
        <v>5468073.0037255641</v>
      </c>
    </row>
    <row r="679" spans="1:33" ht="11.25" customHeight="1" x14ac:dyDescent="0.25">
      <c r="A679" s="3" t="s">
        <v>27</v>
      </c>
      <c r="B679" s="3" t="s">
        <v>33</v>
      </c>
      <c r="C679" s="3" t="s">
        <v>34</v>
      </c>
      <c r="D679" s="3" t="s">
        <v>43</v>
      </c>
      <c r="E679" s="3" t="s">
        <v>25</v>
      </c>
      <c r="F679" s="3" t="s">
        <v>25</v>
      </c>
      <c r="G679" s="3" t="s">
        <v>25</v>
      </c>
      <c r="H679" s="3" t="s">
        <v>36</v>
      </c>
      <c r="I679" s="6">
        <v>44621</v>
      </c>
      <c r="J679" s="4">
        <v>0</v>
      </c>
      <c r="K679" s="4">
        <v>0</v>
      </c>
      <c r="L679" s="4">
        <v>0.72899999999999998</v>
      </c>
      <c r="M679" s="4">
        <v>0.72899999999999998</v>
      </c>
      <c r="N679" s="4">
        <v>0.72899999999999998</v>
      </c>
      <c r="O679" s="4">
        <v>0.72899999999999998</v>
      </c>
      <c r="P679" s="4">
        <v>0</v>
      </c>
      <c r="Q679" s="3" t="s">
        <v>26</v>
      </c>
      <c r="R679" s="3">
        <v>0</v>
      </c>
      <c r="S679" s="4">
        <v>0</v>
      </c>
      <c r="T679" s="4">
        <v>29</v>
      </c>
      <c r="U679" s="4">
        <v>73</v>
      </c>
      <c r="V679" s="4">
        <f>IF(ISERROR(VLOOKUP($S$679,'TAR FIN'!$A$1:$O$99,15,0)),0,VLOOKUP($S$679,'TAR FIN'!$A$1:$O$99,15,0))</f>
        <v>0</v>
      </c>
      <c r="W679" s="4">
        <f>IF(ISERROR(VLOOKUP($T$679,'TAR FIN'!$A$1:$O$99,15,0)),0,VLOOKUP($T$679,'TAR FIN'!$A$1:$O$99,15,0))</f>
        <v>97.61</v>
      </c>
      <c r="X679" s="4">
        <f>IF(ISERROR(VLOOKUP($U$679,'TAR FIN'!$A$1:$O$99,15,0)),0,VLOOKUP($U$679,'TAR FIN'!$A$1:$O$99,15,0))</f>
        <v>219.97</v>
      </c>
      <c r="Y679" s="4"/>
      <c r="Z679" s="4">
        <f ca="1">('TUSD BE'!$AM$23+'TUSD BF'!$AM$23+'TUSD CVA'!$AM$23)*1</f>
        <v>117.59114529324071</v>
      </c>
      <c r="AA679" s="4">
        <f>('TE BE'!$AA$8+'TE BF'!$AA$8+'TE CVA'!$AA$8)*1</f>
        <v>271.13910989737087</v>
      </c>
      <c r="AB679" s="4">
        <f>$K$679*$V$679</f>
        <v>0</v>
      </c>
      <c r="AC679" s="4">
        <f>$M$679*$W$679</f>
        <v>71.157690000000002</v>
      </c>
      <c r="AD679" s="4">
        <f>$O$679*$X$679</f>
        <v>160.35812999999999</v>
      </c>
      <c r="AE679" s="4">
        <f>$K$679*$Y$679</f>
        <v>0</v>
      </c>
      <c r="AF679" s="4">
        <f ca="1">$M$679*$Z$679</f>
        <v>85.723944918772474</v>
      </c>
      <c r="AG679" s="4">
        <f>$O$679*$AA$679</f>
        <v>197.66041111518336</v>
      </c>
    </row>
    <row r="680" spans="1:33" ht="11.25" customHeight="1" x14ac:dyDescent="0.25">
      <c r="A680" s="3" t="s">
        <v>28</v>
      </c>
      <c r="B680" s="3" t="s">
        <v>33</v>
      </c>
      <c r="C680" s="3" t="s">
        <v>34</v>
      </c>
      <c r="D680" s="3" t="s">
        <v>43</v>
      </c>
      <c r="E680" s="3" t="s">
        <v>25</v>
      </c>
      <c r="F680" s="3" t="s">
        <v>25</v>
      </c>
      <c r="G680" s="3" t="s">
        <v>25</v>
      </c>
      <c r="H680" s="3" t="s">
        <v>36</v>
      </c>
      <c r="I680" s="6">
        <v>44621</v>
      </c>
      <c r="J680" s="4">
        <v>0</v>
      </c>
      <c r="K680" s="4">
        <v>0</v>
      </c>
      <c r="L680" s="4">
        <v>799.83299999999997</v>
      </c>
      <c r="M680" s="4">
        <v>799.83299999999997</v>
      </c>
      <c r="N680" s="4">
        <v>799.83299999999997</v>
      </c>
      <c r="O680" s="4">
        <v>799.83299999999997</v>
      </c>
      <c r="P680" s="4">
        <v>0</v>
      </c>
      <c r="Q680" s="3" t="s">
        <v>26</v>
      </c>
      <c r="R680" s="3">
        <v>0</v>
      </c>
      <c r="S680" s="4">
        <v>0</v>
      </c>
      <c r="T680" s="4">
        <v>29</v>
      </c>
      <c r="U680" s="4">
        <v>73</v>
      </c>
      <c r="V680" s="4">
        <f>IF(ISERROR(VLOOKUP($S$680,'TAR FIN'!$A$1:$O$99,15,0)),0,VLOOKUP($S$680,'TAR FIN'!$A$1:$O$99,15,0))</f>
        <v>0</v>
      </c>
      <c r="W680" s="4">
        <f>IF(ISERROR(VLOOKUP($T$680,'TAR FIN'!$A$1:$O$99,15,0)),0,VLOOKUP($T$680,'TAR FIN'!$A$1:$O$99,15,0))</f>
        <v>97.61</v>
      </c>
      <c r="X680" s="4">
        <f>IF(ISERROR(VLOOKUP($U$680,'TAR FIN'!$A$1:$O$99,15,0)),0,VLOOKUP($U$680,'TAR FIN'!$A$1:$O$99,15,0))</f>
        <v>219.97</v>
      </c>
      <c r="Y680" s="4"/>
      <c r="Z680" s="4">
        <f ca="1">('TUSD BE'!$AM$23+'TUSD BF'!$AM$23+'TUSD CVA'!$AM$23)*1</f>
        <v>117.59114529324071</v>
      </c>
      <c r="AA680" s="4">
        <f>('TE BE'!$AA$8+'TE BF'!$AA$8+'TE CVA'!$AA$8)*1</f>
        <v>271.13910989737087</v>
      </c>
      <c r="AB680" s="4">
        <f>$K$680*$V$680</f>
        <v>0</v>
      </c>
      <c r="AC680" s="4">
        <f>$M$680*$W$680</f>
        <v>78071.699129999994</v>
      </c>
      <c r="AD680" s="4">
        <f>$O$680*$X$680</f>
        <v>175939.26501</v>
      </c>
      <c r="AE680" s="4">
        <f>$K$680*$Y$680</f>
        <v>0</v>
      </c>
      <c r="AF680" s="4">
        <f ca="1">$M$680*$Z$680</f>
        <v>94053.278513328594</v>
      </c>
      <c r="AG680" s="4">
        <f>$O$680*$AA$680</f>
        <v>216866.00768654383</v>
      </c>
    </row>
    <row r="681" spans="1:33" ht="11.25" customHeight="1" x14ac:dyDescent="0.25">
      <c r="A681" s="3" t="s">
        <v>56</v>
      </c>
      <c r="B681" s="3" t="s">
        <v>33</v>
      </c>
      <c r="C681" s="3" t="s">
        <v>34</v>
      </c>
      <c r="D681" s="3" t="s">
        <v>43</v>
      </c>
      <c r="E681" s="3" t="s">
        <v>25</v>
      </c>
      <c r="F681" s="3" t="s">
        <v>25</v>
      </c>
      <c r="G681" s="3" t="s">
        <v>25</v>
      </c>
      <c r="H681" s="3" t="s">
        <v>36</v>
      </c>
      <c r="I681" s="6">
        <v>44652</v>
      </c>
      <c r="J681" s="4">
        <v>0</v>
      </c>
      <c r="K681" s="4">
        <v>0</v>
      </c>
      <c r="L681" s="4">
        <v>20167.039000000001</v>
      </c>
      <c r="M681" s="4">
        <v>20167.039000000001</v>
      </c>
      <c r="N681" s="4">
        <v>20167.039000000001</v>
      </c>
      <c r="O681" s="4">
        <v>20167.039000000001</v>
      </c>
      <c r="P681" s="4">
        <v>0</v>
      </c>
      <c r="Q681" s="3" t="s">
        <v>26</v>
      </c>
      <c r="R681" s="3">
        <v>0</v>
      </c>
      <c r="S681" s="4">
        <v>0</v>
      </c>
      <c r="T681" s="4">
        <v>29</v>
      </c>
      <c r="U681" s="4">
        <v>73</v>
      </c>
      <c r="V681" s="4">
        <f>IF(ISERROR(VLOOKUP($S$681,'TAR FIN'!$A$1:$O$99,15,0)),0,VLOOKUP($S$681,'TAR FIN'!$A$1:$O$99,15,0))</f>
        <v>0</v>
      </c>
      <c r="W681" s="4">
        <f>IF(ISERROR(VLOOKUP($T$681,'TAR FIN'!$A$1:$O$99,15,0)),0,VLOOKUP($T$681,'TAR FIN'!$A$1:$O$99,15,0))</f>
        <v>97.61</v>
      </c>
      <c r="X681" s="4">
        <f>IF(ISERROR(VLOOKUP($U$681,'TAR FIN'!$A$1:$O$99,15,0)),0,VLOOKUP($U$681,'TAR FIN'!$A$1:$O$99,15,0))</f>
        <v>219.97</v>
      </c>
      <c r="Y681" s="4"/>
      <c r="Z681" s="4">
        <f ca="1">('TUSD BE'!$AM$23+'TUSD BF'!$AM$23+'TUSD CVA'!$AM$23)*1</f>
        <v>117.59114529324071</v>
      </c>
      <c r="AA681" s="4">
        <f>('TE BE'!$AA$8+'TE BF'!$AA$8+'TE CVA'!$AA$8)*1</f>
        <v>271.13910989737087</v>
      </c>
      <c r="AB681" s="4">
        <f>$K$681*$V$681</f>
        <v>0</v>
      </c>
      <c r="AC681" s="4">
        <f>$M$681*$W$681</f>
        <v>1968504.6767899999</v>
      </c>
      <c r="AD681" s="4">
        <f>$O$681*$X$681</f>
        <v>4436143.5688300002</v>
      </c>
      <c r="AE681" s="4">
        <f>$K$681*$Y$681</f>
        <v>0</v>
      </c>
      <c r="AF681" s="4">
        <f ca="1">$M$681*$Z$681</f>
        <v>2371465.2131834519</v>
      </c>
      <c r="AG681" s="4">
        <f>$O$681*$AA$681</f>
        <v>5468073.0037255641</v>
      </c>
    </row>
    <row r="682" spans="1:33" ht="11.25" customHeight="1" x14ac:dyDescent="0.25">
      <c r="A682" s="3" t="s">
        <v>56</v>
      </c>
      <c r="B682" s="3" t="s">
        <v>33</v>
      </c>
      <c r="C682" s="3" t="s">
        <v>34</v>
      </c>
      <c r="D682" s="3" t="s">
        <v>43</v>
      </c>
      <c r="E682" s="3" t="s">
        <v>25</v>
      </c>
      <c r="F682" s="3" t="s">
        <v>25</v>
      </c>
      <c r="G682" s="3" t="s">
        <v>25</v>
      </c>
      <c r="H682" s="3" t="s">
        <v>36</v>
      </c>
      <c r="I682" s="6">
        <v>44652</v>
      </c>
      <c r="J682" s="4">
        <v>0</v>
      </c>
      <c r="K682" s="4">
        <v>0</v>
      </c>
      <c r="L682" s="4">
        <v>0.72899999999999998</v>
      </c>
      <c r="M682" s="4">
        <v>0.72899999999999998</v>
      </c>
      <c r="N682" s="4">
        <v>0.72899999999999998</v>
      </c>
      <c r="O682" s="4">
        <v>0.72899999999999998</v>
      </c>
      <c r="P682" s="4">
        <v>0</v>
      </c>
      <c r="Q682" s="3" t="s">
        <v>26</v>
      </c>
      <c r="R682" s="3">
        <v>0</v>
      </c>
      <c r="S682" s="4">
        <v>0</v>
      </c>
      <c r="T682" s="4">
        <v>29</v>
      </c>
      <c r="U682" s="4">
        <v>73</v>
      </c>
      <c r="V682" s="4">
        <f>IF(ISERROR(VLOOKUP($S$682,'TAR FIN'!$A$1:$O$99,15,0)),0,VLOOKUP($S$682,'TAR FIN'!$A$1:$O$99,15,0))</f>
        <v>0</v>
      </c>
      <c r="W682" s="4">
        <f>IF(ISERROR(VLOOKUP($T$682,'TAR FIN'!$A$1:$O$99,15,0)),0,VLOOKUP($T$682,'TAR FIN'!$A$1:$O$99,15,0))</f>
        <v>97.61</v>
      </c>
      <c r="X682" s="4">
        <f>IF(ISERROR(VLOOKUP($U$682,'TAR FIN'!$A$1:$O$99,15,0)),0,VLOOKUP($U$682,'TAR FIN'!$A$1:$O$99,15,0))</f>
        <v>219.97</v>
      </c>
      <c r="Y682" s="4"/>
      <c r="Z682" s="4">
        <f ca="1">('TUSD BE'!$AM$23+'TUSD BF'!$AM$23+'TUSD CVA'!$AM$23)*1</f>
        <v>117.59114529324071</v>
      </c>
      <c r="AA682" s="4">
        <f>('TE BE'!$AA$8+'TE BF'!$AA$8+'TE CVA'!$AA$8)*1</f>
        <v>271.13910989737087</v>
      </c>
      <c r="AB682" s="4">
        <f>$K$682*$V$682</f>
        <v>0</v>
      </c>
      <c r="AC682" s="4">
        <f>$M$682*$W$682</f>
        <v>71.157690000000002</v>
      </c>
      <c r="AD682" s="4">
        <f>$O$682*$X$682</f>
        <v>160.35812999999999</v>
      </c>
      <c r="AE682" s="4">
        <f>$K$682*$Y$682</f>
        <v>0</v>
      </c>
      <c r="AF682" s="4">
        <f ca="1">$M$682*$Z$682</f>
        <v>85.723944918772474</v>
      </c>
      <c r="AG682" s="4">
        <f>$O$682*$AA$682</f>
        <v>197.66041111518336</v>
      </c>
    </row>
    <row r="683" spans="1:33" ht="11.25" customHeight="1" x14ac:dyDescent="0.25">
      <c r="A683" s="3" t="s">
        <v>56</v>
      </c>
      <c r="B683" s="3" t="s">
        <v>33</v>
      </c>
      <c r="C683" s="3" t="s">
        <v>34</v>
      </c>
      <c r="D683" s="3" t="s">
        <v>43</v>
      </c>
      <c r="E683" s="3" t="s">
        <v>25</v>
      </c>
      <c r="F683" s="3" t="s">
        <v>25</v>
      </c>
      <c r="G683" s="3" t="s">
        <v>25</v>
      </c>
      <c r="H683" s="3" t="s">
        <v>36</v>
      </c>
      <c r="I683" s="6">
        <v>44652</v>
      </c>
      <c r="J683" s="4">
        <v>0</v>
      </c>
      <c r="K683" s="4">
        <v>0</v>
      </c>
      <c r="L683" s="4">
        <v>799.83299999999997</v>
      </c>
      <c r="M683" s="4">
        <v>799.83299999999997</v>
      </c>
      <c r="N683" s="4">
        <v>799.83299999999997</v>
      </c>
      <c r="O683" s="4">
        <v>799.83299999999997</v>
      </c>
      <c r="P683" s="4">
        <v>0</v>
      </c>
      <c r="Q683" s="3" t="s">
        <v>26</v>
      </c>
      <c r="R683" s="3">
        <v>0</v>
      </c>
      <c r="S683" s="4">
        <v>0</v>
      </c>
      <c r="T683" s="4">
        <v>29</v>
      </c>
      <c r="U683" s="4">
        <v>73</v>
      </c>
      <c r="V683" s="4">
        <f>IF(ISERROR(VLOOKUP($S$683,'TAR FIN'!$A$1:$O$99,15,0)),0,VLOOKUP($S$683,'TAR FIN'!$A$1:$O$99,15,0))</f>
        <v>0</v>
      </c>
      <c r="W683" s="4">
        <f>IF(ISERROR(VLOOKUP($T$683,'TAR FIN'!$A$1:$O$99,15,0)),0,VLOOKUP($T$683,'TAR FIN'!$A$1:$O$99,15,0))</f>
        <v>97.61</v>
      </c>
      <c r="X683" s="4">
        <f>IF(ISERROR(VLOOKUP($U$683,'TAR FIN'!$A$1:$O$99,15,0)),0,VLOOKUP($U$683,'TAR FIN'!$A$1:$O$99,15,0))</f>
        <v>219.97</v>
      </c>
      <c r="Y683" s="4"/>
      <c r="Z683" s="4">
        <f ca="1">('TUSD BE'!$AM$23+'TUSD BF'!$AM$23+'TUSD CVA'!$AM$23)*1</f>
        <v>117.59114529324071</v>
      </c>
      <c r="AA683" s="4">
        <f>('TE BE'!$AA$8+'TE BF'!$AA$8+'TE CVA'!$AA$8)*1</f>
        <v>271.13910989737087</v>
      </c>
      <c r="AB683" s="4">
        <f>$K$683*$V$683</f>
        <v>0</v>
      </c>
      <c r="AC683" s="4">
        <f>$M$683*$W$683</f>
        <v>78071.699129999994</v>
      </c>
      <c r="AD683" s="4">
        <f>$O$683*$X$683</f>
        <v>175939.26501</v>
      </c>
      <c r="AE683" s="4">
        <f>$K$683*$Y$683</f>
        <v>0</v>
      </c>
      <c r="AF683" s="4">
        <f ca="1">$M$683*$Z$683</f>
        <v>94053.278513328594</v>
      </c>
      <c r="AG683" s="4">
        <f>$O$683*$AA$683</f>
        <v>216866.00768654383</v>
      </c>
    </row>
    <row r="684" spans="1:33" ht="11.25" customHeight="1" x14ac:dyDescent="0.25">
      <c r="A684" s="3" t="s">
        <v>21</v>
      </c>
      <c r="B684" s="3" t="s">
        <v>33</v>
      </c>
      <c r="C684" s="3" t="s">
        <v>34</v>
      </c>
      <c r="D684" s="3" t="s">
        <v>43</v>
      </c>
      <c r="E684" s="3" t="s">
        <v>25</v>
      </c>
      <c r="F684" s="3" t="s">
        <v>25</v>
      </c>
      <c r="G684" s="3" t="s">
        <v>25</v>
      </c>
      <c r="H684" s="3" t="s">
        <v>25</v>
      </c>
      <c r="I684" s="6">
        <v>44317</v>
      </c>
      <c r="J684" s="4">
        <v>89832</v>
      </c>
      <c r="K684" s="4">
        <v>89832</v>
      </c>
      <c r="L684" s="4">
        <v>0</v>
      </c>
      <c r="M684" s="4">
        <v>0</v>
      </c>
      <c r="N684" s="4">
        <v>0</v>
      </c>
      <c r="O684" s="4">
        <v>0</v>
      </c>
      <c r="P684" s="4">
        <v>861</v>
      </c>
      <c r="Q684" s="3" t="s">
        <v>26</v>
      </c>
      <c r="R684" s="3">
        <v>0</v>
      </c>
      <c r="S684" s="4">
        <v>7</v>
      </c>
      <c r="T684" s="4">
        <v>0</v>
      </c>
      <c r="U684" s="4">
        <v>0</v>
      </c>
      <c r="V684" s="4">
        <f>IF(ISERROR(VLOOKUP($S$684,'TAR FIN'!$A$1:$O$99,15,0)),0,VLOOKUP($S$684,'TAR FIN'!$A$1:$O$99,15,0))</f>
        <v>21.85</v>
      </c>
      <c r="W684" s="4">
        <f>IF(ISERROR(VLOOKUP($T$684,'TAR FIN'!$A$1:$O$99,15,0)),0,VLOOKUP($T$684,'TAR FIN'!$A$1:$O$99,15,0))</f>
        <v>0</v>
      </c>
      <c r="X684" s="4">
        <f>IF(ISERROR(VLOOKUP($U$684,'TAR FIN'!$A$1:$O$99,15,0)),0,VLOOKUP($U$684,'TAR FIN'!$A$1:$O$99,15,0))</f>
        <v>0</v>
      </c>
      <c r="Y684" s="4">
        <f ca="1">('TUSD BE'!$AM$21+'TUSD BF'!$AM$21+'TUSD CVA'!$AM$21)*1</f>
        <v>24.669398821277586</v>
      </c>
      <c r="Z684" s="4"/>
      <c r="AA684" s="4"/>
      <c r="AB684" s="4">
        <f>$K$684*$V$684</f>
        <v>1962829.2000000002</v>
      </c>
      <c r="AC684" s="4">
        <f>$M$684*$W$684</f>
        <v>0</v>
      </c>
      <c r="AD684" s="4">
        <f>$O$684*$X$684</f>
        <v>0</v>
      </c>
      <c r="AE684" s="4">
        <f ca="1">$K$684*$Y$684</f>
        <v>2216101.434913008</v>
      </c>
      <c r="AF684" s="4">
        <f>$M$684*$Z$684</f>
        <v>0</v>
      </c>
      <c r="AG684" s="4">
        <f>$O$684*$AA$684</f>
        <v>0</v>
      </c>
    </row>
    <row r="685" spans="1:33" ht="11.25" customHeight="1" x14ac:dyDescent="0.25">
      <c r="A685" s="3" t="s">
        <v>28</v>
      </c>
      <c r="B685" s="3" t="s">
        <v>33</v>
      </c>
      <c r="C685" s="3" t="s">
        <v>34</v>
      </c>
      <c r="D685" s="3" t="s">
        <v>43</v>
      </c>
      <c r="E685" s="3" t="s">
        <v>25</v>
      </c>
      <c r="F685" s="3" t="s">
        <v>25</v>
      </c>
      <c r="G685" s="3" t="s">
        <v>25</v>
      </c>
      <c r="H685" s="3" t="s">
        <v>25</v>
      </c>
      <c r="I685" s="6">
        <v>44317</v>
      </c>
      <c r="J685" s="4">
        <v>4509</v>
      </c>
      <c r="K685" s="4">
        <v>4509</v>
      </c>
      <c r="L685" s="4">
        <v>0</v>
      </c>
      <c r="M685" s="4">
        <v>0</v>
      </c>
      <c r="N685" s="4">
        <v>0</v>
      </c>
      <c r="O685" s="4">
        <v>0</v>
      </c>
      <c r="P685" s="4">
        <v>24</v>
      </c>
      <c r="Q685" s="3" t="s">
        <v>26</v>
      </c>
      <c r="R685" s="3">
        <v>0</v>
      </c>
      <c r="S685" s="4">
        <v>7</v>
      </c>
      <c r="T685" s="4">
        <v>0</v>
      </c>
      <c r="U685" s="4">
        <v>0</v>
      </c>
      <c r="V685" s="4">
        <f>IF(ISERROR(VLOOKUP($S$685,'TAR FIN'!$A$1:$O$99,15,0)),0,VLOOKUP($S$685,'TAR FIN'!$A$1:$O$99,15,0))</f>
        <v>21.85</v>
      </c>
      <c r="W685" s="4">
        <f>IF(ISERROR(VLOOKUP($T$685,'TAR FIN'!$A$1:$O$99,15,0)),0,VLOOKUP($T$685,'TAR FIN'!$A$1:$O$99,15,0))</f>
        <v>0</v>
      </c>
      <c r="X685" s="4">
        <f>IF(ISERROR(VLOOKUP($U$685,'TAR FIN'!$A$1:$O$99,15,0)),0,VLOOKUP($U$685,'TAR FIN'!$A$1:$O$99,15,0))</f>
        <v>0</v>
      </c>
      <c r="Y685" s="4">
        <f ca="1">('TUSD BE'!$AM$21+'TUSD BF'!$AM$21+'TUSD CVA'!$AM$21)*1</f>
        <v>24.669398821277586</v>
      </c>
      <c r="Z685" s="4"/>
      <c r="AA685" s="4"/>
      <c r="AB685" s="4">
        <f>$K$685*$V$685</f>
        <v>98521.650000000009</v>
      </c>
      <c r="AC685" s="4">
        <f>$M$685*$W$685</f>
        <v>0</v>
      </c>
      <c r="AD685" s="4">
        <f>$O$685*$X$685</f>
        <v>0</v>
      </c>
      <c r="AE685" s="4">
        <f ca="1">$K$685*$Y$685</f>
        <v>111234.31928514063</v>
      </c>
      <c r="AF685" s="4">
        <f>$M$685*$Z$685</f>
        <v>0</v>
      </c>
      <c r="AG685" s="4">
        <f>$O$685*$AA$685</f>
        <v>0</v>
      </c>
    </row>
    <row r="686" spans="1:33" ht="11.25" customHeight="1" x14ac:dyDescent="0.25">
      <c r="A686" s="3" t="s">
        <v>28</v>
      </c>
      <c r="B686" s="3" t="s">
        <v>33</v>
      </c>
      <c r="C686" s="3" t="s">
        <v>34</v>
      </c>
      <c r="D686" s="3" t="s">
        <v>43</v>
      </c>
      <c r="E686" s="3" t="s">
        <v>25</v>
      </c>
      <c r="F686" s="3" t="s">
        <v>25</v>
      </c>
      <c r="G686" s="3" t="s">
        <v>25</v>
      </c>
      <c r="H686" s="3" t="s">
        <v>25</v>
      </c>
      <c r="I686" s="6">
        <v>44317</v>
      </c>
      <c r="J686" s="4">
        <v>-60</v>
      </c>
      <c r="K686" s="4">
        <v>-60</v>
      </c>
      <c r="L686" s="4">
        <v>0</v>
      </c>
      <c r="M686" s="4">
        <v>0</v>
      </c>
      <c r="N686" s="4">
        <v>0</v>
      </c>
      <c r="O686" s="4">
        <v>0</v>
      </c>
      <c r="P686" s="4">
        <v>-2</v>
      </c>
      <c r="Q686" s="3" t="s">
        <v>26</v>
      </c>
      <c r="R686" s="3">
        <v>0</v>
      </c>
      <c r="S686" s="4">
        <v>7</v>
      </c>
      <c r="T686" s="4">
        <v>0</v>
      </c>
      <c r="U686" s="4">
        <v>0</v>
      </c>
      <c r="V686" s="4">
        <f>IF(ISERROR(VLOOKUP($S$686,'TAR FIN'!$A$1:$O$99,15,0)),0,VLOOKUP($S$686,'TAR FIN'!$A$1:$O$99,15,0))</f>
        <v>21.85</v>
      </c>
      <c r="W686" s="4">
        <f>IF(ISERROR(VLOOKUP($T$686,'TAR FIN'!$A$1:$O$99,15,0)),0,VLOOKUP($T$686,'TAR FIN'!$A$1:$O$99,15,0))</f>
        <v>0</v>
      </c>
      <c r="X686" s="4">
        <f>IF(ISERROR(VLOOKUP($U$686,'TAR FIN'!$A$1:$O$99,15,0)),0,VLOOKUP($U$686,'TAR FIN'!$A$1:$O$99,15,0))</f>
        <v>0</v>
      </c>
      <c r="Y686" s="4">
        <f ca="1">('TUSD BE'!$AM$21+'TUSD BF'!$AM$21+'TUSD CVA'!$AM$21)*1</f>
        <v>24.669398821277586</v>
      </c>
      <c r="Z686" s="4"/>
      <c r="AA686" s="4"/>
      <c r="AB686" s="4">
        <f>$K$686*$V$686</f>
        <v>-1311</v>
      </c>
      <c r="AC686" s="4">
        <f>$M$686*$W$686</f>
        <v>0</v>
      </c>
      <c r="AD686" s="4">
        <f>$O$686*$X$686</f>
        <v>0</v>
      </c>
      <c r="AE686" s="4">
        <f ca="1">$K$686*$Y$686</f>
        <v>-1480.1639292766552</v>
      </c>
      <c r="AF686" s="4">
        <f>$M$686*$Z$686</f>
        <v>0</v>
      </c>
      <c r="AG686" s="4">
        <f>$O$686*$AA$686</f>
        <v>0</v>
      </c>
    </row>
    <row r="687" spans="1:33" ht="11.25" customHeight="1" x14ac:dyDescent="0.25">
      <c r="A687" s="3" t="s">
        <v>21</v>
      </c>
      <c r="B687" s="3" t="s">
        <v>33</v>
      </c>
      <c r="C687" s="3" t="s">
        <v>34</v>
      </c>
      <c r="D687" s="3" t="s">
        <v>43</v>
      </c>
      <c r="E687" s="3" t="s">
        <v>25</v>
      </c>
      <c r="F687" s="3" t="s">
        <v>25</v>
      </c>
      <c r="G687" s="3" t="s">
        <v>25</v>
      </c>
      <c r="H687" s="3" t="s">
        <v>25</v>
      </c>
      <c r="I687" s="6">
        <v>44348</v>
      </c>
      <c r="J687" s="4">
        <v>89730</v>
      </c>
      <c r="K687" s="4">
        <v>89730</v>
      </c>
      <c r="L687" s="4">
        <v>0</v>
      </c>
      <c r="M687" s="4">
        <v>0</v>
      </c>
      <c r="N687" s="4">
        <v>0</v>
      </c>
      <c r="O687" s="4">
        <v>0</v>
      </c>
      <c r="P687" s="4">
        <v>863</v>
      </c>
      <c r="Q687" s="3" t="s">
        <v>26</v>
      </c>
      <c r="R687" s="3">
        <v>0</v>
      </c>
      <c r="S687" s="4">
        <v>7</v>
      </c>
      <c r="T687" s="4">
        <v>0</v>
      </c>
      <c r="U687" s="4">
        <v>0</v>
      </c>
      <c r="V687" s="4">
        <f>IF(ISERROR(VLOOKUP($S$687,'TAR FIN'!$A$1:$O$99,15,0)),0,VLOOKUP($S$687,'TAR FIN'!$A$1:$O$99,15,0))</f>
        <v>21.85</v>
      </c>
      <c r="W687" s="4">
        <f>IF(ISERROR(VLOOKUP($T$687,'TAR FIN'!$A$1:$O$99,15,0)),0,VLOOKUP($T$687,'TAR FIN'!$A$1:$O$99,15,0))</f>
        <v>0</v>
      </c>
      <c r="X687" s="4">
        <f>IF(ISERROR(VLOOKUP($U$687,'TAR FIN'!$A$1:$O$99,15,0)),0,VLOOKUP($U$687,'TAR FIN'!$A$1:$O$99,15,0))</f>
        <v>0</v>
      </c>
      <c r="Y687" s="4">
        <f ca="1">('TUSD BE'!$AM$21+'TUSD BF'!$AM$21+'TUSD CVA'!$AM$21)*1</f>
        <v>24.669398821277586</v>
      </c>
      <c r="Z687" s="4"/>
      <c r="AA687" s="4"/>
      <c r="AB687" s="4">
        <f>$K$687*$V$687</f>
        <v>1960600.5000000002</v>
      </c>
      <c r="AC687" s="4">
        <f>$M$687*$W$687</f>
        <v>0</v>
      </c>
      <c r="AD687" s="4">
        <f>$O$687*$X$687</f>
        <v>0</v>
      </c>
      <c r="AE687" s="4">
        <f ca="1">$K$687*$Y$687</f>
        <v>2213585.1562332376</v>
      </c>
      <c r="AF687" s="4">
        <f>$M$687*$Z$687</f>
        <v>0</v>
      </c>
      <c r="AG687" s="4">
        <f>$O$687*$AA$687</f>
        <v>0</v>
      </c>
    </row>
    <row r="688" spans="1:33" ht="11.25" customHeight="1" x14ac:dyDescent="0.25">
      <c r="A688" s="3" t="s">
        <v>27</v>
      </c>
      <c r="B688" s="3" t="s">
        <v>33</v>
      </c>
      <c r="C688" s="3" t="s">
        <v>34</v>
      </c>
      <c r="D688" s="3" t="s">
        <v>43</v>
      </c>
      <c r="E688" s="3" t="s">
        <v>25</v>
      </c>
      <c r="F688" s="3" t="s">
        <v>25</v>
      </c>
      <c r="G688" s="3" t="s">
        <v>25</v>
      </c>
      <c r="H688" s="3" t="s">
        <v>25</v>
      </c>
      <c r="I688" s="6">
        <v>44348</v>
      </c>
      <c r="J688" s="4">
        <v>-14</v>
      </c>
      <c r="K688" s="4">
        <v>-14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3" t="s">
        <v>26</v>
      </c>
      <c r="R688" s="3">
        <v>0</v>
      </c>
      <c r="S688" s="4">
        <v>7</v>
      </c>
      <c r="T688" s="4">
        <v>0</v>
      </c>
      <c r="U688" s="4">
        <v>0</v>
      </c>
      <c r="V688" s="4">
        <f>IF(ISERROR(VLOOKUP($S$688,'TAR FIN'!$A$1:$O$99,15,0)),0,VLOOKUP($S$688,'TAR FIN'!$A$1:$O$99,15,0))</f>
        <v>21.85</v>
      </c>
      <c r="W688" s="4">
        <f>IF(ISERROR(VLOOKUP($T$688,'TAR FIN'!$A$1:$O$99,15,0)),0,VLOOKUP($T$688,'TAR FIN'!$A$1:$O$99,15,0))</f>
        <v>0</v>
      </c>
      <c r="X688" s="4">
        <f>IF(ISERROR(VLOOKUP($U$688,'TAR FIN'!$A$1:$O$99,15,0)),0,VLOOKUP($U$688,'TAR FIN'!$A$1:$O$99,15,0))</f>
        <v>0</v>
      </c>
      <c r="Y688" s="4">
        <f ca="1">('TUSD BE'!$AM$21+'TUSD BF'!$AM$21+'TUSD CVA'!$AM$21)*1</f>
        <v>24.669398821277586</v>
      </c>
      <c r="Z688" s="4"/>
      <c r="AA688" s="4"/>
      <c r="AB688" s="4">
        <f>$K$688*$V$688</f>
        <v>-305.90000000000003</v>
      </c>
      <c r="AC688" s="4">
        <f>$M$688*$W$688</f>
        <v>0</v>
      </c>
      <c r="AD688" s="4">
        <f>$O$688*$X$688</f>
        <v>0</v>
      </c>
      <c r="AE688" s="4">
        <f ca="1">$K$688*$Y$688</f>
        <v>-345.37158349788621</v>
      </c>
      <c r="AF688" s="4">
        <f>$M$688*$Z$688</f>
        <v>0</v>
      </c>
      <c r="AG688" s="4">
        <f>$O$688*$AA$688</f>
        <v>0</v>
      </c>
    </row>
    <row r="689" spans="1:33" ht="11.25" customHeight="1" x14ac:dyDescent="0.25">
      <c r="A689" s="3" t="s">
        <v>28</v>
      </c>
      <c r="B689" s="3" t="s">
        <v>33</v>
      </c>
      <c r="C689" s="3" t="s">
        <v>34</v>
      </c>
      <c r="D689" s="3" t="s">
        <v>43</v>
      </c>
      <c r="E689" s="3" t="s">
        <v>25</v>
      </c>
      <c r="F689" s="3" t="s">
        <v>25</v>
      </c>
      <c r="G689" s="3" t="s">
        <v>25</v>
      </c>
      <c r="H689" s="3" t="s">
        <v>25</v>
      </c>
      <c r="I689" s="6">
        <v>44348</v>
      </c>
      <c r="J689" s="4">
        <v>4527</v>
      </c>
      <c r="K689" s="4">
        <v>4527</v>
      </c>
      <c r="L689" s="4">
        <v>0</v>
      </c>
      <c r="M689" s="4">
        <v>0</v>
      </c>
      <c r="N689" s="4">
        <v>0</v>
      </c>
      <c r="O689" s="4">
        <v>0</v>
      </c>
      <c r="P689" s="4">
        <v>25</v>
      </c>
      <c r="Q689" s="3" t="s">
        <v>26</v>
      </c>
      <c r="R689" s="3">
        <v>0</v>
      </c>
      <c r="S689" s="4">
        <v>7</v>
      </c>
      <c r="T689" s="4">
        <v>0</v>
      </c>
      <c r="U689" s="4">
        <v>0</v>
      </c>
      <c r="V689" s="4">
        <f>IF(ISERROR(VLOOKUP($S$689,'TAR FIN'!$A$1:$O$99,15,0)),0,VLOOKUP($S$689,'TAR FIN'!$A$1:$O$99,15,0))</f>
        <v>21.85</v>
      </c>
      <c r="W689" s="4">
        <f>IF(ISERROR(VLOOKUP($T$689,'TAR FIN'!$A$1:$O$99,15,0)),0,VLOOKUP($T$689,'TAR FIN'!$A$1:$O$99,15,0))</f>
        <v>0</v>
      </c>
      <c r="X689" s="4">
        <f>IF(ISERROR(VLOOKUP($U$689,'TAR FIN'!$A$1:$O$99,15,0)),0,VLOOKUP($U$689,'TAR FIN'!$A$1:$O$99,15,0))</f>
        <v>0</v>
      </c>
      <c r="Y689" s="4">
        <f ca="1">('TUSD BE'!$AM$21+'TUSD BF'!$AM$21+'TUSD CVA'!$AM$21)*1</f>
        <v>24.669398821277586</v>
      </c>
      <c r="Z689" s="4"/>
      <c r="AA689" s="4"/>
      <c r="AB689" s="4">
        <f>$K$689*$V$689</f>
        <v>98914.950000000012</v>
      </c>
      <c r="AC689" s="4">
        <f>$M$689*$W$689</f>
        <v>0</v>
      </c>
      <c r="AD689" s="4">
        <f>$O$689*$X$689</f>
        <v>0</v>
      </c>
      <c r="AE689" s="4">
        <f ca="1">$K$689*$Y$689</f>
        <v>111678.36846392363</v>
      </c>
      <c r="AF689" s="4">
        <f>$M$689*$Z$689</f>
        <v>0</v>
      </c>
      <c r="AG689" s="4">
        <f>$O$689*$AA$689</f>
        <v>0</v>
      </c>
    </row>
    <row r="690" spans="1:33" ht="11.25" customHeight="1" x14ac:dyDescent="0.25">
      <c r="A690" s="3" t="s">
        <v>21</v>
      </c>
      <c r="B690" s="3" t="s">
        <v>33</v>
      </c>
      <c r="C690" s="3" t="s">
        <v>34</v>
      </c>
      <c r="D690" s="3" t="s">
        <v>43</v>
      </c>
      <c r="E690" s="3" t="s">
        <v>25</v>
      </c>
      <c r="F690" s="3" t="s">
        <v>25</v>
      </c>
      <c r="G690" s="3" t="s">
        <v>25</v>
      </c>
      <c r="H690" s="3" t="s">
        <v>25</v>
      </c>
      <c r="I690" s="6">
        <v>44378</v>
      </c>
      <c r="J690" s="4">
        <v>88746</v>
      </c>
      <c r="K690" s="4">
        <v>88746</v>
      </c>
      <c r="L690" s="4">
        <v>0</v>
      </c>
      <c r="M690" s="4">
        <v>0</v>
      </c>
      <c r="N690" s="4">
        <v>0</v>
      </c>
      <c r="O690" s="4">
        <v>0</v>
      </c>
      <c r="P690" s="4">
        <v>861</v>
      </c>
      <c r="Q690" s="3" t="s">
        <v>26</v>
      </c>
      <c r="R690" s="3">
        <v>0</v>
      </c>
      <c r="S690" s="4">
        <v>7</v>
      </c>
      <c r="T690" s="4">
        <v>0</v>
      </c>
      <c r="U690" s="4">
        <v>0</v>
      </c>
      <c r="V690" s="4">
        <f>IF(ISERROR(VLOOKUP($S$690,'TAR FIN'!$A$1:$O$99,15,0)),0,VLOOKUP($S$690,'TAR FIN'!$A$1:$O$99,15,0))</f>
        <v>21.85</v>
      </c>
      <c r="W690" s="4">
        <f>IF(ISERROR(VLOOKUP($T$690,'TAR FIN'!$A$1:$O$99,15,0)),0,VLOOKUP($T$690,'TAR FIN'!$A$1:$O$99,15,0))</f>
        <v>0</v>
      </c>
      <c r="X690" s="4">
        <f>IF(ISERROR(VLOOKUP($U$690,'TAR FIN'!$A$1:$O$99,15,0)),0,VLOOKUP($U$690,'TAR FIN'!$A$1:$O$99,15,0))</f>
        <v>0</v>
      </c>
      <c r="Y690" s="4">
        <f ca="1">('TUSD BE'!$AM$21+'TUSD BF'!$AM$21+'TUSD CVA'!$AM$21)*1</f>
        <v>24.669398821277586</v>
      </c>
      <c r="Z690" s="4"/>
      <c r="AA690" s="4"/>
      <c r="AB690" s="4">
        <f>$K$690*$V$690</f>
        <v>1939100.1</v>
      </c>
      <c r="AC690" s="4">
        <f>$M$690*$W$690</f>
        <v>0</v>
      </c>
      <c r="AD690" s="4">
        <f>$O$690*$X$690</f>
        <v>0</v>
      </c>
      <c r="AE690" s="4">
        <f ca="1">$K$690*$Y$690</f>
        <v>2189310.4677931005</v>
      </c>
      <c r="AF690" s="4">
        <f>$M$690*$Z$690</f>
        <v>0</v>
      </c>
      <c r="AG690" s="4">
        <f>$O$690*$AA$690</f>
        <v>0</v>
      </c>
    </row>
    <row r="691" spans="1:33" ht="11.25" customHeight="1" x14ac:dyDescent="0.25">
      <c r="A691" s="3" t="s">
        <v>27</v>
      </c>
      <c r="B691" s="3" t="s">
        <v>33</v>
      </c>
      <c r="C691" s="3" t="s">
        <v>34</v>
      </c>
      <c r="D691" s="3" t="s">
        <v>43</v>
      </c>
      <c r="E691" s="3" t="s">
        <v>25</v>
      </c>
      <c r="F691" s="3" t="s">
        <v>25</v>
      </c>
      <c r="G691" s="3" t="s">
        <v>25</v>
      </c>
      <c r="H691" s="3" t="s">
        <v>25</v>
      </c>
      <c r="I691" s="6">
        <v>44378</v>
      </c>
      <c r="J691" s="4">
        <v>-920</v>
      </c>
      <c r="K691" s="4">
        <v>-920</v>
      </c>
      <c r="L691" s="4">
        <v>0</v>
      </c>
      <c r="M691" s="4">
        <v>0</v>
      </c>
      <c r="N691" s="4">
        <v>0</v>
      </c>
      <c r="O691" s="4">
        <v>0</v>
      </c>
      <c r="P691" s="4">
        <v>-4</v>
      </c>
      <c r="Q691" s="3" t="s">
        <v>26</v>
      </c>
      <c r="R691" s="3">
        <v>0</v>
      </c>
      <c r="S691" s="4">
        <v>7</v>
      </c>
      <c r="T691" s="4">
        <v>0</v>
      </c>
      <c r="U691" s="4">
        <v>0</v>
      </c>
      <c r="V691" s="4">
        <f>IF(ISERROR(VLOOKUP($S$691,'TAR FIN'!$A$1:$O$99,15,0)),0,VLOOKUP($S$691,'TAR FIN'!$A$1:$O$99,15,0))</f>
        <v>21.85</v>
      </c>
      <c r="W691" s="4">
        <f>IF(ISERROR(VLOOKUP($T$691,'TAR FIN'!$A$1:$O$99,15,0)),0,VLOOKUP($T$691,'TAR FIN'!$A$1:$O$99,15,0))</f>
        <v>0</v>
      </c>
      <c r="X691" s="4">
        <f>IF(ISERROR(VLOOKUP($U$691,'TAR FIN'!$A$1:$O$99,15,0)),0,VLOOKUP($U$691,'TAR FIN'!$A$1:$O$99,15,0))</f>
        <v>0</v>
      </c>
      <c r="Y691" s="4">
        <f ca="1">('TUSD BE'!$AM$21+'TUSD BF'!$AM$21+'TUSD CVA'!$AM$21)*1</f>
        <v>24.669398821277586</v>
      </c>
      <c r="Z691" s="4"/>
      <c r="AA691" s="4"/>
      <c r="AB691" s="4">
        <f>$K$691*$V$691</f>
        <v>-20102</v>
      </c>
      <c r="AC691" s="4">
        <f>$M$691*$W$691</f>
        <v>0</v>
      </c>
      <c r="AD691" s="4">
        <f>$O$691*$X$691</f>
        <v>0</v>
      </c>
      <c r="AE691" s="4">
        <f ca="1">$K$691*$Y$691</f>
        <v>-22695.846915575377</v>
      </c>
      <c r="AF691" s="4">
        <f>$M$691*$Z$691</f>
        <v>0</v>
      </c>
      <c r="AG691" s="4">
        <f>$O$691*$AA$691</f>
        <v>0</v>
      </c>
    </row>
    <row r="692" spans="1:33" ht="11.25" customHeight="1" x14ac:dyDescent="0.25">
      <c r="A692" s="3" t="s">
        <v>28</v>
      </c>
      <c r="B692" s="3" t="s">
        <v>33</v>
      </c>
      <c r="C692" s="3" t="s">
        <v>34</v>
      </c>
      <c r="D692" s="3" t="s">
        <v>43</v>
      </c>
      <c r="E692" s="3" t="s">
        <v>25</v>
      </c>
      <c r="F692" s="3" t="s">
        <v>25</v>
      </c>
      <c r="G692" s="3" t="s">
        <v>25</v>
      </c>
      <c r="H692" s="3" t="s">
        <v>25</v>
      </c>
      <c r="I692" s="6">
        <v>44378</v>
      </c>
      <c r="J692" s="4">
        <v>4950</v>
      </c>
      <c r="K692" s="4">
        <v>4950</v>
      </c>
      <c r="L692" s="4">
        <v>0</v>
      </c>
      <c r="M692" s="4">
        <v>0</v>
      </c>
      <c r="N692" s="4">
        <v>0</v>
      </c>
      <c r="O692" s="4">
        <v>0</v>
      </c>
      <c r="P692" s="4">
        <v>29</v>
      </c>
      <c r="Q692" s="3" t="s">
        <v>26</v>
      </c>
      <c r="R692" s="3">
        <v>0</v>
      </c>
      <c r="S692" s="4">
        <v>7</v>
      </c>
      <c r="T692" s="4">
        <v>0</v>
      </c>
      <c r="U692" s="4">
        <v>0</v>
      </c>
      <c r="V692" s="4">
        <f>IF(ISERROR(VLOOKUP($S$692,'TAR FIN'!$A$1:$O$99,15,0)),0,VLOOKUP($S$692,'TAR FIN'!$A$1:$O$99,15,0))</f>
        <v>21.85</v>
      </c>
      <c r="W692" s="4">
        <f>IF(ISERROR(VLOOKUP($T$692,'TAR FIN'!$A$1:$O$99,15,0)),0,VLOOKUP($T$692,'TAR FIN'!$A$1:$O$99,15,0))</f>
        <v>0</v>
      </c>
      <c r="X692" s="4">
        <f>IF(ISERROR(VLOOKUP($U$692,'TAR FIN'!$A$1:$O$99,15,0)),0,VLOOKUP($U$692,'TAR FIN'!$A$1:$O$99,15,0))</f>
        <v>0</v>
      </c>
      <c r="Y692" s="4">
        <f ca="1">('TUSD BE'!$AM$21+'TUSD BF'!$AM$21+'TUSD CVA'!$AM$21)*1</f>
        <v>24.669398821277586</v>
      </c>
      <c r="Z692" s="4"/>
      <c r="AA692" s="4"/>
      <c r="AB692" s="4">
        <f>$K$692*$V$692</f>
        <v>108157.5</v>
      </c>
      <c r="AC692" s="4">
        <f>$M$692*$W$692</f>
        <v>0</v>
      </c>
      <c r="AD692" s="4">
        <f>$O$692*$X$692</f>
        <v>0</v>
      </c>
      <c r="AE692" s="4">
        <f ca="1">$K$692*$Y$692</f>
        <v>122113.52416532405</v>
      </c>
      <c r="AF692" s="4">
        <f>$M$692*$Z$692</f>
        <v>0</v>
      </c>
      <c r="AG692" s="4">
        <f>$O$692*$AA$692</f>
        <v>0</v>
      </c>
    </row>
    <row r="693" spans="1:33" ht="11.25" customHeight="1" x14ac:dyDescent="0.25">
      <c r="A693" s="3" t="s">
        <v>28</v>
      </c>
      <c r="B693" s="3" t="s">
        <v>33</v>
      </c>
      <c r="C693" s="3" t="s">
        <v>34</v>
      </c>
      <c r="D693" s="3" t="s">
        <v>43</v>
      </c>
      <c r="E693" s="3" t="s">
        <v>25</v>
      </c>
      <c r="F693" s="3" t="s">
        <v>25</v>
      </c>
      <c r="G693" s="3" t="s">
        <v>25</v>
      </c>
      <c r="H693" s="3" t="s">
        <v>25</v>
      </c>
      <c r="I693" s="6">
        <v>44378</v>
      </c>
      <c r="J693" s="4">
        <v>120</v>
      </c>
      <c r="K693" s="4">
        <v>120</v>
      </c>
      <c r="L693" s="4">
        <v>0</v>
      </c>
      <c r="M693" s="4">
        <v>0</v>
      </c>
      <c r="N693" s="4">
        <v>0</v>
      </c>
      <c r="O693" s="4">
        <v>0</v>
      </c>
      <c r="P693" s="4">
        <v>1</v>
      </c>
      <c r="Q693" s="3" t="s">
        <v>26</v>
      </c>
      <c r="R693" s="3">
        <v>0</v>
      </c>
      <c r="S693" s="4">
        <v>7</v>
      </c>
      <c r="T693" s="4">
        <v>0</v>
      </c>
      <c r="U693" s="4">
        <v>0</v>
      </c>
      <c r="V693" s="4">
        <f>IF(ISERROR(VLOOKUP($S$693,'TAR FIN'!$A$1:$O$99,15,0)),0,VLOOKUP($S$693,'TAR FIN'!$A$1:$O$99,15,0))</f>
        <v>21.85</v>
      </c>
      <c r="W693" s="4">
        <f>IF(ISERROR(VLOOKUP($T$693,'TAR FIN'!$A$1:$O$99,15,0)),0,VLOOKUP($T$693,'TAR FIN'!$A$1:$O$99,15,0))</f>
        <v>0</v>
      </c>
      <c r="X693" s="4">
        <f>IF(ISERROR(VLOOKUP($U$693,'TAR FIN'!$A$1:$O$99,15,0)),0,VLOOKUP($U$693,'TAR FIN'!$A$1:$O$99,15,0))</f>
        <v>0</v>
      </c>
      <c r="Y693" s="4">
        <f ca="1">('TUSD BE'!$AM$21+'TUSD BF'!$AM$21+'TUSD CVA'!$AM$21)*1</f>
        <v>24.669398821277586</v>
      </c>
      <c r="Z693" s="4"/>
      <c r="AA693" s="4"/>
      <c r="AB693" s="4">
        <f>$K$693*$V$693</f>
        <v>2622</v>
      </c>
      <c r="AC693" s="4">
        <f>$M$693*$W$693</f>
        <v>0</v>
      </c>
      <c r="AD693" s="4">
        <f>$O$693*$X$693</f>
        <v>0</v>
      </c>
      <c r="AE693" s="4">
        <f ca="1">$K$693*$Y$693</f>
        <v>2960.3278585533103</v>
      </c>
      <c r="AF693" s="4">
        <f>$M$693*$Z$693</f>
        <v>0</v>
      </c>
      <c r="AG693" s="4">
        <f>$O$693*$AA$693</f>
        <v>0</v>
      </c>
    </row>
    <row r="694" spans="1:33" ht="11.25" customHeight="1" x14ac:dyDescent="0.25">
      <c r="A694" s="3" t="s">
        <v>21</v>
      </c>
      <c r="B694" s="3" t="s">
        <v>33</v>
      </c>
      <c r="C694" s="3" t="s">
        <v>34</v>
      </c>
      <c r="D694" s="3" t="s">
        <v>43</v>
      </c>
      <c r="E694" s="3" t="s">
        <v>25</v>
      </c>
      <c r="F694" s="3" t="s">
        <v>25</v>
      </c>
      <c r="G694" s="3" t="s">
        <v>25</v>
      </c>
      <c r="H694" s="3" t="s">
        <v>25</v>
      </c>
      <c r="I694" s="6">
        <v>44409</v>
      </c>
      <c r="J694" s="4">
        <v>89390</v>
      </c>
      <c r="K694" s="4">
        <v>89390</v>
      </c>
      <c r="L694" s="4">
        <v>0</v>
      </c>
      <c r="M694" s="4">
        <v>0</v>
      </c>
      <c r="N694" s="4">
        <v>0</v>
      </c>
      <c r="O694" s="4">
        <v>0</v>
      </c>
      <c r="P694" s="4">
        <v>856</v>
      </c>
      <c r="Q694" s="3" t="s">
        <v>26</v>
      </c>
      <c r="R694" s="3">
        <v>0</v>
      </c>
      <c r="S694" s="4">
        <v>7</v>
      </c>
      <c r="T694" s="4">
        <v>0</v>
      </c>
      <c r="U694" s="4">
        <v>0</v>
      </c>
      <c r="V694" s="4">
        <f>IF(ISERROR(VLOOKUP($S$694,'TAR FIN'!$A$1:$O$99,15,0)),0,VLOOKUP($S$694,'TAR FIN'!$A$1:$O$99,15,0))</f>
        <v>21.85</v>
      </c>
      <c r="W694" s="4">
        <f>IF(ISERROR(VLOOKUP($T$694,'TAR FIN'!$A$1:$O$99,15,0)),0,VLOOKUP($T$694,'TAR FIN'!$A$1:$O$99,15,0))</f>
        <v>0</v>
      </c>
      <c r="X694" s="4">
        <f>IF(ISERROR(VLOOKUP($U$694,'TAR FIN'!$A$1:$O$99,15,0)),0,VLOOKUP($U$694,'TAR FIN'!$A$1:$O$99,15,0))</f>
        <v>0</v>
      </c>
      <c r="Y694" s="4">
        <f ca="1">('TUSD BE'!$AM$21+'TUSD BF'!$AM$21+'TUSD CVA'!$AM$21)*1</f>
        <v>24.669398821277586</v>
      </c>
      <c r="Z694" s="4"/>
      <c r="AA694" s="4"/>
      <c r="AB694" s="4">
        <f>$K$694*$V$694</f>
        <v>1953171.5000000002</v>
      </c>
      <c r="AC694" s="4">
        <f>$M$694*$W$694</f>
        <v>0</v>
      </c>
      <c r="AD694" s="4">
        <f>$O$694*$X$694</f>
        <v>0</v>
      </c>
      <c r="AE694" s="4">
        <f ca="1">$K$694*$Y$694</f>
        <v>2205197.5606340035</v>
      </c>
      <c r="AF694" s="4">
        <f>$M$694*$Z$694</f>
        <v>0</v>
      </c>
      <c r="AG694" s="4">
        <f>$O$694*$AA$694</f>
        <v>0</v>
      </c>
    </row>
    <row r="695" spans="1:33" ht="11.25" customHeight="1" x14ac:dyDescent="0.25">
      <c r="A695" s="3" t="s">
        <v>27</v>
      </c>
      <c r="B695" s="3" t="s">
        <v>33</v>
      </c>
      <c r="C695" s="3" t="s">
        <v>34</v>
      </c>
      <c r="D695" s="3" t="s">
        <v>43</v>
      </c>
      <c r="E695" s="3" t="s">
        <v>25</v>
      </c>
      <c r="F695" s="3" t="s">
        <v>25</v>
      </c>
      <c r="G695" s="3" t="s">
        <v>25</v>
      </c>
      <c r="H695" s="3" t="s">
        <v>25</v>
      </c>
      <c r="I695" s="6">
        <v>44409</v>
      </c>
      <c r="J695" s="4">
        <v>30</v>
      </c>
      <c r="K695" s="4">
        <v>30</v>
      </c>
      <c r="L695" s="4">
        <v>0</v>
      </c>
      <c r="M695" s="4">
        <v>0</v>
      </c>
      <c r="N695" s="4">
        <v>0</v>
      </c>
      <c r="O695" s="4">
        <v>0</v>
      </c>
      <c r="P695" s="4">
        <v>1</v>
      </c>
      <c r="Q695" s="3" t="s">
        <v>26</v>
      </c>
      <c r="R695" s="3">
        <v>0</v>
      </c>
      <c r="S695" s="4">
        <v>7</v>
      </c>
      <c r="T695" s="4">
        <v>0</v>
      </c>
      <c r="U695" s="4">
        <v>0</v>
      </c>
      <c r="V695" s="4">
        <f>IF(ISERROR(VLOOKUP($S$695,'TAR FIN'!$A$1:$O$99,15,0)),0,VLOOKUP($S$695,'TAR FIN'!$A$1:$O$99,15,0))</f>
        <v>21.85</v>
      </c>
      <c r="W695" s="4">
        <f>IF(ISERROR(VLOOKUP($T$695,'TAR FIN'!$A$1:$O$99,15,0)),0,VLOOKUP($T$695,'TAR FIN'!$A$1:$O$99,15,0))</f>
        <v>0</v>
      </c>
      <c r="X695" s="4">
        <f>IF(ISERROR(VLOOKUP($U$695,'TAR FIN'!$A$1:$O$99,15,0)),0,VLOOKUP($U$695,'TAR FIN'!$A$1:$O$99,15,0))</f>
        <v>0</v>
      </c>
      <c r="Y695" s="4">
        <f ca="1">('TUSD BE'!$AM$21+'TUSD BF'!$AM$21+'TUSD CVA'!$AM$21)*1</f>
        <v>24.669398821277586</v>
      </c>
      <c r="Z695" s="4"/>
      <c r="AA695" s="4"/>
      <c r="AB695" s="4">
        <f>$K$695*$V$695</f>
        <v>655.5</v>
      </c>
      <c r="AC695" s="4">
        <f>$M$695*$W$695</f>
        <v>0</v>
      </c>
      <c r="AD695" s="4">
        <f>$O$695*$X$695</f>
        <v>0</v>
      </c>
      <c r="AE695" s="4">
        <f ca="1">$K$695*$Y$695</f>
        <v>740.08196463832758</v>
      </c>
      <c r="AF695" s="4">
        <f>$M$695*$Z$695</f>
        <v>0</v>
      </c>
      <c r="AG695" s="4">
        <f>$O$695*$AA$695</f>
        <v>0</v>
      </c>
    </row>
    <row r="696" spans="1:33" ht="11.25" customHeight="1" x14ac:dyDescent="0.25">
      <c r="A696" s="3" t="s">
        <v>28</v>
      </c>
      <c r="B696" s="3" t="s">
        <v>33</v>
      </c>
      <c r="C696" s="3" t="s">
        <v>34</v>
      </c>
      <c r="D696" s="3" t="s">
        <v>43</v>
      </c>
      <c r="E696" s="3" t="s">
        <v>25</v>
      </c>
      <c r="F696" s="3" t="s">
        <v>25</v>
      </c>
      <c r="G696" s="3" t="s">
        <v>25</v>
      </c>
      <c r="H696" s="3" t="s">
        <v>25</v>
      </c>
      <c r="I696" s="6">
        <v>44409</v>
      </c>
      <c r="J696" s="4">
        <v>10971</v>
      </c>
      <c r="K696" s="4">
        <v>10971</v>
      </c>
      <c r="L696" s="4">
        <v>0</v>
      </c>
      <c r="M696" s="4">
        <v>0</v>
      </c>
      <c r="N696" s="4">
        <v>0</v>
      </c>
      <c r="O696" s="4">
        <v>0</v>
      </c>
      <c r="P696" s="4">
        <v>31</v>
      </c>
      <c r="Q696" s="3" t="s">
        <v>26</v>
      </c>
      <c r="R696" s="3">
        <v>0</v>
      </c>
      <c r="S696" s="4">
        <v>7</v>
      </c>
      <c r="T696" s="4">
        <v>0</v>
      </c>
      <c r="U696" s="4">
        <v>0</v>
      </c>
      <c r="V696" s="4">
        <f>IF(ISERROR(VLOOKUP($S$696,'TAR FIN'!$A$1:$O$99,15,0)),0,VLOOKUP($S$696,'TAR FIN'!$A$1:$O$99,15,0))</f>
        <v>21.85</v>
      </c>
      <c r="W696" s="4">
        <f>IF(ISERROR(VLOOKUP($T$696,'TAR FIN'!$A$1:$O$99,15,0)),0,VLOOKUP($T$696,'TAR FIN'!$A$1:$O$99,15,0))</f>
        <v>0</v>
      </c>
      <c r="X696" s="4">
        <f>IF(ISERROR(VLOOKUP($U$696,'TAR FIN'!$A$1:$O$99,15,0)),0,VLOOKUP($U$696,'TAR FIN'!$A$1:$O$99,15,0))</f>
        <v>0</v>
      </c>
      <c r="Y696" s="4">
        <f ca="1">('TUSD BE'!$AM$21+'TUSD BF'!$AM$21+'TUSD CVA'!$AM$21)*1</f>
        <v>24.669398821277586</v>
      </c>
      <c r="Z696" s="4"/>
      <c r="AA696" s="4"/>
      <c r="AB696" s="4">
        <f>$K$696*$V$696</f>
        <v>239716.35</v>
      </c>
      <c r="AC696" s="4">
        <f>$M$696*$W$696</f>
        <v>0</v>
      </c>
      <c r="AD696" s="4">
        <f>$O$696*$X$696</f>
        <v>0</v>
      </c>
      <c r="AE696" s="4">
        <f ca="1">$K$696*$Y$696</f>
        <v>270647.97446823638</v>
      </c>
      <c r="AF696" s="4">
        <f>$M$696*$Z$696</f>
        <v>0</v>
      </c>
      <c r="AG696" s="4">
        <f>$O$696*$AA$696</f>
        <v>0</v>
      </c>
    </row>
    <row r="697" spans="1:33" ht="11.25" customHeight="1" x14ac:dyDescent="0.25">
      <c r="A697" s="3" t="s">
        <v>28</v>
      </c>
      <c r="B697" s="3" t="s">
        <v>33</v>
      </c>
      <c r="C697" s="3" t="s">
        <v>34</v>
      </c>
      <c r="D697" s="3" t="s">
        <v>43</v>
      </c>
      <c r="E697" s="3" t="s">
        <v>25</v>
      </c>
      <c r="F697" s="3" t="s">
        <v>25</v>
      </c>
      <c r="G697" s="3" t="s">
        <v>25</v>
      </c>
      <c r="H697" s="3" t="s">
        <v>25</v>
      </c>
      <c r="I697" s="6">
        <v>44409</v>
      </c>
      <c r="J697" s="4">
        <v>-49</v>
      </c>
      <c r="K697" s="4">
        <v>-49</v>
      </c>
      <c r="L697" s="4">
        <v>0</v>
      </c>
      <c r="M697" s="4">
        <v>0</v>
      </c>
      <c r="N697" s="4">
        <v>0</v>
      </c>
      <c r="O697" s="4">
        <v>0</v>
      </c>
      <c r="P697" s="4">
        <v>-1</v>
      </c>
      <c r="Q697" s="3" t="s">
        <v>26</v>
      </c>
      <c r="R697" s="3">
        <v>0</v>
      </c>
      <c r="S697" s="4">
        <v>7</v>
      </c>
      <c r="T697" s="4">
        <v>0</v>
      </c>
      <c r="U697" s="4">
        <v>0</v>
      </c>
      <c r="V697" s="4">
        <f>IF(ISERROR(VLOOKUP($S$697,'TAR FIN'!$A$1:$O$99,15,0)),0,VLOOKUP($S$697,'TAR FIN'!$A$1:$O$99,15,0))</f>
        <v>21.85</v>
      </c>
      <c r="W697" s="4">
        <f>IF(ISERROR(VLOOKUP($T$697,'TAR FIN'!$A$1:$O$99,15,0)),0,VLOOKUP($T$697,'TAR FIN'!$A$1:$O$99,15,0))</f>
        <v>0</v>
      </c>
      <c r="X697" s="4">
        <f>IF(ISERROR(VLOOKUP($U$697,'TAR FIN'!$A$1:$O$99,15,0)),0,VLOOKUP($U$697,'TAR FIN'!$A$1:$O$99,15,0))</f>
        <v>0</v>
      </c>
      <c r="Y697" s="4">
        <f ca="1">('TUSD BE'!$AM$21+'TUSD BF'!$AM$21+'TUSD CVA'!$AM$21)*1</f>
        <v>24.669398821277586</v>
      </c>
      <c r="Z697" s="4"/>
      <c r="AA697" s="4"/>
      <c r="AB697" s="4">
        <f>$K$697*$V$697</f>
        <v>-1070.6500000000001</v>
      </c>
      <c r="AC697" s="4">
        <f>$M$697*$W$697</f>
        <v>0</v>
      </c>
      <c r="AD697" s="4">
        <f>$O$697*$X$697</f>
        <v>0</v>
      </c>
      <c r="AE697" s="4">
        <f ca="1">$K$697*$Y$697</f>
        <v>-1208.8005422426018</v>
      </c>
      <c r="AF697" s="4">
        <f>$M$697*$Z$697</f>
        <v>0</v>
      </c>
      <c r="AG697" s="4">
        <f>$O$697*$AA$697</f>
        <v>0</v>
      </c>
    </row>
    <row r="698" spans="1:33" ht="11.25" customHeight="1" x14ac:dyDescent="0.25">
      <c r="A698" s="3" t="s">
        <v>21</v>
      </c>
      <c r="B698" s="3" t="s">
        <v>33</v>
      </c>
      <c r="C698" s="3" t="s">
        <v>34</v>
      </c>
      <c r="D698" s="3" t="s">
        <v>43</v>
      </c>
      <c r="E698" s="3" t="s">
        <v>25</v>
      </c>
      <c r="F698" s="3" t="s">
        <v>25</v>
      </c>
      <c r="G698" s="3" t="s">
        <v>25</v>
      </c>
      <c r="H698" s="3" t="s">
        <v>25</v>
      </c>
      <c r="I698" s="6">
        <v>44440</v>
      </c>
      <c r="J698" s="4">
        <v>89720</v>
      </c>
      <c r="K698" s="4">
        <v>89720</v>
      </c>
      <c r="L698" s="4">
        <v>0</v>
      </c>
      <c r="M698" s="4">
        <v>0</v>
      </c>
      <c r="N698" s="4">
        <v>0</v>
      </c>
      <c r="O698" s="4">
        <v>0</v>
      </c>
      <c r="P698" s="4">
        <v>847</v>
      </c>
      <c r="Q698" s="3" t="s">
        <v>26</v>
      </c>
      <c r="R698" s="3">
        <v>0</v>
      </c>
      <c r="S698" s="4">
        <v>7</v>
      </c>
      <c r="T698" s="4">
        <v>0</v>
      </c>
      <c r="U698" s="4">
        <v>0</v>
      </c>
      <c r="V698" s="4">
        <f>IF(ISERROR(VLOOKUP($S$698,'TAR FIN'!$A$1:$O$99,15,0)),0,VLOOKUP($S$698,'TAR FIN'!$A$1:$O$99,15,0))</f>
        <v>21.85</v>
      </c>
      <c r="W698" s="4">
        <f>IF(ISERROR(VLOOKUP($T$698,'TAR FIN'!$A$1:$O$99,15,0)),0,VLOOKUP($T$698,'TAR FIN'!$A$1:$O$99,15,0))</f>
        <v>0</v>
      </c>
      <c r="X698" s="4">
        <f>IF(ISERROR(VLOOKUP($U$698,'TAR FIN'!$A$1:$O$99,15,0)),0,VLOOKUP($U$698,'TAR FIN'!$A$1:$O$99,15,0))</f>
        <v>0</v>
      </c>
      <c r="Y698" s="4">
        <f ca="1">('TUSD BE'!$AM$21+'TUSD BF'!$AM$21+'TUSD CVA'!$AM$21)*1</f>
        <v>24.669398821277586</v>
      </c>
      <c r="Z698" s="4"/>
      <c r="AA698" s="4"/>
      <c r="AB698" s="4">
        <f>$K$698*$V$698</f>
        <v>1960382.0000000002</v>
      </c>
      <c r="AC698" s="4">
        <f>$M$698*$W$698</f>
        <v>0</v>
      </c>
      <c r="AD698" s="4">
        <f>$O$698*$X$698</f>
        <v>0</v>
      </c>
      <c r="AE698" s="4">
        <f ca="1">$K$698*$Y$698</f>
        <v>2213338.4622450252</v>
      </c>
      <c r="AF698" s="4">
        <f>$M$698*$Z$698</f>
        <v>0</v>
      </c>
      <c r="AG698" s="4">
        <f>$O$698*$AA$698</f>
        <v>0</v>
      </c>
    </row>
    <row r="699" spans="1:33" ht="11.25" customHeight="1" x14ac:dyDescent="0.25">
      <c r="A699" s="3" t="s">
        <v>27</v>
      </c>
      <c r="B699" s="3" t="s">
        <v>33</v>
      </c>
      <c r="C699" s="3" t="s">
        <v>34</v>
      </c>
      <c r="D699" s="3" t="s">
        <v>43</v>
      </c>
      <c r="E699" s="3" t="s">
        <v>25</v>
      </c>
      <c r="F699" s="3" t="s">
        <v>25</v>
      </c>
      <c r="G699" s="3" t="s">
        <v>25</v>
      </c>
      <c r="H699" s="3" t="s">
        <v>25</v>
      </c>
      <c r="I699" s="6">
        <v>44440</v>
      </c>
      <c r="J699" s="4">
        <v>486</v>
      </c>
      <c r="K699" s="4">
        <v>486</v>
      </c>
      <c r="L699" s="4">
        <v>0</v>
      </c>
      <c r="M699" s="4">
        <v>0</v>
      </c>
      <c r="N699" s="4">
        <v>0</v>
      </c>
      <c r="O699" s="4">
        <v>0</v>
      </c>
      <c r="P699" s="4">
        <v>-1</v>
      </c>
      <c r="Q699" s="3" t="s">
        <v>26</v>
      </c>
      <c r="R699" s="3">
        <v>0</v>
      </c>
      <c r="S699" s="4">
        <v>7</v>
      </c>
      <c r="T699" s="4">
        <v>0</v>
      </c>
      <c r="U699" s="4">
        <v>0</v>
      </c>
      <c r="V699" s="4">
        <f>IF(ISERROR(VLOOKUP($S$699,'TAR FIN'!$A$1:$O$99,15,0)),0,VLOOKUP($S$699,'TAR FIN'!$A$1:$O$99,15,0))</f>
        <v>21.85</v>
      </c>
      <c r="W699" s="4">
        <f>IF(ISERROR(VLOOKUP($T$699,'TAR FIN'!$A$1:$O$99,15,0)),0,VLOOKUP($T$699,'TAR FIN'!$A$1:$O$99,15,0))</f>
        <v>0</v>
      </c>
      <c r="X699" s="4">
        <f>IF(ISERROR(VLOOKUP($U$699,'TAR FIN'!$A$1:$O$99,15,0)),0,VLOOKUP($U$699,'TAR FIN'!$A$1:$O$99,15,0))</f>
        <v>0</v>
      </c>
      <c r="Y699" s="4">
        <f ca="1">('TUSD BE'!$AM$21+'TUSD BF'!$AM$21+'TUSD CVA'!$AM$21)*1</f>
        <v>24.669398821277586</v>
      </c>
      <c r="Z699" s="4"/>
      <c r="AA699" s="4"/>
      <c r="AB699" s="4">
        <f>$K$699*$V$699</f>
        <v>10619.1</v>
      </c>
      <c r="AC699" s="4">
        <f>$M$699*$W$699</f>
        <v>0</v>
      </c>
      <c r="AD699" s="4">
        <f>$O$699*$X$699</f>
        <v>0</v>
      </c>
      <c r="AE699" s="4">
        <f ca="1">$K$699*$Y$699</f>
        <v>11989.327827140907</v>
      </c>
      <c r="AF699" s="4">
        <f>$M$699*$Z$699</f>
        <v>0</v>
      </c>
      <c r="AG699" s="4">
        <f>$O$699*$AA$699</f>
        <v>0</v>
      </c>
    </row>
    <row r="700" spans="1:33" ht="11.25" customHeight="1" x14ac:dyDescent="0.25">
      <c r="A700" s="3" t="s">
        <v>28</v>
      </c>
      <c r="B700" s="3" t="s">
        <v>33</v>
      </c>
      <c r="C700" s="3" t="s">
        <v>34</v>
      </c>
      <c r="D700" s="3" t="s">
        <v>43</v>
      </c>
      <c r="E700" s="3" t="s">
        <v>25</v>
      </c>
      <c r="F700" s="3" t="s">
        <v>25</v>
      </c>
      <c r="G700" s="3" t="s">
        <v>25</v>
      </c>
      <c r="H700" s="3" t="s">
        <v>25</v>
      </c>
      <c r="I700" s="6">
        <v>44440</v>
      </c>
      <c r="J700" s="4">
        <v>13292</v>
      </c>
      <c r="K700" s="4">
        <v>13292</v>
      </c>
      <c r="L700" s="4">
        <v>0</v>
      </c>
      <c r="M700" s="4">
        <v>0</v>
      </c>
      <c r="N700" s="4">
        <v>0</v>
      </c>
      <c r="O700" s="4">
        <v>0</v>
      </c>
      <c r="P700" s="4">
        <v>34</v>
      </c>
      <c r="Q700" s="3" t="s">
        <v>26</v>
      </c>
      <c r="R700" s="3">
        <v>0</v>
      </c>
      <c r="S700" s="4">
        <v>7</v>
      </c>
      <c r="T700" s="4">
        <v>0</v>
      </c>
      <c r="U700" s="4">
        <v>0</v>
      </c>
      <c r="V700" s="4">
        <f>IF(ISERROR(VLOOKUP($S$700,'TAR FIN'!$A$1:$O$99,15,0)),0,VLOOKUP($S$700,'TAR FIN'!$A$1:$O$99,15,0))</f>
        <v>21.85</v>
      </c>
      <c r="W700" s="4">
        <f>IF(ISERROR(VLOOKUP($T$700,'TAR FIN'!$A$1:$O$99,15,0)),0,VLOOKUP($T$700,'TAR FIN'!$A$1:$O$99,15,0))</f>
        <v>0</v>
      </c>
      <c r="X700" s="4">
        <f>IF(ISERROR(VLOOKUP($U$700,'TAR FIN'!$A$1:$O$99,15,0)),0,VLOOKUP($U$700,'TAR FIN'!$A$1:$O$99,15,0))</f>
        <v>0</v>
      </c>
      <c r="Y700" s="4">
        <f ca="1">('TUSD BE'!$AM$21+'TUSD BF'!$AM$21+'TUSD CVA'!$AM$21)*1</f>
        <v>24.669398821277586</v>
      </c>
      <c r="Z700" s="4"/>
      <c r="AA700" s="4"/>
      <c r="AB700" s="4">
        <f>$K$700*$V$700</f>
        <v>290430.2</v>
      </c>
      <c r="AC700" s="4">
        <f>$M$700*$W$700</f>
        <v>0</v>
      </c>
      <c r="AD700" s="4">
        <f>$O$700*$X$700</f>
        <v>0</v>
      </c>
      <c r="AE700" s="4">
        <f ca="1">$K$700*$Y$700</f>
        <v>327905.64913242165</v>
      </c>
      <c r="AF700" s="4">
        <f>$M$700*$Z$700</f>
        <v>0</v>
      </c>
      <c r="AG700" s="4">
        <f>$O$700*$AA$700</f>
        <v>0</v>
      </c>
    </row>
    <row r="701" spans="1:33" ht="11.25" customHeight="1" x14ac:dyDescent="0.25">
      <c r="A701" s="3" t="s">
        <v>28</v>
      </c>
      <c r="B701" s="3" t="s">
        <v>33</v>
      </c>
      <c r="C701" s="3" t="s">
        <v>34</v>
      </c>
      <c r="D701" s="3" t="s">
        <v>43</v>
      </c>
      <c r="E701" s="3" t="s">
        <v>25</v>
      </c>
      <c r="F701" s="3" t="s">
        <v>25</v>
      </c>
      <c r="G701" s="3" t="s">
        <v>25</v>
      </c>
      <c r="H701" s="3" t="s">
        <v>25</v>
      </c>
      <c r="I701" s="6">
        <v>44440</v>
      </c>
      <c r="J701" s="4">
        <v>-658</v>
      </c>
      <c r="K701" s="4">
        <v>-658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3" t="s">
        <v>26</v>
      </c>
      <c r="R701" s="3">
        <v>0</v>
      </c>
      <c r="S701" s="4">
        <v>7</v>
      </c>
      <c r="T701" s="4">
        <v>0</v>
      </c>
      <c r="U701" s="4">
        <v>0</v>
      </c>
      <c r="V701" s="4">
        <f>IF(ISERROR(VLOOKUP($S$701,'TAR FIN'!$A$1:$O$99,15,0)),0,VLOOKUP($S$701,'TAR FIN'!$A$1:$O$99,15,0))</f>
        <v>21.85</v>
      </c>
      <c r="W701" s="4">
        <f>IF(ISERROR(VLOOKUP($T$701,'TAR FIN'!$A$1:$O$99,15,0)),0,VLOOKUP($T$701,'TAR FIN'!$A$1:$O$99,15,0))</f>
        <v>0</v>
      </c>
      <c r="X701" s="4">
        <f>IF(ISERROR(VLOOKUP($U$701,'TAR FIN'!$A$1:$O$99,15,0)),0,VLOOKUP($U$701,'TAR FIN'!$A$1:$O$99,15,0))</f>
        <v>0</v>
      </c>
      <c r="Y701" s="4">
        <f ca="1">('TUSD BE'!$AM$21+'TUSD BF'!$AM$21+'TUSD CVA'!$AM$21)*1</f>
        <v>24.669398821277586</v>
      </c>
      <c r="Z701" s="4"/>
      <c r="AA701" s="4"/>
      <c r="AB701" s="4">
        <f>$K$701*$V$701</f>
        <v>-14377.300000000001</v>
      </c>
      <c r="AC701" s="4">
        <f>$M$701*$W$701</f>
        <v>0</v>
      </c>
      <c r="AD701" s="4">
        <f>$O$701*$X$701</f>
        <v>0</v>
      </c>
      <c r="AE701" s="4">
        <f ca="1">$K$701*$Y$701</f>
        <v>-16232.464424400652</v>
      </c>
      <c r="AF701" s="4">
        <f>$M$701*$Z$701</f>
        <v>0</v>
      </c>
      <c r="AG701" s="4">
        <f>$O$701*$AA$701</f>
        <v>0</v>
      </c>
    </row>
    <row r="702" spans="1:33" ht="11.25" customHeight="1" x14ac:dyDescent="0.25">
      <c r="A702" s="3" t="s">
        <v>21</v>
      </c>
      <c r="B702" s="3" t="s">
        <v>33</v>
      </c>
      <c r="C702" s="3" t="s">
        <v>34</v>
      </c>
      <c r="D702" s="3" t="s">
        <v>43</v>
      </c>
      <c r="E702" s="3" t="s">
        <v>25</v>
      </c>
      <c r="F702" s="3" t="s">
        <v>25</v>
      </c>
      <c r="G702" s="3" t="s">
        <v>25</v>
      </c>
      <c r="H702" s="3" t="s">
        <v>25</v>
      </c>
      <c r="I702" s="6">
        <v>44470</v>
      </c>
      <c r="J702" s="4">
        <v>91016</v>
      </c>
      <c r="K702" s="4">
        <v>91016</v>
      </c>
      <c r="L702" s="4">
        <v>0</v>
      </c>
      <c r="M702" s="4">
        <v>0</v>
      </c>
      <c r="N702" s="4">
        <v>0</v>
      </c>
      <c r="O702" s="4">
        <v>0</v>
      </c>
      <c r="P702" s="4">
        <v>833</v>
      </c>
      <c r="Q702" s="3" t="s">
        <v>26</v>
      </c>
      <c r="R702" s="3">
        <v>0</v>
      </c>
      <c r="S702" s="4">
        <v>7</v>
      </c>
      <c r="T702" s="4">
        <v>0</v>
      </c>
      <c r="U702" s="4">
        <v>0</v>
      </c>
      <c r="V702" s="4">
        <f>IF(ISERROR(VLOOKUP($S$702,'TAR FIN'!$A$1:$O$99,15,0)),0,VLOOKUP($S$702,'TAR FIN'!$A$1:$O$99,15,0))</f>
        <v>21.85</v>
      </c>
      <c r="W702" s="4">
        <f>IF(ISERROR(VLOOKUP($T$702,'TAR FIN'!$A$1:$O$99,15,0)),0,VLOOKUP($T$702,'TAR FIN'!$A$1:$O$99,15,0))</f>
        <v>0</v>
      </c>
      <c r="X702" s="4">
        <f>IF(ISERROR(VLOOKUP($U$702,'TAR FIN'!$A$1:$O$99,15,0)),0,VLOOKUP($U$702,'TAR FIN'!$A$1:$O$99,15,0))</f>
        <v>0</v>
      </c>
      <c r="Y702" s="4">
        <f ca="1">('TUSD BE'!$AM$21+'TUSD BF'!$AM$21+'TUSD CVA'!$AM$21)*1</f>
        <v>24.669398821277586</v>
      </c>
      <c r="Z702" s="4"/>
      <c r="AA702" s="4"/>
      <c r="AB702" s="4">
        <f>$K$702*$V$702</f>
        <v>1988699.6</v>
      </c>
      <c r="AC702" s="4">
        <f>$M$702*$W$702</f>
        <v>0</v>
      </c>
      <c r="AD702" s="4">
        <f>$O$702*$X$702</f>
        <v>0</v>
      </c>
      <c r="AE702" s="4">
        <f ca="1">$K$702*$Y$702</f>
        <v>2245310.0031174007</v>
      </c>
      <c r="AF702" s="4">
        <f>$M$702*$Z$702</f>
        <v>0</v>
      </c>
      <c r="AG702" s="4">
        <f>$O$702*$AA$702</f>
        <v>0</v>
      </c>
    </row>
    <row r="703" spans="1:33" ht="11.25" customHeight="1" x14ac:dyDescent="0.25">
      <c r="A703" s="3" t="s">
        <v>27</v>
      </c>
      <c r="B703" s="3" t="s">
        <v>33</v>
      </c>
      <c r="C703" s="3" t="s">
        <v>34</v>
      </c>
      <c r="D703" s="3" t="s">
        <v>43</v>
      </c>
      <c r="E703" s="3" t="s">
        <v>25</v>
      </c>
      <c r="F703" s="3" t="s">
        <v>25</v>
      </c>
      <c r="G703" s="3" t="s">
        <v>25</v>
      </c>
      <c r="H703" s="3" t="s">
        <v>25</v>
      </c>
      <c r="I703" s="6">
        <v>44470</v>
      </c>
      <c r="J703" s="4">
        <v>-2350</v>
      </c>
      <c r="K703" s="4">
        <v>-2350</v>
      </c>
      <c r="L703" s="4">
        <v>0</v>
      </c>
      <c r="M703" s="4">
        <v>0</v>
      </c>
      <c r="N703" s="4">
        <v>0</v>
      </c>
      <c r="O703" s="4">
        <v>0</v>
      </c>
      <c r="P703" s="4">
        <v>-8</v>
      </c>
      <c r="Q703" s="3" t="s">
        <v>26</v>
      </c>
      <c r="R703" s="3">
        <v>0</v>
      </c>
      <c r="S703" s="4">
        <v>7</v>
      </c>
      <c r="T703" s="4">
        <v>0</v>
      </c>
      <c r="U703" s="4">
        <v>0</v>
      </c>
      <c r="V703" s="4">
        <f>IF(ISERROR(VLOOKUP($S$703,'TAR FIN'!$A$1:$O$99,15,0)),0,VLOOKUP($S$703,'TAR FIN'!$A$1:$O$99,15,0))</f>
        <v>21.85</v>
      </c>
      <c r="W703" s="4">
        <f>IF(ISERROR(VLOOKUP($T$703,'TAR FIN'!$A$1:$O$99,15,0)),0,VLOOKUP($T$703,'TAR FIN'!$A$1:$O$99,15,0))</f>
        <v>0</v>
      </c>
      <c r="X703" s="4">
        <f>IF(ISERROR(VLOOKUP($U$703,'TAR FIN'!$A$1:$O$99,15,0)),0,VLOOKUP($U$703,'TAR FIN'!$A$1:$O$99,15,0))</f>
        <v>0</v>
      </c>
      <c r="Y703" s="4">
        <f ca="1">('TUSD BE'!$AM$21+'TUSD BF'!$AM$21+'TUSD CVA'!$AM$21)*1</f>
        <v>24.669398821277586</v>
      </c>
      <c r="Z703" s="4"/>
      <c r="AA703" s="4"/>
      <c r="AB703" s="4">
        <f>$K$703*$V$703</f>
        <v>-51347.5</v>
      </c>
      <c r="AC703" s="4">
        <f>$M$703*$W$703</f>
        <v>0</v>
      </c>
      <c r="AD703" s="4">
        <f>$O$703*$X$703</f>
        <v>0</v>
      </c>
      <c r="AE703" s="4">
        <f ca="1">$K$703*$Y$703</f>
        <v>-57973.087230002326</v>
      </c>
      <c r="AF703" s="4">
        <f>$M$703*$Z$703</f>
        <v>0</v>
      </c>
      <c r="AG703" s="4">
        <f>$O$703*$AA$703</f>
        <v>0</v>
      </c>
    </row>
    <row r="704" spans="1:33" ht="11.25" customHeight="1" x14ac:dyDescent="0.25">
      <c r="A704" s="3" t="s">
        <v>28</v>
      </c>
      <c r="B704" s="3" t="s">
        <v>33</v>
      </c>
      <c r="C704" s="3" t="s">
        <v>34</v>
      </c>
      <c r="D704" s="3" t="s">
        <v>43</v>
      </c>
      <c r="E704" s="3" t="s">
        <v>25</v>
      </c>
      <c r="F704" s="3" t="s">
        <v>25</v>
      </c>
      <c r="G704" s="3" t="s">
        <v>25</v>
      </c>
      <c r="H704" s="3" t="s">
        <v>25</v>
      </c>
      <c r="I704" s="6">
        <v>44470</v>
      </c>
      <c r="J704" s="4">
        <v>14407</v>
      </c>
      <c r="K704" s="4">
        <v>14407</v>
      </c>
      <c r="L704" s="4">
        <v>0</v>
      </c>
      <c r="M704" s="4">
        <v>0</v>
      </c>
      <c r="N704" s="4">
        <v>0</v>
      </c>
      <c r="O704" s="4">
        <v>0</v>
      </c>
      <c r="P704" s="4">
        <v>40</v>
      </c>
      <c r="Q704" s="3" t="s">
        <v>26</v>
      </c>
      <c r="R704" s="3">
        <v>0</v>
      </c>
      <c r="S704" s="4">
        <v>7</v>
      </c>
      <c r="T704" s="4">
        <v>0</v>
      </c>
      <c r="U704" s="4">
        <v>0</v>
      </c>
      <c r="V704" s="4">
        <f>IF(ISERROR(VLOOKUP($S$704,'TAR FIN'!$A$1:$O$99,15,0)),0,VLOOKUP($S$704,'TAR FIN'!$A$1:$O$99,15,0))</f>
        <v>21.85</v>
      </c>
      <c r="W704" s="4">
        <f>IF(ISERROR(VLOOKUP($T$704,'TAR FIN'!$A$1:$O$99,15,0)),0,VLOOKUP($T$704,'TAR FIN'!$A$1:$O$99,15,0))</f>
        <v>0</v>
      </c>
      <c r="X704" s="4">
        <f>IF(ISERROR(VLOOKUP($U$704,'TAR FIN'!$A$1:$O$99,15,0)),0,VLOOKUP($U$704,'TAR FIN'!$A$1:$O$99,15,0))</f>
        <v>0</v>
      </c>
      <c r="Y704" s="4">
        <f ca="1">('TUSD BE'!$AM$21+'TUSD BF'!$AM$21+'TUSD CVA'!$AM$21)*1</f>
        <v>24.669398821277586</v>
      </c>
      <c r="Z704" s="4"/>
      <c r="AA704" s="4"/>
      <c r="AB704" s="4">
        <f>$K$704*$V$704</f>
        <v>314792.95</v>
      </c>
      <c r="AC704" s="4">
        <f>$M$704*$W$704</f>
        <v>0</v>
      </c>
      <c r="AD704" s="4">
        <f>$O$704*$X$704</f>
        <v>0</v>
      </c>
      <c r="AE704" s="4">
        <f ca="1">$K$704*$Y$704</f>
        <v>355412.02881814615</v>
      </c>
      <c r="AF704" s="4">
        <f>$M$704*$Z$704</f>
        <v>0</v>
      </c>
      <c r="AG704" s="4">
        <f>$O$704*$AA$704</f>
        <v>0</v>
      </c>
    </row>
    <row r="705" spans="1:33" ht="11.25" customHeight="1" x14ac:dyDescent="0.25">
      <c r="A705" s="3" t="s">
        <v>28</v>
      </c>
      <c r="B705" s="3" t="s">
        <v>33</v>
      </c>
      <c r="C705" s="3" t="s">
        <v>34</v>
      </c>
      <c r="D705" s="3" t="s">
        <v>43</v>
      </c>
      <c r="E705" s="3" t="s">
        <v>25</v>
      </c>
      <c r="F705" s="3" t="s">
        <v>25</v>
      </c>
      <c r="G705" s="3" t="s">
        <v>25</v>
      </c>
      <c r="H705" s="3" t="s">
        <v>25</v>
      </c>
      <c r="I705" s="6">
        <v>44470</v>
      </c>
      <c r="J705" s="4">
        <v>200</v>
      </c>
      <c r="K705" s="4">
        <v>200</v>
      </c>
      <c r="L705" s="4">
        <v>0</v>
      </c>
      <c r="M705" s="4">
        <v>0</v>
      </c>
      <c r="N705" s="4">
        <v>0</v>
      </c>
      <c r="O705" s="4">
        <v>0</v>
      </c>
      <c r="P705" s="4">
        <v>2</v>
      </c>
      <c r="Q705" s="3" t="s">
        <v>26</v>
      </c>
      <c r="R705" s="3">
        <v>0</v>
      </c>
      <c r="S705" s="4">
        <v>7</v>
      </c>
      <c r="T705" s="4">
        <v>0</v>
      </c>
      <c r="U705" s="4">
        <v>0</v>
      </c>
      <c r="V705" s="4">
        <f>IF(ISERROR(VLOOKUP($S$705,'TAR FIN'!$A$1:$O$99,15,0)),0,VLOOKUP($S$705,'TAR FIN'!$A$1:$O$99,15,0))</f>
        <v>21.85</v>
      </c>
      <c r="W705" s="4">
        <f>IF(ISERROR(VLOOKUP($T$705,'TAR FIN'!$A$1:$O$99,15,0)),0,VLOOKUP($T$705,'TAR FIN'!$A$1:$O$99,15,0))</f>
        <v>0</v>
      </c>
      <c r="X705" s="4">
        <f>IF(ISERROR(VLOOKUP($U$705,'TAR FIN'!$A$1:$O$99,15,0)),0,VLOOKUP($U$705,'TAR FIN'!$A$1:$O$99,15,0))</f>
        <v>0</v>
      </c>
      <c r="Y705" s="4">
        <f ca="1">('TUSD BE'!$AM$21+'TUSD BF'!$AM$21+'TUSD CVA'!$AM$21)*1</f>
        <v>24.669398821277586</v>
      </c>
      <c r="Z705" s="4"/>
      <c r="AA705" s="4"/>
      <c r="AB705" s="4">
        <f>$K$705*$V$705</f>
        <v>4370</v>
      </c>
      <c r="AC705" s="4">
        <f>$M$705*$W$705</f>
        <v>0</v>
      </c>
      <c r="AD705" s="4">
        <f>$O$705*$X$705</f>
        <v>0</v>
      </c>
      <c r="AE705" s="4">
        <f ca="1">$K$705*$Y$705</f>
        <v>4933.8797642555173</v>
      </c>
      <c r="AF705" s="4">
        <f>$M$705*$Z$705</f>
        <v>0</v>
      </c>
      <c r="AG705" s="4">
        <f>$O$705*$AA$705</f>
        <v>0</v>
      </c>
    </row>
    <row r="706" spans="1:33" ht="11.25" customHeight="1" x14ac:dyDescent="0.25">
      <c r="A706" s="3" t="s">
        <v>21</v>
      </c>
      <c r="B706" s="3" t="s">
        <v>33</v>
      </c>
      <c r="C706" s="3" t="s">
        <v>34</v>
      </c>
      <c r="D706" s="3" t="s">
        <v>43</v>
      </c>
      <c r="E706" s="3" t="s">
        <v>25</v>
      </c>
      <c r="F706" s="3" t="s">
        <v>25</v>
      </c>
      <c r="G706" s="3" t="s">
        <v>25</v>
      </c>
      <c r="H706" s="3" t="s">
        <v>25</v>
      </c>
      <c r="I706" s="6">
        <v>44501</v>
      </c>
      <c r="J706" s="4">
        <v>90385</v>
      </c>
      <c r="K706" s="4">
        <v>90385</v>
      </c>
      <c r="L706" s="4">
        <v>0</v>
      </c>
      <c r="M706" s="4">
        <v>0</v>
      </c>
      <c r="N706" s="4">
        <v>0</v>
      </c>
      <c r="O706" s="4">
        <v>0</v>
      </c>
      <c r="P706" s="4">
        <v>825</v>
      </c>
      <c r="Q706" s="3" t="s">
        <v>26</v>
      </c>
      <c r="R706" s="3">
        <v>0</v>
      </c>
      <c r="S706" s="4">
        <v>7</v>
      </c>
      <c r="T706" s="4">
        <v>0</v>
      </c>
      <c r="U706" s="4">
        <v>0</v>
      </c>
      <c r="V706" s="4">
        <f>IF(ISERROR(VLOOKUP($S$706,'TAR FIN'!$A$1:$O$99,15,0)),0,VLOOKUP($S$706,'TAR FIN'!$A$1:$O$99,15,0))</f>
        <v>21.85</v>
      </c>
      <c r="W706" s="4">
        <f>IF(ISERROR(VLOOKUP($T$706,'TAR FIN'!$A$1:$O$99,15,0)),0,VLOOKUP($T$706,'TAR FIN'!$A$1:$O$99,15,0))</f>
        <v>0</v>
      </c>
      <c r="X706" s="4">
        <f>IF(ISERROR(VLOOKUP($U$706,'TAR FIN'!$A$1:$O$99,15,0)),0,VLOOKUP($U$706,'TAR FIN'!$A$1:$O$99,15,0))</f>
        <v>0</v>
      </c>
      <c r="Y706" s="4">
        <f ca="1">('TUSD BE'!$AM$21+'TUSD BF'!$AM$21+'TUSD CVA'!$AM$21)*1</f>
        <v>24.669398821277586</v>
      </c>
      <c r="Z706" s="4"/>
      <c r="AA706" s="4"/>
      <c r="AB706" s="4">
        <f>$K$706*$V$706</f>
        <v>1974912.2500000002</v>
      </c>
      <c r="AC706" s="4">
        <f>$M$706*$W$706</f>
        <v>0</v>
      </c>
      <c r="AD706" s="4">
        <f>$O$706*$X$706</f>
        <v>0</v>
      </c>
      <c r="AE706" s="4">
        <f ca="1">$K$706*$Y$706</f>
        <v>2229743.6124611744</v>
      </c>
      <c r="AF706" s="4">
        <f>$M$706*$Z$706</f>
        <v>0</v>
      </c>
      <c r="AG706" s="4">
        <f>$O$706*$AA$706</f>
        <v>0</v>
      </c>
    </row>
    <row r="707" spans="1:33" ht="11.25" customHeight="1" x14ac:dyDescent="0.25">
      <c r="A707" s="3" t="s">
        <v>27</v>
      </c>
      <c r="B707" s="3" t="s">
        <v>33</v>
      </c>
      <c r="C707" s="3" t="s">
        <v>34</v>
      </c>
      <c r="D707" s="3" t="s">
        <v>43</v>
      </c>
      <c r="E707" s="3" t="s">
        <v>25</v>
      </c>
      <c r="F707" s="3" t="s">
        <v>25</v>
      </c>
      <c r="G707" s="3" t="s">
        <v>25</v>
      </c>
      <c r="H707" s="3" t="s">
        <v>25</v>
      </c>
      <c r="I707" s="6">
        <v>44501</v>
      </c>
      <c r="J707" s="4">
        <v>-751</v>
      </c>
      <c r="K707" s="4">
        <v>-751</v>
      </c>
      <c r="L707" s="4">
        <v>0</v>
      </c>
      <c r="M707" s="4">
        <v>0</v>
      </c>
      <c r="N707" s="4">
        <v>0</v>
      </c>
      <c r="O707" s="4">
        <v>0</v>
      </c>
      <c r="P707" s="4">
        <v>-2</v>
      </c>
      <c r="Q707" s="3" t="s">
        <v>26</v>
      </c>
      <c r="R707" s="3">
        <v>0</v>
      </c>
      <c r="S707" s="4">
        <v>7</v>
      </c>
      <c r="T707" s="4">
        <v>0</v>
      </c>
      <c r="U707" s="4">
        <v>0</v>
      </c>
      <c r="V707" s="4">
        <f>IF(ISERROR(VLOOKUP($S$707,'TAR FIN'!$A$1:$O$99,15,0)),0,VLOOKUP($S$707,'TAR FIN'!$A$1:$O$99,15,0))</f>
        <v>21.85</v>
      </c>
      <c r="W707" s="4">
        <f>IF(ISERROR(VLOOKUP($T$707,'TAR FIN'!$A$1:$O$99,15,0)),0,VLOOKUP($T$707,'TAR FIN'!$A$1:$O$99,15,0))</f>
        <v>0</v>
      </c>
      <c r="X707" s="4">
        <f>IF(ISERROR(VLOOKUP($U$707,'TAR FIN'!$A$1:$O$99,15,0)),0,VLOOKUP($U$707,'TAR FIN'!$A$1:$O$99,15,0))</f>
        <v>0</v>
      </c>
      <c r="Y707" s="4">
        <f ca="1">('TUSD BE'!$AM$21+'TUSD BF'!$AM$21+'TUSD CVA'!$AM$21)*1</f>
        <v>24.669398821277586</v>
      </c>
      <c r="Z707" s="4"/>
      <c r="AA707" s="4"/>
      <c r="AB707" s="4">
        <f>$K$707*$V$707</f>
        <v>-16409.350000000002</v>
      </c>
      <c r="AC707" s="4">
        <f>$M$707*$W$707</f>
        <v>0</v>
      </c>
      <c r="AD707" s="4">
        <f>$O$707*$X$707</f>
        <v>0</v>
      </c>
      <c r="AE707" s="4">
        <f ca="1">$K$707*$Y$707</f>
        <v>-18526.718514779466</v>
      </c>
      <c r="AF707" s="4">
        <f>$M$707*$Z$707</f>
        <v>0</v>
      </c>
      <c r="AG707" s="4">
        <f>$O$707*$AA$707</f>
        <v>0</v>
      </c>
    </row>
    <row r="708" spans="1:33" ht="11.25" customHeight="1" x14ac:dyDescent="0.25">
      <c r="A708" s="3" t="s">
        <v>28</v>
      </c>
      <c r="B708" s="3" t="s">
        <v>33</v>
      </c>
      <c r="C708" s="3" t="s">
        <v>34</v>
      </c>
      <c r="D708" s="3" t="s">
        <v>43</v>
      </c>
      <c r="E708" s="3" t="s">
        <v>25</v>
      </c>
      <c r="F708" s="3" t="s">
        <v>25</v>
      </c>
      <c r="G708" s="3" t="s">
        <v>25</v>
      </c>
      <c r="H708" s="3" t="s">
        <v>25</v>
      </c>
      <c r="I708" s="6">
        <v>44501</v>
      </c>
      <c r="J708" s="4">
        <v>16209</v>
      </c>
      <c r="K708" s="4">
        <v>16209</v>
      </c>
      <c r="L708" s="4">
        <v>0</v>
      </c>
      <c r="M708" s="4">
        <v>0</v>
      </c>
      <c r="N708" s="4">
        <v>0</v>
      </c>
      <c r="O708" s="4">
        <v>0</v>
      </c>
      <c r="P708" s="4">
        <v>49</v>
      </c>
      <c r="Q708" s="3" t="s">
        <v>26</v>
      </c>
      <c r="R708" s="3">
        <v>0</v>
      </c>
      <c r="S708" s="4">
        <v>7</v>
      </c>
      <c r="T708" s="4">
        <v>0</v>
      </c>
      <c r="U708" s="4">
        <v>0</v>
      </c>
      <c r="V708" s="4">
        <f>IF(ISERROR(VLOOKUP($S$708,'TAR FIN'!$A$1:$O$99,15,0)),0,VLOOKUP($S$708,'TAR FIN'!$A$1:$O$99,15,0))</f>
        <v>21.85</v>
      </c>
      <c r="W708" s="4">
        <f>IF(ISERROR(VLOOKUP($T$708,'TAR FIN'!$A$1:$O$99,15,0)),0,VLOOKUP($T$708,'TAR FIN'!$A$1:$O$99,15,0))</f>
        <v>0</v>
      </c>
      <c r="X708" s="4">
        <f>IF(ISERROR(VLOOKUP($U$708,'TAR FIN'!$A$1:$O$99,15,0)),0,VLOOKUP($U$708,'TAR FIN'!$A$1:$O$99,15,0))</f>
        <v>0</v>
      </c>
      <c r="Y708" s="4">
        <f ca="1">('TUSD BE'!$AM$21+'TUSD BF'!$AM$21+'TUSD CVA'!$AM$21)*1</f>
        <v>24.669398821277586</v>
      </c>
      <c r="Z708" s="4"/>
      <c r="AA708" s="4"/>
      <c r="AB708" s="4">
        <f>$K$708*$V$708</f>
        <v>354166.65</v>
      </c>
      <c r="AC708" s="4">
        <f>$M$708*$W$708</f>
        <v>0</v>
      </c>
      <c r="AD708" s="4">
        <f>$O$708*$X$708</f>
        <v>0</v>
      </c>
      <c r="AE708" s="4">
        <f ca="1">$K$708*$Y$708</f>
        <v>399866.28549408837</v>
      </c>
      <c r="AF708" s="4">
        <f>$M$708*$Z$708</f>
        <v>0</v>
      </c>
      <c r="AG708" s="4">
        <f>$O$708*$AA$708</f>
        <v>0</v>
      </c>
    </row>
    <row r="709" spans="1:33" ht="11.25" customHeight="1" x14ac:dyDescent="0.25">
      <c r="A709" s="3" t="s">
        <v>28</v>
      </c>
      <c r="B709" s="3" t="s">
        <v>33</v>
      </c>
      <c r="C709" s="3" t="s">
        <v>34</v>
      </c>
      <c r="D709" s="3" t="s">
        <v>43</v>
      </c>
      <c r="E709" s="3" t="s">
        <v>25</v>
      </c>
      <c r="F709" s="3" t="s">
        <v>25</v>
      </c>
      <c r="G709" s="3" t="s">
        <v>25</v>
      </c>
      <c r="H709" s="3" t="s">
        <v>25</v>
      </c>
      <c r="I709" s="6">
        <v>44501</v>
      </c>
      <c r="J709" s="4">
        <v>67</v>
      </c>
      <c r="K709" s="4">
        <v>67</v>
      </c>
      <c r="L709" s="4">
        <v>0</v>
      </c>
      <c r="M709" s="4">
        <v>0</v>
      </c>
      <c r="N709" s="4">
        <v>0</v>
      </c>
      <c r="O709" s="4">
        <v>0</v>
      </c>
      <c r="P709" s="4">
        <v>1</v>
      </c>
      <c r="Q709" s="3" t="s">
        <v>26</v>
      </c>
      <c r="R709" s="3">
        <v>0</v>
      </c>
      <c r="S709" s="4">
        <v>7</v>
      </c>
      <c r="T709" s="4">
        <v>0</v>
      </c>
      <c r="U709" s="4">
        <v>0</v>
      </c>
      <c r="V709" s="4">
        <f>IF(ISERROR(VLOOKUP($S$709,'TAR FIN'!$A$1:$O$99,15,0)),0,VLOOKUP($S$709,'TAR FIN'!$A$1:$O$99,15,0))</f>
        <v>21.85</v>
      </c>
      <c r="W709" s="4">
        <f>IF(ISERROR(VLOOKUP($T$709,'TAR FIN'!$A$1:$O$99,15,0)),0,VLOOKUP($T$709,'TAR FIN'!$A$1:$O$99,15,0))</f>
        <v>0</v>
      </c>
      <c r="X709" s="4">
        <f>IF(ISERROR(VLOOKUP($U$709,'TAR FIN'!$A$1:$O$99,15,0)),0,VLOOKUP($U$709,'TAR FIN'!$A$1:$O$99,15,0))</f>
        <v>0</v>
      </c>
      <c r="Y709" s="4">
        <f ca="1">('TUSD BE'!$AM$21+'TUSD BF'!$AM$21+'TUSD CVA'!$AM$21)*1</f>
        <v>24.669398821277586</v>
      </c>
      <c r="Z709" s="4"/>
      <c r="AA709" s="4"/>
      <c r="AB709" s="4">
        <f>$K$709*$V$709</f>
        <v>1463.95</v>
      </c>
      <c r="AC709" s="4">
        <f>$M$709*$W$709</f>
        <v>0</v>
      </c>
      <c r="AD709" s="4">
        <f>$O$709*$X$709</f>
        <v>0</v>
      </c>
      <c r="AE709" s="4">
        <f ca="1">$K$709*$Y$709</f>
        <v>1652.8497210255982</v>
      </c>
      <c r="AF709" s="4">
        <f>$M$709*$Z$709</f>
        <v>0</v>
      </c>
      <c r="AG709" s="4">
        <f>$O$709*$AA$709</f>
        <v>0</v>
      </c>
    </row>
    <row r="710" spans="1:33" ht="11.25" customHeight="1" x14ac:dyDescent="0.25">
      <c r="A710" s="3" t="s">
        <v>21</v>
      </c>
      <c r="B710" s="3" t="s">
        <v>33</v>
      </c>
      <c r="C710" s="3" t="s">
        <v>34</v>
      </c>
      <c r="D710" s="3" t="s">
        <v>43</v>
      </c>
      <c r="E710" s="3" t="s">
        <v>25</v>
      </c>
      <c r="F710" s="3" t="s">
        <v>25</v>
      </c>
      <c r="G710" s="3" t="s">
        <v>25</v>
      </c>
      <c r="H710" s="3" t="s">
        <v>25</v>
      </c>
      <c r="I710" s="6">
        <v>44531</v>
      </c>
      <c r="J710" s="4">
        <v>88673</v>
      </c>
      <c r="K710" s="4">
        <v>88673</v>
      </c>
      <c r="L710" s="4">
        <v>0</v>
      </c>
      <c r="M710" s="4">
        <v>0</v>
      </c>
      <c r="N710" s="4">
        <v>0</v>
      </c>
      <c r="O710" s="4">
        <v>0</v>
      </c>
      <c r="P710" s="4">
        <v>816</v>
      </c>
      <c r="Q710" s="3" t="s">
        <v>26</v>
      </c>
      <c r="R710" s="3">
        <v>0</v>
      </c>
      <c r="S710" s="4">
        <v>7</v>
      </c>
      <c r="T710" s="4">
        <v>0</v>
      </c>
      <c r="U710" s="4">
        <v>0</v>
      </c>
      <c r="V710" s="4">
        <f>IF(ISERROR(VLOOKUP($S$710,'TAR FIN'!$A$1:$O$99,15,0)),0,VLOOKUP($S$710,'TAR FIN'!$A$1:$O$99,15,0))</f>
        <v>21.85</v>
      </c>
      <c r="W710" s="4">
        <f>IF(ISERROR(VLOOKUP($T$710,'TAR FIN'!$A$1:$O$99,15,0)),0,VLOOKUP($T$710,'TAR FIN'!$A$1:$O$99,15,0))</f>
        <v>0</v>
      </c>
      <c r="X710" s="4">
        <f>IF(ISERROR(VLOOKUP($U$710,'TAR FIN'!$A$1:$O$99,15,0)),0,VLOOKUP($U$710,'TAR FIN'!$A$1:$O$99,15,0))</f>
        <v>0</v>
      </c>
      <c r="Y710" s="4">
        <f ca="1">('TUSD BE'!$AM$21+'TUSD BF'!$AM$21+'TUSD CVA'!$AM$21)*1</f>
        <v>24.669398821277586</v>
      </c>
      <c r="Z710" s="4"/>
      <c r="AA710" s="4"/>
      <c r="AB710" s="4">
        <f>$K$710*$V$710</f>
        <v>1937505.05</v>
      </c>
      <c r="AC710" s="4">
        <f>$M$710*$W$710</f>
        <v>0</v>
      </c>
      <c r="AD710" s="4">
        <f>$O$710*$X$710</f>
        <v>0</v>
      </c>
      <c r="AE710" s="4">
        <f ca="1">$K$710*$Y$710</f>
        <v>2187509.6016791472</v>
      </c>
      <c r="AF710" s="4">
        <f>$M$710*$Z$710</f>
        <v>0</v>
      </c>
      <c r="AG710" s="4">
        <f>$O$710*$AA$710</f>
        <v>0</v>
      </c>
    </row>
    <row r="711" spans="1:33" ht="11.25" customHeight="1" x14ac:dyDescent="0.25">
      <c r="A711" s="3" t="s">
        <v>27</v>
      </c>
      <c r="B711" s="3" t="s">
        <v>33</v>
      </c>
      <c r="C711" s="3" t="s">
        <v>34</v>
      </c>
      <c r="D711" s="3" t="s">
        <v>43</v>
      </c>
      <c r="E711" s="3" t="s">
        <v>25</v>
      </c>
      <c r="F711" s="3" t="s">
        <v>25</v>
      </c>
      <c r="G711" s="3" t="s">
        <v>25</v>
      </c>
      <c r="H711" s="3" t="s">
        <v>25</v>
      </c>
      <c r="I711" s="6">
        <v>44531</v>
      </c>
      <c r="J711" s="4">
        <v>-28</v>
      </c>
      <c r="K711" s="4">
        <v>-28</v>
      </c>
      <c r="L711" s="4">
        <v>0</v>
      </c>
      <c r="M711" s="4">
        <v>0</v>
      </c>
      <c r="N711" s="4">
        <v>0</v>
      </c>
      <c r="O711" s="4">
        <v>0</v>
      </c>
      <c r="P711" s="4">
        <v>1</v>
      </c>
      <c r="Q711" s="3" t="s">
        <v>26</v>
      </c>
      <c r="R711" s="3">
        <v>0</v>
      </c>
      <c r="S711" s="4">
        <v>7</v>
      </c>
      <c r="T711" s="4">
        <v>0</v>
      </c>
      <c r="U711" s="4">
        <v>0</v>
      </c>
      <c r="V711" s="4">
        <f>IF(ISERROR(VLOOKUP($S$711,'TAR FIN'!$A$1:$O$99,15,0)),0,VLOOKUP($S$711,'TAR FIN'!$A$1:$O$99,15,0))</f>
        <v>21.85</v>
      </c>
      <c r="W711" s="4">
        <f>IF(ISERROR(VLOOKUP($T$711,'TAR FIN'!$A$1:$O$99,15,0)),0,VLOOKUP($T$711,'TAR FIN'!$A$1:$O$99,15,0))</f>
        <v>0</v>
      </c>
      <c r="X711" s="4">
        <f>IF(ISERROR(VLOOKUP($U$711,'TAR FIN'!$A$1:$O$99,15,0)),0,VLOOKUP($U$711,'TAR FIN'!$A$1:$O$99,15,0))</f>
        <v>0</v>
      </c>
      <c r="Y711" s="4">
        <f ca="1">('TUSD BE'!$AM$21+'TUSD BF'!$AM$21+'TUSD CVA'!$AM$21)*1</f>
        <v>24.669398821277586</v>
      </c>
      <c r="Z711" s="4"/>
      <c r="AA711" s="4"/>
      <c r="AB711" s="4">
        <f>$K$711*$V$711</f>
        <v>-611.80000000000007</v>
      </c>
      <c r="AC711" s="4">
        <f>$M$711*$W$711</f>
        <v>0</v>
      </c>
      <c r="AD711" s="4">
        <f>$O$711*$X$711</f>
        <v>0</v>
      </c>
      <c r="AE711" s="4">
        <f ca="1">$K$711*$Y$711</f>
        <v>-690.74316699577241</v>
      </c>
      <c r="AF711" s="4">
        <f>$M$711*$Z$711</f>
        <v>0</v>
      </c>
      <c r="AG711" s="4">
        <f>$O$711*$AA$711</f>
        <v>0</v>
      </c>
    </row>
    <row r="712" spans="1:33" ht="11.25" customHeight="1" x14ac:dyDescent="0.25">
      <c r="A712" s="3" t="s">
        <v>28</v>
      </c>
      <c r="B712" s="3" t="s">
        <v>33</v>
      </c>
      <c r="C712" s="3" t="s">
        <v>34</v>
      </c>
      <c r="D712" s="3" t="s">
        <v>43</v>
      </c>
      <c r="E712" s="3" t="s">
        <v>25</v>
      </c>
      <c r="F712" s="3" t="s">
        <v>25</v>
      </c>
      <c r="G712" s="3" t="s">
        <v>25</v>
      </c>
      <c r="H712" s="3" t="s">
        <v>25</v>
      </c>
      <c r="I712" s="6">
        <v>44531</v>
      </c>
      <c r="J712" s="4">
        <v>18141</v>
      </c>
      <c r="K712" s="4">
        <v>18141</v>
      </c>
      <c r="L712" s="4">
        <v>0</v>
      </c>
      <c r="M712" s="4">
        <v>0</v>
      </c>
      <c r="N712" s="4">
        <v>0</v>
      </c>
      <c r="O712" s="4">
        <v>0</v>
      </c>
      <c r="P712" s="4">
        <v>62</v>
      </c>
      <c r="Q712" s="3" t="s">
        <v>26</v>
      </c>
      <c r="R712" s="3">
        <v>0</v>
      </c>
      <c r="S712" s="4">
        <v>7</v>
      </c>
      <c r="T712" s="4">
        <v>0</v>
      </c>
      <c r="U712" s="4">
        <v>0</v>
      </c>
      <c r="V712" s="4">
        <f>IF(ISERROR(VLOOKUP($S$712,'TAR FIN'!$A$1:$O$99,15,0)),0,VLOOKUP($S$712,'TAR FIN'!$A$1:$O$99,15,0))</f>
        <v>21.85</v>
      </c>
      <c r="W712" s="4">
        <f>IF(ISERROR(VLOOKUP($T$712,'TAR FIN'!$A$1:$O$99,15,0)),0,VLOOKUP($T$712,'TAR FIN'!$A$1:$O$99,15,0))</f>
        <v>0</v>
      </c>
      <c r="X712" s="4">
        <f>IF(ISERROR(VLOOKUP($U$712,'TAR FIN'!$A$1:$O$99,15,0)),0,VLOOKUP($U$712,'TAR FIN'!$A$1:$O$99,15,0))</f>
        <v>0</v>
      </c>
      <c r="Y712" s="4">
        <f ca="1">('TUSD BE'!$AM$21+'TUSD BF'!$AM$21+'TUSD CVA'!$AM$21)*1</f>
        <v>24.669398821277586</v>
      </c>
      <c r="Z712" s="4"/>
      <c r="AA712" s="4"/>
      <c r="AB712" s="4">
        <f>$K$712*$V$712</f>
        <v>396380.85000000003</v>
      </c>
      <c r="AC712" s="4">
        <f>$M$712*$W$712</f>
        <v>0</v>
      </c>
      <c r="AD712" s="4">
        <f>$O$712*$X$712</f>
        <v>0</v>
      </c>
      <c r="AE712" s="4">
        <f ca="1">$K$712*$Y$712</f>
        <v>447527.56401679671</v>
      </c>
      <c r="AF712" s="4">
        <f>$M$712*$Z$712</f>
        <v>0</v>
      </c>
      <c r="AG712" s="4">
        <f>$O$712*$AA$712</f>
        <v>0</v>
      </c>
    </row>
    <row r="713" spans="1:33" ht="11.25" customHeight="1" x14ac:dyDescent="0.25">
      <c r="A713" s="3" t="s">
        <v>28</v>
      </c>
      <c r="B713" s="3" t="s">
        <v>33</v>
      </c>
      <c r="C713" s="3" t="s">
        <v>34</v>
      </c>
      <c r="D713" s="3" t="s">
        <v>43</v>
      </c>
      <c r="E713" s="3" t="s">
        <v>25</v>
      </c>
      <c r="F713" s="3" t="s">
        <v>25</v>
      </c>
      <c r="G713" s="3" t="s">
        <v>25</v>
      </c>
      <c r="H713" s="3" t="s">
        <v>25</v>
      </c>
      <c r="I713" s="6">
        <v>44531</v>
      </c>
      <c r="J713" s="4">
        <v>66</v>
      </c>
      <c r="K713" s="4">
        <v>66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3" t="s">
        <v>26</v>
      </c>
      <c r="R713" s="3">
        <v>0</v>
      </c>
      <c r="S713" s="4">
        <v>7</v>
      </c>
      <c r="T713" s="4">
        <v>0</v>
      </c>
      <c r="U713" s="4">
        <v>0</v>
      </c>
      <c r="V713" s="4">
        <f>IF(ISERROR(VLOOKUP($S$713,'TAR FIN'!$A$1:$O$99,15,0)),0,VLOOKUP($S$713,'TAR FIN'!$A$1:$O$99,15,0))</f>
        <v>21.85</v>
      </c>
      <c r="W713" s="4">
        <f>IF(ISERROR(VLOOKUP($T$713,'TAR FIN'!$A$1:$O$99,15,0)),0,VLOOKUP($T$713,'TAR FIN'!$A$1:$O$99,15,0))</f>
        <v>0</v>
      </c>
      <c r="X713" s="4">
        <f>IF(ISERROR(VLOOKUP($U$713,'TAR FIN'!$A$1:$O$99,15,0)),0,VLOOKUP($U$713,'TAR FIN'!$A$1:$O$99,15,0))</f>
        <v>0</v>
      </c>
      <c r="Y713" s="4">
        <f ca="1">('TUSD BE'!$AM$21+'TUSD BF'!$AM$21+'TUSD CVA'!$AM$21)*1</f>
        <v>24.669398821277586</v>
      </c>
      <c r="Z713" s="4"/>
      <c r="AA713" s="4"/>
      <c r="AB713" s="4">
        <f>$K$713*$V$713</f>
        <v>1442.1000000000001</v>
      </c>
      <c r="AC713" s="4">
        <f>$M$713*$W$713</f>
        <v>0</v>
      </c>
      <c r="AD713" s="4">
        <f>$O$713*$X$713</f>
        <v>0</v>
      </c>
      <c r="AE713" s="4">
        <f ca="1">$K$713*$Y$713</f>
        <v>1628.1803222043206</v>
      </c>
      <c r="AF713" s="4">
        <f>$M$713*$Z$713</f>
        <v>0</v>
      </c>
      <c r="AG713" s="4">
        <f>$O$713*$AA$713</f>
        <v>0</v>
      </c>
    </row>
    <row r="714" spans="1:33" ht="11.25" customHeight="1" x14ac:dyDescent="0.25">
      <c r="A714" s="3" t="s">
        <v>21</v>
      </c>
      <c r="B714" s="3" t="s">
        <v>33</v>
      </c>
      <c r="C714" s="3" t="s">
        <v>34</v>
      </c>
      <c r="D714" s="3" t="s">
        <v>43</v>
      </c>
      <c r="E714" s="3" t="s">
        <v>25</v>
      </c>
      <c r="F714" s="3" t="s">
        <v>25</v>
      </c>
      <c r="G714" s="3" t="s">
        <v>25</v>
      </c>
      <c r="H714" s="3" t="s">
        <v>25</v>
      </c>
      <c r="I714" s="6">
        <v>44562</v>
      </c>
      <c r="J714" s="4">
        <v>88453</v>
      </c>
      <c r="K714" s="4">
        <v>88453</v>
      </c>
      <c r="L714" s="4">
        <v>0</v>
      </c>
      <c r="M714" s="4">
        <v>0</v>
      </c>
      <c r="N714" s="4">
        <v>0</v>
      </c>
      <c r="O714" s="4">
        <v>0</v>
      </c>
      <c r="P714" s="4">
        <v>817</v>
      </c>
      <c r="Q714" s="3" t="s">
        <v>26</v>
      </c>
      <c r="R714" s="3">
        <v>0</v>
      </c>
      <c r="S714" s="4">
        <v>7</v>
      </c>
      <c r="T714" s="4">
        <v>0</v>
      </c>
      <c r="U714" s="4">
        <v>0</v>
      </c>
      <c r="V714" s="4">
        <f>IF(ISERROR(VLOOKUP($S$714,'TAR FIN'!$A$1:$O$99,15,0)),0,VLOOKUP($S$714,'TAR FIN'!$A$1:$O$99,15,0))</f>
        <v>21.85</v>
      </c>
      <c r="W714" s="4">
        <f>IF(ISERROR(VLOOKUP($T$714,'TAR FIN'!$A$1:$O$99,15,0)),0,VLOOKUP($T$714,'TAR FIN'!$A$1:$O$99,15,0))</f>
        <v>0</v>
      </c>
      <c r="X714" s="4">
        <f>IF(ISERROR(VLOOKUP($U$714,'TAR FIN'!$A$1:$O$99,15,0)),0,VLOOKUP($U$714,'TAR FIN'!$A$1:$O$99,15,0))</f>
        <v>0</v>
      </c>
      <c r="Y714" s="4">
        <f ca="1">('TUSD BE'!$AM$21+'TUSD BF'!$AM$21+'TUSD CVA'!$AM$21)*1</f>
        <v>24.669398821277586</v>
      </c>
      <c r="Z714" s="4"/>
      <c r="AA714" s="4"/>
      <c r="AB714" s="4">
        <f>$K$714*$V$714</f>
        <v>1932698.05</v>
      </c>
      <c r="AC714" s="4">
        <f>$M$714*$W$714</f>
        <v>0</v>
      </c>
      <c r="AD714" s="4">
        <f>$O$714*$X$714</f>
        <v>0</v>
      </c>
      <c r="AE714" s="4">
        <f ca="1">$K$714*$Y$714</f>
        <v>2182082.3339384664</v>
      </c>
      <c r="AF714" s="4">
        <f>$M$714*$Z$714</f>
        <v>0</v>
      </c>
      <c r="AG714" s="4">
        <f>$O$714*$AA$714</f>
        <v>0</v>
      </c>
    </row>
    <row r="715" spans="1:33" ht="11.25" customHeight="1" x14ac:dyDescent="0.25">
      <c r="A715" s="3" t="s">
        <v>27</v>
      </c>
      <c r="B715" s="3" t="s">
        <v>33</v>
      </c>
      <c r="C715" s="3" t="s">
        <v>34</v>
      </c>
      <c r="D715" s="3" t="s">
        <v>43</v>
      </c>
      <c r="E715" s="3" t="s">
        <v>25</v>
      </c>
      <c r="F715" s="3" t="s">
        <v>25</v>
      </c>
      <c r="G715" s="3" t="s">
        <v>25</v>
      </c>
      <c r="H715" s="3" t="s">
        <v>25</v>
      </c>
      <c r="I715" s="6">
        <v>44562</v>
      </c>
      <c r="J715" s="4">
        <v>235</v>
      </c>
      <c r="K715" s="4">
        <v>235</v>
      </c>
      <c r="L715" s="4">
        <v>0</v>
      </c>
      <c r="M715" s="4">
        <v>0</v>
      </c>
      <c r="N715" s="4">
        <v>0</v>
      </c>
      <c r="O715" s="4">
        <v>0</v>
      </c>
      <c r="P715" s="4">
        <v>6</v>
      </c>
      <c r="Q715" s="3" t="s">
        <v>26</v>
      </c>
      <c r="R715" s="3">
        <v>0</v>
      </c>
      <c r="S715" s="4">
        <v>7</v>
      </c>
      <c r="T715" s="4">
        <v>0</v>
      </c>
      <c r="U715" s="4">
        <v>0</v>
      </c>
      <c r="V715" s="4">
        <f>IF(ISERROR(VLOOKUP($S$715,'TAR FIN'!$A$1:$O$99,15,0)),0,VLOOKUP($S$715,'TAR FIN'!$A$1:$O$99,15,0))</f>
        <v>21.85</v>
      </c>
      <c r="W715" s="4">
        <f>IF(ISERROR(VLOOKUP($T$715,'TAR FIN'!$A$1:$O$99,15,0)),0,VLOOKUP($T$715,'TAR FIN'!$A$1:$O$99,15,0))</f>
        <v>0</v>
      </c>
      <c r="X715" s="4">
        <f>IF(ISERROR(VLOOKUP($U$715,'TAR FIN'!$A$1:$O$99,15,0)),0,VLOOKUP($U$715,'TAR FIN'!$A$1:$O$99,15,0))</f>
        <v>0</v>
      </c>
      <c r="Y715" s="4">
        <f ca="1">('TUSD BE'!$AM$21+'TUSD BF'!$AM$21+'TUSD CVA'!$AM$21)*1</f>
        <v>24.669398821277586</v>
      </c>
      <c r="Z715" s="4"/>
      <c r="AA715" s="4"/>
      <c r="AB715" s="4">
        <f>$K$715*$V$715</f>
        <v>5134.75</v>
      </c>
      <c r="AC715" s="4">
        <f>$M$715*$W$715</f>
        <v>0</v>
      </c>
      <c r="AD715" s="4">
        <f>$O$715*$X$715</f>
        <v>0</v>
      </c>
      <c r="AE715" s="4">
        <f ca="1">$K$715*$Y$715</f>
        <v>5797.3087230002329</v>
      </c>
      <c r="AF715" s="4">
        <f>$M$715*$Z$715</f>
        <v>0</v>
      </c>
      <c r="AG715" s="4">
        <f>$O$715*$AA$715</f>
        <v>0</v>
      </c>
    </row>
    <row r="716" spans="1:33" ht="11.25" customHeight="1" x14ac:dyDescent="0.25">
      <c r="A716" s="3" t="s">
        <v>28</v>
      </c>
      <c r="B716" s="3" t="s">
        <v>33</v>
      </c>
      <c r="C716" s="3" t="s">
        <v>34</v>
      </c>
      <c r="D716" s="3" t="s">
        <v>43</v>
      </c>
      <c r="E716" s="3" t="s">
        <v>25</v>
      </c>
      <c r="F716" s="3" t="s">
        <v>25</v>
      </c>
      <c r="G716" s="3" t="s">
        <v>25</v>
      </c>
      <c r="H716" s="3" t="s">
        <v>25</v>
      </c>
      <c r="I716" s="6">
        <v>44562</v>
      </c>
      <c r="J716" s="4">
        <v>19207</v>
      </c>
      <c r="K716" s="4">
        <v>19207</v>
      </c>
      <c r="L716" s="4">
        <v>0</v>
      </c>
      <c r="M716" s="4">
        <v>0</v>
      </c>
      <c r="N716" s="4">
        <v>0</v>
      </c>
      <c r="O716" s="4">
        <v>0</v>
      </c>
      <c r="P716" s="4">
        <v>65</v>
      </c>
      <c r="Q716" s="3" t="s">
        <v>26</v>
      </c>
      <c r="R716" s="3">
        <v>0</v>
      </c>
      <c r="S716" s="4">
        <v>7</v>
      </c>
      <c r="T716" s="4">
        <v>0</v>
      </c>
      <c r="U716" s="4">
        <v>0</v>
      </c>
      <c r="V716" s="4">
        <f>IF(ISERROR(VLOOKUP($S$716,'TAR FIN'!$A$1:$O$99,15,0)),0,VLOOKUP($S$716,'TAR FIN'!$A$1:$O$99,15,0))</f>
        <v>21.85</v>
      </c>
      <c r="W716" s="4">
        <f>IF(ISERROR(VLOOKUP($T$716,'TAR FIN'!$A$1:$O$99,15,0)),0,VLOOKUP($T$716,'TAR FIN'!$A$1:$O$99,15,0))</f>
        <v>0</v>
      </c>
      <c r="X716" s="4">
        <f>IF(ISERROR(VLOOKUP($U$716,'TAR FIN'!$A$1:$O$99,15,0)),0,VLOOKUP($U$716,'TAR FIN'!$A$1:$O$99,15,0))</f>
        <v>0</v>
      </c>
      <c r="Y716" s="4">
        <f ca="1">('TUSD BE'!$AM$21+'TUSD BF'!$AM$21+'TUSD CVA'!$AM$21)*1</f>
        <v>24.669398821277586</v>
      </c>
      <c r="Z716" s="4"/>
      <c r="AA716" s="4"/>
      <c r="AB716" s="4">
        <f>$K$716*$V$716</f>
        <v>419672.95</v>
      </c>
      <c r="AC716" s="4">
        <f>$M$716*$W$716</f>
        <v>0</v>
      </c>
      <c r="AD716" s="4">
        <f>$O$716*$X$716</f>
        <v>0</v>
      </c>
      <c r="AE716" s="4">
        <f ca="1">$K$716*$Y$716</f>
        <v>473825.14316027856</v>
      </c>
      <c r="AF716" s="4">
        <f>$M$716*$Z$716</f>
        <v>0</v>
      </c>
      <c r="AG716" s="4">
        <f>$O$716*$AA$716</f>
        <v>0</v>
      </c>
    </row>
    <row r="717" spans="1:33" ht="11.25" customHeight="1" x14ac:dyDescent="0.25">
      <c r="A717" s="3" t="s">
        <v>21</v>
      </c>
      <c r="B717" s="3" t="s">
        <v>33</v>
      </c>
      <c r="C717" s="3" t="s">
        <v>34</v>
      </c>
      <c r="D717" s="3" t="s">
        <v>43</v>
      </c>
      <c r="E717" s="3" t="s">
        <v>25</v>
      </c>
      <c r="F717" s="3" t="s">
        <v>25</v>
      </c>
      <c r="G717" s="3" t="s">
        <v>25</v>
      </c>
      <c r="H717" s="3" t="s">
        <v>25</v>
      </c>
      <c r="I717" s="6">
        <v>44593</v>
      </c>
      <c r="J717" s="4">
        <v>89150</v>
      </c>
      <c r="K717" s="4">
        <v>89150</v>
      </c>
      <c r="L717" s="4">
        <v>0</v>
      </c>
      <c r="M717" s="4">
        <v>0</v>
      </c>
      <c r="N717" s="4">
        <v>0</v>
      </c>
      <c r="O717" s="4">
        <v>0</v>
      </c>
      <c r="P717" s="4">
        <v>819</v>
      </c>
      <c r="Q717" s="3" t="s">
        <v>26</v>
      </c>
      <c r="R717" s="3">
        <v>0</v>
      </c>
      <c r="S717" s="4">
        <v>7</v>
      </c>
      <c r="T717" s="4">
        <v>0</v>
      </c>
      <c r="U717" s="4">
        <v>0</v>
      </c>
      <c r="V717" s="4">
        <f>IF(ISERROR(VLOOKUP($S$717,'TAR FIN'!$A$1:$O$99,15,0)),0,VLOOKUP($S$717,'TAR FIN'!$A$1:$O$99,15,0))</f>
        <v>21.85</v>
      </c>
      <c r="W717" s="4">
        <f>IF(ISERROR(VLOOKUP($T$717,'TAR FIN'!$A$1:$O$99,15,0)),0,VLOOKUP($T$717,'TAR FIN'!$A$1:$O$99,15,0))</f>
        <v>0</v>
      </c>
      <c r="X717" s="4">
        <f>IF(ISERROR(VLOOKUP($U$717,'TAR FIN'!$A$1:$O$99,15,0)),0,VLOOKUP($U$717,'TAR FIN'!$A$1:$O$99,15,0))</f>
        <v>0</v>
      </c>
      <c r="Y717" s="4">
        <f ca="1">('TUSD BE'!$AM$21+'TUSD BF'!$AM$21+'TUSD CVA'!$AM$21)*1</f>
        <v>24.669398821277586</v>
      </c>
      <c r="Z717" s="4"/>
      <c r="AA717" s="4"/>
      <c r="AB717" s="4">
        <f>$K$717*$V$717</f>
        <v>1947927.5000000002</v>
      </c>
      <c r="AC717" s="4">
        <f>$M$717*$W$717</f>
        <v>0</v>
      </c>
      <c r="AD717" s="4">
        <f>$O$717*$X$717</f>
        <v>0</v>
      </c>
      <c r="AE717" s="4">
        <f ca="1">$K$717*$Y$717</f>
        <v>2199276.904916897</v>
      </c>
      <c r="AF717" s="4">
        <f>$M$717*$Z$717</f>
        <v>0</v>
      </c>
      <c r="AG717" s="4">
        <f>$O$717*$AA$717</f>
        <v>0</v>
      </c>
    </row>
    <row r="718" spans="1:33" ht="11.25" customHeight="1" x14ac:dyDescent="0.25">
      <c r="A718" s="3" t="s">
        <v>28</v>
      </c>
      <c r="B718" s="3" t="s">
        <v>33</v>
      </c>
      <c r="C718" s="3" t="s">
        <v>34</v>
      </c>
      <c r="D718" s="3" t="s">
        <v>43</v>
      </c>
      <c r="E718" s="3" t="s">
        <v>25</v>
      </c>
      <c r="F718" s="3" t="s">
        <v>25</v>
      </c>
      <c r="G718" s="3" t="s">
        <v>25</v>
      </c>
      <c r="H718" s="3" t="s">
        <v>25</v>
      </c>
      <c r="I718" s="6">
        <v>44593</v>
      </c>
      <c r="J718" s="4">
        <v>19487</v>
      </c>
      <c r="K718" s="4">
        <v>19487</v>
      </c>
      <c r="L718" s="4">
        <v>0</v>
      </c>
      <c r="M718" s="4">
        <v>0</v>
      </c>
      <c r="N718" s="4">
        <v>0</v>
      </c>
      <c r="O718" s="4">
        <v>0</v>
      </c>
      <c r="P718" s="4">
        <v>66</v>
      </c>
      <c r="Q718" s="3" t="s">
        <v>26</v>
      </c>
      <c r="R718" s="3">
        <v>0</v>
      </c>
      <c r="S718" s="4">
        <v>7</v>
      </c>
      <c r="T718" s="4">
        <v>0</v>
      </c>
      <c r="U718" s="4">
        <v>0</v>
      </c>
      <c r="V718" s="4">
        <f>IF(ISERROR(VLOOKUP($S$718,'TAR FIN'!$A$1:$O$99,15,0)),0,VLOOKUP($S$718,'TAR FIN'!$A$1:$O$99,15,0))</f>
        <v>21.85</v>
      </c>
      <c r="W718" s="4">
        <f>IF(ISERROR(VLOOKUP($T$718,'TAR FIN'!$A$1:$O$99,15,0)),0,VLOOKUP($T$718,'TAR FIN'!$A$1:$O$99,15,0))</f>
        <v>0</v>
      </c>
      <c r="X718" s="4">
        <f>IF(ISERROR(VLOOKUP($U$718,'TAR FIN'!$A$1:$O$99,15,0)),0,VLOOKUP($U$718,'TAR FIN'!$A$1:$O$99,15,0))</f>
        <v>0</v>
      </c>
      <c r="Y718" s="4">
        <f ca="1">('TUSD BE'!$AM$21+'TUSD BF'!$AM$21+'TUSD CVA'!$AM$21)*1</f>
        <v>24.669398821277586</v>
      </c>
      <c r="Z718" s="4"/>
      <c r="AA718" s="4"/>
      <c r="AB718" s="4">
        <f>$K$718*$V$718</f>
        <v>425790.95</v>
      </c>
      <c r="AC718" s="4">
        <f>$M$718*$W$718</f>
        <v>0</v>
      </c>
      <c r="AD718" s="4">
        <f>$O$718*$X$718</f>
        <v>0</v>
      </c>
      <c r="AE718" s="4">
        <f ca="1">$K$718*$Y$718</f>
        <v>480732.57483023632</v>
      </c>
      <c r="AF718" s="4">
        <f>$M$718*$Z$718</f>
        <v>0</v>
      </c>
      <c r="AG718" s="4">
        <f>$O$718*$AA$718</f>
        <v>0</v>
      </c>
    </row>
    <row r="719" spans="1:33" ht="11.25" customHeight="1" x14ac:dyDescent="0.25">
      <c r="A719" s="3" t="s">
        <v>21</v>
      </c>
      <c r="B719" s="3" t="s">
        <v>33</v>
      </c>
      <c r="C719" s="3" t="s">
        <v>34</v>
      </c>
      <c r="D719" s="3" t="s">
        <v>43</v>
      </c>
      <c r="E719" s="3" t="s">
        <v>25</v>
      </c>
      <c r="F719" s="3" t="s">
        <v>25</v>
      </c>
      <c r="G719" s="3" t="s">
        <v>25</v>
      </c>
      <c r="H719" s="3" t="s">
        <v>25</v>
      </c>
      <c r="I719" s="6">
        <v>44621</v>
      </c>
      <c r="J719" s="4">
        <v>89183</v>
      </c>
      <c r="K719" s="4">
        <v>89183</v>
      </c>
      <c r="L719" s="4">
        <v>0</v>
      </c>
      <c r="M719" s="4">
        <v>0</v>
      </c>
      <c r="N719" s="4">
        <v>0</v>
      </c>
      <c r="O719" s="4">
        <v>0</v>
      </c>
      <c r="P719" s="4">
        <v>824</v>
      </c>
      <c r="Q719" s="3" t="s">
        <v>26</v>
      </c>
      <c r="R719" s="3">
        <v>0</v>
      </c>
      <c r="S719" s="4">
        <v>7</v>
      </c>
      <c r="T719" s="4">
        <v>0</v>
      </c>
      <c r="U719" s="4">
        <v>0</v>
      </c>
      <c r="V719" s="4">
        <f>IF(ISERROR(VLOOKUP($S$719,'TAR FIN'!$A$1:$O$99,15,0)),0,VLOOKUP($S$719,'TAR FIN'!$A$1:$O$99,15,0))</f>
        <v>21.85</v>
      </c>
      <c r="W719" s="4">
        <f>IF(ISERROR(VLOOKUP($T$719,'TAR FIN'!$A$1:$O$99,15,0)),0,VLOOKUP($T$719,'TAR FIN'!$A$1:$O$99,15,0))</f>
        <v>0</v>
      </c>
      <c r="X719" s="4">
        <f>IF(ISERROR(VLOOKUP($U$719,'TAR FIN'!$A$1:$O$99,15,0)),0,VLOOKUP($U$719,'TAR FIN'!$A$1:$O$99,15,0))</f>
        <v>0</v>
      </c>
      <c r="Y719" s="4">
        <f ca="1">('TUSD BE'!$AM$21+'TUSD BF'!$AM$21+'TUSD CVA'!$AM$21)*1</f>
        <v>24.669398821277586</v>
      </c>
      <c r="Z719" s="4"/>
      <c r="AA719" s="4"/>
      <c r="AB719" s="4">
        <f>$K$719*$V$719</f>
        <v>1948648.55</v>
      </c>
      <c r="AC719" s="4">
        <f>$M$719*$W$719</f>
        <v>0</v>
      </c>
      <c r="AD719" s="4">
        <f>$O$719*$X$719</f>
        <v>0</v>
      </c>
      <c r="AE719" s="4">
        <f ca="1">$K$719*$Y$719</f>
        <v>2200090.9950779988</v>
      </c>
      <c r="AF719" s="4">
        <f>$M$719*$Z$719</f>
        <v>0</v>
      </c>
      <c r="AG719" s="4">
        <f>$O$719*$AA$719</f>
        <v>0</v>
      </c>
    </row>
    <row r="720" spans="1:33" ht="11.25" customHeight="1" x14ac:dyDescent="0.25">
      <c r="A720" s="3" t="s">
        <v>27</v>
      </c>
      <c r="B720" s="3" t="s">
        <v>33</v>
      </c>
      <c r="C720" s="3" t="s">
        <v>34</v>
      </c>
      <c r="D720" s="3" t="s">
        <v>43</v>
      </c>
      <c r="E720" s="3" t="s">
        <v>25</v>
      </c>
      <c r="F720" s="3" t="s">
        <v>25</v>
      </c>
      <c r="G720" s="3" t="s">
        <v>25</v>
      </c>
      <c r="H720" s="3" t="s">
        <v>25</v>
      </c>
      <c r="I720" s="6">
        <v>44621</v>
      </c>
      <c r="J720" s="4">
        <v>-290</v>
      </c>
      <c r="K720" s="4">
        <v>-290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3" t="s">
        <v>26</v>
      </c>
      <c r="R720" s="3">
        <v>0</v>
      </c>
      <c r="S720" s="4">
        <v>7</v>
      </c>
      <c r="T720" s="4">
        <v>0</v>
      </c>
      <c r="U720" s="4">
        <v>0</v>
      </c>
      <c r="V720" s="4">
        <f>IF(ISERROR(VLOOKUP($S$720,'TAR FIN'!$A$1:$O$99,15,0)),0,VLOOKUP($S$720,'TAR FIN'!$A$1:$O$99,15,0))</f>
        <v>21.85</v>
      </c>
      <c r="W720" s="4">
        <f>IF(ISERROR(VLOOKUP($T$720,'TAR FIN'!$A$1:$O$99,15,0)),0,VLOOKUP($T$720,'TAR FIN'!$A$1:$O$99,15,0))</f>
        <v>0</v>
      </c>
      <c r="X720" s="4">
        <f>IF(ISERROR(VLOOKUP($U$720,'TAR FIN'!$A$1:$O$99,15,0)),0,VLOOKUP($U$720,'TAR FIN'!$A$1:$O$99,15,0))</f>
        <v>0</v>
      </c>
      <c r="Y720" s="4">
        <f ca="1">('TUSD BE'!$AM$21+'TUSD BF'!$AM$21+'TUSD CVA'!$AM$21)*1</f>
        <v>24.669398821277586</v>
      </c>
      <c r="Z720" s="4"/>
      <c r="AA720" s="4"/>
      <c r="AB720" s="4">
        <f>$K$720*$V$720</f>
        <v>-6336.5</v>
      </c>
      <c r="AC720" s="4">
        <f>$M$720*$W$720</f>
        <v>0</v>
      </c>
      <c r="AD720" s="4">
        <f>$O$720*$X$720</f>
        <v>0</v>
      </c>
      <c r="AE720" s="4">
        <f ca="1">$K$720*$Y$720</f>
        <v>-7154.1256581705002</v>
      </c>
      <c r="AF720" s="4">
        <f>$M$720*$Z$720</f>
        <v>0</v>
      </c>
      <c r="AG720" s="4">
        <f>$O$720*$AA$720</f>
        <v>0</v>
      </c>
    </row>
    <row r="721" spans="1:33" ht="11.25" customHeight="1" x14ac:dyDescent="0.25">
      <c r="A721" s="3" t="s">
        <v>28</v>
      </c>
      <c r="B721" s="3" t="s">
        <v>33</v>
      </c>
      <c r="C721" s="3" t="s">
        <v>34</v>
      </c>
      <c r="D721" s="3" t="s">
        <v>43</v>
      </c>
      <c r="E721" s="3" t="s">
        <v>25</v>
      </c>
      <c r="F721" s="3" t="s">
        <v>25</v>
      </c>
      <c r="G721" s="3" t="s">
        <v>25</v>
      </c>
      <c r="H721" s="3" t="s">
        <v>25</v>
      </c>
      <c r="I721" s="6">
        <v>44621</v>
      </c>
      <c r="J721" s="4">
        <v>19743</v>
      </c>
      <c r="K721" s="4">
        <v>19743</v>
      </c>
      <c r="L721" s="4">
        <v>0</v>
      </c>
      <c r="M721" s="4">
        <v>0</v>
      </c>
      <c r="N721" s="4">
        <v>0</v>
      </c>
      <c r="O721" s="4">
        <v>0</v>
      </c>
      <c r="P721" s="4">
        <v>67</v>
      </c>
      <c r="Q721" s="3" t="s">
        <v>26</v>
      </c>
      <c r="R721" s="3">
        <v>0</v>
      </c>
      <c r="S721" s="4">
        <v>7</v>
      </c>
      <c r="T721" s="4">
        <v>0</v>
      </c>
      <c r="U721" s="4">
        <v>0</v>
      </c>
      <c r="V721" s="4">
        <f>IF(ISERROR(VLOOKUP($S$721,'TAR FIN'!$A$1:$O$99,15,0)),0,VLOOKUP($S$721,'TAR FIN'!$A$1:$O$99,15,0))</f>
        <v>21.85</v>
      </c>
      <c r="W721" s="4">
        <f>IF(ISERROR(VLOOKUP($T$721,'TAR FIN'!$A$1:$O$99,15,0)),0,VLOOKUP($T$721,'TAR FIN'!$A$1:$O$99,15,0))</f>
        <v>0</v>
      </c>
      <c r="X721" s="4">
        <f>IF(ISERROR(VLOOKUP($U$721,'TAR FIN'!$A$1:$O$99,15,0)),0,VLOOKUP($U$721,'TAR FIN'!$A$1:$O$99,15,0))</f>
        <v>0</v>
      </c>
      <c r="Y721" s="4">
        <f ca="1">('TUSD BE'!$AM$21+'TUSD BF'!$AM$21+'TUSD CVA'!$AM$21)*1</f>
        <v>24.669398821277586</v>
      </c>
      <c r="Z721" s="4"/>
      <c r="AA721" s="4"/>
      <c r="AB721" s="4">
        <f>$K$721*$V$721</f>
        <v>431384.55000000005</v>
      </c>
      <c r="AC721" s="4">
        <f>$M$721*$W$721</f>
        <v>0</v>
      </c>
      <c r="AD721" s="4">
        <f>$O$721*$X$721</f>
        <v>0</v>
      </c>
      <c r="AE721" s="4">
        <f ca="1">$K$721*$Y$721</f>
        <v>487047.94092848338</v>
      </c>
      <c r="AF721" s="4">
        <f>$M$721*$Z$721</f>
        <v>0</v>
      </c>
      <c r="AG721" s="4">
        <f>$O$721*$AA$721</f>
        <v>0</v>
      </c>
    </row>
    <row r="722" spans="1:33" ht="11.25" customHeight="1" x14ac:dyDescent="0.25">
      <c r="A722" s="3" t="s">
        <v>56</v>
      </c>
      <c r="B722" s="3" t="s">
        <v>33</v>
      </c>
      <c r="C722" s="3" t="s">
        <v>34</v>
      </c>
      <c r="D722" s="3" t="s">
        <v>43</v>
      </c>
      <c r="E722" s="3" t="s">
        <v>25</v>
      </c>
      <c r="F722" s="3" t="s">
        <v>25</v>
      </c>
      <c r="G722" s="3" t="s">
        <v>25</v>
      </c>
      <c r="H722" s="3" t="s">
        <v>25</v>
      </c>
      <c r="I722" s="6">
        <v>44652</v>
      </c>
      <c r="J722" s="4">
        <v>89183</v>
      </c>
      <c r="K722" s="4">
        <v>89183</v>
      </c>
      <c r="L722" s="4">
        <v>0</v>
      </c>
      <c r="M722" s="4">
        <v>0</v>
      </c>
      <c r="N722" s="4">
        <v>0</v>
      </c>
      <c r="O722" s="4">
        <v>0</v>
      </c>
      <c r="P722" s="4">
        <v>824</v>
      </c>
      <c r="Q722" s="3" t="s">
        <v>26</v>
      </c>
      <c r="R722" s="3">
        <v>0</v>
      </c>
      <c r="S722" s="4">
        <v>7</v>
      </c>
      <c r="T722" s="4">
        <v>0</v>
      </c>
      <c r="U722" s="4">
        <v>0</v>
      </c>
      <c r="V722" s="4">
        <f>IF(ISERROR(VLOOKUP($S$722,'TAR FIN'!$A$1:$O$99,15,0)),0,VLOOKUP($S$722,'TAR FIN'!$A$1:$O$99,15,0))</f>
        <v>21.85</v>
      </c>
      <c r="W722" s="4">
        <f>IF(ISERROR(VLOOKUP($T$722,'TAR FIN'!$A$1:$O$99,15,0)),0,VLOOKUP($T$722,'TAR FIN'!$A$1:$O$99,15,0))</f>
        <v>0</v>
      </c>
      <c r="X722" s="4">
        <f>IF(ISERROR(VLOOKUP($U$722,'TAR FIN'!$A$1:$O$99,15,0)),0,VLOOKUP($U$722,'TAR FIN'!$A$1:$O$99,15,0))</f>
        <v>0</v>
      </c>
      <c r="Y722" s="4">
        <f ca="1">('TUSD BE'!$AM$21+'TUSD BF'!$AM$21+'TUSD CVA'!$AM$21)*1</f>
        <v>24.669398821277586</v>
      </c>
      <c r="Z722" s="4"/>
      <c r="AA722" s="4"/>
      <c r="AB722" s="4">
        <f>$K$722*$V$722</f>
        <v>1948648.55</v>
      </c>
      <c r="AC722" s="4">
        <f>$M$722*$W$722</f>
        <v>0</v>
      </c>
      <c r="AD722" s="4">
        <f>$O$722*$X$722</f>
        <v>0</v>
      </c>
      <c r="AE722" s="4">
        <f ca="1">$K$722*$Y$722</f>
        <v>2200090.9950779988</v>
      </c>
      <c r="AF722" s="4">
        <f>$M$722*$Z$722</f>
        <v>0</v>
      </c>
      <c r="AG722" s="4">
        <f>$O$722*$AA$722</f>
        <v>0</v>
      </c>
    </row>
    <row r="723" spans="1:33" ht="11.25" customHeight="1" x14ac:dyDescent="0.25">
      <c r="A723" s="3" t="s">
        <v>56</v>
      </c>
      <c r="B723" s="3" t="s">
        <v>33</v>
      </c>
      <c r="C723" s="3" t="s">
        <v>34</v>
      </c>
      <c r="D723" s="3" t="s">
        <v>43</v>
      </c>
      <c r="E723" s="3" t="s">
        <v>25</v>
      </c>
      <c r="F723" s="3" t="s">
        <v>25</v>
      </c>
      <c r="G723" s="3" t="s">
        <v>25</v>
      </c>
      <c r="H723" s="3" t="s">
        <v>25</v>
      </c>
      <c r="I723" s="6">
        <v>44652</v>
      </c>
      <c r="J723" s="4">
        <v>-290</v>
      </c>
      <c r="K723" s="4">
        <v>-290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3" t="s">
        <v>26</v>
      </c>
      <c r="R723" s="3">
        <v>0</v>
      </c>
      <c r="S723" s="4">
        <v>7</v>
      </c>
      <c r="T723" s="4">
        <v>0</v>
      </c>
      <c r="U723" s="4">
        <v>0</v>
      </c>
      <c r="V723" s="4">
        <f>IF(ISERROR(VLOOKUP($S$723,'TAR FIN'!$A$1:$O$99,15,0)),0,VLOOKUP($S$723,'TAR FIN'!$A$1:$O$99,15,0))</f>
        <v>21.85</v>
      </c>
      <c r="W723" s="4">
        <f>IF(ISERROR(VLOOKUP($T$723,'TAR FIN'!$A$1:$O$99,15,0)),0,VLOOKUP($T$723,'TAR FIN'!$A$1:$O$99,15,0))</f>
        <v>0</v>
      </c>
      <c r="X723" s="4">
        <f>IF(ISERROR(VLOOKUP($U$723,'TAR FIN'!$A$1:$O$99,15,0)),0,VLOOKUP($U$723,'TAR FIN'!$A$1:$O$99,15,0))</f>
        <v>0</v>
      </c>
      <c r="Y723" s="4">
        <f ca="1">('TUSD BE'!$AM$21+'TUSD BF'!$AM$21+'TUSD CVA'!$AM$21)*1</f>
        <v>24.669398821277586</v>
      </c>
      <c r="Z723" s="4"/>
      <c r="AA723" s="4"/>
      <c r="AB723" s="4">
        <f>$K$723*$V$723</f>
        <v>-6336.5</v>
      </c>
      <c r="AC723" s="4">
        <f>$M$723*$W$723</f>
        <v>0</v>
      </c>
      <c r="AD723" s="4">
        <f>$O$723*$X$723</f>
        <v>0</v>
      </c>
      <c r="AE723" s="4">
        <f ca="1">$K$723*$Y$723</f>
        <v>-7154.1256581705002</v>
      </c>
      <c r="AF723" s="4">
        <f>$M$723*$Z$723</f>
        <v>0</v>
      </c>
      <c r="AG723" s="4">
        <f>$O$723*$AA$723</f>
        <v>0</v>
      </c>
    </row>
    <row r="724" spans="1:33" ht="11.25" customHeight="1" x14ac:dyDescent="0.25">
      <c r="A724" s="3" t="s">
        <v>56</v>
      </c>
      <c r="B724" s="3" t="s">
        <v>33</v>
      </c>
      <c r="C724" s="3" t="s">
        <v>34</v>
      </c>
      <c r="D724" s="3" t="s">
        <v>43</v>
      </c>
      <c r="E724" s="3" t="s">
        <v>25</v>
      </c>
      <c r="F724" s="3" t="s">
        <v>25</v>
      </c>
      <c r="G724" s="3" t="s">
        <v>25</v>
      </c>
      <c r="H724" s="3" t="s">
        <v>25</v>
      </c>
      <c r="I724" s="6">
        <v>44652</v>
      </c>
      <c r="J724" s="4">
        <v>19743</v>
      </c>
      <c r="K724" s="4">
        <v>19743</v>
      </c>
      <c r="L724" s="4">
        <v>0</v>
      </c>
      <c r="M724" s="4">
        <v>0</v>
      </c>
      <c r="N724" s="4">
        <v>0</v>
      </c>
      <c r="O724" s="4">
        <v>0</v>
      </c>
      <c r="P724" s="4">
        <v>67</v>
      </c>
      <c r="Q724" s="3" t="s">
        <v>26</v>
      </c>
      <c r="R724" s="3">
        <v>0</v>
      </c>
      <c r="S724" s="4">
        <v>7</v>
      </c>
      <c r="T724" s="4">
        <v>0</v>
      </c>
      <c r="U724" s="4">
        <v>0</v>
      </c>
      <c r="V724" s="4">
        <f>IF(ISERROR(VLOOKUP($S$724,'TAR FIN'!$A$1:$O$99,15,0)),0,VLOOKUP($S$724,'TAR FIN'!$A$1:$O$99,15,0))</f>
        <v>21.85</v>
      </c>
      <c r="W724" s="4">
        <f>IF(ISERROR(VLOOKUP($T$724,'TAR FIN'!$A$1:$O$99,15,0)),0,VLOOKUP($T$724,'TAR FIN'!$A$1:$O$99,15,0))</f>
        <v>0</v>
      </c>
      <c r="X724" s="4">
        <f>IF(ISERROR(VLOOKUP($U$724,'TAR FIN'!$A$1:$O$99,15,0)),0,VLOOKUP($U$724,'TAR FIN'!$A$1:$O$99,15,0))</f>
        <v>0</v>
      </c>
      <c r="Y724" s="4">
        <f ca="1">('TUSD BE'!$AM$21+'TUSD BF'!$AM$21+'TUSD CVA'!$AM$21)*1</f>
        <v>24.669398821277586</v>
      </c>
      <c r="Z724" s="4"/>
      <c r="AA724" s="4"/>
      <c r="AB724" s="4">
        <f>$K$724*$V$724</f>
        <v>431384.55000000005</v>
      </c>
      <c r="AC724" s="4">
        <f>$M$724*$W$724</f>
        <v>0</v>
      </c>
      <c r="AD724" s="4">
        <f>$O$724*$X$724</f>
        <v>0</v>
      </c>
      <c r="AE724" s="4">
        <f ca="1">$K$724*$Y$724</f>
        <v>487047.94092848338</v>
      </c>
      <c r="AF724" s="4">
        <f>$M$724*$Z$724</f>
        <v>0</v>
      </c>
      <c r="AG724" s="4">
        <f>$O$724*$AA$724</f>
        <v>0</v>
      </c>
    </row>
    <row r="725" spans="1:33" ht="11.25" customHeight="1" x14ac:dyDescent="0.25">
      <c r="A725" s="3" t="s">
        <v>21</v>
      </c>
      <c r="B725" s="3" t="s">
        <v>33</v>
      </c>
      <c r="C725" s="3" t="s">
        <v>34</v>
      </c>
      <c r="D725" s="3" t="s">
        <v>43</v>
      </c>
      <c r="E725" s="3" t="s">
        <v>25</v>
      </c>
      <c r="F725" s="3" t="s">
        <v>25</v>
      </c>
      <c r="G725" s="3" t="s">
        <v>25</v>
      </c>
      <c r="H725" s="3" t="s">
        <v>35</v>
      </c>
      <c r="I725" s="6">
        <v>44317</v>
      </c>
      <c r="J725" s="4">
        <v>0</v>
      </c>
      <c r="K725" s="4">
        <v>0</v>
      </c>
      <c r="L725" s="4">
        <v>1015.54</v>
      </c>
      <c r="M725" s="4">
        <v>1015.54</v>
      </c>
      <c r="N725" s="4">
        <v>1015.54</v>
      </c>
      <c r="O725" s="4">
        <v>1015.54</v>
      </c>
      <c r="P725" s="4">
        <v>0</v>
      </c>
      <c r="Q725" s="3" t="s">
        <v>26</v>
      </c>
      <c r="R725" s="3">
        <v>0</v>
      </c>
      <c r="S725" s="4">
        <v>0</v>
      </c>
      <c r="T725" s="4">
        <v>8</v>
      </c>
      <c r="U725" s="4">
        <v>72</v>
      </c>
      <c r="V725" s="4">
        <f>IF(ISERROR(VLOOKUP($S$725,'TAR FIN'!$A$1:$O$99,15,0)),0,VLOOKUP($S$725,'TAR FIN'!$A$1:$O$99,15,0))</f>
        <v>0</v>
      </c>
      <c r="W725" s="4">
        <f>IF(ISERROR(VLOOKUP($T$725,'TAR FIN'!$A$1:$O$99,15,0)),0,VLOOKUP($T$725,'TAR FIN'!$A$1:$O$99,15,0))</f>
        <v>1557.74</v>
      </c>
      <c r="X725" s="4">
        <f>IF(ISERROR(VLOOKUP($U$725,'TAR FIN'!$A$1:$O$99,15,0)),0,VLOOKUP($U$725,'TAR FIN'!$A$1:$O$99,15,0))</f>
        <v>346.61</v>
      </c>
      <c r="Y725" s="4"/>
      <c r="Z725" s="4">
        <f ca="1">('TUSD BE'!$AM$22+'TUSD BF'!$AM$22+'TUSD CVA'!$AM$22)*1</f>
        <v>1799.131999651745</v>
      </c>
      <c r="AA725" s="4">
        <f>('TE BE'!$AA$7+'TE BF'!$AA$7+'TE CVA'!$AA$7)*1</f>
        <v>423.89652505413846</v>
      </c>
      <c r="AB725" s="4">
        <f>$K$725*$V$725</f>
        <v>0</v>
      </c>
      <c r="AC725" s="4">
        <f>$M$725*$W$725</f>
        <v>1581947.2796</v>
      </c>
      <c r="AD725" s="4">
        <f>$O$725*$X$725</f>
        <v>351996.31939999998</v>
      </c>
      <c r="AE725" s="4">
        <f>$K$725*$Y$725</f>
        <v>0</v>
      </c>
      <c r="AF725" s="4">
        <f ca="1">$M$725*$Z$725</f>
        <v>1827090.510926333</v>
      </c>
      <c r="AG725" s="4">
        <f>$O$725*$AA$725</f>
        <v>430483.87705347978</v>
      </c>
    </row>
    <row r="726" spans="1:33" ht="11.25" customHeight="1" x14ac:dyDescent="0.25">
      <c r="A726" s="3" t="s">
        <v>28</v>
      </c>
      <c r="B726" s="3" t="s">
        <v>33</v>
      </c>
      <c r="C726" s="3" t="s">
        <v>34</v>
      </c>
      <c r="D726" s="3" t="s">
        <v>43</v>
      </c>
      <c r="E726" s="3" t="s">
        <v>25</v>
      </c>
      <c r="F726" s="3" t="s">
        <v>25</v>
      </c>
      <c r="G726" s="3" t="s">
        <v>25</v>
      </c>
      <c r="H726" s="3" t="s">
        <v>35</v>
      </c>
      <c r="I726" s="6">
        <v>44317</v>
      </c>
      <c r="J726" s="4">
        <v>0</v>
      </c>
      <c r="K726" s="4">
        <v>0</v>
      </c>
      <c r="L726" s="4">
        <v>24.323</v>
      </c>
      <c r="M726" s="4">
        <v>24.323</v>
      </c>
      <c r="N726" s="4">
        <v>24.323</v>
      </c>
      <c r="O726" s="4">
        <v>24.323</v>
      </c>
      <c r="P726" s="4">
        <v>0</v>
      </c>
      <c r="Q726" s="3" t="s">
        <v>26</v>
      </c>
      <c r="R726" s="3">
        <v>0</v>
      </c>
      <c r="S726" s="4">
        <v>0</v>
      </c>
      <c r="T726" s="4">
        <v>8</v>
      </c>
      <c r="U726" s="4">
        <v>72</v>
      </c>
      <c r="V726" s="4">
        <f>IF(ISERROR(VLOOKUP($S$726,'TAR FIN'!$A$1:$O$99,15,0)),0,VLOOKUP($S$726,'TAR FIN'!$A$1:$O$99,15,0))</f>
        <v>0</v>
      </c>
      <c r="W726" s="4">
        <f>IF(ISERROR(VLOOKUP($T$726,'TAR FIN'!$A$1:$O$99,15,0)),0,VLOOKUP($T$726,'TAR FIN'!$A$1:$O$99,15,0))</f>
        <v>1557.74</v>
      </c>
      <c r="X726" s="4">
        <f>IF(ISERROR(VLOOKUP($U$726,'TAR FIN'!$A$1:$O$99,15,0)),0,VLOOKUP($U$726,'TAR FIN'!$A$1:$O$99,15,0))</f>
        <v>346.61</v>
      </c>
      <c r="Y726" s="4"/>
      <c r="Z726" s="4">
        <f ca="1">('TUSD BE'!$AM$22+'TUSD BF'!$AM$22+'TUSD CVA'!$AM$22)*1</f>
        <v>1799.131999651745</v>
      </c>
      <c r="AA726" s="4">
        <f>('TE BE'!$AA$7+'TE BF'!$AA$7+'TE CVA'!$AA$7)*1</f>
        <v>423.89652505413846</v>
      </c>
      <c r="AB726" s="4">
        <f>$K$726*$V$726</f>
        <v>0</v>
      </c>
      <c r="AC726" s="4">
        <f>$M$726*$W$726</f>
        <v>37888.910020000003</v>
      </c>
      <c r="AD726" s="4">
        <f>$O$726*$X$726</f>
        <v>8430.5950300000004</v>
      </c>
      <c r="AE726" s="4">
        <f>$K$726*$Y$726</f>
        <v>0</v>
      </c>
      <c r="AF726" s="4">
        <f ca="1">$M$726*$Z$726</f>
        <v>43760.287627529397</v>
      </c>
      <c r="AG726" s="4">
        <f>$O$726*$AA$726</f>
        <v>10310.43517889181</v>
      </c>
    </row>
    <row r="727" spans="1:33" ht="11.25" customHeight="1" x14ac:dyDescent="0.25">
      <c r="A727" s="3" t="s">
        <v>28</v>
      </c>
      <c r="B727" s="3" t="s">
        <v>33</v>
      </c>
      <c r="C727" s="3" t="s">
        <v>34</v>
      </c>
      <c r="D727" s="3" t="s">
        <v>43</v>
      </c>
      <c r="E727" s="3" t="s">
        <v>25</v>
      </c>
      <c r="F727" s="3" t="s">
        <v>25</v>
      </c>
      <c r="G727" s="3" t="s">
        <v>25</v>
      </c>
      <c r="H727" s="3" t="s">
        <v>35</v>
      </c>
      <c r="I727" s="6">
        <v>44317</v>
      </c>
      <c r="J727" s="4">
        <v>0</v>
      </c>
      <c r="K727" s="4">
        <v>0</v>
      </c>
      <c r="L727" s="4">
        <v>-1.4179999999999999</v>
      </c>
      <c r="M727" s="4">
        <v>-1.4179999999999999</v>
      </c>
      <c r="N727" s="4">
        <v>-1.4179999999999999</v>
      </c>
      <c r="O727" s="4">
        <v>-1.4179999999999999</v>
      </c>
      <c r="P727" s="4">
        <v>0</v>
      </c>
      <c r="Q727" s="3" t="s">
        <v>26</v>
      </c>
      <c r="R727" s="3">
        <v>0</v>
      </c>
      <c r="S727" s="4">
        <v>0</v>
      </c>
      <c r="T727" s="4">
        <v>8</v>
      </c>
      <c r="U727" s="4">
        <v>72</v>
      </c>
      <c r="V727" s="4">
        <f>IF(ISERROR(VLOOKUP($S$727,'TAR FIN'!$A$1:$O$99,15,0)),0,VLOOKUP($S$727,'TAR FIN'!$A$1:$O$99,15,0))</f>
        <v>0</v>
      </c>
      <c r="W727" s="4">
        <f>IF(ISERROR(VLOOKUP($T$727,'TAR FIN'!$A$1:$O$99,15,0)),0,VLOOKUP($T$727,'TAR FIN'!$A$1:$O$99,15,0))</f>
        <v>1557.74</v>
      </c>
      <c r="X727" s="4">
        <f>IF(ISERROR(VLOOKUP($U$727,'TAR FIN'!$A$1:$O$99,15,0)),0,VLOOKUP($U$727,'TAR FIN'!$A$1:$O$99,15,0))</f>
        <v>346.61</v>
      </c>
      <c r="Y727" s="4"/>
      <c r="Z727" s="4">
        <f ca="1">('TUSD BE'!$AM$22+'TUSD BF'!$AM$22+'TUSD CVA'!$AM$22)*1</f>
        <v>1799.131999651745</v>
      </c>
      <c r="AA727" s="4">
        <f>('TE BE'!$AA$7+'TE BF'!$AA$7+'TE CVA'!$AA$7)*1</f>
        <v>423.89652505413846</v>
      </c>
      <c r="AB727" s="4">
        <f>$K$727*$V$727</f>
        <v>0</v>
      </c>
      <c r="AC727" s="4">
        <f>$M$727*$W$727</f>
        <v>-2208.8753200000001</v>
      </c>
      <c r="AD727" s="4">
        <f>$O$727*$X$727</f>
        <v>-491.49297999999999</v>
      </c>
      <c r="AE727" s="4">
        <f>$K$727*$Y$727</f>
        <v>0</v>
      </c>
      <c r="AF727" s="4">
        <f ca="1">$M$727*$Z$727</f>
        <v>-2551.1691755061743</v>
      </c>
      <c r="AG727" s="4">
        <f>$O$727*$AA$727</f>
        <v>-601.08527252676834</v>
      </c>
    </row>
    <row r="728" spans="1:33" ht="11.25" customHeight="1" x14ac:dyDescent="0.25">
      <c r="A728" s="3" t="s">
        <v>21</v>
      </c>
      <c r="B728" s="3" t="s">
        <v>33</v>
      </c>
      <c r="C728" s="3" t="s">
        <v>34</v>
      </c>
      <c r="D728" s="3" t="s">
        <v>43</v>
      </c>
      <c r="E728" s="3" t="s">
        <v>25</v>
      </c>
      <c r="F728" s="3" t="s">
        <v>25</v>
      </c>
      <c r="G728" s="3" t="s">
        <v>25</v>
      </c>
      <c r="H728" s="3" t="s">
        <v>35</v>
      </c>
      <c r="I728" s="6">
        <v>44348</v>
      </c>
      <c r="J728" s="4">
        <v>0</v>
      </c>
      <c r="K728" s="4">
        <v>0</v>
      </c>
      <c r="L728" s="4">
        <v>920.05600000000004</v>
      </c>
      <c r="M728" s="4">
        <v>920.05600000000004</v>
      </c>
      <c r="N728" s="4">
        <v>920.05600000000004</v>
      </c>
      <c r="O728" s="4">
        <v>920.05600000000004</v>
      </c>
      <c r="P728" s="4">
        <v>0</v>
      </c>
      <c r="Q728" s="3" t="s">
        <v>26</v>
      </c>
      <c r="R728" s="3">
        <v>0</v>
      </c>
      <c r="S728" s="4">
        <v>0</v>
      </c>
      <c r="T728" s="4">
        <v>8</v>
      </c>
      <c r="U728" s="4">
        <v>72</v>
      </c>
      <c r="V728" s="4">
        <f>IF(ISERROR(VLOOKUP($S$728,'TAR FIN'!$A$1:$O$99,15,0)),0,VLOOKUP($S$728,'TAR FIN'!$A$1:$O$99,15,0))</f>
        <v>0</v>
      </c>
      <c r="W728" s="4">
        <f>IF(ISERROR(VLOOKUP($T$728,'TAR FIN'!$A$1:$O$99,15,0)),0,VLOOKUP($T$728,'TAR FIN'!$A$1:$O$99,15,0))</f>
        <v>1557.74</v>
      </c>
      <c r="X728" s="4">
        <f>IF(ISERROR(VLOOKUP($U$728,'TAR FIN'!$A$1:$O$99,15,0)),0,VLOOKUP($U$728,'TAR FIN'!$A$1:$O$99,15,0))</f>
        <v>346.61</v>
      </c>
      <c r="Y728" s="4"/>
      <c r="Z728" s="4">
        <f ca="1">('TUSD BE'!$AM$22+'TUSD BF'!$AM$22+'TUSD CVA'!$AM$22)*1</f>
        <v>1799.131999651745</v>
      </c>
      <c r="AA728" s="4">
        <f>('TE BE'!$AA$7+'TE BF'!$AA$7+'TE CVA'!$AA$7)*1</f>
        <v>423.89652505413846</v>
      </c>
      <c r="AB728" s="4">
        <f>$K$728*$V$728</f>
        <v>0</v>
      </c>
      <c r="AC728" s="4">
        <f>$M$728*$W$728</f>
        <v>1433208.0334400001</v>
      </c>
      <c r="AD728" s="4">
        <f>$O$728*$X$728</f>
        <v>318900.61016000004</v>
      </c>
      <c r="AE728" s="4">
        <f>$K$728*$Y$728</f>
        <v>0</v>
      </c>
      <c r="AF728" s="4">
        <f ca="1">$M$728*$Z$728</f>
        <v>1655302.191071586</v>
      </c>
      <c r="AG728" s="4">
        <f>$O$728*$AA$728</f>
        <v>390008.54125521041</v>
      </c>
    </row>
    <row r="729" spans="1:33" ht="11.25" customHeight="1" x14ac:dyDescent="0.25">
      <c r="A729" s="3" t="s">
        <v>27</v>
      </c>
      <c r="B729" s="3" t="s">
        <v>33</v>
      </c>
      <c r="C729" s="3" t="s">
        <v>34</v>
      </c>
      <c r="D729" s="3" t="s">
        <v>43</v>
      </c>
      <c r="E729" s="3" t="s">
        <v>25</v>
      </c>
      <c r="F729" s="3" t="s">
        <v>25</v>
      </c>
      <c r="G729" s="3" t="s">
        <v>25</v>
      </c>
      <c r="H729" s="3" t="s">
        <v>35</v>
      </c>
      <c r="I729" s="6">
        <v>44348</v>
      </c>
      <c r="J729" s="4">
        <v>0</v>
      </c>
      <c r="K729" s="4">
        <v>0</v>
      </c>
      <c r="L729" s="4">
        <v>-18.613</v>
      </c>
      <c r="M729" s="4">
        <v>-18.613</v>
      </c>
      <c r="N729" s="4">
        <v>-18.613</v>
      </c>
      <c r="O729" s="4">
        <v>-18.613</v>
      </c>
      <c r="P729" s="4">
        <v>0</v>
      </c>
      <c r="Q729" s="3" t="s">
        <v>26</v>
      </c>
      <c r="R729" s="3">
        <v>0</v>
      </c>
      <c r="S729" s="4">
        <v>0</v>
      </c>
      <c r="T729" s="4">
        <v>8</v>
      </c>
      <c r="U729" s="4">
        <v>72</v>
      </c>
      <c r="V729" s="4">
        <f>IF(ISERROR(VLOOKUP($S$729,'TAR FIN'!$A$1:$O$99,15,0)),0,VLOOKUP($S$729,'TAR FIN'!$A$1:$O$99,15,0))</f>
        <v>0</v>
      </c>
      <c r="W729" s="4">
        <f>IF(ISERROR(VLOOKUP($T$729,'TAR FIN'!$A$1:$O$99,15,0)),0,VLOOKUP($T$729,'TAR FIN'!$A$1:$O$99,15,0))</f>
        <v>1557.74</v>
      </c>
      <c r="X729" s="4">
        <f>IF(ISERROR(VLOOKUP($U$729,'TAR FIN'!$A$1:$O$99,15,0)),0,VLOOKUP($U$729,'TAR FIN'!$A$1:$O$99,15,0))</f>
        <v>346.61</v>
      </c>
      <c r="Y729" s="4"/>
      <c r="Z729" s="4">
        <f ca="1">('TUSD BE'!$AM$22+'TUSD BF'!$AM$22+'TUSD CVA'!$AM$22)*1</f>
        <v>1799.131999651745</v>
      </c>
      <c r="AA729" s="4">
        <f>('TE BE'!$AA$7+'TE BF'!$AA$7+'TE CVA'!$AA$7)*1</f>
        <v>423.89652505413846</v>
      </c>
      <c r="AB729" s="4">
        <f>$K$729*$V$729</f>
        <v>0</v>
      </c>
      <c r="AC729" s="4">
        <f>$M$729*$W$729</f>
        <v>-28994.214619999999</v>
      </c>
      <c r="AD729" s="4">
        <f>$O$729*$X$729</f>
        <v>-6451.4519300000002</v>
      </c>
      <c r="AE729" s="4">
        <f>$K$729*$Y$729</f>
        <v>0</v>
      </c>
      <c r="AF729" s="4">
        <f ca="1">$M$729*$Z$729</f>
        <v>-33487.243909517929</v>
      </c>
      <c r="AG729" s="4">
        <f>$O$729*$AA$729</f>
        <v>-7889.9860208326791</v>
      </c>
    </row>
    <row r="730" spans="1:33" ht="11.25" customHeight="1" x14ac:dyDescent="0.25">
      <c r="A730" s="3" t="s">
        <v>28</v>
      </c>
      <c r="B730" s="3" t="s">
        <v>33</v>
      </c>
      <c r="C730" s="3" t="s">
        <v>34</v>
      </c>
      <c r="D730" s="3" t="s">
        <v>43</v>
      </c>
      <c r="E730" s="3" t="s">
        <v>25</v>
      </c>
      <c r="F730" s="3" t="s">
        <v>25</v>
      </c>
      <c r="G730" s="3" t="s">
        <v>25</v>
      </c>
      <c r="H730" s="3" t="s">
        <v>35</v>
      </c>
      <c r="I730" s="6">
        <v>44348</v>
      </c>
      <c r="J730" s="4">
        <v>0</v>
      </c>
      <c r="K730" s="4">
        <v>0</v>
      </c>
      <c r="L730" s="4">
        <v>23.039000000000001</v>
      </c>
      <c r="M730" s="4">
        <v>23.039000000000001</v>
      </c>
      <c r="N730" s="4">
        <v>23.039000000000001</v>
      </c>
      <c r="O730" s="4">
        <v>23.039000000000001</v>
      </c>
      <c r="P730" s="4">
        <v>0</v>
      </c>
      <c r="Q730" s="3" t="s">
        <v>26</v>
      </c>
      <c r="R730" s="3">
        <v>0</v>
      </c>
      <c r="S730" s="4">
        <v>0</v>
      </c>
      <c r="T730" s="4">
        <v>8</v>
      </c>
      <c r="U730" s="4">
        <v>72</v>
      </c>
      <c r="V730" s="4">
        <f>IF(ISERROR(VLOOKUP($S$730,'TAR FIN'!$A$1:$O$99,15,0)),0,VLOOKUP($S$730,'TAR FIN'!$A$1:$O$99,15,0))</f>
        <v>0</v>
      </c>
      <c r="W730" s="4">
        <f>IF(ISERROR(VLOOKUP($T$730,'TAR FIN'!$A$1:$O$99,15,0)),0,VLOOKUP($T$730,'TAR FIN'!$A$1:$O$99,15,0))</f>
        <v>1557.74</v>
      </c>
      <c r="X730" s="4">
        <f>IF(ISERROR(VLOOKUP($U$730,'TAR FIN'!$A$1:$O$99,15,0)),0,VLOOKUP($U$730,'TAR FIN'!$A$1:$O$99,15,0))</f>
        <v>346.61</v>
      </c>
      <c r="Y730" s="4"/>
      <c r="Z730" s="4">
        <f ca="1">('TUSD BE'!$AM$22+'TUSD BF'!$AM$22+'TUSD CVA'!$AM$22)*1</f>
        <v>1799.131999651745</v>
      </c>
      <c r="AA730" s="4">
        <f>('TE BE'!$AA$7+'TE BF'!$AA$7+'TE CVA'!$AA$7)*1</f>
        <v>423.89652505413846</v>
      </c>
      <c r="AB730" s="4">
        <f>$K$730*$V$730</f>
        <v>0</v>
      </c>
      <c r="AC730" s="4">
        <f>$M$730*$W$730</f>
        <v>35888.771860000001</v>
      </c>
      <c r="AD730" s="4">
        <f>$O$730*$X$730</f>
        <v>7985.5477900000005</v>
      </c>
      <c r="AE730" s="4">
        <f>$K$730*$Y$730</f>
        <v>0</v>
      </c>
      <c r="AF730" s="4">
        <f ca="1">$M$730*$Z$730</f>
        <v>41450.202139976558</v>
      </c>
      <c r="AG730" s="4">
        <f>$O$730*$AA$730</f>
        <v>9766.1520407222961</v>
      </c>
    </row>
    <row r="731" spans="1:33" ht="11.25" customHeight="1" x14ac:dyDescent="0.25">
      <c r="A731" s="3" t="s">
        <v>21</v>
      </c>
      <c r="B731" s="3" t="s">
        <v>33</v>
      </c>
      <c r="C731" s="3" t="s">
        <v>34</v>
      </c>
      <c r="D731" s="3" t="s">
        <v>43</v>
      </c>
      <c r="E731" s="3" t="s">
        <v>25</v>
      </c>
      <c r="F731" s="3" t="s">
        <v>25</v>
      </c>
      <c r="G731" s="3" t="s">
        <v>25</v>
      </c>
      <c r="H731" s="3" t="s">
        <v>35</v>
      </c>
      <c r="I731" s="6">
        <v>44378</v>
      </c>
      <c r="J731" s="4">
        <v>0</v>
      </c>
      <c r="K731" s="4">
        <v>0</v>
      </c>
      <c r="L731" s="4">
        <v>1014.527</v>
      </c>
      <c r="M731" s="4">
        <v>1014.527</v>
      </c>
      <c r="N731" s="4">
        <v>1014.527</v>
      </c>
      <c r="O731" s="4">
        <v>1014.527</v>
      </c>
      <c r="P731" s="4">
        <v>0</v>
      </c>
      <c r="Q731" s="3" t="s">
        <v>26</v>
      </c>
      <c r="R731" s="3">
        <v>0</v>
      </c>
      <c r="S731" s="4">
        <v>0</v>
      </c>
      <c r="T731" s="4">
        <v>8</v>
      </c>
      <c r="U731" s="4">
        <v>72</v>
      </c>
      <c r="V731" s="4">
        <f>IF(ISERROR(VLOOKUP($S$731,'TAR FIN'!$A$1:$O$99,15,0)),0,VLOOKUP($S$731,'TAR FIN'!$A$1:$O$99,15,0))</f>
        <v>0</v>
      </c>
      <c r="W731" s="4">
        <f>IF(ISERROR(VLOOKUP($T$731,'TAR FIN'!$A$1:$O$99,15,0)),0,VLOOKUP($T$731,'TAR FIN'!$A$1:$O$99,15,0))</f>
        <v>1557.74</v>
      </c>
      <c r="X731" s="4">
        <f>IF(ISERROR(VLOOKUP($U$731,'TAR FIN'!$A$1:$O$99,15,0)),0,VLOOKUP($U$731,'TAR FIN'!$A$1:$O$99,15,0))</f>
        <v>346.61</v>
      </c>
      <c r="Y731" s="4"/>
      <c r="Z731" s="4">
        <f ca="1">('TUSD BE'!$AM$22+'TUSD BF'!$AM$22+'TUSD CVA'!$AM$22)*1</f>
        <v>1799.131999651745</v>
      </c>
      <c r="AA731" s="4">
        <f>('TE BE'!$AA$7+'TE BF'!$AA$7+'TE CVA'!$AA$7)*1</f>
        <v>423.89652505413846</v>
      </c>
      <c r="AB731" s="4">
        <f>$K$731*$V$731</f>
        <v>0</v>
      </c>
      <c r="AC731" s="4">
        <f>$M$731*$W$731</f>
        <v>1580369.2889800002</v>
      </c>
      <c r="AD731" s="4">
        <f>$O$731*$X$731</f>
        <v>351645.20347000001</v>
      </c>
      <c r="AE731" s="4">
        <f>$K$731*$Y$731</f>
        <v>0</v>
      </c>
      <c r="AF731" s="4">
        <f ca="1">$M$731*$Z$731</f>
        <v>1825267.9902106859</v>
      </c>
      <c r="AG731" s="4">
        <f>$O$731*$AA$731</f>
        <v>430054.46987359994</v>
      </c>
    </row>
    <row r="732" spans="1:33" ht="11.25" customHeight="1" x14ac:dyDescent="0.25">
      <c r="A732" s="3" t="s">
        <v>27</v>
      </c>
      <c r="B732" s="3" t="s">
        <v>33</v>
      </c>
      <c r="C732" s="3" t="s">
        <v>34</v>
      </c>
      <c r="D732" s="3" t="s">
        <v>43</v>
      </c>
      <c r="E732" s="3" t="s">
        <v>25</v>
      </c>
      <c r="F732" s="3" t="s">
        <v>25</v>
      </c>
      <c r="G732" s="3" t="s">
        <v>25</v>
      </c>
      <c r="H732" s="3" t="s">
        <v>35</v>
      </c>
      <c r="I732" s="6">
        <v>44378</v>
      </c>
      <c r="J732" s="4">
        <v>0</v>
      </c>
      <c r="K732" s="4">
        <v>0</v>
      </c>
      <c r="L732" s="4">
        <v>-11.574999999999999</v>
      </c>
      <c r="M732" s="4">
        <v>-11.574999999999999</v>
      </c>
      <c r="N732" s="4">
        <v>-11.574999999999999</v>
      </c>
      <c r="O732" s="4">
        <v>-11.574999999999999</v>
      </c>
      <c r="P732" s="4">
        <v>0</v>
      </c>
      <c r="Q732" s="3" t="s">
        <v>26</v>
      </c>
      <c r="R732" s="3">
        <v>0</v>
      </c>
      <c r="S732" s="4">
        <v>0</v>
      </c>
      <c r="T732" s="4">
        <v>8</v>
      </c>
      <c r="U732" s="4">
        <v>72</v>
      </c>
      <c r="V732" s="4">
        <f>IF(ISERROR(VLOOKUP($S$732,'TAR FIN'!$A$1:$O$99,15,0)),0,VLOOKUP($S$732,'TAR FIN'!$A$1:$O$99,15,0))</f>
        <v>0</v>
      </c>
      <c r="W732" s="4">
        <f>IF(ISERROR(VLOOKUP($T$732,'TAR FIN'!$A$1:$O$99,15,0)),0,VLOOKUP($T$732,'TAR FIN'!$A$1:$O$99,15,0))</f>
        <v>1557.74</v>
      </c>
      <c r="X732" s="4">
        <f>IF(ISERROR(VLOOKUP($U$732,'TAR FIN'!$A$1:$O$99,15,0)),0,VLOOKUP($U$732,'TAR FIN'!$A$1:$O$99,15,0))</f>
        <v>346.61</v>
      </c>
      <c r="Y732" s="4"/>
      <c r="Z732" s="4">
        <f ca="1">('TUSD BE'!$AM$22+'TUSD BF'!$AM$22+'TUSD CVA'!$AM$22)*1</f>
        <v>1799.131999651745</v>
      </c>
      <c r="AA732" s="4">
        <f>('TE BE'!$AA$7+'TE BF'!$AA$7+'TE CVA'!$AA$7)*1</f>
        <v>423.89652505413846</v>
      </c>
      <c r="AB732" s="4">
        <f>$K$732*$V$732</f>
        <v>0</v>
      </c>
      <c r="AC732" s="4">
        <f>$M$732*$W$732</f>
        <v>-18030.840499999998</v>
      </c>
      <c r="AD732" s="4">
        <f>$O$732*$X$732</f>
        <v>-4012.0107499999999</v>
      </c>
      <c r="AE732" s="4">
        <f>$K$732*$Y$732</f>
        <v>0</v>
      </c>
      <c r="AF732" s="4">
        <f ca="1">$M$732*$Z$732</f>
        <v>-20824.952895968949</v>
      </c>
      <c r="AG732" s="4">
        <f>$O$732*$AA$732</f>
        <v>-4906.6022775016527</v>
      </c>
    </row>
    <row r="733" spans="1:33" ht="11.25" customHeight="1" x14ac:dyDescent="0.25">
      <c r="A733" s="3" t="s">
        <v>28</v>
      </c>
      <c r="B733" s="3" t="s">
        <v>33</v>
      </c>
      <c r="C733" s="3" t="s">
        <v>34</v>
      </c>
      <c r="D733" s="3" t="s">
        <v>43</v>
      </c>
      <c r="E733" s="3" t="s">
        <v>25</v>
      </c>
      <c r="F733" s="3" t="s">
        <v>25</v>
      </c>
      <c r="G733" s="3" t="s">
        <v>25</v>
      </c>
      <c r="H733" s="3" t="s">
        <v>35</v>
      </c>
      <c r="I733" s="6">
        <v>44378</v>
      </c>
      <c r="J733" s="4">
        <v>0</v>
      </c>
      <c r="K733" s="4">
        <v>0</v>
      </c>
      <c r="L733" s="4">
        <v>28.103000000000002</v>
      </c>
      <c r="M733" s="4">
        <v>28.103000000000002</v>
      </c>
      <c r="N733" s="4">
        <v>28.103000000000002</v>
      </c>
      <c r="O733" s="4">
        <v>28.103000000000002</v>
      </c>
      <c r="P733" s="4">
        <v>0</v>
      </c>
      <c r="Q733" s="3" t="s">
        <v>26</v>
      </c>
      <c r="R733" s="3">
        <v>0</v>
      </c>
      <c r="S733" s="4">
        <v>0</v>
      </c>
      <c r="T733" s="4">
        <v>8</v>
      </c>
      <c r="U733" s="4">
        <v>72</v>
      </c>
      <c r="V733" s="4">
        <f>IF(ISERROR(VLOOKUP($S$733,'TAR FIN'!$A$1:$O$99,15,0)),0,VLOOKUP($S$733,'TAR FIN'!$A$1:$O$99,15,0))</f>
        <v>0</v>
      </c>
      <c r="W733" s="4">
        <f>IF(ISERROR(VLOOKUP($T$733,'TAR FIN'!$A$1:$O$99,15,0)),0,VLOOKUP($T$733,'TAR FIN'!$A$1:$O$99,15,0))</f>
        <v>1557.74</v>
      </c>
      <c r="X733" s="4">
        <f>IF(ISERROR(VLOOKUP($U$733,'TAR FIN'!$A$1:$O$99,15,0)),0,VLOOKUP($U$733,'TAR FIN'!$A$1:$O$99,15,0))</f>
        <v>346.61</v>
      </c>
      <c r="Y733" s="4"/>
      <c r="Z733" s="4">
        <f ca="1">('TUSD BE'!$AM$22+'TUSD BF'!$AM$22+'TUSD CVA'!$AM$22)*1</f>
        <v>1799.131999651745</v>
      </c>
      <c r="AA733" s="4">
        <f>('TE BE'!$AA$7+'TE BF'!$AA$7+'TE CVA'!$AA$7)*1</f>
        <v>423.89652505413846</v>
      </c>
      <c r="AB733" s="4">
        <f>$K$733*$V$733</f>
        <v>0</v>
      </c>
      <c r="AC733" s="4">
        <f>$M$733*$W$733</f>
        <v>43777.167220000003</v>
      </c>
      <c r="AD733" s="4">
        <f>$O$733*$X$733</f>
        <v>9740.7808300000015</v>
      </c>
      <c r="AE733" s="4">
        <f>$K$733*$Y$733</f>
        <v>0</v>
      </c>
      <c r="AF733" s="4">
        <f ca="1">$M$733*$Z$733</f>
        <v>50561.006586212992</v>
      </c>
      <c r="AG733" s="4">
        <f>$O$733*$AA$733</f>
        <v>11912.764043596453</v>
      </c>
    </row>
    <row r="734" spans="1:33" ht="11.25" customHeight="1" x14ac:dyDescent="0.25">
      <c r="A734" s="3" t="s">
        <v>28</v>
      </c>
      <c r="B734" s="3" t="s">
        <v>33</v>
      </c>
      <c r="C734" s="3" t="s">
        <v>34</v>
      </c>
      <c r="D734" s="3" t="s">
        <v>43</v>
      </c>
      <c r="E734" s="3" t="s">
        <v>25</v>
      </c>
      <c r="F734" s="3" t="s">
        <v>25</v>
      </c>
      <c r="G734" s="3" t="s">
        <v>25</v>
      </c>
      <c r="H734" s="3" t="s">
        <v>35</v>
      </c>
      <c r="I734" s="6">
        <v>44378</v>
      </c>
      <c r="J734" s="4">
        <v>0</v>
      </c>
      <c r="K734" s="4">
        <v>0</v>
      </c>
      <c r="L734" s="4">
        <v>1.3280000000000001</v>
      </c>
      <c r="M734" s="4">
        <v>1.3280000000000001</v>
      </c>
      <c r="N734" s="4">
        <v>1.3280000000000001</v>
      </c>
      <c r="O734" s="4">
        <v>1.3280000000000001</v>
      </c>
      <c r="P734" s="4">
        <v>0</v>
      </c>
      <c r="Q734" s="3" t="s">
        <v>26</v>
      </c>
      <c r="R734" s="3">
        <v>0</v>
      </c>
      <c r="S734" s="4">
        <v>0</v>
      </c>
      <c r="T734" s="4">
        <v>8</v>
      </c>
      <c r="U734" s="4">
        <v>72</v>
      </c>
      <c r="V734" s="4">
        <f>IF(ISERROR(VLOOKUP($S$734,'TAR FIN'!$A$1:$O$99,15,0)),0,VLOOKUP($S$734,'TAR FIN'!$A$1:$O$99,15,0))</f>
        <v>0</v>
      </c>
      <c r="W734" s="4">
        <f>IF(ISERROR(VLOOKUP($T$734,'TAR FIN'!$A$1:$O$99,15,0)),0,VLOOKUP($T$734,'TAR FIN'!$A$1:$O$99,15,0))</f>
        <v>1557.74</v>
      </c>
      <c r="X734" s="4">
        <f>IF(ISERROR(VLOOKUP($U$734,'TAR FIN'!$A$1:$O$99,15,0)),0,VLOOKUP($U$734,'TAR FIN'!$A$1:$O$99,15,0))</f>
        <v>346.61</v>
      </c>
      <c r="Y734" s="4"/>
      <c r="Z734" s="4">
        <f ca="1">('TUSD BE'!$AM$22+'TUSD BF'!$AM$22+'TUSD CVA'!$AM$22)*1</f>
        <v>1799.131999651745</v>
      </c>
      <c r="AA734" s="4">
        <f>('TE BE'!$AA$7+'TE BF'!$AA$7+'TE CVA'!$AA$7)*1</f>
        <v>423.89652505413846</v>
      </c>
      <c r="AB734" s="4">
        <f>$K$734*$V$734</f>
        <v>0</v>
      </c>
      <c r="AC734" s="4">
        <f>$M$734*$W$734</f>
        <v>2068.6787200000003</v>
      </c>
      <c r="AD734" s="4">
        <f>$O$734*$X$734</f>
        <v>460.29808000000003</v>
      </c>
      <c r="AE734" s="4">
        <f>$K$734*$Y$734</f>
        <v>0</v>
      </c>
      <c r="AF734" s="4">
        <f ca="1">$M$734*$Z$734</f>
        <v>2389.2472955375174</v>
      </c>
      <c r="AG734" s="4">
        <f>$O$734*$AA$734</f>
        <v>562.93458527189591</v>
      </c>
    </row>
    <row r="735" spans="1:33" ht="11.25" customHeight="1" x14ac:dyDescent="0.25">
      <c r="A735" s="3" t="s">
        <v>21</v>
      </c>
      <c r="B735" s="3" t="s">
        <v>33</v>
      </c>
      <c r="C735" s="3" t="s">
        <v>34</v>
      </c>
      <c r="D735" s="3" t="s">
        <v>43</v>
      </c>
      <c r="E735" s="3" t="s">
        <v>25</v>
      </c>
      <c r="F735" s="3" t="s">
        <v>25</v>
      </c>
      <c r="G735" s="3" t="s">
        <v>25</v>
      </c>
      <c r="H735" s="3" t="s">
        <v>35</v>
      </c>
      <c r="I735" s="6">
        <v>44409</v>
      </c>
      <c r="J735" s="4">
        <v>0</v>
      </c>
      <c r="K735" s="4">
        <v>0</v>
      </c>
      <c r="L735" s="4">
        <v>1012.58</v>
      </c>
      <c r="M735" s="4">
        <v>1012.58</v>
      </c>
      <c r="N735" s="4">
        <v>1012.58</v>
      </c>
      <c r="O735" s="4">
        <v>1012.58</v>
      </c>
      <c r="P735" s="4">
        <v>0</v>
      </c>
      <c r="Q735" s="3" t="s">
        <v>26</v>
      </c>
      <c r="R735" s="3">
        <v>0</v>
      </c>
      <c r="S735" s="4">
        <v>0</v>
      </c>
      <c r="T735" s="4">
        <v>8</v>
      </c>
      <c r="U735" s="4">
        <v>72</v>
      </c>
      <c r="V735" s="4">
        <f>IF(ISERROR(VLOOKUP($S$735,'TAR FIN'!$A$1:$O$99,15,0)),0,VLOOKUP($S$735,'TAR FIN'!$A$1:$O$99,15,0))</f>
        <v>0</v>
      </c>
      <c r="W735" s="4">
        <f>IF(ISERROR(VLOOKUP($T$735,'TAR FIN'!$A$1:$O$99,15,0)),0,VLOOKUP($T$735,'TAR FIN'!$A$1:$O$99,15,0))</f>
        <v>1557.74</v>
      </c>
      <c r="X735" s="4">
        <f>IF(ISERROR(VLOOKUP($U$735,'TAR FIN'!$A$1:$O$99,15,0)),0,VLOOKUP($U$735,'TAR FIN'!$A$1:$O$99,15,0))</f>
        <v>346.61</v>
      </c>
      <c r="Y735" s="4"/>
      <c r="Z735" s="4">
        <f ca="1">('TUSD BE'!$AM$22+'TUSD BF'!$AM$22+'TUSD CVA'!$AM$22)*1</f>
        <v>1799.131999651745</v>
      </c>
      <c r="AA735" s="4">
        <f>('TE BE'!$AA$7+'TE BF'!$AA$7+'TE CVA'!$AA$7)*1</f>
        <v>423.89652505413846</v>
      </c>
      <c r="AB735" s="4">
        <f>$K$735*$V$735</f>
        <v>0</v>
      </c>
      <c r="AC735" s="4">
        <f>$M$735*$W$735</f>
        <v>1577336.3692000001</v>
      </c>
      <c r="AD735" s="4">
        <f>$O$735*$X$735</f>
        <v>350970.35380000004</v>
      </c>
      <c r="AE735" s="4">
        <f>$K$735*$Y$735</f>
        <v>0</v>
      </c>
      <c r="AF735" s="4">
        <f ca="1">$M$735*$Z$735</f>
        <v>1821765.0802073639</v>
      </c>
      <c r="AG735" s="4">
        <f>$O$735*$AA$735</f>
        <v>429229.14333931956</v>
      </c>
    </row>
    <row r="736" spans="1:33" ht="11.25" customHeight="1" x14ac:dyDescent="0.25">
      <c r="A736" s="3" t="s">
        <v>27</v>
      </c>
      <c r="B736" s="3" t="s">
        <v>33</v>
      </c>
      <c r="C736" s="3" t="s">
        <v>34</v>
      </c>
      <c r="D736" s="3" t="s">
        <v>43</v>
      </c>
      <c r="E736" s="3" t="s">
        <v>25</v>
      </c>
      <c r="F736" s="3" t="s">
        <v>25</v>
      </c>
      <c r="G736" s="3" t="s">
        <v>25</v>
      </c>
      <c r="H736" s="3" t="s">
        <v>35</v>
      </c>
      <c r="I736" s="6">
        <v>44409</v>
      </c>
      <c r="J736" s="4">
        <v>0</v>
      </c>
      <c r="K736" s="4">
        <v>0</v>
      </c>
      <c r="L736" s="4">
        <v>-5.9820000000000002</v>
      </c>
      <c r="M736" s="4">
        <v>-5.9820000000000002</v>
      </c>
      <c r="N736" s="4">
        <v>-5.9820000000000002</v>
      </c>
      <c r="O736" s="4">
        <v>-5.9820000000000002</v>
      </c>
      <c r="P736" s="4">
        <v>0</v>
      </c>
      <c r="Q736" s="3" t="s">
        <v>26</v>
      </c>
      <c r="R736" s="3">
        <v>0</v>
      </c>
      <c r="S736" s="4">
        <v>0</v>
      </c>
      <c r="T736" s="4">
        <v>8</v>
      </c>
      <c r="U736" s="4">
        <v>72</v>
      </c>
      <c r="V736" s="4">
        <f>IF(ISERROR(VLOOKUP($S$736,'TAR FIN'!$A$1:$O$99,15,0)),0,VLOOKUP($S$736,'TAR FIN'!$A$1:$O$99,15,0))</f>
        <v>0</v>
      </c>
      <c r="W736" s="4">
        <f>IF(ISERROR(VLOOKUP($T$736,'TAR FIN'!$A$1:$O$99,15,0)),0,VLOOKUP($T$736,'TAR FIN'!$A$1:$O$99,15,0))</f>
        <v>1557.74</v>
      </c>
      <c r="X736" s="4">
        <f>IF(ISERROR(VLOOKUP($U$736,'TAR FIN'!$A$1:$O$99,15,0)),0,VLOOKUP($U$736,'TAR FIN'!$A$1:$O$99,15,0))</f>
        <v>346.61</v>
      </c>
      <c r="Y736" s="4"/>
      <c r="Z736" s="4">
        <f ca="1">('TUSD BE'!$AM$22+'TUSD BF'!$AM$22+'TUSD CVA'!$AM$22)*1</f>
        <v>1799.131999651745</v>
      </c>
      <c r="AA736" s="4">
        <f>('TE BE'!$AA$7+'TE BF'!$AA$7+'TE CVA'!$AA$7)*1</f>
        <v>423.89652505413846</v>
      </c>
      <c r="AB736" s="4">
        <f>$K$736*$V$736</f>
        <v>0</v>
      </c>
      <c r="AC736" s="4">
        <f>$M$736*$W$736</f>
        <v>-9318.4006800000006</v>
      </c>
      <c r="AD736" s="4">
        <f>$O$736*$X$736</f>
        <v>-2073.4210200000002</v>
      </c>
      <c r="AE736" s="4">
        <f>$K$736*$Y$736</f>
        <v>0</v>
      </c>
      <c r="AF736" s="4">
        <f ca="1">$M$736*$Z$736</f>
        <v>-10762.407621916738</v>
      </c>
      <c r="AG736" s="4">
        <f>$O$736*$AA$736</f>
        <v>-2535.7490128738564</v>
      </c>
    </row>
    <row r="737" spans="1:33" ht="11.25" customHeight="1" x14ac:dyDescent="0.25">
      <c r="A737" s="3" t="s">
        <v>28</v>
      </c>
      <c r="B737" s="3" t="s">
        <v>33</v>
      </c>
      <c r="C737" s="3" t="s">
        <v>34</v>
      </c>
      <c r="D737" s="3" t="s">
        <v>43</v>
      </c>
      <c r="E737" s="3" t="s">
        <v>25</v>
      </c>
      <c r="F737" s="3" t="s">
        <v>25</v>
      </c>
      <c r="G737" s="3" t="s">
        <v>25</v>
      </c>
      <c r="H737" s="3" t="s">
        <v>35</v>
      </c>
      <c r="I737" s="6">
        <v>44409</v>
      </c>
      <c r="J737" s="4">
        <v>0</v>
      </c>
      <c r="K737" s="4">
        <v>0</v>
      </c>
      <c r="L737" s="4">
        <v>31.321999999999999</v>
      </c>
      <c r="M737" s="4">
        <v>31.321999999999999</v>
      </c>
      <c r="N737" s="4">
        <v>31.321999999999999</v>
      </c>
      <c r="O737" s="4">
        <v>31.321999999999999</v>
      </c>
      <c r="P737" s="4">
        <v>0</v>
      </c>
      <c r="Q737" s="3" t="s">
        <v>26</v>
      </c>
      <c r="R737" s="3">
        <v>0</v>
      </c>
      <c r="S737" s="4">
        <v>0</v>
      </c>
      <c r="T737" s="4">
        <v>8</v>
      </c>
      <c r="U737" s="4">
        <v>72</v>
      </c>
      <c r="V737" s="4">
        <f>IF(ISERROR(VLOOKUP($S$737,'TAR FIN'!$A$1:$O$99,15,0)),0,VLOOKUP($S$737,'TAR FIN'!$A$1:$O$99,15,0))</f>
        <v>0</v>
      </c>
      <c r="W737" s="4">
        <f>IF(ISERROR(VLOOKUP($T$737,'TAR FIN'!$A$1:$O$99,15,0)),0,VLOOKUP($T$737,'TAR FIN'!$A$1:$O$99,15,0))</f>
        <v>1557.74</v>
      </c>
      <c r="X737" s="4">
        <f>IF(ISERROR(VLOOKUP($U$737,'TAR FIN'!$A$1:$O$99,15,0)),0,VLOOKUP($U$737,'TAR FIN'!$A$1:$O$99,15,0))</f>
        <v>346.61</v>
      </c>
      <c r="Y737" s="4"/>
      <c r="Z737" s="4">
        <f ca="1">('TUSD BE'!$AM$22+'TUSD BF'!$AM$22+'TUSD CVA'!$AM$22)*1</f>
        <v>1799.131999651745</v>
      </c>
      <c r="AA737" s="4">
        <f>('TE BE'!$AA$7+'TE BF'!$AA$7+'TE CVA'!$AA$7)*1</f>
        <v>423.89652505413846</v>
      </c>
      <c r="AB737" s="4">
        <f>$K$737*$V$737</f>
        <v>0</v>
      </c>
      <c r="AC737" s="4">
        <f>$M$737*$W$737</f>
        <v>48791.532279999999</v>
      </c>
      <c r="AD737" s="4">
        <f>$O$737*$X$737</f>
        <v>10856.51842</v>
      </c>
      <c r="AE737" s="4">
        <f>$K$737*$Y$737</f>
        <v>0</v>
      </c>
      <c r="AF737" s="4">
        <f ca="1">$M$737*$Z$737</f>
        <v>56352.412493091957</v>
      </c>
      <c r="AG737" s="4">
        <f>$O$737*$AA$737</f>
        <v>13277.286957745724</v>
      </c>
    </row>
    <row r="738" spans="1:33" ht="11.25" customHeight="1" x14ac:dyDescent="0.25">
      <c r="A738" s="3" t="s">
        <v>28</v>
      </c>
      <c r="B738" s="3" t="s">
        <v>33</v>
      </c>
      <c r="C738" s="3" t="s">
        <v>34</v>
      </c>
      <c r="D738" s="3" t="s">
        <v>43</v>
      </c>
      <c r="E738" s="3" t="s">
        <v>25</v>
      </c>
      <c r="F738" s="3" t="s">
        <v>25</v>
      </c>
      <c r="G738" s="3" t="s">
        <v>25</v>
      </c>
      <c r="H738" s="3" t="s">
        <v>35</v>
      </c>
      <c r="I738" s="6">
        <v>44409</v>
      </c>
      <c r="J738" s="4">
        <v>0</v>
      </c>
      <c r="K738" s="4">
        <v>0</v>
      </c>
      <c r="L738" s="4">
        <v>-1.105</v>
      </c>
      <c r="M738" s="4">
        <v>-1.105</v>
      </c>
      <c r="N738" s="4">
        <v>-1.105</v>
      </c>
      <c r="O738" s="4">
        <v>-1.105</v>
      </c>
      <c r="P738" s="4">
        <v>0</v>
      </c>
      <c r="Q738" s="3" t="s">
        <v>26</v>
      </c>
      <c r="R738" s="3">
        <v>0</v>
      </c>
      <c r="S738" s="4">
        <v>0</v>
      </c>
      <c r="T738" s="4">
        <v>8</v>
      </c>
      <c r="U738" s="4">
        <v>72</v>
      </c>
      <c r="V738" s="4">
        <f>IF(ISERROR(VLOOKUP($S$738,'TAR FIN'!$A$1:$O$99,15,0)),0,VLOOKUP($S$738,'TAR FIN'!$A$1:$O$99,15,0))</f>
        <v>0</v>
      </c>
      <c r="W738" s="4">
        <f>IF(ISERROR(VLOOKUP($T$738,'TAR FIN'!$A$1:$O$99,15,0)),0,VLOOKUP($T$738,'TAR FIN'!$A$1:$O$99,15,0))</f>
        <v>1557.74</v>
      </c>
      <c r="X738" s="4">
        <f>IF(ISERROR(VLOOKUP($U$738,'TAR FIN'!$A$1:$O$99,15,0)),0,VLOOKUP($U$738,'TAR FIN'!$A$1:$O$99,15,0))</f>
        <v>346.61</v>
      </c>
      <c r="Y738" s="4"/>
      <c r="Z738" s="4">
        <f ca="1">('TUSD BE'!$AM$22+'TUSD BF'!$AM$22+'TUSD CVA'!$AM$22)*1</f>
        <v>1799.131999651745</v>
      </c>
      <c r="AA738" s="4">
        <f>('TE BE'!$AA$7+'TE BF'!$AA$7+'TE CVA'!$AA$7)*1</f>
        <v>423.89652505413846</v>
      </c>
      <c r="AB738" s="4">
        <f>$K$738*$V$738</f>
        <v>0</v>
      </c>
      <c r="AC738" s="4">
        <f>$M$738*$W$738</f>
        <v>-1721.3027</v>
      </c>
      <c r="AD738" s="4">
        <f>$O$738*$X$738</f>
        <v>-383.00405000000001</v>
      </c>
      <c r="AE738" s="4">
        <f>$K$738*$Y$738</f>
        <v>0</v>
      </c>
      <c r="AF738" s="4">
        <f ca="1">$M$738*$Z$738</f>
        <v>-1988.0408596151781</v>
      </c>
      <c r="AG738" s="4">
        <f>$O$738*$AA$738</f>
        <v>-468.40566018482298</v>
      </c>
    </row>
    <row r="739" spans="1:33" ht="11.25" customHeight="1" x14ac:dyDescent="0.25">
      <c r="A739" s="3" t="s">
        <v>21</v>
      </c>
      <c r="B739" s="3" t="s">
        <v>33</v>
      </c>
      <c r="C739" s="3" t="s">
        <v>34</v>
      </c>
      <c r="D739" s="3" t="s">
        <v>43</v>
      </c>
      <c r="E739" s="3" t="s">
        <v>25</v>
      </c>
      <c r="F739" s="3" t="s">
        <v>25</v>
      </c>
      <c r="G739" s="3" t="s">
        <v>25</v>
      </c>
      <c r="H739" s="3" t="s">
        <v>35</v>
      </c>
      <c r="I739" s="6">
        <v>44440</v>
      </c>
      <c r="J739" s="4">
        <v>0</v>
      </c>
      <c r="K739" s="4">
        <v>0</v>
      </c>
      <c r="L739" s="4">
        <v>1032.1990000000001</v>
      </c>
      <c r="M739" s="4">
        <v>1032.1990000000001</v>
      </c>
      <c r="N739" s="4">
        <v>1032.1990000000001</v>
      </c>
      <c r="O739" s="4">
        <v>1032.1990000000001</v>
      </c>
      <c r="P739" s="4">
        <v>0</v>
      </c>
      <c r="Q739" s="3" t="s">
        <v>26</v>
      </c>
      <c r="R739" s="3">
        <v>0</v>
      </c>
      <c r="S739" s="4">
        <v>0</v>
      </c>
      <c r="T739" s="4">
        <v>8</v>
      </c>
      <c r="U739" s="4">
        <v>72</v>
      </c>
      <c r="V739" s="4">
        <f>IF(ISERROR(VLOOKUP($S$739,'TAR FIN'!$A$1:$O$99,15,0)),0,VLOOKUP($S$739,'TAR FIN'!$A$1:$O$99,15,0))</f>
        <v>0</v>
      </c>
      <c r="W739" s="4">
        <f>IF(ISERROR(VLOOKUP($T$739,'TAR FIN'!$A$1:$O$99,15,0)),0,VLOOKUP($T$739,'TAR FIN'!$A$1:$O$99,15,0))</f>
        <v>1557.74</v>
      </c>
      <c r="X739" s="4">
        <f>IF(ISERROR(VLOOKUP($U$739,'TAR FIN'!$A$1:$O$99,15,0)),0,VLOOKUP($U$739,'TAR FIN'!$A$1:$O$99,15,0))</f>
        <v>346.61</v>
      </c>
      <c r="Y739" s="4"/>
      <c r="Z739" s="4">
        <f ca="1">('TUSD BE'!$AM$22+'TUSD BF'!$AM$22+'TUSD CVA'!$AM$22)*1</f>
        <v>1799.131999651745</v>
      </c>
      <c r="AA739" s="4">
        <f>('TE BE'!$AA$7+'TE BF'!$AA$7+'TE CVA'!$AA$7)*1</f>
        <v>423.89652505413846</v>
      </c>
      <c r="AB739" s="4">
        <f>$K$739*$V$739</f>
        <v>0</v>
      </c>
      <c r="AC739" s="4">
        <f>$M$739*$W$739</f>
        <v>1607897.67026</v>
      </c>
      <c r="AD739" s="4">
        <f>$O$739*$X$739</f>
        <v>357770.49539000005</v>
      </c>
      <c r="AE739" s="4">
        <f>$K$739*$Y$739</f>
        <v>0</v>
      </c>
      <c r="AF739" s="4">
        <f ca="1">$M$739*$Z$739</f>
        <v>1857062.2509085317</v>
      </c>
      <c r="AG739" s="4">
        <f>$O$739*$AA$739</f>
        <v>437545.56926435669</v>
      </c>
    </row>
    <row r="740" spans="1:33" ht="11.25" customHeight="1" x14ac:dyDescent="0.25">
      <c r="A740" s="3" t="s">
        <v>27</v>
      </c>
      <c r="B740" s="3" t="s">
        <v>33</v>
      </c>
      <c r="C740" s="3" t="s">
        <v>34</v>
      </c>
      <c r="D740" s="3" t="s">
        <v>43</v>
      </c>
      <c r="E740" s="3" t="s">
        <v>25</v>
      </c>
      <c r="F740" s="3" t="s">
        <v>25</v>
      </c>
      <c r="G740" s="3" t="s">
        <v>25</v>
      </c>
      <c r="H740" s="3" t="s">
        <v>35</v>
      </c>
      <c r="I740" s="6">
        <v>44440</v>
      </c>
      <c r="J740" s="4">
        <v>0</v>
      </c>
      <c r="K740" s="4">
        <v>0</v>
      </c>
      <c r="L740" s="4">
        <v>-4.2060000000000004</v>
      </c>
      <c r="M740" s="4">
        <v>-4.2060000000000004</v>
      </c>
      <c r="N740" s="4">
        <v>-4.2060000000000004</v>
      </c>
      <c r="O740" s="4">
        <v>-4.2060000000000004</v>
      </c>
      <c r="P740" s="4">
        <v>0</v>
      </c>
      <c r="Q740" s="3" t="s">
        <v>26</v>
      </c>
      <c r="R740" s="3">
        <v>0</v>
      </c>
      <c r="S740" s="4">
        <v>0</v>
      </c>
      <c r="T740" s="4">
        <v>8</v>
      </c>
      <c r="U740" s="4">
        <v>72</v>
      </c>
      <c r="V740" s="4">
        <f>IF(ISERROR(VLOOKUP($S$740,'TAR FIN'!$A$1:$O$99,15,0)),0,VLOOKUP($S$740,'TAR FIN'!$A$1:$O$99,15,0))</f>
        <v>0</v>
      </c>
      <c r="W740" s="4">
        <f>IF(ISERROR(VLOOKUP($T$740,'TAR FIN'!$A$1:$O$99,15,0)),0,VLOOKUP($T$740,'TAR FIN'!$A$1:$O$99,15,0))</f>
        <v>1557.74</v>
      </c>
      <c r="X740" s="4">
        <f>IF(ISERROR(VLOOKUP($U$740,'TAR FIN'!$A$1:$O$99,15,0)),0,VLOOKUP($U$740,'TAR FIN'!$A$1:$O$99,15,0))</f>
        <v>346.61</v>
      </c>
      <c r="Y740" s="4"/>
      <c r="Z740" s="4">
        <f ca="1">('TUSD BE'!$AM$22+'TUSD BF'!$AM$22+'TUSD CVA'!$AM$22)*1</f>
        <v>1799.131999651745</v>
      </c>
      <c r="AA740" s="4">
        <f>('TE BE'!$AA$7+'TE BF'!$AA$7+'TE CVA'!$AA$7)*1</f>
        <v>423.89652505413846</v>
      </c>
      <c r="AB740" s="4">
        <f>$K$740*$V$740</f>
        <v>0</v>
      </c>
      <c r="AC740" s="4">
        <f>$M$740*$W$740</f>
        <v>-6551.854440000001</v>
      </c>
      <c r="AD740" s="4">
        <f>$O$740*$X$740</f>
        <v>-1457.8416600000003</v>
      </c>
      <c r="AE740" s="4">
        <f>$K$740*$Y$740</f>
        <v>0</v>
      </c>
      <c r="AF740" s="4">
        <f ca="1">$M$740*$Z$740</f>
        <v>-7567.1491905352405</v>
      </c>
      <c r="AG740" s="4">
        <f>$O$740*$AA$740</f>
        <v>-1782.9087843777065</v>
      </c>
    </row>
    <row r="741" spans="1:33" ht="11.25" customHeight="1" x14ac:dyDescent="0.25">
      <c r="A741" s="3" t="s">
        <v>28</v>
      </c>
      <c r="B741" s="3" t="s">
        <v>33</v>
      </c>
      <c r="C741" s="3" t="s">
        <v>34</v>
      </c>
      <c r="D741" s="3" t="s">
        <v>43</v>
      </c>
      <c r="E741" s="3" t="s">
        <v>25</v>
      </c>
      <c r="F741" s="3" t="s">
        <v>25</v>
      </c>
      <c r="G741" s="3" t="s">
        <v>25</v>
      </c>
      <c r="H741" s="3" t="s">
        <v>35</v>
      </c>
      <c r="I741" s="6">
        <v>44440</v>
      </c>
      <c r="J741" s="4">
        <v>0</v>
      </c>
      <c r="K741" s="4">
        <v>0</v>
      </c>
      <c r="L741" s="4">
        <v>31.878</v>
      </c>
      <c r="M741" s="4">
        <v>31.878</v>
      </c>
      <c r="N741" s="4">
        <v>31.878</v>
      </c>
      <c r="O741" s="4">
        <v>31.878</v>
      </c>
      <c r="P741" s="4">
        <v>0</v>
      </c>
      <c r="Q741" s="3" t="s">
        <v>26</v>
      </c>
      <c r="R741" s="3">
        <v>0</v>
      </c>
      <c r="S741" s="4">
        <v>0</v>
      </c>
      <c r="T741" s="4">
        <v>8</v>
      </c>
      <c r="U741" s="4">
        <v>72</v>
      </c>
      <c r="V741" s="4">
        <f>IF(ISERROR(VLOOKUP($S$741,'TAR FIN'!$A$1:$O$99,15,0)),0,VLOOKUP($S$741,'TAR FIN'!$A$1:$O$99,15,0))</f>
        <v>0</v>
      </c>
      <c r="W741" s="4">
        <f>IF(ISERROR(VLOOKUP($T$741,'TAR FIN'!$A$1:$O$99,15,0)),0,VLOOKUP($T$741,'TAR FIN'!$A$1:$O$99,15,0))</f>
        <v>1557.74</v>
      </c>
      <c r="X741" s="4">
        <f>IF(ISERROR(VLOOKUP($U$741,'TAR FIN'!$A$1:$O$99,15,0)),0,VLOOKUP($U$741,'TAR FIN'!$A$1:$O$99,15,0))</f>
        <v>346.61</v>
      </c>
      <c r="Y741" s="4"/>
      <c r="Z741" s="4">
        <f ca="1">('TUSD BE'!$AM$22+'TUSD BF'!$AM$22+'TUSD CVA'!$AM$22)*1</f>
        <v>1799.131999651745</v>
      </c>
      <c r="AA741" s="4">
        <f>('TE BE'!$AA$7+'TE BF'!$AA$7+'TE CVA'!$AA$7)*1</f>
        <v>423.89652505413846</v>
      </c>
      <c r="AB741" s="4">
        <f>$K$741*$V$741</f>
        <v>0</v>
      </c>
      <c r="AC741" s="4">
        <f>$M$741*$W$741</f>
        <v>49657.635719999998</v>
      </c>
      <c r="AD741" s="4">
        <f>$O$741*$X$741</f>
        <v>11049.23358</v>
      </c>
      <c r="AE741" s="4">
        <f>$K$741*$Y$741</f>
        <v>0</v>
      </c>
      <c r="AF741" s="4">
        <f ca="1">$M$741*$Z$741</f>
        <v>57352.729884898326</v>
      </c>
      <c r="AG741" s="4">
        <f>$O$741*$AA$741</f>
        <v>13512.973425675826</v>
      </c>
    </row>
    <row r="742" spans="1:33" ht="11.25" customHeight="1" x14ac:dyDescent="0.25">
      <c r="A742" s="3" t="s">
        <v>28</v>
      </c>
      <c r="B742" s="3" t="s">
        <v>33</v>
      </c>
      <c r="C742" s="3" t="s">
        <v>34</v>
      </c>
      <c r="D742" s="3" t="s">
        <v>43</v>
      </c>
      <c r="E742" s="3" t="s">
        <v>25</v>
      </c>
      <c r="F742" s="3" t="s">
        <v>25</v>
      </c>
      <c r="G742" s="3" t="s">
        <v>25</v>
      </c>
      <c r="H742" s="3" t="s">
        <v>35</v>
      </c>
      <c r="I742" s="6">
        <v>44440</v>
      </c>
      <c r="J742" s="4">
        <v>0</v>
      </c>
      <c r="K742" s="4">
        <v>0</v>
      </c>
      <c r="L742" s="4">
        <v>5.3999999999999999E-2</v>
      </c>
      <c r="M742" s="4">
        <v>5.3999999999999999E-2</v>
      </c>
      <c r="N742" s="4">
        <v>5.3999999999999999E-2</v>
      </c>
      <c r="O742" s="4">
        <v>5.3999999999999999E-2</v>
      </c>
      <c r="P742" s="4">
        <v>0</v>
      </c>
      <c r="Q742" s="3" t="s">
        <v>26</v>
      </c>
      <c r="R742" s="3">
        <v>0</v>
      </c>
      <c r="S742" s="4">
        <v>0</v>
      </c>
      <c r="T742" s="4">
        <v>8</v>
      </c>
      <c r="U742" s="4">
        <v>72</v>
      </c>
      <c r="V742" s="4">
        <f>IF(ISERROR(VLOOKUP($S$742,'TAR FIN'!$A$1:$O$99,15,0)),0,VLOOKUP($S$742,'TAR FIN'!$A$1:$O$99,15,0))</f>
        <v>0</v>
      </c>
      <c r="W742" s="4">
        <f>IF(ISERROR(VLOOKUP($T$742,'TAR FIN'!$A$1:$O$99,15,0)),0,VLOOKUP($T$742,'TAR FIN'!$A$1:$O$99,15,0))</f>
        <v>1557.74</v>
      </c>
      <c r="X742" s="4">
        <f>IF(ISERROR(VLOOKUP($U$742,'TAR FIN'!$A$1:$O$99,15,0)),0,VLOOKUP($U$742,'TAR FIN'!$A$1:$O$99,15,0))</f>
        <v>346.61</v>
      </c>
      <c r="Y742" s="4"/>
      <c r="Z742" s="4">
        <f ca="1">('TUSD BE'!$AM$22+'TUSD BF'!$AM$22+'TUSD CVA'!$AM$22)*1</f>
        <v>1799.131999651745</v>
      </c>
      <c r="AA742" s="4">
        <f>('TE BE'!$AA$7+'TE BF'!$AA$7+'TE CVA'!$AA$7)*1</f>
        <v>423.89652505413846</v>
      </c>
      <c r="AB742" s="4">
        <f>$K$742*$V$742</f>
        <v>0</v>
      </c>
      <c r="AC742" s="4">
        <f>$M$742*$W$742</f>
        <v>84.117959999999997</v>
      </c>
      <c r="AD742" s="4">
        <f>$O$742*$X$742</f>
        <v>18.716940000000001</v>
      </c>
      <c r="AE742" s="4">
        <f>$K$742*$Y$742</f>
        <v>0</v>
      </c>
      <c r="AF742" s="4">
        <f ca="1">$M$742*$Z$742</f>
        <v>97.153127981194231</v>
      </c>
      <c r="AG742" s="4">
        <f>$O$742*$AA$742</f>
        <v>22.890412352923477</v>
      </c>
    </row>
    <row r="743" spans="1:33" ht="11.25" customHeight="1" x14ac:dyDescent="0.25">
      <c r="A743" s="3" t="s">
        <v>21</v>
      </c>
      <c r="B743" s="3" t="s">
        <v>33</v>
      </c>
      <c r="C743" s="3" t="s">
        <v>34</v>
      </c>
      <c r="D743" s="3" t="s">
        <v>43</v>
      </c>
      <c r="E743" s="3" t="s">
        <v>25</v>
      </c>
      <c r="F743" s="3" t="s">
        <v>25</v>
      </c>
      <c r="G743" s="3" t="s">
        <v>25</v>
      </c>
      <c r="H743" s="3" t="s">
        <v>35</v>
      </c>
      <c r="I743" s="6">
        <v>44470</v>
      </c>
      <c r="J743" s="4">
        <v>0</v>
      </c>
      <c r="K743" s="4">
        <v>0</v>
      </c>
      <c r="L743" s="4">
        <v>1061.5319999999999</v>
      </c>
      <c r="M743" s="4">
        <v>1061.5319999999999</v>
      </c>
      <c r="N743" s="4">
        <v>1061.5319999999999</v>
      </c>
      <c r="O743" s="4">
        <v>1061.5319999999999</v>
      </c>
      <c r="P743" s="4">
        <v>0</v>
      </c>
      <c r="Q743" s="3" t="s">
        <v>26</v>
      </c>
      <c r="R743" s="3">
        <v>0</v>
      </c>
      <c r="S743" s="4">
        <v>0</v>
      </c>
      <c r="T743" s="4">
        <v>8</v>
      </c>
      <c r="U743" s="4">
        <v>72</v>
      </c>
      <c r="V743" s="4">
        <f>IF(ISERROR(VLOOKUP($S$743,'TAR FIN'!$A$1:$O$99,15,0)),0,VLOOKUP($S$743,'TAR FIN'!$A$1:$O$99,15,0))</f>
        <v>0</v>
      </c>
      <c r="W743" s="4">
        <f>IF(ISERROR(VLOOKUP($T$743,'TAR FIN'!$A$1:$O$99,15,0)),0,VLOOKUP($T$743,'TAR FIN'!$A$1:$O$99,15,0))</f>
        <v>1557.74</v>
      </c>
      <c r="X743" s="4">
        <f>IF(ISERROR(VLOOKUP($U$743,'TAR FIN'!$A$1:$O$99,15,0)),0,VLOOKUP($U$743,'TAR FIN'!$A$1:$O$99,15,0))</f>
        <v>346.61</v>
      </c>
      <c r="Y743" s="4"/>
      <c r="Z743" s="4">
        <f ca="1">('TUSD BE'!$AM$22+'TUSD BF'!$AM$22+'TUSD CVA'!$AM$22)*1</f>
        <v>1799.131999651745</v>
      </c>
      <c r="AA743" s="4">
        <f>('TE BE'!$AA$7+'TE BF'!$AA$7+'TE CVA'!$AA$7)*1</f>
        <v>423.89652505413846</v>
      </c>
      <c r="AB743" s="4">
        <f>$K$743*$V$743</f>
        <v>0</v>
      </c>
      <c r="AC743" s="4">
        <f>$M$743*$W$743</f>
        <v>1653590.8576799999</v>
      </c>
      <c r="AD743" s="4">
        <f>$O$743*$X$743</f>
        <v>367937.60651999997</v>
      </c>
      <c r="AE743" s="4">
        <f>$K$743*$Y$743</f>
        <v>0</v>
      </c>
      <c r="AF743" s="4">
        <f ca="1">$M$743*$Z$743</f>
        <v>1909836.1898543159</v>
      </c>
      <c r="AG743" s="4">
        <f>$O$743*$AA$743</f>
        <v>449979.72603376966</v>
      </c>
    </row>
    <row r="744" spans="1:33" ht="11.25" customHeight="1" x14ac:dyDescent="0.25">
      <c r="A744" s="3" t="s">
        <v>27</v>
      </c>
      <c r="B744" s="3" t="s">
        <v>33</v>
      </c>
      <c r="C744" s="3" t="s">
        <v>34</v>
      </c>
      <c r="D744" s="3" t="s">
        <v>43</v>
      </c>
      <c r="E744" s="3" t="s">
        <v>25</v>
      </c>
      <c r="F744" s="3" t="s">
        <v>25</v>
      </c>
      <c r="G744" s="3" t="s">
        <v>25</v>
      </c>
      <c r="H744" s="3" t="s">
        <v>35</v>
      </c>
      <c r="I744" s="6">
        <v>44470</v>
      </c>
      <c r="J744" s="4">
        <v>0</v>
      </c>
      <c r="K744" s="4">
        <v>0</v>
      </c>
      <c r="L744" s="4">
        <v>-36.127000000000002</v>
      </c>
      <c r="M744" s="4">
        <v>-36.127000000000002</v>
      </c>
      <c r="N744" s="4">
        <v>-36.127000000000002</v>
      </c>
      <c r="O744" s="4">
        <v>-36.127000000000002</v>
      </c>
      <c r="P744" s="4">
        <v>0</v>
      </c>
      <c r="Q744" s="3" t="s">
        <v>26</v>
      </c>
      <c r="R744" s="3">
        <v>0</v>
      </c>
      <c r="S744" s="4">
        <v>0</v>
      </c>
      <c r="T744" s="4">
        <v>8</v>
      </c>
      <c r="U744" s="4">
        <v>72</v>
      </c>
      <c r="V744" s="4">
        <f>IF(ISERROR(VLOOKUP($S$744,'TAR FIN'!$A$1:$O$99,15,0)),0,VLOOKUP($S$744,'TAR FIN'!$A$1:$O$99,15,0))</f>
        <v>0</v>
      </c>
      <c r="W744" s="4">
        <f>IF(ISERROR(VLOOKUP($T$744,'TAR FIN'!$A$1:$O$99,15,0)),0,VLOOKUP($T$744,'TAR FIN'!$A$1:$O$99,15,0))</f>
        <v>1557.74</v>
      </c>
      <c r="X744" s="4">
        <f>IF(ISERROR(VLOOKUP($U$744,'TAR FIN'!$A$1:$O$99,15,0)),0,VLOOKUP($U$744,'TAR FIN'!$A$1:$O$99,15,0))</f>
        <v>346.61</v>
      </c>
      <c r="Y744" s="4"/>
      <c r="Z744" s="4">
        <f ca="1">('TUSD BE'!$AM$22+'TUSD BF'!$AM$22+'TUSD CVA'!$AM$22)*1</f>
        <v>1799.131999651745</v>
      </c>
      <c r="AA744" s="4">
        <f>('TE BE'!$AA$7+'TE BF'!$AA$7+'TE CVA'!$AA$7)*1</f>
        <v>423.89652505413846</v>
      </c>
      <c r="AB744" s="4">
        <f>$K$744*$V$744</f>
        <v>0</v>
      </c>
      <c r="AC744" s="4">
        <f>$M$744*$W$744</f>
        <v>-56276.472980000006</v>
      </c>
      <c r="AD744" s="4">
        <f>$O$744*$X$744</f>
        <v>-12521.979470000002</v>
      </c>
      <c r="AE744" s="4">
        <f>$K$744*$Y$744</f>
        <v>0</v>
      </c>
      <c r="AF744" s="4">
        <f ca="1">$M$744*$Z$744</f>
        <v>-64997.241751418595</v>
      </c>
      <c r="AG744" s="4">
        <f>$O$744*$AA$744</f>
        <v>-15314.109760630861</v>
      </c>
    </row>
    <row r="745" spans="1:33" ht="11.25" customHeight="1" x14ac:dyDescent="0.25">
      <c r="A745" s="3" t="s">
        <v>28</v>
      </c>
      <c r="B745" s="3" t="s">
        <v>33</v>
      </c>
      <c r="C745" s="3" t="s">
        <v>34</v>
      </c>
      <c r="D745" s="3" t="s">
        <v>43</v>
      </c>
      <c r="E745" s="3" t="s">
        <v>25</v>
      </c>
      <c r="F745" s="3" t="s">
        <v>25</v>
      </c>
      <c r="G745" s="3" t="s">
        <v>25</v>
      </c>
      <c r="H745" s="3" t="s">
        <v>35</v>
      </c>
      <c r="I745" s="6">
        <v>44470</v>
      </c>
      <c r="J745" s="4">
        <v>0</v>
      </c>
      <c r="K745" s="4">
        <v>0</v>
      </c>
      <c r="L745" s="4">
        <v>39.451999999999998</v>
      </c>
      <c r="M745" s="4">
        <v>39.451999999999998</v>
      </c>
      <c r="N745" s="4">
        <v>39.451999999999998</v>
      </c>
      <c r="O745" s="4">
        <v>39.451999999999998</v>
      </c>
      <c r="P745" s="4">
        <v>0</v>
      </c>
      <c r="Q745" s="3" t="s">
        <v>26</v>
      </c>
      <c r="R745" s="3">
        <v>0</v>
      </c>
      <c r="S745" s="4">
        <v>0</v>
      </c>
      <c r="T745" s="4">
        <v>8</v>
      </c>
      <c r="U745" s="4">
        <v>72</v>
      </c>
      <c r="V745" s="4">
        <f>IF(ISERROR(VLOOKUP($S$745,'TAR FIN'!$A$1:$O$99,15,0)),0,VLOOKUP($S$745,'TAR FIN'!$A$1:$O$99,15,0))</f>
        <v>0</v>
      </c>
      <c r="W745" s="4">
        <f>IF(ISERROR(VLOOKUP($T$745,'TAR FIN'!$A$1:$O$99,15,0)),0,VLOOKUP($T$745,'TAR FIN'!$A$1:$O$99,15,0))</f>
        <v>1557.74</v>
      </c>
      <c r="X745" s="4">
        <f>IF(ISERROR(VLOOKUP($U$745,'TAR FIN'!$A$1:$O$99,15,0)),0,VLOOKUP($U$745,'TAR FIN'!$A$1:$O$99,15,0))</f>
        <v>346.61</v>
      </c>
      <c r="Y745" s="4"/>
      <c r="Z745" s="4">
        <f ca="1">('TUSD BE'!$AM$22+'TUSD BF'!$AM$22+'TUSD CVA'!$AM$22)*1</f>
        <v>1799.131999651745</v>
      </c>
      <c r="AA745" s="4">
        <f>('TE BE'!$AA$7+'TE BF'!$AA$7+'TE CVA'!$AA$7)*1</f>
        <v>423.89652505413846</v>
      </c>
      <c r="AB745" s="4">
        <f>$K$745*$V$745</f>
        <v>0</v>
      </c>
      <c r="AC745" s="4">
        <f>$M$745*$W$745</f>
        <v>61455.958480000001</v>
      </c>
      <c r="AD745" s="4">
        <f>$O$745*$X$745</f>
        <v>13674.45772</v>
      </c>
      <c r="AE745" s="4">
        <f>$K$745*$Y$745</f>
        <v>0</v>
      </c>
      <c r="AF745" s="4">
        <f ca="1">$M$745*$Z$745</f>
        <v>70979.355650260637</v>
      </c>
      <c r="AG745" s="4">
        <f>$O$745*$AA$745</f>
        <v>16723.565706435871</v>
      </c>
    </row>
    <row r="746" spans="1:33" ht="11.25" customHeight="1" x14ac:dyDescent="0.25">
      <c r="A746" s="3" t="s">
        <v>28</v>
      </c>
      <c r="B746" s="3" t="s">
        <v>33</v>
      </c>
      <c r="C746" s="3" t="s">
        <v>34</v>
      </c>
      <c r="D746" s="3" t="s">
        <v>43</v>
      </c>
      <c r="E746" s="3" t="s">
        <v>25</v>
      </c>
      <c r="F746" s="3" t="s">
        <v>25</v>
      </c>
      <c r="G746" s="3" t="s">
        <v>25</v>
      </c>
      <c r="H746" s="3" t="s">
        <v>35</v>
      </c>
      <c r="I746" s="6">
        <v>44470</v>
      </c>
      <c r="J746" s="4">
        <v>0</v>
      </c>
      <c r="K746" s="4">
        <v>0</v>
      </c>
      <c r="L746" s="4">
        <v>5.3310000000000004</v>
      </c>
      <c r="M746" s="4">
        <v>5.3310000000000004</v>
      </c>
      <c r="N746" s="4">
        <v>5.3310000000000004</v>
      </c>
      <c r="O746" s="4">
        <v>5.3310000000000004</v>
      </c>
      <c r="P746" s="4">
        <v>0</v>
      </c>
      <c r="Q746" s="3" t="s">
        <v>26</v>
      </c>
      <c r="R746" s="3">
        <v>0</v>
      </c>
      <c r="S746" s="4">
        <v>0</v>
      </c>
      <c r="T746" s="4">
        <v>8</v>
      </c>
      <c r="U746" s="4">
        <v>72</v>
      </c>
      <c r="V746" s="4">
        <f>IF(ISERROR(VLOOKUP($S$746,'TAR FIN'!$A$1:$O$99,15,0)),0,VLOOKUP($S$746,'TAR FIN'!$A$1:$O$99,15,0))</f>
        <v>0</v>
      </c>
      <c r="W746" s="4">
        <f>IF(ISERROR(VLOOKUP($T$746,'TAR FIN'!$A$1:$O$99,15,0)),0,VLOOKUP($T$746,'TAR FIN'!$A$1:$O$99,15,0))</f>
        <v>1557.74</v>
      </c>
      <c r="X746" s="4">
        <f>IF(ISERROR(VLOOKUP($U$746,'TAR FIN'!$A$1:$O$99,15,0)),0,VLOOKUP($U$746,'TAR FIN'!$A$1:$O$99,15,0))</f>
        <v>346.61</v>
      </c>
      <c r="Y746" s="4"/>
      <c r="Z746" s="4">
        <f ca="1">('TUSD BE'!$AM$22+'TUSD BF'!$AM$22+'TUSD CVA'!$AM$22)*1</f>
        <v>1799.131999651745</v>
      </c>
      <c r="AA746" s="4">
        <f>('TE BE'!$AA$7+'TE BF'!$AA$7+'TE CVA'!$AA$7)*1</f>
        <v>423.89652505413846</v>
      </c>
      <c r="AB746" s="4">
        <f>$K$746*$V$746</f>
        <v>0</v>
      </c>
      <c r="AC746" s="4">
        <f>$M$746*$W$746</f>
        <v>8304.3119400000014</v>
      </c>
      <c r="AD746" s="4">
        <f>$O$746*$X$746</f>
        <v>1847.7779100000002</v>
      </c>
      <c r="AE746" s="4">
        <f>$K$746*$Y$746</f>
        <v>0</v>
      </c>
      <c r="AF746" s="4">
        <f ca="1">$M$746*$Z$746</f>
        <v>9591.172690143454</v>
      </c>
      <c r="AG746" s="4">
        <f>$O$746*$AA$746</f>
        <v>2259.7923750636123</v>
      </c>
    </row>
    <row r="747" spans="1:33" ht="11.25" customHeight="1" x14ac:dyDescent="0.25">
      <c r="A747" s="3" t="s">
        <v>21</v>
      </c>
      <c r="B747" s="3" t="s">
        <v>33</v>
      </c>
      <c r="C747" s="3" t="s">
        <v>34</v>
      </c>
      <c r="D747" s="3" t="s">
        <v>43</v>
      </c>
      <c r="E747" s="3" t="s">
        <v>25</v>
      </c>
      <c r="F747" s="3" t="s">
        <v>25</v>
      </c>
      <c r="G747" s="3" t="s">
        <v>25</v>
      </c>
      <c r="H747" s="3" t="s">
        <v>35</v>
      </c>
      <c r="I747" s="6">
        <v>44501</v>
      </c>
      <c r="J747" s="4">
        <v>0</v>
      </c>
      <c r="K747" s="4">
        <v>0</v>
      </c>
      <c r="L747" s="4">
        <v>1144.973</v>
      </c>
      <c r="M747" s="4">
        <v>1144.973</v>
      </c>
      <c r="N747" s="4">
        <v>1144.973</v>
      </c>
      <c r="O747" s="4">
        <v>1144.973</v>
      </c>
      <c r="P747" s="4">
        <v>0</v>
      </c>
      <c r="Q747" s="3" t="s">
        <v>26</v>
      </c>
      <c r="R747" s="3">
        <v>0</v>
      </c>
      <c r="S747" s="4">
        <v>0</v>
      </c>
      <c r="T747" s="4">
        <v>8</v>
      </c>
      <c r="U747" s="4">
        <v>72</v>
      </c>
      <c r="V747" s="4">
        <f>IF(ISERROR(VLOOKUP($S$747,'TAR FIN'!$A$1:$O$99,15,0)),0,VLOOKUP($S$747,'TAR FIN'!$A$1:$O$99,15,0))</f>
        <v>0</v>
      </c>
      <c r="W747" s="4">
        <f>IF(ISERROR(VLOOKUP($T$747,'TAR FIN'!$A$1:$O$99,15,0)),0,VLOOKUP($T$747,'TAR FIN'!$A$1:$O$99,15,0))</f>
        <v>1557.74</v>
      </c>
      <c r="X747" s="4">
        <f>IF(ISERROR(VLOOKUP($U$747,'TAR FIN'!$A$1:$O$99,15,0)),0,VLOOKUP($U$747,'TAR FIN'!$A$1:$O$99,15,0))</f>
        <v>346.61</v>
      </c>
      <c r="Y747" s="4"/>
      <c r="Z747" s="4">
        <f ca="1">('TUSD BE'!$AM$22+'TUSD BF'!$AM$22+'TUSD CVA'!$AM$22)*1</f>
        <v>1799.131999651745</v>
      </c>
      <c r="AA747" s="4">
        <f>('TE BE'!$AA$7+'TE BF'!$AA$7+'TE CVA'!$AA$7)*1</f>
        <v>423.89652505413846</v>
      </c>
      <c r="AB747" s="4">
        <f>$K$747*$V$747</f>
        <v>0</v>
      </c>
      <c r="AC747" s="4">
        <f>$M$747*$W$747</f>
        <v>1783570.2410199998</v>
      </c>
      <c r="AD747" s="4">
        <f>$O$747*$X$747</f>
        <v>396859.09152999998</v>
      </c>
      <c r="AE747" s="4">
        <f>$K$747*$Y$747</f>
        <v>0</v>
      </c>
      <c r="AF747" s="4">
        <f ca="1">$M$747*$Z$747</f>
        <v>2059957.5630372574</v>
      </c>
      <c r="AG747" s="4">
        <f>$O$747*$AA$747</f>
        <v>485350.07598081208</v>
      </c>
    </row>
    <row r="748" spans="1:33" ht="11.25" customHeight="1" x14ac:dyDescent="0.25">
      <c r="A748" s="3" t="s">
        <v>27</v>
      </c>
      <c r="B748" s="3" t="s">
        <v>33</v>
      </c>
      <c r="C748" s="3" t="s">
        <v>34</v>
      </c>
      <c r="D748" s="3" t="s">
        <v>43</v>
      </c>
      <c r="E748" s="3" t="s">
        <v>25</v>
      </c>
      <c r="F748" s="3" t="s">
        <v>25</v>
      </c>
      <c r="G748" s="3" t="s">
        <v>25</v>
      </c>
      <c r="H748" s="3" t="s">
        <v>35</v>
      </c>
      <c r="I748" s="6">
        <v>44501</v>
      </c>
      <c r="J748" s="4">
        <v>0</v>
      </c>
      <c r="K748" s="4">
        <v>0</v>
      </c>
      <c r="L748" s="4">
        <v>-5.79</v>
      </c>
      <c r="M748" s="4">
        <v>-5.79</v>
      </c>
      <c r="N748" s="4">
        <v>-5.79</v>
      </c>
      <c r="O748" s="4">
        <v>-5.79</v>
      </c>
      <c r="P748" s="4">
        <v>0</v>
      </c>
      <c r="Q748" s="3" t="s">
        <v>26</v>
      </c>
      <c r="R748" s="3">
        <v>0</v>
      </c>
      <c r="S748" s="4">
        <v>0</v>
      </c>
      <c r="T748" s="4">
        <v>8</v>
      </c>
      <c r="U748" s="4">
        <v>72</v>
      </c>
      <c r="V748" s="4">
        <f>IF(ISERROR(VLOOKUP($S$748,'TAR FIN'!$A$1:$O$99,15,0)),0,VLOOKUP($S$748,'TAR FIN'!$A$1:$O$99,15,0))</f>
        <v>0</v>
      </c>
      <c r="W748" s="4">
        <f>IF(ISERROR(VLOOKUP($T$748,'TAR FIN'!$A$1:$O$99,15,0)),0,VLOOKUP($T$748,'TAR FIN'!$A$1:$O$99,15,0))</f>
        <v>1557.74</v>
      </c>
      <c r="X748" s="4">
        <f>IF(ISERROR(VLOOKUP($U$748,'TAR FIN'!$A$1:$O$99,15,0)),0,VLOOKUP($U$748,'TAR FIN'!$A$1:$O$99,15,0))</f>
        <v>346.61</v>
      </c>
      <c r="Y748" s="4"/>
      <c r="Z748" s="4">
        <f ca="1">('TUSD BE'!$AM$22+'TUSD BF'!$AM$22+'TUSD CVA'!$AM$22)*1</f>
        <v>1799.131999651745</v>
      </c>
      <c r="AA748" s="4">
        <f>('TE BE'!$AA$7+'TE BF'!$AA$7+'TE CVA'!$AA$7)*1</f>
        <v>423.89652505413846</v>
      </c>
      <c r="AB748" s="4">
        <f>$K$748*$V$748</f>
        <v>0</v>
      </c>
      <c r="AC748" s="4">
        <f>$M$748*$W$748</f>
        <v>-9019.3145999999997</v>
      </c>
      <c r="AD748" s="4">
        <f>$O$748*$X$748</f>
        <v>-2006.8719000000001</v>
      </c>
      <c r="AE748" s="4">
        <f>$K$748*$Y$748</f>
        <v>0</v>
      </c>
      <c r="AF748" s="4">
        <f ca="1">$M$748*$Z$748</f>
        <v>-10416.974277983603</v>
      </c>
      <c r="AG748" s="4">
        <f>$O$748*$AA$748</f>
        <v>-2454.3608800634615</v>
      </c>
    </row>
    <row r="749" spans="1:33" ht="11.25" customHeight="1" x14ac:dyDescent="0.25">
      <c r="A749" s="3" t="s">
        <v>28</v>
      </c>
      <c r="B749" s="3" t="s">
        <v>33</v>
      </c>
      <c r="C749" s="3" t="s">
        <v>34</v>
      </c>
      <c r="D749" s="3" t="s">
        <v>43</v>
      </c>
      <c r="E749" s="3" t="s">
        <v>25</v>
      </c>
      <c r="F749" s="3" t="s">
        <v>25</v>
      </c>
      <c r="G749" s="3" t="s">
        <v>25</v>
      </c>
      <c r="H749" s="3" t="s">
        <v>35</v>
      </c>
      <c r="I749" s="6">
        <v>44501</v>
      </c>
      <c r="J749" s="4">
        <v>0</v>
      </c>
      <c r="K749" s="4">
        <v>0</v>
      </c>
      <c r="L749" s="4">
        <v>47.838999999999999</v>
      </c>
      <c r="M749" s="4">
        <v>47.838999999999999</v>
      </c>
      <c r="N749" s="4">
        <v>47.838999999999999</v>
      </c>
      <c r="O749" s="4">
        <v>47.838999999999999</v>
      </c>
      <c r="P749" s="4">
        <v>0</v>
      </c>
      <c r="Q749" s="3" t="s">
        <v>26</v>
      </c>
      <c r="R749" s="3">
        <v>0</v>
      </c>
      <c r="S749" s="4">
        <v>0</v>
      </c>
      <c r="T749" s="4">
        <v>8</v>
      </c>
      <c r="U749" s="4">
        <v>72</v>
      </c>
      <c r="V749" s="4">
        <f>IF(ISERROR(VLOOKUP($S$749,'TAR FIN'!$A$1:$O$99,15,0)),0,VLOOKUP($S$749,'TAR FIN'!$A$1:$O$99,15,0))</f>
        <v>0</v>
      </c>
      <c r="W749" s="4">
        <f>IF(ISERROR(VLOOKUP($T$749,'TAR FIN'!$A$1:$O$99,15,0)),0,VLOOKUP($T$749,'TAR FIN'!$A$1:$O$99,15,0))</f>
        <v>1557.74</v>
      </c>
      <c r="X749" s="4">
        <f>IF(ISERROR(VLOOKUP($U$749,'TAR FIN'!$A$1:$O$99,15,0)),0,VLOOKUP($U$749,'TAR FIN'!$A$1:$O$99,15,0))</f>
        <v>346.61</v>
      </c>
      <c r="Y749" s="4"/>
      <c r="Z749" s="4">
        <f ca="1">('TUSD BE'!$AM$22+'TUSD BF'!$AM$22+'TUSD CVA'!$AM$22)*1</f>
        <v>1799.131999651745</v>
      </c>
      <c r="AA749" s="4">
        <f>('TE BE'!$AA$7+'TE BF'!$AA$7+'TE CVA'!$AA$7)*1</f>
        <v>423.89652505413846</v>
      </c>
      <c r="AB749" s="4">
        <f>$K$749*$V$749</f>
        <v>0</v>
      </c>
      <c r="AC749" s="4">
        <f>$M$749*$W$749</f>
        <v>74520.723859999998</v>
      </c>
      <c r="AD749" s="4">
        <f>$O$749*$X$749</f>
        <v>16581.47579</v>
      </c>
      <c r="AE749" s="4">
        <f>$K$749*$Y$749</f>
        <v>0</v>
      </c>
      <c r="AF749" s="4">
        <f ca="1">$M$749*$Z$749</f>
        <v>86068.675731339827</v>
      </c>
      <c r="AG749" s="4">
        <f>$O$749*$AA$749</f>
        <v>20278.785862064928</v>
      </c>
    </row>
    <row r="750" spans="1:33" ht="11.25" customHeight="1" x14ac:dyDescent="0.25">
      <c r="A750" s="3" t="s">
        <v>28</v>
      </c>
      <c r="B750" s="3" t="s">
        <v>33</v>
      </c>
      <c r="C750" s="3" t="s">
        <v>34</v>
      </c>
      <c r="D750" s="3" t="s">
        <v>43</v>
      </c>
      <c r="E750" s="3" t="s">
        <v>25</v>
      </c>
      <c r="F750" s="3" t="s">
        <v>25</v>
      </c>
      <c r="G750" s="3" t="s">
        <v>25</v>
      </c>
      <c r="H750" s="3" t="s">
        <v>35</v>
      </c>
      <c r="I750" s="6">
        <v>44501</v>
      </c>
      <c r="J750" s="4">
        <v>0</v>
      </c>
      <c r="K750" s="4">
        <v>0</v>
      </c>
      <c r="L750" s="4">
        <v>2.891</v>
      </c>
      <c r="M750" s="4">
        <v>2.891</v>
      </c>
      <c r="N750" s="4">
        <v>2.891</v>
      </c>
      <c r="O750" s="4">
        <v>2.891</v>
      </c>
      <c r="P750" s="4">
        <v>0</v>
      </c>
      <c r="Q750" s="3" t="s">
        <v>26</v>
      </c>
      <c r="R750" s="3">
        <v>0</v>
      </c>
      <c r="S750" s="4">
        <v>0</v>
      </c>
      <c r="T750" s="4">
        <v>8</v>
      </c>
      <c r="U750" s="4">
        <v>72</v>
      </c>
      <c r="V750" s="4">
        <f>IF(ISERROR(VLOOKUP($S$750,'TAR FIN'!$A$1:$O$99,15,0)),0,VLOOKUP($S$750,'TAR FIN'!$A$1:$O$99,15,0))</f>
        <v>0</v>
      </c>
      <c r="W750" s="4">
        <f>IF(ISERROR(VLOOKUP($T$750,'TAR FIN'!$A$1:$O$99,15,0)),0,VLOOKUP($T$750,'TAR FIN'!$A$1:$O$99,15,0))</f>
        <v>1557.74</v>
      </c>
      <c r="X750" s="4">
        <f>IF(ISERROR(VLOOKUP($U$750,'TAR FIN'!$A$1:$O$99,15,0)),0,VLOOKUP($U$750,'TAR FIN'!$A$1:$O$99,15,0))</f>
        <v>346.61</v>
      </c>
      <c r="Y750" s="4"/>
      <c r="Z750" s="4">
        <f ca="1">('TUSD BE'!$AM$22+'TUSD BF'!$AM$22+'TUSD CVA'!$AM$22)*1</f>
        <v>1799.131999651745</v>
      </c>
      <c r="AA750" s="4">
        <f>('TE BE'!$AA$7+'TE BF'!$AA$7+'TE CVA'!$AA$7)*1</f>
        <v>423.89652505413846</v>
      </c>
      <c r="AB750" s="4">
        <f>$K$750*$V$750</f>
        <v>0</v>
      </c>
      <c r="AC750" s="4">
        <f>$M$750*$W$750</f>
        <v>4503.42634</v>
      </c>
      <c r="AD750" s="4">
        <f>$O$750*$X$750</f>
        <v>1002.0495100000001</v>
      </c>
      <c r="AE750" s="4">
        <f>$K$750*$Y$750</f>
        <v>0</v>
      </c>
      <c r="AF750" s="4">
        <f ca="1">$M$750*$Z$750</f>
        <v>5201.2906109931946</v>
      </c>
      <c r="AG750" s="4">
        <f>$O$750*$AA$750</f>
        <v>1225.4848539315144</v>
      </c>
    </row>
    <row r="751" spans="1:33" ht="11.25" customHeight="1" x14ac:dyDescent="0.25">
      <c r="A751" s="3" t="s">
        <v>21</v>
      </c>
      <c r="B751" s="3" t="s">
        <v>33</v>
      </c>
      <c r="C751" s="3" t="s">
        <v>34</v>
      </c>
      <c r="D751" s="3" t="s">
        <v>43</v>
      </c>
      <c r="E751" s="3" t="s">
        <v>25</v>
      </c>
      <c r="F751" s="3" t="s">
        <v>25</v>
      </c>
      <c r="G751" s="3" t="s">
        <v>25</v>
      </c>
      <c r="H751" s="3" t="s">
        <v>35</v>
      </c>
      <c r="I751" s="6">
        <v>44531</v>
      </c>
      <c r="J751" s="4">
        <v>0</v>
      </c>
      <c r="K751" s="4">
        <v>0</v>
      </c>
      <c r="L751" s="4">
        <v>1218.4459999999999</v>
      </c>
      <c r="M751" s="4">
        <v>1218.4459999999999</v>
      </c>
      <c r="N751" s="4">
        <v>1218.4459999999999</v>
      </c>
      <c r="O751" s="4">
        <v>1218.4459999999999</v>
      </c>
      <c r="P751" s="4">
        <v>0</v>
      </c>
      <c r="Q751" s="3" t="s">
        <v>26</v>
      </c>
      <c r="R751" s="3">
        <v>0</v>
      </c>
      <c r="S751" s="4">
        <v>0</v>
      </c>
      <c r="T751" s="4">
        <v>8</v>
      </c>
      <c r="U751" s="4">
        <v>72</v>
      </c>
      <c r="V751" s="4">
        <f>IF(ISERROR(VLOOKUP($S$751,'TAR FIN'!$A$1:$O$99,15,0)),0,VLOOKUP($S$751,'TAR FIN'!$A$1:$O$99,15,0))</f>
        <v>0</v>
      </c>
      <c r="W751" s="4">
        <f>IF(ISERROR(VLOOKUP($T$751,'TAR FIN'!$A$1:$O$99,15,0)),0,VLOOKUP($T$751,'TAR FIN'!$A$1:$O$99,15,0))</f>
        <v>1557.74</v>
      </c>
      <c r="X751" s="4">
        <f>IF(ISERROR(VLOOKUP($U$751,'TAR FIN'!$A$1:$O$99,15,0)),0,VLOOKUP($U$751,'TAR FIN'!$A$1:$O$99,15,0))</f>
        <v>346.61</v>
      </c>
      <c r="Y751" s="4"/>
      <c r="Z751" s="4">
        <f ca="1">('TUSD BE'!$AM$22+'TUSD BF'!$AM$22+'TUSD CVA'!$AM$22)*1</f>
        <v>1799.131999651745</v>
      </c>
      <c r="AA751" s="4">
        <f>('TE BE'!$AA$7+'TE BF'!$AA$7+'TE CVA'!$AA$7)*1</f>
        <v>423.89652505413846</v>
      </c>
      <c r="AB751" s="4">
        <f>$K$751*$V$751</f>
        <v>0</v>
      </c>
      <c r="AC751" s="4">
        <f>$M$751*$W$751</f>
        <v>1898022.0720399998</v>
      </c>
      <c r="AD751" s="4">
        <f>$O$751*$X$751</f>
        <v>422325.56805999996</v>
      </c>
      <c r="AE751" s="4">
        <f>$K$751*$Y$751</f>
        <v>0</v>
      </c>
      <c r="AF751" s="4">
        <f ca="1">$M$751*$Z$751</f>
        <v>2192145.1884476701</v>
      </c>
      <c r="AG751" s="4">
        <f>$O$751*$AA$751</f>
        <v>516495.02536611474</v>
      </c>
    </row>
    <row r="752" spans="1:33" ht="11.25" customHeight="1" x14ac:dyDescent="0.25">
      <c r="A752" s="3" t="s">
        <v>27</v>
      </c>
      <c r="B752" s="3" t="s">
        <v>33</v>
      </c>
      <c r="C752" s="3" t="s">
        <v>34</v>
      </c>
      <c r="D752" s="3" t="s">
        <v>43</v>
      </c>
      <c r="E752" s="3" t="s">
        <v>25</v>
      </c>
      <c r="F752" s="3" t="s">
        <v>25</v>
      </c>
      <c r="G752" s="3" t="s">
        <v>25</v>
      </c>
      <c r="H752" s="3" t="s">
        <v>35</v>
      </c>
      <c r="I752" s="6">
        <v>44531</v>
      </c>
      <c r="J752" s="4">
        <v>0</v>
      </c>
      <c r="K752" s="4">
        <v>0</v>
      </c>
      <c r="L752" s="4">
        <v>0.27400000000000002</v>
      </c>
      <c r="M752" s="4">
        <v>0.27400000000000002</v>
      </c>
      <c r="N752" s="4">
        <v>0.27400000000000002</v>
      </c>
      <c r="O752" s="4">
        <v>0.27400000000000002</v>
      </c>
      <c r="P752" s="4">
        <v>0</v>
      </c>
      <c r="Q752" s="3" t="s">
        <v>26</v>
      </c>
      <c r="R752" s="3">
        <v>0</v>
      </c>
      <c r="S752" s="4">
        <v>0</v>
      </c>
      <c r="T752" s="4">
        <v>8</v>
      </c>
      <c r="U752" s="4">
        <v>72</v>
      </c>
      <c r="V752" s="4">
        <f>IF(ISERROR(VLOOKUP($S$752,'TAR FIN'!$A$1:$O$99,15,0)),0,VLOOKUP($S$752,'TAR FIN'!$A$1:$O$99,15,0))</f>
        <v>0</v>
      </c>
      <c r="W752" s="4">
        <f>IF(ISERROR(VLOOKUP($T$752,'TAR FIN'!$A$1:$O$99,15,0)),0,VLOOKUP($T$752,'TAR FIN'!$A$1:$O$99,15,0))</f>
        <v>1557.74</v>
      </c>
      <c r="X752" s="4">
        <f>IF(ISERROR(VLOOKUP($U$752,'TAR FIN'!$A$1:$O$99,15,0)),0,VLOOKUP($U$752,'TAR FIN'!$A$1:$O$99,15,0))</f>
        <v>346.61</v>
      </c>
      <c r="Y752" s="4"/>
      <c r="Z752" s="4">
        <f ca="1">('TUSD BE'!$AM$22+'TUSD BF'!$AM$22+'TUSD CVA'!$AM$22)*1</f>
        <v>1799.131999651745</v>
      </c>
      <c r="AA752" s="4">
        <f>('TE BE'!$AA$7+'TE BF'!$AA$7+'TE CVA'!$AA$7)*1</f>
        <v>423.89652505413846</v>
      </c>
      <c r="AB752" s="4">
        <f>$K$752*$V$752</f>
        <v>0</v>
      </c>
      <c r="AC752" s="4">
        <f>$M$752*$W$752</f>
        <v>426.82076000000006</v>
      </c>
      <c r="AD752" s="4">
        <f>$O$752*$X$752</f>
        <v>94.971140000000005</v>
      </c>
      <c r="AE752" s="4">
        <f>$K$752*$Y$752</f>
        <v>0</v>
      </c>
      <c r="AF752" s="4">
        <f ca="1">$M$752*$Z$752</f>
        <v>492.96216790457817</v>
      </c>
      <c r="AG752" s="4">
        <f>$O$752*$AA$752</f>
        <v>116.14764786483394</v>
      </c>
    </row>
    <row r="753" spans="1:33" ht="11.25" customHeight="1" x14ac:dyDescent="0.25">
      <c r="A753" s="3" t="s">
        <v>28</v>
      </c>
      <c r="B753" s="3" t="s">
        <v>33</v>
      </c>
      <c r="C753" s="3" t="s">
        <v>34</v>
      </c>
      <c r="D753" s="3" t="s">
        <v>43</v>
      </c>
      <c r="E753" s="3" t="s">
        <v>25</v>
      </c>
      <c r="F753" s="3" t="s">
        <v>25</v>
      </c>
      <c r="G753" s="3" t="s">
        <v>25</v>
      </c>
      <c r="H753" s="3" t="s">
        <v>35</v>
      </c>
      <c r="I753" s="6">
        <v>44531</v>
      </c>
      <c r="J753" s="4">
        <v>0</v>
      </c>
      <c r="K753" s="4">
        <v>0</v>
      </c>
      <c r="L753" s="4">
        <v>90.766999999999996</v>
      </c>
      <c r="M753" s="4">
        <v>90.766999999999996</v>
      </c>
      <c r="N753" s="4">
        <v>90.766999999999996</v>
      </c>
      <c r="O753" s="4">
        <v>90.766999999999996</v>
      </c>
      <c r="P753" s="4">
        <v>0</v>
      </c>
      <c r="Q753" s="3" t="s">
        <v>26</v>
      </c>
      <c r="R753" s="3">
        <v>0</v>
      </c>
      <c r="S753" s="4">
        <v>0</v>
      </c>
      <c r="T753" s="4">
        <v>8</v>
      </c>
      <c r="U753" s="4">
        <v>72</v>
      </c>
      <c r="V753" s="4">
        <f>IF(ISERROR(VLOOKUP($S$753,'TAR FIN'!$A$1:$O$99,15,0)),0,VLOOKUP($S$753,'TAR FIN'!$A$1:$O$99,15,0))</f>
        <v>0</v>
      </c>
      <c r="W753" s="4">
        <f>IF(ISERROR(VLOOKUP($T$753,'TAR FIN'!$A$1:$O$99,15,0)),0,VLOOKUP($T$753,'TAR FIN'!$A$1:$O$99,15,0))</f>
        <v>1557.74</v>
      </c>
      <c r="X753" s="4">
        <f>IF(ISERROR(VLOOKUP($U$753,'TAR FIN'!$A$1:$O$99,15,0)),0,VLOOKUP($U$753,'TAR FIN'!$A$1:$O$99,15,0))</f>
        <v>346.61</v>
      </c>
      <c r="Y753" s="4"/>
      <c r="Z753" s="4">
        <f ca="1">('TUSD BE'!$AM$22+'TUSD BF'!$AM$22+'TUSD CVA'!$AM$22)*1</f>
        <v>1799.131999651745</v>
      </c>
      <c r="AA753" s="4">
        <f>('TE BE'!$AA$7+'TE BF'!$AA$7+'TE CVA'!$AA$7)*1</f>
        <v>423.89652505413846</v>
      </c>
      <c r="AB753" s="4">
        <f>$K$753*$V$753</f>
        <v>0</v>
      </c>
      <c r="AC753" s="4">
        <f>$M$753*$W$753</f>
        <v>141391.38657999999</v>
      </c>
      <c r="AD753" s="4">
        <f>$O$753*$X$753</f>
        <v>31460.74987</v>
      </c>
      <c r="AE753" s="4">
        <f>$K$753*$Y$753</f>
        <v>0</v>
      </c>
      <c r="AF753" s="4">
        <f ca="1">$M$753*$Z$753</f>
        <v>163301.81421238993</v>
      </c>
      <c r="AG753" s="4">
        <f>$O$753*$AA$753</f>
        <v>38475.815889588986</v>
      </c>
    </row>
    <row r="754" spans="1:33" ht="11.25" customHeight="1" x14ac:dyDescent="0.25">
      <c r="A754" s="3" t="s">
        <v>28</v>
      </c>
      <c r="B754" s="3" t="s">
        <v>33</v>
      </c>
      <c r="C754" s="3" t="s">
        <v>34</v>
      </c>
      <c r="D754" s="3" t="s">
        <v>43</v>
      </c>
      <c r="E754" s="3" t="s">
        <v>25</v>
      </c>
      <c r="F754" s="3" t="s">
        <v>25</v>
      </c>
      <c r="G754" s="3" t="s">
        <v>25</v>
      </c>
      <c r="H754" s="3" t="s">
        <v>35</v>
      </c>
      <c r="I754" s="6">
        <v>44531</v>
      </c>
      <c r="J754" s="4">
        <v>0</v>
      </c>
      <c r="K754" s="4">
        <v>0</v>
      </c>
      <c r="L754" s="4">
        <v>-0.19400000000000001</v>
      </c>
      <c r="M754" s="4">
        <v>-0.19400000000000001</v>
      </c>
      <c r="N754" s="4">
        <v>-0.19400000000000001</v>
      </c>
      <c r="O754" s="4">
        <v>-0.19400000000000001</v>
      </c>
      <c r="P754" s="4">
        <v>0</v>
      </c>
      <c r="Q754" s="3" t="s">
        <v>26</v>
      </c>
      <c r="R754" s="3">
        <v>0</v>
      </c>
      <c r="S754" s="4">
        <v>0</v>
      </c>
      <c r="T754" s="4">
        <v>8</v>
      </c>
      <c r="U754" s="4">
        <v>72</v>
      </c>
      <c r="V754" s="4">
        <f>IF(ISERROR(VLOOKUP($S$754,'TAR FIN'!$A$1:$O$99,15,0)),0,VLOOKUP($S$754,'TAR FIN'!$A$1:$O$99,15,0))</f>
        <v>0</v>
      </c>
      <c r="W754" s="4">
        <f>IF(ISERROR(VLOOKUP($T$754,'TAR FIN'!$A$1:$O$99,15,0)),0,VLOOKUP($T$754,'TAR FIN'!$A$1:$O$99,15,0))</f>
        <v>1557.74</v>
      </c>
      <c r="X754" s="4">
        <f>IF(ISERROR(VLOOKUP($U$754,'TAR FIN'!$A$1:$O$99,15,0)),0,VLOOKUP($U$754,'TAR FIN'!$A$1:$O$99,15,0))</f>
        <v>346.61</v>
      </c>
      <c r="Y754" s="4"/>
      <c r="Z754" s="4">
        <f ca="1">('TUSD BE'!$AM$22+'TUSD BF'!$AM$22+'TUSD CVA'!$AM$22)*1</f>
        <v>1799.131999651745</v>
      </c>
      <c r="AA754" s="4">
        <f>('TE BE'!$AA$7+'TE BF'!$AA$7+'TE CVA'!$AA$7)*1</f>
        <v>423.89652505413846</v>
      </c>
      <c r="AB754" s="4">
        <f>$K$754*$V$754</f>
        <v>0</v>
      </c>
      <c r="AC754" s="4">
        <f>$M$754*$W$754</f>
        <v>-302.20156000000003</v>
      </c>
      <c r="AD754" s="4">
        <f>$O$754*$X$754</f>
        <v>-67.242339999999999</v>
      </c>
      <c r="AE754" s="4">
        <f>$K$754*$Y$754</f>
        <v>0</v>
      </c>
      <c r="AF754" s="4">
        <f ca="1">$M$754*$Z$754</f>
        <v>-349.03160793243853</v>
      </c>
      <c r="AG754" s="4">
        <f>$O$754*$AA$754</f>
        <v>-82.23592586050286</v>
      </c>
    </row>
    <row r="755" spans="1:33" ht="11.25" customHeight="1" x14ac:dyDescent="0.25">
      <c r="A755" s="3" t="s">
        <v>21</v>
      </c>
      <c r="B755" s="3" t="s">
        <v>33</v>
      </c>
      <c r="C755" s="3" t="s">
        <v>34</v>
      </c>
      <c r="D755" s="3" t="s">
        <v>43</v>
      </c>
      <c r="E755" s="3" t="s">
        <v>25</v>
      </c>
      <c r="F755" s="3" t="s">
        <v>25</v>
      </c>
      <c r="G755" s="3" t="s">
        <v>25</v>
      </c>
      <c r="H755" s="3" t="s">
        <v>35</v>
      </c>
      <c r="I755" s="6">
        <v>44562</v>
      </c>
      <c r="J755" s="4">
        <v>0</v>
      </c>
      <c r="K755" s="4">
        <v>0</v>
      </c>
      <c r="L755" s="4">
        <v>1106.7950000000001</v>
      </c>
      <c r="M755" s="4">
        <v>1106.7950000000001</v>
      </c>
      <c r="N755" s="4">
        <v>1106.7950000000001</v>
      </c>
      <c r="O755" s="4">
        <v>1106.7950000000001</v>
      </c>
      <c r="P755" s="4">
        <v>0</v>
      </c>
      <c r="Q755" s="3" t="s">
        <v>26</v>
      </c>
      <c r="R755" s="3">
        <v>0</v>
      </c>
      <c r="S755" s="4">
        <v>0</v>
      </c>
      <c r="T755" s="4">
        <v>8</v>
      </c>
      <c r="U755" s="4">
        <v>72</v>
      </c>
      <c r="V755" s="4">
        <f>IF(ISERROR(VLOOKUP($S$755,'TAR FIN'!$A$1:$O$99,15,0)),0,VLOOKUP($S$755,'TAR FIN'!$A$1:$O$99,15,0))</f>
        <v>0</v>
      </c>
      <c r="W755" s="4">
        <f>IF(ISERROR(VLOOKUP($T$755,'TAR FIN'!$A$1:$O$99,15,0)),0,VLOOKUP($T$755,'TAR FIN'!$A$1:$O$99,15,0))</f>
        <v>1557.74</v>
      </c>
      <c r="X755" s="4">
        <f>IF(ISERROR(VLOOKUP($U$755,'TAR FIN'!$A$1:$O$99,15,0)),0,VLOOKUP($U$755,'TAR FIN'!$A$1:$O$99,15,0))</f>
        <v>346.61</v>
      </c>
      <c r="Y755" s="4"/>
      <c r="Z755" s="4">
        <f ca="1">('TUSD BE'!$AM$22+'TUSD BF'!$AM$22+'TUSD CVA'!$AM$22)*1</f>
        <v>1799.131999651745</v>
      </c>
      <c r="AA755" s="4">
        <f>('TE BE'!$AA$7+'TE BF'!$AA$7+'TE CVA'!$AA$7)*1</f>
        <v>423.89652505413846</v>
      </c>
      <c r="AB755" s="4">
        <f>$K$755*$V$755</f>
        <v>0</v>
      </c>
      <c r="AC755" s="4">
        <f>$M$755*$W$755</f>
        <v>1724098.8433000001</v>
      </c>
      <c r="AD755" s="4">
        <f>$O$755*$X$755</f>
        <v>383626.21495000005</v>
      </c>
      <c r="AE755" s="4">
        <f>$K$755*$Y$755</f>
        <v>0</v>
      </c>
      <c r="AF755" s="4">
        <f ca="1">$M$755*$Z$755</f>
        <v>1991270.3015545532</v>
      </c>
      <c r="AG755" s="4">
        <f>$O$755*$AA$755</f>
        <v>469166.5544472952</v>
      </c>
    </row>
    <row r="756" spans="1:33" ht="11.25" customHeight="1" x14ac:dyDescent="0.25">
      <c r="A756" s="3" t="s">
        <v>27</v>
      </c>
      <c r="B756" s="3" t="s">
        <v>33</v>
      </c>
      <c r="C756" s="3" t="s">
        <v>34</v>
      </c>
      <c r="D756" s="3" t="s">
        <v>43</v>
      </c>
      <c r="E756" s="3" t="s">
        <v>25</v>
      </c>
      <c r="F756" s="3" t="s">
        <v>25</v>
      </c>
      <c r="G756" s="3" t="s">
        <v>25</v>
      </c>
      <c r="H756" s="3" t="s">
        <v>35</v>
      </c>
      <c r="I756" s="6">
        <v>44562</v>
      </c>
      <c r="J756" s="4">
        <v>0</v>
      </c>
      <c r="K756" s="4">
        <v>0</v>
      </c>
      <c r="L756" s="4">
        <v>13.108000000000001</v>
      </c>
      <c r="M756" s="4">
        <v>13.108000000000001</v>
      </c>
      <c r="N756" s="4">
        <v>13.108000000000001</v>
      </c>
      <c r="O756" s="4">
        <v>13.108000000000001</v>
      </c>
      <c r="P756" s="4">
        <v>0</v>
      </c>
      <c r="Q756" s="3" t="s">
        <v>26</v>
      </c>
      <c r="R756" s="3">
        <v>0</v>
      </c>
      <c r="S756" s="4">
        <v>0</v>
      </c>
      <c r="T756" s="4">
        <v>8</v>
      </c>
      <c r="U756" s="4">
        <v>72</v>
      </c>
      <c r="V756" s="4">
        <f>IF(ISERROR(VLOOKUP($S$756,'TAR FIN'!$A$1:$O$99,15,0)),0,VLOOKUP($S$756,'TAR FIN'!$A$1:$O$99,15,0))</f>
        <v>0</v>
      </c>
      <c r="W756" s="4">
        <f>IF(ISERROR(VLOOKUP($T$756,'TAR FIN'!$A$1:$O$99,15,0)),0,VLOOKUP($T$756,'TAR FIN'!$A$1:$O$99,15,0))</f>
        <v>1557.74</v>
      </c>
      <c r="X756" s="4">
        <f>IF(ISERROR(VLOOKUP($U$756,'TAR FIN'!$A$1:$O$99,15,0)),0,VLOOKUP($U$756,'TAR FIN'!$A$1:$O$99,15,0))</f>
        <v>346.61</v>
      </c>
      <c r="Y756" s="4"/>
      <c r="Z756" s="4">
        <f ca="1">('TUSD BE'!$AM$22+'TUSD BF'!$AM$22+'TUSD CVA'!$AM$22)*1</f>
        <v>1799.131999651745</v>
      </c>
      <c r="AA756" s="4">
        <f>('TE BE'!$AA$7+'TE BF'!$AA$7+'TE CVA'!$AA$7)*1</f>
        <v>423.89652505413846</v>
      </c>
      <c r="AB756" s="4">
        <f>$K$756*$V$756</f>
        <v>0</v>
      </c>
      <c r="AC756" s="4">
        <f>$M$756*$W$756</f>
        <v>20418.855920000002</v>
      </c>
      <c r="AD756" s="4">
        <f>$O$756*$X$756</f>
        <v>4543.3638800000008</v>
      </c>
      <c r="AE756" s="4">
        <f>$K$756*$Y$756</f>
        <v>0</v>
      </c>
      <c r="AF756" s="4">
        <f ca="1">$M$756*$Z$756</f>
        <v>23583.022251435075</v>
      </c>
      <c r="AG756" s="4">
        <f>$O$756*$AA$756</f>
        <v>5556.4356504096477</v>
      </c>
    </row>
    <row r="757" spans="1:33" ht="11.25" customHeight="1" x14ac:dyDescent="0.25">
      <c r="A757" s="3" t="s">
        <v>28</v>
      </c>
      <c r="B757" s="3" t="s">
        <v>33</v>
      </c>
      <c r="C757" s="3" t="s">
        <v>34</v>
      </c>
      <c r="D757" s="3" t="s">
        <v>43</v>
      </c>
      <c r="E757" s="3" t="s">
        <v>25</v>
      </c>
      <c r="F757" s="3" t="s">
        <v>25</v>
      </c>
      <c r="G757" s="3" t="s">
        <v>25</v>
      </c>
      <c r="H757" s="3" t="s">
        <v>35</v>
      </c>
      <c r="I757" s="6">
        <v>44562</v>
      </c>
      <c r="J757" s="4">
        <v>0</v>
      </c>
      <c r="K757" s="4">
        <v>0</v>
      </c>
      <c r="L757" s="4">
        <v>61.405000000000001</v>
      </c>
      <c r="M757" s="4">
        <v>61.405000000000001</v>
      </c>
      <c r="N757" s="4">
        <v>61.405000000000001</v>
      </c>
      <c r="O757" s="4">
        <v>61.405000000000001</v>
      </c>
      <c r="P757" s="4">
        <v>0</v>
      </c>
      <c r="Q757" s="3" t="s">
        <v>26</v>
      </c>
      <c r="R757" s="3">
        <v>0</v>
      </c>
      <c r="S757" s="4">
        <v>0</v>
      </c>
      <c r="T757" s="4">
        <v>8</v>
      </c>
      <c r="U757" s="4">
        <v>72</v>
      </c>
      <c r="V757" s="4">
        <f>IF(ISERROR(VLOOKUP($S$757,'TAR FIN'!$A$1:$O$99,15,0)),0,VLOOKUP($S$757,'TAR FIN'!$A$1:$O$99,15,0))</f>
        <v>0</v>
      </c>
      <c r="W757" s="4">
        <f>IF(ISERROR(VLOOKUP($T$757,'TAR FIN'!$A$1:$O$99,15,0)),0,VLOOKUP($T$757,'TAR FIN'!$A$1:$O$99,15,0))</f>
        <v>1557.74</v>
      </c>
      <c r="X757" s="4">
        <f>IF(ISERROR(VLOOKUP($U$757,'TAR FIN'!$A$1:$O$99,15,0)),0,VLOOKUP($U$757,'TAR FIN'!$A$1:$O$99,15,0))</f>
        <v>346.61</v>
      </c>
      <c r="Y757" s="4"/>
      <c r="Z757" s="4">
        <f ca="1">('TUSD BE'!$AM$22+'TUSD BF'!$AM$22+'TUSD CVA'!$AM$22)*1</f>
        <v>1799.131999651745</v>
      </c>
      <c r="AA757" s="4">
        <f>('TE BE'!$AA$7+'TE BF'!$AA$7+'TE CVA'!$AA$7)*1</f>
        <v>423.89652505413846</v>
      </c>
      <c r="AB757" s="4">
        <f>$K$757*$V$757</f>
        <v>0</v>
      </c>
      <c r="AC757" s="4">
        <f>$M$757*$W$757</f>
        <v>95653.024700000009</v>
      </c>
      <c r="AD757" s="4">
        <f>$O$757*$X$757</f>
        <v>21283.587050000002</v>
      </c>
      <c r="AE757" s="4">
        <f>$K$757*$Y$757</f>
        <v>0</v>
      </c>
      <c r="AF757" s="4">
        <f ca="1">$M$757*$Z$757</f>
        <v>110475.7004386154</v>
      </c>
      <c r="AG757" s="4">
        <f>$O$757*$AA$757</f>
        <v>26029.366120949373</v>
      </c>
    </row>
    <row r="758" spans="1:33" ht="11.25" customHeight="1" x14ac:dyDescent="0.25">
      <c r="A758" s="3" t="s">
        <v>28</v>
      </c>
      <c r="B758" s="3" t="s">
        <v>33</v>
      </c>
      <c r="C758" s="3" t="s">
        <v>34</v>
      </c>
      <c r="D758" s="3" t="s">
        <v>43</v>
      </c>
      <c r="E758" s="3" t="s">
        <v>25</v>
      </c>
      <c r="F758" s="3" t="s">
        <v>25</v>
      </c>
      <c r="G758" s="3" t="s">
        <v>25</v>
      </c>
      <c r="H758" s="3" t="s">
        <v>35</v>
      </c>
      <c r="I758" s="6">
        <v>44562</v>
      </c>
      <c r="J758" s="4">
        <v>0</v>
      </c>
      <c r="K758" s="4">
        <v>0</v>
      </c>
      <c r="L758" s="4">
        <v>-0.68600000000000005</v>
      </c>
      <c r="M758" s="4">
        <v>-0.68600000000000005</v>
      </c>
      <c r="N758" s="4">
        <v>-0.68600000000000005</v>
      </c>
      <c r="O758" s="4">
        <v>-0.68600000000000005</v>
      </c>
      <c r="P758" s="4">
        <v>0</v>
      </c>
      <c r="Q758" s="3" t="s">
        <v>26</v>
      </c>
      <c r="R758" s="3">
        <v>0</v>
      </c>
      <c r="S758" s="4">
        <v>0</v>
      </c>
      <c r="T758" s="4">
        <v>8</v>
      </c>
      <c r="U758" s="4">
        <v>72</v>
      </c>
      <c r="V758" s="4">
        <f>IF(ISERROR(VLOOKUP($S$758,'TAR FIN'!$A$1:$O$99,15,0)),0,VLOOKUP($S$758,'TAR FIN'!$A$1:$O$99,15,0))</f>
        <v>0</v>
      </c>
      <c r="W758" s="4">
        <f>IF(ISERROR(VLOOKUP($T$758,'TAR FIN'!$A$1:$O$99,15,0)),0,VLOOKUP($T$758,'TAR FIN'!$A$1:$O$99,15,0))</f>
        <v>1557.74</v>
      </c>
      <c r="X758" s="4">
        <f>IF(ISERROR(VLOOKUP($U$758,'TAR FIN'!$A$1:$O$99,15,0)),0,VLOOKUP($U$758,'TAR FIN'!$A$1:$O$99,15,0))</f>
        <v>346.61</v>
      </c>
      <c r="Y758" s="4"/>
      <c r="Z758" s="4">
        <f ca="1">('TUSD BE'!$AM$22+'TUSD BF'!$AM$22+'TUSD CVA'!$AM$22)*1</f>
        <v>1799.131999651745</v>
      </c>
      <c r="AA758" s="4">
        <f>('TE BE'!$AA$7+'TE BF'!$AA$7+'TE CVA'!$AA$7)*1</f>
        <v>423.89652505413846</v>
      </c>
      <c r="AB758" s="4">
        <f>$K$758*$V$758</f>
        <v>0</v>
      </c>
      <c r="AC758" s="4">
        <f>$M$758*$W$758</f>
        <v>-1068.6096400000001</v>
      </c>
      <c r="AD758" s="4">
        <f>$O$758*$X$758</f>
        <v>-237.77446000000003</v>
      </c>
      <c r="AE758" s="4">
        <f>$K$758*$Y$758</f>
        <v>0</v>
      </c>
      <c r="AF758" s="4">
        <f ca="1">$M$758*$Z$758</f>
        <v>-1234.2045517610973</v>
      </c>
      <c r="AG758" s="4">
        <f>$O$758*$AA$758</f>
        <v>-290.79301618713902</v>
      </c>
    </row>
    <row r="759" spans="1:33" ht="11.25" customHeight="1" x14ac:dyDescent="0.25">
      <c r="A759" s="3" t="s">
        <v>21</v>
      </c>
      <c r="B759" s="3" t="s">
        <v>33</v>
      </c>
      <c r="C759" s="3" t="s">
        <v>34</v>
      </c>
      <c r="D759" s="3" t="s">
        <v>43</v>
      </c>
      <c r="E759" s="3" t="s">
        <v>25</v>
      </c>
      <c r="F759" s="3" t="s">
        <v>25</v>
      </c>
      <c r="G759" s="3" t="s">
        <v>25</v>
      </c>
      <c r="H759" s="3" t="s">
        <v>35</v>
      </c>
      <c r="I759" s="6">
        <v>44593</v>
      </c>
      <c r="J759" s="4">
        <v>0</v>
      </c>
      <c r="K759" s="4">
        <v>0</v>
      </c>
      <c r="L759" s="4">
        <v>1148.896</v>
      </c>
      <c r="M759" s="4">
        <v>1148.896</v>
      </c>
      <c r="N759" s="4">
        <v>1148.896</v>
      </c>
      <c r="O759" s="4">
        <v>1148.896</v>
      </c>
      <c r="P759" s="4">
        <v>0</v>
      </c>
      <c r="Q759" s="3" t="s">
        <v>26</v>
      </c>
      <c r="R759" s="3">
        <v>0</v>
      </c>
      <c r="S759" s="4">
        <v>0</v>
      </c>
      <c r="T759" s="4">
        <v>8</v>
      </c>
      <c r="U759" s="4">
        <v>72</v>
      </c>
      <c r="V759" s="4">
        <f>IF(ISERROR(VLOOKUP($S$759,'TAR FIN'!$A$1:$O$99,15,0)),0,VLOOKUP($S$759,'TAR FIN'!$A$1:$O$99,15,0))</f>
        <v>0</v>
      </c>
      <c r="W759" s="4">
        <f>IF(ISERROR(VLOOKUP($T$759,'TAR FIN'!$A$1:$O$99,15,0)),0,VLOOKUP($T$759,'TAR FIN'!$A$1:$O$99,15,0))</f>
        <v>1557.74</v>
      </c>
      <c r="X759" s="4">
        <f>IF(ISERROR(VLOOKUP($U$759,'TAR FIN'!$A$1:$O$99,15,0)),0,VLOOKUP($U$759,'TAR FIN'!$A$1:$O$99,15,0))</f>
        <v>346.61</v>
      </c>
      <c r="Y759" s="4"/>
      <c r="Z759" s="4">
        <f ca="1">('TUSD BE'!$AM$22+'TUSD BF'!$AM$22+'TUSD CVA'!$AM$22)*1</f>
        <v>1799.131999651745</v>
      </c>
      <c r="AA759" s="4">
        <f>('TE BE'!$AA$7+'TE BF'!$AA$7+'TE CVA'!$AA$7)*1</f>
        <v>423.89652505413846</v>
      </c>
      <c r="AB759" s="4">
        <f>$K$759*$V$759</f>
        <v>0</v>
      </c>
      <c r="AC759" s="4">
        <f>$M$759*$W$759</f>
        <v>1789681.25504</v>
      </c>
      <c r="AD759" s="4">
        <f>$O$759*$X$759</f>
        <v>398218.84256000002</v>
      </c>
      <c r="AE759" s="4">
        <f>$K$759*$Y$759</f>
        <v>0</v>
      </c>
      <c r="AF759" s="4">
        <f ca="1">$M$759*$Z$759</f>
        <v>2067015.5578718912</v>
      </c>
      <c r="AG759" s="4">
        <f>$O$759*$AA$759</f>
        <v>487013.02204859944</v>
      </c>
    </row>
    <row r="760" spans="1:33" ht="11.25" customHeight="1" x14ac:dyDescent="0.25">
      <c r="A760" s="3" t="s">
        <v>27</v>
      </c>
      <c r="B760" s="3" t="s">
        <v>33</v>
      </c>
      <c r="C760" s="3" t="s">
        <v>34</v>
      </c>
      <c r="D760" s="3" t="s">
        <v>43</v>
      </c>
      <c r="E760" s="3" t="s">
        <v>25</v>
      </c>
      <c r="F760" s="3" t="s">
        <v>25</v>
      </c>
      <c r="G760" s="3" t="s">
        <v>25</v>
      </c>
      <c r="H760" s="3" t="s">
        <v>35</v>
      </c>
      <c r="I760" s="6">
        <v>44593</v>
      </c>
      <c r="J760" s="4">
        <v>0</v>
      </c>
      <c r="K760" s="4">
        <v>0</v>
      </c>
      <c r="L760" s="4">
        <v>-0.214</v>
      </c>
      <c r="M760" s="4">
        <v>-0.214</v>
      </c>
      <c r="N760" s="4">
        <v>-0.214</v>
      </c>
      <c r="O760" s="4">
        <v>-0.214</v>
      </c>
      <c r="P760" s="4">
        <v>0</v>
      </c>
      <c r="Q760" s="3" t="s">
        <v>26</v>
      </c>
      <c r="R760" s="3">
        <v>0</v>
      </c>
      <c r="S760" s="4">
        <v>0</v>
      </c>
      <c r="T760" s="4">
        <v>8</v>
      </c>
      <c r="U760" s="4">
        <v>72</v>
      </c>
      <c r="V760" s="4">
        <f>IF(ISERROR(VLOOKUP($S$760,'TAR FIN'!$A$1:$O$99,15,0)),0,VLOOKUP($S$760,'TAR FIN'!$A$1:$O$99,15,0))</f>
        <v>0</v>
      </c>
      <c r="W760" s="4">
        <f>IF(ISERROR(VLOOKUP($T$760,'TAR FIN'!$A$1:$O$99,15,0)),0,VLOOKUP($T$760,'TAR FIN'!$A$1:$O$99,15,0))</f>
        <v>1557.74</v>
      </c>
      <c r="X760" s="4">
        <f>IF(ISERROR(VLOOKUP($U$760,'TAR FIN'!$A$1:$O$99,15,0)),0,VLOOKUP($U$760,'TAR FIN'!$A$1:$O$99,15,0))</f>
        <v>346.61</v>
      </c>
      <c r="Y760" s="4"/>
      <c r="Z760" s="4">
        <f ca="1">('TUSD BE'!$AM$22+'TUSD BF'!$AM$22+'TUSD CVA'!$AM$22)*1</f>
        <v>1799.131999651745</v>
      </c>
      <c r="AA760" s="4">
        <f>('TE BE'!$AA$7+'TE BF'!$AA$7+'TE CVA'!$AA$7)*1</f>
        <v>423.89652505413846</v>
      </c>
      <c r="AB760" s="4">
        <f>$K$760*$V$760</f>
        <v>0</v>
      </c>
      <c r="AC760" s="4">
        <f>$M$760*$W$760</f>
        <v>-333.35636</v>
      </c>
      <c r="AD760" s="4">
        <f>$O$760*$X$760</f>
        <v>-74.174540000000007</v>
      </c>
      <c r="AE760" s="4">
        <f>$K$760*$Y$760</f>
        <v>0</v>
      </c>
      <c r="AF760" s="4">
        <f ca="1">$M$760*$Z$760</f>
        <v>-385.0142479254734</v>
      </c>
      <c r="AG760" s="4">
        <f>$O$760*$AA$760</f>
        <v>-90.713856361585627</v>
      </c>
    </row>
    <row r="761" spans="1:33" ht="11.25" customHeight="1" x14ac:dyDescent="0.25">
      <c r="A761" s="3" t="s">
        <v>28</v>
      </c>
      <c r="B761" s="3" t="s">
        <v>33</v>
      </c>
      <c r="C761" s="3" t="s">
        <v>34</v>
      </c>
      <c r="D761" s="3" t="s">
        <v>43</v>
      </c>
      <c r="E761" s="3" t="s">
        <v>25</v>
      </c>
      <c r="F761" s="3" t="s">
        <v>25</v>
      </c>
      <c r="G761" s="3" t="s">
        <v>25</v>
      </c>
      <c r="H761" s="3" t="s">
        <v>35</v>
      </c>
      <c r="I761" s="6">
        <v>44593</v>
      </c>
      <c r="J761" s="4">
        <v>0</v>
      </c>
      <c r="K761" s="4">
        <v>0</v>
      </c>
      <c r="L761" s="4">
        <v>59.631</v>
      </c>
      <c r="M761" s="4">
        <v>59.631</v>
      </c>
      <c r="N761" s="4">
        <v>59.631</v>
      </c>
      <c r="O761" s="4">
        <v>59.631</v>
      </c>
      <c r="P761" s="4">
        <v>0</v>
      </c>
      <c r="Q761" s="3" t="s">
        <v>26</v>
      </c>
      <c r="R761" s="3">
        <v>0</v>
      </c>
      <c r="S761" s="4">
        <v>0</v>
      </c>
      <c r="T761" s="4">
        <v>8</v>
      </c>
      <c r="U761" s="4">
        <v>72</v>
      </c>
      <c r="V761" s="4">
        <f>IF(ISERROR(VLOOKUP($S$761,'TAR FIN'!$A$1:$O$99,15,0)),0,VLOOKUP($S$761,'TAR FIN'!$A$1:$O$99,15,0))</f>
        <v>0</v>
      </c>
      <c r="W761" s="4">
        <f>IF(ISERROR(VLOOKUP($T$761,'TAR FIN'!$A$1:$O$99,15,0)),0,VLOOKUP($T$761,'TAR FIN'!$A$1:$O$99,15,0))</f>
        <v>1557.74</v>
      </c>
      <c r="X761" s="4">
        <f>IF(ISERROR(VLOOKUP($U$761,'TAR FIN'!$A$1:$O$99,15,0)),0,VLOOKUP($U$761,'TAR FIN'!$A$1:$O$99,15,0))</f>
        <v>346.61</v>
      </c>
      <c r="Y761" s="4"/>
      <c r="Z761" s="4">
        <f ca="1">('TUSD BE'!$AM$22+'TUSD BF'!$AM$22+'TUSD CVA'!$AM$22)*1</f>
        <v>1799.131999651745</v>
      </c>
      <c r="AA761" s="4">
        <f>('TE BE'!$AA$7+'TE BF'!$AA$7+'TE CVA'!$AA$7)*1</f>
        <v>423.89652505413846</v>
      </c>
      <c r="AB761" s="4">
        <f>$K$761*$V$761</f>
        <v>0</v>
      </c>
      <c r="AC761" s="4">
        <f>$M$761*$W$761</f>
        <v>92889.593940000006</v>
      </c>
      <c r="AD761" s="4">
        <f>$O$761*$X$761</f>
        <v>20668.70091</v>
      </c>
      <c r="AE761" s="4">
        <f>$K$761*$Y$761</f>
        <v>0</v>
      </c>
      <c r="AF761" s="4">
        <f ca="1">$M$761*$Z$761</f>
        <v>107284.0402712332</v>
      </c>
      <c r="AG761" s="4">
        <f>$O$761*$AA$761</f>
        <v>25277.373685503331</v>
      </c>
    </row>
    <row r="762" spans="1:33" ht="11.25" customHeight="1" x14ac:dyDescent="0.25">
      <c r="A762" s="3" t="s">
        <v>28</v>
      </c>
      <c r="B762" s="3" t="s">
        <v>33</v>
      </c>
      <c r="C762" s="3" t="s">
        <v>34</v>
      </c>
      <c r="D762" s="3" t="s">
        <v>43</v>
      </c>
      <c r="E762" s="3" t="s">
        <v>25</v>
      </c>
      <c r="F762" s="3" t="s">
        <v>25</v>
      </c>
      <c r="G762" s="3" t="s">
        <v>25</v>
      </c>
      <c r="H762" s="3" t="s">
        <v>35</v>
      </c>
      <c r="I762" s="6">
        <v>44593</v>
      </c>
      <c r="J762" s="4">
        <v>0</v>
      </c>
      <c r="K762" s="4">
        <v>0</v>
      </c>
      <c r="L762" s="4">
        <v>-0.84799999999999998</v>
      </c>
      <c r="M762" s="4">
        <v>-0.84799999999999998</v>
      </c>
      <c r="N762" s="4">
        <v>-0.84799999999999998</v>
      </c>
      <c r="O762" s="4">
        <v>-0.84799999999999998</v>
      </c>
      <c r="P762" s="4">
        <v>0</v>
      </c>
      <c r="Q762" s="3" t="s">
        <v>26</v>
      </c>
      <c r="R762" s="3">
        <v>0</v>
      </c>
      <c r="S762" s="4">
        <v>0</v>
      </c>
      <c r="T762" s="4">
        <v>8</v>
      </c>
      <c r="U762" s="4">
        <v>72</v>
      </c>
      <c r="V762" s="4">
        <f>IF(ISERROR(VLOOKUP($S$762,'TAR FIN'!$A$1:$O$99,15,0)),0,VLOOKUP($S$762,'TAR FIN'!$A$1:$O$99,15,0))</f>
        <v>0</v>
      </c>
      <c r="W762" s="4">
        <f>IF(ISERROR(VLOOKUP($T$762,'TAR FIN'!$A$1:$O$99,15,0)),0,VLOOKUP($T$762,'TAR FIN'!$A$1:$O$99,15,0))</f>
        <v>1557.74</v>
      </c>
      <c r="X762" s="4">
        <f>IF(ISERROR(VLOOKUP($U$762,'TAR FIN'!$A$1:$O$99,15,0)),0,VLOOKUP($U$762,'TAR FIN'!$A$1:$O$99,15,0))</f>
        <v>346.61</v>
      </c>
      <c r="Y762" s="4"/>
      <c r="Z762" s="4">
        <f ca="1">('TUSD BE'!$AM$22+'TUSD BF'!$AM$22+'TUSD CVA'!$AM$22)*1</f>
        <v>1799.131999651745</v>
      </c>
      <c r="AA762" s="4">
        <f>('TE BE'!$AA$7+'TE BF'!$AA$7+'TE CVA'!$AA$7)*1</f>
        <v>423.89652505413846</v>
      </c>
      <c r="AB762" s="4">
        <f>$K$762*$V$762</f>
        <v>0</v>
      </c>
      <c r="AC762" s="4">
        <f>$M$762*$W$762</f>
        <v>-1320.96352</v>
      </c>
      <c r="AD762" s="4">
        <f>$O$762*$X$762</f>
        <v>-293.92527999999999</v>
      </c>
      <c r="AE762" s="4">
        <f>$K$762*$Y$762</f>
        <v>0</v>
      </c>
      <c r="AF762" s="4">
        <f ca="1">$M$762*$Z$762</f>
        <v>-1525.6639357046797</v>
      </c>
      <c r="AG762" s="4">
        <f>$O$762*$AA$762</f>
        <v>-359.46425324590939</v>
      </c>
    </row>
    <row r="763" spans="1:33" ht="11.25" customHeight="1" x14ac:dyDescent="0.25">
      <c r="A763" s="3" t="s">
        <v>21</v>
      </c>
      <c r="B763" s="3" t="s">
        <v>33</v>
      </c>
      <c r="C763" s="3" t="s">
        <v>34</v>
      </c>
      <c r="D763" s="3" t="s">
        <v>43</v>
      </c>
      <c r="E763" s="3" t="s">
        <v>25</v>
      </c>
      <c r="F763" s="3" t="s">
        <v>25</v>
      </c>
      <c r="G763" s="3" t="s">
        <v>25</v>
      </c>
      <c r="H763" s="3" t="s">
        <v>35</v>
      </c>
      <c r="I763" s="6">
        <v>44621</v>
      </c>
      <c r="J763" s="4">
        <v>0</v>
      </c>
      <c r="K763" s="4">
        <v>0</v>
      </c>
      <c r="L763" s="4">
        <v>1203.4059999999999</v>
      </c>
      <c r="M763" s="4">
        <v>1203.4059999999999</v>
      </c>
      <c r="N763" s="4">
        <v>1203.4059999999999</v>
      </c>
      <c r="O763" s="4">
        <v>1203.4059999999999</v>
      </c>
      <c r="P763" s="4">
        <v>0</v>
      </c>
      <c r="Q763" s="3" t="s">
        <v>26</v>
      </c>
      <c r="R763" s="3">
        <v>0</v>
      </c>
      <c r="S763" s="4">
        <v>0</v>
      </c>
      <c r="T763" s="4">
        <v>8</v>
      </c>
      <c r="U763" s="4">
        <v>72</v>
      </c>
      <c r="V763" s="4">
        <f>IF(ISERROR(VLOOKUP($S$763,'TAR FIN'!$A$1:$O$99,15,0)),0,VLOOKUP($S$763,'TAR FIN'!$A$1:$O$99,15,0))</f>
        <v>0</v>
      </c>
      <c r="W763" s="4">
        <f>IF(ISERROR(VLOOKUP($T$763,'TAR FIN'!$A$1:$O$99,15,0)),0,VLOOKUP($T$763,'TAR FIN'!$A$1:$O$99,15,0))</f>
        <v>1557.74</v>
      </c>
      <c r="X763" s="4">
        <f>IF(ISERROR(VLOOKUP($U$763,'TAR FIN'!$A$1:$O$99,15,0)),0,VLOOKUP($U$763,'TAR FIN'!$A$1:$O$99,15,0))</f>
        <v>346.61</v>
      </c>
      <c r="Y763" s="4"/>
      <c r="Z763" s="4">
        <f ca="1">('TUSD BE'!$AM$22+'TUSD BF'!$AM$22+'TUSD CVA'!$AM$22)*1</f>
        <v>1799.131999651745</v>
      </c>
      <c r="AA763" s="4">
        <f>('TE BE'!$AA$7+'TE BF'!$AA$7+'TE CVA'!$AA$7)*1</f>
        <v>423.89652505413846</v>
      </c>
      <c r="AB763" s="4">
        <f>$K$763*$V$763</f>
        <v>0</v>
      </c>
      <c r="AC763" s="4">
        <f>$M$763*$W$763</f>
        <v>1874593.6624399999</v>
      </c>
      <c r="AD763" s="4">
        <f>$O$763*$X$763</f>
        <v>417112.55365999998</v>
      </c>
      <c r="AE763" s="4">
        <f>$K$763*$Y$763</f>
        <v>0</v>
      </c>
      <c r="AF763" s="4">
        <f ca="1">$M$763*$Z$763</f>
        <v>2165086.2431729077</v>
      </c>
      <c r="AG763" s="4">
        <f>$O$763*$AA$763</f>
        <v>510119.62162930053</v>
      </c>
    </row>
    <row r="764" spans="1:33" ht="11.25" customHeight="1" x14ac:dyDescent="0.25">
      <c r="A764" s="3" t="s">
        <v>27</v>
      </c>
      <c r="B764" s="3" t="s">
        <v>33</v>
      </c>
      <c r="C764" s="3" t="s">
        <v>34</v>
      </c>
      <c r="D764" s="3" t="s">
        <v>43</v>
      </c>
      <c r="E764" s="3" t="s">
        <v>25</v>
      </c>
      <c r="F764" s="3" t="s">
        <v>25</v>
      </c>
      <c r="G764" s="3" t="s">
        <v>25</v>
      </c>
      <c r="H764" s="3" t="s">
        <v>35</v>
      </c>
      <c r="I764" s="6">
        <v>44621</v>
      </c>
      <c r="J764" s="4">
        <v>0</v>
      </c>
      <c r="K764" s="4">
        <v>0</v>
      </c>
      <c r="L764" s="4">
        <v>0.11799999999999999</v>
      </c>
      <c r="M764" s="4">
        <v>0.11799999999999999</v>
      </c>
      <c r="N764" s="4">
        <v>0.11799999999999999</v>
      </c>
      <c r="O764" s="4">
        <v>0.11799999999999999</v>
      </c>
      <c r="P764" s="4">
        <v>0</v>
      </c>
      <c r="Q764" s="3" t="s">
        <v>26</v>
      </c>
      <c r="R764" s="3">
        <v>0</v>
      </c>
      <c r="S764" s="4">
        <v>0</v>
      </c>
      <c r="T764" s="4">
        <v>8</v>
      </c>
      <c r="U764" s="4">
        <v>72</v>
      </c>
      <c r="V764" s="4">
        <f>IF(ISERROR(VLOOKUP($S$764,'TAR FIN'!$A$1:$O$99,15,0)),0,VLOOKUP($S$764,'TAR FIN'!$A$1:$O$99,15,0))</f>
        <v>0</v>
      </c>
      <c r="W764" s="4">
        <f>IF(ISERROR(VLOOKUP($T$764,'TAR FIN'!$A$1:$O$99,15,0)),0,VLOOKUP($T$764,'TAR FIN'!$A$1:$O$99,15,0))</f>
        <v>1557.74</v>
      </c>
      <c r="X764" s="4">
        <f>IF(ISERROR(VLOOKUP($U$764,'TAR FIN'!$A$1:$O$99,15,0)),0,VLOOKUP($U$764,'TAR FIN'!$A$1:$O$99,15,0))</f>
        <v>346.61</v>
      </c>
      <c r="Y764" s="4"/>
      <c r="Z764" s="4">
        <f ca="1">('TUSD BE'!$AM$22+'TUSD BF'!$AM$22+'TUSD CVA'!$AM$22)*1</f>
        <v>1799.131999651745</v>
      </c>
      <c r="AA764" s="4">
        <f>('TE BE'!$AA$7+'TE BF'!$AA$7+'TE CVA'!$AA$7)*1</f>
        <v>423.89652505413846</v>
      </c>
      <c r="AB764" s="4">
        <f>$K$764*$V$764</f>
        <v>0</v>
      </c>
      <c r="AC764" s="4">
        <f>$M$764*$W$764</f>
        <v>183.81332</v>
      </c>
      <c r="AD764" s="4">
        <f>$O$764*$X$764</f>
        <v>40.899979999999999</v>
      </c>
      <c r="AE764" s="4">
        <f>$K$764*$Y$764</f>
        <v>0</v>
      </c>
      <c r="AF764" s="4">
        <f ca="1">$M$764*$Z$764</f>
        <v>212.2975759589059</v>
      </c>
      <c r="AG764" s="4">
        <f>$O$764*$AA$764</f>
        <v>50.019789956388337</v>
      </c>
    </row>
    <row r="765" spans="1:33" ht="11.25" customHeight="1" x14ac:dyDescent="0.25">
      <c r="A765" s="3" t="s">
        <v>28</v>
      </c>
      <c r="B765" s="3" t="s">
        <v>33</v>
      </c>
      <c r="C765" s="3" t="s">
        <v>34</v>
      </c>
      <c r="D765" s="3" t="s">
        <v>43</v>
      </c>
      <c r="E765" s="3" t="s">
        <v>25</v>
      </c>
      <c r="F765" s="3" t="s">
        <v>25</v>
      </c>
      <c r="G765" s="3" t="s">
        <v>25</v>
      </c>
      <c r="H765" s="3" t="s">
        <v>35</v>
      </c>
      <c r="I765" s="6">
        <v>44621</v>
      </c>
      <c r="J765" s="4">
        <v>0</v>
      </c>
      <c r="K765" s="4">
        <v>0</v>
      </c>
      <c r="L765" s="4">
        <v>81.072999999999993</v>
      </c>
      <c r="M765" s="4">
        <v>81.072999999999993</v>
      </c>
      <c r="N765" s="4">
        <v>81.072999999999993</v>
      </c>
      <c r="O765" s="4">
        <v>81.072999999999993</v>
      </c>
      <c r="P765" s="4">
        <v>0</v>
      </c>
      <c r="Q765" s="3" t="s">
        <v>26</v>
      </c>
      <c r="R765" s="3">
        <v>0</v>
      </c>
      <c r="S765" s="4">
        <v>0</v>
      </c>
      <c r="T765" s="4">
        <v>8</v>
      </c>
      <c r="U765" s="4">
        <v>72</v>
      </c>
      <c r="V765" s="4">
        <f>IF(ISERROR(VLOOKUP($S$765,'TAR FIN'!$A$1:$O$99,15,0)),0,VLOOKUP($S$765,'TAR FIN'!$A$1:$O$99,15,0))</f>
        <v>0</v>
      </c>
      <c r="W765" s="4">
        <f>IF(ISERROR(VLOOKUP($T$765,'TAR FIN'!$A$1:$O$99,15,0)),0,VLOOKUP($T$765,'TAR FIN'!$A$1:$O$99,15,0))</f>
        <v>1557.74</v>
      </c>
      <c r="X765" s="4">
        <f>IF(ISERROR(VLOOKUP($U$765,'TAR FIN'!$A$1:$O$99,15,0)),0,VLOOKUP($U$765,'TAR FIN'!$A$1:$O$99,15,0))</f>
        <v>346.61</v>
      </c>
      <c r="Y765" s="4"/>
      <c r="Z765" s="4">
        <f ca="1">('TUSD BE'!$AM$22+'TUSD BF'!$AM$22+'TUSD CVA'!$AM$22)*1</f>
        <v>1799.131999651745</v>
      </c>
      <c r="AA765" s="4">
        <f>('TE BE'!$AA$7+'TE BF'!$AA$7+'TE CVA'!$AA$7)*1</f>
        <v>423.89652505413846</v>
      </c>
      <c r="AB765" s="4">
        <f>$K$765*$V$765</f>
        <v>0</v>
      </c>
      <c r="AC765" s="4">
        <f>$M$765*$W$765</f>
        <v>126290.65501999999</v>
      </c>
      <c r="AD765" s="4">
        <f>$O$765*$X$765</f>
        <v>28100.712529999997</v>
      </c>
      <c r="AE765" s="4">
        <f>$K$765*$Y$765</f>
        <v>0</v>
      </c>
      <c r="AF765" s="4">
        <f ca="1">$M$765*$Z$765</f>
        <v>145861.02860776591</v>
      </c>
      <c r="AG765" s="4">
        <f>$O$765*$AA$765</f>
        <v>34366.562975714165</v>
      </c>
    </row>
    <row r="766" spans="1:33" ht="11.25" customHeight="1" x14ac:dyDescent="0.25">
      <c r="A766" s="3" t="s">
        <v>56</v>
      </c>
      <c r="B766" s="3" t="s">
        <v>33</v>
      </c>
      <c r="C766" s="3" t="s">
        <v>34</v>
      </c>
      <c r="D766" s="3" t="s">
        <v>43</v>
      </c>
      <c r="E766" s="3" t="s">
        <v>25</v>
      </c>
      <c r="F766" s="3" t="s">
        <v>25</v>
      </c>
      <c r="G766" s="3" t="s">
        <v>25</v>
      </c>
      <c r="H766" s="3" t="s">
        <v>35</v>
      </c>
      <c r="I766" s="6">
        <v>44652</v>
      </c>
      <c r="J766" s="4">
        <v>0</v>
      </c>
      <c r="K766" s="4">
        <v>0</v>
      </c>
      <c r="L766" s="4">
        <v>1203.4059999999999</v>
      </c>
      <c r="M766" s="4">
        <v>1203.4059999999999</v>
      </c>
      <c r="N766" s="4">
        <v>1203.4059999999999</v>
      </c>
      <c r="O766" s="4">
        <v>1203.4059999999999</v>
      </c>
      <c r="P766" s="4">
        <v>0</v>
      </c>
      <c r="Q766" s="3" t="s">
        <v>26</v>
      </c>
      <c r="R766" s="3">
        <v>0</v>
      </c>
      <c r="S766" s="4">
        <v>0</v>
      </c>
      <c r="T766" s="4">
        <v>8</v>
      </c>
      <c r="U766" s="4">
        <v>72</v>
      </c>
      <c r="V766" s="4">
        <f>IF(ISERROR(VLOOKUP($S$766,'TAR FIN'!$A$1:$O$99,15,0)),0,VLOOKUP($S$766,'TAR FIN'!$A$1:$O$99,15,0))</f>
        <v>0</v>
      </c>
      <c r="W766" s="4">
        <f>IF(ISERROR(VLOOKUP($T$766,'TAR FIN'!$A$1:$O$99,15,0)),0,VLOOKUP($T$766,'TAR FIN'!$A$1:$O$99,15,0))</f>
        <v>1557.74</v>
      </c>
      <c r="X766" s="4">
        <f>IF(ISERROR(VLOOKUP($U$766,'TAR FIN'!$A$1:$O$99,15,0)),0,VLOOKUP($U$766,'TAR FIN'!$A$1:$O$99,15,0))</f>
        <v>346.61</v>
      </c>
      <c r="Y766" s="4"/>
      <c r="Z766" s="4">
        <f ca="1">('TUSD BE'!$AM$22+'TUSD BF'!$AM$22+'TUSD CVA'!$AM$22)*1</f>
        <v>1799.131999651745</v>
      </c>
      <c r="AA766" s="4">
        <f>('TE BE'!$AA$7+'TE BF'!$AA$7+'TE CVA'!$AA$7)*1</f>
        <v>423.89652505413846</v>
      </c>
      <c r="AB766" s="4">
        <f>$K$766*$V$766</f>
        <v>0</v>
      </c>
      <c r="AC766" s="4">
        <f>$M$766*$W$766</f>
        <v>1874593.6624399999</v>
      </c>
      <c r="AD766" s="4">
        <f>$O$766*$X$766</f>
        <v>417112.55365999998</v>
      </c>
      <c r="AE766" s="4">
        <f>$K$766*$Y$766</f>
        <v>0</v>
      </c>
      <c r="AF766" s="4">
        <f ca="1">$M$766*$Z$766</f>
        <v>2165086.2431729077</v>
      </c>
      <c r="AG766" s="4">
        <f>$O$766*$AA$766</f>
        <v>510119.62162930053</v>
      </c>
    </row>
    <row r="767" spans="1:33" ht="11.25" customHeight="1" x14ac:dyDescent="0.25">
      <c r="A767" s="3" t="s">
        <v>56</v>
      </c>
      <c r="B767" s="3" t="s">
        <v>33</v>
      </c>
      <c r="C767" s="3" t="s">
        <v>34</v>
      </c>
      <c r="D767" s="3" t="s">
        <v>43</v>
      </c>
      <c r="E767" s="3" t="s">
        <v>25</v>
      </c>
      <c r="F767" s="3" t="s">
        <v>25</v>
      </c>
      <c r="G767" s="3" t="s">
        <v>25</v>
      </c>
      <c r="H767" s="3" t="s">
        <v>35</v>
      </c>
      <c r="I767" s="6">
        <v>44652</v>
      </c>
      <c r="J767" s="4">
        <v>0</v>
      </c>
      <c r="K767" s="4">
        <v>0</v>
      </c>
      <c r="L767" s="4">
        <v>0.11799999999999999</v>
      </c>
      <c r="M767" s="4">
        <v>0.11799999999999999</v>
      </c>
      <c r="N767" s="4">
        <v>0.11799999999999999</v>
      </c>
      <c r="O767" s="4">
        <v>0.11799999999999999</v>
      </c>
      <c r="P767" s="4">
        <v>0</v>
      </c>
      <c r="Q767" s="3" t="s">
        <v>26</v>
      </c>
      <c r="R767" s="3">
        <v>0</v>
      </c>
      <c r="S767" s="4">
        <v>0</v>
      </c>
      <c r="T767" s="4">
        <v>8</v>
      </c>
      <c r="U767" s="4">
        <v>72</v>
      </c>
      <c r="V767" s="4">
        <f>IF(ISERROR(VLOOKUP($S$767,'TAR FIN'!$A$1:$O$99,15,0)),0,VLOOKUP($S$767,'TAR FIN'!$A$1:$O$99,15,0))</f>
        <v>0</v>
      </c>
      <c r="W767" s="4">
        <f>IF(ISERROR(VLOOKUP($T$767,'TAR FIN'!$A$1:$O$99,15,0)),0,VLOOKUP($T$767,'TAR FIN'!$A$1:$O$99,15,0))</f>
        <v>1557.74</v>
      </c>
      <c r="X767" s="4">
        <f>IF(ISERROR(VLOOKUP($U$767,'TAR FIN'!$A$1:$O$99,15,0)),0,VLOOKUP($U$767,'TAR FIN'!$A$1:$O$99,15,0))</f>
        <v>346.61</v>
      </c>
      <c r="Y767" s="4"/>
      <c r="Z767" s="4">
        <f ca="1">('TUSD BE'!$AM$22+'TUSD BF'!$AM$22+'TUSD CVA'!$AM$22)*1</f>
        <v>1799.131999651745</v>
      </c>
      <c r="AA767" s="4">
        <f>('TE BE'!$AA$7+'TE BF'!$AA$7+'TE CVA'!$AA$7)*1</f>
        <v>423.89652505413846</v>
      </c>
      <c r="AB767" s="4">
        <f>$K$767*$V$767</f>
        <v>0</v>
      </c>
      <c r="AC767" s="4">
        <f>$M$767*$W$767</f>
        <v>183.81332</v>
      </c>
      <c r="AD767" s="4">
        <f>$O$767*$X$767</f>
        <v>40.899979999999999</v>
      </c>
      <c r="AE767" s="4">
        <f>$K$767*$Y$767</f>
        <v>0</v>
      </c>
      <c r="AF767" s="4">
        <f ca="1">$M$767*$Z$767</f>
        <v>212.2975759589059</v>
      </c>
      <c r="AG767" s="4">
        <f>$O$767*$AA$767</f>
        <v>50.019789956388337</v>
      </c>
    </row>
    <row r="768" spans="1:33" ht="11.25" customHeight="1" x14ac:dyDescent="0.25">
      <c r="A768" s="3" t="s">
        <v>56</v>
      </c>
      <c r="B768" s="3" t="s">
        <v>33</v>
      </c>
      <c r="C768" s="3" t="s">
        <v>34</v>
      </c>
      <c r="D768" s="3" t="s">
        <v>43</v>
      </c>
      <c r="E768" s="3" t="s">
        <v>25</v>
      </c>
      <c r="F768" s="3" t="s">
        <v>25</v>
      </c>
      <c r="G768" s="3" t="s">
        <v>25</v>
      </c>
      <c r="H768" s="3" t="s">
        <v>35</v>
      </c>
      <c r="I768" s="6">
        <v>44652</v>
      </c>
      <c r="J768" s="4">
        <v>0</v>
      </c>
      <c r="K768" s="4">
        <v>0</v>
      </c>
      <c r="L768" s="4">
        <v>81.072999999999993</v>
      </c>
      <c r="M768" s="4">
        <v>81.072999999999993</v>
      </c>
      <c r="N768" s="4">
        <v>81.072999999999993</v>
      </c>
      <c r="O768" s="4">
        <v>81.072999999999993</v>
      </c>
      <c r="P768" s="4">
        <v>0</v>
      </c>
      <c r="Q768" s="3" t="s">
        <v>26</v>
      </c>
      <c r="R768" s="3">
        <v>0</v>
      </c>
      <c r="S768" s="4">
        <v>0</v>
      </c>
      <c r="T768" s="4">
        <v>8</v>
      </c>
      <c r="U768" s="4">
        <v>72</v>
      </c>
      <c r="V768" s="4">
        <f>IF(ISERROR(VLOOKUP($S$768,'TAR FIN'!$A$1:$O$99,15,0)),0,VLOOKUP($S$768,'TAR FIN'!$A$1:$O$99,15,0))</f>
        <v>0</v>
      </c>
      <c r="W768" s="4">
        <f>IF(ISERROR(VLOOKUP($T$768,'TAR FIN'!$A$1:$O$99,15,0)),0,VLOOKUP($T$768,'TAR FIN'!$A$1:$O$99,15,0))</f>
        <v>1557.74</v>
      </c>
      <c r="X768" s="4">
        <f>IF(ISERROR(VLOOKUP($U$768,'TAR FIN'!$A$1:$O$99,15,0)),0,VLOOKUP($U$768,'TAR FIN'!$A$1:$O$99,15,0))</f>
        <v>346.61</v>
      </c>
      <c r="Y768" s="4"/>
      <c r="Z768" s="4">
        <f ca="1">('TUSD BE'!$AM$22+'TUSD BF'!$AM$22+'TUSD CVA'!$AM$22)*1</f>
        <v>1799.131999651745</v>
      </c>
      <c r="AA768" s="4">
        <f>('TE BE'!$AA$7+'TE BF'!$AA$7+'TE CVA'!$AA$7)*1</f>
        <v>423.89652505413846</v>
      </c>
      <c r="AB768" s="4">
        <f>$K$768*$V$768</f>
        <v>0</v>
      </c>
      <c r="AC768" s="4">
        <f>$M$768*$W$768</f>
        <v>126290.65501999999</v>
      </c>
      <c r="AD768" s="4">
        <f>$O$768*$X$768</f>
        <v>28100.712529999997</v>
      </c>
      <c r="AE768" s="4">
        <f>$K$768*$Y$768</f>
        <v>0</v>
      </c>
      <c r="AF768" s="4">
        <f ca="1">$M$768*$Z$768</f>
        <v>145861.02860776591</v>
      </c>
      <c r="AG768" s="4">
        <f>$O$768*$AA$768</f>
        <v>34366.562975714165</v>
      </c>
    </row>
    <row r="769" spans="1:33" ht="11.25" customHeight="1" x14ac:dyDescent="0.25">
      <c r="A769" s="3" t="s">
        <v>21</v>
      </c>
      <c r="B769" s="3" t="s">
        <v>33</v>
      </c>
      <c r="C769" s="3" t="s">
        <v>34</v>
      </c>
      <c r="D769" s="3" t="s">
        <v>52</v>
      </c>
      <c r="E769" s="3" t="s">
        <v>25</v>
      </c>
      <c r="F769" s="3" t="s">
        <v>25</v>
      </c>
      <c r="G769" s="3" t="s">
        <v>25</v>
      </c>
      <c r="H769" s="3" t="s">
        <v>36</v>
      </c>
      <c r="I769" s="6">
        <v>44317</v>
      </c>
      <c r="J769" s="4">
        <v>0</v>
      </c>
      <c r="K769" s="4">
        <v>0</v>
      </c>
      <c r="L769" s="4">
        <v>92.692999999999998</v>
      </c>
      <c r="M769" s="4">
        <v>92.692999999999998</v>
      </c>
      <c r="N769" s="4">
        <v>92.692999999999998</v>
      </c>
      <c r="O769" s="4">
        <v>92.692999999999998</v>
      </c>
      <c r="P769" s="4">
        <v>0</v>
      </c>
      <c r="Q769" s="3" t="s">
        <v>26</v>
      </c>
      <c r="R769" s="3">
        <v>0</v>
      </c>
      <c r="S769" s="4">
        <v>0</v>
      </c>
      <c r="T769" s="4">
        <v>29</v>
      </c>
      <c r="U769" s="4">
        <v>73</v>
      </c>
      <c r="V769" s="4">
        <f>IF(ISERROR(VLOOKUP($S$769,'TAR FIN'!$A$1:$O$99,15,0)),0,VLOOKUP($S$769,'TAR FIN'!$A$1:$O$99,15,0))</f>
        <v>0</v>
      </c>
      <c r="W769" s="4">
        <f>IF(ISERROR(VLOOKUP($T$769,'TAR FIN'!$A$1:$O$99,15,0)),0,VLOOKUP($T$769,'TAR FIN'!$A$1:$O$99,15,0))</f>
        <v>97.61</v>
      </c>
      <c r="X769" s="4">
        <f>IF(ISERROR(VLOOKUP($U$769,'TAR FIN'!$A$1:$O$99,15,0)),0,VLOOKUP($U$769,'TAR FIN'!$A$1:$O$99,15,0))</f>
        <v>219.97</v>
      </c>
      <c r="Y769" s="4"/>
      <c r="Z769" s="4">
        <f ca="1">('TUSD BE'!$AM$23+'TUSD BF'!$AM$23+'TUSD CVA'!$AM$23)*1</f>
        <v>117.59114529324071</v>
      </c>
      <c r="AA769" s="4">
        <f>('TE BE'!$AA$8+'TE BF'!$AA$8+'TE CVA'!$AA$8)*1</f>
        <v>271.13910989737087</v>
      </c>
      <c r="AB769" s="4">
        <f>$K$769*$V$769</f>
        <v>0</v>
      </c>
      <c r="AC769" s="4">
        <f>$M$769*$W$769</f>
        <v>9047.7637300000006</v>
      </c>
      <c r="AD769" s="4">
        <f>$O$769*$X$769</f>
        <v>20389.679209999998</v>
      </c>
      <c r="AE769" s="4">
        <f>$K$769*$Y$769</f>
        <v>0</v>
      </c>
      <c r="AF769" s="4">
        <f ca="1">$M$769*$Z$769</f>
        <v>10899.876030666361</v>
      </c>
      <c r="AG769" s="4">
        <f>$O$769*$AA$769</f>
        <v>25132.697513716997</v>
      </c>
    </row>
    <row r="770" spans="1:33" ht="11.25" customHeight="1" x14ac:dyDescent="0.25">
      <c r="A770" s="3" t="s">
        <v>21</v>
      </c>
      <c r="B770" s="3" t="s">
        <v>33</v>
      </c>
      <c r="C770" s="3" t="s">
        <v>34</v>
      </c>
      <c r="D770" s="3" t="s">
        <v>52</v>
      </c>
      <c r="E770" s="3" t="s">
        <v>25</v>
      </c>
      <c r="F770" s="3" t="s">
        <v>25</v>
      </c>
      <c r="G770" s="3" t="s">
        <v>25</v>
      </c>
      <c r="H770" s="3" t="s">
        <v>36</v>
      </c>
      <c r="I770" s="6">
        <v>44348</v>
      </c>
      <c r="J770" s="4">
        <v>0</v>
      </c>
      <c r="K770" s="4">
        <v>0</v>
      </c>
      <c r="L770" s="4">
        <v>81.92</v>
      </c>
      <c r="M770" s="4">
        <v>81.92</v>
      </c>
      <c r="N770" s="4">
        <v>81.92</v>
      </c>
      <c r="O770" s="4">
        <v>81.92</v>
      </c>
      <c r="P770" s="4">
        <v>0</v>
      </c>
      <c r="Q770" s="3" t="s">
        <v>26</v>
      </c>
      <c r="R770" s="3">
        <v>0</v>
      </c>
      <c r="S770" s="4">
        <v>0</v>
      </c>
      <c r="T770" s="4">
        <v>29</v>
      </c>
      <c r="U770" s="4">
        <v>73</v>
      </c>
      <c r="V770" s="4">
        <f>IF(ISERROR(VLOOKUP($S$770,'TAR FIN'!$A$1:$O$99,15,0)),0,VLOOKUP($S$770,'TAR FIN'!$A$1:$O$99,15,0))</f>
        <v>0</v>
      </c>
      <c r="W770" s="4">
        <f>IF(ISERROR(VLOOKUP($T$770,'TAR FIN'!$A$1:$O$99,15,0)),0,VLOOKUP($T$770,'TAR FIN'!$A$1:$O$99,15,0))</f>
        <v>97.61</v>
      </c>
      <c r="X770" s="4">
        <f>IF(ISERROR(VLOOKUP($U$770,'TAR FIN'!$A$1:$O$99,15,0)),0,VLOOKUP($U$770,'TAR FIN'!$A$1:$O$99,15,0))</f>
        <v>219.97</v>
      </c>
      <c r="Y770" s="4"/>
      <c r="Z770" s="4">
        <f ca="1">('TUSD BE'!$AM$23+'TUSD BF'!$AM$23+'TUSD CVA'!$AM$23)*1</f>
        <v>117.59114529324071</v>
      </c>
      <c r="AA770" s="4">
        <f>('TE BE'!$AA$8+'TE BF'!$AA$8+'TE CVA'!$AA$8)*1</f>
        <v>271.13910989737087</v>
      </c>
      <c r="AB770" s="4">
        <f>$K$770*$V$770</f>
        <v>0</v>
      </c>
      <c r="AC770" s="4">
        <f>$M$770*$W$770</f>
        <v>7996.2111999999997</v>
      </c>
      <c r="AD770" s="4">
        <f>$O$770*$X$770</f>
        <v>18019.9424</v>
      </c>
      <c r="AE770" s="4">
        <f>$K$770*$Y$770</f>
        <v>0</v>
      </c>
      <c r="AF770" s="4">
        <f ca="1">$M$770*$Z$770</f>
        <v>9633.0666224222787</v>
      </c>
      <c r="AG770" s="4">
        <f>$O$770*$AA$770</f>
        <v>22211.715882792621</v>
      </c>
    </row>
    <row r="771" spans="1:33" ht="11.25" customHeight="1" x14ac:dyDescent="0.25">
      <c r="A771" s="3" t="s">
        <v>21</v>
      </c>
      <c r="B771" s="3" t="s">
        <v>33</v>
      </c>
      <c r="C771" s="3" t="s">
        <v>34</v>
      </c>
      <c r="D771" s="3" t="s">
        <v>52</v>
      </c>
      <c r="E771" s="3" t="s">
        <v>25</v>
      </c>
      <c r="F771" s="3" t="s">
        <v>25</v>
      </c>
      <c r="G771" s="3" t="s">
        <v>25</v>
      </c>
      <c r="H771" s="3" t="s">
        <v>36</v>
      </c>
      <c r="I771" s="6">
        <v>44378</v>
      </c>
      <c r="J771" s="4">
        <v>0</v>
      </c>
      <c r="K771" s="4">
        <v>0</v>
      </c>
      <c r="L771" s="4">
        <v>84.775999999999996</v>
      </c>
      <c r="M771" s="4">
        <v>84.775999999999996</v>
      </c>
      <c r="N771" s="4">
        <v>84.775999999999996</v>
      </c>
      <c r="O771" s="4">
        <v>84.775999999999996</v>
      </c>
      <c r="P771" s="4">
        <v>0</v>
      </c>
      <c r="Q771" s="3" t="s">
        <v>26</v>
      </c>
      <c r="R771" s="3">
        <v>0</v>
      </c>
      <c r="S771" s="4">
        <v>0</v>
      </c>
      <c r="T771" s="4">
        <v>29</v>
      </c>
      <c r="U771" s="4">
        <v>73</v>
      </c>
      <c r="V771" s="4">
        <f>IF(ISERROR(VLOOKUP($S$771,'TAR FIN'!$A$1:$O$99,15,0)),0,VLOOKUP($S$771,'TAR FIN'!$A$1:$O$99,15,0))</f>
        <v>0</v>
      </c>
      <c r="W771" s="4">
        <f>IF(ISERROR(VLOOKUP($T$771,'TAR FIN'!$A$1:$O$99,15,0)),0,VLOOKUP($T$771,'TAR FIN'!$A$1:$O$99,15,0))</f>
        <v>97.61</v>
      </c>
      <c r="X771" s="4">
        <f>IF(ISERROR(VLOOKUP($U$771,'TAR FIN'!$A$1:$O$99,15,0)),0,VLOOKUP($U$771,'TAR FIN'!$A$1:$O$99,15,0))</f>
        <v>219.97</v>
      </c>
      <c r="Y771" s="4"/>
      <c r="Z771" s="4">
        <f ca="1">('TUSD BE'!$AM$23+'TUSD BF'!$AM$23+'TUSD CVA'!$AM$23)*1</f>
        <v>117.59114529324071</v>
      </c>
      <c r="AA771" s="4">
        <f>('TE BE'!$AA$8+'TE BF'!$AA$8+'TE CVA'!$AA$8)*1</f>
        <v>271.13910989737087</v>
      </c>
      <c r="AB771" s="4">
        <f>$K$771*$V$771</f>
        <v>0</v>
      </c>
      <c r="AC771" s="4">
        <f>$M$771*$W$771</f>
        <v>8274.9853599999988</v>
      </c>
      <c r="AD771" s="4">
        <f>$O$771*$X$771</f>
        <v>18648.176719999999</v>
      </c>
      <c r="AE771" s="4">
        <f>$K$771*$Y$771</f>
        <v>0</v>
      </c>
      <c r="AF771" s="4">
        <f ca="1">$M$771*$Z$771</f>
        <v>9968.9069333797743</v>
      </c>
      <c r="AG771" s="4">
        <f>$O$771*$AA$771</f>
        <v>22986.089180659514</v>
      </c>
    </row>
    <row r="772" spans="1:33" ht="11.25" customHeight="1" x14ac:dyDescent="0.25">
      <c r="A772" s="3" t="s">
        <v>21</v>
      </c>
      <c r="B772" s="3" t="s">
        <v>33</v>
      </c>
      <c r="C772" s="3" t="s">
        <v>34</v>
      </c>
      <c r="D772" s="3" t="s">
        <v>52</v>
      </c>
      <c r="E772" s="3" t="s">
        <v>25</v>
      </c>
      <c r="F772" s="3" t="s">
        <v>25</v>
      </c>
      <c r="G772" s="3" t="s">
        <v>25</v>
      </c>
      <c r="H772" s="3" t="s">
        <v>36</v>
      </c>
      <c r="I772" s="6">
        <v>44409</v>
      </c>
      <c r="J772" s="4">
        <v>0</v>
      </c>
      <c r="K772" s="4">
        <v>0</v>
      </c>
      <c r="L772" s="4">
        <v>79.311000000000007</v>
      </c>
      <c r="M772" s="4">
        <v>79.311000000000007</v>
      </c>
      <c r="N772" s="4">
        <v>79.311000000000007</v>
      </c>
      <c r="O772" s="4">
        <v>79.311000000000007</v>
      </c>
      <c r="P772" s="4">
        <v>0</v>
      </c>
      <c r="Q772" s="3" t="s">
        <v>26</v>
      </c>
      <c r="R772" s="3">
        <v>0</v>
      </c>
      <c r="S772" s="4">
        <v>0</v>
      </c>
      <c r="T772" s="4">
        <v>29</v>
      </c>
      <c r="U772" s="4">
        <v>73</v>
      </c>
      <c r="V772" s="4">
        <f>IF(ISERROR(VLOOKUP($S$772,'TAR FIN'!$A$1:$O$99,15,0)),0,VLOOKUP($S$772,'TAR FIN'!$A$1:$O$99,15,0))</f>
        <v>0</v>
      </c>
      <c r="W772" s="4">
        <f>IF(ISERROR(VLOOKUP($T$772,'TAR FIN'!$A$1:$O$99,15,0)),0,VLOOKUP($T$772,'TAR FIN'!$A$1:$O$99,15,0))</f>
        <v>97.61</v>
      </c>
      <c r="X772" s="4">
        <f>IF(ISERROR(VLOOKUP($U$772,'TAR FIN'!$A$1:$O$99,15,0)),0,VLOOKUP($U$772,'TAR FIN'!$A$1:$O$99,15,0))</f>
        <v>219.97</v>
      </c>
      <c r="Y772" s="4"/>
      <c r="Z772" s="4">
        <f ca="1">('TUSD BE'!$AM$23+'TUSD BF'!$AM$23+'TUSD CVA'!$AM$23)*1</f>
        <v>117.59114529324071</v>
      </c>
      <c r="AA772" s="4">
        <f>('TE BE'!$AA$8+'TE BF'!$AA$8+'TE CVA'!$AA$8)*1</f>
        <v>271.13910989737087</v>
      </c>
      <c r="AB772" s="4">
        <f>$K$772*$V$772</f>
        <v>0</v>
      </c>
      <c r="AC772" s="4">
        <f>$M$772*$W$772</f>
        <v>7741.5467100000005</v>
      </c>
      <c r="AD772" s="4">
        <f>$O$772*$X$772</f>
        <v>17446.040670000002</v>
      </c>
      <c r="AE772" s="4">
        <f>$K$772*$Y$772</f>
        <v>0</v>
      </c>
      <c r="AF772" s="4">
        <f ca="1">$M$772*$Z$772</f>
        <v>9326.2713243522157</v>
      </c>
      <c r="AG772" s="4">
        <f>$O$772*$AA$772</f>
        <v>21504.313945070382</v>
      </c>
    </row>
    <row r="773" spans="1:33" ht="11.25" customHeight="1" x14ac:dyDescent="0.25">
      <c r="A773" s="3" t="s">
        <v>21</v>
      </c>
      <c r="B773" s="3" t="s">
        <v>33</v>
      </c>
      <c r="C773" s="3" t="s">
        <v>34</v>
      </c>
      <c r="D773" s="3" t="s">
        <v>52</v>
      </c>
      <c r="E773" s="3" t="s">
        <v>25</v>
      </c>
      <c r="F773" s="3" t="s">
        <v>25</v>
      </c>
      <c r="G773" s="3" t="s">
        <v>25</v>
      </c>
      <c r="H773" s="3" t="s">
        <v>36</v>
      </c>
      <c r="I773" s="6">
        <v>44440</v>
      </c>
      <c r="J773" s="4">
        <v>0</v>
      </c>
      <c r="K773" s="4">
        <v>0</v>
      </c>
      <c r="L773" s="4">
        <v>87.94</v>
      </c>
      <c r="M773" s="4">
        <v>87.94</v>
      </c>
      <c r="N773" s="4">
        <v>87.94</v>
      </c>
      <c r="O773" s="4">
        <v>87.94</v>
      </c>
      <c r="P773" s="4">
        <v>0</v>
      </c>
      <c r="Q773" s="3" t="s">
        <v>26</v>
      </c>
      <c r="R773" s="3">
        <v>0</v>
      </c>
      <c r="S773" s="4">
        <v>0</v>
      </c>
      <c r="T773" s="4">
        <v>29</v>
      </c>
      <c r="U773" s="4">
        <v>73</v>
      </c>
      <c r="V773" s="4">
        <f>IF(ISERROR(VLOOKUP($S$773,'TAR FIN'!$A$1:$O$99,15,0)),0,VLOOKUP($S$773,'TAR FIN'!$A$1:$O$99,15,0))</f>
        <v>0</v>
      </c>
      <c r="W773" s="4">
        <f>IF(ISERROR(VLOOKUP($T$773,'TAR FIN'!$A$1:$O$99,15,0)),0,VLOOKUP($T$773,'TAR FIN'!$A$1:$O$99,15,0))</f>
        <v>97.61</v>
      </c>
      <c r="X773" s="4">
        <f>IF(ISERROR(VLOOKUP($U$773,'TAR FIN'!$A$1:$O$99,15,0)),0,VLOOKUP($U$773,'TAR FIN'!$A$1:$O$99,15,0))</f>
        <v>219.97</v>
      </c>
      <c r="Y773" s="4"/>
      <c r="Z773" s="4">
        <f ca="1">('TUSD BE'!$AM$23+'TUSD BF'!$AM$23+'TUSD CVA'!$AM$23)*1</f>
        <v>117.59114529324071</v>
      </c>
      <c r="AA773" s="4">
        <f>('TE BE'!$AA$8+'TE BF'!$AA$8+'TE CVA'!$AA$8)*1</f>
        <v>271.13910989737087</v>
      </c>
      <c r="AB773" s="4">
        <f>$K$773*$V$773</f>
        <v>0</v>
      </c>
      <c r="AC773" s="4">
        <f>$M$773*$W$773</f>
        <v>8583.8233999999993</v>
      </c>
      <c r="AD773" s="4">
        <f>$O$773*$X$773</f>
        <v>19344.161799999998</v>
      </c>
      <c r="AE773" s="4">
        <f>$K$773*$Y$773</f>
        <v>0</v>
      </c>
      <c r="AF773" s="4">
        <f ca="1">$M$773*$Z$773</f>
        <v>10340.965317087588</v>
      </c>
      <c r="AG773" s="4">
        <f>$O$773*$AA$773</f>
        <v>23843.973324374794</v>
      </c>
    </row>
    <row r="774" spans="1:33" ht="11.25" customHeight="1" x14ac:dyDescent="0.25">
      <c r="A774" s="3" t="s">
        <v>21</v>
      </c>
      <c r="B774" s="3" t="s">
        <v>33</v>
      </c>
      <c r="C774" s="3" t="s">
        <v>34</v>
      </c>
      <c r="D774" s="3" t="s">
        <v>52</v>
      </c>
      <c r="E774" s="3" t="s">
        <v>25</v>
      </c>
      <c r="F774" s="3" t="s">
        <v>25</v>
      </c>
      <c r="G774" s="3" t="s">
        <v>25</v>
      </c>
      <c r="H774" s="3" t="s">
        <v>36</v>
      </c>
      <c r="I774" s="6">
        <v>44470</v>
      </c>
      <c r="J774" s="4">
        <v>0</v>
      </c>
      <c r="K774" s="4">
        <v>0</v>
      </c>
      <c r="L774" s="4">
        <v>105.855</v>
      </c>
      <c r="M774" s="4">
        <v>105.855</v>
      </c>
      <c r="N774" s="4">
        <v>105.855</v>
      </c>
      <c r="O774" s="4">
        <v>105.855</v>
      </c>
      <c r="P774" s="4">
        <v>0</v>
      </c>
      <c r="Q774" s="3" t="s">
        <v>26</v>
      </c>
      <c r="R774" s="3">
        <v>0</v>
      </c>
      <c r="S774" s="4">
        <v>0</v>
      </c>
      <c r="T774" s="4">
        <v>29</v>
      </c>
      <c r="U774" s="4">
        <v>73</v>
      </c>
      <c r="V774" s="4">
        <f>IF(ISERROR(VLOOKUP($S$774,'TAR FIN'!$A$1:$O$99,15,0)),0,VLOOKUP($S$774,'TAR FIN'!$A$1:$O$99,15,0))</f>
        <v>0</v>
      </c>
      <c r="W774" s="4">
        <f>IF(ISERROR(VLOOKUP($T$774,'TAR FIN'!$A$1:$O$99,15,0)),0,VLOOKUP($T$774,'TAR FIN'!$A$1:$O$99,15,0))</f>
        <v>97.61</v>
      </c>
      <c r="X774" s="4">
        <f>IF(ISERROR(VLOOKUP($U$774,'TAR FIN'!$A$1:$O$99,15,0)),0,VLOOKUP($U$774,'TAR FIN'!$A$1:$O$99,15,0))</f>
        <v>219.97</v>
      </c>
      <c r="Y774" s="4"/>
      <c r="Z774" s="4">
        <f ca="1">('TUSD BE'!$AM$23+'TUSD BF'!$AM$23+'TUSD CVA'!$AM$23)*1</f>
        <v>117.59114529324071</v>
      </c>
      <c r="AA774" s="4">
        <f>('TE BE'!$AA$8+'TE BF'!$AA$8+'TE CVA'!$AA$8)*1</f>
        <v>271.13910989737087</v>
      </c>
      <c r="AB774" s="4">
        <f>$K$774*$V$774</f>
        <v>0</v>
      </c>
      <c r="AC774" s="4">
        <f>$M$774*$W$774</f>
        <v>10332.50655</v>
      </c>
      <c r="AD774" s="4">
        <f>$O$774*$X$774</f>
        <v>23284.924350000001</v>
      </c>
      <c r="AE774" s="4">
        <f>$K$774*$Y$774</f>
        <v>0</v>
      </c>
      <c r="AF774" s="4">
        <f ca="1">$M$774*$Z$774</f>
        <v>12447.610685015996</v>
      </c>
      <c r="AG774" s="4">
        <f>$O$774*$AA$774</f>
        <v>28701.430478186194</v>
      </c>
    </row>
    <row r="775" spans="1:33" ht="11.25" customHeight="1" x14ac:dyDescent="0.25">
      <c r="A775" s="3" t="s">
        <v>21</v>
      </c>
      <c r="B775" s="3" t="s">
        <v>33</v>
      </c>
      <c r="C775" s="3" t="s">
        <v>34</v>
      </c>
      <c r="D775" s="3" t="s">
        <v>52</v>
      </c>
      <c r="E775" s="3" t="s">
        <v>25</v>
      </c>
      <c r="F775" s="3" t="s">
        <v>25</v>
      </c>
      <c r="G775" s="3" t="s">
        <v>25</v>
      </c>
      <c r="H775" s="3" t="s">
        <v>36</v>
      </c>
      <c r="I775" s="6">
        <v>44501</v>
      </c>
      <c r="J775" s="4">
        <v>0</v>
      </c>
      <c r="K775" s="4">
        <v>0</v>
      </c>
      <c r="L775" s="4">
        <v>112.215</v>
      </c>
      <c r="M775" s="4">
        <v>112.215</v>
      </c>
      <c r="N775" s="4">
        <v>112.215</v>
      </c>
      <c r="O775" s="4">
        <v>112.215</v>
      </c>
      <c r="P775" s="4">
        <v>0</v>
      </c>
      <c r="Q775" s="3" t="s">
        <v>26</v>
      </c>
      <c r="R775" s="3">
        <v>0</v>
      </c>
      <c r="S775" s="4">
        <v>0</v>
      </c>
      <c r="T775" s="4">
        <v>29</v>
      </c>
      <c r="U775" s="4">
        <v>73</v>
      </c>
      <c r="V775" s="4">
        <f>IF(ISERROR(VLOOKUP($S$775,'TAR FIN'!$A$1:$O$99,15,0)),0,VLOOKUP($S$775,'TAR FIN'!$A$1:$O$99,15,0))</f>
        <v>0</v>
      </c>
      <c r="W775" s="4">
        <f>IF(ISERROR(VLOOKUP($T$775,'TAR FIN'!$A$1:$O$99,15,0)),0,VLOOKUP($T$775,'TAR FIN'!$A$1:$O$99,15,0))</f>
        <v>97.61</v>
      </c>
      <c r="X775" s="4">
        <f>IF(ISERROR(VLOOKUP($U$775,'TAR FIN'!$A$1:$O$99,15,0)),0,VLOOKUP($U$775,'TAR FIN'!$A$1:$O$99,15,0))</f>
        <v>219.97</v>
      </c>
      <c r="Y775" s="4"/>
      <c r="Z775" s="4">
        <f ca="1">('TUSD BE'!$AM$23+'TUSD BF'!$AM$23+'TUSD CVA'!$AM$23)*1</f>
        <v>117.59114529324071</v>
      </c>
      <c r="AA775" s="4">
        <f>('TE BE'!$AA$8+'TE BF'!$AA$8+'TE CVA'!$AA$8)*1</f>
        <v>271.13910989737087</v>
      </c>
      <c r="AB775" s="4">
        <f>$K$775*$V$775</f>
        <v>0</v>
      </c>
      <c r="AC775" s="4">
        <f>$M$775*$W$775</f>
        <v>10953.30615</v>
      </c>
      <c r="AD775" s="4">
        <f>$O$775*$X$775</f>
        <v>24683.933550000002</v>
      </c>
      <c r="AE775" s="4">
        <f>$K$775*$Y$775</f>
        <v>0</v>
      </c>
      <c r="AF775" s="4">
        <f ca="1">$M$775*$Z$775</f>
        <v>13195.490369081008</v>
      </c>
      <c r="AG775" s="4">
        <f>$O$775*$AA$775</f>
        <v>30425.875217133475</v>
      </c>
    </row>
    <row r="776" spans="1:33" ht="11.25" customHeight="1" x14ac:dyDescent="0.25">
      <c r="A776" s="3" t="s">
        <v>21</v>
      </c>
      <c r="B776" s="3" t="s">
        <v>33</v>
      </c>
      <c r="C776" s="3" t="s">
        <v>34</v>
      </c>
      <c r="D776" s="3" t="s">
        <v>52</v>
      </c>
      <c r="E776" s="3" t="s">
        <v>25</v>
      </c>
      <c r="F776" s="3" t="s">
        <v>25</v>
      </c>
      <c r="G776" s="3" t="s">
        <v>25</v>
      </c>
      <c r="H776" s="3" t="s">
        <v>36</v>
      </c>
      <c r="I776" s="6">
        <v>44531</v>
      </c>
      <c r="J776" s="4">
        <v>0</v>
      </c>
      <c r="K776" s="4">
        <v>0</v>
      </c>
      <c r="L776" s="4">
        <v>117.105</v>
      </c>
      <c r="M776" s="4">
        <v>117.105</v>
      </c>
      <c r="N776" s="4">
        <v>117.105</v>
      </c>
      <c r="O776" s="4">
        <v>117.105</v>
      </c>
      <c r="P776" s="4">
        <v>0</v>
      </c>
      <c r="Q776" s="3" t="s">
        <v>26</v>
      </c>
      <c r="R776" s="3">
        <v>0</v>
      </c>
      <c r="S776" s="4">
        <v>0</v>
      </c>
      <c r="T776" s="4">
        <v>29</v>
      </c>
      <c r="U776" s="4">
        <v>73</v>
      </c>
      <c r="V776" s="4">
        <f>IF(ISERROR(VLOOKUP($S$776,'TAR FIN'!$A$1:$O$99,15,0)),0,VLOOKUP($S$776,'TAR FIN'!$A$1:$O$99,15,0))</f>
        <v>0</v>
      </c>
      <c r="W776" s="4">
        <f>IF(ISERROR(VLOOKUP($T$776,'TAR FIN'!$A$1:$O$99,15,0)),0,VLOOKUP($T$776,'TAR FIN'!$A$1:$O$99,15,0))</f>
        <v>97.61</v>
      </c>
      <c r="X776" s="4">
        <f>IF(ISERROR(VLOOKUP($U$776,'TAR FIN'!$A$1:$O$99,15,0)),0,VLOOKUP($U$776,'TAR FIN'!$A$1:$O$99,15,0))</f>
        <v>219.97</v>
      </c>
      <c r="Y776" s="4"/>
      <c r="Z776" s="4">
        <f ca="1">('TUSD BE'!$AM$23+'TUSD BF'!$AM$23+'TUSD CVA'!$AM$23)*1</f>
        <v>117.59114529324071</v>
      </c>
      <c r="AA776" s="4">
        <f>('TE BE'!$AA$8+'TE BF'!$AA$8+'TE CVA'!$AA$8)*1</f>
        <v>271.13910989737087</v>
      </c>
      <c r="AB776" s="4">
        <f>$K$776*$V$776</f>
        <v>0</v>
      </c>
      <c r="AC776" s="4">
        <f>$M$776*$W$776</f>
        <v>11430.619050000001</v>
      </c>
      <c r="AD776" s="4">
        <f>$O$776*$X$776</f>
        <v>25759.58685</v>
      </c>
      <c r="AE776" s="4">
        <f>$K$776*$Y$776</f>
        <v>0</v>
      </c>
      <c r="AF776" s="4">
        <f ca="1">$M$776*$Z$776</f>
        <v>13770.511069564955</v>
      </c>
      <c r="AG776" s="4">
        <f>$O$776*$AA$776</f>
        <v>31751.745464531617</v>
      </c>
    </row>
    <row r="777" spans="1:33" ht="11.25" customHeight="1" x14ac:dyDescent="0.25">
      <c r="A777" s="3" t="s">
        <v>21</v>
      </c>
      <c r="B777" s="3" t="s">
        <v>33</v>
      </c>
      <c r="C777" s="3" t="s">
        <v>34</v>
      </c>
      <c r="D777" s="3" t="s">
        <v>52</v>
      </c>
      <c r="E777" s="3" t="s">
        <v>25</v>
      </c>
      <c r="F777" s="3" t="s">
        <v>25</v>
      </c>
      <c r="G777" s="3" t="s">
        <v>25</v>
      </c>
      <c r="H777" s="3" t="s">
        <v>36</v>
      </c>
      <c r="I777" s="6">
        <v>44562</v>
      </c>
      <c r="J777" s="4">
        <v>0</v>
      </c>
      <c r="K777" s="4">
        <v>0</v>
      </c>
      <c r="L777" s="4">
        <v>116.616</v>
      </c>
      <c r="M777" s="4">
        <v>116.616</v>
      </c>
      <c r="N777" s="4">
        <v>116.616</v>
      </c>
      <c r="O777" s="4">
        <v>116.616</v>
      </c>
      <c r="P777" s="4">
        <v>0</v>
      </c>
      <c r="Q777" s="3" t="s">
        <v>26</v>
      </c>
      <c r="R777" s="3">
        <v>0</v>
      </c>
      <c r="S777" s="4">
        <v>0</v>
      </c>
      <c r="T777" s="4">
        <v>29</v>
      </c>
      <c r="U777" s="4">
        <v>73</v>
      </c>
      <c r="V777" s="4">
        <f>IF(ISERROR(VLOOKUP($S$777,'TAR FIN'!$A$1:$O$99,15,0)),0,VLOOKUP($S$777,'TAR FIN'!$A$1:$O$99,15,0))</f>
        <v>0</v>
      </c>
      <c r="W777" s="4">
        <f>IF(ISERROR(VLOOKUP($T$777,'TAR FIN'!$A$1:$O$99,15,0)),0,VLOOKUP($T$777,'TAR FIN'!$A$1:$O$99,15,0))</f>
        <v>97.61</v>
      </c>
      <c r="X777" s="4">
        <f>IF(ISERROR(VLOOKUP($U$777,'TAR FIN'!$A$1:$O$99,15,0)),0,VLOOKUP($U$777,'TAR FIN'!$A$1:$O$99,15,0))</f>
        <v>219.97</v>
      </c>
      <c r="Y777" s="4"/>
      <c r="Z777" s="4">
        <f ca="1">('TUSD BE'!$AM$23+'TUSD BF'!$AM$23+'TUSD CVA'!$AM$23)*1</f>
        <v>117.59114529324071</v>
      </c>
      <c r="AA777" s="4">
        <f>('TE BE'!$AA$8+'TE BF'!$AA$8+'TE CVA'!$AA$8)*1</f>
        <v>271.13910989737087</v>
      </c>
      <c r="AB777" s="4">
        <f>$K$777*$V$777</f>
        <v>0</v>
      </c>
      <c r="AC777" s="4">
        <f>$M$777*$W$777</f>
        <v>11382.88776</v>
      </c>
      <c r="AD777" s="4">
        <f>$O$777*$X$777</f>
        <v>25652.021519999998</v>
      </c>
      <c r="AE777" s="4">
        <f>$K$777*$Y$777</f>
        <v>0</v>
      </c>
      <c r="AF777" s="4">
        <f ca="1">$M$777*$Z$777</f>
        <v>13713.00899951656</v>
      </c>
      <c r="AG777" s="4">
        <f>$O$777*$AA$777</f>
        <v>31619.158439791801</v>
      </c>
    </row>
    <row r="778" spans="1:33" ht="11.25" customHeight="1" x14ac:dyDescent="0.25">
      <c r="A778" s="3" t="s">
        <v>21</v>
      </c>
      <c r="B778" s="3" t="s">
        <v>33</v>
      </c>
      <c r="C778" s="3" t="s">
        <v>34</v>
      </c>
      <c r="D778" s="3" t="s">
        <v>52</v>
      </c>
      <c r="E778" s="3" t="s">
        <v>25</v>
      </c>
      <c r="F778" s="3" t="s">
        <v>25</v>
      </c>
      <c r="G778" s="3" t="s">
        <v>25</v>
      </c>
      <c r="H778" s="3" t="s">
        <v>36</v>
      </c>
      <c r="I778" s="6">
        <v>44593</v>
      </c>
      <c r="J778" s="4">
        <v>0</v>
      </c>
      <c r="K778" s="4">
        <v>0</v>
      </c>
      <c r="L778" s="4">
        <v>108.259</v>
      </c>
      <c r="M778" s="4">
        <v>108.259</v>
      </c>
      <c r="N778" s="4">
        <v>108.259</v>
      </c>
      <c r="O778" s="4">
        <v>108.259</v>
      </c>
      <c r="P778" s="4">
        <v>0</v>
      </c>
      <c r="Q778" s="3" t="s">
        <v>26</v>
      </c>
      <c r="R778" s="3">
        <v>0</v>
      </c>
      <c r="S778" s="4">
        <v>0</v>
      </c>
      <c r="T778" s="4">
        <v>29</v>
      </c>
      <c r="U778" s="4">
        <v>73</v>
      </c>
      <c r="V778" s="4">
        <f>IF(ISERROR(VLOOKUP($S$778,'TAR FIN'!$A$1:$O$99,15,0)),0,VLOOKUP($S$778,'TAR FIN'!$A$1:$O$99,15,0))</f>
        <v>0</v>
      </c>
      <c r="W778" s="4">
        <f>IF(ISERROR(VLOOKUP($T$778,'TAR FIN'!$A$1:$O$99,15,0)),0,VLOOKUP($T$778,'TAR FIN'!$A$1:$O$99,15,0))</f>
        <v>97.61</v>
      </c>
      <c r="X778" s="4">
        <f>IF(ISERROR(VLOOKUP($U$778,'TAR FIN'!$A$1:$O$99,15,0)),0,VLOOKUP($U$778,'TAR FIN'!$A$1:$O$99,15,0))</f>
        <v>219.97</v>
      </c>
      <c r="Y778" s="4"/>
      <c r="Z778" s="4">
        <f ca="1">('TUSD BE'!$AM$23+'TUSD BF'!$AM$23+'TUSD CVA'!$AM$23)*1</f>
        <v>117.59114529324071</v>
      </c>
      <c r="AA778" s="4">
        <f>('TE BE'!$AA$8+'TE BF'!$AA$8+'TE CVA'!$AA$8)*1</f>
        <v>271.13910989737087</v>
      </c>
      <c r="AB778" s="4">
        <f>$K$778*$V$778</f>
        <v>0</v>
      </c>
      <c r="AC778" s="4">
        <f>$M$778*$W$778</f>
        <v>10567.16099</v>
      </c>
      <c r="AD778" s="4">
        <f>$O$778*$X$778</f>
        <v>23813.732230000001</v>
      </c>
      <c r="AE778" s="4">
        <f>$K$778*$Y$778</f>
        <v>0</v>
      </c>
      <c r="AF778" s="4">
        <f ca="1">$M$778*$Z$778</f>
        <v>12730.299798300946</v>
      </c>
      <c r="AG778" s="4">
        <f>$O$778*$AA$778</f>
        <v>29353.248898379472</v>
      </c>
    </row>
    <row r="779" spans="1:33" ht="11.25" customHeight="1" x14ac:dyDescent="0.25">
      <c r="A779" s="3" t="s">
        <v>21</v>
      </c>
      <c r="B779" s="3" t="s">
        <v>33</v>
      </c>
      <c r="C779" s="3" t="s">
        <v>34</v>
      </c>
      <c r="D779" s="3" t="s">
        <v>52</v>
      </c>
      <c r="E779" s="3" t="s">
        <v>25</v>
      </c>
      <c r="F779" s="3" t="s">
        <v>25</v>
      </c>
      <c r="G779" s="3" t="s">
        <v>25</v>
      </c>
      <c r="H779" s="3" t="s">
        <v>36</v>
      </c>
      <c r="I779" s="6">
        <v>44621</v>
      </c>
      <c r="J779" s="4">
        <v>0</v>
      </c>
      <c r="K779" s="4">
        <v>0</v>
      </c>
      <c r="L779" s="4">
        <v>117.348</v>
      </c>
      <c r="M779" s="4">
        <v>117.348</v>
      </c>
      <c r="N779" s="4">
        <v>117.348</v>
      </c>
      <c r="O779" s="4">
        <v>117.348</v>
      </c>
      <c r="P779" s="4">
        <v>0</v>
      </c>
      <c r="Q779" s="3" t="s">
        <v>26</v>
      </c>
      <c r="R779" s="3">
        <v>0</v>
      </c>
      <c r="S779" s="4">
        <v>0</v>
      </c>
      <c r="T779" s="4">
        <v>29</v>
      </c>
      <c r="U779" s="4">
        <v>73</v>
      </c>
      <c r="V779" s="4">
        <f>IF(ISERROR(VLOOKUP($S$779,'TAR FIN'!$A$1:$O$99,15,0)),0,VLOOKUP($S$779,'TAR FIN'!$A$1:$O$99,15,0))</f>
        <v>0</v>
      </c>
      <c r="W779" s="4">
        <f>IF(ISERROR(VLOOKUP($T$779,'TAR FIN'!$A$1:$O$99,15,0)),0,VLOOKUP($T$779,'TAR FIN'!$A$1:$O$99,15,0))</f>
        <v>97.61</v>
      </c>
      <c r="X779" s="4">
        <f>IF(ISERROR(VLOOKUP($U$779,'TAR FIN'!$A$1:$O$99,15,0)),0,VLOOKUP($U$779,'TAR FIN'!$A$1:$O$99,15,0))</f>
        <v>219.97</v>
      </c>
      <c r="Y779" s="4"/>
      <c r="Z779" s="4">
        <f ca="1">('TUSD BE'!$AM$23+'TUSD BF'!$AM$23+'TUSD CVA'!$AM$23)*1</f>
        <v>117.59114529324071</v>
      </c>
      <c r="AA779" s="4">
        <f>('TE BE'!$AA$8+'TE BF'!$AA$8+'TE CVA'!$AA$8)*1</f>
        <v>271.13910989737087</v>
      </c>
      <c r="AB779" s="4">
        <f>$K$779*$V$779</f>
        <v>0</v>
      </c>
      <c r="AC779" s="4">
        <f>$M$779*$W$779</f>
        <v>11454.33828</v>
      </c>
      <c r="AD779" s="4">
        <f>$O$779*$X$779</f>
        <v>25813.039560000001</v>
      </c>
      <c r="AE779" s="4">
        <f>$K$779*$Y$779</f>
        <v>0</v>
      </c>
      <c r="AF779" s="4">
        <f ca="1">$M$779*$Z$779</f>
        <v>13799.08571787121</v>
      </c>
      <c r="AG779" s="4">
        <f>$O$779*$AA$779</f>
        <v>31817.632268236677</v>
      </c>
    </row>
    <row r="780" spans="1:33" ht="11.25" customHeight="1" x14ac:dyDescent="0.25">
      <c r="A780" s="3" t="s">
        <v>56</v>
      </c>
      <c r="B780" s="3" t="s">
        <v>33</v>
      </c>
      <c r="C780" s="3" t="s">
        <v>34</v>
      </c>
      <c r="D780" s="3" t="s">
        <v>52</v>
      </c>
      <c r="E780" s="3" t="s">
        <v>25</v>
      </c>
      <c r="F780" s="3" t="s">
        <v>25</v>
      </c>
      <c r="G780" s="3" t="s">
        <v>25</v>
      </c>
      <c r="H780" s="3" t="s">
        <v>36</v>
      </c>
      <c r="I780" s="6">
        <v>44652</v>
      </c>
      <c r="J780" s="4">
        <v>0</v>
      </c>
      <c r="K780" s="4">
        <v>0</v>
      </c>
      <c r="L780" s="4">
        <v>117.348</v>
      </c>
      <c r="M780" s="4">
        <v>117.348</v>
      </c>
      <c r="N780" s="4">
        <v>117.348</v>
      </c>
      <c r="O780" s="4">
        <v>117.348</v>
      </c>
      <c r="P780" s="4">
        <v>0</v>
      </c>
      <c r="Q780" s="3" t="s">
        <v>26</v>
      </c>
      <c r="R780" s="3">
        <v>0</v>
      </c>
      <c r="S780" s="4">
        <v>0</v>
      </c>
      <c r="T780" s="4">
        <v>29</v>
      </c>
      <c r="U780" s="4">
        <v>73</v>
      </c>
      <c r="V780" s="4">
        <f>IF(ISERROR(VLOOKUP($S$780,'TAR FIN'!$A$1:$O$99,15,0)),0,VLOOKUP($S$780,'TAR FIN'!$A$1:$O$99,15,0))</f>
        <v>0</v>
      </c>
      <c r="W780" s="4">
        <f>IF(ISERROR(VLOOKUP($T$780,'TAR FIN'!$A$1:$O$99,15,0)),0,VLOOKUP($T$780,'TAR FIN'!$A$1:$O$99,15,0))</f>
        <v>97.61</v>
      </c>
      <c r="X780" s="4">
        <f>IF(ISERROR(VLOOKUP($U$780,'TAR FIN'!$A$1:$O$99,15,0)),0,VLOOKUP($U$780,'TAR FIN'!$A$1:$O$99,15,0))</f>
        <v>219.97</v>
      </c>
      <c r="Y780" s="4"/>
      <c r="Z780" s="4">
        <f ca="1">('TUSD BE'!$AM$23+'TUSD BF'!$AM$23+'TUSD CVA'!$AM$23)*1</f>
        <v>117.59114529324071</v>
      </c>
      <c r="AA780" s="4">
        <f>('TE BE'!$AA$8+'TE BF'!$AA$8+'TE CVA'!$AA$8)*1</f>
        <v>271.13910989737087</v>
      </c>
      <c r="AB780" s="4">
        <f>$K$780*$V$780</f>
        <v>0</v>
      </c>
      <c r="AC780" s="4">
        <f>$M$780*$W$780</f>
        <v>11454.33828</v>
      </c>
      <c r="AD780" s="4">
        <f>$O$780*$X$780</f>
        <v>25813.039560000001</v>
      </c>
      <c r="AE780" s="4">
        <f>$K$780*$Y$780</f>
        <v>0</v>
      </c>
      <c r="AF780" s="4">
        <f ca="1">$M$780*$Z$780</f>
        <v>13799.08571787121</v>
      </c>
      <c r="AG780" s="4">
        <f>$O$780*$AA$780</f>
        <v>31817.632268236677</v>
      </c>
    </row>
    <row r="781" spans="1:33" ht="11.25" customHeight="1" x14ac:dyDescent="0.25">
      <c r="A781" s="3" t="s">
        <v>21</v>
      </c>
      <c r="B781" s="3" t="s">
        <v>33</v>
      </c>
      <c r="C781" s="3" t="s">
        <v>34</v>
      </c>
      <c r="D781" s="3" t="s">
        <v>52</v>
      </c>
      <c r="E781" s="3" t="s">
        <v>25</v>
      </c>
      <c r="F781" s="3" t="s">
        <v>25</v>
      </c>
      <c r="G781" s="3" t="s">
        <v>25</v>
      </c>
      <c r="H781" s="3" t="s">
        <v>25</v>
      </c>
      <c r="I781" s="6">
        <v>44317</v>
      </c>
      <c r="J781" s="4">
        <v>538</v>
      </c>
      <c r="K781" s="4">
        <v>538</v>
      </c>
      <c r="L781" s="4">
        <v>0</v>
      </c>
      <c r="M781" s="4">
        <v>0</v>
      </c>
      <c r="N781" s="4">
        <v>0</v>
      </c>
      <c r="O781" s="4">
        <v>0</v>
      </c>
      <c r="P781" s="4">
        <v>5</v>
      </c>
      <c r="Q781" s="3" t="s">
        <v>26</v>
      </c>
      <c r="R781" s="3">
        <v>0</v>
      </c>
      <c r="S781" s="4">
        <v>7</v>
      </c>
      <c r="T781" s="4">
        <v>0</v>
      </c>
      <c r="U781" s="4">
        <v>0</v>
      </c>
      <c r="V781" s="4">
        <f>IF(ISERROR(VLOOKUP($S$781,'TAR FIN'!$A$1:$O$99,15,0)),0,VLOOKUP($S$781,'TAR FIN'!$A$1:$O$99,15,0))</f>
        <v>21.85</v>
      </c>
      <c r="W781" s="4">
        <f>IF(ISERROR(VLOOKUP($T$781,'TAR FIN'!$A$1:$O$99,15,0)),0,VLOOKUP($T$781,'TAR FIN'!$A$1:$O$99,15,0))</f>
        <v>0</v>
      </c>
      <c r="X781" s="4">
        <f>IF(ISERROR(VLOOKUP($U$781,'TAR FIN'!$A$1:$O$99,15,0)),0,VLOOKUP($U$781,'TAR FIN'!$A$1:$O$99,15,0))</f>
        <v>0</v>
      </c>
      <c r="Y781" s="4">
        <f ca="1">('TUSD BE'!$AM$21+'TUSD BF'!$AM$21+'TUSD CVA'!$AM$21)*1</f>
        <v>24.669398821277586</v>
      </c>
      <c r="Z781" s="4"/>
      <c r="AA781" s="4"/>
      <c r="AB781" s="4">
        <f>$K$781*$V$781</f>
        <v>11755.300000000001</v>
      </c>
      <c r="AC781" s="4">
        <f>$M$781*$W$781</f>
        <v>0</v>
      </c>
      <c r="AD781" s="4">
        <f>$O$781*$X$781</f>
        <v>0</v>
      </c>
      <c r="AE781" s="4">
        <f ca="1">$K$781*$Y$781</f>
        <v>13272.136565847341</v>
      </c>
      <c r="AF781" s="4">
        <f>$M$781*$Z$781</f>
        <v>0</v>
      </c>
      <c r="AG781" s="4">
        <f>$O$781*$AA$781</f>
        <v>0</v>
      </c>
    </row>
    <row r="782" spans="1:33" ht="11.25" customHeight="1" x14ac:dyDescent="0.25">
      <c r="A782" s="3" t="s">
        <v>21</v>
      </c>
      <c r="B782" s="3" t="s">
        <v>33</v>
      </c>
      <c r="C782" s="3" t="s">
        <v>34</v>
      </c>
      <c r="D782" s="3" t="s">
        <v>52</v>
      </c>
      <c r="E782" s="3" t="s">
        <v>25</v>
      </c>
      <c r="F782" s="3" t="s">
        <v>25</v>
      </c>
      <c r="G782" s="3" t="s">
        <v>25</v>
      </c>
      <c r="H782" s="3" t="s">
        <v>25</v>
      </c>
      <c r="I782" s="6">
        <v>44348</v>
      </c>
      <c r="J782" s="4">
        <v>509</v>
      </c>
      <c r="K782" s="4">
        <v>509</v>
      </c>
      <c r="L782" s="4">
        <v>0</v>
      </c>
      <c r="M782" s="4">
        <v>0</v>
      </c>
      <c r="N782" s="4">
        <v>0</v>
      </c>
      <c r="O782" s="4">
        <v>0</v>
      </c>
      <c r="P782" s="4">
        <v>5</v>
      </c>
      <c r="Q782" s="3" t="s">
        <v>26</v>
      </c>
      <c r="R782" s="3">
        <v>0</v>
      </c>
      <c r="S782" s="4">
        <v>7</v>
      </c>
      <c r="T782" s="4">
        <v>0</v>
      </c>
      <c r="U782" s="4">
        <v>0</v>
      </c>
      <c r="V782" s="4">
        <f>IF(ISERROR(VLOOKUP($S$782,'TAR FIN'!$A$1:$O$99,15,0)),0,VLOOKUP($S$782,'TAR FIN'!$A$1:$O$99,15,0))</f>
        <v>21.85</v>
      </c>
      <c r="W782" s="4">
        <f>IF(ISERROR(VLOOKUP($T$782,'TAR FIN'!$A$1:$O$99,15,0)),0,VLOOKUP($T$782,'TAR FIN'!$A$1:$O$99,15,0))</f>
        <v>0</v>
      </c>
      <c r="X782" s="4">
        <f>IF(ISERROR(VLOOKUP($U$782,'TAR FIN'!$A$1:$O$99,15,0)),0,VLOOKUP($U$782,'TAR FIN'!$A$1:$O$99,15,0))</f>
        <v>0</v>
      </c>
      <c r="Y782" s="4">
        <f ca="1">('TUSD BE'!$AM$21+'TUSD BF'!$AM$21+'TUSD CVA'!$AM$21)*1</f>
        <v>24.669398821277586</v>
      </c>
      <c r="Z782" s="4"/>
      <c r="AA782" s="4"/>
      <c r="AB782" s="4">
        <f>$K$782*$V$782</f>
        <v>11121.650000000001</v>
      </c>
      <c r="AC782" s="4">
        <f>$M$782*$W$782</f>
        <v>0</v>
      </c>
      <c r="AD782" s="4">
        <f>$O$782*$X$782</f>
        <v>0</v>
      </c>
      <c r="AE782" s="4">
        <f ca="1">$K$782*$Y$782</f>
        <v>12556.724000030292</v>
      </c>
      <c r="AF782" s="4">
        <f>$M$782*$Z$782</f>
        <v>0</v>
      </c>
      <c r="AG782" s="4">
        <f>$O$782*$AA$782</f>
        <v>0</v>
      </c>
    </row>
    <row r="783" spans="1:33" ht="11.25" customHeight="1" x14ac:dyDescent="0.25">
      <c r="A783" s="3" t="s">
        <v>21</v>
      </c>
      <c r="B783" s="3" t="s">
        <v>33</v>
      </c>
      <c r="C783" s="3" t="s">
        <v>34</v>
      </c>
      <c r="D783" s="3" t="s">
        <v>52</v>
      </c>
      <c r="E783" s="3" t="s">
        <v>25</v>
      </c>
      <c r="F783" s="3" t="s">
        <v>25</v>
      </c>
      <c r="G783" s="3" t="s">
        <v>25</v>
      </c>
      <c r="H783" s="3" t="s">
        <v>25</v>
      </c>
      <c r="I783" s="6">
        <v>44378</v>
      </c>
      <c r="J783" s="4">
        <v>525</v>
      </c>
      <c r="K783" s="4">
        <v>525</v>
      </c>
      <c r="L783" s="4">
        <v>0</v>
      </c>
      <c r="M783" s="4">
        <v>0</v>
      </c>
      <c r="N783" s="4">
        <v>0</v>
      </c>
      <c r="O783" s="4">
        <v>0</v>
      </c>
      <c r="P783" s="4">
        <v>5</v>
      </c>
      <c r="Q783" s="3" t="s">
        <v>26</v>
      </c>
      <c r="R783" s="3">
        <v>0</v>
      </c>
      <c r="S783" s="4">
        <v>7</v>
      </c>
      <c r="T783" s="4">
        <v>0</v>
      </c>
      <c r="U783" s="4">
        <v>0</v>
      </c>
      <c r="V783" s="4">
        <f>IF(ISERROR(VLOOKUP($S$783,'TAR FIN'!$A$1:$O$99,15,0)),0,VLOOKUP($S$783,'TAR FIN'!$A$1:$O$99,15,0))</f>
        <v>21.85</v>
      </c>
      <c r="W783" s="4">
        <f>IF(ISERROR(VLOOKUP($T$783,'TAR FIN'!$A$1:$O$99,15,0)),0,VLOOKUP($T$783,'TAR FIN'!$A$1:$O$99,15,0))</f>
        <v>0</v>
      </c>
      <c r="X783" s="4">
        <f>IF(ISERROR(VLOOKUP($U$783,'TAR FIN'!$A$1:$O$99,15,0)),0,VLOOKUP($U$783,'TAR FIN'!$A$1:$O$99,15,0))</f>
        <v>0</v>
      </c>
      <c r="Y783" s="4">
        <f ca="1">('TUSD BE'!$AM$21+'TUSD BF'!$AM$21+'TUSD CVA'!$AM$21)*1</f>
        <v>24.669398821277586</v>
      </c>
      <c r="Z783" s="4"/>
      <c r="AA783" s="4"/>
      <c r="AB783" s="4">
        <f>$K$783*$V$783</f>
        <v>11471.25</v>
      </c>
      <c r="AC783" s="4">
        <f>$M$783*$W$783</f>
        <v>0</v>
      </c>
      <c r="AD783" s="4">
        <f>$O$783*$X$783</f>
        <v>0</v>
      </c>
      <c r="AE783" s="4">
        <f ca="1">$K$783*$Y$783</f>
        <v>12951.434381170733</v>
      </c>
      <c r="AF783" s="4">
        <f>$M$783*$Z$783</f>
        <v>0</v>
      </c>
      <c r="AG783" s="4">
        <f>$O$783*$AA$783</f>
        <v>0</v>
      </c>
    </row>
    <row r="784" spans="1:33" ht="11.25" customHeight="1" x14ac:dyDescent="0.25">
      <c r="A784" s="3" t="s">
        <v>21</v>
      </c>
      <c r="B784" s="3" t="s">
        <v>33</v>
      </c>
      <c r="C784" s="3" t="s">
        <v>34</v>
      </c>
      <c r="D784" s="3" t="s">
        <v>52</v>
      </c>
      <c r="E784" s="3" t="s">
        <v>25</v>
      </c>
      <c r="F784" s="3" t="s">
        <v>25</v>
      </c>
      <c r="G784" s="3" t="s">
        <v>25</v>
      </c>
      <c r="H784" s="3" t="s">
        <v>25</v>
      </c>
      <c r="I784" s="6">
        <v>44409</v>
      </c>
      <c r="J784" s="4">
        <v>540</v>
      </c>
      <c r="K784" s="4">
        <v>540</v>
      </c>
      <c r="L784" s="4">
        <v>0</v>
      </c>
      <c r="M784" s="4">
        <v>0</v>
      </c>
      <c r="N784" s="4">
        <v>0</v>
      </c>
      <c r="O784" s="4">
        <v>0</v>
      </c>
      <c r="P784" s="4">
        <v>5</v>
      </c>
      <c r="Q784" s="3" t="s">
        <v>26</v>
      </c>
      <c r="R784" s="3">
        <v>0</v>
      </c>
      <c r="S784" s="4">
        <v>7</v>
      </c>
      <c r="T784" s="4">
        <v>0</v>
      </c>
      <c r="U784" s="4">
        <v>0</v>
      </c>
      <c r="V784" s="4">
        <f>IF(ISERROR(VLOOKUP($S$784,'TAR FIN'!$A$1:$O$99,15,0)),0,VLOOKUP($S$784,'TAR FIN'!$A$1:$O$99,15,0))</f>
        <v>21.85</v>
      </c>
      <c r="W784" s="4">
        <f>IF(ISERROR(VLOOKUP($T$784,'TAR FIN'!$A$1:$O$99,15,0)),0,VLOOKUP($T$784,'TAR FIN'!$A$1:$O$99,15,0))</f>
        <v>0</v>
      </c>
      <c r="X784" s="4">
        <f>IF(ISERROR(VLOOKUP($U$784,'TAR FIN'!$A$1:$O$99,15,0)),0,VLOOKUP($U$784,'TAR FIN'!$A$1:$O$99,15,0))</f>
        <v>0</v>
      </c>
      <c r="Y784" s="4">
        <f ca="1">('TUSD BE'!$AM$21+'TUSD BF'!$AM$21+'TUSD CVA'!$AM$21)*1</f>
        <v>24.669398821277586</v>
      </c>
      <c r="Z784" s="4"/>
      <c r="AA784" s="4"/>
      <c r="AB784" s="4">
        <f>$K$784*$V$784</f>
        <v>11799</v>
      </c>
      <c r="AC784" s="4">
        <f>$M$784*$W$784</f>
        <v>0</v>
      </c>
      <c r="AD784" s="4">
        <f>$O$784*$X$784</f>
        <v>0</v>
      </c>
      <c r="AE784" s="4">
        <f ca="1">$K$784*$Y$784</f>
        <v>13321.475363489897</v>
      </c>
      <c r="AF784" s="4">
        <f>$M$784*$Z$784</f>
        <v>0</v>
      </c>
      <c r="AG784" s="4">
        <f>$O$784*$AA$784</f>
        <v>0</v>
      </c>
    </row>
    <row r="785" spans="1:33" ht="11.25" customHeight="1" x14ac:dyDescent="0.25">
      <c r="A785" s="3" t="s">
        <v>21</v>
      </c>
      <c r="B785" s="3" t="s">
        <v>33</v>
      </c>
      <c r="C785" s="3" t="s">
        <v>34</v>
      </c>
      <c r="D785" s="3" t="s">
        <v>52</v>
      </c>
      <c r="E785" s="3" t="s">
        <v>25</v>
      </c>
      <c r="F785" s="3" t="s">
        <v>25</v>
      </c>
      <c r="G785" s="3" t="s">
        <v>25</v>
      </c>
      <c r="H785" s="3" t="s">
        <v>25</v>
      </c>
      <c r="I785" s="6">
        <v>44440</v>
      </c>
      <c r="J785" s="4">
        <v>790</v>
      </c>
      <c r="K785" s="4">
        <v>790</v>
      </c>
      <c r="L785" s="4">
        <v>0</v>
      </c>
      <c r="M785" s="4">
        <v>0</v>
      </c>
      <c r="N785" s="4">
        <v>0</v>
      </c>
      <c r="O785" s="4">
        <v>0</v>
      </c>
      <c r="P785" s="4">
        <v>5</v>
      </c>
      <c r="Q785" s="3" t="s">
        <v>26</v>
      </c>
      <c r="R785" s="3">
        <v>0</v>
      </c>
      <c r="S785" s="4">
        <v>7</v>
      </c>
      <c r="T785" s="4">
        <v>0</v>
      </c>
      <c r="U785" s="4">
        <v>0</v>
      </c>
      <c r="V785" s="4">
        <f>IF(ISERROR(VLOOKUP($S$785,'TAR FIN'!$A$1:$O$99,15,0)),0,VLOOKUP($S$785,'TAR FIN'!$A$1:$O$99,15,0))</f>
        <v>21.85</v>
      </c>
      <c r="W785" s="4">
        <f>IF(ISERROR(VLOOKUP($T$785,'TAR FIN'!$A$1:$O$99,15,0)),0,VLOOKUP($T$785,'TAR FIN'!$A$1:$O$99,15,0))</f>
        <v>0</v>
      </c>
      <c r="X785" s="4">
        <f>IF(ISERROR(VLOOKUP($U$785,'TAR FIN'!$A$1:$O$99,15,0)),0,VLOOKUP($U$785,'TAR FIN'!$A$1:$O$99,15,0))</f>
        <v>0</v>
      </c>
      <c r="Y785" s="4">
        <f ca="1">('TUSD BE'!$AM$21+'TUSD BF'!$AM$21+'TUSD CVA'!$AM$21)*1</f>
        <v>24.669398821277586</v>
      </c>
      <c r="Z785" s="4"/>
      <c r="AA785" s="4"/>
      <c r="AB785" s="4">
        <f>$K$785*$V$785</f>
        <v>17261.5</v>
      </c>
      <c r="AC785" s="4">
        <f>$M$785*$W$785</f>
        <v>0</v>
      </c>
      <c r="AD785" s="4">
        <f>$O$785*$X$785</f>
        <v>0</v>
      </c>
      <c r="AE785" s="4">
        <f ca="1">$K$785*$Y$785</f>
        <v>19488.825068809292</v>
      </c>
      <c r="AF785" s="4">
        <f>$M$785*$Z$785</f>
        <v>0</v>
      </c>
      <c r="AG785" s="4">
        <f>$O$785*$AA$785</f>
        <v>0</v>
      </c>
    </row>
    <row r="786" spans="1:33" ht="11.25" customHeight="1" x14ac:dyDescent="0.25">
      <c r="A786" s="3" t="s">
        <v>21</v>
      </c>
      <c r="B786" s="3" t="s">
        <v>33</v>
      </c>
      <c r="C786" s="3" t="s">
        <v>34</v>
      </c>
      <c r="D786" s="3" t="s">
        <v>52</v>
      </c>
      <c r="E786" s="3" t="s">
        <v>25</v>
      </c>
      <c r="F786" s="3" t="s">
        <v>25</v>
      </c>
      <c r="G786" s="3" t="s">
        <v>25</v>
      </c>
      <c r="H786" s="3" t="s">
        <v>25</v>
      </c>
      <c r="I786" s="6">
        <v>44470</v>
      </c>
      <c r="J786" s="4">
        <v>790</v>
      </c>
      <c r="K786" s="4">
        <v>790</v>
      </c>
      <c r="L786" s="4">
        <v>0</v>
      </c>
      <c r="M786" s="4">
        <v>0</v>
      </c>
      <c r="N786" s="4">
        <v>0</v>
      </c>
      <c r="O786" s="4">
        <v>0</v>
      </c>
      <c r="P786" s="4">
        <v>5</v>
      </c>
      <c r="Q786" s="3" t="s">
        <v>26</v>
      </c>
      <c r="R786" s="3">
        <v>0</v>
      </c>
      <c r="S786" s="4">
        <v>7</v>
      </c>
      <c r="T786" s="4">
        <v>0</v>
      </c>
      <c r="U786" s="4">
        <v>0</v>
      </c>
      <c r="V786" s="4">
        <f>IF(ISERROR(VLOOKUP($S$786,'TAR FIN'!$A$1:$O$99,15,0)),0,VLOOKUP($S$786,'TAR FIN'!$A$1:$O$99,15,0))</f>
        <v>21.85</v>
      </c>
      <c r="W786" s="4">
        <f>IF(ISERROR(VLOOKUP($T$786,'TAR FIN'!$A$1:$O$99,15,0)),0,VLOOKUP($T$786,'TAR FIN'!$A$1:$O$99,15,0))</f>
        <v>0</v>
      </c>
      <c r="X786" s="4">
        <f>IF(ISERROR(VLOOKUP($U$786,'TAR FIN'!$A$1:$O$99,15,0)),0,VLOOKUP($U$786,'TAR FIN'!$A$1:$O$99,15,0))</f>
        <v>0</v>
      </c>
      <c r="Y786" s="4">
        <f ca="1">('TUSD BE'!$AM$21+'TUSD BF'!$AM$21+'TUSD CVA'!$AM$21)*1</f>
        <v>24.669398821277586</v>
      </c>
      <c r="Z786" s="4"/>
      <c r="AA786" s="4"/>
      <c r="AB786" s="4">
        <f>$K$786*$V$786</f>
        <v>17261.5</v>
      </c>
      <c r="AC786" s="4">
        <f>$M$786*$W$786</f>
        <v>0</v>
      </c>
      <c r="AD786" s="4">
        <f>$O$786*$X$786</f>
        <v>0</v>
      </c>
      <c r="AE786" s="4">
        <f ca="1">$K$786*$Y$786</f>
        <v>19488.825068809292</v>
      </c>
      <c r="AF786" s="4">
        <f>$M$786*$Z$786</f>
        <v>0</v>
      </c>
      <c r="AG786" s="4">
        <f>$O$786*$AA$786</f>
        <v>0</v>
      </c>
    </row>
    <row r="787" spans="1:33" ht="11.25" customHeight="1" x14ac:dyDescent="0.25">
      <c r="A787" s="3" t="s">
        <v>21</v>
      </c>
      <c r="B787" s="3" t="s">
        <v>33</v>
      </c>
      <c r="C787" s="3" t="s">
        <v>34</v>
      </c>
      <c r="D787" s="3" t="s">
        <v>52</v>
      </c>
      <c r="E787" s="3" t="s">
        <v>25</v>
      </c>
      <c r="F787" s="3" t="s">
        <v>25</v>
      </c>
      <c r="G787" s="3" t="s">
        <v>25</v>
      </c>
      <c r="H787" s="3" t="s">
        <v>25</v>
      </c>
      <c r="I787" s="6">
        <v>44501</v>
      </c>
      <c r="J787" s="4">
        <v>790</v>
      </c>
      <c r="K787" s="4">
        <v>790</v>
      </c>
      <c r="L787" s="4">
        <v>0</v>
      </c>
      <c r="M787" s="4">
        <v>0</v>
      </c>
      <c r="N787" s="4">
        <v>0</v>
      </c>
      <c r="O787" s="4">
        <v>0</v>
      </c>
      <c r="P787" s="4">
        <v>5</v>
      </c>
      <c r="Q787" s="3" t="s">
        <v>26</v>
      </c>
      <c r="R787" s="3">
        <v>0</v>
      </c>
      <c r="S787" s="4">
        <v>7</v>
      </c>
      <c r="T787" s="4">
        <v>0</v>
      </c>
      <c r="U787" s="4">
        <v>0</v>
      </c>
      <c r="V787" s="4">
        <f>IF(ISERROR(VLOOKUP($S$787,'TAR FIN'!$A$1:$O$99,15,0)),0,VLOOKUP($S$787,'TAR FIN'!$A$1:$O$99,15,0))</f>
        <v>21.85</v>
      </c>
      <c r="W787" s="4">
        <f>IF(ISERROR(VLOOKUP($T$787,'TAR FIN'!$A$1:$O$99,15,0)),0,VLOOKUP($T$787,'TAR FIN'!$A$1:$O$99,15,0))</f>
        <v>0</v>
      </c>
      <c r="X787" s="4">
        <f>IF(ISERROR(VLOOKUP($U$787,'TAR FIN'!$A$1:$O$99,15,0)),0,VLOOKUP($U$787,'TAR FIN'!$A$1:$O$99,15,0))</f>
        <v>0</v>
      </c>
      <c r="Y787" s="4">
        <f ca="1">('TUSD BE'!$AM$21+'TUSD BF'!$AM$21+'TUSD CVA'!$AM$21)*1</f>
        <v>24.669398821277586</v>
      </c>
      <c r="Z787" s="4"/>
      <c r="AA787" s="4"/>
      <c r="AB787" s="4">
        <f>$K$787*$V$787</f>
        <v>17261.5</v>
      </c>
      <c r="AC787" s="4">
        <f>$M$787*$W$787</f>
        <v>0</v>
      </c>
      <c r="AD787" s="4">
        <f>$O$787*$X$787</f>
        <v>0</v>
      </c>
      <c r="AE787" s="4">
        <f ca="1">$K$787*$Y$787</f>
        <v>19488.825068809292</v>
      </c>
      <c r="AF787" s="4">
        <f>$M$787*$Z$787</f>
        <v>0</v>
      </c>
      <c r="AG787" s="4">
        <f>$O$787*$AA$787</f>
        <v>0</v>
      </c>
    </row>
    <row r="788" spans="1:33" ht="11.25" customHeight="1" x14ac:dyDescent="0.25">
      <c r="A788" s="3" t="s">
        <v>21</v>
      </c>
      <c r="B788" s="3" t="s">
        <v>33</v>
      </c>
      <c r="C788" s="3" t="s">
        <v>34</v>
      </c>
      <c r="D788" s="3" t="s">
        <v>52</v>
      </c>
      <c r="E788" s="3" t="s">
        <v>25</v>
      </c>
      <c r="F788" s="3" t="s">
        <v>25</v>
      </c>
      <c r="G788" s="3" t="s">
        <v>25</v>
      </c>
      <c r="H788" s="3" t="s">
        <v>25</v>
      </c>
      <c r="I788" s="6">
        <v>44531</v>
      </c>
      <c r="J788" s="4">
        <v>696</v>
      </c>
      <c r="K788" s="4">
        <v>696</v>
      </c>
      <c r="L788" s="4">
        <v>0</v>
      </c>
      <c r="M788" s="4">
        <v>0</v>
      </c>
      <c r="N788" s="4">
        <v>0</v>
      </c>
      <c r="O788" s="4">
        <v>0</v>
      </c>
      <c r="P788" s="4">
        <v>5</v>
      </c>
      <c r="Q788" s="3" t="s">
        <v>26</v>
      </c>
      <c r="R788" s="3">
        <v>0</v>
      </c>
      <c r="S788" s="4">
        <v>7</v>
      </c>
      <c r="T788" s="4">
        <v>0</v>
      </c>
      <c r="U788" s="4">
        <v>0</v>
      </c>
      <c r="V788" s="4">
        <f>IF(ISERROR(VLOOKUP($S$788,'TAR FIN'!$A$1:$O$99,15,0)),0,VLOOKUP($S$788,'TAR FIN'!$A$1:$O$99,15,0))</f>
        <v>21.85</v>
      </c>
      <c r="W788" s="4">
        <f>IF(ISERROR(VLOOKUP($T$788,'TAR FIN'!$A$1:$O$99,15,0)),0,VLOOKUP($T$788,'TAR FIN'!$A$1:$O$99,15,0))</f>
        <v>0</v>
      </c>
      <c r="X788" s="4">
        <f>IF(ISERROR(VLOOKUP($U$788,'TAR FIN'!$A$1:$O$99,15,0)),0,VLOOKUP($U$788,'TAR FIN'!$A$1:$O$99,15,0))</f>
        <v>0</v>
      </c>
      <c r="Y788" s="4">
        <f ca="1">('TUSD BE'!$AM$21+'TUSD BF'!$AM$21+'TUSD CVA'!$AM$21)*1</f>
        <v>24.669398821277586</v>
      </c>
      <c r="Z788" s="4"/>
      <c r="AA788" s="4"/>
      <c r="AB788" s="4">
        <f>$K$788*$V$788</f>
        <v>15207.6</v>
      </c>
      <c r="AC788" s="4">
        <f>$M$788*$W$788</f>
        <v>0</v>
      </c>
      <c r="AD788" s="4">
        <f>$O$788*$X$788</f>
        <v>0</v>
      </c>
      <c r="AE788" s="4">
        <f ca="1">$K$788*$Y$788</f>
        <v>17169.901579609199</v>
      </c>
      <c r="AF788" s="4">
        <f>$M$788*$Z$788</f>
        <v>0</v>
      </c>
      <c r="AG788" s="4">
        <f>$O$788*$AA$788</f>
        <v>0</v>
      </c>
    </row>
    <row r="789" spans="1:33" ht="11.25" customHeight="1" x14ac:dyDescent="0.25">
      <c r="A789" s="3" t="s">
        <v>21</v>
      </c>
      <c r="B789" s="3" t="s">
        <v>33</v>
      </c>
      <c r="C789" s="3" t="s">
        <v>34</v>
      </c>
      <c r="D789" s="3" t="s">
        <v>52</v>
      </c>
      <c r="E789" s="3" t="s">
        <v>25</v>
      </c>
      <c r="F789" s="3" t="s">
        <v>25</v>
      </c>
      <c r="G789" s="3" t="s">
        <v>25</v>
      </c>
      <c r="H789" s="3" t="s">
        <v>25</v>
      </c>
      <c r="I789" s="6">
        <v>44562</v>
      </c>
      <c r="J789" s="4">
        <v>556</v>
      </c>
      <c r="K789" s="4">
        <v>556</v>
      </c>
      <c r="L789" s="4">
        <v>0</v>
      </c>
      <c r="M789" s="4">
        <v>0</v>
      </c>
      <c r="N789" s="4">
        <v>0</v>
      </c>
      <c r="O789" s="4">
        <v>0</v>
      </c>
      <c r="P789" s="4">
        <v>5</v>
      </c>
      <c r="Q789" s="3" t="s">
        <v>26</v>
      </c>
      <c r="R789" s="3">
        <v>0</v>
      </c>
      <c r="S789" s="4">
        <v>7</v>
      </c>
      <c r="T789" s="4">
        <v>0</v>
      </c>
      <c r="U789" s="4">
        <v>0</v>
      </c>
      <c r="V789" s="4">
        <f>IF(ISERROR(VLOOKUP($S$789,'TAR FIN'!$A$1:$O$99,15,0)),0,VLOOKUP($S$789,'TAR FIN'!$A$1:$O$99,15,0))</f>
        <v>21.85</v>
      </c>
      <c r="W789" s="4">
        <f>IF(ISERROR(VLOOKUP($T$789,'TAR FIN'!$A$1:$O$99,15,0)),0,VLOOKUP($T$789,'TAR FIN'!$A$1:$O$99,15,0))</f>
        <v>0</v>
      </c>
      <c r="X789" s="4">
        <f>IF(ISERROR(VLOOKUP($U$789,'TAR FIN'!$A$1:$O$99,15,0)),0,VLOOKUP($U$789,'TAR FIN'!$A$1:$O$99,15,0))</f>
        <v>0</v>
      </c>
      <c r="Y789" s="4">
        <f ca="1">('TUSD BE'!$AM$21+'TUSD BF'!$AM$21+'TUSD CVA'!$AM$21)*1</f>
        <v>24.669398821277586</v>
      </c>
      <c r="Z789" s="4"/>
      <c r="AA789" s="4"/>
      <c r="AB789" s="4">
        <f>$K$789*$V$789</f>
        <v>12148.6</v>
      </c>
      <c r="AC789" s="4">
        <f>$M$789*$W$789</f>
        <v>0</v>
      </c>
      <c r="AD789" s="4">
        <f>$O$789*$X$789</f>
        <v>0</v>
      </c>
      <c r="AE789" s="4">
        <f ca="1">$K$789*$Y$789</f>
        <v>13716.185744630338</v>
      </c>
      <c r="AF789" s="4">
        <f>$M$789*$Z$789</f>
        <v>0</v>
      </c>
      <c r="AG789" s="4">
        <f>$O$789*$AA$789</f>
        <v>0</v>
      </c>
    </row>
    <row r="790" spans="1:33" ht="11.25" customHeight="1" x14ac:dyDescent="0.25">
      <c r="A790" s="3" t="s">
        <v>21</v>
      </c>
      <c r="B790" s="3" t="s">
        <v>33</v>
      </c>
      <c r="C790" s="3" t="s">
        <v>34</v>
      </c>
      <c r="D790" s="3" t="s">
        <v>52</v>
      </c>
      <c r="E790" s="3" t="s">
        <v>25</v>
      </c>
      <c r="F790" s="3" t="s">
        <v>25</v>
      </c>
      <c r="G790" s="3" t="s">
        <v>25</v>
      </c>
      <c r="H790" s="3" t="s">
        <v>25</v>
      </c>
      <c r="I790" s="6">
        <v>44593</v>
      </c>
      <c r="J790" s="4">
        <v>589</v>
      </c>
      <c r="K790" s="4">
        <v>589</v>
      </c>
      <c r="L790" s="4">
        <v>0</v>
      </c>
      <c r="M790" s="4">
        <v>0</v>
      </c>
      <c r="N790" s="4">
        <v>0</v>
      </c>
      <c r="O790" s="4">
        <v>0</v>
      </c>
      <c r="P790" s="4">
        <v>5</v>
      </c>
      <c r="Q790" s="3" t="s">
        <v>26</v>
      </c>
      <c r="R790" s="3">
        <v>0</v>
      </c>
      <c r="S790" s="4">
        <v>7</v>
      </c>
      <c r="T790" s="4">
        <v>0</v>
      </c>
      <c r="U790" s="4">
        <v>0</v>
      </c>
      <c r="V790" s="4">
        <f>IF(ISERROR(VLOOKUP($S$790,'TAR FIN'!$A$1:$O$99,15,0)),0,VLOOKUP($S$790,'TAR FIN'!$A$1:$O$99,15,0))</f>
        <v>21.85</v>
      </c>
      <c r="W790" s="4">
        <f>IF(ISERROR(VLOOKUP($T$790,'TAR FIN'!$A$1:$O$99,15,0)),0,VLOOKUP($T$790,'TAR FIN'!$A$1:$O$99,15,0))</f>
        <v>0</v>
      </c>
      <c r="X790" s="4">
        <f>IF(ISERROR(VLOOKUP($U$790,'TAR FIN'!$A$1:$O$99,15,0)),0,VLOOKUP($U$790,'TAR FIN'!$A$1:$O$99,15,0))</f>
        <v>0</v>
      </c>
      <c r="Y790" s="4">
        <f ca="1">('TUSD BE'!$AM$21+'TUSD BF'!$AM$21+'TUSD CVA'!$AM$21)*1</f>
        <v>24.669398821277586</v>
      </c>
      <c r="Z790" s="4"/>
      <c r="AA790" s="4"/>
      <c r="AB790" s="4">
        <f>$K$790*$V$790</f>
        <v>12869.650000000001</v>
      </c>
      <c r="AC790" s="4">
        <f>$M$790*$W$790</f>
        <v>0</v>
      </c>
      <c r="AD790" s="4">
        <f>$O$790*$X$790</f>
        <v>0</v>
      </c>
      <c r="AE790" s="4">
        <f ca="1">$K$790*$Y$790</f>
        <v>14530.275905732498</v>
      </c>
      <c r="AF790" s="4">
        <f>$M$790*$Z$790</f>
        <v>0</v>
      </c>
      <c r="AG790" s="4">
        <f>$O$790*$AA$790</f>
        <v>0</v>
      </c>
    </row>
    <row r="791" spans="1:33" ht="11.25" customHeight="1" x14ac:dyDescent="0.25">
      <c r="A791" s="3" t="s">
        <v>21</v>
      </c>
      <c r="B791" s="3" t="s">
        <v>33</v>
      </c>
      <c r="C791" s="3" t="s">
        <v>34</v>
      </c>
      <c r="D791" s="3" t="s">
        <v>52</v>
      </c>
      <c r="E791" s="3" t="s">
        <v>25</v>
      </c>
      <c r="F791" s="3" t="s">
        <v>25</v>
      </c>
      <c r="G791" s="3" t="s">
        <v>25</v>
      </c>
      <c r="H791" s="3" t="s">
        <v>25</v>
      </c>
      <c r="I791" s="6">
        <v>44621</v>
      </c>
      <c r="J791" s="4">
        <v>601</v>
      </c>
      <c r="K791" s="4">
        <v>601</v>
      </c>
      <c r="L791" s="4">
        <v>0</v>
      </c>
      <c r="M791" s="4">
        <v>0</v>
      </c>
      <c r="N791" s="4">
        <v>0</v>
      </c>
      <c r="O791" s="4">
        <v>0</v>
      </c>
      <c r="P791" s="4">
        <v>5</v>
      </c>
      <c r="Q791" s="3" t="s">
        <v>26</v>
      </c>
      <c r="R791" s="3">
        <v>0</v>
      </c>
      <c r="S791" s="4">
        <v>7</v>
      </c>
      <c r="T791" s="4">
        <v>0</v>
      </c>
      <c r="U791" s="4">
        <v>0</v>
      </c>
      <c r="V791" s="4">
        <f>IF(ISERROR(VLOOKUP($S$791,'TAR FIN'!$A$1:$O$99,15,0)),0,VLOOKUP($S$791,'TAR FIN'!$A$1:$O$99,15,0))</f>
        <v>21.85</v>
      </c>
      <c r="W791" s="4">
        <f>IF(ISERROR(VLOOKUP($T$791,'TAR FIN'!$A$1:$O$99,15,0)),0,VLOOKUP($T$791,'TAR FIN'!$A$1:$O$99,15,0))</f>
        <v>0</v>
      </c>
      <c r="X791" s="4">
        <f>IF(ISERROR(VLOOKUP($U$791,'TAR FIN'!$A$1:$O$99,15,0)),0,VLOOKUP($U$791,'TAR FIN'!$A$1:$O$99,15,0))</f>
        <v>0</v>
      </c>
      <c r="Y791" s="4">
        <f ca="1">('TUSD BE'!$AM$21+'TUSD BF'!$AM$21+'TUSD CVA'!$AM$21)*1</f>
        <v>24.669398821277586</v>
      </c>
      <c r="Z791" s="4"/>
      <c r="AA791" s="4"/>
      <c r="AB791" s="4">
        <f>$K$791*$V$791</f>
        <v>13131.85</v>
      </c>
      <c r="AC791" s="4">
        <f>$M$791*$W$791</f>
        <v>0</v>
      </c>
      <c r="AD791" s="4">
        <f>$O$791*$X$791</f>
        <v>0</v>
      </c>
      <c r="AE791" s="4">
        <f ca="1">$K$791*$Y$791</f>
        <v>14826.308691587828</v>
      </c>
      <c r="AF791" s="4">
        <f>$M$791*$Z$791</f>
        <v>0</v>
      </c>
      <c r="AG791" s="4">
        <f>$O$791*$AA$791</f>
        <v>0</v>
      </c>
    </row>
    <row r="792" spans="1:33" ht="11.25" customHeight="1" x14ac:dyDescent="0.25">
      <c r="A792" s="3" t="s">
        <v>56</v>
      </c>
      <c r="B792" s="3" t="s">
        <v>33</v>
      </c>
      <c r="C792" s="3" t="s">
        <v>34</v>
      </c>
      <c r="D792" s="3" t="s">
        <v>52</v>
      </c>
      <c r="E792" s="3" t="s">
        <v>25</v>
      </c>
      <c r="F792" s="3" t="s">
        <v>25</v>
      </c>
      <c r="G792" s="3" t="s">
        <v>25</v>
      </c>
      <c r="H792" s="3" t="s">
        <v>25</v>
      </c>
      <c r="I792" s="6">
        <v>44652</v>
      </c>
      <c r="J792" s="4">
        <v>601</v>
      </c>
      <c r="K792" s="4">
        <v>601</v>
      </c>
      <c r="L792" s="4">
        <v>0</v>
      </c>
      <c r="M792" s="4">
        <v>0</v>
      </c>
      <c r="N792" s="4">
        <v>0</v>
      </c>
      <c r="O792" s="4">
        <v>0</v>
      </c>
      <c r="P792" s="4">
        <v>5</v>
      </c>
      <c r="Q792" s="3" t="s">
        <v>26</v>
      </c>
      <c r="R792" s="3">
        <v>0</v>
      </c>
      <c r="S792" s="4">
        <v>7</v>
      </c>
      <c r="T792" s="4">
        <v>0</v>
      </c>
      <c r="U792" s="4">
        <v>0</v>
      </c>
      <c r="V792" s="4">
        <f>IF(ISERROR(VLOOKUP($S$792,'TAR FIN'!$A$1:$O$99,15,0)),0,VLOOKUP($S$792,'TAR FIN'!$A$1:$O$99,15,0))</f>
        <v>21.85</v>
      </c>
      <c r="W792" s="4">
        <f>IF(ISERROR(VLOOKUP($T$792,'TAR FIN'!$A$1:$O$99,15,0)),0,VLOOKUP($T$792,'TAR FIN'!$A$1:$O$99,15,0))</f>
        <v>0</v>
      </c>
      <c r="X792" s="4">
        <f>IF(ISERROR(VLOOKUP($U$792,'TAR FIN'!$A$1:$O$99,15,0)),0,VLOOKUP($U$792,'TAR FIN'!$A$1:$O$99,15,0))</f>
        <v>0</v>
      </c>
      <c r="Y792" s="4">
        <f ca="1">('TUSD BE'!$AM$21+'TUSD BF'!$AM$21+'TUSD CVA'!$AM$21)*1</f>
        <v>24.669398821277586</v>
      </c>
      <c r="Z792" s="4"/>
      <c r="AA792" s="4"/>
      <c r="AB792" s="4">
        <f>$K$792*$V$792</f>
        <v>13131.85</v>
      </c>
      <c r="AC792" s="4">
        <f>$M$792*$W$792</f>
        <v>0</v>
      </c>
      <c r="AD792" s="4">
        <f>$O$792*$X$792</f>
        <v>0</v>
      </c>
      <c r="AE792" s="4">
        <f ca="1">$K$792*$Y$792</f>
        <v>14826.308691587828</v>
      </c>
      <c r="AF792" s="4">
        <f>$M$792*$Z$792</f>
        <v>0</v>
      </c>
      <c r="AG792" s="4">
        <f>$O$792*$AA$792</f>
        <v>0</v>
      </c>
    </row>
    <row r="793" spans="1:33" ht="11.25" customHeight="1" x14ac:dyDescent="0.25">
      <c r="A793" s="3" t="s">
        <v>21</v>
      </c>
      <c r="B793" s="3" t="s">
        <v>33</v>
      </c>
      <c r="C793" s="3" t="s">
        <v>34</v>
      </c>
      <c r="D793" s="3" t="s">
        <v>52</v>
      </c>
      <c r="E793" s="3" t="s">
        <v>25</v>
      </c>
      <c r="F793" s="3" t="s">
        <v>25</v>
      </c>
      <c r="G793" s="3" t="s">
        <v>25</v>
      </c>
      <c r="H793" s="3" t="s">
        <v>35</v>
      </c>
      <c r="I793" s="6">
        <v>44317</v>
      </c>
      <c r="J793" s="4">
        <v>0</v>
      </c>
      <c r="K793" s="4">
        <v>0</v>
      </c>
      <c r="L793" s="4">
        <v>7.52</v>
      </c>
      <c r="M793" s="4">
        <v>7.52</v>
      </c>
      <c r="N793" s="4">
        <v>7.52</v>
      </c>
      <c r="O793" s="4">
        <v>7.52</v>
      </c>
      <c r="P793" s="4">
        <v>0</v>
      </c>
      <c r="Q793" s="3" t="s">
        <v>26</v>
      </c>
      <c r="R793" s="3">
        <v>0</v>
      </c>
      <c r="S793" s="4">
        <v>0</v>
      </c>
      <c r="T793" s="4">
        <v>8</v>
      </c>
      <c r="U793" s="4">
        <v>72</v>
      </c>
      <c r="V793" s="4">
        <f>IF(ISERROR(VLOOKUP($S$793,'TAR FIN'!$A$1:$O$99,15,0)),0,VLOOKUP($S$793,'TAR FIN'!$A$1:$O$99,15,0))</f>
        <v>0</v>
      </c>
      <c r="W793" s="4">
        <f>IF(ISERROR(VLOOKUP($T$793,'TAR FIN'!$A$1:$O$99,15,0)),0,VLOOKUP($T$793,'TAR FIN'!$A$1:$O$99,15,0))</f>
        <v>1557.74</v>
      </c>
      <c r="X793" s="4">
        <f>IF(ISERROR(VLOOKUP($U$793,'TAR FIN'!$A$1:$O$99,15,0)),0,VLOOKUP($U$793,'TAR FIN'!$A$1:$O$99,15,0))</f>
        <v>346.61</v>
      </c>
      <c r="Y793" s="4"/>
      <c r="Z793" s="4">
        <f ca="1">('TUSD BE'!$AM$22+'TUSD BF'!$AM$22+'TUSD CVA'!$AM$22)*1</f>
        <v>1799.131999651745</v>
      </c>
      <c r="AA793" s="4">
        <f>('TE BE'!$AA$7+'TE BF'!$AA$7+'TE CVA'!$AA$7)*1</f>
        <v>423.89652505413846</v>
      </c>
      <c r="AB793" s="4">
        <f>$K$793*$V$793</f>
        <v>0</v>
      </c>
      <c r="AC793" s="4">
        <f>$M$793*$W$793</f>
        <v>11714.2048</v>
      </c>
      <c r="AD793" s="4">
        <f>$O$793*$X$793</f>
        <v>2606.5072</v>
      </c>
      <c r="AE793" s="4">
        <f>$K$793*$Y$793</f>
        <v>0</v>
      </c>
      <c r="AF793" s="4">
        <f ca="1">$M$793*$Z$793</f>
        <v>13529.472637381121</v>
      </c>
      <c r="AG793" s="4">
        <f>$O$793*$AA$793</f>
        <v>3187.7018684071209</v>
      </c>
    </row>
    <row r="794" spans="1:33" ht="11.25" customHeight="1" x14ac:dyDescent="0.25">
      <c r="A794" s="3" t="s">
        <v>21</v>
      </c>
      <c r="B794" s="3" t="s">
        <v>33</v>
      </c>
      <c r="C794" s="3" t="s">
        <v>34</v>
      </c>
      <c r="D794" s="3" t="s">
        <v>52</v>
      </c>
      <c r="E794" s="3" t="s">
        <v>25</v>
      </c>
      <c r="F794" s="3" t="s">
        <v>25</v>
      </c>
      <c r="G794" s="3" t="s">
        <v>25</v>
      </c>
      <c r="H794" s="3" t="s">
        <v>35</v>
      </c>
      <c r="I794" s="6">
        <v>44348</v>
      </c>
      <c r="J794" s="4">
        <v>0</v>
      </c>
      <c r="K794" s="4">
        <v>0</v>
      </c>
      <c r="L794" s="4">
        <v>7.4089999999999998</v>
      </c>
      <c r="M794" s="4">
        <v>7.4089999999999998</v>
      </c>
      <c r="N794" s="4">
        <v>7.4089999999999998</v>
      </c>
      <c r="O794" s="4">
        <v>7.4089999999999998</v>
      </c>
      <c r="P794" s="4">
        <v>0</v>
      </c>
      <c r="Q794" s="3" t="s">
        <v>26</v>
      </c>
      <c r="R794" s="3">
        <v>0</v>
      </c>
      <c r="S794" s="4">
        <v>0</v>
      </c>
      <c r="T794" s="4">
        <v>8</v>
      </c>
      <c r="U794" s="4">
        <v>72</v>
      </c>
      <c r="V794" s="4">
        <f>IF(ISERROR(VLOOKUP($S$794,'TAR FIN'!$A$1:$O$99,15,0)),0,VLOOKUP($S$794,'TAR FIN'!$A$1:$O$99,15,0))</f>
        <v>0</v>
      </c>
      <c r="W794" s="4">
        <f>IF(ISERROR(VLOOKUP($T$794,'TAR FIN'!$A$1:$O$99,15,0)),0,VLOOKUP($T$794,'TAR FIN'!$A$1:$O$99,15,0))</f>
        <v>1557.74</v>
      </c>
      <c r="X794" s="4">
        <f>IF(ISERROR(VLOOKUP($U$794,'TAR FIN'!$A$1:$O$99,15,0)),0,VLOOKUP($U$794,'TAR FIN'!$A$1:$O$99,15,0))</f>
        <v>346.61</v>
      </c>
      <c r="Y794" s="4"/>
      <c r="Z794" s="4">
        <f ca="1">('TUSD BE'!$AM$22+'TUSD BF'!$AM$22+'TUSD CVA'!$AM$22)*1</f>
        <v>1799.131999651745</v>
      </c>
      <c r="AA794" s="4">
        <f>('TE BE'!$AA$7+'TE BF'!$AA$7+'TE CVA'!$AA$7)*1</f>
        <v>423.89652505413846</v>
      </c>
      <c r="AB794" s="4">
        <f>$K$794*$V$794</f>
        <v>0</v>
      </c>
      <c r="AC794" s="4">
        <f>$M$794*$W$794</f>
        <v>11541.29566</v>
      </c>
      <c r="AD794" s="4">
        <f>$O$794*$X$794</f>
        <v>2568.0334900000003</v>
      </c>
      <c r="AE794" s="4">
        <f>$K$794*$Y$794</f>
        <v>0</v>
      </c>
      <c r="AF794" s="4">
        <f ca="1">$M$794*$Z$794</f>
        <v>13329.768985419778</v>
      </c>
      <c r="AG794" s="4">
        <f>$O$794*$AA$794</f>
        <v>3140.649354126112</v>
      </c>
    </row>
    <row r="795" spans="1:33" ht="11.25" customHeight="1" x14ac:dyDescent="0.25">
      <c r="A795" s="3" t="s">
        <v>21</v>
      </c>
      <c r="B795" s="3" t="s">
        <v>33</v>
      </c>
      <c r="C795" s="3" t="s">
        <v>34</v>
      </c>
      <c r="D795" s="3" t="s">
        <v>52</v>
      </c>
      <c r="E795" s="3" t="s">
        <v>25</v>
      </c>
      <c r="F795" s="3" t="s">
        <v>25</v>
      </c>
      <c r="G795" s="3" t="s">
        <v>25</v>
      </c>
      <c r="H795" s="3" t="s">
        <v>35</v>
      </c>
      <c r="I795" s="6">
        <v>44378</v>
      </c>
      <c r="J795" s="4">
        <v>0</v>
      </c>
      <c r="K795" s="4">
        <v>0</v>
      </c>
      <c r="L795" s="4">
        <v>7.6509999999999998</v>
      </c>
      <c r="M795" s="4">
        <v>7.6509999999999998</v>
      </c>
      <c r="N795" s="4">
        <v>7.6509999999999998</v>
      </c>
      <c r="O795" s="4">
        <v>7.6509999999999998</v>
      </c>
      <c r="P795" s="4">
        <v>0</v>
      </c>
      <c r="Q795" s="3" t="s">
        <v>26</v>
      </c>
      <c r="R795" s="3">
        <v>0</v>
      </c>
      <c r="S795" s="4">
        <v>0</v>
      </c>
      <c r="T795" s="4">
        <v>8</v>
      </c>
      <c r="U795" s="4">
        <v>72</v>
      </c>
      <c r="V795" s="4">
        <f>IF(ISERROR(VLOOKUP($S$795,'TAR FIN'!$A$1:$O$99,15,0)),0,VLOOKUP($S$795,'TAR FIN'!$A$1:$O$99,15,0))</f>
        <v>0</v>
      </c>
      <c r="W795" s="4">
        <f>IF(ISERROR(VLOOKUP($T$795,'TAR FIN'!$A$1:$O$99,15,0)),0,VLOOKUP($T$795,'TAR FIN'!$A$1:$O$99,15,0))</f>
        <v>1557.74</v>
      </c>
      <c r="X795" s="4">
        <f>IF(ISERROR(VLOOKUP($U$795,'TAR FIN'!$A$1:$O$99,15,0)),0,VLOOKUP($U$795,'TAR FIN'!$A$1:$O$99,15,0))</f>
        <v>346.61</v>
      </c>
      <c r="Y795" s="4"/>
      <c r="Z795" s="4">
        <f ca="1">('TUSD BE'!$AM$22+'TUSD BF'!$AM$22+'TUSD CVA'!$AM$22)*1</f>
        <v>1799.131999651745</v>
      </c>
      <c r="AA795" s="4">
        <f>('TE BE'!$AA$7+'TE BF'!$AA$7+'TE CVA'!$AA$7)*1</f>
        <v>423.89652505413846</v>
      </c>
      <c r="AB795" s="4">
        <f>$K$795*$V$795</f>
        <v>0</v>
      </c>
      <c r="AC795" s="4">
        <f>$M$795*$W$795</f>
        <v>11918.26874</v>
      </c>
      <c r="AD795" s="4">
        <f>$O$795*$X$795</f>
        <v>2651.91311</v>
      </c>
      <c r="AE795" s="4">
        <f>$K$795*$Y$795</f>
        <v>0</v>
      </c>
      <c r="AF795" s="4">
        <f ca="1">$M$795*$Z$795</f>
        <v>13765.158929335501</v>
      </c>
      <c r="AG795" s="4">
        <f>$O$795*$AA$795</f>
        <v>3243.2323131892135</v>
      </c>
    </row>
    <row r="796" spans="1:33" ht="11.25" customHeight="1" x14ac:dyDescent="0.25">
      <c r="A796" s="3" t="s">
        <v>21</v>
      </c>
      <c r="B796" s="3" t="s">
        <v>33</v>
      </c>
      <c r="C796" s="3" t="s">
        <v>34</v>
      </c>
      <c r="D796" s="3" t="s">
        <v>52</v>
      </c>
      <c r="E796" s="3" t="s">
        <v>25</v>
      </c>
      <c r="F796" s="3" t="s">
        <v>25</v>
      </c>
      <c r="G796" s="3" t="s">
        <v>25</v>
      </c>
      <c r="H796" s="3" t="s">
        <v>35</v>
      </c>
      <c r="I796" s="6">
        <v>44409</v>
      </c>
      <c r="J796" s="4">
        <v>0</v>
      </c>
      <c r="K796" s="4">
        <v>0</v>
      </c>
      <c r="L796" s="4">
        <v>6.8490000000000002</v>
      </c>
      <c r="M796" s="4">
        <v>6.8490000000000002</v>
      </c>
      <c r="N796" s="4">
        <v>6.8490000000000002</v>
      </c>
      <c r="O796" s="4">
        <v>6.8490000000000002</v>
      </c>
      <c r="P796" s="4">
        <v>0</v>
      </c>
      <c r="Q796" s="3" t="s">
        <v>26</v>
      </c>
      <c r="R796" s="3">
        <v>0</v>
      </c>
      <c r="S796" s="4">
        <v>0</v>
      </c>
      <c r="T796" s="4">
        <v>8</v>
      </c>
      <c r="U796" s="4">
        <v>72</v>
      </c>
      <c r="V796" s="4">
        <f>IF(ISERROR(VLOOKUP($S$796,'TAR FIN'!$A$1:$O$99,15,0)),0,VLOOKUP($S$796,'TAR FIN'!$A$1:$O$99,15,0))</f>
        <v>0</v>
      </c>
      <c r="W796" s="4">
        <f>IF(ISERROR(VLOOKUP($T$796,'TAR FIN'!$A$1:$O$99,15,0)),0,VLOOKUP($T$796,'TAR FIN'!$A$1:$O$99,15,0))</f>
        <v>1557.74</v>
      </c>
      <c r="X796" s="4">
        <f>IF(ISERROR(VLOOKUP($U$796,'TAR FIN'!$A$1:$O$99,15,0)),0,VLOOKUP($U$796,'TAR FIN'!$A$1:$O$99,15,0))</f>
        <v>346.61</v>
      </c>
      <c r="Y796" s="4"/>
      <c r="Z796" s="4">
        <f ca="1">('TUSD BE'!$AM$22+'TUSD BF'!$AM$22+'TUSD CVA'!$AM$22)*1</f>
        <v>1799.131999651745</v>
      </c>
      <c r="AA796" s="4">
        <f>('TE BE'!$AA$7+'TE BF'!$AA$7+'TE CVA'!$AA$7)*1</f>
        <v>423.89652505413846</v>
      </c>
      <c r="AB796" s="4">
        <f>$K$796*$V$796</f>
        <v>0</v>
      </c>
      <c r="AC796" s="4">
        <f>$M$796*$W$796</f>
        <v>10668.96126</v>
      </c>
      <c r="AD796" s="4">
        <f>$O$796*$X$796</f>
        <v>2373.9318900000003</v>
      </c>
      <c r="AE796" s="4">
        <f>$K$796*$Y$796</f>
        <v>0</v>
      </c>
      <c r="AF796" s="4">
        <f ca="1">$M$796*$Z$796</f>
        <v>12322.255065614801</v>
      </c>
      <c r="AG796" s="4">
        <f>$O$796*$AA$796</f>
        <v>2903.2673000957943</v>
      </c>
    </row>
    <row r="797" spans="1:33" ht="11.25" customHeight="1" x14ac:dyDescent="0.25">
      <c r="A797" s="3" t="s">
        <v>21</v>
      </c>
      <c r="B797" s="3" t="s">
        <v>33</v>
      </c>
      <c r="C797" s="3" t="s">
        <v>34</v>
      </c>
      <c r="D797" s="3" t="s">
        <v>52</v>
      </c>
      <c r="E797" s="3" t="s">
        <v>25</v>
      </c>
      <c r="F797" s="3" t="s">
        <v>25</v>
      </c>
      <c r="G797" s="3" t="s">
        <v>25</v>
      </c>
      <c r="H797" s="3" t="s">
        <v>35</v>
      </c>
      <c r="I797" s="6">
        <v>44440</v>
      </c>
      <c r="J797" s="4">
        <v>0</v>
      </c>
      <c r="K797" s="4">
        <v>0</v>
      </c>
      <c r="L797" s="4">
        <v>7.3310000000000004</v>
      </c>
      <c r="M797" s="4">
        <v>7.3310000000000004</v>
      </c>
      <c r="N797" s="4">
        <v>7.3310000000000004</v>
      </c>
      <c r="O797" s="4">
        <v>7.3310000000000004</v>
      </c>
      <c r="P797" s="4">
        <v>0</v>
      </c>
      <c r="Q797" s="3" t="s">
        <v>26</v>
      </c>
      <c r="R797" s="3">
        <v>0</v>
      </c>
      <c r="S797" s="4">
        <v>0</v>
      </c>
      <c r="T797" s="4">
        <v>8</v>
      </c>
      <c r="U797" s="4">
        <v>72</v>
      </c>
      <c r="V797" s="4">
        <f>IF(ISERROR(VLOOKUP($S$797,'TAR FIN'!$A$1:$O$99,15,0)),0,VLOOKUP($S$797,'TAR FIN'!$A$1:$O$99,15,0))</f>
        <v>0</v>
      </c>
      <c r="W797" s="4">
        <f>IF(ISERROR(VLOOKUP($T$797,'TAR FIN'!$A$1:$O$99,15,0)),0,VLOOKUP($T$797,'TAR FIN'!$A$1:$O$99,15,0))</f>
        <v>1557.74</v>
      </c>
      <c r="X797" s="4">
        <f>IF(ISERROR(VLOOKUP($U$797,'TAR FIN'!$A$1:$O$99,15,0)),0,VLOOKUP($U$797,'TAR FIN'!$A$1:$O$99,15,0))</f>
        <v>346.61</v>
      </c>
      <c r="Y797" s="4"/>
      <c r="Z797" s="4">
        <f ca="1">('TUSD BE'!$AM$22+'TUSD BF'!$AM$22+'TUSD CVA'!$AM$22)*1</f>
        <v>1799.131999651745</v>
      </c>
      <c r="AA797" s="4">
        <f>('TE BE'!$AA$7+'TE BF'!$AA$7+'TE CVA'!$AA$7)*1</f>
        <v>423.89652505413846</v>
      </c>
      <c r="AB797" s="4">
        <f>$K$797*$V$797</f>
        <v>0</v>
      </c>
      <c r="AC797" s="4">
        <f>$M$797*$W$797</f>
        <v>11419.791940000001</v>
      </c>
      <c r="AD797" s="4">
        <f>$O$797*$X$797</f>
        <v>2540.99791</v>
      </c>
      <c r="AE797" s="4">
        <f>$K$797*$Y$797</f>
        <v>0</v>
      </c>
      <c r="AF797" s="4">
        <f ca="1">$M$797*$Z$797</f>
        <v>13189.436689446944</v>
      </c>
      <c r="AG797" s="4">
        <f>$O$797*$AA$797</f>
        <v>3107.5854251718893</v>
      </c>
    </row>
    <row r="798" spans="1:33" ht="11.25" customHeight="1" x14ac:dyDescent="0.25">
      <c r="A798" s="3" t="s">
        <v>21</v>
      </c>
      <c r="B798" s="3" t="s">
        <v>33</v>
      </c>
      <c r="C798" s="3" t="s">
        <v>34</v>
      </c>
      <c r="D798" s="3" t="s">
        <v>52</v>
      </c>
      <c r="E798" s="3" t="s">
        <v>25</v>
      </c>
      <c r="F798" s="3" t="s">
        <v>25</v>
      </c>
      <c r="G798" s="3" t="s">
        <v>25</v>
      </c>
      <c r="H798" s="3" t="s">
        <v>35</v>
      </c>
      <c r="I798" s="6">
        <v>44470</v>
      </c>
      <c r="J798" s="4">
        <v>0</v>
      </c>
      <c r="K798" s="4">
        <v>0</v>
      </c>
      <c r="L798" s="4">
        <v>8.4480000000000004</v>
      </c>
      <c r="M798" s="4">
        <v>8.4480000000000004</v>
      </c>
      <c r="N798" s="4">
        <v>8.4480000000000004</v>
      </c>
      <c r="O798" s="4">
        <v>8.4480000000000004</v>
      </c>
      <c r="P798" s="4">
        <v>0</v>
      </c>
      <c r="Q798" s="3" t="s">
        <v>26</v>
      </c>
      <c r="R798" s="3">
        <v>0</v>
      </c>
      <c r="S798" s="4">
        <v>0</v>
      </c>
      <c r="T798" s="4">
        <v>8</v>
      </c>
      <c r="U798" s="4">
        <v>72</v>
      </c>
      <c r="V798" s="4">
        <f>IF(ISERROR(VLOOKUP($S$798,'TAR FIN'!$A$1:$O$99,15,0)),0,VLOOKUP($S$798,'TAR FIN'!$A$1:$O$99,15,0))</f>
        <v>0</v>
      </c>
      <c r="W798" s="4">
        <f>IF(ISERROR(VLOOKUP($T$798,'TAR FIN'!$A$1:$O$99,15,0)),0,VLOOKUP($T$798,'TAR FIN'!$A$1:$O$99,15,0))</f>
        <v>1557.74</v>
      </c>
      <c r="X798" s="4">
        <f>IF(ISERROR(VLOOKUP($U$798,'TAR FIN'!$A$1:$O$99,15,0)),0,VLOOKUP($U$798,'TAR FIN'!$A$1:$O$99,15,0))</f>
        <v>346.61</v>
      </c>
      <c r="Y798" s="4"/>
      <c r="Z798" s="4">
        <f ca="1">('TUSD BE'!$AM$22+'TUSD BF'!$AM$22+'TUSD CVA'!$AM$22)*1</f>
        <v>1799.131999651745</v>
      </c>
      <c r="AA798" s="4">
        <f>('TE BE'!$AA$7+'TE BF'!$AA$7+'TE CVA'!$AA$7)*1</f>
        <v>423.89652505413846</v>
      </c>
      <c r="AB798" s="4">
        <f>$K$798*$V$798</f>
        <v>0</v>
      </c>
      <c r="AC798" s="4">
        <f>$M$798*$W$798</f>
        <v>13159.78752</v>
      </c>
      <c r="AD798" s="4">
        <f>$O$798*$X$798</f>
        <v>2928.1612800000003</v>
      </c>
      <c r="AE798" s="4">
        <f>$K$798*$Y$798</f>
        <v>0</v>
      </c>
      <c r="AF798" s="4">
        <f ca="1">$M$798*$Z$798</f>
        <v>15199.067133057943</v>
      </c>
      <c r="AG798" s="4">
        <f>$O$798*$AA$798</f>
        <v>3581.0778436573619</v>
      </c>
    </row>
    <row r="799" spans="1:33" ht="11.25" customHeight="1" x14ac:dyDescent="0.25">
      <c r="A799" s="3" t="s">
        <v>21</v>
      </c>
      <c r="B799" s="3" t="s">
        <v>33</v>
      </c>
      <c r="C799" s="3" t="s">
        <v>34</v>
      </c>
      <c r="D799" s="3" t="s">
        <v>52</v>
      </c>
      <c r="E799" s="3" t="s">
        <v>25</v>
      </c>
      <c r="F799" s="3" t="s">
        <v>25</v>
      </c>
      <c r="G799" s="3" t="s">
        <v>25</v>
      </c>
      <c r="H799" s="3" t="s">
        <v>35</v>
      </c>
      <c r="I799" s="6">
        <v>44501</v>
      </c>
      <c r="J799" s="4">
        <v>0</v>
      </c>
      <c r="K799" s="4">
        <v>0</v>
      </c>
      <c r="L799" s="4">
        <v>8.9339999999999993</v>
      </c>
      <c r="M799" s="4">
        <v>8.9339999999999993</v>
      </c>
      <c r="N799" s="4">
        <v>8.9339999999999993</v>
      </c>
      <c r="O799" s="4">
        <v>8.9339999999999993</v>
      </c>
      <c r="P799" s="4">
        <v>0</v>
      </c>
      <c r="Q799" s="3" t="s">
        <v>26</v>
      </c>
      <c r="R799" s="3">
        <v>0</v>
      </c>
      <c r="S799" s="4">
        <v>0</v>
      </c>
      <c r="T799" s="4">
        <v>8</v>
      </c>
      <c r="U799" s="4">
        <v>72</v>
      </c>
      <c r="V799" s="4">
        <f>IF(ISERROR(VLOOKUP($S$799,'TAR FIN'!$A$1:$O$99,15,0)),0,VLOOKUP($S$799,'TAR FIN'!$A$1:$O$99,15,0))</f>
        <v>0</v>
      </c>
      <c r="W799" s="4">
        <f>IF(ISERROR(VLOOKUP($T$799,'TAR FIN'!$A$1:$O$99,15,0)),0,VLOOKUP($T$799,'TAR FIN'!$A$1:$O$99,15,0))</f>
        <v>1557.74</v>
      </c>
      <c r="X799" s="4">
        <f>IF(ISERROR(VLOOKUP($U$799,'TAR FIN'!$A$1:$O$99,15,0)),0,VLOOKUP($U$799,'TAR FIN'!$A$1:$O$99,15,0))</f>
        <v>346.61</v>
      </c>
      <c r="Y799" s="4"/>
      <c r="Z799" s="4">
        <f ca="1">('TUSD BE'!$AM$22+'TUSD BF'!$AM$22+'TUSD CVA'!$AM$22)*1</f>
        <v>1799.131999651745</v>
      </c>
      <c r="AA799" s="4">
        <f>('TE BE'!$AA$7+'TE BF'!$AA$7+'TE CVA'!$AA$7)*1</f>
        <v>423.89652505413846</v>
      </c>
      <c r="AB799" s="4">
        <f>$K$799*$V$799</f>
        <v>0</v>
      </c>
      <c r="AC799" s="4">
        <f>$M$799*$W$799</f>
        <v>13916.84916</v>
      </c>
      <c r="AD799" s="4">
        <f>$O$799*$X$799</f>
        <v>3096.6137399999998</v>
      </c>
      <c r="AE799" s="4">
        <f>$K$799*$Y$799</f>
        <v>0</v>
      </c>
      <c r="AF799" s="4">
        <f ca="1">$M$799*$Z$799</f>
        <v>16073.445284888689</v>
      </c>
      <c r="AG799" s="4">
        <f>$O$799*$AA$799</f>
        <v>3787.0915548336729</v>
      </c>
    </row>
    <row r="800" spans="1:33" ht="11.25" customHeight="1" x14ac:dyDescent="0.25">
      <c r="A800" s="3" t="s">
        <v>21</v>
      </c>
      <c r="B800" s="3" t="s">
        <v>33</v>
      </c>
      <c r="C800" s="3" t="s">
        <v>34</v>
      </c>
      <c r="D800" s="3" t="s">
        <v>52</v>
      </c>
      <c r="E800" s="3" t="s">
        <v>25</v>
      </c>
      <c r="F800" s="3" t="s">
        <v>25</v>
      </c>
      <c r="G800" s="3" t="s">
        <v>25</v>
      </c>
      <c r="H800" s="3" t="s">
        <v>35</v>
      </c>
      <c r="I800" s="6">
        <v>44531</v>
      </c>
      <c r="J800" s="4">
        <v>0</v>
      </c>
      <c r="K800" s="4">
        <v>0</v>
      </c>
      <c r="L800" s="4">
        <v>9.9390000000000001</v>
      </c>
      <c r="M800" s="4">
        <v>9.9390000000000001</v>
      </c>
      <c r="N800" s="4">
        <v>9.9390000000000001</v>
      </c>
      <c r="O800" s="4">
        <v>9.9390000000000001</v>
      </c>
      <c r="P800" s="4">
        <v>0</v>
      </c>
      <c r="Q800" s="3" t="s">
        <v>26</v>
      </c>
      <c r="R800" s="3">
        <v>0</v>
      </c>
      <c r="S800" s="4">
        <v>0</v>
      </c>
      <c r="T800" s="4">
        <v>8</v>
      </c>
      <c r="U800" s="4">
        <v>72</v>
      </c>
      <c r="V800" s="4">
        <f>IF(ISERROR(VLOOKUP($S$800,'TAR FIN'!$A$1:$O$99,15,0)),0,VLOOKUP($S$800,'TAR FIN'!$A$1:$O$99,15,0))</f>
        <v>0</v>
      </c>
      <c r="W800" s="4">
        <f>IF(ISERROR(VLOOKUP($T$800,'TAR FIN'!$A$1:$O$99,15,0)),0,VLOOKUP($T$800,'TAR FIN'!$A$1:$O$99,15,0))</f>
        <v>1557.74</v>
      </c>
      <c r="X800" s="4">
        <f>IF(ISERROR(VLOOKUP($U$800,'TAR FIN'!$A$1:$O$99,15,0)),0,VLOOKUP($U$800,'TAR FIN'!$A$1:$O$99,15,0))</f>
        <v>346.61</v>
      </c>
      <c r="Y800" s="4"/>
      <c r="Z800" s="4">
        <f ca="1">('TUSD BE'!$AM$22+'TUSD BF'!$AM$22+'TUSD CVA'!$AM$22)*1</f>
        <v>1799.131999651745</v>
      </c>
      <c r="AA800" s="4">
        <f>('TE BE'!$AA$7+'TE BF'!$AA$7+'TE CVA'!$AA$7)*1</f>
        <v>423.89652505413846</v>
      </c>
      <c r="AB800" s="4">
        <f>$K$800*$V$800</f>
        <v>0</v>
      </c>
      <c r="AC800" s="4">
        <f>$M$800*$W$800</f>
        <v>15482.377860000001</v>
      </c>
      <c r="AD800" s="4">
        <f>$O$800*$X$800</f>
        <v>3444.9567900000002</v>
      </c>
      <c r="AE800" s="4">
        <f>$K$800*$Y$800</f>
        <v>0</v>
      </c>
      <c r="AF800" s="4">
        <f ca="1">$M$800*$Z$800</f>
        <v>17881.572944538693</v>
      </c>
      <c r="AG800" s="4">
        <f>$O$800*$AA$800</f>
        <v>4213.1075625130825</v>
      </c>
    </row>
    <row r="801" spans="1:33" ht="11.25" customHeight="1" x14ac:dyDescent="0.25">
      <c r="A801" s="3" t="s">
        <v>21</v>
      </c>
      <c r="B801" s="3" t="s">
        <v>33</v>
      </c>
      <c r="C801" s="3" t="s">
        <v>34</v>
      </c>
      <c r="D801" s="3" t="s">
        <v>52</v>
      </c>
      <c r="E801" s="3" t="s">
        <v>25</v>
      </c>
      <c r="F801" s="3" t="s">
        <v>25</v>
      </c>
      <c r="G801" s="3" t="s">
        <v>25</v>
      </c>
      <c r="H801" s="3" t="s">
        <v>35</v>
      </c>
      <c r="I801" s="6">
        <v>44562</v>
      </c>
      <c r="J801" s="4">
        <v>0</v>
      </c>
      <c r="K801" s="4">
        <v>0</v>
      </c>
      <c r="L801" s="4">
        <v>9.1519999999999992</v>
      </c>
      <c r="M801" s="4">
        <v>9.1519999999999992</v>
      </c>
      <c r="N801" s="4">
        <v>9.1519999999999992</v>
      </c>
      <c r="O801" s="4">
        <v>9.1519999999999992</v>
      </c>
      <c r="P801" s="4">
        <v>0</v>
      </c>
      <c r="Q801" s="3" t="s">
        <v>26</v>
      </c>
      <c r="R801" s="3">
        <v>0</v>
      </c>
      <c r="S801" s="4">
        <v>0</v>
      </c>
      <c r="T801" s="4">
        <v>8</v>
      </c>
      <c r="U801" s="4">
        <v>72</v>
      </c>
      <c r="V801" s="4">
        <f>IF(ISERROR(VLOOKUP($S$801,'TAR FIN'!$A$1:$O$99,15,0)),0,VLOOKUP($S$801,'TAR FIN'!$A$1:$O$99,15,0))</f>
        <v>0</v>
      </c>
      <c r="W801" s="4">
        <f>IF(ISERROR(VLOOKUP($T$801,'TAR FIN'!$A$1:$O$99,15,0)),0,VLOOKUP($T$801,'TAR FIN'!$A$1:$O$99,15,0))</f>
        <v>1557.74</v>
      </c>
      <c r="X801" s="4">
        <f>IF(ISERROR(VLOOKUP($U$801,'TAR FIN'!$A$1:$O$99,15,0)),0,VLOOKUP($U$801,'TAR FIN'!$A$1:$O$99,15,0))</f>
        <v>346.61</v>
      </c>
      <c r="Y801" s="4"/>
      <c r="Z801" s="4">
        <f ca="1">('TUSD BE'!$AM$22+'TUSD BF'!$AM$22+'TUSD CVA'!$AM$22)*1</f>
        <v>1799.131999651745</v>
      </c>
      <c r="AA801" s="4">
        <f>('TE BE'!$AA$7+'TE BF'!$AA$7+'TE CVA'!$AA$7)*1</f>
        <v>423.89652505413846</v>
      </c>
      <c r="AB801" s="4">
        <f>$K$801*$V$801</f>
        <v>0</v>
      </c>
      <c r="AC801" s="4">
        <f>$M$801*$W$801</f>
        <v>14256.436479999998</v>
      </c>
      <c r="AD801" s="4">
        <f>$O$801*$X$801</f>
        <v>3172.17472</v>
      </c>
      <c r="AE801" s="4">
        <f>$K$801*$Y$801</f>
        <v>0</v>
      </c>
      <c r="AF801" s="4">
        <f ca="1">$M$801*$Z$801</f>
        <v>16465.656060812769</v>
      </c>
      <c r="AG801" s="4">
        <f>$O$801*$AA$801</f>
        <v>3879.5009972954749</v>
      </c>
    </row>
    <row r="802" spans="1:33" ht="11.25" customHeight="1" x14ac:dyDescent="0.25">
      <c r="A802" s="3" t="s">
        <v>21</v>
      </c>
      <c r="B802" s="3" t="s">
        <v>33</v>
      </c>
      <c r="C802" s="3" t="s">
        <v>34</v>
      </c>
      <c r="D802" s="3" t="s">
        <v>52</v>
      </c>
      <c r="E802" s="3" t="s">
        <v>25</v>
      </c>
      <c r="F802" s="3" t="s">
        <v>25</v>
      </c>
      <c r="G802" s="3" t="s">
        <v>25</v>
      </c>
      <c r="H802" s="3" t="s">
        <v>35</v>
      </c>
      <c r="I802" s="6">
        <v>44593</v>
      </c>
      <c r="J802" s="4">
        <v>0</v>
      </c>
      <c r="K802" s="4">
        <v>0</v>
      </c>
      <c r="L802" s="4">
        <v>8.7870000000000008</v>
      </c>
      <c r="M802" s="4">
        <v>8.7870000000000008</v>
      </c>
      <c r="N802" s="4">
        <v>8.7870000000000008</v>
      </c>
      <c r="O802" s="4">
        <v>8.7870000000000008</v>
      </c>
      <c r="P802" s="4">
        <v>0</v>
      </c>
      <c r="Q802" s="3" t="s">
        <v>26</v>
      </c>
      <c r="R802" s="3">
        <v>0</v>
      </c>
      <c r="S802" s="4">
        <v>0</v>
      </c>
      <c r="T802" s="4">
        <v>8</v>
      </c>
      <c r="U802" s="4">
        <v>72</v>
      </c>
      <c r="V802" s="4">
        <f>IF(ISERROR(VLOOKUP($S$802,'TAR FIN'!$A$1:$O$99,15,0)),0,VLOOKUP($S$802,'TAR FIN'!$A$1:$O$99,15,0))</f>
        <v>0</v>
      </c>
      <c r="W802" s="4">
        <f>IF(ISERROR(VLOOKUP($T$802,'TAR FIN'!$A$1:$O$99,15,0)),0,VLOOKUP($T$802,'TAR FIN'!$A$1:$O$99,15,0))</f>
        <v>1557.74</v>
      </c>
      <c r="X802" s="4">
        <f>IF(ISERROR(VLOOKUP($U$802,'TAR FIN'!$A$1:$O$99,15,0)),0,VLOOKUP($U$802,'TAR FIN'!$A$1:$O$99,15,0))</f>
        <v>346.61</v>
      </c>
      <c r="Y802" s="4"/>
      <c r="Z802" s="4">
        <f ca="1">('TUSD BE'!$AM$22+'TUSD BF'!$AM$22+'TUSD CVA'!$AM$22)*1</f>
        <v>1799.131999651745</v>
      </c>
      <c r="AA802" s="4">
        <f>('TE BE'!$AA$7+'TE BF'!$AA$7+'TE CVA'!$AA$7)*1</f>
        <v>423.89652505413846</v>
      </c>
      <c r="AB802" s="4">
        <f>$K$802*$V$802</f>
        <v>0</v>
      </c>
      <c r="AC802" s="4">
        <f>$M$802*$W$802</f>
        <v>13687.861380000002</v>
      </c>
      <c r="AD802" s="4">
        <f>$O$802*$X$802</f>
        <v>3045.6620700000003</v>
      </c>
      <c r="AE802" s="4">
        <f>$K$802*$Y$802</f>
        <v>0</v>
      </c>
      <c r="AF802" s="4">
        <f ca="1">$M$802*$Z$802</f>
        <v>15808.972880939884</v>
      </c>
      <c r="AG802" s="4">
        <f>$O$802*$AA$802</f>
        <v>3724.7787656507148</v>
      </c>
    </row>
    <row r="803" spans="1:33" ht="11.25" customHeight="1" x14ac:dyDescent="0.25">
      <c r="A803" s="3" t="s">
        <v>21</v>
      </c>
      <c r="B803" s="3" t="s">
        <v>33</v>
      </c>
      <c r="C803" s="3" t="s">
        <v>34</v>
      </c>
      <c r="D803" s="3" t="s">
        <v>52</v>
      </c>
      <c r="E803" s="3" t="s">
        <v>25</v>
      </c>
      <c r="F803" s="3" t="s">
        <v>25</v>
      </c>
      <c r="G803" s="3" t="s">
        <v>25</v>
      </c>
      <c r="H803" s="3" t="s">
        <v>35</v>
      </c>
      <c r="I803" s="6">
        <v>44621</v>
      </c>
      <c r="J803" s="4">
        <v>0</v>
      </c>
      <c r="K803" s="4">
        <v>0</v>
      </c>
      <c r="L803" s="4">
        <v>9.6479999999999997</v>
      </c>
      <c r="M803" s="4">
        <v>9.6479999999999997</v>
      </c>
      <c r="N803" s="4">
        <v>9.6479999999999997</v>
      </c>
      <c r="O803" s="4">
        <v>9.6479999999999997</v>
      </c>
      <c r="P803" s="4">
        <v>0</v>
      </c>
      <c r="Q803" s="3" t="s">
        <v>26</v>
      </c>
      <c r="R803" s="3">
        <v>0</v>
      </c>
      <c r="S803" s="4">
        <v>0</v>
      </c>
      <c r="T803" s="4">
        <v>8</v>
      </c>
      <c r="U803" s="4">
        <v>72</v>
      </c>
      <c r="V803" s="4">
        <f>IF(ISERROR(VLOOKUP($S$803,'TAR FIN'!$A$1:$O$99,15,0)),0,VLOOKUP($S$803,'TAR FIN'!$A$1:$O$99,15,0))</f>
        <v>0</v>
      </c>
      <c r="W803" s="4">
        <f>IF(ISERROR(VLOOKUP($T$803,'TAR FIN'!$A$1:$O$99,15,0)),0,VLOOKUP($T$803,'TAR FIN'!$A$1:$O$99,15,0))</f>
        <v>1557.74</v>
      </c>
      <c r="X803" s="4">
        <f>IF(ISERROR(VLOOKUP($U$803,'TAR FIN'!$A$1:$O$99,15,0)),0,VLOOKUP($U$803,'TAR FIN'!$A$1:$O$99,15,0))</f>
        <v>346.61</v>
      </c>
      <c r="Y803" s="4"/>
      <c r="Z803" s="4">
        <f ca="1">('TUSD BE'!$AM$22+'TUSD BF'!$AM$22+'TUSD CVA'!$AM$22)*1</f>
        <v>1799.131999651745</v>
      </c>
      <c r="AA803" s="4">
        <f>('TE BE'!$AA$7+'TE BF'!$AA$7+'TE CVA'!$AA$7)*1</f>
        <v>423.89652505413846</v>
      </c>
      <c r="AB803" s="4">
        <f>$K$803*$V$803</f>
        <v>0</v>
      </c>
      <c r="AC803" s="4">
        <f>$M$803*$W$803</f>
        <v>15029.07552</v>
      </c>
      <c r="AD803" s="4">
        <f>$O$803*$X$803</f>
        <v>3344.09328</v>
      </c>
      <c r="AE803" s="4">
        <f>$K$803*$Y$803</f>
        <v>0</v>
      </c>
      <c r="AF803" s="4">
        <f ca="1">$M$803*$Z$803</f>
        <v>17358.025532640037</v>
      </c>
      <c r="AG803" s="4">
        <f>$O$803*$AA$803</f>
        <v>4089.7536737223277</v>
      </c>
    </row>
    <row r="804" spans="1:33" ht="11.25" customHeight="1" x14ac:dyDescent="0.25">
      <c r="A804" s="3" t="s">
        <v>56</v>
      </c>
      <c r="B804" s="3" t="s">
        <v>33</v>
      </c>
      <c r="C804" s="3" t="s">
        <v>34</v>
      </c>
      <c r="D804" s="3" t="s">
        <v>52</v>
      </c>
      <c r="E804" s="3" t="s">
        <v>25</v>
      </c>
      <c r="F804" s="3" t="s">
        <v>25</v>
      </c>
      <c r="G804" s="3" t="s">
        <v>25</v>
      </c>
      <c r="H804" s="3" t="s">
        <v>35</v>
      </c>
      <c r="I804" s="6">
        <v>44652</v>
      </c>
      <c r="J804" s="4">
        <v>0</v>
      </c>
      <c r="K804" s="4">
        <v>0</v>
      </c>
      <c r="L804" s="4">
        <v>9.6479999999999997</v>
      </c>
      <c r="M804" s="4">
        <v>9.6479999999999997</v>
      </c>
      <c r="N804" s="4">
        <v>9.6479999999999997</v>
      </c>
      <c r="O804" s="4">
        <v>9.6479999999999997</v>
      </c>
      <c r="P804" s="4">
        <v>0</v>
      </c>
      <c r="Q804" s="3" t="s">
        <v>26</v>
      </c>
      <c r="R804" s="3">
        <v>0</v>
      </c>
      <c r="S804" s="4">
        <v>0</v>
      </c>
      <c r="T804" s="4">
        <v>8</v>
      </c>
      <c r="U804" s="4">
        <v>72</v>
      </c>
      <c r="V804" s="4">
        <f>IF(ISERROR(VLOOKUP($S$804,'TAR FIN'!$A$1:$O$99,15,0)),0,VLOOKUP($S$804,'TAR FIN'!$A$1:$O$99,15,0))</f>
        <v>0</v>
      </c>
      <c r="W804" s="4">
        <f>IF(ISERROR(VLOOKUP($T$804,'TAR FIN'!$A$1:$O$99,15,0)),0,VLOOKUP($T$804,'TAR FIN'!$A$1:$O$99,15,0))</f>
        <v>1557.74</v>
      </c>
      <c r="X804" s="4">
        <f>IF(ISERROR(VLOOKUP($U$804,'TAR FIN'!$A$1:$O$99,15,0)),0,VLOOKUP($U$804,'TAR FIN'!$A$1:$O$99,15,0))</f>
        <v>346.61</v>
      </c>
      <c r="Y804" s="4"/>
      <c r="Z804" s="4">
        <f ca="1">('TUSD BE'!$AM$22+'TUSD BF'!$AM$22+'TUSD CVA'!$AM$22)*1</f>
        <v>1799.131999651745</v>
      </c>
      <c r="AA804" s="4">
        <f>('TE BE'!$AA$7+'TE BF'!$AA$7+'TE CVA'!$AA$7)*1</f>
        <v>423.89652505413846</v>
      </c>
      <c r="AB804" s="4">
        <f>$K$804*$V$804</f>
        <v>0</v>
      </c>
      <c r="AC804" s="4">
        <f>$M$804*$W$804</f>
        <v>15029.07552</v>
      </c>
      <c r="AD804" s="4">
        <f>$O$804*$X$804</f>
        <v>3344.09328</v>
      </c>
      <c r="AE804" s="4">
        <f>$K$804*$Y$804</f>
        <v>0</v>
      </c>
      <c r="AF804" s="4">
        <f ca="1">$M$804*$Z$804</f>
        <v>17358.025532640037</v>
      </c>
      <c r="AG804" s="4">
        <f>$O$804*$AA$804</f>
        <v>4089.7536737223277</v>
      </c>
    </row>
    <row r="805" spans="1:33" ht="11.25" customHeight="1" x14ac:dyDescent="0.25">
      <c r="A805" s="3" t="s">
        <v>21</v>
      </c>
      <c r="B805" s="3" t="s">
        <v>33</v>
      </c>
      <c r="C805" s="3" t="s">
        <v>34</v>
      </c>
      <c r="D805" s="3" t="s">
        <v>40</v>
      </c>
      <c r="E805" s="3" t="s">
        <v>25</v>
      </c>
      <c r="F805" s="3" t="s">
        <v>60</v>
      </c>
      <c r="G805" s="3" t="s">
        <v>25</v>
      </c>
      <c r="H805" s="3" t="s">
        <v>36</v>
      </c>
      <c r="I805" s="6">
        <v>44317</v>
      </c>
      <c r="J805" s="4">
        <v>0</v>
      </c>
      <c r="K805" s="4">
        <v>0</v>
      </c>
      <c r="L805" s="4">
        <v>15586.54</v>
      </c>
      <c r="M805" s="4">
        <v>15586.54</v>
      </c>
      <c r="N805" s="4">
        <v>0</v>
      </c>
      <c r="O805" s="4">
        <v>0</v>
      </c>
      <c r="P805" s="4">
        <v>0</v>
      </c>
      <c r="Q805" s="3" t="s">
        <v>57</v>
      </c>
      <c r="R805" s="3">
        <v>0</v>
      </c>
      <c r="S805" s="4">
        <v>0</v>
      </c>
      <c r="T805" s="4">
        <v>29</v>
      </c>
      <c r="U805" s="4">
        <v>0</v>
      </c>
      <c r="V805" s="4">
        <f>IF(ISERROR(VLOOKUP($S$805,'TAR FIN'!$A$1:$O$99,15,0)),0,VLOOKUP($S$805,'TAR FIN'!$A$1:$O$99,15,0))</f>
        <v>0</v>
      </c>
      <c r="W805" s="4">
        <f>IF(ISERROR(VLOOKUP($T$805,'TAR FIN'!$A$1:$O$99,15,0)),0,VLOOKUP($T$805,'TAR FIN'!$A$1:$O$99,15,0))</f>
        <v>97.61</v>
      </c>
      <c r="X805" s="4">
        <f>IF(ISERROR(VLOOKUP($U$805,'TAR FIN'!$A$1:$O$99,15,0)),0,VLOOKUP($U$805,'TAR FIN'!$A$1:$O$99,15,0))</f>
        <v>0</v>
      </c>
      <c r="Y805" s="4"/>
      <c r="Z805" s="4">
        <f ca="1">('TUSD BE'!$AM$23+'TUSD BF'!$AM$23+'TUSD CVA'!$AM$23)*1</f>
        <v>117.59114529324071</v>
      </c>
      <c r="AA805" s="4"/>
      <c r="AB805" s="4">
        <f>$K$805*$V$805</f>
        <v>0</v>
      </c>
      <c r="AC805" s="4">
        <f>$M$805*$W$805</f>
        <v>1521402.1694</v>
      </c>
      <c r="AD805" s="4">
        <f>$O$805*$X$805</f>
        <v>0</v>
      </c>
      <c r="AE805" s="4">
        <f>$K$805*$Y$805</f>
        <v>0</v>
      </c>
      <c r="AF805" s="4">
        <f ca="1">$M$805*$Z$805</f>
        <v>1832839.0897589081</v>
      </c>
      <c r="AG805" s="4">
        <f>$O$805*$AA$805</f>
        <v>0</v>
      </c>
    </row>
    <row r="806" spans="1:33" ht="11.25" customHeight="1" x14ac:dyDescent="0.25">
      <c r="A806" s="3" t="s">
        <v>21</v>
      </c>
      <c r="B806" s="3" t="s">
        <v>33</v>
      </c>
      <c r="C806" s="3" t="s">
        <v>34</v>
      </c>
      <c r="D806" s="3" t="s">
        <v>40</v>
      </c>
      <c r="E806" s="3" t="s">
        <v>25</v>
      </c>
      <c r="F806" s="3" t="s">
        <v>60</v>
      </c>
      <c r="G806" s="3" t="s">
        <v>25</v>
      </c>
      <c r="H806" s="3" t="s">
        <v>36</v>
      </c>
      <c r="I806" s="6">
        <v>44348</v>
      </c>
      <c r="J806" s="4">
        <v>0</v>
      </c>
      <c r="K806" s="4">
        <v>0</v>
      </c>
      <c r="L806" s="4">
        <v>15347.862999999999</v>
      </c>
      <c r="M806" s="4">
        <v>15347.862999999999</v>
      </c>
      <c r="N806" s="4">
        <v>0</v>
      </c>
      <c r="O806" s="4">
        <v>0</v>
      </c>
      <c r="P806" s="4">
        <v>0</v>
      </c>
      <c r="Q806" s="3" t="s">
        <v>57</v>
      </c>
      <c r="R806" s="3">
        <v>0</v>
      </c>
      <c r="S806" s="4">
        <v>0</v>
      </c>
      <c r="T806" s="4">
        <v>29</v>
      </c>
      <c r="U806" s="4">
        <v>0</v>
      </c>
      <c r="V806" s="4">
        <f>IF(ISERROR(VLOOKUP($S$806,'TAR FIN'!$A$1:$O$99,15,0)),0,VLOOKUP($S$806,'TAR FIN'!$A$1:$O$99,15,0))</f>
        <v>0</v>
      </c>
      <c r="W806" s="4">
        <f>IF(ISERROR(VLOOKUP($T$806,'TAR FIN'!$A$1:$O$99,15,0)),0,VLOOKUP($T$806,'TAR FIN'!$A$1:$O$99,15,0))</f>
        <v>97.61</v>
      </c>
      <c r="X806" s="4">
        <f>IF(ISERROR(VLOOKUP($U$806,'TAR FIN'!$A$1:$O$99,15,0)),0,VLOOKUP($U$806,'TAR FIN'!$A$1:$O$99,15,0))</f>
        <v>0</v>
      </c>
      <c r="Y806" s="4"/>
      <c r="Z806" s="4">
        <f ca="1">('TUSD BE'!$AM$23+'TUSD BF'!$AM$23+'TUSD CVA'!$AM$23)*1</f>
        <v>117.59114529324071</v>
      </c>
      <c r="AA806" s="4"/>
      <c r="AB806" s="4">
        <f>$K$806*$V$806</f>
        <v>0</v>
      </c>
      <c r="AC806" s="4">
        <f>$M$806*$W$806</f>
        <v>1498104.9074299999</v>
      </c>
      <c r="AD806" s="4">
        <f>$O$806*$X$806</f>
        <v>0</v>
      </c>
      <c r="AE806" s="4">
        <f>$K$806*$Y$806</f>
        <v>0</v>
      </c>
      <c r="AF806" s="4">
        <f ca="1">$M$806*$Z$806</f>
        <v>1804772.7879737532</v>
      </c>
      <c r="AG806" s="4">
        <f>$O$806*$AA$806</f>
        <v>0</v>
      </c>
    </row>
    <row r="807" spans="1:33" ht="11.25" customHeight="1" x14ac:dyDescent="0.25">
      <c r="A807" s="3" t="s">
        <v>21</v>
      </c>
      <c r="B807" s="3" t="s">
        <v>33</v>
      </c>
      <c r="C807" s="3" t="s">
        <v>34</v>
      </c>
      <c r="D807" s="3" t="s">
        <v>40</v>
      </c>
      <c r="E807" s="3" t="s">
        <v>25</v>
      </c>
      <c r="F807" s="3" t="s">
        <v>60</v>
      </c>
      <c r="G807" s="3" t="s">
        <v>25</v>
      </c>
      <c r="H807" s="3" t="s">
        <v>36</v>
      </c>
      <c r="I807" s="6">
        <v>44378</v>
      </c>
      <c r="J807" s="4">
        <v>0</v>
      </c>
      <c r="K807" s="4">
        <v>0</v>
      </c>
      <c r="L807" s="4">
        <v>15846.188</v>
      </c>
      <c r="M807" s="4">
        <v>15846.188</v>
      </c>
      <c r="N807" s="4">
        <v>0</v>
      </c>
      <c r="O807" s="4">
        <v>0</v>
      </c>
      <c r="P807" s="4">
        <v>0</v>
      </c>
      <c r="Q807" s="3" t="s">
        <v>57</v>
      </c>
      <c r="R807" s="3">
        <v>0</v>
      </c>
      <c r="S807" s="4">
        <v>0</v>
      </c>
      <c r="T807" s="4">
        <v>29</v>
      </c>
      <c r="U807" s="4">
        <v>0</v>
      </c>
      <c r="V807" s="4">
        <f>IF(ISERROR(VLOOKUP($S$807,'TAR FIN'!$A$1:$O$99,15,0)),0,VLOOKUP($S$807,'TAR FIN'!$A$1:$O$99,15,0))</f>
        <v>0</v>
      </c>
      <c r="W807" s="4">
        <f>IF(ISERROR(VLOOKUP($T$807,'TAR FIN'!$A$1:$O$99,15,0)),0,VLOOKUP($T$807,'TAR FIN'!$A$1:$O$99,15,0))</f>
        <v>97.61</v>
      </c>
      <c r="X807" s="4">
        <f>IF(ISERROR(VLOOKUP($U$807,'TAR FIN'!$A$1:$O$99,15,0)),0,VLOOKUP($U$807,'TAR FIN'!$A$1:$O$99,15,0))</f>
        <v>0</v>
      </c>
      <c r="Y807" s="4"/>
      <c r="Z807" s="4">
        <f ca="1">('TUSD BE'!$AM$23+'TUSD BF'!$AM$23+'TUSD CVA'!$AM$23)*1</f>
        <v>117.59114529324071</v>
      </c>
      <c r="AA807" s="4"/>
      <c r="AB807" s="4">
        <f>$K$807*$V$807</f>
        <v>0</v>
      </c>
      <c r="AC807" s="4">
        <f>$M$807*$W$807</f>
        <v>1546746.41068</v>
      </c>
      <c r="AD807" s="4">
        <f>$O$807*$X$807</f>
        <v>0</v>
      </c>
      <c r="AE807" s="4">
        <f>$K$807*$Y$807</f>
        <v>0</v>
      </c>
      <c r="AF807" s="4">
        <f ca="1">$M$807*$Z$807</f>
        <v>1863371.3954520074</v>
      </c>
      <c r="AG807" s="4">
        <f>$O$807*$AA$807</f>
        <v>0</v>
      </c>
    </row>
    <row r="808" spans="1:33" ht="11.25" customHeight="1" x14ac:dyDescent="0.25">
      <c r="A808" s="3" t="s">
        <v>21</v>
      </c>
      <c r="B808" s="3" t="s">
        <v>33</v>
      </c>
      <c r="C808" s="3" t="s">
        <v>34</v>
      </c>
      <c r="D808" s="3" t="s">
        <v>40</v>
      </c>
      <c r="E808" s="3" t="s">
        <v>25</v>
      </c>
      <c r="F808" s="3" t="s">
        <v>60</v>
      </c>
      <c r="G808" s="3" t="s">
        <v>25</v>
      </c>
      <c r="H808" s="3" t="s">
        <v>36</v>
      </c>
      <c r="I808" s="6">
        <v>44409</v>
      </c>
      <c r="J808" s="4">
        <v>0</v>
      </c>
      <c r="K808" s="4">
        <v>0</v>
      </c>
      <c r="L808" s="4">
        <v>16030.883</v>
      </c>
      <c r="M808" s="4">
        <v>16030.883</v>
      </c>
      <c r="N808" s="4">
        <v>0</v>
      </c>
      <c r="O808" s="4">
        <v>0</v>
      </c>
      <c r="P808" s="4">
        <v>0</v>
      </c>
      <c r="Q808" s="3" t="s">
        <v>57</v>
      </c>
      <c r="R808" s="3">
        <v>0</v>
      </c>
      <c r="S808" s="4">
        <v>0</v>
      </c>
      <c r="T808" s="4">
        <v>29</v>
      </c>
      <c r="U808" s="4">
        <v>0</v>
      </c>
      <c r="V808" s="4">
        <f>IF(ISERROR(VLOOKUP($S$808,'TAR FIN'!$A$1:$O$99,15,0)),0,VLOOKUP($S$808,'TAR FIN'!$A$1:$O$99,15,0))</f>
        <v>0</v>
      </c>
      <c r="W808" s="4">
        <f>IF(ISERROR(VLOOKUP($T$808,'TAR FIN'!$A$1:$O$99,15,0)),0,VLOOKUP($T$808,'TAR FIN'!$A$1:$O$99,15,0))</f>
        <v>97.61</v>
      </c>
      <c r="X808" s="4">
        <f>IF(ISERROR(VLOOKUP($U$808,'TAR FIN'!$A$1:$O$99,15,0)),0,VLOOKUP($U$808,'TAR FIN'!$A$1:$O$99,15,0))</f>
        <v>0</v>
      </c>
      <c r="Y808" s="4"/>
      <c r="Z808" s="4">
        <f ca="1">('TUSD BE'!$AM$23+'TUSD BF'!$AM$23+'TUSD CVA'!$AM$23)*1</f>
        <v>117.59114529324071</v>
      </c>
      <c r="AA808" s="4"/>
      <c r="AB808" s="4">
        <f>$K$808*$V$808</f>
        <v>0</v>
      </c>
      <c r="AC808" s="4">
        <f>$M$808*$W$808</f>
        <v>1564774.48963</v>
      </c>
      <c r="AD808" s="4">
        <f>$O$808*$X$808</f>
        <v>0</v>
      </c>
      <c r="AE808" s="4">
        <f>$K$808*$Y$808</f>
        <v>0</v>
      </c>
      <c r="AF808" s="4">
        <f ca="1">$M$808*$Z$808</f>
        <v>1885089.8920319425</v>
      </c>
      <c r="AG808" s="4">
        <f>$O$808*$AA$808</f>
        <v>0</v>
      </c>
    </row>
    <row r="809" spans="1:33" ht="11.25" customHeight="1" x14ac:dyDescent="0.25">
      <c r="A809" s="3" t="s">
        <v>21</v>
      </c>
      <c r="B809" s="3" t="s">
        <v>33</v>
      </c>
      <c r="C809" s="3" t="s">
        <v>34</v>
      </c>
      <c r="D809" s="3" t="s">
        <v>40</v>
      </c>
      <c r="E809" s="3" t="s">
        <v>25</v>
      </c>
      <c r="F809" s="3" t="s">
        <v>60</v>
      </c>
      <c r="G809" s="3" t="s">
        <v>25</v>
      </c>
      <c r="H809" s="3" t="s">
        <v>36</v>
      </c>
      <c r="I809" s="6">
        <v>44440</v>
      </c>
      <c r="J809" s="4">
        <v>0</v>
      </c>
      <c r="K809" s="4">
        <v>0</v>
      </c>
      <c r="L809" s="4">
        <v>15535.214</v>
      </c>
      <c r="M809" s="4">
        <v>15535.214</v>
      </c>
      <c r="N809" s="4">
        <v>0</v>
      </c>
      <c r="O809" s="4">
        <v>0</v>
      </c>
      <c r="P809" s="4">
        <v>0</v>
      </c>
      <c r="Q809" s="3" t="s">
        <v>57</v>
      </c>
      <c r="R809" s="3">
        <v>0</v>
      </c>
      <c r="S809" s="4">
        <v>0</v>
      </c>
      <c r="T809" s="4">
        <v>29</v>
      </c>
      <c r="U809" s="4">
        <v>0</v>
      </c>
      <c r="V809" s="4">
        <f>IF(ISERROR(VLOOKUP($S$809,'TAR FIN'!$A$1:$O$99,15,0)),0,VLOOKUP($S$809,'TAR FIN'!$A$1:$O$99,15,0))</f>
        <v>0</v>
      </c>
      <c r="W809" s="4">
        <f>IF(ISERROR(VLOOKUP($T$809,'TAR FIN'!$A$1:$O$99,15,0)),0,VLOOKUP($T$809,'TAR FIN'!$A$1:$O$99,15,0))</f>
        <v>97.61</v>
      </c>
      <c r="X809" s="4">
        <f>IF(ISERROR(VLOOKUP($U$809,'TAR FIN'!$A$1:$O$99,15,0)),0,VLOOKUP($U$809,'TAR FIN'!$A$1:$O$99,15,0))</f>
        <v>0</v>
      </c>
      <c r="Y809" s="4"/>
      <c r="Z809" s="4">
        <f ca="1">('TUSD BE'!$AM$23+'TUSD BF'!$AM$23+'TUSD CVA'!$AM$23)*1</f>
        <v>117.59114529324071</v>
      </c>
      <c r="AA809" s="4"/>
      <c r="AB809" s="4">
        <f>$K$809*$V$809</f>
        <v>0</v>
      </c>
      <c r="AC809" s="4">
        <f>$M$809*$W$809</f>
        <v>1516392.23854</v>
      </c>
      <c r="AD809" s="4">
        <f>$O$809*$X$809</f>
        <v>0</v>
      </c>
      <c r="AE809" s="4">
        <f>$K$809*$Y$809</f>
        <v>0</v>
      </c>
      <c r="AF809" s="4">
        <f ca="1">$M$809*$Z$809</f>
        <v>1826803.6066355873</v>
      </c>
      <c r="AG809" s="4">
        <f>$O$809*$AA$809</f>
        <v>0</v>
      </c>
    </row>
    <row r="810" spans="1:33" ht="11.25" customHeight="1" x14ac:dyDescent="0.25">
      <c r="A810" s="3" t="s">
        <v>21</v>
      </c>
      <c r="B810" s="3" t="s">
        <v>33</v>
      </c>
      <c r="C810" s="3" t="s">
        <v>34</v>
      </c>
      <c r="D810" s="3" t="s">
        <v>40</v>
      </c>
      <c r="E810" s="3" t="s">
        <v>25</v>
      </c>
      <c r="F810" s="3" t="s">
        <v>60</v>
      </c>
      <c r="G810" s="3" t="s">
        <v>25</v>
      </c>
      <c r="H810" s="3" t="s">
        <v>36</v>
      </c>
      <c r="I810" s="6">
        <v>44470</v>
      </c>
      <c r="J810" s="4">
        <v>0</v>
      </c>
      <c r="K810" s="4">
        <v>0</v>
      </c>
      <c r="L810" s="4">
        <v>17306.638999999999</v>
      </c>
      <c r="M810" s="4">
        <v>17306.638999999999</v>
      </c>
      <c r="N810" s="4">
        <v>0</v>
      </c>
      <c r="O810" s="4">
        <v>0</v>
      </c>
      <c r="P810" s="4">
        <v>0</v>
      </c>
      <c r="Q810" s="3" t="s">
        <v>57</v>
      </c>
      <c r="R810" s="3">
        <v>0</v>
      </c>
      <c r="S810" s="4">
        <v>0</v>
      </c>
      <c r="T810" s="4">
        <v>29</v>
      </c>
      <c r="U810" s="4">
        <v>0</v>
      </c>
      <c r="V810" s="4">
        <f>IF(ISERROR(VLOOKUP($S$810,'TAR FIN'!$A$1:$O$99,15,0)),0,VLOOKUP($S$810,'TAR FIN'!$A$1:$O$99,15,0))</f>
        <v>0</v>
      </c>
      <c r="W810" s="4">
        <f>IF(ISERROR(VLOOKUP($T$810,'TAR FIN'!$A$1:$O$99,15,0)),0,VLOOKUP($T$810,'TAR FIN'!$A$1:$O$99,15,0))</f>
        <v>97.61</v>
      </c>
      <c r="X810" s="4">
        <f>IF(ISERROR(VLOOKUP($U$810,'TAR FIN'!$A$1:$O$99,15,0)),0,VLOOKUP($U$810,'TAR FIN'!$A$1:$O$99,15,0))</f>
        <v>0</v>
      </c>
      <c r="Y810" s="4"/>
      <c r="Z810" s="4">
        <f ca="1">('TUSD BE'!$AM$23+'TUSD BF'!$AM$23+'TUSD CVA'!$AM$23)*1</f>
        <v>117.59114529324071</v>
      </c>
      <c r="AA810" s="4"/>
      <c r="AB810" s="4">
        <f>$K$810*$V$810</f>
        <v>0</v>
      </c>
      <c r="AC810" s="4">
        <f>$M$810*$W$810</f>
        <v>1689301.0327899999</v>
      </c>
      <c r="AD810" s="4">
        <f>$O$810*$X$810</f>
        <v>0</v>
      </c>
      <c r="AE810" s="4">
        <f>$K$810*$Y$810</f>
        <v>0</v>
      </c>
      <c r="AF810" s="4">
        <f ca="1">$M$810*$Z$810</f>
        <v>2035107.5011866661</v>
      </c>
      <c r="AG810" s="4">
        <f>$O$810*$AA$810</f>
        <v>0</v>
      </c>
    </row>
    <row r="811" spans="1:33" ht="11.25" customHeight="1" x14ac:dyDescent="0.25">
      <c r="A811" s="3" t="s">
        <v>21</v>
      </c>
      <c r="B811" s="3" t="s">
        <v>33</v>
      </c>
      <c r="C811" s="3" t="s">
        <v>34</v>
      </c>
      <c r="D811" s="3" t="s">
        <v>40</v>
      </c>
      <c r="E811" s="3" t="s">
        <v>25</v>
      </c>
      <c r="F811" s="3" t="s">
        <v>60</v>
      </c>
      <c r="G811" s="3" t="s">
        <v>25</v>
      </c>
      <c r="H811" s="3" t="s">
        <v>36</v>
      </c>
      <c r="I811" s="6">
        <v>44501</v>
      </c>
      <c r="J811" s="4">
        <v>0</v>
      </c>
      <c r="K811" s="4">
        <v>0</v>
      </c>
      <c r="L811" s="4">
        <v>18463.737000000001</v>
      </c>
      <c r="M811" s="4">
        <v>18463.737000000001</v>
      </c>
      <c r="N811" s="4">
        <v>0</v>
      </c>
      <c r="O811" s="4">
        <v>0</v>
      </c>
      <c r="P811" s="4">
        <v>0</v>
      </c>
      <c r="Q811" s="3" t="s">
        <v>57</v>
      </c>
      <c r="R811" s="3">
        <v>0</v>
      </c>
      <c r="S811" s="4">
        <v>0</v>
      </c>
      <c r="T811" s="4">
        <v>29</v>
      </c>
      <c r="U811" s="4">
        <v>0</v>
      </c>
      <c r="V811" s="4">
        <f>IF(ISERROR(VLOOKUP($S$811,'TAR FIN'!$A$1:$O$99,15,0)),0,VLOOKUP($S$811,'TAR FIN'!$A$1:$O$99,15,0))</f>
        <v>0</v>
      </c>
      <c r="W811" s="4">
        <f>IF(ISERROR(VLOOKUP($T$811,'TAR FIN'!$A$1:$O$99,15,0)),0,VLOOKUP($T$811,'TAR FIN'!$A$1:$O$99,15,0))</f>
        <v>97.61</v>
      </c>
      <c r="X811" s="4">
        <f>IF(ISERROR(VLOOKUP($U$811,'TAR FIN'!$A$1:$O$99,15,0)),0,VLOOKUP($U$811,'TAR FIN'!$A$1:$O$99,15,0))</f>
        <v>0</v>
      </c>
      <c r="Y811" s="4"/>
      <c r="Z811" s="4">
        <f ca="1">('TUSD BE'!$AM$23+'TUSD BF'!$AM$23+'TUSD CVA'!$AM$23)*1</f>
        <v>117.59114529324071</v>
      </c>
      <c r="AA811" s="4"/>
      <c r="AB811" s="4">
        <f>$K$811*$V$811</f>
        <v>0</v>
      </c>
      <c r="AC811" s="4">
        <f>$M$811*$W$811</f>
        <v>1802245.3685700002</v>
      </c>
      <c r="AD811" s="4">
        <f>$O$811*$X$811</f>
        <v>0</v>
      </c>
      <c r="AE811" s="4">
        <f>$K$811*$Y$811</f>
        <v>0</v>
      </c>
      <c r="AF811" s="4">
        <f ca="1">$M$811*$Z$811</f>
        <v>2171171.9802231845</v>
      </c>
      <c r="AG811" s="4">
        <f>$O$811*$AA$811</f>
        <v>0</v>
      </c>
    </row>
    <row r="812" spans="1:33" ht="11.25" customHeight="1" x14ac:dyDescent="0.25">
      <c r="A812" s="3" t="s">
        <v>21</v>
      </c>
      <c r="B812" s="3" t="s">
        <v>33</v>
      </c>
      <c r="C812" s="3" t="s">
        <v>34</v>
      </c>
      <c r="D812" s="3" t="s">
        <v>40</v>
      </c>
      <c r="E812" s="3" t="s">
        <v>25</v>
      </c>
      <c r="F812" s="3" t="s">
        <v>60</v>
      </c>
      <c r="G812" s="3" t="s">
        <v>25</v>
      </c>
      <c r="H812" s="3" t="s">
        <v>36</v>
      </c>
      <c r="I812" s="6">
        <v>44531</v>
      </c>
      <c r="J812" s="4">
        <v>0</v>
      </c>
      <c r="K812" s="4">
        <v>0</v>
      </c>
      <c r="L812" s="4">
        <v>9772.5529999999999</v>
      </c>
      <c r="M812" s="4">
        <v>9772.5529999999999</v>
      </c>
      <c r="N812" s="4">
        <v>0</v>
      </c>
      <c r="O812" s="4">
        <v>0</v>
      </c>
      <c r="P812" s="4">
        <v>0</v>
      </c>
      <c r="Q812" s="3" t="s">
        <v>57</v>
      </c>
      <c r="R812" s="3">
        <v>0</v>
      </c>
      <c r="S812" s="4">
        <v>0</v>
      </c>
      <c r="T812" s="4">
        <v>29</v>
      </c>
      <c r="U812" s="4">
        <v>0</v>
      </c>
      <c r="V812" s="4">
        <f>IF(ISERROR(VLOOKUP($S$812,'TAR FIN'!$A$1:$O$99,15,0)),0,VLOOKUP($S$812,'TAR FIN'!$A$1:$O$99,15,0))</f>
        <v>0</v>
      </c>
      <c r="W812" s="4">
        <f>IF(ISERROR(VLOOKUP($T$812,'TAR FIN'!$A$1:$O$99,15,0)),0,VLOOKUP($T$812,'TAR FIN'!$A$1:$O$99,15,0))</f>
        <v>97.61</v>
      </c>
      <c r="X812" s="4">
        <f>IF(ISERROR(VLOOKUP($U$812,'TAR FIN'!$A$1:$O$99,15,0)),0,VLOOKUP($U$812,'TAR FIN'!$A$1:$O$99,15,0))</f>
        <v>0</v>
      </c>
      <c r="Y812" s="4"/>
      <c r="Z812" s="4">
        <f ca="1">('TUSD BE'!$AM$23+'TUSD BF'!$AM$23+'TUSD CVA'!$AM$23)*1</f>
        <v>117.59114529324071</v>
      </c>
      <c r="AA812" s="4"/>
      <c r="AB812" s="4">
        <f>$K$812*$V$812</f>
        <v>0</v>
      </c>
      <c r="AC812" s="4">
        <f>$M$812*$W$812</f>
        <v>953898.89833</v>
      </c>
      <c r="AD812" s="4">
        <f>$O$812*$X$812</f>
        <v>0</v>
      </c>
      <c r="AE812" s="4">
        <f>$K$812*$Y$812</f>
        <v>0</v>
      </c>
      <c r="AF812" s="4">
        <f ca="1">$M$812*$Z$812</f>
        <v>1149165.6997088955</v>
      </c>
      <c r="AG812" s="4">
        <f>$O$812*$AA$812</f>
        <v>0</v>
      </c>
    </row>
    <row r="813" spans="1:33" ht="11.25" customHeight="1" x14ac:dyDescent="0.25">
      <c r="A813" s="3" t="s">
        <v>21</v>
      </c>
      <c r="B813" s="3" t="s">
        <v>33</v>
      </c>
      <c r="C813" s="3" t="s">
        <v>34</v>
      </c>
      <c r="D813" s="3" t="s">
        <v>40</v>
      </c>
      <c r="E813" s="3" t="s">
        <v>25</v>
      </c>
      <c r="F813" s="3" t="s">
        <v>60</v>
      </c>
      <c r="G813" s="3" t="s">
        <v>25</v>
      </c>
      <c r="H813" s="3" t="s">
        <v>36</v>
      </c>
      <c r="I813" s="6">
        <v>44562</v>
      </c>
      <c r="J813" s="4">
        <v>0</v>
      </c>
      <c r="K813" s="4">
        <v>0</v>
      </c>
      <c r="L813" s="4">
        <v>14363.013999999999</v>
      </c>
      <c r="M813" s="4">
        <v>14363.013999999999</v>
      </c>
      <c r="N813" s="4">
        <v>0</v>
      </c>
      <c r="O813" s="4">
        <v>0</v>
      </c>
      <c r="P813" s="4">
        <v>0</v>
      </c>
      <c r="Q813" s="3" t="s">
        <v>57</v>
      </c>
      <c r="R813" s="3">
        <v>0</v>
      </c>
      <c r="S813" s="4">
        <v>0</v>
      </c>
      <c r="T813" s="4">
        <v>29</v>
      </c>
      <c r="U813" s="4">
        <v>0</v>
      </c>
      <c r="V813" s="4">
        <f>IF(ISERROR(VLOOKUP($S$813,'TAR FIN'!$A$1:$O$99,15,0)),0,VLOOKUP($S$813,'TAR FIN'!$A$1:$O$99,15,0))</f>
        <v>0</v>
      </c>
      <c r="W813" s="4">
        <f>IF(ISERROR(VLOOKUP($T$813,'TAR FIN'!$A$1:$O$99,15,0)),0,VLOOKUP($T$813,'TAR FIN'!$A$1:$O$99,15,0))</f>
        <v>97.61</v>
      </c>
      <c r="X813" s="4">
        <f>IF(ISERROR(VLOOKUP($U$813,'TAR FIN'!$A$1:$O$99,15,0)),0,VLOOKUP($U$813,'TAR FIN'!$A$1:$O$99,15,0))</f>
        <v>0</v>
      </c>
      <c r="Y813" s="4"/>
      <c r="Z813" s="4">
        <f ca="1">('TUSD BE'!$AM$23+'TUSD BF'!$AM$23+'TUSD CVA'!$AM$23)*1</f>
        <v>117.59114529324071</v>
      </c>
      <c r="AA813" s="4"/>
      <c r="AB813" s="4">
        <f>$K$813*$V$813</f>
        <v>0</v>
      </c>
      <c r="AC813" s="4">
        <f>$M$813*$W$813</f>
        <v>1401973.79654</v>
      </c>
      <c r="AD813" s="4">
        <f>$O$813*$X$813</f>
        <v>0</v>
      </c>
      <c r="AE813" s="4">
        <f>$K$813*$Y$813</f>
        <v>0</v>
      </c>
      <c r="AF813" s="4">
        <f ca="1">$M$813*$Z$813</f>
        <v>1688963.2661228504</v>
      </c>
      <c r="AG813" s="4">
        <f>$O$813*$AA$813</f>
        <v>0</v>
      </c>
    </row>
    <row r="814" spans="1:33" ht="11.25" customHeight="1" x14ac:dyDescent="0.25">
      <c r="A814" s="3" t="s">
        <v>21</v>
      </c>
      <c r="B814" s="3" t="s">
        <v>33</v>
      </c>
      <c r="C814" s="3" t="s">
        <v>34</v>
      </c>
      <c r="D814" s="3" t="s">
        <v>40</v>
      </c>
      <c r="E814" s="3" t="s">
        <v>25</v>
      </c>
      <c r="F814" s="3" t="s">
        <v>60</v>
      </c>
      <c r="G814" s="3" t="s">
        <v>25</v>
      </c>
      <c r="H814" s="3" t="s">
        <v>36</v>
      </c>
      <c r="I814" s="6">
        <v>44593</v>
      </c>
      <c r="J814" s="4">
        <v>0</v>
      </c>
      <c r="K814" s="4">
        <v>0</v>
      </c>
      <c r="L814" s="4">
        <v>13550.341</v>
      </c>
      <c r="M814" s="4">
        <v>13550.341</v>
      </c>
      <c r="N814" s="4">
        <v>0</v>
      </c>
      <c r="O814" s="4">
        <v>0</v>
      </c>
      <c r="P814" s="4">
        <v>0</v>
      </c>
      <c r="Q814" s="3" t="s">
        <v>57</v>
      </c>
      <c r="R814" s="3">
        <v>0</v>
      </c>
      <c r="S814" s="4">
        <v>0</v>
      </c>
      <c r="T814" s="4">
        <v>29</v>
      </c>
      <c r="U814" s="4">
        <v>0</v>
      </c>
      <c r="V814" s="4">
        <f>IF(ISERROR(VLOOKUP($S$814,'TAR FIN'!$A$1:$O$99,15,0)),0,VLOOKUP($S$814,'TAR FIN'!$A$1:$O$99,15,0))</f>
        <v>0</v>
      </c>
      <c r="W814" s="4">
        <f>IF(ISERROR(VLOOKUP($T$814,'TAR FIN'!$A$1:$O$99,15,0)),0,VLOOKUP($T$814,'TAR FIN'!$A$1:$O$99,15,0))</f>
        <v>97.61</v>
      </c>
      <c r="X814" s="4">
        <f>IF(ISERROR(VLOOKUP($U$814,'TAR FIN'!$A$1:$O$99,15,0)),0,VLOOKUP($U$814,'TAR FIN'!$A$1:$O$99,15,0))</f>
        <v>0</v>
      </c>
      <c r="Y814" s="4"/>
      <c r="Z814" s="4">
        <f ca="1">('TUSD BE'!$AM$23+'TUSD BF'!$AM$23+'TUSD CVA'!$AM$23)*1</f>
        <v>117.59114529324071</v>
      </c>
      <c r="AA814" s="4"/>
      <c r="AB814" s="4">
        <f>$K$814*$V$814</f>
        <v>0</v>
      </c>
      <c r="AC814" s="4">
        <f>$M$814*$W$814</f>
        <v>1322648.78501</v>
      </c>
      <c r="AD814" s="4">
        <f>$O$814*$X$814</f>
        <v>0</v>
      </c>
      <c r="AE814" s="4">
        <f>$K$814*$Y$814</f>
        <v>0</v>
      </c>
      <c r="AF814" s="4">
        <f ca="1">$M$814*$Z$814</f>
        <v>1593400.1173039568</v>
      </c>
      <c r="AG814" s="4">
        <f>$O$814*$AA$814</f>
        <v>0</v>
      </c>
    </row>
    <row r="815" spans="1:33" ht="11.25" customHeight="1" x14ac:dyDescent="0.25">
      <c r="A815" s="3" t="s">
        <v>21</v>
      </c>
      <c r="B815" s="3" t="s">
        <v>33</v>
      </c>
      <c r="C815" s="3" t="s">
        <v>34</v>
      </c>
      <c r="D815" s="3" t="s">
        <v>40</v>
      </c>
      <c r="E815" s="3" t="s">
        <v>25</v>
      </c>
      <c r="F815" s="3" t="s">
        <v>60</v>
      </c>
      <c r="G815" s="3" t="s">
        <v>25</v>
      </c>
      <c r="H815" s="3" t="s">
        <v>36</v>
      </c>
      <c r="I815" s="6">
        <v>44621</v>
      </c>
      <c r="J815" s="4">
        <v>0</v>
      </c>
      <c r="K815" s="4">
        <v>0</v>
      </c>
      <c r="L815" s="4">
        <v>14927.39</v>
      </c>
      <c r="M815" s="4">
        <v>14927.39</v>
      </c>
      <c r="N815" s="4">
        <v>0</v>
      </c>
      <c r="O815" s="4">
        <v>0</v>
      </c>
      <c r="P815" s="4">
        <v>0</v>
      </c>
      <c r="Q815" s="3" t="s">
        <v>57</v>
      </c>
      <c r="R815" s="3">
        <v>0</v>
      </c>
      <c r="S815" s="4">
        <v>0</v>
      </c>
      <c r="T815" s="4">
        <v>29</v>
      </c>
      <c r="U815" s="4">
        <v>0</v>
      </c>
      <c r="V815" s="4">
        <f>IF(ISERROR(VLOOKUP($S$815,'TAR FIN'!$A$1:$O$99,15,0)),0,VLOOKUP($S$815,'TAR FIN'!$A$1:$O$99,15,0))</f>
        <v>0</v>
      </c>
      <c r="W815" s="4">
        <f>IF(ISERROR(VLOOKUP($T$815,'TAR FIN'!$A$1:$O$99,15,0)),0,VLOOKUP($T$815,'TAR FIN'!$A$1:$O$99,15,0))</f>
        <v>97.61</v>
      </c>
      <c r="X815" s="4">
        <f>IF(ISERROR(VLOOKUP($U$815,'TAR FIN'!$A$1:$O$99,15,0)),0,VLOOKUP($U$815,'TAR FIN'!$A$1:$O$99,15,0))</f>
        <v>0</v>
      </c>
      <c r="Y815" s="4"/>
      <c r="Z815" s="4">
        <f ca="1">('TUSD BE'!$AM$23+'TUSD BF'!$AM$23+'TUSD CVA'!$AM$23)*1</f>
        <v>117.59114529324071</v>
      </c>
      <c r="AA815" s="4"/>
      <c r="AB815" s="4">
        <f>$K$815*$V$815</f>
        <v>0</v>
      </c>
      <c r="AC815" s="4">
        <f>$M$815*$W$815</f>
        <v>1457062.5378999999</v>
      </c>
      <c r="AD815" s="4">
        <f>$O$815*$X$815</f>
        <v>0</v>
      </c>
      <c r="AE815" s="4">
        <f>$K$815*$Y$815</f>
        <v>0</v>
      </c>
      <c r="AF815" s="4">
        <f ca="1">$M$815*$Z$815</f>
        <v>1755328.8863388684</v>
      </c>
      <c r="AG815" s="4">
        <f>$O$815*$AA$815</f>
        <v>0</v>
      </c>
    </row>
    <row r="816" spans="1:33" ht="11.25" customHeight="1" x14ac:dyDescent="0.25">
      <c r="A816" s="3" t="s">
        <v>56</v>
      </c>
      <c r="B816" s="3" t="s">
        <v>33</v>
      </c>
      <c r="C816" s="3" t="s">
        <v>34</v>
      </c>
      <c r="D816" s="3" t="s">
        <v>40</v>
      </c>
      <c r="E816" s="3" t="s">
        <v>25</v>
      </c>
      <c r="F816" s="3" t="s">
        <v>60</v>
      </c>
      <c r="G816" s="3" t="s">
        <v>25</v>
      </c>
      <c r="H816" s="3" t="s">
        <v>36</v>
      </c>
      <c r="I816" s="6">
        <v>44652</v>
      </c>
      <c r="J816" s="4">
        <v>0</v>
      </c>
      <c r="K816" s="4">
        <v>0</v>
      </c>
      <c r="L816" s="4">
        <v>14927.39</v>
      </c>
      <c r="M816" s="4">
        <v>14927.39</v>
      </c>
      <c r="N816" s="4">
        <v>0</v>
      </c>
      <c r="O816" s="4">
        <v>0</v>
      </c>
      <c r="P816" s="4">
        <v>0</v>
      </c>
      <c r="Q816" s="3" t="s">
        <v>57</v>
      </c>
      <c r="R816" s="3">
        <v>0</v>
      </c>
      <c r="S816" s="4">
        <v>0</v>
      </c>
      <c r="T816" s="4">
        <v>29</v>
      </c>
      <c r="U816" s="4">
        <v>0</v>
      </c>
      <c r="V816" s="4">
        <f>IF(ISERROR(VLOOKUP($S$816,'TAR FIN'!$A$1:$O$99,15,0)),0,VLOOKUP($S$816,'TAR FIN'!$A$1:$O$99,15,0))</f>
        <v>0</v>
      </c>
      <c r="W816" s="4">
        <f>IF(ISERROR(VLOOKUP($T$816,'TAR FIN'!$A$1:$O$99,15,0)),0,VLOOKUP($T$816,'TAR FIN'!$A$1:$O$99,15,0))</f>
        <v>97.61</v>
      </c>
      <c r="X816" s="4">
        <f>IF(ISERROR(VLOOKUP($U$816,'TAR FIN'!$A$1:$O$99,15,0)),0,VLOOKUP($U$816,'TAR FIN'!$A$1:$O$99,15,0))</f>
        <v>0</v>
      </c>
      <c r="Y816" s="4"/>
      <c r="Z816" s="4">
        <f ca="1">('TUSD BE'!$AM$23+'TUSD BF'!$AM$23+'TUSD CVA'!$AM$23)*1</f>
        <v>117.59114529324071</v>
      </c>
      <c r="AA816" s="4"/>
      <c r="AB816" s="4">
        <f>$K$816*$V$816</f>
        <v>0</v>
      </c>
      <c r="AC816" s="4">
        <f>$M$816*$W$816</f>
        <v>1457062.5378999999</v>
      </c>
      <c r="AD816" s="4">
        <f>$O$816*$X$816</f>
        <v>0</v>
      </c>
      <c r="AE816" s="4">
        <f>$K$816*$Y$816</f>
        <v>0</v>
      </c>
      <c r="AF816" s="4">
        <f ca="1">$M$816*$Z$816</f>
        <v>1755328.8863388684</v>
      </c>
      <c r="AG816" s="4">
        <f>$O$816*$AA$816</f>
        <v>0</v>
      </c>
    </row>
    <row r="817" spans="1:33" ht="11.25" customHeight="1" x14ac:dyDescent="0.25">
      <c r="A817" s="3" t="s">
        <v>21</v>
      </c>
      <c r="B817" s="3" t="s">
        <v>33</v>
      </c>
      <c r="C817" s="3" t="s">
        <v>34</v>
      </c>
      <c r="D817" s="3" t="s">
        <v>40</v>
      </c>
      <c r="E817" s="3" t="s">
        <v>25</v>
      </c>
      <c r="F817" s="3" t="s">
        <v>60</v>
      </c>
      <c r="G817" s="3" t="s">
        <v>25</v>
      </c>
      <c r="H817" s="3" t="s">
        <v>25</v>
      </c>
      <c r="I817" s="6">
        <v>44317</v>
      </c>
      <c r="J817" s="4">
        <v>49067</v>
      </c>
      <c r="K817" s="4">
        <v>20699.682339219999</v>
      </c>
      <c r="L817" s="4">
        <v>0</v>
      </c>
      <c r="M817" s="4">
        <v>0</v>
      </c>
      <c r="N817" s="4">
        <v>0</v>
      </c>
      <c r="O817" s="4">
        <v>0</v>
      </c>
      <c r="P817" s="4">
        <v>67</v>
      </c>
      <c r="Q817" s="3" t="s">
        <v>57</v>
      </c>
      <c r="R817" s="3">
        <v>0</v>
      </c>
      <c r="S817" s="4">
        <v>7</v>
      </c>
      <c r="T817" s="4">
        <v>0</v>
      </c>
      <c r="U817" s="4">
        <v>0</v>
      </c>
      <c r="V817" s="4">
        <f>IF(ISERROR(VLOOKUP($S$817,'TAR FIN'!$A$1:$O$99,15,0)),0,VLOOKUP($S$817,'TAR FIN'!$A$1:$O$99,15,0))</f>
        <v>21.85</v>
      </c>
      <c r="W817" s="4">
        <f>IF(ISERROR(VLOOKUP($T$817,'TAR FIN'!$A$1:$O$99,15,0)),0,VLOOKUP($T$817,'TAR FIN'!$A$1:$O$99,15,0))</f>
        <v>0</v>
      </c>
      <c r="X817" s="4">
        <f>IF(ISERROR(VLOOKUP($U$817,'TAR FIN'!$A$1:$O$99,15,0)),0,VLOOKUP($U$817,'TAR FIN'!$A$1:$O$99,15,0))</f>
        <v>0</v>
      </c>
      <c r="Y817" s="4">
        <f ca="1">('TUSD BE'!$AM$21+'TUSD BF'!$AM$21+'TUSD CVA'!$AM$21)*1</f>
        <v>24.669398821277586</v>
      </c>
      <c r="Z817" s="4"/>
      <c r="AA817" s="4"/>
      <c r="AB817" s="4">
        <f>$K$817*$V$817</f>
        <v>452288.05911195697</v>
      </c>
      <c r="AC817" s="4">
        <f>$M$817*$W$817</f>
        <v>0</v>
      </c>
      <c r="AD817" s="4">
        <f>$O$817*$X$817</f>
        <v>0</v>
      </c>
      <c r="AE817" s="4">
        <f ca="1">$K$817*$Y$817</f>
        <v>510648.71909997432</v>
      </c>
      <c r="AF817" s="4">
        <f>$M$817*$Z$817</f>
        <v>0</v>
      </c>
      <c r="AG817" s="4">
        <f>$O$817*$AA$817</f>
        <v>0</v>
      </c>
    </row>
    <row r="818" spans="1:33" ht="11.25" customHeight="1" x14ac:dyDescent="0.25">
      <c r="A818" s="3" t="s">
        <v>21</v>
      </c>
      <c r="B818" s="3" t="s">
        <v>33</v>
      </c>
      <c r="C818" s="3" t="s">
        <v>34</v>
      </c>
      <c r="D818" s="3" t="s">
        <v>40</v>
      </c>
      <c r="E818" s="3" t="s">
        <v>25</v>
      </c>
      <c r="F818" s="3" t="s">
        <v>60</v>
      </c>
      <c r="G818" s="3" t="s">
        <v>25</v>
      </c>
      <c r="H818" s="3" t="s">
        <v>25</v>
      </c>
      <c r="I818" s="6">
        <v>44348</v>
      </c>
      <c r="J818" s="4">
        <v>50965</v>
      </c>
      <c r="K818" s="4">
        <v>22850.187309699999</v>
      </c>
      <c r="L818" s="4">
        <v>0</v>
      </c>
      <c r="M818" s="4">
        <v>0</v>
      </c>
      <c r="N818" s="4">
        <v>0</v>
      </c>
      <c r="O818" s="4">
        <v>0</v>
      </c>
      <c r="P818" s="4">
        <v>67</v>
      </c>
      <c r="Q818" s="3" t="s">
        <v>57</v>
      </c>
      <c r="R818" s="3">
        <v>0</v>
      </c>
      <c r="S818" s="4">
        <v>7</v>
      </c>
      <c r="T818" s="4">
        <v>0</v>
      </c>
      <c r="U818" s="4">
        <v>0</v>
      </c>
      <c r="V818" s="4">
        <f>IF(ISERROR(VLOOKUP($S$818,'TAR FIN'!$A$1:$O$99,15,0)),0,VLOOKUP($S$818,'TAR FIN'!$A$1:$O$99,15,0))</f>
        <v>21.85</v>
      </c>
      <c r="W818" s="4">
        <f>IF(ISERROR(VLOOKUP($T$818,'TAR FIN'!$A$1:$O$99,15,0)),0,VLOOKUP($T$818,'TAR FIN'!$A$1:$O$99,15,0))</f>
        <v>0</v>
      </c>
      <c r="X818" s="4">
        <f>IF(ISERROR(VLOOKUP($U$818,'TAR FIN'!$A$1:$O$99,15,0)),0,VLOOKUP($U$818,'TAR FIN'!$A$1:$O$99,15,0))</f>
        <v>0</v>
      </c>
      <c r="Y818" s="4">
        <f ca="1">('TUSD BE'!$AM$21+'TUSD BF'!$AM$21+'TUSD CVA'!$AM$21)*1</f>
        <v>24.669398821277586</v>
      </c>
      <c r="Z818" s="4"/>
      <c r="AA818" s="4"/>
      <c r="AB818" s="4">
        <f>$K$818*$V$818</f>
        <v>499276.59271694499</v>
      </c>
      <c r="AC818" s="4">
        <f>$M$818*$W$818</f>
        <v>0</v>
      </c>
      <c r="AD818" s="4">
        <f>$O$818*$X$818</f>
        <v>0</v>
      </c>
      <c r="AE818" s="4">
        <f ca="1">$K$818*$Y$818</f>
        <v>563700.38388388522</v>
      </c>
      <c r="AF818" s="4">
        <f>$M$818*$Z$818</f>
        <v>0</v>
      </c>
      <c r="AG818" s="4">
        <f>$O$818*$AA$818</f>
        <v>0</v>
      </c>
    </row>
    <row r="819" spans="1:33" ht="11.25" customHeight="1" x14ac:dyDescent="0.25">
      <c r="A819" s="3" t="s">
        <v>21</v>
      </c>
      <c r="B819" s="3" t="s">
        <v>33</v>
      </c>
      <c r="C819" s="3" t="s">
        <v>34</v>
      </c>
      <c r="D819" s="3" t="s">
        <v>40</v>
      </c>
      <c r="E819" s="3" t="s">
        <v>25</v>
      </c>
      <c r="F819" s="3" t="s">
        <v>60</v>
      </c>
      <c r="G819" s="3" t="s">
        <v>25</v>
      </c>
      <c r="H819" s="3" t="s">
        <v>25</v>
      </c>
      <c r="I819" s="6">
        <v>44378</v>
      </c>
      <c r="J819" s="4">
        <v>49044</v>
      </c>
      <c r="K819" s="4">
        <v>21385.2585612</v>
      </c>
      <c r="L819" s="4">
        <v>0</v>
      </c>
      <c r="M819" s="4">
        <v>0</v>
      </c>
      <c r="N819" s="4">
        <v>0</v>
      </c>
      <c r="O819" s="4">
        <v>0</v>
      </c>
      <c r="P819" s="4">
        <v>67</v>
      </c>
      <c r="Q819" s="3" t="s">
        <v>57</v>
      </c>
      <c r="R819" s="3">
        <v>0</v>
      </c>
      <c r="S819" s="4">
        <v>7</v>
      </c>
      <c r="T819" s="4">
        <v>0</v>
      </c>
      <c r="U819" s="4">
        <v>0</v>
      </c>
      <c r="V819" s="4">
        <f>IF(ISERROR(VLOOKUP($S$819,'TAR FIN'!$A$1:$O$99,15,0)),0,VLOOKUP($S$819,'TAR FIN'!$A$1:$O$99,15,0))</f>
        <v>21.85</v>
      </c>
      <c r="W819" s="4">
        <f>IF(ISERROR(VLOOKUP($T$819,'TAR FIN'!$A$1:$O$99,15,0)),0,VLOOKUP($T$819,'TAR FIN'!$A$1:$O$99,15,0))</f>
        <v>0</v>
      </c>
      <c r="X819" s="4">
        <f>IF(ISERROR(VLOOKUP($U$819,'TAR FIN'!$A$1:$O$99,15,0)),0,VLOOKUP($U$819,'TAR FIN'!$A$1:$O$99,15,0))</f>
        <v>0</v>
      </c>
      <c r="Y819" s="4">
        <f ca="1">('TUSD BE'!$AM$21+'TUSD BF'!$AM$21+'TUSD CVA'!$AM$21)*1</f>
        <v>24.669398821277586</v>
      </c>
      <c r="Z819" s="4"/>
      <c r="AA819" s="4"/>
      <c r="AB819" s="4">
        <f>$K$819*$V$819</f>
        <v>467267.89956222003</v>
      </c>
      <c r="AC819" s="4">
        <f>$M$819*$W$819</f>
        <v>0</v>
      </c>
      <c r="AD819" s="4">
        <f>$O$819*$X$819</f>
        <v>0</v>
      </c>
      <c r="AE819" s="4">
        <f ca="1">$K$819*$Y$819</f>
        <v>527561.4723423837</v>
      </c>
      <c r="AF819" s="4">
        <f>$M$819*$Z$819</f>
        <v>0</v>
      </c>
      <c r="AG819" s="4">
        <f>$O$819*$AA$819</f>
        <v>0</v>
      </c>
    </row>
    <row r="820" spans="1:33" ht="11.25" customHeight="1" x14ac:dyDescent="0.25">
      <c r="A820" s="3" t="s">
        <v>21</v>
      </c>
      <c r="B820" s="3" t="s">
        <v>33</v>
      </c>
      <c r="C820" s="3" t="s">
        <v>34</v>
      </c>
      <c r="D820" s="3" t="s">
        <v>40</v>
      </c>
      <c r="E820" s="3" t="s">
        <v>25</v>
      </c>
      <c r="F820" s="3" t="s">
        <v>60</v>
      </c>
      <c r="G820" s="3" t="s">
        <v>25</v>
      </c>
      <c r="H820" s="3" t="s">
        <v>25</v>
      </c>
      <c r="I820" s="6">
        <v>44409</v>
      </c>
      <c r="J820" s="4">
        <v>48218</v>
      </c>
      <c r="K820" s="4">
        <v>22244.500107659998</v>
      </c>
      <c r="L820" s="4">
        <v>0</v>
      </c>
      <c r="M820" s="4">
        <v>0</v>
      </c>
      <c r="N820" s="4">
        <v>0</v>
      </c>
      <c r="O820" s="4">
        <v>0</v>
      </c>
      <c r="P820" s="4">
        <v>69</v>
      </c>
      <c r="Q820" s="3" t="s">
        <v>57</v>
      </c>
      <c r="R820" s="3">
        <v>0</v>
      </c>
      <c r="S820" s="4">
        <v>7</v>
      </c>
      <c r="T820" s="4">
        <v>0</v>
      </c>
      <c r="U820" s="4">
        <v>0</v>
      </c>
      <c r="V820" s="4">
        <f>IF(ISERROR(VLOOKUP($S$820,'TAR FIN'!$A$1:$O$99,15,0)),0,VLOOKUP($S$820,'TAR FIN'!$A$1:$O$99,15,0))</f>
        <v>21.85</v>
      </c>
      <c r="W820" s="4">
        <f>IF(ISERROR(VLOOKUP($T$820,'TAR FIN'!$A$1:$O$99,15,0)),0,VLOOKUP($T$820,'TAR FIN'!$A$1:$O$99,15,0))</f>
        <v>0</v>
      </c>
      <c r="X820" s="4">
        <f>IF(ISERROR(VLOOKUP($U$820,'TAR FIN'!$A$1:$O$99,15,0)),0,VLOOKUP($U$820,'TAR FIN'!$A$1:$O$99,15,0))</f>
        <v>0</v>
      </c>
      <c r="Y820" s="4">
        <f ca="1">('TUSD BE'!$AM$21+'TUSD BF'!$AM$21+'TUSD CVA'!$AM$21)*1</f>
        <v>24.669398821277586</v>
      </c>
      <c r="Z820" s="4"/>
      <c r="AA820" s="4"/>
      <c r="AB820" s="4">
        <f>$K$820*$V$820</f>
        <v>486042.32735237101</v>
      </c>
      <c r="AC820" s="4">
        <f>$M$820*$W$820</f>
        <v>0</v>
      </c>
      <c r="AD820" s="4">
        <f>$O$820*$X$820</f>
        <v>0</v>
      </c>
      <c r="AE820" s="4">
        <f ca="1">$K$820*$Y$820</f>
        <v>548758.44473581668</v>
      </c>
      <c r="AF820" s="4">
        <f>$M$820*$Z$820</f>
        <v>0</v>
      </c>
      <c r="AG820" s="4">
        <f>$O$820*$AA$820</f>
        <v>0</v>
      </c>
    </row>
    <row r="821" spans="1:33" ht="11.25" customHeight="1" x14ac:dyDescent="0.25">
      <c r="A821" s="3" t="s">
        <v>21</v>
      </c>
      <c r="B821" s="3" t="s">
        <v>33</v>
      </c>
      <c r="C821" s="3" t="s">
        <v>34</v>
      </c>
      <c r="D821" s="3" t="s">
        <v>40</v>
      </c>
      <c r="E821" s="3" t="s">
        <v>25</v>
      </c>
      <c r="F821" s="3" t="s">
        <v>60</v>
      </c>
      <c r="G821" s="3" t="s">
        <v>25</v>
      </c>
      <c r="H821" s="3" t="s">
        <v>25</v>
      </c>
      <c r="I821" s="6">
        <v>44440</v>
      </c>
      <c r="J821" s="4">
        <v>47981</v>
      </c>
      <c r="K821" s="4">
        <v>22125.615755660001</v>
      </c>
      <c r="L821" s="4">
        <v>0</v>
      </c>
      <c r="M821" s="4">
        <v>0</v>
      </c>
      <c r="N821" s="4">
        <v>0</v>
      </c>
      <c r="O821" s="4">
        <v>0</v>
      </c>
      <c r="P821" s="4">
        <v>71</v>
      </c>
      <c r="Q821" s="3" t="s">
        <v>57</v>
      </c>
      <c r="R821" s="3">
        <v>0</v>
      </c>
      <c r="S821" s="4">
        <v>7</v>
      </c>
      <c r="T821" s="4">
        <v>0</v>
      </c>
      <c r="U821" s="4">
        <v>0</v>
      </c>
      <c r="V821" s="4">
        <f>IF(ISERROR(VLOOKUP($S$821,'TAR FIN'!$A$1:$O$99,15,0)),0,VLOOKUP($S$821,'TAR FIN'!$A$1:$O$99,15,0))</f>
        <v>21.85</v>
      </c>
      <c r="W821" s="4">
        <f>IF(ISERROR(VLOOKUP($T$821,'TAR FIN'!$A$1:$O$99,15,0)),0,VLOOKUP($T$821,'TAR FIN'!$A$1:$O$99,15,0))</f>
        <v>0</v>
      </c>
      <c r="X821" s="4">
        <f>IF(ISERROR(VLOOKUP($U$821,'TAR FIN'!$A$1:$O$99,15,0)),0,VLOOKUP($U$821,'TAR FIN'!$A$1:$O$99,15,0))</f>
        <v>0</v>
      </c>
      <c r="Y821" s="4">
        <f ca="1">('TUSD BE'!$AM$21+'TUSD BF'!$AM$21+'TUSD CVA'!$AM$21)*1</f>
        <v>24.669398821277586</v>
      </c>
      <c r="Z821" s="4"/>
      <c r="AA821" s="4"/>
      <c r="AB821" s="4">
        <f>$K$821*$V$821</f>
        <v>483444.70426117105</v>
      </c>
      <c r="AC821" s="4">
        <f>$M$821*$W$821</f>
        <v>0</v>
      </c>
      <c r="AD821" s="4">
        <f>$O$821*$X$821</f>
        <v>0</v>
      </c>
      <c r="AE821" s="4">
        <f ca="1">$K$821*$Y$821</f>
        <v>545825.63924271963</v>
      </c>
      <c r="AF821" s="4">
        <f>$M$821*$Z$821</f>
        <v>0</v>
      </c>
      <c r="AG821" s="4">
        <f>$O$821*$AA$821</f>
        <v>0</v>
      </c>
    </row>
    <row r="822" spans="1:33" ht="11.25" customHeight="1" x14ac:dyDescent="0.25">
      <c r="A822" s="3" t="s">
        <v>21</v>
      </c>
      <c r="B822" s="3" t="s">
        <v>33</v>
      </c>
      <c r="C822" s="3" t="s">
        <v>34</v>
      </c>
      <c r="D822" s="3" t="s">
        <v>40</v>
      </c>
      <c r="E822" s="3" t="s">
        <v>25</v>
      </c>
      <c r="F822" s="3" t="s">
        <v>60</v>
      </c>
      <c r="G822" s="3" t="s">
        <v>25</v>
      </c>
      <c r="H822" s="3" t="s">
        <v>25</v>
      </c>
      <c r="I822" s="6">
        <v>44470</v>
      </c>
      <c r="J822" s="4">
        <v>51474</v>
      </c>
      <c r="K822" s="4">
        <v>23885.087473380001</v>
      </c>
      <c r="L822" s="4">
        <v>0</v>
      </c>
      <c r="M822" s="4">
        <v>0</v>
      </c>
      <c r="N822" s="4">
        <v>0</v>
      </c>
      <c r="O822" s="4">
        <v>0</v>
      </c>
      <c r="P822" s="4">
        <v>72</v>
      </c>
      <c r="Q822" s="3" t="s">
        <v>57</v>
      </c>
      <c r="R822" s="3">
        <v>0</v>
      </c>
      <c r="S822" s="4">
        <v>7</v>
      </c>
      <c r="T822" s="4">
        <v>0</v>
      </c>
      <c r="U822" s="4">
        <v>0</v>
      </c>
      <c r="V822" s="4">
        <f>IF(ISERROR(VLOOKUP($S$822,'TAR FIN'!$A$1:$O$99,15,0)),0,VLOOKUP($S$822,'TAR FIN'!$A$1:$O$99,15,0))</f>
        <v>21.85</v>
      </c>
      <c r="W822" s="4">
        <f>IF(ISERROR(VLOOKUP($T$822,'TAR FIN'!$A$1:$O$99,15,0)),0,VLOOKUP($T$822,'TAR FIN'!$A$1:$O$99,15,0))</f>
        <v>0</v>
      </c>
      <c r="X822" s="4">
        <f>IF(ISERROR(VLOOKUP($U$822,'TAR FIN'!$A$1:$O$99,15,0)),0,VLOOKUP($U$822,'TAR FIN'!$A$1:$O$99,15,0))</f>
        <v>0</v>
      </c>
      <c r="Y822" s="4">
        <f ca="1">('TUSD BE'!$AM$21+'TUSD BF'!$AM$21+'TUSD CVA'!$AM$21)*1</f>
        <v>24.669398821277586</v>
      </c>
      <c r="Z822" s="4"/>
      <c r="AA822" s="4"/>
      <c r="AB822" s="4">
        <f>$K$822*$V$822</f>
        <v>521889.16129335307</v>
      </c>
      <c r="AC822" s="4">
        <f>$M$822*$W$822</f>
        <v>0</v>
      </c>
      <c r="AD822" s="4">
        <f>$O$822*$X$822</f>
        <v>0</v>
      </c>
      <c r="AE822" s="4">
        <f ca="1">$K$822*$Y$822</f>
        <v>589230.74876191257</v>
      </c>
      <c r="AF822" s="4">
        <f>$M$822*$Z$822</f>
        <v>0</v>
      </c>
      <c r="AG822" s="4">
        <f>$O$822*$AA$822</f>
        <v>0</v>
      </c>
    </row>
    <row r="823" spans="1:33" ht="11.25" customHeight="1" x14ac:dyDescent="0.25">
      <c r="A823" s="3" t="s">
        <v>21</v>
      </c>
      <c r="B823" s="3" t="s">
        <v>33</v>
      </c>
      <c r="C823" s="3" t="s">
        <v>34</v>
      </c>
      <c r="D823" s="3" t="s">
        <v>40</v>
      </c>
      <c r="E823" s="3" t="s">
        <v>25</v>
      </c>
      <c r="F823" s="3" t="s">
        <v>60</v>
      </c>
      <c r="G823" s="3" t="s">
        <v>25</v>
      </c>
      <c r="H823" s="3" t="s">
        <v>25</v>
      </c>
      <c r="I823" s="6">
        <v>44501</v>
      </c>
      <c r="J823" s="4">
        <v>52635</v>
      </c>
      <c r="K823" s="4">
        <v>24452.999867999999</v>
      </c>
      <c r="L823" s="4">
        <v>0</v>
      </c>
      <c r="M823" s="4">
        <v>0</v>
      </c>
      <c r="N823" s="4">
        <v>0</v>
      </c>
      <c r="O823" s="4">
        <v>0</v>
      </c>
      <c r="P823" s="4">
        <v>77</v>
      </c>
      <c r="Q823" s="3" t="s">
        <v>57</v>
      </c>
      <c r="R823" s="3">
        <v>0</v>
      </c>
      <c r="S823" s="4">
        <v>7</v>
      </c>
      <c r="T823" s="4">
        <v>0</v>
      </c>
      <c r="U823" s="4">
        <v>0</v>
      </c>
      <c r="V823" s="4">
        <f>IF(ISERROR(VLOOKUP($S$823,'TAR FIN'!$A$1:$O$99,15,0)),0,VLOOKUP($S$823,'TAR FIN'!$A$1:$O$99,15,0))</f>
        <v>21.85</v>
      </c>
      <c r="W823" s="4">
        <f>IF(ISERROR(VLOOKUP($T$823,'TAR FIN'!$A$1:$O$99,15,0)),0,VLOOKUP($T$823,'TAR FIN'!$A$1:$O$99,15,0))</f>
        <v>0</v>
      </c>
      <c r="X823" s="4">
        <f>IF(ISERROR(VLOOKUP($U$823,'TAR FIN'!$A$1:$O$99,15,0)),0,VLOOKUP($U$823,'TAR FIN'!$A$1:$O$99,15,0))</f>
        <v>0</v>
      </c>
      <c r="Y823" s="4">
        <f ca="1">('TUSD BE'!$AM$21+'TUSD BF'!$AM$21+'TUSD CVA'!$AM$21)*1</f>
        <v>24.669398821277586</v>
      </c>
      <c r="Z823" s="4"/>
      <c r="AA823" s="4"/>
      <c r="AB823" s="4">
        <f>$K$823*$V$823</f>
        <v>534298.04711579997</v>
      </c>
      <c r="AC823" s="4">
        <f>$M$823*$W$823</f>
        <v>0</v>
      </c>
      <c r="AD823" s="4">
        <f>$O$823*$X$823</f>
        <v>0</v>
      </c>
      <c r="AE823" s="4">
        <f ca="1">$K$823*$Y$823</f>
        <v>603240.80612034013</v>
      </c>
      <c r="AF823" s="4">
        <f>$M$823*$Z$823</f>
        <v>0</v>
      </c>
      <c r="AG823" s="4">
        <f>$O$823*$AA$823</f>
        <v>0</v>
      </c>
    </row>
    <row r="824" spans="1:33" ht="11.25" customHeight="1" x14ac:dyDescent="0.25">
      <c r="A824" s="3" t="s">
        <v>21</v>
      </c>
      <c r="B824" s="3" t="s">
        <v>33</v>
      </c>
      <c r="C824" s="3" t="s">
        <v>34</v>
      </c>
      <c r="D824" s="3" t="s">
        <v>40</v>
      </c>
      <c r="E824" s="3" t="s">
        <v>25</v>
      </c>
      <c r="F824" s="3" t="s">
        <v>60</v>
      </c>
      <c r="G824" s="3" t="s">
        <v>25</v>
      </c>
      <c r="H824" s="3" t="s">
        <v>25</v>
      </c>
      <c r="I824" s="6">
        <v>44531</v>
      </c>
      <c r="J824" s="4">
        <v>40712</v>
      </c>
      <c r="K824" s="4">
        <v>18287.499818560002</v>
      </c>
      <c r="L824" s="4">
        <v>0</v>
      </c>
      <c r="M824" s="4">
        <v>0</v>
      </c>
      <c r="N824" s="4">
        <v>0</v>
      </c>
      <c r="O824" s="4">
        <v>0</v>
      </c>
      <c r="P824" s="4">
        <v>82</v>
      </c>
      <c r="Q824" s="3" t="s">
        <v>57</v>
      </c>
      <c r="R824" s="3">
        <v>0</v>
      </c>
      <c r="S824" s="4">
        <v>7</v>
      </c>
      <c r="T824" s="4">
        <v>0</v>
      </c>
      <c r="U824" s="4">
        <v>0</v>
      </c>
      <c r="V824" s="4">
        <f>IF(ISERROR(VLOOKUP($S$824,'TAR FIN'!$A$1:$O$99,15,0)),0,VLOOKUP($S$824,'TAR FIN'!$A$1:$O$99,15,0))</f>
        <v>21.85</v>
      </c>
      <c r="W824" s="4">
        <f>IF(ISERROR(VLOOKUP($T$824,'TAR FIN'!$A$1:$O$99,15,0)),0,VLOOKUP($T$824,'TAR FIN'!$A$1:$O$99,15,0))</f>
        <v>0</v>
      </c>
      <c r="X824" s="4">
        <f>IF(ISERROR(VLOOKUP($U$824,'TAR FIN'!$A$1:$O$99,15,0)),0,VLOOKUP($U$824,'TAR FIN'!$A$1:$O$99,15,0))</f>
        <v>0</v>
      </c>
      <c r="Y824" s="4">
        <f ca="1">('TUSD BE'!$AM$21+'TUSD BF'!$AM$21+'TUSD CVA'!$AM$21)*1</f>
        <v>24.669398821277586</v>
      </c>
      <c r="Z824" s="4"/>
      <c r="AA824" s="4"/>
      <c r="AB824" s="4">
        <f>$K$824*$V$824</f>
        <v>399581.87103553605</v>
      </c>
      <c r="AC824" s="4">
        <f>$M$824*$W$824</f>
        <v>0</v>
      </c>
      <c r="AD824" s="4">
        <f>$O$824*$X$824</f>
        <v>0</v>
      </c>
      <c r="AE824" s="4">
        <f ca="1">$K$824*$Y$824</f>
        <v>451141.62646809814</v>
      </c>
      <c r="AF824" s="4">
        <f>$M$824*$Z$824</f>
        <v>0</v>
      </c>
      <c r="AG824" s="4">
        <f>$O$824*$AA$824</f>
        <v>0</v>
      </c>
    </row>
    <row r="825" spans="1:33" ht="11.25" customHeight="1" x14ac:dyDescent="0.25">
      <c r="A825" s="3" t="s">
        <v>21</v>
      </c>
      <c r="B825" s="3" t="s">
        <v>33</v>
      </c>
      <c r="C825" s="3" t="s">
        <v>34</v>
      </c>
      <c r="D825" s="3" t="s">
        <v>40</v>
      </c>
      <c r="E825" s="3" t="s">
        <v>25</v>
      </c>
      <c r="F825" s="3" t="s">
        <v>60</v>
      </c>
      <c r="G825" s="3" t="s">
        <v>25</v>
      </c>
      <c r="H825" s="3" t="s">
        <v>25</v>
      </c>
      <c r="I825" s="6">
        <v>44562</v>
      </c>
      <c r="J825" s="4">
        <v>47400</v>
      </c>
      <c r="K825" s="4">
        <v>21628.500078000001</v>
      </c>
      <c r="L825" s="4">
        <v>0</v>
      </c>
      <c r="M825" s="4">
        <v>0</v>
      </c>
      <c r="N825" s="4">
        <v>0</v>
      </c>
      <c r="O825" s="4">
        <v>0</v>
      </c>
      <c r="P825" s="4">
        <v>80</v>
      </c>
      <c r="Q825" s="3" t="s">
        <v>57</v>
      </c>
      <c r="R825" s="3">
        <v>0</v>
      </c>
      <c r="S825" s="4">
        <v>7</v>
      </c>
      <c r="T825" s="4">
        <v>0</v>
      </c>
      <c r="U825" s="4">
        <v>0</v>
      </c>
      <c r="V825" s="4">
        <f>IF(ISERROR(VLOOKUP($S$825,'TAR FIN'!$A$1:$O$99,15,0)),0,VLOOKUP($S$825,'TAR FIN'!$A$1:$O$99,15,0))</f>
        <v>21.85</v>
      </c>
      <c r="W825" s="4">
        <f>IF(ISERROR(VLOOKUP($T$825,'TAR FIN'!$A$1:$O$99,15,0)),0,VLOOKUP($T$825,'TAR FIN'!$A$1:$O$99,15,0))</f>
        <v>0</v>
      </c>
      <c r="X825" s="4">
        <f>IF(ISERROR(VLOOKUP($U$825,'TAR FIN'!$A$1:$O$99,15,0)),0,VLOOKUP($U$825,'TAR FIN'!$A$1:$O$99,15,0))</f>
        <v>0</v>
      </c>
      <c r="Y825" s="4">
        <f ca="1">('TUSD BE'!$AM$21+'TUSD BF'!$AM$21+'TUSD CVA'!$AM$21)*1</f>
        <v>24.669398821277586</v>
      </c>
      <c r="Z825" s="4"/>
      <c r="AA825" s="4"/>
      <c r="AB825" s="4">
        <f>$K$825*$V$825</f>
        <v>472582.72670430003</v>
      </c>
      <c r="AC825" s="4">
        <f>$M$825*$W$825</f>
        <v>0</v>
      </c>
      <c r="AD825" s="4">
        <f>$O$825*$X$825</f>
        <v>0</v>
      </c>
      <c r="AE825" s="4">
        <f ca="1">$K$825*$Y$825</f>
        <v>533562.09433021536</v>
      </c>
      <c r="AF825" s="4">
        <f>$M$825*$Z$825</f>
        <v>0</v>
      </c>
      <c r="AG825" s="4">
        <f>$O$825*$AA$825</f>
        <v>0</v>
      </c>
    </row>
    <row r="826" spans="1:33" ht="11.25" customHeight="1" x14ac:dyDescent="0.25">
      <c r="A826" s="3" t="s">
        <v>21</v>
      </c>
      <c r="B826" s="3" t="s">
        <v>33</v>
      </c>
      <c r="C826" s="3" t="s">
        <v>34</v>
      </c>
      <c r="D826" s="3" t="s">
        <v>40</v>
      </c>
      <c r="E826" s="3" t="s">
        <v>25</v>
      </c>
      <c r="F826" s="3" t="s">
        <v>60</v>
      </c>
      <c r="G826" s="3" t="s">
        <v>25</v>
      </c>
      <c r="H826" s="3" t="s">
        <v>25</v>
      </c>
      <c r="I826" s="6">
        <v>44593</v>
      </c>
      <c r="J826" s="4">
        <v>47541</v>
      </c>
      <c r="K826" s="4">
        <v>21905.743734029998</v>
      </c>
      <c r="L826" s="4">
        <v>0</v>
      </c>
      <c r="M826" s="4">
        <v>0</v>
      </c>
      <c r="N826" s="4">
        <v>0</v>
      </c>
      <c r="O826" s="4">
        <v>0</v>
      </c>
      <c r="P826" s="4">
        <v>79</v>
      </c>
      <c r="Q826" s="3" t="s">
        <v>57</v>
      </c>
      <c r="R826" s="3">
        <v>0</v>
      </c>
      <c r="S826" s="4">
        <v>7</v>
      </c>
      <c r="T826" s="4">
        <v>0</v>
      </c>
      <c r="U826" s="4">
        <v>0</v>
      </c>
      <c r="V826" s="4">
        <f>IF(ISERROR(VLOOKUP($S$826,'TAR FIN'!$A$1:$O$99,15,0)),0,VLOOKUP($S$826,'TAR FIN'!$A$1:$O$99,15,0))</f>
        <v>21.85</v>
      </c>
      <c r="W826" s="4">
        <f>IF(ISERROR(VLOOKUP($T$826,'TAR FIN'!$A$1:$O$99,15,0)),0,VLOOKUP($T$826,'TAR FIN'!$A$1:$O$99,15,0))</f>
        <v>0</v>
      </c>
      <c r="X826" s="4">
        <f>IF(ISERROR(VLOOKUP($U$826,'TAR FIN'!$A$1:$O$99,15,0)),0,VLOOKUP($U$826,'TAR FIN'!$A$1:$O$99,15,0))</f>
        <v>0</v>
      </c>
      <c r="Y826" s="4">
        <f ca="1">('TUSD BE'!$AM$21+'TUSD BF'!$AM$21+'TUSD CVA'!$AM$21)*1</f>
        <v>24.669398821277586</v>
      </c>
      <c r="Z826" s="4"/>
      <c r="AA826" s="4"/>
      <c r="AB826" s="4">
        <f>$K$826*$V$826</f>
        <v>478640.50058855547</v>
      </c>
      <c r="AC826" s="4">
        <f>$M$826*$W$826</f>
        <v>0</v>
      </c>
      <c r="AD826" s="4">
        <f>$O$826*$X$826</f>
        <v>0</v>
      </c>
      <c r="AE826" s="4">
        <f ca="1">$K$826*$Y$826</f>
        <v>540401.52865148848</v>
      </c>
      <c r="AF826" s="4">
        <f>$M$826*$Z$826</f>
        <v>0</v>
      </c>
      <c r="AG826" s="4">
        <f>$O$826*$AA$826</f>
        <v>0</v>
      </c>
    </row>
    <row r="827" spans="1:33" ht="11.25" customHeight="1" x14ac:dyDescent="0.25">
      <c r="A827" s="3" t="s">
        <v>21</v>
      </c>
      <c r="B827" s="3" t="s">
        <v>33</v>
      </c>
      <c r="C827" s="3" t="s">
        <v>34</v>
      </c>
      <c r="D827" s="3" t="s">
        <v>40</v>
      </c>
      <c r="E827" s="3" t="s">
        <v>25</v>
      </c>
      <c r="F827" s="3" t="s">
        <v>60</v>
      </c>
      <c r="G827" s="3" t="s">
        <v>25</v>
      </c>
      <c r="H827" s="3" t="s">
        <v>25</v>
      </c>
      <c r="I827" s="6">
        <v>44621</v>
      </c>
      <c r="J827" s="4">
        <v>48504</v>
      </c>
      <c r="K827" s="4">
        <v>22445.500047599999</v>
      </c>
      <c r="L827" s="4">
        <v>0</v>
      </c>
      <c r="M827" s="4">
        <v>0</v>
      </c>
      <c r="N827" s="4">
        <v>0</v>
      </c>
      <c r="O827" s="4">
        <v>0</v>
      </c>
      <c r="P827" s="4">
        <v>82</v>
      </c>
      <c r="Q827" s="3" t="s">
        <v>57</v>
      </c>
      <c r="R827" s="3">
        <v>0</v>
      </c>
      <c r="S827" s="4">
        <v>7</v>
      </c>
      <c r="T827" s="4">
        <v>0</v>
      </c>
      <c r="U827" s="4">
        <v>0</v>
      </c>
      <c r="V827" s="4">
        <f>IF(ISERROR(VLOOKUP($S$827,'TAR FIN'!$A$1:$O$99,15,0)),0,VLOOKUP($S$827,'TAR FIN'!$A$1:$O$99,15,0))</f>
        <v>21.85</v>
      </c>
      <c r="W827" s="4">
        <f>IF(ISERROR(VLOOKUP($T$827,'TAR FIN'!$A$1:$O$99,15,0)),0,VLOOKUP($T$827,'TAR FIN'!$A$1:$O$99,15,0))</f>
        <v>0</v>
      </c>
      <c r="X827" s="4">
        <f>IF(ISERROR(VLOOKUP($U$827,'TAR FIN'!$A$1:$O$99,15,0)),0,VLOOKUP($U$827,'TAR FIN'!$A$1:$O$99,15,0))</f>
        <v>0</v>
      </c>
      <c r="Y827" s="4">
        <f ca="1">('TUSD BE'!$AM$21+'TUSD BF'!$AM$21+'TUSD CVA'!$AM$21)*1</f>
        <v>24.669398821277586</v>
      </c>
      <c r="Z827" s="4"/>
      <c r="AA827" s="4"/>
      <c r="AB827" s="4">
        <f>$K$827*$V$827</f>
        <v>490434.17604006</v>
      </c>
      <c r="AC827" s="4">
        <f>$M$827*$W$827</f>
        <v>0</v>
      </c>
      <c r="AD827" s="4">
        <f>$O$827*$X$827</f>
        <v>0</v>
      </c>
      <c r="AE827" s="4">
        <f ca="1">$K$827*$Y$827</f>
        <v>553716.99241724936</v>
      </c>
      <c r="AF827" s="4">
        <f>$M$827*$Z$827</f>
        <v>0</v>
      </c>
      <c r="AG827" s="4">
        <f>$O$827*$AA$827</f>
        <v>0</v>
      </c>
    </row>
    <row r="828" spans="1:33" ht="11.25" customHeight="1" x14ac:dyDescent="0.25">
      <c r="A828" s="3" t="s">
        <v>56</v>
      </c>
      <c r="B828" s="3" t="s">
        <v>33</v>
      </c>
      <c r="C828" s="3" t="s">
        <v>34</v>
      </c>
      <c r="D828" s="3" t="s">
        <v>40</v>
      </c>
      <c r="E828" s="3" t="s">
        <v>25</v>
      </c>
      <c r="F828" s="3" t="s">
        <v>60</v>
      </c>
      <c r="G828" s="3" t="s">
        <v>25</v>
      </c>
      <c r="H828" s="3" t="s">
        <v>25</v>
      </c>
      <c r="I828" s="6">
        <v>44652</v>
      </c>
      <c r="J828" s="4">
        <v>48504</v>
      </c>
      <c r="K828" s="4">
        <v>22445.500047599999</v>
      </c>
      <c r="L828" s="4">
        <v>0</v>
      </c>
      <c r="M828" s="4">
        <v>0</v>
      </c>
      <c r="N828" s="4">
        <v>0</v>
      </c>
      <c r="O828" s="4">
        <v>0</v>
      </c>
      <c r="P828" s="4">
        <v>82</v>
      </c>
      <c r="Q828" s="3" t="s">
        <v>57</v>
      </c>
      <c r="R828" s="3">
        <v>0</v>
      </c>
      <c r="S828" s="4">
        <v>7</v>
      </c>
      <c r="T828" s="4">
        <v>0</v>
      </c>
      <c r="U828" s="4">
        <v>0</v>
      </c>
      <c r="V828" s="4">
        <f>IF(ISERROR(VLOOKUP($S$828,'TAR FIN'!$A$1:$O$99,15,0)),0,VLOOKUP($S$828,'TAR FIN'!$A$1:$O$99,15,0))</f>
        <v>21.85</v>
      </c>
      <c r="W828" s="4">
        <f>IF(ISERROR(VLOOKUP($T$828,'TAR FIN'!$A$1:$O$99,15,0)),0,VLOOKUP($T$828,'TAR FIN'!$A$1:$O$99,15,0))</f>
        <v>0</v>
      </c>
      <c r="X828" s="4">
        <f>IF(ISERROR(VLOOKUP($U$828,'TAR FIN'!$A$1:$O$99,15,0)),0,VLOOKUP($U$828,'TAR FIN'!$A$1:$O$99,15,0))</f>
        <v>0</v>
      </c>
      <c r="Y828" s="4">
        <f ca="1">('TUSD BE'!$AM$21+'TUSD BF'!$AM$21+'TUSD CVA'!$AM$21)*1</f>
        <v>24.669398821277586</v>
      </c>
      <c r="Z828" s="4"/>
      <c r="AA828" s="4"/>
      <c r="AB828" s="4">
        <f>$K$828*$V$828</f>
        <v>490434.17604006</v>
      </c>
      <c r="AC828" s="4">
        <f>$M$828*$W$828</f>
        <v>0</v>
      </c>
      <c r="AD828" s="4">
        <f>$O$828*$X$828</f>
        <v>0</v>
      </c>
      <c r="AE828" s="4">
        <f ca="1">$K$828*$Y$828</f>
        <v>553716.99241724936</v>
      </c>
      <c r="AF828" s="4">
        <f>$M$828*$Z$828</f>
        <v>0</v>
      </c>
      <c r="AG828" s="4">
        <f>$O$828*$AA$828</f>
        <v>0</v>
      </c>
    </row>
    <row r="829" spans="1:33" ht="11.25" customHeight="1" x14ac:dyDescent="0.25">
      <c r="A829" s="3" t="s">
        <v>21</v>
      </c>
      <c r="B829" s="3" t="s">
        <v>33</v>
      </c>
      <c r="C829" s="3" t="s">
        <v>34</v>
      </c>
      <c r="D829" s="3" t="s">
        <v>40</v>
      </c>
      <c r="E829" s="3" t="s">
        <v>25</v>
      </c>
      <c r="F829" s="3" t="s">
        <v>60</v>
      </c>
      <c r="G829" s="3" t="s">
        <v>25</v>
      </c>
      <c r="H829" s="3" t="s">
        <v>35</v>
      </c>
      <c r="I829" s="6">
        <v>44317</v>
      </c>
      <c r="J829" s="4">
        <v>0</v>
      </c>
      <c r="K829" s="4">
        <v>0</v>
      </c>
      <c r="L829" s="4">
        <v>1570.7380000000001</v>
      </c>
      <c r="M829" s="4">
        <v>749.07661158122005</v>
      </c>
      <c r="N829" s="4">
        <v>0</v>
      </c>
      <c r="O829" s="4">
        <v>0</v>
      </c>
      <c r="P829" s="4">
        <v>0</v>
      </c>
      <c r="Q829" s="3" t="s">
        <v>57</v>
      </c>
      <c r="R829" s="3">
        <v>0</v>
      </c>
      <c r="S829" s="4">
        <v>0</v>
      </c>
      <c r="T829" s="4">
        <v>8</v>
      </c>
      <c r="U829" s="4">
        <v>0</v>
      </c>
      <c r="V829" s="4">
        <f>IF(ISERROR(VLOOKUP($S$829,'TAR FIN'!$A$1:$O$99,15,0)),0,VLOOKUP($S$829,'TAR FIN'!$A$1:$O$99,15,0))</f>
        <v>0</v>
      </c>
      <c r="W829" s="4">
        <f>IF(ISERROR(VLOOKUP($T$829,'TAR FIN'!$A$1:$O$99,15,0)),0,VLOOKUP($T$829,'TAR FIN'!$A$1:$O$99,15,0))</f>
        <v>1557.74</v>
      </c>
      <c r="X829" s="4">
        <f>IF(ISERROR(VLOOKUP($U$829,'TAR FIN'!$A$1:$O$99,15,0)),0,VLOOKUP($U$829,'TAR FIN'!$A$1:$O$99,15,0))</f>
        <v>0</v>
      </c>
      <c r="Y829" s="4"/>
      <c r="Z829" s="4">
        <f ca="1">('TUSD BE'!$AM$22+'TUSD BF'!$AM$22+'TUSD CVA'!$AM$22)*1</f>
        <v>1799.131999651745</v>
      </c>
      <c r="AA829" s="4"/>
      <c r="AB829" s="4">
        <f>$K$829*$V$829</f>
        <v>0</v>
      </c>
      <c r="AC829" s="4">
        <f>$M$829*$W$829</f>
        <v>1166866.6009245298</v>
      </c>
      <c r="AD829" s="4">
        <f>$O$829*$X$829</f>
        <v>0</v>
      </c>
      <c r="AE829" s="4">
        <f>$K$829*$Y$829</f>
        <v>0</v>
      </c>
      <c r="AF829" s="4">
        <f ca="1">$M$829*$Z$829</f>
        <v>1347687.7020864738</v>
      </c>
      <c r="AG829" s="4">
        <f>$O$829*$AA$829</f>
        <v>0</v>
      </c>
    </row>
    <row r="830" spans="1:33" ht="11.25" customHeight="1" x14ac:dyDescent="0.25">
      <c r="A830" s="3" t="s">
        <v>21</v>
      </c>
      <c r="B830" s="3" t="s">
        <v>33</v>
      </c>
      <c r="C830" s="3" t="s">
        <v>34</v>
      </c>
      <c r="D830" s="3" t="s">
        <v>40</v>
      </c>
      <c r="E830" s="3" t="s">
        <v>25</v>
      </c>
      <c r="F830" s="3" t="s">
        <v>60</v>
      </c>
      <c r="G830" s="3" t="s">
        <v>25</v>
      </c>
      <c r="H830" s="3" t="s">
        <v>35</v>
      </c>
      <c r="I830" s="6">
        <v>44348</v>
      </c>
      <c r="J830" s="4">
        <v>0</v>
      </c>
      <c r="K830" s="4">
        <v>0</v>
      </c>
      <c r="L830" s="4">
        <v>1541.66</v>
      </c>
      <c r="M830" s="4">
        <v>765.59737471100004</v>
      </c>
      <c r="N830" s="4">
        <v>0</v>
      </c>
      <c r="O830" s="4">
        <v>0</v>
      </c>
      <c r="P830" s="4">
        <v>0</v>
      </c>
      <c r="Q830" s="3" t="s">
        <v>57</v>
      </c>
      <c r="R830" s="3">
        <v>0</v>
      </c>
      <c r="S830" s="4">
        <v>0</v>
      </c>
      <c r="T830" s="4">
        <v>8</v>
      </c>
      <c r="U830" s="4">
        <v>0</v>
      </c>
      <c r="V830" s="4">
        <f>IF(ISERROR(VLOOKUP($S$830,'TAR FIN'!$A$1:$O$99,15,0)),0,VLOOKUP($S$830,'TAR FIN'!$A$1:$O$99,15,0))</f>
        <v>0</v>
      </c>
      <c r="W830" s="4">
        <f>IF(ISERROR(VLOOKUP($T$830,'TAR FIN'!$A$1:$O$99,15,0)),0,VLOOKUP($T$830,'TAR FIN'!$A$1:$O$99,15,0))</f>
        <v>1557.74</v>
      </c>
      <c r="X830" s="4">
        <f>IF(ISERROR(VLOOKUP($U$830,'TAR FIN'!$A$1:$O$99,15,0)),0,VLOOKUP($U$830,'TAR FIN'!$A$1:$O$99,15,0))</f>
        <v>0</v>
      </c>
      <c r="Y830" s="4"/>
      <c r="Z830" s="4">
        <f ca="1">('TUSD BE'!$AM$22+'TUSD BF'!$AM$22+'TUSD CVA'!$AM$22)*1</f>
        <v>1799.131999651745</v>
      </c>
      <c r="AA830" s="4"/>
      <c r="AB830" s="4">
        <f>$K$830*$V$830</f>
        <v>0</v>
      </c>
      <c r="AC830" s="4">
        <f>$M$830*$W$830</f>
        <v>1192601.6544823132</v>
      </c>
      <c r="AD830" s="4">
        <f>$O$830*$X$830</f>
        <v>0</v>
      </c>
      <c r="AE830" s="4">
        <f>$K$830*$Y$830</f>
        <v>0</v>
      </c>
      <c r="AF830" s="4">
        <f ca="1">$M$830*$Z$830</f>
        <v>1377410.7356919278</v>
      </c>
      <c r="AG830" s="4">
        <f>$O$830*$AA$830</f>
        <v>0</v>
      </c>
    </row>
    <row r="831" spans="1:33" ht="11.25" customHeight="1" x14ac:dyDescent="0.25">
      <c r="A831" s="3" t="s">
        <v>21</v>
      </c>
      <c r="B831" s="3" t="s">
        <v>33</v>
      </c>
      <c r="C831" s="3" t="s">
        <v>34</v>
      </c>
      <c r="D831" s="3" t="s">
        <v>40</v>
      </c>
      <c r="E831" s="3" t="s">
        <v>25</v>
      </c>
      <c r="F831" s="3" t="s">
        <v>60</v>
      </c>
      <c r="G831" s="3" t="s">
        <v>25</v>
      </c>
      <c r="H831" s="3" t="s">
        <v>35</v>
      </c>
      <c r="I831" s="6">
        <v>44378</v>
      </c>
      <c r="J831" s="4">
        <v>0</v>
      </c>
      <c r="K831" s="4">
        <v>0</v>
      </c>
      <c r="L831" s="4">
        <v>1634.53</v>
      </c>
      <c r="M831" s="4">
        <v>806.4250585648</v>
      </c>
      <c r="N831" s="4">
        <v>0</v>
      </c>
      <c r="O831" s="4">
        <v>0</v>
      </c>
      <c r="P831" s="4">
        <v>0</v>
      </c>
      <c r="Q831" s="3" t="s">
        <v>57</v>
      </c>
      <c r="R831" s="3">
        <v>0</v>
      </c>
      <c r="S831" s="4">
        <v>0</v>
      </c>
      <c r="T831" s="4">
        <v>8</v>
      </c>
      <c r="U831" s="4">
        <v>0</v>
      </c>
      <c r="V831" s="4">
        <f>IF(ISERROR(VLOOKUP($S$831,'TAR FIN'!$A$1:$O$99,15,0)),0,VLOOKUP($S$831,'TAR FIN'!$A$1:$O$99,15,0))</f>
        <v>0</v>
      </c>
      <c r="W831" s="4">
        <f>IF(ISERROR(VLOOKUP($T$831,'TAR FIN'!$A$1:$O$99,15,0)),0,VLOOKUP($T$831,'TAR FIN'!$A$1:$O$99,15,0))</f>
        <v>1557.74</v>
      </c>
      <c r="X831" s="4">
        <f>IF(ISERROR(VLOOKUP($U$831,'TAR FIN'!$A$1:$O$99,15,0)),0,VLOOKUP($U$831,'TAR FIN'!$A$1:$O$99,15,0))</f>
        <v>0</v>
      </c>
      <c r="Y831" s="4"/>
      <c r="Z831" s="4">
        <f ca="1">('TUSD BE'!$AM$22+'TUSD BF'!$AM$22+'TUSD CVA'!$AM$22)*1</f>
        <v>1799.131999651745</v>
      </c>
      <c r="AA831" s="4"/>
      <c r="AB831" s="4">
        <f>$K$831*$V$831</f>
        <v>0</v>
      </c>
      <c r="AC831" s="4">
        <f>$M$831*$W$831</f>
        <v>1256200.5707287316</v>
      </c>
      <c r="AD831" s="4">
        <f>$O$831*$X$831</f>
        <v>0</v>
      </c>
      <c r="AE831" s="4">
        <f>$K$831*$Y$831</f>
        <v>0</v>
      </c>
      <c r="AF831" s="4">
        <f ca="1">$M$831*$Z$831</f>
        <v>1450865.1281849642</v>
      </c>
      <c r="AG831" s="4">
        <f>$O$831*$AA$831</f>
        <v>0</v>
      </c>
    </row>
    <row r="832" spans="1:33" ht="11.25" customHeight="1" x14ac:dyDescent="0.25">
      <c r="A832" s="3" t="s">
        <v>21</v>
      </c>
      <c r="B832" s="3" t="s">
        <v>33</v>
      </c>
      <c r="C832" s="3" t="s">
        <v>34</v>
      </c>
      <c r="D832" s="3" t="s">
        <v>40</v>
      </c>
      <c r="E832" s="3" t="s">
        <v>25</v>
      </c>
      <c r="F832" s="3" t="s">
        <v>60</v>
      </c>
      <c r="G832" s="3" t="s">
        <v>25</v>
      </c>
      <c r="H832" s="3" t="s">
        <v>35</v>
      </c>
      <c r="I832" s="6">
        <v>44409</v>
      </c>
      <c r="J832" s="4">
        <v>0</v>
      </c>
      <c r="K832" s="4">
        <v>0</v>
      </c>
      <c r="L832" s="4">
        <v>1651.5540000000001</v>
      </c>
      <c r="M832" s="4">
        <v>837.55897153397996</v>
      </c>
      <c r="N832" s="4">
        <v>0</v>
      </c>
      <c r="O832" s="4">
        <v>0</v>
      </c>
      <c r="P832" s="4">
        <v>0</v>
      </c>
      <c r="Q832" s="3" t="s">
        <v>57</v>
      </c>
      <c r="R832" s="3">
        <v>0</v>
      </c>
      <c r="S832" s="4">
        <v>0</v>
      </c>
      <c r="T832" s="4">
        <v>8</v>
      </c>
      <c r="U832" s="4">
        <v>0</v>
      </c>
      <c r="V832" s="4">
        <f>IF(ISERROR(VLOOKUP($S$832,'TAR FIN'!$A$1:$O$99,15,0)),0,VLOOKUP($S$832,'TAR FIN'!$A$1:$O$99,15,0))</f>
        <v>0</v>
      </c>
      <c r="W832" s="4">
        <f>IF(ISERROR(VLOOKUP($T$832,'TAR FIN'!$A$1:$O$99,15,0)),0,VLOOKUP($T$832,'TAR FIN'!$A$1:$O$99,15,0))</f>
        <v>1557.74</v>
      </c>
      <c r="X832" s="4">
        <f>IF(ISERROR(VLOOKUP($U$832,'TAR FIN'!$A$1:$O$99,15,0)),0,VLOOKUP($U$832,'TAR FIN'!$A$1:$O$99,15,0))</f>
        <v>0</v>
      </c>
      <c r="Y832" s="4"/>
      <c r="Z832" s="4">
        <f ca="1">('TUSD BE'!$AM$22+'TUSD BF'!$AM$22+'TUSD CVA'!$AM$22)*1</f>
        <v>1799.131999651745</v>
      </c>
      <c r="AA832" s="4"/>
      <c r="AB832" s="4">
        <f>$K$832*$V$832</f>
        <v>0</v>
      </c>
      <c r="AC832" s="4">
        <f>$M$832*$W$832</f>
        <v>1304699.1123173418</v>
      </c>
      <c r="AD832" s="4">
        <f>$O$832*$X$832</f>
        <v>0</v>
      </c>
      <c r="AE832" s="4">
        <f>$K$832*$Y$832</f>
        <v>0</v>
      </c>
      <c r="AF832" s="4">
        <f ca="1">$M$832*$Z$832</f>
        <v>1506879.1472821883</v>
      </c>
      <c r="AG832" s="4">
        <f>$O$832*$AA$832</f>
        <v>0</v>
      </c>
    </row>
    <row r="833" spans="1:33" ht="11.25" customHeight="1" x14ac:dyDescent="0.25">
      <c r="A833" s="3" t="s">
        <v>21</v>
      </c>
      <c r="B833" s="3" t="s">
        <v>33</v>
      </c>
      <c r="C833" s="3" t="s">
        <v>34</v>
      </c>
      <c r="D833" s="3" t="s">
        <v>40</v>
      </c>
      <c r="E833" s="3" t="s">
        <v>25</v>
      </c>
      <c r="F833" s="3" t="s">
        <v>60</v>
      </c>
      <c r="G833" s="3" t="s">
        <v>25</v>
      </c>
      <c r="H833" s="3" t="s">
        <v>35</v>
      </c>
      <c r="I833" s="6">
        <v>44440</v>
      </c>
      <c r="J833" s="4">
        <v>0</v>
      </c>
      <c r="K833" s="4">
        <v>0</v>
      </c>
      <c r="L833" s="4">
        <v>1595.287</v>
      </c>
      <c r="M833" s="4">
        <v>821.04486072021996</v>
      </c>
      <c r="N833" s="4">
        <v>0</v>
      </c>
      <c r="O833" s="4">
        <v>0</v>
      </c>
      <c r="P833" s="4">
        <v>0</v>
      </c>
      <c r="Q833" s="3" t="s">
        <v>57</v>
      </c>
      <c r="R833" s="3">
        <v>0</v>
      </c>
      <c r="S833" s="4">
        <v>0</v>
      </c>
      <c r="T833" s="4">
        <v>8</v>
      </c>
      <c r="U833" s="4">
        <v>0</v>
      </c>
      <c r="V833" s="4">
        <f>IF(ISERROR(VLOOKUP($S$833,'TAR FIN'!$A$1:$O$99,15,0)),0,VLOOKUP($S$833,'TAR FIN'!$A$1:$O$99,15,0))</f>
        <v>0</v>
      </c>
      <c r="W833" s="4">
        <f>IF(ISERROR(VLOOKUP($T$833,'TAR FIN'!$A$1:$O$99,15,0)),0,VLOOKUP($T$833,'TAR FIN'!$A$1:$O$99,15,0))</f>
        <v>1557.74</v>
      </c>
      <c r="X833" s="4">
        <f>IF(ISERROR(VLOOKUP($U$833,'TAR FIN'!$A$1:$O$99,15,0)),0,VLOOKUP($U$833,'TAR FIN'!$A$1:$O$99,15,0))</f>
        <v>0</v>
      </c>
      <c r="Y833" s="4"/>
      <c r="Z833" s="4">
        <f ca="1">('TUSD BE'!$AM$22+'TUSD BF'!$AM$22+'TUSD CVA'!$AM$22)*1</f>
        <v>1799.131999651745</v>
      </c>
      <c r="AA833" s="4"/>
      <c r="AB833" s="4">
        <f>$K$833*$V$833</f>
        <v>0</v>
      </c>
      <c r="AC833" s="4">
        <f>$M$833*$W$833</f>
        <v>1278974.4213383154</v>
      </c>
      <c r="AD833" s="4">
        <f>$O$833*$X$833</f>
        <v>0</v>
      </c>
      <c r="AE833" s="4">
        <f>$K$833*$Y$833</f>
        <v>0</v>
      </c>
      <c r="AF833" s="4">
        <f ca="1">$M$833*$Z$833</f>
        <v>1477168.0820713579</v>
      </c>
      <c r="AG833" s="4">
        <f>$O$833*$AA$833</f>
        <v>0</v>
      </c>
    </row>
    <row r="834" spans="1:33" ht="11.25" customHeight="1" x14ac:dyDescent="0.25">
      <c r="A834" s="3" t="s">
        <v>21</v>
      </c>
      <c r="B834" s="3" t="s">
        <v>33</v>
      </c>
      <c r="C834" s="3" t="s">
        <v>34</v>
      </c>
      <c r="D834" s="3" t="s">
        <v>40</v>
      </c>
      <c r="E834" s="3" t="s">
        <v>25</v>
      </c>
      <c r="F834" s="3" t="s">
        <v>60</v>
      </c>
      <c r="G834" s="3" t="s">
        <v>25</v>
      </c>
      <c r="H834" s="3" t="s">
        <v>35</v>
      </c>
      <c r="I834" s="6">
        <v>44470</v>
      </c>
      <c r="J834" s="4">
        <v>0</v>
      </c>
      <c r="K834" s="4">
        <v>0</v>
      </c>
      <c r="L834" s="4">
        <v>1586.192</v>
      </c>
      <c r="M834" s="4">
        <v>799.17606427904002</v>
      </c>
      <c r="N834" s="4">
        <v>0</v>
      </c>
      <c r="O834" s="4">
        <v>0</v>
      </c>
      <c r="P834" s="4">
        <v>0</v>
      </c>
      <c r="Q834" s="3" t="s">
        <v>57</v>
      </c>
      <c r="R834" s="3">
        <v>0</v>
      </c>
      <c r="S834" s="4">
        <v>0</v>
      </c>
      <c r="T834" s="4">
        <v>8</v>
      </c>
      <c r="U834" s="4">
        <v>0</v>
      </c>
      <c r="V834" s="4">
        <f>IF(ISERROR(VLOOKUP($S$834,'TAR FIN'!$A$1:$O$99,15,0)),0,VLOOKUP($S$834,'TAR FIN'!$A$1:$O$99,15,0))</f>
        <v>0</v>
      </c>
      <c r="W834" s="4">
        <f>IF(ISERROR(VLOOKUP($T$834,'TAR FIN'!$A$1:$O$99,15,0)),0,VLOOKUP($T$834,'TAR FIN'!$A$1:$O$99,15,0))</f>
        <v>1557.74</v>
      </c>
      <c r="X834" s="4">
        <f>IF(ISERROR(VLOOKUP($U$834,'TAR FIN'!$A$1:$O$99,15,0)),0,VLOOKUP($U$834,'TAR FIN'!$A$1:$O$99,15,0))</f>
        <v>0</v>
      </c>
      <c r="Y834" s="4"/>
      <c r="Z834" s="4">
        <f ca="1">('TUSD BE'!$AM$22+'TUSD BF'!$AM$22+'TUSD CVA'!$AM$22)*1</f>
        <v>1799.131999651745</v>
      </c>
      <c r="AA834" s="4"/>
      <c r="AB834" s="4">
        <f>$K$834*$V$834</f>
        <v>0</v>
      </c>
      <c r="AC834" s="4">
        <f>$M$834*$W$834</f>
        <v>1244908.5223700318</v>
      </c>
      <c r="AD834" s="4">
        <f>$O$834*$X$834</f>
        <v>0</v>
      </c>
      <c r="AE834" s="4">
        <f>$K$834*$Y$834</f>
        <v>0</v>
      </c>
      <c r="AF834" s="4">
        <f ca="1">$M$834*$Z$834</f>
        <v>1437823.2306001608</v>
      </c>
      <c r="AG834" s="4">
        <f>$O$834*$AA$834</f>
        <v>0</v>
      </c>
    </row>
    <row r="835" spans="1:33" ht="11.25" customHeight="1" x14ac:dyDescent="0.25">
      <c r="A835" s="3" t="s">
        <v>21</v>
      </c>
      <c r="B835" s="3" t="s">
        <v>33</v>
      </c>
      <c r="C835" s="3" t="s">
        <v>34</v>
      </c>
      <c r="D835" s="3" t="s">
        <v>40</v>
      </c>
      <c r="E835" s="3" t="s">
        <v>25</v>
      </c>
      <c r="F835" s="3" t="s">
        <v>60</v>
      </c>
      <c r="G835" s="3" t="s">
        <v>25</v>
      </c>
      <c r="H835" s="3" t="s">
        <v>35</v>
      </c>
      <c r="I835" s="6">
        <v>44501</v>
      </c>
      <c r="J835" s="4">
        <v>0</v>
      </c>
      <c r="K835" s="4">
        <v>0</v>
      </c>
      <c r="L835" s="4">
        <v>1812.165</v>
      </c>
      <c r="M835" s="4">
        <v>924.22674769754997</v>
      </c>
      <c r="N835" s="4">
        <v>0</v>
      </c>
      <c r="O835" s="4">
        <v>0</v>
      </c>
      <c r="P835" s="4">
        <v>0</v>
      </c>
      <c r="Q835" s="3" t="s">
        <v>57</v>
      </c>
      <c r="R835" s="3">
        <v>0</v>
      </c>
      <c r="S835" s="4">
        <v>0</v>
      </c>
      <c r="T835" s="4">
        <v>8</v>
      </c>
      <c r="U835" s="4">
        <v>0</v>
      </c>
      <c r="V835" s="4">
        <f>IF(ISERROR(VLOOKUP($S$835,'TAR FIN'!$A$1:$O$99,15,0)),0,VLOOKUP($S$835,'TAR FIN'!$A$1:$O$99,15,0))</f>
        <v>0</v>
      </c>
      <c r="W835" s="4">
        <f>IF(ISERROR(VLOOKUP($T$835,'TAR FIN'!$A$1:$O$99,15,0)),0,VLOOKUP($T$835,'TAR FIN'!$A$1:$O$99,15,0))</f>
        <v>1557.74</v>
      </c>
      <c r="X835" s="4">
        <f>IF(ISERROR(VLOOKUP($U$835,'TAR FIN'!$A$1:$O$99,15,0)),0,VLOOKUP($U$835,'TAR FIN'!$A$1:$O$99,15,0))</f>
        <v>0</v>
      </c>
      <c r="Y835" s="4"/>
      <c r="Z835" s="4">
        <f ca="1">('TUSD BE'!$AM$22+'TUSD BF'!$AM$22+'TUSD CVA'!$AM$22)*1</f>
        <v>1799.131999651745</v>
      </c>
      <c r="AA835" s="4"/>
      <c r="AB835" s="4">
        <f>$K$835*$V$835</f>
        <v>0</v>
      </c>
      <c r="AC835" s="4">
        <f>$M$835*$W$835</f>
        <v>1439704.9739583815</v>
      </c>
      <c r="AD835" s="4">
        <f>$O$835*$X$835</f>
        <v>0</v>
      </c>
      <c r="AE835" s="4">
        <f>$K$835*$Y$835</f>
        <v>0</v>
      </c>
      <c r="AF835" s="4">
        <f ca="1">$M$835*$Z$835</f>
        <v>1662805.9167167218</v>
      </c>
      <c r="AG835" s="4">
        <f>$O$835*$AA$835</f>
        <v>0</v>
      </c>
    </row>
    <row r="836" spans="1:33" ht="11.25" customHeight="1" x14ac:dyDescent="0.25">
      <c r="A836" s="3" t="s">
        <v>21</v>
      </c>
      <c r="B836" s="3" t="s">
        <v>33</v>
      </c>
      <c r="C836" s="3" t="s">
        <v>34</v>
      </c>
      <c r="D836" s="3" t="s">
        <v>40</v>
      </c>
      <c r="E836" s="3" t="s">
        <v>25</v>
      </c>
      <c r="F836" s="3" t="s">
        <v>60</v>
      </c>
      <c r="G836" s="3" t="s">
        <v>25</v>
      </c>
      <c r="H836" s="3" t="s">
        <v>35</v>
      </c>
      <c r="I836" s="6">
        <v>44531</v>
      </c>
      <c r="J836" s="4">
        <v>0</v>
      </c>
      <c r="K836" s="4">
        <v>0</v>
      </c>
      <c r="L836" s="4">
        <v>1045.5999999999999</v>
      </c>
      <c r="M836" s="4">
        <v>508.25532758399999</v>
      </c>
      <c r="N836" s="4">
        <v>0</v>
      </c>
      <c r="O836" s="4">
        <v>0</v>
      </c>
      <c r="P836" s="4">
        <v>0</v>
      </c>
      <c r="Q836" s="3" t="s">
        <v>57</v>
      </c>
      <c r="R836" s="3">
        <v>0</v>
      </c>
      <c r="S836" s="4">
        <v>0</v>
      </c>
      <c r="T836" s="4">
        <v>8</v>
      </c>
      <c r="U836" s="4">
        <v>0</v>
      </c>
      <c r="V836" s="4">
        <f>IF(ISERROR(VLOOKUP($S$836,'TAR FIN'!$A$1:$O$99,15,0)),0,VLOOKUP($S$836,'TAR FIN'!$A$1:$O$99,15,0))</f>
        <v>0</v>
      </c>
      <c r="W836" s="4">
        <f>IF(ISERROR(VLOOKUP($T$836,'TAR FIN'!$A$1:$O$99,15,0)),0,VLOOKUP($T$836,'TAR FIN'!$A$1:$O$99,15,0))</f>
        <v>1557.74</v>
      </c>
      <c r="X836" s="4">
        <f>IF(ISERROR(VLOOKUP($U$836,'TAR FIN'!$A$1:$O$99,15,0)),0,VLOOKUP($U$836,'TAR FIN'!$A$1:$O$99,15,0))</f>
        <v>0</v>
      </c>
      <c r="Y836" s="4"/>
      <c r="Z836" s="4">
        <f ca="1">('TUSD BE'!$AM$22+'TUSD BF'!$AM$22+'TUSD CVA'!$AM$22)*1</f>
        <v>1799.131999651745</v>
      </c>
      <c r="AA836" s="4"/>
      <c r="AB836" s="4">
        <f>$K$836*$V$836</f>
        <v>0</v>
      </c>
      <c r="AC836" s="4">
        <f>$M$836*$W$836</f>
        <v>791729.65399070014</v>
      </c>
      <c r="AD836" s="4">
        <f>$O$836*$X$836</f>
        <v>0</v>
      </c>
      <c r="AE836" s="4">
        <f>$K$836*$Y$836</f>
        <v>0</v>
      </c>
      <c r="AF836" s="4">
        <f ca="1">$M$836*$Z$836</f>
        <v>914418.42384985462</v>
      </c>
      <c r="AG836" s="4">
        <f>$O$836*$AA$836</f>
        <v>0</v>
      </c>
    </row>
    <row r="837" spans="1:33" ht="11.25" customHeight="1" x14ac:dyDescent="0.25">
      <c r="A837" s="3" t="s">
        <v>21</v>
      </c>
      <c r="B837" s="3" t="s">
        <v>33</v>
      </c>
      <c r="C837" s="3" t="s">
        <v>34</v>
      </c>
      <c r="D837" s="3" t="s">
        <v>40</v>
      </c>
      <c r="E837" s="3" t="s">
        <v>25</v>
      </c>
      <c r="F837" s="3" t="s">
        <v>60</v>
      </c>
      <c r="G837" s="3" t="s">
        <v>25</v>
      </c>
      <c r="H837" s="3" t="s">
        <v>35</v>
      </c>
      <c r="I837" s="6">
        <v>44562</v>
      </c>
      <c r="J837" s="4">
        <v>0</v>
      </c>
      <c r="K837" s="4">
        <v>0</v>
      </c>
      <c r="L837" s="4">
        <v>1398.251</v>
      </c>
      <c r="M837" s="4">
        <v>707.36800787236996</v>
      </c>
      <c r="N837" s="4">
        <v>0</v>
      </c>
      <c r="O837" s="4">
        <v>0</v>
      </c>
      <c r="P837" s="4">
        <v>0</v>
      </c>
      <c r="Q837" s="3" t="s">
        <v>57</v>
      </c>
      <c r="R837" s="3">
        <v>0</v>
      </c>
      <c r="S837" s="4">
        <v>0</v>
      </c>
      <c r="T837" s="4">
        <v>8</v>
      </c>
      <c r="U837" s="4">
        <v>0</v>
      </c>
      <c r="V837" s="4">
        <f>IF(ISERROR(VLOOKUP($S$837,'TAR FIN'!$A$1:$O$99,15,0)),0,VLOOKUP($S$837,'TAR FIN'!$A$1:$O$99,15,0))</f>
        <v>0</v>
      </c>
      <c r="W837" s="4">
        <f>IF(ISERROR(VLOOKUP($T$837,'TAR FIN'!$A$1:$O$99,15,0)),0,VLOOKUP($T$837,'TAR FIN'!$A$1:$O$99,15,0))</f>
        <v>1557.74</v>
      </c>
      <c r="X837" s="4">
        <f>IF(ISERROR(VLOOKUP($U$837,'TAR FIN'!$A$1:$O$99,15,0)),0,VLOOKUP($U$837,'TAR FIN'!$A$1:$O$99,15,0))</f>
        <v>0</v>
      </c>
      <c r="Y837" s="4"/>
      <c r="Z837" s="4">
        <f ca="1">('TUSD BE'!$AM$22+'TUSD BF'!$AM$22+'TUSD CVA'!$AM$22)*1</f>
        <v>1799.131999651745</v>
      </c>
      <c r="AA837" s="4"/>
      <c r="AB837" s="4">
        <f>$K$837*$V$837</f>
        <v>0</v>
      </c>
      <c r="AC837" s="4">
        <f>$M$837*$W$837</f>
        <v>1101895.4405831057</v>
      </c>
      <c r="AD837" s="4">
        <f>$O$837*$X$837</f>
        <v>0</v>
      </c>
      <c r="AE837" s="4">
        <f>$K$837*$Y$837</f>
        <v>0</v>
      </c>
      <c r="AF837" s="4">
        <f ca="1">$M$837*$Z$837</f>
        <v>1272648.4184930883</v>
      </c>
      <c r="AG837" s="4">
        <f>$O$837*$AA$837</f>
        <v>0</v>
      </c>
    </row>
    <row r="838" spans="1:33" ht="11.25" customHeight="1" x14ac:dyDescent="0.25">
      <c r="A838" s="3" t="s">
        <v>21</v>
      </c>
      <c r="B838" s="3" t="s">
        <v>33</v>
      </c>
      <c r="C838" s="3" t="s">
        <v>34</v>
      </c>
      <c r="D838" s="3" t="s">
        <v>40</v>
      </c>
      <c r="E838" s="3" t="s">
        <v>25</v>
      </c>
      <c r="F838" s="3" t="s">
        <v>60</v>
      </c>
      <c r="G838" s="3" t="s">
        <v>25</v>
      </c>
      <c r="H838" s="3" t="s">
        <v>35</v>
      </c>
      <c r="I838" s="6">
        <v>44593</v>
      </c>
      <c r="J838" s="4">
        <v>0</v>
      </c>
      <c r="K838" s="4">
        <v>0</v>
      </c>
      <c r="L838" s="4">
        <v>1336.328</v>
      </c>
      <c r="M838" s="4">
        <v>671.57099496256001</v>
      </c>
      <c r="N838" s="4">
        <v>0</v>
      </c>
      <c r="O838" s="4">
        <v>0</v>
      </c>
      <c r="P838" s="4">
        <v>0</v>
      </c>
      <c r="Q838" s="3" t="s">
        <v>57</v>
      </c>
      <c r="R838" s="3">
        <v>0</v>
      </c>
      <c r="S838" s="4">
        <v>0</v>
      </c>
      <c r="T838" s="4">
        <v>8</v>
      </c>
      <c r="U838" s="4">
        <v>0</v>
      </c>
      <c r="V838" s="4">
        <f>IF(ISERROR(VLOOKUP($S$838,'TAR FIN'!$A$1:$O$99,15,0)),0,VLOOKUP($S$838,'TAR FIN'!$A$1:$O$99,15,0))</f>
        <v>0</v>
      </c>
      <c r="W838" s="4">
        <f>IF(ISERROR(VLOOKUP($T$838,'TAR FIN'!$A$1:$O$99,15,0)),0,VLOOKUP($T$838,'TAR FIN'!$A$1:$O$99,15,0))</f>
        <v>1557.74</v>
      </c>
      <c r="X838" s="4">
        <f>IF(ISERROR(VLOOKUP($U$838,'TAR FIN'!$A$1:$O$99,15,0)),0,VLOOKUP($U$838,'TAR FIN'!$A$1:$O$99,15,0))</f>
        <v>0</v>
      </c>
      <c r="Y838" s="4"/>
      <c r="Z838" s="4">
        <f ca="1">('TUSD BE'!$AM$22+'TUSD BF'!$AM$22+'TUSD CVA'!$AM$22)*1</f>
        <v>1799.131999651745</v>
      </c>
      <c r="AA838" s="4"/>
      <c r="AB838" s="4">
        <f>$K$838*$V$838</f>
        <v>0</v>
      </c>
      <c r="AC838" s="4">
        <f>$M$838*$W$838</f>
        <v>1046133.0016929782</v>
      </c>
      <c r="AD838" s="4">
        <f>$O$838*$X$838</f>
        <v>0</v>
      </c>
      <c r="AE838" s="4">
        <f>$K$838*$Y$838</f>
        <v>0</v>
      </c>
      <c r="AF838" s="4">
        <f ca="1">$M$838*$Z$838</f>
        <v>1208244.8670751026</v>
      </c>
      <c r="AG838" s="4">
        <f>$O$838*$AA$838</f>
        <v>0</v>
      </c>
    </row>
    <row r="839" spans="1:33" ht="11.25" customHeight="1" x14ac:dyDescent="0.25">
      <c r="A839" s="3" t="s">
        <v>21</v>
      </c>
      <c r="B839" s="3" t="s">
        <v>33</v>
      </c>
      <c r="C839" s="3" t="s">
        <v>34</v>
      </c>
      <c r="D839" s="3" t="s">
        <v>40</v>
      </c>
      <c r="E839" s="3" t="s">
        <v>25</v>
      </c>
      <c r="F839" s="3" t="s">
        <v>60</v>
      </c>
      <c r="G839" s="3" t="s">
        <v>25</v>
      </c>
      <c r="H839" s="3" t="s">
        <v>35</v>
      </c>
      <c r="I839" s="6">
        <v>44621</v>
      </c>
      <c r="J839" s="4">
        <v>0</v>
      </c>
      <c r="K839" s="4">
        <v>0</v>
      </c>
      <c r="L839" s="4">
        <v>1489.481</v>
      </c>
      <c r="M839" s="4">
        <v>746.58496900673003</v>
      </c>
      <c r="N839" s="4">
        <v>0</v>
      </c>
      <c r="O839" s="4">
        <v>0</v>
      </c>
      <c r="P839" s="4">
        <v>0</v>
      </c>
      <c r="Q839" s="3" t="s">
        <v>57</v>
      </c>
      <c r="R839" s="3">
        <v>0</v>
      </c>
      <c r="S839" s="4">
        <v>0</v>
      </c>
      <c r="T839" s="4">
        <v>8</v>
      </c>
      <c r="U839" s="4">
        <v>0</v>
      </c>
      <c r="V839" s="4">
        <f>IF(ISERROR(VLOOKUP($S$839,'TAR FIN'!$A$1:$O$99,15,0)),0,VLOOKUP($S$839,'TAR FIN'!$A$1:$O$99,15,0))</f>
        <v>0</v>
      </c>
      <c r="W839" s="4">
        <f>IF(ISERROR(VLOOKUP($T$839,'TAR FIN'!$A$1:$O$99,15,0)),0,VLOOKUP($T$839,'TAR FIN'!$A$1:$O$99,15,0))</f>
        <v>1557.74</v>
      </c>
      <c r="X839" s="4">
        <f>IF(ISERROR(VLOOKUP($U$839,'TAR FIN'!$A$1:$O$99,15,0)),0,VLOOKUP($U$839,'TAR FIN'!$A$1:$O$99,15,0))</f>
        <v>0</v>
      </c>
      <c r="Y839" s="4"/>
      <c r="Z839" s="4">
        <f ca="1">('TUSD BE'!$AM$22+'TUSD BF'!$AM$22+'TUSD CVA'!$AM$22)*1</f>
        <v>1799.131999651745</v>
      </c>
      <c r="AA839" s="4"/>
      <c r="AB839" s="4">
        <f>$K$839*$V$839</f>
        <v>0</v>
      </c>
      <c r="AC839" s="4">
        <f>$M$839*$W$839</f>
        <v>1162985.2696205436</v>
      </c>
      <c r="AD839" s="4">
        <f>$O$839*$X$839</f>
        <v>0</v>
      </c>
      <c r="AE839" s="4">
        <f>$K$839*$Y$839</f>
        <v>0</v>
      </c>
      <c r="AF839" s="4">
        <f ca="1">$M$839*$Z$839</f>
        <v>1343204.9081990144</v>
      </c>
      <c r="AG839" s="4">
        <f>$O$839*$AA$839</f>
        <v>0</v>
      </c>
    </row>
    <row r="840" spans="1:33" ht="11.25" customHeight="1" x14ac:dyDescent="0.25">
      <c r="A840" s="3" t="s">
        <v>56</v>
      </c>
      <c r="B840" s="3" t="s">
        <v>33</v>
      </c>
      <c r="C840" s="3" t="s">
        <v>34</v>
      </c>
      <c r="D840" s="3" t="s">
        <v>40</v>
      </c>
      <c r="E840" s="3" t="s">
        <v>25</v>
      </c>
      <c r="F840" s="3" t="s">
        <v>60</v>
      </c>
      <c r="G840" s="3" t="s">
        <v>25</v>
      </c>
      <c r="H840" s="3" t="s">
        <v>35</v>
      </c>
      <c r="I840" s="6">
        <v>44652</v>
      </c>
      <c r="J840" s="4">
        <v>0</v>
      </c>
      <c r="K840" s="4">
        <v>0</v>
      </c>
      <c r="L840" s="4">
        <v>1489.481</v>
      </c>
      <c r="M840" s="4">
        <v>746.58496900673003</v>
      </c>
      <c r="N840" s="4">
        <v>0</v>
      </c>
      <c r="O840" s="4">
        <v>0</v>
      </c>
      <c r="P840" s="4">
        <v>0</v>
      </c>
      <c r="Q840" s="3" t="s">
        <v>57</v>
      </c>
      <c r="R840" s="3">
        <v>0</v>
      </c>
      <c r="S840" s="4">
        <v>0</v>
      </c>
      <c r="T840" s="4">
        <v>8</v>
      </c>
      <c r="U840" s="4">
        <v>0</v>
      </c>
      <c r="V840" s="4">
        <f>IF(ISERROR(VLOOKUP($S$840,'TAR FIN'!$A$1:$O$99,15,0)),0,VLOOKUP($S$840,'TAR FIN'!$A$1:$O$99,15,0))</f>
        <v>0</v>
      </c>
      <c r="W840" s="4">
        <f>IF(ISERROR(VLOOKUP($T$840,'TAR FIN'!$A$1:$O$99,15,0)),0,VLOOKUP($T$840,'TAR FIN'!$A$1:$O$99,15,0))</f>
        <v>1557.74</v>
      </c>
      <c r="X840" s="4">
        <f>IF(ISERROR(VLOOKUP($U$840,'TAR FIN'!$A$1:$O$99,15,0)),0,VLOOKUP($U$840,'TAR FIN'!$A$1:$O$99,15,0))</f>
        <v>0</v>
      </c>
      <c r="Y840" s="4"/>
      <c r="Z840" s="4">
        <f ca="1">('TUSD BE'!$AM$22+'TUSD BF'!$AM$22+'TUSD CVA'!$AM$22)*1</f>
        <v>1799.131999651745</v>
      </c>
      <c r="AA840" s="4"/>
      <c r="AB840" s="4">
        <f>$K$840*$V$840</f>
        <v>0</v>
      </c>
      <c r="AC840" s="4">
        <f>$M$840*$W$840</f>
        <v>1162985.2696205436</v>
      </c>
      <c r="AD840" s="4">
        <f>$O$840*$X$840</f>
        <v>0</v>
      </c>
      <c r="AE840" s="4">
        <f>$K$840*$Y$840</f>
        <v>0</v>
      </c>
      <c r="AF840" s="4">
        <f ca="1">$M$840*$Z$840</f>
        <v>1343204.9081990144</v>
      </c>
      <c r="AG840" s="4">
        <f>$O$840*$AA$840</f>
        <v>0</v>
      </c>
    </row>
    <row r="841" spans="1:33" ht="11.25" customHeight="1" x14ac:dyDescent="0.25">
      <c r="A841" s="3" t="s">
        <v>21</v>
      </c>
      <c r="B841" s="3" t="s">
        <v>33</v>
      </c>
      <c r="C841" s="3" t="s">
        <v>34</v>
      </c>
      <c r="D841" s="3" t="s">
        <v>40</v>
      </c>
      <c r="E841" s="3" t="s">
        <v>25</v>
      </c>
      <c r="F841" s="3" t="s">
        <v>25</v>
      </c>
      <c r="G841" s="3" t="s">
        <v>25</v>
      </c>
      <c r="H841" s="3" t="s">
        <v>36</v>
      </c>
      <c r="I841" s="6">
        <v>44317</v>
      </c>
      <c r="J841" s="4">
        <v>0</v>
      </c>
      <c r="K841" s="4">
        <v>0</v>
      </c>
      <c r="L841" s="4">
        <v>6668.942</v>
      </c>
      <c r="M841" s="4">
        <v>6668.942</v>
      </c>
      <c r="N841" s="4">
        <v>6668.942</v>
      </c>
      <c r="O841" s="4">
        <v>6668.942</v>
      </c>
      <c r="P841" s="4">
        <v>0</v>
      </c>
      <c r="Q841" s="3" t="s">
        <v>26</v>
      </c>
      <c r="R841" s="3">
        <v>0</v>
      </c>
      <c r="S841" s="4">
        <v>0</v>
      </c>
      <c r="T841" s="4">
        <v>29</v>
      </c>
      <c r="U841" s="4">
        <v>73</v>
      </c>
      <c r="V841" s="4">
        <f>IF(ISERROR(VLOOKUP($S$841,'TAR FIN'!$A$1:$O$99,15,0)),0,VLOOKUP($S$841,'TAR FIN'!$A$1:$O$99,15,0))</f>
        <v>0</v>
      </c>
      <c r="W841" s="4">
        <f>IF(ISERROR(VLOOKUP($T$841,'TAR FIN'!$A$1:$O$99,15,0)),0,VLOOKUP($T$841,'TAR FIN'!$A$1:$O$99,15,0))</f>
        <v>97.61</v>
      </c>
      <c r="X841" s="4">
        <f>IF(ISERROR(VLOOKUP($U$841,'TAR FIN'!$A$1:$O$99,15,0)),0,VLOOKUP($U$841,'TAR FIN'!$A$1:$O$99,15,0))</f>
        <v>219.97</v>
      </c>
      <c r="Y841" s="4"/>
      <c r="Z841" s="4">
        <f ca="1">('TUSD BE'!$AM$23+'TUSD BF'!$AM$23+'TUSD CVA'!$AM$23)*1</f>
        <v>117.59114529324071</v>
      </c>
      <c r="AA841" s="4">
        <f>('TE BE'!$AA$8+'TE BF'!$AA$8+'TE CVA'!$AA$8)*1</f>
        <v>271.13910989737087</v>
      </c>
      <c r="AB841" s="4">
        <f>$K$841*$V$841</f>
        <v>0</v>
      </c>
      <c r="AC841" s="4">
        <f>$M$841*$W$841</f>
        <v>650955.42862000002</v>
      </c>
      <c r="AD841" s="4">
        <f>$O$841*$X$841</f>
        <v>1466967.1717399999</v>
      </c>
      <c r="AE841" s="4">
        <f>$K$841*$Y$841</f>
        <v>0</v>
      </c>
      <c r="AF841" s="4">
        <f ca="1">$M$841*$Z$841</f>
        <v>784208.52767419536</v>
      </c>
      <c r="AG841" s="4">
        <f>$O$841*$AA$841</f>
        <v>1808210.9978371924</v>
      </c>
    </row>
    <row r="842" spans="1:33" ht="11.25" customHeight="1" x14ac:dyDescent="0.25">
      <c r="A842" s="3" t="s">
        <v>28</v>
      </c>
      <c r="B842" s="3" t="s">
        <v>33</v>
      </c>
      <c r="C842" s="3" t="s">
        <v>34</v>
      </c>
      <c r="D842" s="3" t="s">
        <v>40</v>
      </c>
      <c r="E842" s="3" t="s">
        <v>25</v>
      </c>
      <c r="F842" s="3" t="s">
        <v>25</v>
      </c>
      <c r="G842" s="3" t="s">
        <v>25</v>
      </c>
      <c r="H842" s="3" t="s">
        <v>36</v>
      </c>
      <c r="I842" s="6">
        <v>44317</v>
      </c>
      <c r="J842" s="4">
        <v>0</v>
      </c>
      <c r="K842" s="4">
        <v>0</v>
      </c>
      <c r="L842" s="4">
        <v>273.01799999999997</v>
      </c>
      <c r="M842" s="4">
        <v>273.01799999999997</v>
      </c>
      <c r="N842" s="4">
        <v>273.01799999999997</v>
      </c>
      <c r="O842" s="4">
        <v>273.01799999999997</v>
      </c>
      <c r="P842" s="4">
        <v>0</v>
      </c>
      <c r="Q842" s="3" t="s">
        <v>26</v>
      </c>
      <c r="R842" s="3">
        <v>0</v>
      </c>
      <c r="S842" s="4">
        <v>0</v>
      </c>
      <c r="T842" s="4">
        <v>29</v>
      </c>
      <c r="U842" s="4">
        <v>73</v>
      </c>
      <c r="V842" s="4">
        <f>IF(ISERROR(VLOOKUP($S$842,'TAR FIN'!$A$1:$O$99,15,0)),0,VLOOKUP($S$842,'TAR FIN'!$A$1:$O$99,15,0))</f>
        <v>0</v>
      </c>
      <c r="W842" s="4">
        <f>IF(ISERROR(VLOOKUP($T$842,'TAR FIN'!$A$1:$O$99,15,0)),0,VLOOKUP($T$842,'TAR FIN'!$A$1:$O$99,15,0))</f>
        <v>97.61</v>
      </c>
      <c r="X842" s="4">
        <f>IF(ISERROR(VLOOKUP($U$842,'TAR FIN'!$A$1:$O$99,15,0)),0,VLOOKUP($U$842,'TAR FIN'!$A$1:$O$99,15,0))</f>
        <v>219.97</v>
      </c>
      <c r="Y842" s="4"/>
      <c r="Z842" s="4">
        <f ca="1">('TUSD BE'!$AM$23+'TUSD BF'!$AM$23+'TUSD CVA'!$AM$23)*1</f>
        <v>117.59114529324071</v>
      </c>
      <c r="AA842" s="4">
        <f>('TE BE'!$AA$8+'TE BF'!$AA$8+'TE CVA'!$AA$8)*1</f>
        <v>271.13910989737087</v>
      </c>
      <c r="AB842" s="4">
        <f>$K$842*$V$842</f>
        <v>0</v>
      </c>
      <c r="AC842" s="4">
        <f>$M$842*$W$842</f>
        <v>26649.286979999997</v>
      </c>
      <c r="AD842" s="4">
        <f>$O$842*$X$842</f>
        <v>60055.769459999996</v>
      </c>
      <c r="AE842" s="4">
        <f>$K$842*$Y$842</f>
        <v>0</v>
      </c>
      <c r="AF842" s="4">
        <f ca="1">$M$842*$Z$842</f>
        <v>32104.49930566999</v>
      </c>
      <c r="AG842" s="4">
        <f>$O$842*$AA$842</f>
        <v>74025.85750596039</v>
      </c>
    </row>
    <row r="843" spans="1:33" ht="11.25" customHeight="1" x14ac:dyDescent="0.25">
      <c r="A843" s="3" t="s">
        <v>21</v>
      </c>
      <c r="B843" s="3" t="s">
        <v>33</v>
      </c>
      <c r="C843" s="3" t="s">
        <v>34</v>
      </c>
      <c r="D843" s="3" t="s">
        <v>40</v>
      </c>
      <c r="E843" s="3" t="s">
        <v>25</v>
      </c>
      <c r="F843" s="3" t="s">
        <v>25</v>
      </c>
      <c r="G843" s="3" t="s">
        <v>25</v>
      </c>
      <c r="H843" s="3" t="s">
        <v>36</v>
      </c>
      <c r="I843" s="6">
        <v>44317</v>
      </c>
      <c r="J843" s="4">
        <v>0</v>
      </c>
      <c r="K843" s="4">
        <v>0</v>
      </c>
      <c r="L843" s="4">
        <v>836.86099999999999</v>
      </c>
      <c r="M843" s="4">
        <v>836.86099999999999</v>
      </c>
      <c r="N843" s="4">
        <v>0</v>
      </c>
      <c r="O843" s="4">
        <v>0</v>
      </c>
      <c r="P843" s="4">
        <v>0</v>
      </c>
      <c r="Q843" s="3" t="s">
        <v>57</v>
      </c>
      <c r="R843" s="3">
        <v>0</v>
      </c>
      <c r="S843" s="4">
        <v>0</v>
      </c>
      <c r="T843" s="4">
        <v>29</v>
      </c>
      <c r="U843" s="4">
        <v>0</v>
      </c>
      <c r="V843" s="4">
        <f>IF(ISERROR(VLOOKUP($S$843,'TAR FIN'!$A$1:$O$99,15,0)),0,VLOOKUP($S$843,'TAR FIN'!$A$1:$O$99,15,0))</f>
        <v>0</v>
      </c>
      <c r="W843" s="4">
        <f>IF(ISERROR(VLOOKUP($T$843,'TAR FIN'!$A$1:$O$99,15,0)),0,VLOOKUP($T$843,'TAR FIN'!$A$1:$O$99,15,0))</f>
        <v>97.61</v>
      </c>
      <c r="X843" s="4">
        <f>IF(ISERROR(VLOOKUP($U$843,'TAR FIN'!$A$1:$O$99,15,0)),0,VLOOKUP($U$843,'TAR FIN'!$A$1:$O$99,15,0))</f>
        <v>0</v>
      </c>
      <c r="Y843" s="4"/>
      <c r="Z843" s="4">
        <f ca="1">('TUSD BE'!$AM$23+'TUSD BF'!$AM$23+'TUSD CVA'!$AM$23)*1</f>
        <v>117.59114529324071</v>
      </c>
      <c r="AA843" s="4"/>
      <c r="AB843" s="4">
        <f>$K$843*$V$843</f>
        <v>0</v>
      </c>
      <c r="AC843" s="4">
        <f>$M$843*$W$843</f>
        <v>81686.002209999991</v>
      </c>
      <c r="AD843" s="4">
        <f>$O$843*$X$843</f>
        <v>0</v>
      </c>
      <c r="AE843" s="4">
        <f>$K$843*$Y$843</f>
        <v>0</v>
      </c>
      <c r="AF843" s="4">
        <f ca="1">$M$843*$Z$843</f>
        <v>98407.443441246724</v>
      </c>
      <c r="AG843" s="4">
        <f>$O$843*$AA$843</f>
        <v>0</v>
      </c>
    </row>
    <row r="844" spans="1:33" ht="11.25" customHeight="1" x14ac:dyDescent="0.25">
      <c r="A844" s="3" t="s">
        <v>21</v>
      </c>
      <c r="B844" s="3" t="s">
        <v>33</v>
      </c>
      <c r="C844" s="3" t="s">
        <v>34</v>
      </c>
      <c r="D844" s="3" t="s">
        <v>40</v>
      </c>
      <c r="E844" s="3" t="s">
        <v>25</v>
      </c>
      <c r="F844" s="3" t="s">
        <v>25</v>
      </c>
      <c r="G844" s="3" t="s">
        <v>25</v>
      </c>
      <c r="H844" s="3" t="s">
        <v>36</v>
      </c>
      <c r="I844" s="6">
        <v>44348</v>
      </c>
      <c r="J844" s="4">
        <v>0</v>
      </c>
      <c r="K844" s="4">
        <v>0</v>
      </c>
      <c r="L844" s="4">
        <v>6259.94</v>
      </c>
      <c r="M844" s="4">
        <v>6259.94</v>
      </c>
      <c r="N844" s="4">
        <v>6259.94</v>
      </c>
      <c r="O844" s="4">
        <v>6259.94</v>
      </c>
      <c r="P844" s="4">
        <v>0</v>
      </c>
      <c r="Q844" s="3" t="s">
        <v>26</v>
      </c>
      <c r="R844" s="3">
        <v>0</v>
      </c>
      <c r="S844" s="4">
        <v>0</v>
      </c>
      <c r="T844" s="4">
        <v>29</v>
      </c>
      <c r="U844" s="4">
        <v>73</v>
      </c>
      <c r="V844" s="4">
        <f>IF(ISERROR(VLOOKUP($S$844,'TAR FIN'!$A$1:$O$99,15,0)),0,VLOOKUP($S$844,'TAR FIN'!$A$1:$O$99,15,0))</f>
        <v>0</v>
      </c>
      <c r="W844" s="4">
        <f>IF(ISERROR(VLOOKUP($T$844,'TAR FIN'!$A$1:$O$99,15,0)),0,VLOOKUP($T$844,'TAR FIN'!$A$1:$O$99,15,0))</f>
        <v>97.61</v>
      </c>
      <c r="X844" s="4">
        <f>IF(ISERROR(VLOOKUP($U$844,'TAR FIN'!$A$1:$O$99,15,0)),0,VLOOKUP($U$844,'TAR FIN'!$A$1:$O$99,15,0))</f>
        <v>219.97</v>
      </c>
      <c r="Y844" s="4"/>
      <c r="Z844" s="4">
        <f ca="1">('TUSD BE'!$AM$23+'TUSD BF'!$AM$23+'TUSD CVA'!$AM$23)*1</f>
        <v>117.59114529324071</v>
      </c>
      <c r="AA844" s="4">
        <f>('TE BE'!$AA$8+'TE BF'!$AA$8+'TE CVA'!$AA$8)*1</f>
        <v>271.13910989737087</v>
      </c>
      <c r="AB844" s="4">
        <f>$K$844*$V$844</f>
        <v>0</v>
      </c>
      <c r="AC844" s="4">
        <f>$M$844*$W$844</f>
        <v>611032.74339999992</v>
      </c>
      <c r="AD844" s="4">
        <f>$O$844*$X$844</f>
        <v>1376999.0018</v>
      </c>
      <c r="AE844" s="4">
        <f>$K$844*$Y$844</f>
        <v>0</v>
      </c>
      <c r="AF844" s="4">
        <f ca="1">$M$844*$Z$844</f>
        <v>736113.51406696928</v>
      </c>
      <c r="AG844" s="4">
        <f>$O$844*$AA$844</f>
        <v>1697314.5596109477</v>
      </c>
    </row>
    <row r="845" spans="1:33" ht="11.25" customHeight="1" x14ac:dyDescent="0.25">
      <c r="A845" s="3" t="s">
        <v>27</v>
      </c>
      <c r="B845" s="3" t="s">
        <v>33</v>
      </c>
      <c r="C845" s="3" t="s">
        <v>34</v>
      </c>
      <c r="D845" s="3" t="s">
        <v>40</v>
      </c>
      <c r="E845" s="3" t="s">
        <v>25</v>
      </c>
      <c r="F845" s="3" t="s">
        <v>25</v>
      </c>
      <c r="G845" s="3" t="s">
        <v>25</v>
      </c>
      <c r="H845" s="3" t="s">
        <v>36</v>
      </c>
      <c r="I845" s="6">
        <v>44348</v>
      </c>
      <c r="J845" s="4">
        <v>0</v>
      </c>
      <c r="K845" s="4">
        <v>0</v>
      </c>
      <c r="L845" s="4">
        <v>-191.215</v>
      </c>
      <c r="M845" s="4">
        <v>-191.215</v>
      </c>
      <c r="N845" s="4">
        <v>-191.215</v>
      </c>
      <c r="O845" s="4">
        <v>-191.215</v>
      </c>
      <c r="P845" s="4">
        <v>0</v>
      </c>
      <c r="Q845" s="3" t="s">
        <v>26</v>
      </c>
      <c r="R845" s="3">
        <v>0</v>
      </c>
      <c r="S845" s="4">
        <v>0</v>
      </c>
      <c r="T845" s="4">
        <v>29</v>
      </c>
      <c r="U845" s="4">
        <v>73</v>
      </c>
      <c r="V845" s="4">
        <f>IF(ISERROR(VLOOKUP($S$845,'TAR FIN'!$A$1:$O$99,15,0)),0,VLOOKUP($S$845,'TAR FIN'!$A$1:$O$99,15,0))</f>
        <v>0</v>
      </c>
      <c r="W845" s="4">
        <f>IF(ISERROR(VLOOKUP($T$845,'TAR FIN'!$A$1:$O$99,15,0)),0,VLOOKUP($T$845,'TAR FIN'!$A$1:$O$99,15,0))</f>
        <v>97.61</v>
      </c>
      <c r="X845" s="4">
        <f>IF(ISERROR(VLOOKUP($U$845,'TAR FIN'!$A$1:$O$99,15,0)),0,VLOOKUP($U$845,'TAR FIN'!$A$1:$O$99,15,0))</f>
        <v>219.97</v>
      </c>
      <c r="Y845" s="4"/>
      <c r="Z845" s="4">
        <f ca="1">('TUSD BE'!$AM$23+'TUSD BF'!$AM$23+'TUSD CVA'!$AM$23)*1</f>
        <v>117.59114529324071</v>
      </c>
      <c r="AA845" s="4">
        <f>('TE BE'!$AA$8+'TE BF'!$AA$8+'TE CVA'!$AA$8)*1</f>
        <v>271.13910989737087</v>
      </c>
      <c r="AB845" s="4">
        <f>$K$845*$V$845</f>
        <v>0</v>
      </c>
      <c r="AC845" s="4">
        <f>$M$845*$W$845</f>
        <v>-18664.496149999999</v>
      </c>
      <c r="AD845" s="4">
        <f>$O$845*$X$845</f>
        <v>-42061.563549999999</v>
      </c>
      <c r="AE845" s="4">
        <f>$K$845*$Y$845</f>
        <v>0</v>
      </c>
      <c r="AF845" s="4">
        <f ca="1">$M$845*$Z$845</f>
        <v>-22485.190847247024</v>
      </c>
      <c r="AG845" s="4">
        <f>$O$845*$AA$845</f>
        <v>-51845.864899025772</v>
      </c>
    </row>
    <row r="846" spans="1:33" ht="11.25" customHeight="1" x14ac:dyDescent="0.25">
      <c r="A846" s="3" t="s">
        <v>28</v>
      </c>
      <c r="B846" s="3" t="s">
        <v>33</v>
      </c>
      <c r="C846" s="3" t="s">
        <v>34</v>
      </c>
      <c r="D846" s="3" t="s">
        <v>40</v>
      </c>
      <c r="E846" s="3" t="s">
        <v>25</v>
      </c>
      <c r="F846" s="3" t="s">
        <v>25</v>
      </c>
      <c r="G846" s="3" t="s">
        <v>25</v>
      </c>
      <c r="H846" s="3" t="s">
        <v>36</v>
      </c>
      <c r="I846" s="6">
        <v>44348</v>
      </c>
      <c r="J846" s="4">
        <v>0</v>
      </c>
      <c r="K846" s="4">
        <v>0</v>
      </c>
      <c r="L846" s="4">
        <v>218.67699999999999</v>
      </c>
      <c r="M846" s="4">
        <v>218.67699999999999</v>
      </c>
      <c r="N846" s="4">
        <v>218.67699999999999</v>
      </c>
      <c r="O846" s="4">
        <v>218.67699999999999</v>
      </c>
      <c r="P846" s="4">
        <v>0</v>
      </c>
      <c r="Q846" s="3" t="s">
        <v>26</v>
      </c>
      <c r="R846" s="3">
        <v>0</v>
      </c>
      <c r="S846" s="4">
        <v>0</v>
      </c>
      <c r="T846" s="4">
        <v>29</v>
      </c>
      <c r="U846" s="4">
        <v>73</v>
      </c>
      <c r="V846" s="4">
        <f>IF(ISERROR(VLOOKUP($S$846,'TAR FIN'!$A$1:$O$99,15,0)),0,VLOOKUP($S$846,'TAR FIN'!$A$1:$O$99,15,0))</f>
        <v>0</v>
      </c>
      <c r="W846" s="4">
        <f>IF(ISERROR(VLOOKUP($T$846,'TAR FIN'!$A$1:$O$99,15,0)),0,VLOOKUP($T$846,'TAR FIN'!$A$1:$O$99,15,0))</f>
        <v>97.61</v>
      </c>
      <c r="X846" s="4">
        <f>IF(ISERROR(VLOOKUP($U$846,'TAR FIN'!$A$1:$O$99,15,0)),0,VLOOKUP($U$846,'TAR FIN'!$A$1:$O$99,15,0))</f>
        <v>219.97</v>
      </c>
      <c r="Y846" s="4"/>
      <c r="Z846" s="4">
        <f ca="1">('TUSD BE'!$AM$23+'TUSD BF'!$AM$23+'TUSD CVA'!$AM$23)*1</f>
        <v>117.59114529324071</v>
      </c>
      <c r="AA846" s="4">
        <f>('TE BE'!$AA$8+'TE BF'!$AA$8+'TE CVA'!$AA$8)*1</f>
        <v>271.13910989737087</v>
      </c>
      <c r="AB846" s="4">
        <f>$K$846*$V$846</f>
        <v>0</v>
      </c>
      <c r="AC846" s="4">
        <f>$M$846*$W$846</f>
        <v>21345.061969999999</v>
      </c>
      <c r="AD846" s="4">
        <f>$O$846*$X$846</f>
        <v>48102.379690000002</v>
      </c>
      <c r="AE846" s="4">
        <f>$K$846*$Y$846</f>
        <v>0</v>
      </c>
      <c r="AF846" s="4">
        <f ca="1">$M$846*$Z$846</f>
        <v>25714.47887929</v>
      </c>
      <c r="AG846" s="4">
        <f>$O$846*$AA$846</f>
        <v>59291.887135027369</v>
      </c>
    </row>
    <row r="847" spans="1:33" ht="11.25" customHeight="1" x14ac:dyDescent="0.25">
      <c r="A847" s="3" t="s">
        <v>21</v>
      </c>
      <c r="B847" s="3" t="s">
        <v>33</v>
      </c>
      <c r="C847" s="3" t="s">
        <v>34</v>
      </c>
      <c r="D847" s="3" t="s">
        <v>40</v>
      </c>
      <c r="E847" s="3" t="s">
        <v>25</v>
      </c>
      <c r="F847" s="3" t="s">
        <v>25</v>
      </c>
      <c r="G847" s="3" t="s">
        <v>25</v>
      </c>
      <c r="H847" s="3" t="s">
        <v>36</v>
      </c>
      <c r="I847" s="6">
        <v>44348</v>
      </c>
      <c r="J847" s="4">
        <v>0</v>
      </c>
      <c r="K847" s="4">
        <v>0</v>
      </c>
      <c r="L847" s="4">
        <v>901.00699999999995</v>
      </c>
      <c r="M847" s="4">
        <v>901.00699999999995</v>
      </c>
      <c r="N847" s="4">
        <v>0</v>
      </c>
      <c r="O847" s="4">
        <v>0</v>
      </c>
      <c r="P847" s="4">
        <v>0</v>
      </c>
      <c r="Q847" s="3" t="s">
        <v>57</v>
      </c>
      <c r="R847" s="3">
        <v>0</v>
      </c>
      <c r="S847" s="4">
        <v>0</v>
      </c>
      <c r="T847" s="4">
        <v>29</v>
      </c>
      <c r="U847" s="4">
        <v>0</v>
      </c>
      <c r="V847" s="4">
        <f>IF(ISERROR(VLOOKUP($S$847,'TAR FIN'!$A$1:$O$99,15,0)),0,VLOOKUP($S$847,'TAR FIN'!$A$1:$O$99,15,0))</f>
        <v>0</v>
      </c>
      <c r="W847" s="4">
        <f>IF(ISERROR(VLOOKUP($T$847,'TAR FIN'!$A$1:$O$99,15,0)),0,VLOOKUP($T$847,'TAR FIN'!$A$1:$O$99,15,0))</f>
        <v>97.61</v>
      </c>
      <c r="X847" s="4">
        <f>IF(ISERROR(VLOOKUP($U$847,'TAR FIN'!$A$1:$O$99,15,0)),0,VLOOKUP($U$847,'TAR FIN'!$A$1:$O$99,15,0))</f>
        <v>0</v>
      </c>
      <c r="Y847" s="4"/>
      <c r="Z847" s="4">
        <f ca="1">('TUSD BE'!$AM$23+'TUSD BF'!$AM$23+'TUSD CVA'!$AM$23)*1</f>
        <v>117.59114529324071</v>
      </c>
      <c r="AA847" s="4"/>
      <c r="AB847" s="4">
        <f>$K$847*$V$847</f>
        <v>0</v>
      </c>
      <c r="AC847" s="4">
        <f>$M$847*$W$847</f>
        <v>87947.293269999995</v>
      </c>
      <c r="AD847" s="4">
        <f>$O$847*$X$847</f>
        <v>0</v>
      </c>
      <c r="AE847" s="4">
        <f>$K$847*$Y$847</f>
        <v>0</v>
      </c>
      <c r="AF847" s="4">
        <f ca="1">$M$847*$Z$847</f>
        <v>105950.44504722692</v>
      </c>
      <c r="AG847" s="4">
        <f>$O$847*$AA$847</f>
        <v>0</v>
      </c>
    </row>
    <row r="848" spans="1:33" ht="11.25" customHeight="1" x14ac:dyDescent="0.25">
      <c r="A848" s="3" t="s">
        <v>21</v>
      </c>
      <c r="B848" s="3" t="s">
        <v>33</v>
      </c>
      <c r="C848" s="3" t="s">
        <v>34</v>
      </c>
      <c r="D848" s="3" t="s">
        <v>40</v>
      </c>
      <c r="E848" s="3" t="s">
        <v>25</v>
      </c>
      <c r="F848" s="3" t="s">
        <v>25</v>
      </c>
      <c r="G848" s="3" t="s">
        <v>25</v>
      </c>
      <c r="H848" s="3" t="s">
        <v>36</v>
      </c>
      <c r="I848" s="6">
        <v>44378</v>
      </c>
      <c r="J848" s="4">
        <v>0</v>
      </c>
      <c r="K848" s="4">
        <v>0</v>
      </c>
      <c r="L848" s="4">
        <v>6881.8490000000002</v>
      </c>
      <c r="M848" s="4">
        <v>6881.8490000000002</v>
      </c>
      <c r="N848" s="4">
        <v>6881.8490000000002</v>
      </c>
      <c r="O848" s="4">
        <v>6881.8490000000002</v>
      </c>
      <c r="P848" s="4">
        <v>0</v>
      </c>
      <c r="Q848" s="3" t="s">
        <v>26</v>
      </c>
      <c r="R848" s="3">
        <v>0</v>
      </c>
      <c r="S848" s="4">
        <v>0</v>
      </c>
      <c r="T848" s="4">
        <v>29</v>
      </c>
      <c r="U848" s="4">
        <v>73</v>
      </c>
      <c r="V848" s="4">
        <f>IF(ISERROR(VLOOKUP($S$848,'TAR FIN'!$A$1:$O$99,15,0)),0,VLOOKUP($S$848,'TAR FIN'!$A$1:$O$99,15,0))</f>
        <v>0</v>
      </c>
      <c r="W848" s="4">
        <f>IF(ISERROR(VLOOKUP($T$848,'TAR FIN'!$A$1:$O$99,15,0)),0,VLOOKUP($T$848,'TAR FIN'!$A$1:$O$99,15,0))</f>
        <v>97.61</v>
      </c>
      <c r="X848" s="4">
        <f>IF(ISERROR(VLOOKUP($U$848,'TAR FIN'!$A$1:$O$99,15,0)),0,VLOOKUP($U$848,'TAR FIN'!$A$1:$O$99,15,0))</f>
        <v>219.97</v>
      </c>
      <c r="Y848" s="4"/>
      <c r="Z848" s="4">
        <f ca="1">('TUSD BE'!$AM$23+'TUSD BF'!$AM$23+'TUSD CVA'!$AM$23)*1</f>
        <v>117.59114529324071</v>
      </c>
      <c r="AA848" s="4">
        <f>('TE BE'!$AA$8+'TE BF'!$AA$8+'TE CVA'!$AA$8)*1</f>
        <v>271.13910989737087</v>
      </c>
      <c r="AB848" s="4">
        <f>$K$848*$V$848</f>
        <v>0</v>
      </c>
      <c r="AC848" s="4">
        <f>$M$848*$W$848</f>
        <v>671737.28089000005</v>
      </c>
      <c r="AD848" s="4">
        <f>$O$848*$X$848</f>
        <v>1513800.3245300001</v>
      </c>
      <c r="AE848" s="4">
        <f>$K$848*$Y$848</f>
        <v>0</v>
      </c>
      <c r="AF848" s="4">
        <f ca="1">$M$848*$Z$848</f>
        <v>809244.50564514333</v>
      </c>
      <c r="AG848" s="4">
        <f>$O$848*$AA$848</f>
        <v>1865938.4123081118</v>
      </c>
    </row>
    <row r="849" spans="1:33" ht="11.25" customHeight="1" x14ac:dyDescent="0.25">
      <c r="A849" s="3" t="s">
        <v>27</v>
      </c>
      <c r="B849" s="3" t="s">
        <v>33</v>
      </c>
      <c r="C849" s="3" t="s">
        <v>34</v>
      </c>
      <c r="D849" s="3" t="s">
        <v>40</v>
      </c>
      <c r="E849" s="3" t="s">
        <v>25</v>
      </c>
      <c r="F849" s="3" t="s">
        <v>25</v>
      </c>
      <c r="G849" s="3" t="s">
        <v>25</v>
      </c>
      <c r="H849" s="3" t="s">
        <v>36</v>
      </c>
      <c r="I849" s="6">
        <v>44378</v>
      </c>
      <c r="J849" s="4">
        <v>0</v>
      </c>
      <c r="K849" s="4">
        <v>0</v>
      </c>
      <c r="L849" s="4">
        <v>-63.643999999999998</v>
      </c>
      <c r="M849" s="4">
        <v>-63.643999999999998</v>
      </c>
      <c r="N849" s="4">
        <v>-63.643999999999998</v>
      </c>
      <c r="O849" s="4">
        <v>-63.643999999999998</v>
      </c>
      <c r="P849" s="4">
        <v>0</v>
      </c>
      <c r="Q849" s="3" t="s">
        <v>26</v>
      </c>
      <c r="R849" s="3">
        <v>0</v>
      </c>
      <c r="S849" s="4">
        <v>0</v>
      </c>
      <c r="T849" s="4">
        <v>29</v>
      </c>
      <c r="U849" s="4">
        <v>73</v>
      </c>
      <c r="V849" s="4">
        <f>IF(ISERROR(VLOOKUP($S$849,'TAR FIN'!$A$1:$O$99,15,0)),0,VLOOKUP($S$849,'TAR FIN'!$A$1:$O$99,15,0))</f>
        <v>0</v>
      </c>
      <c r="W849" s="4">
        <f>IF(ISERROR(VLOOKUP($T$849,'TAR FIN'!$A$1:$O$99,15,0)),0,VLOOKUP($T$849,'TAR FIN'!$A$1:$O$99,15,0))</f>
        <v>97.61</v>
      </c>
      <c r="X849" s="4">
        <f>IF(ISERROR(VLOOKUP($U$849,'TAR FIN'!$A$1:$O$99,15,0)),0,VLOOKUP($U$849,'TAR FIN'!$A$1:$O$99,15,0))</f>
        <v>219.97</v>
      </c>
      <c r="Y849" s="4"/>
      <c r="Z849" s="4">
        <f ca="1">('TUSD BE'!$AM$23+'TUSD BF'!$AM$23+'TUSD CVA'!$AM$23)*1</f>
        <v>117.59114529324071</v>
      </c>
      <c r="AA849" s="4">
        <f>('TE BE'!$AA$8+'TE BF'!$AA$8+'TE CVA'!$AA$8)*1</f>
        <v>271.13910989737087</v>
      </c>
      <c r="AB849" s="4">
        <f>$K$849*$V$849</f>
        <v>0</v>
      </c>
      <c r="AC849" s="4">
        <f>$M$849*$W$849</f>
        <v>-6212.2908399999997</v>
      </c>
      <c r="AD849" s="4">
        <f>$O$849*$X$849</f>
        <v>-13999.77068</v>
      </c>
      <c r="AE849" s="4">
        <f>$K$849*$Y$849</f>
        <v>0</v>
      </c>
      <c r="AF849" s="4">
        <f ca="1">$M$849*$Z$849</f>
        <v>-7483.9708510430119</v>
      </c>
      <c r="AG849" s="4">
        <f>$O$849*$AA$849</f>
        <v>-17256.37751030827</v>
      </c>
    </row>
    <row r="850" spans="1:33" ht="11.25" customHeight="1" x14ac:dyDescent="0.25">
      <c r="A850" s="3" t="s">
        <v>28</v>
      </c>
      <c r="B850" s="3" t="s">
        <v>33</v>
      </c>
      <c r="C850" s="3" t="s">
        <v>34</v>
      </c>
      <c r="D850" s="3" t="s">
        <v>40</v>
      </c>
      <c r="E850" s="3" t="s">
        <v>25</v>
      </c>
      <c r="F850" s="3" t="s">
        <v>25</v>
      </c>
      <c r="G850" s="3" t="s">
        <v>25</v>
      </c>
      <c r="H850" s="3" t="s">
        <v>36</v>
      </c>
      <c r="I850" s="6">
        <v>44378</v>
      </c>
      <c r="J850" s="4">
        <v>0</v>
      </c>
      <c r="K850" s="4">
        <v>0</v>
      </c>
      <c r="L850" s="4">
        <v>265.16800000000001</v>
      </c>
      <c r="M850" s="4">
        <v>265.16800000000001</v>
      </c>
      <c r="N850" s="4">
        <v>265.16800000000001</v>
      </c>
      <c r="O850" s="4">
        <v>265.16800000000001</v>
      </c>
      <c r="P850" s="4">
        <v>0</v>
      </c>
      <c r="Q850" s="3" t="s">
        <v>26</v>
      </c>
      <c r="R850" s="3">
        <v>0</v>
      </c>
      <c r="S850" s="4">
        <v>0</v>
      </c>
      <c r="T850" s="4">
        <v>29</v>
      </c>
      <c r="U850" s="4">
        <v>73</v>
      </c>
      <c r="V850" s="4">
        <f>IF(ISERROR(VLOOKUP($S$850,'TAR FIN'!$A$1:$O$99,15,0)),0,VLOOKUP($S$850,'TAR FIN'!$A$1:$O$99,15,0))</f>
        <v>0</v>
      </c>
      <c r="W850" s="4">
        <f>IF(ISERROR(VLOOKUP($T$850,'TAR FIN'!$A$1:$O$99,15,0)),0,VLOOKUP($T$850,'TAR FIN'!$A$1:$O$99,15,0))</f>
        <v>97.61</v>
      </c>
      <c r="X850" s="4">
        <f>IF(ISERROR(VLOOKUP($U$850,'TAR FIN'!$A$1:$O$99,15,0)),0,VLOOKUP($U$850,'TAR FIN'!$A$1:$O$99,15,0))</f>
        <v>219.97</v>
      </c>
      <c r="Y850" s="4"/>
      <c r="Z850" s="4">
        <f ca="1">('TUSD BE'!$AM$23+'TUSD BF'!$AM$23+'TUSD CVA'!$AM$23)*1</f>
        <v>117.59114529324071</v>
      </c>
      <c r="AA850" s="4">
        <f>('TE BE'!$AA$8+'TE BF'!$AA$8+'TE CVA'!$AA$8)*1</f>
        <v>271.13910989737087</v>
      </c>
      <c r="AB850" s="4">
        <f>$K$850*$V$850</f>
        <v>0</v>
      </c>
      <c r="AC850" s="4">
        <f>$M$850*$W$850</f>
        <v>25883.048480000001</v>
      </c>
      <c r="AD850" s="4">
        <f>$O$850*$X$850</f>
        <v>58329.004959999998</v>
      </c>
      <c r="AE850" s="4">
        <f>$K$850*$Y$850</f>
        <v>0</v>
      </c>
      <c r="AF850" s="4">
        <f ca="1">$M$850*$Z$850</f>
        <v>31181.408815118055</v>
      </c>
      <c r="AG850" s="4">
        <f>$O$850*$AA$850</f>
        <v>71897.415493266046</v>
      </c>
    </row>
    <row r="851" spans="1:33" ht="11.25" customHeight="1" x14ac:dyDescent="0.25">
      <c r="A851" s="3" t="s">
        <v>21</v>
      </c>
      <c r="B851" s="3" t="s">
        <v>33</v>
      </c>
      <c r="C851" s="3" t="s">
        <v>34</v>
      </c>
      <c r="D851" s="3" t="s">
        <v>40</v>
      </c>
      <c r="E851" s="3" t="s">
        <v>25</v>
      </c>
      <c r="F851" s="3" t="s">
        <v>25</v>
      </c>
      <c r="G851" s="3" t="s">
        <v>25</v>
      </c>
      <c r="H851" s="3" t="s">
        <v>36</v>
      </c>
      <c r="I851" s="6">
        <v>44378</v>
      </c>
      <c r="J851" s="4">
        <v>0</v>
      </c>
      <c r="K851" s="4">
        <v>0</v>
      </c>
      <c r="L851" s="4">
        <v>853.875</v>
      </c>
      <c r="M851" s="4">
        <v>853.875</v>
      </c>
      <c r="N851" s="4">
        <v>0</v>
      </c>
      <c r="O851" s="4">
        <v>0</v>
      </c>
      <c r="P851" s="4">
        <v>0</v>
      </c>
      <c r="Q851" s="3" t="s">
        <v>57</v>
      </c>
      <c r="R851" s="3">
        <v>0</v>
      </c>
      <c r="S851" s="4">
        <v>0</v>
      </c>
      <c r="T851" s="4">
        <v>29</v>
      </c>
      <c r="U851" s="4">
        <v>0</v>
      </c>
      <c r="V851" s="4">
        <f>IF(ISERROR(VLOOKUP($S$851,'TAR FIN'!$A$1:$O$99,15,0)),0,VLOOKUP($S$851,'TAR FIN'!$A$1:$O$99,15,0))</f>
        <v>0</v>
      </c>
      <c r="W851" s="4">
        <f>IF(ISERROR(VLOOKUP($T$851,'TAR FIN'!$A$1:$O$99,15,0)),0,VLOOKUP($T$851,'TAR FIN'!$A$1:$O$99,15,0))</f>
        <v>97.61</v>
      </c>
      <c r="X851" s="4">
        <f>IF(ISERROR(VLOOKUP($U$851,'TAR FIN'!$A$1:$O$99,15,0)),0,VLOOKUP($U$851,'TAR FIN'!$A$1:$O$99,15,0))</f>
        <v>0</v>
      </c>
      <c r="Y851" s="4"/>
      <c r="Z851" s="4">
        <f ca="1">('TUSD BE'!$AM$23+'TUSD BF'!$AM$23+'TUSD CVA'!$AM$23)*1</f>
        <v>117.59114529324071</v>
      </c>
      <c r="AA851" s="4"/>
      <c r="AB851" s="4">
        <f>$K$851*$V$851</f>
        <v>0</v>
      </c>
      <c r="AC851" s="4">
        <f>$M$851*$W$851</f>
        <v>83346.738750000004</v>
      </c>
      <c r="AD851" s="4">
        <f>$O$851*$X$851</f>
        <v>0</v>
      </c>
      <c r="AE851" s="4">
        <f>$K$851*$Y$851</f>
        <v>0</v>
      </c>
      <c r="AF851" s="4">
        <f ca="1">$M$851*$Z$851</f>
        <v>100408.13918726592</v>
      </c>
      <c r="AG851" s="4">
        <f>$O$851*$AA$851</f>
        <v>0</v>
      </c>
    </row>
    <row r="852" spans="1:33" ht="11.25" customHeight="1" x14ac:dyDescent="0.25">
      <c r="A852" s="3" t="s">
        <v>21</v>
      </c>
      <c r="B852" s="3" t="s">
        <v>33</v>
      </c>
      <c r="C852" s="3" t="s">
        <v>34</v>
      </c>
      <c r="D852" s="3" t="s">
        <v>40</v>
      </c>
      <c r="E852" s="3" t="s">
        <v>25</v>
      </c>
      <c r="F852" s="3" t="s">
        <v>25</v>
      </c>
      <c r="G852" s="3" t="s">
        <v>25</v>
      </c>
      <c r="H852" s="3" t="s">
        <v>36</v>
      </c>
      <c r="I852" s="6">
        <v>44409</v>
      </c>
      <c r="J852" s="4">
        <v>0</v>
      </c>
      <c r="K852" s="4">
        <v>0</v>
      </c>
      <c r="L852" s="4">
        <v>6675.6639999999998</v>
      </c>
      <c r="M852" s="4">
        <v>6675.6639999999998</v>
      </c>
      <c r="N852" s="4">
        <v>6675.6639999999998</v>
      </c>
      <c r="O852" s="4">
        <v>6675.6639999999998</v>
      </c>
      <c r="P852" s="4">
        <v>0</v>
      </c>
      <c r="Q852" s="3" t="s">
        <v>26</v>
      </c>
      <c r="R852" s="3">
        <v>0</v>
      </c>
      <c r="S852" s="4">
        <v>0</v>
      </c>
      <c r="T852" s="4">
        <v>29</v>
      </c>
      <c r="U852" s="4">
        <v>73</v>
      </c>
      <c r="V852" s="4">
        <f>IF(ISERROR(VLOOKUP($S$852,'TAR FIN'!$A$1:$O$99,15,0)),0,VLOOKUP($S$852,'TAR FIN'!$A$1:$O$99,15,0))</f>
        <v>0</v>
      </c>
      <c r="W852" s="4">
        <f>IF(ISERROR(VLOOKUP($T$852,'TAR FIN'!$A$1:$O$99,15,0)),0,VLOOKUP($T$852,'TAR FIN'!$A$1:$O$99,15,0))</f>
        <v>97.61</v>
      </c>
      <c r="X852" s="4">
        <f>IF(ISERROR(VLOOKUP($U$852,'TAR FIN'!$A$1:$O$99,15,0)),0,VLOOKUP($U$852,'TAR FIN'!$A$1:$O$99,15,0))</f>
        <v>219.97</v>
      </c>
      <c r="Y852" s="4"/>
      <c r="Z852" s="4">
        <f ca="1">('TUSD BE'!$AM$23+'TUSD BF'!$AM$23+'TUSD CVA'!$AM$23)*1</f>
        <v>117.59114529324071</v>
      </c>
      <c r="AA852" s="4">
        <f>('TE BE'!$AA$8+'TE BF'!$AA$8+'TE CVA'!$AA$8)*1</f>
        <v>271.13910989737087</v>
      </c>
      <c r="AB852" s="4">
        <f>$K$852*$V$852</f>
        <v>0</v>
      </c>
      <c r="AC852" s="4">
        <f>$M$852*$W$852</f>
        <v>651611.56303999992</v>
      </c>
      <c r="AD852" s="4">
        <f>$O$852*$X$852</f>
        <v>1468445.81008</v>
      </c>
      <c r="AE852" s="4">
        <f>$K$852*$Y$852</f>
        <v>0</v>
      </c>
      <c r="AF852" s="4">
        <f ca="1">$M$852*$Z$852</f>
        <v>784998.97535285645</v>
      </c>
      <c r="AG852" s="4">
        <f>$O$852*$AA$852</f>
        <v>1810033.5949339224</v>
      </c>
    </row>
    <row r="853" spans="1:33" ht="11.25" customHeight="1" x14ac:dyDescent="0.25">
      <c r="A853" s="3" t="s">
        <v>27</v>
      </c>
      <c r="B853" s="3" t="s">
        <v>33</v>
      </c>
      <c r="C853" s="3" t="s">
        <v>34</v>
      </c>
      <c r="D853" s="3" t="s">
        <v>40</v>
      </c>
      <c r="E853" s="3" t="s">
        <v>25</v>
      </c>
      <c r="F853" s="3" t="s">
        <v>25</v>
      </c>
      <c r="G853" s="3" t="s">
        <v>25</v>
      </c>
      <c r="H853" s="3" t="s">
        <v>36</v>
      </c>
      <c r="I853" s="6">
        <v>44409</v>
      </c>
      <c r="J853" s="4">
        <v>0</v>
      </c>
      <c r="K853" s="4">
        <v>0</v>
      </c>
      <c r="L853" s="4">
        <v>-6.976</v>
      </c>
      <c r="M853" s="4">
        <v>-6.976</v>
      </c>
      <c r="N853" s="4">
        <v>-6.976</v>
      </c>
      <c r="O853" s="4">
        <v>-6.976</v>
      </c>
      <c r="P853" s="4">
        <v>0</v>
      </c>
      <c r="Q853" s="3" t="s">
        <v>26</v>
      </c>
      <c r="R853" s="3">
        <v>0</v>
      </c>
      <c r="S853" s="4">
        <v>0</v>
      </c>
      <c r="T853" s="4">
        <v>29</v>
      </c>
      <c r="U853" s="4">
        <v>73</v>
      </c>
      <c r="V853" s="4">
        <f>IF(ISERROR(VLOOKUP($S$853,'TAR FIN'!$A$1:$O$99,15,0)),0,VLOOKUP($S$853,'TAR FIN'!$A$1:$O$99,15,0))</f>
        <v>0</v>
      </c>
      <c r="W853" s="4">
        <f>IF(ISERROR(VLOOKUP($T$853,'TAR FIN'!$A$1:$O$99,15,0)),0,VLOOKUP($T$853,'TAR FIN'!$A$1:$O$99,15,0))</f>
        <v>97.61</v>
      </c>
      <c r="X853" s="4">
        <f>IF(ISERROR(VLOOKUP($U$853,'TAR FIN'!$A$1:$O$99,15,0)),0,VLOOKUP($U$853,'TAR FIN'!$A$1:$O$99,15,0))</f>
        <v>219.97</v>
      </c>
      <c r="Y853" s="4"/>
      <c r="Z853" s="4">
        <f ca="1">('TUSD BE'!$AM$23+'TUSD BF'!$AM$23+'TUSD CVA'!$AM$23)*1</f>
        <v>117.59114529324071</v>
      </c>
      <c r="AA853" s="4">
        <f>('TE BE'!$AA$8+'TE BF'!$AA$8+'TE CVA'!$AA$8)*1</f>
        <v>271.13910989737087</v>
      </c>
      <c r="AB853" s="4">
        <f>$K$853*$V$853</f>
        <v>0</v>
      </c>
      <c r="AC853" s="4">
        <f>$M$853*$W$853</f>
        <v>-680.92736000000002</v>
      </c>
      <c r="AD853" s="4">
        <f>$O$853*$X$853</f>
        <v>-1534.51072</v>
      </c>
      <c r="AE853" s="4">
        <f>$K$853*$Y$853</f>
        <v>0</v>
      </c>
      <c r="AF853" s="4">
        <f ca="1">$M$853*$Z$853</f>
        <v>-820.31582956564728</v>
      </c>
      <c r="AG853" s="4">
        <f>$O$853*$AA$853</f>
        <v>-1891.4664306440593</v>
      </c>
    </row>
    <row r="854" spans="1:33" ht="11.25" customHeight="1" x14ac:dyDescent="0.25">
      <c r="A854" s="3" t="s">
        <v>28</v>
      </c>
      <c r="B854" s="3" t="s">
        <v>33</v>
      </c>
      <c r="C854" s="3" t="s">
        <v>34</v>
      </c>
      <c r="D854" s="3" t="s">
        <v>40</v>
      </c>
      <c r="E854" s="3" t="s">
        <v>25</v>
      </c>
      <c r="F854" s="3" t="s">
        <v>25</v>
      </c>
      <c r="G854" s="3" t="s">
        <v>25</v>
      </c>
      <c r="H854" s="3" t="s">
        <v>36</v>
      </c>
      <c r="I854" s="6">
        <v>44409</v>
      </c>
      <c r="J854" s="4">
        <v>0</v>
      </c>
      <c r="K854" s="4">
        <v>0</v>
      </c>
      <c r="L854" s="4">
        <v>261.60899999999998</v>
      </c>
      <c r="M854" s="4">
        <v>261.60899999999998</v>
      </c>
      <c r="N854" s="4">
        <v>261.60899999999998</v>
      </c>
      <c r="O854" s="4">
        <v>261.60899999999998</v>
      </c>
      <c r="P854" s="4">
        <v>0</v>
      </c>
      <c r="Q854" s="3" t="s">
        <v>26</v>
      </c>
      <c r="R854" s="3">
        <v>0</v>
      </c>
      <c r="S854" s="4">
        <v>0</v>
      </c>
      <c r="T854" s="4">
        <v>29</v>
      </c>
      <c r="U854" s="4">
        <v>73</v>
      </c>
      <c r="V854" s="4">
        <f>IF(ISERROR(VLOOKUP($S$854,'TAR FIN'!$A$1:$O$99,15,0)),0,VLOOKUP($S$854,'TAR FIN'!$A$1:$O$99,15,0))</f>
        <v>0</v>
      </c>
      <c r="W854" s="4">
        <f>IF(ISERROR(VLOOKUP($T$854,'TAR FIN'!$A$1:$O$99,15,0)),0,VLOOKUP($T$854,'TAR FIN'!$A$1:$O$99,15,0))</f>
        <v>97.61</v>
      </c>
      <c r="X854" s="4">
        <f>IF(ISERROR(VLOOKUP($U$854,'TAR FIN'!$A$1:$O$99,15,0)),0,VLOOKUP($U$854,'TAR FIN'!$A$1:$O$99,15,0))</f>
        <v>219.97</v>
      </c>
      <c r="Y854" s="4"/>
      <c r="Z854" s="4">
        <f ca="1">('TUSD BE'!$AM$23+'TUSD BF'!$AM$23+'TUSD CVA'!$AM$23)*1</f>
        <v>117.59114529324071</v>
      </c>
      <c r="AA854" s="4">
        <f>('TE BE'!$AA$8+'TE BF'!$AA$8+'TE CVA'!$AA$8)*1</f>
        <v>271.13910989737087</v>
      </c>
      <c r="AB854" s="4">
        <f>$K$854*$V$854</f>
        <v>0</v>
      </c>
      <c r="AC854" s="4">
        <f>$M$854*$W$854</f>
        <v>25535.654489999997</v>
      </c>
      <c r="AD854" s="4">
        <f>$O$854*$X$854</f>
        <v>57546.131729999994</v>
      </c>
      <c r="AE854" s="4">
        <f>$K$854*$Y$854</f>
        <v>0</v>
      </c>
      <c r="AF854" s="4">
        <f ca="1">$M$854*$Z$854</f>
        <v>30762.901929019408</v>
      </c>
      <c r="AG854" s="4">
        <f>$O$854*$AA$854</f>
        <v>70932.431401141293</v>
      </c>
    </row>
    <row r="855" spans="1:33" ht="11.25" customHeight="1" x14ac:dyDescent="0.25">
      <c r="A855" s="3" t="s">
        <v>21</v>
      </c>
      <c r="B855" s="3" t="s">
        <v>33</v>
      </c>
      <c r="C855" s="3" t="s">
        <v>34</v>
      </c>
      <c r="D855" s="3" t="s">
        <v>40</v>
      </c>
      <c r="E855" s="3" t="s">
        <v>25</v>
      </c>
      <c r="F855" s="3" t="s">
        <v>25</v>
      </c>
      <c r="G855" s="3" t="s">
        <v>25</v>
      </c>
      <c r="H855" s="3" t="s">
        <v>36</v>
      </c>
      <c r="I855" s="6">
        <v>44409</v>
      </c>
      <c r="J855" s="4">
        <v>0</v>
      </c>
      <c r="K855" s="4">
        <v>0</v>
      </c>
      <c r="L855" s="4">
        <v>653.58500000000004</v>
      </c>
      <c r="M855" s="4">
        <v>653.58500000000004</v>
      </c>
      <c r="N855" s="4">
        <v>0</v>
      </c>
      <c r="O855" s="4">
        <v>0</v>
      </c>
      <c r="P855" s="4">
        <v>0</v>
      </c>
      <c r="Q855" s="3" t="s">
        <v>57</v>
      </c>
      <c r="R855" s="3">
        <v>0</v>
      </c>
      <c r="S855" s="4">
        <v>0</v>
      </c>
      <c r="T855" s="4">
        <v>29</v>
      </c>
      <c r="U855" s="4">
        <v>0</v>
      </c>
      <c r="V855" s="4">
        <f>IF(ISERROR(VLOOKUP($S$855,'TAR FIN'!$A$1:$O$99,15,0)),0,VLOOKUP($S$855,'TAR FIN'!$A$1:$O$99,15,0))</f>
        <v>0</v>
      </c>
      <c r="W855" s="4">
        <f>IF(ISERROR(VLOOKUP($T$855,'TAR FIN'!$A$1:$O$99,15,0)),0,VLOOKUP($T$855,'TAR FIN'!$A$1:$O$99,15,0))</f>
        <v>97.61</v>
      </c>
      <c r="X855" s="4">
        <f>IF(ISERROR(VLOOKUP($U$855,'TAR FIN'!$A$1:$O$99,15,0)),0,VLOOKUP($U$855,'TAR FIN'!$A$1:$O$99,15,0))</f>
        <v>0</v>
      </c>
      <c r="Y855" s="4"/>
      <c r="Z855" s="4">
        <f ca="1">('TUSD BE'!$AM$23+'TUSD BF'!$AM$23+'TUSD CVA'!$AM$23)*1</f>
        <v>117.59114529324071</v>
      </c>
      <c r="AA855" s="4"/>
      <c r="AB855" s="4">
        <f>$K$855*$V$855</f>
        <v>0</v>
      </c>
      <c r="AC855" s="4">
        <f>$M$855*$W$855</f>
        <v>63796.431850000001</v>
      </c>
      <c r="AD855" s="4">
        <f>$O$855*$X$855</f>
        <v>0</v>
      </c>
      <c r="AE855" s="4">
        <f>$K$855*$Y$855</f>
        <v>0</v>
      </c>
      <c r="AF855" s="4">
        <f ca="1">$M$855*$Z$855</f>
        <v>76855.808696482738</v>
      </c>
      <c r="AG855" s="4">
        <f>$O$855*$AA$855</f>
        <v>0</v>
      </c>
    </row>
    <row r="856" spans="1:33" ht="11.25" customHeight="1" x14ac:dyDescent="0.25">
      <c r="A856" s="3" t="s">
        <v>21</v>
      </c>
      <c r="B856" s="3" t="s">
        <v>33</v>
      </c>
      <c r="C856" s="3" t="s">
        <v>34</v>
      </c>
      <c r="D856" s="3" t="s">
        <v>40</v>
      </c>
      <c r="E856" s="3" t="s">
        <v>25</v>
      </c>
      <c r="F856" s="3" t="s">
        <v>25</v>
      </c>
      <c r="G856" s="3" t="s">
        <v>25</v>
      </c>
      <c r="H856" s="3" t="s">
        <v>36</v>
      </c>
      <c r="I856" s="6">
        <v>44440</v>
      </c>
      <c r="J856" s="4">
        <v>0</v>
      </c>
      <c r="K856" s="4">
        <v>0</v>
      </c>
      <c r="L856" s="4">
        <v>6558.9889999999996</v>
      </c>
      <c r="M856" s="4">
        <v>6558.9889999999996</v>
      </c>
      <c r="N856" s="4">
        <v>6558.9889999999996</v>
      </c>
      <c r="O856" s="4">
        <v>6558.9889999999996</v>
      </c>
      <c r="P856" s="4">
        <v>0</v>
      </c>
      <c r="Q856" s="3" t="s">
        <v>26</v>
      </c>
      <c r="R856" s="3">
        <v>0</v>
      </c>
      <c r="S856" s="4">
        <v>0</v>
      </c>
      <c r="T856" s="4">
        <v>29</v>
      </c>
      <c r="U856" s="4">
        <v>73</v>
      </c>
      <c r="V856" s="4">
        <f>IF(ISERROR(VLOOKUP($S$856,'TAR FIN'!$A$1:$O$99,15,0)),0,VLOOKUP($S$856,'TAR FIN'!$A$1:$O$99,15,0))</f>
        <v>0</v>
      </c>
      <c r="W856" s="4">
        <f>IF(ISERROR(VLOOKUP($T$856,'TAR FIN'!$A$1:$O$99,15,0)),0,VLOOKUP($T$856,'TAR FIN'!$A$1:$O$99,15,0))</f>
        <v>97.61</v>
      </c>
      <c r="X856" s="4">
        <f>IF(ISERROR(VLOOKUP($U$856,'TAR FIN'!$A$1:$O$99,15,0)),0,VLOOKUP($U$856,'TAR FIN'!$A$1:$O$99,15,0))</f>
        <v>219.97</v>
      </c>
      <c r="Y856" s="4"/>
      <c r="Z856" s="4">
        <f ca="1">('TUSD BE'!$AM$23+'TUSD BF'!$AM$23+'TUSD CVA'!$AM$23)*1</f>
        <v>117.59114529324071</v>
      </c>
      <c r="AA856" s="4">
        <f>('TE BE'!$AA$8+'TE BF'!$AA$8+'TE CVA'!$AA$8)*1</f>
        <v>271.13910989737087</v>
      </c>
      <c r="AB856" s="4">
        <f>$K$856*$V$856</f>
        <v>0</v>
      </c>
      <c r="AC856" s="4">
        <f>$M$856*$W$856</f>
        <v>640222.91628999996</v>
      </c>
      <c r="AD856" s="4">
        <f>$O$856*$X$856</f>
        <v>1442780.81033</v>
      </c>
      <c r="AE856" s="4">
        <f>$K$856*$Y$856</f>
        <v>0</v>
      </c>
      <c r="AF856" s="4">
        <f ca="1">$M$856*$Z$856</f>
        <v>771279.02847576758</v>
      </c>
      <c r="AG856" s="4">
        <f>$O$856*$AA$856</f>
        <v>1778398.4392866467</v>
      </c>
    </row>
    <row r="857" spans="1:33" ht="11.25" customHeight="1" x14ac:dyDescent="0.25">
      <c r="A857" s="3" t="s">
        <v>27</v>
      </c>
      <c r="B857" s="3" t="s">
        <v>33</v>
      </c>
      <c r="C857" s="3" t="s">
        <v>34</v>
      </c>
      <c r="D857" s="3" t="s">
        <v>40</v>
      </c>
      <c r="E857" s="3" t="s">
        <v>25</v>
      </c>
      <c r="F857" s="3" t="s">
        <v>25</v>
      </c>
      <c r="G857" s="3" t="s">
        <v>25</v>
      </c>
      <c r="H857" s="3" t="s">
        <v>36</v>
      </c>
      <c r="I857" s="6">
        <v>44440</v>
      </c>
      <c r="J857" s="4">
        <v>0</v>
      </c>
      <c r="K857" s="4">
        <v>0</v>
      </c>
      <c r="L857" s="4">
        <v>0.442</v>
      </c>
      <c r="M857" s="4">
        <v>0.442</v>
      </c>
      <c r="N857" s="4">
        <v>0.442</v>
      </c>
      <c r="O857" s="4">
        <v>0.442</v>
      </c>
      <c r="P857" s="4">
        <v>0</v>
      </c>
      <c r="Q857" s="3" t="s">
        <v>26</v>
      </c>
      <c r="R857" s="3">
        <v>0</v>
      </c>
      <c r="S857" s="4">
        <v>0</v>
      </c>
      <c r="T857" s="4">
        <v>29</v>
      </c>
      <c r="U857" s="4">
        <v>73</v>
      </c>
      <c r="V857" s="4">
        <f>IF(ISERROR(VLOOKUP($S$857,'TAR FIN'!$A$1:$O$99,15,0)),0,VLOOKUP($S$857,'TAR FIN'!$A$1:$O$99,15,0))</f>
        <v>0</v>
      </c>
      <c r="W857" s="4">
        <f>IF(ISERROR(VLOOKUP($T$857,'TAR FIN'!$A$1:$O$99,15,0)),0,VLOOKUP($T$857,'TAR FIN'!$A$1:$O$99,15,0))</f>
        <v>97.61</v>
      </c>
      <c r="X857" s="4">
        <f>IF(ISERROR(VLOOKUP($U$857,'TAR FIN'!$A$1:$O$99,15,0)),0,VLOOKUP($U$857,'TAR FIN'!$A$1:$O$99,15,0))</f>
        <v>219.97</v>
      </c>
      <c r="Y857" s="4"/>
      <c r="Z857" s="4">
        <f ca="1">('TUSD BE'!$AM$23+'TUSD BF'!$AM$23+'TUSD CVA'!$AM$23)*1</f>
        <v>117.59114529324071</v>
      </c>
      <c r="AA857" s="4">
        <f>('TE BE'!$AA$8+'TE BF'!$AA$8+'TE CVA'!$AA$8)*1</f>
        <v>271.13910989737087</v>
      </c>
      <c r="AB857" s="4">
        <f>$K$857*$V$857</f>
        <v>0</v>
      </c>
      <c r="AC857" s="4">
        <f>$M$857*$W$857</f>
        <v>43.143619999999999</v>
      </c>
      <c r="AD857" s="4">
        <f>$O$857*$X$857</f>
        <v>97.226740000000007</v>
      </c>
      <c r="AE857" s="4">
        <f>$K$857*$Y$857</f>
        <v>0</v>
      </c>
      <c r="AF857" s="4">
        <f ca="1">$M$857*$Z$857</f>
        <v>51.975286219612393</v>
      </c>
      <c r="AG857" s="4">
        <f>$O$857*$AA$857</f>
        <v>119.84348657463792</v>
      </c>
    </row>
    <row r="858" spans="1:33" ht="11.25" customHeight="1" x14ac:dyDescent="0.25">
      <c r="A858" s="3" t="s">
        <v>28</v>
      </c>
      <c r="B858" s="3" t="s">
        <v>33</v>
      </c>
      <c r="C858" s="3" t="s">
        <v>34</v>
      </c>
      <c r="D858" s="3" t="s">
        <v>40</v>
      </c>
      <c r="E858" s="3" t="s">
        <v>25</v>
      </c>
      <c r="F858" s="3" t="s">
        <v>25</v>
      </c>
      <c r="G858" s="3" t="s">
        <v>25</v>
      </c>
      <c r="H858" s="3" t="s">
        <v>36</v>
      </c>
      <c r="I858" s="6">
        <v>44440</v>
      </c>
      <c r="J858" s="4">
        <v>0</v>
      </c>
      <c r="K858" s="4">
        <v>0</v>
      </c>
      <c r="L858" s="4">
        <v>235.155</v>
      </c>
      <c r="M858" s="4">
        <v>235.155</v>
      </c>
      <c r="N858" s="4">
        <v>235.155</v>
      </c>
      <c r="O858" s="4">
        <v>235.155</v>
      </c>
      <c r="P858" s="4">
        <v>0</v>
      </c>
      <c r="Q858" s="3" t="s">
        <v>26</v>
      </c>
      <c r="R858" s="3">
        <v>0</v>
      </c>
      <c r="S858" s="4">
        <v>0</v>
      </c>
      <c r="T858" s="4">
        <v>29</v>
      </c>
      <c r="U858" s="4">
        <v>73</v>
      </c>
      <c r="V858" s="4">
        <f>IF(ISERROR(VLOOKUP($S$858,'TAR FIN'!$A$1:$O$99,15,0)),0,VLOOKUP($S$858,'TAR FIN'!$A$1:$O$99,15,0))</f>
        <v>0</v>
      </c>
      <c r="W858" s="4">
        <f>IF(ISERROR(VLOOKUP($T$858,'TAR FIN'!$A$1:$O$99,15,0)),0,VLOOKUP($T$858,'TAR FIN'!$A$1:$O$99,15,0))</f>
        <v>97.61</v>
      </c>
      <c r="X858" s="4">
        <f>IF(ISERROR(VLOOKUP($U$858,'TAR FIN'!$A$1:$O$99,15,0)),0,VLOOKUP($U$858,'TAR FIN'!$A$1:$O$99,15,0))</f>
        <v>219.97</v>
      </c>
      <c r="Y858" s="4"/>
      <c r="Z858" s="4">
        <f ca="1">('TUSD BE'!$AM$23+'TUSD BF'!$AM$23+'TUSD CVA'!$AM$23)*1</f>
        <v>117.59114529324071</v>
      </c>
      <c r="AA858" s="4">
        <f>('TE BE'!$AA$8+'TE BF'!$AA$8+'TE CVA'!$AA$8)*1</f>
        <v>271.13910989737087</v>
      </c>
      <c r="AB858" s="4">
        <f>$K$858*$V$858</f>
        <v>0</v>
      </c>
      <c r="AC858" s="4">
        <f>$M$858*$W$858</f>
        <v>22953.47955</v>
      </c>
      <c r="AD858" s="4">
        <f>$O$858*$X$858</f>
        <v>51727.04535</v>
      </c>
      <c r="AE858" s="4">
        <f>$K$858*$Y$858</f>
        <v>0</v>
      </c>
      <c r="AF858" s="4">
        <f ca="1">$M$858*$Z$858</f>
        <v>27652.14577143202</v>
      </c>
      <c r="AG858" s="4">
        <f>$O$858*$AA$858</f>
        <v>63759.717387916251</v>
      </c>
    </row>
    <row r="859" spans="1:33" ht="11.25" customHeight="1" x14ac:dyDescent="0.25">
      <c r="A859" s="3" t="s">
        <v>21</v>
      </c>
      <c r="B859" s="3" t="s">
        <v>33</v>
      </c>
      <c r="C859" s="3" t="s">
        <v>34</v>
      </c>
      <c r="D859" s="3" t="s">
        <v>40</v>
      </c>
      <c r="E859" s="3" t="s">
        <v>25</v>
      </c>
      <c r="F859" s="3" t="s">
        <v>25</v>
      </c>
      <c r="G859" s="3" t="s">
        <v>25</v>
      </c>
      <c r="H859" s="3" t="s">
        <v>36</v>
      </c>
      <c r="I859" s="6">
        <v>44440</v>
      </c>
      <c r="J859" s="4">
        <v>0</v>
      </c>
      <c r="K859" s="4">
        <v>0</v>
      </c>
      <c r="L859" s="4">
        <v>772.10500000000002</v>
      </c>
      <c r="M859" s="4">
        <v>772.10500000000002</v>
      </c>
      <c r="N859" s="4">
        <v>0</v>
      </c>
      <c r="O859" s="4">
        <v>0</v>
      </c>
      <c r="P859" s="4">
        <v>0</v>
      </c>
      <c r="Q859" s="3" t="s">
        <v>57</v>
      </c>
      <c r="R859" s="3">
        <v>0</v>
      </c>
      <c r="S859" s="4">
        <v>0</v>
      </c>
      <c r="T859" s="4">
        <v>29</v>
      </c>
      <c r="U859" s="4">
        <v>0</v>
      </c>
      <c r="V859" s="4">
        <f>IF(ISERROR(VLOOKUP($S$859,'TAR FIN'!$A$1:$O$99,15,0)),0,VLOOKUP($S$859,'TAR FIN'!$A$1:$O$99,15,0))</f>
        <v>0</v>
      </c>
      <c r="W859" s="4">
        <f>IF(ISERROR(VLOOKUP($T$859,'TAR FIN'!$A$1:$O$99,15,0)),0,VLOOKUP($T$859,'TAR FIN'!$A$1:$O$99,15,0))</f>
        <v>97.61</v>
      </c>
      <c r="X859" s="4">
        <f>IF(ISERROR(VLOOKUP($U$859,'TAR FIN'!$A$1:$O$99,15,0)),0,VLOOKUP($U$859,'TAR FIN'!$A$1:$O$99,15,0))</f>
        <v>0</v>
      </c>
      <c r="Y859" s="4"/>
      <c r="Z859" s="4">
        <f ca="1">('TUSD BE'!$AM$23+'TUSD BF'!$AM$23+'TUSD CVA'!$AM$23)*1</f>
        <v>117.59114529324071</v>
      </c>
      <c r="AA859" s="4"/>
      <c r="AB859" s="4">
        <f>$K$859*$V$859</f>
        <v>0</v>
      </c>
      <c r="AC859" s="4">
        <f>$M$859*$W$859</f>
        <v>75365.169049999997</v>
      </c>
      <c r="AD859" s="4">
        <f>$O$859*$X$859</f>
        <v>0</v>
      </c>
      <c r="AE859" s="4">
        <f>$K$859*$Y$859</f>
        <v>0</v>
      </c>
      <c r="AF859" s="4">
        <f ca="1">$M$859*$Z$859</f>
        <v>90792.711236637624</v>
      </c>
      <c r="AG859" s="4">
        <f>$O$859*$AA$859</f>
        <v>0</v>
      </c>
    </row>
    <row r="860" spans="1:33" ht="11.25" customHeight="1" x14ac:dyDescent="0.25">
      <c r="A860" s="3" t="s">
        <v>21</v>
      </c>
      <c r="B860" s="3" t="s">
        <v>33</v>
      </c>
      <c r="C860" s="3" t="s">
        <v>34</v>
      </c>
      <c r="D860" s="3" t="s">
        <v>40</v>
      </c>
      <c r="E860" s="3" t="s">
        <v>25</v>
      </c>
      <c r="F860" s="3" t="s">
        <v>25</v>
      </c>
      <c r="G860" s="3" t="s">
        <v>25</v>
      </c>
      <c r="H860" s="3" t="s">
        <v>36</v>
      </c>
      <c r="I860" s="6">
        <v>44470</v>
      </c>
      <c r="J860" s="4">
        <v>0</v>
      </c>
      <c r="K860" s="4">
        <v>0</v>
      </c>
      <c r="L860" s="4">
        <v>6469.0789999999997</v>
      </c>
      <c r="M860" s="4">
        <v>6469.0789999999997</v>
      </c>
      <c r="N860" s="4">
        <v>6469.0789999999997</v>
      </c>
      <c r="O860" s="4">
        <v>6469.0789999999997</v>
      </c>
      <c r="P860" s="4">
        <v>0</v>
      </c>
      <c r="Q860" s="3" t="s">
        <v>26</v>
      </c>
      <c r="R860" s="3">
        <v>0</v>
      </c>
      <c r="S860" s="4">
        <v>0</v>
      </c>
      <c r="T860" s="4">
        <v>29</v>
      </c>
      <c r="U860" s="4">
        <v>73</v>
      </c>
      <c r="V860" s="4">
        <f>IF(ISERROR(VLOOKUP($S$860,'TAR FIN'!$A$1:$O$99,15,0)),0,VLOOKUP($S$860,'TAR FIN'!$A$1:$O$99,15,0))</f>
        <v>0</v>
      </c>
      <c r="W860" s="4">
        <f>IF(ISERROR(VLOOKUP($T$860,'TAR FIN'!$A$1:$O$99,15,0)),0,VLOOKUP($T$860,'TAR FIN'!$A$1:$O$99,15,0))</f>
        <v>97.61</v>
      </c>
      <c r="X860" s="4">
        <f>IF(ISERROR(VLOOKUP($U$860,'TAR FIN'!$A$1:$O$99,15,0)),0,VLOOKUP($U$860,'TAR FIN'!$A$1:$O$99,15,0))</f>
        <v>219.97</v>
      </c>
      <c r="Y860" s="4"/>
      <c r="Z860" s="4">
        <f ca="1">('TUSD BE'!$AM$23+'TUSD BF'!$AM$23+'TUSD CVA'!$AM$23)*1</f>
        <v>117.59114529324071</v>
      </c>
      <c r="AA860" s="4">
        <f>('TE BE'!$AA$8+'TE BF'!$AA$8+'TE CVA'!$AA$8)*1</f>
        <v>271.13910989737087</v>
      </c>
      <c r="AB860" s="4">
        <f>$K$860*$V$860</f>
        <v>0</v>
      </c>
      <c r="AC860" s="4">
        <f>$M$860*$W$860</f>
        <v>631446.80119000003</v>
      </c>
      <c r="AD860" s="4">
        <f>$O$860*$X$860</f>
        <v>1423003.3076299999</v>
      </c>
      <c r="AE860" s="4">
        <f>$K$860*$Y$860</f>
        <v>0</v>
      </c>
      <c r="AF860" s="4">
        <f ca="1">$M$860*$Z$860</f>
        <v>760706.40860245237</v>
      </c>
      <c r="AG860" s="4">
        <f>$O$860*$AA$860</f>
        <v>1754020.3219157739</v>
      </c>
    </row>
    <row r="861" spans="1:33" ht="11.25" customHeight="1" x14ac:dyDescent="0.25">
      <c r="A861" s="3" t="s">
        <v>27</v>
      </c>
      <c r="B861" s="3" t="s">
        <v>33</v>
      </c>
      <c r="C861" s="3" t="s">
        <v>34</v>
      </c>
      <c r="D861" s="3" t="s">
        <v>40</v>
      </c>
      <c r="E861" s="3" t="s">
        <v>25</v>
      </c>
      <c r="F861" s="3" t="s">
        <v>25</v>
      </c>
      <c r="G861" s="3" t="s">
        <v>25</v>
      </c>
      <c r="H861" s="3" t="s">
        <v>36</v>
      </c>
      <c r="I861" s="6">
        <v>44470</v>
      </c>
      <c r="J861" s="4">
        <v>0</v>
      </c>
      <c r="K861" s="4">
        <v>0</v>
      </c>
      <c r="L861" s="4">
        <v>-102.871</v>
      </c>
      <c r="M861" s="4">
        <v>-102.871</v>
      </c>
      <c r="N861" s="4">
        <v>-102.871</v>
      </c>
      <c r="O861" s="4">
        <v>-102.871</v>
      </c>
      <c r="P861" s="4">
        <v>0</v>
      </c>
      <c r="Q861" s="3" t="s">
        <v>26</v>
      </c>
      <c r="R861" s="3">
        <v>0</v>
      </c>
      <c r="S861" s="4">
        <v>0</v>
      </c>
      <c r="T861" s="4">
        <v>29</v>
      </c>
      <c r="U861" s="4">
        <v>73</v>
      </c>
      <c r="V861" s="4">
        <f>IF(ISERROR(VLOOKUP($S$861,'TAR FIN'!$A$1:$O$99,15,0)),0,VLOOKUP($S$861,'TAR FIN'!$A$1:$O$99,15,0))</f>
        <v>0</v>
      </c>
      <c r="W861" s="4">
        <f>IF(ISERROR(VLOOKUP($T$861,'TAR FIN'!$A$1:$O$99,15,0)),0,VLOOKUP($T$861,'TAR FIN'!$A$1:$O$99,15,0))</f>
        <v>97.61</v>
      </c>
      <c r="X861" s="4">
        <f>IF(ISERROR(VLOOKUP($U$861,'TAR FIN'!$A$1:$O$99,15,0)),0,VLOOKUP($U$861,'TAR FIN'!$A$1:$O$99,15,0))</f>
        <v>219.97</v>
      </c>
      <c r="Y861" s="4"/>
      <c r="Z861" s="4">
        <f ca="1">('TUSD BE'!$AM$23+'TUSD BF'!$AM$23+'TUSD CVA'!$AM$23)*1</f>
        <v>117.59114529324071</v>
      </c>
      <c r="AA861" s="4">
        <f>('TE BE'!$AA$8+'TE BF'!$AA$8+'TE CVA'!$AA$8)*1</f>
        <v>271.13910989737087</v>
      </c>
      <c r="AB861" s="4">
        <f>$K$861*$V$861</f>
        <v>0</v>
      </c>
      <c r="AC861" s="4">
        <f>$M$861*$W$861</f>
        <v>-10041.238309999999</v>
      </c>
      <c r="AD861" s="4">
        <f>$O$861*$X$861</f>
        <v>-22628.533869999999</v>
      </c>
      <c r="AE861" s="4">
        <f>$K$861*$Y$861</f>
        <v>0</v>
      </c>
      <c r="AF861" s="4">
        <f ca="1">$M$861*$Z$861</f>
        <v>-12096.718707460965</v>
      </c>
      <c r="AG861" s="4">
        <f>$O$861*$AA$861</f>
        <v>-27892.351374252437</v>
      </c>
    </row>
    <row r="862" spans="1:33" ht="11.25" customHeight="1" x14ac:dyDescent="0.25">
      <c r="A862" s="3" t="s">
        <v>28</v>
      </c>
      <c r="B862" s="3" t="s">
        <v>33</v>
      </c>
      <c r="C862" s="3" t="s">
        <v>34</v>
      </c>
      <c r="D862" s="3" t="s">
        <v>40</v>
      </c>
      <c r="E862" s="3" t="s">
        <v>25</v>
      </c>
      <c r="F862" s="3" t="s">
        <v>25</v>
      </c>
      <c r="G862" s="3" t="s">
        <v>25</v>
      </c>
      <c r="H862" s="3" t="s">
        <v>36</v>
      </c>
      <c r="I862" s="6">
        <v>44470</v>
      </c>
      <c r="J862" s="4">
        <v>0</v>
      </c>
      <c r="K862" s="4">
        <v>0</v>
      </c>
      <c r="L862" s="4">
        <v>275.79399999999998</v>
      </c>
      <c r="M862" s="4">
        <v>275.79399999999998</v>
      </c>
      <c r="N862" s="4">
        <v>275.79399999999998</v>
      </c>
      <c r="O862" s="4">
        <v>275.79399999999998</v>
      </c>
      <c r="P862" s="4">
        <v>0</v>
      </c>
      <c r="Q862" s="3" t="s">
        <v>26</v>
      </c>
      <c r="R862" s="3">
        <v>0</v>
      </c>
      <c r="S862" s="4">
        <v>0</v>
      </c>
      <c r="T862" s="4">
        <v>29</v>
      </c>
      <c r="U862" s="4">
        <v>73</v>
      </c>
      <c r="V862" s="4">
        <f>IF(ISERROR(VLOOKUP($S$862,'TAR FIN'!$A$1:$O$99,15,0)),0,VLOOKUP($S$862,'TAR FIN'!$A$1:$O$99,15,0))</f>
        <v>0</v>
      </c>
      <c r="W862" s="4">
        <f>IF(ISERROR(VLOOKUP($T$862,'TAR FIN'!$A$1:$O$99,15,0)),0,VLOOKUP($T$862,'TAR FIN'!$A$1:$O$99,15,0))</f>
        <v>97.61</v>
      </c>
      <c r="X862" s="4">
        <f>IF(ISERROR(VLOOKUP($U$862,'TAR FIN'!$A$1:$O$99,15,0)),0,VLOOKUP($U$862,'TAR FIN'!$A$1:$O$99,15,0))</f>
        <v>219.97</v>
      </c>
      <c r="Y862" s="4"/>
      <c r="Z862" s="4">
        <f ca="1">('TUSD BE'!$AM$23+'TUSD BF'!$AM$23+'TUSD CVA'!$AM$23)*1</f>
        <v>117.59114529324071</v>
      </c>
      <c r="AA862" s="4">
        <f>('TE BE'!$AA$8+'TE BF'!$AA$8+'TE CVA'!$AA$8)*1</f>
        <v>271.13910989737087</v>
      </c>
      <c r="AB862" s="4">
        <f>$K$862*$V$862</f>
        <v>0</v>
      </c>
      <c r="AC862" s="4">
        <f>$M$862*$W$862</f>
        <v>26920.252339999999</v>
      </c>
      <c r="AD862" s="4">
        <f>$O$862*$X$862</f>
        <v>60666.406179999998</v>
      </c>
      <c r="AE862" s="4">
        <f>$K$862*$Y$862</f>
        <v>0</v>
      </c>
      <c r="AF862" s="4">
        <f ca="1">$M$862*$Z$862</f>
        <v>32430.932325004029</v>
      </c>
      <c r="AG862" s="4">
        <f>$O$862*$AA$862</f>
        <v>74778.539675035499</v>
      </c>
    </row>
    <row r="863" spans="1:33" ht="11.25" customHeight="1" x14ac:dyDescent="0.25">
      <c r="A863" s="3" t="s">
        <v>21</v>
      </c>
      <c r="B863" s="3" t="s">
        <v>33</v>
      </c>
      <c r="C863" s="3" t="s">
        <v>34</v>
      </c>
      <c r="D863" s="3" t="s">
        <v>40</v>
      </c>
      <c r="E863" s="3" t="s">
        <v>25</v>
      </c>
      <c r="F863" s="3" t="s">
        <v>25</v>
      </c>
      <c r="G863" s="3" t="s">
        <v>25</v>
      </c>
      <c r="H863" s="3" t="s">
        <v>36</v>
      </c>
      <c r="I863" s="6">
        <v>44470</v>
      </c>
      <c r="J863" s="4">
        <v>0</v>
      </c>
      <c r="K863" s="4">
        <v>0</v>
      </c>
      <c r="L863" s="4">
        <v>770.64200000000005</v>
      </c>
      <c r="M863" s="4">
        <v>770.64200000000005</v>
      </c>
      <c r="N863" s="4">
        <v>0</v>
      </c>
      <c r="O863" s="4">
        <v>0</v>
      </c>
      <c r="P863" s="4">
        <v>0</v>
      </c>
      <c r="Q863" s="3" t="s">
        <v>57</v>
      </c>
      <c r="R863" s="3">
        <v>0</v>
      </c>
      <c r="S863" s="4">
        <v>0</v>
      </c>
      <c r="T863" s="4">
        <v>29</v>
      </c>
      <c r="U863" s="4">
        <v>0</v>
      </c>
      <c r="V863" s="4">
        <f>IF(ISERROR(VLOOKUP($S$863,'TAR FIN'!$A$1:$O$99,15,0)),0,VLOOKUP($S$863,'TAR FIN'!$A$1:$O$99,15,0))</f>
        <v>0</v>
      </c>
      <c r="W863" s="4">
        <f>IF(ISERROR(VLOOKUP($T$863,'TAR FIN'!$A$1:$O$99,15,0)),0,VLOOKUP($T$863,'TAR FIN'!$A$1:$O$99,15,0))</f>
        <v>97.61</v>
      </c>
      <c r="X863" s="4">
        <f>IF(ISERROR(VLOOKUP($U$863,'TAR FIN'!$A$1:$O$99,15,0)),0,VLOOKUP($U$863,'TAR FIN'!$A$1:$O$99,15,0))</f>
        <v>0</v>
      </c>
      <c r="Y863" s="4"/>
      <c r="Z863" s="4">
        <f ca="1">('TUSD BE'!$AM$23+'TUSD BF'!$AM$23+'TUSD CVA'!$AM$23)*1</f>
        <v>117.59114529324071</v>
      </c>
      <c r="AA863" s="4"/>
      <c r="AB863" s="4">
        <f>$K$863*$V$863</f>
        <v>0</v>
      </c>
      <c r="AC863" s="4">
        <f>$M$863*$W$863</f>
        <v>75222.365620000011</v>
      </c>
      <c r="AD863" s="4">
        <f>$O$863*$X$863</f>
        <v>0</v>
      </c>
      <c r="AE863" s="4">
        <f>$K$863*$Y$863</f>
        <v>0</v>
      </c>
      <c r="AF863" s="4">
        <f ca="1">$M$863*$Z$863</f>
        <v>90620.675391073615</v>
      </c>
      <c r="AG863" s="4">
        <f>$O$863*$AA$863</f>
        <v>0</v>
      </c>
    </row>
    <row r="864" spans="1:33" ht="11.25" customHeight="1" x14ac:dyDescent="0.25">
      <c r="A864" s="3" t="s">
        <v>21</v>
      </c>
      <c r="B864" s="3" t="s">
        <v>33</v>
      </c>
      <c r="C864" s="3" t="s">
        <v>34</v>
      </c>
      <c r="D864" s="3" t="s">
        <v>40</v>
      </c>
      <c r="E864" s="3" t="s">
        <v>25</v>
      </c>
      <c r="F864" s="3" t="s">
        <v>25</v>
      </c>
      <c r="G864" s="3" t="s">
        <v>25</v>
      </c>
      <c r="H864" s="3" t="s">
        <v>36</v>
      </c>
      <c r="I864" s="6">
        <v>44501</v>
      </c>
      <c r="J864" s="4">
        <v>0</v>
      </c>
      <c r="K864" s="4">
        <v>0</v>
      </c>
      <c r="L864" s="4">
        <v>6212.74</v>
      </c>
      <c r="M864" s="4">
        <v>6212.74</v>
      </c>
      <c r="N864" s="4">
        <v>6212.74</v>
      </c>
      <c r="O864" s="4">
        <v>6212.74</v>
      </c>
      <c r="P864" s="4">
        <v>0</v>
      </c>
      <c r="Q864" s="3" t="s">
        <v>26</v>
      </c>
      <c r="R864" s="3">
        <v>0</v>
      </c>
      <c r="S864" s="4">
        <v>0</v>
      </c>
      <c r="T864" s="4">
        <v>29</v>
      </c>
      <c r="U864" s="4">
        <v>73</v>
      </c>
      <c r="V864" s="4">
        <f>IF(ISERROR(VLOOKUP($S$864,'TAR FIN'!$A$1:$O$99,15,0)),0,VLOOKUP($S$864,'TAR FIN'!$A$1:$O$99,15,0))</f>
        <v>0</v>
      </c>
      <c r="W864" s="4">
        <f>IF(ISERROR(VLOOKUP($T$864,'TAR FIN'!$A$1:$O$99,15,0)),0,VLOOKUP($T$864,'TAR FIN'!$A$1:$O$99,15,0))</f>
        <v>97.61</v>
      </c>
      <c r="X864" s="4">
        <f>IF(ISERROR(VLOOKUP($U$864,'TAR FIN'!$A$1:$O$99,15,0)),0,VLOOKUP($U$864,'TAR FIN'!$A$1:$O$99,15,0))</f>
        <v>219.97</v>
      </c>
      <c r="Y864" s="4"/>
      <c r="Z864" s="4">
        <f ca="1">('TUSD BE'!$AM$23+'TUSD BF'!$AM$23+'TUSD CVA'!$AM$23)*1</f>
        <v>117.59114529324071</v>
      </c>
      <c r="AA864" s="4">
        <f>('TE BE'!$AA$8+'TE BF'!$AA$8+'TE CVA'!$AA$8)*1</f>
        <v>271.13910989737087</v>
      </c>
      <c r="AB864" s="4">
        <f>$K$864*$V$864</f>
        <v>0</v>
      </c>
      <c r="AC864" s="4">
        <f>$M$864*$W$864</f>
        <v>606425.5514</v>
      </c>
      <c r="AD864" s="4">
        <f>$O$864*$X$864</f>
        <v>1366616.4177999999</v>
      </c>
      <c r="AE864" s="4">
        <f>$K$864*$Y$864</f>
        <v>0</v>
      </c>
      <c r="AF864" s="4">
        <f ca="1">$M$864*$Z$864</f>
        <v>730563.2120091283</v>
      </c>
      <c r="AG864" s="4">
        <f>$O$864*$AA$864</f>
        <v>1684516.7936237918</v>
      </c>
    </row>
    <row r="865" spans="1:33" ht="11.25" customHeight="1" x14ac:dyDescent="0.25">
      <c r="A865" s="3" t="s">
        <v>27</v>
      </c>
      <c r="B865" s="3" t="s">
        <v>33</v>
      </c>
      <c r="C865" s="3" t="s">
        <v>34</v>
      </c>
      <c r="D865" s="3" t="s">
        <v>40</v>
      </c>
      <c r="E865" s="3" t="s">
        <v>25</v>
      </c>
      <c r="F865" s="3" t="s">
        <v>25</v>
      </c>
      <c r="G865" s="3" t="s">
        <v>25</v>
      </c>
      <c r="H865" s="3" t="s">
        <v>36</v>
      </c>
      <c r="I865" s="6">
        <v>44501</v>
      </c>
      <c r="J865" s="4">
        <v>0</v>
      </c>
      <c r="K865" s="4">
        <v>0</v>
      </c>
      <c r="L865" s="4">
        <v>168.077</v>
      </c>
      <c r="M865" s="4">
        <v>168.077</v>
      </c>
      <c r="N865" s="4">
        <v>168.077</v>
      </c>
      <c r="O865" s="4">
        <v>168.077</v>
      </c>
      <c r="P865" s="4">
        <v>0</v>
      </c>
      <c r="Q865" s="3" t="s">
        <v>26</v>
      </c>
      <c r="R865" s="3">
        <v>0</v>
      </c>
      <c r="S865" s="4">
        <v>0</v>
      </c>
      <c r="T865" s="4">
        <v>29</v>
      </c>
      <c r="U865" s="4">
        <v>73</v>
      </c>
      <c r="V865" s="4">
        <f>IF(ISERROR(VLOOKUP($S$865,'TAR FIN'!$A$1:$O$99,15,0)),0,VLOOKUP($S$865,'TAR FIN'!$A$1:$O$99,15,0))</f>
        <v>0</v>
      </c>
      <c r="W865" s="4">
        <f>IF(ISERROR(VLOOKUP($T$865,'TAR FIN'!$A$1:$O$99,15,0)),0,VLOOKUP($T$865,'TAR FIN'!$A$1:$O$99,15,0))</f>
        <v>97.61</v>
      </c>
      <c r="X865" s="4">
        <f>IF(ISERROR(VLOOKUP($U$865,'TAR FIN'!$A$1:$O$99,15,0)),0,VLOOKUP($U$865,'TAR FIN'!$A$1:$O$99,15,0))</f>
        <v>219.97</v>
      </c>
      <c r="Y865" s="4"/>
      <c r="Z865" s="4">
        <f ca="1">('TUSD BE'!$AM$23+'TUSD BF'!$AM$23+'TUSD CVA'!$AM$23)*1</f>
        <v>117.59114529324071</v>
      </c>
      <c r="AA865" s="4">
        <f>('TE BE'!$AA$8+'TE BF'!$AA$8+'TE CVA'!$AA$8)*1</f>
        <v>271.13910989737087</v>
      </c>
      <c r="AB865" s="4">
        <f>$K$865*$V$865</f>
        <v>0</v>
      </c>
      <c r="AC865" s="4">
        <f>$M$865*$W$865</f>
        <v>16405.99597</v>
      </c>
      <c r="AD865" s="4">
        <f>$O$865*$X$865</f>
        <v>36971.897689999998</v>
      </c>
      <c r="AE865" s="4">
        <f>$K$865*$Y$865</f>
        <v>0</v>
      </c>
      <c r="AF865" s="4">
        <f ca="1">$M$865*$Z$865</f>
        <v>19764.366927452018</v>
      </c>
      <c r="AG865" s="4">
        <f>$O$865*$AA$865</f>
        <v>45572.248174220404</v>
      </c>
    </row>
    <row r="866" spans="1:33" ht="11.25" customHeight="1" x14ac:dyDescent="0.25">
      <c r="A866" s="3" t="s">
        <v>28</v>
      </c>
      <c r="B866" s="3" t="s">
        <v>33</v>
      </c>
      <c r="C866" s="3" t="s">
        <v>34</v>
      </c>
      <c r="D866" s="3" t="s">
        <v>40</v>
      </c>
      <c r="E866" s="3" t="s">
        <v>25</v>
      </c>
      <c r="F866" s="3" t="s">
        <v>25</v>
      </c>
      <c r="G866" s="3" t="s">
        <v>25</v>
      </c>
      <c r="H866" s="3" t="s">
        <v>36</v>
      </c>
      <c r="I866" s="6">
        <v>44501</v>
      </c>
      <c r="J866" s="4">
        <v>0</v>
      </c>
      <c r="K866" s="4">
        <v>0</v>
      </c>
      <c r="L866" s="4">
        <v>271.42200000000003</v>
      </c>
      <c r="M866" s="4">
        <v>271.42200000000003</v>
      </c>
      <c r="N866" s="4">
        <v>271.42200000000003</v>
      </c>
      <c r="O866" s="4">
        <v>271.42200000000003</v>
      </c>
      <c r="P866" s="4">
        <v>0</v>
      </c>
      <c r="Q866" s="3" t="s">
        <v>26</v>
      </c>
      <c r="R866" s="3">
        <v>0</v>
      </c>
      <c r="S866" s="4">
        <v>0</v>
      </c>
      <c r="T866" s="4">
        <v>29</v>
      </c>
      <c r="U866" s="4">
        <v>73</v>
      </c>
      <c r="V866" s="4">
        <f>IF(ISERROR(VLOOKUP($S$866,'TAR FIN'!$A$1:$O$99,15,0)),0,VLOOKUP($S$866,'TAR FIN'!$A$1:$O$99,15,0))</f>
        <v>0</v>
      </c>
      <c r="W866" s="4">
        <f>IF(ISERROR(VLOOKUP($T$866,'TAR FIN'!$A$1:$O$99,15,0)),0,VLOOKUP($T$866,'TAR FIN'!$A$1:$O$99,15,0))</f>
        <v>97.61</v>
      </c>
      <c r="X866" s="4">
        <f>IF(ISERROR(VLOOKUP($U$866,'TAR FIN'!$A$1:$O$99,15,0)),0,VLOOKUP($U$866,'TAR FIN'!$A$1:$O$99,15,0))</f>
        <v>219.97</v>
      </c>
      <c r="Y866" s="4"/>
      <c r="Z866" s="4">
        <f ca="1">('TUSD BE'!$AM$23+'TUSD BF'!$AM$23+'TUSD CVA'!$AM$23)*1</f>
        <v>117.59114529324071</v>
      </c>
      <c r="AA866" s="4">
        <f>('TE BE'!$AA$8+'TE BF'!$AA$8+'TE CVA'!$AA$8)*1</f>
        <v>271.13910989737087</v>
      </c>
      <c r="AB866" s="4">
        <f>$K$866*$V$866</f>
        <v>0</v>
      </c>
      <c r="AC866" s="4">
        <f>$M$866*$W$866</f>
        <v>26493.501420000004</v>
      </c>
      <c r="AD866" s="4">
        <f>$O$866*$X$866</f>
        <v>59704.697340000006</v>
      </c>
      <c r="AE866" s="4">
        <f>$K$866*$Y$866</f>
        <v>0</v>
      </c>
      <c r="AF866" s="4">
        <f ca="1">$M$866*$Z$866</f>
        <v>31916.823837781983</v>
      </c>
      <c r="AG866" s="4">
        <f>$O$866*$AA$866</f>
        <v>73593.119486564203</v>
      </c>
    </row>
    <row r="867" spans="1:33" ht="11.25" customHeight="1" x14ac:dyDescent="0.25">
      <c r="A867" s="3" t="s">
        <v>21</v>
      </c>
      <c r="B867" s="3" t="s">
        <v>33</v>
      </c>
      <c r="C867" s="3" t="s">
        <v>34</v>
      </c>
      <c r="D867" s="3" t="s">
        <v>40</v>
      </c>
      <c r="E867" s="3" t="s">
        <v>25</v>
      </c>
      <c r="F867" s="3" t="s">
        <v>25</v>
      </c>
      <c r="G867" s="3" t="s">
        <v>25</v>
      </c>
      <c r="H867" s="3" t="s">
        <v>36</v>
      </c>
      <c r="I867" s="6">
        <v>44501</v>
      </c>
      <c r="J867" s="4">
        <v>0</v>
      </c>
      <c r="K867" s="4">
        <v>0</v>
      </c>
      <c r="L867" s="4">
        <v>691.57399999999996</v>
      </c>
      <c r="M867" s="4">
        <v>691.57399999999996</v>
      </c>
      <c r="N867" s="4">
        <v>0</v>
      </c>
      <c r="O867" s="4">
        <v>0</v>
      </c>
      <c r="P867" s="4">
        <v>0</v>
      </c>
      <c r="Q867" s="3" t="s">
        <v>57</v>
      </c>
      <c r="R867" s="3">
        <v>0</v>
      </c>
      <c r="S867" s="4">
        <v>0</v>
      </c>
      <c r="T867" s="4">
        <v>29</v>
      </c>
      <c r="U867" s="4">
        <v>0</v>
      </c>
      <c r="V867" s="4">
        <f>IF(ISERROR(VLOOKUP($S$867,'TAR FIN'!$A$1:$O$99,15,0)),0,VLOOKUP($S$867,'TAR FIN'!$A$1:$O$99,15,0))</f>
        <v>0</v>
      </c>
      <c r="W867" s="4">
        <f>IF(ISERROR(VLOOKUP($T$867,'TAR FIN'!$A$1:$O$99,15,0)),0,VLOOKUP($T$867,'TAR FIN'!$A$1:$O$99,15,0))</f>
        <v>97.61</v>
      </c>
      <c r="X867" s="4">
        <f>IF(ISERROR(VLOOKUP($U$867,'TAR FIN'!$A$1:$O$99,15,0)),0,VLOOKUP($U$867,'TAR FIN'!$A$1:$O$99,15,0))</f>
        <v>0</v>
      </c>
      <c r="Y867" s="4"/>
      <c r="Z867" s="4">
        <f ca="1">('TUSD BE'!$AM$23+'TUSD BF'!$AM$23+'TUSD CVA'!$AM$23)*1</f>
        <v>117.59114529324071</v>
      </c>
      <c r="AA867" s="4"/>
      <c r="AB867" s="4">
        <f>$K$867*$V$867</f>
        <v>0</v>
      </c>
      <c r="AC867" s="4">
        <f>$M$867*$W$867</f>
        <v>67504.53813999999</v>
      </c>
      <c r="AD867" s="4">
        <f>$O$867*$X$867</f>
        <v>0</v>
      </c>
      <c r="AE867" s="4">
        <f>$K$867*$Y$867</f>
        <v>0</v>
      </c>
      <c r="AF867" s="4">
        <f ca="1">$M$867*$Z$867</f>
        <v>81322.978715027653</v>
      </c>
      <c r="AG867" s="4">
        <f>$O$867*$AA$867</f>
        <v>0</v>
      </c>
    </row>
    <row r="868" spans="1:33" ht="11.25" customHeight="1" x14ac:dyDescent="0.25">
      <c r="A868" s="3" t="s">
        <v>21</v>
      </c>
      <c r="B868" s="3" t="s">
        <v>33</v>
      </c>
      <c r="C868" s="3" t="s">
        <v>34</v>
      </c>
      <c r="D868" s="3" t="s">
        <v>40</v>
      </c>
      <c r="E868" s="3" t="s">
        <v>25</v>
      </c>
      <c r="F868" s="3" t="s">
        <v>25</v>
      </c>
      <c r="G868" s="3" t="s">
        <v>25</v>
      </c>
      <c r="H868" s="3" t="s">
        <v>36</v>
      </c>
      <c r="I868" s="6">
        <v>44531</v>
      </c>
      <c r="J868" s="4">
        <v>0</v>
      </c>
      <c r="K868" s="4">
        <v>0</v>
      </c>
      <c r="L868" s="4">
        <v>6346.5460000000003</v>
      </c>
      <c r="M868" s="4">
        <v>6346.5460000000003</v>
      </c>
      <c r="N868" s="4">
        <v>6346.5460000000003</v>
      </c>
      <c r="O868" s="4">
        <v>6346.5460000000003</v>
      </c>
      <c r="P868" s="4">
        <v>0</v>
      </c>
      <c r="Q868" s="3" t="s">
        <v>26</v>
      </c>
      <c r="R868" s="3">
        <v>0</v>
      </c>
      <c r="S868" s="4">
        <v>0</v>
      </c>
      <c r="T868" s="4">
        <v>29</v>
      </c>
      <c r="U868" s="4">
        <v>73</v>
      </c>
      <c r="V868" s="4">
        <f>IF(ISERROR(VLOOKUP($S$868,'TAR FIN'!$A$1:$O$99,15,0)),0,VLOOKUP($S$868,'TAR FIN'!$A$1:$O$99,15,0))</f>
        <v>0</v>
      </c>
      <c r="W868" s="4">
        <f>IF(ISERROR(VLOOKUP($T$868,'TAR FIN'!$A$1:$O$99,15,0)),0,VLOOKUP($T$868,'TAR FIN'!$A$1:$O$99,15,0))</f>
        <v>97.61</v>
      </c>
      <c r="X868" s="4">
        <f>IF(ISERROR(VLOOKUP($U$868,'TAR FIN'!$A$1:$O$99,15,0)),0,VLOOKUP($U$868,'TAR FIN'!$A$1:$O$99,15,0))</f>
        <v>219.97</v>
      </c>
      <c r="Y868" s="4"/>
      <c r="Z868" s="4">
        <f ca="1">('TUSD BE'!$AM$23+'TUSD BF'!$AM$23+'TUSD CVA'!$AM$23)*1</f>
        <v>117.59114529324071</v>
      </c>
      <c r="AA868" s="4">
        <f>('TE BE'!$AA$8+'TE BF'!$AA$8+'TE CVA'!$AA$8)*1</f>
        <v>271.13910989737087</v>
      </c>
      <c r="AB868" s="4">
        <f>$K$868*$V$868</f>
        <v>0</v>
      </c>
      <c r="AC868" s="4">
        <f>$M$868*$W$868</f>
        <v>619486.35505999997</v>
      </c>
      <c r="AD868" s="4">
        <f>$O$868*$X$868</f>
        <v>1396049.7236200001</v>
      </c>
      <c r="AE868" s="4">
        <f>$K$868*$Y$868</f>
        <v>0</v>
      </c>
      <c r="AF868" s="4">
        <f ca="1">$M$868*$Z$868</f>
        <v>746297.61279623571</v>
      </c>
      <c r="AG868" s="4">
        <f>$O$868*$AA$868</f>
        <v>1720796.8333627195</v>
      </c>
    </row>
    <row r="869" spans="1:33" ht="11.25" customHeight="1" x14ac:dyDescent="0.25">
      <c r="A869" s="3" t="s">
        <v>27</v>
      </c>
      <c r="B869" s="3" t="s">
        <v>33</v>
      </c>
      <c r="C869" s="3" t="s">
        <v>34</v>
      </c>
      <c r="D869" s="3" t="s">
        <v>40</v>
      </c>
      <c r="E869" s="3" t="s">
        <v>25</v>
      </c>
      <c r="F869" s="3" t="s">
        <v>25</v>
      </c>
      <c r="G869" s="3" t="s">
        <v>25</v>
      </c>
      <c r="H869" s="3" t="s">
        <v>36</v>
      </c>
      <c r="I869" s="6">
        <v>44531</v>
      </c>
      <c r="J869" s="4">
        <v>0</v>
      </c>
      <c r="K869" s="4">
        <v>0</v>
      </c>
      <c r="L869" s="4">
        <v>114.176</v>
      </c>
      <c r="M869" s="4">
        <v>114.176</v>
      </c>
      <c r="N869" s="4">
        <v>114.176</v>
      </c>
      <c r="O869" s="4">
        <v>114.176</v>
      </c>
      <c r="P869" s="4">
        <v>0</v>
      </c>
      <c r="Q869" s="3" t="s">
        <v>26</v>
      </c>
      <c r="R869" s="3">
        <v>0</v>
      </c>
      <c r="S869" s="4">
        <v>0</v>
      </c>
      <c r="T869" s="4">
        <v>29</v>
      </c>
      <c r="U869" s="4">
        <v>73</v>
      </c>
      <c r="V869" s="4">
        <f>IF(ISERROR(VLOOKUP($S$869,'TAR FIN'!$A$1:$O$99,15,0)),0,VLOOKUP($S$869,'TAR FIN'!$A$1:$O$99,15,0))</f>
        <v>0</v>
      </c>
      <c r="W869" s="4">
        <f>IF(ISERROR(VLOOKUP($T$869,'TAR FIN'!$A$1:$O$99,15,0)),0,VLOOKUP($T$869,'TAR FIN'!$A$1:$O$99,15,0))</f>
        <v>97.61</v>
      </c>
      <c r="X869" s="4">
        <f>IF(ISERROR(VLOOKUP($U$869,'TAR FIN'!$A$1:$O$99,15,0)),0,VLOOKUP($U$869,'TAR FIN'!$A$1:$O$99,15,0))</f>
        <v>219.97</v>
      </c>
      <c r="Y869" s="4"/>
      <c r="Z869" s="4">
        <f ca="1">('TUSD BE'!$AM$23+'TUSD BF'!$AM$23+'TUSD CVA'!$AM$23)*1</f>
        <v>117.59114529324071</v>
      </c>
      <c r="AA869" s="4">
        <f>('TE BE'!$AA$8+'TE BF'!$AA$8+'TE CVA'!$AA$8)*1</f>
        <v>271.13910989737087</v>
      </c>
      <c r="AB869" s="4">
        <f>$K$869*$V$869</f>
        <v>0</v>
      </c>
      <c r="AC869" s="4">
        <f>$M$869*$W$869</f>
        <v>11144.719360000001</v>
      </c>
      <c r="AD869" s="4">
        <f>$O$869*$X$869</f>
        <v>25115.294720000002</v>
      </c>
      <c r="AE869" s="4">
        <f>$K$869*$Y$869</f>
        <v>0</v>
      </c>
      <c r="AF869" s="4">
        <f ca="1">$M$869*$Z$869</f>
        <v>13426.086605001052</v>
      </c>
      <c r="AG869" s="4">
        <f>$O$869*$AA$869</f>
        <v>30957.579011642218</v>
      </c>
    </row>
    <row r="870" spans="1:33" ht="11.25" customHeight="1" x14ac:dyDescent="0.25">
      <c r="A870" s="3" t="s">
        <v>28</v>
      </c>
      <c r="B870" s="3" t="s">
        <v>33</v>
      </c>
      <c r="C870" s="3" t="s">
        <v>34</v>
      </c>
      <c r="D870" s="3" t="s">
        <v>40</v>
      </c>
      <c r="E870" s="3" t="s">
        <v>25</v>
      </c>
      <c r="F870" s="3" t="s">
        <v>25</v>
      </c>
      <c r="G870" s="3" t="s">
        <v>25</v>
      </c>
      <c r="H870" s="3" t="s">
        <v>36</v>
      </c>
      <c r="I870" s="6">
        <v>44531</v>
      </c>
      <c r="J870" s="4">
        <v>0</v>
      </c>
      <c r="K870" s="4">
        <v>0</v>
      </c>
      <c r="L870" s="4">
        <v>306.48899999999998</v>
      </c>
      <c r="M870" s="4">
        <v>306.48899999999998</v>
      </c>
      <c r="N870" s="4">
        <v>306.48899999999998</v>
      </c>
      <c r="O870" s="4">
        <v>306.48899999999998</v>
      </c>
      <c r="P870" s="4">
        <v>0</v>
      </c>
      <c r="Q870" s="3" t="s">
        <v>26</v>
      </c>
      <c r="R870" s="3">
        <v>0</v>
      </c>
      <c r="S870" s="4">
        <v>0</v>
      </c>
      <c r="T870" s="4">
        <v>29</v>
      </c>
      <c r="U870" s="4">
        <v>73</v>
      </c>
      <c r="V870" s="4">
        <f>IF(ISERROR(VLOOKUP($S$870,'TAR FIN'!$A$1:$O$99,15,0)),0,VLOOKUP($S$870,'TAR FIN'!$A$1:$O$99,15,0))</f>
        <v>0</v>
      </c>
      <c r="W870" s="4">
        <f>IF(ISERROR(VLOOKUP($T$870,'TAR FIN'!$A$1:$O$99,15,0)),0,VLOOKUP($T$870,'TAR FIN'!$A$1:$O$99,15,0))</f>
        <v>97.61</v>
      </c>
      <c r="X870" s="4">
        <f>IF(ISERROR(VLOOKUP($U$870,'TAR FIN'!$A$1:$O$99,15,0)),0,VLOOKUP($U$870,'TAR FIN'!$A$1:$O$99,15,0))</f>
        <v>219.97</v>
      </c>
      <c r="Y870" s="4"/>
      <c r="Z870" s="4">
        <f ca="1">('TUSD BE'!$AM$23+'TUSD BF'!$AM$23+'TUSD CVA'!$AM$23)*1</f>
        <v>117.59114529324071</v>
      </c>
      <c r="AA870" s="4">
        <f>('TE BE'!$AA$8+'TE BF'!$AA$8+'TE CVA'!$AA$8)*1</f>
        <v>271.13910989737087</v>
      </c>
      <c r="AB870" s="4">
        <f>$K$870*$V$870</f>
        <v>0</v>
      </c>
      <c r="AC870" s="4">
        <f>$M$870*$W$870</f>
        <v>29916.391289999996</v>
      </c>
      <c r="AD870" s="4">
        <f>$O$870*$X$870</f>
        <v>67418.38532999999</v>
      </c>
      <c r="AE870" s="4">
        <f>$K$870*$Y$870</f>
        <v>0</v>
      </c>
      <c r="AF870" s="4">
        <f ca="1">$M$870*$Z$870</f>
        <v>36040.392529780052</v>
      </c>
      <c r="AG870" s="4">
        <f>$O$870*$AA$870</f>
        <v>83101.154653335296</v>
      </c>
    </row>
    <row r="871" spans="1:33" ht="11.25" customHeight="1" x14ac:dyDescent="0.25">
      <c r="A871" s="3" t="s">
        <v>21</v>
      </c>
      <c r="B871" s="3" t="s">
        <v>33</v>
      </c>
      <c r="C871" s="3" t="s">
        <v>34</v>
      </c>
      <c r="D871" s="3" t="s">
        <v>40</v>
      </c>
      <c r="E871" s="3" t="s">
        <v>25</v>
      </c>
      <c r="F871" s="3" t="s">
        <v>25</v>
      </c>
      <c r="G871" s="3" t="s">
        <v>25</v>
      </c>
      <c r="H871" s="3" t="s">
        <v>36</v>
      </c>
      <c r="I871" s="6">
        <v>44531</v>
      </c>
      <c r="J871" s="4">
        <v>0</v>
      </c>
      <c r="K871" s="4">
        <v>0</v>
      </c>
      <c r="L871" s="4">
        <v>678.30600000000004</v>
      </c>
      <c r="M871" s="4">
        <v>678.30600000000004</v>
      </c>
      <c r="N871" s="4">
        <v>0</v>
      </c>
      <c r="O871" s="4">
        <v>0</v>
      </c>
      <c r="P871" s="4">
        <v>0</v>
      </c>
      <c r="Q871" s="3" t="s">
        <v>57</v>
      </c>
      <c r="R871" s="3">
        <v>0</v>
      </c>
      <c r="S871" s="4">
        <v>0</v>
      </c>
      <c r="T871" s="4">
        <v>29</v>
      </c>
      <c r="U871" s="4">
        <v>0</v>
      </c>
      <c r="V871" s="4">
        <f>IF(ISERROR(VLOOKUP($S$871,'TAR FIN'!$A$1:$O$99,15,0)),0,VLOOKUP($S$871,'TAR FIN'!$A$1:$O$99,15,0))</f>
        <v>0</v>
      </c>
      <c r="W871" s="4">
        <f>IF(ISERROR(VLOOKUP($T$871,'TAR FIN'!$A$1:$O$99,15,0)),0,VLOOKUP($T$871,'TAR FIN'!$A$1:$O$99,15,0))</f>
        <v>97.61</v>
      </c>
      <c r="X871" s="4">
        <f>IF(ISERROR(VLOOKUP($U$871,'TAR FIN'!$A$1:$O$99,15,0)),0,VLOOKUP($U$871,'TAR FIN'!$A$1:$O$99,15,0))</f>
        <v>0</v>
      </c>
      <c r="Y871" s="4"/>
      <c r="Z871" s="4">
        <f ca="1">('TUSD BE'!$AM$23+'TUSD BF'!$AM$23+'TUSD CVA'!$AM$23)*1</f>
        <v>117.59114529324071</v>
      </c>
      <c r="AA871" s="4"/>
      <c r="AB871" s="4">
        <f>$K$871*$V$871</f>
        <v>0</v>
      </c>
      <c r="AC871" s="4">
        <f>$M$871*$W$871</f>
        <v>66209.448660000009</v>
      </c>
      <c r="AD871" s="4">
        <f>$O$871*$X$871</f>
        <v>0</v>
      </c>
      <c r="AE871" s="4">
        <f>$K$871*$Y$871</f>
        <v>0</v>
      </c>
      <c r="AF871" s="4">
        <f ca="1">$M$871*$Z$871</f>
        <v>79762.779399276944</v>
      </c>
      <c r="AG871" s="4">
        <f>$O$871*$AA$871</f>
        <v>0</v>
      </c>
    </row>
    <row r="872" spans="1:33" ht="11.25" customHeight="1" x14ac:dyDescent="0.25">
      <c r="A872" s="3" t="s">
        <v>21</v>
      </c>
      <c r="B872" s="3" t="s">
        <v>33</v>
      </c>
      <c r="C872" s="3" t="s">
        <v>34</v>
      </c>
      <c r="D872" s="3" t="s">
        <v>40</v>
      </c>
      <c r="E872" s="3" t="s">
        <v>25</v>
      </c>
      <c r="F872" s="3" t="s">
        <v>25</v>
      </c>
      <c r="G872" s="3" t="s">
        <v>25</v>
      </c>
      <c r="H872" s="3" t="s">
        <v>36</v>
      </c>
      <c r="I872" s="6">
        <v>44562</v>
      </c>
      <c r="J872" s="4">
        <v>0</v>
      </c>
      <c r="K872" s="4">
        <v>0</v>
      </c>
      <c r="L872" s="4">
        <v>6043.4610000000002</v>
      </c>
      <c r="M872" s="4">
        <v>6043.4610000000002</v>
      </c>
      <c r="N872" s="4">
        <v>6043.4610000000002</v>
      </c>
      <c r="O872" s="4">
        <v>6043.4610000000002</v>
      </c>
      <c r="P872" s="4">
        <v>0</v>
      </c>
      <c r="Q872" s="3" t="s">
        <v>26</v>
      </c>
      <c r="R872" s="3">
        <v>0</v>
      </c>
      <c r="S872" s="4">
        <v>0</v>
      </c>
      <c r="T872" s="4">
        <v>29</v>
      </c>
      <c r="U872" s="4">
        <v>73</v>
      </c>
      <c r="V872" s="4">
        <f>IF(ISERROR(VLOOKUP($S$872,'TAR FIN'!$A$1:$O$99,15,0)),0,VLOOKUP($S$872,'TAR FIN'!$A$1:$O$99,15,0))</f>
        <v>0</v>
      </c>
      <c r="W872" s="4">
        <f>IF(ISERROR(VLOOKUP($T$872,'TAR FIN'!$A$1:$O$99,15,0)),0,VLOOKUP($T$872,'TAR FIN'!$A$1:$O$99,15,0))</f>
        <v>97.61</v>
      </c>
      <c r="X872" s="4">
        <f>IF(ISERROR(VLOOKUP($U$872,'TAR FIN'!$A$1:$O$99,15,0)),0,VLOOKUP($U$872,'TAR FIN'!$A$1:$O$99,15,0))</f>
        <v>219.97</v>
      </c>
      <c r="Y872" s="4"/>
      <c r="Z872" s="4">
        <f ca="1">('TUSD BE'!$AM$23+'TUSD BF'!$AM$23+'TUSD CVA'!$AM$23)*1</f>
        <v>117.59114529324071</v>
      </c>
      <c r="AA872" s="4">
        <f>('TE BE'!$AA$8+'TE BF'!$AA$8+'TE CVA'!$AA$8)*1</f>
        <v>271.13910989737087</v>
      </c>
      <c r="AB872" s="4">
        <f>$K$872*$V$872</f>
        <v>0</v>
      </c>
      <c r="AC872" s="4">
        <f>$M$872*$W$872</f>
        <v>589902.22820999997</v>
      </c>
      <c r="AD872" s="4">
        <f>$O$872*$X$872</f>
        <v>1329380.1161700001</v>
      </c>
      <c r="AE872" s="4">
        <f>$K$872*$Y$872</f>
        <v>0</v>
      </c>
      <c r="AF872" s="4">
        <f ca="1">$M$872*$Z$872</f>
        <v>710657.5005250338</v>
      </c>
      <c r="AG872" s="4">
        <f>$O$872*$AA$872</f>
        <v>1638618.6362394749</v>
      </c>
    </row>
    <row r="873" spans="1:33" ht="11.25" customHeight="1" x14ac:dyDescent="0.25">
      <c r="A873" s="3" t="s">
        <v>27</v>
      </c>
      <c r="B873" s="3" t="s">
        <v>33</v>
      </c>
      <c r="C873" s="3" t="s">
        <v>34</v>
      </c>
      <c r="D873" s="3" t="s">
        <v>40</v>
      </c>
      <c r="E873" s="3" t="s">
        <v>25</v>
      </c>
      <c r="F873" s="3" t="s">
        <v>25</v>
      </c>
      <c r="G873" s="3" t="s">
        <v>25</v>
      </c>
      <c r="H873" s="3" t="s">
        <v>36</v>
      </c>
      <c r="I873" s="6">
        <v>44562</v>
      </c>
      <c r="J873" s="4">
        <v>0</v>
      </c>
      <c r="K873" s="4">
        <v>0</v>
      </c>
      <c r="L873" s="4">
        <v>50.11</v>
      </c>
      <c r="M873" s="4">
        <v>50.11</v>
      </c>
      <c r="N873" s="4">
        <v>50.11</v>
      </c>
      <c r="O873" s="4">
        <v>50.11</v>
      </c>
      <c r="P873" s="4">
        <v>0</v>
      </c>
      <c r="Q873" s="3" t="s">
        <v>26</v>
      </c>
      <c r="R873" s="3">
        <v>0</v>
      </c>
      <c r="S873" s="4">
        <v>0</v>
      </c>
      <c r="T873" s="4">
        <v>29</v>
      </c>
      <c r="U873" s="4">
        <v>73</v>
      </c>
      <c r="V873" s="4">
        <f>IF(ISERROR(VLOOKUP($S$873,'TAR FIN'!$A$1:$O$99,15,0)),0,VLOOKUP($S$873,'TAR FIN'!$A$1:$O$99,15,0))</f>
        <v>0</v>
      </c>
      <c r="W873" s="4">
        <f>IF(ISERROR(VLOOKUP($T$873,'TAR FIN'!$A$1:$O$99,15,0)),0,VLOOKUP($T$873,'TAR FIN'!$A$1:$O$99,15,0))</f>
        <v>97.61</v>
      </c>
      <c r="X873" s="4">
        <f>IF(ISERROR(VLOOKUP($U$873,'TAR FIN'!$A$1:$O$99,15,0)),0,VLOOKUP($U$873,'TAR FIN'!$A$1:$O$99,15,0))</f>
        <v>219.97</v>
      </c>
      <c r="Y873" s="4"/>
      <c r="Z873" s="4">
        <f ca="1">('TUSD BE'!$AM$23+'TUSD BF'!$AM$23+'TUSD CVA'!$AM$23)*1</f>
        <v>117.59114529324071</v>
      </c>
      <c r="AA873" s="4">
        <f>('TE BE'!$AA$8+'TE BF'!$AA$8+'TE CVA'!$AA$8)*1</f>
        <v>271.13910989737087</v>
      </c>
      <c r="AB873" s="4">
        <f>$K$873*$V$873</f>
        <v>0</v>
      </c>
      <c r="AC873" s="4">
        <f>$M$873*$W$873</f>
        <v>4891.2371000000003</v>
      </c>
      <c r="AD873" s="4">
        <f>$O$873*$X$873</f>
        <v>11022.6967</v>
      </c>
      <c r="AE873" s="4">
        <f>$K$873*$Y$873</f>
        <v>0</v>
      </c>
      <c r="AF873" s="4">
        <f ca="1">$M$873*$Z$873</f>
        <v>5892.4922906442926</v>
      </c>
      <c r="AG873" s="4">
        <f>$O$873*$AA$873</f>
        <v>13586.780796957255</v>
      </c>
    </row>
    <row r="874" spans="1:33" ht="11.25" customHeight="1" x14ac:dyDescent="0.25">
      <c r="A874" s="3" t="s">
        <v>28</v>
      </c>
      <c r="B874" s="3" t="s">
        <v>33</v>
      </c>
      <c r="C874" s="3" t="s">
        <v>34</v>
      </c>
      <c r="D874" s="3" t="s">
        <v>40</v>
      </c>
      <c r="E874" s="3" t="s">
        <v>25</v>
      </c>
      <c r="F874" s="3" t="s">
        <v>25</v>
      </c>
      <c r="G874" s="3" t="s">
        <v>25</v>
      </c>
      <c r="H874" s="3" t="s">
        <v>36</v>
      </c>
      <c r="I874" s="6">
        <v>44562</v>
      </c>
      <c r="J874" s="4">
        <v>0</v>
      </c>
      <c r="K874" s="4">
        <v>0</v>
      </c>
      <c r="L874" s="4">
        <v>270.80099999999999</v>
      </c>
      <c r="M874" s="4">
        <v>270.80099999999999</v>
      </c>
      <c r="N874" s="4">
        <v>270.80099999999999</v>
      </c>
      <c r="O874" s="4">
        <v>270.80099999999999</v>
      </c>
      <c r="P874" s="4">
        <v>0</v>
      </c>
      <c r="Q874" s="3" t="s">
        <v>26</v>
      </c>
      <c r="R874" s="3">
        <v>0</v>
      </c>
      <c r="S874" s="4">
        <v>0</v>
      </c>
      <c r="T874" s="4">
        <v>29</v>
      </c>
      <c r="U874" s="4">
        <v>73</v>
      </c>
      <c r="V874" s="4">
        <f>IF(ISERROR(VLOOKUP($S$874,'TAR FIN'!$A$1:$O$99,15,0)),0,VLOOKUP($S$874,'TAR FIN'!$A$1:$O$99,15,0))</f>
        <v>0</v>
      </c>
      <c r="W874" s="4">
        <f>IF(ISERROR(VLOOKUP($T$874,'TAR FIN'!$A$1:$O$99,15,0)),0,VLOOKUP($T$874,'TAR FIN'!$A$1:$O$99,15,0))</f>
        <v>97.61</v>
      </c>
      <c r="X874" s="4">
        <f>IF(ISERROR(VLOOKUP($U$874,'TAR FIN'!$A$1:$O$99,15,0)),0,VLOOKUP($U$874,'TAR FIN'!$A$1:$O$99,15,0))</f>
        <v>219.97</v>
      </c>
      <c r="Y874" s="4"/>
      <c r="Z874" s="4">
        <f ca="1">('TUSD BE'!$AM$23+'TUSD BF'!$AM$23+'TUSD CVA'!$AM$23)*1</f>
        <v>117.59114529324071</v>
      </c>
      <c r="AA874" s="4">
        <f>('TE BE'!$AA$8+'TE BF'!$AA$8+'TE CVA'!$AA$8)*1</f>
        <v>271.13910989737087</v>
      </c>
      <c r="AB874" s="4">
        <f>$K$874*$V$874</f>
        <v>0</v>
      </c>
      <c r="AC874" s="4">
        <f>$M$874*$W$874</f>
        <v>26432.885609999998</v>
      </c>
      <c r="AD874" s="4">
        <f>$O$874*$X$874</f>
        <v>59568.095969999995</v>
      </c>
      <c r="AE874" s="4">
        <f>$K$874*$Y$874</f>
        <v>0</v>
      </c>
      <c r="AF874" s="4">
        <f ca="1">$M$874*$Z$874</f>
        <v>31843.799736554876</v>
      </c>
      <c r="AG874" s="4">
        <f>$O$874*$AA$874</f>
        <v>73424.742099317926</v>
      </c>
    </row>
    <row r="875" spans="1:33" ht="11.25" customHeight="1" x14ac:dyDescent="0.25">
      <c r="A875" s="3" t="s">
        <v>21</v>
      </c>
      <c r="B875" s="3" t="s">
        <v>33</v>
      </c>
      <c r="C875" s="3" t="s">
        <v>34</v>
      </c>
      <c r="D875" s="3" t="s">
        <v>40</v>
      </c>
      <c r="E875" s="3" t="s">
        <v>25</v>
      </c>
      <c r="F875" s="3" t="s">
        <v>25</v>
      </c>
      <c r="G875" s="3" t="s">
        <v>25</v>
      </c>
      <c r="H875" s="3" t="s">
        <v>36</v>
      </c>
      <c r="I875" s="6">
        <v>44562</v>
      </c>
      <c r="J875" s="4">
        <v>0</v>
      </c>
      <c r="K875" s="4">
        <v>0</v>
      </c>
      <c r="L875" s="4">
        <v>767.82899999999995</v>
      </c>
      <c r="M875" s="4">
        <v>767.82899999999995</v>
      </c>
      <c r="N875" s="4">
        <v>0</v>
      </c>
      <c r="O875" s="4">
        <v>0</v>
      </c>
      <c r="P875" s="4">
        <v>0</v>
      </c>
      <c r="Q875" s="3" t="s">
        <v>57</v>
      </c>
      <c r="R875" s="3">
        <v>0</v>
      </c>
      <c r="S875" s="4">
        <v>0</v>
      </c>
      <c r="T875" s="4">
        <v>29</v>
      </c>
      <c r="U875" s="4">
        <v>0</v>
      </c>
      <c r="V875" s="4">
        <f>IF(ISERROR(VLOOKUP($S$875,'TAR FIN'!$A$1:$O$99,15,0)),0,VLOOKUP($S$875,'TAR FIN'!$A$1:$O$99,15,0))</f>
        <v>0</v>
      </c>
      <c r="W875" s="4">
        <f>IF(ISERROR(VLOOKUP($T$875,'TAR FIN'!$A$1:$O$99,15,0)),0,VLOOKUP($T$875,'TAR FIN'!$A$1:$O$99,15,0))</f>
        <v>97.61</v>
      </c>
      <c r="X875" s="4">
        <f>IF(ISERROR(VLOOKUP($U$875,'TAR FIN'!$A$1:$O$99,15,0)),0,VLOOKUP($U$875,'TAR FIN'!$A$1:$O$99,15,0))</f>
        <v>0</v>
      </c>
      <c r="Y875" s="4"/>
      <c r="Z875" s="4">
        <f ca="1">('TUSD BE'!$AM$23+'TUSD BF'!$AM$23+'TUSD CVA'!$AM$23)*1</f>
        <v>117.59114529324071</v>
      </c>
      <c r="AA875" s="4"/>
      <c r="AB875" s="4">
        <f>$K$875*$V$875</f>
        <v>0</v>
      </c>
      <c r="AC875" s="4">
        <f>$M$875*$W$875</f>
        <v>74947.788690000001</v>
      </c>
      <c r="AD875" s="4">
        <f>$O$875*$X$875</f>
        <v>0</v>
      </c>
      <c r="AE875" s="4">
        <f>$K$875*$Y$875</f>
        <v>0</v>
      </c>
      <c r="AF875" s="4">
        <f ca="1">$M$875*$Z$875</f>
        <v>90289.891499363715</v>
      </c>
      <c r="AG875" s="4">
        <f>$O$875*$AA$875</f>
        <v>0</v>
      </c>
    </row>
    <row r="876" spans="1:33" ht="11.25" customHeight="1" x14ac:dyDescent="0.25">
      <c r="A876" s="3" t="s">
        <v>21</v>
      </c>
      <c r="B876" s="3" t="s">
        <v>33</v>
      </c>
      <c r="C876" s="3" t="s">
        <v>34</v>
      </c>
      <c r="D876" s="3" t="s">
        <v>40</v>
      </c>
      <c r="E876" s="3" t="s">
        <v>25</v>
      </c>
      <c r="F876" s="3" t="s">
        <v>25</v>
      </c>
      <c r="G876" s="3" t="s">
        <v>25</v>
      </c>
      <c r="H876" s="3" t="s">
        <v>36</v>
      </c>
      <c r="I876" s="6">
        <v>44593</v>
      </c>
      <c r="J876" s="4">
        <v>0</v>
      </c>
      <c r="K876" s="4">
        <v>0</v>
      </c>
      <c r="L876" s="4">
        <v>6074.5330000000004</v>
      </c>
      <c r="M876" s="4">
        <v>6074.5330000000004</v>
      </c>
      <c r="N876" s="4">
        <v>6074.5330000000004</v>
      </c>
      <c r="O876" s="4">
        <v>6074.5330000000004</v>
      </c>
      <c r="P876" s="4">
        <v>0</v>
      </c>
      <c r="Q876" s="3" t="s">
        <v>26</v>
      </c>
      <c r="R876" s="3">
        <v>0</v>
      </c>
      <c r="S876" s="4">
        <v>0</v>
      </c>
      <c r="T876" s="4">
        <v>29</v>
      </c>
      <c r="U876" s="4">
        <v>73</v>
      </c>
      <c r="V876" s="4">
        <f>IF(ISERROR(VLOOKUP($S$876,'TAR FIN'!$A$1:$O$99,15,0)),0,VLOOKUP($S$876,'TAR FIN'!$A$1:$O$99,15,0))</f>
        <v>0</v>
      </c>
      <c r="W876" s="4">
        <f>IF(ISERROR(VLOOKUP($T$876,'TAR FIN'!$A$1:$O$99,15,0)),0,VLOOKUP($T$876,'TAR FIN'!$A$1:$O$99,15,0))</f>
        <v>97.61</v>
      </c>
      <c r="X876" s="4">
        <f>IF(ISERROR(VLOOKUP($U$876,'TAR FIN'!$A$1:$O$99,15,0)),0,VLOOKUP($U$876,'TAR FIN'!$A$1:$O$99,15,0))</f>
        <v>219.97</v>
      </c>
      <c r="Y876" s="4"/>
      <c r="Z876" s="4">
        <f ca="1">('TUSD BE'!$AM$23+'TUSD BF'!$AM$23+'TUSD CVA'!$AM$23)*1</f>
        <v>117.59114529324071</v>
      </c>
      <c r="AA876" s="4">
        <f>('TE BE'!$AA$8+'TE BF'!$AA$8+'TE CVA'!$AA$8)*1</f>
        <v>271.13910989737087</v>
      </c>
      <c r="AB876" s="4">
        <f>$K$876*$V$876</f>
        <v>0</v>
      </c>
      <c r="AC876" s="4">
        <f>$M$876*$W$876</f>
        <v>592935.16613000003</v>
      </c>
      <c r="AD876" s="4">
        <f>$O$876*$X$876</f>
        <v>1336215.0240100001</v>
      </c>
      <c r="AE876" s="4">
        <f>$K$876*$Y$876</f>
        <v>0</v>
      </c>
      <c r="AF876" s="4">
        <f ca="1">$M$876*$Z$876</f>
        <v>714311.29259158543</v>
      </c>
      <c r="AG876" s="4">
        <f>$O$876*$AA$876</f>
        <v>1647043.4706622062</v>
      </c>
    </row>
    <row r="877" spans="1:33" ht="11.25" customHeight="1" x14ac:dyDescent="0.25">
      <c r="A877" s="3" t="s">
        <v>27</v>
      </c>
      <c r="B877" s="3" t="s">
        <v>33</v>
      </c>
      <c r="C877" s="3" t="s">
        <v>34</v>
      </c>
      <c r="D877" s="3" t="s">
        <v>40</v>
      </c>
      <c r="E877" s="3" t="s">
        <v>25</v>
      </c>
      <c r="F877" s="3" t="s">
        <v>25</v>
      </c>
      <c r="G877" s="3" t="s">
        <v>25</v>
      </c>
      <c r="H877" s="3" t="s">
        <v>36</v>
      </c>
      <c r="I877" s="6">
        <v>44593</v>
      </c>
      <c r="J877" s="4">
        <v>0</v>
      </c>
      <c r="K877" s="4">
        <v>0</v>
      </c>
      <c r="L877" s="4">
        <v>-36.698999999999998</v>
      </c>
      <c r="M877" s="4">
        <v>-36.698999999999998</v>
      </c>
      <c r="N877" s="4">
        <v>-36.698999999999998</v>
      </c>
      <c r="O877" s="4">
        <v>-36.698999999999998</v>
      </c>
      <c r="P877" s="4">
        <v>0</v>
      </c>
      <c r="Q877" s="3" t="s">
        <v>26</v>
      </c>
      <c r="R877" s="3">
        <v>0</v>
      </c>
      <c r="S877" s="4">
        <v>0</v>
      </c>
      <c r="T877" s="4">
        <v>29</v>
      </c>
      <c r="U877" s="4">
        <v>73</v>
      </c>
      <c r="V877" s="4">
        <f>IF(ISERROR(VLOOKUP($S$877,'TAR FIN'!$A$1:$O$99,15,0)),0,VLOOKUP($S$877,'TAR FIN'!$A$1:$O$99,15,0))</f>
        <v>0</v>
      </c>
      <c r="W877" s="4">
        <f>IF(ISERROR(VLOOKUP($T$877,'TAR FIN'!$A$1:$O$99,15,0)),0,VLOOKUP($T$877,'TAR FIN'!$A$1:$O$99,15,0))</f>
        <v>97.61</v>
      </c>
      <c r="X877" s="4">
        <f>IF(ISERROR(VLOOKUP($U$877,'TAR FIN'!$A$1:$O$99,15,0)),0,VLOOKUP($U$877,'TAR FIN'!$A$1:$O$99,15,0))</f>
        <v>219.97</v>
      </c>
      <c r="Y877" s="4"/>
      <c r="Z877" s="4">
        <f ca="1">('TUSD BE'!$AM$23+'TUSD BF'!$AM$23+'TUSD CVA'!$AM$23)*1</f>
        <v>117.59114529324071</v>
      </c>
      <c r="AA877" s="4">
        <f>('TE BE'!$AA$8+'TE BF'!$AA$8+'TE CVA'!$AA$8)*1</f>
        <v>271.13910989737087</v>
      </c>
      <c r="AB877" s="4">
        <f>$K$877*$V$877</f>
        <v>0</v>
      </c>
      <c r="AC877" s="4">
        <f>$M$877*$W$877</f>
        <v>-3582.18939</v>
      </c>
      <c r="AD877" s="4">
        <f>$O$877*$X$877</f>
        <v>-8072.6790299999993</v>
      </c>
      <c r="AE877" s="4">
        <f>$K$877*$Y$877</f>
        <v>0</v>
      </c>
      <c r="AF877" s="4">
        <f ca="1">$M$877*$Z$877</f>
        <v>-4315.4774411166409</v>
      </c>
      <c r="AG877" s="4">
        <f>$O$877*$AA$877</f>
        <v>-9950.5341941236129</v>
      </c>
    </row>
    <row r="878" spans="1:33" ht="11.25" customHeight="1" x14ac:dyDescent="0.25">
      <c r="A878" s="3" t="s">
        <v>28</v>
      </c>
      <c r="B878" s="3" t="s">
        <v>33</v>
      </c>
      <c r="C878" s="3" t="s">
        <v>34</v>
      </c>
      <c r="D878" s="3" t="s">
        <v>40</v>
      </c>
      <c r="E878" s="3" t="s">
        <v>25</v>
      </c>
      <c r="F878" s="3" t="s">
        <v>25</v>
      </c>
      <c r="G878" s="3" t="s">
        <v>25</v>
      </c>
      <c r="H878" s="3" t="s">
        <v>36</v>
      </c>
      <c r="I878" s="6">
        <v>44593</v>
      </c>
      <c r="J878" s="4">
        <v>0</v>
      </c>
      <c r="K878" s="4">
        <v>0</v>
      </c>
      <c r="L878" s="4">
        <v>255.11099999999999</v>
      </c>
      <c r="M878" s="4">
        <v>255.11099999999999</v>
      </c>
      <c r="N878" s="4">
        <v>255.11099999999999</v>
      </c>
      <c r="O878" s="4">
        <v>255.11099999999999</v>
      </c>
      <c r="P878" s="4">
        <v>0</v>
      </c>
      <c r="Q878" s="3" t="s">
        <v>26</v>
      </c>
      <c r="R878" s="3">
        <v>0</v>
      </c>
      <c r="S878" s="4">
        <v>0</v>
      </c>
      <c r="T878" s="4">
        <v>29</v>
      </c>
      <c r="U878" s="4">
        <v>73</v>
      </c>
      <c r="V878" s="4">
        <f>IF(ISERROR(VLOOKUP($S$878,'TAR FIN'!$A$1:$O$99,15,0)),0,VLOOKUP($S$878,'TAR FIN'!$A$1:$O$99,15,0))</f>
        <v>0</v>
      </c>
      <c r="W878" s="4">
        <f>IF(ISERROR(VLOOKUP($T$878,'TAR FIN'!$A$1:$O$99,15,0)),0,VLOOKUP($T$878,'TAR FIN'!$A$1:$O$99,15,0))</f>
        <v>97.61</v>
      </c>
      <c r="X878" s="4">
        <f>IF(ISERROR(VLOOKUP($U$878,'TAR FIN'!$A$1:$O$99,15,0)),0,VLOOKUP($U$878,'TAR FIN'!$A$1:$O$99,15,0))</f>
        <v>219.97</v>
      </c>
      <c r="Y878" s="4"/>
      <c r="Z878" s="4">
        <f ca="1">('TUSD BE'!$AM$23+'TUSD BF'!$AM$23+'TUSD CVA'!$AM$23)*1</f>
        <v>117.59114529324071</v>
      </c>
      <c r="AA878" s="4">
        <f>('TE BE'!$AA$8+'TE BF'!$AA$8+'TE CVA'!$AA$8)*1</f>
        <v>271.13910989737087</v>
      </c>
      <c r="AB878" s="4">
        <f>$K$878*$V$878</f>
        <v>0</v>
      </c>
      <c r="AC878" s="4">
        <f>$M$878*$W$878</f>
        <v>24901.384709999998</v>
      </c>
      <c r="AD878" s="4">
        <f>$O$878*$X$878</f>
        <v>56116.766669999997</v>
      </c>
      <c r="AE878" s="4">
        <f>$K$878*$Y$878</f>
        <v>0</v>
      </c>
      <c r="AF878" s="4">
        <f ca="1">$M$878*$Z$878</f>
        <v>29998.79466690393</v>
      </c>
      <c r="AG878" s="4">
        <f>$O$878*$AA$878</f>
        <v>69170.56946502818</v>
      </c>
    </row>
    <row r="879" spans="1:33" ht="11.25" customHeight="1" x14ac:dyDescent="0.25">
      <c r="A879" s="3" t="s">
        <v>21</v>
      </c>
      <c r="B879" s="3" t="s">
        <v>33</v>
      </c>
      <c r="C879" s="3" t="s">
        <v>34</v>
      </c>
      <c r="D879" s="3" t="s">
        <v>40</v>
      </c>
      <c r="E879" s="3" t="s">
        <v>25</v>
      </c>
      <c r="F879" s="3" t="s">
        <v>25</v>
      </c>
      <c r="G879" s="3" t="s">
        <v>25</v>
      </c>
      <c r="H879" s="3" t="s">
        <v>36</v>
      </c>
      <c r="I879" s="6">
        <v>44593</v>
      </c>
      <c r="J879" s="4">
        <v>0</v>
      </c>
      <c r="K879" s="4">
        <v>0</v>
      </c>
      <c r="L879" s="4">
        <v>785.85</v>
      </c>
      <c r="M879" s="4">
        <v>785.85</v>
      </c>
      <c r="N879" s="4">
        <v>0</v>
      </c>
      <c r="O879" s="4">
        <v>0</v>
      </c>
      <c r="P879" s="4">
        <v>0</v>
      </c>
      <c r="Q879" s="3" t="s">
        <v>57</v>
      </c>
      <c r="R879" s="3">
        <v>0</v>
      </c>
      <c r="S879" s="4">
        <v>0</v>
      </c>
      <c r="T879" s="4">
        <v>29</v>
      </c>
      <c r="U879" s="4">
        <v>0</v>
      </c>
      <c r="V879" s="4">
        <f>IF(ISERROR(VLOOKUP($S$879,'TAR FIN'!$A$1:$O$99,15,0)),0,VLOOKUP($S$879,'TAR FIN'!$A$1:$O$99,15,0))</f>
        <v>0</v>
      </c>
      <c r="W879" s="4">
        <f>IF(ISERROR(VLOOKUP($T$879,'TAR FIN'!$A$1:$O$99,15,0)),0,VLOOKUP($T$879,'TAR FIN'!$A$1:$O$99,15,0))</f>
        <v>97.61</v>
      </c>
      <c r="X879" s="4">
        <f>IF(ISERROR(VLOOKUP($U$879,'TAR FIN'!$A$1:$O$99,15,0)),0,VLOOKUP($U$879,'TAR FIN'!$A$1:$O$99,15,0))</f>
        <v>0</v>
      </c>
      <c r="Y879" s="4"/>
      <c r="Z879" s="4">
        <f ca="1">('TUSD BE'!$AM$23+'TUSD BF'!$AM$23+'TUSD CVA'!$AM$23)*1</f>
        <v>117.59114529324071</v>
      </c>
      <c r="AA879" s="4"/>
      <c r="AB879" s="4">
        <f>$K$879*$V$879</f>
        <v>0</v>
      </c>
      <c r="AC879" s="4">
        <f>$M$879*$W$879</f>
        <v>76706.818500000008</v>
      </c>
      <c r="AD879" s="4">
        <f>$O$879*$X$879</f>
        <v>0</v>
      </c>
      <c r="AE879" s="4">
        <f>$K$879*$Y$879</f>
        <v>0</v>
      </c>
      <c r="AF879" s="4">
        <f ca="1">$M$879*$Z$879</f>
        <v>92409.001528693218</v>
      </c>
      <c r="AG879" s="4">
        <f>$O$879*$AA$879</f>
        <v>0</v>
      </c>
    </row>
    <row r="880" spans="1:33" ht="11.25" customHeight="1" x14ac:dyDescent="0.25">
      <c r="A880" s="3" t="s">
        <v>21</v>
      </c>
      <c r="B880" s="3" t="s">
        <v>33</v>
      </c>
      <c r="C880" s="3" t="s">
        <v>34</v>
      </c>
      <c r="D880" s="3" t="s">
        <v>40</v>
      </c>
      <c r="E880" s="3" t="s">
        <v>25</v>
      </c>
      <c r="F880" s="3" t="s">
        <v>25</v>
      </c>
      <c r="G880" s="3" t="s">
        <v>25</v>
      </c>
      <c r="H880" s="3" t="s">
        <v>36</v>
      </c>
      <c r="I880" s="6">
        <v>44621</v>
      </c>
      <c r="J880" s="4">
        <v>0</v>
      </c>
      <c r="K880" s="4">
        <v>0</v>
      </c>
      <c r="L880" s="4">
        <v>6845.9409999999998</v>
      </c>
      <c r="M880" s="4">
        <v>6845.9409999999998</v>
      </c>
      <c r="N880" s="4">
        <v>6845.9409999999998</v>
      </c>
      <c r="O880" s="4">
        <v>6845.9409999999998</v>
      </c>
      <c r="P880" s="4">
        <v>0</v>
      </c>
      <c r="Q880" s="3" t="s">
        <v>26</v>
      </c>
      <c r="R880" s="3">
        <v>0</v>
      </c>
      <c r="S880" s="4">
        <v>0</v>
      </c>
      <c r="T880" s="4">
        <v>29</v>
      </c>
      <c r="U880" s="4">
        <v>73</v>
      </c>
      <c r="V880" s="4">
        <f>IF(ISERROR(VLOOKUP($S$880,'TAR FIN'!$A$1:$O$99,15,0)),0,VLOOKUP($S$880,'TAR FIN'!$A$1:$O$99,15,0))</f>
        <v>0</v>
      </c>
      <c r="W880" s="4">
        <f>IF(ISERROR(VLOOKUP($T$880,'TAR FIN'!$A$1:$O$99,15,0)),0,VLOOKUP($T$880,'TAR FIN'!$A$1:$O$99,15,0))</f>
        <v>97.61</v>
      </c>
      <c r="X880" s="4">
        <f>IF(ISERROR(VLOOKUP($U$880,'TAR FIN'!$A$1:$O$99,15,0)),0,VLOOKUP($U$880,'TAR FIN'!$A$1:$O$99,15,0))</f>
        <v>219.97</v>
      </c>
      <c r="Y880" s="4"/>
      <c r="Z880" s="4">
        <f ca="1">('TUSD BE'!$AM$23+'TUSD BF'!$AM$23+'TUSD CVA'!$AM$23)*1</f>
        <v>117.59114529324071</v>
      </c>
      <c r="AA880" s="4">
        <f>('TE BE'!$AA$8+'TE BF'!$AA$8+'TE CVA'!$AA$8)*1</f>
        <v>271.13910989737087</v>
      </c>
      <c r="AB880" s="4">
        <f>$K$880*$V$880</f>
        <v>0</v>
      </c>
      <c r="AC880" s="4">
        <f>$M$880*$W$880</f>
        <v>668232.30100999994</v>
      </c>
      <c r="AD880" s="4">
        <f>$O$880*$X$880</f>
        <v>1505901.6417699999</v>
      </c>
      <c r="AE880" s="4">
        <f>$K$880*$Y$880</f>
        <v>0</v>
      </c>
      <c r="AF880" s="4">
        <f ca="1">$M$880*$Z$880</f>
        <v>805022.0427999536</v>
      </c>
      <c r="AG880" s="4">
        <f>$O$880*$AA$880</f>
        <v>1856202.349149917</v>
      </c>
    </row>
    <row r="881" spans="1:33" ht="11.25" customHeight="1" x14ac:dyDescent="0.25">
      <c r="A881" s="3" t="s">
        <v>28</v>
      </c>
      <c r="B881" s="3" t="s">
        <v>33</v>
      </c>
      <c r="C881" s="3" t="s">
        <v>34</v>
      </c>
      <c r="D881" s="3" t="s">
        <v>40</v>
      </c>
      <c r="E881" s="3" t="s">
        <v>25</v>
      </c>
      <c r="F881" s="3" t="s">
        <v>25</v>
      </c>
      <c r="G881" s="3" t="s">
        <v>25</v>
      </c>
      <c r="H881" s="3" t="s">
        <v>36</v>
      </c>
      <c r="I881" s="6">
        <v>44621</v>
      </c>
      <c r="J881" s="4">
        <v>0</v>
      </c>
      <c r="K881" s="4">
        <v>0</v>
      </c>
      <c r="L881" s="4">
        <v>388.113</v>
      </c>
      <c r="M881" s="4">
        <v>388.113</v>
      </c>
      <c r="N881" s="4">
        <v>388.113</v>
      </c>
      <c r="O881" s="4">
        <v>388.113</v>
      </c>
      <c r="P881" s="4">
        <v>0</v>
      </c>
      <c r="Q881" s="3" t="s">
        <v>26</v>
      </c>
      <c r="R881" s="3">
        <v>0</v>
      </c>
      <c r="S881" s="4">
        <v>0</v>
      </c>
      <c r="T881" s="4">
        <v>29</v>
      </c>
      <c r="U881" s="4">
        <v>73</v>
      </c>
      <c r="V881" s="4">
        <f>IF(ISERROR(VLOOKUP($S$881,'TAR FIN'!$A$1:$O$99,15,0)),0,VLOOKUP($S$881,'TAR FIN'!$A$1:$O$99,15,0))</f>
        <v>0</v>
      </c>
      <c r="W881" s="4">
        <f>IF(ISERROR(VLOOKUP($T$881,'TAR FIN'!$A$1:$O$99,15,0)),0,VLOOKUP($T$881,'TAR FIN'!$A$1:$O$99,15,0))</f>
        <v>97.61</v>
      </c>
      <c r="X881" s="4">
        <f>IF(ISERROR(VLOOKUP($U$881,'TAR FIN'!$A$1:$O$99,15,0)),0,VLOOKUP($U$881,'TAR FIN'!$A$1:$O$99,15,0))</f>
        <v>219.97</v>
      </c>
      <c r="Y881" s="4"/>
      <c r="Z881" s="4">
        <f ca="1">('TUSD BE'!$AM$23+'TUSD BF'!$AM$23+'TUSD CVA'!$AM$23)*1</f>
        <v>117.59114529324071</v>
      </c>
      <c r="AA881" s="4">
        <f>('TE BE'!$AA$8+'TE BF'!$AA$8+'TE CVA'!$AA$8)*1</f>
        <v>271.13910989737087</v>
      </c>
      <c r="AB881" s="4">
        <f>$K$881*$V$881</f>
        <v>0</v>
      </c>
      <c r="AC881" s="4">
        <f>$M$881*$W$881</f>
        <v>37883.709929999997</v>
      </c>
      <c r="AD881" s="4">
        <f>$O$881*$X$881</f>
        <v>85373.216610000003</v>
      </c>
      <c r="AE881" s="4">
        <f>$K$881*$Y$881</f>
        <v>0</v>
      </c>
      <c r="AF881" s="4">
        <f ca="1">$M$881*$Z$881</f>
        <v>45638.652173195536</v>
      </c>
      <c r="AG881" s="4">
        <f>$O$881*$AA$881</f>
        <v>105232.6133595983</v>
      </c>
    </row>
    <row r="882" spans="1:33" ht="11.25" customHeight="1" x14ac:dyDescent="0.25">
      <c r="A882" s="3" t="s">
        <v>21</v>
      </c>
      <c r="B882" s="3" t="s">
        <v>33</v>
      </c>
      <c r="C882" s="3" t="s">
        <v>34</v>
      </c>
      <c r="D882" s="3" t="s">
        <v>40</v>
      </c>
      <c r="E882" s="3" t="s">
        <v>25</v>
      </c>
      <c r="F882" s="3" t="s">
        <v>25</v>
      </c>
      <c r="G882" s="3" t="s">
        <v>25</v>
      </c>
      <c r="H882" s="3" t="s">
        <v>36</v>
      </c>
      <c r="I882" s="6">
        <v>44621</v>
      </c>
      <c r="J882" s="4">
        <v>0</v>
      </c>
      <c r="K882" s="4">
        <v>0</v>
      </c>
      <c r="L882" s="4">
        <v>846.55100000000004</v>
      </c>
      <c r="M882" s="4">
        <v>846.55100000000004</v>
      </c>
      <c r="N882" s="4">
        <v>0</v>
      </c>
      <c r="O882" s="4">
        <v>0</v>
      </c>
      <c r="P882" s="4">
        <v>0</v>
      </c>
      <c r="Q882" s="3" t="s">
        <v>57</v>
      </c>
      <c r="R882" s="3">
        <v>0</v>
      </c>
      <c r="S882" s="4">
        <v>0</v>
      </c>
      <c r="T882" s="4">
        <v>29</v>
      </c>
      <c r="U882" s="4">
        <v>0</v>
      </c>
      <c r="V882" s="4">
        <f>IF(ISERROR(VLOOKUP($S$882,'TAR FIN'!$A$1:$O$99,15,0)),0,VLOOKUP($S$882,'TAR FIN'!$A$1:$O$99,15,0))</f>
        <v>0</v>
      </c>
      <c r="W882" s="4">
        <f>IF(ISERROR(VLOOKUP($T$882,'TAR FIN'!$A$1:$O$99,15,0)),0,VLOOKUP($T$882,'TAR FIN'!$A$1:$O$99,15,0))</f>
        <v>97.61</v>
      </c>
      <c r="X882" s="4">
        <f>IF(ISERROR(VLOOKUP($U$882,'TAR FIN'!$A$1:$O$99,15,0)),0,VLOOKUP($U$882,'TAR FIN'!$A$1:$O$99,15,0))</f>
        <v>0</v>
      </c>
      <c r="Y882" s="4"/>
      <c r="Z882" s="4">
        <f ca="1">('TUSD BE'!$AM$23+'TUSD BF'!$AM$23+'TUSD CVA'!$AM$23)*1</f>
        <v>117.59114529324071</v>
      </c>
      <c r="AA882" s="4"/>
      <c r="AB882" s="4">
        <f>$K$882*$V$882</f>
        <v>0</v>
      </c>
      <c r="AC882" s="4">
        <f>$M$882*$W$882</f>
        <v>82631.843110000002</v>
      </c>
      <c r="AD882" s="4">
        <f>$O$882*$X$882</f>
        <v>0</v>
      </c>
      <c r="AE882" s="4">
        <f>$K$882*$Y$882</f>
        <v>0</v>
      </c>
      <c r="AF882" s="4">
        <f ca="1">$M$882*$Z$882</f>
        <v>99546.901639138232</v>
      </c>
      <c r="AG882" s="4">
        <f>$O$882*$AA$882</f>
        <v>0</v>
      </c>
    </row>
    <row r="883" spans="1:33" ht="11.25" customHeight="1" x14ac:dyDescent="0.25">
      <c r="A883" s="3" t="s">
        <v>56</v>
      </c>
      <c r="B883" s="3" t="s">
        <v>33</v>
      </c>
      <c r="C883" s="3" t="s">
        <v>34</v>
      </c>
      <c r="D883" s="3" t="s">
        <v>40</v>
      </c>
      <c r="E883" s="3" t="s">
        <v>25</v>
      </c>
      <c r="F883" s="3" t="s">
        <v>25</v>
      </c>
      <c r="G883" s="3" t="s">
        <v>25</v>
      </c>
      <c r="H883" s="3" t="s">
        <v>36</v>
      </c>
      <c r="I883" s="6">
        <v>44652</v>
      </c>
      <c r="J883" s="4">
        <v>0</v>
      </c>
      <c r="K883" s="4">
        <v>0</v>
      </c>
      <c r="L883" s="4">
        <v>6845.9409999999998</v>
      </c>
      <c r="M883" s="4">
        <v>6845.9409999999998</v>
      </c>
      <c r="N883" s="4">
        <v>6845.9409999999998</v>
      </c>
      <c r="O883" s="4">
        <v>6845.9409999999998</v>
      </c>
      <c r="P883" s="4">
        <v>0</v>
      </c>
      <c r="Q883" s="3" t="s">
        <v>26</v>
      </c>
      <c r="R883" s="3">
        <v>0</v>
      </c>
      <c r="S883" s="4">
        <v>0</v>
      </c>
      <c r="T883" s="4">
        <v>29</v>
      </c>
      <c r="U883" s="4">
        <v>73</v>
      </c>
      <c r="V883" s="4">
        <f>IF(ISERROR(VLOOKUP($S$883,'TAR FIN'!$A$1:$O$99,15,0)),0,VLOOKUP($S$883,'TAR FIN'!$A$1:$O$99,15,0))</f>
        <v>0</v>
      </c>
      <c r="W883" s="4">
        <f>IF(ISERROR(VLOOKUP($T$883,'TAR FIN'!$A$1:$O$99,15,0)),0,VLOOKUP($T$883,'TAR FIN'!$A$1:$O$99,15,0))</f>
        <v>97.61</v>
      </c>
      <c r="X883" s="4">
        <f>IF(ISERROR(VLOOKUP($U$883,'TAR FIN'!$A$1:$O$99,15,0)),0,VLOOKUP($U$883,'TAR FIN'!$A$1:$O$99,15,0))</f>
        <v>219.97</v>
      </c>
      <c r="Y883" s="4"/>
      <c r="Z883" s="4">
        <f ca="1">('TUSD BE'!$AM$23+'TUSD BF'!$AM$23+'TUSD CVA'!$AM$23)*1</f>
        <v>117.59114529324071</v>
      </c>
      <c r="AA883" s="4">
        <f>('TE BE'!$AA$8+'TE BF'!$AA$8+'TE CVA'!$AA$8)*1</f>
        <v>271.13910989737087</v>
      </c>
      <c r="AB883" s="4">
        <f>$K$883*$V$883</f>
        <v>0</v>
      </c>
      <c r="AC883" s="4">
        <f>$M$883*$W$883</f>
        <v>668232.30100999994</v>
      </c>
      <c r="AD883" s="4">
        <f>$O$883*$X$883</f>
        <v>1505901.6417699999</v>
      </c>
      <c r="AE883" s="4">
        <f>$K$883*$Y$883</f>
        <v>0</v>
      </c>
      <c r="AF883" s="4">
        <f ca="1">$M$883*$Z$883</f>
        <v>805022.0427999536</v>
      </c>
      <c r="AG883" s="4">
        <f>$O$883*$AA$883</f>
        <v>1856202.349149917</v>
      </c>
    </row>
    <row r="884" spans="1:33" ht="11.25" customHeight="1" x14ac:dyDescent="0.25">
      <c r="A884" s="3" t="s">
        <v>56</v>
      </c>
      <c r="B884" s="3" t="s">
        <v>33</v>
      </c>
      <c r="C884" s="3" t="s">
        <v>34</v>
      </c>
      <c r="D884" s="3" t="s">
        <v>40</v>
      </c>
      <c r="E884" s="3" t="s">
        <v>25</v>
      </c>
      <c r="F884" s="3" t="s">
        <v>25</v>
      </c>
      <c r="G884" s="3" t="s">
        <v>25</v>
      </c>
      <c r="H884" s="3" t="s">
        <v>36</v>
      </c>
      <c r="I884" s="6">
        <v>44652</v>
      </c>
      <c r="J884" s="4">
        <v>0</v>
      </c>
      <c r="K884" s="4">
        <v>0</v>
      </c>
      <c r="L884" s="4">
        <v>388.113</v>
      </c>
      <c r="M884" s="4">
        <v>388.113</v>
      </c>
      <c r="N884" s="4">
        <v>388.113</v>
      </c>
      <c r="O884" s="4">
        <v>388.113</v>
      </c>
      <c r="P884" s="4">
        <v>0</v>
      </c>
      <c r="Q884" s="3" t="s">
        <v>26</v>
      </c>
      <c r="R884" s="3">
        <v>0</v>
      </c>
      <c r="S884" s="4">
        <v>0</v>
      </c>
      <c r="T884" s="4">
        <v>29</v>
      </c>
      <c r="U884" s="4">
        <v>73</v>
      </c>
      <c r="V884" s="4">
        <f>IF(ISERROR(VLOOKUP($S$884,'TAR FIN'!$A$1:$O$99,15,0)),0,VLOOKUP($S$884,'TAR FIN'!$A$1:$O$99,15,0))</f>
        <v>0</v>
      </c>
      <c r="W884" s="4">
        <f>IF(ISERROR(VLOOKUP($T$884,'TAR FIN'!$A$1:$O$99,15,0)),0,VLOOKUP($T$884,'TAR FIN'!$A$1:$O$99,15,0))</f>
        <v>97.61</v>
      </c>
      <c r="X884" s="4">
        <f>IF(ISERROR(VLOOKUP($U$884,'TAR FIN'!$A$1:$O$99,15,0)),0,VLOOKUP($U$884,'TAR FIN'!$A$1:$O$99,15,0))</f>
        <v>219.97</v>
      </c>
      <c r="Y884" s="4"/>
      <c r="Z884" s="4">
        <f ca="1">('TUSD BE'!$AM$23+'TUSD BF'!$AM$23+'TUSD CVA'!$AM$23)*1</f>
        <v>117.59114529324071</v>
      </c>
      <c r="AA884" s="4">
        <f>('TE BE'!$AA$8+'TE BF'!$AA$8+'TE CVA'!$AA$8)*1</f>
        <v>271.13910989737087</v>
      </c>
      <c r="AB884" s="4">
        <f>$K$884*$V$884</f>
        <v>0</v>
      </c>
      <c r="AC884" s="4">
        <f>$M$884*$W$884</f>
        <v>37883.709929999997</v>
      </c>
      <c r="AD884" s="4">
        <f>$O$884*$X$884</f>
        <v>85373.216610000003</v>
      </c>
      <c r="AE884" s="4">
        <f>$K$884*$Y$884</f>
        <v>0</v>
      </c>
      <c r="AF884" s="4">
        <f ca="1">$M$884*$Z$884</f>
        <v>45638.652173195536</v>
      </c>
      <c r="AG884" s="4">
        <f>$O$884*$AA$884</f>
        <v>105232.6133595983</v>
      </c>
    </row>
    <row r="885" spans="1:33" ht="11.25" customHeight="1" x14ac:dyDescent="0.25">
      <c r="A885" s="3" t="s">
        <v>56</v>
      </c>
      <c r="B885" s="3" t="s">
        <v>33</v>
      </c>
      <c r="C885" s="3" t="s">
        <v>34</v>
      </c>
      <c r="D885" s="3" t="s">
        <v>40</v>
      </c>
      <c r="E885" s="3" t="s">
        <v>25</v>
      </c>
      <c r="F885" s="3" t="s">
        <v>25</v>
      </c>
      <c r="G885" s="3" t="s">
        <v>25</v>
      </c>
      <c r="H885" s="3" t="s">
        <v>36</v>
      </c>
      <c r="I885" s="6">
        <v>44652</v>
      </c>
      <c r="J885" s="4">
        <v>0</v>
      </c>
      <c r="K885" s="4">
        <v>0</v>
      </c>
      <c r="L885" s="4">
        <v>846.55100000000004</v>
      </c>
      <c r="M885" s="4">
        <v>846.55100000000004</v>
      </c>
      <c r="N885" s="4">
        <v>0</v>
      </c>
      <c r="O885" s="4">
        <v>0</v>
      </c>
      <c r="P885" s="4">
        <v>0</v>
      </c>
      <c r="Q885" s="3" t="s">
        <v>57</v>
      </c>
      <c r="R885" s="3">
        <v>0</v>
      </c>
      <c r="S885" s="4">
        <v>0</v>
      </c>
      <c r="T885" s="4">
        <v>29</v>
      </c>
      <c r="U885" s="4">
        <v>0</v>
      </c>
      <c r="V885" s="4">
        <f>IF(ISERROR(VLOOKUP($S$885,'TAR FIN'!$A$1:$O$99,15,0)),0,VLOOKUP($S$885,'TAR FIN'!$A$1:$O$99,15,0))</f>
        <v>0</v>
      </c>
      <c r="W885" s="4">
        <f>IF(ISERROR(VLOOKUP($T$885,'TAR FIN'!$A$1:$O$99,15,0)),0,VLOOKUP($T$885,'TAR FIN'!$A$1:$O$99,15,0))</f>
        <v>97.61</v>
      </c>
      <c r="X885" s="4">
        <f>IF(ISERROR(VLOOKUP($U$885,'TAR FIN'!$A$1:$O$99,15,0)),0,VLOOKUP($U$885,'TAR FIN'!$A$1:$O$99,15,0))</f>
        <v>0</v>
      </c>
      <c r="Y885" s="4"/>
      <c r="Z885" s="4">
        <f ca="1">('TUSD BE'!$AM$23+'TUSD BF'!$AM$23+'TUSD CVA'!$AM$23)*1</f>
        <v>117.59114529324071</v>
      </c>
      <c r="AA885" s="4"/>
      <c r="AB885" s="4">
        <f>$K$885*$V$885</f>
        <v>0</v>
      </c>
      <c r="AC885" s="4">
        <f>$M$885*$W$885</f>
        <v>82631.843110000002</v>
      </c>
      <c r="AD885" s="4">
        <f>$O$885*$X$885</f>
        <v>0</v>
      </c>
      <c r="AE885" s="4">
        <f>$K$885*$Y$885</f>
        <v>0</v>
      </c>
      <c r="AF885" s="4">
        <f ca="1">$M$885*$Z$885</f>
        <v>99546.901639138232</v>
      </c>
      <c r="AG885" s="4">
        <f>$O$885*$AA$885</f>
        <v>0</v>
      </c>
    </row>
    <row r="886" spans="1:33" ht="11.25" customHeight="1" x14ac:dyDescent="0.25">
      <c r="A886" s="3" t="s">
        <v>21</v>
      </c>
      <c r="B886" s="3" t="s">
        <v>33</v>
      </c>
      <c r="C886" s="3" t="s">
        <v>34</v>
      </c>
      <c r="D886" s="3" t="s">
        <v>40</v>
      </c>
      <c r="E886" s="3" t="s">
        <v>25</v>
      </c>
      <c r="F886" s="3" t="s">
        <v>25</v>
      </c>
      <c r="G886" s="3" t="s">
        <v>25</v>
      </c>
      <c r="H886" s="3" t="s">
        <v>25</v>
      </c>
      <c r="I886" s="6">
        <v>44317</v>
      </c>
      <c r="J886" s="4">
        <v>41542</v>
      </c>
      <c r="K886" s="4">
        <v>41542</v>
      </c>
      <c r="L886" s="4">
        <v>0</v>
      </c>
      <c r="M886" s="4">
        <v>0</v>
      </c>
      <c r="N886" s="4">
        <v>0</v>
      </c>
      <c r="O886" s="4">
        <v>0</v>
      </c>
      <c r="P886" s="4">
        <v>239</v>
      </c>
      <c r="Q886" s="3" t="s">
        <v>26</v>
      </c>
      <c r="R886" s="3">
        <v>0</v>
      </c>
      <c r="S886" s="4">
        <v>7</v>
      </c>
      <c r="T886" s="4">
        <v>0</v>
      </c>
      <c r="U886" s="4">
        <v>0</v>
      </c>
      <c r="V886" s="4">
        <f>IF(ISERROR(VLOOKUP($S$886,'TAR FIN'!$A$1:$O$99,15,0)),0,VLOOKUP($S$886,'TAR FIN'!$A$1:$O$99,15,0))</f>
        <v>21.85</v>
      </c>
      <c r="W886" s="4">
        <f>IF(ISERROR(VLOOKUP($T$886,'TAR FIN'!$A$1:$O$99,15,0)),0,VLOOKUP($T$886,'TAR FIN'!$A$1:$O$99,15,0))</f>
        <v>0</v>
      </c>
      <c r="X886" s="4">
        <f>IF(ISERROR(VLOOKUP($U$886,'TAR FIN'!$A$1:$O$99,15,0)),0,VLOOKUP($U$886,'TAR FIN'!$A$1:$O$99,15,0))</f>
        <v>0</v>
      </c>
      <c r="Y886" s="4">
        <f ca="1">('TUSD BE'!$AM$21+'TUSD BF'!$AM$21+'TUSD CVA'!$AM$21)*1</f>
        <v>24.669398821277586</v>
      </c>
      <c r="Z886" s="4"/>
      <c r="AA886" s="4"/>
      <c r="AB886" s="4">
        <f>$K$886*$V$886</f>
        <v>907692.70000000007</v>
      </c>
      <c r="AC886" s="4">
        <f>$M$886*$W$886</f>
        <v>0</v>
      </c>
      <c r="AD886" s="4">
        <f>$O$886*$X$886</f>
        <v>0</v>
      </c>
      <c r="AE886" s="4">
        <f ca="1">$K$886*$Y$886</f>
        <v>1024816.1658335135</v>
      </c>
      <c r="AF886" s="4">
        <f>$M$886*$Z$886</f>
        <v>0</v>
      </c>
      <c r="AG886" s="4">
        <f>$O$886*$AA$886</f>
        <v>0</v>
      </c>
    </row>
    <row r="887" spans="1:33" ht="11.25" customHeight="1" x14ac:dyDescent="0.25">
      <c r="A887" s="3" t="s">
        <v>27</v>
      </c>
      <c r="B887" s="3" t="s">
        <v>33</v>
      </c>
      <c r="C887" s="3" t="s">
        <v>34</v>
      </c>
      <c r="D887" s="3" t="s">
        <v>40</v>
      </c>
      <c r="E887" s="3" t="s">
        <v>25</v>
      </c>
      <c r="F887" s="3" t="s">
        <v>25</v>
      </c>
      <c r="G887" s="3" t="s">
        <v>25</v>
      </c>
      <c r="H887" s="3" t="s">
        <v>25</v>
      </c>
      <c r="I887" s="6">
        <v>44317</v>
      </c>
      <c r="J887" s="4">
        <v>-34</v>
      </c>
      <c r="K887" s="4">
        <v>-34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3" t="s">
        <v>26</v>
      </c>
      <c r="R887" s="3">
        <v>0</v>
      </c>
      <c r="S887" s="4">
        <v>7</v>
      </c>
      <c r="T887" s="4">
        <v>0</v>
      </c>
      <c r="U887" s="4">
        <v>0</v>
      </c>
      <c r="V887" s="4">
        <f>IF(ISERROR(VLOOKUP($S$887,'TAR FIN'!$A$1:$O$99,15,0)),0,VLOOKUP($S$887,'TAR FIN'!$A$1:$O$99,15,0))</f>
        <v>21.85</v>
      </c>
      <c r="W887" s="4">
        <f>IF(ISERROR(VLOOKUP($T$887,'TAR FIN'!$A$1:$O$99,15,0)),0,VLOOKUP($T$887,'TAR FIN'!$A$1:$O$99,15,0))</f>
        <v>0</v>
      </c>
      <c r="X887" s="4">
        <f>IF(ISERROR(VLOOKUP($U$887,'TAR FIN'!$A$1:$O$99,15,0)),0,VLOOKUP($U$887,'TAR FIN'!$A$1:$O$99,15,0))</f>
        <v>0</v>
      </c>
      <c r="Y887" s="4">
        <f ca="1">('TUSD BE'!$AM$21+'TUSD BF'!$AM$21+'TUSD CVA'!$AM$21)*1</f>
        <v>24.669398821277586</v>
      </c>
      <c r="Z887" s="4"/>
      <c r="AA887" s="4"/>
      <c r="AB887" s="4">
        <f>$K$887*$V$887</f>
        <v>-742.90000000000009</v>
      </c>
      <c r="AC887" s="4">
        <f>$M$887*$W$887</f>
        <v>0</v>
      </c>
      <c r="AD887" s="4">
        <f>$O$887*$X$887</f>
        <v>0</v>
      </c>
      <c r="AE887" s="4">
        <f ca="1">$K$887*$Y$887</f>
        <v>-838.75955992343791</v>
      </c>
      <c r="AF887" s="4">
        <f>$M$887*$Z$887</f>
        <v>0</v>
      </c>
      <c r="AG887" s="4">
        <f>$O$887*$AA$887</f>
        <v>0</v>
      </c>
    </row>
    <row r="888" spans="1:33" ht="11.25" customHeight="1" x14ac:dyDescent="0.25">
      <c r="A888" s="3" t="s">
        <v>28</v>
      </c>
      <c r="B888" s="3" t="s">
        <v>33</v>
      </c>
      <c r="C888" s="3" t="s">
        <v>34</v>
      </c>
      <c r="D888" s="3" t="s">
        <v>40</v>
      </c>
      <c r="E888" s="3" t="s">
        <v>25</v>
      </c>
      <c r="F888" s="3" t="s">
        <v>25</v>
      </c>
      <c r="G888" s="3" t="s">
        <v>25</v>
      </c>
      <c r="H888" s="3" t="s">
        <v>25</v>
      </c>
      <c r="I888" s="6">
        <v>44317</v>
      </c>
      <c r="J888" s="4">
        <v>1745</v>
      </c>
      <c r="K888" s="4">
        <v>1745</v>
      </c>
      <c r="L888" s="4">
        <v>0</v>
      </c>
      <c r="M888" s="4">
        <v>0</v>
      </c>
      <c r="N888" s="4">
        <v>0</v>
      </c>
      <c r="O888" s="4">
        <v>0</v>
      </c>
      <c r="P888" s="4">
        <v>10</v>
      </c>
      <c r="Q888" s="3" t="s">
        <v>26</v>
      </c>
      <c r="R888" s="3">
        <v>0</v>
      </c>
      <c r="S888" s="4">
        <v>7</v>
      </c>
      <c r="T888" s="4">
        <v>0</v>
      </c>
      <c r="U888" s="4">
        <v>0</v>
      </c>
      <c r="V888" s="4">
        <f>IF(ISERROR(VLOOKUP($S$888,'TAR FIN'!$A$1:$O$99,15,0)),0,VLOOKUP($S$888,'TAR FIN'!$A$1:$O$99,15,0))</f>
        <v>21.85</v>
      </c>
      <c r="W888" s="4">
        <f>IF(ISERROR(VLOOKUP($T$888,'TAR FIN'!$A$1:$O$99,15,0)),0,VLOOKUP($T$888,'TAR FIN'!$A$1:$O$99,15,0))</f>
        <v>0</v>
      </c>
      <c r="X888" s="4">
        <f>IF(ISERROR(VLOOKUP($U$888,'TAR FIN'!$A$1:$O$99,15,0)),0,VLOOKUP($U$888,'TAR FIN'!$A$1:$O$99,15,0))</f>
        <v>0</v>
      </c>
      <c r="Y888" s="4">
        <f ca="1">('TUSD BE'!$AM$21+'TUSD BF'!$AM$21+'TUSD CVA'!$AM$21)*1</f>
        <v>24.669398821277586</v>
      </c>
      <c r="Z888" s="4"/>
      <c r="AA888" s="4"/>
      <c r="AB888" s="4">
        <f>$K$888*$V$888</f>
        <v>38128.25</v>
      </c>
      <c r="AC888" s="4">
        <f>$M$888*$W$888</f>
        <v>0</v>
      </c>
      <c r="AD888" s="4">
        <f>$O$888*$X$888</f>
        <v>0</v>
      </c>
      <c r="AE888" s="4">
        <f ca="1">$K$888*$Y$888</f>
        <v>43048.100943129386</v>
      </c>
      <c r="AF888" s="4">
        <f>$M$888*$Z$888</f>
        <v>0</v>
      </c>
      <c r="AG888" s="4">
        <f>$O$888*$AA$888</f>
        <v>0</v>
      </c>
    </row>
    <row r="889" spans="1:33" ht="11.25" customHeight="1" x14ac:dyDescent="0.25">
      <c r="A889" s="3" t="s">
        <v>21</v>
      </c>
      <c r="B889" s="3" t="s">
        <v>33</v>
      </c>
      <c r="C889" s="3" t="s">
        <v>34</v>
      </c>
      <c r="D889" s="3" t="s">
        <v>40</v>
      </c>
      <c r="E889" s="3" t="s">
        <v>25</v>
      </c>
      <c r="F889" s="3" t="s">
        <v>25</v>
      </c>
      <c r="G889" s="3" t="s">
        <v>25</v>
      </c>
      <c r="H889" s="3" t="s">
        <v>25</v>
      </c>
      <c r="I889" s="6">
        <v>44317</v>
      </c>
      <c r="J889" s="4">
        <v>2500</v>
      </c>
      <c r="K889" s="4">
        <v>2500</v>
      </c>
      <c r="L889" s="4">
        <v>0</v>
      </c>
      <c r="M889" s="4">
        <v>0</v>
      </c>
      <c r="N889" s="4">
        <v>0</v>
      </c>
      <c r="O889" s="4">
        <v>0</v>
      </c>
      <c r="P889" s="4">
        <v>1</v>
      </c>
      <c r="Q889" s="3" t="s">
        <v>57</v>
      </c>
      <c r="R889" s="3">
        <v>0</v>
      </c>
      <c r="S889" s="4">
        <v>7</v>
      </c>
      <c r="T889" s="4">
        <v>0</v>
      </c>
      <c r="U889" s="4">
        <v>0</v>
      </c>
      <c r="V889" s="4">
        <f>IF(ISERROR(VLOOKUP($S$889,'TAR FIN'!$A$1:$O$99,15,0)),0,VLOOKUP($S$889,'TAR FIN'!$A$1:$O$99,15,0))</f>
        <v>21.85</v>
      </c>
      <c r="W889" s="4">
        <f>IF(ISERROR(VLOOKUP($T$889,'TAR FIN'!$A$1:$O$99,15,0)),0,VLOOKUP($T$889,'TAR FIN'!$A$1:$O$99,15,0))</f>
        <v>0</v>
      </c>
      <c r="X889" s="4">
        <f>IF(ISERROR(VLOOKUP($U$889,'TAR FIN'!$A$1:$O$99,15,0)),0,VLOOKUP($U$889,'TAR FIN'!$A$1:$O$99,15,0))</f>
        <v>0</v>
      </c>
      <c r="Y889" s="4">
        <f ca="1">('TUSD BE'!$AM$21+'TUSD BF'!$AM$21+'TUSD CVA'!$AM$21)*1</f>
        <v>24.669398821277586</v>
      </c>
      <c r="Z889" s="4"/>
      <c r="AA889" s="4"/>
      <c r="AB889" s="4">
        <f>$K$889*$V$889</f>
        <v>54625</v>
      </c>
      <c r="AC889" s="4">
        <f>$M$889*$W$889</f>
        <v>0</v>
      </c>
      <c r="AD889" s="4">
        <f>$O$889*$X$889</f>
        <v>0</v>
      </c>
      <c r="AE889" s="4">
        <f ca="1">$K$889*$Y$889</f>
        <v>61673.497053193962</v>
      </c>
      <c r="AF889" s="4">
        <f>$M$889*$Z$889</f>
        <v>0</v>
      </c>
      <c r="AG889" s="4">
        <f>$O$889*$AA$889</f>
        <v>0</v>
      </c>
    </row>
    <row r="890" spans="1:33" ht="11.25" customHeight="1" x14ac:dyDescent="0.25">
      <c r="A890" s="3" t="s">
        <v>21</v>
      </c>
      <c r="B890" s="3" t="s">
        <v>33</v>
      </c>
      <c r="C890" s="3" t="s">
        <v>34</v>
      </c>
      <c r="D890" s="3" t="s">
        <v>40</v>
      </c>
      <c r="E890" s="3" t="s">
        <v>25</v>
      </c>
      <c r="F890" s="3" t="s">
        <v>25</v>
      </c>
      <c r="G890" s="3" t="s">
        <v>25</v>
      </c>
      <c r="H890" s="3" t="s">
        <v>25</v>
      </c>
      <c r="I890" s="6">
        <v>44348</v>
      </c>
      <c r="J890" s="4">
        <v>41302</v>
      </c>
      <c r="K890" s="4">
        <v>41302</v>
      </c>
      <c r="L890" s="4">
        <v>0</v>
      </c>
      <c r="M890" s="4">
        <v>0</v>
      </c>
      <c r="N890" s="4">
        <v>0</v>
      </c>
      <c r="O890" s="4">
        <v>0</v>
      </c>
      <c r="P890" s="4">
        <v>238</v>
      </c>
      <c r="Q890" s="3" t="s">
        <v>26</v>
      </c>
      <c r="R890" s="3">
        <v>0</v>
      </c>
      <c r="S890" s="4">
        <v>7</v>
      </c>
      <c r="T890" s="4">
        <v>0</v>
      </c>
      <c r="U890" s="4">
        <v>0</v>
      </c>
      <c r="V890" s="4">
        <f>IF(ISERROR(VLOOKUP($S$890,'TAR FIN'!$A$1:$O$99,15,0)),0,VLOOKUP($S$890,'TAR FIN'!$A$1:$O$99,15,0))</f>
        <v>21.85</v>
      </c>
      <c r="W890" s="4">
        <f>IF(ISERROR(VLOOKUP($T$890,'TAR FIN'!$A$1:$O$99,15,0)),0,VLOOKUP($T$890,'TAR FIN'!$A$1:$O$99,15,0))</f>
        <v>0</v>
      </c>
      <c r="X890" s="4">
        <f>IF(ISERROR(VLOOKUP($U$890,'TAR FIN'!$A$1:$O$99,15,0)),0,VLOOKUP($U$890,'TAR FIN'!$A$1:$O$99,15,0))</f>
        <v>0</v>
      </c>
      <c r="Y890" s="4">
        <f ca="1">('TUSD BE'!$AM$21+'TUSD BF'!$AM$21+'TUSD CVA'!$AM$21)*1</f>
        <v>24.669398821277586</v>
      </c>
      <c r="Z890" s="4"/>
      <c r="AA890" s="4"/>
      <c r="AB890" s="4">
        <f>$K$890*$V$890</f>
        <v>902448.70000000007</v>
      </c>
      <c r="AC890" s="4">
        <f>$M$890*$W$890</f>
        <v>0</v>
      </c>
      <c r="AD890" s="4">
        <f>$O$890*$X$890</f>
        <v>0</v>
      </c>
      <c r="AE890" s="4">
        <f ca="1">$K$890*$Y$890</f>
        <v>1018895.5101164068</v>
      </c>
      <c r="AF890" s="4">
        <f>$M$890*$Z$890</f>
        <v>0</v>
      </c>
      <c r="AG890" s="4">
        <f>$O$890*$AA$890</f>
        <v>0</v>
      </c>
    </row>
    <row r="891" spans="1:33" ht="11.25" customHeight="1" x14ac:dyDescent="0.25">
      <c r="A891" s="3" t="s">
        <v>27</v>
      </c>
      <c r="B891" s="3" t="s">
        <v>33</v>
      </c>
      <c r="C891" s="3" t="s">
        <v>34</v>
      </c>
      <c r="D891" s="3" t="s">
        <v>40</v>
      </c>
      <c r="E891" s="3" t="s">
        <v>25</v>
      </c>
      <c r="F891" s="3" t="s">
        <v>25</v>
      </c>
      <c r="G891" s="3" t="s">
        <v>25</v>
      </c>
      <c r="H891" s="3" t="s">
        <v>25</v>
      </c>
      <c r="I891" s="6">
        <v>44348</v>
      </c>
      <c r="J891" s="4">
        <v>-1008</v>
      </c>
      <c r="K891" s="4">
        <v>-1008</v>
      </c>
      <c r="L891" s="4">
        <v>0</v>
      </c>
      <c r="M891" s="4">
        <v>0</v>
      </c>
      <c r="N891" s="4">
        <v>0</v>
      </c>
      <c r="O891" s="4">
        <v>0</v>
      </c>
      <c r="P891" s="4">
        <v>-3</v>
      </c>
      <c r="Q891" s="3" t="s">
        <v>26</v>
      </c>
      <c r="R891" s="3">
        <v>0</v>
      </c>
      <c r="S891" s="4">
        <v>7</v>
      </c>
      <c r="T891" s="4">
        <v>0</v>
      </c>
      <c r="U891" s="4">
        <v>0</v>
      </c>
      <c r="V891" s="4">
        <f>IF(ISERROR(VLOOKUP($S$891,'TAR FIN'!$A$1:$O$99,15,0)),0,VLOOKUP($S$891,'TAR FIN'!$A$1:$O$99,15,0))</f>
        <v>21.85</v>
      </c>
      <c r="W891" s="4">
        <f>IF(ISERROR(VLOOKUP($T$891,'TAR FIN'!$A$1:$O$99,15,0)),0,VLOOKUP($T$891,'TAR FIN'!$A$1:$O$99,15,0))</f>
        <v>0</v>
      </c>
      <c r="X891" s="4">
        <f>IF(ISERROR(VLOOKUP($U$891,'TAR FIN'!$A$1:$O$99,15,0)),0,VLOOKUP($U$891,'TAR FIN'!$A$1:$O$99,15,0))</f>
        <v>0</v>
      </c>
      <c r="Y891" s="4">
        <f ca="1">('TUSD BE'!$AM$21+'TUSD BF'!$AM$21+'TUSD CVA'!$AM$21)*1</f>
        <v>24.669398821277586</v>
      </c>
      <c r="Z891" s="4"/>
      <c r="AA891" s="4"/>
      <c r="AB891" s="4">
        <f>$K$891*$V$891</f>
        <v>-22024.800000000003</v>
      </c>
      <c r="AC891" s="4">
        <f>$M$891*$W$891</f>
        <v>0</v>
      </c>
      <c r="AD891" s="4">
        <f>$O$891*$X$891</f>
        <v>0</v>
      </c>
      <c r="AE891" s="4">
        <f ca="1">$K$891*$Y$891</f>
        <v>-24866.754011847806</v>
      </c>
      <c r="AF891" s="4">
        <f>$M$891*$Z$891</f>
        <v>0</v>
      </c>
      <c r="AG891" s="4">
        <f>$O$891*$AA$891</f>
        <v>0</v>
      </c>
    </row>
    <row r="892" spans="1:33" ht="11.25" customHeight="1" x14ac:dyDescent="0.25">
      <c r="A892" s="3" t="s">
        <v>28</v>
      </c>
      <c r="B892" s="3" t="s">
        <v>33</v>
      </c>
      <c r="C892" s="3" t="s">
        <v>34</v>
      </c>
      <c r="D892" s="3" t="s">
        <v>40</v>
      </c>
      <c r="E892" s="3" t="s">
        <v>25</v>
      </c>
      <c r="F892" s="3" t="s">
        <v>25</v>
      </c>
      <c r="G892" s="3" t="s">
        <v>25</v>
      </c>
      <c r="H892" s="3" t="s">
        <v>25</v>
      </c>
      <c r="I892" s="6">
        <v>44348</v>
      </c>
      <c r="J892" s="4">
        <v>1736</v>
      </c>
      <c r="K892" s="4">
        <v>1736</v>
      </c>
      <c r="L892" s="4">
        <v>0</v>
      </c>
      <c r="M892" s="4">
        <v>0</v>
      </c>
      <c r="N892" s="4">
        <v>0</v>
      </c>
      <c r="O892" s="4">
        <v>0</v>
      </c>
      <c r="P892" s="4">
        <v>10</v>
      </c>
      <c r="Q892" s="3" t="s">
        <v>26</v>
      </c>
      <c r="R892" s="3">
        <v>0</v>
      </c>
      <c r="S892" s="4">
        <v>7</v>
      </c>
      <c r="T892" s="4">
        <v>0</v>
      </c>
      <c r="U892" s="4">
        <v>0</v>
      </c>
      <c r="V892" s="4">
        <f>IF(ISERROR(VLOOKUP($S$892,'TAR FIN'!$A$1:$O$99,15,0)),0,VLOOKUP($S$892,'TAR FIN'!$A$1:$O$99,15,0))</f>
        <v>21.85</v>
      </c>
      <c r="W892" s="4">
        <f>IF(ISERROR(VLOOKUP($T$892,'TAR FIN'!$A$1:$O$99,15,0)),0,VLOOKUP($T$892,'TAR FIN'!$A$1:$O$99,15,0))</f>
        <v>0</v>
      </c>
      <c r="X892" s="4">
        <f>IF(ISERROR(VLOOKUP($U$892,'TAR FIN'!$A$1:$O$99,15,0)),0,VLOOKUP($U$892,'TAR FIN'!$A$1:$O$99,15,0))</f>
        <v>0</v>
      </c>
      <c r="Y892" s="4">
        <f ca="1">('TUSD BE'!$AM$21+'TUSD BF'!$AM$21+'TUSD CVA'!$AM$21)*1</f>
        <v>24.669398821277586</v>
      </c>
      <c r="Z892" s="4"/>
      <c r="AA892" s="4"/>
      <c r="AB892" s="4">
        <f>$K$892*$V$892</f>
        <v>37931.600000000006</v>
      </c>
      <c r="AC892" s="4">
        <f>$M$892*$W$892</f>
        <v>0</v>
      </c>
      <c r="AD892" s="4">
        <f>$O$892*$X$892</f>
        <v>0</v>
      </c>
      <c r="AE892" s="4">
        <f ca="1">$K$892*$Y$892</f>
        <v>42826.076353737888</v>
      </c>
      <c r="AF892" s="4">
        <f>$M$892*$Z$892</f>
        <v>0</v>
      </c>
      <c r="AG892" s="4">
        <f>$O$892*$AA$892</f>
        <v>0</v>
      </c>
    </row>
    <row r="893" spans="1:33" ht="11.25" customHeight="1" x14ac:dyDescent="0.25">
      <c r="A893" s="3" t="s">
        <v>21</v>
      </c>
      <c r="B893" s="3" t="s">
        <v>33</v>
      </c>
      <c r="C893" s="3" t="s">
        <v>34</v>
      </c>
      <c r="D893" s="3" t="s">
        <v>40</v>
      </c>
      <c r="E893" s="3" t="s">
        <v>25</v>
      </c>
      <c r="F893" s="3" t="s">
        <v>25</v>
      </c>
      <c r="G893" s="3" t="s">
        <v>25</v>
      </c>
      <c r="H893" s="3" t="s">
        <v>25</v>
      </c>
      <c r="I893" s="6">
        <v>44348</v>
      </c>
      <c r="J893" s="4">
        <v>2614</v>
      </c>
      <c r="K893" s="4">
        <v>2614</v>
      </c>
      <c r="L893" s="4">
        <v>0</v>
      </c>
      <c r="M893" s="4">
        <v>0</v>
      </c>
      <c r="N893" s="4">
        <v>0</v>
      </c>
      <c r="O893" s="4">
        <v>0</v>
      </c>
      <c r="P893" s="4">
        <v>1</v>
      </c>
      <c r="Q893" s="3" t="s">
        <v>57</v>
      </c>
      <c r="R893" s="3">
        <v>0</v>
      </c>
      <c r="S893" s="4">
        <v>7</v>
      </c>
      <c r="T893" s="4">
        <v>0</v>
      </c>
      <c r="U893" s="4">
        <v>0</v>
      </c>
      <c r="V893" s="4">
        <f>IF(ISERROR(VLOOKUP($S$893,'TAR FIN'!$A$1:$O$99,15,0)),0,VLOOKUP($S$893,'TAR FIN'!$A$1:$O$99,15,0))</f>
        <v>21.85</v>
      </c>
      <c r="W893" s="4">
        <f>IF(ISERROR(VLOOKUP($T$893,'TAR FIN'!$A$1:$O$99,15,0)),0,VLOOKUP($T$893,'TAR FIN'!$A$1:$O$99,15,0))</f>
        <v>0</v>
      </c>
      <c r="X893" s="4">
        <f>IF(ISERROR(VLOOKUP($U$893,'TAR FIN'!$A$1:$O$99,15,0)),0,VLOOKUP($U$893,'TAR FIN'!$A$1:$O$99,15,0))</f>
        <v>0</v>
      </c>
      <c r="Y893" s="4">
        <f ca="1">('TUSD BE'!$AM$21+'TUSD BF'!$AM$21+'TUSD CVA'!$AM$21)*1</f>
        <v>24.669398821277586</v>
      </c>
      <c r="Z893" s="4"/>
      <c r="AA893" s="4"/>
      <c r="AB893" s="4">
        <f>$K$893*$V$893</f>
        <v>57115.9</v>
      </c>
      <c r="AC893" s="4">
        <f>$M$893*$W$893</f>
        <v>0</v>
      </c>
      <c r="AD893" s="4">
        <f>$O$893*$X$893</f>
        <v>0</v>
      </c>
      <c r="AE893" s="4">
        <f ca="1">$K$893*$Y$893</f>
        <v>64485.808518819606</v>
      </c>
      <c r="AF893" s="4">
        <f>$M$893*$Z$893</f>
        <v>0</v>
      </c>
      <c r="AG893" s="4">
        <f>$O$893*$AA$893</f>
        <v>0</v>
      </c>
    </row>
    <row r="894" spans="1:33" ht="11.25" customHeight="1" x14ac:dyDescent="0.25">
      <c r="A894" s="3" t="s">
        <v>21</v>
      </c>
      <c r="B894" s="3" t="s">
        <v>33</v>
      </c>
      <c r="C894" s="3" t="s">
        <v>34</v>
      </c>
      <c r="D894" s="3" t="s">
        <v>40</v>
      </c>
      <c r="E894" s="3" t="s">
        <v>25</v>
      </c>
      <c r="F894" s="3" t="s">
        <v>25</v>
      </c>
      <c r="G894" s="3" t="s">
        <v>25</v>
      </c>
      <c r="H894" s="3" t="s">
        <v>25</v>
      </c>
      <c r="I894" s="6">
        <v>44378</v>
      </c>
      <c r="J894" s="4">
        <v>41821</v>
      </c>
      <c r="K894" s="4">
        <v>41821</v>
      </c>
      <c r="L894" s="4">
        <v>0</v>
      </c>
      <c r="M894" s="4">
        <v>0</v>
      </c>
      <c r="N894" s="4">
        <v>0</v>
      </c>
      <c r="O894" s="4">
        <v>0</v>
      </c>
      <c r="P894" s="4">
        <v>235</v>
      </c>
      <c r="Q894" s="3" t="s">
        <v>26</v>
      </c>
      <c r="R894" s="3">
        <v>0</v>
      </c>
      <c r="S894" s="4">
        <v>7</v>
      </c>
      <c r="T894" s="4">
        <v>0</v>
      </c>
      <c r="U894" s="4">
        <v>0</v>
      </c>
      <c r="V894" s="4">
        <f>IF(ISERROR(VLOOKUP($S$894,'TAR FIN'!$A$1:$O$99,15,0)),0,VLOOKUP($S$894,'TAR FIN'!$A$1:$O$99,15,0))</f>
        <v>21.85</v>
      </c>
      <c r="W894" s="4">
        <f>IF(ISERROR(VLOOKUP($T$894,'TAR FIN'!$A$1:$O$99,15,0)),0,VLOOKUP($T$894,'TAR FIN'!$A$1:$O$99,15,0))</f>
        <v>0</v>
      </c>
      <c r="X894" s="4">
        <f>IF(ISERROR(VLOOKUP($U$894,'TAR FIN'!$A$1:$O$99,15,0)),0,VLOOKUP($U$894,'TAR FIN'!$A$1:$O$99,15,0))</f>
        <v>0</v>
      </c>
      <c r="Y894" s="4">
        <f ca="1">('TUSD BE'!$AM$21+'TUSD BF'!$AM$21+'TUSD CVA'!$AM$21)*1</f>
        <v>24.669398821277586</v>
      </c>
      <c r="Z894" s="4"/>
      <c r="AA894" s="4"/>
      <c r="AB894" s="4">
        <f>$K$894*$V$894</f>
        <v>913788.85000000009</v>
      </c>
      <c r="AC894" s="4">
        <f>$M$894*$W$894</f>
        <v>0</v>
      </c>
      <c r="AD894" s="4">
        <f>$O$894*$X$894</f>
        <v>0</v>
      </c>
      <c r="AE894" s="4">
        <f ca="1">$K$894*$Y$894</f>
        <v>1031698.9281046499</v>
      </c>
      <c r="AF894" s="4">
        <f>$M$894*$Z$894</f>
        <v>0</v>
      </c>
      <c r="AG894" s="4">
        <f>$O$894*$AA$894</f>
        <v>0</v>
      </c>
    </row>
    <row r="895" spans="1:33" ht="11.25" customHeight="1" x14ac:dyDescent="0.25">
      <c r="A895" s="3" t="s">
        <v>28</v>
      </c>
      <c r="B895" s="3" t="s">
        <v>33</v>
      </c>
      <c r="C895" s="3" t="s">
        <v>34</v>
      </c>
      <c r="D895" s="3" t="s">
        <v>40</v>
      </c>
      <c r="E895" s="3" t="s">
        <v>25</v>
      </c>
      <c r="F895" s="3" t="s">
        <v>25</v>
      </c>
      <c r="G895" s="3" t="s">
        <v>25</v>
      </c>
      <c r="H895" s="3" t="s">
        <v>25</v>
      </c>
      <c r="I895" s="6">
        <v>44378</v>
      </c>
      <c r="J895" s="4">
        <v>2385</v>
      </c>
      <c r="K895" s="4">
        <v>2385</v>
      </c>
      <c r="L895" s="4">
        <v>0</v>
      </c>
      <c r="M895" s="4">
        <v>0</v>
      </c>
      <c r="N895" s="4">
        <v>0</v>
      </c>
      <c r="O895" s="4">
        <v>0</v>
      </c>
      <c r="P895" s="4">
        <v>12</v>
      </c>
      <c r="Q895" s="3" t="s">
        <v>26</v>
      </c>
      <c r="R895" s="3">
        <v>0</v>
      </c>
      <c r="S895" s="4">
        <v>7</v>
      </c>
      <c r="T895" s="4">
        <v>0</v>
      </c>
      <c r="U895" s="4">
        <v>0</v>
      </c>
      <c r="V895" s="4">
        <f>IF(ISERROR(VLOOKUP($S$895,'TAR FIN'!$A$1:$O$99,15,0)),0,VLOOKUP($S$895,'TAR FIN'!$A$1:$O$99,15,0))</f>
        <v>21.85</v>
      </c>
      <c r="W895" s="4">
        <f>IF(ISERROR(VLOOKUP($T$895,'TAR FIN'!$A$1:$O$99,15,0)),0,VLOOKUP($T$895,'TAR FIN'!$A$1:$O$99,15,0))</f>
        <v>0</v>
      </c>
      <c r="X895" s="4">
        <f>IF(ISERROR(VLOOKUP($U$895,'TAR FIN'!$A$1:$O$99,15,0)),0,VLOOKUP($U$895,'TAR FIN'!$A$1:$O$99,15,0))</f>
        <v>0</v>
      </c>
      <c r="Y895" s="4">
        <f ca="1">('TUSD BE'!$AM$21+'TUSD BF'!$AM$21+'TUSD CVA'!$AM$21)*1</f>
        <v>24.669398821277586</v>
      </c>
      <c r="Z895" s="4"/>
      <c r="AA895" s="4"/>
      <c r="AB895" s="4">
        <f>$K$895*$V$895</f>
        <v>52112.25</v>
      </c>
      <c r="AC895" s="4">
        <f>$M$895*$W$895</f>
        <v>0</v>
      </c>
      <c r="AD895" s="4">
        <f>$O$895*$X$895</f>
        <v>0</v>
      </c>
      <c r="AE895" s="4">
        <f ca="1">$K$895*$Y$895</f>
        <v>58836.516188747039</v>
      </c>
      <c r="AF895" s="4">
        <f>$M$895*$Z$895</f>
        <v>0</v>
      </c>
      <c r="AG895" s="4">
        <f>$O$895*$AA$895</f>
        <v>0</v>
      </c>
    </row>
    <row r="896" spans="1:33" ht="11.25" customHeight="1" x14ac:dyDescent="0.25">
      <c r="A896" s="3" t="s">
        <v>21</v>
      </c>
      <c r="B896" s="3" t="s">
        <v>33</v>
      </c>
      <c r="C896" s="3" t="s">
        <v>34</v>
      </c>
      <c r="D896" s="3" t="s">
        <v>40</v>
      </c>
      <c r="E896" s="3" t="s">
        <v>25</v>
      </c>
      <c r="F896" s="3" t="s">
        <v>25</v>
      </c>
      <c r="G896" s="3" t="s">
        <v>25</v>
      </c>
      <c r="H896" s="3" t="s">
        <v>25</v>
      </c>
      <c r="I896" s="6">
        <v>44378</v>
      </c>
      <c r="J896" s="4">
        <v>2667</v>
      </c>
      <c r="K896" s="4">
        <v>2667</v>
      </c>
      <c r="L896" s="4">
        <v>0</v>
      </c>
      <c r="M896" s="4">
        <v>0</v>
      </c>
      <c r="N896" s="4">
        <v>0</v>
      </c>
      <c r="O896" s="4">
        <v>0</v>
      </c>
      <c r="P896" s="4">
        <v>1</v>
      </c>
      <c r="Q896" s="3" t="s">
        <v>57</v>
      </c>
      <c r="R896" s="3">
        <v>0</v>
      </c>
      <c r="S896" s="4">
        <v>7</v>
      </c>
      <c r="T896" s="4">
        <v>0</v>
      </c>
      <c r="U896" s="4">
        <v>0</v>
      </c>
      <c r="V896" s="4">
        <f>IF(ISERROR(VLOOKUP($S$896,'TAR FIN'!$A$1:$O$99,15,0)),0,VLOOKUP($S$896,'TAR FIN'!$A$1:$O$99,15,0))</f>
        <v>21.85</v>
      </c>
      <c r="W896" s="4">
        <f>IF(ISERROR(VLOOKUP($T$896,'TAR FIN'!$A$1:$O$99,15,0)),0,VLOOKUP($T$896,'TAR FIN'!$A$1:$O$99,15,0))</f>
        <v>0</v>
      </c>
      <c r="X896" s="4">
        <f>IF(ISERROR(VLOOKUP($U$896,'TAR FIN'!$A$1:$O$99,15,0)),0,VLOOKUP($U$896,'TAR FIN'!$A$1:$O$99,15,0))</f>
        <v>0</v>
      </c>
      <c r="Y896" s="4">
        <f ca="1">('TUSD BE'!$AM$21+'TUSD BF'!$AM$21+'TUSD CVA'!$AM$21)*1</f>
        <v>24.669398821277586</v>
      </c>
      <c r="Z896" s="4"/>
      <c r="AA896" s="4"/>
      <c r="AB896" s="4">
        <f>$K$896*$V$896</f>
        <v>58273.950000000004</v>
      </c>
      <c r="AC896" s="4">
        <f>$M$896*$W$896</f>
        <v>0</v>
      </c>
      <c r="AD896" s="4">
        <f>$O$896*$X$896</f>
        <v>0</v>
      </c>
      <c r="AE896" s="4">
        <f ca="1">$K$896*$Y$896</f>
        <v>65793.286656347322</v>
      </c>
      <c r="AF896" s="4">
        <f>$M$896*$Z$896</f>
        <v>0</v>
      </c>
      <c r="AG896" s="4">
        <f>$O$896*$AA$896</f>
        <v>0</v>
      </c>
    </row>
    <row r="897" spans="1:33" ht="11.25" customHeight="1" x14ac:dyDescent="0.25">
      <c r="A897" s="3" t="s">
        <v>21</v>
      </c>
      <c r="B897" s="3" t="s">
        <v>33</v>
      </c>
      <c r="C897" s="3" t="s">
        <v>34</v>
      </c>
      <c r="D897" s="3" t="s">
        <v>40</v>
      </c>
      <c r="E897" s="3" t="s">
        <v>25</v>
      </c>
      <c r="F897" s="3" t="s">
        <v>25</v>
      </c>
      <c r="G897" s="3" t="s">
        <v>25</v>
      </c>
      <c r="H897" s="3" t="s">
        <v>25</v>
      </c>
      <c r="I897" s="6">
        <v>44409</v>
      </c>
      <c r="J897" s="4">
        <v>42621</v>
      </c>
      <c r="K897" s="4">
        <v>42621</v>
      </c>
      <c r="L897" s="4">
        <v>0</v>
      </c>
      <c r="M897" s="4">
        <v>0</v>
      </c>
      <c r="N897" s="4">
        <v>0</v>
      </c>
      <c r="O897" s="4">
        <v>0</v>
      </c>
      <c r="P897" s="4">
        <v>227</v>
      </c>
      <c r="Q897" s="3" t="s">
        <v>26</v>
      </c>
      <c r="R897" s="3">
        <v>0</v>
      </c>
      <c r="S897" s="4">
        <v>7</v>
      </c>
      <c r="T897" s="4">
        <v>0</v>
      </c>
      <c r="U897" s="4">
        <v>0</v>
      </c>
      <c r="V897" s="4">
        <f>IF(ISERROR(VLOOKUP($S$897,'TAR FIN'!$A$1:$O$99,15,0)),0,VLOOKUP($S$897,'TAR FIN'!$A$1:$O$99,15,0))</f>
        <v>21.85</v>
      </c>
      <c r="W897" s="4">
        <f>IF(ISERROR(VLOOKUP($T$897,'TAR FIN'!$A$1:$O$99,15,0)),0,VLOOKUP($T$897,'TAR FIN'!$A$1:$O$99,15,0))</f>
        <v>0</v>
      </c>
      <c r="X897" s="4">
        <f>IF(ISERROR(VLOOKUP($U$897,'TAR FIN'!$A$1:$O$99,15,0)),0,VLOOKUP($U$897,'TAR FIN'!$A$1:$O$99,15,0))</f>
        <v>0</v>
      </c>
      <c r="Y897" s="4">
        <f ca="1">('TUSD BE'!$AM$21+'TUSD BF'!$AM$21+'TUSD CVA'!$AM$21)*1</f>
        <v>24.669398821277586</v>
      </c>
      <c r="Z897" s="4"/>
      <c r="AA897" s="4"/>
      <c r="AB897" s="4">
        <f>$K$897*$V$897</f>
        <v>931268.85000000009</v>
      </c>
      <c r="AC897" s="4">
        <f>$M$897*$W$897</f>
        <v>0</v>
      </c>
      <c r="AD897" s="4">
        <f>$O$897*$X$897</f>
        <v>0</v>
      </c>
      <c r="AE897" s="4">
        <f ca="1">$K$897*$Y$897</f>
        <v>1051434.4471616719</v>
      </c>
      <c r="AF897" s="4">
        <f>$M$897*$Z$897</f>
        <v>0</v>
      </c>
      <c r="AG897" s="4">
        <f>$O$897*$AA$897</f>
        <v>0</v>
      </c>
    </row>
    <row r="898" spans="1:33" ht="11.25" customHeight="1" x14ac:dyDescent="0.25">
      <c r="A898" s="3" t="s">
        <v>27</v>
      </c>
      <c r="B898" s="3" t="s">
        <v>33</v>
      </c>
      <c r="C898" s="3" t="s">
        <v>34</v>
      </c>
      <c r="D898" s="3" t="s">
        <v>40</v>
      </c>
      <c r="E898" s="3" t="s">
        <v>25</v>
      </c>
      <c r="F898" s="3" t="s">
        <v>25</v>
      </c>
      <c r="G898" s="3" t="s">
        <v>25</v>
      </c>
      <c r="H898" s="3" t="s">
        <v>25</v>
      </c>
      <c r="I898" s="6">
        <v>44409</v>
      </c>
      <c r="J898" s="4">
        <v>37</v>
      </c>
      <c r="K898" s="4">
        <v>37</v>
      </c>
      <c r="L898" s="4">
        <v>0</v>
      </c>
      <c r="M898" s="4">
        <v>0</v>
      </c>
      <c r="N898" s="4">
        <v>0</v>
      </c>
      <c r="O898" s="4">
        <v>0</v>
      </c>
      <c r="P898" s="4">
        <v>-1</v>
      </c>
      <c r="Q898" s="3" t="s">
        <v>26</v>
      </c>
      <c r="R898" s="3">
        <v>0</v>
      </c>
      <c r="S898" s="4">
        <v>7</v>
      </c>
      <c r="T898" s="4">
        <v>0</v>
      </c>
      <c r="U898" s="4">
        <v>0</v>
      </c>
      <c r="V898" s="4">
        <f>IF(ISERROR(VLOOKUP($S$898,'TAR FIN'!$A$1:$O$99,15,0)),0,VLOOKUP($S$898,'TAR FIN'!$A$1:$O$99,15,0))</f>
        <v>21.85</v>
      </c>
      <c r="W898" s="4">
        <f>IF(ISERROR(VLOOKUP($T$898,'TAR FIN'!$A$1:$O$99,15,0)),0,VLOOKUP($T$898,'TAR FIN'!$A$1:$O$99,15,0))</f>
        <v>0</v>
      </c>
      <c r="X898" s="4">
        <f>IF(ISERROR(VLOOKUP($U$898,'TAR FIN'!$A$1:$O$99,15,0)),0,VLOOKUP($U$898,'TAR FIN'!$A$1:$O$99,15,0))</f>
        <v>0</v>
      </c>
      <c r="Y898" s="4">
        <f ca="1">('TUSD BE'!$AM$21+'TUSD BF'!$AM$21+'TUSD CVA'!$AM$21)*1</f>
        <v>24.669398821277586</v>
      </c>
      <c r="Z898" s="4"/>
      <c r="AA898" s="4"/>
      <c r="AB898" s="4">
        <f>$K$898*$V$898</f>
        <v>808.45</v>
      </c>
      <c r="AC898" s="4">
        <f>$M$898*$W$898</f>
        <v>0</v>
      </c>
      <c r="AD898" s="4">
        <f>$O$898*$X$898</f>
        <v>0</v>
      </c>
      <c r="AE898" s="4">
        <f ca="1">$K$898*$Y$898</f>
        <v>912.76775638727065</v>
      </c>
      <c r="AF898" s="4">
        <f>$M$898*$Z$898</f>
        <v>0</v>
      </c>
      <c r="AG898" s="4">
        <f>$O$898*$AA$898</f>
        <v>0</v>
      </c>
    </row>
    <row r="899" spans="1:33" ht="11.25" customHeight="1" x14ac:dyDescent="0.25">
      <c r="A899" s="3" t="s">
        <v>28</v>
      </c>
      <c r="B899" s="3" t="s">
        <v>33</v>
      </c>
      <c r="C899" s="3" t="s">
        <v>34</v>
      </c>
      <c r="D899" s="3" t="s">
        <v>40</v>
      </c>
      <c r="E899" s="3" t="s">
        <v>25</v>
      </c>
      <c r="F899" s="3" t="s">
        <v>25</v>
      </c>
      <c r="G899" s="3" t="s">
        <v>25</v>
      </c>
      <c r="H899" s="3" t="s">
        <v>25</v>
      </c>
      <c r="I899" s="6">
        <v>44409</v>
      </c>
      <c r="J899" s="4">
        <v>2565</v>
      </c>
      <c r="K899" s="4">
        <v>2565</v>
      </c>
      <c r="L899" s="4">
        <v>0</v>
      </c>
      <c r="M899" s="4">
        <v>0</v>
      </c>
      <c r="N899" s="4">
        <v>0</v>
      </c>
      <c r="O899" s="4">
        <v>0</v>
      </c>
      <c r="P899" s="4">
        <v>14</v>
      </c>
      <c r="Q899" s="3" t="s">
        <v>26</v>
      </c>
      <c r="R899" s="3">
        <v>0</v>
      </c>
      <c r="S899" s="4">
        <v>7</v>
      </c>
      <c r="T899" s="4">
        <v>0</v>
      </c>
      <c r="U899" s="4">
        <v>0</v>
      </c>
      <c r="V899" s="4">
        <f>IF(ISERROR(VLOOKUP($S$899,'TAR FIN'!$A$1:$O$99,15,0)),0,VLOOKUP($S$899,'TAR FIN'!$A$1:$O$99,15,0))</f>
        <v>21.85</v>
      </c>
      <c r="W899" s="4">
        <f>IF(ISERROR(VLOOKUP($T$899,'TAR FIN'!$A$1:$O$99,15,0)),0,VLOOKUP($T$899,'TAR FIN'!$A$1:$O$99,15,0))</f>
        <v>0</v>
      </c>
      <c r="X899" s="4">
        <f>IF(ISERROR(VLOOKUP($U$899,'TAR FIN'!$A$1:$O$99,15,0)),0,VLOOKUP($U$899,'TAR FIN'!$A$1:$O$99,15,0))</f>
        <v>0</v>
      </c>
      <c r="Y899" s="4">
        <f ca="1">('TUSD BE'!$AM$21+'TUSD BF'!$AM$21+'TUSD CVA'!$AM$21)*1</f>
        <v>24.669398821277586</v>
      </c>
      <c r="Z899" s="4"/>
      <c r="AA899" s="4"/>
      <c r="AB899" s="4">
        <f>$K$899*$V$899</f>
        <v>56045.250000000007</v>
      </c>
      <c r="AC899" s="4">
        <f>$M$899*$W$899</f>
        <v>0</v>
      </c>
      <c r="AD899" s="4">
        <f>$O$899*$X$899</f>
        <v>0</v>
      </c>
      <c r="AE899" s="4">
        <f ca="1">$K$899*$Y$899</f>
        <v>63277.007976577006</v>
      </c>
      <c r="AF899" s="4">
        <f>$M$899*$Z$899</f>
        <v>0</v>
      </c>
      <c r="AG899" s="4">
        <f>$O$899*$AA$899</f>
        <v>0</v>
      </c>
    </row>
    <row r="900" spans="1:33" ht="11.25" customHeight="1" x14ac:dyDescent="0.25">
      <c r="A900" s="3" t="s">
        <v>21</v>
      </c>
      <c r="B900" s="3" t="s">
        <v>33</v>
      </c>
      <c r="C900" s="3" t="s">
        <v>34</v>
      </c>
      <c r="D900" s="3" t="s">
        <v>40</v>
      </c>
      <c r="E900" s="3" t="s">
        <v>25</v>
      </c>
      <c r="F900" s="3" t="s">
        <v>25</v>
      </c>
      <c r="G900" s="3" t="s">
        <v>25</v>
      </c>
      <c r="H900" s="3" t="s">
        <v>25</v>
      </c>
      <c r="I900" s="6">
        <v>44409</v>
      </c>
      <c r="J900" s="4">
        <v>2667</v>
      </c>
      <c r="K900" s="4">
        <v>2667</v>
      </c>
      <c r="L900" s="4">
        <v>0</v>
      </c>
      <c r="M900" s="4">
        <v>0</v>
      </c>
      <c r="N900" s="4">
        <v>0</v>
      </c>
      <c r="O900" s="4">
        <v>0</v>
      </c>
      <c r="P900" s="4">
        <v>1</v>
      </c>
      <c r="Q900" s="3" t="s">
        <v>57</v>
      </c>
      <c r="R900" s="3">
        <v>0</v>
      </c>
      <c r="S900" s="4">
        <v>7</v>
      </c>
      <c r="T900" s="4">
        <v>0</v>
      </c>
      <c r="U900" s="4">
        <v>0</v>
      </c>
      <c r="V900" s="4">
        <f>IF(ISERROR(VLOOKUP($S$900,'TAR FIN'!$A$1:$O$99,15,0)),0,VLOOKUP($S$900,'TAR FIN'!$A$1:$O$99,15,0))</f>
        <v>21.85</v>
      </c>
      <c r="W900" s="4">
        <f>IF(ISERROR(VLOOKUP($T$900,'TAR FIN'!$A$1:$O$99,15,0)),0,VLOOKUP($T$900,'TAR FIN'!$A$1:$O$99,15,0))</f>
        <v>0</v>
      </c>
      <c r="X900" s="4">
        <f>IF(ISERROR(VLOOKUP($U$900,'TAR FIN'!$A$1:$O$99,15,0)),0,VLOOKUP($U$900,'TAR FIN'!$A$1:$O$99,15,0))</f>
        <v>0</v>
      </c>
      <c r="Y900" s="4">
        <f ca="1">('TUSD BE'!$AM$21+'TUSD BF'!$AM$21+'TUSD CVA'!$AM$21)*1</f>
        <v>24.669398821277586</v>
      </c>
      <c r="Z900" s="4"/>
      <c r="AA900" s="4"/>
      <c r="AB900" s="4">
        <f>$K$900*$V$900</f>
        <v>58273.950000000004</v>
      </c>
      <c r="AC900" s="4">
        <f>$M$900*$W$900</f>
        <v>0</v>
      </c>
      <c r="AD900" s="4">
        <f>$O$900*$X$900</f>
        <v>0</v>
      </c>
      <c r="AE900" s="4">
        <f ca="1">$K$900*$Y$900</f>
        <v>65793.286656347322</v>
      </c>
      <c r="AF900" s="4">
        <f>$M$900*$Z$900</f>
        <v>0</v>
      </c>
      <c r="AG900" s="4">
        <f>$O$900*$AA$900</f>
        <v>0</v>
      </c>
    </row>
    <row r="901" spans="1:33" ht="11.25" customHeight="1" x14ac:dyDescent="0.25">
      <c r="A901" s="3" t="s">
        <v>21</v>
      </c>
      <c r="B901" s="3" t="s">
        <v>33</v>
      </c>
      <c r="C901" s="3" t="s">
        <v>34</v>
      </c>
      <c r="D901" s="3" t="s">
        <v>40</v>
      </c>
      <c r="E901" s="3" t="s">
        <v>25</v>
      </c>
      <c r="F901" s="3" t="s">
        <v>25</v>
      </c>
      <c r="G901" s="3" t="s">
        <v>25</v>
      </c>
      <c r="H901" s="3" t="s">
        <v>25</v>
      </c>
      <c r="I901" s="6">
        <v>44440</v>
      </c>
      <c r="J901" s="4">
        <v>43420</v>
      </c>
      <c r="K901" s="4">
        <v>43420</v>
      </c>
      <c r="L901" s="4">
        <v>0</v>
      </c>
      <c r="M901" s="4">
        <v>0</v>
      </c>
      <c r="N901" s="4">
        <v>0</v>
      </c>
      <c r="O901" s="4">
        <v>0</v>
      </c>
      <c r="P901" s="4">
        <v>229</v>
      </c>
      <c r="Q901" s="3" t="s">
        <v>26</v>
      </c>
      <c r="R901" s="3">
        <v>0</v>
      </c>
      <c r="S901" s="4">
        <v>7</v>
      </c>
      <c r="T901" s="4">
        <v>0</v>
      </c>
      <c r="U901" s="4">
        <v>0</v>
      </c>
      <c r="V901" s="4">
        <f>IF(ISERROR(VLOOKUP($S$901,'TAR FIN'!$A$1:$O$99,15,0)),0,VLOOKUP($S$901,'TAR FIN'!$A$1:$O$99,15,0))</f>
        <v>21.85</v>
      </c>
      <c r="W901" s="4">
        <f>IF(ISERROR(VLOOKUP($T$901,'TAR FIN'!$A$1:$O$99,15,0)),0,VLOOKUP($T$901,'TAR FIN'!$A$1:$O$99,15,0))</f>
        <v>0</v>
      </c>
      <c r="X901" s="4">
        <f>IF(ISERROR(VLOOKUP($U$901,'TAR FIN'!$A$1:$O$99,15,0)),0,VLOOKUP($U$901,'TAR FIN'!$A$1:$O$99,15,0))</f>
        <v>0</v>
      </c>
      <c r="Y901" s="4">
        <f ca="1">('TUSD BE'!$AM$21+'TUSD BF'!$AM$21+'TUSD CVA'!$AM$21)*1</f>
        <v>24.669398821277586</v>
      </c>
      <c r="Z901" s="4"/>
      <c r="AA901" s="4"/>
      <c r="AB901" s="4">
        <f>$K$901*$V$901</f>
        <v>948727.00000000012</v>
      </c>
      <c r="AC901" s="4">
        <f>$M$901*$W$901</f>
        <v>0</v>
      </c>
      <c r="AD901" s="4">
        <f>$O$901*$X$901</f>
        <v>0</v>
      </c>
      <c r="AE901" s="4">
        <f ca="1">$K$901*$Y$901</f>
        <v>1071145.2968198727</v>
      </c>
      <c r="AF901" s="4">
        <f>$M$901*$Z$901</f>
        <v>0</v>
      </c>
      <c r="AG901" s="4">
        <f>$O$901*$AA$901</f>
        <v>0</v>
      </c>
    </row>
    <row r="902" spans="1:33" ht="11.25" customHeight="1" x14ac:dyDescent="0.25">
      <c r="A902" s="3" t="s">
        <v>27</v>
      </c>
      <c r="B902" s="3" t="s">
        <v>33</v>
      </c>
      <c r="C902" s="3" t="s">
        <v>34</v>
      </c>
      <c r="D902" s="3" t="s">
        <v>40</v>
      </c>
      <c r="E902" s="3" t="s">
        <v>25</v>
      </c>
      <c r="F902" s="3" t="s">
        <v>25</v>
      </c>
      <c r="G902" s="3" t="s">
        <v>25</v>
      </c>
      <c r="H902" s="3" t="s">
        <v>25</v>
      </c>
      <c r="I902" s="6">
        <v>44440</v>
      </c>
      <c r="J902" s="4">
        <v>-167</v>
      </c>
      <c r="K902" s="4">
        <v>-167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3" t="s">
        <v>26</v>
      </c>
      <c r="R902" s="3">
        <v>0</v>
      </c>
      <c r="S902" s="4">
        <v>7</v>
      </c>
      <c r="T902" s="4">
        <v>0</v>
      </c>
      <c r="U902" s="4">
        <v>0</v>
      </c>
      <c r="V902" s="4">
        <f>IF(ISERROR(VLOOKUP($S$902,'TAR FIN'!$A$1:$O$99,15,0)),0,VLOOKUP($S$902,'TAR FIN'!$A$1:$O$99,15,0))</f>
        <v>21.85</v>
      </c>
      <c r="W902" s="4">
        <f>IF(ISERROR(VLOOKUP($T$902,'TAR FIN'!$A$1:$O$99,15,0)),0,VLOOKUP($T$902,'TAR FIN'!$A$1:$O$99,15,0))</f>
        <v>0</v>
      </c>
      <c r="X902" s="4">
        <f>IF(ISERROR(VLOOKUP($U$902,'TAR FIN'!$A$1:$O$99,15,0)),0,VLOOKUP($U$902,'TAR FIN'!$A$1:$O$99,15,0))</f>
        <v>0</v>
      </c>
      <c r="Y902" s="4">
        <f ca="1">('TUSD BE'!$AM$21+'TUSD BF'!$AM$21+'TUSD CVA'!$AM$21)*1</f>
        <v>24.669398821277586</v>
      </c>
      <c r="Z902" s="4"/>
      <c r="AA902" s="4"/>
      <c r="AB902" s="4">
        <f>$K$902*$V$902</f>
        <v>-3648.9500000000003</v>
      </c>
      <c r="AC902" s="4">
        <f>$M$902*$W$902</f>
        <v>0</v>
      </c>
      <c r="AD902" s="4">
        <f>$O$902*$X$902</f>
        <v>0</v>
      </c>
      <c r="AE902" s="4">
        <f ca="1">$K$902*$Y$902</f>
        <v>-4119.7896031533564</v>
      </c>
      <c r="AF902" s="4">
        <f>$M$902*$Z$902</f>
        <v>0</v>
      </c>
      <c r="AG902" s="4">
        <f>$O$902*$AA$902</f>
        <v>0</v>
      </c>
    </row>
    <row r="903" spans="1:33" ht="11.25" customHeight="1" x14ac:dyDescent="0.25">
      <c r="A903" s="3" t="s">
        <v>28</v>
      </c>
      <c r="B903" s="3" t="s">
        <v>33</v>
      </c>
      <c r="C903" s="3" t="s">
        <v>34</v>
      </c>
      <c r="D903" s="3" t="s">
        <v>40</v>
      </c>
      <c r="E903" s="3" t="s">
        <v>25</v>
      </c>
      <c r="F903" s="3" t="s">
        <v>25</v>
      </c>
      <c r="G903" s="3" t="s">
        <v>25</v>
      </c>
      <c r="H903" s="3" t="s">
        <v>25</v>
      </c>
      <c r="I903" s="6">
        <v>44440</v>
      </c>
      <c r="J903" s="4">
        <v>2505</v>
      </c>
      <c r="K903" s="4">
        <v>2505</v>
      </c>
      <c r="L903" s="4">
        <v>0</v>
      </c>
      <c r="M903" s="4">
        <v>0</v>
      </c>
      <c r="N903" s="4">
        <v>0</v>
      </c>
      <c r="O903" s="4">
        <v>0</v>
      </c>
      <c r="P903" s="4">
        <v>14</v>
      </c>
      <c r="Q903" s="3" t="s">
        <v>26</v>
      </c>
      <c r="R903" s="3">
        <v>0</v>
      </c>
      <c r="S903" s="4">
        <v>7</v>
      </c>
      <c r="T903" s="4">
        <v>0</v>
      </c>
      <c r="U903" s="4">
        <v>0</v>
      </c>
      <c r="V903" s="4">
        <f>IF(ISERROR(VLOOKUP($S$903,'TAR FIN'!$A$1:$O$99,15,0)),0,VLOOKUP($S$903,'TAR FIN'!$A$1:$O$99,15,0))</f>
        <v>21.85</v>
      </c>
      <c r="W903" s="4">
        <f>IF(ISERROR(VLOOKUP($T$903,'TAR FIN'!$A$1:$O$99,15,0)),0,VLOOKUP($T$903,'TAR FIN'!$A$1:$O$99,15,0))</f>
        <v>0</v>
      </c>
      <c r="X903" s="4">
        <f>IF(ISERROR(VLOOKUP($U$903,'TAR FIN'!$A$1:$O$99,15,0)),0,VLOOKUP($U$903,'TAR FIN'!$A$1:$O$99,15,0))</f>
        <v>0</v>
      </c>
      <c r="Y903" s="4">
        <f ca="1">('TUSD BE'!$AM$21+'TUSD BF'!$AM$21+'TUSD CVA'!$AM$21)*1</f>
        <v>24.669398821277586</v>
      </c>
      <c r="Z903" s="4"/>
      <c r="AA903" s="4"/>
      <c r="AB903" s="4">
        <f>$K$903*$V$903</f>
        <v>54734.25</v>
      </c>
      <c r="AC903" s="4">
        <f>$M$903*$W$903</f>
        <v>0</v>
      </c>
      <c r="AD903" s="4">
        <f>$O$903*$X$903</f>
        <v>0</v>
      </c>
      <c r="AE903" s="4">
        <f ca="1">$K$903*$Y$903</f>
        <v>61796.84404730035</v>
      </c>
      <c r="AF903" s="4">
        <f>$M$903*$Z$903</f>
        <v>0</v>
      </c>
      <c r="AG903" s="4">
        <f>$O$903*$AA$903</f>
        <v>0</v>
      </c>
    </row>
    <row r="904" spans="1:33" ht="11.25" customHeight="1" x14ac:dyDescent="0.25">
      <c r="A904" s="3" t="s">
        <v>21</v>
      </c>
      <c r="B904" s="3" t="s">
        <v>33</v>
      </c>
      <c r="C904" s="3" t="s">
        <v>34</v>
      </c>
      <c r="D904" s="3" t="s">
        <v>40</v>
      </c>
      <c r="E904" s="3" t="s">
        <v>25</v>
      </c>
      <c r="F904" s="3" t="s">
        <v>25</v>
      </c>
      <c r="G904" s="3" t="s">
        <v>25</v>
      </c>
      <c r="H904" s="3" t="s">
        <v>25</v>
      </c>
      <c r="I904" s="6">
        <v>44440</v>
      </c>
      <c r="J904" s="4">
        <v>2667</v>
      </c>
      <c r="K904" s="4">
        <v>2667</v>
      </c>
      <c r="L904" s="4">
        <v>0</v>
      </c>
      <c r="M904" s="4">
        <v>0</v>
      </c>
      <c r="N904" s="4">
        <v>0</v>
      </c>
      <c r="O904" s="4">
        <v>0</v>
      </c>
      <c r="P904" s="4">
        <v>1</v>
      </c>
      <c r="Q904" s="3" t="s">
        <v>57</v>
      </c>
      <c r="R904" s="3">
        <v>0</v>
      </c>
      <c r="S904" s="4">
        <v>7</v>
      </c>
      <c r="T904" s="4">
        <v>0</v>
      </c>
      <c r="U904" s="4">
        <v>0</v>
      </c>
      <c r="V904" s="4">
        <f>IF(ISERROR(VLOOKUP($S$904,'TAR FIN'!$A$1:$O$99,15,0)),0,VLOOKUP($S$904,'TAR FIN'!$A$1:$O$99,15,0))</f>
        <v>21.85</v>
      </c>
      <c r="W904" s="4">
        <f>IF(ISERROR(VLOOKUP($T$904,'TAR FIN'!$A$1:$O$99,15,0)),0,VLOOKUP($T$904,'TAR FIN'!$A$1:$O$99,15,0))</f>
        <v>0</v>
      </c>
      <c r="X904" s="4">
        <f>IF(ISERROR(VLOOKUP($U$904,'TAR FIN'!$A$1:$O$99,15,0)),0,VLOOKUP($U$904,'TAR FIN'!$A$1:$O$99,15,0))</f>
        <v>0</v>
      </c>
      <c r="Y904" s="4">
        <f ca="1">('TUSD BE'!$AM$21+'TUSD BF'!$AM$21+'TUSD CVA'!$AM$21)*1</f>
        <v>24.669398821277586</v>
      </c>
      <c r="Z904" s="4"/>
      <c r="AA904" s="4"/>
      <c r="AB904" s="4">
        <f>$K$904*$V$904</f>
        <v>58273.950000000004</v>
      </c>
      <c r="AC904" s="4">
        <f>$M$904*$W$904</f>
        <v>0</v>
      </c>
      <c r="AD904" s="4">
        <f>$O$904*$X$904</f>
        <v>0</v>
      </c>
      <c r="AE904" s="4">
        <f ca="1">$K$904*$Y$904</f>
        <v>65793.286656347322</v>
      </c>
      <c r="AF904" s="4">
        <f>$M$904*$Z$904</f>
        <v>0</v>
      </c>
      <c r="AG904" s="4">
        <f>$O$904*$AA$904</f>
        <v>0</v>
      </c>
    </row>
    <row r="905" spans="1:33" ht="11.25" customHeight="1" x14ac:dyDescent="0.25">
      <c r="A905" s="3" t="s">
        <v>21</v>
      </c>
      <c r="B905" s="3" t="s">
        <v>33</v>
      </c>
      <c r="C905" s="3" t="s">
        <v>34</v>
      </c>
      <c r="D905" s="3" t="s">
        <v>40</v>
      </c>
      <c r="E905" s="3" t="s">
        <v>25</v>
      </c>
      <c r="F905" s="3" t="s">
        <v>25</v>
      </c>
      <c r="G905" s="3" t="s">
        <v>25</v>
      </c>
      <c r="H905" s="3" t="s">
        <v>25</v>
      </c>
      <c r="I905" s="6">
        <v>44470</v>
      </c>
      <c r="J905" s="4">
        <v>44244</v>
      </c>
      <c r="K905" s="4">
        <v>44244</v>
      </c>
      <c r="L905" s="4">
        <v>0</v>
      </c>
      <c r="M905" s="4">
        <v>0</v>
      </c>
      <c r="N905" s="4">
        <v>0</v>
      </c>
      <c r="O905" s="4">
        <v>0</v>
      </c>
      <c r="P905" s="4">
        <v>227</v>
      </c>
      <c r="Q905" s="3" t="s">
        <v>26</v>
      </c>
      <c r="R905" s="3">
        <v>0</v>
      </c>
      <c r="S905" s="4">
        <v>7</v>
      </c>
      <c r="T905" s="4">
        <v>0</v>
      </c>
      <c r="U905" s="4">
        <v>0</v>
      </c>
      <c r="V905" s="4">
        <f>IF(ISERROR(VLOOKUP($S$905,'TAR FIN'!$A$1:$O$99,15,0)),0,VLOOKUP($S$905,'TAR FIN'!$A$1:$O$99,15,0))</f>
        <v>21.85</v>
      </c>
      <c r="W905" s="4">
        <f>IF(ISERROR(VLOOKUP($T$905,'TAR FIN'!$A$1:$O$99,15,0)),0,VLOOKUP($T$905,'TAR FIN'!$A$1:$O$99,15,0))</f>
        <v>0</v>
      </c>
      <c r="X905" s="4">
        <f>IF(ISERROR(VLOOKUP($U$905,'TAR FIN'!$A$1:$O$99,15,0)),0,VLOOKUP($U$905,'TAR FIN'!$A$1:$O$99,15,0))</f>
        <v>0</v>
      </c>
      <c r="Y905" s="4">
        <f ca="1">('TUSD BE'!$AM$21+'TUSD BF'!$AM$21+'TUSD CVA'!$AM$21)*1</f>
        <v>24.669398821277586</v>
      </c>
      <c r="Z905" s="4"/>
      <c r="AA905" s="4"/>
      <c r="AB905" s="4">
        <f>$K$905*$V$905</f>
        <v>966731.4</v>
      </c>
      <c r="AC905" s="4">
        <f>$M$905*$W$905</f>
        <v>0</v>
      </c>
      <c r="AD905" s="4">
        <f>$O$905*$X$905</f>
        <v>0</v>
      </c>
      <c r="AE905" s="4">
        <f ca="1">$K$905*$Y$905</f>
        <v>1091472.8814486056</v>
      </c>
      <c r="AF905" s="4">
        <f>$M$905*$Z$905</f>
        <v>0</v>
      </c>
      <c r="AG905" s="4">
        <f>$O$905*$AA$905</f>
        <v>0</v>
      </c>
    </row>
    <row r="906" spans="1:33" ht="11.25" customHeight="1" x14ac:dyDescent="0.25">
      <c r="A906" s="3" t="s">
        <v>27</v>
      </c>
      <c r="B906" s="3" t="s">
        <v>33</v>
      </c>
      <c r="C906" s="3" t="s">
        <v>34</v>
      </c>
      <c r="D906" s="3" t="s">
        <v>40</v>
      </c>
      <c r="E906" s="3" t="s">
        <v>25</v>
      </c>
      <c r="F906" s="3" t="s">
        <v>25</v>
      </c>
      <c r="G906" s="3" t="s">
        <v>25</v>
      </c>
      <c r="H906" s="3" t="s">
        <v>25</v>
      </c>
      <c r="I906" s="6">
        <v>44470</v>
      </c>
      <c r="J906" s="4">
        <v>-242</v>
      </c>
      <c r="K906" s="4">
        <v>-242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3" t="s">
        <v>26</v>
      </c>
      <c r="R906" s="3">
        <v>0</v>
      </c>
      <c r="S906" s="4">
        <v>7</v>
      </c>
      <c r="T906" s="4">
        <v>0</v>
      </c>
      <c r="U906" s="4">
        <v>0</v>
      </c>
      <c r="V906" s="4">
        <f>IF(ISERROR(VLOOKUP($S$906,'TAR FIN'!$A$1:$O$99,15,0)),0,VLOOKUP($S$906,'TAR FIN'!$A$1:$O$99,15,0))</f>
        <v>21.85</v>
      </c>
      <c r="W906" s="4">
        <f>IF(ISERROR(VLOOKUP($T$906,'TAR FIN'!$A$1:$O$99,15,0)),0,VLOOKUP($T$906,'TAR FIN'!$A$1:$O$99,15,0))</f>
        <v>0</v>
      </c>
      <c r="X906" s="4">
        <f>IF(ISERROR(VLOOKUP($U$906,'TAR FIN'!$A$1:$O$99,15,0)),0,VLOOKUP($U$906,'TAR FIN'!$A$1:$O$99,15,0))</f>
        <v>0</v>
      </c>
      <c r="Y906" s="4">
        <f ca="1">('TUSD BE'!$AM$21+'TUSD BF'!$AM$21+'TUSD CVA'!$AM$21)*1</f>
        <v>24.669398821277586</v>
      </c>
      <c r="Z906" s="4"/>
      <c r="AA906" s="4"/>
      <c r="AB906" s="4">
        <f>$K$906*$V$906</f>
        <v>-5287.7000000000007</v>
      </c>
      <c r="AC906" s="4">
        <f>$M$906*$W$906</f>
        <v>0</v>
      </c>
      <c r="AD906" s="4">
        <f>$O$906*$X$906</f>
        <v>0</v>
      </c>
      <c r="AE906" s="4">
        <f ca="1">$K$906*$Y$906</f>
        <v>-5969.9945147491753</v>
      </c>
      <c r="AF906" s="4">
        <f>$M$906*$Z$906</f>
        <v>0</v>
      </c>
      <c r="AG906" s="4">
        <f>$O$906*$AA$906</f>
        <v>0</v>
      </c>
    </row>
    <row r="907" spans="1:33" ht="11.25" customHeight="1" x14ac:dyDescent="0.25">
      <c r="A907" s="3" t="s">
        <v>28</v>
      </c>
      <c r="B907" s="3" t="s">
        <v>33</v>
      </c>
      <c r="C907" s="3" t="s">
        <v>34</v>
      </c>
      <c r="D907" s="3" t="s">
        <v>40</v>
      </c>
      <c r="E907" s="3" t="s">
        <v>25</v>
      </c>
      <c r="F907" s="3" t="s">
        <v>25</v>
      </c>
      <c r="G907" s="3" t="s">
        <v>25</v>
      </c>
      <c r="H907" s="3" t="s">
        <v>25</v>
      </c>
      <c r="I907" s="6">
        <v>44470</v>
      </c>
      <c r="J907" s="4">
        <v>2535</v>
      </c>
      <c r="K907" s="4">
        <v>2535</v>
      </c>
      <c r="L907" s="4">
        <v>0</v>
      </c>
      <c r="M907" s="4">
        <v>0</v>
      </c>
      <c r="N907" s="4">
        <v>0</v>
      </c>
      <c r="O907" s="4">
        <v>0</v>
      </c>
      <c r="P907" s="4">
        <v>14</v>
      </c>
      <c r="Q907" s="3" t="s">
        <v>26</v>
      </c>
      <c r="R907" s="3">
        <v>0</v>
      </c>
      <c r="S907" s="4">
        <v>7</v>
      </c>
      <c r="T907" s="4">
        <v>0</v>
      </c>
      <c r="U907" s="4">
        <v>0</v>
      </c>
      <c r="V907" s="4">
        <f>IF(ISERROR(VLOOKUP($S$907,'TAR FIN'!$A$1:$O$99,15,0)),0,VLOOKUP($S$907,'TAR FIN'!$A$1:$O$99,15,0))</f>
        <v>21.85</v>
      </c>
      <c r="W907" s="4">
        <f>IF(ISERROR(VLOOKUP($T$907,'TAR FIN'!$A$1:$O$99,15,0)),0,VLOOKUP($T$907,'TAR FIN'!$A$1:$O$99,15,0))</f>
        <v>0</v>
      </c>
      <c r="X907" s="4">
        <f>IF(ISERROR(VLOOKUP($U$907,'TAR FIN'!$A$1:$O$99,15,0)),0,VLOOKUP($U$907,'TAR FIN'!$A$1:$O$99,15,0))</f>
        <v>0</v>
      </c>
      <c r="Y907" s="4">
        <f ca="1">('TUSD BE'!$AM$21+'TUSD BF'!$AM$21+'TUSD CVA'!$AM$21)*1</f>
        <v>24.669398821277586</v>
      </c>
      <c r="Z907" s="4"/>
      <c r="AA907" s="4"/>
      <c r="AB907" s="4">
        <f>$K$907*$V$907</f>
        <v>55389.75</v>
      </c>
      <c r="AC907" s="4">
        <f>$M$907*$W$907</f>
        <v>0</v>
      </c>
      <c r="AD907" s="4">
        <f>$O$907*$X$907</f>
        <v>0</v>
      </c>
      <c r="AE907" s="4">
        <f ca="1">$K$907*$Y$907</f>
        <v>62536.926011938682</v>
      </c>
      <c r="AF907" s="4">
        <f>$M$907*$Z$907</f>
        <v>0</v>
      </c>
      <c r="AG907" s="4">
        <f>$O$907*$AA$907</f>
        <v>0</v>
      </c>
    </row>
    <row r="908" spans="1:33" ht="11.25" customHeight="1" x14ac:dyDescent="0.25">
      <c r="A908" s="3" t="s">
        <v>21</v>
      </c>
      <c r="B908" s="3" t="s">
        <v>33</v>
      </c>
      <c r="C908" s="3" t="s">
        <v>34</v>
      </c>
      <c r="D908" s="3" t="s">
        <v>40</v>
      </c>
      <c r="E908" s="3" t="s">
        <v>25</v>
      </c>
      <c r="F908" s="3" t="s">
        <v>25</v>
      </c>
      <c r="G908" s="3" t="s">
        <v>25</v>
      </c>
      <c r="H908" s="3" t="s">
        <v>25</v>
      </c>
      <c r="I908" s="6">
        <v>44470</v>
      </c>
      <c r="J908" s="4">
        <v>2644</v>
      </c>
      <c r="K908" s="4">
        <v>2644</v>
      </c>
      <c r="L908" s="4">
        <v>0</v>
      </c>
      <c r="M908" s="4">
        <v>0</v>
      </c>
      <c r="N908" s="4">
        <v>0</v>
      </c>
      <c r="O908" s="4">
        <v>0</v>
      </c>
      <c r="P908" s="4">
        <v>1</v>
      </c>
      <c r="Q908" s="3" t="s">
        <v>57</v>
      </c>
      <c r="R908" s="3">
        <v>0</v>
      </c>
      <c r="S908" s="4">
        <v>7</v>
      </c>
      <c r="T908" s="4">
        <v>0</v>
      </c>
      <c r="U908" s="4">
        <v>0</v>
      </c>
      <c r="V908" s="4">
        <f>IF(ISERROR(VLOOKUP($S$908,'TAR FIN'!$A$1:$O$99,15,0)),0,VLOOKUP($S$908,'TAR FIN'!$A$1:$O$99,15,0))</f>
        <v>21.85</v>
      </c>
      <c r="W908" s="4">
        <f>IF(ISERROR(VLOOKUP($T$908,'TAR FIN'!$A$1:$O$99,15,0)),0,VLOOKUP($T$908,'TAR FIN'!$A$1:$O$99,15,0))</f>
        <v>0</v>
      </c>
      <c r="X908" s="4">
        <f>IF(ISERROR(VLOOKUP($U$908,'TAR FIN'!$A$1:$O$99,15,0)),0,VLOOKUP($U$908,'TAR FIN'!$A$1:$O$99,15,0))</f>
        <v>0</v>
      </c>
      <c r="Y908" s="4">
        <f ca="1">('TUSD BE'!$AM$21+'TUSD BF'!$AM$21+'TUSD CVA'!$AM$21)*1</f>
        <v>24.669398821277586</v>
      </c>
      <c r="Z908" s="4"/>
      <c r="AA908" s="4"/>
      <c r="AB908" s="4">
        <f>$K$908*$V$908</f>
        <v>57771.4</v>
      </c>
      <c r="AC908" s="4">
        <f>$M$908*$W$908</f>
        <v>0</v>
      </c>
      <c r="AD908" s="4">
        <f>$O$908*$X$908</f>
        <v>0</v>
      </c>
      <c r="AE908" s="4">
        <f ca="1">$K$908*$Y$908</f>
        <v>65225.890483457937</v>
      </c>
      <c r="AF908" s="4">
        <f>$M$908*$Z$908</f>
        <v>0</v>
      </c>
      <c r="AG908" s="4">
        <f>$O$908*$AA$908</f>
        <v>0</v>
      </c>
    </row>
    <row r="909" spans="1:33" ht="11.25" customHeight="1" x14ac:dyDescent="0.25">
      <c r="A909" s="3" t="s">
        <v>21</v>
      </c>
      <c r="B909" s="3" t="s">
        <v>33</v>
      </c>
      <c r="C909" s="3" t="s">
        <v>34</v>
      </c>
      <c r="D909" s="3" t="s">
        <v>40</v>
      </c>
      <c r="E909" s="3" t="s">
        <v>25</v>
      </c>
      <c r="F909" s="3" t="s">
        <v>25</v>
      </c>
      <c r="G909" s="3" t="s">
        <v>25</v>
      </c>
      <c r="H909" s="3" t="s">
        <v>25</v>
      </c>
      <c r="I909" s="6">
        <v>44501</v>
      </c>
      <c r="J909" s="4">
        <v>42706</v>
      </c>
      <c r="K909" s="4">
        <v>42706</v>
      </c>
      <c r="L909" s="4">
        <v>0</v>
      </c>
      <c r="M909" s="4">
        <v>0</v>
      </c>
      <c r="N909" s="4">
        <v>0</v>
      </c>
      <c r="O909" s="4">
        <v>0</v>
      </c>
      <c r="P909" s="4">
        <v>225</v>
      </c>
      <c r="Q909" s="3" t="s">
        <v>26</v>
      </c>
      <c r="R909" s="3">
        <v>0</v>
      </c>
      <c r="S909" s="4">
        <v>7</v>
      </c>
      <c r="T909" s="4">
        <v>0</v>
      </c>
      <c r="U909" s="4">
        <v>0</v>
      </c>
      <c r="V909" s="4">
        <f>IF(ISERROR(VLOOKUP($S$909,'TAR FIN'!$A$1:$O$99,15,0)),0,VLOOKUP($S$909,'TAR FIN'!$A$1:$O$99,15,0))</f>
        <v>21.85</v>
      </c>
      <c r="W909" s="4">
        <f>IF(ISERROR(VLOOKUP($T$909,'TAR FIN'!$A$1:$O$99,15,0)),0,VLOOKUP($T$909,'TAR FIN'!$A$1:$O$99,15,0))</f>
        <v>0</v>
      </c>
      <c r="X909" s="4">
        <f>IF(ISERROR(VLOOKUP($U$909,'TAR FIN'!$A$1:$O$99,15,0)),0,VLOOKUP($U$909,'TAR FIN'!$A$1:$O$99,15,0))</f>
        <v>0</v>
      </c>
      <c r="Y909" s="4">
        <f ca="1">('TUSD BE'!$AM$21+'TUSD BF'!$AM$21+'TUSD CVA'!$AM$21)*1</f>
        <v>24.669398821277586</v>
      </c>
      <c r="Z909" s="4"/>
      <c r="AA909" s="4"/>
      <c r="AB909" s="4">
        <f>$K$909*$V$909</f>
        <v>933126.10000000009</v>
      </c>
      <c r="AC909" s="4">
        <f>$M$909*$W$909</f>
        <v>0</v>
      </c>
      <c r="AD909" s="4">
        <f>$O$909*$X$909</f>
        <v>0</v>
      </c>
      <c r="AE909" s="4">
        <f ca="1">$K$909*$Y$909</f>
        <v>1053531.3460614805</v>
      </c>
      <c r="AF909" s="4">
        <f>$M$909*$Z$909</f>
        <v>0</v>
      </c>
      <c r="AG909" s="4">
        <f>$O$909*$AA$909</f>
        <v>0</v>
      </c>
    </row>
    <row r="910" spans="1:33" ht="11.25" customHeight="1" x14ac:dyDescent="0.25">
      <c r="A910" s="3" t="s">
        <v>27</v>
      </c>
      <c r="B910" s="3" t="s">
        <v>33</v>
      </c>
      <c r="C910" s="3" t="s">
        <v>34</v>
      </c>
      <c r="D910" s="3" t="s">
        <v>40</v>
      </c>
      <c r="E910" s="3" t="s">
        <v>25</v>
      </c>
      <c r="F910" s="3" t="s">
        <v>25</v>
      </c>
      <c r="G910" s="3" t="s">
        <v>25</v>
      </c>
      <c r="H910" s="3" t="s">
        <v>25</v>
      </c>
      <c r="I910" s="6">
        <v>44501</v>
      </c>
      <c r="J910" s="4">
        <v>624</v>
      </c>
      <c r="K910" s="4">
        <v>624</v>
      </c>
      <c r="L910" s="4">
        <v>0</v>
      </c>
      <c r="M910" s="4">
        <v>0</v>
      </c>
      <c r="N910" s="4">
        <v>0</v>
      </c>
      <c r="O910" s="4">
        <v>0</v>
      </c>
      <c r="P910" s="4">
        <v>2</v>
      </c>
      <c r="Q910" s="3" t="s">
        <v>26</v>
      </c>
      <c r="R910" s="3">
        <v>0</v>
      </c>
      <c r="S910" s="4">
        <v>7</v>
      </c>
      <c r="T910" s="4">
        <v>0</v>
      </c>
      <c r="U910" s="4">
        <v>0</v>
      </c>
      <c r="V910" s="4">
        <f>IF(ISERROR(VLOOKUP($S$910,'TAR FIN'!$A$1:$O$99,15,0)),0,VLOOKUP($S$910,'TAR FIN'!$A$1:$O$99,15,0))</f>
        <v>21.85</v>
      </c>
      <c r="W910" s="4">
        <f>IF(ISERROR(VLOOKUP($T$910,'TAR FIN'!$A$1:$O$99,15,0)),0,VLOOKUP($T$910,'TAR FIN'!$A$1:$O$99,15,0))</f>
        <v>0</v>
      </c>
      <c r="X910" s="4">
        <f>IF(ISERROR(VLOOKUP($U$910,'TAR FIN'!$A$1:$O$99,15,0)),0,VLOOKUP($U$910,'TAR FIN'!$A$1:$O$99,15,0))</f>
        <v>0</v>
      </c>
      <c r="Y910" s="4">
        <f ca="1">('TUSD BE'!$AM$21+'TUSD BF'!$AM$21+'TUSD CVA'!$AM$21)*1</f>
        <v>24.669398821277586</v>
      </c>
      <c r="Z910" s="4"/>
      <c r="AA910" s="4"/>
      <c r="AB910" s="4">
        <f>$K$910*$V$910</f>
        <v>13634.400000000001</v>
      </c>
      <c r="AC910" s="4">
        <f>$M$910*$W$910</f>
        <v>0</v>
      </c>
      <c r="AD910" s="4">
        <f>$O$910*$X$910</f>
        <v>0</v>
      </c>
      <c r="AE910" s="4">
        <f ca="1">$K$910*$Y$910</f>
        <v>15393.704864477213</v>
      </c>
      <c r="AF910" s="4">
        <f>$M$910*$Z$910</f>
        <v>0</v>
      </c>
      <c r="AG910" s="4">
        <f>$O$910*$AA$910</f>
        <v>0</v>
      </c>
    </row>
    <row r="911" spans="1:33" ht="11.25" customHeight="1" x14ac:dyDescent="0.25">
      <c r="A911" s="3" t="s">
        <v>28</v>
      </c>
      <c r="B911" s="3" t="s">
        <v>33</v>
      </c>
      <c r="C911" s="3" t="s">
        <v>34</v>
      </c>
      <c r="D911" s="3" t="s">
        <v>40</v>
      </c>
      <c r="E911" s="3" t="s">
        <v>25</v>
      </c>
      <c r="F911" s="3" t="s">
        <v>25</v>
      </c>
      <c r="G911" s="3" t="s">
        <v>25</v>
      </c>
      <c r="H911" s="3" t="s">
        <v>25</v>
      </c>
      <c r="I911" s="6">
        <v>44501</v>
      </c>
      <c r="J911" s="4">
        <v>2528</v>
      </c>
      <c r="K911" s="4">
        <v>2528</v>
      </c>
      <c r="L911" s="4">
        <v>0</v>
      </c>
      <c r="M911" s="4">
        <v>0</v>
      </c>
      <c r="N911" s="4">
        <v>0</v>
      </c>
      <c r="O911" s="4">
        <v>0</v>
      </c>
      <c r="P911" s="4">
        <v>14</v>
      </c>
      <c r="Q911" s="3" t="s">
        <v>26</v>
      </c>
      <c r="R911" s="3">
        <v>0</v>
      </c>
      <c r="S911" s="4">
        <v>7</v>
      </c>
      <c r="T911" s="4">
        <v>0</v>
      </c>
      <c r="U911" s="4">
        <v>0</v>
      </c>
      <c r="V911" s="4">
        <f>IF(ISERROR(VLOOKUP($S$911,'TAR FIN'!$A$1:$O$99,15,0)),0,VLOOKUP($S$911,'TAR FIN'!$A$1:$O$99,15,0))</f>
        <v>21.85</v>
      </c>
      <c r="W911" s="4">
        <f>IF(ISERROR(VLOOKUP($T$911,'TAR FIN'!$A$1:$O$99,15,0)),0,VLOOKUP($T$911,'TAR FIN'!$A$1:$O$99,15,0))</f>
        <v>0</v>
      </c>
      <c r="X911" s="4">
        <f>IF(ISERROR(VLOOKUP($U$911,'TAR FIN'!$A$1:$O$99,15,0)),0,VLOOKUP($U$911,'TAR FIN'!$A$1:$O$99,15,0))</f>
        <v>0</v>
      </c>
      <c r="Y911" s="4">
        <f ca="1">('TUSD BE'!$AM$21+'TUSD BF'!$AM$21+'TUSD CVA'!$AM$21)*1</f>
        <v>24.669398821277586</v>
      </c>
      <c r="Z911" s="4"/>
      <c r="AA911" s="4"/>
      <c r="AB911" s="4">
        <f>$K$911*$V$911</f>
        <v>55236.800000000003</v>
      </c>
      <c r="AC911" s="4">
        <f>$M$911*$W$911</f>
        <v>0</v>
      </c>
      <c r="AD911" s="4">
        <f>$O$911*$X$911</f>
        <v>0</v>
      </c>
      <c r="AE911" s="4">
        <f ca="1">$K$911*$Y$911</f>
        <v>62364.240220189735</v>
      </c>
      <c r="AF911" s="4">
        <f>$M$911*$Z$911</f>
        <v>0</v>
      </c>
      <c r="AG911" s="4">
        <f>$O$911*$AA$911</f>
        <v>0</v>
      </c>
    </row>
    <row r="912" spans="1:33" ht="11.25" customHeight="1" x14ac:dyDescent="0.25">
      <c r="A912" s="3" t="s">
        <v>21</v>
      </c>
      <c r="B912" s="3" t="s">
        <v>33</v>
      </c>
      <c r="C912" s="3" t="s">
        <v>34</v>
      </c>
      <c r="D912" s="3" t="s">
        <v>40</v>
      </c>
      <c r="E912" s="3" t="s">
        <v>25</v>
      </c>
      <c r="F912" s="3" t="s">
        <v>25</v>
      </c>
      <c r="G912" s="3" t="s">
        <v>25</v>
      </c>
      <c r="H912" s="3" t="s">
        <v>25</v>
      </c>
      <c r="I912" s="6">
        <v>44501</v>
      </c>
      <c r="J912" s="4">
        <v>2632</v>
      </c>
      <c r="K912" s="4">
        <v>2632</v>
      </c>
      <c r="L912" s="4">
        <v>0</v>
      </c>
      <c r="M912" s="4">
        <v>0</v>
      </c>
      <c r="N912" s="4">
        <v>0</v>
      </c>
      <c r="O912" s="4">
        <v>0</v>
      </c>
      <c r="P912" s="4">
        <v>1</v>
      </c>
      <c r="Q912" s="3" t="s">
        <v>57</v>
      </c>
      <c r="R912" s="3">
        <v>0</v>
      </c>
      <c r="S912" s="4">
        <v>7</v>
      </c>
      <c r="T912" s="4">
        <v>0</v>
      </c>
      <c r="U912" s="4">
        <v>0</v>
      </c>
      <c r="V912" s="4">
        <f>IF(ISERROR(VLOOKUP($S$912,'TAR FIN'!$A$1:$O$99,15,0)),0,VLOOKUP($S$912,'TAR FIN'!$A$1:$O$99,15,0))</f>
        <v>21.85</v>
      </c>
      <c r="W912" s="4">
        <f>IF(ISERROR(VLOOKUP($T$912,'TAR FIN'!$A$1:$O$99,15,0)),0,VLOOKUP($T$912,'TAR FIN'!$A$1:$O$99,15,0))</f>
        <v>0</v>
      </c>
      <c r="X912" s="4">
        <f>IF(ISERROR(VLOOKUP($U$912,'TAR FIN'!$A$1:$O$99,15,0)),0,VLOOKUP($U$912,'TAR FIN'!$A$1:$O$99,15,0))</f>
        <v>0</v>
      </c>
      <c r="Y912" s="4">
        <f ca="1">('TUSD BE'!$AM$21+'TUSD BF'!$AM$21+'TUSD CVA'!$AM$21)*1</f>
        <v>24.669398821277586</v>
      </c>
      <c r="Z912" s="4"/>
      <c r="AA912" s="4"/>
      <c r="AB912" s="4">
        <f>$K$912*$V$912</f>
        <v>57509.200000000004</v>
      </c>
      <c r="AC912" s="4">
        <f>$M$912*$W$912</f>
        <v>0</v>
      </c>
      <c r="AD912" s="4">
        <f>$O$912*$X$912</f>
        <v>0</v>
      </c>
      <c r="AE912" s="4">
        <f ca="1">$K$912*$Y$912</f>
        <v>64929.857697602609</v>
      </c>
      <c r="AF912" s="4">
        <f>$M$912*$Z$912</f>
        <v>0</v>
      </c>
      <c r="AG912" s="4">
        <f>$O$912*$AA$912</f>
        <v>0</v>
      </c>
    </row>
    <row r="913" spans="1:33" ht="11.25" customHeight="1" x14ac:dyDescent="0.25">
      <c r="A913" s="3" t="s">
        <v>21</v>
      </c>
      <c r="B913" s="3" t="s">
        <v>33</v>
      </c>
      <c r="C913" s="3" t="s">
        <v>34</v>
      </c>
      <c r="D913" s="3" t="s">
        <v>40</v>
      </c>
      <c r="E913" s="3" t="s">
        <v>25</v>
      </c>
      <c r="F913" s="3" t="s">
        <v>25</v>
      </c>
      <c r="G913" s="3" t="s">
        <v>25</v>
      </c>
      <c r="H913" s="3" t="s">
        <v>25</v>
      </c>
      <c r="I913" s="6">
        <v>44531</v>
      </c>
      <c r="J913" s="4">
        <v>45467</v>
      </c>
      <c r="K913" s="4">
        <v>45467</v>
      </c>
      <c r="L913" s="4">
        <v>0</v>
      </c>
      <c r="M913" s="4">
        <v>0</v>
      </c>
      <c r="N913" s="4">
        <v>0</v>
      </c>
      <c r="O913" s="4">
        <v>0</v>
      </c>
      <c r="P913" s="4">
        <v>226</v>
      </c>
      <c r="Q913" s="3" t="s">
        <v>26</v>
      </c>
      <c r="R913" s="3">
        <v>0</v>
      </c>
      <c r="S913" s="4">
        <v>7</v>
      </c>
      <c r="T913" s="4">
        <v>0</v>
      </c>
      <c r="U913" s="4">
        <v>0</v>
      </c>
      <c r="V913" s="4">
        <f>IF(ISERROR(VLOOKUP($S$913,'TAR FIN'!$A$1:$O$99,15,0)),0,VLOOKUP($S$913,'TAR FIN'!$A$1:$O$99,15,0))</f>
        <v>21.85</v>
      </c>
      <c r="W913" s="4">
        <f>IF(ISERROR(VLOOKUP($T$913,'TAR FIN'!$A$1:$O$99,15,0)),0,VLOOKUP($T$913,'TAR FIN'!$A$1:$O$99,15,0))</f>
        <v>0</v>
      </c>
      <c r="X913" s="4">
        <f>IF(ISERROR(VLOOKUP($U$913,'TAR FIN'!$A$1:$O$99,15,0)),0,VLOOKUP($U$913,'TAR FIN'!$A$1:$O$99,15,0))</f>
        <v>0</v>
      </c>
      <c r="Y913" s="4">
        <f ca="1">('TUSD BE'!$AM$21+'TUSD BF'!$AM$21+'TUSD CVA'!$AM$21)*1</f>
        <v>24.669398821277586</v>
      </c>
      <c r="Z913" s="4"/>
      <c r="AA913" s="4"/>
      <c r="AB913" s="4">
        <f>$K$913*$V$913</f>
        <v>993453.95000000007</v>
      </c>
      <c r="AC913" s="4">
        <f>$M$913*$W$913</f>
        <v>0</v>
      </c>
      <c r="AD913" s="4">
        <f>$O$913*$X$913</f>
        <v>0</v>
      </c>
      <c r="AE913" s="4">
        <f ca="1">$K$913*$Y$913</f>
        <v>1121643.556207028</v>
      </c>
      <c r="AF913" s="4">
        <f>$M$913*$Z$913</f>
        <v>0</v>
      </c>
      <c r="AG913" s="4">
        <f>$O$913*$AA$913</f>
        <v>0</v>
      </c>
    </row>
    <row r="914" spans="1:33" ht="11.25" customHeight="1" x14ac:dyDescent="0.25">
      <c r="A914" s="3" t="s">
        <v>27</v>
      </c>
      <c r="B914" s="3" t="s">
        <v>33</v>
      </c>
      <c r="C914" s="3" t="s">
        <v>34</v>
      </c>
      <c r="D914" s="3" t="s">
        <v>40</v>
      </c>
      <c r="E914" s="3" t="s">
        <v>25</v>
      </c>
      <c r="F914" s="3" t="s">
        <v>25</v>
      </c>
      <c r="G914" s="3" t="s">
        <v>25</v>
      </c>
      <c r="H914" s="3" t="s">
        <v>25</v>
      </c>
      <c r="I914" s="6">
        <v>44531</v>
      </c>
      <c r="J914" s="4">
        <v>274</v>
      </c>
      <c r="K914" s="4">
        <v>274</v>
      </c>
      <c r="L914" s="4">
        <v>0</v>
      </c>
      <c r="M914" s="4">
        <v>0</v>
      </c>
      <c r="N914" s="4">
        <v>0</v>
      </c>
      <c r="O914" s="4">
        <v>0</v>
      </c>
      <c r="P914" s="4">
        <v>1</v>
      </c>
      <c r="Q914" s="3" t="s">
        <v>26</v>
      </c>
      <c r="R914" s="3">
        <v>0</v>
      </c>
      <c r="S914" s="4">
        <v>7</v>
      </c>
      <c r="T914" s="4">
        <v>0</v>
      </c>
      <c r="U914" s="4">
        <v>0</v>
      </c>
      <c r="V914" s="4">
        <f>IF(ISERROR(VLOOKUP($S$914,'TAR FIN'!$A$1:$O$99,15,0)),0,VLOOKUP($S$914,'TAR FIN'!$A$1:$O$99,15,0))</f>
        <v>21.85</v>
      </c>
      <c r="W914" s="4">
        <f>IF(ISERROR(VLOOKUP($T$914,'TAR FIN'!$A$1:$O$99,15,0)),0,VLOOKUP($T$914,'TAR FIN'!$A$1:$O$99,15,0))</f>
        <v>0</v>
      </c>
      <c r="X914" s="4">
        <f>IF(ISERROR(VLOOKUP($U$914,'TAR FIN'!$A$1:$O$99,15,0)),0,VLOOKUP($U$914,'TAR FIN'!$A$1:$O$99,15,0))</f>
        <v>0</v>
      </c>
      <c r="Y914" s="4">
        <f ca="1">('TUSD BE'!$AM$21+'TUSD BF'!$AM$21+'TUSD CVA'!$AM$21)*1</f>
        <v>24.669398821277586</v>
      </c>
      <c r="Z914" s="4"/>
      <c r="AA914" s="4"/>
      <c r="AB914" s="4">
        <f>$K$914*$V$914</f>
        <v>5986.9000000000005</v>
      </c>
      <c r="AC914" s="4">
        <f>$M$914*$W$914</f>
        <v>0</v>
      </c>
      <c r="AD914" s="4">
        <f>$O$914*$X$914</f>
        <v>0</v>
      </c>
      <c r="AE914" s="4">
        <f ca="1">$K$914*$Y$914</f>
        <v>6759.4152770300589</v>
      </c>
      <c r="AF914" s="4">
        <f>$M$914*$Z$914</f>
        <v>0</v>
      </c>
      <c r="AG914" s="4">
        <f>$O$914*$AA$914</f>
        <v>0</v>
      </c>
    </row>
    <row r="915" spans="1:33" ht="11.25" customHeight="1" x14ac:dyDescent="0.25">
      <c r="A915" s="3" t="s">
        <v>28</v>
      </c>
      <c r="B915" s="3" t="s">
        <v>33</v>
      </c>
      <c r="C915" s="3" t="s">
        <v>34</v>
      </c>
      <c r="D915" s="3" t="s">
        <v>40</v>
      </c>
      <c r="E915" s="3" t="s">
        <v>25</v>
      </c>
      <c r="F915" s="3" t="s">
        <v>25</v>
      </c>
      <c r="G915" s="3" t="s">
        <v>25</v>
      </c>
      <c r="H915" s="3" t="s">
        <v>25</v>
      </c>
      <c r="I915" s="6">
        <v>44531</v>
      </c>
      <c r="J915" s="4">
        <v>2803</v>
      </c>
      <c r="K915" s="4">
        <v>2803</v>
      </c>
      <c r="L915" s="4">
        <v>0</v>
      </c>
      <c r="M915" s="4">
        <v>0</v>
      </c>
      <c r="N915" s="4">
        <v>0</v>
      </c>
      <c r="O915" s="4">
        <v>0</v>
      </c>
      <c r="P915" s="4">
        <v>15</v>
      </c>
      <c r="Q915" s="3" t="s">
        <v>26</v>
      </c>
      <c r="R915" s="3">
        <v>0</v>
      </c>
      <c r="S915" s="4">
        <v>7</v>
      </c>
      <c r="T915" s="4">
        <v>0</v>
      </c>
      <c r="U915" s="4">
        <v>0</v>
      </c>
      <c r="V915" s="4">
        <f>IF(ISERROR(VLOOKUP($S$915,'TAR FIN'!$A$1:$O$99,15,0)),0,VLOOKUP($S$915,'TAR FIN'!$A$1:$O$99,15,0))</f>
        <v>21.85</v>
      </c>
      <c r="W915" s="4">
        <f>IF(ISERROR(VLOOKUP($T$915,'TAR FIN'!$A$1:$O$99,15,0)),0,VLOOKUP($T$915,'TAR FIN'!$A$1:$O$99,15,0))</f>
        <v>0</v>
      </c>
      <c r="X915" s="4">
        <f>IF(ISERROR(VLOOKUP($U$915,'TAR FIN'!$A$1:$O$99,15,0)),0,VLOOKUP($U$915,'TAR FIN'!$A$1:$O$99,15,0))</f>
        <v>0</v>
      </c>
      <c r="Y915" s="4">
        <f ca="1">('TUSD BE'!$AM$21+'TUSD BF'!$AM$21+'TUSD CVA'!$AM$21)*1</f>
        <v>24.669398821277586</v>
      </c>
      <c r="Z915" s="4"/>
      <c r="AA915" s="4"/>
      <c r="AB915" s="4">
        <f>$K$915*$V$915</f>
        <v>61245.55</v>
      </c>
      <c r="AC915" s="4">
        <f>$M$915*$W$915</f>
        <v>0</v>
      </c>
      <c r="AD915" s="4">
        <f>$O$915*$X$915</f>
        <v>0</v>
      </c>
      <c r="AE915" s="4">
        <f ca="1">$K$915*$Y$915</f>
        <v>69148.324896041071</v>
      </c>
      <c r="AF915" s="4">
        <f>$M$915*$Z$915</f>
        <v>0</v>
      </c>
      <c r="AG915" s="4">
        <f>$O$915*$AA$915</f>
        <v>0</v>
      </c>
    </row>
    <row r="916" spans="1:33" ht="11.25" customHeight="1" x14ac:dyDescent="0.25">
      <c r="A916" s="3" t="s">
        <v>21</v>
      </c>
      <c r="B916" s="3" t="s">
        <v>33</v>
      </c>
      <c r="C916" s="3" t="s">
        <v>34</v>
      </c>
      <c r="D916" s="3" t="s">
        <v>40</v>
      </c>
      <c r="E916" s="3" t="s">
        <v>25</v>
      </c>
      <c r="F916" s="3" t="s">
        <v>25</v>
      </c>
      <c r="G916" s="3" t="s">
        <v>25</v>
      </c>
      <c r="H916" s="3" t="s">
        <v>25</v>
      </c>
      <c r="I916" s="6">
        <v>44531</v>
      </c>
      <c r="J916" s="4">
        <v>2704</v>
      </c>
      <c r="K916" s="4">
        <v>2704</v>
      </c>
      <c r="L916" s="4">
        <v>0</v>
      </c>
      <c r="M916" s="4">
        <v>0</v>
      </c>
      <c r="N916" s="4">
        <v>0</v>
      </c>
      <c r="O916" s="4">
        <v>0</v>
      </c>
      <c r="P916" s="4">
        <v>1</v>
      </c>
      <c r="Q916" s="3" t="s">
        <v>57</v>
      </c>
      <c r="R916" s="3">
        <v>0</v>
      </c>
      <c r="S916" s="4">
        <v>7</v>
      </c>
      <c r="T916" s="4">
        <v>0</v>
      </c>
      <c r="U916" s="4">
        <v>0</v>
      </c>
      <c r="V916" s="4">
        <f>IF(ISERROR(VLOOKUP($S$916,'TAR FIN'!$A$1:$O$99,15,0)),0,VLOOKUP($S$916,'TAR FIN'!$A$1:$O$99,15,0))</f>
        <v>21.85</v>
      </c>
      <c r="W916" s="4">
        <f>IF(ISERROR(VLOOKUP($T$916,'TAR FIN'!$A$1:$O$99,15,0)),0,VLOOKUP($T$916,'TAR FIN'!$A$1:$O$99,15,0))</f>
        <v>0</v>
      </c>
      <c r="X916" s="4">
        <f>IF(ISERROR(VLOOKUP($U$916,'TAR FIN'!$A$1:$O$99,15,0)),0,VLOOKUP($U$916,'TAR FIN'!$A$1:$O$99,15,0))</f>
        <v>0</v>
      </c>
      <c r="Y916" s="4">
        <f ca="1">('TUSD BE'!$AM$21+'TUSD BF'!$AM$21+'TUSD CVA'!$AM$21)*1</f>
        <v>24.669398821277586</v>
      </c>
      <c r="Z916" s="4"/>
      <c r="AA916" s="4"/>
      <c r="AB916" s="4">
        <f>$K$916*$V$916</f>
        <v>59082.400000000001</v>
      </c>
      <c r="AC916" s="4">
        <f>$M$916*$W$916</f>
        <v>0</v>
      </c>
      <c r="AD916" s="4">
        <f>$O$916*$X$916</f>
        <v>0</v>
      </c>
      <c r="AE916" s="4">
        <f ca="1">$K$916*$Y$916</f>
        <v>66706.054412734593</v>
      </c>
      <c r="AF916" s="4">
        <f>$M$916*$Z$916</f>
        <v>0</v>
      </c>
      <c r="AG916" s="4">
        <f>$O$916*$AA$916</f>
        <v>0</v>
      </c>
    </row>
    <row r="917" spans="1:33" ht="11.25" customHeight="1" x14ac:dyDescent="0.25">
      <c r="A917" s="3" t="s">
        <v>21</v>
      </c>
      <c r="B917" s="3" t="s">
        <v>33</v>
      </c>
      <c r="C917" s="3" t="s">
        <v>34</v>
      </c>
      <c r="D917" s="3" t="s">
        <v>40</v>
      </c>
      <c r="E917" s="3" t="s">
        <v>25</v>
      </c>
      <c r="F917" s="3" t="s">
        <v>25</v>
      </c>
      <c r="G917" s="3" t="s">
        <v>25</v>
      </c>
      <c r="H917" s="3" t="s">
        <v>25</v>
      </c>
      <c r="I917" s="6">
        <v>44562</v>
      </c>
      <c r="J917" s="4">
        <v>42528</v>
      </c>
      <c r="K917" s="4">
        <v>42528</v>
      </c>
      <c r="L917" s="4">
        <v>0</v>
      </c>
      <c r="M917" s="4">
        <v>0</v>
      </c>
      <c r="N917" s="4">
        <v>0</v>
      </c>
      <c r="O917" s="4">
        <v>0</v>
      </c>
      <c r="P917" s="4">
        <v>224</v>
      </c>
      <c r="Q917" s="3" t="s">
        <v>26</v>
      </c>
      <c r="R917" s="3">
        <v>0</v>
      </c>
      <c r="S917" s="4">
        <v>7</v>
      </c>
      <c r="T917" s="4">
        <v>0</v>
      </c>
      <c r="U917" s="4">
        <v>0</v>
      </c>
      <c r="V917" s="4">
        <f>IF(ISERROR(VLOOKUP($S$917,'TAR FIN'!$A$1:$O$99,15,0)),0,VLOOKUP($S$917,'TAR FIN'!$A$1:$O$99,15,0))</f>
        <v>21.85</v>
      </c>
      <c r="W917" s="4">
        <f>IF(ISERROR(VLOOKUP($T$917,'TAR FIN'!$A$1:$O$99,15,0)),0,VLOOKUP($T$917,'TAR FIN'!$A$1:$O$99,15,0))</f>
        <v>0</v>
      </c>
      <c r="X917" s="4">
        <f>IF(ISERROR(VLOOKUP($U$917,'TAR FIN'!$A$1:$O$99,15,0)),0,VLOOKUP($U$917,'TAR FIN'!$A$1:$O$99,15,0))</f>
        <v>0</v>
      </c>
      <c r="Y917" s="4">
        <f ca="1">('TUSD BE'!$AM$21+'TUSD BF'!$AM$21+'TUSD CVA'!$AM$21)*1</f>
        <v>24.669398821277586</v>
      </c>
      <c r="Z917" s="4"/>
      <c r="AA917" s="4"/>
      <c r="AB917" s="4">
        <f>$K$917*$V$917</f>
        <v>929236.8</v>
      </c>
      <c r="AC917" s="4">
        <f>$M$917*$W$917</f>
        <v>0</v>
      </c>
      <c r="AD917" s="4">
        <f>$O$917*$X$917</f>
        <v>0</v>
      </c>
      <c r="AE917" s="4">
        <f ca="1">$K$917*$Y$917</f>
        <v>1049140.1930712932</v>
      </c>
      <c r="AF917" s="4">
        <f>$M$917*$Z$917</f>
        <v>0</v>
      </c>
      <c r="AG917" s="4">
        <f>$O$917*$AA$917</f>
        <v>0</v>
      </c>
    </row>
    <row r="918" spans="1:33" ht="11.25" customHeight="1" x14ac:dyDescent="0.25">
      <c r="A918" s="3" t="s">
        <v>27</v>
      </c>
      <c r="B918" s="3" t="s">
        <v>33</v>
      </c>
      <c r="C918" s="3" t="s">
        <v>34</v>
      </c>
      <c r="D918" s="3" t="s">
        <v>40</v>
      </c>
      <c r="E918" s="3" t="s">
        <v>25</v>
      </c>
      <c r="F918" s="3" t="s">
        <v>25</v>
      </c>
      <c r="G918" s="3" t="s">
        <v>25</v>
      </c>
      <c r="H918" s="3" t="s">
        <v>25</v>
      </c>
      <c r="I918" s="6">
        <v>44562</v>
      </c>
      <c r="J918" s="4">
        <v>-1556</v>
      </c>
      <c r="K918" s="4">
        <v>-1556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3" t="s">
        <v>26</v>
      </c>
      <c r="R918" s="3">
        <v>0</v>
      </c>
      <c r="S918" s="4">
        <v>7</v>
      </c>
      <c r="T918" s="4">
        <v>0</v>
      </c>
      <c r="U918" s="4">
        <v>0</v>
      </c>
      <c r="V918" s="4">
        <f>IF(ISERROR(VLOOKUP($S$918,'TAR FIN'!$A$1:$O$99,15,0)),0,VLOOKUP($S$918,'TAR FIN'!$A$1:$O$99,15,0))</f>
        <v>21.85</v>
      </c>
      <c r="W918" s="4">
        <f>IF(ISERROR(VLOOKUP($T$918,'TAR FIN'!$A$1:$O$99,15,0)),0,VLOOKUP($T$918,'TAR FIN'!$A$1:$O$99,15,0))</f>
        <v>0</v>
      </c>
      <c r="X918" s="4">
        <f>IF(ISERROR(VLOOKUP($U$918,'TAR FIN'!$A$1:$O$99,15,0)),0,VLOOKUP($U$918,'TAR FIN'!$A$1:$O$99,15,0))</f>
        <v>0</v>
      </c>
      <c r="Y918" s="4">
        <f ca="1">('TUSD BE'!$AM$21+'TUSD BF'!$AM$21+'TUSD CVA'!$AM$21)*1</f>
        <v>24.669398821277586</v>
      </c>
      <c r="Z918" s="4"/>
      <c r="AA918" s="4"/>
      <c r="AB918" s="4">
        <f>$K$918*$V$918</f>
        <v>-33998.600000000006</v>
      </c>
      <c r="AC918" s="4">
        <f>$M$918*$W$918</f>
        <v>0</v>
      </c>
      <c r="AD918" s="4">
        <f>$O$918*$X$918</f>
        <v>0</v>
      </c>
      <c r="AE918" s="4">
        <f ca="1">$K$918*$Y$918</f>
        <v>-38385.58456590792</v>
      </c>
      <c r="AF918" s="4">
        <f>$M$918*$Z$918</f>
        <v>0</v>
      </c>
      <c r="AG918" s="4">
        <f>$O$918*$AA$918</f>
        <v>0</v>
      </c>
    </row>
    <row r="919" spans="1:33" ht="11.25" customHeight="1" x14ac:dyDescent="0.25">
      <c r="A919" s="3" t="s">
        <v>28</v>
      </c>
      <c r="B919" s="3" t="s">
        <v>33</v>
      </c>
      <c r="C919" s="3" t="s">
        <v>34</v>
      </c>
      <c r="D919" s="3" t="s">
        <v>40</v>
      </c>
      <c r="E919" s="3" t="s">
        <v>25</v>
      </c>
      <c r="F919" s="3" t="s">
        <v>25</v>
      </c>
      <c r="G919" s="3" t="s">
        <v>25</v>
      </c>
      <c r="H919" s="3" t="s">
        <v>25</v>
      </c>
      <c r="I919" s="6">
        <v>44562</v>
      </c>
      <c r="J919" s="4">
        <v>3009</v>
      </c>
      <c r="K919" s="4">
        <v>3009</v>
      </c>
      <c r="L919" s="4">
        <v>0</v>
      </c>
      <c r="M919" s="4">
        <v>0</v>
      </c>
      <c r="N919" s="4">
        <v>0</v>
      </c>
      <c r="O919" s="4">
        <v>0</v>
      </c>
      <c r="P919" s="4">
        <v>16</v>
      </c>
      <c r="Q919" s="3" t="s">
        <v>26</v>
      </c>
      <c r="R919" s="3">
        <v>0</v>
      </c>
      <c r="S919" s="4">
        <v>7</v>
      </c>
      <c r="T919" s="4">
        <v>0</v>
      </c>
      <c r="U919" s="4">
        <v>0</v>
      </c>
      <c r="V919" s="4">
        <f>IF(ISERROR(VLOOKUP($S$919,'TAR FIN'!$A$1:$O$99,15,0)),0,VLOOKUP($S$919,'TAR FIN'!$A$1:$O$99,15,0))</f>
        <v>21.85</v>
      </c>
      <c r="W919" s="4">
        <f>IF(ISERROR(VLOOKUP($T$919,'TAR FIN'!$A$1:$O$99,15,0)),0,VLOOKUP($T$919,'TAR FIN'!$A$1:$O$99,15,0))</f>
        <v>0</v>
      </c>
      <c r="X919" s="4">
        <f>IF(ISERROR(VLOOKUP($U$919,'TAR FIN'!$A$1:$O$99,15,0)),0,VLOOKUP($U$919,'TAR FIN'!$A$1:$O$99,15,0))</f>
        <v>0</v>
      </c>
      <c r="Y919" s="4">
        <f ca="1">('TUSD BE'!$AM$21+'TUSD BF'!$AM$21+'TUSD CVA'!$AM$21)*1</f>
        <v>24.669398821277586</v>
      </c>
      <c r="Z919" s="4"/>
      <c r="AA919" s="4"/>
      <c r="AB919" s="4">
        <f>$K$919*$V$919</f>
        <v>65746.650000000009</v>
      </c>
      <c r="AC919" s="4">
        <f>$M$919*$W$919</f>
        <v>0</v>
      </c>
      <c r="AD919" s="4">
        <f>$O$919*$X$919</f>
        <v>0</v>
      </c>
      <c r="AE919" s="4">
        <f ca="1">$K$919*$Y$919</f>
        <v>74230.221053224261</v>
      </c>
      <c r="AF919" s="4">
        <f>$M$919*$Z$919</f>
        <v>0</v>
      </c>
      <c r="AG919" s="4">
        <f>$O$919*$AA$919</f>
        <v>0</v>
      </c>
    </row>
    <row r="920" spans="1:33" ht="11.25" customHeight="1" x14ac:dyDescent="0.25">
      <c r="A920" s="3" t="s">
        <v>21</v>
      </c>
      <c r="B920" s="3" t="s">
        <v>33</v>
      </c>
      <c r="C920" s="3" t="s">
        <v>34</v>
      </c>
      <c r="D920" s="3" t="s">
        <v>40</v>
      </c>
      <c r="E920" s="3" t="s">
        <v>25</v>
      </c>
      <c r="F920" s="3" t="s">
        <v>25</v>
      </c>
      <c r="G920" s="3" t="s">
        <v>25</v>
      </c>
      <c r="H920" s="3" t="s">
        <v>25</v>
      </c>
      <c r="I920" s="6">
        <v>44562</v>
      </c>
      <c r="J920" s="4">
        <v>2748</v>
      </c>
      <c r="K920" s="4">
        <v>2748</v>
      </c>
      <c r="L920" s="4">
        <v>0</v>
      </c>
      <c r="M920" s="4">
        <v>0</v>
      </c>
      <c r="N920" s="4">
        <v>0</v>
      </c>
      <c r="O920" s="4">
        <v>0</v>
      </c>
      <c r="P920" s="4">
        <v>1</v>
      </c>
      <c r="Q920" s="3" t="s">
        <v>57</v>
      </c>
      <c r="R920" s="3">
        <v>0</v>
      </c>
      <c r="S920" s="4">
        <v>7</v>
      </c>
      <c r="T920" s="4">
        <v>0</v>
      </c>
      <c r="U920" s="4">
        <v>0</v>
      </c>
      <c r="V920" s="4">
        <f>IF(ISERROR(VLOOKUP($S$920,'TAR FIN'!$A$1:$O$99,15,0)),0,VLOOKUP($S$920,'TAR FIN'!$A$1:$O$99,15,0))</f>
        <v>21.85</v>
      </c>
      <c r="W920" s="4">
        <f>IF(ISERROR(VLOOKUP($T$920,'TAR FIN'!$A$1:$O$99,15,0)),0,VLOOKUP($T$920,'TAR FIN'!$A$1:$O$99,15,0))</f>
        <v>0</v>
      </c>
      <c r="X920" s="4">
        <f>IF(ISERROR(VLOOKUP($U$920,'TAR FIN'!$A$1:$O$99,15,0)),0,VLOOKUP($U$920,'TAR FIN'!$A$1:$O$99,15,0))</f>
        <v>0</v>
      </c>
      <c r="Y920" s="4">
        <f ca="1">('TUSD BE'!$AM$21+'TUSD BF'!$AM$21+'TUSD CVA'!$AM$21)*1</f>
        <v>24.669398821277586</v>
      </c>
      <c r="Z920" s="4"/>
      <c r="AA920" s="4"/>
      <c r="AB920" s="4">
        <f>$K$920*$V$920</f>
        <v>60043.8</v>
      </c>
      <c r="AC920" s="4">
        <f>$M$920*$W$920</f>
        <v>0</v>
      </c>
      <c r="AD920" s="4">
        <f>$O$920*$X$920</f>
        <v>0</v>
      </c>
      <c r="AE920" s="4">
        <f ca="1">$K$920*$Y$920</f>
        <v>67791.507960870804</v>
      </c>
      <c r="AF920" s="4">
        <f>$M$920*$Z$920</f>
        <v>0</v>
      </c>
      <c r="AG920" s="4">
        <f>$O$920*$AA$920</f>
        <v>0</v>
      </c>
    </row>
    <row r="921" spans="1:33" ht="11.25" customHeight="1" x14ac:dyDescent="0.25">
      <c r="A921" s="3" t="s">
        <v>21</v>
      </c>
      <c r="B921" s="3" t="s">
        <v>33</v>
      </c>
      <c r="C921" s="3" t="s">
        <v>34</v>
      </c>
      <c r="D921" s="3" t="s">
        <v>40</v>
      </c>
      <c r="E921" s="3" t="s">
        <v>25</v>
      </c>
      <c r="F921" s="3" t="s">
        <v>25</v>
      </c>
      <c r="G921" s="3" t="s">
        <v>25</v>
      </c>
      <c r="H921" s="3" t="s">
        <v>25</v>
      </c>
      <c r="I921" s="6">
        <v>44593</v>
      </c>
      <c r="J921" s="4">
        <v>41882</v>
      </c>
      <c r="K921" s="4">
        <v>41882</v>
      </c>
      <c r="L921" s="4">
        <v>0</v>
      </c>
      <c r="M921" s="4">
        <v>0</v>
      </c>
      <c r="N921" s="4">
        <v>0</v>
      </c>
      <c r="O921" s="4">
        <v>0</v>
      </c>
      <c r="P921" s="4">
        <v>226</v>
      </c>
      <c r="Q921" s="3" t="s">
        <v>26</v>
      </c>
      <c r="R921" s="3">
        <v>0</v>
      </c>
      <c r="S921" s="4">
        <v>7</v>
      </c>
      <c r="T921" s="4">
        <v>0</v>
      </c>
      <c r="U921" s="4">
        <v>0</v>
      </c>
      <c r="V921" s="4">
        <f>IF(ISERROR(VLOOKUP($S$921,'TAR FIN'!$A$1:$O$99,15,0)),0,VLOOKUP($S$921,'TAR FIN'!$A$1:$O$99,15,0))</f>
        <v>21.85</v>
      </c>
      <c r="W921" s="4">
        <f>IF(ISERROR(VLOOKUP($T$921,'TAR FIN'!$A$1:$O$99,15,0)),0,VLOOKUP($T$921,'TAR FIN'!$A$1:$O$99,15,0))</f>
        <v>0</v>
      </c>
      <c r="X921" s="4">
        <f>IF(ISERROR(VLOOKUP($U$921,'TAR FIN'!$A$1:$O$99,15,0)),0,VLOOKUP($U$921,'TAR FIN'!$A$1:$O$99,15,0))</f>
        <v>0</v>
      </c>
      <c r="Y921" s="4">
        <f ca="1">('TUSD BE'!$AM$21+'TUSD BF'!$AM$21+'TUSD CVA'!$AM$21)*1</f>
        <v>24.669398821277586</v>
      </c>
      <c r="Z921" s="4"/>
      <c r="AA921" s="4"/>
      <c r="AB921" s="4">
        <f>$K$921*$V$921</f>
        <v>915121.70000000007</v>
      </c>
      <c r="AC921" s="4">
        <f>$M$921*$W$921</f>
        <v>0</v>
      </c>
      <c r="AD921" s="4">
        <f>$O$921*$X$921</f>
        <v>0</v>
      </c>
      <c r="AE921" s="4">
        <f ca="1">$K$921*$Y$921</f>
        <v>1033203.7614327478</v>
      </c>
      <c r="AF921" s="4">
        <f>$M$921*$Z$921</f>
        <v>0</v>
      </c>
      <c r="AG921" s="4">
        <f>$O$921*$AA$921</f>
        <v>0</v>
      </c>
    </row>
    <row r="922" spans="1:33" ht="11.25" customHeight="1" x14ac:dyDescent="0.25">
      <c r="A922" s="3" t="s">
        <v>27</v>
      </c>
      <c r="B922" s="3" t="s">
        <v>33</v>
      </c>
      <c r="C922" s="3" t="s">
        <v>34</v>
      </c>
      <c r="D922" s="3" t="s">
        <v>40</v>
      </c>
      <c r="E922" s="3" t="s">
        <v>25</v>
      </c>
      <c r="F922" s="3" t="s">
        <v>25</v>
      </c>
      <c r="G922" s="3" t="s">
        <v>25</v>
      </c>
      <c r="H922" s="3" t="s">
        <v>25</v>
      </c>
      <c r="I922" s="6">
        <v>44593</v>
      </c>
      <c r="J922" s="4">
        <v>-1826</v>
      </c>
      <c r="K922" s="4">
        <v>-1826</v>
      </c>
      <c r="L922" s="4">
        <v>0</v>
      </c>
      <c r="M922" s="4">
        <v>0</v>
      </c>
      <c r="N922" s="4">
        <v>0</v>
      </c>
      <c r="O922" s="4">
        <v>0</v>
      </c>
      <c r="P922" s="4">
        <v>-1</v>
      </c>
      <c r="Q922" s="3" t="s">
        <v>26</v>
      </c>
      <c r="R922" s="3">
        <v>0</v>
      </c>
      <c r="S922" s="4">
        <v>7</v>
      </c>
      <c r="T922" s="4">
        <v>0</v>
      </c>
      <c r="U922" s="4">
        <v>0</v>
      </c>
      <c r="V922" s="4">
        <f>IF(ISERROR(VLOOKUP($S$922,'TAR FIN'!$A$1:$O$99,15,0)),0,VLOOKUP($S$922,'TAR FIN'!$A$1:$O$99,15,0))</f>
        <v>21.85</v>
      </c>
      <c r="W922" s="4">
        <f>IF(ISERROR(VLOOKUP($T$922,'TAR FIN'!$A$1:$O$99,15,0)),0,VLOOKUP($T$922,'TAR FIN'!$A$1:$O$99,15,0))</f>
        <v>0</v>
      </c>
      <c r="X922" s="4">
        <f>IF(ISERROR(VLOOKUP($U$922,'TAR FIN'!$A$1:$O$99,15,0)),0,VLOOKUP($U$922,'TAR FIN'!$A$1:$O$99,15,0))</f>
        <v>0</v>
      </c>
      <c r="Y922" s="4">
        <f ca="1">('TUSD BE'!$AM$21+'TUSD BF'!$AM$21+'TUSD CVA'!$AM$21)*1</f>
        <v>24.669398821277586</v>
      </c>
      <c r="Z922" s="4"/>
      <c r="AA922" s="4"/>
      <c r="AB922" s="4">
        <f>$K$922*$V$922</f>
        <v>-39898.100000000006</v>
      </c>
      <c r="AC922" s="4">
        <f>$M$922*$W$922</f>
        <v>0</v>
      </c>
      <c r="AD922" s="4">
        <f>$O$922*$X$922</f>
        <v>0</v>
      </c>
      <c r="AE922" s="4">
        <f ca="1">$K$922*$Y$922</f>
        <v>-45046.322247652868</v>
      </c>
      <c r="AF922" s="4">
        <f>$M$922*$Z$922</f>
        <v>0</v>
      </c>
      <c r="AG922" s="4">
        <f>$O$922*$AA$922</f>
        <v>0</v>
      </c>
    </row>
    <row r="923" spans="1:33" ht="11.25" customHeight="1" x14ac:dyDescent="0.25">
      <c r="A923" s="3" t="s">
        <v>28</v>
      </c>
      <c r="B923" s="3" t="s">
        <v>33</v>
      </c>
      <c r="C923" s="3" t="s">
        <v>34</v>
      </c>
      <c r="D923" s="3" t="s">
        <v>40</v>
      </c>
      <c r="E923" s="3" t="s">
        <v>25</v>
      </c>
      <c r="F923" s="3" t="s">
        <v>25</v>
      </c>
      <c r="G923" s="3" t="s">
        <v>25</v>
      </c>
      <c r="H923" s="3" t="s">
        <v>25</v>
      </c>
      <c r="I923" s="6">
        <v>44593</v>
      </c>
      <c r="J923" s="4">
        <v>3035</v>
      </c>
      <c r="K923" s="4">
        <v>3035</v>
      </c>
      <c r="L923" s="4">
        <v>0</v>
      </c>
      <c r="M923" s="4">
        <v>0</v>
      </c>
      <c r="N923" s="4">
        <v>0</v>
      </c>
      <c r="O923" s="4">
        <v>0</v>
      </c>
      <c r="P923" s="4">
        <v>16</v>
      </c>
      <c r="Q923" s="3" t="s">
        <v>26</v>
      </c>
      <c r="R923" s="3">
        <v>0</v>
      </c>
      <c r="S923" s="4">
        <v>7</v>
      </c>
      <c r="T923" s="4">
        <v>0</v>
      </c>
      <c r="U923" s="4">
        <v>0</v>
      </c>
      <c r="V923" s="4">
        <f>IF(ISERROR(VLOOKUP($S$923,'TAR FIN'!$A$1:$O$99,15,0)),0,VLOOKUP($S$923,'TAR FIN'!$A$1:$O$99,15,0))</f>
        <v>21.85</v>
      </c>
      <c r="W923" s="4">
        <f>IF(ISERROR(VLOOKUP($T$923,'TAR FIN'!$A$1:$O$99,15,0)),0,VLOOKUP($T$923,'TAR FIN'!$A$1:$O$99,15,0))</f>
        <v>0</v>
      </c>
      <c r="X923" s="4">
        <f>IF(ISERROR(VLOOKUP($U$923,'TAR FIN'!$A$1:$O$99,15,0)),0,VLOOKUP($U$923,'TAR FIN'!$A$1:$O$99,15,0))</f>
        <v>0</v>
      </c>
      <c r="Y923" s="4">
        <f ca="1">('TUSD BE'!$AM$21+'TUSD BF'!$AM$21+'TUSD CVA'!$AM$21)*1</f>
        <v>24.669398821277586</v>
      </c>
      <c r="Z923" s="4"/>
      <c r="AA923" s="4"/>
      <c r="AB923" s="4">
        <f>$K$923*$V$923</f>
        <v>66314.75</v>
      </c>
      <c r="AC923" s="4">
        <f>$M$923*$W$923</f>
        <v>0</v>
      </c>
      <c r="AD923" s="4">
        <f>$O$923*$X$923</f>
        <v>0</v>
      </c>
      <c r="AE923" s="4">
        <f ca="1">$K$923*$Y$923</f>
        <v>74871.625422577476</v>
      </c>
      <c r="AF923" s="4">
        <f>$M$923*$Z$923</f>
        <v>0</v>
      </c>
      <c r="AG923" s="4">
        <f>$O$923*$AA$923</f>
        <v>0</v>
      </c>
    </row>
    <row r="924" spans="1:33" ht="11.25" customHeight="1" x14ac:dyDescent="0.25">
      <c r="A924" s="3" t="s">
        <v>21</v>
      </c>
      <c r="B924" s="3" t="s">
        <v>33</v>
      </c>
      <c r="C924" s="3" t="s">
        <v>34</v>
      </c>
      <c r="D924" s="3" t="s">
        <v>40</v>
      </c>
      <c r="E924" s="3" t="s">
        <v>25</v>
      </c>
      <c r="F924" s="3" t="s">
        <v>25</v>
      </c>
      <c r="G924" s="3" t="s">
        <v>25</v>
      </c>
      <c r="H924" s="3" t="s">
        <v>25</v>
      </c>
      <c r="I924" s="6">
        <v>44593</v>
      </c>
      <c r="J924" s="4">
        <v>2639</v>
      </c>
      <c r="K924" s="4">
        <v>2639</v>
      </c>
      <c r="L924" s="4">
        <v>0</v>
      </c>
      <c r="M924" s="4">
        <v>0</v>
      </c>
      <c r="N924" s="4">
        <v>0</v>
      </c>
      <c r="O924" s="4">
        <v>0</v>
      </c>
      <c r="P924" s="4">
        <v>1</v>
      </c>
      <c r="Q924" s="3" t="s">
        <v>57</v>
      </c>
      <c r="R924" s="3">
        <v>0</v>
      </c>
      <c r="S924" s="4">
        <v>7</v>
      </c>
      <c r="T924" s="4">
        <v>0</v>
      </c>
      <c r="U924" s="4">
        <v>0</v>
      </c>
      <c r="V924" s="4">
        <f>IF(ISERROR(VLOOKUP($S$924,'TAR FIN'!$A$1:$O$99,15,0)),0,VLOOKUP($S$924,'TAR FIN'!$A$1:$O$99,15,0))</f>
        <v>21.85</v>
      </c>
      <c r="W924" s="4">
        <f>IF(ISERROR(VLOOKUP($T$924,'TAR FIN'!$A$1:$O$99,15,0)),0,VLOOKUP($T$924,'TAR FIN'!$A$1:$O$99,15,0))</f>
        <v>0</v>
      </c>
      <c r="X924" s="4">
        <f>IF(ISERROR(VLOOKUP($U$924,'TAR FIN'!$A$1:$O$99,15,0)),0,VLOOKUP($U$924,'TAR FIN'!$A$1:$O$99,15,0))</f>
        <v>0</v>
      </c>
      <c r="Y924" s="4">
        <f ca="1">('TUSD BE'!$AM$21+'TUSD BF'!$AM$21+'TUSD CVA'!$AM$21)*1</f>
        <v>24.669398821277586</v>
      </c>
      <c r="Z924" s="4"/>
      <c r="AA924" s="4"/>
      <c r="AB924" s="4">
        <f>$K$924*$V$924</f>
        <v>57662.15</v>
      </c>
      <c r="AC924" s="4">
        <f>$M$924*$W$924</f>
        <v>0</v>
      </c>
      <c r="AD924" s="4">
        <f>$O$924*$X$924</f>
        <v>0</v>
      </c>
      <c r="AE924" s="4">
        <f ca="1">$K$924*$Y$924</f>
        <v>65102.543489351548</v>
      </c>
      <c r="AF924" s="4">
        <f>$M$924*$Z$924</f>
        <v>0</v>
      </c>
      <c r="AG924" s="4">
        <f>$O$924*$AA$924</f>
        <v>0</v>
      </c>
    </row>
    <row r="925" spans="1:33" ht="11.25" customHeight="1" x14ac:dyDescent="0.25">
      <c r="A925" s="3" t="s">
        <v>21</v>
      </c>
      <c r="B925" s="3" t="s">
        <v>33</v>
      </c>
      <c r="C925" s="3" t="s">
        <v>34</v>
      </c>
      <c r="D925" s="3" t="s">
        <v>40</v>
      </c>
      <c r="E925" s="3" t="s">
        <v>25</v>
      </c>
      <c r="F925" s="3" t="s">
        <v>25</v>
      </c>
      <c r="G925" s="3" t="s">
        <v>25</v>
      </c>
      <c r="H925" s="3" t="s">
        <v>25</v>
      </c>
      <c r="I925" s="6">
        <v>44621</v>
      </c>
      <c r="J925" s="4">
        <v>40385</v>
      </c>
      <c r="K925" s="4">
        <v>40385</v>
      </c>
      <c r="L925" s="4">
        <v>0</v>
      </c>
      <c r="M925" s="4">
        <v>0</v>
      </c>
      <c r="N925" s="4">
        <v>0</v>
      </c>
      <c r="O925" s="4">
        <v>0</v>
      </c>
      <c r="P925" s="4">
        <v>223</v>
      </c>
      <c r="Q925" s="3" t="s">
        <v>26</v>
      </c>
      <c r="R925" s="3">
        <v>0</v>
      </c>
      <c r="S925" s="4">
        <v>7</v>
      </c>
      <c r="T925" s="4">
        <v>0</v>
      </c>
      <c r="U925" s="4">
        <v>0</v>
      </c>
      <c r="V925" s="4">
        <f>IF(ISERROR(VLOOKUP($S$925,'TAR FIN'!$A$1:$O$99,15,0)),0,VLOOKUP($S$925,'TAR FIN'!$A$1:$O$99,15,0))</f>
        <v>21.85</v>
      </c>
      <c r="W925" s="4">
        <f>IF(ISERROR(VLOOKUP($T$925,'TAR FIN'!$A$1:$O$99,15,0)),0,VLOOKUP($T$925,'TAR FIN'!$A$1:$O$99,15,0))</f>
        <v>0</v>
      </c>
      <c r="X925" s="4">
        <f>IF(ISERROR(VLOOKUP($U$925,'TAR FIN'!$A$1:$O$99,15,0)),0,VLOOKUP($U$925,'TAR FIN'!$A$1:$O$99,15,0))</f>
        <v>0</v>
      </c>
      <c r="Y925" s="4">
        <f ca="1">('TUSD BE'!$AM$21+'TUSD BF'!$AM$21+'TUSD CVA'!$AM$21)*1</f>
        <v>24.669398821277586</v>
      </c>
      <c r="Z925" s="4"/>
      <c r="AA925" s="4"/>
      <c r="AB925" s="4">
        <f>$K$925*$V$925</f>
        <v>882412.25</v>
      </c>
      <c r="AC925" s="4">
        <f>$M$925*$W$925</f>
        <v>0</v>
      </c>
      <c r="AD925" s="4">
        <f>$O$925*$X$925</f>
        <v>0</v>
      </c>
      <c r="AE925" s="4">
        <f ca="1">$K$925*$Y$925</f>
        <v>996273.67139729531</v>
      </c>
      <c r="AF925" s="4">
        <f>$M$925*$Z$925</f>
        <v>0</v>
      </c>
      <c r="AG925" s="4">
        <f>$O$925*$AA$925</f>
        <v>0</v>
      </c>
    </row>
    <row r="926" spans="1:33" ht="11.25" customHeight="1" x14ac:dyDescent="0.25">
      <c r="A926" s="3" t="s">
        <v>28</v>
      </c>
      <c r="B926" s="3" t="s">
        <v>33</v>
      </c>
      <c r="C926" s="3" t="s">
        <v>34</v>
      </c>
      <c r="D926" s="3" t="s">
        <v>40</v>
      </c>
      <c r="E926" s="3" t="s">
        <v>25</v>
      </c>
      <c r="F926" s="3" t="s">
        <v>25</v>
      </c>
      <c r="G926" s="3" t="s">
        <v>25</v>
      </c>
      <c r="H926" s="3" t="s">
        <v>25</v>
      </c>
      <c r="I926" s="6">
        <v>44621</v>
      </c>
      <c r="J926" s="4">
        <v>3505</v>
      </c>
      <c r="K926" s="4">
        <v>3505</v>
      </c>
      <c r="L926" s="4">
        <v>0</v>
      </c>
      <c r="M926" s="4">
        <v>0</v>
      </c>
      <c r="N926" s="4">
        <v>0</v>
      </c>
      <c r="O926" s="4">
        <v>0</v>
      </c>
      <c r="P926" s="4">
        <v>19</v>
      </c>
      <c r="Q926" s="3" t="s">
        <v>26</v>
      </c>
      <c r="R926" s="3">
        <v>0</v>
      </c>
      <c r="S926" s="4">
        <v>7</v>
      </c>
      <c r="T926" s="4">
        <v>0</v>
      </c>
      <c r="U926" s="4">
        <v>0</v>
      </c>
      <c r="V926" s="4">
        <f>IF(ISERROR(VLOOKUP($S$926,'TAR FIN'!$A$1:$O$99,15,0)),0,VLOOKUP($S$926,'TAR FIN'!$A$1:$O$99,15,0))</f>
        <v>21.85</v>
      </c>
      <c r="W926" s="4">
        <f>IF(ISERROR(VLOOKUP($T$926,'TAR FIN'!$A$1:$O$99,15,0)),0,VLOOKUP($T$926,'TAR FIN'!$A$1:$O$99,15,0))</f>
        <v>0</v>
      </c>
      <c r="X926" s="4">
        <f>IF(ISERROR(VLOOKUP($U$926,'TAR FIN'!$A$1:$O$99,15,0)),0,VLOOKUP($U$926,'TAR FIN'!$A$1:$O$99,15,0))</f>
        <v>0</v>
      </c>
      <c r="Y926" s="4">
        <f ca="1">('TUSD BE'!$AM$21+'TUSD BF'!$AM$21+'TUSD CVA'!$AM$21)*1</f>
        <v>24.669398821277586</v>
      </c>
      <c r="Z926" s="4"/>
      <c r="AA926" s="4"/>
      <c r="AB926" s="4">
        <f>$K$926*$V$926</f>
        <v>76584.25</v>
      </c>
      <c r="AC926" s="4">
        <f>$M$926*$W$926</f>
        <v>0</v>
      </c>
      <c r="AD926" s="4">
        <f>$O$926*$X$926</f>
        <v>0</v>
      </c>
      <c r="AE926" s="4">
        <f ca="1">$K$926*$Y$926</f>
        <v>86466.24286857793</v>
      </c>
      <c r="AF926" s="4">
        <f>$M$926*$Z$926</f>
        <v>0</v>
      </c>
      <c r="AG926" s="4">
        <f>$O$926*$AA$926</f>
        <v>0</v>
      </c>
    </row>
    <row r="927" spans="1:33" ht="11.25" customHeight="1" x14ac:dyDescent="0.25">
      <c r="A927" s="3" t="s">
        <v>21</v>
      </c>
      <c r="B927" s="3" t="s">
        <v>33</v>
      </c>
      <c r="C927" s="3" t="s">
        <v>34</v>
      </c>
      <c r="D927" s="3" t="s">
        <v>40</v>
      </c>
      <c r="E927" s="3" t="s">
        <v>25</v>
      </c>
      <c r="F927" s="3" t="s">
        <v>25</v>
      </c>
      <c r="G927" s="3" t="s">
        <v>25</v>
      </c>
      <c r="H927" s="3" t="s">
        <v>25</v>
      </c>
      <c r="I927" s="6">
        <v>44621</v>
      </c>
      <c r="J927" s="4">
        <v>2500</v>
      </c>
      <c r="K927" s="4">
        <v>2500</v>
      </c>
      <c r="L927" s="4">
        <v>0</v>
      </c>
      <c r="M927" s="4">
        <v>0</v>
      </c>
      <c r="N927" s="4">
        <v>0</v>
      </c>
      <c r="O927" s="4">
        <v>0</v>
      </c>
      <c r="P927" s="4">
        <v>1</v>
      </c>
      <c r="Q927" s="3" t="s">
        <v>57</v>
      </c>
      <c r="R927" s="3">
        <v>0</v>
      </c>
      <c r="S927" s="4">
        <v>7</v>
      </c>
      <c r="T927" s="4">
        <v>0</v>
      </c>
      <c r="U927" s="4">
        <v>0</v>
      </c>
      <c r="V927" s="4">
        <f>IF(ISERROR(VLOOKUP($S$927,'TAR FIN'!$A$1:$O$99,15,0)),0,VLOOKUP($S$927,'TAR FIN'!$A$1:$O$99,15,0))</f>
        <v>21.85</v>
      </c>
      <c r="W927" s="4">
        <f>IF(ISERROR(VLOOKUP($T$927,'TAR FIN'!$A$1:$O$99,15,0)),0,VLOOKUP($T$927,'TAR FIN'!$A$1:$O$99,15,0))</f>
        <v>0</v>
      </c>
      <c r="X927" s="4">
        <f>IF(ISERROR(VLOOKUP($U$927,'TAR FIN'!$A$1:$O$99,15,0)),0,VLOOKUP($U$927,'TAR FIN'!$A$1:$O$99,15,0))</f>
        <v>0</v>
      </c>
      <c r="Y927" s="4">
        <f ca="1">('TUSD BE'!$AM$21+'TUSD BF'!$AM$21+'TUSD CVA'!$AM$21)*1</f>
        <v>24.669398821277586</v>
      </c>
      <c r="Z927" s="4"/>
      <c r="AA927" s="4"/>
      <c r="AB927" s="4">
        <f>$K$927*$V$927</f>
        <v>54625</v>
      </c>
      <c r="AC927" s="4">
        <f>$M$927*$W$927</f>
        <v>0</v>
      </c>
      <c r="AD927" s="4">
        <f>$O$927*$X$927</f>
        <v>0</v>
      </c>
      <c r="AE927" s="4">
        <f ca="1">$K$927*$Y$927</f>
        <v>61673.497053193962</v>
      </c>
      <c r="AF927" s="4">
        <f>$M$927*$Z$927</f>
        <v>0</v>
      </c>
      <c r="AG927" s="4">
        <f>$O$927*$AA$927</f>
        <v>0</v>
      </c>
    </row>
    <row r="928" spans="1:33" ht="11.25" customHeight="1" x14ac:dyDescent="0.25">
      <c r="A928" s="3" t="s">
        <v>56</v>
      </c>
      <c r="B928" s="3" t="s">
        <v>33</v>
      </c>
      <c r="C928" s="3" t="s">
        <v>34</v>
      </c>
      <c r="D928" s="3" t="s">
        <v>40</v>
      </c>
      <c r="E928" s="3" t="s">
        <v>25</v>
      </c>
      <c r="F928" s="3" t="s">
        <v>25</v>
      </c>
      <c r="G928" s="3" t="s">
        <v>25</v>
      </c>
      <c r="H928" s="3" t="s">
        <v>25</v>
      </c>
      <c r="I928" s="6">
        <v>44652</v>
      </c>
      <c r="J928" s="4">
        <v>40385</v>
      </c>
      <c r="K928" s="4">
        <v>40385</v>
      </c>
      <c r="L928" s="4">
        <v>0</v>
      </c>
      <c r="M928" s="4">
        <v>0</v>
      </c>
      <c r="N928" s="4">
        <v>0</v>
      </c>
      <c r="O928" s="4">
        <v>0</v>
      </c>
      <c r="P928" s="4">
        <v>223</v>
      </c>
      <c r="Q928" s="3" t="s">
        <v>26</v>
      </c>
      <c r="R928" s="3">
        <v>0</v>
      </c>
      <c r="S928" s="4">
        <v>7</v>
      </c>
      <c r="T928" s="4">
        <v>0</v>
      </c>
      <c r="U928" s="4">
        <v>0</v>
      </c>
      <c r="V928" s="4">
        <f>IF(ISERROR(VLOOKUP($S$928,'TAR FIN'!$A$1:$O$99,15,0)),0,VLOOKUP($S$928,'TAR FIN'!$A$1:$O$99,15,0))</f>
        <v>21.85</v>
      </c>
      <c r="W928" s="4">
        <f>IF(ISERROR(VLOOKUP($T$928,'TAR FIN'!$A$1:$O$99,15,0)),0,VLOOKUP($T$928,'TAR FIN'!$A$1:$O$99,15,0))</f>
        <v>0</v>
      </c>
      <c r="X928" s="4">
        <f>IF(ISERROR(VLOOKUP($U$928,'TAR FIN'!$A$1:$O$99,15,0)),0,VLOOKUP($U$928,'TAR FIN'!$A$1:$O$99,15,0))</f>
        <v>0</v>
      </c>
      <c r="Y928" s="4">
        <f ca="1">('TUSD BE'!$AM$21+'TUSD BF'!$AM$21+'TUSD CVA'!$AM$21)*1</f>
        <v>24.669398821277586</v>
      </c>
      <c r="Z928" s="4"/>
      <c r="AA928" s="4"/>
      <c r="AB928" s="4">
        <f>$K$928*$V$928</f>
        <v>882412.25</v>
      </c>
      <c r="AC928" s="4">
        <f>$M$928*$W$928</f>
        <v>0</v>
      </c>
      <c r="AD928" s="4">
        <f>$O$928*$X$928</f>
        <v>0</v>
      </c>
      <c r="AE928" s="4">
        <f ca="1">$K$928*$Y$928</f>
        <v>996273.67139729531</v>
      </c>
      <c r="AF928" s="4">
        <f>$M$928*$Z$928</f>
        <v>0</v>
      </c>
      <c r="AG928" s="4">
        <f>$O$928*$AA$928</f>
        <v>0</v>
      </c>
    </row>
    <row r="929" spans="1:33" ht="11.25" customHeight="1" x14ac:dyDescent="0.25">
      <c r="A929" s="3" t="s">
        <v>56</v>
      </c>
      <c r="B929" s="3" t="s">
        <v>33</v>
      </c>
      <c r="C929" s="3" t="s">
        <v>34</v>
      </c>
      <c r="D929" s="3" t="s">
        <v>40</v>
      </c>
      <c r="E929" s="3" t="s">
        <v>25</v>
      </c>
      <c r="F929" s="3" t="s">
        <v>25</v>
      </c>
      <c r="G929" s="3" t="s">
        <v>25</v>
      </c>
      <c r="H929" s="3" t="s">
        <v>25</v>
      </c>
      <c r="I929" s="6">
        <v>44652</v>
      </c>
      <c r="J929" s="4">
        <v>3505</v>
      </c>
      <c r="K929" s="4">
        <v>3505</v>
      </c>
      <c r="L929" s="4">
        <v>0</v>
      </c>
      <c r="M929" s="4">
        <v>0</v>
      </c>
      <c r="N929" s="4">
        <v>0</v>
      </c>
      <c r="O929" s="4">
        <v>0</v>
      </c>
      <c r="P929" s="4">
        <v>19</v>
      </c>
      <c r="Q929" s="3" t="s">
        <v>26</v>
      </c>
      <c r="R929" s="3">
        <v>0</v>
      </c>
      <c r="S929" s="4">
        <v>7</v>
      </c>
      <c r="T929" s="4">
        <v>0</v>
      </c>
      <c r="U929" s="4">
        <v>0</v>
      </c>
      <c r="V929" s="4">
        <f>IF(ISERROR(VLOOKUP($S$929,'TAR FIN'!$A$1:$O$99,15,0)),0,VLOOKUP($S$929,'TAR FIN'!$A$1:$O$99,15,0))</f>
        <v>21.85</v>
      </c>
      <c r="W929" s="4">
        <f>IF(ISERROR(VLOOKUP($T$929,'TAR FIN'!$A$1:$O$99,15,0)),0,VLOOKUP($T$929,'TAR FIN'!$A$1:$O$99,15,0))</f>
        <v>0</v>
      </c>
      <c r="X929" s="4">
        <f>IF(ISERROR(VLOOKUP($U$929,'TAR FIN'!$A$1:$O$99,15,0)),0,VLOOKUP($U$929,'TAR FIN'!$A$1:$O$99,15,0))</f>
        <v>0</v>
      </c>
      <c r="Y929" s="4">
        <f ca="1">('TUSD BE'!$AM$21+'TUSD BF'!$AM$21+'TUSD CVA'!$AM$21)*1</f>
        <v>24.669398821277586</v>
      </c>
      <c r="Z929" s="4"/>
      <c r="AA929" s="4"/>
      <c r="AB929" s="4">
        <f>$K$929*$V$929</f>
        <v>76584.25</v>
      </c>
      <c r="AC929" s="4">
        <f>$M$929*$W$929</f>
        <v>0</v>
      </c>
      <c r="AD929" s="4">
        <f>$O$929*$X$929</f>
        <v>0</v>
      </c>
      <c r="AE929" s="4">
        <f ca="1">$K$929*$Y$929</f>
        <v>86466.24286857793</v>
      </c>
      <c r="AF929" s="4">
        <f>$M$929*$Z$929</f>
        <v>0</v>
      </c>
      <c r="AG929" s="4">
        <f>$O$929*$AA$929</f>
        <v>0</v>
      </c>
    </row>
    <row r="930" spans="1:33" ht="11.25" customHeight="1" x14ac:dyDescent="0.25">
      <c r="A930" s="3" t="s">
        <v>56</v>
      </c>
      <c r="B930" s="3" t="s">
        <v>33</v>
      </c>
      <c r="C930" s="3" t="s">
        <v>34</v>
      </c>
      <c r="D930" s="3" t="s">
        <v>40</v>
      </c>
      <c r="E930" s="3" t="s">
        <v>25</v>
      </c>
      <c r="F930" s="3" t="s">
        <v>25</v>
      </c>
      <c r="G930" s="3" t="s">
        <v>25</v>
      </c>
      <c r="H930" s="3" t="s">
        <v>25</v>
      </c>
      <c r="I930" s="6">
        <v>44652</v>
      </c>
      <c r="J930" s="4">
        <v>2500</v>
      </c>
      <c r="K930" s="4">
        <v>2500</v>
      </c>
      <c r="L930" s="4">
        <v>0</v>
      </c>
      <c r="M930" s="4">
        <v>0</v>
      </c>
      <c r="N930" s="4">
        <v>0</v>
      </c>
      <c r="O930" s="4">
        <v>0</v>
      </c>
      <c r="P930" s="4">
        <v>1</v>
      </c>
      <c r="Q930" s="3" t="s">
        <v>57</v>
      </c>
      <c r="R930" s="3">
        <v>0</v>
      </c>
      <c r="S930" s="4">
        <v>7</v>
      </c>
      <c r="T930" s="4">
        <v>0</v>
      </c>
      <c r="U930" s="4">
        <v>0</v>
      </c>
      <c r="V930" s="4">
        <f>IF(ISERROR(VLOOKUP($S$930,'TAR FIN'!$A$1:$O$99,15,0)),0,VLOOKUP($S$930,'TAR FIN'!$A$1:$O$99,15,0))</f>
        <v>21.85</v>
      </c>
      <c r="W930" s="4">
        <f>IF(ISERROR(VLOOKUP($T$930,'TAR FIN'!$A$1:$O$99,15,0)),0,VLOOKUP($T$930,'TAR FIN'!$A$1:$O$99,15,0))</f>
        <v>0</v>
      </c>
      <c r="X930" s="4">
        <f>IF(ISERROR(VLOOKUP($U$930,'TAR FIN'!$A$1:$O$99,15,0)),0,VLOOKUP($U$930,'TAR FIN'!$A$1:$O$99,15,0))</f>
        <v>0</v>
      </c>
      <c r="Y930" s="4">
        <f ca="1">('TUSD BE'!$AM$21+'TUSD BF'!$AM$21+'TUSD CVA'!$AM$21)*1</f>
        <v>24.669398821277586</v>
      </c>
      <c r="Z930" s="4"/>
      <c r="AA930" s="4"/>
      <c r="AB930" s="4">
        <f>$K$930*$V$930</f>
        <v>54625</v>
      </c>
      <c r="AC930" s="4">
        <f>$M$930*$W$930</f>
        <v>0</v>
      </c>
      <c r="AD930" s="4">
        <f>$O$930*$X$930</f>
        <v>0</v>
      </c>
      <c r="AE930" s="4">
        <f ca="1">$K$930*$Y$930</f>
        <v>61673.497053193962</v>
      </c>
      <c r="AF930" s="4">
        <f>$M$930*$Z$930</f>
        <v>0</v>
      </c>
      <c r="AG930" s="4">
        <f>$O$930*$AA$930</f>
        <v>0</v>
      </c>
    </row>
    <row r="931" spans="1:33" ht="11.25" customHeight="1" x14ac:dyDescent="0.25">
      <c r="A931" s="3" t="s">
        <v>21</v>
      </c>
      <c r="B931" s="3" t="s">
        <v>33</v>
      </c>
      <c r="C931" s="3" t="s">
        <v>34</v>
      </c>
      <c r="D931" s="3" t="s">
        <v>40</v>
      </c>
      <c r="E931" s="3" t="s">
        <v>25</v>
      </c>
      <c r="F931" s="3" t="s">
        <v>25</v>
      </c>
      <c r="G931" s="3" t="s">
        <v>25</v>
      </c>
      <c r="H931" s="3" t="s">
        <v>35</v>
      </c>
      <c r="I931" s="6">
        <v>44317</v>
      </c>
      <c r="J931" s="4">
        <v>0</v>
      </c>
      <c r="K931" s="4">
        <v>0</v>
      </c>
      <c r="L931" s="4">
        <v>315.51900000000001</v>
      </c>
      <c r="M931" s="4">
        <v>315.51900000000001</v>
      </c>
      <c r="N931" s="4">
        <v>315.51900000000001</v>
      </c>
      <c r="O931" s="4">
        <v>315.51900000000001</v>
      </c>
      <c r="P931" s="4">
        <v>0</v>
      </c>
      <c r="Q931" s="3" t="s">
        <v>26</v>
      </c>
      <c r="R931" s="3">
        <v>0</v>
      </c>
      <c r="S931" s="4">
        <v>0</v>
      </c>
      <c r="T931" s="4">
        <v>8</v>
      </c>
      <c r="U931" s="4">
        <v>72</v>
      </c>
      <c r="V931" s="4">
        <f>IF(ISERROR(VLOOKUP($S$931,'TAR FIN'!$A$1:$O$99,15,0)),0,VLOOKUP($S$931,'TAR FIN'!$A$1:$O$99,15,0))</f>
        <v>0</v>
      </c>
      <c r="W931" s="4">
        <f>IF(ISERROR(VLOOKUP($T$931,'TAR FIN'!$A$1:$O$99,15,0)),0,VLOOKUP($T$931,'TAR FIN'!$A$1:$O$99,15,0))</f>
        <v>1557.74</v>
      </c>
      <c r="X931" s="4">
        <f>IF(ISERROR(VLOOKUP($U$931,'TAR FIN'!$A$1:$O$99,15,0)),0,VLOOKUP($U$931,'TAR FIN'!$A$1:$O$99,15,0))</f>
        <v>346.61</v>
      </c>
      <c r="Y931" s="4"/>
      <c r="Z931" s="4">
        <f ca="1">('TUSD BE'!$AM$22+'TUSD BF'!$AM$22+'TUSD CVA'!$AM$22)*1</f>
        <v>1799.131999651745</v>
      </c>
      <c r="AA931" s="4">
        <f>('TE BE'!$AA$7+'TE BF'!$AA$7+'TE CVA'!$AA$7)*1</f>
        <v>423.89652505413846</v>
      </c>
      <c r="AB931" s="4">
        <f>$K$931*$V$931</f>
        <v>0</v>
      </c>
      <c r="AC931" s="4">
        <f>$M$931*$W$931</f>
        <v>491496.56706000003</v>
      </c>
      <c r="AD931" s="4">
        <f>$O$931*$X$931</f>
        <v>109362.04059</v>
      </c>
      <c r="AE931" s="4">
        <f>$K$931*$Y$931</f>
        <v>0</v>
      </c>
      <c r="AF931" s="4">
        <f ca="1">$M$931*$Z$931</f>
        <v>567660.32939811889</v>
      </c>
      <c r="AG931" s="4">
        <f>$O$931*$AA$931</f>
        <v>133747.4076885567</v>
      </c>
    </row>
    <row r="932" spans="1:33" ht="11.25" customHeight="1" x14ac:dyDescent="0.25">
      <c r="A932" s="3" t="s">
        <v>28</v>
      </c>
      <c r="B932" s="3" t="s">
        <v>33</v>
      </c>
      <c r="C932" s="3" t="s">
        <v>34</v>
      </c>
      <c r="D932" s="3" t="s">
        <v>40</v>
      </c>
      <c r="E932" s="3" t="s">
        <v>25</v>
      </c>
      <c r="F932" s="3" t="s">
        <v>25</v>
      </c>
      <c r="G932" s="3" t="s">
        <v>25</v>
      </c>
      <c r="H932" s="3" t="s">
        <v>35</v>
      </c>
      <c r="I932" s="6">
        <v>44317</v>
      </c>
      <c r="J932" s="4">
        <v>0</v>
      </c>
      <c r="K932" s="4">
        <v>0</v>
      </c>
      <c r="L932" s="4">
        <v>10.651</v>
      </c>
      <c r="M932" s="4">
        <v>10.651</v>
      </c>
      <c r="N932" s="4">
        <v>10.651</v>
      </c>
      <c r="O932" s="4">
        <v>10.651</v>
      </c>
      <c r="P932" s="4">
        <v>0</v>
      </c>
      <c r="Q932" s="3" t="s">
        <v>26</v>
      </c>
      <c r="R932" s="3">
        <v>0</v>
      </c>
      <c r="S932" s="4">
        <v>0</v>
      </c>
      <c r="T932" s="4">
        <v>8</v>
      </c>
      <c r="U932" s="4">
        <v>72</v>
      </c>
      <c r="V932" s="4">
        <f>IF(ISERROR(VLOOKUP($S$932,'TAR FIN'!$A$1:$O$99,15,0)),0,VLOOKUP($S$932,'TAR FIN'!$A$1:$O$99,15,0))</f>
        <v>0</v>
      </c>
      <c r="W932" s="4">
        <f>IF(ISERROR(VLOOKUP($T$932,'TAR FIN'!$A$1:$O$99,15,0)),0,VLOOKUP($T$932,'TAR FIN'!$A$1:$O$99,15,0))</f>
        <v>1557.74</v>
      </c>
      <c r="X932" s="4">
        <f>IF(ISERROR(VLOOKUP($U$932,'TAR FIN'!$A$1:$O$99,15,0)),0,VLOOKUP($U$932,'TAR FIN'!$A$1:$O$99,15,0))</f>
        <v>346.61</v>
      </c>
      <c r="Y932" s="4"/>
      <c r="Z932" s="4">
        <f ca="1">('TUSD BE'!$AM$22+'TUSD BF'!$AM$22+'TUSD CVA'!$AM$22)*1</f>
        <v>1799.131999651745</v>
      </c>
      <c r="AA932" s="4">
        <f>('TE BE'!$AA$7+'TE BF'!$AA$7+'TE CVA'!$AA$7)*1</f>
        <v>423.89652505413846</v>
      </c>
      <c r="AB932" s="4">
        <f>$K$932*$V$932</f>
        <v>0</v>
      </c>
      <c r="AC932" s="4">
        <f>$M$932*$W$932</f>
        <v>16591.488740000001</v>
      </c>
      <c r="AD932" s="4">
        <f>$O$932*$X$932</f>
        <v>3691.7431099999999</v>
      </c>
      <c r="AE932" s="4">
        <f>$K$932*$Y$932</f>
        <v>0</v>
      </c>
      <c r="AF932" s="4">
        <f ca="1">$M$932*$Z$932</f>
        <v>19162.554928290734</v>
      </c>
      <c r="AG932" s="4">
        <f>$O$932*$AA$932</f>
        <v>4514.9218883516287</v>
      </c>
    </row>
    <row r="933" spans="1:33" ht="11.25" customHeight="1" x14ac:dyDescent="0.25">
      <c r="A933" s="3" t="s">
        <v>21</v>
      </c>
      <c r="B933" s="3" t="s">
        <v>33</v>
      </c>
      <c r="C933" s="3" t="s">
        <v>34</v>
      </c>
      <c r="D933" s="3" t="s">
        <v>40</v>
      </c>
      <c r="E933" s="3" t="s">
        <v>25</v>
      </c>
      <c r="F933" s="3" t="s">
        <v>25</v>
      </c>
      <c r="G933" s="3" t="s">
        <v>25</v>
      </c>
      <c r="H933" s="3" t="s">
        <v>35</v>
      </c>
      <c r="I933" s="6">
        <v>44317</v>
      </c>
      <c r="J933" s="4">
        <v>0</v>
      </c>
      <c r="K933" s="4">
        <v>0</v>
      </c>
      <c r="L933" s="4">
        <v>12.628</v>
      </c>
      <c r="M933" s="4">
        <v>12.628</v>
      </c>
      <c r="N933" s="4">
        <v>0</v>
      </c>
      <c r="O933" s="4">
        <v>0</v>
      </c>
      <c r="P933" s="4">
        <v>0</v>
      </c>
      <c r="Q933" s="3" t="s">
        <v>57</v>
      </c>
      <c r="R933" s="3">
        <v>0</v>
      </c>
      <c r="S933" s="4">
        <v>0</v>
      </c>
      <c r="T933" s="4">
        <v>8</v>
      </c>
      <c r="U933" s="4">
        <v>0</v>
      </c>
      <c r="V933" s="4">
        <f>IF(ISERROR(VLOOKUP($S$933,'TAR FIN'!$A$1:$O$99,15,0)),0,VLOOKUP($S$933,'TAR FIN'!$A$1:$O$99,15,0))</f>
        <v>0</v>
      </c>
      <c r="W933" s="4">
        <f>IF(ISERROR(VLOOKUP($T$933,'TAR FIN'!$A$1:$O$99,15,0)),0,VLOOKUP($T$933,'TAR FIN'!$A$1:$O$99,15,0))</f>
        <v>1557.74</v>
      </c>
      <c r="X933" s="4">
        <f>IF(ISERROR(VLOOKUP($U$933,'TAR FIN'!$A$1:$O$99,15,0)),0,VLOOKUP($U$933,'TAR FIN'!$A$1:$O$99,15,0))</f>
        <v>0</v>
      </c>
      <c r="Y933" s="4"/>
      <c r="Z933" s="4">
        <f ca="1">('TUSD BE'!$AM$22+'TUSD BF'!$AM$22+'TUSD CVA'!$AM$22)*1</f>
        <v>1799.131999651745</v>
      </c>
      <c r="AA933" s="4"/>
      <c r="AB933" s="4">
        <f>$K$933*$V$933</f>
        <v>0</v>
      </c>
      <c r="AC933" s="4">
        <f>$M$933*$W$933</f>
        <v>19671.140719999999</v>
      </c>
      <c r="AD933" s="4">
        <f>$O$933*$X$933</f>
        <v>0</v>
      </c>
      <c r="AE933" s="4">
        <f>$K$933*$Y$933</f>
        <v>0</v>
      </c>
      <c r="AF933" s="4">
        <f ca="1">$M$933*$Z$933</f>
        <v>22719.438891602236</v>
      </c>
      <c r="AG933" s="4">
        <f>$O$933*$AA$933</f>
        <v>0</v>
      </c>
    </row>
    <row r="934" spans="1:33" ht="11.25" customHeight="1" x14ac:dyDescent="0.25">
      <c r="A934" s="3" t="s">
        <v>21</v>
      </c>
      <c r="B934" s="3" t="s">
        <v>33</v>
      </c>
      <c r="C934" s="3" t="s">
        <v>34</v>
      </c>
      <c r="D934" s="3" t="s">
        <v>40</v>
      </c>
      <c r="E934" s="3" t="s">
        <v>25</v>
      </c>
      <c r="F934" s="3" t="s">
        <v>25</v>
      </c>
      <c r="G934" s="3" t="s">
        <v>25</v>
      </c>
      <c r="H934" s="3" t="s">
        <v>35</v>
      </c>
      <c r="I934" s="6">
        <v>44348</v>
      </c>
      <c r="J934" s="4">
        <v>0</v>
      </c>
      <c r="K934" s="4">
        <v>0</v>
      </c>
      <c r="L934" s="4">
        <v>311.45600000000002</v>
      </c>
      <c r="M934" s="4">
        <v>311.45600000000002</v>
      </c>
      <c r="N934" s="4">
        <v>311.45600000000002</v>
      </c>
      <c r="O934" s="4">
        <v>311.45600000000002</v>
      </c>
      <c r="P934" s="4">
        <v>0</v>
      </c>
      <c r="Q934" s="3" t="s">
        <v>26</v>
      </c>
      <c r="R934" s="3">
        <v>0</v>
      </c>
      <c r="S934" s="4">
        <v>0</v>
      </c>
      <c r="T934" s="4">
        <v>8</v>
      </c>
      <c r="U934" s="4">
        <v>72</v>
      </c>
      <c r="V934" s="4">
        <f>IF(ISERROR(VLOOKUP($S$934,'TAR FIN'!$A$1:$O$99,15,0)),0,VLOOKUP($S$934,'TAR FIN'!$A$1:$O$99,15,0))</f>
        <v>0</v>
      </c>
      <c r="W934" s="4">
        <f>IF(ISERROR(VLOOKUP($T$934,'TAR FIN'!$A$1:$O$99,15,0)),0,VLOOKUP($T$934,'TAR FIN'!$A$1:$O$99,15,0))</f>
        <v>1557.74</v>
      </c>
      <c r="X934" s="4">
        <f>IF(ISERROR(VLOOKUP($U$934,'TAR FIN'!$A$1:$O$99,15,0)),0,VLOOKUP($U$934,'TAR FIN'!$A$1:$O$99,15,0))</f>
        <v>346.61</v>
      </c>
      <c r="Y934" s="4"/>
      <c r="Z934" s="4">
        <f ca="1">('TUSD BE'!$AM$22+'TUSD BF'!$AM$22+'TUSD CVA'!$AM$22)*1</f>
        <v>1799.131999651745</v>
      </c>
      <c r="AA934" s="4">
        <f>('TE BE'!$AA$7+'TE BF'!$AA$7+'TE CVA'!$AA$7)*1</f>
        <v>423.89652505413846</v>
      </c>
      <c r="AB934" s="4">
        <f>$K$934*$V$934</f>
        <v>0</v>
      </c>
      <c r="AC934" s="4">
        <f>$M$934*$W$934</f>
        <v>485167.46944000002</v>
      </c>
      <c r="AD934" s="4">
        <f>$O$934*$X$934</f>
        <v>107953.76416000001</v>
      </c>
      <c r="AE934" s="4">
        <f>$K$934*$Y$934</f>
        <v>0</v>
      </c>
      <c r="AF934" s="4">
        <f ca="1">$M$934*$Z$934</f>
        <v>560350.45608353394</v>
      </c>
      <c r="AG934" s="4">
        <f>$O$934*$AA$934</f>
        <v>132025.11610726177</v>
      </c>
    </row>
    <row r="935" spans="1:33" ht="11.25" customHeight="1" x14ac:dyDescent="0.25">
      <c r="A935" s="3" t="s">
        <v>27</v>
      </c>
      <c r="B935" s="3" t="s">
        <v>33</v>
      </c>
      <c r="C935" s="3" t="s">
        <v>34</v>
      </c>
      <c r="D935" s="3" t="s">
        <v>40</v>
      </c>
      <c r="E935" s="3" t="s">
        <v>25</v>
      </c>
      <c r="F935" s="3" t="s">
        <v>25</v>
      </c>
      <c r="G935" s="3" t="s">
        <v>25</v>
      </c>
      <c r="H935" s="3" t="s">
        <v>35</v>
      </c>
      <c r="I935" s="6">
        <v>44348</v>
      </c>
      <c r="J935" s="4">
        <v>0</v>
      </c>
      <c r="K935" s="4">
        <v>0</v>
      </c>
      <c r="L935" s="4">
        <v>-3.46</v>
      </c>
      <c r="M935" s="4">
        <v>-3.46</v>
      </c>
      <c r="N935" s="4">
        <v>-3.46</v>
      </c>
      <c r="O935" s="4">
        <v>-3.46</v>
      </c>
      <c r="P935" s="4">
        <v>0</v>
      </c>
      <c r="Q935" s="3" t="s">
        <v>26</v>
      </c>
      <c r="R935" s="3">
        <v>0</v>
      </c>
      <c r="S935" s="4">
        <v>0</v>
      </c>
      <c r="T935" s="4">
        <v>8</v>
      </c>
      <c r="U935" s="4">
        <v>72</v>
      </c>
      <c r="V935" s="4">
        <f>IF(ISERROR(VLOOKUP($S$935,'TAR FIN'!$A$1:$O$99,15,0)),0,VLOOKUP($S$935,'TAR FIN'!$A$1:$O$99,15,0))</f>
        <v>0</v>
      </c>
      <c r="W935" s="4">
        <f>IF(ISERROR(VLOOKUP($T$935,'TAR FIN'!$A$1:$O$99,15,0)),0,VLOOKUP($T$935,'TAR FIN'!$A$1:$O$99,15,0))</f>
        <v>1557.74</v>
      </c>
      <c r="X935" s="4">
        <f>IF(ISERROR(VLOOKUP($U$935,'TAR FIN'!$A$1:$O$99,15,0)),0,VLOOKUP($U$935,'TAR FIN'!$A$1:$O$99,15,0))</f>
        <v>346.61</v>
      </c>
      <c r="Y935" s="4"/>
      <c r="Z935" s="4">
        <f ca="1">('TUSD BE'!$AM$22+'TUSD BF'!$AM$22+'TUSD CVA'!$AM$22)*1</f>
        <v>1799.131999651745</v>
      </c>
      <c r="AA935" s="4">
        <f>('TE BE'!$AA$7+'TE BF'!$AA$7+'TE CVA'!$AA$7)*1</f>
        <v>423.89652505413846</v>
      </c>
      <c r="AB935" s="4">
        <f>$K$935*$V$935</f>
        <v>0</v>
      </c>
      <c r="AC935" s="4">
        <f>$M$935*$W$935</f>
        <v>-5389.7803999999996</v>
      </c>
      <c r="AD935" s="4">
        <f>$O$935*$X$935</f>
        <v>-1199.2706000000001</v>
      </c>
      <c r="AE935" s="4">
        <f>$K$935*$Y$935</f>
        <v>0</v>
      </c>
      <c r="AF935" s="4">
        <f ca="1">$M$935*$Z$935</f>
        <v>-6224.9967187950379</v>
      </c>
      <c r="AG935" s="4">
        <f>$O$935*$AA$935</f>
        <v>-1466.6819766873191</v>
      </c>
    </row>
    <row r="936" spans="1:33" ht="11.25" customHeight="1" x14ac:dyDescent="0.25">
      <c r="A936" s="3" t="s">
        <v>28</v>
      </c>
      <c r="B936" s="3" t="s">
        <v>33</v>
      </c>
      <c r="C936" s="3" t="s">
        <v>34</v>
      </c>
      <c r="D936" s="3" t="s">
        <v>40</v>
      </c>
      <c r="E936" s="3" t="s">
        <v>25</v>
      </c>
      <c r="F936" s="3" t="s">
        <v>25</v>
      </c>
      <c r="G936" s="3" t="s">
        <v>25</v>
      </c>
      <c r="H936" s="3" t="s">
        <v>35</v>
      </c>
      <c r="I936" s="6">
        <v>44348</v>
      </c>
      <c r="J936" s="4">
        <v>0</v>
      </c>
      <c r="K936" s="4">
        <v>0</v>
      </c>
      <c r="L936" s="4">
        <v>8.41</v>
      </c>
      <c r="M936" s="4">
        <v>8.41</v>
      </c>
      <c r="N936" s="4">
        <v>8.41</v>
      </c>
      <c r="O936" s="4">
        <v>8.41</v>
      </c>
      <c r="P936" s="4">
        <v>0</v>
      </c>
      <c r="Q936" s="3" t="s">
        <v>26</v>
      </c>
      <c r="R936" s="3">
        <v>0</v>
      </c>
      <c r="S936" s="4">
        <v>0</v>
      </c>
      <c r="T936" s="4">
        <v>8</v>
      </c>
      <c r="U936" s="4">
        <v>72</v>
      </c>
      <c r="V936" s="4">
        <f>IF(ISERROR(VLOOKUP($S$936,'TAR FIN'!$A$1:$O$99,15,0)),0,VLOOKUP($S$936,'TAR FIN'!$A$1:$O$99,15,0))</f>
        <v>0</v>
      </c>
      <c r="W936" s="4">
        <f>IF(ISERROR(VLOOKUP($T$936,'TAR FIN'!$A$1:$O$99,15,0)),0,VLOOKUP($T$936,'TAR FIN'!$A$1:$O$99,15,0))</f>
        <v>1557.74</v>
      </c>
      <c r="X936" s="4">
        <f>IF(ISERROR(VLOOKUP($U$936,'TAR FIN'!$A$1:$O$99,15,0)),0,VLOOKUP($U$936,'TAR FIN'!$A$1:$O$99,15,0))</f>
        <v>346.61</v>
      </c>
      <c r="Y936" s="4"/>
      <c r="Z936" s="4">
        <f ca="1">('TUSD BE'!$AM$22+'TUSD BF'!$AM$22+'TUSD CVA'!$AM$22)*1</f>
        <v>1799.131999651745</v>
      </c>
      <c r="AA936" s="4">
        <f>('TE BE'!$AA$7+'TE BF'!$AA$7+'TE CVA'!$AA$7)*1</f>
        <v>423.89652505413846</v>
      </c>
      <c r="AB936" s="4">
        <f>$K$936*$V$936</f>
        <v>0</v>
      </c>
      <c r="AC936" s="4">
        <f>$M$936*$W$936</f>
        <v>13100.5934</v>
      </c>
      <c r="AD936" s="4">
        <f>$O$936*$X$936</f>
        <v>2914.9901</v>
      </c>
      <c r="AE936" s="4">
        <f>$K$936*$Y$936</f>
        <v>0</v>
      </c>
      <c r="AF936" s="4">
        <f ca="1">$M$936*$Z$936</f>
        <v>15130.700117071176</v>
      </c>
      <c r="AG936" s="4">
        <f>$O$936*$AA$936</f>
        <v>3564.9697757053045</v>
      </c>
    </row>
    <row r="937" spans="1:33" ht="11.25" customHeight="1" x14ac:dyDescent="0.25">
      <c r="A937" s="3" t="s">
        <v>21</v>
      </c>
      <c r="B937" s="3" t="s">
        <v>33</v>
      </c>
      <c r="C937" s="3" t="s">
        <v>34</v>
      </c>
      <c r="D937" s="3" t="s">
        <v>40</v>
      </c>
      <c r="E937" s="3" t="s">
        <v>25</v>
      </c>
      <c r="F937" s="3" t="s">
        <v>25</v>
      </c>
      <c r="G937" s="3" t="s">
        <v>25</v>
      </c>
      <c r="H937" s="3" t="s">
        <v>35</v>
      </c>
      <c r="I937" s="6">
        <v>44348</v>
      </c>
      <c r="J937" s="4">
        <v>0</v>
      </c>
      <c r="K937" s="4">
        <v>0</v>
      </c>
      <c r="L937" s="4">
        <v>13.694000000000001</v>
      </c>
      <c r="M937" s="4">
        <v>13.694000000000001</v>
      </c>
      <c r="N937" s="4">
        <v>0</v>
      </c>
      <c r="O937" s="4">
        <v>0</v>
      </c>
      <c r="P937" s="4">
        <v>0</v>
      </c>
      <c r="Q937" s="3" t="s">
        <v>57</v>
      </c>
      <c r="R937" s="3">
        <v>0</v>
      </c>
      <c r="S937" s="4">
        <v>0</v>
      </c>
      <c r="T937" s="4">
        <v>8</v>
      </c>
      <c r="U937" s="4">
        <v>0</v>
      </c>
      <c r="V937" s="4">
        <f>IF(ISERROR(VLOOKUP($S$937,'TAR FIN'!$A$1:$O$99,15,0)),0,VLOOKUP($S$937,'TAR FIN'!$A$1:$O$99,15,0))</f>
        <v>0</v>
      </c>
      <c r="W937" s="4">
        <f>IF(ISERROR(VLOOKUP($T$937,'TAR FIN'!$A$1:$O$99,15,0)),0,VLOOKUP($T$937,'TAR FIN'!$A$1:$O$99,15,0))</f>
        <v>1557.74</v>
      </c>
      <c r="X937" s="4">
        <f>IF(ISERROR(VLOOKUP($U$937,'TAR FIN'!$A$1:$O$99,15,0)),0,VLOOKUP($U$937,'TAR FIN'!$A$1:$O$99,15,0))</f>
        <v>0</v>
      </c>
      <c r="Y937" s="4"/>
      <c r="Z937" s="4">
        <f ca="1">('TUSD BE'!$AM$22+'TUSD BF'!$AM$22+'TUSD CVA'!$AM$22)*1</f>
        <v>1799.131999651745</v>
      </c>
      <c r="AA937" s="4"/>
      <c r="AB937" s="4">
        <f>$K$937*$V$937</f>
        <v>0</v>
      </c>
      <c r="AC937" s="4">
        <f>$M$937*$W$937</f>
        <v>21331.691560000003</v>
      </c>
      <c r="AD937" s="4">
        <f>$O$937*$X$937</f>
        <v>0</v>
      </c>
      <c r="AE937" s="4">
        <f>$K$937*$Y$937</f>
        <v>0</v>
      </c>
      <c r="AF937" s="4">
        <f ca="1">$M$937*$Z$937</f>
        <v>24637.313603230996</v>
      </c>
      <c r="AG937" s="4">
        <f>$O$937*$AA$937</f>
        <v>0</v>
      </c>
    </row>
    <row r="938" spans="1:33" ht="11.25" customHeight="1" x14ac:dyDescent="0.25">
      <c r="A938" s="3" t="s">
        <v>21</v>
      </c>
      <c r="B938" s="3" t="s">
        <v>33</v>
      </c>
      <c r="C938" s="3" t="s">
        <v>34</v>
      </c>
      <c r="D938" s="3" t="s">
        <v>40</v>
      </c>
      <c r="E938" s="3" t="s">
        <v>25</v>
      </c>
      <c r="F938" s="3" t="s">
        <v>25</v>
      </c>
      <c r="G938" s="3" t="s">
        <v>25</v>
      </c>
      <c r="H938" s="3" t="s">
        <v>35</v>
      </c>
      <c r="I938" s="6">
        <v>44378</v>
      </c>
      <c r="J938" s="4">
        <v>0</v>
      </c>
      <c r="K938" s="4">
        <v>0</v>
      </c>
      <c r="L938" s="4">
        <v>340.82400000000001</v>
      </c>
      <c r="M938" s="4">
        <v>340.82400000000001</v>
      </c>
      <c r="N938" s="4">
        <v>340.82400000000001</v>
      </c>
      <c r="O938" s="4">
        <v>340.82400000000001</v>
      </c>
      <c r="P938" s="4">
        <v>0</v>
      </c>
      <c r="Q938" s="3" t="s">
        <v>26</v>
      </c>
      <c r="R938" s="3">
        <v>0</v>
      </c>
      <c r="S938" s="4">
        <v>0</v>
      </c>
      <c r="T938" s="4">
        <v>8</v>
      </c>
      <c r="U938" s="4">
        <v>72</v>
      </c>
      <c r="V938" s="4">
        <f>IF(ISERROR(VLOOKUP($S$938,'TAR FIN'!$A$1:$O$99,15,0)),0,VLOOKUP($S$938,'TAR FIN'!$A$1:$O$99,15,0))</f>
        <v>0</v>
      </c>
      <c r="W938" s="4">
        <f>IF(ISERROR(VLOOKUP($T$938,'TAR FIN'!$A$1:$O$99,15,0)),0,VLOOKUP($T$938,'TAR FIN'!$A$1:$O$99,15,0))</f>
        <v>1557.74</v>
      </c>
      <c r="X938" s="4">
        <f>IF(ISERROR(VLOOKUP($U$938,'TAR FIN'!$A$1:$O$99,15,0)),0,VLOOKUP($U$938,'TAR FIN'!$A$1:$O$99,15,0))</f>
        <v>346.61</v>
      </c>
      <c r="Y938" s="4"/>
      <c r="Z938" s="4">
        <f ca="1">('TUSD BE'!$AM$22+'TUSD BF'!$AM$22+'TUSD CVA'!$AM$22)*1</f>
        <v>1799.131999651745</v>
      </c>
      <c r="AA938" s="4">
        <f>('TE BE'!$AA$7+'TE BF'!$AA$7+'TE CVA'!$AA$7)*1</f>
        <v>423.89652505413846</v>
      </c>
      <c r="AB938" s="4">
        <f>$K$938*$V$938</f>
        <v>0</v>
      </c>
      <c r="AC938" s="4">
        <f>$M$938*$W$938</f>
        <v>530915.17775999999</v>
      </c>
      <c r="AD938" s="4">
        <f>$O$938*$X$938</f>
        <v>118133.00664000001</v>
      </c>
      <c r="AE938" s="4">
        <f>$K$938*$Y$938</f>
        <v>0</v>
      </c>
      <c r="AF938" s="4">
        <f ca="1">$M$938*$Z$938</f>
        <v>613187.3646493064</v>
      </c>
      <c r="AG938" s="4">
        <f>$O$938*$AA$938</f>
        <v>144474.10925505171</v>
      </c>
    </row>
    <row r="939" spans="1:33" ht="11.25" customHeight="1" x14ac:dyDescent="0.25">
      <c r="A939" s="3" t="s">
        <v>27</v>
      </c>
      <c r="B939" s="3" t="s">
        <v>33</v>
      </c>
      <c r="C939" s="3" t="s">
        <v>34</v>
      </c>
      <c r="D939" s="3" t="s">
        <v>40</v>
      </c>
      <c r="E939" s="3" t="s">
        <v>25</v>
      </c>
      <c r="F939" s="3" t="s">
        <v>25</v>
      </c>
      <c r="G939" s="3" t="s">
        <v>25</v>
      </c>
      <c r="H939" s="3" t="s">
        <v>35</v>
      </c>
      <c r="I939" s="6">
        <v>44378</v>
      </c>
      <c r="J939" s="4">
        <v>0</v>
      </c>
      <c r="K939" s="4">
        <v>0</v>
      </c>
      <c r="L939" s="4">
        <v>-4.3929999999999998</v>
      </c>
      <c r="M939" s="4">
        <v>-4.3929999999999998</v>
      </c>
      <c r="N939" s="4">
        <v>-4.3929999999999998</v>
      </c>
      <c r="O939" s="4">
        <v>-4.3929999999999998</v>
      </c>
      <c r="P939" s="4">
        <v>0</v>
      </c>
      <c r="Q939" s="3" t="s">
        <v>26</v>
      </c>
      <c r="R939" s="3">
        <v>0</v>
      </c>
      <c r="S939" s="4">
        <v>0</v>
      </c>
      <c r="T939" s="4">
        <v>8</v>
      </c>
      <c r="U939" s="4">
        <v>72</v>
      </c>
      <c r="V939" s="4">
        <f>IF(ISERROR(VLOOKUP($S$939,'TAR FIN'!$A$1:$O$99,15,0)),0,VLOOKUP($S$939,'TAR FIN'!$A$1:$O$99,15,0))</f>
        <v>0</v>
      </c>
      <c r="W939" s="4">
        <f>IF(ISERROR(VLOOKUP($T$939,'TAR FIN'!$A$1:$O$99,15,0)),0,VLOOKUP($T$939,'TAR FIN'!$A$1:$O$99,15,0))</f>
        <v>1557.74</v>
      </c>
      <c r="X939" s="4">
        <f>IF(ISERROR(VLOOKUP($U$939,'TAR FIN'!$A$1:$O$99,15,0)),0,VLOOKUP($U$939,'TAR FIN'!$A$1:$O$99,15,0))</f>
        <v>346.61</v>
      </c>
      <c r="Y939" s="4"/>
      <c r="Z939" s="4">
        <f ca="1">('TUSD BE'!$AM$22+'TUSD BF'!$AM$22+'TUSD CVA'!$AM$22)*1</f>
        <v>1799.131999651745</v>
      </c>
      <c r="AA939" s="4">
        <f>('TE BE'!$AA$7+'TE BF'!$AA$7+'TE CVA'!$AA$7)*1</f>
        <v>423.89652505413846</v>
      </c>
      <c r="AB939" s="4">
        <f>$K$939*$V$939</f>
        <v>0</v>
      </c>
      <c r="AC939" s="4">
        <f>$M$939*$W$939</f>
        <v>-6843.15182</v>
      </c>
      <c r="AD939" s="4">
        <f>$O$939*$X$939</f>
        <v>-1522.6577299999999</v>
      </c>
      <c r="AE939" s="4">
        <f>$K$939*$Y$939</f>
        <v>0</v>
      </c>
      <c r="AF939" s="4">
        <f ca="1">$M$939*$Z$939</f>
        <v>-7903.5868744701156</v>
      </c>
      <c r="AG939" s="4">
        <f>$O$939*$AA$939</f>
        <v>-1862.1774345628303</v>
      </c>
    </row>
    <row r="940" spans="1:33" ht="11.25" customHeight="1" x14ac:dyDescent="0.25">
      <c r="A940" s="3" t="s">
        <v>28</v>
      </c>
      <c r="B940" s="3" t="s">
        <v>33</v>
      </c>
      <c r="C940" s="3" t="s">
        <v>34</v>
      </c>
      <c r="D940" s="3" t="s">
        <v>40</v>
      </c>
      <c r="E940" s="3" t="s">
        <v>25</v>
      </c>
      <c r="F940" s="3" t="s">
        <v>25</v>
      </c>
      <c r="G940" s="3" t="s">
        <v>25</v>
      </c>
      <c r="H940" s="3" t="s">
        <v>35</v>
      </c>
      <c r="I940" s="6">
        <v>44378</v>
      </c>
      <c r="J940" s="4">
        <v>0</v>
      </c>
      <c r="K940" s="4">
        <v>0</v>
      </c>
      <c r="L940" s="4">
        <v>18.43</v>
      </c>
      <c r="M940" s="4">
        <v>18.43</v>
      </c>
      <c r="N940" s="4">
        <v>18.43</v>
      </c>
      <c r="O940" s="4">
        <v>18.43</v>
      </c>
      <c r="P940" s="4">
        <v>0</v>
      </c>
      <c r="Q940" s="3" t="s">
        <v>26</v>
      </c>
      <c r="R940" s="3">
        <v>0</v>
      </c>
      <c r="S940" s="4">
        <v>0</v>
      </c>
      <c r="T940" s="4">
        <v>8</v>
      </c>
      <c r="U940" s="4">
        <v>72</v>
      </c>
      <c r="V940" s="4">
        <f>IF(ISERROR(VLOOKUP($S$940,'TAR FIN'!$A$1:$O$99,15,0)),0,VLOOKUP($S$940,'TAR FIN'!$A$1:$O$99,15,0))</f>
        <v>0</v>
      </c>
      <c r="W940" s="4">
        <f>IF(ISERROR(VLOOKUP($T$940,'TAR FIN'!$A$1:$O$99,15,0)),0,VLOOKUP($T$940,'TAR FIN'!$A$1:$O$99,15,0))</f>
        <v>1557.74</v>
      </c>
      <c r="X940" s="4">
        <f>IF(ISERROR(VLOOKUP($U$940,'TAR FIN'!$A$1:$O$99,15,0)),0,VLOOKUP($U$940,'TAR FIN'!$A$1:$O$99,15,0))</f>
        <v>346.61</v>
      </c>
      <c r="Y940" s="4"/>
      <c r="Z940" s="4">
        <f ca="1">('TUSD BE'!$AM$22+'TUSD BF'!$AM$22+'TUSD CVA'!$AM$22)*1</f>
        <v>1799.131999651745</v>
      </c>
      <c r="AA940" s="4">
        <f>('TE BE'!$AA$7+'TE BF'!$AA$7+'TE CVA'!$AA$7)*1</f>
        <v>423.89652505413846</v>
      </c>
      <c r="AB940" s="4">
        <f>$K$940*$V$940</f>
        <v>0</v>
      </c>
      <c r="AC940" s="4">
        <f>$M$940*$W$940</f>
        <v>28709.1482</v>
      </c>
      <c r="AD940" s="4">
        <f>$O$940*$X$940</f>
        <v>6388.0223000000005</v>
      </c>
      <c r="AE940" s="4">
        <f>$K$940*$Y$940</f>
        <v>0</v>
      </c>
      <c r="AF940" s="4">
        <f ca="1">$M$940*$Z$940</f>
        <v>33158.002753581663</v>
      </c>
      <c r="AG940" s="4">
        <f>$O$940*$AA$940</f>
        <v>7812.4129567477721</v>
      </c>
    </row>
    <row r="941" spans="1:33" ht="11.25" customHeight="1" x14ac:dyDescent="0.25">
      <c r="A941" s="3" t="s">
        <v>21</v>
      </c>
      <c r="B941" s="3" t="s">
        <v>33</v>
      </c>
      <c r="C941" s="3" t="s">
        <v>34</v>
      </c>
      <c r="D941" s="3" t="s">
        <v>40</v>
      </c>
      <c r="E941" s="3" t="s">
        <v>25</v>
      </c>
      <c r="F941" s="3" t="s">
        <v>25</v>
      </c>
      <c r="G941" s="3" t="s">
        <v>25</v>
      </c>
      <c r="H941" s="3" t="s">
        <v>35</v>
      </c>
      <c r="I941" s="6">
        <v>44378</v>
      </c>
      <c r="J941" s="4">
        <v>0</v>
      </c>
      <c r="K941" s="4">
        <v>0</v>
      </c>
      <c r="L941" s="4">
        <v>11.613</v>
      </c>
      <c r="M941" s="4">
        <v>11.613</v>
      </c>
      <c r="N941" s="4">
        <v>0</v>
      </c>
      <c r="O941" s="4">
        <v>0</v>
      </c>
      <c r="P941" s="4">
        <v>0</v>
      </c>
      <c r="Q941" s="3" t="s">
        <v>57</v>
      </c>
      <c r="R941" s="3">
        <v>0</v>
      </c>
      <c r="S941" s="4">
        <v>0</v>
      </c>
      <c r="T941" s="4">
        <v>8</v>
      </c>
      <c r="U941" s="4">
        <v>0</v>
      </c>
      <c r="V941" s="4">
        <f>IF(ISERROR(VLOOKUP($S$941,'TAR FIN'!$A$1:$O$99,15,0)),0,VLOOKUP($S$941,'TAR FIN'!$A$1:$O$99,15,0))</f>
        <v>0</v>
      </c>
      <c r="W941" s="4">
        <f>IF(ISERROR(VLOOKUP($T$941,'TAR FIN'!$A$1:$O$99,15,0)),0,VLOOKUP($T$941,'TAR FIN'!$A$1:$O$99,15,0))</f>
        <v>1557.74</v>
      </c>
      <c r="X941" s="4">
        <f>IF(ISERROR(VLOOKUP($U$941,'TAR FIN'!$A$1:$O$99,15,0)),0,VLOOKUP($U$941,'TAR FIN'!$A$1:$O$99,15,0))</f>
        <v>0</v>
      </c>
      <c r="Y941" s="4"/>
      <c r="Z941" s="4">
        <f ca="1">('TUSD BE'!$AM$22+'TUSD BF'!$AM$22+'TUSD CVA'!$AM$22)*1</f>
        <v>1799.131999651745</v>
      </c>
      <c r="AA941" s="4"/>
      <c r="AB941" s="4">
        <f>$K$941*$V$941</f>
        <v>0</v>
      </c>
      <c r="AC941" s="4">
        <f>$M$941*$W$941</f>
        <v>18090.034619999999</v>
      </c>
      <c r="AD941" s="4">
        <f>$O$941*$X$941</f>
        <v>0</v>
      </c>
      <c r="AE941" s="4">
        <f>$K$941*$Y$941</f>
        <v>0</v>
      </c>
      <c r="AF941" s="4">
        <f ca="1">$M$941*$Z$941</f>
        <v>20893.319911955714</v>
      </c>
      <c r="AG941" s="4">
        <f>$O$941*$AA$941</f>
        <v>0</v>
      </c>
    </row>
    <row r="942" spans="1:33" ht="11.25" customHeight="1" x14ac:dyDescent="0.25">
      <c r="A942" s="3" t="s">
        <v>21</v>
      </c>
      <c r="B942" s="3" t="s">
        <v>33</v>
      </c>
      <c r="C942" s="3" t="s">
        <v>34</v>
      </c>
      <c r="D942" s="3" t="s">
        <v>40</v>
      </c>
      <c r="E942" s="3" t="s">
        <v>25</v>
      </c>
      <c r="F942" s="3" t="s">
        <v>25</v>
      </c>
      <c r="G942" s="3" t="s">
        <v>25</v>
      </c>
      <c r="H942" s="3" t="s">
        <v>35</v>
      </c>
      <c r="I942" s="6">
        <v>44409</v>
      </c>
      <c r="J942" s="4">
        <v>0</v>
      </c>
      <c r="K942" s="4">
        <v>0</v>
      </c>
      <c r="L942" s="4">
        <v>348.09100000000001</v>
      </c>
      <c r="M942" s="4">
        <v>348.09100000000001</v>
      </c>
      <c r="N942" s="4">
        <v>348.09100000000001</v>
      </c>
      <c r="O942" s="4">
        <v>348.09100000000001</v>
      </c>
      <c r="P942" s="4">
        <v>0</v>
      </c>
      <c r="Q942" s="3" t="s">
        <v>26</v>
      </c>
      <c r="R942" s="3">
        <v>0</v>
      </c>
      <c r="S942" s="4">
        <v>0</v>
      </c>
      <c r="T942" s="4">
        <v>8</v>
      </c>
      <c r="U942" s="4">
        <v>72</v>
      </c>
      <c r="V942" s="4">
        <f>IF(ISERROR(VLOOKUP($S$942,'TAR FIN'!$A$1:$O$99,15,0)),0,VLOOKUP($S$942,'TAR FIN'!$A$1:$O$99,15,0))</f>
        <v>0</v>
      </c>
      <c r="W942" s="4">
        <f>IF(ISERROR(VLOOKUP($T$942,'TAR FIN'!$A$1:$O$99,15,0)),0,VLOOKUP($T$942,'TAR FIN'!$A$1:$O$99,15,0))</f>
        <v>1557.74</v>
      </c>
      <c r="X942" s="4">
        <f>IF(ISERROR(VLOOKUP($U$942,'TAR FIN'!$A$1:$O$99,15,0)),0,VLOOKUP($U$942,'TAR FIN'!$A$1:$O$99,15,0))</f>
        <v>346.61</v>
      </c>
      <c r="Y942" s="4"/>
      <c r="Z942" s="4">
        <f ca="1">('TUSD BE'!$AM$22+'TUSD BF'!$AM$22+'TUSD CVA'!$AM$22)*1</f>
        <v>1799.131999651745</v>
      </c>
      <c r="AA942" s="4">
        <f>('TE BE'!$AA$7+'TE BF'!$AA$7+'TE CVA'!$AA$7)*1</f>
        <v>423.89652505413846</v>
      </c>
      <c r="AB942" s="4">
        <f>$K$942*$V$942</f>
        <v>0</v>
      </c>
      <c r="AC942" s="4">
        <f>$M$942*$W$942</f>
        <v>542235.27434</v>
      </c>
      <c r="AD942" s="4">
        <f>$O$942*$X$942</f>
        <v>120651.82151000001</v>
      </c>
      <c r="AE942" s="4">
        <f>$K$942*$Y$942</f>
        <v>0</v>
      </c>
      <c r="AF942" s="4">
        <f ca="1">$M$942*$Z$942</f>
        <v>626261.65689077554</v>
      </c>
      <c r="AG942" s="4">
        <f>$O$942*$AA$942</f>
        <v>147554.56530262012</v>
      </c>
    </row>
    <row r="943" spans="1:33" ht="11.25" customHeight="1" x14ac:dyDescent="0.25">
      <c r="A943" s="3" t="s">
        <v>27</v>
      </c>
      <c r="B943" s="3" t="s">
        <v>33</v>
      </c>
      <c r="C943" s="3" t="s">
        <v>34</v>
      </c>
      <c r="D943" s="3" t="s">
        <v>40</v>
      </c>
      <c r="E943" s="3" t="s">
        <v>25</v>
      </c>
      <c r="F943" s="3" t="s">
        <v>25</v>
      </c>
      <c r="G943" s="3" t="s">
        <v>25</v>
      </c>
      <c r="H943" s="3" t="s">
        <v>35</v>
      </c>
      <c r="I943" s="6">
        <v>44409</v>
      </c>
      <c r="J943" s="4">
        <v>0</v>
      </c>
      <c r="K943" s="4">
        <v>0</v>
      </c>
      <c r="L943" s="4">
        <v>-2.008</v>
      </c>
      <c r="M943" s="4">
        <v>-2.008</v>
      </c>
      <c r="N943" s="4">
        <v>-2.008</v>
      </c>
      <c r="O943" s="4">
        <v>-2.008</v>
      </c>
      <c r="P943" s="4">
        <v>0</v>
      </c>
      <c r="Q943" s="3" t="s">
        <v>26</v>
      </c>
      <c r="R943" s="3">
        <v>0</v>
      </c>
      <c r="S943" s="4">
        <v>0</v>
      </c>
      <c r="T943" s="4">
        <v>8</v>
      </c>
      <c r="U943" s="4">
        <v>72</v>
      </c>
      <c r="V943" s="4">
        <f>IF(ISERROR(VLOOKUP($S$943,'TAR FIN'!$A$1:$O$99,15,0)),0,VLOOKUP($S$943,'TAR FIN'!$A$1:$O$99,15,0))</f>
        <v>0</v>
      </c>
      <c r="W943" s="4">
        <f>IF(ISERROR(VLOOKUP($T$943,'TAR FIN'!$A$1:$O$99,15,0)),0,VLOOKUP($T$943,'TAR FIN'!$A$1:$O$99,15,0))</f>
        <v>1557.74</v>
      </c>
      <c r="X943" s="4">
        <f>IF(ISERROR(VLOOKUP($U$943,'TAR FIN'!$A$1:$O$99,15,0)),0,VLOOKUP($U$943,'TAR FIN'!$A$1:$O$99,15,0))</f>
        <v>346.61</v>
      </c>
      <c r="Y943" s="4"/>
      <c r="Z943" s="4">
        <f ca="1">('TUSD BE'!$AM$22+'TUSD BF'!$AM$22+'TUSD CVA'!$AM$22)*1</f>
        <v>1799.131999651745</v>
      </c>
      <c r="AA943" s="4">
        <f>('TE BE'!$AA$7+'TE BF'!$AA$7+'TE CVA'!$AA$7)*1</f>
        <v>423.89652505413846</v>
      </c>
      <c r="AB943" s="4">
        <f>$K$943*$V$943</f>
        <v>0</v>
      </c>
      <c r="AC943" s="4">
        <f>$M$943*$W$943</f>
        <v>-3127.9419200000002</v>
      </c>
      <c r="AD943" s="4">
        <f>$O$943*$X$943</f>
        <v>-695.99288000000001</v>
      </c>
      <c r="AE943" s="4">
        <f>$K$943*$Y$943</f>
        <v>0</v>
      </c>
      <c r="AF943" s="4">
        <f ca="1">$M$943*$Z$943</f>
        <v>-3612.6570553007041</v>
      </c>
      <c r="AG943" s="4">
        <f>$O$943*$AA$943</f>
        <v>-851.18422230870999</v>
      </c>
    </row>
    <row r="944" spans="1:33" ht="11.25" customHeight="1" x14ac:dyDescent="0.25">
      <c r="A944" s="3" t="s">
        <v>28</v>
      </c>
      <c r="B944" s="3" t="s">
        <v>33</v>
      </c>
      <c r="C944" s="3" t="s">
        <v>34</v>
      </c>
      <c r="D944" s="3" t="s">
        <v>40</v>
      </c>
      <c r="E944" s="3" t="s">
        <v>25</v>
      </c>
      <c r="F944" s="3" t="s">
        <v>25</v>
      </c>
      <c r="G944" s="3" t="s">
        <v>25</v>
      </c>
      <c r="H944" s="3" t="s">
        <v>35</v>
      </c>
      <c r="I944" s="6">
        <v>44409</v>
      </c>
      <c r="J944" s="4">
        <v>0</v>
      </c>
      <c r="K944" s="4">
        <v>0</v>
      </c>
      <c r="L944" s="4">
        <v>15.958</v>
      </c>
      <c r="M944" s="4">
        <v>15.958</v>
      </c>
      <c r="N944" s="4">
        <v>15.958</v>
      </c>
      <c r="O944" s="4">
        <v>15.958</v>
      </c>
      <c r="P944" s="4">
        <v>0</v>
      </c>
      <c r="Q944" s="3" t="s">
        <v>26</v>
      </c>
      <c r="R944" s="3">
        <v>0</v>
      </c>
      <c r="S944" s="4">
        <v>0</v>
      </c>
      <c r="T944" s="4">
        <v>8</v>
      </c>
      <c r="U944" s="4">
        <v>72</v>
      </c>
      <c r="V944" s="4">
        <f>IF(ISERROR(VLOOKUP($S$944,'TAR FIN'!$A$1:$O$99,15,0)),0,VLOOKUP($S$944,'TAR FIN'!$A$1:$O$99,15,0))</f>
        <v>0</v>
      </c>
      <c r="W944" s="4">
        <f>IF(ISERROR(VLOOKUP($T$944,'TAR FIN'!$A$1:$O$99,15,0)),0,VLOOKUP($T$944,'TAR FIN'!$A$1:$O$99,15,0))</f>
        <v>1557.74</v>
      </c>
      <c r="X944" s="4">
        <f>IF(ISERROR(VLOOKUP($U$944,'TAR FIN'!$A$1:$O$99,15,0)),0,VLOOKUP($U$944,'TAR FIN'!$A$1:$O$99,15,0))</f>
        <v>346.61</v>
      </c>
      <c r="Y944" s="4"/>
      <c r="Z944" s="4">
        <f ca="1">('TUSD BE'!$AM$22+'TUSD BF'!$AM$22+'TUSD CVA'!$AM$22)*1</f>
        <v>1799.131999651745</v>
      </c>
      <c r="AA944" s="4">
        <f>('TE BE'!$AA$7+'TE BF'!$AA$7+'TE CVA'!$AA$7)*1</f>
        <v>423.89652505413846</v>
      </c>
      <c r="AB944" s="4">
        <f>$K$944*$V$944</f>
        <v>0</v>
      </c>
      <c r="AC944" s="4">
        <f>$M$944*$W$944</f>
        <v>24858.414919999999</v>
      </c>
      <c r="AD944" s="4">
        <f>$O$944*$X$944</f>
        <v>5531.2023800000006</v>
      </c>
      <c r="AE944" s="4">
        <f>$K$944*$Y$944</f>
        <v>0</v>
      </c>
      <c r="AF944" s="4">
        <f ca="1">$M$944*$Z$944</f>
        <v>28710.548450442548</v>
      </c>
      <c r="AG944" s="4">
        <f>$O$944*$AA$944</f>
        <v>6764.540746813942</v>
      </c>
    </row>
    <row r="945" spans="1:33" ht="11.25" customHeight="1" x14ac:dyDescent="0.25">
      <c r="A945" s="3" t="s">
        <v>21</v>
      </c>
      <c r="B945" s="3" t="s">
        <v>33</v>
      </c>
      <c r="C945" s="3" t="s">
        <v>34</v>
      </c>
      <c r="D945" s="3" t="s">
        <v>40</v>
      </c>
      <c r="E945" s="3" t="s">
        <v>25</v>
      </c>
      <c r="F945" s="3" t="s">
        <v>25</v>
      </c>
      <c r="G945" s="3" t="s">
        <v>25</v>
      </c>
      <c r="H945" s="3" t="s">
        <v>35</v>
      </c>
      <c r="I945" s="6">
        <v>44409</v>
      </c>
      <c r="J945" s="4">
        <v>0</v>
      </c>
      <c r="K945" s="4">
        <v>0</v>
      </c>
      <c r="L945" s="4">
        <v>11.983000000000001</v>
      </c>
      <c r="M945" s="4">
        <v>11.983000000000001</v>
      </c>
      <c r="N945" s="4">
        <v>0</v>
      </c>
      <c r="O945" s="4">
        <v>0</v>
      </c>
      <c r="P945" s="4">
        <v>0</v>
      </c>
      <c r="Q945" s="3" t="s">
        <v>57</v>
      </c>
      <c r="R945" s="3">
        <v>0</v>
      </c>
      <c r="S945" s="4">
        <v>0</v>
      </c>
      <c r="T945" s="4">
        <v>8</v>
      </c>
      <c r="U945" s="4">
        <v>0</v>
      </c>
      <c r="V945" s="4">
        <f>IF(ISERROR(VLOOKUP($S$945,'TAR FIN'!$A$1:$O$99,15,0)),0,VLOOKUP($S$945,'TAR FIN'!$A$1:$O$99,15,0))</f>
        <v>0</v>
      </c>
      <c r="W945" s="4">
        <f>IF(ISERROR(VLOOKUP($T$945,'TAR FIN'!$A$1:$O$99,15,0)),0,VLOOKUP($T$945,'TAR FIN'!$A$1:$O$99,15,0))</f>
        <v>1557.74</v>
      </c>
      <c r="X945" s="4">
        <f>IF(ISERROR(VLOOKUP($U$945,'TAR FIN'!$A$1:$O$99,15,0)),0,VLOOKUP($U$945,'TAR FIN'!$A$1:$O$99,15,0))</f>
        <v>0</v>
      </c>
      <c r="Y945" s="4"/>
      <c r="Z945" s="4">
        <f ca="1">('TUSD BE'!$AM$22+'TUSD BF'!$AM$22+'TUSD CVA'!$AM$22)*1</f>
        <v>1799.131999651745</v>
      </c>
      <c r="AA945" s="4"/>
      <c r="AB945" s="4">
        <f>$K$945*$V$945</f>
        <v>0</v>
      </c>
      <c r="AC945" s="4">
        <f>$M$945*$W$945</f>
        <v>18666.398420000001</v>
      </c>
      <c r="AD945" s="4">
        <f>$O$945*$X$945</f>
        <v>0</v>
      </c>
      <c r="AE945" s="4">
        <f>$K$945*$Y$945</f>
        <v>0</v>
      </c>
      <c r="AF945" s="4">
        <f ca="1">$M$945*$Z$945</f>
        <v>21558.998751826861</v>
      </c>
      <c r="AG945" s="4">
        <f>$O$945*$AA$945</f>
        <v>0</v>
      </c>
    </row>
    <row r="946" spans="1:33" ht="11.25" customHeight="1" x14ac:dyDescent="0.25">
      <c r="A946" s="3" t="s">
        <v>21</v>
      </c>
      <c r="B946" s="3" t="s">
        <v>33</v>
      </c>
      <c r="C946" s="3" t="s">
        <v>34</v>
      </c>
      <c r="D946" s="3" t="s">
        <v>40</v>
      </c>
      <c r="E946" s="3" t="s">
        <v>25</v>
      </c>
      <c r="F946" s="3" t="s">
        <v>25</v>
      </c>
      <c r="G946" s="3" t="s">
        <v>25</v>
      </c>
      <c r="H946" s="3" t="s">
        <v>35</v>
      </c>
      <c r="I946" s="6">
        <v>44440</v>
      </c>
      <c r="J946" s="4">
        <v>0</v>
      </c>
      <c r="K946" s="4">
        <v>0</v>
      </c>
      <c r="L946" s="4">
        <v>300.65499999999997</v>
      </c>
      <c r="M946" s="4">
        <v>300.65499999999997</v>
      </c>
      <c r="N946" s="4">
        <v>300.65499999999997</v>
      </c>
      <c r="O946" s="4">
        <v>300.65499999999997</v>
      </c>
      <c r="P946" s="4">
        <v>0</v>
      </c>
      <c r="Q946" s="3" t="s">
        <v>26</v>
      </c>
      <c r="R946" s="3">
        <v>0</v>
      </c>
      <c r="S946" s="4">
        <v>0</v>
      </c>
      <c r="T946" s="4">
        <v>8</v>
      </c>
      <c r="U946" s="4">
        <v>72</v>
      </c>
      <c r="V946" s="4">
        <f>IF(ISERROR(VLOOKUP($S$946,'TAR FIN'!$A$1:$O$99,15,0)),0,VLOOKUP($S$946,'TAR FIN'!$A$1:$O$99,15,0))</f>
        <v>0</v>
      </c>
      <c r="W946" s="4">
        <f>IF(ISERROR(VLOOKUP($T$946,'TAR FIN'!$A$1:$O$99,15,0)),0,VLOOKUP($T$946,'TAR FIN'!$A$1:$O$99,15,0))</f>
        <v>1557.74</v>
      </c>
      <c r="X946" s="4">
        <f>IF(ISERROR(VLOOKUP($U$946,'TAR FIN'!$A$1:$O$99,15,0)),0,VLOOKUP($U$946,'TAR FIN'!$A$1:$O$99,15,0))</f>
        <v>346.61</v>
      </c>
      <c r="Y946" s="4"/>
      <c r="Z946" s="4">
        <f ca="1">('TUSD BE'!$AM$22+'TUSD BF'!$AM$22+'TUSD CVA'!$AM$22)*1</f>
        <v>1799.131999651745</v>
      </c>
      <c r="AA946" s="4">
        <f>('TE BE'!$AA$7+'TE BF'!$AA$7+'TE CVA'!$AA$7)*1</f>
        <v>423.89652505413846</v>
      </c>
      <c r="AB946" s="4">
        <f>$K$946*$V$946</f>
        <v>0</v>
      </c>
      <c r="AC946" s="4">
        <f>$M$946*$W$946</f>
        <v>468342.31969999993</v>
      </c>
      <c r="AD946" s="4">
        <f>$O$946*$X$946</f>
        <v>104210.02954999999</v>
      </c>
      <c r="AE946" s="4">
        <f>$K$946*$Y$946</f>
        <v>0</v>
      </c>
      <c r="AF946" s="4">
        <f ca="1">$M$946*$Z$946</f>
        <v>540918.03135529533</v>
      </c>
      <c r="AG946" s="4">
        <f>$O$946*$AA$946</f>
        <v>127446.60974015199</v>
      </c>
    </row>
    <row r="947" spans="1:33" ht="11.25" customHeight="1" x14ac:dyDescent="0.25">
      <c r="A947" s="3" t="s">
        <v>27</v>
      </c>
      <c r="B947" s="3" t="s">
        <v>33</v>
      </c>
      <c r="C947" s="3" t="s">
        <v>34</v>
      </c>
      <c r="D947" s="3" t="s">
        <v>40</v>
      </c>
      <c r="E947" s="3" t="s">
        <v>25</v>
      </c>
      <c r="F947" s="3" t="s">
        <v>25</v>
      </c>
      <c r="G947" s="3" t="s">
        <v>25</v>
      </c>
      <c r="H947" s="3" t="s">
        <v>35</v>
      </c>
      <c r="I947" s="6">
        <v>44440</v>
      </c>
      <c r="J947" s="4">
        <v>0</v>
      </c>
      <c r="K947" s="4">
        <v>0</v>
      </c>
      <c r="L947" s="4">
        <v>-0.442</v>
      </c>
      <c r="M947" s="4">
        <v>-0.442</v>
      </c>
      <c r="N947" s="4">
        <v>-0.442</v>
      </c>
      <c r="O947" s="4">
        <v>-0.442</v>
      </c>
      <c r="P947" s="4">
        <v>0</v>
      </c>
      <c r="Q947" s="3" t="s">
        <v>26</v>
      </c>
      <c r="R947" s="3">
        <v>0</v>
      </c>
      <c r="S947" s="4">
        <v>0</v>
      </c>
      <c r="T947" s="4">
        <v>8</v>
      </c>
      <c r="U947" s="4">
        <v>72</v>
      </c>
      <c r="V947" s="4">
        <f>IF(ISERROR(VLOOKUP($S$947,'TAR FIN'!$A$1:$O$99,15,0)),0,VLOOKUP($S$947,'TAR FIN'!$A$1:$O$99,15,0))</f>
        <v>0</v>
      </c>
      <c r="W947" s="4">
        <f>IF(ISERROR(VLOOKUP($T$947,'TAR FIN'!$A$1:$O$99,15,0)),0,VLOOKUP($T$947,'TAR FIN'!$A$1:$O$99,15,0))</f>
        <v>1557.74</v>
      </c>
      <c r="X947" s="4">
        <f>IF(ISERROR(VLOOKUP($U$947,'TAR FIN'!$A$1:$O$99,15,0)),0,VLOOKUP($U$947,'TAR FIN'!$A$1:$O$99,15,0))</f>
        <v>346.61</v>
      </c>
      <c r="Y947" s="4"/>
      <c r="Z947" s="4">
        <f ca="1">('TUSD BE'!$AM$22+'TUSD BF'!$AM$22+'TUSD CVA'!$AM$22)*1</f>
        <v>1799.131999651745</v>
      </c>
      <c r="AA947" s="4">
        <f>('TE BE'!$AA$7+'TE BF'!$AA$7+'TE CVA'!$AA$7)*1</f>
        <v>423.89652505413846</v>
      </c>
      <c r="AB947" s="4">
        <f>$K$947*$V$947</f>
        <v>0</v>
      </c>
      <c r="AC947" s="4">
        <f>$M$947*$W$947</f>
        <v>-688.52107999999998</v>
      </c>
      <c r="AD947" s="4">
        <f>$O$947*$X$947</f>
        <v>-153.20162000000002</v>
      </c>
      <c r="AE947" s="4">
        <f>$K$947*$Y$947</f>
        <v>0</v>
      </c>
      <c r="AF947" s="4">
        <f ca="1">$M$947*$Z$947</f>
        <v>-795.21634384607125</v>
      </c>
      <c r="AG947" s="4">
        <f>$O$947*$AA$947</f>
        <v>-187.3622640739292</v>
      </c>
    </row>
    <row r="948" spans="1:33" ht="11.25" customHeight="1" x14ac:dyDescent="0.25">
      <c r="A948" s="3" t="s">
        <v>28</v>
      </c>
      <c r="B948" s="3" t="s">
        <v>33</v>
      </c>
      <c r="C948" s="3" t="s">
        <v>34</v>
      </c>
      <c r="D948" s="3" t="s">
        <v>40</v>
      </c>
      <c r="E948" s="3" t="s">
        <v>25</v>
      </c>
      <c r="F948" s="3" t="s">
        <v>25</v>
      </c>
      <c r="G948" s="3" t="s">
        <v>25</v>
      </c>
      <c r="H948" s="3" t="s">
        <v>35</v>
      </c>
      <c r="I948" s="6">
        <v>44440</v>
      </c>
      <c r="J948" s="4">
        <v>0</v>
      </c>
      <c r="K948" s="4">
        <v>0</v>
      </c>
      <c r="L948" s="4">
        <v>13.962</v>
      </c>
      <c r="M948" s="4">
        <v>13.962</v>
      </c>
      <c r="N948" s="4">
        <v>13.962</v>
      </c>
      <c r="O948" s="4">
        <v>13.962</v>
      </c>
      <c r="P948" s="4">
        <v>0</v>
      </c>
      <c r="Q948" s="3" t="s">
        <v>26</v>
      </c>
      <c r="R948" s="3">
        <v>0</v>
      </c>
      <c r="S948" s="4">
        <v>0</v>
      </c>
      <c r="T948" s="4">
        <v>8</v>
      </c>
      <c r="U948" s="4">
        <v>72</v>
      </c>
      <c r="V948" s="4">
        <f>IF(ISERROR(VLOOKUP($S$948,'TAR FIN'!$A$1:$O$99,15,0)),0,VLOOKUP($S$948,'TAR FIN'!$A$1:$O$99,15,0))</f>
        <v>0</v>
      </c>
      <c r="W948" s="4">
        <f>IF(ISERROR(VLOOKUP($T$948,'TAR FIN'!$A$1:$O$99,15,0)),0,VLOOKUP($T$948,'TAR FIN'!$A$1:$O$99,15,0))</f>
        <v>1557.74</v>
      </c>
      <c r="X948" s="4">
        <f>IF(ISERROR(VLOOKUP($U$948,'TAR FIN'!$A$1:$O$99,15,0)),0,VLOOKUP($U$948,'TAR FIN'!$A$1:$O$99,15,0))</f>
        <v>346.61</v>
      </c>
      <c r="Y948" s="4"/>
      <c r="Z948" s="4">
        <f ca="1">('TUSD BE'!$AM$22+'TUSD BF'!$AM$22+'TUSD CVA'!$AM$22)*1</f>
        <v>1799.131999651745</v>
      </c>
      <c r="AA948" s="4">
        <f>('TE BE'!$AA$7+'TE BF'!$AA$7+'TE CVA'!$AA$7)*1</f>
        <v>423.89652505413846</v>
      </c>
      <c r="AB948" s="4">
        <f>$K$948*$V$948</f>
        <v>0</v>
      </c>
      <c r="AC948" s="4">
        <f>$M$948*$W$948</f>
        <v>21749.16588</v>
      </c>
      <c r="AD948" s="4">
        <f>$O$948*$X$948</f>
        <v>4839.3688199999997</v>
      </c>
      <c r="AE948" s="4">
        <f>$K$948*$Y$948</f>
        <v>0</v>
      </c>
      <c r="AF948" s="4">
        <f ca="1">$M$948*$Z$948</f>
        <v>25119.480979137665</v>
      </c>
      <c r="AG948" s="4">
        <f>$O$948*$AA$948</f>
        <v>5918.4432828058807</v>
      </c>
    </row>
    <row r="949" spans="1:33" ht="11.25" customHeight="1" x14ac:dyDescent="0.25">
      <c r="A949" s="3" t="s">
        <v>21</v>
      </c>
      <c r="B949" s="3" t="s">
        <v>33</v>
      </c>
      <c r="C949" s="3" t="s">
        <v>34</v>
      </c>
      <c r="D949" s="3" t="s">
        <v>40</v>
      </c>
      <c r="E949" s="3" t="s">
        <v>25</v>
      </c>
      <c r="F949" s="3" t="s">
        <v>25</v>
      </c>
      <c r="G949" s="3" t="s">
        <v>25</v>
      </c>
      <c r="H949" s="3" t="s">
        <v>35</v>
      </c>
      <c r="I949" s="6">
        <v>44440</v>
      </c>
      <c r="J949" s="4">
        <v>0</v>
      </c>
      <c r="K949" s="4">
        <v>0</v>
      </c>
      <c r="L949" s="4">
        <v>11.271000000000001</v>
      </c>
      <c r="M949" s="4">
        <v>11.271000000000001</v>
      </c>
      <c r="N949" s="4">
        <v>0</v>
      </c>
      <c r="O949" s="4">
        <v>0</v>
      </c>
      <c r="P949" s="4">
        <v>0</v>
      </c>
      <c r="Q949" s="3" t="s">
        <v>57</v>
      </c>
      <c r="R949" s="3">
        <v>0</v>
      </c>
      <c r="S949" s="4">
        <v>0</v>
      </c>
      <c r="T949" s="4">
        <v>8</v>
      </c>
      <c r="U949" s="4">
        <v>0</v>
      </c>
      <c r="V949" s="4">
        <f>IF(ISERROR(VLOOKUP($S$949,'TAR FIN'!$A$1:$O$99,15,0)),0,VLOOKUP($S$949,'TAR FIN'!$A$1:$O$99,15,0))</f>
        <v>0</v>
      </c>
      <c r="W949" s="4">
        <f>IF(ISERROR(VLOOKUP($T$949,'TAR FIN'!$A$1:$O$99,15,0)),0,VLOOKUP($T$949,'TAR FIN'!$A$1:$O$99,15,0))</f>
        <v>1557.74</v>
      </c>
      <c r="X949" s="4">
        <f>IF(ISERROR(VLOOKUP($U$949,'TAR FIN'!$A$1:$O$99,15,0)),0,VLOOKUP($U$949,'TAR FIN'!$A$1:$O$99,15,0))</f>
        <v>0</v>
      </c>
      <c r="Y949" s="4"/>
      <c r="Z949" s="4">
        <f ca="1">('TUSD BE'!$AM$22+'TUSD BF'!$AM$22+'TUSD CVA'!$AM$22)*1</f>
        <v>1799.131999651745</v>
      </c>
      <c r="AA949" s="4"/>
      <c r="AB949" s="4">
        <f>$K$949*$V$949</f>
        <v>0</v>
      </c>
      <c r="AC949" s="4">
        <f>$M$949*$W$949</f>
        <v>17557.287540000001</v>
      </c>
      <c r="AD949" s="4">
        <f>$O$949*$X$949</f>
        <v>0</v>
      </c>
      <c r="AE949" s="4">
        <f>$K$949*$Y$949</f>
        <v>0</v>
      </c>
      <c r="AF949" s="4">
        <f ca="1">$M$949*$Z$949</f>
        <v>20278.01676807482</v>
      </c>
      <c r="AG949" s="4">
        <f>$O$949*$AA$949</f>
        <v>0</v>
      </c>
    </row>
    <row r="950" spans="1:33" ht="11.25" customHeight="1" x14ac:dyDescent="0.25">
      <c r="A950" s="3" t="s">
        <v>21</v>
      </c>
      <c r="B950" s="3" t="s">
        <v>33</v>
      </c>
      <c r="C950" s="3" t="s">
        <v>34</v>
      </c>
      <c r="D950" s="3" t="s">
        <v>40</v>
      </c>
      <c r="E950" s="3" t="s">
        <v>25</v>
      </c>
      <c r="F950" s="3" t="s">
        <v>25</v>
      </c>
      <c r="G950" s="3" t="s">
        <v>25</v>
      </c>
      <c r="H950" s="3" t="s">
        <v>35</v>
      </c>
      <c r="I950" s="6">
        <v>44470</v>
      </c>
      <c r="J950" s="4">
        <v>0</v>
      </c>
      <c r="K950" s="4">
        <v>0</v>
      </c>
      <c r="L950" s="4">
        <v>251.80099999999999</v>
      </c>
      <c r="M950" s="4">
        <v>251.80099999999999</v>
      </c>
      <c r="N950" s="4">
        <v>251.80099999999999</v>
      </c>
      <c r="O950" s="4">
        <v>251.80099999999999</v>
      </c>
      <c r="P950" s="4">
        <v>0</v>
      </c>
      <c r="Q950" s="3" t="s">
        <v>26</v>
      </c>
      <c r="R950" s="3">
        <v>0</v>
      </c>
      <c r="S950" s="4">
        <v>0</v>
      </c>
      <c r="T950" s="4">
        <v>8</v>
      </c>
      <c r="U950" s="4">
        <v>72</v>
      </c>
      <c r="V950" s="4">
        <f>IF(ISERROR(VLOOKUP($S$950,'TAR FIN'!$A$1:$O$99,15,0)),0,VLOOKUP($S$950,'TAR FIN'!$A$1:$O$99,15,0))</f>
        <v>0</v>
      </c>
      <c r="W950" s="4">
        <f>IF(ISERROR(VLOOKUP($T$950,'TAR FIN'!$A$1:$O$99,15,0)),0,VLOOKUP($T$950,'TAR FIN'!$A$1:$O$99,15,0))</f>
        <v>1557.74</v>
      </c>
      <c r="X950" s="4">
        <f>IF(ISERROR(VLOOKUP($U$950,'TAR FIN'!$A$1:$O$99,15,0)),0,VLOOKUP($U$950,'TAR FIN'!$A$1:$O$99,15,0))</f>
        <v>346.61</v>
      </c>
      <c r="Y950" s="4"/>
      <c r="Z950" s="4">
        <f ca="1">('TUSD BE'!$AM$22+'TUSD BF'!$AM$22+'TUSD CVA'!$AM$22)*1</f>
        <v>1799.131999651745</v>
      </c>
      <c r="AA950" s="4">
        <f>('TE BE'!$AA$7+'TE BF'!$AA$7+'TE CVA'!$AA$7)*1</f>
        <v>423.89652505413846</v>
      </c>
      <c r="AB950" s="4">
        <f>$K$950*$V$950</f>
        <v>0</v>
      </c>
      <c r="AC950" s="4">
        <f>$M$950*$W$950</f>
        <v>392240.48973999999</v>
      </c>
      <c r="AD950" s="4">
        <f>$O$950*$X$950</f>
        <v>87276.744609999994</v>
      </c>
      <c r="AE950" s="4">
        <f>$K$950*$Y$950</f>
        <v>0</v>
      </c>
      <c r="AF950" s="4">
        <f ca="1">$M$950*$Z$950</f>
        <v>453023.23664430901</v>
      </c>
      <c r="AG950" s="4">
        <f>$O$950*$AA$950</f>
        <v>106737.56890515711</v>
      </c>
    </row>
    <row r="951" spans="1:33" ht="11.25" customHeight="1" x14ac:dyDescent="0.25">
      <c r="A951" s="3" t="s">
        <v>27</v>
      </c>
      <c r="B951" s="3" t="s">
        <v>33</v>
      </c>
      <c r="C951" s="3" t="s">
        <v>34</v>
      </c>
      <c r="D951" s="3" t="s">
        <v>40</v>
      </c>
      <c r="E951" s="3" t="s">
        <v>25</v>
      </c>
      <c r="F951" s="3" t="s">
        <v>25</v>
      </c>
      <c r="G951" s="3" t="s">
        <v>25</v>
      </c>
      <c r="H951" s="3" t="s">
        <v>35</v>
      </c>
      <c r="I951" s="6">
        <v>44470</v>
      </c>
      <c r="J951" s="4">
        <v>0</v>
      </c>
      <c r="K951" s="4">
        <v>0</v>
      </c>
      <c r="L951" s="4">
        <v>0.72699999999999998</v>
      </c>
      <c r="M951" s="4">
        <v>0.72699999999999998</v>
      </c>
      <c r="N951" s="4">
        <v>0.72699999999999998</v>
      </c>
      <c r="O951" s="4">
        <v>0.72699999999999998</v>
      </c>
      <c r="P951" s="4">
        <v>0</v>
      </c>
      <c r="Q951" s="3" t="s">
        <v>26</v>
      </c>
      <c r="R951" s="3">
        <v>0</v>
      </c>
      <c r="S951" s="4">
        <v>0</v>
      </c>
      <c r="T951" s="4">
        <v>8</v>
      </c>
      <c r="U951" s="4">
        <v>72</v>
      </c>
      <c r="V951" s="4">
        <f>IF(ISERROR(VLOOKUP($S$951,'TAR FIN'!$A$1:$O$99,15,0)),0,VLOOKUP($S$951,'TAR FIN'!$A$1:$O$99,15,0))</f>
        <v>0</v>
      </c>
      <c r="W951" s="4">
        <f>IF(ISERROR(VLOOKUP($T$951,'TAR FIN'!$A$1:$O$99,15,0)),0,VLOOKUP($T$951,'TAR FIN'!$A$1:$O$99,15,0))</f>
        <v>1557.74</v>
      </c>
      <c r="X951" s="4">
        <f>IF(ISERROR(VLOOKUP($U$951,'TAR FIN'!$A$1:$O$99,15,0)),0,VLOOKUP($U$951,'TAR FIN'!$A$1:$O$99,15,0))</f>
        <v>346.61</v>
      </c>
      <c r="Y951" s="4"/>
      <c r="Z951" s="4">
        <f ca="1">('TUSD BE'!$AM$22+'TUSD BF'!$AM$22+'TUSD CVA'!$AM$22)*1</f>
        <v>1799.131999651745</v>
      </c>
      <c r="AA951" s="4">
        <f>('TE BE'!$AA$7+'TE BF'!$AA$7+'TE CVA'!$AA$7)*1</f>
        <v>423.89652505413846</v>
      </c>
      <c r="AB951" s="4">
        <f>$K$951*$V$951</f>
        <v>0</v>
      </c>
      <c r="AC951" s="4">
        <f>$M$951*$W$951</f>
        <v>1132.4769799999999</v>
      </c>
      <c r="AD951" s="4">
        <f>$O$951*$X$951</f>
        <v>251.98546999999999</v>
      </c>
      <c r="AE951" s="4">
        <f>$K$951*$Y$951</f>
        <v>0</v>
      </c>
      <c r="AF951" s="4">
        <f ca="1">$M$951*$Z$951</f>
        <v>1307.9689637468186</v>
      </c>
      <c r="AG951" s="4">
        <f>$O$951*$AA$951</f>
        <v>308.17277371435864</v>
      </c>
    </row>
    <row r="952" spans="1:33" ht="11.25" customHeight="1" x14ac:dyDescent="0.25">
      <c r="A952" s="3" t="s">
        <v>28</v>
      </c>
      <c r="B952" s="3" t="s">
        <v>33</v>
      </c>
      <c r="C952" s="3" t="s">
        <v>34</v>
      </c>
      <c r="D952" s="3" t="s">
        <v>40</v>
      </c>
      <c r="E952" s="3" t="s">
        <v>25</v>
      </c>
      <c r="F952" s="3" t="s">
        <v>25</v>
      </c>
      <c r="G952" s="3" t="s">
        <v>25</v>
      </c>
      <c r="H952" s="3" t="s">
        <v>35</v>
      </c>
      <c r="I952" s="6">
        <v>44470</v>
      </c>
      <c r="J952" s="4">
        <v>0</v>
      </c>
      <c r="K952" s="4">
        <v>0</v>
      </c>
      <c r="L952" s="4">
        <v>19.248000000000001</v>
      </c>
      <c r="M952" s="4">
        <v>19.248000000000001</v>
      </c>
      <c r="N952" s="4">
        <v>19.248000000000001</v>
      </c>
      <c r="O952" s="4">
        <v>19.248000000000001</v>
      </c>
      <c r="P952" s="4">
        <v>0</v>
      </c>
      <c r="Q952" s="3" t="s">
        <v>26</v>
      </c>
      <c r="R952" s="3">
        <v>0</v>
      </c>
      <c r="S952" s="4">
        <v>0</v>
      </c>
      <c r="T952" s="4">
        <v>8</v>
      </c>
      <c r="U952" s="4">
        <v>72</v>
      </c>
      <c r="V952" s="4">
        <f>IF(ISERROR(VLOOKUP($S$952,'TAR FIN'!$A$1:$O$99,15,0)),0,VLOOKUP($S$952,'TAR FIN'!$A$1:$O$99,15,0))</f>
        <v>0</v>
      </c>
      <c r="W952" s="4">
        <f>IF(ISERROR(VLOOKUP($T$952,'TAR FIN'!$A$1:$O$99,15,0)),0,VLOOKUP($T$952,'TAR FIN'!$A$1:$O$99,15,0))</f>
        <v>1557.74</v>
      </c>
      <c r="X952" s="4">
        <f>IF(ISERROR(VLOOKUP($U$952,'TAR FIN'!$A$1:$O$99,15,0)),0,VLOOKUP($U$952,'TAR FIN'!$A$1:$O$99,15,0))</f>
        <v>346.61</v>
      </c>
      <c r="Y952" s="4"/>
      <c r="Z952" s="4">
        <f ca="1">('TUSD BE'!$AM$22+'TUSD BF'!$AM$22+'TUSD CVA'!$AM$22)*1</f>
        <v>1799.131999651745</v>
      </c>
      <c r="AA952" s="4">
        <f>('TE BE'!$AA$7+'TE BF'!$AA$7+'TE CVA'!$AA$7)*1</f>
        <v>423.89652505413846</v>
      </c>
      <c r="AB952" s="4">
        <f>$K$952*$V$952</f>
        <v>0</v>
      </c>
      <c r="AC952" s="4">
        <f>$M$952*$W$952</f>
        <v>29983.379520000002</v>
      </c>
      <c r="AD952" s="4">
        <f>$O$952*$X$952</f>
        <v>6671.5492800000011</v>
      </c>
      <c r="AE952" s="4">
        <f>$K$952*$Y$952</f>
        <v>0</v>
      </c>
      <c r="AF952" s="4">
        <f ca="1">$M$952*$Z$952</f>
        <v>34629.692729296788</v>
      </c>
      <c r="AG952" s="4">
        <f>$O$952*$AA$952</f>
        <v>8159.1603142420572</v>
      </c>
    </row>
    <row r="953" spans="1:33" ht="11.25" customHeight="1" x14ac:dyDescent="0.25">
      <c r="A953" s="3" t="s">
        <v>21</v>
      </c>
      <c r="B953" s="3" t="s">
        <v>33</v>
      </c>
      <c r="C953" s="3" t="s">
        <v>34</v>
      </c>
      <c r="D953" s="3" t="s">
        <v>40</v>
      </c>
      <c r="E953" s="3" t="s">
        <v>25</v>
      </c>
      <c r="F953" s="3" t="s">
        <v>25</v>
      </c>
      <c r="G953" s="3" t="s">
        <v>25</v>
      </c>
      <c r="H953" s="3" t="s">
        <v>35</v>
      </c>
      <c r="I953" s="6">
        <v>44470</v>
      </c>
      <c r="J953" s="4">
        <v>0</v>
      </c>
      <c r="K953" s="4">
        <v>0</v>
      </c>
      <c r="L953" s="4">
        <v>11.794</v>
      </c>
      <c r="M953" s="4">
        <v>11.794</v>
      </c>
      <c r="N953" s="4">
        <v>0</v>
      </c>
      <c r="O953" s="4">
        <v>0</v>
      </c>
      <c r="P953" s="4">
        <v>0</v>
      </c>
      <c r="Q953" s="3" t="s">
        <v>57</v>
      </c>
      <c r="R953" s="3">
        <v>0</v>
      </c>
      <c r="S953" s="4">
        <v>0</v>
      </c>
      <c r="T953" s="4">
        <v>8</v>
      </c>
      <c r="U953" s="4">
        <v>0</v>
      </c>
      <c r="V953" s="4">
        <f>IF(ISERROR(VLOOKUP($S$953,'TAR FIN'!$A$1:$O$99,15,0)),0,VLOOKUP($S$953,'TAR FIN'!$A$1:$O$99,15,0))</f>
        <v>0</v>
      </c>
      <c r="W953" s="4">
        <f>IF(ISERROR(VLOOKUP($T$953,'TAR FIN'!$A$1:$O$99,15,0)),0,VLOOKUP($T$953,'TAR FIN'!$A$1:$O$99,15,0))</f>
        <v>1557.74</v>
      </c>
      <c r="X953" s="4">
        <f>IF(ISERROR(VLOOKUP($U$953,'TAR FIN'!$A$1:$O$99,15,0)),0,VLOOKUP($U$953,'TAR FIN'!$A$1:$O$99,15,0))</f>
        <v>0</v>
      </c>
      <c r="Y953" s="4"/>
      <c r="Z953" s="4">
        <f ca="1">('TUSD BE'!$AM$22+'TUSD BF'!$AM$22+'TUSD CVA'!$AM$22)*1</f>
        <v>1799.131999651745</v>
      </c>
      <c r="AA953" s="4"/>
      <c r="AB953" s="4">
        <f>$K$953*$V$953</f>
        <v>0</v>
      </c>
      <c r="AC953" s="4">
        <f>$M$953*$W$953</f>
        <v>18371.985560000001</v>
      </c>
      <c r="AD953" s="4">
        <f>$O$953*$X$953</f>
        <v>0</v>
      </c>
      <c r="AE953" s="4">
        <f>$K$953*$Y$953</f>
        <v>0</v>
      </c>
      <c r="AF953" s="4">
        <f ca="1">$M$953*$Z$953</f>
        <v>21218.962803892682</v>
      </c>
      <c r="AG953" s="4">
        <f>$O$953*$AA$953</f>
        <v>0</v>
      </c>
    </row>
    <row r="954" spans="1:33" ht="11.25" customHeight="1" x14ac:dyDescent="0.25">
      <c r="A954" s="3" t="s">
        <v>21</v>
      </c>
      <c r="B954" s="3" t="s">
        <v>33</v>
      </c>
      <c r="C954" s="3" t="s">
        <v>34</v>
      </c>
      <c r="D954" s="3" t="s">
        <v>40</v>
      </c>
      <c r="E954" s="3" t="s">
        <v>25</v>
      </c>
      <c r="F954" s="3" t="s">
        <v>25</v>
      </c>
      <c r="G954" s="3" t="s">
        <v>25</v>
      </c>
      <c r="H954" s="3" t="s">
        <v>35</v>
      </c>
      <c r="I954" s="6">
        <v>44501</v>
      </c>
      <c r="J954" s="4">
        <v>0</v>
      </c>
      <c r="K954" s="4">
        <v>0</v>
      </c>
      <c r="L954" s="4">
        <v>283.90499999999997</v>
      </c>
      <c r="M954" s="4">
        <v>283.90499999999997</v>
      </c>
      <c r="N954" s="4">
        <v>283.90499999999997</v>
      </c>
      <c r="O954" s="4">
        <v>283.90499999999997</v>
      </c>
      <c r="P954" s="4">
        <v>0</v>
      </c>
      <c r="Q954" s="3" t="s">
        <v>26</v>
      </c>
      <c r="R954" s="3">
        <v>0</v>
      </c>
      <c r="S954" s="4">
        <v>0</v>
      </c>
      <c r="T954" s="4">
        <v>8</v>
      </c>
      <c r="U954" s="4">
        <v>72</v>
      </c>
      <c r="V954" s="4">
        <f>IF(ISERROR(VLOOKUP($S$954,'TAR FIN'!$A$1:$O$99,15,0)),0,VLOOKUP($S$954,'TAR FIN'!$A$1:$O$99,15,0))</f>
        <v>0</v>
      </c>
      <c r="W954" s="4">
        <f>IF(ISERROR(VLOOKUP($T$954,'TAR FIN'!$A$1:$O$99,15,0)),0,VLOOKUP($T$954,'TAR FIN'!$A$1:$O$99,15,0))</f>
        <v>1557.74</v>
      </c>
      <c r="X954" s="4">
        <f>IF(ISERROR(VLOOKUP($U$954,'TAR FIN'!$A$1:$O$99,15,0)),0,VLOOKUP($U$954,'TAR FIN'!$A$1:$O$99,15,0))</f>
        <v>346.61</v>
      </c>
      <c r="Y954" s="4"/>
      <c r="Z954" s="4">
        <f ca="1">('TUSD BE'!$AM$22+'TUSD BF'!$AM$22+'TUSD CVA'!$AM$22)*1</f>
        <v>1799.131999651745</v>
      </c>
      <c r="AA954" s="4">
        <f>('TE BE'!$AA$7+'TE BF'!$AA$7+'TE CVA'!$AA$7)*1</f>
        <v>423.89652505413846</v>
      </c>
      <c r="AB954" s="4">
        <f>$K$954*$V$954</f>
        <v>0</v>
      </c>
      <c r="AC954" s="4">
        <f>$M$954*$W$954</f>
        <v>442250.17469999997</v>
      </c>
      <c r="AD954" s="4">
        <f>$O$954*$X$954</f>
        <v>98404.312049999993</v>
      </c>
      <c r="AE954" s="4">
        <f>$K$954*$Y$954</f>
        <v>0</v>
      </c>
      <c r="AF954" s="4">
        <f ca="1">$M$954*$Z$954</f>
        <v>510782.5703611286</v>
      </c>
      <c r="AG954" s="4">
        <f>$O$954*$AA$954</f>
        <v>120346.34294549517</v>
      </c>
    </row>
    <row r="955" spans="1:33" ht="11.25" customHeight="1" x14ac:dyDescent="0.25">
      <c r="A955" s="3" t="s">
        <v>27</v>
      </c>
      <c r="B955" s="3" t="s">
        <v>33</v>
      </c>
      <c r="C955" s="3" t="s">
        <v>34</v>
      </c>
      <c r="D955" s="3" t="s">
        <v>40</v>
      </c>
      <c r="E955" s="3" t="s">
        <v>25</v>
      </c>
      <c r="F955" s="3" t="s">
        <v>25</v>
      </c>
      <c r="G955" s="3" t="s">
        <v>25</v>
      </c>
      <c r="H955" s="3" t="s">
        <v>35</v>
      </c>
      <c r="I955" s="6">
        <v>44501</v>
      </c>
      <c r="J955" s="4">
        <v>0</v>
      </c>
      <c r="K955" s="4">
        <v>0</v>
      </c>
      <c r="L955" s="4">
        <v>11.946</v>
      </c>
      <c r="M955" s="4">
        <v>11.946</v>
      </c>
      <c r="N955" s="4">
        <v>11.946</v>
      </c>
      <c r="O955" s="4">
        <v>11.946</v>
      </c>
      <c r="P955" s="4">
        <v>0</v>
      </c>
      <c r="Q955" s="3" t="s">
        <v>26</v>
      </c>
      <c r="R955" s="3">
        <v>0</v>
      </c>
      <c r="S955" s="4">
        <v>0</v>
      </c>
      <c r="T955" s="4">
        <v>8</v>
      </c>
      <c r="U955" s="4">
        <v>72</v>
      </c>
      <c r="V955" s="4">
        <f>IF(ISERROR(VLOOKUP($S$955,'TAR FIN'!$A$1:$O$99,15,0)),0,VLOOKUP($S$955,'TAR FIN'!$A$1:$O$99,15,0))</f>
        <v>0</v>
      </c>
      <c r="W955" s="4">
        <f>IF(ISERROR(VLOOKUP($T$955,'TAR FIN'!$A$1:$O$99,15,0)),0,VLOOKUP($T$955,'TAR FIN'!$A$1:$O$99,15,0))</f>
        <v>1557.74</v>
      </c>
      <c r="X955" s="4">
        <f>IF(ISERROR(VLOOKUP($U$955,'TAR FIN'!$A$1:$O$99,15,0)),0,VLOOKUP($U$955,'TAR FIN'!$A$1:$O$99,15,0))</f>
        <v>346.61</v>
      </c>
      <c r="Y955" s="4"/>
      <c r="Z955" s="4">
        <f ca="1">('TUSD BE'!$AM$22+'TUSD BF'!$AM$22+'TUSD CVA'!$AM$22)*1</f>
        <v>1799.131999651745</v>
      </c>
      <c r="AA955" s="4">
        <f>('TE BE'!$AA$7+'TE BF'!$AA$7+'TE CVA'!$AA$7)*1</f>
        <v>423.89652505413846</v>
      </c>
      <c r="AB955" s="4">
        <f>$K$955*$V$955</f>
        <v>0</v>
      </c>
      <c r="AC955" s="4">
        <f>$M$955*$W$955</f>
        <v>18608.762040000001</v>
      </c>
      <c r="AD955" s="4">
        <f>$O$955*$X$955</f>
        <v>4140.6030600000004</v>
      </c>
      <c r="AE955" s="4">
        <f>$K$955*$Y$955</f>
        <v>0</v>
      </c>
      <c r="AF955" s="4">
        <f ca="1">$M$955*$Z$955</f>
        <v>21492.430867839746</v>
      </c>
      <c r="AG955" s="4">
        <f>$O$955*$AA$955</f>
        <v>5063.8678882967379</v>
      </c>
    </row>
    <row r="956" spans="1:33" ht="11.25" customHeight="1" x14ac:dyDescent="0.25">
      <c r="A956" s="3" t="s">
        <v>28</v>
      </c>
      <c r="B956" s="3" t="s">
        <v>33</v>
      </c>
      <c r="C956" s="3" t="s">
        <v>34</v>
      </c>
      <c r="D956" s="3" t="s">
        <v>40</v>
      </c>
      <c r="E956" s="3" t="s">
        <v>25</v>
      </c>
      <c r="F956" s="3" t="s">
        <v>25</v>
      </c>
      <c r="G956" s="3" t="s">
        <v>25</v>
      </c>
      <c r="H956" s="3" t="s">
        <v>35</v>
      </c>
      <c r="I956" s="6">
        <v>44501</v>
      </c>
      <c r="J956" s="4">
        <v>0</v>
      </c>
      <c r="K956" s="4">
        <v>0</v>
      </c>
      <c r="L956" s="4">
        <v>16.329000000000001</v>
      </c>
      <c r="M956" s="4">
        <v>16.329000000000001</v>
      </c>
      <c r="N956" s="4">
        <v>16.329000000000001</v>
      </c>
      <c r="O956" s="4">
        <v>16.329000000000001</v>
      </c>
      <c r="P956" s="4">
        <v>0</v>
      </c>
      <c r="Q956" s="3" t="s">
        <v>26</v>
      </c>
      <c r="R956" s="3">
        <v>0</v>
      </c>
      <c r="S956" s="4">
        <v>0</v>
      </c>
      <c r="T956" s="4">
        <v>8</v>
      </c>
      <c r="U956" s="4">
        <v>72</v>
      </c>
      <c r="V956" s="4">
        <f>IF(ISERROR(VLOOKUP($S$956,'TAR FIN'!$A$1:$O$99,15,0)),0,VLOOKUP($S$956,'TAR FIN'!$A$1:$O$99,15,0))</f>
        <v>0</v>
      </c>
      <c r="W956" s="4">
        <f>IF(ISERROR(VLOOKUP($T$956,'TAR FIN'!$A$1:$O$99,15,0)),0,VLOOKUP($T$956,'TAR FIN'!$A$1:$O$99,15,0))</f>
        <v>1557.74</v>
      </c>
      <c r="X956" s="4">
        <f>IF(ISERROR(VLOOKUP($U$956,'TAR FIN'!$A$1:$O$99,15,0)),0,VLOOKUP($U$956,'TAR FIN'!$A$1:$O$99,15,0))</f>
        <v>346.61</v>
      </c>
      <c r="Y956" s="4"/>
      <c r="Z956" s="4">
        <f ca="1">('TUSD BE'!$AM$22+'TUSD BF'!$AM$22+'TUSD CVA'!$AM$22)*1</f>
        <v>1799.131999651745</v>
      </c>
      <c r="AA956" s="4">
        <f>('TE BE'!$AA$7+'TE BF'!$AA$7+'TE CVA'!$AA$7)*1</f>
        <v>423.89652505413846</v>
      </c>
      <c r="AB956" s="4">
        <f>$K$956*$V$956</f>
        <v>0</v>
      </c>
      <c r="AC956" s="4">
        <f>$M$956*$W$956</f>
        <v>25436.336460000002</v>
      </c>
      <c r="AD956" s="4">
        <f>$O$956*$X$956</f>
        <v>5659.7946900000006</v>
      </c>
      <c r="AE956" s="4">
        <f>$K$956*$Y$956</f>
        <v>0</v>
      </c>
      <c r="AF956" s="4">
        <f ca="1">$M$956*$Z$956</f>
        <v>29378.026422313345</v>
      </c>
      <c r="AG956" s="4">
        <f>$O$956*$AA$956</f>
        <v>6921.8063576090271</v>
      </c>
    </row>
    <row r="957" spans="1:33" ht="11.25" customHeight="1" x14ac:dyDescent="0.25">
      <c r="A957" s="3" t="s">
        <v>21</v>
      </c>
      <c r="B957" s="3" t="s">
        <v>33</v>
      </c>
      <c r="C957" s="3" t="s">
        <v>34</v>
      </c>
      <c r="D957" s="3" t="s">
        <v>40</v>
      </c>
      <c r="E957" s="3" t="s">
        <v>25</v>
      </c>
      <c r="F957" s="3" t="s">
        <v>25</v>
      </c>
      <c r="G957" s="3" t="s">
        <v>25</v>
      </c>
      <c r="H957" s="3" t="s">
        <v>35</v>
      </c>
      <c r="I957" s="6">
        <v>44501</v>
      </c>
      <c r="J957" s="4">
        <v>0</v>
      </c>
      <c r="K957" s="4">
        <v>0</v>
      </c>
      <c r="L957" s="4">
        <v>12.33</v>
      </c>
      <c r="M957" s="4">
        <v>12.33</v>
      </c>
      <c r="N957" s="4">
        <v>0</v>
      </c>
      <c r="O957" s="4">
        <v>0</v>
      </c>
      <c r="P957" s="4">
        <v>0</v>
      </c>
      <c r="Q957" s="3" t="s">
        <v>57</v>
      </c>
      <c r="R957" s="3">
        <v>0</v>
      </c>
      <c r="S957" s="4">
        <v>0</v>
      </c>
      <c r="T957" s="4">
        <v>8</v>
      </c>
      <c r="U957" s="4">
        <v>0</v>
      </c>
      <c r="V957" s="4">
        <f>IF(ISERROR(VLOOKUP($S$957,'TAR FIN'!$A$1:$O$99,15,0)),0,VLOOKUP($S$957,'TAR FIN'!$A$1:$O$99,15,0))</f>
        <v>0</v>
      </c>
      <c r="W957" s="4">
        <f>IF(ISERROR(VLOOKUP($T$957,'TAR FIN'!$A$1:$O$99,15,0)),0,VLOOKUP($T$957,'TAR FIN'!$A$1:$O$99,15,0))</f>
        <v>1557.74</v>
      </c>
      <c r="X957" s="4">
        <f>IF(ISERROR(VLOOKUP($U$957,'TAR FIN'!$A$1:$O$99,15,0)),0,VLOOKUP($U$957,'TAR FIN'!$A$1:$O$99,15,0))</f>
        <v>0</v>
      </c>
      <c r="Y957" s="4"/>
      <c r="Z957" s="4">
        <f ca="1">('TUSD BE'!$AM$22+'TUSD BF'!$AM$22+'TUSD CVA'!$AM$22)*1</f>
        <v>1799.131999651745</v>
      </c>
      <c r="AA957" s="4"/>
      <c r="AB957" s="4">
        <f>$K$957*$V$957</f>
        <v>0</v>
      </c>
      <c r="AC957" s="4">
        <f>$M$957*$W$957</f>
        <v>19206.9342</v>
      </c>
      <c r="AD957" s="4">
        <f>$O$957*$X$957</f>
        <v>0</v>
      </c>
      <c r="AE957" s="4">
        <f>$K$957*$Y$957</f>
        <v>0</v>
      </c>
      <c r="AF957" s="4">
        <f ca="1">$M$957*$Z$957</f>
        <v>22183.297555706016</v>
      </c>
      <c r="AG957" s="4">
        <f>$O$957*$AA$957</f>
        <v>0</v>
      </c>
    </row>
    <row r="958" spans="1:33" ht="11.25" customHeight="1" x14ac:dyDescent="0.25">
      <c r="A958" s="3" t="s">
        <v>21</v>
      </c>
      <c r="B958" s="3" t="s">
        <v>33</v>
      </c>
      <c r="C958" s="3" t="s">
        <v>34</v>
      </c>
      <c r="D958" s="3" t="s">
        <v>40</v>
      </c>
      <c r="E958" s="3" t="s">
        <v>25</v>
      </c>
      <c r="F958" s="3" t="s">
        <v>25</v>
      </c>
      <c r="G958" s="3" t="s">
        <v>25</v>
      </c>
      <c r="H958" s="3" t="s">
        <v>35</v>
      </c>
      <c r="I958" s="6">
        <v>44531</v>
      </c>
      <c r="J958" s="4">
        <v>0</v>
      </c>
      <c r="K958" s="4">
        <v>0</v>
      </c>
      <c r="L958" s="4">
        <v>323.45699999999999</v>
      </c>
      <c r="M958" s="4">
        <v>323.45699999999999</v>
      </c>
      <c r="N958" s="4">
        <v>323.45699999999999</v>
      </c>
      <c r="O958" s="4">
        <v>323.45699999999999</v>
      </c>
      <c r="P958" s="4">
        <v>0</v>
      </c>
      <c r="Q958" s="3" t="s">
        <v>26</v>
      </c>
      <c r="R958" s="3">
        <v>0</v>
      </c>
      <c r="S958" s="4">
        <v>0</v>
      </c>
      <c r="T958" s="4">
        <v>8</v>
      </c>
      <c r="U958" s="4">
        <v>72</v>
      </c>
      <c r="V958" s="4">
        <f>IF(ISERROR(VLOOKUP($S$958,'TAR FIN'!$A$1:$O$99,15,0)),0,VLOOKUP($S$958,'TAR FIN'!$A$1:$O$99,15,0))</f>
        <v>0</v>
      </c>
      <c r="W958" s="4">
        <f>IF(ISERROR(VLOOKUP($T$958,'TAR FIN'!$A$1:$O$99,15,0)),0,VLOOKUP($T$958,'TAR FIN'!$A$1:$O$99,15,0))</f>
        <v>1557.74</v>
      </c>
      <c r="X958" s="4">
        <f>IF(ISERROR(VLOOKUP($U$958,'TAR FIN'!$A$1:$O$99,15,0)),0,VLOOKUP($U$958,'TAR FIN'!$A$1:$O$99,15,0))</f>
        <v>346.61</v>
      </c>
      <c r="Y958" s="4"/>
      <c r="Z958" s="4">
        <f ca="1">('TUSD BE'!$AM$22+'TUSD BF'!$AM$22+'TUSD CVA'!$AM$22)*1</f>
        <v>1799.131999651745</v>
      </c>
      <c r="AA958" s="4">
        <f>('TE BE'!$AA$7+'TE BF'!$AA$7+'TE CVA'!$AA$7)*1</f>
        <v>423.89652505413846</v>
      </c>
      <c r="AB958" s="4">
        <f>$K$958*$V$958</f>
        <v>0</v>
      </c>
      <c r="AC958" s="4">
        <f>$M$958*$W$958</f>
        <v>503861.90717999998</v>
      </c>
      <c r="AD958" s="4">
        <f>$O$958*$X$958</f>
        <v>112113.43077000001</v>
      </c>
      <c r="AE958" s="4">
        <f>$K$958*$Y$958</f>
        <v>0</v>
      </c>
      <c r="AF958" s="4">
        <f ca="1">$M$958*$Z$958</f>
        <v>581941.8392113545</v>
      </c>
      <c r="AG958" s="4">
        <f>$O$958*$AA$958</f>
        <v>137112.29830443647</v>
      </c>
    </row>
    <row r="959" spans="1:33" ht="11.25" customHeight="1" x14ac:dyDescent="0.25">
      <c r="A959" s="3" t="s">
        <v>27</v>
      </c>
      <c r="B959" s="3" t="s">
        <v>33</v>
      </c>
      <c r="C959" s="3" t="s">
        <v>34</v>
      </c>
      <c r="D959" s="3" t="s">
        <v>40</v>
      </c>
      <c r="E959" s="3" t="s">
        <v>25</v>
      </c>
      <c r="F959" s="3" t="s">
        <v>25</v>
      </c>
      <c r="G959" s="3" t="s">
        <v>25</v>
      </c>
      <c r="H959" s="3" t="s">
        <v>35</v>
      </c>
      <c r="I959" s="6">
        <v>44531</v>
      </c>
      <c r="J959" s="4">
        <v>0</v>
      </c>
      <c r="K959" s="4">
        <v>0</v>
      </c>
      <c r="L959" s="4">
        <v>1.9159999999999999</v>
      </c>
      <c r="M959" s="4">
        <v>1.9159999999999999</v>
      </c>
      <c r="N959" s="4">
        <v>1.9159999999999999</v>
      </c>
      <c r="O959" s="4">
        <v>1.9159999999999999</v>
      </c>
      <c r="P959" s="4">
        <v>0</v>
      </c>
      <c r="Q959" s="3" t="s">
        <v>26</v>
      </c>
      <c r="R959" s="3">
        <v>0</v>
      </c>
      <c r="S959" s="4">
        <v>0</v>
      </c>
      <c r="T959" s="4">
        <v>8</v>
      </c>
      <c r="U959" s="4">
        <v>72</v>
      </c>
      <c r="V959" s="4">
        <f>IF(ISERROR(VLOOKUP($S$959,'TAR FIN'!$A$1:$O$99,15,0)),0,VLOOKUP($S$959,'TAR FIN'!$A$1:$O$99,15,0))</f>
        <v>0</v>
      </c>
      <c r="W959" s="4">
        <f>IF(ISERROR(VLOOKUP($T$959,'TAR FIN'!$A$1:$O$99,15,0)),0,VLOOKUP($T$959,'TAR FIN'!$A$1:$O$99,15,0))</f>
        <v>1557.74</v>
      </c>
      <c r="X959" s="4">
        <f>IF(ISERROR(VLOOKUP($U$959,'TAR FIN'!$A$1:$O$99,15,0)),0,VLOOKUP($U$959,'TAR FIN'!$A$1:$O$99,15,0))</f>
        <v>346.61</v>
      </c>
      <c r="Y959" s="4"/>
      <c r="Z959" s="4">
        <f ca="1">('TUSD BE'!$AM$22+'TUSD BF'!$AM$22+'TUSD CVA'!$AM$22)*1</f>
        <v>1799.131999651745</v>
      </c>
      <c r="AA959" s="4">
        <f>('TE BE'!$AA$7+'TE BF'!$AA$7+'TE CVA'!$AA$7)*1</f>
        <v>423.89652505413846</v>
      </c>
      <c r="AB959" s="4">
        <f>$K$959*$V$959</f>
        <v>0</v>
      </c>
      <c r="AC959" s="4">
        <f>$M$959*$W$959</f>
        <v>2984.6298400000001</v>
      </c>
      <c r="AD959" s="4">
        <f>$O$959*$X$959</f>
        <v>664.10476000000006</v>
      </c>
      <c r="AE959" s="4">
        <f>$K$959*$Y$959</f>
        <v>0</v>
      </c>
      <c r="AF959" s="4">
        <f ca="1">$M$959*$Z$959</f>
        <v>3447.1369113327432</v>
      </c>
      <c r="AG959" s="4">
        <f>$O$959*$AA$959</f>
        <v>812.18574200372927</v>
      </c>
    </row>
    <row r="960" spans="1:33" ht="11.25" customHeight="1" x14ac:dyDescent="0.25">
      <c r="A960" s="3" t="s">
        <v>28</v>
      </c>
      <c r="B960" s="3" t="s">
        <v>33</v>
      </c>
      <c r="C960" s="3" t="s">
        <v>34</v>
      </c>
      <c r="D960" s="3" t="s">
        <v>40</v>
      </c>
      <c r="E960" s="3" t="s">
        <v>25</v>
      </c>
      <c r="F960" s="3" t="s">
        <v>25</v>
      </c>
      <c r="G960" s="3" t="s">
        <v>25</v>
      </c>
      <c r="H960" s="3" t="s">
        <v>35</v>
      </c>
      <c r="I960" s="6">
        <v>44531</v>
      </c>
      <c r="J960" s="4">
        <v>0</v>
      </c>
      <c r="K960" s="4">
        <v>0</v>
      </c>
      <c r="L960" s="4">
        <v>16.399999999999999</v>
      </c>
      <c r="M960" s="4">
        <v>16.399999999999999</v>
      </c>
      <c r="N960" s="4">
        <v>16.399999999999999</v>
      </c>
      <c r="O960" s="4">
        <v>16.399999999999999</v>
      </c>
      <c r="P960" s="4">
        <v>0</v>
      </c>
      <c r="Q960" s="3" t="s">
        <v>26</v>
      </c>
      <c r="R960" s="3">
        <v>0</v>
      </c>
      <c r="S960" s="4">
        <v>0</v>
      </c>
      <c r="T960" s="4">
        <v>8</v>
      </c>
      <c r="U960" s="4">
        <v>72</v>
      </c>
      <c r="V960" s="4">
        <f>IF(ISERROR(VLOOKUP($S$960,'TAR FIN'!$A$1:$O$99,15,0)),0,VLOOKUP($S$960,'TAR FIN'!$A$1:$O$99,15,0))</f>
        <v>0</v>
      </c>
      <c r="W960" s="4">
        <f>IF(ISERROR(VLOOKUP($T$960,'TAR FIN'!$A$1:$O$99,15,0)),0,VLOOKUP($T$960,'TAR FIN'!$A$1:$O$99,15,0))</f>
        <v>1557.74</v>
      </c>
      <c r="X960" s="4">
        <f>IF(ISERROR(VLOOKUP($U$960,'TAR FIN'!$A$1:$O$99,15,0)),0,VLOOKUP($U$960,'TAR FIN'!$A$1:$O$99,15,0))</f>
        <v>346.61</v>
      </c>
      <c r="Y960" s="4"/>
      <c r="Z960" s="4">
        <f ca="1">('TUSD BE'!$AM$22+'TUSD BF'!$AM$22+'TUSD CVA'!$AM$22)*1</f>
        <v>1799.131999651745</v>
      </c>
      <c r="AA960" s="4">
        <f>('TE BE'!$AA$7+'TE BF'!$AA$7+'TE CVA'!$AA$7)*1</f>
        <v>423.89652505413846</v>
      </c>
      <c r="AB960" s="4">
        <f>$K$960*$V$960</f>
        <v>0</v>
      </c>
      <c r="AC960" s="4">
        <f>$M$960*$W$960</f>
        <v>25546.935999999998</v>
      </c>
      <c r="AD960" s="4">
        <f>$O$960*$X$960</f>
        <v>5684.4039999999995</v>
      </c>
      <c r="AE960" s="4">
        <f>$K$960*$Y$960</f>
        <v>0</v>
      </c>
      <c r="AF960" s="4">
        <f ca="1">$M$960*$Z$960</f>
        <v>29505.764794288614</v>
      </c>
      <c r="AG960" s="4">
        <f>$O$960*$AA$960</f>
        <v>6951.9030108878706</v>
      </c>
    </row>
    <row r="961" spans="1:33" ht="11.25" customHeight="1" x14ac:dyDescent="0.25">
      <c r="A961" s="3" t="s">
        <v>21</v>
      </c>
      <c r="B961" s="3" t="s">
        <v>33</v>
      </c>
      <c r="C961" s="3" t="s">
        <v>34</v>
      </c>
      <c r="D961" s="3" t="s">
        <v>40</v>
      </c>
      <c r="E961" s="3" t="s">
        <v>25</v>
      </c>
      <c r="F961" s="3" t="s">
        <v>25</v>
      </c>
      <c r="G961" s="3" t="s">
        <v>25</v>
      </c>
      <c r="H961" s="3" t="s">
        <v>35</v>
      </c>
      <c r="I961" s="6">
        <v>44531</v>
      </c>
      <c r="J961" s="4">
        <v>0</v>
      </c>
      <c r="K961" s="4">
        <v>0</v>
      </c>
      <c r="L961" s="4">
        <v>14.974</v>
      </c>
      <c r="M961" s="4">
        <v>14.974</v>
      </c>
      <c r="N961" s="4">
        <v>0</v>
      </c>
      <c r="O961" s="4">
        <v>0</v>
      </c>
      <c r="P961" s="4">
        <v>0</v>
      </c>
      <c r="Q961" s="3" t="s">
        <v>57</v>
      </c>
      <c r="R961" s="3">
        <v>0</v>
      </c>
      <c r="S961" s="4">
        <v>0</v>
      </c>
      <c r="T961" s="4">
        <v>8</v>
      </c>
      <c r="U961" s="4">
        <v>0</v>
      </c>
      <c r="V961" s="4">
        <f>IF(ISERROR(VLOOKUP($S$961,'TAR FIN'!$A$1:$O$99,15,0)),0,VLOOKUP($S$961,'TAR FIN'!$A$1:$O$99,15,0))</f>
        <v>0</v>
      </c>
      <c r="W961" s="4">
        <f>IF(ISERROR(VLOOKUP($T$961,'TAR FIN'!$A$1:$O$99,15,0)),0,VLOOKUP($T$961,'TAR FIN'!$A$1:$O$99,15,0))</f>
        <v>1557.74</v>
      </c>
      <c r="X961" s="4">
        <f>IF(ISERROR(VLOOKUP($U$961,'TAR FIN'!$A$1:$O$99,15,0)),0,VLOOKUP($U$961,'TAR FIN'!$A$1:$O$99,15,0))</f>
        <v>0</v>
      </c>
      <c r="Y961" s="4"/>
      <c r="Z961" s="4">
        <f ca="1">('TUSD BE'!$AM$22+'TUSD BF'!$AM$22+'TUSD CVA'!$AM$22)*1</f>
        <v>1799.131999651745</v>
      </c>
      <c r="AA961" s="4"/>
      <c r="AB961" s="4">
        <f>$K$961*$V$961</f>
        <v>0</v>
      </c>
      <c r="AC961" s="4">
        <f>$M$961*$W$961</f>
        <v>23325.598760000001</v>
      </c>
      <c r="AD961" s="4">
        <f>$O$961*$X$961</f>
        <v>0</v>
      </c>
      <c r="AE961" s="4">
        <f>$K$961*$Y$961</f>
        <v>0</v>
      </c>
      <c r="AF961" s="4">
        <f ca="1">$M$961*$Z$961</f>
        <v>26940.202562785231</v>
      </c>
      <c r="AG961" s="4">
        <f>$O$961*$AA$961</f>
        <v>0</v>
      </c>
    </row>
    <row r="962" spans="1:33" ht="11.25" customHeight="1" x14ac:dyDescent="0.25">
      <c r="A962" s="3" t="s">
        <v>21</v>
      </c>
      <c r="B962" s="3" t="s">
        <v>33</v>
      </c>
      <c r="C962" s="3" t="s">
        <v>34</v>
      </c>
      <c r="D962" s="3" t="s">
        <v>40</v>
      </c>
      <c r="E962" s="3" t="s">
        <v>25</v>
      </c>
      <c r="F962" s="3" t="s">
        <v>25</v>
      </c>
      <c r="G962" s="3" t="s">
        <v>25</v>
      </c>
      <c r="H962" s="3" t="s">
        <v>35</v>
      </c>
      <c r="I962" s="6">
        <v>44562</v>
      </c>
      <c r="J962" s="4">
        <v>0</v>
      </c>
      <c r="K962" s="4">
        <v>0</v>
      </c>
      <c r="L962" s="4">
        <v>285.62599999999998</v>
      </c>
      <c r="M962" s="4">
        <v>285.62599999999998</v>
      </c>
      <c r="N962" s="4">
        <v>285.62599999999998</v>
      </c>
      <c r="O962" s="4">
        <v>285.62599999999998</v>
      </c>
      <c r="P962" s="4">
        <v>0</v>
      </c>
      <c r="Q962" s="3" t="s">
        <v>26</v>
      </c>
      <c r="R962" s="3">
        <v>0</v>
      </c>
      <c r="S962" s="4">
        <v>0</v>
      </c>
      <c r="T962" s="4">
        <v>8</v>
      </c>
      <c r="U962" s="4">
        <v>72</v>
      </c>
      <c r="V962" s="4">
        <f>IF(ISERROR(VLOOKUP($S$962,'TAR FIN'!$A$1:$O$99,15,0)),0,VLOOKUP($S$962,'TAR FIN'!$A$1:$O$99,15,0))</f>
        <v>0</v>
      </c>
      <c r="W962" s="4">
        <f>IF(ISERROR(VLOOKUP($T$962,'TAR FIN'!$A$1:$O$99,15,0)),0,VLOOKUP($T$962,'TAR FIN'!$A$1:$O$99,15,0))</f>
        <v>1557.74</v>
      </c>
      <c r="X962" s="4">
        <f>IF(ISERROR(VLOOKUP($U$962,'TAR FIN'!$A$1:$O$99,15,0)),0,VLOOKUP($U$962,'TAR FIN'!$A$1:$O$99,15,0))</f>
        <v>346.61</v>
      </c>
      <c r="Y962" s="4"/>
      <c r="Z962" s="4">
        <f ca="1">('TUSD BE'!$AM$22+'TUSD BF'!$AM$22+'TUSD CVA'!$AM$22)*1</f>
        <v>1799.131999651745</v>
      </c>
      <c r="AA962" s="4">
        <f>('TE BE'!$AA$7+'TE BF'!$AA$7+'TE CVA'!$AA$7)*1</f>
        <v>423.89652505413846</v>
      </c>
      <c r="AB962" s="4">
        <f>$K$962*$V$962</f>
        <v>0</v>
      </c>
      <c r="AC962" s="4">
        <f>$M$962*$W$962</f>
        <v>444931.04523999995</v>
      </c>
      <c r="AD962" s="4">
        <f>$O$962*$X$962</f>
        <v>99000.82785999999</v>
      </c>
      <c r="AE962" s="4">
        <f>$K$962*$Y$962</f>
        <v>0</v>
      </c>
      <c r="AF962" s="4">
        <f ca="1">$M$962*$Z$962</f>
        <v>513878.87653252925</v>
      </c>
      <c r="AG962" s="4">
        <f>$O$962*$AA$962</f>
        <v>121075.86886511334</v>
      </c>
    </row>
    <row r="963" spans="1:33" ht="11.25" customHeight="1" x14ac:dyDescent="0.25">
      <c r="A963" s="3" t="s">
        <v>27</v>
      </c>
      <c r="B963" s="3" t="s">
        <v>33</v>
      </c>
      <c r="C963" s="3" t="s">
        <v>34</v>
      </c>
      <c r="D963" s="3" t="s">
        <v>40</v>
      </c>
      <c r="E963" s="3" t="s">
        <v>25</v>
      </c>
      <c r="F963" s="3" t="s">
        <v>25</v>
      </c>
      <c r="G963" s="3" t="s">
        <v>25</v>
      </c>
      <c r="H963" s="3" t="s">
        <v>35</v>
      </c>
      <c r="I963" s="6">
        <v>44562</v>
      </c>
      <c r="J963" s="4">
        <v>0</v>
      </c>
      <c r="K963" s="4">
        <v>0</v>
      </c>
      <c r="L963" s="4">
        <v>0.51200000000000001</v>
      </c>
      <c r="M963" s="4">
        <v>0.51200000000000001</v>
      </c>
      <c r="N963" s="4">
        <v>0.51200000000000001</v>
      </c>
      <c r="O963" s="4">
        <v>0.51200000000000001</v>
      </c>
      <c r="P963" s="4">
        <v>0</v>
      </c>
      <c r="Q963" s="3" t="s">
        <v>26</v>
      </c>
      <c r="R963" s="3">
        <v>0</v>
      </c>
      <c r="S963" s="4">
        <v>0</v>
      </c>
      <c r="T963" s="4">
        <v>8</v>
      </c>
      <c r="U963" s="4">
        <v>72</v>
      </c>
      <c r="V963" s="4">
        <f>IF(ISERROR(VLOOKUP($S$963,'TAR FIN'!$A$1:$O$99,15,0)),0,VLOOKUP($S$963,'TAR FIN'!$A$1:$O$99,15,0))</f>
        <v>0</v>
      </c>
      <c r="W963" s="4">
        <f>IF(ISERROR(VLOOKUP($T$963,'TAR FIN'!$A$1:$O$99,15,0)),0,VLOOKUP($T$963,'TAR FIN'!$A$1:$O$99,15,0))</f>
        <v>1557.74</v>
      </c>
      <c r="X963" s="4">
        <f>IF(ISERROR(VLOOKUP($U$963,'TAR FIN'!$A$1:$O$99,15,0)),0,VLOOKUP($U$963,'TAR FIN'!$A$1:$O$99,15,0))</f>
        <v>346.61</v>
      </c>
      <c r="Y963" s="4"/>
      <c r="Z963" s="4">
        <f ca="1">('TUSD BE'!$AM$22+'TUSD BF'!$AM$22+'TUSD CVA'!$AM$22)*1</f>
        <v>1799.131999651745</v>
      </c>
      <c r="AA963" s="4">
        <f>('TE BE'!$AA$7+'TE BF'!$AA$7+'TE CVA'!$AA$7)*1</f>
        <v>423.89652505413846</v>
      </c>
      <c r="AB963" s="4">
        <f>$K$963*$V$963</f>
        <v>0</v>
      </c>
      <c r="AC963" s="4">
        <f>$M$963*$W$963</f>
        <v>797.56288000000006</v>
      </c>
      <c r="AD963" s="4">
        <f>$O$963*$X$963</f>
        <v>177.46432000000001</v>
      </c>
      <c r="AE963" s="4">
        <f>$K$963*$Y$963</f>
        <v>0</v>
      </c>
      <c r="AF963" s="4">
        <f ca="1">$M$963*$Z$963</f>
        <v>921.15558382169343</v>
      </c>
      <c r="AG963" s="4">
        <f>$O$963*$AA$963</f>
        <v>217.03502082771891</v>
      </c>
    </row>
    <row r="964" spans="1:33" ht="11.25" customHeight="1" x14ac:dyDescent="0.25">
      <c r="A964" s="3" t="s">
        <v>28</v>
      </c>
      <c r="B964" s="3" t="s">
        <v>33</v>
      </c>
      <c r="C964" s="3" t="s">
        <v>34</v>
      </c>
      <c r="D964" s="3" t="s">
        <v>40</v>
      </c>
      <c r="E964" s="3" t="s">
        <v>25</v>
      </c>
      <c r="F964" s="3" t="s">
        <v>25</v>
      </c>
      <c r="G964" s="3" t="s">
        <v>25</v>
      </c>
      <c r="H964" s="3" t="s">
        <v>35</v>
      </c>
      <c r="I964" s="6">
        <v>44562</v>
      </c>
      <c r="J964" s="4">
        <v>0</v>
      </c>
      <c r="K964" s="4">
        <v>0</v>
      </c>
      <c r="L964" s="4">
        <v>16.004999999999999</v>
      </c>
      <c r="M964" s="4">
        <v>16.004999999999999</v>
      </c>
      <c r="N964" s="4">
        <v>16.004999999999999</v>
      </c>
      <c r="O964" s="4">
        <v>16.004999999999999</v>
      </c>
      <c r="P964" s="4">
        <v>0</v>
      </c>
      <c r="Q964" s="3" t="s">
        <v>26</v>
      </c>
      <c r="R964" s="3">
        <v>0</v>
      </c>
      <c r="S964" s="4">
        <v>0</v>
      </c>
      <c r="T964" s="4">
        <v>8</v>
      </c>
      <c r="U964" s="4">
        <v>72</v>
      </c>
      <c r="V964" s="4">
        <f>IF(ISERROR(VLOOKUP($S$964,'TAR FIN'!$A$1:$O$99,15,0)),0,VLOOKUP($S$964,'TAR FIN'!$A$1:$O$99,15,0))</f>
        <v>0</v>
      </c>
      <c r="W964" s="4">
        <f>IF(ISERROR(VLOOKUP($T$964,'TAR FIN'!$A$1:$O$99,15,0)),0,VLOOKUP($T$964,'TAR FIN'!$A$1:$O$99,15,0))</f>
        <v>1557.74</v>
      </c>
      <c r="X964" s="4">
        <f>IF(ISERROR(VLOOKUP($U$964,'TAR FIN'!$A$1:$O$99,15,0)),0,VLOOKUP($U$964,'TAR FIN'!$A$1:$O$99,15,0))</f>
        <v>346.61</v>
      </c>
      <c r="Y964" s="4"/>
      <c r="Z964" s="4">
        <f ca="1">('TUSD BE'!$AM$22+'TUSD BF'!$AM$22+'TUSD CVA'!$AM$22)*1</f>
        <v>1799.131999651745</v>
      </c>
      <c r="AA964" s="4">
        <f>('TE BE'!$AA$7+'TE BF'!$AA$7+'TE CVA'!$AA$7)*1</f>
        <v>423.89652505413846</v>
      </c>
      <c r="AB964" s="4">
        <f>$K$964*$V$964</f>
        <v>0</v>
      </c>
      <c r="AC964" s="4">
        <f>$M$964*$W$964</f>
        <v>24931.628699999997</v>
      </c>
      <c r="AD964" s="4">
        <f>$O$964*$X$964</f>
        <v>5547.49305</v>
      </c>
      <c r="AE964" s="4">
        <f>$K$964*$Y$964</f>
        <v>0</v>
      </c>
      <c r="AF964" s="4">
        <f ca="1">$M$964*$Z$964</f>
        <v>28795.107654426178</v>
      </c>
      <c r="AG964" s="4">
        <f>$O$964*$AA$964</f>
        <v>6784.4638834914858</v>
      </c>
    </row>
    <row r="965" spans="1:33" ht="11.25" customHeight="1" x14ac:dyDescent="0.25">
      <c r="A965" s="3" t="s">
        <v>21</v>
      </c>
      <c r="B965" s="3" t="s">
        <v>33</v>
      </c>
      <c r="C965" s="3" t="s">
        <v>34</v>
      </c>
      <c r="D965" s="3" t="s">
        <v>40</v>
      </c>
      <c r="E965" s="3" t="s">
        <v>25</v>
      </c>
      <c r="F965" s="3" t="s">
        <v>25</v>
      </c>
      <c r="G965" s="3" t="s">
        <v>25</v>
      </c>
      <c r="H965" s="3" t="s">
        <v>35</v>
      </c>
      <c r="I965" s="6">
        <v>44562</v>
      </c>
      <c r="J965" s="4">
        <v>0</v>
      </c>
      <c r="K965" s="4">
        <v>0</v>
      </c>
      <c r="L965" s="4">
        <v>13.278</v>
      </c>
      <c r="M965" s="4">
        <v>13.278</v>
      </c>
      <c r="N965" s="4">
        <v>0</v>
      </c>
      <c r="O965" s="4">
        <v>0</v>
      </c>
      <c r="P965" s="4">
        <v>0</v>
      </c>
      <c r="Q965" s="3" t="s">
        <v>57</v>
      </c>
      <c r="R965" s="3">
        <v>0</v>
      </c>
      <c r="S965" s="4">
        <v>0</v>
      </c>
      <c r="T965" s="4">
        <v>8</v>
      </c>
      <c r="U965" s="4">
        <v>0</v>
      </c>
      <c r="V965" s="4">
        <f>IF(ISERROR(VLOOKUP($S$965,'TAR FIN'!$A$1:$O$99,15,0)),0,VLOOKUP($S$965,'TAR FIN'!$A$1:$O$99,15,0))</f>
        <v>0</v>
      </c>
      <c r="W965" s="4">
        <f>IF(ISERROR(VLOOKUP($T$965,'TAR FIN'!$A$1:$O$99,15,0)),0,VLOOKUP($T$965,'TAR FIN'!$A$1:$O$99,15,0))</f>
        <v>1557.74</v>
      </c>
      <c r="X965" s="4">
        <f>IF(ISERROR(VLOOKUP($U$965,'TAR FIN'!$A$1:$O$99,15,0)),0,VLOOKUP($U$965,'TAR FIN'!$A$1:$O$99,15,0))</f>
        <v>0</v>
      </c>
      <c r="Y965" s="4"/>
      <c r="Z965" s="4">
        <f ca="1">('TUSD BE'!$AM$22+'TUSD BF'!$AM$22+'TUSD CVA'!$AM$22)*1</f>
        <v>1799.131999651745</v>
      </c>
      <c r="AA965" s="4"/>
      <c r="AB965" s="4">
        <f>$K$965*$V$965</f>
        <v>0</v>
      </c>
      <c r="AC965" s="4">
        <f>$M$965*$W$965</f>
        <v>20683.671720000002</v>
      </c>
      <c r="AD965" s="4">
        <f>$O$965*$X$965</f>
        <v>0</v>
      </c>
      <c r="AE965" s="4">
        <f>$K$965*$Y$965</f>
        <v>0</v>
      </c>
      <c r="AF965" s="4">
        <f ca="1">$M$965*$Z$965</f>
        <v>23888.87469137587</v>
      </c>
      <c r="AG965" s="4">
        <f>$O$965*$AA$965</f>
        <v>0</v>
      </c>
    </row>
    <row r="966" spans="1:33" ht="11.25" customHeight="1" x14ac:dyDescent="0.25">
      <c r="A966" s="3" t="s">
        <v>21</v>
      </c>
      <c r="B966" s="3" t="s">
        <v>33</v>
      </c>
      <c r="C966" s="3" t="s">
        <v>34</v>
      </c>
      <c r="D966" s="3" t="s">
        <v>40</v>
      </c>
      <c r="E966" s="3" t="s">
        <v>25</v>
      </c>
      <c r="F966" s="3" t="s">
        <v>25</v>
      </c>
      <c r="G966" s="3" t="s">
        <v>25</v>
      </c>
      <c r="H966" s="3" t="s">
        <v>35</v>
      </c>
      <c r="I966" s="6">
        <v>44593</v>
      </c>
      <c r="J966" s="4">
        <v>0</v>
      </c>
      <c r="K966" s="4">
        <v>0</v>
      </c>
      <c r="L966" s="4">
        <v>277.65800000000002</v>
      </c>
      <c r="M966" s="4">
        <v>277.65800000000002</v>
      </c>
      <c r="N966" s="4">
        <v>277.65800000000002</v>
      </c>
      <c r="O966" s="4">
        <v>277.65800000000002</v>
      </c>
      <c r="P966" s="4">
        <v>0</v>
      </c>
      <c r="Q966" s="3" t="s">
        <v>26</v>
      </c>
      <c r="R966" s="3">
        <v>0</v>
      </c>
      <c r="S966" s="4">
        <v>0</v>
      </c>
      <c r="T966" s="4">
        <v>8</v>
      </c>
      <c r="U966" s="4">
        <v>72</v>
      </c>
      <c r="V966" s="4">
        <f>IF(ISERROR(VLOOKUP($S$966,'TAR FIN'!$A$1:$O$99,15,0)),0,VLOOKUP($S$966,'TAR FIN'!$A$1:$O$99,15,0))</f>
        <v>0</v>
      </c>
      <c r="W966" s="4">
        <f>IF(ISERROR(VLOOKUP($T$966,'TAR FIN'!$A$1:$O$99,15,0)),0,VLOOKUP($T$966,'TAR FIN'!$A$1:$O$99,15,0))</f>
        <v>1557.74</v>
      </c>
      <c r="X966" s="4">
        <f>IF(ISERROR(VLOOKUP($U$966,'TAR FIN'!$A$1:$O$99,15,0)),0,VLOOKUP($U$966,'TAR FIN'!$A$1:$O$99,15,0))</f>
        <v>346.61</v>
      </c>
      <c r="Y966" s="4"/>
      <c r="Z966" s="4">
        <f ca="1">('TUSD BE'!$AM$22+'TUSD BF'!$AM$22+'TUSD CVA'!$AM$22)*1</f>
        <v>1799.131999651745</v>
      </c>
      <c r="AA966" s="4">
        <f>('TE BE'!$AA$7+'TE BF'!$AA$7+'TE CVA'!$AA$7)*1</f>
        <v>423.89652505413846</v>
      </c>
      <c r="AB966" s="4">
        <f>$K$966*$V$966</f>
        <v>0</v>
      </c>
      <c r="AC966" s="4">
        <f>$M$966*$W$966</f>
        <v>432518.97292000003</v>
      </c>
      <c r="AD966" s="4">
        <f>$O$966*$X$966</f>
        <v>96239.039380000002</v>
      </c>
      <c r="AE966" s="4">
        <f>$K$966*$Y$966</f>
        <v>0</v>
      </c>
      <c r="AF966" s="4">
        <f ca="1">$M$966*$Z$966</f>
        <v>499543.39275930426</v>
      </c>
      <c r="AG966" s="4">
        <f>$O$966*$AA$966</f>
        <v>117698.26135348198</v>
      </c>
    </row>
    <row r="967" spans="1:33" ht="11.25" customHeight="1" x14ac:dyDescent="0.25">
      <c r="A967" s="3" t="s">
        <v>27</v>
      </c>
      <c r="B967" s="3" t="s">
        <v>33</v>
      </c>
      <c r="C967" s="3" t="s">
        <v>34</v>
      </c>
      <c r="D967" s="3" t="s">
        <v>40</v>
      </c>
      <c r="E967" s="3" t="s">
        <v>25</v>
      </c>
      <c r="F967" s="3" t="s">
        <v>25</v>
      </c>
      <c r="G967" s="3" t="s">
        <v>25</v>
      </c>
      <c r="H967" s="3" t="s">
        <v>35</v>
      </c>
      <c r="I967" s="6">
        <v>44593</v>
      </c>
      <c r="J967" s="4">
        <v>0</v>
      </c>
      <c r="K967" s="4">
        <v>0</v>
      </c>
      <c r="L967" s="4">
        <v>-11.135</v>
      </c>
      <c r="M967" s="4">
        <v>-11.135</v>
      </c>
      <c r="N967" s="4">
        <v>-11.135</v>
      </c>
      <c r="O967" s="4">
        <v>-11.135</v>
      </c>
      <c r="P967" s="4">
        <v>0</v>
      </c>
      <c r="Q967" s="3" t="s">
        <v>26</v>
      </c>
      <c r="R967" s="3">
        <v>0</v>
      </c>
      <c r="S967" s="4">
        <v>0</v>
      </c>
      <c r="T967" s="4">
        <v>8</v>
      </c>
      <c r="U967" s="4">
        <v>72</v>
      </c>
      <c r="V967" s="4">
        <f>IF(ISERROR(VLOOKUP($S$967,'TAR FIN'!$A$1:$O$99,15,0)),0,VLOOKUP($S$967,'TAR FIN'!$A$1:$O$99,15,0))</f>
        <v>0</v>
      </c>
      <c r="W967" s="4">
        <f>IF(ISERROR(VLOOKUP($T$967,'TAR FIN'!$A$1:$O$99,15,0)),0,VLOOKUP($T$967,'TAR FIN'!$A$1:$O$99,15,0))</f>
        <v>1557.74</v>
      </c>
      <c r="X967" s="4">
        <f>IF(ISERROR(VLOOKUP($U$967,'TAR FIN'!$A$1:$O$99,15,0)),0,VLOOKUP($U$967,'TAR FIN'!$A$1:$O$99,15,0))</f>
        <v>346.61</v>
      </c>
      <c r="Y967" s="4"/>
      <c r="Z967" s="4">
        <f ca="1">('TUSD BE'!$AM$22+'TUSD BF'!$AM$22+'TUSD CVA'!$AM$22)*1</f>
        <v>1799.131999651745</v>
      </c>
      <c r="AA967" s="4">
        <f>('TE BE'!$AA$7+'TE BF'!$AA$7+'TE CVA'!$AA$7)*1</f>
        <v>423.89652505413846</v>
      </c>
      <c r="AB967" s="4">
        <f>$K$967*$V$967</f>
        <v>0</v>
      </c>
      <c r="AC967" s="4">
        <f>$M$967*$W$967</f>
        <v>-17345.4349</v>
      </c>
      <c r="AD967" s="4">
        <f>$O$967*$X$967</f>
        <v>-3859.5023500000002</v>
      </c>
      <c r="AE967" s="4">
        <f>$K$967*$Y$967</f>
        <v>0</v>
      </c>
      <c r="AF967" s="4">
        <f ca="1">$M$967*$Z$967</f>
        <v>-20033.33481612218</v>
      </c>
      <c r="AG967" s="4">
        <f>$O$967*$AA$967</f>
        <v>-4720.0878064778317</v>
      </c>
    </row>
    <row r="968" spans="1:33" ht="11.25" customHeight="1" x14ac:dyDescent="0.25">
      <c r="A968" s="3" t="s">
        <v>28</v>
      </c>
      <c r="B968" s="3" t="s">
        <v>33</v>
      </c>
      <c r="C968" s="3" t="s">
        <v>34</v>
      </c>
      <c r="D968" s="3" t="s">
        <v>40</v>
      </c>
      <c r="E968" s="3" t="s">
        <v>25</v>
      </c>
      <c r="F968" s="3" t="s">
        <v>25</v>
      </c>
      <c r="G968" s="3" t="s">
        <v>25</v>
      </c>
      <c r="H968" s="3" t="s">
        <v>35</v>
      </c>
      <c r="I968" s="6">
        <v>44593</v>
      </c>
      <c r="J968" s="4">
        <v>0</v>
      </c>
      <c r="K968" s="4">
        <v>0</v>
      </c>
      <c r="L968" s="4">
        <v>14.653</v>
      </c>
      <c r="M968" s="4">
        <v>14.653</v>
      </c>
      <c r="N968" s="4">
        <v>14.653</v>
      </c>
      <c r="O968" s="4">
        <v>14.653</v>
      </c>
      <c r="P968" s="4">
        <v>0</v>
      </c>
      <c r="Q968" s="3" t="s">
        <v>26</v>
      </c>
      <c r="R968" s="3">
        <v>0</v>
      </c>
      <c r="S968" s="4">
        <v>0</v>
      </c>
      <c r="T968" s="4">
        <v>8</v>
      </c>
      <c r="U968" s="4">
        <v>72</v>
      </c>
      <c r="V968" s="4">
        <f>IF(ISERROR(VLOOKUP($S$968,'TAR FIN'!$A$1:$O$99,15,0)),0,VLOOKUP($S$968,'TAR FIN'!$A$1:$O$99,15,0))</f>
        <v>0</v>
      </c>
      <c r="W968" s="4">
        <f>IF(ISERROR(VLOOKUP($T$968,'TAR FIN'!$A$1:$O$99,15,0)),0,VLOOKUP($T$968,'TAR FIN'!$A$1:$O$99,15,0))</f>
        <v>1557.74</v>
      </c>
      <c r="X968" s="4">
        <f>IF(ISERROR(VLOOKUP($U$968,'TAR FIN'!$A$1:$O$99,15,0)),0,VLOOKUP($U$968,'TAR FIN'!$A$1:$O$99,15,0))</f>
        <v>346.61</v>
      </c>
      <c r="Y968" s="4"/>
      <c r="Z968" s="4">
        <f ca="1">('TUSD BE'!$AM$22+'TUSD BF'!$AM$22+'TUSD CVA'!$AM$22)*1</f>
        <v>1799.131999651745</v>
      </c>
      <c r="AA968" s="4">
        <f>('TE BE'!$AA$7+'TE BF'!$AA$7+'TE CVA'!$AA$7)*1</f>
        <v>423.89652505413846</v>
      </c>
      <c r="AB968" s="4">
        <f>$K$968*$V$968</f>
        <v>0</v>
      </c>
      <c r="AC968" s="4">
        <f>$M$968*$W$968</f>
        <v>22825.56422</v>
      </c>
      <c r="AD968" s="4">
        <f>$O$968*$X$968</f>
        <v>5078.8763300000001</v>
      </c>
      <c r="AE968" s="4">
        <f>$K$968*$Y$968</f>
        <v>0</v>
      </c>
      <c r="AF968" s="4">
        <f ca="1">$M$968*$Z$968</f>
        <v>26362.681190897019</v>
      </c>
      <c r="AG968" s="4">
        <f>$O$968*$AA$968</f>
        <v>6211.3557816182911</v>
      </c>
    </row>
    <row r="969" spans="1:33" ht="11.25" customHeight="1" x14ac:dyDescent="0.25">
      <c r="A969" s="3" t="s">
        <v>21</v>
      </c>
      <c r="B969" s="3" t="s">
        <v>33</v>
      </c>
      <c r="C969" s="3" t="s">
        <v>34</v>
      </c>
      <c r="D969" s="3" t="s">
        <v>40</v>
      </c>
      <c r="E969" s="3" t="s">
        <v>25</v>
      </c>
      <c r="F969" s="3" t="s">
        <v>25</v>
      </c>
      <c r="G969" s="3" t="s">
        <v>25</v>
      </c>
      <c r="H969" s="3" t="s">
        <v>35</v>
      </c>
      <c r="I969" s="6">
        <v>44593</v>
      </c>
      <c r="J969" s="4">
        <v>0</v>
      </c>
      <c r="K969" s="4">
        <v>0</v>
      </c>
      <c r="L969" s="4">
        <v>12.007</v>
      </c>
      <c r="M969" s="4">
        <v>12.007</v>
      </c>
      <c r="N969" s="4">
        <v>0</v>
      </c>
      <c r="O969" s="4">
        <v>0</v>
      </c>
      <c r="P969" s="4">
        <v>0</v>
      </c>
      <c r="Q969" s="3" t="s">
        <v>57</v>
      </c>
      <c r="R969" s="3">
        <v>0</v>
      </c>
      <c r="S969" s="4">
        <v>0</v>
      </c>
      <c r="T969" s="4">
        <v>8</v>
      </c>
      <c r="U969" s="4">
        <v>0</v>
      </c>
      <c r="V969" s="4">
        <f>IF(ISERROR(VLOOKUP($S$969,'TAR FIN'!$A$1:$O$99,15,0)),0,VLOOKUP($S$969,'TAR FIN'!$A$1:$O$99,15,0))</f>
        <v>0</v>
      </c>
      <c r="W969" s="4">
        <f>IF(ISERROR(VLOOKUP($T$969,'TAR FIN'!$A$1:$O$99,15,0)),0,VLOOKUP($T$969,'TAR FIN'!$A$1:$O$99,15,0))</f>
        <v>1557.74</v>
      </c>
      <c r="X969" s="4">
        <f>IF(ISERROR(VLOOKUP($U$969,'TAR FIN'!$A$1:$O$99,15,0)),0,VLOOKUP($U$969,'TAR FIN'!$A$1:$O$99,15,0))</f>
        <v>0</v>
      </c>
      <c r="Y969" s="4"/>
      <c r="Z969" s="4">
        <f ca="1">('TUSD BE'!$AM$22+'TUSD BF'!$AM$22+'TUSD CVA'!$AM$22)*1</f>
        <v>1799.131999651745</v>
      </c>
      <c r="AA969" s="4"/>
      <c r="AB969" s="4">
        <f>$K$969*$V$969</f>
        <v>0</v>
      </c>
      <c r="AC969" s="4">
        <f>$M$969*$W$969</f>
        <v>18703.784179999999</v>
      </c>
      <c r="AD969" s="4">
        <f>$O$969*$X$969</f>
        <v>0</v>
      </c>
      <c r="AE969" s="4">
        <f>$K$969*$Y$969</f>
        <v>0</v>
      </c>
      <c r="AF969" s="4">
        <f ca="1">$M$969*$Z$969</f>
        <v>21602.177919818503</v>
      </c>
      <c r="AG969" s="4">
        <f>$O$969*$AA$969</f>
        <v>0</v>
      </c>
    </row>
    <row r="970" spans="1:33" ht="11.25" customHeight="1" x14ac:dyDescent="0.25">
      <c r="A970" s="3" t="s">
        <v>21</v>
      </c>
      <c r="B970" s="3" t="s">
        <v>33</v>
      </c>
      <c r="C970" s="3" t="s">
        <v>34</v>
      </c>
      <c r="D970" s="3" t="s">
        <v>40</v>
      </c>
      <c r="E970" s="3" t="s">
        <v>25</v>
      </c>
      <c r="F970" s="3" t="s">
        <v>25</v>
      </c>
      <c r="G970" s="3" t="s">
        <v>25</v>
      </c>
      <c r="H970" s="3" t="s">
        <v>35</v>
      </c>
      <c r="I970" s="6">
        <v>44621</v>
      </c>
      <c r="J970" s="4">
        <v>0</v>
      </c>
      <c r="K970" s="4">
        <v>0</v>
      </c>
      <c r="L970" s="4">
        <v>355.42599999999999</v>
      </c>
      <c r="M970" s="4">
        <v>355.42599999999999</v>
      </c>
      <c r="N970" s="4">
        <v>355.42599999999999</v>
      </c>
      <c r="O970" s="4">
        <v>355.42599999999999</v>
      </c>
      <c r="P970" s="4">
        <v>0</v>
      </c>
      <c r="Q970" s="3" t="s">
        <v>26</v>
      </c>
      <c r="R970" s="3">
        <v>0</v>
      </c>
      <c r="S970" s="4">
        <v>0</v>
      </c>
      <c r="T970" s="4">
        <v>8</v>
      </c>
      <c r="U970" s="4">
        <v>72</v>
      </c>
      <c r="V970" s="4">
        <f>IF(ISERROR(VLOOKUP($S$970,'TAR FIN'!$A$1:$O$99,15,0)),0,VLOOKUP($S$970,'TAR FIN'!$A$1:$O$99,15,0))</f>
        <v>0</v>
      </c>
      <c r="W970" s="4">
        <f>IF(ISERROR(VLOOKUP($T$970,'TAR FIN'!$A$1:$O$99,15,0)),0,VLOOKUP($T$970,'TAR FIN'!$A$1:$O$99,15,0))</f>
        <v>1557.74</v>
      </c>
      <c r="X970" s="4">
        <f>IF(ISERROR(VLOOKUP($U$970,'TAR FIN'!$A$1:$O$99,15,0)),0,VLOOKUP($U$970,'TAR FIN'!$A$1:$O$99,15,0))</f>
        <v>346.61</v>
      </c>
      <c r="Y970" s="4"/>
      <c r="Z970" s="4">
        <f ca="1">('TUSD BE'!$AM$22+'TUSD BF'!$AM$22+'TUSD CVA'!$AM$22)*1</f>
        <v>1799.131999651745</v>
      </c>
      <c r="AA970" s="4">
        <f>('TE BE'!$AA$7+'TE BF'!$AA$7+'TE CVA'!$AA$7)*1</f>
        <v>423.89652505413846</v>
      </c>
      <c r="AB970" s="4">
        <f>$K$970*$V$970</f>
        <v>0</v>
      </c>
      <c r="AC970" s="4">
        <f>$M$970*$W$970</f>
        <v>553661.29723999999</v>
      </c>
      <c r="AD970" s="4">
        <f>$O$970*$X$970</f>
        <v>123194.20586</v>
      </c>
      <c r="AE970" s="4">
        <f>$K$970*$Y$970</f>
        <v>0</v>
      </c>
      <c r="AF970" s="4">
        <f ca="1">$M$970*$Z$970</f>
        <v>639458.29010822112</v>
      </c>
      <c r="AG970" s="4">
        <f>$O$970*$AA$970</f>
        <v>150663.84631389222</v>
      </c>
    </row>
    <row r="971" spans="1:33" ht="11.25" customHeight="1" x14ac:dyDescent="0.25">
      <c r="A971" s="3" t="s">
        <v>28</v>
      </c>
      <c r="B971" s="3" t="s">
        <v>33</v>
      </c>
      <c r="C971" s="3" t="s">
        <v>34</v>
      </c>
      <c r="D971" s="3" t="s">
        <v>40</v>
      </c>
      <c r="E971" s="3" t="s">
        <v>25</v>
      </c>
      <c r="F971" s="3" t="s">
        <v>25</v>
      </c>
      <c r="G971" s="3" t="s">
        <v>25</v>
      </c>
      <c r="H971" s="3" t="s">
        <v>35</v>
      </c>
      <c r="I971" s="6">
        <v>44621</v>
      </c>
      <c r="J971" s="4">
        <v>0</v>
      </c>
      <c r="K971" s="4">
        <v>0</v>
      </c>
      <c r="L971" s="4">
        <v>21.291</v>
      </c>
      <c r="M971" s="4">
        <v>21.291</v>
      </c>
      <c r="N971" s="4">
        <v>21.291</v>
      </c>
      <c r="O971" s="4">
        <v>21.291</v>
      </c>
      <c r="P971" s="4">
        <v>0</v>
      </c>
      <c r="Q971" s="3" t="s">
        <v>26</v>
      </c>
      <c r="R971" s="3">
        <v>0</v>
      </c>
      <c r="S971" s="4">
        <v>0</v>
      </c>
      <c r="T971" s="4">
        <v>8</v>
      </c>
      <c r="U971" s="4">
        <v>72</v>
      </c>
      <c r="V971" s="4">
        <f>IF(ISERROR(VLOOKUP($S$971,'TAR FIN'!$A$1:$O$99,15,0)),0,VLOOKUP($S$971,'TAR FIN'!$A$1:$O$99,15,0))</f>
        <v>0</v>
      </c>
      <c r="W971" s="4">
        <f>IF(ISERROR(VLOOKUP($T$971,'TAR FIN'!$A$1:$O$99,15,0)),0,VLOOKUP($T$971,'TAR FIN'!$A$1:$O$99,15,0))</f>
        <v>1557.74</v>
      </c>
      <c r="X971" s="4">
        <f>IF(ISERROR(VLOOKUP($U$971,'TAR FIN'!$A$1:$O$99,15,0)),0,VLOOKUP($U$971,'TAR FIN'!$A$1:$O$99,15,0))</f>
        <v>346.61</v>
      </c>
      <c r="Y971" s="4"/>
      <c r="Z971" s="4">
        <f ca="1">('TUSD BE'!$AM$22+'TUSD BF'!$AM$22+'TUSD CVA'!$AM$22)*1</f>
        <v>1799.131999651745</v>
      </c>
      <c r="AA971" s="4">
        <f>('TE BE'!$AA$7+'TE BF'!$AA$7+'TE CVA'!$AA$7)*1</f>
        <v>423.89652505413846</v>
      </c>
      <c r="AB971" s="4">
        <f>$K$971*$V$971</f>
        <v>0</v>
      </c>
      <c r="AC971" s="4">
        <f>$M$971*$W$971</f>
        <v>33165.842340000003</v>
      </c>
      <c r="AD971" s="4">
        <f>$O$971*$X$971</f>
        <v>7379.6735100000005</v>
      </c>
      <c r="AE971" s="4">
        <f>$K$971*$Y$971</f>
        <v>0</v>
      </c>
      <c r="AF971" s="4">
        <f ca="1">$M$971*$Z$971</f>
        <v>38305.319404585302</v>
      </c>
      <c r="AG971" s="4">
        <f>$O$971*$AA$971</f>
        <v>9025.1809149276614</v>
      </c>
    </row>
    <row r="972" spans="1:33" ht="11.25" customHeight="1" x14ac:dyDescent="0.25">
      <c r="A972" s="3" t="s">
        <v>21</v>
      </c>
      <c r="B972" s="3" t="s">
        <v>33</v>
      </c>
      <c r="C972" s="3" t="s">
        <v>34</v>
      </c>
      <c r="D972" s="3" t="s">
        <v>40</v>
      </c>
      <c r="E972" s="3" t="s">
        <v>25</v>
      </c>
      <c r="F972" s="3" t="s">
        <v>25</v>
      </c>
      <c r="G972" s="3" t="s">
        <v>25</v>
      </c>
      <c r="H972" s="3" t="s">
        <v>35</v>
      </c>
      <c r="I972" s="6">
        <v>44621</v>
      </c>
      <c r="J972" s="4">
        <v>0</v>
      </c>
      <c r="K972" s="4">
        <v>0</v>
      </c>
      <c r="L972" s="4">
        <v>13.933</v>
      </c>
      <c r="M972" s="4">
        <v>13.933</v>
      </c>
      <c r="N972" s="4">
        <v>0</v>
      </c>
      <c r="O972" s="4">
        <v>0</v>
      </c>
      <c r="P972" s="4">
        <v>0</v>
      </c>
      <c r="Q972" s="3" t="s">
        <v>57</v>
      </c>
      <c r="R972" s="3">
        <v>0</v>
      </c>
      <c r="S972" s="4">
        <v>0</v>
      </c>
      <c r="T972" s="4">
        <v>8</v>
      </c>
      <c r="U972" s="4">
        <v>0</v>
      </c>
      <c r="V972" s="4">
        <f>IF(ISERROR(VLOOKUP($S$972,'TAR FIN'!$A$1:$O$99,15,0)),0,VLOOKUP($S$972,'TAR FIN'!$A$1:$O$99,15,0))</f>
        <v>0</v>
      </c>
      <c r="W972" s="4">
        <f>IF(ISERROR(VLOOKUP($T$972,'TAR FIN'!$A$1:$O$99,15,0)),0,VLOOKUP($T$972,'TAR FIN'!$A$1:$O$99,15,0))</f>
        <v>1557.74</v>
      </c>
      <c r="X972" s="4">
        <f>IF(ISERROR(VLOOKUP($U$972,'TAR FIN'!$A$1:$O$99,15,0)),0,VLOOKUP($U$972,'TAR FIN'!$A$1:$O$99,15,0))</f>
        <v>0</v>
      </c>
      <c r="Y972" s="4"/>
      <c r="Z972" s="4">
        <f ca="1">('TUSD BE'!$AM$22+'TUSD BF'!$AM$22+'TUSD CVA'!$AM$22)*1</f>
        <v>1799.131999651745</v>
      </c>
      <c r="AA972" s="4"/>
      <c r="AB972" s="4">
        <f>$K$972*$V$972</f>
        <v>0</v>
      </c>
      <c r="AC972" s="4">
        <f>$M$972*$W$972</f>
        <v>21703.991419999998</v>
      </c>
      <c r="AD972" s="4">
        <f>$O$972*$X$972</f>
        <v>0</v>
      </c>
      <c r="AE972" s="4">
        <f>$K$972*$Y$972</f>
        <v>0</v>
      </c>
      <c r="AF972" s="4">
        <f ca="1">$M$972*$Z$972</f>
        <v>25067.306151147764</v>
      </c>
      <c r="AG972" s="4">
        <f>$O$972*$AA$972</f>
        <v>0</v>
      </c>
    </row>
    <row r="973" spans="1:33" ht="11.25" customHeight="1" x14ac:dyDescent="0.25">
      <c r="A973" s="3" t="s">
        <v>56</v>
      </c>
      <c r="B973" s="3" t="s">
        <v>33</v>
      </c>
      <c r="C973" s="3" t="s">
        <v>34</v>
      </c>
      <c r="D973" s="3" t="s">
        <v>40</v>
      </c>
      <c r="E973" s="3" t="s">
        <v>25</v>
      </c>
      <c r="F973" s="3" t="s">
        <v>25</v>
      </c>
      <c r="G973" s="3" t="s">
        <v>25</v>
      </c>
      <c r="H973" s="3" t="s">
        <v>35</v>
      </c>
      <c r="I973" s="6">
        <v>44652</v>
      </c>
      <c r="J973" s="4">
        <v>0</v>
      </c>
      <c r="K973" s="4">
        <v>0</v>
      </c>
      <c r="L973" s="4">
        <v>355.42599999999999</v>
      </c>
      <c r="M973" s="4">
        <v>355.42599999999999</v>
      </c>
      <c r="N973" s="4">
        <v>355.42599999999999</v>
      </c>
      <c r="O973" s="4">
        <v>355.42599999999999</v>
      </c>
      <c r="P973" s="4">
        <v>0</v>
      </c>
      <c r="Q973" s="3" t="s">
        <v>26</v>
      </c>
      <c r="R973" s="3">
        <v>0</v>
      </c>
      <c r="S973" s="4">
        <v>0</v>
      </c>
      <c r="T973" s="4">
        <v>8</v>
      </c>
      <c r="U973" s="4">
        <v>72</v>
      </c>
      <c r="V973" s="4">
        <f>IF(ISERROR(VLOOKUP($S$973,'TAR FIN'!$A$1:$O$99,15,0)),0,VLOOKUP($S$973,'TAR FIN'!$A$1:$O$99,15,0))</f>
        <v>0</v>
      </c>
      <c r="W973" s="4">
        <f>IF(ISERROR(VLOOKUP($T$973,'TAR FIN'!$A$1:$O$99,15,0)),0,VLOOKUP($T$973,'TAR FIN'!$A$1:$O$99,15,0))</f>
        <v>1557.74</v>
      </c>
      <c r="X973" s="4">
        <f>IF(ISERROR(VLOOKUP($U$973,'TAR FIN'!$A$1:$O$99,15,0)),0,VLOOKUP($U$973,'TAR FIN'!$A$1:$O$99,15,0))</f>
        <v>346.61</v>
      </c>
      <c r="Y973" s="4"/>
      <c r="Z973" s="4">
        <f ca="1">('TUSD BE'!$AM$22+'TUSD BF'!$AM$22+'TUSD CVA'!$AM$22)*1</f>
        <v>1799.131999651745</v>
      </c>
      <c r="AA973" s="4">
        <f>('TE BE'!$AA$7+'TE BF'!$AA$7+'TE CVA'!$AA$7)*1</f>
        <v>423.89652505413846</v>
      </c>
      <c r="AB973" s="4">
        <f>$K$973*$V$973</f>
        <v>0</v>
      </c>
      <c r="AC973" s="4">
        <f>$M$973*$W$973</f>
        <v>553661.29723999999</v>
      </c>
      <c r="AD973" s="4">
        <f>$O$973*$X$973</f>
        <v>123194.20586</v>
      </c>
      <c r="AE973" s="4">
        <f>$K$973*$Y$973</f>
        <v>0</v>
      </c>
      <c r="AF973" s="4">
        <f ca="1">$M$973*$Z$973</f>
        <v>639458.29010822112</v>
      </c>
      <c r="AG973" s="4">
        <f>$O$973*$AA$973</f>
        <v>150663.84631389222</v>
      </c>
    </row>
    <row r="974" spans="1:33" ht="11.25" customHeight="1" x14ac:dyDescent="0.25">
      <c r="A974" s="3" t="s">
        <v>56</v>
      </c>
      <c r="B974" s="3" t="s">
        <v>33</v>
      </c>
      <c r="C974" s="3" t="s">
        <v>34</v>
      </c>
      <c r="D974" s="3" t="s">
        <v>40</v>
      </c>
      <c r="E974" s="3" t="s">
        <v>25</v>
      </c>
      <c r="F974" s="3" t="s">
        <v>25</v>
      </c>
      <c r="G974" s="3" t="s">
        <v>25</v>
      </c>
      <c r="H974" s="3" t="s">
        <v>35</v>
      </c>
      <c r="I974" s="6">
        <v>44652</v>
      </c>
      <c r="J974" s="4">
        <v>0</v>
      </c>
      <c r="K974" s="4">
        <v>0</v>
      </c>
      <c r="L974" s="4">
        <v>21.291</v>
      </c>
      <c r="M974" s="4">
        <v>21.291</v>
      </c>
      <c r="N974" s="4">
        <v>21.291</v>
      </c>
      <c r="O974" s="4">
        <v>21.291</v>
      </c>
      <c r="P974" s="4">
        <v>0</v>
      </c>
      <c r="Q974" s="3" t="s">
        <v>26</v>
      </c>
      <c r="R974" s="3">
        <v>0</v>
      </c>
      <c r="S974" s="4">
        <v>0</v>
      </c>
      <c r="T974" s="4">
        <v>8</v>
      </c>
      <c r="U974" s="4">
        <v>72</v>
      </c>
      <c r="V974" s="4">
        <f>IF(ISERROR(VLOOKUP($S$974,'TAR FIN'!$A$1:$O$99,15,0)),0,VLOOKUP($S$974,'TAR FIN'!$A$1:$O$99,15,0))</f>
        <v>0</v>
      </c>
      <c r="W974" s="4">
        <f>IF(ISERROR(VLOOKUP($T$974,'TAR FIN'!$A$1:$O$99,15,0)),0,VLOOKUP($T$974,'TAR FIN'!$A$1:$O$99,15,0))</f>
        <v>1557.74</v>
      </c>
      <c r="X974" s="4">
        <f>IF(ISERROR(VLOOKUP($U$974,'TAR FIN'!$A$1:$O$99,15,0)),0,VLOOKUP($U$974,'TAR FIN'!$A$1:$O$99,15,0))</f>
        <v>346.61</v>
      </c>
      <c r="Y974" s="4"/>
      <c r="Z974" s="4">
        <f ca="1">('TUSD BE'!$AM$22+'TUSD BF'!$AM$22+'TUSD CVA'!$AM$22)*1</f>
        <v>1799.131999651745</v>
      </c>
      <c r="AA974" s="4">
        <f>('TE BE'!$AA$7+'TE BF'!$AA$7+'TE CVA'!$AA$7)*1</f>
        <v>423.89652505413846</v>
      </c>
      <c r="AB974" s="4">
        <f>$K$974*$V$974</f>
        <v>0</v>
      </c>
      <c r="AC974" s="4">
        <f>$M$974*$W$974</f>
        <v>33165.842340000003</v>
      </c>
      <c r="AD974" s="4">
        <f>$O$974*$X$974</f>
        <v>7379.6735100000005</v>
      </c>
      <c r="AE974" s="4">
        <f>$K$974*$Y$974</f>
        <v>0</v>
      </c>
      <c r="AF974" s="4">
        <f ca="1">$M$974*$Z$974</f>
        <v>38305.319404585302</v>
      </c>
      <c r="AG974" s="4">
        <f>$O$974*$AA$974</f>
        <v>9025.1809149276614</v>
      </c>
    </row>
    <row r="975" spans="1:33" ht="11.25" customHeight="1" x14ac:dyDescent="0.25">
      <c r="A975" s="3" t="s">
        <v>56</v>
      </c>
      <c r="B975" s="3" t="s">
        <v>33</v>
      </c>
      <c r="C975" s="3" t="s">
        <v>34</v>
      </c>
      <c r="D975" s="3" t="s">
        <v>40</v>
      </c>
      <c r="E975" s="3" t="s">
        <v>25</v>
      </c>
      <c r="F975" s="3" t="s">
        <v>25</v>
      </c>
      <c r="G975" s="3" t="s">
        <v>25</v>
      </c>
      <c r="H975" s="3" t="s">
        <v>35</v>
      </c>
      <c r="I975" s="6">
        <v>44652</v>
      </c>
      <c r="J975" s="4">
        <v>0</v>
      </c>
      <c r="K975" s="4">
        <v>0</v>
      </c>
      <c r="L975" s="4">
        <v>13.933</v>
      </c>
      <c r="M975" s="4">
        <v>13.933</v>
      </c>
      <c r="N975" s="4">
        <v>0</v>
      </c>
      <c r="O975" s="4">
        <v>0</v>
      </c>
      <c r="P975" s="4">
        <v>0</v>
      </c>
      <c r="Q975" s="3" t="s">
        <v>57</v>
      </c>
      <c r="R975" s="3">
        <v>0</v>
      </c>
      <c r="S975" s="4">
        <v>0</v>
      </c>
      <c r="T975" s="4">
        <v>8</v>
      </c>
      <c r="U975" s="4">
        <v>0</v>
      </c>
      <c r="V975" s="4">
        <f>IF(ISERROR(VLOOKUP($S$975,'TAR FIN'!$A$1:$O$99,15,0)),0,VLOOKUP($S$975,'TAR FIN'!$A$1:$O$99,15,0))</f>
        <v>0</v>
      </c>
      <c r="W975" s="4">
        <f>IF(ISERROR(VLOOKUP($T$975,'TAR FIN'!$A$1:$O$99,15,0)),0,VLOOKUP($T$975,'TAR FIN'!$A$1:$O$99,15,0))</f>
        <v>1557.74</v>
      </c>
      <c r="X975" s="4">
        <f>IF(ISERROR(VLOOKUP($U$975,'TAR FIN'!$A$1:$O$99,15,0)),0,VLOOKUP($U$975,'TAR FIN'!$A$1:$O$99,15,0))</f>
        <v>0</v>
      </c>
      <c r="Y975" s="4"/>
      <c r="Z975" s="4">
        <f ca="1">('TUSD BE'!$AM$22+'TUSD BF'!$AM$22+'TUSD CVA'!$AM$22)*1</f>
        <v>1799.131999651745</v>
      </c>
      <c r="AA975" s="4"/>
      <c r="AB975" s="4">
        <f>$K$975*$V$975</f>
        <v>0</v>
      </c>
      <c r="AC975" s="4">
        <f>$M$975*$W$975</f>
        <v>21703.991419999998</v>
      </c>
      <c r="AD975" s="4">
        <f>$O$975*$X$975</f>
        <v>0</v>
      </c>
      <c r="AE975" s="4">
        <f>$K$975*$Y$975</f>
        <v>0</v>
      </c>
      <c r="AF975" s="4">
        <f ca="1">$M$975*$Z$975</f>
        <v>25067.306151147764</v>
      </c>
      <c r="AG975" s="4">
        <f>$O$975*$AA$975</f>
        <v>0</v>
      </c>
    </row>
    <row r="976" spans="1:33" ht="11.25" customHeight="1" x14ac:dyDescent="0.25">
      <c r="A976" s="3" t="s">
        <v>21</v>
      </c>
      <c r="B976" s="3" t="s">
        <v>33</v>
      </c>
      <c r="C976" s="3" t="s">
        <v>34</v>
      </c>
      <c r="D976" s="3" t="s">
        <v>46</v>
      </c>
      <c r="E976" s="3" t="s">
        <v>25</v>
      </c>
      <c r="F976" s="3" t="s">
        <v>25</v>
      </c>
      <c r="G976" s="3" t="s">
        <v>25</v>
      </c>
      <c r="H976" s="3" t="s">
        <v>36</v>
      </c>
      <c r="I976" s="6">
        <v>44317</v>
      </c>
      <c r="J976" s="4">
        <v>0</v>
      </c>
      <c r="K976" s="4">
        <v>0</v>
      </c>
      <c r="L976" s="4">
        <v>5885.1880000000001</v>
      </c>
      <c r="M976" s="4">
        <v>5885.1880000000001</v>
      </c>
      <c r="N976" s="4">
        <v>5885.1880000000001</v>
      </c>
      <c r="O976" s="4">
        <v>5885.1880000000001</v>
      </c>
      <c r="P976" s="4">
        <v>0</v>
      </c>
      <c r="Q976" s="3" t="s">
        <v>26</v>
      </c>
      <c r="R976" s="3">
        <v>0</v>
      </c>
      <c r="S976" s="4">
        <v>0</v>
      </c>
      <c r="T976" s="4">
        <v>29</v>
      </c>
      <c r="U976" s="4">
        <v>73</v>
      </c>
      <c r="V976" s="4">
        <f>IF(ISERROR(VLOOKUP($S$976,'TAR FIN'!$A$1:$O$99,15,0)),0,VLOOKUP($S$976,'TAR FIN'!$A$1:$O$99,15,0))</f>
        <v>0</v>
      </c>
      <c r="W976" s="4">
        <f>IF(ISERROR(VLOOKUP($T$976,'TAR FIN'!$A$1:$O$99,15,0)),0,VLOOKUP($T$976,'TAR FIN'!$A$1:$O$99,15,0))</f>
        <v>97.61</v>
      </c>
      <c r="X976" s="4">
        <f>IF(ISERROR(VLOOKUP($U$976,'TAR FIN'!$A$1:$O$99,15,0)),0,VLOOKUP($U$976,'TAR FIN'!$A$1:$O$99,15,0))</f>
        <v>219.97</v>
      </c>
      <c r="Y976" s="4"/>
      <c r="Z976" s="4">
        <f ca="1">('TUSD BE'!$AM$23+'TUSD BF'!$AM$23+'TUSD CVA'!$AM$23)*1</f>
        <v>117.59114529324071</v>
      </c>
      <c r="AA976" s="4">
        <f>('TE BE'!$AA$8+'TE BF'!$AA$8+'TE CVA'!$AA$8)*1</f>
        <v>271.13910989737087</v>
      </c>
      <c r="AB976" s="4">
        <f>$K$976*$V$976</f>
        <v>0</v>
      </c>
      <c r="AC976" s="4">
        <f>$M$976*$W$976</f>
        <v>574453.20068000001</v>
      </c>
      <c r="AD976" s="4">
        <f>$O$976*$X$976</f>
        <v>1294564.80436</v>
      </c>
      <c r="AE976" s="4">
        <f>$K$976*$Y$976</f>
        <v>0</v>
      </c>
      <c r="AF976" s="4">
        <f ca="1">$M$976*$Z$976</f>
        <v>692045.99718603678</v>
      </c>
      <c r="AG976" s="4">
        <f>$O$976*$AA$976</f>
        <v>1595704.6358986883</v>
      </c>
    </row>
    <row r="977" spans="1:33" ht="11.25" customHeight="1" x14ac:dyDescent="0.25">
      <c r="A977" s="3" t="s">
        <v>27</v>
      </c>
      <c r="B977" s="3" t="s">
        <v>33</v>
      </c>
      <c r="C977" s="3" t="s">
        <v>34</v>
      </c>
      <c r="D977" s="3" t="s">
        <v>46</v>
      </c>
      <c r="E977" s="3" t="s">
        <v>25</v>
      </c>
      <c r="F977" s="3" t="s">
        <v>25</v>
      </c>
      <c r="G977" s="3" t="s">
        <v>25</v>
      </c>
      <c r="H977" s="3" t="s">
        <v>36</v>
      </c>
      <c r="I977" s="6">
        <v>44317</v>
      </c>
      <c r="J977" s="4">
        <v>0</v>
      </c>
      <c r="K977" s="4">
        <v>0</v>
      </c>
      <c r="L977" s="4">
        <v>9.9</v>
      </c>
      <c r="M977" s="4">
        <v>9.9</v>
      </c>
      <c r="N977" s="4">
        <v>9.9</v>
      </c>
      <c r="O977" s="4">
        <v>9.9</v>
      </c>
      <c r="P977" s="4">
        <v>0</v>
      </c>
      <c r="Q977" s="3" t="s">
        <v>26</v>
      </c>
      <c r="R977" s="3">
        <v>0</v>
      </c>
      <c r="S977" s="4">
        <v>0</v>
      </c>
      <c r="T977" s="4">
        <v>29</v>
      </c>
      <c r="U977" s="4">
        <v>73</v>
      </c>
      <c r="V977" s="4">
        <f>IF(ISERROR(VLOOKUP($S$977,'TAR FIN'!$A$1:$O$99,15,0)),0,VLOOKUP($S$977,'TAR FIN'!$A$1:$O$99,15,0))</f>
        <v>0</v>
      </c>
      <c r="W977" s="4">
        <f>IF(ISERROR(VLOOKUP($T$977,'TAR FIN'!$A$1:$O$99,15,0)),0,VLOOKUP($T$977,'TAR FIN'!$A$1:$O$99,15,0))</f>
        <v>97.61</v>
      </c>
      <c r="X977" s="4">
        <f>IF(ISERROR(VLOOKUP($U$977,'TAR FIN'!$A$1:$O$99,15,0)),0,VLOOKUP($U$977,'TAR FIN'!$A$1:$O$99,15,0))</f>
        <v>219.97</v>
      </c>
      <c r="Y977" s="4"/>
      <c r="Z977" s="4">
        <f ca="1">('TUSD BE'!$AM$23+'TUSD BF'!$AM$23+'TUSD CVA'!$AM$23)*1</f>
        <v>117.59114529324071</v>
      </c>
      <c r="AA977" s="4">
        <f>('TE BE'!$AA$8+'TE BF'!$AA$8+'TE CVA'!$AA$8)*1</f>
        <v>271.13910989737087</v>
      </c>
      <c r="AB977" s="4">
        <f>$K$977*$V$977</f>
        <v>0</v>
      </c>
      <c r="AC977" s="4">
        <f>$M$977*$W$977</f>
        <v>966.33900000000006</v>
      </c>
      <c r="AD977" s="4">
        <f>$O$977*$X$977</f>
        <v>2177.703</v>
      </c>
      <c r="AE977" s="4">
        <f>$K$977*$Y$977</f>
        <v>0</v>
      </c>
      <c r="AF977" s="4">
        <f ca="1">$M$977*$Z$977</f>
        <v>1164.1523384030831</v>
      </c>
      <c r="AG977" s="4">
        <f>$O$977*$AA$977</f>
        <v>2684.2771879839715</v>
      </c>
    </row>
    <row r="978" spans="1:33" ht="11.25" customHeight="1" x14ac:dyDescent="0.25">
      <c r="A978" s="3" t="s">
        <v>28</v>
      </c>
      <c r="B978" s="3" t="s">
        <v>33</v>
      </c>
      <c r="C978" s="3" t="s">
        <v>34</v>
      </c>
      <c r="D978" s="3" t="s">
        <v>46</v>
      </c>
      <c r="E978" s="3" t="s">
        <v>25</v>
      </c>
      <c r="F978" s="3" t="s">
        <v>25</v>
      </c>
      <c r="G978" s="3" t="s">
        <v>25</v>
      </c>
      <c r="H978" s="3" t="s">
        <v>36</v>
      </c>
      <c r="I978" s="6">
        <v>44317</v>
      </c>
      <c r="J978" s="4">
        <v>0</v>
      </c>
      <c r="K978" s="4">
        <v>0</v>
      </c>
      <c r="L978" s="4">
        <v>126.834</v>
      </c>
      <c r="M978" s="4">
        <v>126.834</v>
      </c>
      <c r="N978" s="4">
        <v>126.834</v>
      </c>
      <c r="O978" s="4">
        <v>126.834</v>
      </c>
      <c r="P978" s="4">
        <v>0</v>
      </c>
      <c r="Q978" s="3" t="s">
        <v>26</v>
      </c>
      <c r="R978" s="3">
        <v>0</v>
      </c>
      <c r="S978" s="4">
        <v>0</v>
      </c>
      <c r="T978" s="4">
        <v>29</v>
      </c>
      <c r="U978" s="4">
        <v>73</v>
      </c>
      <c r="V978" s="4">
        <f>IF(ISERROR(VLOOKUP($S$978,'TAR FIN'!$A$1:$O$99,15,0)),0,VLOOKUP($S$978,'TAR FIN'!$A$1:$O$99,15,0))</f>
        <v>0</v>
      </c>
      <c r="W978" s="4">
        <f>IF(ISERROR(VLOOKUP($T$978,'TAR FIN'!$A$1:$O$99,15,0)),0,VLOOKUP($T$978,'TAR FIN'!$A$1:$O$99,15,0))</f>
        <v>97.61</v>
      </c>
      <c r="X978" s="4">
        <f>IF(ISERROR(VLOOKUP($U$978,'TAR FIN'!$A$1:$O$99,15,0)),0,VLOOKUP($U$978,'TAR FIN'!$A$1:$O$99,15,0))</f>
        <v>219.97</v>
      </c>
      <c r="Y978" s="4"/>
      <c r="Z978" s="4">
        <f ca="1">('TUSD BE'!$AM$23+'TUSD BF'!$AM$23+'TUSD CVA'!$AM$23)*1</f>
        <v>117.59114529324071</v>
      </c>
      <c r="AA978" s="4">
        <f>('TE BE'!$AA$8+'TE BF'!$AA$8+'TE CVA'!$AA$8)*1</f>
        <v>271.13910989737087</v>
      </c>
      <c r="AB978" s="4">
        <f>$K$978*$V$978</f>
        <v>0</v>
      </c>
      <c r="AC978" s="4">
        <f>$M$978*$W$978</f>
        <v>12380.266740000001</v>
      </c>
      <c r="AD978" s="4">
        <f>$O$978*$X$978</f>
        <v>27899.67498</v>
      </c>
      <c r="AE978" s="4">
        <f>$K$978*$Y$978</f>
        <v>0</v>
      </c>
      <c r="AF978" s="4">
        <f ca="1">$M$978*$Z$978</f>
        <v>14914.555322122893</v>
      </c>
      <c r="AG978" s="4">
        <f>$O$978*$AA$978</f>
        <v>34389.657864723136</v>
      </c>
    </row>
    <row r="979" spans="1:33" ht="11.25" customHeight="1" x14ac:dyDescent="0.25">
      <c r="A979" s="3" t="s">
        <v>21</v>
      </c>
      <c r="B979" s="3" t="s">
        <v>33</v>
      </c>
      <c r="C979" s="3" t="s">
        <v>34</v>
      </c>
      <c r="D979" s="3" t="s">
        <v>46</v>
      </c>
      <c r="E979" s="3" t="s">
        <v>25</v>
      </c>
      <c r="F979" s="3" t="s">
        <v>25</v>
      </c>
      <c r="G979" s="3" t="s">
        <v>25</v>
      </c>
      <c r="H979" s="3" t="s">
        <v>36</v>
      </c>
      <c r="I979" s="6">
        <v>44348</v>
      </c>
      <c r="J979" s="4">
        <v>0</v>
      </c>
      <c r="K979" s="4">
        <v>0</v>
      </c>
      <c r="L979" s="4">
        <v>5176.7579999999998</v>
      </c>
      <c r="M979" s="4">
        <v>5176.7579999999998</v>
      </c>
      <c r="N979" s="4">
        <v>5176.7579999999998</v>
      </c>
      <c r="O979" s="4">
        <v>5176.7579999999998</v>
      </c>
      <c r="P979" s="4">
        <v>0</v>
      </c>
      <c r="Q979" s="3" t="s">
        <v>26</v>
      </c>
      <c r="R979" s="3">
        <v>0</v>
      </c>
      <c r="S979" s="4">
        <v>0</v>
      </c>
      <c r="T979" s="4">
        <v>29</v>
      </c>
      <c r="U979" s="4">
        <v>73</v>
      </c>
      <c r="V979" s="4">
        <f>IF(ISERROR(VLOOKUP($S$979,'TAR FIN'!$A$1:$O$99,15,0)),0,VLOOKUP($S$979,'TAR FIN'!$A$1:$O$99,15,0))</f>
        <v>0</v>
      </c>
      <c r="W979" s="4">
        <f>IF(ISERROR(VLOOKUP($T$979,'TAR FIN'!$A$1:$O$99,15,0)),0,VLOOKUP($T$979,'TAR FIN'!$A$1:$O$99,15,0))</f>
        <v>97.61</v>
      </c>
      <c r="X979" s="4">
        <f>IF(ISERROR(VLOOKUP($U$979,'TAR FIN'!$A$1:$O$99,15,0)),0,VLOOKUP($U$979,'TAR FIN'!$A$1:$O$99,15,0))</f>
        <v>219.97</v>
      </c>
      <c r="Y979" s="4"/>
      <c r="Z979" s="4">
        <f ca="1">('TUSD BE'!$AM$23+'TUSD BF'!$AM$23+'TUSD CVA'!$AM$23)*1</f>
        <v>117.59114529324071</v>
      </c>
      <c r="AA979" s="4">
        <f>('TE BE'!$AA$8+'TE BF'!$AA$8+'TE CVA'!$AA$8)*1</f>
        <v>271.13910989737087</v>
      </c>
      <c r="AB979" s="4">
        <f>$K$979*$V$979</f>
        <v>0</v>
      </c>
      <c r="AC979" s="4">
        <f>$M$979*$W$979</f>
        <v>505303.34837999998</v>
      </c>
      <c r="AD979" s="4">
        <f>$O$979*$X$979</f>
        <v>1138731.4572600001</v>
      </c>
      <c r="AE979" s="4">
        <f>$K$979*$Y$979</f>
        <v>0</v>
      </c>
      <c r="AF979" s="4">
        <f ca="1">$M$979*$Z$979</f>
        <v>608740.90212594625</v>
      </c>
      <c r="AG979" s="4">
        <f>$O$979*$AA$979</f>
        <v>1403621.5562740937</v>
      </c>
    </row>
    <row r="980" spans="1:33" ht="11.25" customHeight="1" x14ac:dyDescent="0.25">
      <c r="A980" s="3" t="s">
        <v>27</v>
      </c>
      <c r="B980" s="3" t="s">
        <v>33</v>
      </c>
      <c r="C980" s="3" t="s">
        <v>34</v>
      </c>
      <c r="D980" s="3" t="s">
        <v>46</v>
      </c>
      <c r="E980" s="3" t="s">
        <v>25</v>
      </c>
      <c r="F980" s="3" t="s">
        <v>25</v>
      </c>
      <c r="G980" s="3" t="s">
        <v>25</v>
      </c>
      <c r="H980" s="3" t="s">
        <v>36</v>
      </c>
      <c r="I980" s="6">
        <v>44348</v>
      </c>
      <c r="J980" s="4">
        <v>0</v>
      </c>
      <c r="K980" s="4">
        <v>0</v>
      </c>
      <c r="L980" s="4">
        <v>2.8149999999999999</v>
      </c>
      <c r="M980" s="4">
        <v>2.8149999999999999</v>
      </c>
      <c r="N980" s="4">
        <v>2.8149999999999999</v>
      </c>
      <c r="O980" s="4">
        <v>2.8149999999999999</v>
      </c>
      <c r="P980" s="4">
        <v>0</v>
      </c>
      <c r="Q980" s="3" t="s">
        <v>26</v>
      </c>
      <c r="R980" s="3">
        <v>0</v>
      </c>
      <c r="S980" s="4">
        <v>0</v>
      </c>
      <c r="T980" s="4">
        <v>29</v>
      </c>
      <c r="U980" s="4">
        <v>73</v>
      </c>
      <c r="V980" s="4">
        <f>IF(ISERROR(VLOOKUP($S$980,'TAR FIN'!$A$1:$O$99,15,0)),0,VLOOKUP($S$980,'TAR FIN'!$A$1:$O$99,15,0))</f>
        <v>0</v>
      </c>
      <c r="W980" s="4">
        <f>IF(ISERROR(VLOOKUP($T$980,'TAR FIN'!$A$1:$O$99,15,0)),0,VLOOKUP($T$980,'TAR FIN'!$A$1:$O$99,15,0))</f>
        <v>97.61</v>
      </c>
      <c r="X980" s="4">
        <f>IF(ISERROR(VLOOKUP($U$980,'TAR FIN'!$A$1:$O$99,15,0)),0,VLOOKUP($U$980,'TAR FIN'!$A$1:$O$99,15,0))</f>
        <v>219.97</v>
      </c>
      <c r="Y980" s="4"/>
      <c r="Z980" s="4">
        <f ca="1">('TUSD BE'!$AM$23+'TUSD BF'!$AM$23+'TUSD CVA'!$AM$23)*1</f>
        <v>117.59114529324071</v>
      </c>
      <c r="AA980" s="4">
        <f>('TE BE'!$AA$8+'TE BF'!$AA$8+'TE CVA'!$AA$8)*1</f>
        <v>271.13910989737087</v>
      </c>
      <c r="AB980" s="4">
        <f>$K$980*$V$980</f>
        <v>0</v>
      </c>
      <c r="AC980" s="4">
        <f>$M$980*$W$980</f>
        <v>274.77215000000001</v>
      </c>
      <c r="AD980" s="4">
        <f>$O$980*$X$980</f>
        <v>619.21555000000001</v>
      </c>
      <c r="AE980" s="4">
        <f>$K$980*$Y$980</f>
        <v>0</v>
      </c>
      <c r="AF980" s="4">
        <f ca="1">$M$980*$Z$980</f>
        <v>331.01907400047259</v>
      </c>
      <c r="AG980" s="4">
        <f>$O$980*$AA$980</f>
        <v>763.25659436109902</v>
      </c>
    </row>
    <row r="981" spans="1:33" ht="11.25" customHeight="1" x14ac:dyDescent="0.25">
      <c r="A981" s="3" t="s">
        <v>28</v>
      </c>
      <c r="B981" s="3" t="s">
        <v>33</v>
      </c>
      <c r="C981" s="3" t="s">
        <v>34</v>
      </c>
      <c r="D981" s="3" t="s">
        <v>46</v>
      </c>
      <c r="E981" s="3" t="s">
        <v>25</v>
      </c>
      <c r="F981" s="3" t="s">
        <v>25</v>
      </c>
      <c r="G981" s="3" t="s">
        <v>25</v>
      </c>
      <c r="H981" s="3" t="s">
        <v>36</v>
      </c>
      <c r="I981" s="6">
        <v>44348</v>
      </c>
      <c r="J981" s="4">
        <v>0</v>
      </c>
      <c r="K981" s="4">
        <v>0</v>
      </c>
      <c r="L981" s="4">
        <v>119.673</v>
      </c>
      <c r="M981" s="4">
        <v>119.673</v>
      </c>
      <c r="N981" s="4">
        <v>119.673</v>
      </c>
      <c r="O981" s="4">
        <v>119.673</v>
      </c>
      <c r="P981" s="4">
        <v>0</v>
      </c>
      <c r="Q981" s="3" t="s">
        <v>26</v>
      </c>
      <c r="R981" s="3">
        <v>0</v>
      </c>
      <c r="S981" s="4">
        <v>0</v>
      </c>
      <c r="T981" s="4">
        <v>29</v>
      </c>
      <c r="U981" s="4">
        <v>73</v>
      </c>
      <c r="V981" s="4">
        <f>IF(ISERROR(VLOOKUP($S$981,'TAR FIN'!$A$1:$O$99,15,0)),0,VLOOKUP($S$981,'TAR FIN'!$A$1:$O$99,15,0))</f>
        <v>0</v>
      </c>
      <c r="W981" s="4">
        <f>IF(ISERROR(VLOOKUP($T$981,'TAR FIN'!$A$1:$O$99,15,0)),0,VLOOKUP($T$981,'TAR FIN'!$A$1:$O$99,15,0))</f>
        <v>97.61</v>
      </c>
      <c r="X981" s="4">
        <f>IF(ISERROR(VLOOKUP($U$981,'TAR FIN'!$A$1:$O$99,15,0)),0,VLOOKUP($U$981,'TAR FIN'!$A$1:$O$99,15,0))</f>
        <v>219.97</v>
      </c>
      <c r="Y981" s="4"/>
      <c r="Z981" s="4">
        <f ca="1">('TUSD BE'!$AM$23+'TUSD BF'!$AM$23+'TUSD CVA'!$AM$23)*1</f>
        <v>117.59114529324071</v>
      </c>
      <c r="AA981" s="4">
        <f>('TE BE'!$AA$8+'TE BF'!$AA$8+'TE CVA'!$AA$8)*1</f>
        <v>271.13910989737087</v>
      </c>
      <c r="AB981" s="4">
        <f>$K$981*$V$981</f>
        <v>0</v>
      </c>
      <c r="AC981" s="4">
        <f>$M$981*$W$981</f>
        <v>11681.28153</v>
      </c>
      <c r="AD981" s="4">
        <f>$O$981*$X$981</f>
        <v>26324.469809999999</v>
      </c>
      <c r="AE981" s="4">
        <f>$K$981*$Y$981</f>
        <v>0</v>
      </c>
      <c r="AF981" s="4">
        <f ca="1">$M$981*$Z$981</f>
        <v>14072.485130677996</v>
      </c>
      <c r="AG981" s="4">
        <f>$O$981*$AA$981</f>
        <v>32448.030698748065</v>
      </c>
    </row>
    <row r="982" spans="1:33" ht="11.25" customHeight="1" x14ac:dyDescent="0.25">
      <c r="A982" s="3" t="s">
        <v>21</v>
      </c>
      <c r="B982" s="3" t="s">
        <v>33</v>
      </c>
      <c r="C982" s="3" t="s">
        <v>34</v>
      </c>
      <c r="D982" s="3" t="s">
        <v>46</v>
      </c>
      <c r="E982" s="3" t="s">
        <v>25</v>
      </c>
      <c r="F982" s="3" t="s">
        <v>25</v>
      </c>
      <c r="G982" s="3" t="s">
        <v>25</v>
      </c>
      <c r="H982" s="3" t="s">
        <v>36</v>
      </c>
      <c r="I982" s="6">
        <v>44378</v>
      </c>
      <c r="J982" s="4">
        <v>0</v>
      </c>
      <c r="K982" s="4">
        <v>0</v>
      </c>
      <c r="L982" s="4">
        <v>5342.1360000000004</v>
      </c>
      <c r="M982" s="4">
        <v>5342.1360000000004</v>
      </c>
      <c r="N982" s="4">
        <v>5342.1360000000004</v>
      </c>
      <c r="O982" s="4">
        <v>5342.1360000000004</v>
      </c>
      <c r="P982" s="4">
        <v>0</v>
      </c>
      <c r="Q982" s="3" t="s">
        <v>26</v>
      </c>
      <c r="R982" s="3">
        <v>0</v>
      </c>
      <c r="S982" s="4">
        <v>0</v>
      </c>
      <c r="T982" s="4">
        <v>29</v>
      </c>
      <c r="U982" s="4">
        <v>73</v>
      </c>
      <c r="V982" s="4">
        <f>IF(ISERROR(VLOOKUP($S$982,'TAR FIN'!$A$1:$O$99,15,0)),0,VLOOKUP($S$982,'TAR FIN'!$A$1:$O$99,15,0))</f>
        <v>0</v>
      </c>
      <c r="W982" s="4">
        <f>IF(ISERROR(VLOOKUP($T$982,'TAR FIN'!$A$1:$O$99,15,0)),0,VLOOKUP($T$982,'TAR FIN'!$A$1:$O$99,15,0))</f>
        <v>97.61</v>
      </c>
      <c r="X982" s="4">
        <f>IF(ISERROR(VLOOKUP($U$982,'TAR FIN'!$A$1:$O$99,15,0)),0,VLOOKUP($U$982,'TAR FIN'!$A$1:$O$99,15,0))</f>
        <v>219.97</v>
      </c>
      <c r="Y982" s="4"/>
      <c r="Z982" s="4">
        <f ca="1">('TUSD BE'!$AM$23+'TUSD BF'!$AM$23+'TUSD CVA'!$AM$23)*1</f>
        <v>117.59114529324071</v>
      </c>
      <c r="AA982" s="4">
        <f>('TE BE'!$AA$8+'TE BF'!$AA$8+'TE CVA'!$AA$8)*1</f>
        <v>271.13910989737087</v>
      </c>
      <c r="AB982" s="4">
        <f>$K$982*$V$982</f>
        <v>0</v>
      </c>
      <c r="AC982" s="4">
        <f>$M$982*$W$982</f>
        <v>521445.89496000006</v>
      </c>
      <c r="AD982" s="4">
        <f>$O$982*$X$982</f>
        <v>1175109.65592</v>
      </c>
      <c r="AE982" s="4">
        <f>$K$982*$Y$982</f>
        <v>0</v>
      </c>
      <c r="AF982" s="4">
        <f ca="1">$M$982*$Z$982</f>
        <v>628187.89055225183</v>
      </c>
      <c r="AG982" s="4">
        <f>$O$982*$AA$982</f>
        <v>1448461.9999907014</v>
      </c>
    </row>
    <row r="983" spans="1:33" ht="11.25" customHeight="1" x14ac:dyDescent="0.25">
      <c r="A983" s="3" t="s">
        <v>28</v>
      </c>
      <c r="B983" s="3" t="s">
        <v>33</v>
      </c>
      <c r="C983" s="3" t="s">
        <v>34</v>
      </c>
      <c r="D983" s="3" t="s">
        <v>46</v>
      </c>
      <c r="E983" s="3" t="s">
        <v>25</v>
      </c>
      <c r="F983" s="3" t="s">
        <v>25</v>
      </c>
      <c r="G983" s="3" t="s">
        <v>25</v>
      </c>
      <c r="H983" s="3" t="s">
        <v>36</v>
      </c>
      <c r="I983" s="6">
        <v>44378</v>
      </c>
      <c r="J983" s="4">
        <v>0</v>
      </c>
      <c r="K983" s="4">
        <v>0</v>
      </c>
      <c r="L983" s="4">
        <v>125.057</v>
      </c>
      <c r="M983" s="4">
        <v>125.057</v>
      </c>
      <c r="N983" s="4">
        <v>125.057</v>
      </c>
      <c r="O983" s="4">
        <v>125.057</v>
      </c>
      <c r="P983" s="4">
        <v>0</v>
      </c>
      <c r="Q983" s="3" t="s">
        <v>26</v>
      </c>
      <c r="R983" s="3">
        <v>0</v>
      </c>
      <c r="S983" s="4">
        <v>0</v>
      </c>
      <c r="T983" s="4">
        <v>29</v>
      </c>
      <c r="U983" s="4">
        <v>73</v>
      </c>
      <c r="V983" s="4">
        <f>IF(ISERROR(VLOOKUP($S$983,'TAR FIN'!$A$1:$O$99,15,0)),0,VLOOKUP($S$983,'TAR FIN'!$A$1:$O$99,15,0))</f>
        <v>0</v>
      </c>
      <c r="W983" s="4">
        <f>IF(ISERROR(VLOOKUP($T$983,'TAR FIN'!$A$1:$O$99,15,0)),0,VLOOKUP($T$983,'TAR FIN'!$A$1:$O$99,15,0))</f>
        <v>97.61</v>
      </c>
      <c r="X983" s="4">
        <f>IF(ISERROR(VLOOKUP($U$983,'TAR FIN'!$A$1:$O$99,15,0)),0,VLOOKUP($U$983,'TAR FIN'!$A$1:$O$99,15,0))</f>
        <v>219.97</v>
      </c>
      <c r="Y983" s="4"/>
      <c r="Z983" s="4">
        <f ca="1">('TUSD BE'!$AM$23+'TUSD BF'!$AM$23+'TUSD CVA'!$AM$23)*1</f>
        <v>117.59114529324071</v>
      </c>
      <c r="AA983" s="4">
        <f>('TE BE'!$AA$8+'TE BF'!$AA$8+'TE CVA'!$AA$8)*1</f>
        <v>271.13910989737087</v>
      </c>
      <c r="AB983" s="4">
        <f>$K$983*$V$983</f>
        <v>0</v>
      </c>
      <c r="AC983" s="4">
        <f>$M$983*$W$983</f>
        <v>12206.813770000001</v>
      </c>
      <c r="AD983" s="4">
        <f>$O$983*$X$983</f>
        <v>27508.78829</v>
      </c>
      <c r="AE983" s="4">
        <f>$K$983*$Y$983</f>
        <v>0</v>
      </c>
      <c r="AF983" s="4">
        <f ca="1">$M$983*$Z$983</f>
        <v>14705.595856936805</v>
      </c>
      <c r="AG983" s="4">
        <f>$O$983*$AA$983</f>
        <v>33907.84366643551</v>
      </c>
    </row>
    <row r="984" spans="1:33" ht="11.25" customHeight="1" x14ac:dyDescent="0.25">
      <c r="A984" s="3" t="s">
        <v>21</v>
      </c>
      <c r="B984" s="3" t="s">
        <v>33</v>
      </c>
      <c r="C984" s="3" t="s">
        <v>34</v>
      </c>
      <c r="D984" s="3" t="s">
        <v>46</v>
      </c>
      <c r="E984" s="3" t="s">
        <v>25</v>
      </c>
      <c r="F984" s="3" t="s">
        <v>25</v>
      </c>
      <c r="G984" s="3" t="s">
        <v>25</v>
      </c>
      <c r="H984" s="3" t="s">
        <v>36</v>
      </c>
      <c r="I984" s="6">
        <v>44409</v>
      </c>
      <c r="J984" s="4">
        <v>0</v>
      </c>
      <c r="K984" s="4">
        <v>0</v>
      </c>
      <c r="L984" s="4">
        <v>5258.4970000000003</v>
      </c>
      <c r="M984" s="4">
        <v>5258.4970000000003</v>
      </c>
      <c r="N984" s="4">
        <v>5258.4970000000003</v>
      </c>
      <c r="O984" s="4">
        <v>5258.4970000000003</v>
      </c>
      <c r="P984" s="4">
        <v>0</v>
      </c>
      <c r="Q984" s="3" t="s">
        <v>26</v>
      </c>
      <c r="R984" s="3">
        <v>0</v>
      </c>
      <c r="S984" s="4">
        <v>0</v>
      </c>
      <c r="T984" s="4">
        <v>29</v>
      </c>
      <c r="U984" s="4">
        <v>73</v>
      </c>
      <c r="V984" s="4">
        <f>IF(ISERROR(VLOOKUP($S$984,'TAR FIN'!$A$1:$O$99,15,0)),0,VLOOKUP($S$984,'TAR FIN'!$A$1:$O$99,15,0))</f>
        <v>0</v>
      </c>
      <c r="W984" s="4">
        <f>IF(ISERROR(VLOOKUP($T$984,'TAR FIN'!$A$1:$O$99,15,0)),0,VLOOKUP($T$984,'TAR FIN'!$A$1:$O$99,15,0))</f>
        <v>97.61</v>
      </c>
      <c r="X984" s="4">
        <f>IF(ISERROR(VLOOKUP($U$984,'TAR FIN'!$A$1:$O$99,15,0)),0,VLOOKUP($U$984,'TAR FIN'!$A$1:$O$99,15,0))</f>
        <v>219.97</v>
      </c>
      <c r="Y984" s="4"/>
      <c r="Z984" s="4">
        <f ca="1">('TUSD BE'!$AM$23+'TUSD BF'!$AM$23+'TUSD CVA'!$AM$23)*1</f>
        <v>117.59114529324071</v>
      </c>
      <c r="AA984" s="4">
        <f>('TE BE'!$AA$8+'TE BF'!$AA$8+'TE CVA'!$AA$8)*1</f>
        <v>271.13910989737087</v>
      </c>
      <c r="AB984" s="4">
        <f>$K$984*$V$984</f>
        <v>0</v>
      </c>
      <c r="AC984" s="4">
        <f>$M$984*$W$984</f>
        <v>513281.89217000001</v>
      </c>
      <c r="AD984" s="4">
        <f>$O$984*$X$984</f>
        <v>1156711.5850899999</v>
      </c>
      <c r="AE984" s="4">
        <f>$K$984*$Y$984</f>
        <v>0</v>
      </c>
      <c r="AF984" s="4">
        <f ca="1">$M$984*$Z$984</f>
        <v>618352.68475107045</v>
      </c>
      <c r="AG984" s="4">
        <f>$O$984*$AA$984</f>
        <v>1425784.1959779952</v>
      </c>
    </row>
    <row r="985" spans="1:33" ht="11.25" customHeight="1" x14ac:dyDescent="0.25">
      <c r="A985" s="3" t="s">
        <v>27</v>
      </c>
      <c r="B985" s="3" t="s">
        <v>33</v>
      </c>
      <c r="C985" s="3" t="s">
        <v>34</v>
      </c>
      <c r="D985" s="3" t="s">
        <v>46</v>
      </c>
      <c r="E985" s="3" t="s">
        <v>25</v>
      </c>
      <c r="F985" s="3" t="s">
        <v>25</v>
      </c>
      <c r="G985" s="3" t="s">
        <v>25</v>
      </c>
      <c r="H985" s="3" t="s">
        <v>36</v>
      </c>
      <c r="I985" s="6">
        <v>44409</v>
      </c>
      <c r="J985" s="4">
        <v>0</v>
      </c>
      <c r="K985" s="4">
        <v>0</v>
      </c>
      <c r="L985" s="4">
        <v>-6.4829999999999997</v>
      </c>
      <c r="M985" s="4">
        <v>-6.4829999999999997</v>
      </c>
      <c r="N985" s="4">
        <v>-6.4829999999999997</v>
      </c>
      <c r="O985" s="4">
        <v>-6.4829999999999997</v>
      </c>
      <c r="P985" s="4">
        <v>0</v>
      </c>
      <c r="Q985" s="3" t="s">
        <v>26</v>
      </c>
      <c r="R985" s="3">
        <v>0</v>
      </c>
      <c r="S985" s="4">
        <v>0</v>
      </c>
      <c r="T985" s="4">
        <v>29</v>
      </c>
      <c r="U985" s="4">
        <v>73</v>
      </c>
      <c r="V985" s="4">
        <f>IF(ISERROR(VLOOKUP($S$985,'TAR FIN'!$A$1:$O$99,15,0)),0,VLOOKUP($S$985,'TAR FIN'!$A$1:$O$99,15,0))</f>
        <v>0</v>
      </c>
      <c r="W985" s="4">
        <f>IF(ISERROR(VLOOKUP($T$985,'TAR FIN'!$A$1:$O$99,15,0)),0,VLOOKUP($T$985,'TAR FIN'!$A$1:$O$99,15,0))</f>
        <v>97.61</v>
      </c>
      <c r="X985" s="4">
        <f>IF(ISERROR(VLOOKUP($U$985,'TAR FIN'!$A$1:$O$99,15,0)),0,VLOOKUP($U$985,'TAR FIN'!$A$1:$O$99,15,0))</f>
        <v>219.97</v>
      </c>
      <c r="Y985" s="4"/>
      <c r="Z985" s="4">
        <f ca="1">('TUSD BE'!$AM$23+'TUSD BF'!$AM$23+'TUSD CVA'!$AM$23)*1</f>
        <v>117.59114529324071</v>
      </c>
      <c r="AA985" s="4">
        <f>('TE BE'!$AA$8+'TE BF'!$AA$8+'TE CVA'!$AA$8)*1</f>
        <v>271.13910989737087</v>
      </c>
      <c r="AB985" s="4">
        <f>$K$985*$V$985</f>
        <v>0</v>
      </c>
      <c r="AC985" s="4">
        <f>$M$985*$W$985</f>
        <v>-632.80562999999995</v>
      </c>
      <c r="AD985" s="4">
        <f>$O$985*$X$985</f>
        <v>-1426.0655099999999</v>
      </c>
      <c r="AE985" s="4">
        <f>$K$985*$Y$985</f>
        <v>0</v>
      </c>
      <c r="AF985" s="4">
        <f ca="1">$M$985*$Z$985</f>
        <v>-762.34339493607956</v>
      </c>
      <c r="AG985" s="4">
        <f>$O$985*$AA$985</f>
        <v>-1757.7948494646553</v>
      </c>
    </row>
    <row r="986" spans="1:33" ht="11.25" customHeight="1" x14ac:dyDescent="0.25">
      <c r="A986" s="3" t="s">
        <v>28</v>
      </c>
      <c r="B986" s="3" t="s">
        <v>33</v>
      </c>
      <c r="C986" s="3" t="s">
        <v>34</v>
      </c>
      <c r="D986" s="3" t="s">
        <v>46</v>
      </c>
      <c r="E986" s="3" t="s">
        <v>25</v>
      </c>
      <c r="F986" s="3" t="s">
        <v>25</v>
      </c>
      <c r="G986" s="3" t="s">
        <v>25</v>
      </c>
      <c r="H986" s="3" t="s">
        <v>36</v>
      </c>
      <c r="I986" s="6">
        <v>44409</v>
      </c>
      <c r="J986" s="4">
        <v>0</v>
      </c>
      <c r="K986" s="4">
        <v>0</v>
      </c>
      <c r="L986" s="4">
        <v>148.446</v>
      </c>
      <c r="M986" s="4">
        <v>148.446</v>
      </c>
      <c r="N986" s="4">
        <v>148.446</v>
      </c>
      <c r="O986" s="4">
        <v>148.446</v>
      </c>
      <c r="P986" s="4">
        <v>0</v>
      </c>
      <c r="Q986" s="3" t="s">
        <v>26</v>
      </c>
      <c r="R986" s="3">
        <v>0</v>
      </c>
      <c r="S986" s="4">
        <v>0</v>
      </c>
      <c r="T986" s="4">
        <v>29</v>
      </c>
      <c r="U986" s="4">
        <v>73</v>
      </c>
      <c r="V986" s="4">
        <f>IF(ISERROR(VLOOKUP($S$986,'TAR FIN'!$A$1:$O$99,15,0)),0,VLOOKUP($S$986,'TAR FIN'!$A$1:$O$99,15,0))</f>
        <v>0</v>
      </c>
      <c r="W986" s="4">
        <f>IF(ISERROR(VLOOKUP($T$986,'TAR FIN'!$A$1:$O$99,15,0)),0,VLOOKUP($T$986,'TAR FIN'!$A$1:$O$99,15,0))</f>
        <v>97.61</v>
      </c>
      <c r="X986" s="4">
        <f>IF(ISERROR(VLOOKUP($U$986,'TAR FIN'!$A$1:$O$99,15,0)),0,VLOOKUP($U$986,'TAR FIN'!$A$1:$O$99,15,0))</f>
        <v>219.97</v>
      </c>
      <c r="Y986" s="4"/>
      <c r="Z986" s="4">
        <f ca="1">('TUSD BE'!$AM$23+'TUSD BF'!$AM$23+'TUSD CVA'!$AM$23)*1</f>
        <v>117.59114529324071</v>
      </c>
      <c r="AA986" s="4">
        <f>('TE BE'!$AA$8+'TE BF'!$AA$8+'TE CVA'!$AA$8)*1</f>
        <v>271.13910989737087</v>
      </c>
      <c r="AB986" s="4">
        <f>$K$986*$V$986</f>
        <v>0</v>
      </c>
      <c r="AC986" s="4">
        <f>$M$986*$W$986</f>
        <v>14489.814060000001</v>
      </c>
      <c r="AD986" s="4">
        <f>$O$986*$X$986</f>
        <v>32653.66662</v>
      </c>
      <c r="AE986" s="4">
        <f>$K$986*$Y$986</f>
        <v>0</v>
      </c>
      <c r="AF986" s="4">
        <f ca="1">$M$986*$Z$986</f>
        <v>17455.935154200411</v>
      </c>
      <c r="AG986" s="4">
        <f>$O$986*$AA$986</f>
        <v>40249.516307825113</v>
      </c>
    </row>
    <row r="987" spans="1:33" ht="11.25" customHeight="1" x14ac:dyDescent="0.25">
      <c r="A987" s="3" t="s">
        <v>21</v>
      </c>
      <c r="B987" s="3" t="s">
        <v>33</v>
      </c>
      <c r="C987" s="3" t="s">
        <v>34</v>
      </c>
      <c r="D987" s="3" t="s">
        <v>46</v>
      </c>
      <c r="E987" s="3" t="s">
        <v>25</v>
      </c>
      <c r="F987" s="3" t="s">
        <v>25</v>
      </c>
      <c r="G987" s="3" t="s">
        <v>25</v>
      </c>
      <c r="H987" s="3" t="s">
        <v>36</v>
      </c>
      <c r="I987" s="6">
        <v>44440</v>
      </c>
      <c r="J987" s="4">
        <v>0</v>
      </c>
      <c r="K987" s="4">
        <v>0</v>
      </c>
      <c r="L987" s="4">
        <v>5843.835</v>
      </c>
      <c r="M987" s="4">
        <v>5843.835</v>
      </c>
      <c r="N987" s="4">
        <v>5843.835</v>
      </c>
      <c r="O987" s="4">
        <v>5843.835</v>
      </c>
      <c r="P987" s="4">
        <v>0</v>
      </c>
      <c r="Q987" s="3" t="s">
        <v>26</v>
      </c>
      <c r="R987" s="3">
        <v>0</v>
      </c>
      <c r="S987" s="4">
        <v>0</v>
      </c>
      <c r="T987" s="4">
        <v>29</v>
      </c>
      <c r="U987" s="4">
        <v>73</v>
      </c>
      <c r="V987" s="4">
        <f>IF(ISERROR(VLOOKUP($S$987,'TAR FIN'!$A$1:$O$99,15,0)),0,VLOOKUP($S$987,'TAR FIN'!$A$1:$O$99,15,0))</f>
        <v>0</v>
      </c>
      <c r="W987" s="4">
        <f>IF(ISERROR(VLOOKUP($T$987,'TAR FIN'!$A$1:$O$99,15,0)),0,VLOOKUP($T$987,'TAR FIN'!$A$1:$O$99,15,0))</f>
        <v>97.61</v>
      </c>
      <c r="X987" s="4">
        <f>IF(ISERROR(VLOOKUP($U$987,'TAR FIN'!$A$1:$O$99,15,0)),0,VLOOKUP($U$987,'TAR FIN'!$A$1:$O$99,15,0))</f>
        <v>219.97</v>
      </c>
      <c r="Y987" s="4"/>
      <c r="Z987" s="4">
        <f ca="1">('TUSD BE'!$AM$23+'TUSD BF'!$AM$23+'TUSD CVA'!$AM$23)*1</f>
        <v>117.59114529324071</v>
      </c>
      <c r="AA987" s="4">
        <f>('TE BE'!$AA$8+'TE BF'!$AA$8+'TE CVA'!$AA$8)*1</f>
        <v>271.13910989737087</v>
      </c>
      <c r="AB987" s="4">
        <f>$K$987*$V$987</f>
        <v>0</v>
      </c>
      <c r="AC987" s="4">
        <f>$M$987*$W$987</f>
        <v>570416.73435000004</v>
      </c>
      <c r="AD987" s="4">
        <f>$O$987*$X$987</f>
        <v>1285468.3849500001</v>
      </c>
      <c r="AE987" s="4">
        <f>$K$987*$Y$987</f>
        <v>0</v>
      </c>
      <c r="AF987" s="4">
        <f ca="1">$M$987*$Z$987</f>
        <v>687183.25055472541</v>
      </c>
      <c r="AG987" s="4">
        <f>$O$987*$AA$987</f>
        <v>1584492.2202871023</v>
      </c>
    </row>
    <row r="988" spans="1:33" ht="11.25" customHeight="1" x14ac:dyDescent="0.25">
      <c r="A988" s="3" t="s">
        <v>28</v>
      </c>
      <c r="B988" s="3" t="s">
        <v>33</v>
      </c>
      <c r="C988" s="3" t="s">
        <v>34</v>
      </c>
      <c r="D988" s="3" t="s">
        <v>46</v>
      </c>
      <c r="E988" s="3" t="s">
        <v>25</v>
      </c>
      <c r="F988" s="3" t="s">
        <v>25</v>
      </c>
      <c r="G988" s="3" t="s">
        <v>25</v>
      </c>
      <c r="H988" s="3" t="s">
        <v>36</v>
      </c>
      <c r="I988" s="6">
        <v>44440</v>
      </c>
      <c r="J988" s="4">
        <v>0</v>
      </c>
      <c r="K988" s="4">
        <v>0</v>
      </c>
      <c r="L988" s="4">
        <v>159.05699999999999</v>
      </c>
      <c r="M988" s="4">
        <v>159.05699999999999</v>
      </c>
      <c r="N988" s="4">
        <v>159.05699999999999</v>
      </c>
      <c r="O988" s="4">
        <v>159.05699999999999</v>
      </c>
      <c r="P988" s="4">
        <v>0</v>
      </c>
      <c r="Q988" s="3" t="s">
        <v>26</v>
      </c>
      <c r="R988" s="3">
        <v>0</v>
      </c>
      <c r="S988" s="4">
        <v>0</v>
      </c>
      <c r="T988" s="4">
        <v>29</v>
      </c>
      <c r="U988" s="4">
        <v>73</v>
      </c>
      <c r="V988" s="4">
        <f>IF(ISERROR(VLOOKUP($S$988,'TAR FIN'!$A$1:$O$99,15,0)),0,VLOOKUP($S$988,'TAR FIN'!$A$1:$O$99,15,0))</f>
        <v>0</v>
      </c>
      <c r="W988" s="4">
        <f>IF(ISERROR(VLOOKUP($T$988,'TAR FIN'!$A$1:$O$99,15,0)),0,VLOOKUP($T$988,'TAR FIN'!$A$1:$O$99,15,0))</f>
        <v>97.61</v>
      </c>
      <c r="X988" s="4">
        <f>IF(ISERROR(VLOOKUP($U$988,'TAR FIN'!$A$1:$O$99,15,0)),0,VLOOKUP($U$988,'TAR FIN'!$A$1:$O$99,15,0))</f>
        <v>219.97</v>
      </c>
      <c r="Y988" s="4"/>
      <c r="Z988" s="4">
        <f ca="1">('TUSD BE'!$AM$23+'TUSD BF'!$AM$23+'TUSD CVA'!$AM$23)*1</f>
        <v>117.59114529324071</v>
      </c>
      <c r="AA988" s="4">
        <f>('TE BE'!$AA$8+'TE BF'!$AA$8+'TE CVA'!$AA$8)*1</f>
        <v>271.13910989737087</v>
      </c>
      <c r="AB988" s="4">
        <f>$K$988*$V$988</f>
        <v>0</v>
      </c>
      <c r="AC988" s="4">
        <f>$M$988*$W$988</f>
        <v>15525.553769999999</v>
      </c>
      <c r="AD988" s="4">
        <f>$O$988*$X$988</f>
        <v>34987.76829</v>
      </c>
      <c r="AE988" s="4">
        <f>$K$988*$Y$988</f>
        <v>0</v>
      </c>
      <c r="AF988" s="4">
        <f ca="1">$M$988*$Z$988</f>
        <v>18703.694796906988</v>
      </c>
      <c r="AG988" s="4">
        <f>$O$988*$AA$988</f>
        <v>43126.573402946116</v>
      </c>
    </row>
    <row r="989" spans="1:33" ht="11.25" customHeight="1" x14ac:dyDescent="0.25">
      <c r="A989" s="3" t="s">
        <v>21</v>
      </c>
      <c r="B989" s="3" t="s">
        <v>33</v>
      </c>
      <c r="C989" s="3" t="s">
        <v>34</v>
      </c>
      <c r="D989" s="3" t="s">
        <v>46</v>
      </c>
      <c r="E989" s="3" t="s">
        <v>25</v>
      </c>
      <c r="F989" s="3" t="s">
        <v>25</v>
      </c>
      <c r="G989" s="3" t="s">
        <v>25</v>
      </c>
      <c r="H989" s="3" t="s">
        <v>36</v>
      </c>
      <c r="I989" s="6">
        <v>44470</v>
      </c>
      <c r="J989" s="4">
        <v>0</v>
      </c>
      <c r="K989" s="4">
        <v>0</v>
      </c>
      <c r="L989" s="4">
        <v>6449.4030000000002</v>
      </c>
      <c r="M989" s="4">
        <v>6449.4030000000002</v>
      </c>
      <c r="N989" s="4">
        <v>6449.4030000000002</v>
      </c>
      <c r="O989" s="4">
        <v>6449.4030000000002</v>
      </c>
      <c r="P989" s="4">
        <v>0</v>
      </c>
      <c r="Q989" s="3" t="s">
        <v>26</v>
      </c>
      <c r="R989" s="3">
        <v>0</v>
      </c>
      <c r="S989" s="4">
        <v>0</v>
      </c>
      <c r="T989" s="4">
        <v>29</v>
      </c>
      <c r="U989" s="4">
        <v>73</v>
      </c>
      <c r="V989" s="4">
        <f>IF(ISERROR(VLOOKUP($S$989,'TAR FIN'!$A$1:$O$99,15,0)),0,VLOOKUP($S$989,'TAR FIN'!$A$1:$O$99,15,0))</f>
        <v>0</v>
      </c>
      <c r="W989" s="4">
        <f>IF(ISERROR(VLOOKUP($T$989,'TAR FIN'!$A$1:$O$99,15,0)),0,VLOOKUP($T$989,'TAR FIN'!$A$1:$O$99,15,0))</f>
        <v>97.61</v>
      </c>
      <c r="X989" s="4">
        <f>IF(ISERROR(VLOOKUP($U$989,'TAR FIN'!$A$1:$O$99,15,0)),0,VLOOKUP($U$989,'TAR FIN'!$A$1:$O$99,15,0))</f>
        <v>219.97</v>
      </c>
      <c r="Y989" s="4"/>
      <c r="Z989" s="4">
        <f ca="1">('TUSD BE'!$AM$23+'TUSD BF'!$AM$23+'TUSD CVA'!$AM$23)*1</f>
        <v>117.59114529324071</v>
      </c>
      <c r="AA989" s="4">
        <f>('TE BE'!$AA$8+'TE BF'!$AA$8+'TE CVA'!$AA$8)*1</f>
        <v>271.13910989737087</v>
      </c>
      <c r="AB989" s="4">
        <f>$K$989*$V$989</f>
        <v>0</v>
      </c>
      <c r="AC989" s="4">
        <f>$M$989*$W$989</f>
        <v>629526.22683000006</v>
      </c>
      <c r="AD989" s="4">
        <f>$O$989*$X$989</f>
        <v>1418675.1779100001</v>
      </c>
      <c r="AE989" s="4">
        <f>$K$989*$Y$989</f>
        <v>0</v>
      </c>
      <c r="AF989" s="4">
        <f ca="1">$M$989*$Z$989</f>
        <v>758392.68522766256</v>
      </c>
      <c r="AG989" s="4">
        <f>$O$989*$AA$989</f>
        <v>1748685.3887894335</v>
      </c>
    </row>
    <row r="990" spans="1:33" ht="11.25" customHeight="1" x14ac:dyDescent="0.25">
      <c r="A990" s="3" t="s">
        <v>27</v>
      </c>
      <c r="B990" s="3" t="s">
        <v>33</v>
      </c>
      <c r="C990" s="3" t="s">
        <v>34</v>
      </c>
      <c r="D990" s="3" t="s">
        <v>46</v>
      </c>
      <c r="E990" s="3" t="s">
        <v>25</v>
      </c>
      <c r="F990" s="3" t="s">
        <v>25</v>
      </c>
      <c r="G990" s="3" t="s">
        <v>25</v>
      </c>
      <c r="H990" s="3" t="s">
        <v>36</v>
      </c>
      <c r="I990" s="6">
        <v>44470</v>
      </c>
      <c r="J990" s="4">
        <v>0</v>
      </c>
      <c r="K990" s="4">
        <v>0</v>
      </c>
      <c r="L990" s="4">
        <v>6.6920000000000002</v>
      </c>
      <c r="M990" s="4">
        <v>6.6920000000000002</v>
      </c>
      <c r="N990" s="4">
        <v>6.6920000000000002</v>
      </c>
      <c r="O990" s="4">
        <v>6.6920000000000002</v>
      </c>
      <c r="P990" s="4">
        <v>0</v>
      </c>
      <c r="Q990" s="3" t="s">
        <v>26</v>
      </c>
      <c r="R990" s="3">
        <v>0</v>
      </c>
      <c r="S990" s="4">
        <v>0</v>
      </c>
      <c r="T990" s="4">
        <v>29</v>
      </c>
      <c r="U990" s="4">
        <v>73</v>
      </c>
      <c r="V990" s="4">
        <f>IF(ISERROR(VLOOKUP($S$990,'TAR FIN'!$A$1:$O$99,15,0)),0,VLOOKUP($S$990,'TAR FIN'!$A$1:$O$99,15,0))</f>
        <v>0</v>
      </c>
      <c r="W990" s="4">
        <f>IF(ISERROR(VLOOKUP($T$990,'TAR FIN'!$A$1:$O$99,15,0)),0,VLOOKUP($T$990,'TAR FIN'!$A$1:$O$99,15,0))</f>
        <v>97.61</v>
      </c>
      <c r="X990" s="4">
        <f>IF(ISERROR(VLOOKUP($U$990,'TAR FIN'!$A$1:$O$99,15,0)),0,VLOOKUP($U$990,'TAR FIN'!$A$1:$O$99,15,0))</f>
        <v>219.97</v>
      </c>
      <c r="Y990" s="4"/>
      <c r="Z990" s="4">
        <f ca="1">('TUSD BE'!$AM$23+'TUSD BF'!$AM$23+'TUSD CVA'!$AM$23)*1</f>
        <v>117.59114529324071</v>
      </c>
      <c r="AA990" s="4">
        <f>('TE BE'!$AA$8+'TE BF'!$AA$8+'TE CVA'!$AA$8)*1</f>
        <v>271.13910989737087</v>
      </c>
      <c r="AB990" s="4">
        <f>$K$990*$V$990</f>
        <v>0</v>
      </c>
      <c r="AC990" s="4">
        <f>$M$990*$W$990</f>
        <v>653.20612000000006</v>
      </c>
      <c r="AD990" s="4">
        <f>$O$990*$X$990</f>
        <v>1472.0392400000001</v>
      </c>
      <c r="AE990" s="4">
        <f>$K$990*$Y$990</f>
        <v>0</v>
      </c>
      <c r="AF990" s="4">
        <f ca="1">$M$990*$Z$990</f>
        <v>786.91994430236684</v>
      </c>
      <c r="AG990" s="4">
        <f>$O$990*$AA$990</f>
        <v>1814.462923433206</v>
      </c>
    </row>
    <row r="991" spans="1:33" ht="11.25" customHeight="1" x14ac:dyDescent="0.25">
      <c r="A991" s="3" t="s">
        <v>28</v>
      </c>
      <c r="B991" s="3" t="s">
        <v>33</v>
      </c>
      <c r="C991" s="3" t="s">
        <v>34</v>
      </c>
      <c r="D991" s="3" t="s">
        <v>46</v>
      </c>
      <c r="E991" s="3" t="s">
        <v>25</v>
      </c>
      <c r="F991" s="3" t="s">
        <v>25</v>
      </c>
      <c r="G991" s="3" t="s">
        <v>25</v>
      </c>
      <c r="H991" s="3" t="s">
        <v>36</v>
      </c>
      <c r="I991" s="6">
        <v>44470</v>
      </c>
      <c r="J991" s="4">
        <v>0</v>
      </c>
      <c r="K991" s="4">
        <v>0</v>
      </c>
      <c r="L991" s="4">
        <v>171.828</v>
      </c>
      <c r="M991" s="4">
        <v>171.828</v>
      </c>
      <c r="N991" s="4">
        <v>171.828</v>
      </c>
      <c r="O991" s="4">
        <v>171.828</v>
      </c>
      <c r="P991" s="4">
        <v>0</v>
      </c>
      <c r="Q991" s="3" t="s">
        <v>26</v>
      </c>
      <c r="R991" s="3">
        <v>0</v>
      </c>
      <c r="S991" s="4">
        <v>0</v>
      </c>
      <c r="T991" s="4">
        <v>29</v>
      </c>
      <c r="U991" s="4">
        <v>73</v>
      </c>
      <c r="V991" s="4">
        <f>IF(ISERROR(VLOOKUP($S$991,'TAR FIN'!$A$1:$O$99,15,0)),0,VLOOKUP($S$991,'TAR FIN'!$A$1:$O$99,15,0))</f>
        <v>0</v>
      </c>
      <c r="W991" s="4">
        <f>IF(ISERROR(VLOOKUP($T$991,'TAR FIN'!$A$1:$O$99,15,0)),0,VLOOKUP($T$991,'TAR FIN'!$A$1:$O$99,15,0))</f>
        <v>97.61</v>
      </c>
      <c r="X991" s="4">
        <f>IF(ISERROR(VLOOKUP($U$991,'TAR FIN'!$A$1:$O$99,15,0)),0,VLOOKUP($U$991,'TAR FIN'!$A$1:$O$99,15,0))</f>
        <v>219.97</v>
      </c>
      <c r="Y991" s="4"/>
      <c r="Z991" s="4">
        <f ca="1">('TUSD BE'!$AM$23+'TUSD BF'!$AM$23+'TUSD CVA'!$AM$23)*1</f>
        <v>117.59114529324071</v>
      </c>
      <c r="AA991" s="4">
        <f>('TE BE'!$AA$8+'TE BF'!$AA$8+'TE CVA'!$AA$8)*1</f>
        <v>271.13910989737087</v>
      </c>
      <c r="AB991" s="4">
        <f>$K$991*$V$991</f>
        <v>0</v>
      </c>
      <c r="AC991" s="4">
        <f>$M$991*$W$991</f>
        <v>16772.131079999999</v>
      </c>
      <c r="AD991" s="4">
        <f>$O$991*$X$991</f>
        <v>37797.005160000001</v>
      </c>
      <c r="AE991" s="4">
        <f>$K$991*$Y$991</f>
        <v>0</v>
      </c>
      <c r="AF991" s="4">
        <f ca="1">$M$991*$Z$991</f>
        <v>20205.451313446967</v>
      </c>
      <c r="AG991" s="4">
        <f>$O$991*$AA$991</f>
        <v>46589.290975445445</v>
      </c>
    </row>
    <row r="992" spans="1:33" ht="11.25" customHeight="1" x14ac:dyDescent="0.25">
      <c r="A992" s="3" t="s">
        <v>21</v>
      </c>
      <c r="B992" s="3" t="s">
        <v>33</v>
      </c>
      <c r="C992" s="3" t="s">
        <v>34</v>
      </c>
      <c r="D992" s="3" t="s">
        <v>46</v>
      </c>
      <c r="E992" s="3" t="s">
        <v>25</v>
      </c>
      <c r="F992" s="3" t="s">
        <v>25</v>
      </c>
      <c r="G992" s="3" t="s">
        <v>25</v>
      </c>
      <c r="H992" s="3" t="s">
        <v>36</v>
      </c>
      <c r="I992" s="6">
        <v>44501</v>
      </c>
      <c r="J992" s="4">
        <v>0</v>
      </c>
      <c r="K992" s="4">
        <v>0</v>
      </c>
      <c r="L992" s="4">
        <v>7020.8819999999996</v>
      </c>
      <c r="M992" s="4">
        <v>7020.8819999999996</v>
      </c>
      <c r="N992" s="4">
        <v>7020.8819999999996</v>
      </c>
      <c r="O992" s="4">
        <v>7020.8819999999996</v>
      </c>
      <c r="P992" s="4">
        <v>0</v>
      </c>
      <c r="Q992" s="3" t="s">
        <v>26</v>
      </c>
      <c r="R992" s="3">
        <v>0</v>
      </c>
      <c r="S992" s="4">
        <v>0</v>
      </c>
      <c r="T992" s="4">
        <v>29</v>
      </c>
      <c r="U992" s="4">
        <v>73</v>
      </c>
      <c r="V992" s="4">
        <f>IF(ISERROR(VLOOKUP($S$992,'TAR FIN'!$A$1:$O$99,15,0)),0,VLOOKUP($S$992,'TAR FIN'!$A$1:$O$99,15,0))</f>
        <v>0</v>
      </c>
      <c r="W992" s="4">
        <f>IF(ISERROR(VLOOKUP($T$992,'TAR FIN'!$A$1:$O$99,15,0)),0,VLOOKUP($T$992,'TAR FIN'!$A$1:$O$99,15,0))</f>
        <v>97.61</v>
      </c>
      <c r="X992" s="4">
        <f>IF(ISERROR(VLOOKUP($U$992,'TAR FIN'!$A$1:$O$99,15,0)),0,VLOOKUP($U$992,'TAR FIN'!$A$1:$O$99,15,0))</f>
        <v>219.97</v>
      </c>
      <c r="Y992" s="4"/>
      <c r="Z992" s="4">
        <f ca="1">('TUSD BE'!$AM$23+'TUSD BF'!$AM$23+'TUSD CVA'!$AM$23)*1</f>
        <v>117.59114529324071</v>
      </c>
      <c r="AA992" s="4">
        <f>('TE BE'!$AA$8+'TE BF'!$AA$8+'TE CVA'!$AA$8)*1</f>
        <v>271.13910989737087</v>
      </c>
      <c r="AB992" s="4">
        <f>$K$992*$V$992</f>
        <v>0</v>
      </c>
      <c r="AC992" s="4">
        <f>$M$992*$W$992</f>
        <v>685308.29201999994</v>
      </c>
      <c r="AD992" s="4">
        <f>$O$992*$X$992</f>
        <v>1544383.4135399999</v>
      </c>
      <c r="AE992" s="4">
        <f>$K$992*$Y$992</f>
        <v>0</v>
      </c>
      <c r="AF992" s="4">
        <f ca="1">$M$992*$Z$992</f>
        <v>825593.5553486984</v>
      </c>
      <c r="AG992" s="4">
        <f>$O$992*$AA$992</f>
        <v>1903635.6961744728</v>
      </c>
    </row>
    <row r="993" spans="1:33" ht="11.25" customHeight="1" x14ac:dyDescent="0.25">
      <c r="A993" s="3" t="s">
        <v>28</v>
      </c>
      <c r="B993" s="3" t="s">
        <v>33</v>
      </c>
      <c r="C993" s="3" t="s">
        <v>34</v>
      </c>
      <c r="D993" s="3" t="s">
        <v>46</v>
      </c>
      <c r="E993" s="3" t="s">
        <v>25</v>
      </c>
      <c r="F993" s="3" t="s">
        <v>25</v>
      </c>
      <c r="G993" s="3" t="s">
        <v>25</v>
      </c>
      <c r="H993" s="3" t="s">
        <v>36</v>
      </c>
      <c r="I993" s="6">
        <v>44501</v>
      </c>
      <c r="J993" s="4">
        <v>0</v>
      </c>
      <c r="K993" s="4">
        <v>0</v>
      </c>
      <c r="L993" s="4">
        <v>198.953</v>
      </c>
      <c r="M993" s="4">
        <v>198.953</v>
      </c>
      <c r="N993" s="4">
        <v>198.953</v>
      </c>
      <c r="O993" s="4">
        <v>198.953</v>
      </c>
      <c r="P993" s="4">
        <v>0</v>
      </c>
      <c r="Q993" s="3" t="s">
        <v>26</v>
      </c>
      <c r="R993" s="3">
        <v>0</v>
      </c>
      <c r="S993" s="4">
        <v>0</v>
      </c>
      <c r="T993" s="4">
        <v>29</v>
      </c>
      <c r="U993" s="4">
        <v>73</v>
      </c>
      <c r="V993" s="4">
        <f>IF(ISERROR(VLOOKUP($S$993,'TAR FIN'!$A$1:$O$99,15,0)),0,VLOOKUP($S$993,'TAR FIN'!$A$1:$O$99,15,0))</f>
        <v>0</v>
      </c>
      <c r="W993" s="4">
        <f>IF(ISERROR(VLOOKUP($T$993,'TAR FIN'!$A$1:$O$99,15,0)),0,VLOOKUP($T$993,'TAR FIN'!$A$1:$O$99,15,0))</f>
        <v>97.61</v>
      </c>
      <c r="X993" s="4">
        <f>IF(ISERROR(VLOOKUP($U$993,'TAR FIN'!$A$1:$O$99,15,0)),0,VLOOKUP($U$993,'TAR FIN'!$A$1:$O$99,15,0))</f>
        <v>219.97</v>
      </c>
      <c r="Y993" s="4"/>
      <c r="Z993" s="4">
        <f ca="1">('TUSD BE'!$AM$23+'TUSD BF'!$AM$23+'TUSD CVA'!$AM$23)*1</f>
        <v>117.59114529324071</v>
      </c>
      <c r="AA993" s="4">
        <f>('TE BE'!$AA$8+'TE BF'!$AA$8+'TE CVA'!$AA$8)*1</f>
        <v>271.13910989737087</v>
      </c>
      <c r="AB993" s="4">
        <f>$K$993*$V$993</f>
        <v>0</v>
      </c>
      <c r="AC993" s="4">
        <f>$M$993*$W$993</f>
        <v>19419.802329999999</v>
      </c>
      <c r="AD993" s="4">
        <f>$O$993*$X$993</f>
        <v>43763.691409999999</v>
      </c>
      <c r="AE993" s="4">
        <f>$K$993*$Y$993</f>
        <v>0</v>
      </c>
      <c r="AF993" s="4">
        <f ca="1">$M$993*$Z$993</f>
        <v>23395.111129526122</v>
      </c>
      <c r="AG993" s="4">
        <f>$O$993*$AA$993</f>
        <v>53943.939331411631</v>
      </c>
    </row>
    <row r="994" spans="1:33" ht="11.25" customHeight="1" x14ac:dyDescent="0.25">
      <c r="A994" s="3" t="s">
        <v>21</v>
      </c>
      <c r="B994" s="3" t="s">
        <v>33</v>
      </c>
      <c r="C994" s="3" t="s">
        <v>34</v>
      </c>
      <c r="D994" s="3" t="s">
        <v>46</v>
      </c>
      <c r="E994" s="3" t="s">
        <v>25</v>
      </c>
      <c r="F994" s="3" t="s">
        <v>25</v>
      </c>
      <c r="G994" s="3" t="s">
        <v>25</v>
      </c>
      <c r="H994" s="3" t="s">
        <v>36</v>
      </c>
      <c r="I994" s="6">
        <v>44531</v>
      </c>
      <c r="J994" s="4">
        <v>0</v>
      </c>
      <c r="K994" s="4">
        <v>0</v>
      </c>
      <c r="L994" s="4">
        <v>6897.59</v>
      </c>
      <c r="M994" s="4">
        <v>6897.59</v>
      </c>
      <c r="N994" s="4">
        <v>6897.59</v>
      </c>
      <c r="O994" s="4">
        <v>6897.59</v>
      </c>
      <c r="P994" s="4">
        <v>0</v>
      </c>
      <c r="Q994" s="3" t="s">
        <v>26</v>
      </c>
      <c r="R994" s="3">
        <v>0</v>
      </c>
      <c r="S994" s="4">
        <v>0</v>
      </c>
      <c r="T994" s="4">
        <v>29</v>
      </c>
      <c r="U994" s="4">
        <v>73</v>
      </c>
      <c r="V994" s="4">
        <f>IF(ISERROR(VLOOKUP($S$994,'TAR FIN'!$A$1:$O$99,15,0)),0,VLOOKUP($S$994,'TAR FIN'!$A$1:$O$99,15,0))</f>
        <v>0</v>
      </c>
      <c r="W994" s="4">
        <f>IF(ISERROR(VLOOKUP($T$994,'TAR FIN'!$A$1:$O$99,15,0)),0,VLOOKUP($T$994,'TAR FIN'!$A$1:$O$99,15,0))</f>
        <v>97.61</v>
      </c>
      <c r="X994" s="4">
        <f>IF(ISERROR(VLOOKUP($U$994,'TAR FIN'!$A$1:$O$99,15,0)),0,VLOOKUP($U$994,'TAR FIN'!$A$1:$O$99,15,0))</f>
        <v>219.97</v>
      </c>
      <c r="Y994" s="4"/>
      <c r="Z994" s="4">
        <f ca="1">('TUSD BE'!$AM$23+'TUSD BF'!$AM$23+'TUSD CVA'!$AM$23)*1</f>
        <v>117.59114529324071</v>
      </c>
      <c r="AA994" s="4">
        <f>('TE BE'!$AA$8+'TE BF'!$AA$8+'TE CVA'!$AA$8)*1</f>
        <v>271.13910989737087</v>
      </c>
      <c r="AB994" s="4">
        <f>$K$994*$V$994</f>
        <v>0</v>
      </c>
      <c r="AC994" s="4">
        <f>$M$994*$W$994</f>
        <v>673273.75990000006</v>
      </c>
      <c r="AD994" s="4">
        <f>$O$994*$X$994</f>
        <v>1517262.8722999999</v>
      </c>
      <c r="AE994" s="4">
        <f>$K$994*$Y$994</f>
        <v>0</v>
      </c>
      <c r="AF994" s="4">
        <f ca="1">$M$994*$Z$994</f>
        <v>811095.50786320423</v>
      </c>
      <c r="AG994" s="4">
        <f>$O$994*$AA$994</f>
        <v>1870206.4130370063</v>
      </c>
    </row>
    <row r="995" spans="1:33" ht="11.25" customHeight="1" x14ac:dyDescent="0.25">
      <c r="A995" s="3" t="s">
        <v>28</v>
      </c>
      <c r="B995" s="3" t="s">
        <v>33</v>
      </c>
      <c r="C995" s="3" t="s">
        <v>34</v>
      </c>
      <c r="D995" s="3" t="s">
        <v>46</v>
      </c>
      <c r="E995" s="3" t="s">
        <v>25</v>
      </c>
      <c r="F995" s="3" t="s">
        <v>25</v>
      </c>
      <c r="G995" s="3" t="s">
        <v>25</v>
      </c>
      <c r="H995" s="3" t="s">
        <v>36</v>
      </c>
      <c r="I995" s="6">
        <v>44531</v>
      </c>
      <c r="J995" s="4">
        <v>0</v>
      </c>
      <c r="K995" s="4">
        <v>0</v>
      </c>
      <c r="L995" s="4">
        <v>159.155</v>
      </c>
      <c r="M995" s="4">
        <v>159.155</v>
      </c>
      <c r="N995" s="4">
        <v>159.155</v>
      </c>
      <c r="O995" s="4">
        <v>159.155</v>
      </c>
      <c r="P995" s="4">
        <v>0</v>
      </c>
      <c r="Q995" s="3" t="s">
        <v>26</v>
      </c>
      <c r="R995" s="3">
        <v>0</v>
      </c>
      <c r="S995" s="4">
        <v>0</v>
      </c>
      <c r="T995" s="4">
        <v>29</v>
      </c>
      <c r="U995" s="4">
        <v>73</v>
      </c>
      <c r="V995" s="4">
        <f>IF(ISERROR(VLOOKUP($S$995,'TAR FIN'!$A$1:$O$99,15,0)),0,VLOOKUP($S$995,'TAR FIN'!$A$1:$O$99,15,0))</f>
        <v>0</v>
      </c>
      <c r="W995" s="4">
        <f>IF(ISERROR(VLOOKUP($T$995,'TAR FIN'!$A$1:$O$99,15,0)),0,VLOOKUP($T$995,'TAR FIN'!$A$1:$O$99,15,0))</f>
        <v>97.61</v>
      </c>
      <c r="X995" s="4">
        <f>IF(ISERROR(VLOOKUP($U$995,'TAR FIN'!$A$1:$O$99,15,0)),0,VLOOKUP($U$995,'TAR FIN'!$A$1:$O$99,15,0))</f>
        <v>219.97</v>
      </c>
      <c r="Y995" s="4"/>
      <c r="Z995" s="4">
        <f ca="1">('TUSD BE'!$AM$23+'TUSD BF'!$AM$23+'TUSD CVA'!$AM$23)*1</f>
        <v>117.59114529324071</v>
      </c>
      <c r="AA995" s="4">
        <f>('TE BE'!$AA$8+'TE BF'!$AA$8+'TE CVA'!$AA$8)*1</f>
        <v>271.13910989737087</v>
      </c>
      <c r="AB995" s="4">
        <f>$K$995*$V$995</f>
        <v>0</v>
      </c>
      <c r="AC995" s="4">
        <f>$M$995*$W$995</f>
        <v>15535.119549999999</v>
      </c>
      <c r="AD995" s="4">
        <f>$O$995*$X$995</f>
        <v>35009.325349999999</v>
      </c>
      <c r="AE995" s="4">
        <f>$K$995*$Y$995</f>
        <v>0</v>
      </c>
      <c r="AF995" s="4">
        <f ca="1">$M$995*$Z$995</f>
        <v>18715.218729145727</v>
      </c>
      <c r="AG995" s="4">
        <f>$O$995*$AA$995</f>
        <v>43153.145035716065</v>
      </c>
    </row>
    <row r="996" spans="1:33" ht="11.25" customHeight="1" x14ac:dyDescent="0.25">
      <c r="A996" s="3" t="s">
        <v>21</v>
      </c>
      <c r="B996" s="3" t="s">
        <v>33</v>
      </c>
      <c r="C996" s="3" t="s">
        <v>34</v>
      </c>
      <c r="D996" s="3" t="s">
        <v>46</v>
      </c>
      <c r="E996" s="3" t="s">
        <v>25</v>
      </c>
      <c r="F996" s="3" t="s">
        <v>25</v>
      </c>
      <c r="G996" s="3" t="s">
        <v>25</v>
      </c>
      <c r="H996" s="3" t="s">
        <v>36</v>
      </c>
      <c r="I996" s="6">
        <v>44562</v>
      </c>
      <c r="J996" s="4">
        <v>0</v>
      </c>
      <c r="K996" s="4">
        <v>0</v>
      </c>
      <c r="L996" s="4">
        <v>6845.6949999999997</v>
      </c>
      <c r="M996" s="4">
        <v>6845.6949999999997</v>
      </c>
      <c r="N996" s="4">
        <v>6845.6949999999997</v>
      </c>
      <c r="O996" s="4">
        <v>6845.6949999999997</v>
      </c>
      <c r="P996" s="4">
        <v>0</v>
      </c>
      <c r="Q996" s="3" t="s">
        <v>26</v>
      </c>
      <c r="R996" s="3">
        <v>0</v>
      </c>
      <c r="S996" s="4">
        <v>0</v>
      </c>
      <c r="T996" s="4">
        <v>29</v>
      </c>
      <c r="U996" s="4">
        <v>73</v>
      </c>
      <c r="V996" s="4">
        <f>IF(ISERROR(VLOOKUP($S$996,'TAR FIN'!$A$1:$O$99,15,0)),0,VLOOKUP($S$996,'TAR FIN'!$A$1:$O$99,15,0))</f>
        <v>0</v>
      </c>
      <c r="W996" s="4">
        <f>IF(ISERROR(VLOOKUP($T$996,'TAR FIN'!$A$1:$O$99,15,0)),0,VLOOKUP($T$996,'TAR FIN'!$A$1:$O$99,15,0))</f>
        <v>97.61</v>
      </c>
      <c r="X996" s="4">
        <f>IF(ISERROR(VLOOKUP($U$996,'TAR FIN'!$A$1:$O$99,15,0)),0,VLOOKUP($U$996,'TAR FIN'!$A$1:$O$99,15,0))</f>
        <v>219.97</v>
      </c>
      <c r="Y996" s="4"/>
      <c r="Z996" s="4">
        <f ca="1">('TUSD BE'!$AM$23+'TUSD BF'!$AM$23+'TUSD CVA'!$AM$23)*1</f>
        <v>117.59114529324071</v>
      </c>
      <c r="AA996" s="4">
        <f>('TE BE'!$AA$8+'TE BF'!$AA$8+'TE CVA'!$AA$8)*1</f>
        <v>271.13910989737087</v>
      </c>
      <c r="AB996" s="4">
        <f>$K$996*$V$996</f>
        <v>0</v>
      </c>
      <c r="AC996" s="4">
        <f>$M$996*$W$996</f>
        <v>668208.28894999996</v>
      </c>
      <c r="AD996" s="4">
        <f>$O$996*$X$996</f>
        <v>1505847.5291499998</v>
      </c>
      <c r="AE996" s="4">
        <f>$K$996*$Y$996</f>
        <v>0</v>
      </c>
      <c r="AF996" s="4">
        <f ca="1">$M$996*$Z$996</f>
        <v>804993.11537821149</v>
      </c>
      <c r="AG996" s="4">
        <f>$O$996*$AA$996</f>
        <v>1856135.6489288823</v>
      </c>
    </row>
    <row r="997" spans="1:33" ht="11.25" customHeight="1" x14ac:dyDescent="0.25">
      <c r="A997" s="3" t="s">
        <v>28</v>
      </c>
      <c r="B997" s="3" t="s">
        <v>33</v>
      </c>
      <c r="C997" s="3" t="s">
        <v>34</v>
      </c>
      <c r="D997" s="3" t="s">
        <v>46</v>
      </c>
      <c r="E997" s="3" t="s">
        <v>25</v>
      </c>
      <c r="F997" s="3" t="s">
        <v>25</v>
      </c>
      <c r="G997" s="3" t="s">
        <v>25</v>
      </c>
      <c r="H997" s="3" t="s">
        <v>36</v>
      </c>
      <c r="I997" s="6">
        <v>44562</v>
      </c>
      <c r="J997" s="4">
        <v>0</v>
      </c>
      <c r="K997" s="4">
        <v>0</v>
      </c>
      <c r="L997" s="4">
        <v>170.70099999999999</v>
      </c>
      <c r="M997" s="4">
        <v>170.70099999999999</v>
      </c>
      <c r="N997" s="4">
        <v>170.70099999999999</v>
      </c>
      <c r="O997" s="4">
        <v>170.70099999999999</v>
      </c>
      <c r="P997" s="4">
        <v>0</v>
      </c>
      <c r="Q997" s="3" t="s">
        <v>26</v>
      </c>
      <c r="R997" s="3">
        <v>0</v>
      </c>
      <c r="S997" s="4">
        <v>0</v>
      </c>
      <c r="T997" s="4">
        <v>29</v>
      </c>
      <c r="U997" s="4">
        <v>73</v>
      </c>
      <c r="V997" s="4">
        <f>IF(ISERROR(VLOOKUP($S$997,'TAR FIN'!$A$1:$O$99,15,0)),0,VLOOKUP($S$997,'TAR FIN'!$A$1:$O$99,15,0))</f>
        <v>0</v>
      </c>
      <c r="W997" s="4">
        <f>IF(ISERROR(VLOOKUP($T$997,'TAR FIN'!$A$1:$O$99,15,0)),0,VLOOKUP($T$997,'TAR FIN'!$A$1:$O$99,15,0))</f>
        <v>97.61</v>
      </c>
      <c r="X997" s="4">
        <f>IF(ISERROR(VLOOKUP($U$997,'TAR FIN'!$A$1:$O$99,15,0)),0,VLOOKUP($U$997,'TAR FIN'!$A$1:$O$99,15,0))</f>
        <v>219.97</v>
      </c>
      <c r="Y997" s="4"/>
      <c r="Z997" s="4">
        <f ca="1">('TUSD BE'!$AM$23+'TUSD BF'!$AM$23+'TUSD CVA'!$AM$23)*1</f>
        <v>117.59114529324071</v>
      </c>
      <c r="AA997" s="4">
        <f>('TE BE'!$AA$8+'TE BF'!$AA$8+'TE CVA'!$AA$8)*1</f>
        <v>271.13910989737087</v>
      </c>
      <c r="AB997" s="4">
        <f>$K$997*$V$997</f>
        <v>0</v>
      </c>
      <c r="AC997" s="4">
        <f>$M$997*$W$997</f>
        <v>16662.124609999999</v>
      </c>
      <c r="AD997" s="4">
        <f>$O$997*$X$997</f>
        <v>37549.098969999999</v>
      </c>
      <c r="AE997" s="4">
        <f>$K$997*$Y$997</f>
        <v>0</v>
      </c>
      <c r="AF997" s="4">
        <f ca="1">$M$997*$Z$997</f>
        <v>20072.926092701484</v>
      </c>
      <c r="AG997" s="4">
        <f>$O$997*$AA$997</f>
        <v>46283.717198591105</v>
      </c>
    </row>
    <row r="998" spans="1:33" ht="11.25" customHeight="1" x14ac:dyDescent="0.25">
      <c r="A998" s="3" t="s">
        <v>21</v>
      </c>
      <c r="B998" s="3" t="s">
        <v>33</v>
      </c>
      <c r="C998" s="3" t="s">
        <v>34</v>
      </c>
      <c r="D998" s="3" t="s">
        <v>46</v>
      </c>
      <c r="E998" s="3" t="s">
        <v>25</v>
      </c>
      <c r="F998" s="3" t="s">
        <v>25</v>
      </c>
      <c r="G998" s="3" t="s">
        <v>25</v>
      </c>
      <c r="H998" s="3" t="s">
        <v>36</v>
      </c>
      <c r="I998" s="6">
        <v>44593</v>
      </c>
      <c r="J998" s="4">
        <v>0</v>
      </c>
      <c r="K998" s="4">
        <v>0</v>
      </c>
      <c r="L998" s="4">
        <v>6822.933</v>
      </c>
      <c r="M998" s="4">
        <v>6822.933</v>
      </c>
      <c r="N998" s="4">
        <v>6822.933</v>
      </c>
      <c r="O998" s="4">
        <v>6822.933</v>
      </c>
      <c r="P998" s="4">
        <v>0</v>
      </c>
      <c r="Q998" s="3" t="s">
        <v>26</v>
      </c>
      <c r="R998" s="3">
        <v>0</v>
      </c>
      <c r="S998" s="4">
        <v>0</v>
      </c>
      <c r="T998" s="4">
        <v>29</v>
      </c>
      <c r="U998" s="4">
        <v>73</v>
      </c>
      <c r="V998" s="4">
        <f>IF(ISERROR(VLOOKUP($S$998,'TAR FIN'!$A$1:$O$99,15,0)),0,VLOOKUP($S$998,'TAR FIN'!$A$1:$O$99,15,0))</f>
        <v>0</v>
      </c>
      <c r="W998" s="4">
        <f>IF(ISERROR(VLOOKUP($T$998,'TAR FIN'!$A$1:$O$99,15,0)),0,VLOOKUP($T$998,'TAR FIN'!$A$1:$O$99,15,0))</f>
        <v>97.61</v>
      </c>
      <c r="X998" s="4">
        <f>IF(ISERROR(VLOOKUP($U$998,'TAR FIN'!$A$1:$O$99,15,0)),0,VLOOKUP($U$998,'TAR FIN'!$A$1:$O$99,15,0))</f>
        <v>219.97</v>
      </c>
      <c r="Y998" s="4"/>
      <c r="Z998" s="4">
        <f ca="1">('TUSD BE'!$AM$23+'TUSD BF'!$AM$23+'TUSD CVA'!$AM$23)*1</f>
        <v>117.59114529324071</v>
      </c>
      <c r="AA998" s="4">
        <f>('TE BE'!$AA$8+'TE BF'!$AA$8+'TE CVA'!$AA$8)*1</f>
        <v>271.13910989737087</v>
      </c>
      <c r="AB998" s="4">
        <f>$K$998*$V$998</f>
        <v>0</v>
      </c>
      <c r="AC998" s="4">
        <f>$M$998*$W$998</f>
        <v>665986.49013000005</v>
      </c>
      <c r="AD998" s="4">
        <f>$O$998*$X$998</f>
        <v>1500840.57201</v>
      </c>
      <c r="AE998" s="4">
        <f>$K$998*$Y$998</f>
        <v>0</v>
      </c>
      <c r="AF998" s="4">
        <f ca="1">$M$998*$Z$998</f>
        <v>802316.50572904677</v>
      </c>
      <c r="AG998" s="4">
        <f>$O$998*$AA$998</f>
        <v>1849963.9805093983</v>
      </c>
    </row>
    <row r="999" spans="1:33" ht="11.25" customHeight="1" x14ac:dyDescent="0.25">
      <c r="A999" s="3" t="s">
        <v>28</v>
      </c>
      <c r="B999" s="3" t="s">
        <v>33</v>
      </c>
      <c r="C999" s="3" t="s">
        <v>34</v>
      </c>
      <c r="D999" s="3" t="s">
        <v>46</v>
      </c>
      <c r="E999" s="3" t="s">
        <v>25</v>
      </c>
      <c r="F999" s="3" t="s">
        <v>25</v>
      </c>
      <c r="G999" s="3" t="s">
        <v>25</v>
      </c>
      <c r="H999" s="3" t="s">
        <v>36</v>
      </c>
      <c r="I999" s="6">
        <v>44593</v>
      </c>
      <c r="J999" s="4">
        <v>0</v>
      </c>
      <c r="K999" s="4">
        <v>0</v>
      </c>
      <c r="L999" s="4">
        <v>182.28</v>
      </c>
      <c r="M999" s="4">
        <v>182.28</v>
      </c>
      <c r="N999" s="4">
        <v>182.28</v>
      </c>
      <c r="O999" s="4">
        <v>182.28</v>
      </c>
      <c r="P999" s="4">
        <v>0</v>
      </c>
      <c r="Q999" s="3" t="s">
        <v>26</v>
      </c>
      <c r="R999" s="3">
        <v>0</v>
      </c>
      <c r="S999" s="4">
        <v>0</v>
      </c>
      <c r="T999" s="4">
        <v>29</v>
      </c>
      <c r="U999" s="4">
        <v>73</v>
      </c>
      <c r="V999" s="4">
        <f>IF(ISERROR(VLOOKUP($S$999,'TAR FIN'!$A$1:$O$99,15,0)),0,VLOOKUP($S$999,'TAR FIN'!$A$1:$O$99,15,0))</f>
        <v>0</v>
      </c>
      <c r="W999" s="4">
        <f>IF(ISERROR(VLOOKUP($T$999,'TAR FIN'!$A$1:$O$99,15,0)),0,VLOOKUP($T$999,'TAR FIN'!$A$1:$O$99,15,0))</f>
        <v>97.61</v>
      </c>
      <c r="X999" s="4">
        <f>IF(ISERROR(VLOOKUP($U$999,'TAR FIN'!$A$1:$O$99,15,0)),0,VLOOKUP($U$999,'TAR FIN'!$A$1:$O$99,15,0))</f>
        <v>219.97</v>
      </c>
      <c r="Y999" s="4"/>
      <c r="Z999" s="4">
        <f ca="1">('TUSD BE'!$AM$23+'TUSD BF'!$AM$23+'TUSD CVA'!$AM$23)*1</f>
        <v>117.59114529324071</v>
      </c>
      <c r="AA999" s="4">
        <f>('TE BE'!$AA$8+'TE BF'!$AA$8+'TE CVA'!$AA$8)*1</f>
        <v>271.13910989737087</v>
      </c>
      <c r="AB999" s="4">
        <f>$K$999*$V$999</f>
        <v>0</v>
      </c>
      <c r="AC999" s="4">
        <f>$M$999*$W$999</f>
        <v>17792.3508</v>
      </c>
      <c r="AD999" s="4">
        <f>$O$999*$X$999</f>
        <v>40096.131600000001</v>
      </c>
      <c r="AE999" s="4">
        <f>$K$999*$Y$999</f>
        <v>0</v>
      </c>
      <c r="AF999" s="4">
        <f ca="1">$M$999*$Z$999</f>
        <v>21434.513964051919</v>
      </c>
      <c r="AG999" s="4">
        <f>$O$999*$AA$999</f>
        <v>49423.23695209276</v>
      </c>
    </row>
    <row r="1000" spans="1:33" ht="11.25" customHeight="1" x14ac:dyDescent="0.25">
      <c r="A1000" s="3" t="s">
        <v>21</v>
      </c>
      <c r="B1000" s="3" t="s">
        <v>33</v>
      </c>
      <c r="C1000" s="3" t="s">
        <v>34</v>
      </c>
      <c r="D1000" s="3" t="s">
        <v>46</v>
      </c>
      <c r="E1000" s="3" t="s">
        <v>25</v>
      </c>
      <c r="F1000" s="3" t="s">
        <v>25</v>
      </c>
      <c r="G1000" s="3" t="s">
        <v>25</v>
      </c>
      <c r="H1000" s="3" t="s">
        <v>36</v>
      </c>
      <c r="I1000" s="6">
        <v>44621</v>
      </c>
      <c r="J1000" s="4">
        <v>0</v>
      </c>
      <c r="K1000" s="4">
        <v>0</v>
      </c>
      <c r="L1000" s="4">
        <v>7494.7740000000003</v>
      </c>
      <c r="M1000" s="4">
        <v>7494.7740000000003</v>
      </c>
      <c r="N1000" s="4">
        <v>7494.7740000000003</v>
      </c>
      <c r="O1000" s="4">
        <v>7494.7740000000003</v>
      </c>
      <c r="P1000" s="4">
        <v>0</v>
      </c>
      <c r="Q1000" s="3" t="s">
        <v>26</v>
      </c>
      <c r="R1000" s="3">
        <v>0</v>
      </c>
      <c r="S1000" s="4">
        <v>0</v>
      </c>
      <c r="T1000" s="4">
        <v>29</v>
      </c>
      <c r="U1000" s="4">
        <v>73</v>
      </c>
      <c r="V1000" s="4">
        <f>IF(ISERROR(VLOOKUP($S$1000,'TAR FIN'!$A$1:$O$99,15,0)),0,VLOOKUP($S$1000,'TAR FIN'!$A$1:$O$99,15,0))</f>
        <v>0</v>
      </c>
      <c r="W1000" s="4">
        <f>IF(ISERROR(VLOOKUP($T$1000,'TAR FIN'!$A$1:$O$99,15,0)),0,VLOOKUP($T$1000,'TAR FIN'!$A$1:$O$99,15,0))</f>
        <v>97.61</v>
      </c>
      <c r="X1000" s="4">
        <f>IF(ISERROR(VLOOKUP($U$1000,'TAR FIN'!$A$1:$O$99,15,0)),0,VLOOKUP($U$1000,'TAR FIN'!$A$1:$O$99,15,0))</f>
        <v>219.97</v>
      </c>
      <c r="Y1000" s="4"/>
      <c r="Z1000" s="4">
        <f ca="1">('TUSD BE'!$AM$23+'TUSD BF'!$AM$23+'TUSD CVA'!$AM$23)*1</f>
        <v>117.59114529324071</v>
      </c>
      <c r="AA1000" s="4">
        <f>('TE BE'!$AA$8+'TE BF'!$AA$8+'TE CVA'!$AA$8)*1</f>
        <v>271.13910989737087</v>
      </c>
      <c r="AB1000" s="4">
        <f>$K$1000*$V$1000</f>
        <v>0</v>
      </c>
      <c r="AC1000" s="4">
        <f>$M$1000*$W$1000</f>
        <v>731564.89014000003</v>
      </c>
      <c r="AD1000" s="4">
        <f>$O$1000*$X$1000</f>
        <v>1648625.4367800001</v>
      </c>
      <c r="AE1000" s="4">
        <f>$K$1000*$Y$1000</f>
        <v>0</v>
      </c>
      <c r="AF1000" s="4">
        <f ca="1">$M$1000*$Z$1000</f>
        <v>881319.05837400293</v>
      </c>
      <c r="AG1000" s="4">
        <f>$O$1000*$AA$1000</f>
        <v>2032126.3512419579</v>
      </c>
    </row>
    <row r="1001" spans="1:33" ht="11.25" customHeight="1" x14ac:dyDescent="0.25">
      <c r="A1001" s="3" t="s">
        <v>28</v>
      </c>
      <c r="B1001" s="3" t="s">
        <v>33</v>
      </c>
      <c r="C1001" s="3" t="s">
        <v>34</v>
      </c>
      <c r="D1001" s="3" t="s">
        <v>46</v>
      </c>
      <c r="E1001" s="3" t="s">
        <v>25</v>
      </c>
      <c r="F1001" s="3" t="s">
        <v>25</v>
      </c>
      <c r="G1001" s="3" t="s">
        <v>25</v>
      </c>
      <c r="H1001" s="3" t="s">
        <v>36</v>
      </c>
      <c r="I1001" s="6">
        <v>44621</v>
      </c>
      <c r="J1001" s="4">
        <v>0</v>
      </c>
      <c r="K1001" s="4">
        <v>0</v>
      </c>
      <c r="L1001" s="4">
        <v>231.09200000000001</v>
      </c>
      <c r="M1001" s="4">
        <v>231.09200000000001</v>
      </c>
      <c r="N1001" s="4">
        <v>231.09200000000001</v>
      </c>
      <c r="O1001" s="4">
        <v>231.09200000000001</v>
      </c>
      <c r="P1001" s="4">
        <v>0</v>
      </c>
      <c r="Q1001" s="3" t="s">
        <v>26</v>
      </c>
      <c r="R1001" s="3">
        <v>0</v>
      </c>
      <c r="S1001" s="4">
        <v>0</v>
      </c>
      <c r="T1001" s="4">
        <v>29</v>
      </c>
      <c r="U1001" s="4">
        <v>73</v>
      </c>
      <c r="V1001" s="4">
        <f>IF(ISERROR(VLOOKUP($S$1001,'TAR FIN'!$A$1:$O$99,15,0)),0,VLOOKUP($S$1001,'TAR FIN'!$A$1:$O$99,15,0))</f>
        <v>0</v>
      </c>
      <c r="W1001" s="4">
        <f>IF(ISERROR(VLOOKUP($T$1001,'TAR FIN'!$A$1:$O$99,15,0)),0,VLOOKUP($T$1001,'TAR FIN'!$A$1:$O$99,15,0))</f>
        <v>97.61</v>
      </c>
      <c r="X1001" s="4">
        <f>IF(ISERROR(VLOOKUP($U$1001,'TAR FIN'!$A$1:$O$99,15,0)),0,VLOOKUP($U$1001,'TAR FIN'!$A$1:$O$99,15,0))</f>
        <v>219.97</v>
      </c>
      <c r="Y1001" s="4"/>
      <c r="Z1001" s="4">
        <f ca="1">('TUSD BE'!$AM$23+'TUSD BF'!$AM$23+'TUSD CVA'!$AM$23)*1</f>
        <v>117.59114529324071</v>
      </c>
      <c r="AA1001" s="4">
        <f>('TE BE'!$AA$8+'TE BF'!$AA$8+'TE CVA'!$AA$8)*1</f>
        <v>271.13910989737087</v>
      </c>
      <c r="AB1001" s="4">
        <f>$K$1001*$V$1001</f>
        <v>0</v>
      </c>
      <c r="AC1001" s="4">
        <f>$M$1001*$W$1001</f>
        <v>22556.89012</v>
      </c>
      <c r="AD1001" s="4">
        <f>$O$1001*$X$1001</f>
        <v>50833.307240000002</v>
      </c>
      <c r="AE1001" s="4">
        <f>$K$1001*$Y$1001</f>
        <v>0</v>
      </c>
      <c r="AF1001" s="4">
        <f ca="1">$M$1001*$Z$1001</f>
        <v>27174.372948105585</v>
      </c>
      <c r="AG1001" s="4">
        <f>$O$1001*$AA$1001</f>
        <v>62658.079184403236</v>
      </c>
    </row>
    <row r="1002" spans="1:33" ht="11.25" customHeight="1" x14ac:dyDescent="0.25">
      <c r="A1002" s="3" t="s">
        <v>56</v>
      </c>
      <c r="B1002" s="3" t="s">
        <v>33</v>
      </c>
      <c r="C1002" s="3" t="s">
        <v>34</v>
      </c>
      <c r="D1002" s="3" t="s">
        <v>46</v>
      </c>
      <c r="E1002" s="3" t="s">
        <v>25</v>
      </c>
      <c r="F1002" s="3" t="s">
        <v>25</v>
      </c>
      <c r="G1002" s="3" t="s">
        <v>25</v>
      </c>
      <c r="H1002" s="3" t="s">
        <v>36</v>
      </c>
      <c r="I1002" s="6">
        <v>44652</v>
      </c>
      <c r="J1002" s="4">
        <v>0</v>
      </c>
      <c r="K1002" s="4">
        <v>0</v>
      </c>
      <c r="L1002" s="4">
        <v>7494.7740000000003</v>
      </c>
      <c r="M1002" s="4">
        <v>7494.7740000000003</v>
      </c>
      <c r="N1002" s="4">
        <v>7494.7740000000003</v>
      </c>
      <c r="O1002" s="4">
        <v>7494.7740000000003</v>
      </c>
      <c r="P1002" s="4">
        <v>0</v>
      </c>
      <c r="Q1002" s="3" t="s">
        <v>26</v>
      </c>
      <c r="R1002" s="3">
        <v>0</v>
      </c>
      <c r="S1002" s="4">
        <v>0</v>
      </c>
      <c r="T1002" s="4">
        <v>29</v>
      </c>
      <c r="U1002" s="4">
        <v>73</v>
      </c>
      <c r="V1002" s="4">
        <f>IF(ISERROR(VLOOKUP($S$1002,'TAR FIN'!$A$1:$O$99,15,0)),0,VLOOKUP($S$1002,'TAR FIN'!$A$1:$O$99,15,0))</f>
        <v>0</v>
      </c>
      <c r="W1002" s="4">
        <f>IF(ISERROR(VLOOKUP($T$1002,'TAR FIN'!$A$1:$O$99,15,0)),0,VLOOKUP($T$1002,'TAR FIN'!$A$1:$O$99,15,0))</f>
        <v>97.61</v>
      </c>
      <c r="X1002" s="4">
        <f>IF(ISERROR(VLOOKUP($U$1002,'TAR FIN'!$A$1:$O$99,15,0)),0,VLOOKUP($U$1002,'TAR FIN'!$A$1:$O$99,15,0))</f>
        <v>219.97</v>
      </c>
      <c r="Y1002" s="4"/>
      <c r="Z1002" s="4">
        <f ca="1">('TUSD BE'!$AM$23+'TUSD BF'!$AM$23+'TUSD CVA'!$AM$23)*1</f>
        <v>117.59114529324071</v>
      </c>
      <c r="AA1002" s="4">
        <f>('TE BE'!$AA$8+'TE BF'!$AA$8+'TE CVA'!$AA$8)*1</f>
        <v>271.13910989737087</v>
      </c>
      <c r="AB1002" s="4">
        <f>$K$1002*$V$1002</f>
        <v>0</v>
      </c>
      <c r="AC1002" s="4">
        <f>$M$1002*$W$1002</f>
        <v>731564.89014000003</v>
      </c>
      <c r="AD1002" s="4">
        <f>$O$1002*$X$1002</f>
        <v>1648625.4367800001</v>
      </c>
      <c r="AE1002" s="4">
        <f>$K$1002*$Y$1002</f>
        <v>0</v>
      </c>
      <c r="AF1002" s="4">
        <f ca="1">$M$1002*$Z$1002</f>
        <v>881319.05837400293</v>
      </c>
      <c r="AG1002" s="4">
        <f>$O$1002*$AA$1002</f>
        <v>2032126.3512419579</v>
      </c>
    </row>
    <row r="1003" spans="1:33" ht="11.25" customHeight="1" x14ac:dyDescent="0.25">
      <c r="A1003" s="3" t="s">
        <v>56</v>
      </c>
      <c r="B1003" s="3" t="s">
        <v>33</v>
      </c>
      <c r="C1003" s="3" t="s">
        <v>34</v>
      </c>
      <c r="D1003" s="3" t="s">
        <v>46</v>
      </c>
      <c r="E1003" s="3" t="s">
        <v>25</v>
      </c>
      <c r="F1003" s="3" t="s">
        <v>25</v>
      </c>
      <c r="G1003" s="3" t="s">
        <v>25</v>
      </c>
      <c r="H1003" s="3" t="s">
        <v>36</v>
      </c>
      <c r="I1003" s="6">
        <v>44652</v>
      </c>
      <c r="J1003" s="4">
        <v>0</v>
      </c>
      <c r="K1003" s="4">
        <v>0</v>
      </c>
      <c r="L1003" s="4">
        <v>231.09200000000001</v>
      </c>
      <c r="M1003" s="4">
        <v>231.09200000000001</v>
      </c>
      <c r="N1003" s="4">
        <v>231.09200000000001</v>
      </c>
      <c r="O1003" s="4">
        <v>231.09200000000001</v>
      </c>
      <c r="P1003" s="4">
        <v>0</v>
      </c>
      <c r="Q1003" s="3" t="s">
        <v>26</v>
      </c>
      <c r="R1003" s="3">
        <v>0</v>
      </c>
      <c r="S1003" s="4">
        <v>0</v>
      </c>
      <c r="T1003" s="4">
        <v>29</v>
      </c>
      <c r="U1003" s="4">
        <v>73</v>
      </c>
      <c r="V1003" s="4">
        <f>IF(ISERROR(VLOOKUP($S$1003,'TAR FIN'!$A$1:$O$99,15,0)),0,VLOOKUP($S$1003,'TAR FIN'!$A$1:$O$99,15,0))</f>
        <v>0</v>
      </c>
      <c r="W1003" s="4">
        <f>IF(ISERROR(VLOOKUP($T$1003,'TAR FIN'!$A$1:$O$99,15,0)),0,VLOOKUP($T$1003,'TAR FIN'!$A$1:$O$99,15,0))</f>
        <v>97.61</v>
      </c>
      <c r="X1003" s="4">
        <f>IF(ISERROR(VLOOKUP($U$1003,'TAR FIN'!$A$1:$O$99,15,0)),0,VLOOKUP($U$1003,'TAR FIN'!$A$1:$O$99,15,0))</f>
        <v>219.97</v>
      </c>
      <c r="Y1003" s="4"/>
      <c r="Z1003" s="4">
        <f ca="1">('TUSD BE'!$AM$23+'TUSD BF'!$AM$23+'TUSD CVA'!$AM$23)*1</f>
        <v>117.59114529324071</v>
      </c>
      <c r="AA1003" s="4">
        <f>('TE BE'!$AA$8+'TE BF'!$AA$8+'TE CVA'!$AA$8)*1</f>
        <v>271.13910989737087</v>
      </c>
      <c r="AB1003" s="4">
        <f>$K$1003*$V$1003</f>
        <v>0</v>
      </c>
      <c r="AC1003" s="4">
        <f>$M$1003*$W$1003</f>
        <v>22556.89012</v>
      </c>
      <c r="AD1003" s="4">
        <f>$O$1003*$X$1003</f>
        <v>50833.307240000002</v>
      </c>
      <c r="AE1003" s="4">
        <f>$K$1003*$Y$1003</f>
        <v>0</v>
      </c>
      <c r="AF1003" s="4">
        <f ca="1">$M$1003*$Z$1003</f>
        <v>27174.372948105585</v>
      </c>
      <c r="AG1003" s="4">
        <f>$O$1003*$AA$1003</f>
        <v>62658.079184403236</v>
      </c>
    </row>
    <row r="1004" spans="1:33" ht="11.25" customHeight="1" x14ac:dyDescent="0.25">
      <c r="A1004" s="3" t="s">
        <v>21</v>
      </c>
      <c r="B1004" s="3" t="s">
        <v>33</v>
      </c>
      <c r="C1004" s="3" t="s">
        <v>34</v>
      </c>
      <c r="D1004" s="3" t="s">
        <v>46</v>
      </c>
      <c r="E1004" s="3" t="s">
        <v>25</v>
      </c>
      <c r="F1004" s="3" t="s">
        <v>25</v>
      </c>
      <c r="G1004" s="3" t="s">
        <v>25</v>
      </c>
      <c r="H1004" s="3" t="s">
        <v>25</v>
      </c>
      <c r="I1004" s="6">
        <v>44317</v>
      </c>
      <c r="J1004" s="4">
        <v>41587</v>
      </c>
      <c r="K1004" s="4">
        <v>41587</v>
      </c>
      <c r="L1004" s="4">
        <v>0</v>
      </c>
      <c r="M1004" s="4">
        <v>0</v>
      </c>
      <c r="N1004" s="4">
        <v>0</v>
      </c>
      <c r="O1004" s="4">
        <v>0</v>
      </c>
      <c r="P1004" s="4">
        <v>338</v>
      </c>
      <c r="Q1004" s="3" t="s">
        <v>26</v>
      </c>
      <c r="R1004" s="3">
        <v>0</v>
      </c>
      <c r="S1004" s="4">
        <v>7</v>
      </c>
      <c r="T1004" s="4">
        <v>0</v>
      </c>
      <c r="U1004" s="4">
        <v>0</v>
      </c>
      <c r="V1004" s="4">
        <f>IF(ISERROR(VLOOKUP($S$1004,'TAR FIN'!$A$1:$O$99,15,0)),0,VLOOKUP($S$1004,'TAR FIN'!$A$1:$O$99,15,0))</f>
        <v>21.85</v>
      </c>
      <c r="W1004" s="4">
        <f>IF(ISERROR(VLOOKUP($T$1004,'TAR FIN'!$A$1:$O$99,15,0)),0,VLOOKUP($T$1004,'TAR FIN'!$A$1:$O$99,15,0))</f>
        <v>0</v>
      </c>
      <c r="X1004" s="4">
        <f>IF(ISERROR(VLOOKUP($U$1004,'TAR FIN'!$A$1:$O$99,15,0)),0,VLOOKUP($U$1004,'TAR FIN'!$A$1:$O$99,15,0))</f>
        <v>0</v>
      </c>
      <c r="Y1004" s="4">
        <f ca="1">('TUSD BE'!$AM$21+'TUSD BF'!$AM$21+'TUSD CVA'!$AM$21)*1</f>
        <v>24.669398821277586</v>
      </c>
      <c r="Z1004" s="4"/>
      <c r="AA1004" s="4"/>
      <c r="AB1004" s="4">
        <f>$K$1004*$V$1004</f>
        <v>908675.95000000007</v>
      </c>
      <c r="AC1004" s="4">
        <f>$M$1004*$W$1004</f>
        <v>0</v>
      </c>
      <c r="AD1004" s="4">
        <f>$O$1004*$X$1004</f>
        <v>0</v>
      </c>
      <c r="AE1004" s="4">
        <f ca="1">$K$1004*$Y$1004</f>
        <v>1025926.288780471</v>
      </c>
      <c r="AF1004" s="4">
        <f>$M$1004*$Z$1004</f>
        <v>0</v>
      </c>
      <c r="AG1004" s="4">
        <f>$O$1004*$AA$1004</f>
        <v>0</v>
      </c>
    </row>
    <row r="1005" spans="1:33" ht="11.25" customHeight="1" x14ac:dyDescent="0.25">
      <c r="A1005" s="3" t="s">
        <v>27</v>
      </c>
      <c r="B1005" s="3" t="s">
        <v>33</v>
      </c>
      <c r="C1005" s="3" t="s">
        <v>34</v>
      </c>
      <c r="D1005" s="3" t="s">
        <v>46</v>
      </c>
      <c r="E1005" s="3" t="s">
        <v>25</v>
      </c>
      <c r="F1005" s="3" t="s">
        <v>25</v>
      </c>
      <c r="G1005" s="3" t="s">
        <v>25</v>
      </c>
      <c r="H1005" s="3" t="s">
        <v>25</v>
      </c>
      <c r="I1005" s="6">
        <v>44317</v>
      </c>
      <c r="J1005" s="4">
        <v>60</v>
      </c>
      <c r="K1005" s="4">
        <v>60</v>
      </c>
      <c r="L1005" s="4">
        <v>0</v>
      </c>
      <c r="M1005" s="4">
        <v>0</v>
      </c>
      <c r="N1005" s="4">
        <v>0</v>
      </c>
      <c r="O1005" s="4">
        <v>0</v>
      </c>
      <c r="P1005" s="4">
        <v>1</v>
      </c>
      <c r="Q1005" s="3" t="s">
        <v>26</v>
      </c>
      <c r="R1005" s="3">
        <v>0</v>
      </c>
      <c r="S1005" s="4">
        <v>7</v>
      </c>
      <c r="T1005" s="4">
        <v>0</v>
      </c>
      <c r="U1005" s="4">
        <v>0</v>
      </c>
      <c r="V1005" s="4">
        <f>IF(ISERROR(VLOOKUP($S$1005,'TAR FIN'!$A$1:$O$99,15,0)),0,VLOOKUP($S$1005,'TAR FIN'!$A$1:$O$99,15,0))</f>
        <v>21.85</v>
      </c>
      <c r="W1005" s="4">
        <f>IF(ISERROR(VLOOKUP($T$1005,'TAR FIN'!$A$1:$O$99,15,0)),0,VLOOKUP($T$1005,'TAR FIN'!$A$1:$O$99,15,0))</f>
        <v>0</v>
      </c>
      <c r="X1005" s="4">
        <f>IF(ISERROR(VLOOKUP($U$1005,'TAR FIN'!$A$1:$O$99,15,0)),0,VLOOKUP($U$1005,'TAR FIN'!$A$1:$O$99,15,0))</f>
        <v>0</v>
      </c>
      <c r="Y1005" s="4">
        <f ca="1">('TUSD BE'!$AM$21+'TUSD BF'!$AM$21+'TUSD CVA'!$AM$21)*1</f>
        <v>24.669398821277586</v>
      </c>
      <c r="Z1005" s="4"/>
      <c r="AA1005" s="4"/>
      <c r="AB1005" s="4">
        <f>$K$1005*$V$1005</f>
        <v>1311</v>
      </c>
      <c r="AC1005" s="4">
        <f>$M$1005*$W$1005</f>
        <v>0</v>
      </c>
      <c r="AD1005" s="4">
        <f>$O$1005*$X$1005</f>
        <v>0</v>
      </c>
      <c r="AE1005" s="4">
        <f ca="1">$K$1005*$Y$1005</f>
        <v>1480.1639292766552</v>
      </c>
      <c r="AF1005" s="4">
        <f>$M$1005*$Z$1005</f>
        <v>0</v>
      </c>
      <c r="AG1005" s="4">
        <f>$O$1005*$AA$1005</f>
        <v>0</v>
      </c>
    </row>
    <row r="1006" spans="1:33" ht="11.25" customHeight="1" x14ac:dyDescent="0.25">
      <c r="A1006" s="3" t="s">
        <v>28</v>
      </c>
      <c r="B1006" s="3" t="s">
        <v>33</v>
      </c>
      <c r="C1006" s="3" t="s">
        <v>34</v>
      </c>
      <c r="D1006" s="3" t="s">
        <v>46</v>
      </c>
      <c r="E1006" s="3" t="s">
        <v>25</v>
      </c>
      <c r="F1006" s="3" t="s">
        <v>25</v>
      </c>
      <c r="G1006" s="3" t="s">
        <v>25</v>
      </c>
      <c r="H1006" s="3" t="s">
        <v>25</v>
      </c>
      <c r="I1006" s="6">
        <v>44317</v>
      </c>
      <c r="J1006" s="4">
        <v>2186</v>
      </c>
      <c r="K1006" s="4">
        <v>2186</v>
      </c>
      <c r="L1006" s="4">
        <v>0</v>
      </c>
      <c r="M1006" s="4">
        <v>0</v>
      </c>
      <c r="N1006" s="4">
        <v>0</v>
      </c>
      <c r="O1006" s="4">
        <v>0</v>
      </c>
      <c r="P1006" s="4">
        <v>11</v>
      </c>
      <c r="Q1006" s="3" t="s">
        <v>26</v>
      </c>
      <c r="R1006" s="3">
        <v>0</v>
      </c>
      <c r="S1006" s="4">
        <v>7</v>
      </c>
      <c r="T1006" s="4">
        <v>0</v>
      </c>
      <c r="U1006" s="4">
        <v>0</v>
      </c>
      <c r="V1006" s="4">
        <f>IF(ISERROR(VLOOKUP($S$1006,'TAR FIN'!$A$1:$O$99,15,0)),0,VLOOKUP($S$1006,'TAR FIN'!$A$1:$O$99,15,0))</f>
        <v>21.85</v>
      </c>
      <c r="W1006" s="4">
        <f>IF(ISERROR(VLOOKUP($T$1006,'TAR FIN'!$A$1:$O$99,15,0)),0,VLOOKUP($T$1006,'TAR FIN'!$A$1:$O$99,15,0))</f>
        <v>0</v>
      </c>
      <c r="X1006" s="4">
        <f>IF(ISERROR(VLOOKUP($U$1006,'TAR FIN'!$A$1:$O$99,15,0)),0,VLOOKUP($U$1006,'TAR FIN'!$A$1:$O$99,15,0))</f>
        <v>0</v>
      </c>
      <c r="Y1006" s="4">
        <f ca="1">('TUSD BE'!$AM$21+'TUSD BF'!$AM$21+'TUSD CVA'!$AM$21)*1</f>
        <v>24.669398821277586</v>
      </c>
      <c r="Z1006" s="4"/>
      <c r="AA1006" s="4"/>
      <c r="AB1006" s="4">
        <f>$K$1006*$V$1006</f>
        <v>47764.100000000006</v>
      </c>
      <c r="AC1006" s="4">
        <f>$M$1006*$W$1006</f>
        <v>0</v>
      </c>
      <c r="AD1006" s="4">
        <f>$O$1006*$X$1006</f>
        <v>0</v>
      </c>
      <c r="AE1006" s="4">
        <f ca="1">$K$1006*$Y$1006</f>
        <v>53927.305823312803</v>
      </c>
      <c r="AF1006" s="4">
        <f>$M$1006*$Z$1006</f>
        <v>0</v>
      </c>
      <c r="AG1006" s="4">
        <f>$O$1006*$AA$1006</f>
        <v>0</v>
      </c>
    </row>
    <row r="1007" spans="1:33" ht="11.25" customHeight="1" x14ac:dyDescent="0.25">
      <c r="A1007" s="3" t="s">
        <v>21</v>
      </c>
      <c r="B1007" s="3" t="s">
        <v>33</v>
      </c>
      <c r="C1007" s="3" t="s">
        <v>34</v>
      </c>
      <c r="D1007" s="3" t="s">
        <v>46</v>
      </c>
      <c r="E1007" s="3" t="s">
        <v>25</v>
      </c>
      <c r="F1007" s="3" t="s">
        <v>25</v>
      </c>
      <c r="G1007" s="3" t="s">
        <v>25</v>
      </c>
      <c r="H1007" s="3" t="s">
        <v>25</v>
      </c>
      <c r="I1007" s="6">
        <v>44348</v>
      </c>
      <c r="J1007" s="4">
        <v>41497</v>
      </c>
      <c r="K1007" s="4">
        <v>41497</v>
      </c>
      <c r="L1007" s="4">
        <v>0</v>
      </c>
      <c r="M1007" s="4">
        <v>0</v>
      </c>
      <c r="N1007" s="4">
        <v>0</v>
      </c>
      <c r="O1007" s="4">
        <v>0</v>
      </c>
      <c r="P1007" s="4">
        <v>337</v>
      </c>
      <c r="Q1007" s="3" t="s">
        <v>26</v>
      </c>
      <c r="R1007" s="3">
        <v>0</v>
      </c>
      <c r="S1007" s="4">
        <v>7</v>
      </c>
      <c r="T1007" s="4">
        <v>0</v>
      </c>
      <c r="U1007" s="4">
        <v>0</v>
      </c>
      <c r="V1007" s="4">
        <f>IF(ISERROR(VLOOKUP($S$1007,'TAR FIN'!$A$1:$O$99,15,0)),0,VLOOKUP($S$1007,'TAR FIN'!$A$1:$O$99,15,0))</f>
        <v>21.85</v>
      </c>
      <c r="W1007" s="4">
        <f>IF(ISERROR(VLOOKUP($T$1007,'TAR FIN'!$A$1:$O$99,15,0)),0,VLOOKUP($T$1007,'TAR FIN'!$A$1:$O$99,15,0))</f>
        <v>0</v>
      </c>
      <c r="X1007" s="4">
        <f>IF(ISERROR(VLOOKUP($U$1007,'TAR FIN'!$A$1:$O$99,15,0)),0,VLOOKUP($U$1007,'TAR FIN'!$A$1:$O$99,15,0))</f>
        <v>0</v>
      </c>
      <c r="Y1007" s="4">
        <f ca="1">('TUSD BE'!$AM$21+'TUSD BF'!$AM$21+'TUSD CVA'!$AM$21)*1</f>
        <v>24.669398821277586</v>
      </c>
      <c r="Z1007" s="4"/>
      <c r="AA1007" s="4"/>
      <c r="AB1007" s="4">
        <f>$K$1007*$V$1007</f>
        <v>906709.45000000007</v>
      </c>
      <c r="AC1007" s="4">
        <f>$M$1007*$W$1007</f>
        <v>0</v>
      </c>
      <c r="AD1007" s="4">
        <f>$O$1007*$X$1007</f>
        <v>0</v>
      </c>
      <c r="AE1007" s="4">
        <f ca="1">$K$1007*$Y$1007</f>
        <v>1023706.042886556</v>
      </c>
      <c r="AF1007" s="4">
        <f>$M$1007*$Z$1007</f>
        <v>0</v>
      </c>
      <c r="AG1007" s="4">
        <f>$O$1007*$AA$1007</f>
        <v>0</v>
      </c>
    </row>
    <row r="1008" spans="1:33" ht="11.25" customHeight="1" x14ac:dyDescent="0.25">
      <c r="A1008" s="3" t="s">
        <v>28</v>
      </c>
      <c r="B1008" s="3" t="s">
        <v>33</v>
      </c>
      <c r="C1008" s="3" t="s">
        <v>34</v>
      </c>
      <c r="D1008" s="3" t="s">
        <v>46</v>
      </c>
      <c r="E1008" s="3" t="s">
        <v>25</v>
      </c>
      <c r="F1008" s="3" t="s">
        <v>25</v>
      </c>
      <c r="G1008" s="3" t="s">
        <v>25</v>
      </c>
      <c r="H1008" s="3" t="s">
        <v>25</v>
      </c>
      <c r="I1008" s="6">
        <v>44348</v>
      </c>
      <c r="J1008" s="4">
        <v>2186</v>
      </c>
      <c r="K1008" s="4">
        <v>2186</v>
      </c>
      <c r="L1008" s="4">
        <v>0</v>
      </c>
      <c r="M1008" s="4">
        <v>0</v>
      </c>
      <c r="N1008" s="4">
        <v>0</v>
      </c>
      <c r="O1008" s="4">
        <v>0</v>
      </c>
      <c r="P1008" s="4">
        <v>11</v>
      </c>
      <c r="Q1008" s="3" t="s">
        <v>26</v>
      </c>
      <c r="R1008" s="3">
        <v>0</v>
      </c>
      <c r="S1008" s="4">
        <v>7</v>
      </c>
      <c r="T1008" s="4">
        <v>0</v>
      </c>
      <c r="U1008" s="4">
        <v>0</v>
      </c>
      <c r="V1008" s="4">
        <f>IF(ISERROR(VLOOKUP($S$1008,'TAR FIN'!$A$1:$O$99,15,0)),0,VLOOKUP($S$1008,'TAR FIN'!$A$1:$O$99,15,0))</f>
        <v>21.85</v>
      </c>
      <c r="W1008" s="4">
        <f>IF(ISERROR(VLOOKUP($T$1008,'TAR FIN'!$A$1:$O$99,15,0)),0,VLOOKUP($T$1008,'TAR FIN'!$A$1:$O$99,15,0))</f>
        <v>0</v>
      </c>
      <c r="X1008" s="4">
        <f>IF(ISERROR(VLOOKUP($U$1008,'TAR FIN'!$A$1:$O$99,15,0)),0,VLOOKUP($U$1008,'TAR FIN'!$A$1:$O$99,15,0))</f>
        <v>0</v>
      </c>
      <c r="Y1008" s="4">
        <f ca="1">('TUSD BE'!$AM$21+'TUSD BF'!$AM$21+'TUSD CVA'!$AM$21)*1</f>
        <v>24.669398821277586</v>
      </c>
      <c r="Z1008" s="4"/>
      <c r="AA1008" s="4"/>
      <c r="AB1008" s="4">
        <f>$K$1008*$V$1008</f>
        <v>47764.100000000006</v>
      </c>
      <c r="AC1008" s="4">
        <f>$M$1008*$W$1008</f>
        <v>0</v>
      </c>
      <c r="AD1008" s="4">
        <f>$O$1008*$X$1008</f>
        <v>0</v>
      </c>
      <c r="AE1008" s="4">
        <f ca="1">$K$1008*$Y$1008</f>
        <v>53927.305823312803</v>
      </c>
      <c r="AF1008" s="4">
        <f>$M$1008*$Z$1008</f>
        <v>0</v>
      </c>
      <c r="AG1008" s="4">
        <f>$O$1008*$AA$1008</f>
        <v>0</v>
      </c>
    </row>
    <row r="1009" spans="1:33" ht="11.25" customHeight="1" x14ac:dyDescent="0.25">
      <c r="A1009" s="3" t="s">
        <v>21</v>
      </c>
      <c r="B1009" s="3" t="s">
        <v>33</v>
      </c>
      <c r="C1009" s="3" t="s">
        <v>34</v>
      </c>
      <c r="D1009" s="3" t="s">
        <v>46</v>
      </c>
      <c r="E1009" s="3" t="s">
        <v>25</v>
      </c>
      <c r="F1009" s="3" t="s">
        <v>25</v>
      </c>
      <c r="G1009" s="3" t="s">
        <v>25</v>
      </c>
      <c r="H1009" s="3" t="s">
        <v>25</v>
      </c>
      <c r="I1009" s="6">
        <v>44378</v>
      </c>
      <c r="J1009" s="4">
        <v>42097</v>
      </c>
      <c r="K1009" s="4">
        <v>42097</v>
      </c>
      <c r="L1009" s="4">
        <v>0</v>
      </c>
      <c r="M1009" s="4">
        <v>0</v>
      </c>
      <c r="N1009" s="4">
        <v>0</v>
      </c>
      <c r="O1009" s="4">
        <v>0</v>
      </c>
      <c r="P1009" s="4">
        <v>338</v>
      </c>
      <c r="Q1009" s="3" t="s">
        <v>26</v>
      </c>
      <c r="R1009" s="3">
        <v>0</v>
      </c>
      <c r="S1009" s="4">
        <v>7</v>
      </c>
      <c r="T1009" s="4">
        <v>0</v>
      </c>
      <c r="U1009" s="4">
        <v>0</v>
      </c>
      <c r="V1009" s="4">
        <f>IF(ISERROR(VLOOKUP($S$1009,'TAR FIN'!$A$1:$O$99,15,0)),0,VLOOKUP($S$1009,'TAR FIN'!$A$1:$O$99,15,0))</f>
        <v>21.85</v>
      </c>
      <c r="W1009" s="4">
        <f>IF(ISERROR(VLOOKUP($T$1009,'TAR FIN'!$A$1:$O$99,15,0)),0,VLOOKUP($T$1009,'TAR FIN'!$A$1:$O$99,15,0))</f>
        <v>0</v>
      </c>
      <c r="X1009" s="4">
        <f>IF(ISERROR(VLOOKUP($U$1009,'TAR FIN'!$A$1:$O$99,15,0)),0,VLOOKUP($U$1009,'TAR FIN'!$A$1:$O$99,15,0))</f>
        <v>0</v>
      </c>
      <c r="Y1009" s="4">
        <f ca="1">('TUSD BE'!$AM$21+'TUSD BF'!$AM$21+'TUSD CVA'!$AM$21)*1</f>
        <v>24.669398821277586</v>
      </c>
      <c r="Z1009" s="4"/>
      <c r="AA1009" s="4"/>
      <c r="AB1009" s="4">
        <f>$K$1009*$V$1009</f>
        <v>919819.45000000007</v>
      </c>
      <c r="AC1009" s="4">
        <f>$M$1009*$W$1009</f>
        <v>0</v>
      </c>
      <c r="AD1009" s="4">
        <f>$O$1009*$X$1009</f>
        <v>0</v>
      </c>
      <c r="AE1009" s="4">
        <f ca="1">$K$1009*$Y$1009</f>
        <v>1038507.6821793225</v>
      </c>
      <c r="AF1009" s="4">
        <f>$M$1009*$Z$1009</f>
        <v>0</v>
      </c>
      <c r="AG1009" s="4">
        <f>$O$1009*$AA$1009</f>
        <v>0</v>
      </c>
    </row>
    <row r="1010" spans="1:33" ht="11.25" customHeight="1" x14ac:dyDescent="0.25">
      <c r="A1010" s="3" t="s">
        <v>27</v>
      </c>
      <c r="B1010" s="3" t="s">
        <v>33</v>
      </c>
      <c r="C1010" s="3" t="s">
        <v>34</v>
      </c>
      <c r="D1010" s="3" t="s">
        <v>46</v>
      </c>
      <c r="E1010" s="3" t="s">
        <v>25</v>
      </c>
      <c r="F1010" s="3" t="s">
        <v>25</v>
      </c>
      <c r="G1010" s="3" t="s">
        <v>25</v>
      </c>
      <c r="H1010" s="3" t="s">
        <v>25</v>
      </c>
      <c r="I1010" s="6">
        <v>44378</v>
      </c>
      <c r="J1010" s="4">
        <v>225</v>
      </c>
      <c r="K1010" s="4">
        <v>225</v>
      </c>
      <c r="L1010" s="4">
        <v>0</v>
      </c>
      <c r="M1010" s="4">
        <v>0</v>
      </c>
      <c r="N1010" s="4">
        <v>0</v>
      </c>
      <c r="O1010" s="4">
        <v>0</v>
      </c>
      <c r="P1010" s="4">
        <v>2</v>
      </c>
      <c r="Q1010" s="3" t="s">
        <v>26</v>
      </c>
      <c r="R1010" s="3">
        <v>0</v>
      </c>
      <c r="S1010" s="4">
        <v>7</v>
      </c>
      <c r="T1010" s="4">
        <v>0</v>
      </c>
      <c r="U1010" s="4">
        <v>0</v>
      </c>
      <c r="V1010" s="4">
        <f>IF(ISERROR(VLOOKUP($S$1010,'TAR FIN'!$A$1:$O$99,15,0)),0,VLOOKUP($S$1010,'TAR FIN'!$A$1:$O$99,15,0))</f>
        <v>21.85</v>
      </c>
      <c r="W1010" s="4">
        <f>IF(ISERROR(VLOOKUP($T$1010,'TAR FIN'!$A$1:$O$99,15,0)),0,VLOOKUP($T$1010,'TAR FIN'!$A$1:$O$99,15,0))</f>
        <v>0</v>
      </c>
      <c r="X1010" s="4">
        <f>IF(ISERROR(VLOOKUP($U$1010,'TAR FIN'!$A$1:$O$99,15,0)),0,VLOOKUP($U$1010,'TAR FIN'!$A$1:$O$99,15,0))</f>
        <v>0</v>
      </c>
      <c r="Y1010" s="4">
        <f ca="1">('TUSD BE'!$AM$21+'TUSD BF'!$AM$21+'TUSD CVA'!$AM$21)*1</f>
        <v>24.669398821277586</v>
      </c>
      <c r="Z1010" s="4"/>
      <c r="AA1010" s="4"/>
      <c r="AB1010" s="4">
        <f>$K$1010*$V$1010</f>
        <v>4916.25</v>
      </c>
      <c r="AC1010" s="4">
        <f>$M$1010*$W$1010</f>
        <v>0</v>
      </c>
      <c r="AD1010" s="4">
        <f>$O$1010*$X$1010</f>
        <v>0</v>
      </c>
      <c r="AE1010" s="4">
        <f ca="1">$K$1010*$Y$1010</f>
        <v>5550.6147347874567</v>
      </c>
      <c r="AF1010" s="4">
        <f>$M$1010*$Z$1010</f>
        <v>0</v>
      </c>
      <c r="AG1010" s="4">
        <f>$O$1010*$AA$1010</f>
        <v>0</v>
      </c>
    </row>
    <row r="1011" spans="1:33" ht="11.25" customHeight="1" x14ac:dyDescent="0.25">
      <c r="A1011" s="3" t="s">
        <v>28</v>
      </c>
      <c r="B1011" s="3" t="s">
        <v>33</v>
      </c>
      <c r="C1011" s="3" t="s">
        <v>34</v>
      </c>
      <c r="D1011" s="3" t="s">
        <v>46</v>
      </c>
      <c r="E1011" s="3" t="s">
        <v>25</v>
      </c>
      <c r="F1011" s="3" t="s">
        <v>25</v>
      </c>
      <c r="G1011" s="3" t="s">
        <v>25</v>
      </c>
      <c r="H1011" s="3" t="s">
        <v>25</v>
      </c>
      <c r="I1011" s="6">
        <v>44378</v>
      </c>
      <c r="J1011" s="4">
        <v>2186</v>
      </c>
      <c r="K1011" s="4">
        <v>2186</v>
      </c>
      <c r="L1011" s="4">
        <v>0</v>
      </c>
      <c r="M1011" s="4">
        <v>0</v>
      </c>
      <c r="N1011" s="4">
        <v>0</v>
      </c>
      <c r="O1011" s="4">
        <v>0</v>
      </c>
      <c r="P1011" s="4">
        <v>11</v>
      </c>
      <c r="Q1011" s="3" t="s">
        <v>26</v>
      </c>
      <c r="R1011" s="3">
        <v>0</v>
      </c>
      <c r="S1011" s="4">
        <v>7</v>
      </c>
      <c r="T1011" s="4">
        <v>0</v>
      </c>
      <c r="U1011" s="4">
        <v>0</v>
      </c>
      <c r="V1011" s="4">
        <f>IF(ISERROR(VLOOKUP($S$1011,'TAR FIN'!$A$1:$O$99,15,0)),0,VLOOKUP($S$1011,'TAR FIN'!$A$1:$O$99,15,0))</f>
        <v>21.85</v>
      </c>
      <c r="W1011" s="4">
        <f>IF(ISERROR(VLOOKUP($T$1011,'TAR FIN'!$A$1:$O$99,15,0)),0,VLOOKUP($T$1011,'TAR FIN'!$A$1:$O$99,15,0))</f>
        <v>0</v>
      </c>
      <c r="X1011" s="4">
        <f>IF(ISERROR(VLOOKUP($U$1011,'TAR FIN'!$A$1:$O$99,15,0)),0,VLOOKUP($U$1011,'TAR FIN'!$A$1:$O$99,15,0))</f>
        <v>0</v>
      </c>
      <c r="Y1011" s="4">
        <f ca="1">('TUSD BE'!$AM$21+'TUSD BF'!$AM$21+'TUSD CVA'!$AM$21)*1</f>
        <v>24.669398821277586</v>
      </c>
      <c r="Z1011" s="4"/>
      <c r="AA1011" s="4"/>
      <c r="AB1011" s="4">
        <f>$K$1011*$V$1011</f>
        <v>47764.100000000006</v>
      </c>
      <c r="AC1011" s="4">
        <f>$M$1011*$W$1011</f>
        <v>0</v>
      </c>
      <c r="AD1011" s="4">
        <f>$O$1011*$X$1011</f>
        <v>0</v>
      </c>
      <c r="AE1011" s="4">
        <f ca="1">$K$1011*$Y$1011</f>
        <v>53927.305823312803</v>
      </c>
      <c r="AF1011" s="4">
        <f>$M$1011*$Z$1011</f>
        <v>0</v>
      </c>
      <c r="AG1011" s="4">
        <f>$O$1011*$AA$1011</f>
        <v>0</v>
      </c>
    </row>
    <row r="1012" spans="1:33" ht="11.25" customHeight="1" x14ac:dyDescent="0.25">
      <c r="A1012" s="3" t="s">
        <v>21</v>
      </c>
      <c r="B1012" s="3" t="s">
        <v>33</v>
      </c>
      <c r="C1012" s="3" t="s">
        <v>34</v>
      </c>
      <c r="D1012" s="3" t="s">
        <v>46</v>
      </c>
      <c r="E1012" s="3" t="s">
        <v>25</v>
      </c>
      <c r="F1012" s="3" t="s">
        <v>25</v>
      </c>
      <c r="G1012" s="3" t="s">
        <v>25</v>
      </c>
      <c r="H1012" s="3" t="s">
        <v>25</v>
      </c>
      <c r="I1012" s="6">
        <v>44409</v>
      </c>
      <c r="J1012" s="4">
        <v>41884</v>
      </c>
      <c r="K1012" s="4">
        <v>41884</v>
      </c>
      <c r="L1012" s="4">
        <v>0</v>
      </c>
      <c r="M1012" s="4">
        <v>0</v>
      </c>
      <c r="N1012" s="4">
        <v>0</v>
      </c>
      <c r="O1012" s="4">
        <v>0</v>
      </c>
      <c r="P1012" s="4">
        <v>337</v>
      </c>
      <c r="Q1012" s="3" t="s">
        <v>26</v>
      </c>
      <c r="R1012" s="3">
        <v>0</v>
      </c>
      <c r="S1012" s="4">
        <v>7</v>
      </c>
      <c r="T1012" s="4">
        <v>0</v>
      </c>
      <c r="U1012" s="4">
        <v>0</v>
      </c>
      <c r="V1012" s="4">
        <f>IF(ISERROR(VLOOKUP($S$1012,'TAR FIN'!$A$1:$O$99,15,0)),0,VLOOKUP($S$1012,'TAR FIN'!$A$1:$O$99,15,0))</f>
        <v>21.85</v>
      </c>
      <c r="W1012" s="4">
        <f>IF(ISERROR(VLOOKUP($T$1012,'TAR FIN'!$A$1:$O$99,15,0)),0,VLOOKUP($T$1012,'TAR FIN'!$A$1:$O$99,15,0))</f>
        <v>0</v>
      </c>
      <c r="X1012" s="4">
        <f>IF(ISERROR(VLOOKUP($U$1012,'TAR FIN'!$A$1:$O$99,15,0)),0,VLOOKUP($U$1012,'TAR FIN'!$A$1:$O$99,15,0))</f>
        <v>0</v>
      </c>
      <c r="Y1012" s="4">
        <f ca="1">('TUSD BE'!$AM$21+'TUSD BF'!$AM$21+'TUSD CVA'!$AM$21)*1</f>
        <v>24.669398821277586</v>
      </c>
      <c r="Z1012" s="4"/>
      <c r="AA1012" s="4"/>
      <c r="AB1012" s="4">
        <f>$K$1012*$V$1012</f>
        <v>915165.4</v>
      </c>
      <c r="AC1012" s="4">
        <f>$M$1012*$W$1012</f>
        <v>0</v>
      </c>
      <c r="AD1012" s="4">
        <f>$O$1012*$X$1012</f>
        <v>0</v>
      </c>
      <c r="AE1012" s="4">
        <f ca="1">$K$1012*$Y$1012</f>
        <v>1033253.1002303904</v>
      </c>
      <c r="AF1012" s="4">
        <f>$M$1012*$Z$1012</f>
        <v>0</v>
      </c>
      <c r="AG1012" s="4">
        <f>$O$1012*$AA$1012</f>
        <v>0</v>
      </c>
    </row>
    <row r="1013" spans="1:33" ht="11.25" customHeight="1" x14ac:dyDescent="0.25">
      <c r="A1013" s="3" t="s">
        <v>28</v>
      </c>
      <c r="B1013" s="3" t="s">
        <v>33</v>
      </c>
      <c r="C1013" s="3" t="s">
        <v>34</v>
      </c>
      <c r="D1013" s="3" t="s">
        <v>46</v>
      </c>
      <c r="E1013" s="3" t="s">
        <v>25</v>
      </c>
      <c r="F1013" s="3" t="s">
        <v>25</v>
      </c>
      <c r="G1013" s="3" t="s">
        <v>25</v>
      </c>
      <c r="H1013" s="3" t="s">
        <v>25</v>
      </c>
      <c r="I1013" s="6">
        <v>44409</v>
      </c>
      <c r="J1013" s="4">
        <v>2476</v>
      </c>
      <c r="K1013" s="4">
        <v>2476</v>
      </c>
      <c r="L1013" s="4">
        <v>0</v>
      </c>
      <c r="M1013" s="4">
        <v>0</v>
      </c>
      <c r="N1013" s="4">
        <v>0</v>
      </c>
      <c r="O1013" s="4">
        <v>0</v>
      </c>
      <c r="P1013" s="4">
        <v>13</v>
      </c>
      <c r="Q1013" s="3" t="s">
        <v>26</v>
      </c>
      <c r="R1013" s="3">
        <v>0</v>
      </c>
      <c r="S1013" s="4">
        <v>7</v>
      </c>
      <c r="T1013" s="4">
        <v>0</v>
      </c>
      <c r="U1013" s="4">
        <v>0</v>
      </c>
      <c r="V1013" s="4">
        <f>IF(ISERROR(VLOOKUP($S$1013,'TAR FIN'!$A$1:$O$99,15,0)),0,VLOOKUP($S$1013,'TAR FIN'!$A$1:$O$99,15,0))</f>
        <v>21.85</v>
      </c>
      <c r="W1013" s="4">
        <f>IF(ISERROR(VLOOKUP($T$1013,'TAR FIN'!$A$1:$O$99,15,0)),0,VLOOKUP($T$1013,'TAR FIN'!$A$1:$O$99,15,0))</f>
        <v>0</v>
      </c>
      <c r="X1013" s="4">
        <f>IF(ISERROR(VLOOKUP($U$1013,'TAR FIN'!$A$1:$O$99,15,0)),0,VLOOKUP($U$1013,'TAR FIN'!$A$1:$O$99,15,0))</f>
        <v>0</v>
      </c>
      <c r="Y1013" s="4">
        <f ca="1">('TUSD BE'!$AM$21+'TUSD BF'!$AM$21+'TUSD CVA'!$AM$21)*1</f>
        <v>24.669398821277586</v>
      </c>
      <c r="Z1013" s="4"/>
      <c r="AA1013" s="4"/>
      <c r="AB1013" s="4">
        <f>$K$1013*$V$1013</f>
        <v>54100.600000000006</v>
      </c>
      <c r="AC1013" s="4">
        <f>$M$1013*$W$1013</f>
        <v>0</v>
      </c>
      <c r="AD1013" s="4">
        <f>$O$1013*$X$1013</f>
        <v>0</v>
      </c>
      <c r="AE1013" s="4">
        <f ca="1">$K$1013*$Y$1013</f>
        <v>61081.431481483305</v>
      </c>
      <c r="AF1013" s="4">
        <f>$M$1013*$Z$1013</f>
        <v>0</v>
      </c>
      <c r="AG1013" s="4">
        <f>$O$1013*$AA$1013</f>
        <v>0</v>
      </c>
    </row>
    <row r="1014" spans="1:33" ht="11.25" customHeight="1" x14ac:dyDescent="0.25">
      <c r="A1014" s="3" t="s">
        <v>21</v>
      </c>
      <c r="B1014" s="3" t="s">
        <v>33</v>
      </c>
      <c r="C1014" s="3" t="s">
        <v>34</v>
      </c>
      <c r="D1014" s="3" t="s">
        <v>46</v>
      </c>
      <c r="E1014" s="3" t="s">
        <v>25</v>
      </c>
      <c r="F1014" s="3" t="s">
        <v>25</v>
      </c>
      <c r="G1014" s="3" t="s">
        <v>25</v>
      </c>
      <c r="H1014" s="3" t="s">
        <v>25</v>
      </c>
      <c r="I1014" s="6">
        <v>44440</v>
      </c>
      <c r="J1014" s="4">
        <v>42255</v>
      </c>
      <c r="K1014" s="4">
        <v>42255</v>
      </c>
      <c r="L1014" s="4">
        <v>0</v>
      </c>
      <c r="M1014" s="4">
        <v>0</v>
      </c>
      <c r="N1014" s="4">
        <v>0</v>
      </c>
      <c r="O1014" s="4">
        <v>0</v>
      </c>
      <c r="P1014" s="4">
        <v>338</v>
      </c>
      <c r="Q1014" s="3" t="s">
        <v>26</v>
      </c>
      <c r="R1014" s="3">
        <v>0</v>
      </c>
      <c r="S1014" s="4">
        <v>7</v>
      </c>
      <c r="T1014" s="4">
        <v>0</v>
      </c>
      <c r="U1014" s="4">
        <v>0</v>
      </c>
      <c r="V1014" s="4">
        <f>IF(ISERROR(VLOOKUP($S$1014,'TAR FIN'!$A$1:$O$99,15,0)),0,VLOOKUP($S$1014,'TAR FIN'!$A$1:$O$99,15,0))</f>
        <v>21.85</v>
      </c>
      <c r="W1014" s="4">
        <f>IF(ISERROR(VLOOKUP($T$1014,'TAR FIN'!$A$1:$O$99,15,0)),0,VLOOKUP($T$1014,'TAR FIN'!$A$1:$O$99,15,0))</f>
        <v>0</v>
      </c>
      <c r="X1014" s="4">
        <f>IF(ISERROR(VLOOKUP($U$1014,'TAR FIN'!$A$1:$O$99,15,0)),0,VLOOKUP($U$1014,'TAR FIN'!$A$1:$O$99,15,0))</f>
        <v>0</v>
      </c>
      <c r="Y1014" s="4">
        <f ca="1">('TUSD BE'!$AM$21+'TUSD BF'!$AM$21+'TUSD CVA'!$AM$21)*1</f>
        <v>24.669398821277586</v>
      </c>
      <c r="Z1014" s="4"/>
      <c r="AA1014" s="4"/>
      <c r="AB1014" s="4">
        <f>$K$1014*$V$1014</f>
        <v>923271.75000000012</v>
      </c>
      <c r="AC1014" s="4">
        <f>$M$1014*$W$1014</f>
        <v>0</v>
      </c>
      <c r="AD1014" s="4">
        <f>$O$1014*$X$1014</f>
        <v>0</v>
      </c>
      <c r="AE1014" s="4">
        <f ca="1">$K$1014*$Y$1014</f>
        <v>1042405.4471930844</v>
      </c>
      <c r="AF1014" s="4">
        <f>$M$1014*$Z$1014</f>
        <v>0</v>
      </c>
      <c r="AG1014" s="4">
        <f>$O$1014*$AA$1014</f>
        <v>0</v>
      </c>
    </row>
    <row r="1015" spans="1:33" ht="11.25" customHeight="1" x14ac:dyDescent="0.25">
      <c r="A1015" s="3" t="s">
        <v>28</v>
      </c>
      <c r="B1015" s="3" t="s">
        <v>33</v>
      </c>
      <c r="C1015" s="3" t="s">
        <v>34</v>
      </c>
      <c r="D1015" s="3" t="s">
        <v>46</v>
      </c>
      <c r="E1015" s="3" t="s">
        <v>25</v>
      </c>
      <c r="F1015" s="3" t="s">
        <v>25</v>
      </c>
      <c r="G1015" s="3" t="s">
        <v>25</v>
      </c>
      <c r="H1015" s="3" t="s">
        <v>25</v>
      </c>
      <c r="I1015" s="6">
        <v>44440</v>
      </c>
      <c r="J1015" s="4">
        <v>2476</v>
      </c>
      <c r="K1015" s="4">
        <v>2476</v>
      </c>
      <c r="L1015" s="4">
        <v>0</v>
      </c>
      <c r="M1015" s="4">
        <v>0</v>
      </c>
      <c r="N1015" s="4">
        <v>0</v>
      </c>
      <c r="O1015" s="4">
        <v>0</v>
      </c>
      <c r="P1015" s="4">
        <v>13</v>
      </c>
      <c r="Q1015" s="3" t="s">
        <v>26</v>
      </c>
      <c r="R1015" s="3">
        <v>0</v>
      </c>
      <c r="S1015" s="4">
        <v>7</v>
      </c>
      <c r="T1015" s="4">
        <v>0</v>
      </c>
      <c r="U1015" s="4">
        <v>0</v>
      </c>
      <c r="V1015" s="4">
        <f>IF(ISERROR(VLOOKUP($S$1015,'TAR FIN'!$A$1:$O$99,15,0)),0,VLOOKUP($S$1015,'TAR FIN'!$A$1:$O$99,15,0))</f>
        <v>21.85</v>
      </c>
      <c r="W1015" s="4">
        <f>IF(ISERROR(VLOOKUP($T$1015,'TAR FIN'!$A$1:$O$99,15,0)),0,VLOOKUP($T$1015,'TAR FIN'!$A$1:$O$99,15,0))</f>
        <v>0</v>
      </c>
      <c r="X1015" s="4">
        <f>IF(ISERROR(VLOOKUP($U$1015,'TAR FIN'!$A$1:$O$99,15,0)),0,VLOOKUP($U$1015,'TAR FIN'!$A$1:$O$99,15,0))</f>
        <v>0</v>
      </c>
      <c r="Y1015" s="4">
        <f ca="1">('TUSD BE'!$AM$21+'TUSD BF'!$AM$21+'TUSD CVA'!$AM$21)*1</f>
        <v>24.669398821277586</v>
      </c>
      <c r="Z1015" s="4"/>
      <c r="AA1015" s="4"/>
      <c r="AB1015" s="4">
        <f>$K$1015*$V$1015</f>
        <v>54100.600000000006</v>
      </c>
      <c r="AC1015" s="4">
        <f>$M$1015*$W$1015</f>
        <v>0</v>
      </c>
      <c r="AD1015" s="4">
        <f>$O$1015*$X$1015</f>
        <v>0</v>
      </c>
      <c r="AE1015" s="4">
        <f ca="1">$K$1015*$Y$1015</f>
        <v>61081.431481483305</v>
      </c>
      <c r="AF1015" s="4">
        <f>$M$1015*$Z$1015</f>
        <v>0</v>
      </c>
      <c r="AG1015" s="4">
        <f>$O$1015*$AA$1015</f>
        <v>0</v>
      </c>
    </row>
    <row r="1016" spans="1:33" ht="11.25" customHeight="1" x14ac:dyDescent="0.25">
      <c r="A1016" s="3" t="s">
        <v>21</v>
      </c>
      <c r="B1016" s="3" t="s">
        <v>33</v>
      </c>
      <c r="C1016" s="3" t="s">
        <v>34</v>
      </c>
      <c r="D1016" s="3" t="s">
        <v>46</v>
      </c>
      <c r="E1016" s="3" t="s">
        <v>25</v>
      </c>
      <c r="F1016" s="3" t="s">
        <v>25</v>
      </c>
      <c r="G1016" s="3" t="s">
        <v>25</v>
      </c>
      <c r="H1016" s="3" t="s">
        <v>25</v>
      </c>
      <c r="I1016" s="6">
        <v>44470</v>
      </c>
      <c r="J1016" s="4">
        <v>42309</v>
      </c>
      <c r="K1016" s="4">
        <v>42309</v>
      </c>
      <c r="L1016" s="4">
        <v>0</v>
      </c>
      <c r="M1016" s="4">
        <v>0</v>
      </c>
      <c r="N1016" s="4">
        <v>0</v>
      </c>
      <c r="O1016" s="4">
        <v>0</v>
      </c>
      <c r="P1016" s="4">
        <v>340</v>
      </c>
      <c r="Q1016" s="3" t="s">
        <v>26</v>
      </c>
      <c r="R1016" s="3">
        <v>0</v>
      </c>
      <c r="S1016" s="4">
        <v>7</v>
      </c>
      <c r="T1016" s="4">
        <v>0</v>
      </c>
      <c r="U1016" s="4">
        <v>0</v>
      </c>
      <c r="V1016" s="4">
        <f>IF(ISERROR(VLOOKUP($S$1016,'TAR FIN'!$A$1:$O$99,15,0)),0,VLOOKUP($S$1016,'TAR FIN'!$A$1:$O$99,15,0))</f>
        <v>21.85</v>
      </c>
      <c r="W1016" s="4">
        <f>IF(ISERROR(VLOOKUP($T$1016,'TAR FIN'!$A$1:$O$99,15,0)),0,VLOOKUP($T$1016,'TAR FIN'!$A$1:$O$99,15,0))</f>
        <v>0</v>
      </c>
      <c r="X1016" s="4">
        <f>IF(ISERROR(VLOOKUP($U$1016,'TAR FIN'!$A$1:$O$99,15,0)),0,VLOOKUP($U$1016,'TAR FIN'!$A$1:$O$99,15,0))</f>
        <v>0</v>
      </c>
      <c r="Y1016" s="4">
        <f ca="1">('TUSD BE'!$AM$21+'TUSD BF'!$AM$21+'TUSD CVA'!$AM$21)*1</f>
        <v>24.669398821277586</v>
      </c>
      <c r="Z1016" s="4"/>
      <c r="AA1016" s="4"/>
      <c r="AB1016" s="4">
        <f>$K$1016*$V$1016</f>
        <v>924451.65</v>
      </c>
      <c r="AC1016" s="4">
        <f>$M$1016*$W$1016</f>
        <v>0</v>
      </c>
      <c r="AD1016" s="4">
        <f>$O$1016*$X$1016</f>
        <v>0</v>
      </c>
      <c r="AE1016" s="4">
        <f ca="1">$K$1016*$Y$1016</f>
        <v>1043737.5947294334</v>
      </c>
      <c r="AF1016" s="4">
        <f>$M$1016*$Z$1016</f>
        <v>0</v>
      </c>
      <c r="AG1016" s="4">
        <f>$O$1016*$AA$1016</f>
        <v>0</v>
      </c>
    </row>
    <row r="1017" spans="1:33" ht="11.25" customHeight="1" x14ac:dyDescent="0.25">
      <c r="A1017" s="3" t="s">
        <v>27</v>
      </c>
      <c r="B1017" s="3" t="s">
        <v>33</v>
      </c>
      <c r="C1017" s="3" t="s">
        <v>34</v>
      </c>
      <c r="D1017" s="3" t="s">
        <v>46</v>
      </c>
      <c r="E1017" s="3" t="s">
        <v>25</v>
      </c>
      <c r="F1017" s="3" t="s">
        <v>25</v>
      </c>
      <c r="G1017" s="3" t="s">
        <v>25</v>
      </c>
      <c r="H1017" s="3" t="s">
        <v>25</v>
      </c>
      <c r="I1017" s="6">
        <v>44470</v>
      </c>
      <c r="J1017" s="4">
        <v>30</v>
      </c>
      <c r="K1017" s="4">
        <v>30</v>
      </c>
      <c r="L1017" s="4">
        <v>0</v>
      </c>
      <c r="M1017" s="4">
        <v>0</v>
      </c>
      <c r="N1017" s="4">
        <v>0</v>
      </c>
      <c r="O1017" s="4">
        <v>0</v>
      </c>
      <c r="P1017" s="4">
        <v>1</v>
      </c>
      <c r="Q1017" s="3" t="s">
        <v>26</v>
      </c>
      <c r="R1017" s="3">
        <v>0</v>
      </c>
      <c r="S1017" s="4">
        <v>7</v>
      </c>
      <c r="T1017" s="4">
        <v>0</v>
      </c>
      <c r="U1017" s="4">
        <v>0</v>
      </c>
      <c r="V1017" s="4">
        <f>IF(ISERROR(VLOOKUP($S$1017,'TAR FIN'!$A$1:$O$99,15,0)),0,VLOOKUP($S$1017,'TAR FIN'!$A$1:$O$99,15,0))</f>
        <v>21.85</v>
      </c>
      <c r="W1017" s="4">
        <f>IF(ISERROR(VLOOKUP($T$1017,'TAR FIN'!$A$1:$O$99,15,0)),0,VLOOKUP($T$1017,'TAR FIN'!$A$1:$O$99,15,0))</f>
        <v>0</v>
      </c>
      <c r="X1017" s="4">
        <f>IF(ISERROR(VLOOKUP($U$1017,'TAR FIN'!$A$1:$O$99,15,0)),0,VLOOKUP($U$1017,'TAR FIN'!$A$1:$O$99,15,0))</f>
        <v>0</v>
      </c>
      <c r="Y1017" s="4">
        <f ca="1">('TUSD BE'!$AM$21+'TUSD BF'!$AM$21+'TUSD CVA'!$AM$21)*1</f>
        <v>24.669398821277586</v>
      </c>
      <c r="Z1017" s="4"/>
      <c r="AA1017" s="4"/>
      <c r="AB1017" s="4">
        <f>$K$1017*$V$1017</f>
        <v>655.5</v>
      </c>
      <c r="AC1017" s="4">
        <f>$M$1017*$W$1017</f>
        <v>0</v>
      </c>
      <c r="AD1017" s="4">
        <f>$O$1017*$X$1017</f>
        <v>0</v>
      </c>
      <c r="AE1017" s="4">
        <f ca="1">$K$1017*$Y$1017</f>
        <v>740.08196463832758</v>
      </c>
      <c r="AF1017" s="4">
        <f>$M$1017*$Z$1017</f>
        <v>0</v>
      </c>
      <c r="AG1017" s="4">
        <f>$O$1017*$AA$1017</f>
        <v>0</v>
      </c>
    </row>
    <row r="1018" spans="1:33" ht="11.25" customHeight="1" x14ac:dyDescent="0.25">
      <c r="A1018" s="3" t="s">
        <v>28</v>
      </c>
      <c r="B1018" s="3" t="s">
        <v>33</v>
      </c>
      <c r="C1018" s="3" t="s">
        <v>34</v>
      </c>
      <c r="D1018" s="3" t="s">
        <v>46</v>
      </c>
      <c r="E1018" s="3" t="s">
        <v>25</v>
      </c>
      <c r="F1018" s="3" t="s">
        <v>25</v>
      </c>
      <c r="G1018" s="3" t="s">
        <v>25</v>
      </c>
      <c r="H1018" s="3" t="s">
        <v>25</v>
      </c>
      <c r="I1018" s="6">
        <v>44470</v>
      </c>
      <c r="J1018" s="4">
        <v>2483</v>
      </c>
      <c r="K1018" s="4">
        <v>2483</v>
      </c>
      <c r="L1018" s="4">
        <v>0</v>
      </c>
      <c r="M1018" s="4">
        <v>0</v>
      </c>
      <c r="N1018" s="4">
        <v>0</v>
      </c>
      <c r="O1018" s="4">
        <v>0</v>
      </c>
      <c r="P1018" s="4">
        <v>13</v>
      </c>
      <c r="Q1018" s="3" t="s">
        <v>26</v>
      </c>
      <c r="R1018" s="3">
        <v>0</v>
      </c>
      <c r="S1018" s="4">
        <v>7</v>
      </c>
      <c r="T1018" s="4">
        <v>0</v>
      </c>
      <c r="U1018" s="4">
        <v>0</v>
      </c>
      <c r="V1018" s="4">
        <f>IF(ISERROR(VLOOKUP($S$1018,'TAR FIN'!$A$1:$O$99,15,0)),0,VLOOKUP($S$1018,'TAR FIN'!$A$1:$O$99,15,0))</f>
        <v>21.85</v>
      </c>
      <c r="W1018" s="4">
        <f>IF(ISERROR(VLOOKUP($T$1018,'TAR FIN'!$A$1:$O$99,15,0)),0,VLOOKUP($T$1018,'TAR FIN'!$A$1:$O$99,15,0))</f>
        <v>0</v>
      </c>
      <c r="X1018" s="4">
        <f>IF(ISERROR(VLOOKUP($U$1018,'TAR FIN'!$A$1:$O$99,15,0)),0,VLOOKUP($U$1018,'TAR FIN'!$A$1:$O$99,15,0))</f>
        <v>0</v>
      </c>
      <c r="Y1018" s="4">
        <f ca="1">('TUSD BE'!$AM$21+'TUSD BF'!$AM$21+'TUSD CVA'!$AM$21)*1</f>
        <v>24.669398821277586</v>
      </c>
      <c r="Z1018" s="4"/>
      <c r="AA1018" s="4"/>
      <c r="AB1018" s="4">
        <f>$K$1018*$V$1018</f>
        <v>54253.55</v>
      </c>
      <c r="AC1018" s="4">
        <f>$M$1018*$W$1018</f>
        <v>0</v>
      </c>
      <c r="AD1018" s="4">
        <f>$O$1018*$X$1018</f>
        <v>0</v>
      </c>
      <c r="AE1018" s="4">
        <f ca="1">$K$1018*$Y$1018</f>
        <v>61254.117273232245</v>
      </c>
      <c r="AF1018" s="4">
        <f>$M$1018*$Z$1018</f>
        <v>0</v>
      </c>
      <c r="AG1018" s="4">
        <f>$O$1018*$AA$1018</f>
        <v>0</v>
      </c>
    </row>
    <row r="1019" spans="1:33" ht="11.25" customHeight="1" x14ac:dyDescent="0.25">
      <c r="A1019" s="3" t="s">
        <v>21</v>
      </c>
      <c r="B1019" s="3" t="s">
        <v>33</v>
      </c>
      <c r="C1019" s="3" t="s">
        <v>34</v>
      </c>
      <c r="D1019" s="3" t="s">
        <v>46</v>
      </c>
      <c r="E1019" s="3" t="s">
        <v>25</v>
      </c>
      <c r="F1019" s="3" t="s">
        <v>25</v>
      </c>
      <c r="G1019" s="3" t="s">
        <v>25</v>
      </c>
      <c r="H1019" s="3" t="s">
        <v>25</v>
      </c>
      <c r="I1019" s="6">
        <v>44501</v>
      </c>
      <c r="J1019" s="4">
        <v>42923</v>
      </c>
      <c r="K1019" s="4">
        <v>42923</v>
      </c>
      <c r="L1019" s="4">
        <v>0</v>
      </c>
      <c r="M1019" s="4">
        <v>0</v>
      </c>
      <c r="N1019" s="4">
        <v>0</v>
      </c>
      <c r="O1019" s="4">
        <v>0</v>
      </c>
      <c r="P1019" s="4">
        <v>340</v>
      </c>
      <c r="Q1019" s="3" t="s">
        <v>26</v>
      </c>
      <c r="R1019" s="3">
        <v>0</v>
      </c>
      <c r="S1019" s="4">
        <v>7</v>
      </c>
      <c r="T1019" s="4">
        <v>0</v>
      </c>
      <c r="U1019" s="4">
        <v>0</v>
      </c>
      <c r="V1019" s="4">
        <f>IF(ISERROR(VLOOKUP($S$1019,'TAR FIN'!$A$1:$O$99,15,0)),0,VLOOKUP($S$1019,'TAR FIN'!$A$1:$O$99,15,0))</f>
        <v>21.85</v>
      </c>
      <c r="W1019" s="4">
        <f>IF(ISERROR(VLOOKUP($T$1019,'TAR FIN'!$A$1:$O$99,15,0)),0,VLOOKUP($T$1019,'TAR FIN'!$A$1:$O$99,15,0))</f>
        <v>0</v>
      </c>
      <c r="X1019" s="4">
        <f>IF(ISERROR(VLOOKUP($U$1019,'TAR FIN'!$A$1:$O$99,15,0)),0,VLOOKUP($U$1019,'TAR FIN'!$A$1:$O$99,15,0))</f>
        <v>0</v>
      </c>
      <c r="Y1019" s="4">
        <f ca="1">('TUSD BE'!$AM$21+'TUSD BF'!$AM$21+'TUSD CVA'!$AM$21)*1</f>
        <v>24.669398821277586</v>
      </c>
      <c r="Z1019" s="4"/>
      <c r="AA1019" s="4"/>
      <c r="AB1019" s="4">
        <f>$K$1019*$V$1019</f>
        <v>937867.55</v>
      </c>
      <c r="AC1019" s="4">
        <f>$M$1019*$W$1019</f>
        <v>0</v>
      </c>
      <c r="AD1019" s="4">
        <f>$O$1019*$X$1019</f>
        <v>0</v>
      </c>
      <c r="AE1019" s="4">
        <f ca="1">$K$1019*$Y$1019</f>
        <v>1058884.6056056977</v>
      </c>
      <c r="AF1019" s="4">
        <f>$M$1019*$Z$1019</f>
        <v>0</v>
      </c>
      <c r="AG1019" s="4">
        <f>$O$1019*$AA$1019</f>
        <v>0</v>
      </c>
    </row>
    <row r="1020" spans="1:33" ht="11.25" customHeight="1" x14ac:dyDescent="0.25">
      <c r="A1020" s="3" t="s">
        <v>27</v>
      </c>
      <c r="B1020" s="3" t="s">
        <v>33</v>
      </c>
      <c r="C1020" s="3" t="s">
        <v>34</v>
      </c>
      <c r="D1020" s="3" t="s">
        <v>46</v>
      </c>
      <c r="E1020" s="3" t="s">
        <v>25</v>
      </c>
      <c r="F1020" s="3" t="s">
        <v>25</v>
      </c>
      <c r="G1020" s="3" t="s">
        <v>25</v>
      </c>
      <c r="H1020" s="3" t="s">
        <v>25</v>
      </c>
      <c r="I1020" s="6">
        <v>44501</v>
      </c>
      <c r="J1020" s="4">
        <v>150</v>
      </c>
      <c r="K1020" s="4">
        <v>150</v>
      </c>
      <c r="L1020" s="4">
        <v>0</v>
      </c>
      <c r="M1020" s="4">
        <v>0</v>
      </c>
      <c r="N1020" s="4">
        <v>0</v>
      </c>
      <c r="O1020" s="4">
        <v>0</v>
      </c>
      <c r="P1020" s="4">
        <v>2</v>
      </c>
      <c r="Q1020" s="3" t="s">
        <v>26</v>
      </c>
      <c r="R1020" s="3">
        <v>0</v>
      </c>
      <c r="S1020" s="4">
        <v>7</v>
      </c>
      <c r="T1020" s="4">
        <v>0</v>
      </c>
      <c r="U1020" s="4">
        <v>0</v>
      </c>
      <c r="V1020" s="4">
        <f>IF(ISERROR(VLOOKUP($S$1020,'TAR FIN'!$A$1:$O$99,15,0)),0,VLOOKUP($S$1020,'TAR FIN'!$A$1:$O$99,15,0))</f>
        <v>21.85</v>
      </c>
      <c r="W1020" s="4">
        <f>IF(ISERROR(VLOOKUP($T$1020,'TAR FIN'!$A$1:$O$99,15,0)),0,VLOOKUP($T$1020,'TAR FIN'!$A$1:$O$99,15,0))</f>
        <v>0</v>
      </c>
      <c r="X1020" s="4">
        <f>IF(ISERROR(VLOOKUP($U$1020,'TAR FIN'!$A$1:$O$99,15,0)),0,VLOOKUP($U$1020,'TAR FIN'!$A$1:$O$99,15,0))</f>
        <v>0</v>
      </c>
      <c r="Y1020" s="4">
        <f ca="1">('TUSD BE'!$AM$21+'TUSD BF'!$AM$21+'TUSD CVA'!$AM$21)*1</f>
        <v>24.669398821277586</v>
      </c>
      <c r="Z1020" s="4"/>
      <c r="AA1020" s="4"/>
      <c r="AB1020" s="4">
        <f>$K$1020*$V$1020</f>
        <v>3277.5</v>
      </c>
      <c r="AC1020" s="4">
        <f>$M$1020*$W$1020</f>
        <v>0</v>
      </c>
      <c r="AD1020" s="4">
        <f>$O$1020*$X$1020</f>
        <v>0</v>
      </c>
      <c r="AE1020" s="4">
        <f ca="1">$K$1020*$Y$1020</f>
        <v>3700.4098231916378</v>
      </c>
      <c r="AF1020" s="4">
        <f>$M$1020*$Z$1020</f>
        <v>0</v>
      </c>
      <c r="AG1020" s="4">
        <f>$O$1020*$AA$1020</f>
        <v>0</v>
      </c>
    </row>
    <row r="1021" spans="1:33" ht="11.25" customHeight="1" x14ac:dyDescent="0.25">
      <c r="A1021" s="3" t="s">
        <v>28</v>
      </c>
      <c r="B1021" s="3" t="s">
        <v>33</v>
      </c>
      <c r="C1021" s="3" t="s">
        <v>34</v>
      </c>
      <c r="D1021" s="3" t="s">
        <v>46</v>
      </c>
      <c r="E1021" s="3" t="s">
        <v>25</v>
      </c>
      <c r="F1021" s="3" t="s">
        <v>25</v>
      </c>
      <c r="G1021" s="3" t="s">
        <v>25</v>
      </c>
      <c r="H1021" s="3" t="s">
        <v>25</v>
      </c>
      <c r="I1021" s="6">
        <v>44501</v>
      </c>
      <c r="J1021" s="4">
        <v>2496</v>
      </c>
      <c r="K1021" s="4">
        <v>2496</v>
      </c>
      <c r="L1021" s="4">
        <v>0</v>
      </c>
      <c r="M1021" s="4">
        <v>0</v>
      </c>
      <c r="N1021" s="4">
        <v>0</v>
      </c>
      <c r="O1021" s="4">
        <v>0</v>
      </c>
      <c r="P1021" s="4">
        <v>13</v>
      </c>
      <c r="Q1021" s="3" t="s">
        <v>26</v>
      </c>
      <c r="R1021" s="3">
        <v>0</v>
      </c>
      <c r="S1021" s="4">
        <v>7</v>
      </c>
      <c r="T1021" s="4">
        <v>0</v>
      </c>
      <c r="U1021" s="4">
        <v>0</v>
      </c>
      <c r="V1021" s="4">
        <f>IF(ISERROR(VLOOKUP($S$1021,'TAR FIN'!$A$1:$O$99,15,0)),0,VLOOKUP($S$1021,'TAR FIN'!$A$1:$O$99,15,0))</f>
        <v>21.85</v>
      </c>
      <c r="W1021" s="4">
        <f>IF(ISERROR(VLOOKUP($T$1021,'TAR FIN'!$A$1:$O$99,15,0)),0,VLOOKUP($T$1021,'TAR FIN'!$A$1:$O$99,15,0))</f>
        <v>0</v>
      </c>
      <c r="X1021" s="4">
        <f>IF(ISERROR(VLOOKUP($U$1021,'TAR FIN'!$A$1:$O$99,15,0)),0,VLOOKUP($U$1021,'TAR FIN'!$A$1:$O$99,15,0))</f>
        <v>0</v>
      </c>
      <c r="Y1021" s="4">
        <f ca="1">('TUSD BE'!$AM$21+'TUSD BF'!$AM$21+'TUSD CVA'!$AM$21)*1</f>
        <v>24.669398821277586</v>
      </c>
      <c r="Z1021" s="4"/>
      <c r="AA1021" s="4"/>
      <c r="AB1021" s="4">
        <f>$K$1021*$V$1021</f>
        <v>54537.600000000006</v>
      </c>
      <c r="AC1021" s="4">
        <f>$M$1021*$W$1021</f>
        <v>0</v>
      </c>
      <c r="AD1021" s="4">
        <f>$O$1021*$X$1021</f>
        <v>0</v>
      </c>
      <c r="AE1021" s="4">
        <f ca="1">$K$1021*$Y$1021</f>
        <v>61574.819457908852</v>
      </c>
      <c r="AF1021" s="4">
        <f>$M$1021*$Z$1021</f>
        <v>0</v>
      </c>
      <c r="AG1021" s="4">
        <f>$O$1021*$AA$1021</f>
        <v>0</v>
      </c>
    </row>
    <row r="1022" spans="1:33" ht="11.25" customHeight="1" x14ac:dyDescent="0.25">
      <c r="A1022" s="3" t="s">
        <v>21</v>
      </c>
      <c r="B1022" s="3" t="s">
        <v>33</v>
      </c>
      <c r="C1022" s="3" t="s">
        <v>34</v>
      </c>
      <c r="D1022" s="3" t="s">
        <v>46</v>
      </c>
      <c r="E1022" s="3" t="s">
        <v>25</v>
      </c>
      <c r="F1022" s="3" t="s">
        <v>25</v>
      </c>
      <c r="G1022" s="3" t="s">
        <v>25</v>
      </c>
      <c r="H1022" s="3" t="s">
        <v>25</v>
      </c>
      <c r="I1022" s="6">
        <v>44531</v>
      </c>
      <c r="J1022" s="4">
        <v>42175</v>
      </c>
      <c r="K1022" s="4">
        <v>42175</v>
      </c>
      <c r="L1022" s="4">
        <v>0</v>
      </c>
      <c r="M1022" s="4">
        <v>0</v>
      </c>
      <c r="N1022" s="4">
        <v>0</v>
      </c>
      <c r="O1022" s="4">
        <v>0</v>
      </c>
      <c r="P1022" s="4">
        <v>343</v>
      </c>
      <c r="Q1022" s="3" t="s">
        <v>26</v>
      </c>
      <c r="R1022" s="3">
        <v>0</v>
      </c>
      <c r="S1022" s="4">
        <v>7</v>
      </c>
      <c r="T1022" s="4">
        <v>0</v>
      </c>
      <c r="U1022" s="4">
        <v>0</v>
      </c>
      <c r="V1022" s="4">
        <f>IF(ISERROR(VLOOKUP($S$1022,'TAR FIN'!$A$1:$O$99,15,0)),0,VLOOKUP($S$1022,'TAR FIN'!$A$1:$O$99,15,0))</f>
        <v>21.85</v>
      </c>
      <c r="W1022" s="4">
        <f>IF(ISERROR(VLOOKUP($T$1022,'TAR FIN'!$A$1:$O$99,15,0)),0,VLOOKUP($T$1022,'TAR FIN'!$A$1:$O$99,15,0))</f>
        <v>0</v>
      </c>
      <c r="X1022" s="4">
        <f>IF(ISERROR(VLOOKUP($U$1022,'TAR FIN'!$A$1:$O$99,15,0)),0,VLOOKUP($U$1022,'TAR FIN'!$A$1:$O$99,15,0))</f>
        <v>0</v>
      </c>
      <c r="Y1022" s="4">
        <f ca="1">('TUSD BE'!$AM$21+'TUSD BF'!$AM$21+'TUSD CVA'!$AM$21)*1</f>
        <v>24.669398821277586</v>
      </c>
      <c r="Z1022" s="4"/>
      <c r="AA1022" s="4"/>
      <c r="AB1022" s="4">
        <f>$K$1022*$V$1022</f>
        <v>921523.75000000012</v>
      </c>
      <c r="AC1022" s="4">
        <f>$M$1022*$W$1022</f>
        <v>0</v>
      </c>
      <c r="AD1022" s="4">
        <f>$O$1022*$X$1022</f>
        <v>0</v>
      </c>
      <c r="AE1022" s="4">
        <f ca="1">$K$1022*$Y$1022</f>
        <v>1040431.8952873822</v>
      </c>
      <c r="AF1022" s="4">
        <f>$M$1022*$Z$1022</f>
        <v>0</v>
      </c>
      <c r="AG1022" s="4">
        <f>$O$1022*$AA$1022</f>
        <v>0</v>
      </c>
    </row>
    <row r="1023" spans="1:33" ht="11.25" customHeight="1" x14ac:dyDescent="0.25">
      <c r="A1023" s="3" t="s">
        <v>28</v>
      </c>
      <c r="B1023" s="3" t="s">
        <v>33</v>
      </c>
      <c r="C1023" s="3" t="s">
        <v>34</v>
      </c>
      <c r="D1023" s="3" t="s">
        <v>46</v>
      </c>
      <c r="E1023" s="3" t="s">
        <v>25</v>
      </c>
      <c r="F1023" s="3" t="s">
        <v>25</v>
      </c>
      <c r="G1023" s="3" t="s">
        <v>25</v>
      </c>
      <c r="H1023" s="3" t="s">
        <v>25</v>
      </c>
      <c r="I1023" s="6">
        <v>44531</v>
      </c>
      <c r="J1023" s="4">
        <v>2429</v>
      </c>
      <c r="K1023" s="4">
        <v>2429</v>
      </c>
      <c r="L1023" s="4">
        <v>0</v>
      </c>
      <c r="M1023" s="4">
        <v>0</v>
      </c>
      <c r="N1023" s="4">
        <v>0</v>
      </c>
      <c r="O1023" s="4">
        <v>0</v>
      </c>
      <c r="P1023" s="4">
        <v>14</v>
      </c>
      <c r="Q1023" s="3" t="s">
        <v>26</v>
      </c>
      <c r="R1023" s="3">
        <v>0</v>
      </c>
      <c r="S1023" s="4">
        <v>7</v>
      </c>
      <c r="T1023" s="4">
        <v>0</v>
      </c>
      <c r="U1023" s="4">
        <v>0</v>
      </c>
      <c r="V1023" s="4">
        <f>IF(ISERROR(VLOOKUP($S$1023,'TAR FIN'!$A$1:$O$99,15,0)),0,VLOOKUP($S$1023,'TAR FIN'!$A$1:$O$99,15,0))</f>
        <v>21.85</v>
      </c>
      <c r="W1023" s="4">
        <f>IF(ISERROR(VLOOKUP($T$1023,'TAR FIN'!$A$1:$O$99,15,0)),0,VLOOKUP($T$1023,'TAR FIN'!$A$1:$O$99,15,0))</f>
        <v>0</v>
      </c>
      <c r="X1023" s="4">
        <f>IF(ISERROR(VLOOKUP($U$1023,'TAR FIN'!$A$1:$O$99,15,0)),0,VLOOKUP($U$1023,'TAR FIN'!$A$1:$O$99,15,0))</f>
        <v>0</v>
      </c>
      <c r="Y1023" s="4">
        <f ca="1">('TUSD BE'!$AM$21+'TUSD BF'!$AM$21+'TUSD CVA'!$AM$21)*1</f>
        <v>24.669398821277586</v>
      </c>
      <c r="Z1023" s="4"/>
      <c r="AA1023" s="4"/>
      <c r="AB1023" s="4">
        <f>$K$1023*$V$1023</f>
        <v>53073.65</v>
      </c>
      <c r="AC1023" s="4">
        <f>$M$1023*$W$1023</f>
        <v>0</v>
      </c>
      <c r="AD1023" s="4">
        <f>$O$1023*$X$1023</f>
        <v>0</v>
      </c>
      <c r="AE1023" s="4">
        <f ca="1">$K$1023*$Y$1023</f>
        <v>59921.969736883257</v>
      </c>
      <c r="AF1023" s="4">
        <f>$M$1023*$Z$1023</f>
        <v>0</v>
      </c>
      <c r="AG1023" s="4">
        <f>$O$1023*$AA$1023</f>
        <v>0</v>
      </c>
    </row>
    <row r="1024" spans="1:33" ht="11.25" customHeight="1" x14ac:dyDescent="0.25">
      <c r="A1024" s="3" t="s">
        <v>21</v>
      </c>
      <c r="B1024" s="3" t="s">
        <v>33</v>
      </c>
      <c r="C1024" s="3" t="s">
        <v>34</v>
      </c>
      <c r="D1024" s="3" t="s">
        <v>46</v>
      </c>
      <c r="E1024" s="3" t="s">
        <v>25</v>
      </c>
      <c r="F1024" s="3" t="s">
        <v>25</v>
      </c>
      <c r="G1024" s="3" t="s">
        <v>25</v>
      </c>
      <c r="H1024" s="3" t="s">
        <v>25</v>
      </c>
      <c r="I1024" s="6">
        <v>44562</v>
      </c>
      <c r="J1024" s="4">
        <v>42569</v>
      </c>
      <c r="K1024" s="4">
        <v>42569</v>
      </c>
      <c r="L1024" s="4">
        <v>0</v>
      </c>
      <c r="M1024" s="4">
        <v>0</v>
      </c>
      <c r="N1024" s="4">
        <v>0</v>
      </c>
      <c r="O1024" s="4">
        <v>0</v>
      </c>
      <c r="P1024" s="4">
        <v>344</v>
      </c>
      <c r="Q1024" s="3" t="s">
        <v>26</v>
      </c>
      <c r="R1024" s="3">
        <v>0</v>
      </c>
      <c r="S1024" s="4">
        <v>7</v>
      </c>
      <c r="T1024" s="4">
        <v>0</v>
      </c>
      <c r="U1024" s="4">
        <v>0</v>
      </c>
      <c r="V1024" s="4">
        <f>IF(ISERROR(VLOOKUP($S$1024,'TAR FIN'!$A$1:$O$99,15,0)),0,VLOOKUP($S$1024,'TAR FIN'!$A$1:$O$99,15,0))</f>
        <v>21.85</v>
      </c>
      <c r="W1024" s="4">
        <f>IF(ISERROR(VLOOKUP($T$1024,'TAR FIN'!$A$1:$O$99,15,0)),0,VLOOKUP($T$1024,'TAR FIN'!$A$1:$O$99,15,0))</f>
        <v>0</v>
      </c>
      <c r="X1024" s="4">
        <f>IF(ISERROR(VLOOKUP($U$1024,'TAR FIN'!$A$1:$O$99,15,0)),0,VLOOKUP($U$1024,'TAR FIN'!$A$1:$O$99,15,0))</f>
        <v>0</v>
      </c>
      <c r="Y1024" s="4">
        <f ca="1">('TUSD BE'!$AM$21+'TUSD BF'!$AM$21+'TUSD CVA'!$AM$21)*1</f>
        <v>24.669398821277586</v>
      </c>
      <c r="Z1024" s="4"/>
      <c r="AA1024" s="4"/>
      <c r="AB1024" s="4">
        <f>$K$1024*$V$1024</f>
        <v>930132.65</v>
      </c>
      <c r="AC1024" s="4">
        <f>$M$1024*$W$1024</f>
        <v>0</v>
      </c>
      <c r="AD1024" s="4">
        <f>$O$1024*$X$1024</f>
        <v>0</v>
      </c>
      <c r="AE1024" s="4">
        <f ca="1">$K$1024*$Y$1024</f>
        <v>1050151.6384229655</v>
      </c>
      <c r="AF1024" s="4">
        <f>$M$1024*$Z$1024</f>
        <v>0</v>
      </c>
      <c r="AG1024" s="4">
        <f>$O$1024*$AA$1024</f>
        <v>0</v>
      </c>
    </row>
    <row r="1025" spans="1:33" ht="11.25" customHeight="1" x14ac:dyDescent="0.25">
      <c r="A1025" s="3" t="s">
        <v>28</v>
      </c>
      <c r="B1025" s="3" t="s">
        <v>33</v>
      </c>
      <c r="C1025" s="3" t="s">
        <v>34</v>
      </c>
      <c r="D1025" s="3" t="s">
        <v>46</v>
      </c>
      <c r="E1025" s="3" t="s">
        <v>25</v>
      </c>
      <c r="F1025" s="3" t="s">
        <v>25</v>
      </c>
      <c r="G1025" s="3" t="s">
        <v>25</v>
      </c>
      <c r="H1025" s="3" t="s">
        <v>25</v>
      </c>
      <c r="I1025" s="6">
        <v>44562</v>
      </c>
      <c r="J1025" s="4">
        <v>2433</v>
      </c>
      <c r="K1025" s="4">
        <v>2433</v>
      </c>
      <c r="L1025" s="4">
        <v>0</v>
      </c>
      <c r="M1025" s="4">
        <v>0</v>
      </c>
      <c r="N1025" s="4">
        <v>0</v>
      </c>
      <c r="O1025" s="4">
        <v>0</v>
      </c>
      <c r="P1025" s="4">
        <v>14</v>
      </c>
      <c r="Q1025" s="3" t="s">
        <v>26</v>
      </c>
      <c r="R1025" s="3">
        <v>0</v>
      </c>
      <c r="S1025" s="4">
        <v>7</v>
      </c>
      <c r="T1025" s="4">
        <v>0</v>
      </c>
      <c r="U1025" s="4">
        <v>0</v>
      </c>
      <c r="V1025" s="4">
        <f>IF(ISERROR(VLOOKUP($S$1025,'TAR FIN'!$A$1:$O$99,15,0)),0,VLOOKUP($S$1025,'TAR FIN'!$A$1:$O$99,15,0))</f>
        <v>21.85</v>
      </c>
      <c r="W1025" s="4">
        <f>IF(ISERROR(VLOOKUP($T$1025,'TAR FIN'!$A$1:$O$99,15,0)),0,VLOOKUP($T$1025,'TAR FIN'!$A$1:$O$99,15,0))</f>
        <v>0</v>
      </c>
      <c r="X1025" s="4">
        <f>IF(ISERROR(VLOOKUP($U$1025,'TAR FIN'!$A$1:$O$99,15,0)),0,VLOOKUP($U$1025,'TAR FIN'!$A$1:$O$99,15,0))</f>
        <v>0</v>
      </c>
      <c r="Y1025" s="4">
        <f ca="1">('TUSD BE'!$AM$21+'TUSD BF'!$AM$21+'TUSD CVA'!$AM$21)*1</f>
        <v>24.669398821277586</v>
      </c>
      <c r="Z1025" s="4"/>
      <c r="AA1025" s="4"/>
      <c r="AB1025" s="4">
        <f>$K$1025*$V$1025</f>
        <v>53161.05</v>
      </c>
      <c r="AC1025" s="4">
        <f>$M$1025*$W$1025</f>
        <v>0</v>
      </c>
      <c r="AD1025" s="4">
        <f>$O$1025*$X$1025</f>
        <v>0</v>
      </c>
      <c r="AE1025" s="4">
        <f ca="1">$K$1025*$Y$1025</f>
        <v>60020.647332168366</v>
      </c>
      <c r="AF1025" s="4">
        <f>$M$1025*$Z$1025</f>
        <v>0</v>
      </c>
      <c r="AG1025" s="4">
        <f>$O$1025*$AA$1025</f>
        <v>0</v>
      </c>
    </row>
    <row r="1026" spans="1:33" ht="11.25" customHeight="1" x14ac:dyDescent="0.25">
      <c r="A1026" s="3" t="s">
        <v>21</v>
      </c>
      <c r="B1026" s="3" t="s">
        <v>33</v>
      </c>
      <c r="C1026" s="3" t="s">
        <v>34</v>
      </c>
      <c r="D1026" s="3" t="s">
        <v>46</v>
      </c>
      <c r="E1026" s="3" t="s">
        <v>25</v>
      </c>
      <c r="F1026" s="3" t="s">
        <v>25</v>
      </c>
      <c r="G1026" s="3" t="s">
        <v>25</v>
      </c>
      <c r="H1026" s="3" t="s">
        <v>25</v>
      </c>
      <c r="I1026" s="6">
        <v>44593</v>
      </c>
      <c r="J1026" s="4">
        <v>43672</v>
      </c>
      <c r="K1026" s="4">
        <v>43672</v>
      </c>
      <c r="L1026" s="4">
        <v>0</v>
      </c>
      <c r="M1026" s="4">
        <v>0</v>
      </c>
      <c r="N1026" s="4">
        <v>0</v>
      </c>
      <c r="O1026" s="4">
        <v>0</v>
      </c>
      <c r="P1026" s="4">
        <v>347</v>
      </c>
      <c r="Q1026" s="3" t="s">
        <v>26</v>
      </c>
      <c r="R1026" s="3">
        <v>0</v>
      </c>
      <c r="S1026" s="4">
        <v>7</v>
      </c>
      <c r="T1026" s="4">
        <v>0</v>
      </c>
      <c r="U1026" s="4">
        <v>0</v>
      </c>
      <c r="V1026" s="4">
        <f>IF(ISERROR(VLOOKUP($S$1026,'TAR FIN'!$A$1:$O$99,15,0)),0,VLOOKUP($S$1026,'TAR FIN'!$A$1:$O$99,15,0))</f>
        <v>21.85</v>
      </c>
      <c r="W1026" s="4">
        <f>IF(ISERROR(VLOOKUP($T$1026,'TAR FIN'!$A$1:$O$99,15,0)),0,VLOOKUP($T$1026,'TAR FIN'!$A$1:$O$99,15,0))</f>
        <v>0</v>
      </c>
      <c r="X1026" s="4">
        <f>IF(ISERROR(VLOOKUP($U$1026,'TAR FIN'!$A$1:$O$99,15,0)),0,VLOOKUP($U$1026,'TAR FIN'!$A$1:$O$99,15,0))</f>
        <v>0</v>
      </c>
      <c r="Y1026" s="4">
        <f ca="1">('TUSD BE'!$AM$21+'TUSD BF'!$AM$21+'TUSD CVA'!$AM$21)*1</f>
        <v>24.669398821277586</v>
      </c>
      <c r="Z1026" s="4"/>
      <c r="AA1026" s="4"/>
      <c r="AB1026" s="4">
        <f>$K$1026*$V$1026</f>
        <v>954233.20000000007</v>
      </c>
      <c r="AC1026" s="4">
        <f>$M$1026*$W$1026</f>
        <v>0</v>
      </c>
      <c r="AD1026" s="4">
        <f>$O$1026*$X$1026</f>
        <v>0</v>
      </c>
      <c r="AE1026" s="4">
        <f ca="1">$K$1026*$Y$1026</f>
        <v>1077361.9853228347</v>
      </c>
      <c r="AF1026" s="4">
        <f>$M$1026*$Z$1026</f>
        <v>0</v>
      </c>
      <c r="AG1026" s="4">
        <f>$O$1026*$AA$1026</f>
        <v>0</v>
      </c>
    </row>
    <row r="1027" spans="1:33" ht="11.25" customHeight="1" x14ac:dyDescent="0.25">
      <c r="A1027" s="3" t="s">
        <v>28</v>
      </c>
      <c r="B1027" s="3" t="s">
        <v>33</v>
      </c>
      <c r="C1027" s="3" t="s">
        <v>34</v>
      </c>
      <c r="D1027" s="3" t="s">
        <v>46</v>
      </c>
      <c r="E1027" s="3" t="s">
        <v>25</v>
      </c>
      <c r="F1027" s="3" t="s">
        <v>25</v>
      </c>
      <c r="G1027" s="3" t="s">
        <v>25</v>
      </c>
      <c r="H1027" s="3" t="s">
        <v>25</v>
      </c>
      <c r="I1027" s="6">
        <v>44593</v>
      </c>
      <c r="J1027" s="4">
        <v>2426</v>
      </c>
      <c r="K1027" s="4">
        <v>2426</v>
      </c>
      <c r="L1027" s="4">
        <v>0</v>
      </c>
      <c r="M1027" s="4">
        <v>0</v>
      </c>
      <c r="N1027" s="4">
        <v>0</v>
      </c>
      <c r="O1027" s="4">
        <v>0</v>
      </c>
      <c r="P1027" s="4">
        <v>14</v>
      </c>
      <c r="Q1027" s="3" t="s">
        <v>26</v>
      </c>
      <c r="R1027" s="3">
        <v>0</v>
      </c>
      <c r="S1027" s="4">
        <v>7</v>
      </c>
      <c r="T1027" s="4">
        <v>0</v>
      </c>
      <c r="U1027" s="4">
        <v>0</v>
      </c>
      <c r="V1027" s="4">
        <f>IF(ISERROR(VLOOKUP($S$1027,'TAR FIN'!$A$1:$O$99,15,0)),0,VLOOKUP($S$1027,'TAR FIN'!$A$1:$O$99,15,0))</f>
        <v>21.85</v>
      </c>
      <c r="W1027" s="4">
        <f>IF(ISERROR(VLOOKUP($T$1027,'TAR FIN'!$A$1:$O$99,15,0)),0,VLOOKUP($T$1027,'TAR FIN'!$A$1:$O$99,15,0))</f>
        <v>0</v>
      </c>
      <c r="X1027" s="4">
        <f>IF(ISERROR(VLOOKUP($U$1027,'TAR FIN'!$A$1:$O$99,15,0)),0,VLOOKUP($U$1027,'TAR FIN'!$A$1:$O$99,15,0))</f>
        <v>0</v>
      </c>
      <c r="Y1027" s="4">
        <f ca="1">('TUSD BE'!$AM$21+'TUSD BF'!$AM$21+'TUSD CVA'!$AM$21)*1</f>
        <v>24.669398821277586</v>
      </c>
      <c r="Z1027" s="4"/>
      <c r="AA1027" s="4"/>
      <c r="AB1027" s="4">
        <f>$K$1027*$V$1027</f>
        <v>53008.100000000006</v>
      </c>
      <c r="AC1027" s="4">
        <f>$M$1027*$W$1027</f>
        <v>0</v>
      </c>
      <c r="AD1027" s="4">
        <f>$O$1027*$X$1027</f>
        <v>0</v>
      </c>
      <c r="AE1027" s="4">
        <f ca="1">$K$1027*$Y$1027</f>
        <v>59847.961540419419</v>
      </c>
      <c r="AF1027" s="4">
        <f>$M$1027*$Z$1027</f>
        <v>0</v>
      </c>
      <c r="AG1027" s="4">
        <f>$O$1027*$AA$1027</f>
        <v>0</v>
      </c>
    </row>
    <row r="1028" spans="1:33" ht="11.25" customHeight="1" x14ac:dyDescent="0.25">
      <c r="A1028" s="3" t="s">
        <v>21</v>
      </c>
      <c r="B1028" s="3" t="s">
        <v>33</v>
      </c>
      <c r="C1028" s="3" t="s">
        <v>34</v>
      </c>
      <c r="D1028" s="3" t="s">
        <v>46</v>
      </c>
      <c r="E1028" s="3" t="s">
        <v>25</v>
      </c>
      <c r="F1028" s="3" t="s">
        <v>25</v>
      </c>
      <c r="G1028" s="3" t="s">
        <v>25</v>
      </c>
      <c r="H1028" s="3" t="s">
        <v>25</v>
      </c>
      <c r="I1028" s="6">
        <v>44621</v>
      </c>
      <c r="J1028" s="4">
        <v>44016</v>
      </c>
      <c r="K1028" s="4">
        <v>44016</v>
      </c>
      <c r="L1028" s="4">
        <v>0</v>
      </c>
      <c r="M1028" s="4">
        <v>0</v>
      </c>
      <c r="N1028" s="4">
        <v>0</v>
      </c>
      <c r="O1028" s="4">
        <v>0</v>
      </c>
      <c r="P1028" s="4">
        <v>348</v>
      </c>
      <c r="Q1028" s="3" t="s">
        <v>26</v>
      </c>
      <c r="R1028" s="3">
        <v>0</v>
      </c>
      <c r="S1028" s="4">
        <v>7</v>
      </c>
      <c r="T1028" s="4">
        <v>0</v>
      </c>
      <c r="U1028" s="4">
        <v>0</v>
      </c>
      <c r="V1028" s="4">
        <f>IF(ISERROR(VLOOKUP($S$1028,'TAR FIN'!$A$1:$O$99,15,0)),0,VLOOKUP($S$1028,'TAR FIN'!$A$1:$O$99,15,0))</f>
        <v>21.85</v>
      </c>
      <c r="W1028" s="4">
        <f>IF(ISERROR(VLOOKUP($T$1028,'TAR FIN'!$A$1:$O$99,15,0)),0,VLOOKUP($T$1028,'TAR FIN'!$A$1:$O$99,15,0))</f>
        <v>0</v>
      </c>
      <c r="X1028" s="4">
        <f>IF(ISERROR(VLOOKUP($U$1028,'TAR FIN'!$A$1:$O$99,15,0)),0,VLOOKUP($U$1028,'TAR FIN'!$A$1:$O$99,15,0))</f>
        <v>0</v>
      </c>
      <c r="Y1028" s="4">
        <f ca="1">('TUSD BE'!$AM$21+'TUSD BF'!$AM$21+'TUSD CVA'!$AM$21)*1</f>
        <v>24.669398821277586</v>
      </c>
      <c r="Z1028" s="4"/>
      <c r="AA1028" s="4"/>
      <c r="AB1028" s="4">
        <f>$K$1028*$V$1028</f>
        <v>961749.60000000009</v>
      </c>
      <c r="AC1028" s="4">
        <f>$M$1028*$W$1028</f>
        <v>0</v>
      </c>
      <c r="AD1028" s="4">
        <f>$O$1028*$X$1028</f>
        <v>0</v>
      </c>
      <c r="AE1028" s="4">
        <f ca="1">$K$1028*$Y$1028</f>
        <v>1085848.2585173543</v>
      </c>
      <c r="AF1028" s="4">
        <f>$M$1028*$Z$1028</f>
        <v>0</v>
      </c>
      <c r="AG1028" s="4">
        <f>$O$1028*$AA$1028</f>
        <v>0</v>
      </c>
    </row>
    <row r="1029" spans="1:33" ht="11.25" customHeight="1" x14ac:dyDescent="0.25">
      <c r="A1029" s="3" t="s">
        <v>28</v>
      </c>
      <c r="B1029" s="3" t="s">
        <v>33</v>
      </c>
      <c r="C1029" s="3" t="s">
        <v>34</v>
      </c>
      <c r="D1029" s="3" t="s">
        <v>46</v>
      </c>
      <c r="E1029" s="3" t="s">
        <v>25</v>
      </c>
      <c r="F1029" s="3" t="s">
        <v>25</v>
      </c>
      <c r="G1029" s="3" t="s">
        <v>25</v>
      </c>
      <c r="H1029" s="3" t="s">
        <v>25</v>
      </c>
      <c r="I1029" s="6">
        <v>44621</v>
      </c>
      <c r="J1029" s="4">
        <v>2426</v>
      </c>
      <c r="K1029" s="4">
        <v>2426</v>
      </c>
      <c r="L1029" s="4">
        <v>0</v>
      </c>
      <c r="M1029" s="4">
        <v>0</v>
      </c>
      <c r="N1029" s="4">
        <v>0</v>
      </c>
      <c r="O1029" s="4">
        <v>0</v>
      </c>
      <c r="P1029" s="4">
        <v>14</v>
      </c>
      <c r="Q1029" s="3" t="s">
        <v>26</v>
      </c>
      <c r="R1029" s="3">
        <v>0</v>
      </c>
      <c r="S1029" s="4">
        <v>7</v>
      </c>
      <c r="T1029" s="4">
        <v>0</v>
      </c>
      <c r="U1029" s="4">
        <v>0</v>
      </c>
      <c r="V1029" s="4">
        <f>IF(ISERROR(VLOOKUP($S$1029,'TAR FIN'!$A$1:$O$99,15,0)),0,VLOOKUP($S$1029,'TAR FIN'!$A$1:$O$99,15,0))</f>
        <v>21.85</v>
      </c>
      <c r="W1029" s="4">
        <f>IF(ISERROR(VLOOKUP($T$1029,'TAR FIN'!$A$1:$O$99,15,0)),0,VLOOKUP($T$1029,'TAR FIN'!$A$1:$O$99,15,0))</f>
        <v>0</v>
      </c>
      <c r="X1029" s="4">
        <f>IF(ISERROR(VLOOKUP($U$1029,'TAR FIN'!$A$1:$O$99,15,0)),0,VLOOKUP($U$1029,'TAR FIN'!$A$1:$O$99,15,0))</f>
        <v>0</v>
      </c>
      <c r="Y1029" s="4">
        <f ca="1">('TUSD BE'!$AM$21+'TUSD BF'!$AM$21+'TUSD CVA'!$AM$21)*1</f>
        <v>24.669398821277586</v>
      </c>
      <c r="Z1029" s="4"/>
      <c r="AA1029" s="4"/>
      <c r="AB1029" s="4">
        <f>$K$1029*$V$1029</f>
        <v>53008.100000000006</v>
      </c>
      <c r="AC1029" s="4">
        <f>$M$1029*$W$1029</f>
        <v>0</v>
      </c>
      <c r="AD1029" s="4">
        <f>$O$1029*$X$1029</f>
        <v>0</v>
      </c>
      <c r="AE1029" s="4">
        <f ca="1">$K$1029*$Y$1029</f>
        <v>59847.961540419419</v>
      </c>
      <c r="AF1029" s="4">
        <f>$M$1029*$Z$1029</f>
        <v>0</v>
      </c>
      <c r="AG1029" s="4">
        <f>$O$1029*$AA$1029</f>
        <v>0</v>
      </c>
    </row>
    <row r="1030" spans="1:33" ht="11.25" customHeight="1" x14ac:dyDescent="0.25">
      <c r="A1030" s="3" t="s">
        <v>56</v>
      </c>
      <c r="B1030" s="3" t="s">
        <v>33</v>
      </c>
      <c r="C1030" s="3" t="s">
        <v>34</v>
      </c>
      <c r="D1030" s="3" t="s">
        <v>46</v>
      </c>
      <c r="E1030" s="3" t="s">
        <v>25</v>
      </c>
      <c r="F1030" s="3" t="s">
        <v>25</v>
      </c>
      <c r="G1030" s="3" t="s">
        <v>25</v>
      </c>
      <c r="H1030" s="3" t="s">
        <v>25</v>
      </c>
      <c r="I1030" s="6">
        <v>44652</v>
      </c>
      <c r="J1030" s="4">
        <v>44016</v>
      </c>
      <c r="K1030" s="4">
        <v>44016</v>
      </c>
      <c r="L1030" s="4">
        <v>0</v>
      </c>
      <c r="M1030" s="4">
        <v>0</v>
      </c>
      <c r="N1030" s="4">
        <v>0</v>
      </c>
      <c r="O1030" s="4">
        <v>0</v>
      </c>
      <c r="P1030" s="4">
        <v>348</v>
      </c>
      <c r="Q1030" s="3" t="s">
        <v>26</v>
      </c>
      <c r="R1030" s="3">
        <v>0</v>
      </c>
      <c r="S1030" s="4">
        <v>7</v>
      </c>
      <c r="T1030" s="4">
        <v>0</v>
      </c>
      <c r="U1030" s="4">
        <v>0</v>
      </c>
      <c r="V1030" s="4">
        <f>IF(ISERROR(VLOOKUP($S$1030,'TAR FIN'!$A$1:$O$99,15,0)),0,VLOOKUP($S$1030,'TAR FIN'!$A$1:$O$99,15,0))</f>
        <v>21.85</v>
      </c>
      <c r="W1030" s="4">
        <f>IF(ISERROR(VLOOKUP($T$1030,'TAR FIN'!$A$1:$O$99,15,0)),0,VLOOKUP($T$1030,'TAR FIN'!$A$1:$O$99,15,0))</f>
        <v>0</v>
      </c>
      <c r="X1030" s="4">
        <f>IF(ISERROR(VLOOKUP($U$1030,'TAR FIN'!$A$1:$O$99,15,0)),0,VLOOKUP($U$1030,'TAR FIN'!$A$1:$O$99,15,0))</f>
        <v>0</v>
      </c>
      <c r="Y1030" s="4">
        <f ca="1">('TUSD BE'!$AM$21+'TUSD BF'!$AM$21+'TUSD CVA'!$AM$21)*1</f>
        <v>24.669398821277586</v>
      </c>
      <c r="Z1030" s="4"/>
      <c r="AA1030" s="4"/>
      <c r="AB1030" s="4">
        <f>$K$1030*$V$1030</f>
        <v>961749.60000000009</v>
      </c>
      <c r="AC1030" s="4">
        <f>$M$1030*$W$1030</f>
        <v>0</v>
      </c>
      <c r="AD1030" s="4">
        <f>$O$1030*$X$1030</f>
        <v>0</v>
      </c>
      <c r="AE1030" s="4">
        <f ca="1">$K$1030*$Y$1030</f>
        <v>1085848.2585173543</v>
      </c>
      <c r="AF1030" s="4">
        <f>$M$1030*$Z$1030</f>
        <v>0</v>
      </c>
      <c r="AG1030" s="4">
        <f>$O$1030*$AA$1030</f>
        <v>0</v>
      </c>
    </row>
    <row r="1031" spans="1:33" ht="11.25" customHeight="1" x14ac:dyDescent="0.25">
      <c r="A1031" s="3" t="s">
        <v>56</v>
      </c>
      <c r="B1031" s="3" t="s">
        <v>33</v>
      </c>
      <c r="C1031" s="3" t="s">
        <v>34</v>
      </c>
      <c r="D1031" s="3" t="s">
        <v>46</v>
      </c>
      <c r="E1031" s="3" t="s">
        <v>25</v>
      </c>
      <c r="F1031" s="3" t="s">
        <v>25</v>
      </c>
      <c r="G1031" s="3" t="s">
        <v>25</v>
      </c>
      <c r="H1031" s="3" t="s">
        <v>25</v>
      </c>
      <c r="I1031" s="6">
        <v>44652</v>
      </c>
      <c r="J1031" s="4">
        <v>2426</v>
      </c>
      <c r="K1031" s="4">
        <v>2426</v>
      </c>
      <c r="L1031" s="4">
        <v>0</v>
      </c>
      <c r="M1031" s="4">
        <v>0</v>
      </c>
      <c r="N1031" s="4">
        <v>0</v>
      </c>
      <c r="O1031" s="4">
        <v>0</v>
      </c>
      <c r="P1031" s="4">
        <v>14</v>
      </c>
      <c r="Q1031" s="3" t="s">
        <v>26</v>
      </c>
      <c r="R1031" s="3">
        <v>0</v>
      </c>
      <c r="S1031" s="4">
        <v>7</v>
      </c>
      <c r="T1031" s="4">
        <v>0</v>
      </c>
      <c r="U1031" s="4">
        <v>0</v>
      </c>
      <c r="V1031" s="4">
        <f>IF(ISERROR(VLOOKUP($S$1031,'TAR FIN'!$A$1:$O$99,15,0)),0,VLOOKUP($S$1031,'TAR FIN'!$A$1:$O$99,15,0))</f>
        <v>21.85</v>
      </c>
      <c r="W1031" s="4">
        <f>IF(ISERROR(VLOOKUP($T$1031,'TAR FIN'!$A$1:$O$99,15,0)),0,VLOOKUP($T$1031,'TAR FIN'!$A$1:$O$99,15,0))</f>
        <v>0</v>
      </c>
      <c r="X1031" s="4">
        <f>IF(ISERROR(VLOOKUP($U$1031,'TAR FIN'!$A$1:$O$99,15,0)),0,VLOOKUP($U$1031,'TAR FIN'!$A$1:$O$99,15,0))</f>
        <v>0</v>
      </c>
      <c r="Y1031" s="4">
        <f ca="1">('TUSD BE'!$AM$21+'TUSD BF'!$AM$21+'TUSD CVA'!$AM$21)*1</f>
        <v>24.669398821277586</v>
      </c>
      <c r="Z1031" s="4"/>
      <c r="AA1031" s="4"/>
      <c r="AB1031" s="4">
        <f>$K$1031*$V$1031</f>
        <v>53008.100000000006</v>
      </c>
      <c r="AC1031" s="4">
        <f>$M$1031*$W$1031</f>
        <v>0</v>
      </c>
      <c r="AD1031" s="4">
        <f>$O$1031*$X$1031</f>
        <v>0</v>
      </c>
      <c r="AE1031" s="4">
        <f ca="1">$K$1031*$Y$1031</f>
        <v>59847.961540419419</v>
      </c>
      <c r="AF1031" s="4">
        <f>$M$1031*$Z$1031</f>
        <v>0</v>
      </c>
      <c r="AG1031" s="4">
        <f>$O$1031*$AA$1031</f>
        <v>0</v>
      </c>
    </row>
    <row r="1032" spans="1:33" ht="11.25" customHeight="1" x14ac:dyDescent="0.25">
      <c r="A1032" s="3" t="s">
        <v>21</v>
      </c>
      <c r="B1032" s="3" t="s">
        <v>33</v>
      </c>
      <c r="C1032" s="3" t="s">
        <v>34</v>
      </c>
      <c r="D1032" s="3" t="s">
        <v>46</v>
      </c>
      <c r="E1032" s="3" t="s">
        <v>25</v>
      </c>
      <c r="F1032" s="3" t="s">
        <v>25</v>
      </c>
      <c r="G1032" s="3" t="s">
        <v>25</v>
      </c>
      <c r="H1032" s="3" t="s">
        <v>35</v>
      </c>
      <c r="I1032" s="6">
        <v>44317</v>
      </c>
      <c r="J1032" s="4">
        <v>0</v>
      </c>
      <c r="K1032" s="4">
        <v>0</v>
      </c>
      <c r="L1032" s="4">
        <v>507.31200000000001</v>
      </c>
      <c r="M1032" s="4">
        <v>507.31200000000001</v>
      </c>
      <c r="N1032" s="4">
        <v>507.31200000000001</v>
      </c>
      <c r="O1032" s="4">
        <v>507.31200000000001</v>
      </c>
      <c r="P1032" s="4">
        <v>0</v>
      </c>
      <c r="Q1032" s="3" t="s">
        <v>26</v>
      </c>
      <c r="R1032" s="3">
        <v>0</v>
      </c>
      <c r="S1032" s="4">
        <v>0</v>
      </c>
      <c r="T1032" s="4">
        <v>8</v>
      </c>
      <c r="U1032" s="4">
        <v>72</v>
      </c>
      <c r="V1032" s="4">
        <f>IF(ISERROR(VLOOKUP($S$1032,'TAR FIN'!$A$1:$O$99,15,0)),0,VLOOKUP($S$1032,'TAR FIN'!$A$1:$O$99,15,0))</f>
        <v>0</v>
      </c>
      <c r="W1032" s="4">
        <f>IF(ISERROR(VLOOKUP($T$1032,'TAR FIN'!$A$1:$O$99,15,0)),0,VLOOKUP($T$1032,'TAR FIN'!$A$1:$O$99,15,0))</f>
        <v>1557.74</v>
      </c>
      <c r="X1032" s="4">
        <f>IF(ISERROR(VLOOKUP($U$1032,'TAR FIN'!$A$1:$O$99,15,0)),0,VLOOKUP($U$1032,'TAR FIN'!$A$1:$O$99,15,0))</f>
        <v>346.61</v>
      </c>
      <c r="Y1032" s="4"/>
      <c r="Z1032" s="4">
        <f ca="1">('TUSD BE'!$AM$22+'TUSD BF'!$AM$22+'TUSD CVA'!$AM$22)*1</f>
        <v>1799.131999651745</v>
      </c>
      <c r="AA1032" s="4">
        <f>('TE BE'!$AA$7+'TE BF'!$AA$7+'TE CVA'!$AA$7)*1</f>
        <v>423.89652505413846</v>
      </c>
      <c r="AB1032" s="4">
        <f>$K$1032*$V$1032</f>
        <v>0</v>
      </c>
      <c r="AC1032" s="4">
        <f>$M$1032*$W$1032</f>
        <v>790260.19487999997</v>
      </c>
      <c r="AD1032" s="4">
        <f>$O$1032*$X$1032</f>
        <v>175839.41232</v>
      </c>
      <c r="AE1032" s="4">
        <f>$K$1032*$Y$1032</f>
        <v>0</v>
      </c>
      <c r="AF1032" s="4">
        <f ca="1">$M$1032*$Z$1032</f>
        <v>912721.25300732604</v>
      </c>
      <c r="AG1032" s="4">
        <f>$O$1032*$AA$1032</f>
        <v>215047.79391826509</v>
      </c>
    </row>
    <row r="1033" spans="1:33" ht="11.25" customHeight="1" x14ac:dyDescent="0.25">
      <c r="A1033" s="3" t="s">
        <v>27</v>
      </c>
      <c r="B1033" s="3" t="s">
        <v>33</v>
      </c>
      <c r="C1033" s="3" t="s">
        <v>34</v>
      </c>
      <c r="D1033" s="3" t="s">
        <v>46</v>
      </c>
      <c r="E1033" s="3" t="s">
        <v>25</v>
      </c>
      <c r="F1033" s="3" t="s">
        <v>25</v>
      </c>
      <c r="G1033" s="3" t="s">
        <v>25</v>
      </c>
      <c r="H1033" s="3" t="s">
        <v>35</v>
      </c>
      <c r="I1033" s="6">
        <v>44317</v>
      </c>
      <c r="J1033" s="4">
        <v>0</v>
      </c>
      <c r="K1033" s="4">
        <v>0</v>
      </c>
      <c r="L1033" s="4">
        <v>0.66900000000000004</v>
      </c>
      <c r="M1033" s="4">
        <v>0.66900000000000004</v>
      </c>
      <c r="N1033" s="4">
        <v>0.66900000000000004</v>
      </c>
      <c r="O1033" s="4">
        <v>0.66900000000000004</v>
      </c>
      <c r="P1033" s="4">
        <v>0</v>
      </c>
      <c r="Q1033" s="3" t="s">
        <v>26</v>
      </c>
      <c r="R1033" s="3">
        <v>0</v>
      </c>
      <c r="S1033" s="4">
        <v>0</v>
      </c>
      <c r="T1033" s="4">
        <v>8</v>
      </c>
      <c r="U1033" s="4">
        <v>72</v>
      </c>
      <c r="V1033" s="4">
        <f>IF(ISERROR(VLOOKUP($S$1033,'TAR FIN'!$A$1:$O$99,15,0)),0,VLOOKUP($S$1033,'TAR FIN'!$A$1:$O$99,15,0))</f>
        <v>0</v>
      </c>
      <c r="W1033" s="4">
        <f>IF(ISERROR(VLOOKUP($T$1033,'TAR FIN'!$A$1:$O$99,15,0)),0,VLOOKUP($T$1033,'TAR FIN'!$A$1:$O$99,15,0))</f>
        <v>1557.74</v>
      </c>
      <c r="X1033" s="4">
        <f>IF(ISERROR(VLOOKUP($U$1033,'TAR FIN'!$A$1:$O$99,15,0)),0,VLOOKUP($U$1033,'TAR FIN'!$A$1:$O$99,15,0))</f>
        <v>346.61</v>
      </c>
      <c r="Y1033" s="4"/>
      <c r="Z1033" s="4">
        <f ca="1">('TUSD BE'!$AM$22+'TUSD BF'!$AM$22+'TUSD CVA'!$AM$22)*1</f>
        <v>1799.131999651745</v>
      </c>
      <c r="AA1033" s="4">
        <f>('TE BE'!$AA$7+'TE BF'!$AA$7+'TE CVA'!$AA$7)*1</f>
        <v>423.89652505413846</v>
      </c>
      <c r="AB1033" s="4">
        <f>$K$1033*$V$1033</f>
        <v>0</v>
      </c>
      <c r="AC1033" s="4">
        <f>$M$1033*$W$1033</f>
        <v>1042.12806</v>
      </c>
      <c r="AD1033" s="4">
        <f>$O$1033*$X$1033</f>
        <v>231.88209000000003</v>
      </c>
      <c r="AE1033" s="4">
        <f>$K$1033*$Y$1033</f>
        <v>0</v>
      </c>
      <c r="AF1033" s="4">
        <f ca="1">$M$1033*$Z$1033</f>
        <v>1203.6193077670175</v>
      </c>
      <c r="AG1033" s="4">
        <f>$O$1033*$AA$1033</f>
        <v>283.58677526121863</v>
      </c>
    </row>
    <row r="1034" spans="1:33" ht="11.25" customHeight="1" x14ac:dyDescent="0.25">
      <c r="A1034" s="3" t="s">
        <v>28</v>
      </c>
      <c r="B1034" s="3" t="s">
        <v>33</v>
      </c>
      <c r="C1034" s="3" t="s">
        <v>34</v>
      </c>
      <c r="D1034" s="3" t="s">
        <v>46</v>
      </c>
      <c r="E1034" s="3" t="s">
        <v>25</v>
      </c>
      <c r="F1034" s="3" t="s">
        <v>25</v>
      </c>
      <c r="G1034" s="3" t="s">
        <v>25</v>
      </c>
      <c r="H1034" s="3" t="s">
        <v>35</v>
      </c>
      <c r="I1034" s="6">
        <v>44317</v>
      </c>
      <c r="J1034" s="4">
        <v>0</v>
      </c>
      <c r="K1034" s="4">
        <v>0</v>
      </c>
      <c r="L1034" s="4">
        <v>13.177</v>
      </c>
      <c r="M1034" s="4">
        <v>13.177</v>
      </c>
      <c r="N1034" s="4">
        <v>13.177</v>
      </c>
      <c r="O1034" s="4">
        <v>13.177</v>
      </c>
      <c r="P1034" s="4">
        <v>0</v>
      </c>
      <c r="Q1034" s="3" t="s">
        <v>26</v>
      </c>
      <c r="R1034" s="3">
        <v>0</v>
      </c>
      <c r="S1034" s="4">
        <v>0</v>
      </c>
      <c r="T1034" s="4">
        <v>8</v>
      </c>
      <c r="U1034" s="4">
        <v>72</v>
      </c>
      <c r="V1034" s="4">
        <f>IF(ISERROR(VLOOKUP($S$1034,'TAR FIN'!$A$1:$O$99,15,0)),0,VLOOKUP($S$1034,'TAR FIN'!$A$1:$O$99,15,0))</f>
        <v>0</v>
      </c>
      <c r="W1034" s="4">
        <f>IF(ISERROR(VLOOKUP($T$1034,'TAR FIN'!$A$1:$O$99,15,0)),0,VLOOKUP($T$1034,'TAR FIN'!$A$1:$O$99,15,0))</f>
        <v>1557.74</v>
      </c>
      <c r="X1034" s="4">
        <f>IF(ISERROR(VLOOKUP($U$1034,'TAR FIN'!$A$1:$O$99,15,0)),0,VLOOKUP($U$1034,'TAR FIN'!$A$1:$O$99,15,0))</f>
        <v>346.61</v>
      </c>
      <c r="Y1034" s="4"/>
      <c r="Z1034" s="4">
        <f ca="1">('TUSD BE'!$AM$22+'TUSD BF'!$AM$22+'TUSD CVA'!$AM$22)*1</f>
        <v>1799.131999651745</v>
      </c>
      <c r="AA1034" s="4">
        <f>('TE BE'!$AA$7+'TE BF'!$AA$7+'TE CVA'!$AA$7)*1</f>
        <v>423.89652505413846</v>
      </c>
      <c r="AB1034" s="4">
        <f>$K$1034*$V$1034</f>
        <v>0</v>
      </c>
      <c r="AC1034" s="4">
        <f>$M$1034*$W$1034</f>
        <v>20526.339980000001</v>
      </c>
      <c r="AD1034" s="4">
        <f>$O$1034*$X$1034</f>
        <v>4567.2799699999996</v>
      </c>
      <c r="AE1034" s="4">
        <f>$K$1034*$Y$1034</f>
        <v>0</v>
      </c>
      <c r="AF1034" s="4">
        <f ca="1">$M$1034*$Z$1034</f>
        <v>23707.162359411042</v>
      </c>
      <c r="AG1034" s="4">
        <f>$O$1034*$AA$1034</f>
        <v>5585.6845106383826</v>
      </c>
    </row>
    <row r="1035" spans="1:33" ht="11.25" customHeight="1" x14ac:dyDescent="0.25">
      <c r="A1035" s="3" t="s">
        <v>21</v>
      </c>
      <c r="B1035" s="3" t="s">
        <v>33</v>
      </c>
      <c r="C1035" s="3" t="s">
        <v>34</v>
      </c>
      <c r="D1035" s="3" t="s">
        <v>46</v>
      </c>
      <c r="E1035" s="3" t="s">
        <v>25</v>
      </c>
      <c r="F1035" s="3" t="s">
        <v>25</v>
      </c>
      <c r="G1035" s="3" t="s">
        <v>25</v>
      </c>
      <c r="H1035" s="3" t="s">
        <v>35</v>
      </c>
      <c r="I1035" s="6">
        <v>44348</v>
      </c>
      <c r="J1035" s="4">
        <v>0</v>
      </c>
      <c r="K1035" s="4">
        <v>0</v>
      </c>
      <c r="L1035" s="4">
        <v>469.42500000000001</v>
      </c>
      <c r="M1035" s="4">
        <v>469.42500000000001</v>
      </c>
      <c r="N1035" s="4">
        <v>469.42500000000001</v>
      </c>
      <c r="O1035" s="4">
        <v>469.42500000000001</v>
      </c>
      <c r="P1035" s="4">
        <v>0</v>
      </c>
      <c r="Q1035" s="3" t="s">
        <v>26</v>
      </c>
      <c r="R1035" s="3">
        <v>0</v>
      </c>
      <c r="S1035" s="4">
        <v>0</v>
      </c>
      <c r="T1035" s="4">
        <v>8</v>
      </c>
      <c r="U1035" s="4">
        <v>72</v>
      </c>
      <c r="V1035" s="4">
        <f>IF(ISERROR(VLOOKUP($S$1035,'TAR FIN'!$A$1:$O$99,15,0)),0,VLOOKUP($S$1035,'TAR FIN'!$A$1:$O$99,15,0))</f>
        <v>0</v>
      </c>
      <c r="W1035" s="4">
        <f>IF(ISERROR(VLOOKUP($T$1035,'TAR FIN'!$A$1:$O$99,15,0)),0,VLOOKUP($T$1035,'TAR FIN'!$A$1:$O$99,15,0))</f>
        <v>1557.74</v>
      </c>
      <c r="X1035" s="4">
        <f>IF(ISERROR(VLOOKUP($U$1035,'TAR FIN'!$A$1:$O$99,15,0)),0,VLOOKUP($U$1035,'TAR FIN'!$A$1:$O$99,15,0))</f>
        <v>346.61</v>
      </c>
      <c r="Y1035" s="4"/>
      <c r="Z1035" s="4">
        <f ca="1">('TUSD BE'!$AM$22+'TUSD BF'!$AM$22+'TUSD CVA'!$AM$22)*1</f>
        <v>1799.131999651745</v>
      </c>
      <c r="AA1035" s="4">
        <f>('TE BE'!$AA$7+'TE BF'!$AA$7+'TE CVA'!$AA$7)*1</f>
        <v>423.89652505413846</v>
      </c>
      <c r="AB1035" s="4">
        <f>$K$1035*$V$1035</f>
        <v>0</v>
      </c>
      <c r="AC1035" s="4">
        <f>$M$1035*$W$1035</f>
        <v>731242.09950000001</v>
      </c>
      <c r="AD1035" s="4">
        <f>$O$1035*$X$1035</f>
        <v>162707.39925000002</v>
      </c>
      <c r="AE1035" s="4">
        <f>$K$1035*$Y$1035</f>
        <v>0</v>
      </c>
      <c r="AF1035" s="4">
        <f ca="1">$M$1035*$Z$1035</f>
        <v>844557.53893652046</v>
      </c>
      <c r="AG1035" s="4">
        <f>$O$1035*$AA$1035</f>
        <v>198987.62627353895</v>
      </c>
    </row>
    <row r="1036" spans="1:33" ht="11.25" customHeight="1" x14ac:dyDescent="0.25">
      <c r="A1036" s="3" t="s">
        <v>27</v>
      </c>
      <c r="B1036" s="3" t="s">
        <v>33</v>
      </c>
      <c r="C1036" s="3" t="s">
        <v>34</v>
      </c>
      <c r="D1036" s="3" t="s">
        <v>46</v>
      </c>
      <c r="E1036" s="3" t="s">
        <v>25</v>
      </c>
      <c r="F1036" s="3" t="s">
        <v>25</v>
      </c>
      <c r="G1036" s="3" t="s">
        <v>25</v>
      </c>
      <c r="H1036" s="3" t="s">
        <v>35</v>
      </c>
      <c r="I1036" s="6">
        <v>44348</v>
      </c>
      <c r="J1036" s="4">
        <v>0</v>
      </c>
      <c r="K1036" s="4">
        <v>0</v>
      </c>
      <c r="L1036" s="4">
        <v>0.49</v>
      </c>
      <c r="M1036" s="4">
        <v>0.49</v>
      </c>
      <c r="N1036" s="4">
        <v>0.49</v>
      </c>
      <c r="O1036" s="4">
        <v>0.49</v>
      </c>
      <c r="P1036" s="4">
        <v>0</v>
      </c>
      <c r="Q1036" s="3" t="s">
        <v>26</v>
      </c>
      <c r="R1036" s="3">
        <v>0</v>
      </c>
      <c r="S1036" s="4">
        <v>0</v>
      </c>
      <c r="T1036" s="4">
        <v>8</v>
      </c>
      <c r="U1036" s="4">
        <v>72</v>
      </c>
      <c r="V1036" s="4">
        <f>IF(ISERROR(VLOOKUP($S$1036,'TAR FIN'!$A$1:$O$99,15,0)),0,VLOOKUP($S$1036,'TAR FIN'!$A$1:$O$99,15,0))</f>
        <v>0</v>
      </c>
      <c r="W1036" s="4">
        <f>IF(ISERROR(VLOOKUP($T$1036,'TAR FIN'!$A$1:$O$99,15,0)),0,VLOOKUP($T$1036,'TAR FIN'!$A$1:$O$99,15,0))</f>
        <v>1557.74</v>
      </c>
      <c r="X1036" s="4">
        <f>IF(ISERROR(VLOOKUP($U$1036,'TAR FIN'!$A$1:$O$99,15,0)),0,VLOOKUP($U$1036,'TAR FIN'!$A$1:$O$99,15,0))</f>
        <v>346.61</v>
      </c>
      <c r="Y1036" s="4"/>
      <c r="Z1036" s="4">
        <f ca="1">('TUSD BE'!$AM$22+'TUSD BF'!$AM$22+'TUSD CVA'!$AM$22)*1</f>
        <v>1799.131999651745</v>
      </c>
      <c r="AA1036" s="4">
        <f>('TE BE'!$AA$7+'TE BF'!$AA$7+'TE CVA'!$AA$7)*1</f>
        <v>423.89652505413846</v>
      </c>
      <c r="AB1036" s="4">
        <f>$K$1036*$V$1036</f>
        <v>0</v>
      </c>
      <c r="AC1036" s="4">
        <f>$M$1036*$W$1036</f>
        <v>763.29259999999999</v>
      </c>
      <c r="AD1036" s="4">
        <f>$O$1036*$X$1036</f>
        <v>169.8389</v>
      </c>
      <c r="AE1036" s="4">
        <f>$K$1036*$Y$1036</f>
        <v>0</v>
      </c>
      <c r="AF1036" s="4">
        <f ca="1">$M$1036*$Z$1036</f>
        <v>881.57467982935498</v>
      </c>
      <c r="AG1036" s="4">
        <f>$O$1036*$AA$1036</f>
        <v>207.70929727652785</v>
      </c>
    </row>
    <row r="1037" spans="1:33" ht="11.25" customHeight="1" x14ac:dyDescent="0.25">
      <c r="A1037" s="3" t="s">
        <v>28</v>
      </c>
      <c r="B1037" s="3" t="s">
        <v>33</v>
      </c>
      <c r="C1037" s="3" t="s">
        <v>34</v>
      </c>
      <c r="D1037" s="3" t="s">
        <v>46</v>
      </c>
      <c r="E1037" s="3" t="s">
        <v>25</v>
      </c>
      <c r="F1037" s="3" t="s">
        <v>25</v>
      </c>
      <c r="G1037" s="3" t="s">
        <v>25</v>
      </c>
      <c r="H1037" s="3" t="s">
        <v>35</v>
      </c>
      <c r="I1037" s="6">
        <v>44348</v>
      </c>
      <c r="J1037" s="4">
        <v>0</v>
      </c>
      <c r="K1037" s="4">
        <v>0</v>
      </c>
      <c r="L1037" s="4">
        <v>13.564</v>
      </c>
      <c r="M1037" s="4">
        <v>13.564</v>
      </c>
      <c r="N1037" s="4">
        <v>13.564</v>
      </c>
      <c r="O1037" s="4">
        <v>13.564</v>
      </c>
      <c r="P1037" s="4">
        <v>0</v>
      </c>
      <c r="Q1037" s="3" t="s">
        <v>26</v>
      </c>
      <c r="R1037" s="3">
        <v>0</v>
      </c>
      <c r="S1037" s="4">
        <v>0</v>
      </c>
      <c r="T1037" s="4">
        <v>8</v>
      </c>
      <c r="U1037" s="4">
        <v>72</v>
      </c>
      <c r="V1037" s="4">
        <f>IF(ISERROR(VLOOKUP($S$1037,'TAR FIN'!$A$1:$O$99,15,0)),0,VLOOKUP($S$1037,'TAR FIN'!$A$1:$O$99,15,0))</f>
        <v>0</v>
      </c>
      <c r="W1037" s="4">
        <f>IF(ISERROR(VLOOKUP($T$1037,'TAR FIN'!$A$1:$O$99,15,0)),0,VLOOKUP($T$1037,'TAR FIN'!$A$1:$O$99,15,0))</f>
        <v>1557.74</v>
      </c>
      <c r="X1037" s="4">
        <f>IF(ISERROR(VLOOKUP($U$1037,'TAR FIN'!$A$1:$O$99,15,0)),0,VLOOKUP($U$1037,'TAR FIN'!$A$1:$O$99,15,0))</f>
        <v>346.61</v>
      </c>
      <c r="Y1037" s="4"/>
      <c r="Z1037" s="4">
        <f ca="1">('TUSD BE'!$AM$22+'TUSD BF'!$AM$22+'TUSD CVA'!$AM$22)*1</f>
        <v>1799.131999651745</v>
      </c>
      <c r="AA1037" s="4">
        <f>('TE BE'!$AA$7+'TE BF'!$AA$7+'TE CVA'!$AA$7)*1</f>
        <v>423.89652505413846</v>
      </c>
      <c r="AB1037" s="4">
        <f>$K$1037*$V$1037</f>
        <v>0</v>
      </c>
      <c r="AC1037" s="4">
        <f>$M$1037*$W$1037</f>
        <v>21129.185359999999</v>
      </c>
      <c r="AD1037" s="4">
        <f>$O$1037*$X$1037</f>
        <v>4701.4180400000005</v>
      </c>
      <c r="AE1037" s="4">
        <f>$K$1037*$Y$1037</f>
        <v>0</v>
      </c>
      <c r="AF1037" s="4">
        <f ca="1">$M$1037*$Z$1037</f>
        <v>24403.426443276268</v>
      </c>
      <c r="AG1037" s="4">
        <f>$O$1037*$AA$1037</f>
        <v>5749.7324658343341</v>
      </c>
    </row>
    <row r="1038" spans="1:33" ht="11.25" customHeight="1" x14ac:dyDescent="0.25">
      <c r="A1038" s="3" t="s">
        <v>21</v>
      </c>
      <c r="B1038" s="3" t="s">
        <v>33</v>
      </c>
      <c r="C1038" s="3" t="s">
        <v>34</v>
      </c>
      <c r="D1038" s="3" t="s">
        <v>46</v>
      </c>
      <c r="E1038" s="3" t="s">
        <v>25</v>
      </c>
      <c r="F1038" s="3" t="s">
        <v>25</v>
      </c>
      <c r="G1038" s="3" t="s">
        <v>25</v>
      </c>
      <c r="H1038" s="3" t="s">
        <v>35</v>
      </c>
      <c r="I1038" s="6">
        <v>44378</v>
      </c>
      <c r="J1038" s="4">
        <v>0</v>
      </c>
      <c r="K1038" s="4">
        <v>0</v>
      </c>
      <c r="L1038" s="4">
        <v>487.87200000000001</v>
      </c>
      <c r="M1038" s="4">
        <v>487.87200000000001</v>
      </c>
      <c r="N1038" s="4">
        <v>487.87200000000001</v>
      </c>
      <c r="O1038" s="4">
        <v>487.87200000000001</v>
      </c>
      <c r="P1038" s="4">
        <v>0</v>
      </c>
      <c r="Q1038" s="3" t="s">
        <v>26</v>
      </c>
      <c r="R1038" s="3">
        <v>0</v>
      </c>
      <c r="S1038" s="4">
        <v>0</v>
      </c>
      <c r="T1038" s="4">
        <v>8</v>
      </c>
      <c r="U1038" s="4">
        <v>72</v>
      </c>
      <c r="V1038" s="4">
        <f>IF(ISERROR(VLOOKUP($S$1038,'TAR FIN'!$A$1:$O$99,15,0)),0,VLOOKUP($S$1038,'TAR FIN'!$A$1:$O$99,15,0))</f>
        <v>0</v>
      </c>
      <c r="W1038" s="4">
        <f>IF(ISERROR(VLOOKUP($T$1038,'TAR FIN'!$A$1:$O$99,15,0)),0,VLOOKUP($T$1038,'TAR FIN'!$A$1:$O$99,15,0))</f>
        <v>1557.74</v>
      </c>
      <c r="X1038" s="4">
        <f>IF(ISERROR(VLOOKUP($U$1038,'TAR FIN'!$A$1:$O$99,15,0)),0,VLOOKUP($U$1038,'TAR FIN'!$A$1:$O$99,15,0))</f>
        <v>346.61</v>
      </c>
      <c r="Y1038" s="4"/>
      <c r="Z1038" s="4">
        <f ca="1">('TUSD BE'!$AM$22+'TUSD BF'!$AM$22+'TUSD CVA'!$AM$22)*1</f>
        <v>1799.131999651745</v>
      </c>
      <c r="AA1038" s="4">
        <f>('TE BE'!$AA$7+'TE BF'!$AA$7+'TE CVA'!$AA$7)*1</f>
        <v>423.89652505413846</v>
      </c>
      <c r="AB1038" s="4">
        <f>$K$1038*$V$1038</f>
        <v>0</v>
      </c>
      <c r="AC1038" s="4">
        <f>$M$1038*$W$1038</f>
        <v>759977.72927999997</v>
      </c>
      <c r="AD1038" s="4">
        <f>$O$1038*$X$1038</f>
        <v>169101.31392000002</v>
      </c>
      <c r="AE1038" s="4">
        <f>$K$1038*$Y$1038</f>
        <v>0</v>
      </c>
      <c r="AF1038" s="4">
        <f ca="1">$M$1038*$Z$1038</f>
        <v>877746.1269340961</v>
      </c>
      <c r="AG1038" s="4">
        <f>$O$1038*$AA$1038</f>
        <v>206807.24547121263</v>
      </c>
    </row>
    <row r="1039" spans="1:33" ht="11.25" customHeight="1" x14ac:dyDescent="0.25">
      <c r="A1039" s="3" t="s">
        <v>28</v>
      </c>
      <c r="B1039" s="3" t="s">
        <v>33</v>
      </c>
      <c r="C1039" s="3" t="s">
        <v>34</v>
      </c>
      <c r="D1039" s="3" t="s">
        <v>46</v>
      </c>
      <c r="E1039" s="3" t="s">
        <v>25</v>
      </c>
      <c r="F1039" s="3" t="s">
        <v>25</v>
      </c>
      <c r="G1039" s="3" t="s">
        <v>25</v>
      </c>
      <c r="H1039" s="3" t="s">
        <v>35</v>
      </c>
      <c r="I1039" s="6">
        <v>44378</v>
      </c>
      <c r="J1039" s="4">
        <v>0</v>
      </c>
      <c r="K1039" s="4">
        <v>0</v>
      </c>
      <c r="L1039" s="4">
        <v>14.372999999999999</v>
      </c>
      <c r="M1039" s="4">
        <v>14.372999999999999</v>
      </c>
      <c r="N1039" s="4">
        <v>14.372999999999999</v>
      </c>
      <c r="O1039" s="4">
        <v>14.372999999999999</v>
      </c>
      <c r="P1039" s="4">
        <v>0</v>
      </c>
      <c r="Q1039" s="3" t="s">
        <v>26</v>
      </c>
      <c r="R1039" s="3">
        <v>0</v>
      </c>
      <c r="S1039" s="4">
        <v>0</v>
      </c>
      <c r="T1039" s="4">
        <v>8</v>
      </c>
      <c r="U1039" s="4">
        <v>72</v>
      </c>
      <c r="V1039" s="4">
        <f>IF(ISERROR(VLOOKUP($S$1039,'TAR FIN'!$A$1:$O$99,15,0)),0,VLOOKUP($S$1039,'TAR FIN'!$A$1:$O$99,15,0))</f>
        <v>0</v>
      </c>
      <c r="W1039" s="4">
        <f>IF(ISERROR(VLOOKUP($T$1039,'TAR FIN'!$A$1:$O$99,15,0)),0,VLOOKUP($T$1039,'TAR FIN'!$A$1:$O$99,15,0))</f>
        <v>1557.74</v>
      </c>
      <c r="X1039" s="4">
        <f>IF(ISERROR(VLOOKUP($U$1039,'TAR FIN'!$A$1:$O$99,15,0)),0,VLOOKUP($U$1039,'TAR FIN'!$A$1:$O$99,15,0))</f>
        <v>346.61</v>
      </c>
      <c r="Y1039" s="4"/>
      <c r="Z1039" s="4">
        <f ca="1">('TUSD BE'!$AM$22+'TUSD BF'!$AM$22+'TUSD CVA'!$AM$22)*1</f>
        <v>1799.131999651745</v>
      </c>
      <c r="AA1039" s="4">
        <f>('TE BE'!$AA$7+'TE BF'!$AA$7+'TE CVA'!$AA$7)*1</f>
        <v>423.89652505413846</v>
      </c>
      <c r="AB1039" s="4">
        <f>$K$1039*$V$1039</f>
        <v>0</v>
      </c>
      <c r="AC1039" s="4">
        <f>$M$1039*$W$1039</f>
        <v>22389.39702</v>
      </c>
      <c r="AD1039" s="4">
        <f>$O$1039*$X$1039</f>
        <v>4981.8255300000001</v>
      </c>
      <c r="AE1039" s="4">
        <f>$K$1039*$Y$1039</f>
        <v>0</v>
      </c>
      <c r="AF1039" s="4">
        <f ca="1">$M$1039*$Z$1039</f>
        <v>25858.924230994529</v>
      </c>
      <c r="AG1039" s="4">
        <f>$O$1039*$AA$1039</f>
        <v>6092.6647546031318</v>
      </c>
    </row>
    <row r="1040" spans="1:33" ht="11.25" customHeight="1" x14ac:dyDescent="0.25">
      <c r="A1040" s="3" t="s">
        <v>21</v>
      </c>
      <c r="B1040" s="3" t="s">
        <v>33</v>
      </c>
      <c r="C1040" s="3" t="s">
        <v>34</v>
      </c>
      <c r="D1040" s="3" t="s">
        <v>46</v>
      </c>
      <c r="E1040" s="3" t="s">
        <v>25</v>
      </c>
      <c r="F1040" s="3" t="s">
        <v>25</v>
      </c>
      <c r="G1040" s="3" t="s">
        <v>25</v>
      </c>
      <c r="H1040" s="3" t="s">
        <v>35</v>
      </c>
      <c r="I1040" s="6">
        <v>44409</v>
      </c>
      <c r="J1040" s="4">
        <v>0</v>
      </c>
      <c r="K1040" s="4">
        <v>0</v>
      </c>
      <c r="L1040" s="4">
        <v>479.78899999999999</v>
      </c>
      <c r="M1040" s="4">
        <v>479.78899999999999</v>
      </c>
      <c r="N1040" s="4">
        <v>479.78899999999999</v>
      </c>
      <c r="O1040" s="4">
        <v>479.78899999999999</v>
      </c>
      <c r="P1040" s="4">
        <v>0</v>
      </c>
      <c r="Q1040" s="3" t="s">
        <v>26</v>
      </c>
      <c r="R1040" s="3">
        <v>0</v>
      </c>
      <c r="S1040" s="4">
        <v>0</v>
      </c>
      <c r="T1040" s="4">
        <v>8</v>
      </c>
      <c r="U1040" s="4">
        <v>72</v>
      </c>
      <c r="V1040" s="4">
        <f>IF(ISERROR(VLOOKUP($S$1040,'TAR FIN'!$A$1:$O$99,15,0)),0,VLOOKUP($S$1040,'TAR FIN'!$A$1:$O$99,15,0))</f>
        <v>0</v>
      </c>
      <c r="W1040" s="4">
        <f>IF(ISERROR(VLOOKUP($T$1040,'TAR FIN'!$A$1:$O$99,15,0)),0,VLOOKUP($T$1040,'TAR FIN'!$A$1:$O$99,15,0))</f>
        <v>1557.74</v>
      </c>
      <c r="X1040" s="4">
        <f>IF(ISERROR(VLOOKUP($U$1040,'TAR FIN'!$A$1:$O$99,15,0)),0,VLOOKUP($U$1040,'TAR FIN'!$A$1:$O$99,15,0))</f>
        <v>346.61</v>
      </c>
      <c r="Y1040" s="4"/>
      <c r="Z1040" s="4">
        <f ca="1">('TUSD BE'!$AM$22+'TUSD BF'!$AM$22+'TUSD CVA'!$AM$22)*1</f>
        <v>1799.131999651745</v>
      </c>
      <c r="AA1040" s="4">
        <f>('TE BE'!$AA$7+'TE BF'!$AA$7+'TE CVA'!$AA$7)*1</f>
        <v>423.89652505413846</v>
      </c>
      <c r="AB1040" s="4">
        <f>$K$1040*$V$1040</f>
        <v>0</v>
      </c>
      <c r="AC1040" s="4">
        <f>$M$1040*$W$1040</f>
        <v>747386.51685999997</v>
      </c>
      <c r="AD1040" s="4">
        <f>$O$1040*$X$1040</f>
        <v>166299.66529</v>
      </c>
      <c r="AE1040" s="4">
        <f>$K$1040*$Y$1040</f>
        <v>0</v>
      </c>
      <c r="AF1040" s="4">
        <f ca="1">$M$1040*$Z$1040</f>
        <v>863203.74298091105</v>
      </c>
      <c r="AG1040" s="4">
        <f>$O$1040*$AA$1040</f>
        <v>203380.88985920005</v>
      </c>
    </row>
    <row r="1041" spans="1:33" ht="11.25" customHeight="1" x14ac:dyDescent="0.25">
      <c r="A1041" s="3" t="s">
        <v>27</v>
      </c>
      <c r="B1041" s="3" t="s">
        <v>33</v>
      </c>
      <c r="C1041" s="3" t="s">
        <v>34</v>
      </c>
      <c r="D1041" s="3" t="s">
        <v>46</v>
      </c>
      <c r="E1041" s="3" t="s">
        <v>25</v>
      </c>
      <c r="F1041" s="3" t="s">
        <v>25</v>
      </c>
      <c r="G1041" s="3" t="s">
        <v>25</v>
      </c>
      <c r="H1041" s="3" t="s">
        <v>35</v>
      </c>
      <c r="I1041" s="6">
        <v>44409</v>
      </c>
      <c r="J1041" s="4">
        <v>0</v>
      </c>
      <c r="K1041" s="4">
        <v>0</v>
      </c>
      <c r="L1041" s="4">
        <v>-0.11600000000000001</v>
      </c>
      <c r="M1041" s="4">
        <v>-0.11600000000000001</v>
      </c>
      <c r="N1041" s="4">
        <v>-0.11600000000000001</v>
      </c>
      <c r="O1041" s="4">
        <v>-0.11600000000000001</v>
      </c>
      <c r="P1041" s="4">
        <v>0</v>
      </c>
      <c r="Q1041" s="3" t="s">
        <v>26</v>
      </c>
      <c r="R1041" s="3">
        <v>0</v>
      </c>
      <c r="S1041" s="4">
        <v>0</v>
      </c>
      <c r="T1041" s="4">
        <v>8</v>
      </c>
      <c r="U1041" s="4">
        <v>72</v>
      </c>
      <c r="V1041" s="4">
        <f>IF(ISERROR(VLOOKUP($S$1041,'TAR FIN'!$A$1:$O$99,15,0)),0,VLOOKUP($S$1041,'TAR FIN'!$A$1:$O$99,15,0))</f>
        <v>0</v>
      </c>
      <c r="W1041" s="4">
        <f>IF(ISERROR(VLOOKUP($T$1041,'TAR FIN'!$A$1:$O$99,15,0)),0,VLOOKUP($T$1041,'TAR FIN'!$A$1:$O$99,15,0))</f>
        <v>1557.74</v>
      </c>
      <c r="X1041" s="4">
        <f>IF(ISERROR(VLOOKUP($U$1041,'TAR FIN'!$A$1:$O$99,15,0)),0,VLOOKUP($U$1041,'TAR FIN'!$A$1:$O$99,15,0))</f>
        <v>346.61</v>
      </c>
      <c r="Y1041" s="4"/>
      <c r="Z1041" s="4">
        <f ca="1">('TUSD BE'!$AM$22+'TUSD BF'!$AM$22+'TUSD CVA'!$AM$22)*1</f>
        <v>1799.131999651745</v>
      </c>
      <c r="AA1041" s="4">
        <f>('TE BE'!$AA$7+'TE BF'!$AA$7+'TE CVA'!$AA$7)*1</f>
        <v>423.89652505413846</v>
      </c>
      <c r="AB1041" s="4">
        <f>$K$1041*$V$1041</f>
        <v>0</v>
      </c>
      <c r="AC1041" s="4">
        <f>$M$1041*$W$1041</f>
        <v>-180.69784000000001</v>
      </c>
      <c r="AD1041" s="4">
        <f>$O$1041*$X$1041</f>
        <v>-40.206760000000003</v>
      </c>
      <c r="AE1041" s="4">
        <f>$K$1041*$Y$1041</f>
        <v>0</v>
      </c>
      <c r="AF1041" s="4">
        <f ca="1">$M$1041*$Z$1041</f>
        <v>-208.69931195960243</v>
      </c>
      <c r="AG1041" s="4">
        <f>$O$1041*$AA$1041</f>
        <v>-49.171996906280064</v>
      </c>
    </row>
    <row r="1042" spans="1:33" ht="11.25" customHeight="1" x14ac:dyDescent="0.25">
      <c r="A1042" s="3" t="s">
        <v>28</v>
      </c>
      <c r="B1042" s="3" t="s">
        <v>33</v>
      </c>
      <c r="C1042" s="3" t="s">
        <v>34</v>
      </c>
      <c r="D1042" s="3" t="s">
        <v>46</v>
      </c>
      <c r="E1042" s="3" t="s">
        <v>25</v>
      </c>
      <c r="F1042" s="3" t="s">
        <v>25</v>
      </c>
      <c r="G1042" s="3" t="s">
        <v>25</v>
      </c>
      <c r="H1042" s="3" t="s">
        <v>35</v>
      </c>
      <c r="I1042" s="6">
        <v>44409</v>
      </c>
      <c r="J1042" s="4">
        <v>0</v>
      </c>
      <c r="K1042" s="4">
        <v>0</v>
      </c>
      <c r="L1042" s="4">
        <v>17.904</v>
      </c>
      <c r="M1042" s="4">
        <v>17.904</v>
      </c>
      <c r="N1042" s="4">
        <v>17.904</v>
      </c>
      <c r="O1042" s="4">
        <v>17.904</v>
      </c>
      <c r="P1042" s="4">
        <v>0</v>
      </c>
      <c r="Q1042" s="3" t="s">
        <v>26</v>
      </c>
      <c r="R1042" s="3">
        <v>0</v>
      </c>
      <c r="S1042" s="4">
        <v>0</v>
      </c>
      <c r="T1042" s="4">
        <v>8</v>
      </c>
      <c r="U1042" s="4">
        <v>72</v>
      </c>
      <c r="V1042" s="4">
        <f>IF(ISERROR(VLOOKUP($S$1042,'TAR FIN'!$A$1:$O$99,15,0)),0,VLOOKUP($S$1042,'TAR FIN'!$A$1:$O$99,15,0))</f>
        <v>0</v>
      </c>
      <c r="W1042" s="4">
        <f>IF(ISERROR(VLOOKUP($T$1042,'TAR FIN'!$A$1:$O$99,15,0)),0,VLOOKUP($T$1042,'TAR FIN'!$A$1:$O$99,15,0))</f>
        <v>1557.74</v>
      </c>
      <c r="X1042" s="4">
        <f>IF(ISERROR(VLOOKUP($U$1042,'TAR FIN'!$A$1:$O$99,15,0)),0,VLOOKUP($U$1042,'TAR FIN'!$A$1:$O$99,15,0))</f>
        <v>346.61</v>
      </c>
      <c r="Y1042" s="4"/>
      <c r="Z1042" s="4">
        <f ca="1">('TUSD BE'!$AM$22+'TUSD BF'!$AM$22+'TUSD CVA'!$AM$22)*1</f>
        <v>1799.131999651745</v>
      </c>
      <c r="AA1042" s="4">
        <f>('TE BE'!$AA$7+'TE BF'!$AA$7+'TE CVA'!$AA$7)*1</f>
        <v>423.89652505413846</v>
      </c>
      <c r="AB1042" s="4">
        <f>$K$1042*$V$1042</f>
        <v>0</v>
      </c>
      <c r="AC1042" s="4">
        <f>$M$1042*$W$1042</f>
        <v>27889.776959999999</v>
      </c>
      <c r="AD1042" s="4">
        <f>$O$1042*$X$1042</f>
        <v>6205.7054400000006</v>
      </c>
      <c r="AE1042" s="4">
        <f>$K$1042*$Y$1042</f>
        <v>0</v>
      </c>
      <c r="AF1042" s="4">
        <f ca="1">$M$1042*$Z$1042</f>
        <v>32211.659321764841</v>
      </c>
      <c r="AG1042" s="4">
        <f>$O$1042*$AA$1042</f>
        <v>7589.4433845692947</v>
      </c>
    </row>
    <row r="1043" spans="1:33" ht="11.25" customHeight="1" x14ac:dyDescent="0.25">
      <c r="A1043" s="3" t="s">
        <v>21</v>
      </c>
      <c r="B1043" s="3" t="s">
        <v>33</v>
      </c>
      <c r="C1043" s="3" t="s">
        <v>34</v>
      </c>
      <c r="D1043" s="3" t="s">
        <v>46</v>
      </c>
      <c r="E1043" s="3" t="s">
        <v>25</v>
      </c>
      <c r="F1043" s="3" t="s">
        <v>25</v>
      </c>
      <c r="G1043" s="3" t="s">
        <v>25</v>
      </c>
      <c r="H1043" s="3" t="s">
        <v>35</v>
      </c>
      <c r="I1043" s="6">
        <v>44440</v>
      </c>
      <c r="J1043" s="4">
        <v>0</v>
      </c>
      <c r="K1043" s="4">
        <v>0</v>
      </c>
      <c r="L1043" s="4">
        <v>511.59399999999999</v>
      </c>
      <c r="M1043" s="4">
        <v>511.59399999999999</v>
      </c>
      <c r="N1043" s="4">
        <v>511.59399999999999</v>
      </c>
      <c r="O1043" s="4">
        <v>511.59399999999999</v>
      </c>
      <c r="P1043" s="4">
        <v>0</v>
      </c>
      <c r="Q1043" s="3" t="s">
        <v>26</v>
      </c>
      <c r="R1043" s="3">
        <v>0</v>
      </c>
      <c r="S1043" s="4">
        <v>0</v>
      </c>
      <c r="T1043" s="4">
        <v>8</v>
      </c>
      <c r="U1043" s="4">
        <v>72</v>
      </c>
      <c r="V1043" s="4">
        <f>IF(ISERROR(VLOOKUP($S$1043,'TAR FIN'!$A$1:$O$99,15,0)),0,VLOOKUP($S$1043,'TAR FIN'!$A$1:$O$99,15,0))</f>
        <v>0</v>
      </c>
      <c r="W1043" s="4">
        <f>IF(ISERROR(VLOOKUP($T$1043,'TAR FIN'!$A$1:$O$99,15,0)),0,VLOOKUP($T$1043,'TAR FIN'!$A$1:$O$99,15,0))</f>
        <v>1557.74</v>
      </c>
      <c r="X1043" s="4">
        <f>IF(ISERROR(VLOOKUP($U$1043,'TAR FIN'!$A$1:$O$99,15,0)),0,VLOOKUP($U$1043,'TAR FIN'!$A$1:$O$99,15,0))</f>
        <v>346.61</v>
      </c>
      <c r="Y1043" s="4"/>
      <c r="Z1043" s="4">
        <f ca="1">('TUSD BE'!$AM$22+'TUSD BF'!$AM$22+'TUSD CVA'!$AM$22)*1</f>
        <v>1799.131999651745</v>
      </c>
      <c r="AA1043" s="4">
        <f>('TE BE'!$AA$7+'TE BF'!$AA$7+'TE CVA'!$AA$7)*1</f>
        <v>423.89652505413846</v>
      </c>
      <c r="AB1043" s="4">
        <f>$K$1043*$V$1043</f>
        <v>0</v>
      </c>
      <c r="AC1043" s="4">
        <f>$M$1043*$W$1043</f>
        <v>796930.43755999999</v>
      </c>
      <c r="AD1043" s="4">
        <f>$O$1043*$X$1043</f>
        <v>177323.59634000002</v>
      </c>
      <c r="AE1043" s="4">
        <f>$K$1043*$Y$1043</f>
        <v>0</v>
      </c>
      <c r="AF1043" s="4">
        <f ca="1">$M$1043*$Z$1043</f>
        <v>920425.13622983487</v>
      </c>
      <c r="AG1043" s="4">
        <f>$O$1043*$AA$1043</f>
        <v>216862.9188385469</v>
      </c>
    </row>
    <row r="1044" spans="1:33" ht="11.25" customHeight="1" x14ac:dyDescent="0.25">
      <c r="A1044" s="3" t="s">
        <v>28</v>
      </c>
      <c r="B1044" s="3" t="s">
        <v>33</v>
      </c>
      <c r="C1044" s="3" t="s">
        <v>34</v>
      </c>
      <c r="D1044" s="3" t="s">
        <v>46</v>
      </c>
      <c r="E1044" s="3" t="s">
        <v>25</v>
      </c>
      <c r="F1044" s="3" t="s">
        <v>25</v>
      </c>
      <c r="G1044" s="3" t="s">
        <v>25</v>
      </c>
      <c r="H1044" s="3" t="s">
        <v>35</v>
      </c>
      <c r="I1044" s="6">
        <v>44440</v>
      </c>
      <c r="J1044" s="4">
        <v>0</v>
      </c>
      <c r="K1044" s="4">
        <v>0</v>
      </c>
      <c r="L1044" s="4">
        <v>18.577999999999999</v>
      </c>
      <c r="M1044" s="4">
        <v>18.577999999999999</v>
      </c>
      <c r="N1044" s="4">
        <v>18.577999999999999</v>
      </c>
      <c r="O1044" s="4">
        <v>18.577999999999999</v>
      </c>
      <c r="P1044" s="4">
        <v>0</v>
      </c>
      <c r="Q1044" s="3" t="s">
        <v>26</v>
      </c>
      <c r="R1044" s="3">
        <v>0</v>
      </c>
      <c r="S1044" s="4">
        <v>0</v>
      </c>
      <c r="T1044" s="4">
        <v>8</v>
      </c>
      <c r="U1044" s="4">
        <v>72</v>
      </c>
      <c r="V1044" s="4">
        <f>IF(ISERROR(VLOOKUP($S$1044,'TAR FIN'!$A$1:$O$99,15,0)),0,VLOOKUP($S$1044,'TAR FIN'!$A$1:$O$99,15,0))</f>
        <v>0</v>
      </c>
      <c r="W1044" s="4">
        <f>IF(ISERROR(VLOOKUP($T$1044,'TAR FIN'!$A$1:$O$99,15,0)),0,VLOOKUP($T$1044,'TAR FIN'!$A$1:$O$99,15,0))</f>
        <v>1557.74</v>
      </c>
      <c r="X1044" s="4">
        <f>IF(ISERROR(VLOOKUP($U$1044,'TAR FIN'!$A$1:$O$99,15,0)),0,VLOOKUP($U$1044,'TAR FIN'!$A$1:$O$99,15,0))</f>
        <v>346.61</v>
      </c>
      <c r="Y1044" s="4"/>
      <c r="Z1044" s="4">
        <f ca="1">('TUSD BE'!$AM$22+'TUSD BF'!$AM$22+'TUSD CVA'!$AM$22)*1</f>
        <v>1799.131999651745</v>
      </c>
      <c r="AA1044" s="4">
        <f>('TE BE'!$AA$7+'TE BF'!$AA$7+'TE CVA'!$AA$7)*1</f>
        <v>423.89652505413846</v>
      </c>
      <c r="AB1044" s="4">
        <f>$K$1044*$V$1044</f>
        <v>0</v>
      </c>
      <c r="AC1044" s="4">
        <f>$M$1044*$W$1044</f>
        <v>28939.693719999999</v>
      </c>
      <c r="AD1044" s="4">
        <f>$O$1044*$X$1044</f>
        <v>6439.3205799999996</v>
      </c>
      <c r="AE1044" s="4">
        <f>$K$1044*$Y$1044</f>
        <v>0</v>
      </c>
      <c r="AF1044" s="4">
        <f ca="1">$M$1044*$Z$1044</f>
        <v>33424.27428953012</v>
      </c>
      <c r="AG1044" s="4">
        <f>$O$1044*$AA$1044</f>
        <v>7875.1496424557845</v>
      </c>
    </row>
    <row r="1045" spans="1:33" ht="11.25" customHeight="1" x14ac:dyDescent="0.25">
      <c r="A1045" s="3" t="s">
        <v>21</v>
      </c>
      <c r="B1045" s="3" t="s">
        <v>33</v>
      </c>
      <c r="C1045" s="3" t="s">
        <v>34</v>
      </c>
      <c r="D1045" s="3" t="s">
        <v>46</v>
      </c>
      <c r="E1045" s="3" t="s">
        <v>25</v>
      </c>
      <c r="F1045" s="3" t="s">
        <v>25</v>
      </c>
      <c r="G1045" s="3" t="s">
        <v>25</v>
      </c>
      <c r="H1045" s="3" t="s">
        <v>35</v>
      </c>
      <c r="I1045" s="6">
        <v>44470</v>
      </c>
      <c r="J1045" s="4">
        <v>0</v>
      </c>
      <c r="K1045" s="4">
        <v>0</v>
      </c>
      <c r="L1045" s="4">
        <v>526.15800000000002</v>
      </c>
      <c r="M1045" s="4">
        <v>526.15800000000002</v>
      </c>
      <c r="N1045" s="4">
        <v>526.15800000000002</v>
      </c>
      <c r="O1045" s="4">
        <v>526.15800000000002</v>
      </c>
      <c r="P1045" s="4">
        <v>0</v>
      </c>
      <c r="Q1045" s="3" t="s">
        <v>26</v>
      </c>
      <c r="R1045" s="3">
        <v>0</v>
      </c>
      <c r="S1045" s="4">
        <v>0</v>
      </c>
      <c r="T1045" s="4">
        <v>8</v>
      </c>
      <c r="U1045" s="4">
        <v>72</v>
      </c>
      <c r="V1045" s="4">
        <f>IF(ISERROR(VLOOKUP($S$1045,'TAR FIN'!$A$1:$O$99,15,0)),0,VLOOKUP($S$1045,'TAR FIN'!$A$1:$O$99,15,0))</f>
        <v>0</v>
      </c>
      <c r="W1045" s="4">
        <f>IF(ISERROR(VLOOKUP($T$1045,'TAR FIN'!$A$1:$O$99,15,0)),0,VLOOKUP($T$1045,'TAR FIN'!$A$1:$O$99,15,0))</f>
        <v>1557.74</v>
      </c>
      <c r="X1045" s="4">
        <f>IF(ISERROR(VLOOKUP($U$1045,'TAR FIN'!$A$1:$O$99,15,0)),0,VLOOKUP($U$1045,'TAR FIN'!$A$1:$O$99,15,0))</f>
        <v>346.61</v>
      </c>
      <c r="Y1045" s="4"/>
      <c r="Z1045" s="4">
        <f ca="1">('TUSD BE'!$AM$22+'TUSD BF'!$AM$22+'TUSD CVA'!$AM$22)*1</f>
        <v>1799.131999651745</v>
      </c>
      <c r="AA1045" s="4">
        <f>('TE BE'!$AA$7+'TE BF'!$AA$7+'TE CVA'!$AA$7)*1</f>
        <v>423.89652505413846</v>
      </c>
      <c r="AB1045" s="4">
        <f>$K$1045*$V$1045</f>
        <v>0</v>
      </c>
      <c r="AC1045" s="4">
        <f>$M$1045*$W$1045</f>
        <v>819617.36291999999</v>
      </c>
      <c r="AD1045" s="4">
        <f>$O$1045*$X$1045</f>
        <v>182371.62438000002</v>
      </c>
      <c r="AE1045" s="4">
        <f>$K$1045*$Y$1045</f>
        <v>0</v>
      </c>
      <c r="AF1045" s="4">
        <f ca="1">$M$1045*$Z$1045</f>
        <v>946627.69467276288</v>
      </c>
      <c r="AG1045" s="4">
        <f>$O$1045*$AA$1045</f>
        <v>223036.54782943538</v>
      </c>
    </row>
    <row r="1046" spans="1:33" ht="11.25" customHeight="1" x14ac:dyDescent="0.25">
      <c r="A1046" s="3" t="s">
        <v>27</v>
      </c>
      <c r="B1046" s="3" t="s">
        <v>33</v>
      </c>
      <c r="C1046" s="3" t="s">
        <v>34</v>
      </c>
      <c r="D1046" s="3" t="s">
        <v>46</v>
      </c>
      <c r="E1046" s="3" t="s">
        <v>25</v>
      </c>
      <c r="F1046" s="3" t="s">
        <v>25</v>
      </c>
      <c r="G1046" s="3" t="s">
        <v>25</v>
      </c>
      <c r="H1046" s="3" t="s">
        <v>35</v>
      </c>
      <c r="I1046" s="6">
        <v>44470</v>
      </c>
      <c r="J1046" s="4">
        <v>0</v>
      </c>
      <c r="K1046" s="4">
        <v>0</v>
      </c>
      <c r="L1046" s="4">
        <v>0.71199999999999997</v>
      </c>
      <c r="M1046" s="4">
        <v>0.71199999999999997</v>
      </c>
      <c r="N1046" s="4">
        <v>0.71199999999999997</v>
      </c>
      <c r="O1046" s="4">
        <v>0.71199999999999997</v>
      </c>
      <c r="P1046" s="4">
        <v>0</v>
      </c>
      <c r="Q1046" s="3" t="s">
        <v>26</v>
      </c>
      <c r="R1046" s="3">
        <v>0</v>
      </c>
      <c r="S1046" s="4">
        <v>0</v>
      </c>
      <c r="T1046" s="4">
        <v>8</v>
      </c>
      <c r="U1046" s="4">
        <v>72</v>
      </c>
      <c r="V1046" s="4">
        <f>IF(ISERROR(VLOOKUP($S$1046,'TAR FIN'!$A$1:$O$99,15,0)),0,VLOOKUP($S$1046,'TAR FIN'!$A$1:$O$99,15,0))</f>
        <v>0</v>
      </c>
      <c r="W1046" s="4">
        <f>IF(ISERROR(VLOOKUP($T$1046,'TAR FIN'!$A$1:$O$99,15,0)),0,VLOOKUP($T$1046,'TAR FIN'!$A$1:$O$99,15,0))</f>
        <v>1557.74</v>
      </c>
      <c r="X1046" s="4">
        <f>IF(ISERROR(VLOOKUP($U$1046,'TAR FIN'!$A$1:$O$99,15,0)),0,VLOOKUP($U$1046,'TAR FIN'!$A$1:$O$99,15,0))</f>
        <v>346.61</v>
      </c>
      <c r="Y1046" s="4"/>
      <c r="Z1046" s="4">
        <f ca="1">('TUSD BE'!$AM$22+'TUSD BF'!$AM$22+'TUSD CVA'!$AM$22)*1</f>
        <v>1799.131999651745</v>
      </c>
      <c r="AA1046" s="4">
        <f>('TE BE'!$AA$7+'TE BF'!$AA$7+'TE CVA'!$AA$7)*1</f>
        <v>423.89652505413846</v>
      </c>
      <c r="AB1046" s="4">
        <f>$K$1046*$V$1046</f>
        <v>0</v>
      </c>
      <c r="AC1046" s="4">
        <f>$M$1046*$W$1046</f>
        <v>1109.11088</v>
      </c>
      <c r="AD1046" s="4">
        <f>$O$1046*$X$1046</f>
        <v>246.78631999999999</v>
      </c>
      <c r="AE1046" s="4">
        <f>$K$1046*$Y$1046</f>
        <v>0</v>
      </c>
      <c r="AF1046" s="4">
        <f ca="1">$M$1046*$Z$1046</f>
        <v>1280.9819837520424</v>
      </c>
      <c r="AG1046" s="4">
        <f>$O$1046*$AA$1046</f>
        <v>301.81432583854655</v>
      </c>
    </row>
    <row r="1047" spans="1:33" ht="11.25" customHeight="1" x14ac:dyDescent="0.25">
      <c r="A1047" s="3" t="s">
        <v>28</v>
      </c>
      <c r="B1047" s="3" t="s">
        <v>33</v>
      </c>
      <c r="C1047" s="3" t="s">
        <v>34</v>
      </c>
      <c r="D1047" s="3" t="s">
        <v>46</v>
      </c>
      <c r="E1047" s="3" t="s">
        <v>25</v>
      </c>
      <c r="F1047" s="3" t="s">
        <v>25</v>
      </c>
      <c r="G1047" s="3" t="s">
        <v>25</v>
      </c>
      <c r="H1047" s="3" t="s">
        <v>35</v>
      </c>
      <c r="I1047" s="6">
        <v>44470</v>
      </c>
      <c r="J1047" s="4">
        <v>0</v>
      </c>
      <c r="K1047" s="4">
        <v>0</v>
      </c>
      <c r="L1047" s="4">
        <v>19.928999999999998</v>
      </c>
      <c r="M1047" s="4">
        <v>19.928999999999998</v>
      </c>
      <c r="N1047" s="4">
        <v>19.928999999999998</v>
      </c>
      <c r="O1047" s="4">
        <v>19.928999999999998</v>
      </c>
      <c r="P1047" s="4">
        <v>0</v>
      </c>
      <c r="Q1047" s="3" t="s">
        <v>26</v>
      </c>
      <c r="R1047" s="3">
        <v>0</v>
      </c>
      <c r="S1047" s="4">
        <v>0</v>
      </c>
      <c r="T1047" s="4">
        <v>8</v>
      </c>
      <c r="U1047" s="4">
        <v>72</v>
      </c>
      <c r="V1047" s="4">
        <f>IF(ISERROR(VLOOKUP($S$1047,'TAR FIN'!$A$1:$O$99,15,0)),0,VLOOKUP($S$1047,'TAR FIN'!$A$1:$O$99,15,0))</f>
        <v>0</v>
      </c>
      <c r="W1047" s="4">
        <f>IF(ISERROR(VLOOKUP($T$1047,'TAR FIN'!$A$1:$O$99,15,0)),0,VLOOKUP($T$1047,'TAR FIN'!$A$1:$O$99,15,0))</f>
        <v>1557.74</v>
      </c>
      <c r="X1047" s="4">
        <f>IF(ISERROR(VLOOKUP($U$1047,'TAR FIN'!$A$1:$O$99,15,0)),0,VLOOKUP($U$1047,'TAR FIN'!$A$1:$O$99,15,0))</f>
        <v>346.61</v>
      </c>
      <c r="Y1047" s="4"/>
      <c r="Z1047" s="4">
        <f ca="1">('TUSD BE'!$AM$22+'TUSD BF'!$AM$22+'TUSD CVA'!$AM$22)*1</f>
        <v>1799.131999651745</v>
      </c>
      <c r="AA1047" s="4">
        <f>('TE BE'!$AA$7+'TE BF'!$AA$7+'TE CVA'!$AA$7)*1</f>
        <v>423.89652505413846</v>
      </c>
      <c r="AB1047" s="4">
        <f>$K$1047*$V$1047</f>
        <v>0</v>
      </c>
      <c r="AC1047" s="4">
        <f>$M$1047*$W$1047</f>
        <v>31044.200459999996</v>
      </c>
      <c r="AD1047" s="4">
        <f>$O$1047*$X$1047</f>
        <v>6907.59069</v>
      </c>
      <c r="AE1047" s="4">
        <f>$K$1047*$Y$1047</f>
        <v>0</v>
      </c>
      <c r="AF1047" s="4">
        <f ca="1">$M$1047*$Z$1047</f>
        <v>35854.901621059624</v>
      </c>
      <c r="AG1047" s="4">
        <f>$O$1047*$AA$1047</f>
        <v>8447.8338478039241</v>
      </c>
    </row>
    <row r="1048" spans="1:33" ht="11.25" customHeight="1" x14ac:dyDescent="0.25">
      <c r="A1048" s="3" t="s">
        <v>21</v>
      </c>
      <c r="B1048" s="3" t="s">
        <v>33</v>
      </c>
      <c r="C1048" s="3" t="s">
        <v>34</v>
      </c>
      <c r="D1048" s="3" t="s">
        <v>46</v>
      </c>
      <c r="E1048" s="3" t="s">
        <v>25</v>
      </c>
      <c r="F1048" s="3" t="s">
        <v>25</v>
      </c>
      <c r="G1048" s="3" t="s">
        <v>25</v>
      </c>
      <c r="H1048" s="3" t="s">
        <v>35</v>
      </c>
      <c r="I1048" s="6">
        <v>44501</v>
      </c>
      <c r="J1048" s="4">
        <v>0</v>
      </c>
      <c r="K1048" s="4">
        <v>0</v>
      </c>
      <c r="L1048" s="4">
        <v>590.96100000000001</v>
      </c>
      <c r="M1048" s="4">
        <v>590.96100000000001</v>
      </c>
      <c r="N1048" s="4">
        <v>590.96100000000001</v>
      </c>
      <c r="O1048" s="4">
        <v>590.96100000000001</v>
      </c>
      <c r="P1048" s="4">
        <v>0</v>
      </c>
      <c r="Q1048" s="3" t="s">
        <v>26</v>
      </c>
      <c r="R1048" s="3">
        <v>0</v>
      </c>
      <c r="S1048" s="4">
        <v>0</v>
      </c>
      <c r="T1048" s="4">
        <v>8</v>
      </c>
      <c r="U1048" s="4">
        <v>72</v>
      </c>
      <c r="V1048" s="4">
        <f>IF(ISERROR(VLOOKUP($S$1048,'TAR FIN'!$A$1:$O$99,15,0)),0,VLOOKUP($S$1048,'TAR FIN'!$A$1:$O$99,15,0))</f>
        <v>0</v>
      </c>
      <c r="W1048" s="4">
        <f>IF(ISERROR(VLOOKUP($T$1048,'TAR FIN'!$A$1:$O$99,15,0)),0,VLOOKUP($T$1048,'TAR FIN'!$A$1:$O$99,15,0))</f>
        <v>1557.74</v>
      </c>
      <c r="X1048" s="4">
        <f>IF(ISERROR(VLOOKUP($U$1048,'TAR FIN'!$A$1:$O$99,15,0)),0,VLOOKUP($U$1048,'TAR FIN'!$A$1:$O$99,15,0))</f>
        <v>346.61</v>
      </c>
      <c r="Y1048" s="4"/>
      <c r="Z1048" s="4">
        <f ca="1">('TUSD BE'!$AM$22+'TUSD BF'!$AM$22+'TUSD CVA'!$AM$22)*1</f>
        <v>1799.131999651745</v>
      </c>
      <c r="AA1048" s="4">
        <f>('TE BE'!$AA$7+'TE BF'!$AA$7+'TE CVA'!$AA$7)*1</f>
        <v>423.89652505413846</v>
      </c>
      <c r="AB1048" s="4">
        <f>$K$1048*$V$1048</f>
        <v>0</v>
      </c>
      <c r="AC1048" s="4">
        <f>$M$1048*$W$1048</f>
        <v>920563.58814000001</v>
      </c>
      <c r="AD1048" s="4">
        <f>$O$1048*$X$1048</f>
        <v>204832.99221000003</v>
      </c>
      <c r="AE1048" s="4">
        <f>$K$1048*$Y$1048</f>
        <v>0</v>
      </c>
      <c r="AF1048" s="4">
        <f ca="1">$M$1048*$Z$1048</f>
        <v>1063216.8456461949</v>
      </c>
      <c r="AG1048" s="4">
        <f>$O$1048*$AA$1048</f>
        <v>250506.31434251872</v>
      </c>
    </row>
    <row r="1049" spans="1:33" ht="11.25" customHeight="1" x14ac:dyDescent="0.25">
      <c r="A1049" s="3" t="s">
        <v>28</v>
      </c>
      <c r="B1049" s="3" t="s">
        <v>33</v>
      </c>
      <c r="C1049" s="3" t="s">
        <v>34</v>
      </c>
      <c r="D1049" s="3" t="s">
        <v>46</v>
      </c>
      <c r="E1049" s="3" t="s">
        <v>25</v>
      </c>
      <c r="F1049" s="3" t="s">
        <v>25</v>
      </c>
      <c r="G1049" s="3" t="s">
        <v>25</v>
      </c>
      <c r="H1049" s="3" t="s">
        <v>35</v>
      </c>
      <c r="I1049" s="6">
        <v>44501</v>
      </c>
      <c r="J1049" s="4">
        <v>0</v>
      </c>
      <c r="K1049" s="4">
        <v>0</v>
      </c>
      <c r="L1049" s="4">
        <v>22.504999999999999</v>
      </c>
      <c r="M1049" s="4">
        <v>22.504999999999999</v>
      </c>
      <c r="N1049" s="4">
        <v>22.504999999999999</v>
      </c>
      <c r="O1049" s="4">
        <v>22.504999999999999</v>
      </c>
      <c r="P1049" s="4">
        <v>0</v>
      </c>
      <c r="Q1049" s="3" t="s">
        <v>26</v>
      </c>
      <c r="R1049" s="3">
        <v>0</v>
      </c>
      <c r="S1049" s="4">
        <v>0</v>
      </c>
      <c r="T1049" s="4">
        <v>8</v>
      </c>
      <c r="U1049" s="4">
        <v>72</v>
      </c>
      <c r="V1049" s="4">
        <f>IF(ISERROR(VLOOKUP($S$1049,'TAR FIN'!$A$1:$O$99,15,0)),0,VLOOKUP($S$1049,'TAR FIN'!$A$1:$O$99,15,0))</f>
        <v>0</v>
      </c>
      <c r="W1049" s="4">
        <f>IF(ISERROR(VLOOKUP($T$1049,'TAR FIN'!$A$1:$O$99,15,0)),0,VLOOKUP($T$1049,'TAR FIN'!$A$1:$O$99,15,0))</f>
        <v>1557.74</v>
      </c>
      <c r="X1049" s="4">
        <f>IF(ISERROR(VLOOKUP($U$1049,'TAR FIN'!$A$1:$O$99,15,0)),0,VLOOKUP($U$1049,'TAR FIN'!$A$1:$O$99,15,0))</f>
        <v>346.61</v>
      </c>
      <c r="Y1049" s="4"/>
      <c r="Z1049" s="4">
        <f ca="1">('TUSD BE'!$AM$22+'TUSD BF'!$AM$22+'TUSD CVA'!$AM$22)*1</f>
        <v>1799.131999651745</v>
      </c>
      <c r="AA1049" s="4">
        <f>('TE BE'!$AA$7+'TE BF'!$AA$7+'TE CVA'!$AA$7)*1</f>
        <v>423.89652505413846</v>
      </c>
      <c r="AB1049" s="4">
        <f>$K$1049*$V$1049</f>
        <v>0</v>
      </c>
      <c r="AC1049" s="4">
        <f>$M$1049*$W$1049</f>
        <v>35056.938699999999</v>
      </c>
      <c r="AD1049" s="4">
        <f>$O$1049*$X$1049</f>
        <v>7800.4580500000002</v>
      </c>
      <c r="AE1049" s="4">
        <f>$K$1049*$Y$1049</f>
        <v>0</v>
      </c>
      <c r="AF1049" s="4">
        <f ca="1">$M$1049*$Z$1049</f>
        <v>40489.465652162522</v>
      </c>
      <c r="AG1049" s="4">
        <f>$O$1049*$AA$1049</f>
        <v>9539.7912963433864</v>
      </c>
    </row>
    <row r="1050" spans="1:33" ht="11.25" customHeight="1" x14ac:dyDescent="0.25">
      <c r="A1050" s="3" t="s">
        <v>21</v>
      </c>
      <c r="B1050" s="3" t="s">
        <v>33</v>
      </c>
      <c r="C1050" s="3" t="s">
        <v>34</v>
      </c>
      <c r="D1050" s="3" t="s">
        <v>46</v>
      </c>
      <c r="E1050" s="3" t="s">
        <v>25</v>
      </c>
      <c r="F1050" s="3" t="s">
        <v>25</v>
      </c>
      <c r="G1050" s="3" t="s">
        <v>25</v>
      </c>
      <c r="H1050" s="3" t="s">
        <v>35</v>
      </c>
      <c r="I1050" s="6">
        <v>44531</v>
      </c>
      <c r="J1050" s="4">
        <v>0</v>
      </c>
      <c r="K1050" s="4">
        <v>0</v>
      </c>
      <c r="L1050" s="4">
        <v>637.32899999999995</v>
      </c>
      <c r="M1050" s="4">
        <v>637.32899999999995</v>
      </c>
      <c r="N1050" s="4">
        <v>637.32899999999995</v>
      </c>
      <c r="O1050" s="4">
        <v>637.32899999999995</v>
      </c>
      <c r="P1050" s="4">
        <v>0</v>
      </c>
      <c r="Q1050" s="3" t="s">
        <v>26</v>
      </c>
      <c r="R1050" s="3">
        <v>0</v>
      </c>
      <c r="S1050" s="4">
        <v>0</v>
      </c>
      <c r="T1050" s="4">
        <v>8</v>
      </c>
      <c r="U1050" s="4">
        <v>72</v>
      </c>
      <c r="V1050" s="4">
        <f>IF(ISERROR(VLOOKUP($S$1050,'TAR FIN'!$A$1:$O$99,15,0)),0,VLOOKUP($S$1050,'TAR FIN'!$A$1:$O$99,15,0))</f>
        <v>0</v>
      </c>
      <c r="W1050" s="4">
        <f>IF(ISERROR(VLOOKUP($T$1050,'TAR FIN'!$A$1:$O$99,15,0)),0,VLOOKUP($T$1050,'TAR FIN'!$A$1:$O$99,15,0))</f>
        <v>1557.74</v>
      </c>
      <c r="X1050" s="4">
        <f>IF(ISERROR(VLOOKUP($U$1050,'TAR FIN'!$A$1:$O$99,15,0)),0,VLOOKUP($U$1050,'TAR FIN'!$A$1:$O$99,15,0))</f>
        <v>346.61</v>
      </c>
      <c r="Y1050" s="4"/>
      <c r="Z1050" s="4">
        <f ca="1">('TUSD BE'!$AM$22+'TUSD BF'!$AM$22+'TUSD CVA'!$AM$22)*1</f>
        <v>1799.131999651745</v>
      </c>
      <c r="AA1050" s="4">
        <f>('TE BE'!$AA$7+'TE BF'!$AA$7+'TE CVA'!$AA$7)*1</f>
        <v>423.89652505413846</v>
      </c>
      <c r="AB1050" s="4">
        <f>$K$1050*$V$1050</f>
        <v>0</v>
      </c>
      <c r="AC1050" s="4">
        <f>$M$1050*$W$1050</f>
        <v>992792.87645999994</v>
      </c>
      <c r="AD1050" s="4">
        <f>$O$1050*$X$1050</f>
        <v>220904.60468999998</v>
      </c>
      <c r="AE1050" s="4">
        <f>$K$1050*$Y$1050</f>
        <v>0</v>
      </c>
      <c r="AF1050" s="4">
        <f ca="1">$M$1050*$Z$1050</f>
        <v>1146638.9982060469</v>
      </c>
      <c r="AG1050" s="4">
        <f>$O$1050*$AA$1050</f>
        <v>270161.54841622896</v>
      </c>
    </row>
    <row r="1051" spans="1:33" ht="11.25" customHeight="1" x14ac:dyDescent="0.25">
      <c r="A1051" s="3" t="s">
        <v>28</v>
      </c>
      <c r="B1051" s="3" t="s">
        <v>33</v>
      </c>
      <c r="C1051" s="3" t="s">
        <v>34</v>
      </c>
      <c r="D1051" s="3" t="s">
        <v>46</v>
      </c>
      <c r="E1051" s="3" t="s">
        <v>25</v>
      </c>
      <c r="F1051" s="3" t="s">
        <v>25</v>
      </c>
      <c r="G1051" s="3" t="s">
        <v>25</v>
      </c>
      <c r="H1051" s="3" t="s">
        <v>35</v>
      </c>
      <c r="I1051" s="6">
        <v>44531</v>
      </c>
      <c r="J1051" s="4">
        <v>0</v>
      </c>
      <c r="K1051" s="4">
        <v>0</v>
      </c>
      <c r="L1051" s="4">
        <v>19.375</v>
      </c>
      <c r="M1051" s="4">
        <v>19.375</v>
      </c>
      <c r="N1051" s="4">
        <v>19.375</v>
      </c>
      <c r="O1051" s="4">
        <v>19.375</v>
      </c>
      <c r="P1051" s="4">
        <v>0</v>
      </c>
      <c r="Q1051" s="3" t="s">
        <v>26</v>
      </c>
      <c r="R1051" s="3">
        <v>0</v>
      </c>
      <c r="S1051" s="4">
        <v>0</v>
      </c>
      <c r="T1051" s="4">
        <v>8</v>
      </c>
      <c r="U1051" s="4">
        <v>72</v>
      </c>
      <c r="V1051" s="4">
        <f>IF(ISERROR(VLOOKUP($S$1051,'TAR FIN'!$A$1:$O$99,15,0)),0,VLOOKUP($S$1051,'TAR FIN'!$A$1:$O$99,15,0))</f>
        <v>0</v>
      </c>
      <c r="W1051" s="4">
        <f>IF(ISERROR(VLOOKUP($T$1051,'TAR FIN'!$A$1:$O$99,15,0)),0,VLOOKUP($T$1051,'TAR FIN'!$A$1:$O$99,15,0))</f>
        <v>1557.74</v>
      </c>
      <c r="X1051" s="4">
        <f>IF(ISERROR(VLOOKUP($U$1051,'TAR FIN'!$A$1:$O$99,15,0)),0,VLOOKUP($U$1051,'TAR FIN'!$A$1:$O$99,15,0))</f>
        <v>346.61</v>
      </c>
      <c r="Y1051" s="4"/>
      <c r="Z1051" s="4">
        <f ca="1">('TUSD BE'!$AM$22+'TUSD BF'!$AM$22+'TUSD CVA'!$AM$22)*1</f>
        <v>1799.131999651745</v>
      </c>
      <c r="AA1051" s="4">
        <f>('TE BE'!$AA$7+'TE BF'!$AA$7+'TE CVA'!$AA$7)*1</f>
        <v>423.89652505413846</v>
      </c>
      <c r="AB1051" s="4">
        <f>$K$1051*$V$1051</f>
        <v>0</v>
      </c>
      <c r="AC1051" s="4">
        <f>$M$1051*$W$1051</f>
        <v>30181.212500000001</v>
      </c>
      <c r="AD1051" s="4">
        <f>$O$1051*$X$1051</f>
        <v>6715.5687500000004</v>
      </c>
      <c r="AE1051" s="4">
        <f>$K$1051*$Y$1051</f>
        <v>0</v>
      </c>
      <c r="AF1051" s="4">
        <f ca="1">$M$1051*$Z$1051</f>
        <v>34858.182493252556</v>
      </c>
      <c r="AG1051" s="4">
        <f>$O$1051*$AA$1051</f>
        <v>8212.9951729239328</v>
      </c>
    </row>
    <row r="1052" spans="1:33" ht="11.25" customHeight="1" x14ac:dyDescent="0.25">
      <c r="A1052" s="3" t="s">
        <v>21</v>
      </c>
      <c r="B1052" s="3" t="s">
        <v>33</v>
      </c>
      <c r="C1052" s="3" t="s">
        <v>34</v>
      </c>
      <c r="D1052" s="3" t="s">
        <v>46</v>
      </c>
      <c r="E1052" s="3" t="s">
        <v>25</v>
      </c>
      <c r="F1052" s="3" t="s">
        <v>25</v>
      </c>
      <c r="G1052" s="3" t="s">
        <v>25</v>
      </c>
      <c r="H1052" s="3" t="s">
        <v>35</v>
      </c>
      <c r="I1052" s="6">
        <v>44562</v>
      </c>
      <c r="J1052" s="4">
        <v>0</v>
      </c>
      <c r="K1052" s="4">
        <v>0</v>
      </c>
      <c r="L1052" s="4">
        <v>577.37599999999998</v>
      </c>
      <c r="M1052" s="4">
        <v>577.37599999999998</v>
      </c>
      <c r="N1052" s="4">
        <v>577.37599999999998</v>
      </c>
      <c r="O1052" s="4">
        <v>577.37599999999998</v>
      </c>
      <c r="P1052" s="4">
        <v>0</v>
      </c>
      <c r="Q1052" s="3" t="s">
        <v>26</v>
      </c>
      <c r="R1052" s="3">
        <v>0</v>
      </c>
      <c r="S1052" s="4">
        <v>0</v>
      </c>
      <c r="T1052" s="4">
        <v>8</v>
      </c>
      <c r="U1052" s="4">
        <v>72</v>
      </c>
      <c r="V1052" s="4">
        <f>IF(ISERROR(VLOOKUP($S$1052,'TAR FIN'!$A$1:$O$99,15,0)),0,VLOOKUP($S$1052,'TAR FIN'!$A$1:$O$99,15,0))</f>
        <v>0</v>
      </c>
      <c r="W1052" s="4">
        <f>IF(ISERROR(VLOOKUP($T$1052,'TAR FIN'!$A$1:$O$99,15,0)),0,VLOOKUP($T$1052,'TAR FIN'!$A$1:$O$99,15,0))</f>
        <v>1557.74</v>
      </c>
      <c r="X1052" s="4">
        <f>IF(ISERROR(VLOOKUP($U$1052,'TAR FIN'!$A$1:$O$99,15,0)),0,VLOOKUP($U$1052,'TAR FIN'!$A$1:$O$99,15,0))</f>
        <v>346.61</v>
      </c>
      <c r="Y1052" s="4"/>
      <c r="Z1052" s="4">
        <f ca="1">('TUSD BE'!$AM$22+'TUSD BF'!$AM$22+'TUSD CVA'!$AM$22)*1</f>
        <v>1799.131999651745</v>
      </c>
      <c r="AA1052" s="4">
        <f>('TE BE'!$AA$7+'TE BF'!$AA$7+'TE CVA'!$AA$7)*1</f>
        <v>423.89652505413846</v>
      </c>
      <c r="AB1052" s="4">
        <f>$K$1052*$V$1052</f>
        <v>0</v>
      </c>
      <c r="AC1052" s="4">
        <f>$M$1052*$W$1052</f>
        <v>899401.69024000003</v>
      </c>
      <c r="AD1052" s="4">
        <f>$O$1052*$X$1052</f>
        <v>200124.29535999999</v>
      </c>
      <c r="AE1052" s="4">
        <f>$K$1052*$Y$1052</f>
        <v>0</v>
      </c>
      <c r="AF1052" s="4">
        <f ca="1">$M$1052*$Z$1052</f>
        <v>1038775.6374309259</v>
      </c>
      <c r="AG1052" s="4">
        <f>$O$1052*$AA$1052</f>
        <v>244747.68004965823</v>
      </c>
    </row>
    <row r="1053" spans="1:33" ht="11.25" customHeight="1" x14ac:dyDescent="0.25">
      <c r="A1053" s="3" t="s">
        <v>28</v>
      </c>
      <c r="B1053" s="3" t="s">
        <v>33</v>
      </c>
      <c r="C1053" s="3" t="s">
        <v>34</v>
      </c>
      <c r="D1053" s="3" t="s">
        <v>46</v>
      </c>
      <c r="E1053" s="3" t="s">
        <v>25</v>
      </c>
      <c r="F1053" s="3" t="s">
        <v>25</v>
      </c>
      <c r="G1053" s="3" t="s">
        <v>25</v>
      </c>
      <c r="H1053" s="3" t="s">
        <v>35</v>
      </c>
      <c r="I1053" s="6">
        <v>44562</v>
      </c>
      <c r="J1053" s="4">
        <v>0</v>
      </c>
      <c r="K1053" s="4">
        <v>0</v>
      </c>
      <c r="L1053" s="4">
        <v>20.206</v>
      </c>
      <c r="M1053" s="4">
        <v>20.206</v>
      </c>
      <c r="N1053" s="4">
        <v>20.206</v>
      </c>
      <c r="O1053" s="4">
        <v>20.206</v>
      </c>
      <c r="P1053" s="4">
        <v>0</v>
      </c>
      <c r="Q1053" s="3" t="s">
        <v>26</v>
      </c>
      <c r="R1053" s="3">
        <v>0</v>
      </c>
      <c r="S1053" s="4">
        <v>0</v>
      </c>
      <c r="T1053" s="4">
        <v>8</v>
      </c>
      <c r="U1053" s="4">
        <v>72</v>
      </c>
      <c r="V1053" s="4">
        <f>IF(ISERROR(VLOOKUP($S$1053,'TAR FIN'!$A$1:$O$99,15,0)),0,VLOOKUP($S$1053,'TAR FIN'!$A$1:$O$99,15,0))</f>
        <v>0</v>
      </c>
      <c r="W1053" s="4">
        <f>IF(ISERROR(VLOOKUP($T$1053,'TAR FIN'!$A$1:$O$99,15,0)),0,VLOOKUP($T$1053,'TAR FIN'!$A$1:$O$99,15,0))</f>
        <v>1557.74</v>
      </c>
      <c r="X1053" s="4">
        <f>IF(ISERROR(VLOOKUP($U$1053,'TAR FIN'!$A$1:$O$99,15,0)),0,VLOOKUP($U$1053,'TAR FIN'!$A$1:$O$99,15,0))</f>
        <v>346.61</v>
      </c>
      <c r="Y1053" s="4"/>
      <c r="Z1053" s="4">
        <f ca="1">('TUSD BE'!$AM$22+'TUSD BF'!$AM$22+'TUSD CVA'!$AM$22)*1</f>
        <v>1799.131999651745</v>
      </c>
      <c r="AA1053" s="4">
        <f>('TE BE'!$AA$7+'TE BF'!$AA$7+'TE CVA'!$AA$7)*1</f>
        <v>423.89652505413846</v>
      </c>
      <c r="AB1053" s="4">
        <f>$K$1053*$V$1053</f>
        <v>0</v>
      </c>
      <c r="AC1053" s="4">
        <f>$M$1053*$W$1053</f>
        <v>31475.694439999999</v>
      </c>
      <c r="AD1053" s="4">
        <f>$O$1053*$X$1053</f>
        <v>7003.6016600000003</v>
      </c>
      <c r="AE1053" s="4">
        <f>$K$1053*$Y$1053</f>
        <v>0</v>
      </c>
      <c r="AF1053" s="4">
        <f ca="1">$M$1053*$Z$1053</f>
        <v>36353.261184963158</v>
      </c>
      <c r="AG1053" s="4">
        <f>$O$1053*$AA$1053</f>
        <v>8565.2531852439224</v>
      </c>
    </row>
    <row r="1054" spans="1:33" ht="11.25" customHeight="1" x14ac:dyDescent="0.25">
      <c r="A1054" s="3" t="s">
        <v>21</v>
      </c>
      <c r="B1054" s="3" t="s">
        <v>33</v>
      </c>
      <c r="C1054" s="3" t="s">
        <v>34</v>
      </c>
      <c r="D1054" s="3" t="s">
        <v>46</v>
      </c>
      <c r="E1054" s="3" t="s">
        <v>25</v>
      </c>
      <c r="F1054" s="3" t="s">
        <v>25</v>
      </c>
      <c r="G1054" s="3" t="s">
        <v>25</v>
      </c>
      <c r="H1054" s="3" t="s">
        <v>35</v>
      </c>
      <c r="I1054" s="6">
        <v>44593</v>
      </c>
      <c r="J1054" s="4">
        <v>0</v>
      </c>
      <c r="K1054" s="4">
        <v>0</v>
      </c>
      <c r="L1054" s="4">
        <v>606.06299999999999</v>
      </c>
      <c r="M1054" s="4">
        <v>606.06299999999999</v>
      </c>
      <c r="N1054" s="4">
        <v>606.06299999999999</v>
      </c>
      <c r="O1054" s="4">
        <v>606.06299999999999</v>
      </c>
      <c r="P1054" s="4">
        <v>0</v>
      </c>
      <c r="Q1054" s="3" t="s">
        <v>26</v>
      </c>
      <c r="R1054" s="3">
        <v>0</v>
      </c>
      <c r="S1054" s="4">
        <v>0</v>
      </c>
      <c r="T1054" s="4">
        <v>8</v>
      </c>
      <c r="U1054" s="4">
        <v>72</v>
      </c>
      <c r="V1054" s="4">
        <f>IF(ISERROR(VLOOKUP($S$1054,'TAR FIN'!$A$1:$O$99,15,0)),0,VLOOKUP($S$1054,'TAR FIN'!$A$1:$O$99,15,0))</f>
        <v>0</v>
      </c>
      <c r="W1054" s="4">
        <f>IF(ISERROR(VLOOKUP($T$1054,'TAR FIN'!$A$1:$O$99,15,0)),0,VLOOKUP($T$1054,'TAR FIN'!$A$1:$O$99,15,0))</f>
        <v>1557.74</v>
      </c>
      <c r="X1054" s="4">
        <f>IF(ISERROR(VLOOKUP($U$1054,'TAR FIN'!$A$1:$O$99,15,0)),0,VLOOKUP($U$1054,'TAR FIN'!$A$1:$O$99,15,0))</f>
        <v>346.61</v>
      </c>
      <c r="Y1054" s="4"/>
      <c r="Z1054" s="4">
        <f ca="1">('TUSD BE'!$AM$22+'TUSD BF'!$AM$22+'TUSD CVA'!$AM$22)*1</f>
        <v>1799.131999651745</v>
      </c>
      <c r="AA1054" s="4">
        <f>('TE BE'!$AA$7+'TE BF'!$AA$7+'TE CVA'!$AA$7)*1</f>
        <v>423.89652505413846</v>
      </c>
      <c r="AB1054" s="4">
        <f>$K$1054*$V$1054</f>
        <v>0</v>
      </c>
      <c r="AC1054" s="4">
        <f>$M$1054*$W$1054</f>
        <v>944088.57762</v>
      </c>
      <c r="AD1054" s="4">
        <f>$O$1054*$X$1054</f>
        <v>210067.49643</v>
      </c>
      <c r="AE1054" s="4">
        <f>$K$1054*$Y$1054</f>
        <v>0</v>
      </c>
      <c r="AF1054" s="4">
        <f ca="1">$M$1054*$Z$1054</f>
        <v>1090387.3371049354</v>
      </c>
      <c r="AG1054" s="4">
        <f>$O$1054*$AA$1054</f>
        <v>256907.99966388632</v>
      </c>
    </row>
    <row r="1055" spans="1:33" ht="11.25" customHeight="1" x14ac:dyDescent="0.25">
      <c r="A1055" s="3" t="s">
        <v>28</v>
      </c>
      <c r="B1055" s="3" t="s">
        <v>33</v>
      </c>
      <c r="C1055" s="3" t="s">
        <v>34</v>
      </c>
      <c r="D1055" s="3" t="s">
        <v>46</v>
      </c>
      <c r="E1055" s="3" t="s">
        <v>25</v>
      </c>
      <c r="F1055" s="3" t="s">
        <v>25</v>
      </c>
      <c r="G1055" s="3" t="s">
        <v>25</v>
      </c>
      <c r="H1055" s="3" t="s">
        <v>35</v>
      </c>
      <c r="I1055" s="6">
        <v>44593</v>
      </c>
      <c r="J1055" s="4">
        <v>0</v>
      </c>
      <c r="K1055" s="4">
        <v>0</v>
      </c>
      <c r="L1055" s="4">
        <v>22.216000000000001</v>
      </c>
      <c r="M1055" s="4">
        <v>22.216000000000001</v>
      </c>
      <c r="N1055" s="4">
        <v>22.216000000000001</v>
      </c>
      <c r="O1055" s="4">
        <v>22.216000000000001</v>
      </c>
      <c r="P1055" s="4">
        <v>0</v>
      </c>
      <c r="Q1055" s="3" t="s">
        <v>26</v>
      </c>
      <c r="R1055" s="3">
        <v>0</v>
      </c>
      <c r="S1055" s="4">
        <v>0</v>
      </c>
      <c r="T1055" s="4">
        <v>8</v>
      </c>
      <c r="U1055" s="4">
        <v>72</v>
      </c>
      <c r="V1055" s="4">
        <f>IF(ISERROR(VLOOKUP($S$1055,'TAR FIN'!$A$1:$O$99,15,0)),0,VLOOKUP($S$1055,'TAR FIN'!$A$1:$O$99,15,0))</f>
        <v>0</v>
      </c>
      <c r="W1055" s="4">
        <f>IF(ISERROR(VLOOKUP($T$1055,'TAR FIN'!$A$1:$O$99,15,0)),0,VLOOKUP($T$1055,'TAR FIN'!$A$1:$O$99,15,0))</f>
        <v>1557.74</v>
      </c>
      <c r="X1055" s="4">
        <f>IF(ISERROR(VLOOKUP($U$1055,'TAR FIN'!$A$1:$O$99,15,0)),0,VLOOKUP($U$1055,'TAR FIN'!$A$1:$O$99,15,0))</f>
        <v>346.61</v>
      </c>
      <c r="Y1055" s="4"/>
      <c r="Z1055" s="4">
        <f ca="1">('TUSD BE'!$AM$22+'TUSD BF'!$AM$22+'TUSD CVA'!$AM$22)*1</f>
        <v>1799.131999651745</v>
      </c>
      <c r="AA1055" s="4">
        <f>('TE BE'!$AA$7+'TE BF'!$AA$7+'TE CVA'!$AA$7)*1</f>
        <v>423.89652505413846</v>
      </c>
      <c r="AB1055" s="4">
        <f>$K$1055*$V$1055</f>
        <v>0</v>
      </c>
      <c r="AC1055" s="4">
        <f>$M$1055*$W$1055</f>
        <v>34606.751840000004</v>
      </c>
      <c r="AD1055" s="4">
        <f>$O$1055*$X$1055</f>
        <v>7700.2877600000011</v>
      </c>
      <c r="AE1055" s="4">
        <f>$K$1055*$Y$1055</f>
        <v>0</v>
      </c>
      <c r="AF1055" s="4">
        <f ca="1">$M$1055*$Z$1055</f>
        <v>39969.516504263171</v>
      </c>
      <c r="AG1055" s="4">
        <f>$O$1055*$AA$1055</f>
        <v>9417.2852006027406</v>
      </c>
    </row>
    <row r="1056" spans="1:33" ht="11.25" customHeight="1" x14ac:dyDescent="0.25">
      <c r="A1056" s="3" t="s">
        <v>21</v>
      </c>
      <c r="B1056" s="3" t="s">
        <v>33</v>
      </c>
      <c r="C1056" s="3" t="s">
        <v>34</v>
      </c>
      <c r="D1056" s="3" t="s">
        <v>46</v>
      </c>
      <c r="E1056" s="3" t="s">
        <v>25</v>
      </c>
      <c r="F1056" s="3" t="s">
        <v>25</v>
      </c>
      <c r="G1056" s="3" t="s">
        <v>25</v>
      </c>
      <c r="H1056" s="3" t="s">
        <v>35</v>
      </c>
      <c r="I1056" s="6">
        <v>44621</v>
      </c>
      <c r="J1056" s="4">
        <v>0</v>
      </c>
      <c r="K1056" s="4">
        <v>0</v>
      </c>
      <c r="L1056" s="4">
        <v>678.78800000000001</v>
      </c>
      <c r="M1056" s="4">
        <v>678.78800000000001</v>
      </c>
      <c r="N1056" s="4">
        <v>678.78800000000001</v>
      </c>
      <c r="O1056" s="4">
        <v>678.78800000000001</v>
      </c>
      <c r="P1056" s="4">
        <v>0</v>
      </c>
      <c r="Q1056" s="3" t="s">
        <v>26</v>
      </c>
      <c r="R1056" s="3">
        <v>0</v>
      </c>
      <c r="S1056" s="4">
        <v>0</v>
      </c>
      <c r="T1056" s="4">
        <v>8</v>
      </c>
      <c r="U1056" s="4">
        <v>72</v>
      </c>
      <c r="V1056" s="4">
        <f>IF(ISERROR(VLOOKUP($S$1056,'TAR FIN'!$A$1:$O$99,15,0)),0,VLOOKUP($S$1056,'TAR FIN'!$A$1:$O$99,15,0))</f>
        <v>0</v>
      </c>
      <c r="W1056" s="4">
        <f>IF(ISERROR(VLOOKUP($T$1056,'TAR FIN'!$A$1:$O$99,15,0)),0,VLOOKUP($T$1056,'TAR FIN'!$A$1:$O$99,15,0))</f>
        <v>1557.74</v>
      </c>
      <c r="X1056" s="4">
        <f>IF(ISERROR(VLOOKUP($U$1056,'TAR FIN'!$A$1:$O$99,15,0)),0,VLOOKUP($U$1056,'TAR FIN'!$A$1:$O$99,15,0))</f>
        <v>346.61</v>
      </c>
      <c r="Y1056" s="4"/>
      <c r="Z1056" s="4">
        <f ca="1">('TUSD BE'!$AM$22+'TUSD BF'!$AM$22+'TUSD CVA'!$AM$22)*1</f>
        <v>1799.131999651745</v>
      </c>
      <c r="AA1056" s="4">
        <f>('TE BE'!$AA$7+'TE BF'!$AA$7+'TE CVA'!$AA$7)*1</f>
        <v>423.89652505413846</v>
      </c>
      <c r="AB1056" s="4">
        <f>$K$1056*$V$1056</f>
        <v>0</v>
      </c>
      <c r="AC1056" s="4">
        <f>$M$1056*$W$1056</f>
        <v>1057375.21912</v>
      </c>
      <c r="AD1056" s="4">
        <f>$O$1056*$X$1056</f>
        <v>235274.70868000001</v>
      </c>
      <c r="AE1056" s="4">
        <f>$K$1056*$Y$1056</f>
        <v>0</v>
      </c>
      <c r="AF1056" s="4">
        <f ca="1">$M$1056*$Z$1056</f>
        <v>1221229.2117796086</v>
      </c>
      <c r="AG1056" s="4">
        <f>$O$1056*$AA$1056</f>
        <v>287735.87444844854</v>
      </c>
    </row>
    <row r="1057" spans="1:33" ht="11.25" customHeight="1" x14ac:dyDescent="0.25">
      <c r="A1057" s="3" t="s">
        <v>28</v>
      </c>
      <c r="B1057" s="3" t="s">
        <v>33</v>
      </c>
      <c r="C1057" s="3" t="s">
        <v>34</v>
      </c>
      <c r="D1057" s="3" t="s">
        <v>46</v>
      </c>
      <c r="E1057" s="3" t="s">
        <v>25</v>
      </c>
      <c r="F1057" s="3" t="s">
        <v>25</v>
      </c>
      <c r="G1057" s="3" t="s">
        <v>25</v>
      </c>
      <c r="H1057" s="3" t="s">
        <v>35</v>
      </c>
      <c r="I1057" s="6">
        <v>44621</v>
      </c>
      <c r="J1057" s="4">
        <v>0</v>
      </c>
      <c r="K1057" s="4">
        <v>0</v>
      </c>
      <c r="L1057" s="4">
        <v>25.712</v>
      </c>
      <c r="M1057" s="4">
        <v>25.712</v>
      </c>
      <c r="N1057" s="4">
        <v>25.712</v>
      </c>
      <c r="O1057" s="4">
        <v>25.712</v>
      </c>
      <c r="P1057" s="4">
        <v>0</v>
      </c>
      <c r="Q1057" s="3" t="s">
        <v>26</v>
      </c>
      <c r="R1057" s="3">
        <v>0</v>
      </c>
      <c r="S1057" s="4">
        <v>0</v>
      </c>
      <c r="T1057" s="4">
        <v>8</v>
      </c>
      <c r="U1057" s="4">
        <v>72</v>
      </c>
      <c r="V1057" s="4">
        <f>IF(ISERROR(VLOOKUP($S$1057,'TAR FIN'!$A$1:$O$99,15,0)),0,VLOOKUP($S$1057,'TAR FIN'!$A$1:$O$99,15,0))</f>
        <v>0</v>
      </c>
      <c r="W1057" s="4">
        <f>IF(ISERROR(VLOOKUP($T$1057,'TAR FIN'!$A$1:$O$99,15,0)),0,VLOOKUP($T$1057,'TAR FIN'!$A$1:$O$99,15,0))</f>
        <v>1557.74</v>
      </c>
      <c r="X1057" s="4">
        <f>IF(ISERROR(VLOOKUP($U$1057,'TAR FIN'!$A$1:$O$99,15,0)),0,VLOOKUP($U$1057,'TAR FIN'!$A$1:$O$99,15,0))</f>
        <v>346.61</v>
      </c>
      <c r="Y1057" s="4"/>
      <c r="Z1057" s="4">
        <f ca="1">('TUSD BE'!$AM$22+'TUSD BF'!$AM$22+'TUSD CVA'!$AM$22)*1</f>
        <v>1799.131999651745</v>
      </c>
      <c r="AA1057" s="4">
        <f>('TE BE'!$AA$7+'TE BF'!$AA$7+'TE CVA'!$AA$7)*1</f>
        <v>423.89652505413846</v>
      </c>
      <c r="AB1057" s="4">
        <f>$K$1057*$V$1057</f>
        <v>0</v>
      </c>
      <c r="AC1057" s="4">
        <f>$M$1057*$W$1057</f>
        <v>40052.61088</v>
      </c>
      <c r="AD1057" s="4">
        <f>$O$1057*$X$1057</f>
        <v>8912.0363200000011</v>
      </c>
      <c r="AE1057" s="4">
        <f>$K$1057*$Y$1057</f>
        <v>0</v>
      </c>
      <c r="AF1057" s="4">
        <f ca="1">$M$1057*$Z$1057</f>
        <v>46259.281975045669</v>
      </c>
      <c r="AG1057" s="4">
        <f>$O$1057*$AA$1057</f>
        <v>10899.227452192008</v>
      </c>
    </row>
    <row r="1058" spans="1:33" ht="11.25" customHeight="1" x14ac:dyDescent="0.25">
      <c r="A1058" s="3" t="s">
        <v>56</v>
      </c>
      <c r="B1058" s="3" t="s">
        <v>33</v>
      </c>
      <c r="C1058" s="3" t="s">
        <v>34</v>
      </c>
      <c r="D1058" s="3" t="s">
        <v>46</v>
      </c>
      <c r="E1058" s="3" t="s">
        <v>25</v>
      </c>
      <c r="F1058" s="3" t="s">
        <v>25</v>
      </c>
      <c r="G1058" s="3" t="s">
        <v>25</v>
      </c>
      <c r="H1058" s="3" t="s">
        <v>35</v>
      </c>
      <c r="I1058" s="6">
        <v>44652</v>
      </c>
      <c r="J1058" s="4">
        <v>0</v>
      </c>
      <c r="K1058" s="4">
        <v>0</v>
      </c>
      <c r="L1058" s="4">
        <v>678.78800000000001</v>
      </c>
      <c r="M1058" s="4">
        <v>678.78800000000001</v>
      </c>
      <c r="N1058" s="4">
        <v>678.78800000000001</v>
      </c>
      <c r="O1058" s="4">
        <v>678.78800000000001</v>
      </c>
      <c r="P1058" s="4">
        <v>0</v>
      </c>
      <c r="Q1058" s="3" t="s">
        <v>26</v>
      </c>
      <c r="R1058" s="3">
        <v>0</v>
      </c>
      <c r="S1058" s="4">
        <v>0</v>
      </c>
      <c r="T1058" s="4">
        <v>8</v>
      </c>
      <c r="U1058" s="4">
        <v>72</v>
      </c>
      <c r="V1058" s="4">
        <f>IF(ISERROR(VLOOKUP($S$1058,'TAR FIN'!$A$1:$O$99,15,0)),0,VLOOKUP($S$1058,'TAR FIN'!$A$1:$O$99,15,0))</f>
        <v>0</v>
      </c>
      <c r="W1058" s="4">
        <f>IF(ISERROR(VLOOKUP($T$1058,'TAR FIN'!$A$1:$O$99,15,0)),0,VLOOKUP($T$1058,'TAR FIN'!$A$1:$O$99,15,0))</f>
        <v>1557.74</v>
      </c>
      <c r="X1058" s="4">
        <f>IF(ISERROR(VLOOKUP($U$1058,'TAR FIN'!$A$1:$O$99,15,0)),0,VLOOKUP($U$1058,'TAR FIN'!$A$1:$O$99,15,0))</f>
        <v>346.61</v>
      </c>
      <c r="Y1058" s="4"/>
      <c r="Z1058" s="4">
        <f ca="1">('TUSD BE'!$AM$22+'TUSD BF'!$AM$22+'TUSD CVA'!$AM$22)*1</f>
        <v>1799.131999651745</v>
      </c>
      <c r="AA1058" s="4">
        <f>('TE BE'!$AA$7+'TE BF'!$AA$7+'TE CVA'!$AA$7)*1</f>
        <v>423.89652505413846</v>
      </c>
      <c r="AB1058" s="4">
        <f>$K$1058*$V$1058</f>
        <v>0</v>
      </c>
      <c r="AC1058" s="4">
        <f>$M$1058*$W$1058</f>
        <v>1057375.21912</v>
      </c>
      <c r="AD1058" s="4">
        <f>$O$1058*$X$1058</f>
        <v>235274.70868000001</v>
      </c>
      <c r="AE1058" s="4">
        <f>$K$1058*$Y$1058</f>
        <v>0</v>
      </c>
      <c r="AF1058" s="4">
        <f ca="1">$M$1058*$Z$1058</f>
        <v>1221229.2117796086</v>
      </c>
      <c r="AG1058" s="4">
        <f>$O$1058*$AA$1058</f>
        <v>287735.87444844854</v>
      </c>
    </row>
    <row r="1059" spans="1:33" ht="11.25" customHeight="1" x14ac:dyDescent="0.25">
      <c r="A1059" s="3" t="s">
        <v>56</v>
      </c>
      <c r="B1059" s="3" t="s">
        <v>33</v>
      </c>
      <c r="C1059" s="3" t="s">
        <v>34</v>
      </c>
      <c r="D1059" s="3" t="s">
        <v>46</v>
      </c>
      <c r="E1059" s="3" t="s">
        <v>25</v>
      </c>
      <c r="F1059" s="3" t="s">
        <v>25</v>
      </c>
      <c r="G1059" s="3" t="s">
        <v>25</v>
      </c>
      <c r="H1059" s="3" t="s">
        <v>35</v>
      </c>
      <c r="I1059" s="6">
        <v>44652</v>
      </c>
      <c r="J1059" s="4">
        <v>0</v>
      </c>
      <c r="K1059" s="4">
        <v>0</v>
      </c>
      <c r="L1059" s="4">
        <v>25.712</v>
      </c>
      <c r="M1059" s="4">
        <v>25.712</v>
      </c>
      <c r="N1059" s="4">
        <v>25.712</v>
      </c>
      <c r="O1059" s="4">
        <v>25.712</v>
      </c>
      <c r="P1059" s="4">
        <v>0</v>
      </c>
      <c r="Q1059" s="3" t="s">
        <v>26</v>
      </c>
      <c r="R1059" s="3">
        <v>0</v>
      </c>
      <c r="S1059" s="4">
        <v>0</v>
      </c>
      <c r="T1059" s="4">
        <v>8</v>
      </c>
      <c r="U1059" s="4">
        <v>72</v>
      </c>
      <c r="V1059" s="4">
        <f>IF(ISERROR(VLOOKUP($S$1059,'TAR FIN'!$A$1:$O$99,15,0)),0,VLOOKUP($S$1059,'TAR FIN'!$A$1:$O$99,15,0))</f>
        <v>0</v>
      </c>
      <c r="W1059" s="4">
        <f>IF(ISERROR(VLOOKUP($T$1059,'TAR FIN'!$A$1:$O$99,15,0)),0,VLOOKUP($T$1059,'TAR FIN'!$A$1:$O$99,15,0))</f>
        <v>1557.74</v>
      </c>
      <c r="X1059" s="4">
        <f>IF(ISERROR(VLOOKUP($U$1059,'TAR FIN'!$A$1:$O$99,15,0)),0,VLOOKUP($U$1059,'TAR FIN'!$A$1:$O$99,15,0))</f>
        <v>346.61</v>
      </c>
      <c r="Y1059" s="4"/>
      <c r="Z1059" s="4">
        <f ca="1">('TUSD BE'!$AM$22+'TUSD BF'!$AM$22+'TUSD CVA'!$AM$22)*1</f>
        <v>1799.131999651745</v>
      </c>
      <c r="AA1059" s="4">
        <f>('TE BE'!$AA$7+'TE BF'!$AA$7+'TE CVA'!$AA$7)*1</f>
        <v>423.89652505413846</v>
      </c>
      <c r="AB1059" s="4">
        <f>$K$1059*$V$1059</f>
        <v>0</v>
      </c>
      <c r="AC1059" s="4">
        <f>$M$1059*$W$1059</f>
        <v>40052.61088</v>
      </c>
      <c r="AD1059" s="4">
        <f>$O$1059*$X$1059</f>
        <v>8912.0363200000011</v>
      </c>
      <c r="AE1059" s="4">
        <f>$K$1059*$Y$1059</f>
        <v>0</v>
      </c>
      <c r="AF1059" s="4">
        <f ca="1">$M$1059*$Z$1059</f>
        <v>46259.281975045669</v>
      </c>
      <c r="AG1059" s="4">
        <f>$O$1059*$AA$1059</f>
        <v>10899.227452192008</v>
      </c>
    </row>
    <row r="1060" spans="1:33" ht="11.25" customHeight="1" x14ac:dyDescent="0.25">
      <c r="A1060" s="3" t="s">
        <v>21</v>
      </c>
      <c r="B1060" s="3" t="s">
        <v>33</v>
      </c>
      <c r="C1060" s="3" t="s">
        <v>34</v>
      </c>
      <c r="D1060" s="3" t="s">
        <v>24</v>
      </c>
      <c r="E1060" s="3" t="s">
        <v>24</v>
      </c>
      <c r="F1060" s="3" t="s">
        <v>25</v>
      </c>
      <c r="G1060" s="3" t="s">
        <v>25</v>
      </c>
      <c r="H1060" s="3" t="s">
        <v>36</v>
      </c>
      <c r="I1060" s="6">
        <v>44317</v>
      </c>
      <c r="J1060" s="4">
        <v>0</v>
      </c>
      <c r="K1060" s="4">
        <v>0</v>
      </c>
      <c r="L1060" s="4">
        <v>1.877</v>
      </c>
      <c r="M1060" s="4">
        <v>1.877</v>
      </c>
      <c r="N1060" s="4">
        <v>1.877</v>
      </c>
      <c r="O1060" s="4">
        <v>1.877</v>
      </c>
      <c r="P1060" s="4">
        <v>0</v>
      </c>
      <c r="Q1060" s="3" t="s">
        <v>26</v>
      </c>
      <c r="R1060" s="3">
        <v>0</v>
      </c>
      <c r="S1060" s="4">
        <v>0</v>
      </c>
      <c r="T1060" s="4">
        <v>29</v>
      </c>
      <c r="U1060" s="4">
        <v>73</v>
      </c>
      <c r="V1060" s="4">
        <f>IF(ISERROR(VLOOKUP($S$1060,'TAR FIN'!$A$1:$O$99,15,0)),0,VLOOKUP($S$1060,'TAR FIN'!$A$1:$O$99,15,0))</f>
        <v>0</v>
      </c>
      <c r="W1060" s="4">
        <f>IF(ISERROR(VLOOKUP($T$1060,'TAR FIN'!$A$1:$O$99,15,0)),0,VLOOKUP($T$1060,'TAR FIN'!$A$1:$O$99,15,0))</f>
        <v>97.61</v>
      </c>
      <c r="X1060" s="4">
        <f>IF(ISERROR(VLOOKUP($U$1060,'TAR FIN'!$A$1:$O$99,15,0)),0,VLOOKUP($U$1060,'TAR FIN'!$A$1:$O$99,15,0))</f>
        <v>219.97</v>
      </c>
      <c r="Y1060" s="4"/>
      <c r="Z1060" s="4">
        <f ca="1">('TUSD BE'!$AM$23+'TUSD BF'!$AM$23+'TUSD CVA'!$AM$23)*1</f>
        <v>117.59114529324071</v>
      </c>
      <c r="AA1060" s="4">
        <f>('TE BE'!$AA$8+'TE BF'!$AA$8+'TE CVA'!$AA$8)*1</f>
        <v>271.13910989737087</v>
      </c>
      <c r="AB1060" s="4">
        <f>$K$1060*$V$1060</f>
        <v>0</v>
      </c>
      <c r="AC1060" s="4">
        <f>$M$1060*$W$1060</f>
        <v>183.21396999999999</v>
      </c>
      <c r="AD1060" s="4">
        <f>$O$1060*$X$1060</f>
        <v>412.88369</v>
      </c>
      <c r="AE1060" s="4">
        <f>$K$1060*$Y$1060</f>
        <v>0</v>
      </c>
      <c r="AF1060" s="4">
        <f ca="1">$M$1060*$Z$1060</f>
        <v>220.71857971541283</v>
      </c>
      <c r="AG1060" s="4">
        <f>$O$1060*$AA$1060</f>
        <v>508.92810927736514</v>
      </c>
    </row>
    <row r="1061" spans="1:33" ht="11.25" customHeight="1" x14ac:dyDescent="0.25">
      <c r="A1061" s="3" t="s">
        <v>21</v>
      </c>
      <c r="B1061" s="3" t="s">
        <v>33</v>
      </c>
      <c r="C1061" s="3" t="s">
        <v>34</v>
      </c>
      <c r="D1061" s="3" t="s">
        <v>24</v>
      </c>
      <c r="E1061" s="3" t="s">
        <v>24</v>
      </c>
      <c r="F1061" s="3" t="s">
        <v>25</v>
      </c>
      <c r="G1061" s="3" t="s">
        <v>25</v>
      </c>
      <c r="H1061" s="3" t="s">
        <v>36</v>
      </c>
      <c r="I1061" s="6">
        <v>44348</v>
      </c>
      <c r="J1061" s="4">
        <v>0</v>
      </c>
      <c r="K1061" s="4">
        <v>0</v>
      </c>
      <c r="L1061" s="4">
        <v>1.6839999999999999</v>
      </c>
      <c r="M1061" s="4">
        <v>1.6839999999999999</v>
      </c>
      <c r="N1061" s="4">
        <v>1.6839999999999999</v>
      </c>
      <c r="O1061" s="4">
        <v>1.6839999999999999</v>
      </c>
      <c r="P1061" s="4">
        <v>0</v>
      </c>
      <c r="Q1061" s="3" t="s">
        <v>26</v>
      </c>
      <c r="R1061" s="3">
        <v>0</v>
      </c>
      <c r="S1061" s="4">
        <v>0</v>
      </c>
      <c r="T1061" s="4">
        <v>29</v>
      </c>
      <c r="U1061" s="4">
        <v>73</v>
      </c>
      <c r="V1061" s="4">
        <f>IF(ISERROR(VLOOKUP($S$1061,'TAR FIN'!$A$1:$O$99,15,0)),0,VLOOKUP($S$1061,'TAR FIN'!$A$1:$O$99,15,0))</f>
        <v>0</v>
      </c>
      <c r="W1061" s="4">
        <f>IF(ISERROR(VLOOKUP($T$1061,'TAR FIN'!$A$1:$O$99,15,0)),0,VLOOKUP($T$1061,'TAR FIN'!$A$1:$O$99,15,0))</f>
        <v>97.61</v>
      </c>
      <c r="X1061" s="4">
        <f>IF(ISERROR(VLOOKUP($U$1061,'TAR FIN'!$A$1:$O$99,15,0)),0,VLOOKUP($U$1061,'TAR FIN'!$A$1:$O$99,15,0))</f>
        <v>219.97</v>
      </c>
      <c r="Y1061" s="4"/>
      <c r="Z1061" s="4">
        <f ca="1">('TUSD BE'!$AM$23+'TUSD BF'!$AM$23+'TUSD CVA'!$AM$23)*1</f>
        <v>117.59114529324071</v>
      </c>
      <c r="AA1061" s="4">
        <f>('TE BE'!$AA$8+'TE BF'!$AA$8+'TE CVA'!$AA$8)*1</f>
        <v>271.13910989737087</v>
      </c>
      <c r="AB1061" s="4">
        <f>$K$1061*$V$1061</f>
        <v>0</v>
      </c>
      <c r="AC1061" s="4">
        <f>$M$1061*$W$1061</f>
        <v>164.37523999999999</v>
      </c>
      <c r="AD1061" s="4">
        <f>$O$1061*$X$1061</f>
        <v>370.42948000000001</v>
      </c>
      <c r="AE1061" s="4">
        <f>$K$1061*$Y$1061</f>
        <v>0</v>
      </c>
      <c r="AF1061" s="4">
        <f ca="1">$M$1061*$Z$1061</f>
        <v>198.02348867381735</v>
      </c>
      <c r="AG1061" s="4">
        <f>$O$1061*$AA$1061</f>
        <v>456.59826106717253</v>
      </c>
    </row>
    <row r="1062" spans="1:33" ht="11.25" customHeight="1" x14ac:dyDescent="0.25">
      <c r="A1062" s="3" t="s">
        <v>21</v>
      </c>
      <c r="B1062" s="3" t="s">
        <v>33</v>
      </c>
      <c r="C1062" s="3" t="s">
        <v>34</v>
      </c>
      <c r="D1062" s="3" t="s">
        <v>24</v>
      </c>
      <c r="E1062" s="3" t="s">
        <v>24</v>
      </c>
      <c r="F1062" s="3" t="s">
        <v>25</v>
      </c>
      <c r="G1062" s="3" t="s">
        <v>25</v>
      </c>
      <c r="H1062" s="3" t="s">
        <v>36</v>
      </c>
      <c r="I1062" s="6">
        <v>44378</v>
      </c>
      <c r="J1062" s="4">
        <v>0</v>
      </c>
      <c r="K1062" s="4">
        <v>0</v>
      </c>
      <c r="L1062" s="4">
        <v>1.8420000000000001</v>
      </c>
      <c r="M1062" s="4">
        <v>1.8420000000000001</v>
      </c>
      <c r="N1062" s="4">
        <v>1.8420000000000001</v>
      </c>
      <c r="O1062" s="4">
        <v>1.8420000000000001</v>
      </c>
      <c r="P1062" s="4">
        <v>0</v>
      </c>
      <c r="Q1062" s="3" t="s">
        <v>26</v>
      </c>
      <c r="R1062" s="3">
        <v>0</v>
      </c>
      <c r="S1062" s="4">
        <v>0</v>
      </c>
      <c r="T1062" s="4">
        <v>29</v>
      </c>
      <c r="U1062" s="4">
        <v>73</v>
      </c>
      <c r="V1062" s="4">
        <f>IF(ISERROR(VLOOKUP($S$1062,'TAR FIN'!$A$1:$O$99,15,0)),0,VLOOKUP($S$1062,'TAR FIN'!$A$1:$O$99,15,0))</f>
        <v>0</v>
      </c>
      <c r="W1062" s="4">
        <f>IF(ISERROR(VLOOKUP($T$1062,'TAR FIN'!$A$1:$O$99,15,0)),0,VLOOKUP($T$1062,'TAR FIN'!$A$1:$O$99,15,0))</f>
        <v>97.61</v>
      </c>
      <c r="X1062" s="4">
        <f>IF(ISERROR(VLOOKUP($U$1062,'TAR FIN'!$A$1:$O$99,15,0)),0,VLOOKUP($U$1062,'TAR FIN'!$A$1:$O$99,15,0))</f>
        <v>219.97</v>
      </c>
      <c r="Y1062" s="4"/>
      <c r="Z1062" s="4">
        <f ca="1">('TUSD BE'!$AM$23+'TUSD BF'!$AM$23+'TUSD CVA'!$AM$23)*1</f>
        <v>117.59114529324071</v>
      </c>
      <c r="AA1062" s="4">
        <f>('TE BE'!$AA$8+'TE BF'!$AA$8+'TE CVA'!$AA$8)*1</f>
        <v>271.13910989737087</v>
      </c>
      <c r="AB1062" s="4">
        <f>$K$1062*$V$1062</f>
        <v>0</v>
      </c>
      <c r="AC1062" s="4">
        <f>$M$1062*$W$1062</f>
        <v>179.79761999999999</v>
      </c>
      <c r="AD1062" s="4">
        <f>$O$1062*$X$1062</f>
        <v>405.18474000000003</v>
      </c>
      <c r="AE1062" s="4">
        <f>$K$1062*$Y$1062</f>
        <v>0</v>
      </c>
      <c r="AF1062" s="4">
        <f ca="1">$M$1062*$Z$1062</f>
        <v>216.60288963014941</v>
      </c>
      <c r="AG1062" s="4">
        <f>$O$1062*$AA$1062</f>
        <v>499.43824043095719</v>
      </c>
    </row>
    <row r="1063" spans="1:33" ht="11.25" customHeight="1" x14ac:dyDescent="0.25">
      <c r="A1063" s="3" t="s">
        <v>21</v>
      </c>
      <c r="B1063" s="3" t="s">
        <v>33</v>
      </c>
      <c r="C1063" s="3" t="s">
        <v>34</v>
      </c>
      <c r="D1063" s="3" t="s">
        <v>24</v>
      </c>
      <c r="E1063" s="3" t="s">
        <v>24</v>
      </c>
      <c r="F1063" s="3" t="s">
        <v>25</v>
      </c>
      <c r="G1063" s="3" t="s">
        <v>25</v>
      </c>
      <c r="H1063" s="3" t="s">
        <v>36</v>
      </c>
      <c r="I1063" s="6">
        <v>44409</v>
      </c>
      <c r="J1063" s="4">
        <v>0</v>
      </c>
      <c r="K1063" s="4">
        <v>0</v>
      </c>
      <c r="L1063" s="4">
        <v>1.7969999999999999</v>
      </c>
      <c r="M1063" s="4">
        <v>1.7969999999999999</v>
      </c>
      <c r="N1063" s="4">
        <v>1.7969999999999999</v>
      </c>
      <c r="O1063" s="4">
        <v>1.7969999999999999</v>
      </c>
      <c r="P1063" s="4">
        <v>0</v>
      </c>
      <c r="Q1063" s="3" t="s">
        <v>26</v>
      </c>
      <c r="R1063" s="3">
        <v>0</v>
      </c>
      <c r="S1063" s="4">
        <v>0</v>
      </c>
      <c r="T1063" s="4">
        <v>29</v>
      </c>
      <c r="U1063" s="4">
        <v>73</v>
      </c>
      <c r="V1063" s="4">
        <f>IF(ISERROR(VLOOKUP($S$1063,'TAR FIN'!$A$1:$O$99,15,0)),0,VLOOKUP($S$1063,'TAR FIN'!$A$1:$O$99,15,0))</f>
        <v>0</v>
      </c>
      <c r="W1063" s="4">
        <f>IF(ISERROR(VLOOKUP($T$1063,'TAR FIN'!$A$1:$O$99,15,0)),0,VLOOKUP($T$1063,'TAR FIN'!$A$1:$O$99,15,0))</f>
        <v>97.61</v>
      </c>
      <c r="X1063" s="4">
        <f>IF(ISERROR(VLOOKUP($U$1063,'TAR FIN'!$A$1:$O$99,15,0)),0,VLOOKUP($U$1063,'TAR FIN'!$A$1:$O$99,15,0))</f>
        <v>219.97</v>
      </c>
      <c r="Y1063" s="4"/>
      <c r="Z1063" s="4">
        <f ca="1">('TUSD BE'!$AM$23+'TUSD BF'!$AM$23+'TUSD CVA'!$AM$23)*1</f>
        <v>117.59114529324071</v>
      </c>
      <c r="AA1063" s="4">
        <f>('TE BE'!$AA$8+'TE BF'!$AA$8+'TE CVA'!$AA$8)*1</f>
        <v>271.13910989737087</v>
      </c>
      <c r="AB1063" s="4">
        <f>$K$1063*$V$1063</f>
        <v>0</v>
      </c>
      <c r="AC1063" s="4">
        <f>$M$1063*$W$1063</f>
        <v>175.40517</v>
      </c>
      <c r="AD1063" s="4">
        <f>$O$1063*$X$1063</f>
        <v>395.28609</v>
      </c>
      <c r="AE1063" s="4">
        <f>$K$1063*$Y$1063</f>
        <v>0</v>
      </c>
      <c r="AF1063" s="4">
        <f ca="1">$M$1063*$Z$1063</f>
        <v>211.31128809195354</v>
      </c>
      <c r="AG1063" s="4">
        <f>$O$1063*$AA$1063</f>
        <v>487.23698048557543</v>
      </c>
    </row>
    <row r="1064" spans="1:33" ht="11.25" customHeight="1" x14ac:dyDescent="0.25">
      <c r="A1064" s="3" t="s">
        <v>21</v>
      </c>
      <c r="B1064" s="3" t="s">
        <v>33</v>
      </c>
      <c r="C1064" s="3" t="s">
        <v>34</v>
      </c>
      <c r="D1064" s="3" t="s">
        <v>24</v>
      </c>
      <c r="E1064" s="3" t="s">
        <v>24</v>
      </c>
      <c r="F1064" s="3" t="s">
        <v>25</v>
      </c>
      <c r="G1064" s="3" t="s">
        <v>25</v>
      </c>
      <c r="H1064" s="3" t="s">
        <v>36</v>
      </c>
      <c r="I1064" s="6">
        <v>44440</v>
      </c>
      <c r="J1064" s="4">
        <v>0</v>
      </c>
      <c r="K1064" s="4">
        <v>0</v>
      </c>
      <c r="L1064" s="4">
        <v>1.6839999999999999</v>
      </c>
      <c r="M1064" s="4">
        <v>1.6839999999999999</v>
      </c>
      <c r="N1064" s="4">
        <v>1.6839999999999999</v>
      </c>
      <c r="O1064" s="4">
        <v>1.6839999999999999</v>
      </c>
      <c r="P1064" s="4">
        <v>0</v>
      </c>
      <c r="Q1064" s="3" t="s">
        <v>26</v>
      </c>
      <c r="R1064" s="3">
        <v>0</v>
      </c>
      <c r="S1064" s="4">
        <v>0</v>
      </c>
      <c r="T1064" s="4">
        <v>29</v>
      </c>
      <c r="U1064" s="4">
        <v>73</v>
      </c>
      <c r="V1064" s="4">
        <f>IF(ISERROR(VLOOKUP($S$1064,'TAR FIN'!$A$1:$O$99,15,0)),0,VLOOKUP($S$1064,'TAR FIN'!$A$1:$O$99,15,0))</f>
        <v>0</v>
      </c>
      <c r="W1064" s="4">
        <f>IF(ISERROR(VLOOKUP($T$1064,'TAR FIN'!$A$1:$O$99,15,0)),0,VLOOKUP($T$1064,'TAR FIN'!$A$1:$O$99,15,0))</f>
        <v>97.61</v>
      </c>
      <c r="X1064" s="4">
        <f>IF(ISERROR(VLOOKUP($U$1064,'TAR FIN'!$A$1:$O$99,15,0)),0,VLOOKUP($U$1064,'TAR FIN'!$A$1:$O$99,15,0))</f>
        <v>219.97</v>
      </c>
      <c r="Y1064" s="4"/>
      <c r="Z1064" s="4">
        <f ca="1">('TUSD BE'!$AM$23+'TUSD BF'!$AM$23+'TUSD CVA'!$AM$23)*1</f>
        <v>117.59114529324071</v>
      </c>
      <c r="AA1064" s="4">
        <f>('TE BE'!$AA$8+'TE BF'!$AA$8+'TE CVA'!$AA$8)*1</f>
        <v>271.13910989737087</v>
      </c>
      <c r="AB1064" s="4">
        <f>$K$1064*$V$1064</f>
        <v>0</v>
      </c>
      <c r="AC1064" s="4">
        <f>$M$1064*$W$1064</f>
        <v>164.37523999999999</v>
      </c>
      <c r="AD1064" s="4">
        <f>$O$1064*$X$1064</f>
        <v>370.42948000000001</v>
      </c>
      <c r="AE1064" s="4">
        <f>$K$1064*$Y$1064</f>
        <v>0</v>
      </c>
      <c r="AF1064" s="4">
        <f ca="1">$M$1064*$Z$1064</f>
        <v>198.02348867381735</v>
      </c>
      <c r="AG1064" s="4">
        <f>$O$1064*$AA$1064</f>
        <v>456.59826106717253</v>
      </c>
    </row>
    <row r="1065" spans="1:33" ht="11.25" customHeight="1" x14ac:dyDescent="0.25">
      <c r="A1065" s="3" t="s">
        <v>21</v>
      </c>
      <c r="B1065" s="3" t="s">
        <v>33</v>
      </c>
      <c r="C1065" s="3" t="s">
        <v>34</v>
      </c>
      <c r="D1065" s="3" t="s">
        <v>24</v>
      </c>
      <c r="E1065" s="3" t="s">
        <v>24</v>
      </c>
      <c r="F1065" s="3" t="s">
        <v>25</v>
      </c>
      <c r="G1065" s="3" t="s">
        <v>25</v>
      </c>
      <c r="H1065" s="3" t="s">
        <v>36</v>
      </c>
      <c r="I1065" s="6">
        <v>44470</v>
      </c>
      <c r="J1065" s="4">
        <v>0</v>
      </c>
      <c r="K1065" s="4">
        <v>0</v>
      </c>
      <c r="L1065" s="4">
        <v>1.7889999999999999</v>
      </c>
      <c r="M1065" s="4">
        <v>1.7889999999999999</v>
      </c>
      <c r="N1065" s="4">
        <v>1.7889999999999999</v>
      </c>
      <c r="O1065" s="4">
        <v>1.7889999999999999</v>
      </c>
      <c r="P1065" s="4">
        <v>0</v>
      </c>
      <c r="Q1065" s="3" t="s">
        <v>26</v>
      </c>
      <c r="R1065" s="3">
        <v>0</v>
      </c>
      <c r="S1065" s="4">
        <v>0</v>
      </c>
      <c r="T1065" s="4">
        <v>29</v>
      </c>
      <c r="U1065" s="4">
        <v>73</v>
      </c>
      <c r="V1065" s="4">
        <f>IF(ISERROR(VLOOKUP($S$1065,'TAR FIN'!$A$1:$O$99,15,0)),0,VLOOKUP($S$1065,'TAR FIN'!$A$1:$O$99,15,0))</f>
        <v>0</v>
      </c>
      <c r="W1065" s="4">
        <f>IF(ISERROR(VLOOKUP($T$1065,'TAR FIN'!$A$1:$O$99,15,0)),0,VLOOKUP($T$1065,'TAR FIN'!$A$1:$O$99,15,0))</f>
        <v>97.61</v>
      </c>
      <c r="X1065" s="4">
        <f>IF(ISERROR(VLOOKUP($U$1065,'TAR FIN'!$A$1:$O$99,15,0)),0,VLOOKUP($U$1065,'TAR FIN'!$A$1:$O$99,15,0))</f>
        <v>219.97</v>
      </c>
      <c r="Y1065" s="4"/>
      <c r="Z1065" s="4">
        <f ca="1">('TUSD BE'!$AM$23+'TUSD BF'!$AM$23+'TUSD CVA'!$AM$23)*1</f>
        <v>117.59114529324071</v>
      </c>
      <c r="AA1065" s="4">
        <f>('TE BE'!$AA$8+'TE BF'!$AA$8+'TE CVA'!$AA$8)*1</f>
        <v>271.13910989737087</v>
      </c>
      <c r="AB1065" s="4">
        <f>$K$1065*$V$1065</f>
        <v>0</v>
      </c>
      <c r="AC1065" s="4">
        <f>$M$1065*$W$1065</f>
        <v>174.62429</v>
      </c>
      <c r="AD1065" s="4">
        <f>$O$1065*$X$1065</f>
        <v>393.52632999999997</v>
      </c>
      <c r="AE1065" s="4">
        <f>$K$1065*$Y$1065</f>
        <v>0</v>
      </c>
      <c r="AF1065" s="4">
        <f ca="1">$M$1065*$Z$1065</f>
        <v>210.37055892960763</v>
      </c>
      <c r="AG1065" s="4">
        <f>$O$1065*$AA$1065</f>
        <v>485.06786760639648</v>
      </c>
    </row>
    <row r="1066" spans="1:33" ht="11.25" customHeight="1" x14ac:dyDescent="0.25">
      <c r="A1066" s="3" t="s">
        <v>21</v>
      </c>
      <c r="B1066" s="3" t="s">
        <v>33</v>
      </c>
      <c r="C1066" s="3" t="s">
        <v>34</v>
      </c>
      <c r="D1066" s="3" t="s">
        <v>24</v>
      </c>
      <c r="E1066" s="3" t="s">
        <v>24</v>
      </c>
      <c r="F1066" s="3" t="s">
        <v>25</v>
      </c>
      <c r="G1066" s="3" t="s">
        <v>25</v>
      </c>
      <c r="H1066" s="3" t="s">
        <v>36</v>
      </c>
      <c r="I1066" s="6">
        <v>44501</v>
      </c>
      <c r="J1066" s="4">
        <v>0</v>
      </c>
      <c r="K1066" s="4">
        <v>0</v>
      </c>
      <c r="L1066" s="4">
        <v>1.806</v>
      </c>
      <c r="M1066" s="4">
        <v>1.806</v>
      </c>
      <c r="N1066" s="4">
        <v>1.806</v>
      </c>
      <c r="O1066" s="4">
        <v>1.806</v>
      </c>
      <c r="P1066" s="4">
        <v>0</v>
      </c>
      <c r="Q1066" s="3" t="s">
        <v>26</v>
      </c>
      <c r="R1066" s="3">
        <v>0</v>
      </c>
      <c r="S1066" s="4">
        <v>0</v>
      </c>
      <c r="T1066" s="4">
        <v>29</v>
      </c>
      <c r="U1066" s="4">
        <v>73</v>
      </c>
      <c r="V1066" s="4">
        <f>IF(ISERROR(VLOOKUP($S$1066,'TAR FIN'!$A$1:$O$99,15,0)),0,VLOOKUP($S$1066,'TAR FIN'!$A$1:$O$99,15,0))</f>
        <v>0</v>
      </c>
      <c r="W1066" s="4">
        <f>IF(ISERROR(VLOOKUP($T$1066,'TAR FIN'!$A$1:$O$99,15,0)),0,VLOOKUP($T$1066,'TAR FIN'!$A$1:$O$99,15,0))</f>
        <v>97.61</v>
      </c>
      <c r="X1066" s="4">
        <f>IF(ISERROR(VLOOKUP($U$1066,'TAR FIN'!$A$1:$O$99,15,0)),0,VLOOKUP($U$1066,'TAR FIN'!$A$1:$O$99,15,0))</f>
        <v>219.97</v>
      </c>
      <c r="Y1066" s="4"/>
      <c r="Z1066" s="4">
        <f ca="1">('TUSD BE'!$AM$23+'TUSD BF'!$AM$23+'TUSD CVA'!$AM$23)*1</f>
        <v>117.59114529324071</v>
      </c>
      <c r="AA1066" s="4">
        <f>('TE BE'!$AA$8+'TE BF'!$AA$8+'TE CVA'!$AA$8)*1</f>
        <v>271.13910989737087</v>
      </c>
      <c r="AB1066" s="4">
        <f>$K$1066*$V$1066</f>
        <v>0</v>
      </c>
      <c r="AC1066" s="4">
        <f>$M$1066*$W$1066</f>
        <v>176.28366</v>
      </c>
      <c r="AD1066" s="4">
        <f>$O$1066*$X$1066</f>
        <v>397.26582000000002</v>
      </c>
      <c r="AE1066" s="4">
        <f>$K$1066*$Y$1066</f>
        <v>0</v>
      </c>
      <c r="AF1066" s="4">
        <f ca="1">$M$1066*$Z$1066</f>
        <v>212.36960839959275</v>
      </c>
      <c r="AG1066" s="4">
        <f>$O$1066*$AA$1066</f>
        <v>489.67723247465182</v>
      </c>
    </row>
    <row r="1067" spans="1:33" ht="11.25" customHeight="1" x14ac:dyDescent="0.25">
      <c r="A1067" s="3" t="s">
        <v>21</v>
      </c>
      <c r="B1067" s="3" t="s">
        <v>33</v>
      </c>
      <c r="C1067" s="3" t="s">
        <v>34</v>
      </c>
      <c r="D1067" s="3" t="s">
        <v>24</v>
      </c>
      <c r="E1067" s="3" t="s">
        <v>24</v>
      </c>
      <c r="F1067" s="3" t="s">
        <v>25</v>
      </c>
      <c r="G1067" s="3" t="s">
        <v>25</v>
      </c>
      <c r="H1067" s="3" t="s">
        <v>36</v>
      </c>
      <c r="I1067" s="6">
        <v>44531</v>
      </c>
      <c r="J1067" s="4">
        <v>0</v>
      </c>
      <c r="K1067" s="4">
        <v>0</v>
      </c>
      <c r="L1067" s="4">
        <v>1.7749999999999999</v>
      </c>
      <c r="M1067" s="4">
        <v>1.7749999999999999</v>
      </c>
      <c r="N1067" s="4">
        <v>1.7749999999999999</v>
      </c>
      <c r="O1067" s="4">
        <v>1.7749999999999999</v>
      </c>
      <c r="P1067" s="4">
        <v>0</v>
      </c>
      <c r="Q1067" s="3" t="s">
        <v>26</v>
      </c>
      <c r="R1067" s="3">
        <v>0</v>
      </c>
      <c r="S1067" s="4">
        <v>0</v>
      </c>
      <c r="T1067" s="4">
        <v>29</v>
      </c>
      <c r="U1067" s="4">
        <v>73</v>
      </c>
      <c r="V1067" s="4">
        <f>IF(ISERROR(VLOOKUP($S$1067,'TAR FIN'!$A$1:$O$99,15,0)),0,VLOOKUP($S$1067,'TAR FIN'!$A$1:$O$99,15,0))</f>
        <v>0</v>
      </c>
      <c r="W1067" s="4">
        <f>IF(ISERROR(VLOOKUP($T$1067,'TAR FIN'!$A$1:$O$99,15,0)),0,VLOOKUP($T$1067,'TAR FIN'!$A$1:$O$99,15,0))</f>
        <v>97.61</v>
      </c>
      <c r="X1067" s="4">
        <f>IF(ISERROR(VLOOKUP($U$1067,'TAR FIN'!$A$1:$O$99,15,0)),0,VLOOKUP($U$1067,'TAR FIN'!$A$1:$O$99,15,0))</f>
        <v>219.97</v>
      </c>
      <c r="Y1067" s="4"/>
      <c r="Z1067" s="4">
        <f ca="1">('TUSD BE'!$AM$23+'TUSD BF'!$AM$23+'TUSD CVA'!$AM$23)*1</f>
        <v>117.59114529324071</v>
      </c>
      <c r="AA1067" s="4">
        <f>('TE BE'!$AA$8+'TE BF'!$AA$8+'TE CVA'!$AA$8)*1</f>
        <v>271.13910989737087</v>
      </c>
      <c r="AB1067" s="4">
        <f>$K$1067*$V$1067</f>
        <v>0</v>
      </c>
      <c r="AC1067" s="4">
        <f>$M$1067*$W$1067</f>
        <v>173.25774999999999</v>
      </c>
      <c r="AD1067" s="4">
        <f>$O$1067*$X$1067</f>
        <v>390.44674999999995</v>
      </c>
      <c r="AE1067" s="4">
        <f>$K$1067*$Y$1067</f>
        <v>0</v>
      </c>
      <c r="AF1067" s="4">
        <f ca="1">$M$1067*$Z$1067</f>
        <v>208.72428289550226</v>
      </c>
      <c r="AG1067" s="4">
        <f>$O$1067*$AA$1067</f>
        <v>481.27192006783326</v>
      </c>
    </row>
    <row r="1068" spans="1:33" ht="11.25" customHeight="1" x14ac:dyDescent="0.25">
      <c r="A1068" s="3" t="s">
        <v>21</v>
      </c>
      <c r="B1068" s="3" t="s">
        <v>33</v>
      </c>
      <c r="C1068" s="3" t="s">
        <v>34</v>
      </c>
      <c r="D1068" s="3" t="s">
        <v>24</v>
      </c>
      <c r="E1068" s="3" t="s">
        <v>24</v>
      </c>
      <c r="F1068" s="3" t="s">
        <v>25</v>
      </c>
      <c r="G1068" s="3" t="s">
        <v>25</v>
      </c>
      <c r="H1068" s="3" t="s">
        <v>36</v>
      </c>
      <c r="I1068" s="6">
        <v>44562</v>
      </c>
      <c r="J1068" s="4">
        <v>0</v>
      </c>
      <c r="K1068" s="4">
        <v>0</v>
      </c>
      <c r="L1068" s="4">
        <v>1.633</v>
      </c>
      <c r="M1068" s="4">
        <v>1.633</v>
      </c>
      <c r="N1068" s="4">
        <v>1.633</v>
      </c>
      <c r="O1068" s="4">
        <v>1.633</v>
      </c>
      <c r="P1068" s="4">
        <v>0</v>
      </c>
      <c r="Q1068" s="3" t="s">
        <v>26</v>
      </c>
      <c r="R1068" s="3">
        <v>0</v>
      </c>
      <c r="S1068" s="4">
        <v>0</v>
      </c>
      <c r="T1068" s="4">
        <v>29</v>
      </c>
      <c r="U1068" s="4">
        <v>73</v>
      </c>
      <c r="V1068" s="4">
        <f>IF(ISERROR(VLOOKUP($S$1068,'TAR FIN'!$A$1:$O$99,15,0)),0,VLOOKUP($S$1068,'TAR FIN'!$A$1:$O$99,15,0))</f>
        <v>0</v>
      </c>
      <c r="W1068" s="4">
        <f>IF(ISERROR(VLOOKUP($T$1068,'TAR FIN'!$A$1:$O$99,15,0)),0,VLOOKUP($T$1068,'TAR FIN'!$A$1:$O$99,15,0))</f>
        <v>97.61</v>
      </c>
      <c r="X1068" s="4">
        <f>IF(ISERROR(VLOOKUP($U$1068,'TAR FIN'!$A$1:$O$99,15,0)),0,VLOOKUP($U$1068,'TAR FIN'!$A$1:$O$99,15,0))</f>
        <v>219.97</v>
      </c>
      <c r="Y1068" s="4"/>
      <c r="Z1068" s="4">
        <f ca="1">('TUSD BE'!$AM$23+'TUSD BF'!$AM$23+'TUSD CVA'!$AM$23)*1</f>
        <v>117.59114529324071</v>
      </c>
      <c r="AA1068" s="4">
        <f>('TE BE'!$AA$8+'TE BF'!$AA$8+'TE CVA'!$AA$8)*1</f>
        <v>271.13910989737087</v>
      </c>
      <c r="AB1068" s="4">
        <f>$K$1068*$V$1068</f>
        <v>0</v>
      </c>
      <c r="AC1068" s="4">
        <f>$M$1068*$W$1068</f>
        <v>159.39713</v>
      </c>
      <c r="AD1068" s="4">
        <f>$O$1068*$X$1068</f>
        <v>359.21100999999999</v>
      </c>
      <c r="AE1068" s="4">
        <f>$K$1068*$Y$1068</f>
        <v>0</v>
      </c>
      <c r="AF1068" s="4">
        <f ca="1">$M$1068*$Z$1068</f>
        <v>192.0263402638621</v>
      </c>
      <c r="AG1068" s="4">
        <f>$O$1068*$AA$1068</f>
        <v>442.77016646240662</v>
      </c>
    </row>
    <row r="1069" spans="1:33" ht="11.25" customHeight="1" x14ac:dyDescent="0.25">
      <c r="A1069" s="3" t="s">
        <v>28</v>
      </c>
      <c r="B1069" s="3" t="s">
        <v>33</v>
      </c>
      <c r="C1069" s="3" t="s">
        <v>34</v>
      </c>
      <c r="D1069" s="3" t="s">
        <v>24</v>
      </c>
      <c r="E1069" s="3" t="s">
        <v>24</v>
      </c>
      <c r="F1069" s="3" t="s">
        <v>25</v>
      </c>
      <c r="G1069" s="3" t="s">
        <v>25</v>
      </c>
      <c r="H1069" s="3" t="s">
        <v>36</v>
      </c>
      <c r="I1069" s="6">
        <v>44562</v>
      </c>
      <c r="J1069" s="4">
        <v>0</v>
      </c>
      <c r="K1069" s="4">
        <v>0</v>
      </c>
      <c r="L1069" s="4">
        <v>0.49399999999999999</v>
      </c>
      <c r="M1069" s="4">
        <v>0.49399999999999999</v>
      </c>
      <c r="N1069" s="4">
        <v>0.49399999999999999</v>
      </c>
      <c r="O1069" s="4">
        <v>0.49399999999999999</v>
      </c>
      <c r="P1069" s="4">
        <v>0</v>
      </c>
      <c r="Q1069" s="3" t="s">
        <v>26</v>
      </c>
      <c r="R1069" s="3">
        <v>0</v>
      </c>
      <c r="S1069" s="4">
        <v>0</v>
      </c>
      <c r="T1069" s="4">
        <v>29</v>
      </c>
      <c r="U1069" s="4">
        <v>73</v>
      </c>
      <c r="V1069" s="4">
        <f>IF(ISERROR(VLOOKUP($S$1069,'TAR FIN'!$A$1:$O$99,15,0)),0,VLOOKUP($S$1069,'TAR FIN'!$A$1:$O$99,15,0))</f>
        <v>0</v>
      </c>
      <c r="W1069" s="4">
        <f>IF(ISERROR(VLOOKUP($T$1069,'TAR FIN'!$A$1:$O$99,15,0)),0,VLOOKUP($T$1069,'TAR FIN'!$A$1:$O$99,15,0))</f>
        <v>97.61</v>
      </c>
      <c r="X1069" s="4">
        <f>IF(ISERROR(VLOOKUP($U$1069,'TAR FIN'!$A$1:$O$99,15,0)),0,VLOOKUP($U$1069,'TAR FIN'!$A$1:$O$99,15,0))</f>
        <v>219.97</v>
      </c>
      <c r="Y1069" s="4"/>
      <c r="Z1069" s="4">
        <f ca="1">('TUSD BE'!$AM$23+'TUSD BF'!$AM$23+'TUSD CVA'!$AM$23)*1</f>
        <v>117.59114529324071</v>
      </c>
      <c r="AA1069" s="4">
        <f>('TE BE'!$AA$8+'TE BF'!$AA$8+'TE CVA'!$AA$8)*1</f>
        <v>271.13910989737087</v>
      </c>
      <c r="AB1069" s="4">
        <f>$K$1069*$V$1069</f>
        <v>0</v>
      </c>
      <c r="AC1069" s="4">
        <f>$M$1069*$W$1069</f>
        <v>48.219340000000003</v>
      </c>
      <c r="AD1069" s="4">
        <f>$O$1069*$X$1069</f>
        <v>108.66517999999999</v>
      </c>
      <c r="AE1069" s="4">
        <f>$K$1069*$Y$1069</f>
        <v>0</v>
      </c>
      <c r="AF1069" s="4">
        <f ca="1">$M$1069*$Z$1069</f>
        <v>58.090025774860912</v>
      </c>
      <c r="AG1069" s="4">
        <f>$O$1069*$AA$1069</f>
        <v>133.94272028930121</v>
      </c>
    </row>
    <row r="1070" spans="1:33" ht="11.25" customHeight="1" x14ac:dyDescent="0.25">
      <c r="A1070" s="3" t="s">
        <v>21</v>
      </c>
      <c r="B1070" s="3" t="s">
        <v>33</v>
      </c>
      <c r="C1070" s="3" t="s">
        <v>34</v>
      </c>
      <c r="D1070" s="3" t="s">
        <v>24</v>
      </c>
      <c r="E1070" s="3" t="s">
        <v>24</v>
      </c>
      <c r="F1070" s="3" t="s">
        <v>25</v>
      </c>
      <c r="G1070" s="3" t="s">
        <v>25</v>
      </c>
      <c r="H1070" s="3" t="s">
        <v>36</v>
      </c>
      <c r="I1070" s="6">
        <v>44593</v>
      </c>
      <c r="J1070" s="4">
        <v>0</v>
      </c>
      <c r="K1070" s="4">
        <v>0</v>
      </c>
      <c r="L1070" s="4">
        <v>2.82</v>
      </c>
      <c r="M1070" s="4">
        <v>2.82</v>
      </c>
      <c r="N1070" s="4">
        <v>2.82</v>
      </c>
      <c r="O1070" s="4">
        <v>2.82</v>
      </c>
      <c r="P1070" s="4">
        <v>0</v>
      </c>
      <c r="Q1070" s="3" t="s">
        <v>26</v>
      </c>
      <c r="R1070" s="3">
        <v>0</v>
      </c>
      <c r="S1070" s="4">
        <v>0</v>
      </c>
      <c r="T1070" s="4">
        <v>29</v>
      </c>
      <c r="U1070" s="4">
        <v>73</v>
      </c>
      <c r="V1070" s="4">
        <f>IF(ISERROR(VLOOKUP($S$1070,'TAR FIN'!$A$1:$O$99,15,0)),0,VLOOKUP($S$1070,'TAR FIN'!$A$1:$O$99,15,0))</f>
        <v>0</v>
      </c>
      <c r="W1070" s="4">
        <f>IF(ISERROR(VLOOKUP($T$1070,'TAR FIN'!$A$1:$O$99,15,0)),0,VLOOKUP($T$1070,'TAR FIN'!$A$1:$O$99,15,0))</f>
        <v>97.61</v>
      </c>
      <c r="X1070" s="4">
        <f>IF(ISERROR(VLOOKUP($U$1070,'TAR FIN'!$A$1:$O$99,15,0)),0,VLOOKUP($U$1070,'TAR FIN'!$A$1:$O$99,15,0))</f>
        <v>219.97</v>
      </c>
      <c r="Y1070" s="4"/>
      <c r="Z1070" s="4">
        <f ca="1">('TUSD BE'!$AM$23+'TUSD BF'!$AM$23+'TUSD CVA'!$AM$23)*1</f>
        <v>117.59114529324071</v>
      </c>
      <c r="AA1070" s="4">
        <f>('TE BE'!$AA$8+'TE BF'!$AA$8+'TE CVA'!$AA$8)*1</f>
        <v>271.13910989737087</v>
      </c>
      <c r="AB1070" s="4">
        <f>$K$1070*$V$1070</f>
        <v>0</v>
      </c>
      <c r="AC1070" s="4">
        <f>$M$1070*$W$1070</f>
        <v>275.2602</v>
      </c>
      <c r="AD1070" s="4">
        <f>$O$1070*$X$1070</f>
        <v>620.31539999999995</v>
      </c>
      <c r="AE1070" s="4">
        <f>$K$1070*$Y$1070</f>
        <v>0</v>
      </c>
      <c r="AF1070" s="4">
        <f ca="1">$M$1070*$Z$1070</f>
        <v>331.60702972693878</v>
      </c>
      <c r="AG1070" s="4">
        <f>$O$1070*$AA$1070</f>
        <v>764.61228991058579</v>
      </c>
    </row>
    <row r="1071" spans="1:33" ht="11.25" customHeight="1" x14ac:dyDescent="0.25">
      <c r="A1071" s="3" t="s">
        <v>28</v>
      </c>
      <c r="B1071" s="3" t="s">
        <v>33</v>
      </c>
      <c r="C1071" s="3" t="s">
        <v>34</v>
      </c>
      <c r="D1071" s="3" t="s">
        <v>24</v>
      </c>
      <c r="E1071" s="3" t="s">
        <v>24</v>
      </c>
      <c r="F1071" s="3" t="s">
        <v>25</v>
      </c>
      <c r="G1071" s="3" t="s">
        <v>25</v>
      </c>
      <c r="H1071" s="3" t="s">
        <v>36</v>
      </c>
      <c r="I1071" s="6">
        <v>44593</v>
      </c>
      <c r="J1071" s="4">
        <v>0</v>
      </c>
      <c r="K1071" s="4">
        <v>0</v>
      </c>
      <c r="L1071" s="4">
        <v>0.14199999999999999</v>
      </c>
      <c r="M1071" s="4">
        <v>0.14199999999999999</v>
      </c>
      <c r="N1071" s="4">
        <v>0.14199999999999999</v>
      </c>
      <c r="O1071" s="4">
        <v>0.14199999999999999</v>
      </c>
      <c r="P1071" s="4">
        <v>0</v>
      </c>
      <c r="Q1071" s="3" t="s">
        <v>26</v>
      </c>
      <c r="R1071" s="3">
        <v>0</v>
      </c>
      <c r="S1071" s="4">
        <v>0</v>
      </c>
      <c r="T1071" s="4">
        <v>29</v>
      </c>
      <c r="U1071" s="4">
        <v>73</v>
      </c>
      <c r="V1071" s="4">
        <f>IF(ISERROR(VLOOKUP($S$1071,'TAR FIN'!$A$1:$O$99,15,0)),0,VLOOKUP($S$1071,'TAR FIN'!$A$1:$O$99,15,0))</f>
        <v>0</v>
      </c>
      <c r="W1071" s="4">
        <f>IF(ISERROR(VLOOKUP($T$1071,'TAR FIN'!$A$1:$O$99,15,0)),0,VLOOKUP($T$1071,'TAR FIN'!$A$1:$O$99,15,0))</f>
        <v>97.61</v>
      </c>
      <c r="X1071" s="4">
        <f>IF(ISERROR(VLOOKUP($U$1071,'TAR FIN'!$A$1:$O$99,15,0)),0,VLOOKUP($U$1071,'TAR FIN'!$A$1:$O$99,15,0))</f>
        <v>219.97</v>
      </c>
      <c r="Y1071" s="4"/>
      <c r="Z1071" s="4">
        <f ca="1">('TUSD BE'!$AM$23+'TUSD BF'!$AM$23+'TUSD CVA'!$AM$23)*1</f>
        <v>117.59114529324071</v>
      </c>
      <c r="AA1071" s="4">
        <f>('TE BE'!$AA$8+'TE BF'!$AA$8+'TE CVA'!$AA$8)*1</f>
        <v>271.13910989737087</v>
      </c>
      <c r="AB1071" s="4">
        <f>$K$1071*$V$1071</f>
        <v>0</v>
      </c>
      <c r="AC1071" s="4">
        <f>$M$1071*$W$1071</f>
        <v>13.860619999999999</v>
      </c>
      <c r="AD1071" s="4">
        <f>$O$1071*$X$1071</f>
        <v>31.235739999999996</v>
      </c>
      <c r="AE1071" s="4">
        <f>$K$1071*$Y$1071</f>
        <v>0</v>
      </c>
      <c r="AF1071" s="4">
        <f ca="1">$M$1071*$Z$1071</f>
        <v>16.697942631640181</v>
      </c>
      <c r="AG1071" s="4">
        <f>$O$1071*$AA$1071</f>
        <v>38.501753605426657</v>
      </c>
    </row>
    <row r="1072" spans="1:33" ht="11.25" customHeight="1" x14ac:dyDescent="0.25">
      <c r="A1072" s="3" t="s">
        <v>21</v>
      </c>
      <c r="B1072" s="3" t="s">
        <v>33</v>
      </c>
      <c r="C1072" s="3" t="s">
        <v>34</v>
      </c>
      <c r="D1072" s="3" t="s">
        <v>24</v>
      </c>
      <c r="E1072" s="3" t="s">
        <v>24</v>
      </c>
      <c r="F1072" s="3" t="s">
        <v>25</v>
      </c>
      <c r="G1072" s="3" t="s">
        <v>25</v>
      </c>
      <c r="H1072" s="3" t="s">
        <v>36</v>
      </c>
      <c r="I1072" s="6">
        <v>44621</v>
      </c>
      <c r="J1072" s="4">
        <v>0</v>
      </c>
      <c r="K1072" s="4">
        <v>0</v>
      </c>
      <c r="L1072" s="4">
        <v>4.2889999999999997</v>
      </c>
      <c r="M1072" s="4">
        <v>4.2889999999999997</v>
      </c>
      <c r="N1072" s="4">
        <v>4.2889999999999997</v>
      </c>
      <c r="O1072" s="4">
        <v>4.2889999999999997</v>
      </c>
      <c r="P1072" s="4">
        <v>0</v>
      </c>
      <c r="Q1072" s="3" t="s">
        <v>26</v>
      </c>
      <c r="R1072" s="3">
        <v>0</v>
      </c>
      <c r="S1072" s="4">
        <v>0</v>
      </c>
      <c r="T1072" s="4">
        <v>29</v>
      </c>
      <c r="U1072" s="4">
        <v>73</v>
      </c>
      <c r="V1072" s="4">
        <f>IF(ISERROR(VLOOKUP($S$1072,'TAR FIN'!$A$1:$O$99,15,0)),0,VLOOKUP($S$1072,'TAR FIN'!$A$1:$O$99,15,0))</f>
        <v>0</v>
      </c>
      <c r="W1072" s="4">
        <f>IF(ISERROR(VLOOKUP($T$1072,'TAR FIN'!$A$1:$O$99,15,0)),0,VLOOKUP($T$1072,'TAR FIN'!$A$1:$O$99,15,0))</f>
        <v>97.61</v>
      </c>
      <c r="X1072" s="4">
        <f>IF(ISERROR(VLOOKUP($U$1072,'TAR FIN'!$A$1:$O$99,15,0)),0,VLOOKUP($U$1072,'TAR FIN'!$A$1:$O$99,15,0))</f>
        <v>219.97</v>
      </c>
      <c r="Y1072" s="4"/>
      <c r="Z1072" s="4">
        <f ca="1">('TUSD BE'!$AM$23+'TUSD BF'!$AM$23+'TUSD CVA'!$AM$23)*1</f>
        <v>117.59114529324071</v>
      </c>
      <c r="AA1072" s="4">
        <f>('TE BE'!$AA$8+'TE BF'!$AA$8+'TE CVA'!$AA$8)*1</f>
        <v>271.13910989737087</v>
      </c>
      <c r="AB1072" s="4">
        <f>$K$1072*$V$1072</f>
        <v>0</v>
      </c>
      <c r="AC1072" s="4">
        <f>$M$1072*$W$1072</f>
        <v>418.64928999999995</v>
      </c>
      <c r="AD1072" s="4">
        <f>$O$1072*$X$1072</f>
        <v>943.45132999999998</v>
      </c>
      <c r="AE1072" s="4">
        <f>$K$1072*$Y$1072</f>
        <v>0</v>
      </c>
      <c r="AF1072" s="4">
        <f ca="1">$M$1072*$Z$1072</f>
        <v>504.34842216270937</v>
      </c>
      <c r="AG1072" s="4">
        <f>$O$1072*$AA$1072</f>
        <v>1162.9156423498237</v>
      </c>
    </row>
    <row r="1073" spans="1:33" ht="11.25" customHeight="1" x14ac:dyDescent="0.25">
      <c r="A1073" s="3" t="s">
        <v>28</v>
      </c>
      <c r="B1073" s="3" t="s">
        <v>33</v>
      </c>
      <c r="C1073" s="3" t="s">
        <v>34</v>
      </c>
      <c r="D1073" s="3" t="s">
        <v>24</v>
      </c>
      <c r="E1073" s="3" t="s">
        <v>24</v>
      </c>
      <c r="F1073" s="3" t="s">
        <v>25</v>
      </c>
      <c r="G1073" s="3" t="s">
        <v>25</v>
      </c>
      <c r="H1073" s="3" t="s">
        <v>36</v>
      </c>
      <c r="I1073" s="6">
        <v>44621</v>
      </c>
      <c r="J1073" s="4">
        <v>0</v>
      </c>
      <c r="K1073" s="4">
        <v>0</v>
      </c>
      <c r="L1073" s="4">
        <v>0.155</v>
      </c>
      <c r="M1073" s="4">
        <v>0.155</v>
      </c>
      <c r="N1073" s="4">
        <v>0.155</v>
      </c>
      <c r="O1073" s="4">
        <v>0.155</v>
      </c>
      <c r="P1073" s="4">
        <v>0</v>
      </c>
      <c r="Q1073" s="3" t="s">
        <v>26</v>
      </c>
      <c r="R1073" s="3">
        <v>0</v>
      </c>
      <c r="S1073" s="4">
        <v>0</v>
      </c>
      <c r="T1073" s="4">
        <v>29</v>
      </c>
      <c r="U1073" s="4">
        <v>73</v>
      </c>
      <c r="V1073" s="4">
        <f>IF(ISERROR(VLOOKUP($S$1073,'TAR FIN'!$A$1:$O$99,15,0)),0,VLOOKUP($S$1073,'TAR FIN'!$A$1:$O$99,15,0))</f>
        <v>0</v>
      </c>
      <c r="W1073" s="4">
        <f>IF(ISERROR(VLOOKUP($T$1073,'TAR FIN'!$A$1:$O$99,15,0)),0,VLOOKUP($T$1073,'TAR FIN'!$A$1:$O$99,15,0))</f>
        <v>97.61</v>
      </c>
      <c r="X1073" s="4">
        <f>IF(ISERROR(VLOOKUP($U$1073,'TAR FIN'!$A$1:$O$99,15,0)),0,VLOOKUP($U$1073,'TAR FIN'!$A$1:$O$99,15,0))</f>
        <v>219.97</v>
      </c>
      <c r="Y1073" s="4"/>
      <c r="Z1073" s="4">
        <f ca="1">('TUSD BE'!$AM$23+'TUSD BF'!$AM$23+'TUSD CVA'!$AM$23)*1</f>
        <v>117.59114529324071</v>
      </c>
      <c r="AA1073" s="4">
        <f>('TE BE'!$AA$8+'TE BF'!$AA$8+'TE CVA'!$AA$8)*1</f>
        <v>271.13910989737087</v>
      </c>
      <c r="AB1073" s="4">
        <f>$K$1073*$V$1073</f>
        <v>0</v>
      </c>
      <c r="AC1073" s="4">
        <f>$M$1073*$W$1073</f>
        <v>15.12955</v>
      </c>
      <c r="AD1073" s="4">
        <f>$O$1073*$X$1073</f>
        <v>34.095349999999996</v>
      </c>
      <c r="AE1073" s="4">
        <f>$K$1073*$Y$1073</f>
        <v>0</v>
      </c>
      <c r="AF1073" s="4">
        <f ca="1">$M$1073*$Z$1073</f>
        <v>18.226627520452311</v>
      </c>
      <c r="AG1073" s="4">
        <f>$O$1073*$AA$1073</f>
        <v>42.026562034092485</v>
      </c>
    </row>
    <row r="1074" spans="1:33" ht="11.25" customHeight="1" x14ac:dyDescent="0.25">
      <c r="A1074" s="3" t="s">
        <v>56</v>
      </c>
      <c r="B1074" s="3" t="s">
        <v>33</v>
      </c>
      <c r="C1074" s="3" t="s">
        <v>34</v>
      </c>
      <c r="D1074" s="3" t="s">
        <v>24</v>
      </c>
      <c r="E1074" s="3" t="s">
        <v>24</v>
      </c>
      <c r="F1074" s="3" t="s">
        <v>25</v>
      </c>
      <c r="G1074" s="3" t="s">
        <v>25</v>
      </c>
      <c r="H1074" s="3" t="s">
        <v>36</v>
      </c>
      <c r="I1074" s="6">
        <v>44652</v>
      </c>
      <c r="J1074" s="4">
        <v>0</v>
      </c>
      <c r="K1074" s="4">
        <v>0</v>
      </c>
      <c r="L1074" s="4">
        <v>4.2889999999999997</v>
      </c>
      <c r="M1074" s="4">
        <v>4.2889999999999997</v>
      </c>
      <c r="N1074" s="4">
        <v>4.2889999999999997</v>
      </c>
      <c r="O1074" s="4">
        <v>4.2889999999999997</v>
      </c>
      <c r="P1074" s="4">
        <v>0</v>
      </c>
      <c r="Q1074" s="3" t="s">
        <v>26</v>
      </c>
      <c r="R1074" s="3">
        <v>0</v>
      </c>
      <c r="S1074" s="4">
        <v>0</v>
      </c>
      <c r="T1074" s="4">
        <v>29</v>
      </c>
      <c r="U1074" s="4">
        <v>73</v>
      </c>
      <c r="V1074" s="4">
        <f>IF(ISERROR(VLOOKUP($S$1074,'TAR FIN'!$A$1:$O$99,15,0)),0,VLOOKUP($S$1074,'TAR FIN'!$A$1:$O$99,15,0))</f>
        <v>0</v>
      </c>
      <c r="W1074" s="4">
        <f>IF(ISERROR(VLOOKUP($T$1074,'TAR FIN'!$A$1:$O$99,15,0)),0,VLOOKUP($T$1074,'TAR FIN'!$A$1:$O$99,15,0))</f>
        <v>97.61</v>
      </c>
      <c r="X1074" s="4">
        <f>IF(ISERROR(VLOOKUP($U$1074,'TAR FIN'!$A$1:$O$99,15,0)),0,VLOOKUP($U$1074,'TAR FIN'!$A$1:$O$99,15,0))</f>
        <v>219.97</v>
      </c>
      <c r="Y1074" s="4"/>
      <c r="Z1074" s="4">
        <f ca="1">('TUSD BE'!$AM$23+'TUSD BF'!$AM$23+'TUSD CVA'!$AM$23)*1</f>
        <v>117.59114529324071</v>
      </c>
      <c r="AA1074" s="4">
        <f>('TE BE'!$AA$8+'TE BF'!$AA$8+'TE CVA'!$AA$8)*1</f>
        <v>271.13910989737087</v>
      </c>
      <c r="AB1074" s="4">
        <f>$K$1074*$V$1074</f>
        <v>0</v>
      </c>
      <c r="AC1074" s="4">
        <f>$M$1074*$W$1074</f>
        <v>418.64928999999995</v>
      </c>
      <c r="AD1074" s="4">
        <f>$O$1074*$X$1074</f>
        <v>943.45132999999998</v>
      </c>
      <c r="AE1074" s="4">
        <f>$K$1074*$Y$1074</f>
        <v>0</v>
      </c>
      <c r="AF1074" s="4">
        <f ca="1">$M$1074*$Z$1074</f>
        <v>504.34842216270937</v>
      </c>
      <c r="AG1074" s="4">
        <f>$O$1074*$AA$1074</f>
        <v>1162.9156423498237</v>
      </c>
    </row>
    <row r="1075" spans="1:33" ht="11.25" customHeight="1" x14ac:dyDescent="0.25">
      <c r="A1075" s="3" t="s">
        <v>56</v>
      </c>
      <c r="B1075" s="3" t="s">
        <v>33</v>
      </c>
      <c r="C1075" s="3" t="s">
        <v>34</v>
      </c>
      <c r="D1075" s="3" t="s">
        <v>24</v>
      </c>
      <c r="E1075" s="3" t="s">
        <v>24</v>
      </c>
      <c r="F1075" s="3" t="s">
        <v>25</v>
      </c>
      <c r="G1075" s="3" t="s">
        <v>25</v>
      </c>
      <c r="H1075" s="3" t="s">
        <v>36</v>
      </c>
      <c r="I1075" s="6">
        <v>44652</v>
      </c>
      <c r="J1075" s="4">
        <v>0</v>
      </c>
      <c r="K1075" s="4">
        <v>0</v>
      </c>
      <c r="L1075" s="4">
        <v>0.155</v>
      </c>
      <c r="M1075" s="4">
        <v>0.155</v>
      </c>
      <c r="N1075" s="4">
        <v>0.155</v>
      </c>
      <c r="O1075" s="4">
        <v>0.155</v>
      </c>
      <c r="P1075" s="4">
        <v>0</v>
      </c>
      <c r="Q1075" s="3" t="s">
        <v>26</v>
      </c>
      <c r="R1075" s="3">
        <v>0</v>
      </c>
      <c r="S1075" s="4">
        <v>0</v>
      </c>
      <c r="T1075" s="4">
        <v>29</v>
      </c>
      <c r="U1075" s="4">
        <v>73</v>
      </c>
      <c r="V1075" s="4">
        <f>IF(ISERROR(VLOOKUP($S$1075,'TAR FIN'!$A$1:$O$99,15,0)),0,VLOOKUP($S$1075,'TAR FIN'!$A$1:$O$99,15,0))</f>
        <v>0</v>
      </c>
      <c r="W1075" s="4">
        <f>IF(ISERROR(VLOOKUP($T$1075,'TAR FIN'!$A$1:$O$99,15,0)),0,VLOOKUP($T$1075,'TAR FIN'!$A$1:$O$99,15,0))</f>
        <v>97.61</v>
      </c>
      <c r="X1075" s="4">
        <f>IF(ISERROR(VLOOKUP($U$1075,'TAR FIN'!$A$1:$O$99,15,0)),0,VLOOKUP($U$1075,'TAR FIN'!$A$1:$O$99,15,0))</f>
        <v>219.97</v>
      </c>
      <c r="Y1075" s="4"/>
      <c r="Z1075" s="4">
        <f ca="1">('TUSD BE'!$AM$23+'TUSD BF'!$AM$23+'TUSD CVA'!$AM$23)*1</f>
        <v>117.59114529324071</v>
      </c>
      <c r="AA1075" s="4">
        <f>('TE BE'!$AA$8+'TE BF'!$AA$8+'TE CVA'!$AA$8)*1</f>
        <v>271.13910989737087</v>
      </c>
      <c r="AB1075" s="4">
        <f>$K$1075*$V$1075</f>
        <v>0</v>
      </c>
      <c r="AC1075" s="4">
        <f>$M$1075*$W$1075</f>
        <v>15.12955</v>
      </c>
      <c r="AD1075" s="4">
        <f>$O$1075*$X$1075</f>
        <v>34.095349999999996</v>
      </c>
      <c r="AE1075" s="4">
        <f>$K$1075*$Y$1075</f>
        <v>0</v>
      </c>
      <c r="AF1075" s="4">
        <f ca="1">$M$1075*$Z$1075</f>
        <v>18.226627520452311</v>
      </c>
      <c r="AG1075" s="4">
        <f>$O$1075*$AA$1075</f>
        <v>42.026562034092485</v>
      </c>
    </row>
    <row r="1076" spans="1:33" ht="11.25" customHeight="1" x14ac:dyDescent="0.25">
      <c r="A1076" s="3" t="s">
        <v>21</v>
      </c>
      <c r="B1076" s="3" t="s">
        <v>33</v>
      </c>
      <c r="C1076" s="3" t="s">
        <v>34</v>
      </c>
      <c r="D1076" s="3" t="s">
        <v>24</v>
      </c>
      <c r="E1076" s="3" t="s">
        <v>24</v>
      </c>
      <c r="F1076" s="3" t="s">
        <v>25</v>
      </c>
      <c r="G1076" s="3" t="s">
        <v>25</v>
      </c>
      <c r="H1076" s="3" t="s">
        <v>25</v>
      </c>
      <c r="I1076" s="6">
        <v>44317</v>
      </c>
      <c r="J1076" s="4">
        <v>30</v>
      </c>
      <c r="K1076" s="4">
        <v>30</v>
      </c>
      <c r="L1076" s="4">
        <v>0</v>
      </c>
      <c r="M1076" s="4">
        <v>0</v>
      </c>
      <c r="N1076" s="4">
        <v>0</v>
      </c>
      <c r="O1076" s="4">
        <v>0</v>
      </c>
      <c r="P1076" s="4">
        <v>1</v>
      </c>
      <c r="Q1076" s="3" t="s">
        <v>26</v>
      </c>
      <c r="R1076" s="3">
        <v>0</v>
      </c>
      <c r="S1076" s="4">
        <v>7</v>
      </c>
      <c r="T1076" s="4">
        <v>0</v>
      </c>
      <c r="U1076" s="4">
        <v>0</v>
      </c>
      <c r="V1076" s="4">
        <f>IF(ISERROR(VLOOKUP($S$1076,'TAR FIN'!$A$1:$O$99,15,0)),0,VLOOKUP($S$1076,'TAR FIN'!$A$1:$O$99,15,0))</f>
        <v>21.85</v>
      </c>
      <c r="W1076" s="4">
        <f>IF(ISERROR(VLOOKUP($T$1076,'TAR FIN'!$A$1:$O$99,15,0)),0,VLOOKUP($T$1076,'TAR FIN'!$A$1:$O$99,15,0))</f>
        <v>0</v>
      </c>
      <c r="X1076" s="4">
        <f>IF(ISERROR(VLOOKUP($U$1076,'TAR FIN'!$A$1:$O$99,15,0)),0,VLOOKUP($U$1076,'TAR FIN'!$A$1:$O$99,15,0))</f>
        <v>0</v>
      </c>
      <c r="Y1076" s="4">
        <f ca="1">('TUSD BE'!$AM$21+'TUSD BF'!$AM$21+'TUSD CVA'!$AM$21)*1</f>
        <v>24.669398821277586</v>
      </c>
      <c r="Z1076" s="4"/>
      <c r="AA1076" s="4"/>
      <c r="AB1076" s="4">
        <f>$K$1076*$V$1076</f>
        <v>655.5</v>
      </c>
      <c r="AC1076" s="4">
        <f>$M$1076*$W$1076</f>
        <v>0</v>
      </c>
      <c r="AD1076" s="4">
        <f>$O$1076*$X$1076</f>
        <v>0</v>
      </c>
      <c r="AE1076" s="4">
        <f ca="1">$K$1076*$Y$1076</f>
        <v>740.08196463832758</v>
      </c>
      <c r="AF1076" s="4">
        <f>$M$1076*$Z$1076</f>
        <v>0</v>
      </c>
      <c r="AG1076" s="4">
        <f>$O$1076*$AA$1076</f>
        <v>0</v>
      </c>
    </row>
    <row r="1077" spans="1:33" ht="11.25" customHeight="1" x14ac:dyDescent="0.25">
      <c r="A1077" s="3" t="s">
        <v>21</v>
      </c>
      <c r="B1077" s="3" t="s">
        <v>33</v>
      </c>
      <c r="C1077" s="3" t="s">
        <v>34</v>
      </c>
      <c r="D1077" s="3" t="s">
        <v>24</v>
      </c>
      <c r="E1077" s="3" t="s">
        <v>24</v>
      </c>
      <c r="F1077" s="3" t="s">
        <v>25</v>
      </c>
      <c r="G1077" s="3" t="s">
        <v>25</v>
      </c>
      <c r="H1077" s="3" t="s">
        <v>25</v>
      </c>
      <c r="I1077" s="6">
        <v>44348</v>
      </c>
      <c r="J1077" s="4">
        <v>30</v>
      </c>
      <c r="K1077" s="4">
        <v>30</v>
      </c>
      <c r="L1077" s="4">
        <v>0</v>
      </c>
      <c r="M1077" s="4">
        <v>0</v>
      </c>
      <c r="N1077" s="4">
        <v>0</v>
      </c>
      <c r="O1077" s="4">
        <v>0</v>
      </c>
      <c r="P1077" s="4">
        <v>1</v>
      </c>
      <c r="Q1077" s="3" t="s">
        <v>26</v>
      </c>
      <c r="R1077" s="3">
        <v>0</v>
      </c>
      <c r="S1077" s="4">
        <v>7</v>
      </c>
      <c r="T1077" s="4">
        <v>0</v>
      </c>
      <c r="U1077" s="4">
        <v>0</v>
      </c>
      <c r="V1077" s="4">
        <f>IF(ISERROR(VLOOKUP($S$1077,'TAR FIN'!$A$1:$O$99,15,0)),0,VLOOKUP($S$1077,'TAR FIN'!$A$1:$O$99,15,0))</f>
        <v>21.85</v>
      </c>
      <c r="W1077" s="4">
        <f>IF(ISERROR(VLOOKUP($T$1077,'TAR FIN'!$A$1:$O$99,15,0)),0,VLOOKUP($T$1077,'TAR FIN'!$A$1:$O$99,15,0))</f>
        <v>0</v>
      </c>
      <c r="X1077" s="4">
        <f>IF(ISERROR(VLOOKUP($U$1077,'TAR FIN'!$A$1:$O$99,15,0)),0,VLOOKUP($U$1077,'TAR FIN'!$A$1:$O$99,15,0))</f>
        <v>0</v>
      </c>
      <c r="Y1077" s="4">
        <f ca="1">('TUSD BE'!$AM$21+'TUSD BF'!$AM$21+'TUSD CVA'!$AM$21)*1</f>
        <v>24.669398821277586</v>
      </c>
      <c r="Z1077" s="4"/>
      <c r="AA1077" s="4"/>
      <c r="AB1077" s="4">
        <f>$K$1077*$V$1077</f>
        <v>655.5</v>
      </c>
      <c r="AC1077" s="4">
        <f>$M$1077*$W$1077</f>
        <v>0</v>
      </c>
      <c r="AD1077" s="4">
        <f>$O$1077*$X$1077</f>
        <v>0</v>
      </c>
      <c r="AE1077" s="4">
        <f ca="1">$K$1077*$Y$1077</f>
        <v>740.08196463832758</v>
      </c>
      <c r="AF1077" s="4">
        <f>$M$1077*$Z$1077</f>
        <v>0</v>
      </c>
      <c r="AG1077" s="4">
        <f>$O$1077*$AA$1077</f>
        <v>0</v>
      </c>
    </row>
    <row r="1078" spans="1:33" ht="11.25" customHeight="1" x14ac:dyDescent="0.25">
      <c r="A1078" s="3" t="s">
        <v>21</v>
      </c>
      <c r="B1078" s="3" t="s">
        <v>33</v>
      </c>
      <c r="C1078" s="3" t="s">
        <v>34</v>
      </c>
      <c r="D1078" s="3" t="s">
        <v>24</v>
      </c>
      <c r="E1078" s="3" t="s">
        <v>24</v>
      </c>
      <c r="F1078" s="3" t="s">
        <v>25</v>
      </c>
      <c r="G1078" s="3" t="s">
        <v>25</v>
      </c>
      <c r="H1078" s="3" t="s">
        <v>25</v>
      </c>
      <c r="I1078" s="6">
        <v>44378</v>
      </c>
      <c r="J1078" s="4">
        <v>30</v>
      </c>
      <c r="K1078" s="4">
        <v>30</v>
      </c>
      <c r="L1078" s="4">
        <v>0</v>
      </c>
      <c r="M1078" s="4">
        <v>0</v>
      </c>
      <c r="N1078" s="4">
        <v>0</v>
      </c>
      <c r="O1078" s="4">
        <v>0</v>
      </c>
      <c r="P1078" s="4">
        <v>1</v>
      </c>
      <c r="Q1078" s="3" t="s">
        <v>26</v>
      </c>
      <c r="R1078" s="3">
        <v>0</v>
      </c>
      <c r="S1078" s="4">
        <v>7</v>
      </c>
      <c r="T1078" s="4">
        <v>0</v>
      </c>
      <c r="U1078" s="4">
        <v>0</v>
      </c>
      <c r="V1078" s="4">
        <f>IF(ISERROR(VLOOKUP($S$1078,'TAR FIN'!$A$1:$O$99,15,0)),0,VLOOKUP($S$1078,'TAR FIN'!$A$1:$O$99,15,0))</f>
        <v>21.85</v>
      </c>
      <c r="W1078" s="4">
        <f>IF(ISERROR(VLOOKUP($T$1078,'TAR FIN'!$A$1:$O$99,15,0)),0,VLOOKUP($T$1078,'TAR FIN'!$A$1:$O$99,15,0))</f>
        <v>0</v>
      </c>
      <c r="X1078" s="4">
        <f>IF(ISERROR(VLOOKUP($U$1078,'TAR FIN'!$A$1:$O$99,15,0)),0,VLOOKUP($U$1078,'TAR FIN'!$A$1:$O$99,15,0))</f>
        <v>0</v>
      </c>
      <c r="Y1078" s="4">
        <f ca="1">('TUSD BE'!$AM$21+'TUSD BF'!$AM$21+'TUSD CVA'!$AM$21)*1</f>
        <v>24.669398821277586</v>
      </c>
      <c r="Z1078" s="4"/>
      <c r="AA1078" s="4"/>
      <c r="AB1078" s="4">
        <f>$K$1078*$V$1078</f>
        <v>655.5</v>
      </c>
      <c r="AC1078" s="4">
        <f>$M$1078*$W$1078</f>
        <v>0</v>
      </c>
      <c r="AD1078" s="4">
        <f>$O$1078*$X$1078</f>
        <v>0</v>
      </c>
      <c r="AE1078" s="4">
        <f ca="1">$K$1078*$Y$1078</f>
        <v>740.08196463832758</v>
      </c>
      <c r="AF1078" s="4">
        <f>$M$1078*$Z$1078</f>
        <v>0</v>
      </c>
      <c r="AG1078" s="4">
        <f>$O$1078*$AA$1078</f>
        <v>0</v>
      </c>
    </row>
    <row r="1079" spans="1:33" ht="11.25" customHeight="1" x14ac:dyDescent="0.25">
      <c r="A1079" s="3" t="s">
        <v>21</v>
      </c>
      <c r="B1079" s="3" t="s">
        <v>33</v>
      </c>
      <c r="C1079" s="3" t="s">
        <v>34</v>
      </c>
      <c r="D1079" s="3" t="s">
        <v>24</v>
      </c>
      <c r="E1079" s="3" t="s">
        <v>24</v>
      </c>
      <c r="F1079" s="3" t="s">
        <v>25</v>
      </c>
      <c r="G1079" s="3" t="s">
        <v>25</v>
      </c>
      <c r="H1079" s="3" t="s">
        <v>25</v>
      </c>
      <c r="I1079" s="6">
        <v>44409</v>
      </c>
      <c r="J1079" s="4">
        <v>30</v>
      </c>
      <c r="K1079" s="4">
        <v>30</v>
      </c>
      <c r="L1079" s="4">
        <v>0</v>
      </c>
      <c r="M1079" s="4">
        <v>0</v>
      </c>
      <c r="N1079" s="4">
        <v>0</v>
      </c>
      <c r="O1079" s="4">
        <v>0</v>
      </c>
      <c r="P1079" s="4">
        <v>1</v>
      </c>
      <c r="Q1079" s="3" t="s">
        <v>26</v>
      </c>
      <c r="R1079" s="3">
        <v>0</v>
      </c>
      <c r="S1079" s="4">
        <v>7</v>
      </c>
      <c r="T1079" s="4">
        <v>0</v>
      </c>
      <c r="U1079" s="4">
        <v>0</v>
      </c>
      <c r="V1079" s="4">
        <f>IF(ISERROR(VLOOKUP($S$1079,'TAR FIN'!$A$1:$O$99,15,0)),0,VLOOKUP($S$1079,'TAR FIN'!$A$1:$O$99,15,0))</f>
        <v>21.85</v>
      </c>
      <c r="W1079" s="4">
        <f>IF(ISERROR(VLOOKUP($T$1079,'TAR FIN'!$A$1:$O$99,15,0)),0,VLOOKUP($T$1079,'TAR FIN'!$A$1:$O$99,15,0))</f>
        <v>0</v>
      </c>
      <c r="X1079" s="4">
        <f>IF(ISERROR(VLOOKUP($U$1079,'TAR FIN'!$A$1:$O$99,15,0)),0,VLOOKUP($U$1079,'TAR FIN'!$A$1:$O$99,15,0))</f>
        <v>0</v>
      </c>
      <c r="Y1079" s="4">
        <f ca="1">('TUSD BE'!$AM$21+'TUSD BF'!$AM$21+'TUSD CVA'!$AM$21)*1</f>
        <v>24.669398821277586</v>
      </c>
      <c r="Z1079" s="4"/>
      <c r="AA1079" s="4"/>
      <c r="AB1079" s="4">
        <f>$K$1079*$V$1079</f>
        <v>655.5</v>
      </c>
      <c r="AC1079" s="4">
        <f>$M$1079*$W$1079</f>
        <v>0</v>
      </c>
      <c r="AD1079" s="4">
        <f>$O$1079*$X$1079</f>
        <v>0</v>
      </c>
      <c r="AE1079" s="4">
        <f ca="1">$K$1079*$Y$1079</f>
        <v>740.08196463832758</v>
      </c>
      <c r="AF1079" s="4">
        <f>$M$1079*$Z$1079</f>
        <v>0</v>
      </c>
      <c r="AG1079" s="4">
        <f>$O$1079*$AA$1079</f>
        <v>0</v>
      </c>
    </row>
    <row r="1080" spans="1:33" ht="11.25" customHeight="1" x14ac:dyDescent="0.25">
      <c r="A1080" s="3" t="s">
        <v>21</v>
      </c>
      <c r="B1080" s="3" t="s">
        <v>33</v>
      </c>
      <c r="C1080" s="3" t="s">
        <v>34</v>
      </c>
      <c r="D1080" s="3" t="s">
        <v>24</v>
      </c>
      <c r="E1080" s="3" t="s">
        <v>24</v>
      </c>
      <c r="F1080" s="3" t="s">
        <v>25</v>
      </c>
      <c r="G1080" s="3" t="s">
        <v>25</v>
      </c>
      <c r="H1080" s="3" t="s">
        <v>25</v>
      </c>
      <c r="I1080" s="6">
        <v>44440</v>
      </c>
      <c r="J1080" s="4">
        <v>30</v>
      </c>
      <c r="K1080" s="4">
        <v>30</v>
      </c>
      <c r="L1080" s="4">
        <v>0</v>
      </c>
      <c r="M1080" s="4">
        <v>0</v>
      </c>
      <c r="N1080" s="4">
        <v>0</v>
      </c>
      <c r="O1080" s="4">
        <v>0</v>
      </c>
      <c r="P1080" s="4">
        <v>1</v>
      </c>
      <c r="Q1080" s="3" t="s">
        <v>26</v>
      </c>
      <c r="R1080" s="3">
        <v>0</v>
      </c>
      <c r="S1080" s="4">
        <v>7</v>
      </c>
      <c r="T1080" s="4">
        <v>0</v>
      </c>
      <c r="U1080" s="4">
        <v>0</v>
      </c>
      <c r="V1080" s="4">
        <f>IF(ISERROR(VLOOKUP($S$1080,'TAR FIN'!$A$1:$O$99,15,0)),0,VLOOKUP($S$1080,'TAR FIN'!$A$1:$O$99,15,0))</f>
        <v>21.85</v>
      </c>
      <c r="W1080" s="4">
        <f>IF(ISERROR(VLOOKUP($T$1080,'TAR FIN'!$A$1:$O$99,15,0)),0,VLOOKUP($T$1080,'TAR FIN'!$A$1:$O$99,15,0))</f>
        <v>0</v>
      </c>
      <c r="X1080" s="4">
        <f>IF(ISERROR(VLOOKUP($U$1080,'TAR FIN'!$A$1:$O$99,15,0)),0,VLOOKUP($U$1080,'TAR FIN'!$A$1:$O$99,15,0))</f>
        <v>0</v>
      </c>
      <c r="Y1080" s="4">
        <f ca="1">('TUSD BE'!$AM$21+'TUSD BF'!$AM$21+'TUSD CVA'!$AM$21)*1</f>
        <v>24.669398821277586</v>
      </c>
      <c r="Z1080" s="4"/>
      <c r="AA1080" s="4"/>
      <c r="AB1080" s="4">
        <f>$K$1080*$V$1080</f>
        <v>655.5</v>
      </c>
      <c r="AC1080" s="4">
        <f>$M$1080*$W$1080</f>
        <v>0</v>
      </c>
      <c r="AD1080" s="4">
        <f>$O$1080*$X$1080</f>
        <v>0</v>
      </c>
      <c r="AE1080" s="4">
        <f ca="1">$K$1080*$Y$1080</f>
        <v>740.08196463832758</v>
      </c>
      <c r="AF1080" s="4">
        <f>$M$1080*$Z$1080</f>
        <v>0</v>
      </c>
      <c r="AG1080" s="4">
        <f>$O$1080*$AA$1080</f>
        <v>0</v>
      </c>
    </row>
    <row r="1081" spans="1:33" ht="11.25" customHeight="1" x14ac:dyDescent="0.25">
      <c r="A1081" s="3" t="s">
        <v>21</v>
      </c>
      <c r="B1081" s="3" t="s">
        <v>33</v>
      </c>
      <c r="C1081" s="3" t="s">
        <v>34</v>
      </c>
      <c r="D1081" s="3" t="s">
        <v>24</v>
      </c>
      <c r="E1081" s="3" t="s">
        <v>24</v>
      </c>
      <c r="F1081" s="3" t="s">
        <v>25</v>
      </c>
      <c r="G1081" s="3" t="s">
        <v>25</v>
      </c>
      <c r="H1081" s="3" t="s">
        <v>25</v>
      </c>
      <c r="I1081" s="6">
        <v>44470</v>
      </c>
      <c r="J1081" s="4">
        <v>30</v>
      </c>
      <c r="K1081" s="4">
        <v>30</v>
      </c>
      <c r="L1081" s="4">
        <v>0</v>
      </c>
      <c r="M1081" s="4">
        <v>0</v>
      </c>
      <c r="N1081" s="4">
        <v>0</v>
      </c>
      <c r="O1081" s="4">
        <v>0</v>
      </c>
      <c r="P1081" s="4">
        <v>1</v>
      </c>
      <c r="Q1081" s="3" t="s">
        <v>26</v>
      </c>
      <c r="R1081" s="3">
        <v>0</v>
      </c>
      <c r="S1081" s="4">
        <v>7</v>
      </c>
      <c r="T1081" s="4">
        <v>0</v>
      </c>
      <c r="U1081" s="4">
        <v>0</v>
      </c>
      <c r="V1081" s="4">
        <f>IF(ISERROR(VLOOKUP($S$1081,'TAR FIN'!$A$1:$O$99,15,0)),0,VLOOKUP($S$1081,'TAR FIN'!$A$1:$O$99,15,0))</f>
        <v>21.85</v>
      </c>
      <c r="W1081" s="4">
        <f>IF(ISERROR(VLOOKUP($T$1081,'TAR FIN'!$A$1:$O$99,15,0)),0,VLOOKUP($T$1081,'TAR FIN'!$A$1:$O$99,15,0))</f>
        <v>0</v>
      </c>
      <c r="X1081" s="4">
        <f>IF(ISERROR(VLOOKUP($U$1081,'TAR FIN'!$A$1:$O$99,15,0)),0,VLOOKUP($U$1081,'TAR FIN'!$A$1:$O$99,15,0))</f>
        <v>0</v>
      </c>
      <c r="Y1081" s="4">
        <f ca="1">('TUSD BE'!$AM$21+'TUSD BF'!$AM$21+'TUSD CVA'!$AM$21)*1</f>
        <v>24.669398821277586</v>
      </c>
      <c r="Z1081" s="4"/>
      <c r="AA1081" s="4"/>
      <c r="AB1081" s="4">
        <f>$K$1081*$V$1081</f>
        <v>655.5</v>
      </c>
      <c r="AC1081" s="4">
        <f>$M$1081*$W$1081</f>
        <v>0</v>
      </c>
      <c r="AD1081" s="4">
        <f>$O$1081*$X$1081</f>
        <v>0</v>
      </c>
      <c r="AE1081" s="4">
        <f ca="1">$K$1081*$Y$1081</f>
        <v>740.08196463832758</v>
      </c>
      <c r="AF1081" s="4">
        <f>$M$1081*$Z$1081</f>
        <v>0</v>
      </c>
      <c r="AG1081" s="4">
        <f>$O$1081*$AA$1081</f>
        <v>0</v>
      </c>
    </row>
    <row r="1082" spans="1:33" ht="11.25" customHeight="1" x14ac:dyDescent="0.25">
      <c r="A1082" s="3" t="s">
        <v>21</v>
      </c>
      <c r="B1082" s="3" t="s">
        <v>33</v>
      </c>
      <c r="C1082" s="3" t="s">
        <v>34</v>
      </c>
      <c r="D1082" s="3" t="s">
        <v>24</v>
      </c>
      <c r="E1082" s="3" t="s">
        <v>24</v>
      </c>
      <c r="F1082" s="3" t="s">
        <v>25</v>
      </c>
      <c r="G1082" s="3" t="s">
        <v>25</v>
      </c>
      <c r="H1082" s="3" t="s">
        <v>25</v>
      </c>
      <c r="I1082" s="6">
        <v>44501</v>
      </c>
      <c r="J1082" s="4">
        <v>30</v>
      </c>
      <c r="K1082" s="4">
        <v>30</v>
      </c>
      <c r="L1082" s="4">
        <v>0</v>
      </c>
      <c r="M1082" s="4">
        <v>0</v>
      </c>
      <c r="N1082" s="4">
        <v>0</v>
      </c>
      <c r="O1082" s="4">
        <v>0</v>
      </c>
      <c r="P1082" s="4">
        <v>1</v>
      </c>
      <c r="Q1082" s="3" t="s">
        <v>26</v>
      </c>
      <c r="R1082" s="3">
        <v>0</v>
      </c>
      <c r="S1082" s="4">
        <v>7</v>
      </c>
      <c r="T1082" s="4">
        <v>0</v>
      </c>
      <c r="U1082" s="4">
        <v>0</v>
      </c>
      <c r="V1082" s="4">
        <f>IF(ISERROR(VLOOKUP($S$1082,'TAR FIN'!$A$1:$O$99,15,0)),0,VLOOKUP($S$1082,'TAR FIN'!$A$1:$O$99,15,0))</f>
        <v>21.85</v>
      </c>
      <c r="W1082" s="4">
        <f>IF(ISERROR(VLOOKUP($T$1082,'TAR FIN'!$A$1:$O$99,15,0)),0,VLOOKUP($T$1082,'TAR FIN'!$A$1:$O$99,15,0))</f>
        <v>0</v>
      </c>
      <c r="X1082" s="4">
        <f>IF(ISERROR(VLOOKUP($U$1082,'TAR FIN'!$A$1:$O$99,15,0)),0,VLOOKUP($U$1082,'TAR FIN'!$A$1:$O$99,15,0))</f>
        <v>0</v>
      </c>
      <c r="Y1082" s="4">
        <f ca="1">('TUSD BE'!$AM$21+'TUSD BF'!$AM$21+'TUSD CVA'!$AM$21)*1</f>
        <v>24.669398821277586</v>
      </c>
      <c r="Z1082" s="4"/>
      <c r="AA1082" s="4"/>
      <c r="AB1082" s="4">
        <f>$K$1082*$V$1082</f>
        <v>655.5</v>
      </c>
      <c r="AC1082" s="4">
        <f>$M$1082*$W$1082</f>
        <v>0</v>
      </c>
      <c r="AD1082" s="4">
        <f>$O$1082*$X$1082</f>
        <v>0</v>
      </c>
      <c r="AE1082" s="4">
        <f ca="1">$K$1082*$Y$1082</f>
        <v>740.08196463832758</v>
      </c>
      <c r="AF1082" s="4">
        <f>$M$1082*$Z$1082</f>
        <v>0</v>
      </c>
      <c r="AG1082" s="4">
        <f>$O$1082*$AA$1082</f>
        <v>0</v>
      </c>
    </row>
    <row r="1083" spans="1:33" ht="11.25" customHeight="1" x14ac:dyDescent="0.25">
      <c r="A1083" s="3" t="s">
        <v>21</v>
      </c>
      <c r="B1083" s="3" t="s">
        <v>33</v>
      </c>
      <c r="C1083" s="3" t="s">
        <v>34</v>
      </c>
      <c r="D1083" s="3" t="s">
        <v>24</v>
      </c>
      <c r="E1083" s="3" t="s">
        <v>24</v>
      </c>
      <c r="F1083" s="3" t="s">
        <v>25</v>
      </c>
      <c r="G1083" s="3" t="s">
        <v>25</v>
      </c>
      <c r="H1083" s="3" t="s">
        <v>25</v>
      </c>
      <c r="I1083" s="6">
        <v>44531</v>
      </c>
      <c r="J1083" s="4">
        <v>30</v>
      </c>
      <c r="K1083" s="4">
        <v>30</v>
      </c>
      <c r="L1083" s="4">
        <v>0</v>
      </c>
      <c r="M1083" s="4">
        <v>0</v>
      </c>
      <c r="N1083" s="4">
        <v>0</v>
      </c>
      <c r="O1083" s="4">
        <v>0</v>
      </c>
      <c r="P1083" s="4">
        <v>1</v>
      </c>
      <c r="Q1083" s="3" t="s">
        <v>26</v>
      </c>
      <c r="R1083" s="3">
        <v>0</v>
      </c>
      <c r="S1083" s="4">
        <v>7</v>
      </c>
      <c r="T1083" s="4">
        <v>0</v>
      </c>
      <c r="U1083" s="4">
        <v>0</v>
      </c>
      <c r="V1083" s="4">
        <f>IF(ISERROR(VLOOKUP($S$1083,'TAR FIN'!$A$1:$O$99,15,0)),0,VLOOKUP($S$1083,'TAR FIN'!$A$1:$O$99,15,0))</f>
        <v>21.85</v>
      </c>
      <c r="W1083" s="4">
        <f>IF(ISERROR(VLOOKUP($T$1083,'TAR FIN'!$A$1:$O$99,15,0)),0,VLOOKUP($T$1083,'TAR FIN'!$A$1:$O$99,15,0))</f>
        <v>0</v>
      </c>
      <c r="X1083" s="4">
        <f>IF(ISERROR(VLOOKUP($U$1083,'TAR FIN'!$A$1:$O$99,15,0)),0,VLOOKUP($U$1083,'TAR FIN'!$A$1:$O$99,15,0))</f>
        <v>0</v>
      </c>
      <c r="Y1083" s="4">
        <f ca="1">('TUSD BE'!$AM$21+'TUSD BF'!$AM$21+'TUSD CVA'!$AM$21)*1</f>
        <v>24.669398821277586</v>
      </c>
      <c r="Z1083" s="4"/>
      <c r="AA1083" s="4"/>
      <c r="AB1083" s="4">
        <f>$K$1083*$V$1083</f>
        <v>655.5</v>
      </c>
      <c r="AC1083" s="4">
        <f>$M$1083*$W$1083</f>
        <v>0</v>
      </c>
      <c r="AD1083" s="4">
        <f>$O$1083*$X$1083</f>
        <v>0</v>
      </c>
      <c r="AE1083" s="4">
        <f ca="1">$K$1083*$Y$1083</f>
        <v>740.08196463832758</v>
      </c>
      <c r="AF1083" s="4">
        <f>$M$1083*$Z$1083</f>
        <v>0</v>
      </c>
      <c r="AG1083" s="4">
        <f>$O$1083*$AA$1083</f>
        <v>0</v>
      </c>
    </row>
    <row r="1084" spans="1:33" ht="11.25" customHeight="1" x14ac:dyDescent="0.25">
      <c r="A1084" s="3" t="s">
        <v>21</v>
      </c>
      <c r="B1084" s="3" t="s">
        <v>33</v>
      </c>
      <c r="C1084" s="3" t="s">
        <v>34</v>
      </c>
      <c r="D1084" s="3" t="s">
        <v>24</v>
      </c>
      <c r="E1084" s="3" t="s">
        <v>24</v>
      </c>
      <c r="F1084" s="3" t="s">
        <v>25</v>
      </c>
      <c r="G1084" s="3" t="s">
        <v>25</v>
      </c>
      <c r="H1084" s="3" t="s">
        <v>25</v>
      </c>
      <c r="I1084" s="6">
        <v>44562</v>
      </c>
      <c r="J1084" s="4">
        <v>30</v>
      </c>
      <c r="K1084" s="4">
        <v>30</v>
      </c>
      <c r="L1084" s="4">
        <v>0</v>
      </c>
      <c r="M1084" s="4">
        <v>0</v>
      </c>
      <c r="N1084" s="4">
        <v>0</v>
      </c>
      <c r="O1084" s="4">
        <v>0</v>
      </c>
      <c r="P1084" s="4">
        <v>1</v>
      </c>
      <c r="Q1084" s="3" t="s">
        <v>26</v>
      </c>
      <c r="R1084" s="3">
        <v>0</v>
      </c>
      <c r="S1084" s="4">
        <v>7</v>
      </c>
      <c r="T1084" s="4">
        <v>0</v>
      </c>
      <c r="U1084" s="4">
        <v>0</v>
      </c>
      <c r="V1084" s="4">
        <f>IF(ISERROR(VLOOKUP($S$1084,'TAR FIN'!$A$1:$O$99,15,0)),0,VLOOKUP($S$1084,'TAR FIN'!$A$1:$O$99,15,0))</f>
        <v>21.85</v>
      </c>
      <c r="W1084" s="4">
        <f>IF(ISERROR(VLOOKUP($T$1084,'TAR FIN'!$A$1:$O$99,15,0)),0,VLOOKUP($T$1084,'TAR FIN'!$A$1:$O$99,15,0))</f>
        <v>0</v>
      </c>
      <c r="X1084" s="4">
        <f>IF(ISERROR(VLOOKUP($U$1084,'TAR FIN'!$A$1:$O$99,15,0)),0,VLOOKUP($U$1084,'TAR FIN'!$A$1:$O$99,15,0))</f>
        <v>0</v>
      </c>
      <c r="Y1084" s="4">
        <f ca="1">('TUSD BE'!$AM$21+'TUSD BF'!$AM$21+'TUSD CVA'!$AM$21)*1</f>
        <v>24.669398821277586</v>
      </c>
      <c r="Z1084" s="4"/>
      <c r="AA1084" s="4"/>
      <c r="AB1084" s="4">
        <f>$K$1084*$V$1084</f>
        <v>655.5</v>
      </c>
      <c r="AC1084" s="4">
        <f>$M$1084*$W$1084</f>
        <v>0</v>
      </c>
      <c r="AD1084" s="4">
        <f>$O$1084*$X$1084</f>
        <v>0</v>
      </c>
      <c r="AE1084" s="4">
        <f ca="1">$K$1084*$Y$1084</f>
        <v>740.08196463832758</v>
      </c>
      <c r="AF1084" s="4">
        <f>$M$1084*$Z$1084</f>
        <v>0</v>
      </c>
      <c r="AG1084" s="4">
        <f>$O$1084*$AA$1084</f>
        <v>0</v>
      </c>
    </row>
    <row r="1085" spans="1:33" ht="11.25" customHeight="1" x14ac:dyDescent="0.25">
      <c r="A1085" s="3" t="s">
        <v>28</v>
      </c>
      <c r="B1085" s="3" t="s">
        <v>33</v>
      </c>
      <c r="C1085" s="3" t="s">
        <v>34</v>
      </c>
      <c r="D1085" s="3" t="s">
        <v>24</v>
      </c>
      <c r="E1085" s="3" t="s">
        <v>24</v>
      </c>
      <c r="F1085" s="3" t="s">
        <v>25</v>
      </c>
      <c r="G1085" s="3" t="s">
        <v>25</v>
      </c>
      <c r="H1085" s="3" t="s">
        <v>25</v>
      </c>
      <c r="I1085" s="6">
        <v>44562</v>
      </c>
      <c r="J1085" s="4">
        <v>2</v>
      </c>
      <c r="K1085" s="4">
        <v>2</v>
      </c>
      <c r="L1085" s="4">
        <v>0</v>
      </c>
      <c r="M1085" s="4">
        <v>0</v>
      </c>
      <c r="N1085" s="4">
        <v>0</v>
      </c>
      <c r="O1085" s="4">
        <v>0</v>
      </c>
      <c r="P1085" s="4">
        <v>1</v>
      </c>
      <c r="Q1085" s="3" t="s">
        <v>26</v>
      </c>
      <c r="R1085" s="3">
        <v>0</v>
      </c>
      <c r="S1085" s="4">
        <v>7</v>
      </c>
      <c r="T1085" s="4">
        <v>0</v>
      </c>
      <c r="U1085" s="4">
        <v>0</v>
      </c>
      <c r="V1085" s="4">
        <f>IF(ISERROR(VLOOKUP($S$1085,'TAR FIN'!$A$1:$O$99,15,0)),0,VLOOKUP($S$1085,'TAR FIN'!$A$1:$O$99,15,0))</f>
        <v>21.85</v>
      </c>
      <c r="W1085" s="4">
        <f>IF(ISERROR(VLOOKUP($T$1085,'TAR FIN'!$A$1:$O$99,15,0)),0,VLOOKUP($T$1085,'TAR FIN'!$A$1:$O$99,15,0))</f>
        <v>0</v>
      </c>
      <c r="X1085" s="4">
        <f>IF(ISERROR(VLOOKUP($U$1085,'TAR FIN'!$A$1:$O$99,15,0)),0,VLOOKUP($U$1085,'TAR FIN'!$A$1:$O$99,15,0))</f>
        <v>0</v>
      </c>
      <c r="Y1085" s="4">
        <f ca="1">('TUSD BE'!$AM$21+'TUSD BF'!$AM$21+'TUSD CVA'!$AM$21)*1</f>
        <v>24.669398821277586</v>
      </c>
      <c r="Z1085" s="4"/>
      <c r="AA1085" s="4"/>
      <c r="AB1085" s="4">
        <f>$K$1085*$V$1085</f>
        <v>43.7</v>
      </c>
      <c r="AC1085" s="4">
        <f>$M$1085*$W$1085</f>
        <v>0</v>
      </c>
      <c r="AD1085" s="4">
        <f>$O$1085*$X$1085</f>
        <v>0</v>
      </c>
      <c r="AE1085" s="4">
        <f ca="1">$K$1085*$Y$1085</f>
        <v>49.338797642555171</v>
      </c>
      <c r="AF1085" s="4">
        <f>$M$1085*$Z$1085</f>
        <v>0</v>
      </c>
      <c r="AG1085" s="4">
        <f>$O$1085*$AA$1085</f>
        <v>0</v>
      </c>
    </row>
    <row r="1086" spans="1:33" ht="11.25" customHeight="1" x14ac:dyDescent="0.25">
      <c r="A1086" s="3" t="s">
        <v>21</v>
      </c>
      <c r="B1086" s="3" t="s">
        <v>33</v>
      </c>
      <c r="C1086" s="3" t="s">
        <v>34</v>
      </c>
      <c r="D1086" s="3" t="s">
        <v>24</v>
      </c>
      <c r="E1086" s="3" t="s">
        <v>24</v>
      </c>
      <c r="F1086" s="3" t="s">
        <v>25</v>
      </c>
      <c r="G1086" s="3" t="s">
        <v>25</v>
      </c>
      <c r="H1086" s="3" t="s">
        <v>25</v>
      </c>
      <c r="I1086" s="6">
        <v>44593</v>
      </c>
      <c r="J1086" s="4">
        <v>36</v>
      </c>
      <c r="K1086" s="4">
        <v>36</v>
      </c>
      <c r="L1086" s="4">
        <v>0</v>
      </c>
      <c r="M1086" s="4">
        <v>0</v>
      </c>
      <c r="N1086" s="4">
        <v>0</v>
      </c>
      <c r="O1086" s="4">
        <v>0</v>
      </c>
      <c r="P1086" s="4">
        <v>2</v>
      </c>
      <c r="Q1086" s="3" t="s">
        <v>26</v>
      </c>
      <c r="R1086" s="3">
        <v>0</v>
      </c>
      <c r="S1086" s="4">
        <v>7</v>
      </c>
      <c r="T1086" s="4">
        <v>0</v>
      </c>
      <c r="U1086" s="4">
        <v>0</v>
      </c>
      <c r="V1086" s="4">
        <f>IF(ISERROR(VLOOKUP($S$1086,'TAR FIN'!$A$1:$O$99,15,0)),0,VLOOKUP($S$1086,'TAR FIN'!$A$1:$O$99,15,0))</f>
        <v>21.85</v>
      </c>
      <c r="W1086" s="4">
        <f>IF(ISERROR(VLOOKUP($T$1086,'TAR FIN'!$A$1:$O$99,15,0)),0,VLOOKUP($T$1086,'TAR FIN'!$A$1:$O$99,15,0))</f>
        <v>0</v>
      </c>
      <c r="X1086" s="4">
        <f>IF(ISERROR(VLOOKUP($U$1086,'TAR FIN'!$A$1:$O$99,15,0)),0,VLOOKUP($U$1086,'TAR FIN'!$A$1:$O$99,15,0))</f>
        <v>0</v>
      </c>
      <c r="Y1086" s="4">
        <f ca="1">('TUSD BE'!$AM$21+'TUSD BF'!$AM$21+'TUSD CVA'!$AM$21)*1</f>
        <v>24.669398821277586</v>
      </c>
      <c r="Z1086" s="4"/>
      <c r="AA1086" s="4"/>
      <c r="AB1086" s="4">
        <f>$K$1086*$V$1086</f>
        <v>786.6</v>
      </c>
      <c r="AC1086" s="4">
        <f>$M$1086*$W$1086</f>
        <v>0</v>
      </c>
      <c r="AD1086" s="4">
        <f>$O$1086*$X$1086</f>
        <v>0</v>
      </c>
      <c r="AE1086" s="4">
        <f ca="1">$K$1086*$Y$1086</f>
        <v>888.09835756599307</v>
      </c>
      <c r="AF1086" s="4">
        <f>$M$1086*$Z$1086</f>
        <v>0</v>
      </c>
      <c r="AG1086" s="4">
        <f>$O$1086*$AA$1086</f>
        <v>0</v>
      </c>
    </row>
    <row r="1087" spans="1:33" ht="11.25" customHeight="1" x14ac:dyDescent="0.25">
      <c r="A1087" s="3" t="s">
        <v>28</v>
      </c>
      <c r="B1087" s="3" t="s">
        <v>33</v>
      </c>
      <c r="C1087" s="3" t="s">
        <v>34</v>
      </c>
      <c r="D1087" s="3" t="s">
        <v>24</v>
      </c>
      <c r="E1087" s="3" t="s">
        <v>24</v>
      </c>
      <c r="F1087" s="3" t="s">
        <v>25</v>
      </c>
      <c r="G1087" s="3" t="s">
        <v>25</v>
      </c>
      <c r="H1087" s="3" t="s">
        <v>25</v>
      </c>
      <c r="I1087" s="6">
        <v>44593</v>
      </c>
      <c r="J1087" s="4">
        <v>243</v>
      </c>
      <c r="K1087" s="4">
        <v>243</v>
      </c>
      <c r="L1087" s="4">
        <v>0</v>
      </c>
      <c r="M1087" s="4">
        <v>0</v>
      </c>
      <c r="N1087" s="4">
        <v>0</v>
      </c>
      <c r="O1087" s="4">
        <v>0</v>
      </c>
      <c r="P1087" s="4">
        <v>1</v>
      </c>
      <c r="Q1087" s="3" t="s">
        <v>26</v>
      </c>
      <c r="R1087" s="3">
        <v>0</v>
      </c>
      <c r="S1087" s="4">
        <v>7</v>
      </c>
      <c r="T1087" s="4">
        <v>0</v>
      </c>
      <c r="U1087" s="4">
        <v>0</v>
      </c>
      <c r="V1087" s="4">
        <f>IF(ISERROR(VLOOKUP($S$1087,'TAR FIN'!$A$1:$O$99,15,0)),0,VLOOKUP($S$1087,'TAR FIN'!$A$1:$O$99,15,0))</f>
        <v>21.85</v>
      </c>
      <c r="W1087" s="4">
        <f>IF(ISERROR(VLOOKUP($T$1087,'TAR FIN'!$A$1:$O$99,15,0)),0,VLOOKUP($T$1087,'TAR FIN'!$A$1:$O$99,15,0))</f>
        <v>0</v>
      </c>
      <c r="X1087" s="4">
        <f>IF(ISERROR(VLOOKUP($U$1087,'TAR FIN'!$A$1:$O$99,15,0)),0,VLOOKUP($U$1087,'TAR FIN'!$A$1:$O$99,15,0))</f>
        <v>0</v>
      </c>
      <c r="Y1087" s="4">
        <f ca="1">('TUSD BE'!$AM$21+'TUSD BF'!$AM$21+'TUSD CVA'!$AM$21)*1</f>
        <v>24.669398821277586</v>
      </c>
      <c r="Z1087" s="4"/>
      <c r="AA1087" s="4"/>
      <c r="AB1087" s="4">
        <f>$K$1087*$V$1087</f>
        <v>5309.55</v>
      </c>
      <c r="AC1087" s="4">
        <f>$M$1087*$W$1087</f>
        <v>0</v>
      </c>
      <c r="AD1087" s="4">
        <f>$O$1087*$X$1087</f>
        <v>0</v>
      </c>
      <c r="AE1087" s="4">
        <f ca="1">$K$1087*$Y$1087</f>
        <v>5994.6639135704536</v>
      </c>
      <c r="AF1087" s="4">
        <f>$M$1087*$Z$1087</f>
        <v>0</v>
      </c>
      <c r="AG1087" s="4">
        <f>$O$1087*$AA$1087</f>
        <v>0</v>
      </c>
    </row>
    <row r="1088" spans="1:33" ht="11.25" customHeight="1" x14ac:dyDescent="0.25">
      <c r="A1088" s="3" t="s">
        <v>21</v>
      </c>
      <c r="B1088" s="3" t="s">
        <v>33</v>
      </c>
      <c r="C1088" s="3" t="s">
        <v>34</v>
      </c>
      <c r="D1088" s="3" t="s">
        <v>24</v>
      </c>
      <c r="E1088" s="3" t="s">
        <v>24</v>
      </c>
      <c r="F1088" s="3" t="s">
        <v>25</v>
      </c>
      <c r="G1088" s="3" t="s">
        <v>25</v>
      </c>
      <c r="H1088" s="3" t="s">
        <v>25</v>
      </c>
      <c r="I1088" s="6">
        <v>44621</v>
      </c>
      <c r="J1088" s="4">
        <v>325</v>
      </c>
      <c r="K1088" s="4">
        <v>325</v>
      </c>
      <c r="L1088" s="4">
        <v>0</v>
      </c>
      <c r="M1088" s="4">
        <v>0</v>
      </c>
      <c r="N1088" s="4">
        <v>0</v>
      </c>
      <c r="O1088" s="4">
        <v>0</v>
      </c>
      <c r="P1088" s="4">
        <v>2</v>
      </c>
      <c r="Q1088" s="3" t="s">
        <v>26</v>
      </c>
      <c r="R1088" s="3">
        <v>0</v>
      </c>
      <c r="S1088" s="4">
        <v>7</v>
      </c>
      <c r="T1088" s="4">
        <v>0</v>
      </c>
      <c r="U1088" s="4">
        <v>0</v>
      </c>
      <c r="V1088" s="4">
        <f>IF(ISERROR(VLOOKUP($S$1088,'TAR FIN'!$A$1:$O$99,15,0)),0,VLOOKUP($S$1088,'TAR FIN'!$A$1:$O$99,15,0))</f>
        <v>21.85</v>
      </c>
      <c r="W1088" s="4">
        <f>IF(ISERROR(VLOOKUP($T$1088,'TAR FIN'!$A$1:$O$99,15,0)),0,VLOOKUP($T$1088,'TAR FIN'!$A$1:$O$99,15,0))</f>
        <v>0</v>
      </c>
      <c r="X1088" s="4">
        <f>IF(ISERROR(VLOOKUP($U$1088,'TAR FIN'!$A$1:$O$99,15,0)),0,VLOOKUP($U$1088,'TAR FIN'!$A$1:$O$99,15,0))</f>
        <v>0</v>
      </c>
      <c r="Y1088" s="4">
        <f ca="1">('TUSD BE'!$AM$21+'TUSD BF'!$AM$21+'TUSD CVA'!$AM$21)*1</f>
        <v>24.669398821277586</v>
      </c>
      <c r="Z1088" s="4"/>
      <c r="AA1088" s="4"/>
      <c r="AB1088" s="4">
        <f>$K$1088*$V$1088</f>
        <v>7101.2500000000009</v>
      </c>
      <c r="AC1088" s="4">
        <f>$M$1088*$W$1088</f>
        <v>0</v>
      </c>
      <c r="AD1088" s="4">
        <f>$O$1088*$X$1088</f>
        <v>0</v>
      </c>
      <c r="AE1088" s="4">
        <f ca="1">$K$1088*$Y$1088</f>
        <v>8017.5546169152158</v>
      </c>
      <c r="AF1088" s="4">
        <f>$M$1088*$Z$1088</f>
        <v>0</v>
      </c>
      <c r="AG1088" s="4">
        <f>$O$1088*$AA$1088</f>
        <v>0</v>
      </c>
    </row>
    <row r="1089" spans="1:33" ht="11.25" customHeight="1" x14ac:dyDescent="0.25">
      <c r="A1089" s="3" t="s">
        <v>28</v>
      </c>
      <c r="B1089" s="3" t="s">
        <v>33</v>
      </c>
      <c r="C1089" s="3" t="s">
        <v>34</v>
      </c>
      <c r="D1089" s="3" t="s">
        <v>24</v>
      </c>
      <c r="E1089" s="3" t="s">
        <v>24</v>
      </c>
      <c r="F1089" s="3" t="s">
        <v>25</v>
      </c>
      <c r="G1089" s="3" t="s">
        <v>25</v>
      </c>
      <c r="H1089" s="3" t="s">
        <v>25</v>
      </c>
      <c r="I1089" s="6">
        <v>44621</v>
      </c>
      <c r="J1089" s="4">
        <v>255</v>
      </c>
      <c r="K1089" s="4">
        <v>255</v>
      </c>
      <c r="L1089" s="4">
        <v>0</v>
      </c>
      <c r="M1089" s="4">
        <v>0</v>
      </c>
      <c r="N1089" s="4">
        <v>0</v>
      </c>
      <c r="O1089" s="4">
        <v>0</v>
      </c>
      <c r="P1089" s="4">
        <v>1</v>
      </c>
      <c r="Q1089" s="3" t="s">
        <v>26</v>
      </c>
      <c r="R1089" s="3">
        <v>0</v>
      </c>
      <c r="S1089" s="4">
        <v>7</v>
      </c>
      <c r="T1089" s="4">
        <v>0</v>
      </c>
      <c r="U1089" s="4">
        <v>0</v>
      </c>
      <c r="V1089" s="4">
        <f>IF(ISERROR(VLOOKUP($S$1089,'TAR FIN'!$A$1:$O$99,15,0)),0,VLOOKUP($S$1089,'TAR FIN'!$A$1:$O$99,15,0))</f>
        <v>21.85</v>
      </c>
      <c r="W1089" s="4">
        <f>IF(ISERROR(VLOOKUP($T$1089,'TAR FIN'!$A$1:$O$99,15,0)),0,VLOOKUP($T$1089,'TAR FIN'!$A$1:$O$99,15,0))</f>
        <v>0</v>
      </c>
      <c r="X1089" s="4">
        <f>IF(ISERROR(VLOOKUP($U$1089,'TAR FIN'!$A$1:$O$99,15,0)),0,VLOOKUP($U$1089,'TAR FIN'!$A$1:$O$99,15,0))</f>
        <v>0</v>
      </c>
      <c r="Y1089" s="4">
        <f ca="1">('TUSD BE'!$AM$21+'TUSD BF'!$AM$21+'TUSD CVA'!$AM$21)*1</f>
        <v>24.669398821277586</v>
      </c>
      <c r="Z1089" s="4"/>
      <c r="AA1089" s="4"/>
      <c r="AB1089" s="4">
        <f>$K$1089*$V$1089</f>
        <v>5571.75</v>
      </c>
      <c r="AC1089" s="4">
        <f>$M$1089*$W$1089</f>
        <v>0</v>
      </c>
      <c r="AD1089" s="4">
        <f>$O$1089*$X$1089</f>
        <v>0</v>
      </c>
      <c r="AE1089" s="4">
        <f ca="1">$K$1089*$Y$1089</f>
        <v>6290.6966994257846</v>
      </c>
      <c r="AF1089" s="4">
        <f>$M$1089*$Z$1089</f>
        <v>0</v>
      </c>
      <c r="AG1089" s="4">
        <f>$O$1089*$AA$1089</f>
        <v>0</v>
      </c>
    </row>
    <row r="1090" spans="1:33" ht="11.25" customHeight="1" x14ac:dyDescent="0.25">
      <c r="A1090" s="3" t="s">
        <v>56</v>
      </c>
      <c r="B1090" s="3" t="s">
        <v>33</v>
      </c>
      <c r="C1090" s="3" t="s">
        <v>34</v>
      </c>
      <c r="D1090" s="3" t="s">
        <v>24</v>
      </c>
      <c r="E1090" s="3" t="s">
        <v>24</v>
      </c>
      <c r="F1090" s="3" t="s">
        <v>25</v>
      </c>
      <c r="G1090" s="3" t="s">
        <v>25</v>
      </c>
      <c r="H1090" s="3" t="s">
        <v>25</v>
      </c>
      <c r="I1090" s="6">
        <v>44652</v>
      </c>
      <c r="J1090" s="4">
        <v>325</v>
      </c>
      <c r="K1090" s="4">
        <v>325</v>
      </c>
      <c r="L1090" s="4">
        <v>0</v>
      </c>
      <c r="M1090" s="4">
        <v>0</v>
      </c>
      <c r="N1090" s="4">
        <v>0</v>
      </c>
      <c r="O1090" s="4">
        <v>0</v>
      </c>
      <c r="P1090" s="4">
        <v>2</v>
      </c>
      <c r="Q1090" s="3" t="s">
        <v>26</v>
      </c>
      <c r="R1090" s="3">
        <v>0</v>
      </c>
      <c r="S1090" s="4">
        <v>7</v>
      </c>
      <c r="T1090" s="4">
        <v>0</v>
      </c>
      <c r="U1090" s="4">
        <v>0</v>
      </c>
      <c r="V1090" s="4">
        <f>IF(ISERROR(VLOOKUP($S$1090,'TAR FIN'!$A$1:$O$99,15,0)),0,VLOOKUP($S$1090,'TAR FIN'!$A$1:$O$99,15,0))</f>
        <v>21.85</v>
      </c>
      <c r="W1090" s="4">
        <f>IF(ISERROR(VLOOKUP($T$1090,'TAR FIN'!$A$1:$O$99,15,0)),0,VLOOKUP($T$1090,'TAR FIN'!$A$1:$O$99,15,0))</f>
        <v>0</v>
      </c>
      <c r="X1090" s="4">
        <f>IF(ISERROR(VLOOKUP($U$1090,'TAR FIN'!$A$1:$O$99,15,0)),0,VLOOKUP($U$1090,'TAR FIN'!$A$1:$O$99,15,0))</f>
        <v>0</v>
      </c>
      <c r="Y1090" s="4">
        <f ca="1">('TUSD BE'!$AM$21+'TUSD BF'!$AM$21+'TUSD CVA'!$AM$21)*1</f>
        <v>24.669398821277586</v>
      </c>
      <c r="Z1090" s="4"/>
      <c r="AA1090" s="4"/>
      <c r="AB1090" s="4">
        <f>$K$1090*$V$1090</f>
        <v>7101.2500000000009</v>
      </c>
      <c r="AC1090" s="4">
        <f>$M$1090*$W$1090</f>
        <v>0</v>
      </c>
      <c r="AD1090" s="4">
        <f>$O$1090*$X$1090</f>
        <v>0</v>
      </c>
      <c r="AE1090" s="4">
        <f ca="1">$K$1090*$Y$1090</f>
        <v>8017.5546169152158</v>
      </c>
      <c r="AF1090" s="4">
        <f>$M$1090*$Z$1090</f>
        <v>0</v>
      </c>
      <c r="AG1090" s="4">
        <f>$O$1090*$AA$1090</f>
        <v>0</v>
      </c>
    </row>
    <row r="1091" spans="1:33" ht="11.25" customHeight="1" x14ac:dyDescent="0.25">
      <c r="A1091" s="3" t="s">
        <v>56</v>
      </c>
      <c r="B1091" s="3" t="s">
        <v>33</v>
      </c>
      <c r="C1091" s="3" t="s">
        <v>34</v>
      </c>
      <c r="D1091" s="3" t="s">
        <v>24</v>
      </c>
      <c r="E1091" s="3" t="s">
        <v>24</v>
      </c>
      <c r="F1091" s="3" t="s">
        <v>25</v>
      </c>
      <c r="G1091" s="3" t="s">
        <v>25</v>
      </c>
      <c r="H1091" s="3" t="s">
        <v>25</v>
      </c>
      <c r="I1091" s="6">
        <v>44652</v>
      </c>
      <c r="J1091" s="4">
        <v>255</v>
      </c>
      <c r="K1091" s="4">
        <v>255</v>
      </c>
      <c r="L1091" s="4">
        <v>0</v>
      </c>
      <c r="M1091" s="4">
        <v>0</v>
      </c>
      <c r="N1091" s="4">
        <v>0</v>
      </c>
      <c r="O1091" s="4">
        <v>0</v>
      </c>
      <c r="P1091" s="4">
        <v>1</v>
      </c>
      <c r="Q1091" s="3" t="s">
        <v>26</v>
      </c>
      <c r="R1091" s="3">
        <v>0</v>
      </c>
      <c r="S1091" s="4">
        <v>7</v>
      </c>
      <c r="T1091" s="4">
        <v>0</v>
      </c>
      <c r="U1091" s="4">
        <v>0</v>
      </c>
      <c r="V1091" s="4">
        <f>IF(ISERROR(VLOOKUP($S$1091,'TAR FIN'!$A$1:$O$99,15,0)),0,VLOOKUP($S$1091,'TAR FIN'!$A$1:$O$99,15,0))</f>
        <v>21.85</v>
      </c>
      <c r="W1091" s="4">
        <f>IF(ISERROR(VLOOKUP($T$1091,'TAR FIN'!$A$1:$O$99,15,0)),0,VLOOKUP($T$1091,'TAR FIN'!$A$1:$O$99,15,0))</f>
        <v>0</v>
      </c>
      <c r="X1091" s="4">
        <f>IF(ISERROR(VLOOKUP($U$1091,'TAR FIN'!$A$1:$O$99,15,0)),0,VLOOKUP($U$1091,'TAR FIN'!$A$1:$O$99,15,0))</f>
        <v>0</v>
      </c>
      <c r="Y1091" s="4">
        <f ca="1">('TUSD BE'!$AM$21+'TUSD BF'!$AM$21+'TUSD CVA'!$AM$21)*1</f>
        <v>24.669398821277586</v>
      </c>
      <c r="Z1091" s="4"/>
      <c r="AA1091" s="4"/>
      <c r="AB1091" s="4">
        <f>$K$1091*$V$1091</f>
        <v>5571.75</v>
      </c>
      <c r="AC1091" s="4">
        <f>$M$1091*$W$1091</f>
        <v>0</v>
      </c>
      <c r="AD1091" s="4">
        <f>$O$1091*$X$1091</f>
        <v>0</v>
      </c>
      <c r="AE1091" s="4">
        <f ca="1">$K$1091*$Y$1091</f>
        <v>6290.6966994257846</v>
      </c>
      <c r="AF1091" s="4">
        <f>$M$1091*$Z$1091</f>
        <v>0</v>
      </c>
      <c r="AG1091" s="4">
        <f>$O$1091*$AA$1091</f>
        <v>0</v>
      </c>
    </row>
    <row r="1092" spans="1:33" ht="11.25" customHeight="1" x14ac:dyDescent="0.25">
      <c r="A1092" s="3" t="s">
        <v>21</v>
      </c>
      <c r="B1092" s="3" t="s">
        <v>33</v>
      </c>
      <c r="C1092" s="3" t="s">
        <v>34</v>
      </c>
      <c r="D1092" s="3" t="s">
        <v>24</v>
      </c>
      <c r="E1092" s="3" t="s">
        <v>24</v>
      </c>
      <c r="F1092" s="3" t="s">
        <v>25</v>
      </c>
      <c r="G1092" s="3" t="s">
        <v>25</v>
      </c>
      <c r="H1092" s="3" t="s">
        <v>35</v>
      </c>
      <c r="I1092" s="6">
        <v>44317</v>
      </c>
      <c r="J1092" s="4">
        <v>0</v>
      </c>
      <c r="K1092" s="4">
        <v>0</v>
      </c>
      <c r="L1092" s="4">
        <v>0.182</v>
      </c>
      <c r="M1092" s="4">
        <v>0.182</v>
      </c>
      <c r="N1092" s="4">
        <v>0.182</v>
      </c>
      <c r="O1092" s="4">
        <v>0.182</v>
      </c>
      <c r="P1092" s="4">
        <v>0</v>
      </c>
      <c r="Q1092" s="3" t="s">
        <v>26</v>
      </c>
      <c r="R1092" s="3">
        <v>0</v>
      </c>
      <c r="S1092" s="4">
        <v>0</v>
      </c>
      <c r="T1092" s="4">
        <v>8</v>
      </c>
      <c r="U1092" s="4">
        <v>72</v>
      </c>
      <c r="V1092" s="4">
        <f>IF(ISERROR(VLOOKUP($S$1092,'TAR FIN'!$A$1:$O$99,15,0)),0,VLOOKUP($S$1092,'TAR FIN'!$A$1:$O$99,15,0))</f>
        <v>0</v>
      </c>
      <c r="W1092" s="4">
        <f>IF(ISERROR(VLOOKUP($T$1092,'TAR FIN'!$A$1:$O$99,15,0)),0,VLOOKUP($T$1092,'TAR FIN'!$A$1:$O$99,15,0))</f>
        <v>1557.74</v>
      </c>
      <c r="X1092" s="4">
        <f>IF(ISERROR(VLOOKUP($U$1092,'TAR FIN'!$A$1:$O$99,15,0)),0,VLOOKUP($U$1092,'TAR FIN'!$A$1:$O$99,15,0))</f>
        <v>346.61</v>
      </c>
      <c r="Y1092" s="4"/>
      <c r="Z1092" s="4">
        <f ca="1">('TUSD BE'!$AM$22+'TUSD BF'!$AM$22+'TUSD CVA'!$AM$22)*1</f>
        <v>1799.131999651745</v>
      </c>
      <c r="AA1092" s="4">
        <f>('TE BE'!$AA$7+'TE BF'!$AA$7+'TE CVA'!$AA$7)*1</f>
        <v>423.89652505413846</v>
      </c>
      <c r="AB1092" s="4">
        <f>$K$1092*$V$1092</f>
        <v>0</v>
      </c>
      <c r="AC1092" s="4">
        <f>$M$1092*$W$1092</f>
        <v>283.50867999999997</v>
      </c>
      <c r="AD1092" s="4">
        <f>$O$1092*$X$1092</f>
        <v>63.083019999999998</v>
      </c>
      <c r="AE1092" s="4">
        <f>$K$1092*$Y$1092</f>
        <v>0</v>
      </c>
      <c r="AF1092" s="4">
        <f ca="1">$M$1092*$Z$1092</f>
        <v>327.4420239366176</v>
      </c>
      <c r="AG1092" s="4">
        <f>$O$1092*$AA$1092</f>
        <v>77.149167559853197</v>
      </c>
    </row>
    <row r="1093" spans="1:33" ht="11.25" customHeight="1" x14ac:dyDescent="0.25">
      <c r="A1093" s="3" t="s">
        <v>21</v>
      </c>
      <c r="B1093" s="3" t="s">
        <v>33</v>
      </c>
      <c r="C1093" s="3" t="s">
        <v>34</v>
      </c>
      <c r="D1093" s="3" t="s">
        <v>24</v>
      </c>
      <c r="E1093" s="3" t="s">
        <v>24</v>
      </c>
      <c r="F1093" s="3" t="s">
        <v>25</v>
      </c>
      <c r="G1093" s="3" t="s">
        <v>25</v>
      </c>
      <c r="H1093" s="3" t="s">
        <v>35</v>
      </c>
      <c r="I1093" s="6">
        <v>44348</v>
      </c>
      <c r="J1093" s="4">
        <v>0</v>
      </c>
      <c r="K1093" s="4">
        <v>0</v>
      </c>
      <c r="L1093" s="4">
        <v>0.16400000000000001</v>
      </c>
      <c r="M1093" s="4">
        <v>0.16400000000000001</v>
      </c>
      <c r="N1093" s="4">
        <v>0.16400000000000001</v>
      </c>
      <c r="O1093" s="4">
        <v>0.16400000000000001</v>
      </c>
      <c r="P1093" s="4">
        <v>0</v>
      </c>
      <c r="Q1093" s="3" t="s">
        <v>26</v>
      </c>
      <c r="R1093" s="3">
        <v>0</v>
      </c>
      <c r="S1093" s="4">
        <v>0</v>
      </c>
      <c r="T1093" s="4">
        <v>8</v>
      </c>
      <c r="U1093" s="4">
        <v>72</v>
      </c>
      <c r="V1093" s="4">
        <f>IF(ISERROR(VLOOKUP($S$1093,'TAR FIN'!$A$1:$O$99,15,0)),0,VLOOKUP($S$1093,'TAR FIN'!$A$1:$O$99,15,0))</f>
        <v>0</v>
      </c>
      <c r="W1093" s="4">
        <f>IF(ISERROR(VLOOKUP($T$1093,'TAR FIN'!$A$1:$O$99,15,0)),0,VLOOKUP($T$1093,'TAR FIN'!$A$1:$O$99,15,0))</f>
        <v>1557.74</v>
      </c>
      <c r="X1093" s="4">
        <f>IF(ISERROR(VLOOKUP($U$1093,'TAR FIN'!$A$1:$O$99,15,0)),0,VLOOKUP($U$1093,'TAR FIN'!$A$1:$O$99,15,0))</f>
        <v>346.61</v>
      </c>
      <c r="Y1093" s="4"/>
      <c r="Z1093" s="4">
        <f ca="1">('TUSD BE'!$AM$22+'TUSD BF'!$AM$22+'TUSD CVA'!$AM$22)*1</f>
        <v>1799.131999651745</v>
      </c>
      <c r="AA1093" s="4">
        <f>('TE BE'!$AA$7+'TE BF'!$AA$7+'TE CVA'!$AA$7)*1</f>
        <v>423.89652505413846</v>
      </c>
      <c r="AB1093" s="4">
        <f>$K$1093*$V$1093</f>
        <v>0</v>
      </c>
      <c r="AC1093" s="4">
        <f>$M$1093*$W$1093</f>
        <v>255.46936000000002</v>
      </c>
      <c r="AD1093" s="4">
        <f>$O$1093*$X$1093</f>
        <v>56.844040000000007</v>
      </c>
      <c r="AE1093" s="4">
        <f>$K$1093*$Y$1093</f>
        <v>0</v>
      </c>
      <c r="AF1093" s="4">
        <f ca="1">$M$1093*$Z$1093</f>
        <v>295.05764794288621</v>
      </c>
      <c r="AG1093" s="4">
        <f>$O$1093*$AA$1093</f>
        <v>69.519030108878709</v>
      </c>
    </row>
    <row r="1094" spans="1:33" ht="11.25" customHeight="1" x14ac:dyDescent="0.25">
      <c r="A1094" s="3" t="s">
        <v>21</v>
      </c>
      <c r="B1094" s="3" t="s">
        <v>33</v>
      </c>
      <c r="C1094" s="3" t="s">
        <v>34</v>
      </c>
      <c r="D1094" s="3" t="s">
        <v>24</v>
      </c>
      <c r="E1094" s="3" t="s">
        <v>24</v>
      </c>
      <c r="F1094" s="3" t="s">
        <v>25</v>
      </c>
      <c r="G1094" s="3" t="s">
        <v>25</v>
      </c>
      <c r="H1094" s="3" t="s">
        <v>35</v>
      </c>
      <c r="I1094" s="6">
        <v>44378</v>
      </c>
      <c r="J1094" s="4">
        <v>0</v>
      </c>
      <c r="K1094" s="4">
        <v>0</v>
      </c>
      <c r="L1094" s="4">
        <v>0.192</v>
      </c>
      <c r="M1094" s="4">
        <v>0.192</v>
      </c>
      <c r="N1094" s="4">
        <v>0.192</v>
      </c>
      <c r="O1094" s="4">
        <v>0.192</v>
      </c>
      <c r="P1094" s="4">
        <v>0</v>
      </c>
      <c r="Q1094" s="3" t="s">
        <v>26</v>
      </c>
      <c r="R1094" s="3">
        <v>0</v>
      </c>
      <c r="S1094" s="4">
        <v>0</v>
      </c>
      <c r="T1094" s="4">
        <v>8</v>
      </c>
      <c r="U1094" s="4">
        <v>72</v>
      </c>
      <c r="V1094" s="4">
        <f>IF(ISERROR(VLOOKUP($S$1094,'TAR FIN'!$A$1:$O$99,15,0)),0,VLOOKUP($S$1094,'TAR FIN'!$A$1:$O$99,15,0))</f>
        <v>0</v>
      </c>
      <c r="W1094" s="4">
        <f>IF(ISERROR(VLOOKUP($T$1094,'TAR FIN'!$A$1:$O$99,15,0)),0,VLOOKUP($T$1094,'TAR FIN'!$A$1:$O$99,15,0))</f>
        <v>1557.74</v>
      </c>
      <c r="X1094" s="4">
        <f>IF(ISERROR(VLOOKUP($U$1094,'TAR FIN'!$A$1:$O$99,15,0)),0,VLOOKUP($U$1094,'TAR FIN'!$A$1:$O$99,15,0))</f>
        <v>346.61</v>
      </c>
      <c r="Y1094" s="4"/>
      <c r="Z1094" s="4">
        <f ca="1">('TUSD BE'!$AM$22+'TUSD BF'!$AM$22+'TUSD CVA'!$AM$22)*1</f>
        <v>1799.131999651745</v>
      </c>
      <c r="AA1094" s="4">
        <f>('TE BE'!$AA$7+'TE BF'!$AA$7+'TE CVA'!$AA$7)*1</f>
        <v>423.89652505413846</v>
      </c>
      <c r="AB1094" s="4">
        <f>$K$1094*$V$1094</f>
        <v>0</v>
      </c>
      <c r="AC1094" s="4">
        <f>$M$1094*$W$1094</f>
        <v>299.08607999999998</v>
      </c>
      <c r="AD1094" s="4">
        <f>$O$1094*$X$1094</f>
        <v>66.549120000000002</v>
      </c>
      <c r="AE1094" s="4">
        <f>$K$1094*$Y$1094</f>
        <v>0</v>
      </c>
      <c r="AF1094" s="4">
        <f ca="1">$M$1094*$Z$1094</f>
        <v>345.43334393313506</v>
      </c>
      <c r="AG1094" s="4">
        <f>$O$1094*$AA$1094</f>
        <v>81.38813281039458</v>
      </c>
    </row>
    <row r="1095" spans="1:33" ht="11.25" customHeight="1" x14ac:dyDescent="0.25">
      <c r="A1095" s="3" t="s">
        <v>21</v>
      </c>
      <c r="B1095" s="3" t="s">
        <v>33</v>
      </c>
      <c r="C1095" s="3" t="s">
        <v>34</v>
      </c>
      <c r="D1095" s="3" t="s">
        <v>24</v>
      </c>
      <c r="E1095" s="3" t="s">
        <v>24</v>
      </c>
      <c r="F1095" s="3" t="s">
        <v>25</v>
      </c>
      <c r="G1095" s="3" t="s">
        <v>25</v>
      </c>
      <c r="H1095" s="3" t="s">
        <v>35</v>
      </c>
      <c r="I1095" s="6">
        <v>44409</v>
      </c>
      <c r="J1095" s="4">
        <v>0</v>
      </c>
      <c r="K1095" s="4">
        <v>0</v>
      </c>
      <c r="L1095" s="4">
        <v>0.16700000000000001</v>
      </c>
      <c r="M1095" s="4">
        <v>0.16700000000000001</v>
      </c>
      <c r="N1095" s="4">
        <v>0.16700000000000001</v>
      </c>
      <c r="O1095" s="4">
        <v>0.16700000000000001</v>
      </c>
      <c r="P1095" s="4">
        <v>0</v>
      </c>
      <c r="Q1095" s="3" t="s">
        <v>26</v>
      </c>
      <c r="R1095" s="3">
        <v>0</v>
      </c>
      <c r="S1095" s="4">
        <v>0</v>
      </c>
      <c r="T1095" s="4">
        <v>8</v>
      </c>
      <c r="U1095" s="4">
        <v>72</v>
      </c>
      <c r="V1095" s="4">
        <f>IF(ISERROR(VLOOKUP($S$1095,'TAR FIN'!$A$1:$O$99,15,0)),0,VLOOKUP($S$1095,'TAR FIN'!$A$1:$O$99,15,0))</f>
        <v>0</v>
      </c>
      <c r="W1095" s="4">
        <f>IF(ISERROR(VLOOKUP($T$1095,'TAR FIN'!$A$1:$O$99,15,0)),0,VLOOKUP($T$1095,'TAR FIN'!$A$1:$O$99,15,0))</f>
        <v>1557.74</v>
      </c>
      <c r="X1095" s="4">
        <f>IF(ISERROR(VLOOKUP($U$1095,'TAR FIN'!$A$1:$O$99,15,0)),0,VLOOKUP($U$1095,'TAR FIN'!$A$1:$O$99,15,0))</f>
        <v>346.61</v>
      </c>
      <c r="Y1095" s="4"/>
      <c r="Z1095" s="4">
        <f ca="1">('TUSD BE'!$AM$22+'TUSD BF'!$AM$22+'TUSD CVA'!$AM$22)*1</f>
        <v>1799.131999651745</v>
      </c>
      <c r="AA1095" s="4">
        <f>('TE BE'!$AA$7+'TE BF'!$AA$7+'TE CVA'!$AA$7)*1</f>
        <v>423.89652505413846</v>
      </c>
      <c r="AB1095" s="4">
        <f>$K$1095*$V$1095</f>
        <v>0</v>
      </c>
      <c r="AC1095" s="4">
        <f>$M$1095*$W$1095</f>
        <v>260.14258000000001</v>
      </c>
      <c r="AD1095" s="4">
        <f>$O$1095*$X$1095</f>
        <v>57.883870000000009</v>
      </c>
      <c r="AE1095" s="4">
        <f>$K$1095*$Y$1095</f>
        <v>0</v>
      </c>
      <c r="AF1095" s="4">
        <f ca="1">$M$1095*$Z$1095</f>
        <v>300.45504394184144</v>
      </c>
      <c r="AG1095" s="4">
        <f>$O$1095*$AA$1095</f>
        <v>70.790719684041122</v>
      </c>
    </row>
    <row r="1096" spans="1:33" ht="11.25" customHeight="1" x14ac:dyDescent="0.25">
      <c r="A1096" s="3" t="s">
        <v>21</v>
      </c>
      <c r="B1096" s="3" t="s">
        <v>33</v>
      </c>
      <c r="C1096" s="3" t="s">
        <v>34</v>
      </c>
      <c r="D1096" s="3" t="s">
        <v>24</v>
      </c>
      <c r="E1096" s="3" t="s">
        <v>24</v>
      </c>
      <c r="F1096" s="3" t="s">
        <v>25</v>
      </c>
      <c r="G1096" s="3" t="s">
        <v>25</v>
      </c>
      <c r="H1096" s="3" t="s">
        <v>35</v>
      </c>
      <c r="I1096" s="6">
        <v>44440</v>
      </c>
      <c r="J1096" s="4">
        <v>0</v>
      </c>
      <c r="K1096" s="4">
        <v>0</v>
      </c>
      <c r="L1096" s="4">
        <v>0.189</v>
      </c>
      <c r="M1096" s="4">
        <v>0.189</v>
      </c>
      <c r="N1096" s="4">
        <v>0.189</v>
      </c>
      <c r="O1096" s="4">
        <v>0.189</v>
      </c>
      <c r="P1096" s="4">
        <v>0</v>
      </c>
      <c r="Q1096" s="3" t="s">
        <v>26</v>
      </c>
      <c r="R1096" s="3">
        <v>0</v>
      </c>
      <c r="S1096" s="4">
        <v>0</v>
      </c>
      <c r="T1096" s="4">
        <v>8</v>
      </c>
      <c r="U1096" s="4">
        <v>72</v>
      </c>
      <c r="V1096" s="4">
        <f>IF(ISERROR(VLOOKUP($S$1096,'TAR FIN'!$A$1:$O$99,15,0)),0,VLOOKUP($S$1096,'TAR FIN'!$A$1:$O$99,15,0))</f>
        <v>0</v>
      </c>
      <c r="W1096" s="4">
        <f>IF(ISERROR(VLOOKUP($T$1096,'TAR FIN'!$A$1:$O$99,15,0)),0,VLOOKUP($T$1096,'TAR FIN'!$A$1:$O$99,15,0))</f>
        <v>1557.74</v>
      </c>
      <c r="X1096" s="4">
        <f>IF(ISERROR(VLOOKUP($U$1096,'TAR FIN'!$A$1:$O$99,15,0)),0,VLOOKUP($U$1096,'TAR FIN'!$A$1:$O$99,15,0))</f>
        <v>346.61</v>
      </c>
      <c r="Y1096" s="4"/>
      <c r="Z1096" s="4">
        <f ca="1">('TUSD BE'!$AM$22+'TUSD BF'!$AM$22+'TUSD CVA'!$AM$22)*1</f>
        <v>1799.131999651745</v>
      </c>
      <c r="AA1096" s="4">
        <f>('TE BE'!$AA$7+'TE BF'!$AA$7+'TE CVA'!$AA$7)*1</f>
        <v>423.89652505413846</v>
      </c>
      <c r="AB1096" s="4">
        <f>$K$1096*$V$1096</f>
        <v>0</v>
      </c>
      <c r="AC1096" s="4">
        <f>$M$1096*$W$1096</f>
        <v>294.41286000000002</v>
      </c>
      <c r="AD1096" s="4">
        <f>$O$1096*$X$1096</f>
        <v>65.509290000000007</v>
      </c>
      <c r="AE1096" s="4">
        <f>$K$1096*$Y$1096</f>
        <v>0</v>
      </c>
      <c r="AF1096" s="4">
        <f ca="1">$M$1096*$Z$1096</f>
        <v>340.03594793417983</v>
      </c>
      <c r="AG1096" s="4">
        <f>$O$1096*$AA$1096</f>
        <v>80.116443235232168</v>
      </c>
    </row>
    <row r="1097" spans="1:33" ht="11.25" customHeight="1" x14ac:dyDescent="0.25">
      <c r="A1097" s="3" t="s">
        <v>21</v>
      </c>
      <c r="B1097" s="3" t="s">
        <v>33</v>
      </c>
      <c r="C1097" s="3" t="s">
        <v>34</v>
      </c>
      <c r="D1097" s="3" t="s">
        <v>24</v>
      </c>
      <c r="E1097" s="3" t="s">
        <v>24</v>
      </c>
      <c r="F1097" s="3" t="s">
        <v>25</v>
      </c>
      <c r="G1097" s="3" t="s">
        <v>25</v>
      </c>
      <c r="H1097" s="3" t="s">
        <v>35</v>
      </c>
      <c r="I1097" s="6">
        <v>44470</v>
      </c>
      <c r="J1097" s="4">
        <v>0</v>
      </c>
      <c r="K1097" s="4">
        <v>0</v>
      </c>
      <c r="L1097" s="4">
        <v>0.17799999999999999</v>
      </c>
      <c r="M1097" s="4">
        <v>0.17799999999999999</v>
      </c>
      <c r="N1097" s="4">
        <v>0.17799999999999999</v>
      </c>
      <c r="O1097" s="4">
        <v>0.17799999999999999</v>
      </c>
      <c r="P1097" s="4">
        <v>0</v>
      </c>
      <c r="Q1097" s="3" t="s">
        <v>26</v>
      </c>
      <c r="R1097" s="3">
        <v>0</v>
      </c>
      <c r="S1097" s="4">
        <v>0</v>
      </c>
      <c r="T1097" s="4">
        <v>8</v>
      </c>
      <c r="U1097" s="4">
        <v>72</v>
      </c>
      <c r="V1097" s="4">
        <f>IF(ISERROR(VLOOKUP($S$1097,'TAR FIN'!$A$1:$O$99,15,0)),0,VLOOKUP($S$1097,'TAR FIN'!$A$1:$O$99,15,0))</f>
        <v>0</v>
      </c>
      <c r="W1097" s="4">
        <f>IF(ISERROR(VLOOKUP($T$1097,'TAR FIN'!$A$1:$O$99,15,0)),0,VLOOKUP($T$1097,'TAR FIN'!$A$1:$O$99,15,0))</f>
        <v>1557.74</v>
      </c>
      <c r="X1097" s="4">
        <f>IF(ISERROR(VLOOKUP($U$1097,'TAR FIN'!$A$1:$O$99,15,0)),0,VLOOKUP($U$1097,'TAR FIN'!$A$1:$O$99,15,0))</f>
        <v>346.61</v>
      </c>
      <c r="Y1097" s="4"/>
      <c r="Z1097" s="4">
        <f ca="1">('TUSD BE'!$AM$22+'TUSD BF'!$AM$22+'TUSD CVA'!$AM$22)*1</f>
        <v>1799.131999651745</v>
      </c>
      <c r="AA1097" s="4">
        <f>('TE BE'!$AA$7+'TE BF'!$AA$7+'TE CVA'!$AA$7)*1</f>
        <v>423.89652505413846</v>
      </c>
      <c r="AB1097" s="4">
        <f>$K$1097*$V$1097</f>
        <v>0</v>
      </c>
      <c r="AC1097" s="4">
        <f>$M$1097*$W$1097</f>
        <v>277.27771999999999</v>
      </c>
      <c r="AD1097" s="4">
        <f>$O$1097*$X$1097</f>
        <v>61.696579999999997</v>
      </c>
      <c r="AE1097" s="4">
        <f>$K$1097*$Y$1097</f>
        <v>0</v>
      </c>
      <c r="AF1097" s="4">
        <f ca="1">$M$1097*$Z$1097</f>
        <v>320.24549593801061</v>
      </c>
      <c r="AG1097" s="4">
        <f>$O$1097*$AA$1097</f>
        <v>75.453581459636638</v>
      </c>
    </row>
    <row r="1098" spans="1:33" ht="11.25" customHeight="1" x14ac:dyDescent="0.25">
      <c r="A1098" s="3" t="s">
        <v>21</v>
      </c>
      <c r="B1098" s="3" t="s">
        <v>33</v>
      </c>
      <c r="C1098" s="3" t="s">
        <v>34</v>
      </c>
      <c r="D1098" s="3" t="s">
        <v>24</v>
      </c>
      <c r="E1098" s="3" t="s">
        <v>24</v>
      </c>
      <c r="F1098" s="3" t="s">
        <v>25</v>
      </c>
      <c r="G1098" s="3" t="s">
        <v>25</v>
      </c>
      <c r="H1098" s="3" t="s">
        <v>35</v>
      </c>
      <c r="I1098" s="6">
        <v>44501</v>
      </c>
      <c r="J1098" s="4">
        <v>0</v>
      </c>
      <c r="K1098" s="4">
        <v>0</v>
      </c>
      <c r="L1098" s="4">
        <v>0.19800000000000001</v>
      </c>
      <c r="M1098" s="4">
        <v>0.19800000000000001</v>
      </c>
      <c r="N1098" s="4">
        <v>0.19800000000000001</v>
      </c>
      <c r="O1098" s="4">
        <v>0.19800000000000001</v>
      </c>
      <c r="P1098" s="4">
        <v>0</v>
      </c>
      <c r="Q1098" s="3" t="s">
        <v>26</v>
      </c>
      <c r="R1098" s="3">
        <v>0</v>
      </c>
      <c r="S1098" s="4">
        <v>0</v>
      </c>
      <c r="T1098" s="4">
        <v>8</v>
      </c>
      <c r="U1098" s="4">
        <v>72</v>
      </c>
      <c r="V1098" s="4">
        <f>IF(ISERROR(VLOOKUP($S$1098,'TAR FIN'!$A$1:$O$99,15,0)),0,VLOOKUP($S$1098,'TAR FIN'!$A$1:$O$99,15,0))</f>
        <v>0</v>
      </c>
      <c r="W1098" s="4">
        <f>IF(ISERROR(VLOOKUP($T$1098,'TAR FIN'!$A$1:$O$99,15,0)),0,VLOOKUP($T$1098,'TAR FIN'!$A$1:$O$99,15,0))</f>
        <v>1557.74</v>
      </c>
      <c r="X1098" s="4">
        <f>IF(ISERROR(VLOOKUP($U$1098,'TAR FIN'!$A$1:$O$99,15,0)),0,VLOOKUP($U$1098,'TAR FIN'!$A$1:$O$99,15,0))</f>
        <v>346.61</v>
      </c>
      <c r="Y1098" s="4"/>
      <c r="Z1098" s="4">
        <f ca="1">('TUSD BE'!$AM$22+'TUSD BF'!$AM$22+'TUSD CVA'!$AM$22)*1</f>
        <v>1799.131999651745</v>
      </c>
      <c r="AA1098" s="4">
        <f>('TE BE'!$AA$7+'TE BF'!$AA$7+'TE CVA'!$AA$7)*1</f>
        <v>423.89652505413846</v>
      </c>
      <c r="AB1098" s="4">
        <f>$K$1098*$V$1098</f>
        <v>0</v>
      </c>
      <c r="AC1098" s="4">
        <f>$M$1098*$W$1098</f>
        <v>308.43252000000001</v>
      </c>
      <c r="AD1098" s="4">
        <f>$O$1098*$X$1098</f>
        <v>68.628780000000006</v>
      </c>
      <c r="AE1098" s="4">
        <f>$K$1098*$Y$1098</f>
        <v>0</v>
      </c>
      <c r="AF1098" s="4">
        <f ca="1">$M$1098*$Z$1098</f>
        <v>356.22813593104553</v>
      </c>
      <c r="AG1098" s="4">
        <f>$O$1098*$AA$1098</f>
        <v>83.931511960719419</v>
      </c>
    </row>
    <row r="1099" spans="1:33" ht="11.25" customHeight="1" x14ac:dyDescent="0.25">
      <c r="A1099" s="3" t="s">
        <v>21</v>
      </c>
      <c r="B1099" s="3" t="s">
        <v>33</v>
      </c>
      <c r="C1099" s="3" t="s">
        <v>34</v>
      </c>
      <c r="D1099" s="3" t="s">
        <v>24</v>
      </c>
      <c r="E1099" s="3" t="s">
        <v>24</v>
      </c>
      <c r="F1099" s="3" t="s">
        <v>25</v>
      </c>
      <c r="G1099" s="3" t="s">
        <v>25</v>
      </c>
      <c r="H1099" s="3" t="s">
        <v>35</v>
      </c>
      <c r="I1099" s="6">
        <v>44531</v>
      </c>
      <c r="J1099" s="4">
        <v>0</v>
      </c>
      <c r="K1099" s="4">
        <v>0</v>
      </c>
      <c r="L1099" s="4">
        <v>0.21</v>
      </c>
      <c r="M1099" s="4">
        <v>0.21</v>
      </c>
      <c r="N1099" s="4">
        <v>0.21</v>
      </c>
      <c r="O1099" s="4">
        <v>0.21</v>
      </c>
      <c r="P1099" s="4">
        <v>0</v>
      </c>
      <c r="Q1099" s="3" t="s">
        <v>26</v>
      </c>
      <c r="R1099" s="3">
        <v>0</v>
      </c>
      <c r="S1099" s="4">
        <v>0</v>
      </c>
      <c r="T1099" s="4">
        <v>8</v>
      </c>
      <c r="U1099" s="4">
        <v>72</v>
      </c>
      <c r="V1099" s="4">
        <f>IF(ISERROR(VLOOKUP($S$1099,'TAR FIN'!$A$1:$O$99,15,0)),0,VLOOKUP($S$1099,'TAR FIN'!$A$1:$O$99,15,0))</f>
        <v>0</v>
      </c>
      <c r="W1099" s="4">
        <f>IF(ISERROR(VLOOKUP($T$1099,'TAR FIN'!$A$1:$O$99,15,0)),0,VLOOKUP($T$1099,'TAR FIN'!$A$1:$O$99,15,0))</f>
        <v>1557.74</v>
      </c>
      <c r="X1099" s="4">
        <f>IF(ISERROR(VLOOKUP($U$1099,'TAR FIN'!$A$1:$O$99,15,0)),0,VLOOKUP($U$1099,'TAR FIN'!$A$1:$O$99,15,0))</f>
        <v>346.61</v>
      </c>
      <c r="Y1099" s="4"/>
      <c r="Z1099" s="4">
        <f ca="1">('TUSD BE'!$AM$22+'TUSD BF'!$AM$22+'TUSD CVA'!$AM$22)*1</f>
        <v>1799.131999651745</v>
      </c>
      <c r="AA1099" s="4">
        <f>('TE BE'!$AA$7+'TE BF'!$AA$7+'TE CVA'!$AA$7)*1</f>
        <v>423.89652505413846</v>
      </c>
      <c r="AB1099" s="4">
        <f>$K$1099*$V$1099</f>
        <v>0</v>
      </c>
      <c r="AC1099" s="4">
        <f>$M$1099*$W$1099</f>
        <v>327.12540000000001</v>
      </c>
      <c r="AD1099" s="4">
        <f>$O$1099*$X$1099</f>
        <v>72.7881</v>
      </c>
      <c r="AE1099" s="4">
        <f>$K$1099*$Y$1099</f>
        <v>0</v>
      </c>
      <c r="AF1099" s="4">
        <f ca="1">$M$1099*$Z$1099</f>
        <v>377.81771992686646</v>
      </c>
      <c r="AG1099" s="4">
        <f>$O$1099*$AA$1099</f>
        <v>89.018270261369068</v>
      </c>
    </row>
    <row r="1100" spans="1:33" ht="11.25" customHeight="1" x14ac:dyDescent="0.25">
      <c r="A1100" s="3" t="s">
        <v>21</v>
      </c>
      <c r="B1100" s="3" t="s">
        <v>33</v>
      </c>
      <c r="C1100" s="3" t="s">
        <v>34</v>
      </c>
      <c r="D1100" s="3" t="s">
        <v>24</v>
      </c>
      <c r="E1100" s="3" t="s">
        <v>24</v>
      </c>
      <c r="F1100" s="3" t="s">
        <v>25</v>
      </c>
      <c r="G1100" s="3" t="s">
        <v>25</v>
      </c>
      <c r="H1100" s="3" t="s">
        <v>35</v>
      </c>
      <c r="I1100" s="6">
        <v>44562</v>
      </c>
      <c r="J1100" s="4">
        <v>0</v>
      </c>
      <c r="K1100" s="4">
        <v>0</v>
      </c>
      <c r="L1100" s="4">
        <v>0.185</v>
      </c>
      <c r="M1100" s="4">
        <v>0.185</v>
      </c>
      <c r="N1100" s="4">
        <v>0.185</v>
      </c>
      <c r="O1100" s="4">
        <v>0.185</v>
      </c>
      <c r="P1100" s="4">
        <v>0</v>
      </c>
      <c r="Q1100" s="3" t="s">
        <v>26</v>
      </c>
      <c r="R1100" s="3">
        <v>0</v>
      </c>
      <c r="S1100" s="4">
        <v>0</v>
      </c>
      <c r="T1100" s="4">
        <v>8</v>
      </c>
      <c r="U1100" s="4">
        <v>72</v>
      </c>
      <c r="V1100" s="4">
        <f>IF(ISERROR(VLOOKUP($S$1100,'TAR FIN'!$A$1:$O$99,15,0)),0,VLOOKUP($S$1100,'TAR FIN'!$A$1:$O$99,15,0))</f>
        <v>0</v>
      </c>
      <c r="W1100" s="4">
        <f>IF(ISERROR(VLOOKUP($T$1100,'TAR FIN'!$A$1:$O$99,15,0)),0,VLOOKUP($T$1100,'TAR FIN'!$A$1:$O$99,15,0))</f>
        <v>1557.74</v>
      </c>
      <c r="X1100" s="4">
        <f>IF(ISERROR(VLOOKUP($U$1100,'TAR FIN'!$A$1:$O$99,15,0)),0,VLOOKUP($U$1100,'TAR FIN'!$A$1:$O$99,15,0))</f>
        <v>346.61</v>
      </c>
      <c r="Y1100" s="4"/>
      <c r="Z1100" s="4">
        <f ca="1">('TUSD BE'!$AM$22+'TUSD BF'!$AM$22+'TUSD CVA'!$AM$22)*1</f>
        <v>1799.131999651745</v>
      </c>
      <c r="AA1100" s="4">
        <f>('TE BE'!$AA$7+'TE BF'!$AA$7+'TE CVA'!$AA$7)*1</f>
        <v>423.89652505413846</v>
      </c>
      <c r="AB1100" s="4">
        <f>$K$1100*$V$1100</f>
        <v>0</v>
      </c>
      <c r="AC1100" s="4">
        <f>$M$1100*$W$1100</f>
        <v>288.18189999999998</v>
      </c>
      <c r="AD1100" s="4">
        <f>$O$1100*$X$1100</f>
        <v>64.12285</v>
      </c>
      <c r="AE1100" s="4">
        <f>$K$1100*$Y$1100</f>
        <v>0</v>
      </c>
      <c r="AF1100" s="4">
        <f ca="1">$M$1100*$Z$1100</f>
        <v>332.83941993557283</v>
      </c>
      <c r="AG1100" s="4">
        <f>$O$1100*$AA$1100</f>
        <v>78.420857135015609</v>
      </c>
    </row>
    <row r="1101" spans="1:33" ht="11.25" customHeight="1" x14ac:dyDescent="0.25">
      <c r="A1101" s="3" t="s">
        <v>28</v>
      </c>
      <c r="B1101" s="3" t="s">
        <v>33</v>
      </c>
      <c r="C1101" s="3" t="s">
        <v>34</v>
      </c>
      <c r="D1101" s="3" t="s">
        <v>24</v>
      </c>
      <c r="E1101" s="3" t="s">
        <v>24</v>
      </c>
      <c r="F1101" s="3" t="s">
        <v>25</v>
      </c>
      <c r="G1101" s="3" t="s">
        <v>25</v>
      </c>
      <c r="H1101" s="3" t="s">
        <v>35</v>
      </c>
      <c r="I1101" s="6">
        <v>44562</v>
      </c>
      <c r="J1101" s="4">
        <v>0</v>
      </c>
      <c r="K1101" s="4">
        <v>0</v>
      </c>
      <c r="L1101" s="4">
        <v>2.3E-2</v>
      </c>
      <c r="M1101" s="4">
        <v>2.3E-2</v>
      </c>
      <c r="N1101" s="4">
        <v>2.3E-2</v>
      </c>
      <c r="O1101" s="4">
        <v>2.3E-2</v>
      </c>
      <c r="P1101" s="4">
        <v>0</v>
      </c>
      <c r="Q1101" s="3" t="s">
        <v>26</v>
      </c>
      <c r="R1101" s="3">
        <v>0</v>
      </c>
      <c r="S1101" s="4">
        <v>0</v>
      </c>
      <c r="T1101" s="4">
        <v>8</v>
      </c>
      <c r="U1101" s="4">
        <v>72</v>
      </c>
      <c r="V1101" s="4">
        <f>IF(ISERROR(VLOOKUP($S$1101,'TAR FIN'!$A$1:$O$99,15,0)),0,VLOOKUP($S$1101,'TAR FIN'!$A$1:$O$99,15,0))</f>
        <v>0</v>
      </c>
      <c r="W1101" s="4">
        <f>IF(ISERROR(VLOOKUP($T$1101,'TAR FIN'!$A$1:$O$99,15,0)),0,VLOOKUP($T$1101,'TAR FIN'!$A$1:$O$99,15,0))</f>
        <v>1557.74</v>
      </c>
      <c r="X1101" s="4">
        <f>IF(ISERROR(VLOOKUP($U$1101,'TAR FIN'!$A$1:$O$99,15,0)),0,VLOOKUP($U$1101,'TAR FIN'!$A$1:$O$99,15,0))</f>
        <v>346.61</v>
      </c>
      <c r="Y1101" s="4"/>
      <c r="Z1101" s="4">
        <f ca="1">('TUSD BE'!$AM$22+'TUSD BF'!$AM$22+'TUSD CVA'!$AM$22)*1</f>
        <v>1799.131999651745</v>
      </c>
      <c r="AA1101" s="4">
        <f>('TE BE'!$AA$7+'TE BF'!$AA$7+'TE CVA'!$AA$7)*1</f>
        <v>423.89652505413846</v>
      </c>
      <c r="AB1101" s="4">
        <f>$K$1101*$V$1101</f>
        <v>0</v>
      </c>
      <c r="AC1101" s="4">
        <f>$M$1101*$W$1101</f>
        <v>35.828020000000002</v>
      </c>
      <c r="AD1101" s="4">
        <f>$O$1101*$X$1101</f>
        <v>7.9720300000000002</v>
      </c>
      <c r="AE1101" s="4">
        <f>$K$1101*$Y$1101</f>
        <v>0</v>
      </c>
      <c r="AF1101" s="4">
        <f ca="1">$M$1101*$Z$1101</f>
        <v>41.380035991990134</v>
      </c>
      <c r="AG1101" s="4">
        <f>$O$1101*$AA$1101</f>
        <v>9.7496200762451846</v>
      </c>
    </row>
    <row r="1102" spans="1:33" ht="11.25" customHeight="1" x14ac:dyDescent="0.25">
      <c r="A1102" s="3" t="s">
        <v>21</v>
      </c>
      <c r="B1102" s="3" t="s">
        <v>33</v>
      </c>
      <c r="C1102" s="3" t="s">
        <v>34</v>
      </c>
      <c r="D1102" s="3" t="s">
        <v>24</v>
      </c>
      <c r="E1102" s="3" t="s">
        <v>24</v>
      </c>
      <c r="F1102" s="3" t="s">
        <v>25</v>
      </c>
      <c r="G1102" s="3" t="s">
        <v>25</v>
      </c>
      <c r="H1102" s="3" t="s">
        <v>35</v>
      </c>
      <c r="I1102" s="6">
        <v>44593</v>
      </c>
      <c r="J1102" s="4">
        <v>0</v>
      </c>
      <c r="K1102" s="4">
        <v>0</v>
      </c>
      <c r="L1102" s="4">
        <v>0.371</v>
      </c>
      <c r="M1102" s="4">
        <v>0.371</v>
      </c>
      <c r="N1102" s="4">
        <v>0.371</v>
      </c>
      <c r="O1102" s="4">
        <v>0.371</v>
      </c>
      <c r="P1102" s="4">
        <v>0</v>
      </c>
      <c r="Q1102" s="3" t="s">
        <v>26</v>
      </c>
      <c r="R1102" s="3">
        <v>0</v>
      </c>
      <c r="S1102" s="4">
        <v>0</v>
      </c>
      <c r="T1102" s="4">
        <v>8</v>
      </c>
      <c r="U1102" s="4">
        <v>72</v>
      </c>
      <c r="V1102" s="4">
        <f>IF(ISERROR(VLOOKUP($S$1102,'TAR FIN'!$A$1:$O$99,15,0)),0,VLOOKUP($S$1102,'TAR FIN'!$A$1:$O$99,15,0))</f>
        <v>0</v>
      </c>
      <c r="W1102" s="4">
        <f>IF(ISERROR(VLOOKUP($T$1102,'TAR FIN'!$A$1:$O$99,15,0)),0,VLOOKUP($T$1102,'TAR FIN'!$A$1:$O$99,15,0))</f>
        <v>1557.74</v>
      </c>
      <c r="X1102" s="4">
        <f>IF(ISERROR(VLOOKUP($U$1102,'TAR FIN'!$A$1:$O$99,15,0)),0,VLOOKUP($U$1102,'TAR FIN'!$A$1:$O$99,15,0))</f>
        <v>346.61</v>
      </c>
      <c r="Y1102" s="4"/>
      <c r="Z1102" s="4">
        <f ca="1">('TUSD BE'!$AM$22+'TUSD BF'!$AM$22+'TUSD CVA'!$AM$22)*1</f>
        <v>1799.131999651745</v>
      </c>
      <c r="AA1102" s="4">
        <f>('TE BE'!$AA$7+'TE BF'!$AA$7+'TE CVA'!$AA$7)*1</f>
        <v>423.89652505413846</v>
      </c>
      <c r="AB1102" s="4">
        <f>$K$1102*$V$1102</f>
        <v>0</v>
      </c>
      <c r="AC1102" s="4">
        <f>$M$1102*$W$1102</f>
        <v>577.92154000000005</v>
      </c>
      <c r="AD1102" s="4">
        <f>$O$1102*$X$1102</f>
        <v>128.59231</v>
      </c>
      <c r="AE1102" s="4">
        <f>$K$1102*$Y$1102</f>
        <v>0</v>
      </c>
      <c r="AF1102" s="4">
        <f ca="1">$M$1102*$Z$1102</f>
        <v>667.47797187079743</v>
      </c>
      <c r="AG1102" s="4">
        <f>$O$1102*$AA$1102</f>
        <v>157.26561079508537</v>
      </c>
    </row>
    <row r="1103" spans="1:33" ht="11.25" customHeight="1" x14ac:dyDescent="0.25">
      <c r="A1103" s="3" t="s">
        <v>28</v>
      </c>
      <c r="B1103" s="3" t="s">
        <v>33</v>
      </c>
      <c r="C1103" s="3" t="s">
        <v>34</v>
      </c>
      <c r="D1103" s="3" t="s">
        <v>24</v>
      </c>
      <c r="E1103" s="3" t="s">
        <v>24</v>
      </c>
      <c r="F1103" s="3" t="s">
        <v>25</v>
      </c>
      <c r="G1103" s="3" t="s">
        <v>25</v>
      </c>
      <c r="H1103" s="3" t="s">
        <v>35</v>
      </c>
      <c r="I1103" s="6">
        <v>44593</v>
      </c>
      <c r="J1103" s="4">
        <v>0</v>
      </c>
      <c r="K1103" s="4">
        <v>0</v>
      </c>
      <c r="L1103" s="4">
        <v>2.3E-2</v>
      </c>
      <c r="M1103" s="4">
        <v>2.3E-2</v>
      </c>
      <c r="N1103" s="4">
        <v>2.3E-2</v>
      </c>
      <c r="O1103" s="4">
        <v>2.3E-2</v>
      </c>
      <c r="P1103" s="4">
        <v>0</v>
      </c>
      <c r="Q1103" s="3" t="s">
        <v>26</v>
      </c>
      <c r="R1103" s="3">
        <v>0</v>
      </c>
      <c r="S1103" s="4">
        <v>0</v>
      </c>
      <c r="T1103" s="4">
        <v>8</v>
      </c>
      <c r="U1103" s="4">
        <v>72</v>
      </c>
      <c r="V1103" s="4">
        <f>IF(ISERROR(VLOOKUP($S$1103,'TAR FIN'!$A$1:$O$99,15,0)),0,VLOOKUP($S$1103,'TAR FIN'!$A$1:$O$99,15,0))</f>
        <v>0</v>
      </c>
      <c r="W1103" s="4">
        <f>IF(ISERROR(VLOOKUP($T$1103,'TAR FIN'!$A$1:$O$99,15,0)),0,VLOOKUP($T$1103,'TAR FIN'!$A$1:$O$99,15,0))</f>
        <v>1557.74</v>
      </c>
      <c r="X1103" s="4">
        <f>IF(ISERROR(VLOOKUP($U$1103,'TAR FIN'!$A$1:$O$99,15,0)),0,VLOOKUP($U$1103,'TAR FIN'!$A$1:$O$99,15,0))</f>
        <v>346.61</v>
      </c>
      <c r="Y1103" s="4"/>
      <c r="Z1103" s="4">
        <f ca="1">('TUSD BE'!$AM$22+'TUSD BF'!$AM$22+'TUSD CVA'!$AM$22)*1</f>
        <v>1799.131999651745</v>
      </c>
      <c r="AA1103" s="4">
        <f>('TE BE'!$AA$7+'TE BF'!$AA$7+'TE CVA'!$AA$7)*1</f>
        <v>423.89652505413846</v>
      </c>
      <c r="AB1103" s="4">
        <f>$K$1103*$V$1103</f>
        <v>0</v>
      </c>
      <c r="AC1103" s="4">
        <f>$M$1103*$W$1103</f>
        <v>35.828020000000002</v>
      </c>
      <c r="AD1103" s="4">
        <f>$O$1103*$X$1103</f>
        <v>7.9720300000000002</v>
      </c>
      <c r="AE1103" s="4">
        <f>$K$1103*$Y$1103</f>
        <v>0</v>
      </c>
      <c r="AF1103" s="4">
        <f ca="1">$M$1103*$Z$1103</f>
        <v>41.380035991990134</v>
      </c>
      <c r="AG1103" s="4">
        <f>$O$1103*$AA$1103</f>
        <v>9.7496200762451846</v>
      </c>
    </row>
    <row r="1104" spans="1:33" ht="11.25" customHeight="1" x14ac:dyDescent="0.25">
      <c r="A1104" s="3" t="s">
        <v>21</v>
      </c>
      <c r="B1104" s="3" t="s">
        <v>33</v>
      </c>
      <c r="C1104" s="3" t="s">
        <v>34</v>
      </c>
      <c r="D1104" s="3" t="s">
        <v>24</v>
      </c>
      <c r="E1104" s="3" t="s">
        <v>24</v>
      </c>
      <c r="F1104" s="3" t="s">
        <v>25</v>
      </c>
      <c r="G1104" s="3" t="s">
        <v>25</v>
      </c>
      <c r="H1104" s="3" t="s">
        <v>35</v>
      </c>
      <c r="I1104" s="6">
        <v>44621</v>
      </c>
      <c r="J1104" s="4">
        <v>0</v>
      </c>
      <c r="K1104" s="4">
        <v>0</v>
      </c>
      <c r="L1104" s="4">
        <v>0.625</v>
      </c>
      <c r="M1104" s="4">
        <v>0.625</v>
      </c>
      <c r="N1104" s="4">
        <v>0.625</v>
      </c>
      <c r="O1104" s="4">
        <v>0.625</v>
      </c>
      <c r="P1104" s="4">
        <v>0</v>
      </c>
      <c r="Q1104" s="3" t="s">
        <v>26</v>
      </c>
      <c r="R1104" s="3">
        <v>0</v>
      </c>
      <c r="S1104" s="4">
        <v>0</v>
      </c>
      <c r="T1104" s="4">
        <v>8</v>
      </c>
      <c r="U1104" s="4">
        <v>72</v>
      </c>
      <c r="V1104" s="4">
        <f>IF(ISERROR(VLOOKUP($S$1104,'TAR FIN'!$A$1:$O$99,15,0)),0,VLOOKUP($S$1104,'TAR FIN'!$A$1:$O$99,15,0))</f>
        <v>0</v>
      </c>
      <c r="W1104" s="4">
        <f>IF(ISERROR(VLOOKUP($T$1104,'TAR FIN'!$A$1:$O$99,15,0)),0,VLOOKUP($T$1104,'TAR FIN'!$A$1:$O$99,15,0))</f>
        <v>1557.74</v>
      </c>
      <c r="X1104" s="4">
        <f>IF(ISERROR(VLOOKUP($U$1104,'TAR FIN'!$A$1:$O$99,15,0)),0,VLOOKUP($U$1104,'TAR FIN'!$A$1:$O$99,15,0))</f>
        <v>346.61</v>
      </c>
      <c r="Y1104" s="4"/>
      <c r="Z1104" s="4">
        <f ca="1">('TUSD BE'!$AM$22+'TUSD BF'!$AM$22+'TUSD CVA'!$AM$22)*1</f>
        <v>1799.131999651745</v>
      </c>
      <c r="AA1104" s="4">
        <f>('TE BE'!$AA$7+'TE BF'!$AA$7+'TE CVA'!$AA$7)*1</f>
        <v>423.89652505413846</v>
      </c>
      <c r="AB1104" s="4">
        <f>$K$1104*$V$1104</f>
        <v>0</v>
      </c>
      <c r="AC1104" s="4">
        <f>$M$1104*$W$1104</f>
        <v>973.58749999999998</v>
      </c>
      <c r="AD1104" s="4">
        <f>$O$1104*$X$1104</f>
        <v>216.63125000000002</v>
      </c>
      <c r="AE1104" s="4">
        <f>$K$1104*$Y$1104</f>
        <v>0</v>
      </c>
      <c r="AF1104" s="4">
        <f ca="1">$M$1104*$Z$1104</f>
        <v>1124.4574997823406</v>
      </c>
      <c r="AG1104" s="4">
        <f>$O$1104*$AA$1104</f>
        <v>264.93532815883657</v>
      </c>
    </row>
    <row r="1105" spans="1:33" ht="11.25" customHeight="1" x14ac:dyDescent="0.25">
      <c r="A1105" s="3" t="s">
        <v>28</v>
      </c>
      <c r="B1105" s="3" t="s">
        <v>33</v>
      </c>
      <c r="C1105" s="3" t="s">
        <v>34</v>
      </c>
      <c r="D1105" s="3" t="s">
        <v>24</v>
      </c>
      <c r="E1105" s="3" t="s">
        <v>24</v>
      </c>
      <c r="F1105" s="3" t="s">
        <v>25</v>
      </c>
      <c r="G1105" s="3" t="s">
        <v>25</v>
      </c>
      <c r="H1105" s="3" t="s">
        <v>35</v>
      </c>
      <c r="I1105" s="6">
        <v>44621</v>
      </c>
      <c r="J1105" s="4">
        <v>0</v>
      </c>
      <c r="K1105" s="4">
        <v>0</v>
      </c>
      <c r="L1105" s="4">
        <v>2.8000000000000001E-2</v>
      </c>
      <c r="M1105" s="4">
        <v>2.8000000000000001E-2</v>
      </c>
      <c r="N1105" s="4">
        <v>2.8000000000000001E-2</v>
      </c>
      <c r="O1105" s="4">
        <v>2.8000000000000001E-2</v>
      </c>
      <c r="P1105" s="4">
        <v>0</v>
      </c>
      <c r="Q1105" s="3" t="s">
        <v>26</v>
      </c>
      <c r="R1105" s="3">
        <v>0</v>
      </c>
      <c r="S1105" s="4">
        <v>0</v>
      </c>
      <c r="T1105" s="4">
        <v>8</v>
      </c>
      <c r="U1105" s="4">
        <v>72</v>
      </c>
      <c r="V1105" s="4">
        <f>IF(ISERROR(VLOOKUP($S$1105,'TAR FIN'!$A$1:$O$99,15,0)),0,VLOOKUP($S$1105,'TAR FIN'!$A$1:$O$99,15,0))</f>
        <v>0</v>
      </c>
      <c r="W1105" s="4">
        <f>IF(ISERROR(VLOOKUP($T$1105,'TAR FIN'!$A$1:$O$99,15,0)),0,VLOOKUP($T$1105,'TAR FIN'!$A$1:$O$99,15,0))</f>
        <v>1557.74</v>
      </c>
      <c r="X1105" s="4">
        <f>IF(ISERROR(VLOOKUP($U$1105,'TAR FIN'!$A$1:$O$99,15,0)),0,VLOOKUP($U$1105,'TAR FIN'!$A$1:$O$99,15,0))</f>
        <v>346.61</v>
      </c>
      <c r="Y1105" s="4"/>
      <c r="Z1105" s="4">
        <f ca="1">('TUSD BE'!$AM$22+'TUSD BF'!$AM$22+'TUSD CVA'!$AM$22)*1</f>
        <v>1799.131999651745</v>
      </c>
      <c r="AA1105" s="4">
        <f>('TE BE'!$AA$7+'TE BF'!$AA$7+'TE CVA'!$AA$7)*1</f>
        <v>423.89652505413846</v>
      </c>
      <c r="AB1105" s="4">
        <f>$K$1105*$V$1105</f>
        <v>0</v>
      </c>
      <c r="AC1105" s="4">
        <f>$M$1105*$W$1105</f>
        <v>43.616720000000001</v>
      </c>
      <c r="AD1105" s="4">
        <f>$O$1105*$X$1105</f>
        <v>9.7050800000000006</v>
      </c>
      <c r="AE1105" s="4">
        <f>$K$1105*$Y$1105</f>
        <v>0</v>
      </c>
      <c r="AF1105" s="4">
        <f ca="1">$M$1105*$Z$1105</f>
        <v>50.375695990248857</v>
      </c>
      <c r="AG1105" s="4">
        <f>$O$1105*$AA$1105</f>
        <v>11.869102701515878</v>
      </c>
    </row>
    <row r="1106" spans="1:33" ht="11.25" customHeight="1" x14ac:dyDescent="0.25">
      <c r="A1106" s="3" t="s">
        <v>56</v>
      </c>
      <c r="B1106" s="3" t="s">
        <v>33</v>
      </c>
      <c r="C1106" s="3" t="s">
        <v>34</v>
      </c>
      <c r="D1106" s="3" t="s">
        <v>24</v>
      </c>
      <c r="E1106" s="3" t="s">
        <v>24</v>
      </c>
      <c r="F1106" s="3" t="s">
        <v>25</v>
      </c>
      <c r="G1106" s="3" t="s">
        <v>25</v>
      </c>
      <c r="H1106" s="3" t="s">
        <v>35</v>
      </c>
      <c r="I1106" s="6">
        <v>44652</v>
      </c>
      <c r="J1106" s="4">
        <v>0</v>
      </c>
      <c r="K1106" s="4">
        <v>0</v>
      </c>
      <c r="L1106" s="4">
        <v>0.625</v>
      </c>
      <c r="M1106" s="4">
        <v>0.625</v>
      </c>
      <c r="N1106" s="4">
        <v>0.625</v>
      </c>
      <c r="O1106" s="4">
        <v>0.625</v>
      </c>
      <c r="P1106" s="4">
        <v>0</v>
      </c>
      <c r="Q1106" s="3" t="s">
        <v>26</v>
      </c>
      <c r="R1106" s="3">
        <v>0</v>
      </c>
      <c r="S1106" s="4">
        <v>0</v>
      </c>
      <c r="T1106" s="4">
        <v>8</v>
      </c>
      <c r="U1106" s="4">
        <v>72</v>
      </c>
      <c r="V1106" s="4">
        <f>IF(ISERROR(VLOOKUP($S$1106,'TAR FIN'!$A$1:$O$99,15,0)),0,VLOOKUP($S$1106,'TAR FIN'!$A$1:$O$99,15,0))</f>
        <v>0</v>
      </c>
      <c r="W1106" s="4">
        <f>IF(ISERROR(VLOOKUP($T$1106,'TAR FIN'!$A$1:$O$99,15,0)),0,VLOOKUP($T$1106,'TAR FIN'!$A$1:$O$99,15,0))</f>
        <v>1557.74</v>
      </c>
      <c r="X1106" s="4">
        <f>IF(ISERROR(VLOOKUP($U$1106,'TAR FIN'!$A$1:$O$99,15,0)),0,VLOOKUP($U$1106,'TAR FIN'!$A$1:$O$99,15,0))</f>
        <v>346.61</v>
      </c>
      <c r="Y1106" s="4"/>
      <c r="Z1106" s="4">
        <f ca="1">('TUSD BE'!$AM$22+'TUSD BF'!$AM$22+'TUSD CVA'!$AM$22)*1</f>
        <v>1799.131999651745</v>
      </c>
      <c r="AA1106" s="4">
        <f>('TE BE'!$AA$7+'TE BF'!$AA$7+'TE CVA'!$AA$7)*1</f>
        <v>423.89652505413846</v>
      </c>
      <c r="AB1106" s="4">
        <f>$K$1106*$V$1106</f>
        <v>0</v>
      </c>
      <c r="AC1106" s="4">
        <f>$M$1106*$W$1106</f>
        <v>973.58749999999998</v>
      </c>
      <c r="AD1106" s="4">
        <f>$O$1106*$X$1106</f>
        <v>216.63125000000002</v>
      </c>
      <c r="AE1106" s="4">
        <f>$K$1106*$Y$1106</f>
        <v>0</v>
      </c>
      <c r="AF1106" s="4">
        <f ca="1">$M$1106*$Z$1106</f>
        <v>1124.4574997823406</v>
      </c>
      <c r="AG1106" s="4">
        <f>$O$1106*$AA$1106</f>
        <v>264.93532815883657</v>
      </c>
    </row>
    <row r="1107" spans="1:33" ht="11.25" customHeight="1" x14ac:dyDescent="0.25">
      <c r="A1107" s="3" t="s">
        <v>56</v>
      </c>
      <c r="B1107" s="3" t="s">
        <v>33</v>
      </c>
      <c r="C1107" s="3" t="s">
        <v>34</v>
      </c>
      <c r="D1107" s="3" t="s">
        <v>24</v>
      </c>
      <c r="E1107" s="3" t="s">
        <v>24</v>
      </c>
      <c r="F1107" s="3" t="s">
        <v>25</v>
      </c>
      <c r="G1107" s="3" t="s">
        <v>25</v>
      </c>
      <c r="H1107" s="3" t="s">
        <v>35</v>
      </c>
      <c r="I1107" s="6">
        <v>44652</v>
      </c>
      <c r="J1107" s="4">
        <v>0</v>
      </c>
      <c r="K1107" s="4">
        <v>0</v>
      </c>
      <c r="L1107" s="4">
        <v>2.8000000000000001E-2</v>
      </c>
      <c r="M1107" s="4">
        <v>2.8000000000000001E-2</v>
      </c>
      <c r="N1107" s="4">
        <v>2.8000000000000001E-2</v>
      </c>
      <c r="O1107" s="4">
        <v>2.8000000000000001E-2</v>
      </c>
      <c r="P1107" s="4">
        <v>0</v>
      </c>
      <c r="Q1107" s="3" t="s">
        <v>26</v>
      </c>
      <c r="R1107" s="3">
        <v>0</v>
      </c>
      <c r="S1107" s="4">
        <v>0</v>
      </c>
      <c r="T1107" s="4">
        <v>8</v>
      </c>
      <c r="U1107" s="4">
        <v>72</v>
      </c>
      <c r="V1107" s="4">
        <f>IF(ISERROR(VLOOKUP($S$1107,'TAR FIN'!$A$1:$O$99,15,0)),0,VLOOKUP($S$1107,'TAR FIN'!$A$1:$O$99,15,0))</f>
        <v>0</v>
      </c>
      <c r="W1107" s="4">
        <f>IF(ISERROR(VLOOKUP($T$1107,'TAR FIN'!$A$1:$O$99,15,0)),0,VLOOKUP($T$1107,'TAR FIN'!$A$1:$O$99,15,0))</f>
        <v>1557.74</v>
      </c>
      <c r="X1107" s="4">
        <f>IF(ISERROR(VLOOKUP($U$1107,'TAR FIN'!$A$1:$O$99,15,0)),0,VLOOKUP($U$1107,'TAR FIN'!$A$1:$O$99,15,0))</f>
        <v>346.61</v>
      </c>
      <c r="Y1107" s="4"/>
      <c r="Z1107" s="4">
        <f ca="1">('TUSD BE'!$AM$22+'TUSD BF'!$AM$22+'TUSD CVA'!$AM$22)*1</f>
        <v>1799.131999651745</v>
      </c>
      <c r="AA1107" s="4">
        <f>('TE BE'!$AA$7+'TE BF'!$AA$7+'TE CVA'!$AA$7)*1</f>
        <v>423.89652505413846</v>
      </c>
      <c r="AB1107" s="4">
        <f>$K$1107*$V$1107</f>
        <v>0</v>
      </c>
      <c r="AC1107" s="4">
        <f>$M$1107*$W$1107</f>
        <v>43.616720000000001</v>
      </c>
      <c r="AD1107" s="4">
        <f>$O$1107*$X$1107</f>
        <v>9.7050800000000006</v>
      </c>
      <c r="AE1107" s="4">
        <f>$K$1107*$Y$1107</f>
        <v>0</v>
      </c>
      <c r="AF1107" s="4">
        <f ca="1">$M$1107*$Z$1107</f>
        <v>50.375695990248857</v>
      </c>
      <c r="AG1107" s="4">
        <f>$O$1107*$AA$1107</f>
        <v>11.869102701515878</v>
      </c>
    </row>
    <row r="1108" spans="1:33" ht="11.25" customHeight="1" x14ac:dyDescent="0.25">
      <c r="A1108" s="3" t="s">
        <v>21</v>
      </c>
      <c r="B1108" s="3" t="s">
        <v>33</v>
      </c>
      <c r="C1108" s="3" t="s">
        <v>34</v>
      </c>
      <c r="D1108" s="3" t="s">
        <v>45</v>
      </c>
      <c r="E1108" s="3" t="s">
        <v>53</v>
      </c>
      <c r="F1108" s="3" t="s">
        <v>55</v>
      </c>
      <c r="G1108" s="3" t="s">
        <v>25</v>
      </c>
      <c r="H1108" s="3" t="s">
        <v>36</v>
      </c>
      <c r="I1108" s="6">
        <v>44317</v>
      </c>
      <c r="J1108" s="4">
        <v>0</v>
      </c>
      <c r="K1108" s="4">
        <v>0</v>
      </c>
      <c r="L1108" s="4">
        <v>122.298</v>
      </c>
      <c r="M1108" s="4">
        <v>12.229799999999999</v>
      </c>
      <c r="N1108" s="4">
        <v>122.298</v>
      </c>
      <c r="O1108" s="4">
        <v>12.229799999999999</v>
      </c>
      <c r="P1108" s="4">
        <v>0</v>
      </c>
      <c r="Q1108" s="3" t="s">
        <v>26</v>
      </c>
      <c r="R1108" s="3">
        <v>0</v>
      </c>
      <c r="S1108" s="4">
        <v>0</v>
      </c>
      <c r="T1108" s="4">
        <v>29</v>
      </c>
      <c r="U1108" s="4">
        <v>73</v>
      </c>
      <c r="V1108" s="4">
        <f>IF(ISERROR(VLOOKUP($S$1108,'TAR FIN'!$A$1:$O$99,15,0)),0,VLOOKUP($S$1108,'TAR FIN'!$A$1:$O$99,15,0))</f>
        <v>0</v>
      </c>
      <c r="W1108" s="4">
        <f>IF(ISERROR(VLOOKUP($T$1108,'TAR FIN'!$A$1:$O$99,15,0)),0,VLOOKUP($T$1108,'TAR FIN'!$A$1:$O$99,15,0))</f>
        <v>97.61</v>
      </c>
      <c r="X1108" s="4">
        <f>IF(ISERROR(VLOOKUP($U$1108,'TAR FIN'!$A$1:$O$99,15,0)),0,VLOOKUP($U$1108,'TAR FIN'!$A$1:$O$99,15,0))</f>
        <v>219.97</v>
      </c>
      <c r="Y1108" s="4"/>
      <c r="Z1108" s="4">
        <f ca="1">('TUSD BE'!$AM$23+'TUSD BF'!$AM$23+'TUSD CVA'!$AM$23)*1</f>
        <v>117.59114529324071</v>
      </c>
      <c r="AA1108" s="4">
        <f>('TE BE'!$AA$8+'TE BF'!$AA$8+'TE CVA'!$AA$8)*1</f>
        <v>271.13910989737087</v>
      </c>
      <c r="AB1108" s="4">
        <f>$K$1108*$V$1108</f>
        <v>0</v>
      </c>
      <c r="AC1108" s="4">
        <f>$M$1108*$W$1108</f>
        <v>1193.7507779999999</v>
      </c>
      <c r="AD1108" s="4">
        <f>$O$1108*$X$1108</f>
        <v>2690.1891059999998</v>
      </c>
      <c r="AE1108" s="4">
        <f>$K$1108*$Y$1108</f>
        <v>0</v>
      </c>
      <c r="AF1108" s="4">
        <f ca="1">$M$1108*$Z$1108</f>
        <v>1438.1161887072751</v>
      </c>
      <c r="AG1108" s="4">
        <f>$O$1108*$AA$1108</f>
        <v>3315.9770862228661</v>
      </c>
    </row>
    <row r="1109" spans="1:33" ht="11.25" customHeight="1" x14ac:dyDescent="0.25">
      <c r="A1109" s="3" t="s">
        <v>21</v>
      </c>
      <c r="B1109" s="3" t="s">
        <v>33</v>
      </c>
      <c r="C1109" s="3" t="s">
        <v>34</v>
      </c>
      <c r="D1109" s="3" t="s">
        <v>45</v>
      </c>
      <c r="E1109" s="3" t="s">
        <v>53</v>
      </c>
      <c r="F1109" s="3" t="s">
        <v>55</v>
      </c>
      <c r="G1109" s="3" t="s">
        <v>25</v>
      </c>
      <c r="H1109" s="3" t="s">
        <v>36</v>
      </c>
      <c r="I1109" s="6">
        <v>44348</v>
      </c>
      <c r="J1109" s="4">
        <v>0</v>
      </c>
      <c r="K1109" s="4">
        <v>0</v>
      </c>
      <c r="L1109" s="4">
        <v>117.717</v>
      </c>
      <c r="M1109" s="4">
        <v>11.771699999999999</v>
      </c>
      <c r="N1109" s="4">
        <v>117.717</v>
      </c>
      <c r="O1109" s="4">
        <v>11.771699999999999</v>
      </c>
      <c r="P1109" s="4">
        <v>0</v>
      </c>
      <c r="Q1109" s="3" t="s">
        <v>26</v>
      </c>
      <c r="R1109" s="3">
        <v>0</v>
      </c>
      <c r="S1109" s="4">
        <v>0</v>
      </c>
      <c r="T1109" s="4">
        <v>29</v>
      </c>
      <c r="U1109" s="4">
        <v>73</v>
      </c>
      <c r="V1109" s="4">
        <f>IF(ISERROR(VLOOKUP($S$1109,'TAR FIN'!$A$1:$O$99,15,0)),0,VLOOKUP($S$1109,'TAR FIN'!$A$1:$O$99,15,0))</f>
        <v>0</v>
      </c>
      <c r="W1109" s="4">
        <f>IF(ISERROR(VLOOKUP($T$1109,'TAR FIN'!$A$1:$O$99,15,0)),0,VLOOKUP($T$1109,'TAR FIN'!$A$1:$O$99,15,0))</f>
        <v>97.61</v>
      </c>
      <c r="X1109" s="4">
        <f>IF(ISERROR(VLOOKUP($U$1109,'TAR FIN'!$A$1:$O$99,15,0)),0,VLOOKUP($U$1109,'TAR FIN'!$A$1:$O$99,15,0))</f>
        <v>219.97</v>
      </c>
      <c r="Y1109" s="4"/>
      <c r="Z1109" s="4">
        <f ca="1">('TUSD BE'!$AM$23+'TUSD BF'!$AM$23+'TUSD CVA'!$AM$23)*1</f>
        <v>117.59114529324071</v>
      </c>
      <c r="AA1109" s="4">
        <f>('TE BE'!$AA$8+'TE BF'!$AA$8+'TE CVA'!$AA$8)*1</f>
        <v>271.13910989737087</v>
      </c>
      <c r="AB1109" s="4">
        <f>$K$1109*$V$1109</f>
        <v>0</v>
      </c>
      <c r="AC1109" s="4">
        <f>$M$1109*$W$1109</f>
        <v>1149.035637</v>
      </c>
      <c r="AD1109" s="4">
        <f>$O$1109*$X$1109</f>
        <v>2589.4208489999996</v>
      </c>
      <c r="AE1109" s="4">
        <f>$K$1109*$Y$1109</f>
        <v>0</v>
      </c>
      <c r="AF1109" s="4">
        <f ca="1">$M$1109*$Z$1109</f>
        <v>1384.2476850484416</v>
      </c>
      <c r="AG1109" s="4">
        <f>$O$1109*$AA$1109</f>
        <v>3191.7682599788805</v>
      </c>
    </row>
    <row r="1110" spans="1:33" ht="11.25" customHeight="1" x14ac:dyDescent="0.25">
      <c r="A1110" s="3" t="s">
        <v>27</v>
      </c>
      <c r="B1110" s="3" t="s">
        <v>33</v>
      </c>
      <c r="C1110" s="3" t="s">
        <v>34</v>
      </c>
      <c r="D1110" s="3" t="s">
        <v>45</v>
      </c>
      <c r="E1110" s="3" t="s">
        <v>53</v>
      </c>
      <c r="F1110" s="3" t="s">
        <v>55</v>
      </c>
      <c r="G1110" s="3" t="s">
        <v>25</v>
      </c>
      <c r="H1110" s="3" t="s">
        <v>36</v>
      </c>
      <c r="I1110" s="6">
        <v>44348</v>
      </c>
      <c r="J1110" s="4">
        <v>0</v>
      </c>
      <c r="K1110" s="4">
        <v>0</v>
      </c>
      <c r="L1110" s="4">
        <v>-61.277000000000001</v>
      </c>
      <c r="M1110" s="4">
        <v>-6.1276999999999999</v>
      </c>
      <c r="N1110" s="4">
        <v>-61.277000000000001</v>
      </c>
      <c r="O1110" s="4">
        <v>-6.1276999999999999</v>
      </c>
      <c r="P1110" s="4">
        <v>0</v>
      </c>
      <c r="Q1110" s="3" t="s">
        <v>26</v>
      </c>
      <c r="R1110" s="3">
        <v>0</v>
      </c>
      <c r="S1110" s="4">
        <v>0</v>
      </c>
      <c r="T1110" s="4">
        <v>29</v>
      </c>
      <c r="U1110" s="4">
        <v>73</v>
      </c>
      <c r="V1110" s="4">
        <f>IF(ISERROR(VLOOKUP($S$1110,'TAR FIN'!$A$1:$O$99,15,0)),0,VLOOKUP($S$1110,'TAR FIN'!$A$1:$O$99,15,0))</f>
        <v>0</v>
      </c>
      <c r="W1110" s="4">
        <f>IF(ISERROR(VLOOKUP($T$1110,'TAR FIN'!$A$1:$O$99,15,0)),0,VLOOKUP($T$1110,'TAR FIN'!$A$1:$O$99,15,0))</f>
        <v>97.61</v>
      </c>
      <c r="X1110" s="4">
        <f>IF(ISERROR(VLOOKUP($U$1110,'TAR FIN'!$A$1:$O$99,15,0)),0,VLOOKUP($U$1110,'TAR FIN'!$A$1:$O$99,15,0))</f>
        <v>219.97</v>
      </c>
      <c r="Y1110" s="4"/>
      <c r="Z1110" s="4">
        <f ca="1">('TUSD BE'!$AM$23+'TUSD BF'!$AM$23+'TUSD CVA'!$AM$23)*1</f>
        <v>117.59114529324071</v>
      </c>
      <c r="AA1110" s="4">
        <f>('TE BE'!$AA$8+'TE BF'!$AA$8+'TE CVA'!$AA$8)*1</f>
        <v>271.13910989737087</v>
      </c>
      <c r="AB1110" s="4">
        <f>$K$1110*$V$1110</f>
        <v>0</v>
      </c>
      <c r="AC1110" s="4">
        <f>$M$1110*$W$1110</f>
        <v>-598.12479699999994</v>
      </c>
      <c r="AD1110" s="4">
        <f>$O$1110*$X$1110</f>
        <v>-1347.910169</v>
      </c>
      <c r="AE1110" s="4">
        <f>$K$1110*$Y$1110</f>
        <v>0</v>
      </c>
      <c r="AF1110" s="4">
        <f ca="1">$M$1110*$Z$1110</f>
        <v>-720.56326101339107</v>
      </c>
      <c r="AG1110" s="4">
        <f>$O$1110*$AA$1110</f>
        <v>-1661.4591237181194</v>
      </c>
    </row>
    <row r="1111" spans="1:33" ht="11.25" customHeight="1" x14ac:dyDescent="0.25">
      <c r="A1111" s="3" t="s">
        <v>21</v>
      </c>
      <c r="B1111" s="3" t="s">
        <v>33</v>
      </c>
      <c r="C1111" s="3" t="s">
        <v>34</v>
      </c>
      <c r="D1111" s="3" t="s">
        <v>45</v>
      </c>
      <c r="E1111" s="3" t="s">
        <v>53</v>
      </c>
      <c r="F1111" s="3" t="s">
        <v>55</v>
      </c>
      <c r="G1111" s="3" t="s">
        <v>25</v>
      </c>
      <c r="H1111" s="3" t="s">
        <v>36</v>
      </c>
      <c r="I1111" s="6">
        <v>44378</v>
      </c>
      <c r="J1111" s="4">
        <v>0</v>
      </c>
      <c r="K1111" s="4">
        <v>0</v>
      </c>
      <c r="L1111" s="4">
        <v>172.75399999999999</v>
      </c>
      <c r="M1111" s="4">
        <v>17.275400000000001</v>
      </c>
      <c r="N1111" s="4">
        <v>172.75399999999999</v>
      </c>
      <c r="O1111" s="4">
        <v>17.275400000000001</v>
      </c>
      <c r="P1111" s="4">
        <v>0</v>
      </c>
      <c r="Q1111" s="3" t="s">
        <v>26</v>
      </c>
      <c r="R1111" s="3">
        <v>0</v>
      </c>
      <c r="S1111" s="4">
        <v>0</v>
      </c>
      <c r="T1111" s="4">
        <v>29</v>
      </c>
      <c r="U1111" s="4">
        <v>73</v>
      </c>
      <c r="V1111" s="4">
        <f>IF(ISERROR(VLOOKUP($S$1111,'TAR FIN'!$A$1:$O$99,15,0)),0,VLOOKUP($S$1111,'TAR FIN'!$A$1:$O$99,15,0))</f>
        <v>0</v>
      </c>
      <c r="W1111" s="4">
        <f>IF(ISERROR(VLOOKUP($T$1111,'TAR FIN'!$A$1:$O$99,15,0)),0,VLOOKUP($T$1111,'TAR FIN'!$A$1:$O$99,15,0))</f>
        <v>97.61</v>
      </c>
      <c r="X1111" s="4">
        <f>IF(ISERROR(VLOOKUP($U$1111,'TAR FIN'!$A$1:$O$99,15,0)),0,VLOOKUP($U$1111,'TAR FIN'!$A$1:$O$99,15,0))</f>
        <v>219.97</v>
      </c>
      <c r="Y1111" s="4"/>
      <c r="Z1111" s="4">
        <f ca="1">('TUSD BE'!$AM$23+'TUSD BF'!$AM$23+'TUSD CVA'!$AM$23)*1</f>
        <v>117.59114529324071</v>
      </c>
      <c r="AA1111" s="4">
        <f>('TE BE'!$AA$8+'TE BF'!$AA$8+'TE CVA'!$AA$8)*1</f>
        <v>271.13910989737087</v>
      </c>
      <c r="AB1111" s="4">
        <f>$K$1111*$V$1111</f>
        <v>0</v>
      </c>
      <c r="AC1111" s="4">
        <f>$M$1111*$W$1111</f>
        <v>1686.251794</v>
      </c>
      <c r="AD1111" s="4">
        <f>$O$1111*$X$1111</f>
        <v>3800.0697380000001</v>
      </c>
      <c r="AE1111" s="4">
        <f>$K$1111*$Y$1111</f>
        <v>0</v>
      </c>
      <c r="AF1111" s="4">
        <f ca="1">$M$1111*$Z$1111</f>
        <v>2031.4340713988508</v>
      </c>
      <c r="AG1111" s="4">
        <f>$O$1111*$AA$1111</f>
        <v>4684.0365791210415</v>
      </c>
    </row>
    <row r="1112" spans="1:33" ht="11.25" customHeight="1" x14ac:dyDescent="0.25">
      <c r="A1112" s="3" t="s">
        <v>27</v>
      </c>
      <c r="B1112" s="3" t="s">
        <v>33</v>
      </c>
      <c r="C1112" s="3" t="s">
        <v>34</v>
      </c>
      <c r="D1112" s="3" t="s">
        <v>45</v>
      </c>
      <c r="E1112" s="3" t="s">
        <v>53</v>
      </c>
      <c r="F1112" s="3" t="s">
        <v>55</v>
      </c>
      <c r="G1112" s="3" t="s">
        <v>25</v>
      </c>
      <c r="H1112" s="3" t="s">
        <v>36</v>
      </c>
      <c r="I1112" s="6">
        <v>44378</v>
      </c>
      <c r="J1112" s="4">
        <v>0</v>
      </c>
      <c r="K1112" s="4">
        <v>0</v>
      </c>
      <c r="L1112" s="4">
        <v>-54.831000000000003</v>
      </c>
      <c r="M1112" s="4">
        <v>-5.4831000000000003</v>
      </c>
      <c r="N1112" s="4">
        <v>-54.831000000000003</v>
      </c>
      <c r="O1112" s="4">
        <v>-5.4831000000000003</v>
      </c>
      <c r="P1112" s="4">
        <v>0</v>
      </c>
      <c r="Q1112" s="3" t="s">
        <v>26</v>
      </c>
      <c r="R1112" s="3">
        <v>0</v>
      </c>
      <c r="S1112" s="4">
        <v>0</v>
      </c>
      <c r="T1112" s="4">
        <v>29</v>
      </c>
      <c r="U1112" s="4">
        <v>73</v>
      </c>
      <c r="V1112" s="4">
        <f>IF(ISERROR(VLOOKUP($S$1112,'TAR FIN'!$A$1:$O$99,15,0)),0,VLOOKUP($S$1112,'TAR FIN'!$A$1:$O$99,15,0))</f>
        <v>0</v>
      </c>
      <c r="W1112" s="4">
        <f>IF(ISERROR(VLOOKUP($T$1112,'TAR FIN'!$A$1:$O$99,15,0)),0,VLOOKUP($T$1112,'TAR FIN'!$A$1:$O$99,15,0))</f>
        <v>97.61</v>
      </c>
      <c r="X1112" s="4">
        <f>IF(ISERROR(VLOOKUP($U$1112,'TAR FIN'!$A$1:$O$99,15,0)),0,VLOOKUP($U$1112,'TAR FIN'!$A$1:$O$99,15,0))</f>
        <v>219.97</v>
      </c>
      <c r="Y1112" s="4"/>
      <c r="Z1112" s="4">
        <f ca="1">('TUSD BE'!$AM$23+'TUSD BF'!$AM$23+'TUSD CVA'!$AM$23)*1</f>
        <v>117.59114529324071</v>
      </c>
      <c r="AA1112" s="4">
        <f>('TE BE'!$AA$8+'TE BF'!$AA$8+'TE CVA'!$AA$8)*1</f>
        <v>271.13910989737087</v>
      </c>
      <c r="AB1112" s="4">
        <f>$K$1112*$V$1112</f>
        <v>0</v>
      </c>
      <c r="AC1112" s="4">
        <f>$M$1112*$W$1112</f>
        <v>-535.20539100000008</v>
      </c>
      <c r="AD1112" s="4">
        <f>$O$1112*$X$1112</f>
        <v>-1206.1175070000002</v>
      </c>
      <c r="AE1112" s="4">
        <f>$K$1112*$Y$1112</f>
        <v>0</v>
      </c>
      <c r="AF1112" s="4">
        <f ca="1">$M$1112*$Z$1112</f>
        <v>-644.76400875736817</v>
      </c>
      <c r="AG1112" s="4">
        <f>$O$1112*$AA$1112</f>
        <v>-1486.6828534782744</v>
      </c>
    </row>
    <row r="1113" spans="1:33" ht="11.25" customHeight="1" x14ac:dyDescent="0.25">
      <c r="A1113" s="3" t="s">
        <v>21</v>
      </c>
      <c r="B1113" s="3" t="s">
        <v>33</v>
      </c>
      <c r="C1113" s="3" t="s">
        <v>34</v>
      </c>
      <c r="D1113" s="3" t="s">
        <v>45</v>
      </c>
      <c r="E1113" s="3" t="s">
        <v>53</v>
      </c>
      <c r="F1113" s="3" t="s">
        <v>55</v>
      </c>
      <c r="G1113" s="3" t="s">
        <v>25</v>
      </c>
      <c r="H1113" s="3" t="s">
        <v>36</v>
      </c>
      <c r="I1113" s="6">
        <v>44409</v>
      </c>
      <c r="J1113" s="4">
        <v>0</v>
      </c>
      <c r="K1113" s="4">
        <v>0</v>
      </c>
      <c r="L1113" s="4">
        <v>289.83300000000003</v>
      </c>
      <c r="M1113" s="4">
        <v>28.9833</v>
      </c>
      <c r="N1113" s="4">
        <v>289.83300000000003</v>
      </c>
      <c r="O1113" s="4">
        <v>28.9833</v>
      </c>
      <c r="P1113" s="4">
        <v>0</v>
      </c>
      <c r="Q1113" s="3" t="s">
        <v>26</v>
      </c>
      <c r="R1113" s="3">
        <v>0</v>
      </c>
      <c r="S1113" s="4">
        <v>0</v>
      </c>
      <c r="T1113" s="4">
        <v>29</v>
      </c>
      <c r="U1113" s="4">
        <v>73</v>
      </c>
      <c r="V1113" s="4">
        <f>IF(ISERROR(VLOOKUP($S$1113,'TAR FIN'!$A$1:$O$99,15,0)),0,VLOOKUP($S$1113,'TAR FIN'!$A$1:$O$99,15,0))</f>
        <v>0</v>
      </c>
      <c r="W1113" s="4">
        <f>IF(ISERROR(VLOOKUP($T$1113,'TAR FIN'!$A$1:$O$99,15,0)),0,VLOOKUP($T$1113,'TAR FIN'!$A$1:$O$99,15,0))</f>
        <v>97.61</v>
      </c>
      <c r="X1113" s="4">
        <f>IF(ISERROR(VLOOKUP($U$1113,'TAR FIN'!$A$1:$O$99,15,0)),0,VLOOKUP($U$1113,'TAR FIN'!$A$1:$O$99,15,0))</f>
        <v>219.97</v>
      </c>
      <c r="Y1113" s="4"/>
      <c r="Z1113" s="4">
        <f ca="1">('TUSD BE'!$AM$23+'TUSD BF'!$AM$23+'TUSD CVA'!$AM$23)*1</f>
        <v>117.59114529324071</v>
      </c>
      <c r="AA1113" s="4">
        <f>('TE BE'!$AA$8+'TE BF'!$AA$8+'TE CVA'!$AA$8)*1</f>
        <v>271.13910989737087</v>
      </c>
      <c r="AB1113" s="4">
        <f>$K$1113*$V$1113</f>
        <v>0</v>
      </c>
      <c r="AC1113" s="4">
        <f>$M$1113*$W$1113</f>
        <v>2829.0599130000001</v>
      </c>
      <c r="AD1113" s="4">
        <f>$O$1113*$X$1113</f>
        <v>6375.4565009999997</v>
      </c>
      <c r="AE1113" s="4">
        <f>$K$1113*$Y$1113</f>
        <v>0</v>
      </c>
      <c r="AF1113" s="4">
        <f ca="1">$M$1113*$Z$1113</f>
        <v>3408.1794413775838</v>
      </c>
      <c r="AG1113" s="4">
        <f>$O$1113*$AA$1113</f>
        <v>7858.506163888469</v>
      </c>
    </row>
    <row r="1114" spans="1:33" ht="11.25" customHeight="1" x14ac:dyDescent="0.25">
      <c r="A1114" s="3" t="s">
        <v>27</v>
      </c>
      <c r="B1114" s="3" t="s">
        <v>33</v>
      </c>
      <c r="C1114" s="3" t="s">
        <v>34</v>
      </c>
      <c r="D1114" s="3" t="s">
        <v>45</v>
      </c>
      <c r="E1114" s="3" t="s">
        <v>53</v>
      </c>
      <c r="F1114" s="3" t="s">
        <v>55</v>
      </c>
      <c r="G1114" s="3" t="s">
        <v>25</v>
      </c>
      <c r="H1114" s="3" t="s">
        <v>36</v>
      </c>
      <c r="I1114" s="6">
        <v>44409</v>
      </c>
      <c r="J1114" s="4">
        <v>0</v>
      </c>
      <c r="K1114" s="4">
        <v>0</v>
      </c>
      <c r="L1114" s="4">
        <v>43.429000000000002</v>
      </c>
      <c r="M1114" s="4">
        <v>4.3429000000000002</v>
      </c>
      <c r="N1114" s="4">
        <v>43.429000000000002</v>
      </c>
      <c r="O1114" s="4">
        <v>4.3429000000000002</v>
      </c>
      <c r="P1114" s="4">
        <v>0</v>
      </c>
      <c r="Q1114" s="3" t="s">
        <v>26</v>
      </c>
      <c r="R1114" s="3">
        <v>0</v>
      </c>
      <c r="S1114" s="4">
        <v>0</v>
      </c>
      <c r="T1114" s="4">
        <v>29</v>
      </c>
      <c r="U1114" s="4">
        <v>73</v>
      </c>
      <c r="V1114" s="4">
        <f>IF(ISERROR(VLOOKUP($S$1114,'TAR FIN'!$A$1:$O$99,15,0)),0,VLOOKUP($S$1114,'TAR FIN'!$A$1:$O$99,15,0))</f>
        <v>0</v>
      </c>
      <c r="W1114" s="4">
        <f>IF(ISERROR(VLOOKUP($T$1114,'TAR FIN'!$A$1:$O$99,15,0)),0,VLOOKUP($T$1114,'TAR FIN'!$A$1:$O$99,15,0))</f>
        <v>97.61</v>
      </c>
      <c r="X1114" s="4">
        <f>IF(ISERROR(VLOOKUP($U$1114,'TAR FIN'!$A$1:$O$99,15,0)),0,VLOOKUP($U$1114,'TAR FIN'!$A$1:$O$99,15,0))</f>
        <v>219.97</v>
      </c>
      <c r="Y1114" s="4"/>
      <c r="Z1114" s="4">
        <f ca="1">('TUSD BE'!$AM$23+'TUSD BF'!$AM$23+'TUSD CVA'!$AM$23)*1</f>
        <v>117.59114529324071</v>
      </c>
      <c r="AA1114" s="4">
        <f>('TE BE'!$AA$8+'TE BF'!$AA$8+'TE CVA'!$AA$8)*1</f>
        <v>271.13910989737087</v>
      </c>
      <c r="AB1114" s="4">
        <f>$K$1114*$V$1114</f>
        <v>0</v>
      </c>
      <c r="AC1114" s="4">
        <f>$M$1114*$W$1114</f>
        <v>423.91046900000003</v>
      </c>
      <c r="AD1114" s="4">
        <f>$O$1114*$X$1114</f>
        <v>955.30771300000004</v>
      </c>
      <c r="AE1114" s="4">
        <f>$K$1114*$Y$1114</f>
        <v>0</v>
      </c>
      <c r="AF1114" s="4">
        <f ca="1">$M$1114*$Z$1114</f>
        <v>510.68658489401514</v>
      </c>
      <c r="AG1114" s="4">
        <f>$O$1114*$AA$1114</f>
        <v>1177.530040373292</v>
      </c>
    </row>
    <row r="1115" spans="1:33" ht="11.25" customHeight="1" x14ac:dyDescent="0.25">
      <c r="A1115" s="3" t="s">
        <v>21</v>
      </c>
      <c r="B1115" s="3" t="s">
        <v>33</v>
      </c>
      <c r="C1115" s="3" t="s">
        <v>34</v>
      </c>
      <c r="D1115" s="3" t="s">
        <v>45</v>
      </c>
      <c r="E1115" s="3" t="s">
        <v>53</v>
      </c>
      <c r="F1115" s="3" t="s">
        <v>55</v>
      </c>
      <c r="G1115" s="3" t="s">
        <v>25</v>
      </c>
      <c r="H1115" s="3" t="s">
        <v>36</v>
      </c>
      <c r="I1115" s="6">
        <v>44440</v>
      </c>
      <c r="J1115" s="4">
        <v>0</v>
      </c>
      <c r="K1115" s="4">
        <v>0</v>
      </c>
      <c r="L1115" s="4">
        <v>616.38</v>
      </c>
      <c r="M1115" s="4">
        <v>61.637999999999998</v>
      </c>
      <c r="N1115" s="4">
        <v>616.38</v>
      </c>
      <c r="O1115" s="4">
        <v>61.637999999999998</v>
      </c>
      <c r="P1115" s="4">
        <v>0</v>
      </c>
      <c r="Q1115" s="3" t="s">
        <v>26</v>
      </c>
      <c r="R1115" s="3">
        <v>0</v>
      </c>
      <c r="S1115" s="4">
        <v>0</v>
      </c>
      <c r="T1115" s="4">
        <v>29</v>
      </c>
      <c r="U1115" s="4">
        <v>73</v>
      </c>
      <c r="V1115" s="4">
        <f>IF(ISERROR(VLOOKUP($S$1115,'TAR FIN'!$A$1:$O$99,15,0)),0,VLOOKUP($S$1115,'TAR FIN'!$A$1:$O$99,15,0))</f>
        <v>0</v>
      </c>
      <c r="W1115" s="4">
        <f>IF(ISERROR(VLOOKUP($T$1115,'TAR FIN'!$A$1:$O$99,15,0)),0,VLOOKUP($T$1115,'TAR FIN'!$A$1:$O$99,15,0))</f>
        <v>97.61</v>
      </c>
      <c r="X1115" s="4">
        <f>IF(ISERROR(VLOOKUP($U$1115,'TAR FIN'!$A$1:$O$99,15,0)),0,VLOOKUP($U$1115,'TAR FIN'!$A$1:$O$99,15,0))</f>
        <v>219.97</v>
      </c>
      <c r="Y1115" s="4"/>
      <c r="Z1115" s="4">
        <f ca="1">('TUSD BE'!$AM$23+'TUSD BF'!$AM$23+'TUSD CVA'!$AM$23)*1</f>
        <v>117.59114529324071</v>
      </c>
      <c r="AA1115" s="4">
        <f>('TE BE'!$AA$8+'TE BF'!$AA$8+'TE CVA'!$AA$8)*1</f>
        <v>271.13910989737087</v>
      </c>
      <c r="AB1115" s="4">
        <f>$K$1115*$V$1115</f>
        <v>0</v>
      </c>
      <c r="AC1115" s="4">
        <f>$M$1115*$W$1115</f>
        <v>6016.4851799999997</v>
      </c>
      <c r="AD1115" s="4">
        <f>$O$1115*$X$1115</f>
        <v>13558.51086</v>
      </c>
      <c r="AE1115" s="4">
        <f>$K$1115*$Y$1115</f>
        <v>0</v>
      </c>
      <c r="AF1115" s="4">
        <f ca="1">$M$1115*$Z$1115</f>
        <v>7248.0830135847709</v>
      </c>
      <c r="AG1115" s="4">
        <f>$O$1115*$AA$1115</f>
        <v>16712.472455854146</v>
      </c>
    </row>
    <row r="1116" spans="1:33" ht="11.25" customHeight="1" x14ac:dyDescent="0.25">
      <c r="A1116" s="3" t="s">
        <v>27</v>
      </c>
      <c r="B1116" s="3" t="s">
        <v>33</v>
      </c>
      <c r="C1116" s="3" t="s">
        <v>34</v>
      </c>
      <c r="D1116" s="3" t="s">
        <v>45</v>
      </c>
      <c r="E1116" s="3" t="s">
        <v>53</v>
      </c>
      <c r="F1116" s="3" t="s">
        <v>55</v>
      </c>
      <c r="G1116" s="3" t="s">
        <v>25</v>
      </c>
      <c r="H1116" s="3" t="s">
        <v>36</v>
      </c>
      <c r="I1116" s="6">
        <v>44440</v>
      </c>
      <c r="J1116" s="4">
        <v>0</v>
      </c>
      <c r="K1116" s="4">
        <v>0</v>
      </c>
      <c r="L1116" s="4">
        <v>-85.463999999999999</v>
      </c>
      <c r="M1116" s="4">
        <v>-8.5464000000000002</v>
      </c>
      <c r="N1116" s="4">
        <v>-85.463999999999999</v>
      </c>
      <c r="O1116" s="4">
        <v>-8.5464000000000002</v>
      </c>
      <c r="P1116" s="4">
        <v>0</v>
      </c>
      <c r="Q1116" s="3" t="s">
        <v>26</v>
      </c>
      <c r="R1116" s="3">
        <v>0</v>
      </c>
      <c r="S1116" s="4">
        <v>0</v>
      </c>
      <c r="T1116" s="4">
        <v>29</v>
      </c>
      <c r="U1116" s="4">
        <v>73</v>
      </c>
      <c r="V1116" s="4">
        <f>IF(ISERROR(VLOOKUP($S$1116,'TAR FIN'!$A$1:$O$99,15,0)),0,VLOOKUP($S$1116,'TAR FIN'!$A$1:$O$99,15,0))</f>
        <v>0</v>
      </c>
      <c r="W1116" s="4">
        <f>IF(ISERROR(VLOOKUP($T$1116,'TAR FIN'!$A$1:$O$99,15,0)),0,VLOOKUP($T$1116,'TAR FIN'!$A$1:$O$99,15,0))</f>
        <v>97.61</v>
      </c>
      <c r="X1116" s="4">
        <f>IF(ISERROR(VLOOKUP($U$1116,'TAR FIN'!$A$1:$O$99,15,0)),0,VLOOKUP($U$1116,'TAR FIN'!$A$1:$O$99,15,0))</f>
        <v>219.97</v>
      </c>
      <c r="Y1116" s="4"/>
      <c r="Z1116" s="4">
        <f ca="1">('TUSD BE'!$AM$23+'TUSD BF'!$AM$23+'TUSD CVA'!$AM$23)*1</f>
        <v>117.59114529324071</v>
      </c>
      <c r="AA1116" s="4">
        <f>('TE BE'!$AA$8+'TE BF'!$AA$8+'TE CVA'!$AA$8)*1</f>
        <v>271.13910989737087</v>
      </c>
      <c r="AB1116" s="4">
        <f>$K$1116*$V$1116</f>
        <v>0</v>
      </c>
      <c r="AC1116" s="4">
        <f>$M$1116*$W$1116</f>
        <v>-834.21410400000002</v>
      </c>
      <c r="AD1116" s="4">
        <f>$O$1116*$X$1116</f>
        <v>-1879.9516080000001</v>
      </c>
      <c r="AE1116" s="4">
        <f>$K$1116*$Y$1116</f>
        <v>0</v>
      </c>
      <c r="AF1116" s="4">
        <f ca="1">$M$1116*$Z$1116</f>
        <v>-1004.9809641341525</v>
      </c>
      <c r="AG1116" s="4">
        <f>$O$1116*$AA$1116</f>
        <v>-2317.2632888268904</v>
      </c>
    </row>
    <row r="1117" spans="1:33" ht="11.25" customHeight="1" x14ac:dyDescent="0.25">
      <c r="A1117" s="3" t="s">
        <v>21</v>
      </c>
      <c r="B1117" s="3" t="s">
        <v>33</v>
      </c>
      <c r="C1117" s="3" t="s">
        <v>34</v>
      </c>
      <c r="D1117" s="3" t="s">
        <v>45</v>
      </c>
      <c r="E1117" s="3" t="s">
        <v>53</v>
      </c>
      <c r="F1117" s="3" t="s">
        <v>55</v>
      </c>
      <c r="G1117" s="3" t="s">
        <v>25</v>
      </c>
      <c r="H1117" s="3" t="s">
        <v>36</v>
      </c>
      <c r="I1117" s="6">
        <v>44470</v>
      </c>
      <c r="J1117" s="4">
        <v>0</v>
      </c>
      <c r="K1117" s="4">
        <v>0</v>
      </c>
      <c r="L1117" s="4">
        <v>1721.6189999999999</v>
      </c>
      <c r="M1117" s="4">
        <v>172.1619</v>
      </c>
      <c r="N1117" s="4">
        <v>1721.6189999999999</v>
      </c>
      <c r="O1117" s="4">
        <v>172.1619</v>
      </c>
      <c r="P1117" s="4">
        <v>0</v>
      </c>
      <c r="Q1117" s="3" t="s">
        <v>26</v>
      </c>
      <c r="R1117" s="3">
        <v>0</v>
      </c>
      <c r="S1117" s="4">
        <v>0</v>
      </c>
      <c r="T1117" s="4">
        <v>29</v>
      </c>
      <c r="U1117" s="4">
        <v>73</v>
      </c>
      <c r="V1117" s="4">
        <f>IF(ISERROR(VLOOKUP($S$1117,'TAR FIN'!$A$1:$O$99,15,0)),0,VLOOKUP($S$1117,'TAR FIN'!$A$1:$O$99,15,0))</f>
        <v>0</v>
      </c>
      <c r="W1117" s="4">
        <f>IF(ISERROR(VLOOKUP($T$1117,'TAR FIN'!$A$1:$O$99,15,0)),0,VLOOKUP($T$1117,'TAR FIN'!$A$1:$O$99,15,0))</f>
        <v>97.61</v>
      </c>
      <c r="X1117" s="4">
        <f>IF(ISERROR(VLOOKUP($U$1117,'TAR FIN'!$A$1:$O$99,15,0)),0,VLOOKUP($U$1117,'TAR FIN'!$A$1:$O$99,15,0))</f>
        <v>219.97</v>
      </c>
      <c r="Y1117" s="4"/>
      <c r="Z1117" s="4">
        <f ca="1">('TUSD BE'!$AM$23+'TUSD BF'!$AM$23+'TUSD CVA'!$AM$23)*1</f>
        <v>117.59114529324071</v>
      </c>
      <c r="AA1117" s="4">
        <f>('TE BE'!$AA$8+'TE BF'!$AA$8+'TE CVA'!$AA$8)*1</f>
        <v>271.13910989737087</v>
      </c>
      <c r="AB1117" s="4">
        <f>$K$1117*$V$1117</f>
        <v>0</v>
      </c>
      <c r="AC1117" s="4">
        <f>$M$1117*$W$1117</f>
        <v>16804.723059</v>
      </c>
      <c r="AD1117" s="4">
        <f>$O$1117*$X$1117</f>
        <v>37870.453142999999</v>
      </c>
      <c r="AE1117" s="4">
        <f>$K$1117*$Y$1117</f>
        <v>0</v>
      </c>
      <c r="AF1117" s="4">
        <f ca="1">$M$1117*$Z$1117</f>
        <v>20244.714996860377</v>
      </c>
      <c r="AG1117" s="4">
        <f>$O$1117*$AA$1117</f>
        <v>46679.824324240173</v>
      </c>
    </row>
    <row r="1118" spans="1:33" ht="11.25" customHeight="1" x14ac:dyDescent="0.25">
      <c r="A1118" s="3" t="s">
        <v>21</v>
      </c>
      <c r="B1118" s="3" t="s">
        <v>33</v>
      </c>
      <c r="C1118" s="3" t="s">
        <v>34</v>
      </c>
      <c r="D1118" s="3" t="s">
        <v>45</v>
      </c>
      <c r="E1118" s="3" t="s">
        <v>53</v>
      </c>
      <c r="F1118" s="3" t="s">
        <v>55</v>
      </c>
      <c r="G1118" s="3" t="s">
        <v>25</v>
      </c>
      <c r="H1118" s="3" t="s">
        <v>36</v>
      </c>
      <c r="I1118" s="6">
        <v>44501</v>
      </c>
      <c r="J1118" s="4">
        <v>0</v>
      </c>
      <c r="K1118" s="4">
        <v>0</v>
      </c>
      <c r="L1118" s="4">
        <v>2664.7179999999998</v>
      </c>
      <c r="M1118" s="4">
        <v>266.47179999999997</v>
      </c>
      <c r="N1118" s="4">
        <v>2664.7179999999998</v>
      </c>
      <c r="O1118" s="4">
        <v>266.47179999999997</v>
      </c>
      <c r="P1118" s="4">
        <v>0</v>
      </c>
      <c r="Q1118" s="3" t="s">
        <v>26</v>
      </c>
      <c r="R1118" s="3">
        <v>0</v>
      </c>
      <c r="S1118" s="4">
        <v>0</v>
      </c>
      <c r="T1118" s="4">
        <v>29</v>
      </c>
      <c r="U1118" s="4">
        <v>73</v>
      </c>
      <c r="V1118" s="4">
        <f>IF(ISERROR(VLOOKUP($S$1118,'TAR FIN'!$A$1:$O$99,15,0)),0,VLOOKUP($S$1118,'TAR FIN'!$A$1:$O$99,15,0))</f>
        <v>0</v>
      </c>
      <c r="W1118" s="4">
        <f>IF(ISERROR(VLOOKUP($T$1118,'TAR FIN'!$A$1:$O$99,15,0)),0,VLOOKUP($T$1118,'TAR FIN'!$A$1:$O$99,15,0))</f>
        <v>97.61</v>
      </c>
      <c r="X1118" s="4">
        <f>IF(ISERROR(VLOOKUP($U$1118,'TAR FIN'!$A$1:$O$99,15,0)),0,VLOOKUP($U$1118,'TAR FIN'!$A$1:$O$99,15,0))</f>
        <v>219.97</v>
      </c>
      <c r="Y1118" s="4"/>
      <c r="Z1118" s="4">
        <f ca="1">('TUSD BE'!$AM$23+'TUSD BF'!$AM$23+'TUSD CVA'!$AM$23)*1</f>
        <v>117.59114529324071</v>
      </c>
      <c r="AA1118" s="4">
        <f>('TE BE'!$AA$8+'TE BF'!$AA$8+'TE CVA'!$AA$8)*1</f>
        <v>271.13910989737087</v>
      </c>
      <c r="AB1118" s="4">
        <f>$K$1118*$V$1118</f>
        <v>0</v>
      </c>
      <c r="AC1118" s="4">
        <f>$M$1118*$W$1118</f>
        <v>26010.312397999998</v>
      </c>
      <c r="AD1118" s="4">
        <f>$O$1118*$X$1118</f>
        <v>58615.801845999995</v>
      </c>
      <c r="AE1118" s="4">
        <f>$K$1118*$Y$1118</f>
        <v>0</v>
      </c>
      <c r="AF1118" s="4">
        <f ca="1">$M$1118*$Z$1118</f>
        <v>31334.72415035138</v>
      </c>
      <c r="AG1118" s="4">
        <f>$O$1118*$AA$1118</f>
        <v>72250.926664750223</v>
      </c>
    </row>
    <row r="1119" spans="1:33" ht="11.25" customHeight="1" x14ac:dyDescent="0.25">
      <c r="A1119" s="3" t="s">
        <v>21</v>
      </c>
      <c r="B1119" s="3" t="s">
        <v>33</v>
      </c>
      <c r="C1119" s="3" t="s">
        <v>34</v>
      </c>
      <c r="D1119" s="3" t="s">
        <v>45</v>
      </c>
      <c r="E1119" s="3" t="s">
        <v>53</v>
      </c>
      <c r="F1119" s="3" t="s">
        <v>55</v>
      </c>
      <c r="G1119" s="3" t="s">
        <v>25</v>
      </c>
      <c r="H1119" s="3" t="s">
        <v>36</v>
      </c>
      <c r="I1119" s="6">
        <v>44531</v>
      </c>
      <c r="J1119" s="4">
        <v>0</v>
      </c>
      <c r="K1119" s="4">
        <v>0</v>
      </c>
      <c r="L1119" s="4">
        <v>2411.5529999999999</v>
      </c>
      <c r="M1119" s="4">
        <v>241.15530000000001</v>
      </c>
      <c r="N1119" s="4">
        <v>2411.5529999999999</v>
      </c>
      <c r="O1119" s="4">
        <v>241.15530000000001</v>
      </c>
      <c r="P1119" s="4">
        <v>0</v>
      </c>
      <c r="Q1119" s="3" t="s">
        <v>26</v>
      </c>
      <c r="R1119" s="3">
        <v>0</v>
      </c>
      <c r="S1119" s="4">
        <v>0</v>
      </c>
      <c r="T1119" s="4">
        <v>29</v>
      </c>
      <c r="U1119" s="4">
        <v>73</v>
      </c>
      <c r="V1119" s="4">
        <f>IF(ISERROR(VLOOKUP($S$1119,'TAR FIN'!$A$1:$O$99,15,0)),0,VLOOKUP($S$1119,'TAR FIN'!$A$1:$O$99,15,0))</f>
        <v>0</v>
      </c>
      <c r="W1119" s="4">
        <f>IF(ISERROR(VLOOKUP($T$1119,'TAR FIN'!$A$1:$O$99,15,0)),0,VLOOKUP($T$1119,'TAR FIN'!$A$1:$O$99,15,0))</f>
        <v>97.61</v>
      </c>
      <c r="X1119" s="4">
        <f>IF(ISERROR(VLOOKUP($U$1119,'TAR FIN'!$A$1:$O$99,15,0)),0,VLOOKUP($U$1119,'TAR FIN'!$A$1:$O$99,15,0))</f>
        <v>219.97</v>
      </c>
      <c r="Y1119" s="4"/>
      <c r="Z1119" s="4">
        <f ca="1">('TUSD BE'!$AM$23+'TUSD BF'!$AM$23+'TUSD CVA'!$AM$23)*1</f>
        <v>117.59114529324071</v>
      </c>
      <c r="AA1119" s="4">
        <f>('TE BE'!$AA$8+'TE BF'!$AA$8+'TE CVA'!$AA$8)*1</f>
        <v>271.13910989737087</v>
      </c>
      <c r="AB1119" s="4">
        <f>$K$1119*$V$1119</f>
        <v>0</v>
      </c>
      <c r="AC1119" s="4">
        <f>$M$1119*$W$1119</f>
        <v>23539.168833</v>
      </c>
      <c r="AD1119" s="4">
        <f>$O$1119*$X$1119</f>
        <v>53046.931341000003</v>
      </c>
      <c r="AE1119" s="4">
        <f>$K$1119*$Y$1119</f>
        <v>0</v>
      </c>
      <c r="AF1119" s="4">
        <f ca="1">$M$1119*$Z$1119</f>
        <v>28357.727920535053</v>
      </c>
      <c r="AG1119" s="4">
        <f>$O$1119*$AA$1119</f>
        <v>65386.633389033443</v>
      </c>
    </row>
    <row r="1120" spans="1:33" ht="11.25" customHeight="1" x14ac:dyDescent="0.25">
      <c r="A1120" s="3" t="s">
        <v>21</v>
      </c>
      <c r="B1120" s="3" t="s">
        <v>33</v>
      </c>
      <c r="C1120" s="3" t="s">
        <v>34</v>
      </c>
      <c r="D1120" s="3" t="s">
        <v>45</v>
      </c>
      <c r="E1120" s="3" t="s">
        <v>53</v>
      </c>
      <c r="F1120" s="3" t="s">
        <v>55</v>
      </c>
      <c r="G1120" s="3" t="s">
        <v>25</v>
      </c>
      <c r="H1120" s="3" t="s">
        <v>36</v>
      </c>
      <c r="I1120" s="6">
        <v>44562</v>
      </c>
      <c r="J1120" s="4">
        <v>0</v>
      </c>
      <c r="K1120" s="4">
        <v>0</v>
      </c>
      <c r="L1120" s="4">
        <v>2089.877</v>
      </c>
      <c r="M1120" s="4">
        <v>208.98769999999999</v>
      </c>
      <c r="N1120" s="4">
        <v>2089.877</v>
      </c>
      <c r="O1120" s="4">
        <v>208.98769999999999</v>
      </c>
      <c r="P1120" s="4">
        <v>0</v>
      </c>
      <c r="Q1120" s="3" t="s">
        <v>26</v>
      </c>
      <c r="R1120" s="3">
        <v>0</v>
      </c>
      <c r="S1120" s="4">
        <v>0</v>
      </c>
      <c r="T1120" s="4">
        <v>29</v>
      </c>
      <c r="U1120" s="4">
        <v>73</v>
      </c>
      <c r="V1120" s="4">
        <f>IF(ISERROR(VLOOKUP($S$1120,'TAR FIN'!$A$1:$O$99,15,0)),0,VLOOKUP($S$1120,'TAR FIN'!$A$1:$O$99,15,0))</f>
        <v>0</v>
      </c>
      <c r="W1120" s="4">
        <f>IF(ISERROR(VLOOKUP($T$1120,'TAR FIN'!$A$1:$O$99,15,0)),0,VLOOKUP($T$1120,'TAR FIN'!$A$1:$O$99,15,0))</f>
        <v>97.61</v>
      </c>
      <c r="X1120" s="4">
        <f>IF(ISERROR(VLOOKUP($U$1120,'TAR FIN'!$A$1:$O$99,15,0)),0,VLOOKUP($U$1120,'TAR FIN'!$A$1:$O$99,15,0))</f>
        <v>219.97</v>
      </c>
      <c r="Y1120" s="4"/>
      <c r="Z1120" s="4">
        <f ca="1">('TUSD BE'!$AM$23+'TUSD BF'!$AM$23+'TUSD CVA'!$AM$23)*1</f>
        <v>117.59114529324071</v>
      </c>
      <c r="AA1120" s="4">
        <f>('TE BE'!$AA$8+'TE BF'!$AA$8+'TE CVA'!$AA$8)*1</f>
        <v>271.13910989737087</v>
      </c>
      <c r="AB1120" s="4">
        <f>$K$1120*$V$1120</f>
        <v>0</v>
      </c>
      <c r="AC1120" s="4">
        <f>$M$1120*$W$1120</f>
        <v>20399.289397</v>
      </c>
      <c r="AD1120" s="4">
        <f>$O$1120*$X$1120</f>
        <v>45971.024368999999</v>
      </c>
      <c r="AE1120" s="4">
        <f>$K$1120*$Y$1120</f>
        <v>0</v>
      </c>
      <c r="AF1120" s="4">
        <f ca="1">$M$1120*$Z$1120</f>
        <v>24575.102995200203</v>
      </c>
      <c r="AG1120" s="4">
        <f>$O$1120*$AA$1120</f>
        <v>56664.738957498768</v>
      </c>
    </row>
    <row r="1121" spans="1:33" ht="11.25" customHeight="1" x14ac:dyDescent="0.25">
      <c r="A1121" s="3" t="s">
        <v>27</v>
      </c>
      <c r="B1121" s="3" t="s">
        <v>33</v>
      </c>
      <c r="C1121" s="3" t="s">
        <v>34</v>
      </c>
      <c r="D1121" s="3" t="s">
        <v>45</v>
      </c>
      <c r="E1121" s="3" t="s">
        <v>53</v>
      </c>
      <c r="F1121" s="3" t="s">
        <v>55</v>
      </c>
      <c r="G1121" s="3" t="s">
        <v>25</v>
      </c>
      <c r="H1121" s="3" t="s">
        <v>36</v>
      </c>
      <c r="I1121" s="6">
        <v>44562</v>
      </c>
      <c r="J1121" s="4">
        <v>0</v>
      </c>
      <c r="K1121" s="4">
        <v>0</v>
      </c>
      <c r="L1121" s="4">
        <v>-73.459999999999994</v>
      </c>
      <c r="M1121" s="4">
        <v>-7.3460000000000001</v>
      </c>
      <c r="N1121" s="4">
        <v>-73.459999999999994</v>
      </c>
      <c r="O1121" s="4">
        <v>-7.3460000000000001</v>
      </c>
      <c r="P1121" s="4">
        <v>0</v>
      </c>
      <c r="Q1121" s="3" t="s">
        <v>26</v>
      </c>
      <c r="R1121" s="3">
        <v>0</v>
      </c>
      <c r="S1121" s="4">
        <v>0</v>
      </c>
      <c r="T1121" s="4">
        <v>29</v>
      </c>
      <c r="U1121" s="4">
        <v>73</v>
      </c>
      <c r="V1121" s="4">
        <f>IF(ISERROR(VLOOKUP($S$1121,'TAR FIN'!$A$1:$O$99,15,0)),0,VLOOKUP($S$1121,'TAR FIN'!$A$1:$O$99,15,0))</f>
        <v>0</v>
      </c>
      <c r="W1121" s="4">
        <f>IF(ISERROR(VLOOKUP($T$1121,'TAR FIN'!$A$1:$O$99,15,0)),0,VLOOKUP($T$1121,'TAR FIN'!$A$1:$O$99,15,0))</f>
        <v>97.61</v>
      </c>
      <c r="X1121" s="4">
        <f>IF(ISERROR(VLOOKUP($U$1121,'TAR FIN'!$A$1:$O$99,15,0)),0,VLOOKUP($U$1121,'TAR FIN'!$A$1:$O$99,15,0))</f>
        <v>219.97</v>
      </c>
      <c r="Y1121" s="4"/>
      <c r="Z1121" s="4">
        <f ca="1">('TUSD BE'!$AM$23+'TUSD BF'!$AM$23+'TUSD CVA'!$AM$23)*1</f>
        <v>117.59114529324071</v>
      </c>
      <c r="AA1121" s="4">
        <f>('TE BE'!$AA$8+'TE BF'!$AA$8+'TE CVA'!$AA$8)*1</f>
        <v>271.13910989737087</v>
      </c>
      <c r="AB1121" s="4">
        <f>$K$1121*$V$1121</f>
        <v>0</v>
      </c>
      <c r="AC1121" s="4">
        <f>$M$1121*$W$1121</f>
        <v>-717.04305999999997</v>
      </c>
      <c r="AD1121" s="4">
        <f>$O$1121*$X$1121</f>
        <v>-1615.8996199999999</v>
      </c>
      <c r="AE1121" s="4">
        <f>$K$1121*$Y$1121</f>
        <v>0</v>
      </c>
      <c r="AF1121" s="4">
        <f ca="1">$M$1121*$Z$1121</f>
        <v>-863.82455332414634</v>
      </c>
      <c r="AG1121" s="4">
        <f>$O$1121*$AA$1121</f>
        <v>-1991.7879013060865</v>
      </c>
    </row>
    <row r="1122" spans="1:33" ht="11.25" customHeight="1" x14ac:dyDescent="0.25">
      <c r="A1122" s="3" t="s">
        <v>21</v>
      </c>
      <c r="B1122" s="3" t="s">
        <v>33</v>
      </c>
      <c r="C1122" s="3" t="s">
        <v>34</v>
      </c>
      <c r="D1122" s="3" t="s">
        <v>45</v>
      </c>
      <c r="E1122" s="3" t="s">
        <v>53</v>
      </c>
      <c r="F1122" s="3" t="s">
        <v>55</v>
      </c>
      <c r="G1122" s="3" t="s">
        <v>25</v>
      </c>
      <c r="H1122" s="3" t="s">
        <v>36</v>
      </c>
      <c r="I1122" s="6">
        <v>44593</v>
      </c>
      <c r="J1122" s="4">
        <v>0</v>
      </c>
      <c r="K1122" s="4">
        <v>0</v>
      </c>
      <c r="L1122" s="4">
        <v>2718.4349999999999</v>
      </c>
      <c r="M1122" s="4">
        <v>271.84350000000001</v>
      </c>
      <c r="N1122" s="4">
        <v>2718.4349999999999</v>
      </c>
      <c r="O1122" s="4">
        <v>271.84350000000001</v>
      </c>
      <c r="P1122" s="4">
        <v>0</v>
      </c>
      <c r="Q1122" s="3" t="s">
        <v>26</v>
      </c>
      <c r="R1122" s="3">
        <v>0</v>
      </c>
      <c r="S1122" s="4">
        <v>0</v>
      </c>
      <c r="T1122" s="4">
        <v>29</v>
      </c>
      <c r="U1122" s="4">
        <v>73</v>
      </c>
      <c r="V1122" s="4">
        <f>IF(ISERROR(VLOOKUP($S$1122,'TAR FIN'!$A$1:$O$99,15,0)),0,VLOOKUP($S$1122,'TAR FIN'!$A$1:$O$99,15,0))</f>
        <v>0</v>
      </c>
      <c r="W1122" s="4">
        <f>IF(ISERROR(VLOOKUP($T$1122,'TAR FIN'!$A$1:$O$99,15,0)),0,VLOOKUP($T$1122,'TAR FIN'!$A$1:$O$99,15,0))</f>
        <v>97.61</v>
      </c>
      <c r="X1122" s="4">
        <f>IF(ISERROR(VLOOKUP($U$1122,'TAR FIN'!$A$1:$O$99,15,0)),0,VLOOKUP($U$1122,'TAR FIN'!$A$1:$O$99,15,0))</f>
        <v>219.97</v>
      </c>
      <c r="Y1122" s="4"/>
      <c r="Z1122" s="4">
        <f ca="1">('TUSD BE'!$AM$23+'TUSD BF'!$AM$23+'TUSD CVA'!$AM$23)*1</f>
        <v>117.59114529324071</v>
      </c>
      <c r="AA1122" s="4">
        <f>('TE BE'!$AA$8+'TE BF'!$AA$8+'TE CVA'!$AA$8)*1</f>
        <v>271.13910989737087</v>
      </c>
      <c r="AB1122" s="4">
        <f>$K$1122*$V$1122</f>
        <v>0</v>
      </c>
      <c r="AC1122" s="4">
        <f>$M$1122*$W$1122</f>
        <v>26534.644035000001</v>
      </c>
      <c r="AD1122" s="4">
        <f>$O$1122*$X$1122</f>
        <v>59797.414694999999</v>
      </c>
      <c r="AE1122" s="4">
        <f>$K$1122*$Y$1122</f>
        <v>0</v>
      </c>
      <c r="AF1122" s="4">
        <f ca="1">$M$1122*$Z$1122</f>
        <v>31966.388505523082</v>
      </c>
      <c r="AG1122" s="4">
        <f>$O$1122*$AA$1122</f>
        <v>73707.40462138594</v>
      </c>
    </row>
    <row r="1123" spans="1:33" ht="11.25" customHeight="1" x14ac:dyDescent="0.25">
      <c r="A1123" s="3" t="s">
        <v>21</v>
      </c>
      <c r="B1123" s="3" t="s">
        <v>33</v>
      </c>
      <c r="C1123" s="3" t="s">
        <v>34</v>
      </c>
      <c r="D1123" s="3" t="s">
        <v>45</v>
      </c>
      <c r="E1123" s="3" t="s">
        <v>53</v>
      </c>
      <c r="F1123" s="3" t="s">
        <v>55</v>
      </c>
      <c r="G1123" s="3" t="s">
        <v>25</v>
      </c>
      <c r="H1123" s="3" t="s">
        <v>36</v>
      </c>
      <c r="I1123" s="6">
        <v>44621</v>
      </c>
      <c r="J1123" s="4">
        <v>0</v>
      </c>
      <c r="K1123" s="4">
        <v>0</v>
      </c>
      <c r="L1123" s="4">
        <v>986.07399999999996</v>
      </c>
      <c r="M1123" s="4">
        <v>98.607399999999998</v>
      </c>
      <c r="N1123" s="4">
        <v>986.07399999999996</v>
      </c>
      <c r="O1123" s="4">
        <v>98.607399999999998</v>
      </c>
      <c r="P1123" s="4">
        <v>0</v>
      </c>
      <c r="Q1123" s="3" t="s">
        <v>26</v>
      </c>
      <c r="R1123" s="3">
        <v>0</v>
      </c>
      <c r="S1123" s="4">
        <v>0</v>
      </c>
      <c r="T1123" s="4">
        <v>29</v>
      </c>
      <c r="U1123" s="4">
        <v>73</v>
      </c>
      <c r="V1123" s="4">
        <f>IF(ISERROR(VLOOKUP($S$1123,'TAR FIN'!$A$1:$O$99,15,0)),0,VLOOKUP($S$1123,'TAR FIN'!$A$1:$O$99,15,0))</f>
        <v>0</v>
      </c>
      <c r="W1123" s="4">
        <f>IF(ISERROR(VLOOKUP($T$1123,'TAR FIN'!$A$1:$O$99,15,0)),0,VLOOKUP($T$1123,'TAR FIN'!$A$1:$O$99,15,0))</f>
        <v>97.61</v>
      </c>
      <c r="X1123" s="4">
        <f>IF(ISERROR(VLOOKUP($U$1123,'TAR FIN'!$A$1:$O$99,15,0)),0,VLOOKUP($U$1123,'TAR FIN'!$A$1:$O$99,15,0))</f>
        <v>219.97</v>
      </c>
      <c r="Y1123" s="4"/>
      <c r="Z1123" s="4">
        <f ca="1">('TUSD BE'!$AM$23+'TUSD BF'!$AM$23+'TUSD CVA'!$AM$23)*1</f>
        <v>117.59114529324071</v>
      </c>
      <c r="AA1123" s="4">
        <f>('TE BE'!$AA$8+'TE BF'!$AA$8+'TE CVA'!$AA$8)*1</f>
        <v>271.13910989737087</v>
      </c>
      <c r="AB1123" s="4">
        <f>$K$1123*$V$1123</f>
        <v>0</v>
      </c>
      <c r="AC1123" s="4">
        <f>$M$1123*$W$1123</f>
        <v>9625.0683140000001</v>
      </c>
      <c r="AD1123" s="4">
        <f>$O$1123*$X$1123</f>
        <v>21690.669777999999</v>
      </c>
      <c r="AE1123" s="4">
        <f>$K$1123*$Y$1123</f>
        <v>0</v>
      </c>
      <c r="AF1123" s="4">
        <f ca="1">$M$1123*$Z$1123</f>
        <v>11595.357100388705</v>
      </c>
      <c r="AG1123" s="4">
        <f>$O$1123*$AA$1123</f>
        <v>26736.322665294007</v>
      </c>
    </row>
    <row r="1124" spans="1:33" ht="11.25" customHeight="1" x14ac:dyDescent="0.25">
      <c r="A1124" s="3" t="s">
        <v>27</v>
      </c>
      <c r="B1124" s="3" t="s">
        <v>33</v>
      </c>
      <c r="C1124" s="3" t="s">
        <v>34</v>
      </c>
      <c r="D1124" s="3" t="s">
        <v>45</v>
      </c>
      <c r="E1124" s="3" t="s">
        <v>53</v>
      </c>
      <c r="F1124" s="3" t="s">
        <v>55</v>
      </c>
      <c r="G1124" s="3" t="s">
        <v>25</v>
      </c>
      <c r="H1124" s="3" t="s">
        <v>36</v>
      </c>
      <c r="I1124" s="6">
        <v>44621</v>
      </c>
      <c r="J1124" s="4">
        <v>0</v>
      </c>
      <c r="K1124" s="4">
        <v>0</v>
      </c>
      <c r="L1124" s="4">
        <v>6.6920000000000002</v>
      </c>
      <c r="M1124" s="4">
        <v>0.66920000000000002</v>
      </c>
      <c r="N1124" s="4">
        <v>6.6920000000000002</v>
      </c>
      <c r="O1124" s="4">
        <v>0.66920000000000002</v>
      </c>
      <c r="P1124" s="4">
        <v>0</v>
      </c>
      <c r="Q1124" s="3" t="s">
        <v>26</v>
      </c>
      <c r="R1124" s="3">
        <v>0</v>
      </c>
      <c r="S1124" s="4">
        <v>0</v>
      </c>
      <c r="T1124" s="4">
        <v>29</v>
      </c>
      <c r="U1124" s="4">
        <v>73</v>
      </c>
      <c r="V1124" s="4">
        <f>IF(ISERROR(VLOOKUP($S$1124,'TAR FIN'!$A$1:$O$99,15,0)),0,VLOOKUP($S$1124,'TAR FIN'!$A$1:$O$99,15,0))</f>
        <v>0</v>
      </c>
      <c r="W1124" s="4">
        <f>IF(ISERROR(VLOOKUP($T$1124,'TAR FIN'!$A$1:$O$99,15,0)),0,VLOOKUP($T$1124,'TAR FIN'!$A$1:$O$99,15,0))</f>
        <v>97.61</v>
      </c>
      <c r="X1124" s="4">
        <f>IF(ISERROR(VLOOKUP($U$1124,'TAR FIN'!$A$1:$O$99,15,0)),0,VLOOKUP($U$1124,'TAR FIN'!$A$1:$O$99,15,0))</f>
        <v>219.97</v>
      </c>
      <c r="Y1124" s="4"/>
      <c r="Z1124" s="4">
        <f ca="1">('TUSD BE'!$AM$23+'TUSD BF'!$AM$23+'TUSD CVA'!$AM$23)*1</f>
        <v>117.59114529324071</v>
      </c>
      <c r="AA1124" s="4">
        <f>('TE BE'!$AA$8+'TE BF'!$AA$8+'TE CVA'!$AA$8)*1</f>
        <v>271.13910989737087</v>
      </c>
      <c r="AB1124" s="4">
        <f>$K$1124*$V$1124</f>
        <v>0</v>
      </c>
      <c r="AC1124" s="4">
        <f>$M$1124*$W$1124</f>
        <v>65.320611999999997</v>
      </c>
      <c r="AD1124" s="4">
        <f>$O$1124*$X$1124</f>
        <v>147.203924</v>
      </c>
      <c r="AE1124" s="4">
        <f>$K$1124*$Y$1124</f>
        <v>0</v>
      </c>
      <c r="AF1124" s="4">
        <f ca="1">$M$1124*$Z$1124</f>
        <v>78.69199443023669</v>
      </c>
      <c r="AG1124" s="4">
        <f>$O$1124*$AA$1124</f>
        <v>181.44629234332058</v>
      </c>
    </row>
    <row r="1125" spans="1:33" ht="11.25" customHeight="1" x14ac:dyDescent="0.25">
      <c r="A1125" s="3" t="s">
        <v>56</v>
      </c>
      <c r="B1125" s="3" t="s">
        <v>33</v>
      </c>
      <c r="C1125" s="3" t="s">
        <v>34</v>
      </c>
      <c r="D1125" s="3" t="s">
        <v>45</v>
      </c>
      <c r="E1125" s="3" t="s">
        <v>53</v>
      </c>
      <c r="F1125" s="3" t="s">
        <v>55</v>
      </c>
      <c r="G1125" s="3" t="s">
        <v>25</v>
      </c>
      <c r="H1125" s="3" t="s">
        <v>36</v>
      </c>
      <c r="I1125" s="6">
        <v>44652</v>
      </c>
      <c r="J1125" s="4">
        <v>0</v>
      </c>
      <c r="K1125" s="4">
        <v>0</v>
      </c>
      <c r="L1125" s="4">
        <v>986.07399999999996</v>
      </c>
      <c r="M1125" s="4">
        <v>98.607399999999998</v>
      </c>
      <c r="N1125" s="4">
        <v>986.07399999999996</v>
      </c>
      <c r="O1125" s="4">
        <v>98.607399999999998</v>
      </c>
      <c r="P1125" s="4">
        <v>0</v>
      </c>
      <c r="Q1125" s="3" t="s">
        <v>26</v>
      </c>
      <c r="R1125" s="3">
        <v>0</v>
      </c>
      <c r="S1125" s="4">
        <v>0</v>
      </c>
      <c r="T1125" s="4">
        <v>29</v>
      </c>
      <c r="U1125" s="4">
        <v>73</v>
      </c>
      <c r="V1125" s="4">
        <f>IF(ISERROR(VLOOKUP($S$1125,'TAR FIN'!$A$1:$O$99,15,0)),0,VLOOKUP($S$1125,'TAR FIN'!$A$1:$O$99,15,0))</f>
        <v>0</v>
      </c>
      <c r="W1125" s="4">
        <f>IF(ISERROR(VLOOKUP($T$1125,'TAR FIN'!$A$1:$O$99,15,0)),0,VLOOKUP($T$1125,'TAR FIN'!$A$1:$O$99,15,0))</f>
        <v>97.61</v>
      </c>
      <c r="X1125" s="4">
        <f>IF(ISERROR(VLOOKUP($U$1125,'TAR FIN'!$A$1:$O$99,15,0)),0,VLOOKUP($U$1125,'TAR FIN'!$A$1:$O$99,15,0))</f>
        <v>219.97</v>
      </c>
      <c r="Y1125" s="4"/>
      <c r="Z1125" s="4">
        <f ca="1">('TUSD BE'!$AM$23+'TUSD BF'!$AM$23+'TUSD CVA'!$AM$23)*1</f>
        <v>117.59114529324071</v>
      </c>
      <c r="AA1125" s="4">
        <f>('TE BE'!$AA$8+'TE BF'!$AA$8+'TE CVA'!$AA$8)*1</f>
        <v>271.13910989737087</v>
      </c>
      <c r="AB1125" s="4">
        <f>$K$1125*$V$1125</f>
        <v>0</v>
      </c>
      <c r="AC1125" s="4">
        <f>$M$1125*$W$1125</f>
        <v>9625.0683140000001</v>
      </c>
      <c r="AD1125" s="4">
        <f>$O$1125*$X$1125</f>
        <v>21690.669777999999</v>
      </c>
      <c r="AE1125" s="4">
        <f>$K$1125*$Y$1125</f>
        <v>0</v>
      </c>
      <c r="AF1125" s="4">
        <f ca="1">$M$1125*$Z$1125</f>
        <v>11595.357100388705</v>
      </c>
      <c r="AG1125" s="4">
        <f>$O$1125*$AA$1125</f>
        <v>26736.322665294007</v>
      </c>
    </row>
    <row r="1126" spans="1:33" ht="11.25" customHeight="1" x14ac:dyDescent="0.25">
      <c r="A1126" s="3" t="s">
        <v>56</v>
      </c>
      <c r="B1126" s="3" t="s">
        <v>33</v>
      </c>
      <c r="C1126" s="3" t="s">
        <v>34</v>
      </c>
      <c r="D1126" s="3" t="s">
        <v>45</v>
      </c>
      <c r="E1126" s="3" t="s">
        <v>53</v>
      </c>
      <c r="F1126" s="3" t="s">
        <v>55</v>
      </c>
      <c r="G1126" s="3" t="s">
        <v>25</v>
      </c>
      <c r="H1126" s="3" t="s">
        <v>36</v>
      </c>
      <c r="I1126" s="6">
        <v>44652</v>
      </c>
      <c r="J1126" s="4">
        <v>0</v>
      </c>
      <c r="K1126" s="4">
        <v>0</v>
      </c>
      <c r="L1126" s="4">
        <v>6.6920000000000002</v>
      </c>
      <c r="M1126" s="4">
        <v>0.66920000000000002</v>
      </c>
      <c r="N1126" s="4">
        <v>6.6920000000000002</v>
      </c>
      <c r="O1126" s="4">
        <v>0.66920000000000002</v>
      </c>
      <c r="P1126" s="4">
        <v>0</v>
      </c>
      <c r="Q1126" s="3" t="s">
        <v>26</v>
      </c>
      <c r="R1126" s="3">
        <v>0</v>
      </c>
      <c r="S1126" s="4">
        <v>0</v>
      </c>
      <c r="T1126" s="4">
        <v>29</v>
      </c>
      <c r="U1126" s="4">
        <v>73</v>
      </c>
      <c r="V1126" s="4">
        <f>IF(ISERROR(VLOOKUP($S$1126,'TAR FIN'!$A$1:$O$99,15,0)),0,VLOOKUP($S$1126,'TAR FIN'!$A$1:$O$99,15,0))</f>
        <v>0</v>
      </c>
      <c r="W1126" s="4">
        <f>IF(ISERROR(VLOOKUP($T$1126,'TAR FIN'!$A$1:$O$99,15,0)),0,VLOOKUP($T$1126,'TAR FIN'!$A$1:$O$99,15,0))</f>
        <v>97.61</v>
      </c>
      <c r="X1126" s="4">
        <f>IF(ISERROR(VLOOKUP($U$1126,'TAR FIN'!$A$1:$O$99,15,0)),0,VLOOKUP($U$1126,'TAR FIN'!$A$1:$O$99,15,0))</f>
        <v>219.97</v>
      </c>
      <c r="Y1126" s="4"/>
      <c r="Z1126" s="4">
        <f ca="1">('TUSD BE'!$AM$23+'TUSD BF'!$AM$23+'TUSD CVA'!$AM$23)*1</f>
        <v>117.59114529324071</v>
      </c>
      <c r="AA1126" s="4">
        <f>('TE BE'!$AA$8+'TE BF'!$AA$8+'TE CVA'!$AA$8)*1</f>
        <v>271.13910989737087</v>
      </c>
      <c r="AB1126" s="4">
        <f>$K$1126*$V$1126</f>
        <v>0</v>
      </c>
      <c r="AC1126" s="4">
        <f>$M$1126*$W$1126</f>
        <v>65.320611999999997</v>
      </c>
      <c r="AD1126" s="4">
        <f>$O$1126*$X$1126</f>
        <v>147.203924</v>
      </c>
      <c r="AE1126" s="4">
        <f>$K$1126*$Y$1126</f>
        <v>0</v>
      </c>
      <c r="AF1126" s="4">
        <f ca="1">$M$1126*$Z$1126</f>
        <v>78.69199443023669</v>
      </c>
      <c r="AG1126" s="4">
        <f>$O$1126*$AA$1126</f>
        <v>181.44629234332058</v>
      </c>
    </row>
    <row r="1127" spans="1:33" ht="11.25" customHeight="1" x14ac:dyDescent="0.25">
      <c r="A1127" s="3" t="s">
        <v>21</v>
      </c>
      <c r="B1127" s="3" t="s">
        <v>33</v>
      </c>
      <c r="C1127" s="3" t="s">
        <v>34</v>
      </c>
      <c r="D1127" s="3" t="s">
        <v>45</v>
      </c>
      <c r="E1127" s="3" t="s">
        <v>53</v>
      </c>
      <c r="F1127" s="3" t="s">
        <v>25</v>
      </c>
      <c r="G1127" s="3" t="s">
        <v>25</v>
      </c>
      <c r="H1127" s="3" t="s">
        <v>36</v>
      </c>
      <c r="I1127" s="6">
        <v>44317</v>
      </c>
      <c r="J1127" s="4">
        <v>0</v>
      </c>
      <c r="K1127" s="70">
        <v>0</v>
      </c>
      <c r="L1127" s="4">
        <v>191.85300000000001</v>
      </c>
      <c r="M1127" s="70">
        <v>191.85300000000001</v>
      </c>
      <c r="N1127" s="4">
        <v>191.85300000000001</v>
      </c>
      <c r="O1127" s="70">
        <v>191.85300000000001</v>
      </c>
      <c r="P1127" s="4">
        <v>0</v>
      </c>
      <c r="Q1127" s="3" t="s">
        <v>26</v>
      </c>
      <c r="R1127" s="3">
        <v>0</v>
      </c>
      <c r="S1127" s="4">
        <v>0</v>
      </c>
      <c r="T1127" s="4">
        <v>29</v>
      </c>
      <c r="U1127" s="4">
        <v>73</v>
      </c>
      <c r="V1127" s="70">
        <f>IF(ISERROR(VLOOKUP($S$1127,'TAR FIN'!$A$1:$O$99,15,0)),0,VLOOKUP($S$1127,'TAR FIN'!$A$1:$O$99,15,0))</f>
        <v>0</v>
      </c>
      <c r="W1127" s="70">
        <f>IF(ISERROR(VLOOKUP($T$1127,'TAR FIN'!$A$1:$O$99,15,0)),0,VLOOKUP($T$1127,'TAR FIN'!$A$1:$O$99,15,0))*(1-0.04)</f>
        <v>93.70559999999999</v>
      </c>
      <c r="X1127" s="70">
        <f>IF(ISERROR(VLOOKUP($U$1127,'TAR FIN'!$A$1:$O$99,15,0)),0,VLOOKUP($U$1127,'TAR FIN'!$A$1:$O$99,15,0))*(1-0.04)</f>
        <v>211.1712</v>
      </c>
      <c r="Y1127" s="70"/>
      <c r="Z1127" s="70">
        <f ca="1">('TUSD BE'!$AM$23+'TUSD BF'!$AM$23+'TUSD CVA'!$AM$23)*1*(1-0.02)</f>
        <v>115.23932238737589</v>
      </c>
      <c r="AA1127" s="70">
        <f>('TE BE'!$AA$8+'TE BF'!$AA$8+'TE CVA'!$AA$8)*1*(1-0.02)</f>
        <v>265.71632769942346</v>
      </c>
      <c r="AB1127" s="4">
        <f>$K$1127*$V$1127</f>
        <v>0</v>
      </c>
      <c r="AC1127" s="4">
        <f>$M$1127*$W$1127</f>
        <v>17977.700476800001</v>
      </c>
      <c r="AD1127" s="4">
        <f>$O$1127*$X$1127</f>
        <v>40513.828233600005</v>
      </c>
      <c r="AE1127" s="4">
        <f>$K$1127*$Y$1127</f>
        <v>0</v>
      </c>
      <c r="AF1127" s="4">
        <f ca="1">$M$1127*$Z$1127</f>
        <v>22109.009717985227</v>
      </c>
      <c r="AG1127" s="4">
        <f>$O$1127*$AA$1127</f>
        <v>50978.474618117492</v>
      </c>
    </row>
    <row r="1128" spans="1:33" ht="11.25" customHeight="1" x14ac:dyDescent="0.25">
      <c r="A1128" s="3" t="s">
        <v>21</v>
      </c>
      <c r="B1128" s="3" t="s">
        <v>33</v>
      </c>
      <c r="C1128" s="3" t="s">
        <v>34</v>
      </c>
      <c r="D1128" s="3" t="s">
        <v>45</v>
      </c>
      <c r="E1128" s="3" t="s">
        <v>53</v>
      </c>
      <c r="F1128" s="3" t="s">
        <v>25</v>
      </c>
      <c r="G1128" s="3" t="s">
        <v>25</v>
      </c>
      <c r="H1128" s="3" t="s">
        <v>36</v>
      </c>
      <c r="I1128" s="6">
        <v>44348</v>
      </c>
      <c r="J1128" s="4">
        <v>0</v>
      </c>
      <c r="K1128" s="70">
        <v>0</v>
      </c>
      <c r="L1128" s="4">
        <v>182.75399999999999</v>
      </c>
      <c r="M1128" s="70">
        <v>182.75399999999999</v>
      </c>
      <c r="N1128" s="4">
        <v>182.75399999999999</v>
      </c>
      <c r="O1128" s="70">
        <v>182.75399999999999</v>
      </c>
      <c r="P1128" s="4">
        <v>0</v>
      </c>
      <c r="Q1128" s="3" t="s">
        <v>26</v>
      </c>
      <c r="R1128" s="3">
        <v>0</v>
      </c>
      <c r="S1128" s="4">
        <v>0</v>
      </c>
      <c r="T1128" s="4">
        <v>29</v>
      </c>
      <c r="U1128" s="4">
        <v>73</v>
      </c>
      <c r="V1128" s="70">
        <f>IF(ISERROR(VLOOKUP($S$1128,'TAR FIN'!$A$1:$O$99,15,0)),0,VLOOKUP($S$1128,'TAR FIN'!$A$1:$O$99,15,0))</f>
        <v>0</v>
      </c>
      <c r="W1128" s="70">
        <f>IF(ISERROR(VLOOKUP($T$1128,'TAR FIN'!$A$1:$O$99,15,0)),0,VLOOKUP($T$1128,'TAR FIN'!$A$1:$O$99,15,0))*(1-0.04)</f>
        <v>93.70559999999999</v>
      </c>
      <c r="X1128" s="70">
        <f>IF(ISERROR(VLOOKUP($U$1128,'TAR FIN'!$A$1:$O$99,15,0)),0,VLOOKUP($U$1128,'TAR FIN'!$A$1:$O$99,15,0))*(1-0.04)</f>
        <v>211.1712</v>
      </c>
      <c r="Y1128" s="70"/>
      <c r="Z1128" s="70">
        <f ca="1">('TUSD BE'!$AM$23+'TUSD BF'!$AM$23+'TUSD CVA'!$AM$23)*1*(1-0.02)</f>
        <v>115.23932238737589</v>
      </c>
      <c r="AA1128" s="70">
        <f>('TE BE'!$AA$8+'TE BF'!$AA$8+'TE CVA'!$AA$8)*1*(1-0.02)</f>
        <v>265.71632769942346</v>
      </c>
      <c r="AB1128" s="4">
        <f>$K$1128*$V$1128</f>
        <v>0</v>
      </c>
      <c r="AC1128" s="4">
        <f>$M$1128*$W$1128</f>
        <v>17125.073222399998</v>
      </c>
      <c r="AD1128" s="4">
        <f>$O$1128*$X$1128</f>
        <v>38592.381484799997</v>
      </c>
      <c r="AE1128" s="4">
        <f>$K$1128*$Y$1128</f>
        <v>0</v>
      </c>
      <c r="AF1128" s="4">
        <f ca="1">$M$1128*$Z$1128</f>
        <v>21060.447123582493</v>
      </c>
      <c r="AG1128" s="4">
        <f>$O$1128*$AA$1128</f>
        <v>48560.721752380436</v>
      </c>
    </row>
    <row r="1129" spans="1:33" ht="11.25" customHeight="1" x14ac:dyDescent="0.25">
      <c r="A1129" s="3" t="s">
        <v>27</v>
      </c>
      <c r="B1129" s="3" t="s">
        <v>33</v>
      </c>
      <c r="C1129" s="3" t="s">
        <v>34</v>
      </c>
      <c r="D1129" s="3" t="s">
        <v>45</v>
      </c>
      <c r="E1129" s="3" t="s">
        <v>53</v>
      </c>
      <c r="F1129" s="3" t="s">
        <v>25</v>
      </c>
      <c r="G1129" s="3" t="s">
        <v>25</v>
      </c>
      <c r="H1129" s="3" t="s">
        <v>36</v>
      </c>
      <c r="I1129" s="6">
        <v>44348</v>
      </c>
      <c r="J1129" s="4">
        <v>0</v>
      </c>
      <c r="K1129" s="70">
        <v>0</v>
      </c>
      <c r="L1129" s="4">
        <v>-100.434</v>
      </c>
      <c r="M1129" s="70">
        <v>-100.434</v>
      </c>
      <c r="N1129" s="4">
        <v>-100.434</v>
      </c>
      <c r="O1129" s="70">
        <v>-100.434</v>
      </c>
      <c r="P1129" s="4">
        <v>0</v>
      </c>
      <c r="Q1129" s="3" t="s">
        <v>26</v>
      </c>
      <c r="R1129" s="3">
        <v>0</v>
      </c>
      <c r="S1129" s="4">
        <v>0</v>
      </c>
      <c r="T1129" s="4">
        <v>29</v>
      </c>
      <c r="U1129" s="4">
        <v>73</v>
      </c>
      <c r="V1129" s="70">
        <f>IF(ISERROR(VLOOKUP($S$1129,'TAR FIN'!$A$1:$O$99,15,0)),0,VLOOKUP($S$1129,'TAR FIN'!$A$1:$O$99,15,0))</f>
        <v>0</v>
      </c>
      <c r="W1129" s="70">
        <f>IF(ISERROR(VLOOKUP($T$1129,'TAR FIN'!$A$1:$O$99,15,0)),0,VLOOKUP($T$1129,'TAR FIN'!$A$1:$O$99,15,0))*(1-0.04)</f>
        <v>93.70559999999999</v>
      </c>
      <c r="X1129" s="70">
        <f>IF(ISERROR(VLOOKUP($U$1129,'TAR FIN'!$A$1:$O$99,15,0)),0,VLOOKUP($U$1129,'TAR FIN'!$A$1:$O$99,15,0))*(1-0.04)</f>
        <v>211.1712</v>
      </c>
      <c r="Y1129" s="70"/>
      <c r="Z1129" s="70">
        <f ca="1">('TUSD BE'!$AM$23+'TUSD BF'!$AM$23+'TUSD CVA'!$AM$23)*1*(1-0.02)</f>
        <v>115.23932238737589</v>
      </c>
      <c r="AA1129" s="70">
        <f>('TE BE'!$AA$8+'TE BF'!$AA$8+'TE CVA'!$AA$8)*1*(1-0.02)</f>
        <v>265.71632769942346</v>
      </c>
      <c r="AB1129" s="4">
        <f>$K$1129*$V$1129</f>
        <v>0</v>
      </c>
      <c r="AC1129" s="4">
        <f>$M$1129*$W$1129</f>
        <v>-9411.2282303999982</v>
      </c>
      <c r="AD1129" s="4">
        <f>$O$1129*$X$1129</f>
        <v>-21208.768300799999</v>
      </c>
      <c r="AE1129" s="4">
        <f>$K$1129*$Y$1129</f>
        <v>0</v>
      </c>
      <c r="AF1129" s="4">
        <f ca="1">$M$1129*$Z$1129</f>
        <v>-11573.946104653711</v>
      </c>
      <c r="AG1129" s="4">
        <f>$O$1129*$AA$1129</f>
        <v>-26686.953656163896</v>
      </c>
    </row>
    <row r="1130" spans="1:33" ht="11.25" customHeight="1" x14ac:dyDescent="0.25">
      <c r="A1130" s="3" t="s">
        <v>21</v>
      </c>
      <c r="B1130" s="3" t="s">
        <v>33</v>
      </c>
      <c r="C1130" s="3" t="s">
        <v>34</v>
      </c>
      <c r="D1130" s="3" t="s">
        <v>45</v>
      </c>
      <c r="E1130" s="3" t="s">
        <v>53</v>
      </c>
      <c r="F1130" s="3" t="s">
        <v>25</v>
      </c>
      <c r="G1130" s="3" t="s">
        <v>25</v>
      </c>
      <c r="H1130" s="3" t="s">
        <v>36</v>
      </c>
      <c r="I1130" s="6">
        <v>44378</v>
      </c>
      <c r="J1130" s="4">
        <v>0</v>
      </c>
      <c r="K1130" s="70">
        <v>0</v>
      </c>
      <c r="L1130" s="4">
        <v>229.15899999999999</v>
      </c>
      <c r="M1130" s="70">
        <v>229.15899999999999</v>
      </c>
      <c r="N1130" s="4">
        <v>229.15899999999999</v>
      </c>
      <c r="O1130" s="70">
        <v>229.15899999999999</v>
      </c>
      <c r="P1130" s="4">
        <v>0</v>
      </c>
      <c r="Q1130" s="3" t="s">
        <v>26</v>
      </c>
      <c r="R1130" s="3">
        <v>0</v>
      </c>
      <c r="S1130" s="4">
        <v>0</v>
      </c>
      <c r="T1130" s="4">
        <v>29</v>
      </c>
      <c r="U1130" s="4">
        <v>73</v>
      </c>
      <c r="V1130" s="70">
        <f>IF(ISERROR(VLOOKUP($S$1130,'TAR FIN'!$A$1:$O$99,15,0)),0,VLOOKUP($S$1130,'TAR FIN'!$A$1:$O$99,15,0))</f>
        <v>0</v>
      </c>
      <c r="W1130" s="70">
        <f>IF(ISERROR(VLOOKUP($T$1130,'TAR FIN'!$A$1:$O$99,15,0)),0,VLOOKUP($T$1130,'TAR FIN'!$A$1:$O$99,15,0))*(1-0.04)</f>
        <v>93.70559999999999</v>
      </c>
      <c r="X1130" s="70">
        <f>IF(ISERROR(VLOOKUP($U$1130,'TAR FIN'!$A$1:$O$99,15,0)),0,VLOOKUP($U$1130,'TAR FIN'!$A$1:$O$99,15,0))*(1-0.04)</f>
        <v>211.1712</v>
      </c>
      <c r="Y1130" s="70"/>
      <c r="Z1130" s="70">
        <f ca="1">('TUSD BE'!$AM$23+'TUSD BF'!$AM$23+'TUSD CVA'!$AM$23)*1*(1-0.02)</f>
        <v>115.23932238737589</v>
      </c>
      <c r="AA1130" s="70">
        <f>('TE BE'!$AA$8+'TE BF'!$AA$8+'TE CVA'!$AA$8)*1*(1-0.02)</f>
        <v>265.71632769942346</v>
      </c>
      <c r="AB1130" s="4">
        <f>$K$1130*$V$1130</f>
        <v>0</v>
      </c>
      <c r="AC1130" s="4">
        <f>$M$1130*$W$1130</f>
        <v>21473.481590399995</v>
      </c>
      <c r="AD1130" s="4">
        <f>$O$1130*$X$1130</f>
        <v>48391.781020800001</v>
      </c>
      <c r="AE1130" s="4">
        <f>$K$1130*$Y$1130</f>
        <v>0</v>
      </c>
      <c r="AF1130" s="4">
        <f ca="1">$M$1130*$Z$1130</f>
        <v>26408.127878968673</v>
      </c>
      <c r="AG1130" s="4">
        <f>$O$1130*$AA$1130</f>
        <v>60891.287939272181</v>
      </c>
    </row>
    <row r="1131" spans="1:33" ht="11.25" customHeight="1" x14ac:dyDescent="0.25">
      <c r="A1131" s="3" t="s">
        <v>27</v>
      </c>
      <c r="B1131" s="3" t="s">
        <v>33</v>
      </c>
      <c r="C1131" s="3" t="s">
        <v>34</v>
      </c>
      <c r="D1131" s="3" t="s">
        <v>45</v>
      </c>
      <c r="E1131" s="3" t="s">
        <v>53</v>
      </c>
      <c r="F1131" s="3" t="s">
        <v>25</v>
      </c>
      <c r="G1131" s="3" t="s">
        <v>25</v>
      </c>
      <c r="H1131" s="3" t="s">
        <v>36</v>
      </c>
      <c r="I1131" s="6">
        <v>44378</v>
      </c>
      <c r="J1131" s="4">
        <v>0</v>
      </c>
      <c r="K1131" s="70">
        <v>0</v>
      </c>
      <c r="L1131" s="4">
        <v>-11.388</v>
      </c>
      <c r="M1131" s="70">
        <v>-11.388</v>
      </c>
      <c r="N1131" s="4">
        <v>-11.388</v>
      </c>
      <c r="O1131" s="70">
        <v>-11.388</v>
      </c>
      <c r="P1131" s="4">
        <v>0</v>
      </c>
      <c r="Q1131" s="3" t="s">
        <v>26</v>
      </c>
      <c r="R1131" s="3">
        <v>0</v>
      </c>
      <c r="S1131" s="4">
        <v>0</v>
      </c>
      <c r="T1131" s="4">
        <v>29</v>
      </c>
      <c r="U1131" s="4">
        <v>73</v>
      </c>
      <c r="V1131" s="70">
        <f>IF(ISERROR(VLOOKUP($S$1131,'TAR FIN'!$A$1:$O$99,15,0)),0,VLOOKUP($S$1131,'TAR FIN'!$A$1:$O$99,15,0))</f>
        <v>0</v>
      </c>
      <c r="W1131" s="70">
        <f>IF(ISERROR(VLOOKUP($T$1131,'TAR FIN'!$A$1:$O$99,15,0)),0,VLOOKUP($T$1131,'TAR FIN'!$A$1:$O$99,15,0))*(1-0.04)</f>
        <v>93.70559999999999</v>
      </c>
      <c r="X1131" s="70">
        <f>IF(ISERROR(VLOOKUP($U$1131,'TAR FIN'!$A$1:$O$99,15,0)),0,VLOOKUP($U$1131,'TAR FIN'!$A$1:$O$99,15,0))*(1-0.04)</f>
        <v>211.1712</v>
      </c>
      <c r="Y1131" s="70"/>
      <c r="Z1131" s="70">
        <f ca="1">('TUSD BE'!$AM$23+'TUSD BF'!$AM$23+'TUSD CVA'!$AM$23)*1*(1-0.02)</f>
        <v>115.23932238737589</v>
      </c>
      <c r="AA1131" s="70">
        <f>('TE BE'!$AA$8+'TE BF'!$AA$8+'TE CVA'!$AA$8)*1*(1-0.02)</f>
        <v>265.71632769942346</v>
      </c>
      <c r="AB1131" s="4">
        <f>$K$1131*$V$1131</f>
        <v>0</v>
      </c>
      <c r="AC1131" s="4">
        <f>$M$1131*$W$1131</f>
        <v>-1067.1193727999998</v>
      </c>
      <c r="AD1131" s="4">
        <f>$O$1131*$X$1131</f>
        <v>-2404.8176256000002</v>
      </c>
      <c r="AE1131" s="4">
        <f>$K$1131*$Y$1131</f>
        <v>0</v>
      </c>
      <c r="AF1131" s="4">
        <f ca="1">$M$1131*$Z$1131</f>
        <v>-1312.3454033474366</v>
      </c>
      <c r="AG1131" s="4">
        <f>$O$1131*$AA$1131</f>
        <v>-3025.9775398410343</v>
      </c>
    </row>
    <row r="1132" spans="1:33" ht="11.25" customHeight="1" x14ac:dyDescent="0.25">
      <c r="A1132" s="3" t="s">
        <v>21</v>
      </c>
      <c r="B1132" s="3" t="s">
        <v>33</v>
      </c>
      <c r="C1132" s="3" t="s">
        <v>34</v>
      </c>
      <c r="D1132" s="3" t="s">
        <v>45</v>
      </c>
      <c r="E1132" s="3" t="s">
        <v>53</v>
      </c>
      <c r="F1132" s="3" t="s">
        <v>25</v>
      </c>
      <c r="G1132" s="3" t="s">
        <v>25</v>
      </c>
      <c r="H1132" s="3" t="s">
        <v>36</v>
      </c>
      <c r="I1132" s="6">
        <v>44409</v>
      </c>
      <c r="J1132" s="4">
        <v>0</v>
      </c>
      <c r="K1132" s="70">
        <v>0</v>
      </c>
      <c r="L1132" s="4">
        <v>359.40800000000002</v>
      </c>
      <c r="M1132" s="70">
        <v>359.40800000000002</v>
      </c>
      <c r="N1132" s="4">
        <v>359.40800000000002</v>
      </c>
      <c r="O1132" s="70">
        <v>359.40800000000002</v>
      </c>
      <c r="P1132" s="4">
        <v>0</v>
      </c>
      <c r="Q1132" s="3" t="s">
        <v>26</v>
      </c>
      <c r="R1132" s="3">
        <v>0</v>
      </c>
      <c r="S1132" s="4">
        <v>0</v>
      </c>
      <c r="T1132" s="4">
        <v>29</v>
      </c>
      <c r="U1132" s="4">
        <v>73</v>
      </c>
      <c r="V1132" s="70">
        <f>IF(ISERROR(VLOOKUP($S$1132,'TAR FIN'!$A$1:$O$99,15,0)),0,VLOOKUP($S$1132,'TAR FIN'!$A$1:$O$99,15,0))</f>
        <v>0</v>
      </c>
      <c r="W1132" s="70">
        <f>IF(ISERROR(VLOOKUP($T$1132,'TAR FIN'!$A$1:$O$99,15,0)),0,VLOOKUP($T$1132,'TAR FIN'!$A$1:$O$99,15,0))*(1-0.04)</f>
        <v>93.70559999999999</v>
      </c>
      <c r="X1132" s="70">
        <f>IF(ISERROR(VLOOKUP($U$1132,'TAR FIN'!$A$1:$O$99,15,0)),0,VLOOKUP($U$1132,'TAR FIN'!$A$1:$O$99,15,0))*(1-0.04)</f>
        <v>211.1712</v>
      </c>
      <c r="Y1132" s="70"/>
      <c r="Z1132" s="70">
        <f ca="1">('TUSD BE'!$AM$23+'TUSD BF'!$AM$23+'TUSD CVA'!$AM$23)*1*(1-0.02)</f>
        <v>115.23932238737589</v>
      </c>
      <c r="AA1132" s="70">
        <f>('TE BE'!$AA$8+'TE BF'!$AA$8+'TE CVA'!$AA$8)*1*(1-0.02)</f>
        <v>265.71632769942346</v>
      </c>
      <c r="AB1132" s="4">
        <f>$K$1132*$V$1132</f>
        <v>0</v>
      </c>
      <c r="AC1132" s="4">
        <f>$M$1132*$W$1132</f>
        <v>33678.542284799994</v>
      </c>
      <c r="AD1132" s="4">
        <f>$O$1132*$X$1132</f>
        <v>75896.618649600001</v>
      </c>
      <c r="AE1132" s="4">
        <f>$K$1132*$Y$1132</f>
        <v>0</v>
      </c>
      <c r="AF1132" s="4">
        <f ca="1">$M$1132*$Z$1132</f>
        <v>41417.934380601997</v>
      </c>
      <c r="AG1132" s="4">
        <f>$O$1132*$AA$1132</f>
        <v>95500.573905794387</v>
      </c>
    </row>
    <row r="1133" spans="1:33" ht="11.25" customHeight="1" x14ac:dyDescent="0.25">
      <c r="A1133" s="3" t="s">
        <v>27</v>
      </c>
      <c r="B1133" s="3" t="s">
        <v>33</v>
      </c>
      <c r="C1133" s="3" t="s">
        <v>34</v>
      </c>
      <c r="D1133" s="3" t="s">
        <v>45</v>
      </c>
      <c r="E1133" s="3" t="s">
        <v>53</v>
      </c>
      <c r="F1133" s="3" t="s">
        <v>25</v>
      </c>
      <c r="G1133" s="3" t="s">
        <v>25</v>
      </c>
      <c r="H1133" s="3" t="s">
        <v>36</v>
      </c>
      <c r="I1133" s="6">
        <v>44409</v>
      </c>
      <c r="J1133" s="4">
        <v>0</v>
      </c>
      <c r="K1133" s="70">
        <v>0</v>
      </c>
      <c r="L1133" s="4">
        <v>-36.177</v>
      </c>
      <c r="M1133" s="70">
        <v>-36.177</v>
      </c>
      <c r="N1133" s="4">
        <v>-36.177</v>
      </c>
      <c r="O1133" s="70">
        <v>-36.177</v>
      </c>
      <c r="P1133" s="4">
        <v>0</v>
      </c>
      <c r="Q1133" s="3" t="s">
        <v>26</v>
      </c>
      <c r="R1133" s="3">
        <v>0</v>
      </c>
      <c r="S1133" s="4">
        <v>0</v>
      </c>
      <c r="T1133" s="4">
        <v>29</v>
      </c>
      <c r="U1133" s="4">
        <v>73</v>
      </c>
      <c r="V1133" s="70">
        <f>IF(ISERROR(VLOOKUP($S$1133,'TAR FIN'!$A$1:$O$99,15,0)),0,VLOOKUP($S$1133,'TAR FIN'!$A$1:$O$99,15,0))</f>
        <v>0</v>
      </c>
      <c r="W1133" s="70">
        <f>IF(ISERROR(VLOOKUP($T$1133,'TAR FIN'!$A$1:$O$99,15,0)),0,VLOOKUP($T$1133,'TAR FIN'!$A$1:$O$99,15,0))*(1-0.04)</f>
        <v>93.70559999999999</v>
      </c>
      <c r="X1133" s="70">
        <f>IF(ISERROR(VLOOKUP($U$1133,'TAR FIN'!$A$1:$O$99,15,0)),0,VLOOKUP($U$1133,'TAR FIN'!$A$1:$O$99,15,0))*(1-0.04)</f>
        <v>211.1712</v>
      </c>
      <c r="Y1133" s="70"/>
      <c r="Z1133" s="70">
        <f ca="1">('TUSD BE'!$AM$23+'TUSD BF'!$AM$23+'TUSD CVA'!$AM$23)*1*(1-0.02)</f>
        <v>115.23932238737589</v>
      </c>
      <c r="AA1133" s="70">
        <f>('TE BE'!$AA$8+'TE BF'!$AA$8+'TE CVA'!$AA$8)*1*(1-0.02)</f>
        <v>265.71632769942346</v>
      </c>
      <c r="AB1133" s="4">
        <f>$K$1133*$V$1133</f>
        <v>0</v>
      </c>
      <c r="AC1133" s="4">
        <f>$M$1133*$W$1133</f>
        <v>-3389.9874911999996</v>
      </c>
      <c r="AD1133" s="4">
        <f>$O$1133*$X$1133</f>
        <v>-7639.5405024000002</v>
      </c>
      <c r="AE1133" s="4">
        <f>$K$1133*$Y$1133</f>
        <v>0</v>
      </c>
      <c r="AF1133" s="4">
        <f ca="1">$M$1133*$Z$1133</f>
        <v>-4169.0129660080975</v>
      </c>
      <c r="AG1133" s="4">
        <f>$O$1133*$AA$1133</f>
        <v>-9612.8195871820426</v>
      </c>
    </row>
    <row r="1134" spans="1:33" ht="11.25" customHeight="1" x14ac:dyDescent="0.25">
      <c r="A1134" s="3" t="s">
        <v>21</v>
      </c>
      <c r="B1134" s="3" t="s">
        <v>33</v>
      </c>
      <c r="C1134" s="3" t="s">
        <v>34</v>
      </c>
      <c r="D1134" s="3" t="s">
        <v>45</v>
      </c>
      <c r="E1134" s="3" t="s">
        <v>53</v>
      </c>
      <c r="F1134" s="3" t="s">
        <v>25</v>
      </c>
      <c r="G1134" s="3" t="s">
        <v>25</v>
      </c>
      <c r="H1134" s="3" t="s">
        <v>36</v>
      </c>
      <c r="I1134" s="6">
        <v>44440</v>
      </c>
      <c r="J1134" s="4">
        <v>0</v>
      </c>
      <c r="K1134" s="70">
        <v>0</v>
      </c>
      <c r="L1134" s="4">
        <v>794.12800000000004</v>
      </c>
      <c r="M1134" s="70">
        <v>794.12800000000004</v>
      </c>
      <c r="N1134" s="4">
        <v>794.12800000000004</v>
      </c>
      <c r="O1134" s="70">
        <v>794.12800000000004</v>
      </c>
      <c r="P1134" s="4">
        <v>0</v>
      </c>
      <c r="Q1134" s="3" t="s">
        <v>26</v>
      </c>
      <c r="R1134" s="3">
        <v>0</v>
      </c>
      <c r="S1134" s="4">
        <v>0</v>
      </c>
      <c r="T1134" s="4">
        <v>29</v>
      </c>
      <c r="U1134" s="4">
        <v>73</v>
      </c>
      <c r="V1134" s="70">
        <f>IF(ISERROR(VLOOKUP($S$1134,'TAR FIN'!$A$1:$O$99,15,0)),0,VLOOKUP($S$1134,'TAR FIN'!$A$1:$O$99,15,0))</f>
        <v>0</v>
      </c>
      <c r="W1134" s="70">
        <f>IF(ISERROR(VLOOKUP($T$1134,'TAR FIN'!$A$1:$O$99,15,0)),0,VLOOKUP($T$1134,'TAR FIN'!$A$1:$O$99,15,0))*(1-0.04)</f>
        <v>93.70559999999999</v>
      </c>
      <c r="X1134" s="70">
        <f>IF(ISERROR(VLOOKUP($U$1134,'TAR FIN'!$A$1:$O$99,15,0)),0,VLOOKUP($U$1134,'TAR FIN'!$A$1:$O$99,15,0))*(1-0.04)</f>
        <v>211.1712</v>
      </c>
      <c r="Y1134" s="70"/>
      <c r="Z1134" s="70">
        <f ca="1">('TUSD BE'!$AM$23+'TUSD BF'!$AM$23+'TUSD CVA'!$AM$23)*1*(1-0.02)</f>
        <v>115.23932238737589</v>
      </c>
      <c r="AA1134" s="70">
        <f>('TE BE'!$AA$8+'TE BF'!$AA$8+'TE CVA'!$AA$8)*1*(1-0.02)</f>
        <v>265.71632769942346</v>
      </c>
      <c r="AB1134" s="4">
        <f>$K$1134*$V$1134</f>
        <v>0</v>
      </c>
      <c r="AC1134" s="4">
        <f>$M$1134*$W$1134</f>
        <v>74414.240716799992</v>
      </c>
      <c r="AD1134" s="4">
        <f>$O$1134*$X$1134</f>
        <v>167696.96271360002</v>
      </c>
      <c r="AE1134" s="4">
        <f>$K$1134*$Y$1134</f>
        <v>0</v>
      </c>
      <c r="AF1134" s="4">
        <f ca="1">$M$1134*$Z$1134</f>
        <v>91514.772608842046</v>
      </c>
      <c r="AG1134" s="4">
        <f>$O$1134*$AA$1134</f>
        <v>211012.77588328777</v>
      </c>
    </row>
    <row r="1135" spans="1:33" ht="11.25" customHeight="1" x14ac:dyDescent="0.25">
      <c r="A1135" s="3" t="s">
        <v>21</v>
      </c>
      <c r="B1135" s="3" t="s">
        <v>33</v>
      </c>
      <c r="C1135" s="3" t="s">
        <v>34</v>
      </c>
      <c r="D1135" s="3" t="s">
        <v>45</v>
      </c>
      <c r="E1135" s="3" t="s">
        <v>53</v>
      </c>
      <c r="F1135" s="3" t="s">
        <v>25</v>
      </c>
      <c r="G1135" s="3" t="s">
        <v>25</v>
      </c>
      <c r="H1135" s="3" t="s">
        <v>36</v>
      </c>
      <c r="I1135" s="6">
        <v>44470</v>
      </c>
      <c r="J1135" s="4">
        <v>0</v>
      </c>
      <c r="K1135" s="70">
        <v>0</v>
      </c>
      <c r="L1135" s="4">
        <v>2048.826</v>
      </c>
      <c r="M1135" s="70">
        <v>2048.826</v>
      </c>
      <c r="N1135" s="4">
        <v>2048.826</v>
      </c>
      <c r="O1135" s="70">
        <v>2048.826</v>
      </c>
      <c r="P1135" s="4">
        <v>0</v>
      </c>
      <c r="Q1135" s="3" t="s">
        <v>26</v>
      </c>
      <c r="R1135" s="3">
        <v>0</v>
      </c>
      <c r="S1135" s="4">
        <v>0</v>
      </c>
      <c r="T1135" s="4">
        <v>29</v>
      </c>
      <c r="U1135" s="4">
        <v>73</v>
      </c>
      <c r="V1135" s="70">
        <f>IF(ISERROR(VLOOKUP($S$1135,'TAR FIN'!$A$1:$O$99,15,0)),0,VLOOKUP($S$1135,'TAR FIN'!$A$1:$O$99,15,0))</f>
        <v>0</v>
      </c>
      <c r="W1135" s="70">
        <f>IF(ISERROR(VLOOKUP($T$1135,'TAR FIN'!$A$1:$O$99,15,0)),0,VLOOKUP($T$1135,'TAR FIN'!$A$1:$O$99,15,0))*(1-0.04)</f>
        <v>93.70559999999999</v>
      </c>
      <c r="X1135" s="70">
        <f>IF(ISERROR(VLOOKUP($U$1135,'TAR FIN'!$A$1:$O$99,15,0)),0,VLOOKUP($U$1135,'TAR FIN'!$A$1:$O$99,15,0))*(1-0.04)</f>
        <v>211.1712</v>
      </c>
      <c r="Y1135" s="70"/>
      <c r="Z1135" s="70">
        <f ca="1">('TUSD BE'!$AM$23+'TUSD BF'!$AM$23+'TUSD CVA'!$AM$23)*1*(1-0.02)</f>
        <v>115.23932238737589</v>
      </c>
      <c r="AA1135" s="70">
        <f>('TE BE'!$AA$8+'TE BF'!$AA$8+'TE CVA'!$AA$8)*1*(1-0.02)</f>
        <v>265.71632769942346</v>
      </c>
      <c r="AB1135" s="4">
        <f>$K$1135*$V$1135</f>
        <v>0</v>
      </c>
      <c r="AC1135" s="4">
        <f>$M$1135*$W$1135</f>
        <v>191986.46962559997</v>
      </c>
      <c r="AD1135" s="4">
        <f>$O$1135*$X$1135</f>
        <v>432653.04501120001</v>
      </c>
      <c r="AE1135" s="4">
        <f>$K$1135*$Y$1135</f>
        <v>0</v>
      </c>
      <c r="AF1135" s="4">
        <f ca="1">$M$1135*$Z$1135</f>
        <v>236105.3199296378</v>
      </c>
      <c r="AG1135" s="4">
        <f>$O$1135*$AA$1135</f>
        <v>544406.52081509901</v>
      </c>
    </row>
    <row r="1136" spans="1:33" ht="11.25" customHeight="1" x14ac:dyDescent="0.25">
      <c r="A1136" s="3" t="s">
        <v>21</v>
      </c>
      <c r="B1136" s="3" t="s">
        <v>33</v>
      </c>
      <c r="C1136" s="3" t="s">
        <v>34</v>
      </c>
      <c r="D1136" s="3" t="s">
        <v>45</v>
      </c>
      <c r="E1136" s="3" t="s">
        <v>53</v>
      </c>
      <c r="F1136" s="3" t="s">
        <v>25</v>
      </c>
      <c r="G1136" s="3" t="s">
        <v>25</v>
      </c>
      <c r="H1136" s="3" t="s">
        <v>36</v>
      </c>
      <c r="I1136" s="6">
        <v>44501</v>
      </c>
      <c r="J1136" s="4">
        <v>0</v>
      </c>
      <c r="K1136" s="70">
        <v>0</v>
      </c>
      <c r="L1136" s="4">
        <v>3389.585</v>
      </c>
      <c r="M1136" s="70">
        <v>3389.585</v>
      </c>
      <c r="N1136" s="4">
        <v>3389.585</v>
      </c>
      <c r="O1136" s="70">
        <v>3389.585</v>
      </c>
      <c r="P1136" s="4">
        <v>0</v>
      </c>
      <c r="Q1136" s="3" t="s">
        <v>26</v>
      </c>
      <c r="R1136" s="3">
        <v>0</v>
      </c>
      <c r="S1136" s="4">
        <v>0</v>
      </c>
      <c r="T1136" s="4">
        <v>29</v>
      </c>
      <c r="U1136" s="4">
        <v>73</v>
      </c>
      <c r="V1136" s="70">
        <f>IF(ISERROR(VLOOKUP($S$1136,'TAR FIN'!$A$1:$O$99,15,0)),0,VLOOKUP($S$1136,'TAR FIN'!$A$1:$O$99,15,0))</f>
        <v>0</v>
      </c>
      <c r="W1136" s="70">
        <f>IF(ISERROR(VLOOKUP($T$1136,'TAR FIN'!$A$1:$O$99,15,0)),0,VLOOKUP($T$1136,'TAR FIN'!$A$1:$O$99,15,0))*(1-0.04)</f>
        <v>93.70559999999999</v>
      </c>
      <c r="X1136" s="70">
        <f>IF(ISERROR(VLOOKUP($U$1136,'TAR FIN'!$A$1:$O$99,15,0)),0,VLOOKUP($U$1136,'TAR FIN'!$A$1:$O$99,15,0))*(1-0.04)</f>
        <v>211.1712</v>
      </c>
      <c r="Y1136" s="70"/>
      <c r="Z1136" s="70">
        <f ca="1">('TUSD BE'!$AM$23+'TUSD BF'!$AM$23+'TUSD CVA'!$AM$23)*1*(1-0.02)</f>
        <v>115.23932238737589</v>
      </c>
      <c r="AA1136" s="70">
        <f>('TE BE'!$AA$8+'TE BF'!$AA$8+'TE CVA'!$AA$8)*1*(1-0.02)</f>
        <v>265.71632769942346</v>
      </c>
      <c r="AB1136" s="4">
        <f>$K$1136*$V$1136</f>
        <v>0</v>
      </c>
      <c r="AC1136" s="4">
        <f>$M$1136*$W$1136</f>
        <v>317623.09617599996</v>
      </c>
      <c r="AD1136" s="4">
        <f>$O$1136*$X$1136</f>
        <v>715782.73195200006</v>
      </c>
      <c r="AE1136" s="4">
        <f>$K$1136*$Y$1136</f>
        <v>0</v>
      </c>
      <c r="AF1136" s="4">
        <f ca="1">$M$1136*$Z$1136</f>
        <v>390613.47857441352</v>
      </c>
      <c r="AG1136" s="4">
        <f>$O$1136*$AA$1136</f>
        <v>900668.07862505026</v>
      </c>
    </row>
    <row r="1137" spans="1:33" ht="11.25" customHeight="1" x14ac:dyDescent="0.25">
      <c r="A1137" s="3" t="s">
        <v>21</v>
      </c>
      <c r="B1137" s="3" t="s">
        <v>33</v>
      </c>
      <c r="C1137" s="3" t="s">
        <v>34</v>
      </c>
      <c r="D1137" s="3" t="s">
        <v>45</v>
      </c>
      <c r="E1137" s="3" t="s">
        <v>53</v>
      </c>
      <c r="F1137" s="3" t="s">
        <v>25</v>
      </c>
      <c r="G1137" s="3" t="s">
        <v>25</v>
      </c>
      <c r="H1137" s="3" t="s">
        <v>36</v>
      </c>
      <c r="I1137" s="6">
        <v>44531</v>
      </c>
      <c r="J1137" s="4">
        <v>0</v>
      </c>
      <c r="K1137" s="70">
        <v>0</v>
      </c>
      <c r="L1137" s="4">
        <v>2984.8510000000001</v>
      </c>
      <c r="M1137" s="70">
        <v>2984.8510000000001</v>
      </c>
      <c r="N1137" s="4">
        <v>2984.8510000000001</v>
      </c>
      <c r="O1137" s="70">
        <v>2984.8510000000001</v>
      </c>
      <c r="P1137" s="4">
        <v>0</v>
      </c>
      <c r="Q1137" s="3" t="s">
        <v>26</v>
      </c>
      <c r="R1137" s="3">
        <v>0</v>
      </c>
      <c r="S1137" s="4">
        <v>0</v>
      </c>
      <c r="T1137" s="4">
        <v>29</v>
      </c>
      <c r="U1137" s="4">
        <v>73</v>
      </c>
      <c r="V1137" s="70">
        <f>IF(ISERROR(VLOOKUP($S$1137,'TAR FIN'!$A$1:$O$99,15,0)),0,VLOOKUP($S$1137,'TAR FIN'!$A$1:$O$99,15,0))</f>
        <v>0</v>
      </c>
      <c r="W1137" s="70">
        <f>IF(ISERROR(VLOOKUP($T$1137,'TAR FIN'!$A$1:$O$99,15,0)),0,VLOOKUP($T$1137,'TAR FIN'!$A$1:$O$99,15,0))*(1-0.04)</f>
        <v>93.70559999999999</v>
      </c>
      <c r="X1137" s="70">
        <f>IF(ISERROR(VLOOKUP($U$1137,'TAR FIN'!$A$1:$O$99,15,0)),0,VLOOKUP($U$1137,'TAR FIN'!$A$1:$O$99,15,0))*(1-0.04)</f>
        <v>211.1712</v>
      </c>
      <c r="Y1137" s="70"/>
      <c r="Z1137" s="70">
        <f ca="1">('TUSD BE'!$AM$23+'TUSD BF'!$AM$23+'TUSD CVA'!$AM$23)*1*(1-0.02)</f>
        <v>115.23932238737589</v>
      </c>
      <c r="AA1137" s="70">
        <f>('TE BE'!$AA$8+'TE BF'!$AA$8+'TE CVA'!$AA$8)*1*(1-0.02)</f>
        <v>265.71632769942346</v>
      </c>
      <c r="AB1137" s="4">
        <f>$K$1137*$V$1137</f>
        <v>0</v>
      </c>
      <c r="AC1137" s="4">
        <f>$M$1137*$W$1137</f>
        <v>279697.25386559998</v>
      </c>
      <c r="AD1137" s="4">
        <f>$O$1137*$X$1137</f>
        <v>630314.56749120005</v>
      </c>
      <c r="AE1137" s="4">
        <f>$K$1137*$Y$1137</f>
        <v>0</v>
      </c>
      <c r="AF1137" s="4">
        <f ca="1">$M$1137*$Z$1137</f>
        <v>343972.20666728134</v>
      </c>
      <c r="AG1137" s="4">
        <f>$O$1137*$AA$1137</f>
        <v>793123.6464499518</v>
      </c>
    </row>
    <row r="1138" spans="1:33" ht="11.25" customHeight="1" x14ac:dyDescent="0.25">
      <c r="A1138" s="3" t="s">
        <v>21</v>
      </c>
      <c r="B1138" s="3" t="s">
        <v>33</v>
      </c>
      <c r="C1138" s="3" t="s">
        <v>34</v>
      </c>
      <c r="D1138" s="3" t="s">
        <v>45</v>
      </c>
      <c r="E1138" s="3" t="s">
        <v>53</v>
      </c>
      <c r="F1138" s="3" t="s">
        <v>25</v>
      </c>
      <c r="G1138" s="3" t="s">
        <v>25</v>
      </c>
      <c r="H1138" s="3" t="s">
        <v>36</v>
      </c>
      <c r="I1138" s="6">
        <v>44562</v>
      </c>
      <c r="J1138" s="4">
        <v>0</v>
      </c>
      <c r="K1138" s="70">
        <v>0</v>
      </c>
      <c r="L1138" s="4">
        <v>2603.8910000000001</v>
      </c>
      <c r="M1138" s="70">
        <v>2603.8910000000001</v>
      </c>
      <c r="N1138" s="4">
        <v>2603.8910000000001</v>
      </c>
      <c r="O1138" s="70">
        <v>2603.8910000000001</v>
      </c>
      <c r="P1138" s="4">
        <v>0</v>
      </c>
      <c r="Q1138" s="3" t="s">
        <v>26</v>
      </c>
      <c r="R1138" s="3">
        <v>0</v>
      </c>
      <c r="S1138" s="4">
        <v>0</v>
      </c>
      <c r="T1138" s="4">
        <v>29</v>
      </c>
      <c r="U1138" s="4">
        <v>73</v>
      </c>
      <c r="V1138" s="70">
        <f>IF(ISERROR(VLOOKUP($S$1138,'TAR FIN'!$A$1:$O$99,15,0)),0,VLOOKUP($S$1138,'TAR FIN'!$A$1:$O$99,15,0))</f>
        <v>0</v>
      </c>
      <c r="W1138" s="70">
        <f>IF(ISERROR(VLOOKUP($T$1138,'TAR FIN'!$A$1:$O$99,15,0)),0,VLOOKUP($T$1138,'TAR FIN'!$A$1:$O$99,15,0))*(1-0.04)</f>
        <v>93.70559999999999</v>
      </c>
      <c r="X1138" s="70">
        <f>IF(ISERROR(VLOOKUP($U$1138,'TAR FIN'!$A$1:$O$99,15,0)),0,VLOOKUP($U$1138,'TAR FIN'!$A$1:$O$99,15,0))*(1-0.04)</f>
        <v>211.1712</v>
      </c>
      <c r="Y1138" s="70"/>
      <c r="Z1138" s="70">
        <f ca="1">('TUSD BE'!$AM$23+'TUSD BF'!$AM$23+'TUSD CVA'!$AM$23)*1*(1-0.02)</f>
        <v>115.23932238737589</v>
      </c>
      <c r="AA1138" s="70">
        <f>('TE BE'!$AA$8+'TE BF'!$AA$8+'TE CVA'!$AA$8)*1*(1-0.02)</f>
        <v>265.71632769942346</v>
      </c>
      <c r="AB1138" s="4">
        <f>$K$1138*$V$1138</f>
        <v>0</v>
      </c>
      <c r="AC1138" s="4">
        <f>$M$1138*$W$1138</f>
        <v>243999.16848959998</v>
      </c>
      <c r="AD1138" s="4">
        <f>$O$1138*$X$1138</f>
        <v>549866.78713920002</v>
      </c>
      <c r="AE1138" s="4">
        <f>$K$1138*$Y$1138</f>
        <v>0</v>
      </c>
      <c r="AF1138" s="4">
        <f ca="1">$M$1138*$Z$1138</f>
        <v>300070.63441058662</v>
      </c>
      <c r="AG1138" s="4">
        <f>$O$1138*$AA$1138</f>
        <v>691896.35424957948</v>
      </c>
    </row>
    <row r="1139" spans="1:33" ht="11.25" customHeight="1" x14ac:dyDescent="0.25">
      <c r="A1139" s="3" t="s">
        <v>27</v>
      </c>
      <c r="B1139" s="3" t="s">
        <v>33</v>
      </c>
      <c r="C1139" s="3" t="s">
        <v>34</v>
      </c>
      <c r="D1139" s="3" t="s">
        <v>45</v>
      </c>
      <c r="E1139" s="3" t="s">
        <v>53</v>
      </c>
      <c r="F1139" s="3" t="s">
        <v>25</v>
      </c>
      <c r="G1139" s="3" t="s">
        <v>25</v>
      </c>
      <c r="H1139" s="3" t="s">
        <v>36</v>
      </c>
      <c r="I1139" s="6">
        <v>44562</v>
      </c>
      <c r="J1139" s="4">
        <v>0</v>
      </c>
      <c r="K1139" s="70">
        <v>0</v>
      </c>
      <c r="L1139" s="4">
        <v>-14.539</v>
      </c>
      <c r="M1139" s="70">
        <v>-14.539</v>
      </c>
      <c r="N1139" s="4">
        <v>-14.539</v>
      </c>
      <c r="O1139" s="70">
        <v>-14.539</v>
      </c>
      <c r="P1139" s="4">
        <v>0</v>
      </c>
      <c r="Q1139" s="3" t="s">
        <v>26</v>
      </c>
      <c r="R1139" s="3">
        <v>0</v>
      </c>
      <c r="S1139" s="4">
        <v>0</v>
      </c>
      <c r="T1139" s="4">
        <v>29</v>
      </c>
      <c r="U1139" s="4">
        <v>73</v>
      </c>
      <c r="V1139" s="70">
        <f>IF(ISERROR(VLOOKUP($S$1139,'TAR FIN'!$A$1:$O$99,15,0)),0,VLOOKUP($S$1139,'TAR FIN'!$A$1:$O$99,15,0))</f>
        <v>0</v>
      </c>
      <c r="W1139" s="70">
        <f>IF(ISERROR(VLOOKUP($T$1139,'TAR FIN'!$A$1:$O$99,15,0)),0,VLOOKUP($T$1139,'TAR FIN'!$A$1:$O$99,15,0))*(1-0.04)</f>
        <v>93.70559999999999</v>
      </c>
      <c r="X1139" s="70">
        <f>IF(ISERROR(VLOOKUP($U$1139,'TAR FIN'!$A$1:$O$99,15,0)),0,VLOOKUP($U$1139,'TAR FIN'!$A$1:$O$99,15,0))*(1-0.04)</f>
        <v>211.1712</v>
      </c>
      <c r="Y1139" s="70"/>
      <c r="Z1139" s="70">
        <f ca="1">('TUSD BE'!$AM$23+'TUSD BF'!$AM$23+'TUSD CVA'!$AM$23)*1*(1-0.02)</f>
        <v>115.23932238737589</v>
      </c>
      <c r="AA1139" s="70">
        <f>('TE BE'!$AA$8+'TE BF'!$AA$8+'TE CVA'!$AA$8)*1*(1-0.02)</f>
        <v>265.71632769942346</v>
      </c>
      <c r="AB1139" s="4">
        <f>$K$1139*$V$1139</f>
        <v>0</v>
      </c>
      <c r="AC1139" s="4">
        <f>$M$1139*$W$1139</f>
        <v>-1362.3857183999999</v>
      </c>
      <c r="AD1139" s="4">
        <f>$O$1139*$X$1139</f>
        <v>-3070.2180767999998</v>
      </c>
      <c r="AE1139" s="4">
        <f>$K$1139*$Y$1139</f>
        <v>0</v>
      </c>
      <c r="AF1139" s="4">
        <f ca="1">$M$1139*$Z$1139</f>
        <v>-1675.464508190058</v>
      </c>
      <c r="AG1139" s="4">
        <f>$O$1139*$AA$1139</f>
        <v>-3863.2496884219177</v>
      </c>
    </row>
    <row r="1140" spans="1:33" ht="11.25" customHeight="1" x14ac:dyDescent="0.25">
      <c r="A1140" s="3" t="s">
        <v>21</v>
      </c>
      <c r="B1140" s="3" t="s">
        <v>33</v>
      </c>
      <c r="C1140" s="3" t="s">
        <v>34</v>
      </c>
      <c r="D1140" s="3" t="s">
        <v>45</v>
      </c>
      <c r="E1140" s="3" t="s">
        <v>53</v>
      </c>
      <c r="F1140" s="3" t="s">
        <v>25</v>
      </c>
      <c r="G1140" s="3" t="s">
        <v>25</v>
      </c>
      <c r="H1140" s="3" t="s">
        <v>36</v>
      </c>
      <c r="I1140" s="6">
        <v>44593</v>
      </c>
      <c r="J1140" s="4">
        <v>0</v>
      </c>
      <c r="K1140" s="70">
        <v>0</v>
      </c>
      <c r="L1140" s="4">
        <v>3362.259</v>
      </c>
      <c r="M1140" s="70">
        <v>3362.259</v>
      </c>
      <c r="N1140" s="4">
        <v>3362.259</v>
      </c>
      <c r="O1140" s="70">
        <v>3362.259</v>
      </c>
      <c r="P1140" s="4">
        <v>0</v>
      </c>
      <c r="Q1140" s="3" t="s">
        <v>26</v>
      </c>
      <c r="R1140" s="3">
        <v>0</v>
      </c>
      <c r="S1140" s="4">
        <v>0</v>
      </c>
      <c r="T1140" s="4">
        <v>29</v>
      </c>
      <c r="U1140" s="4">
        <v>73</v>
      </c>
      <c r="V1140" s="70">
        <f>IF(ISERROR(VLOOKUP($S$1140,'TAR FIN'!$A$1:$O$99,15,0)),0,VLOOKUP($S$1140,'TAR FIN'!$A$1:$O$99,15,0))</f>
        <v>0</v>
      </c>
      <c r="W1140" s="70">
        <f>IF(ISERROR(VLOOKUP($T$1140,'TAR FIN'!$A$1:$O$99,15,0)),0,VLOOKUP($T$1140,'TAR FIN'!$A$1:$O$99,15,0))*(1-0.04)</f>
        <v>93.70559999999999</v>
      </c>
      <c r="X1140" s="70">
        <f>IF(ISERROR(VLOOKUP($U$1140,'TAR FIN'!$A$1:$O$99,15,0)),0,VLOOKUP($U$1140,'TAR FIN'!$A$1:$O$99,15,0))*(1-0.04)</f>
        <v>211.1712</v>
      </c>
      <c r="Y1140" s="70"/>
      <c r="Z1140" s="70">
        <f ca="1">('TUSD BE'!$AM$23+'TUSD BF'!$AM$23+'TUSD CVA'!$AM$23)*1*(1-0.02)</f>
        <v>115.23932238737589</v>
      </c>
      <c r="AA1140" s="70">
        <f>('TE BE'!$AA$8+'TE BF'!$AA$8+'TE CVA'!$AA$8)*1*(1-0.02)</f>
        <v>265.71632769942346</v>
      </c>
      <c r="AB1140" s="4">
        <f>$K$1140*$V$1140</f>
        <v>0</v>
      </c>
      <c r="AC1140" s="4">
        <f>$M$1140*$W$1140</f>
        <v>315062.49695039995</v>
      </c>
      <c r="AD1140" s="4">
        <f>$O$1140*$X$1140</f>
        <v>710012.26774080005</v>
      </c>
      <c r="AE1140" s="4">
        <f>$K$1140*$Y$1140</f>
        <v>0</v>
      </c>
      <c r="AF1140" s="4">
        <f ca="1">$M$1140*$Z$1140</f>
        <v>387464.4488508561</v>
      </c>
      <c r="AG1140" s="4">
        <f>$O$1140*$AA$1140</f>
        <v>893407.11425433587</v>
      </c>
    </row>
    <row r="1141" spans="1:33" ht="11.25" customHeight="1" x14ac:dyDescent="0.25">
      <c r="A1141" s="3" t="s">
        <v>21</v>
      </c>
      <c r="B1141" s="3" t="s">
        <v>33</v>
      </c>
      <c r="C1141" s="3" t="s">
        <v>34</v>
      </c>
      <c r="D1141" s="3" t="s">
        <v>45</v>
      </c>
      <c r="E1141" s="3" t="s">
        <v>53</v>
      </c>
      <c r="F1141" s="3" t="s">
        <v>25</v>
      </c>
      <c r="G1141" s="3" t="s">
        <v>25</v>
      </c>
      <c r="H1141" s="3" t="s">
        <v>36</v>
      </c>
      <c r="I1141" s="6">
        <v>44621</v>
      </c>
      <c r="J1141" s="4">
        <v>0</v>
      </c>
      <c r="K1141" s="70">
        <v>0</v>
      </c>
      <c r="L1141" s="4">
        <v>1077.0920000000001</v>
      </c>
      <c r="M1141" s="70">
        <v>1077.0920000000001</v>
      </c>
      <c r="N1141" s="4">
        <v>1077.0920000000001</v>
      </c>
      <c r="O1141" s="70">
        <v>1077.0920000000001</v>
      </c>
      <c r="P1141" s="4">
        <v>0</v>
      </c>
      <c r="Q1141" s="3" t="s">
        <v>26</v>
      </c>
      <c r="R1141" s="3">
        <v>0</v>
      </c>
      <c r="S1141" s="4">
        <v>0</v>
      </c>
      <c r="T1141" s="4">
        <v>29</v>
      </c>
      <c r="U1141" s="4">
        <v>73</v>
      </c>
      <c r="V1141" s="70">
        <f>IF(ISERROR(VLOOKUP($S$1141,'TAR FIN'!$A$1:$O$99,15,0)),0,VLOOKUP($S$1141,'TAR FIN'!$A$1:$O$99,15,0))</f>
        <v>0</v>
      </c>
      <c r="W1141" s="70">
        <f>IF(ISERROR(VLOOKUP($T$1141,'TAR FIN'!$A$1:$O$99,15,0)),0,VLOOKUP($T$1141,'TAR FIN'!$A$1:$O$99,15,0))*(1-0.04)</f>
        <v>93.70559999999999</v>
      </c>
      <c r="X1141" s="70">
        <f>IF(ISERROR(VLOOKUP($U$1141,'TAR FIN'!$A$1:$O$99,15,0)),0,VLOOKUP($U$1141,'TAR FIN'!$A$1:$O$99,15,0))*(1-0.04)</f>
        <v>211.1712</v>
      </c>
      <c r="Y1141" s="70"/>
      <c r="Z1141" s="70">
        <f ca="1">('TUSD BE'!$AM$23+'TUSD BF'!$AM$23+'TUSD CVA'!$AM$23)*1*(1-0.02)</f>
        <v>115.23932238737589</v>
      </c>
      <c r="AA1141" s="70">
        <f>('TE BE'!$AA$8+'TE BF'!$AA$8+'TE CVA'!$AA$8)*1*(1-0.02)</f>
        <v>265.71632769942346</v>
      </c>
      <c r="AB1141" s="4">
        <f>$K$1141*$V$1141</f>
        <v>0</v>
      </c>
      <c r="AC1141" s="4">
        <f>$M$1141*$W$1141</f>
        <v>100929.5521152</v>
      </c>
      <c r="AD1141" s="4">
        <f>$O$1141*$X$1141</f>
        <v>227450.81015040001</v>
      </c>
      <c r="AE1141" s="4">
        <f>$K$1141*$Y$1141</f>
        <v>0</v>
      </c>
      <c r="AF1141" s="4">
        <f ca="1">$M$1141*$Z$1141</f>
        <v>124123.35222886348</v>
      </c>
      <c r="AG1141" s="4">
        <f>$O$1141*$AA$1141</f>
        <v>286200.93083442742</v>
      </c>
    </row>
    <row r="1142" spans="1:33" ht="11.25" customHeight="1" x14ac:dyDescent="0.25">
      <c r="A1142" s="3" t="s">
        <v>27</v>
      </c>
      <c r="B1142" s="3" t="s">
        <v>33</v>
      </c>
      <c r="C1142" s="3" t="s">
        <v>34</v>
      </c>
      <c r="D1142" s="3" t="s">
        <v>45</v>
      </c>
      <c r="E1142" s="3" t="s">
        <v>53</v>
      </c>
      <c r="F1142" s="3" t="s">
        <v>25</v>
      </c>
      <c r="G1142" s="3" t="s">
        <v>25</v>
      </c>
      <c r="H1142" s="3" t="s">
        <v>36</v>
      </c>
      <c r="I1142" s="6">
        <v>44621</v>
      </c>
      <c r="J1142" s="4">
        <v>0</v>
      </c>
      <c r="K1142" s="70">
        <v>0</v>
      </c>
      <c r="L1142" s="4">
        <v>4.7569999999999997</v>
      </c>
      <c r="M1142" s="70">
        <v>4.7569999999999997</v>
      </c>
      <c r="N1142" s="4">
        <v>4.7569999999999997</v>
      </c>
      <c r="O1142" s="70">
        <v>4.7569999999999997</v>
      </c>
      <c r="P1142" s="4">
        <v>0</v>
      </c>
      <c r="Q1142" s="3" t="s">
        <v>26</v>
      </c>
      <c r="R1142" s="3">
        <v>0</v>
      </c>
      <c r="S1142" s="4">
        <v>0</v>
      </c>
      <c r="T1142" s="4">
        <v>29</v>
      </c>
      <c r="U1142" s="4">
        <v>73</v>
      </c>
      <c r="V1142" s="70">
        <f>IF(ISERROR(VLOOKUP($S$1142,'TAR FIN'!$A$1:$O$99,15,0)),0,VLOOKUP($S$1142,'TAR FIN'!$A$1:$O$99,15,0))</f>
        <v>0</v>
      </c>
      <c r="W1142" s="70">
        <f>IF(ISERROR(VLOOKUP($T$1142,'TAR FIN'!$A$1:$O$99,15,0)),0,VLOOKUP($T$1142,'TAR FIN'!$A$1:$O$99,15,0))*(1-0.04)</f>
        <v>93.70559999999999</v>
      </c>
      <c r="X1142" s="70">
        <f>IF(ISERROR(VLOOKUP($U$1142,'TAR FIN'!$A$1:$O$99,15,0)),0,VLOOKUP($U$1142,'TAR FIN'!$A$1:$O$99,15,0))*(1-0.04)</f>
        <v>211.1712</v>
      </c>
      <c r="Y1142" s="70"/>
      <c r="Z1142" s="70">
        <f ca="1">('TUSD BE'!$AM$23+'TUSD BF'!$AM$23+'TUSD CVA'!$AM$23)*1*(1-0.02)</f>
        <v>115.23932238737589</v>
      </c>
      <c r="AA1142" s="70">
        <f>('TE BE'!$AA$8+'TE BF'!$AA$8+'TE CVA'!$AA$8)*1*(1-0.02)</f>
        <v>265.71632769942346</v>
      </c>
      <c r="AB1142" s="4">
        <f>$K$1142*$V$1142</f>
        <v>0</v>
      </c>
      <c r="AC1142" s="4">
        <f>$M$1142*$W$1142</f>
        <v>445.75753919999994</v>
      </c>
      <c r="AD1142" s="4">
        <f>$O$1142*$X$1142</f>
        <v>1004.5413983999999</v>
      </c>
      <c r="AE1142" s="4">
        <f>$K$1142*$Y$1142</f>
        <v>0</v>
      </c>
      <c r="AF1142" s="4">
        <f ca="1">$M$1142*$Z$1142</f>
        <v>548.19345659674707</v>
      </c>
      <c r="AG1142" s="4">
        <f>$O$1142*$AA$1142</f>
        <v>1264.0125708661574</v>
      </c>
    </row>
    <row r="1143" spans="1:33" ht="11.25" customHeight="1" x14ac:dyDescent="0.25">
      <c r="A1143" s="3" t="s">
        <v>56</v>
      </c>
      <c r="B1143" s="3" t="s">
        <v>33</v>
      </c>
      <c r="C1143" s="3" t="s">
        <v>34</v>
      </c>
      <c r="D1143" s="3" t="s">
        <v>45</v>
      </c>
      <c r="E1143" s="3" t="s">
        <v>53</v>
      </c>
      <c r="F1143" s="3" t="s">
        <v>25</v>
      </c>
      <c r="G1143" s="3" t="s">
        <v>25</v>
      </c>
      <c r="H1143" s="3" t="s">
        <v>36</v>
      </c>
      <c r="I1143" s="6">
        <v>44652</v>
      </c>
      <c r="J1143" s="4">
        <v>0</v>
      </c>
      <c r="K1143" s="70">
        <v>0</v>
      </c>
      <c r="L1143" s="4">
        <v>1077.0920000000001</v>
      </c>
      <c r="M1143" s="70">
        <v>1077.0920000000001</v>
      </c>
      <c r="N1143" s="4">
        <v>1077.0920000000001</v>
      </c>
      <c r="O1143" s="70">
        <v>1077.0920000000001</v>
      </c>
      <c r="P1143" s="4">
        <v>0</v>
      </c>
      <c r="Q1143" s="3" t="s">
        <v>26</v>
      </c>
      <c r="R1143" s="3">
        <v>0</v>
      </c>
      <c r="S1143" s="4">
        <v>0</v>
      </c>
      <c r="T1143" s="4">
        <v>29</v>
      </c>
      <c r="U1143" s="4">
        <v>73</v>
      </c>
      <c r="V1143" s="70">
        <f>IF(ISERROR(VLOOKUP($S$1143,'TAR FIN'!$A$1:$O$99,15,0)),0,VLOOKUP($S$1143,'TAR FIN'!$A$1:$O$99,15,0))</f>
        <v>0</v>
      </c>
      <c r="W1143" s="70">
        <f>IF(ISERROR(VLOOKUP($T$1143,'TAR FIN'!$A$1:$O$99,15,0)),0,VLOOKUP($T$1143,'TAR FIN'!$A$1:$O$99,15,0))*(1-0.04)</f>
        <v>93.70559999999999</v>
      </c>
      <c r="X1143" s="70">
        <f>IF(ISERROR(VLOOKUP($U$1143,'TAR FIN'!$A$1:$O$99,15,0)),0,VLOOKUP($U$1143,'TAR FIN'!$A$1:$O$99,15,0))*(1-0.04)</f>
        <v>211.1712</v>
      </c>
      <c r="Y1143" s="70"/>
      <c r="Z1143" s="70">
        <f ca="1">('TUSD BE'!$AM$23+'TUSD BF'!$AM$23+'TUSD CVA'!$AM$23)*1*(1-0.02)</f>
        <v>115.23932238737589</v>
      </c>
      <c r="AA1143" s="70">
        <f>('TE BE'!$AA$8+'TE BF'!$AA$8+'TE CVA'!$AA$8)*1*(1-0.02)</f>
        <v>265.71632769942346</v>
      </c>
      <c r="AB1143" s="4">
        <f>$K$1143*$V$1143</f>
        <v>0</v>
      </c>
      <c r="AC1143" s="4">
        <f>$M$1143*$W$1143</f>
        <v>100929.5521152</v>
      </c>
      <c r="AD1143" s="4">
        <f>$O$1143*$X$1143</f>
        <v>227450.81015040001</v>
      </c>
      <c r="AE1143" s="4">
        <f>$K$1143*$Y$1143</f>
        <v>0</v>
      </c>
      <c r="AF1143" s="4">
        <f ca="1">$M$1143*$Z$1143</f>
        <v>124123.35222886348</v>
      </c>
      <c r="AG1143" s="4">
        <f>$O$1143*$AA$1143</f>
        <v>286200.93083442742</v>
      </c>
    </row>
    <row r="1144" spans="1:33" ht="11.25" customHeight="1" x14ac:dyDescent="0.25">
      <c r="A1144" s="3" t="s">
        <v>56</v>
      </c>
      <c r="B1144" s="3" t="s">
        <v>33</v>
      </c>
      <c r="C1144" s="3" t="s">
        <v>34</v>
      </c>
      <c r="D1144" s="3" t="s">
        <v>45</v>
      </c>
      <c r="E1144" s="3" t="s">
        <v>53</v>
      </c>
      <c r="F1144" s="3" t="s">
        <v>25</v>
      </c>
      <c r="G1144" s="3" t="s">
        <v>25</v>
      </c>
      <c r="H1144" s="3" t="s">
        <v>36</v>
      </c>
      <c r="I1144" s="6">
        <v>44652</v>
      </c>
      <c r="J1144" s="4">
        <v>0</v>
      </c>
      <c r="K1144" s="70">
        <v>0</v>
      </c>
      <c r="L1144" s="4">
        <v>4.7569999999999997</v>
      </c>
      <c r="M1144" s="70">
        <v>4.7569999999999997</v>
      </c>
      <c r="N1144" s="4">
        <v>4.7569999999999997</v>
      </c>
      <c r="O1144" s="70">
        <v>4.7569999999999997</v>
      </c>
      <c r="P1144" s="4">
        <v>0</v>
      </c>
      <c r="Q1144" s="3" t="s">
        <v>26</v>
      </c>
      <c r="R1144" s="3">
        <v>0</v>
      </c>
      <c r="S1144" s="4">
        <v>0</v>
      </c>
      <c r="T1144" s="4">
        <v>29</v>
      </c>
      <c r="U1144" s="4">
        <v>73</v>
      </c>
      <c r="V1144" s="70">
        <f>IF(ISERROR(VLOOKUP($S$1144,'TAR FIN'!$A$1:$O$99,15,0)),0,VLOOKUP($S$1144,'TAR FIN'!$A$1:$O$99,15,0))</f>
        <v>0</v>
      </c>
      <c r="W1144" s="70">
        <f>IF(ISERROR(VLOOKUP($T$1144,'TAR FIN'!$A$1:$O$99,15,0)),0,VLOOKUP($T$1144,'TAR FIN'!$A$1:$O$99,15,0))*(1-0.04)</f>
        <v>93.70559999999999</v>
      </c>
      <c r="X1144" s="70">
        <f>IF(ISERROR(VLOOKUP($U$1144,'TAR FIN'!$A$1:$O$99,15,0)),0,VLOOKUP($U$1144,'TAR FIN'!$A$1:$O$99,15,0))*(1-0.04)</f>
        <v>211.1712</v>
      </c>
      <c r="Y1144" s="70"/>
      <c r="Z1144" s="70">
        <f ca="1">('TUSD BE'!$AM$23+'TUSD BF'!$AM$23+'TUSD CVA'!$AM$23)*1*(1-0.02)</f>
        <v>115.23932238737589</v>
      </c>
      <c r="AA1144" s="70">
        <f>('TE BE'!$AA$8+'TE BF'!$AA$8+'TE CVA'!$AA$8)*1*(1-0.02)</f>
        <v>265.71632769942346</v>
      </c>
      <c r="AB1144" s="4">
        <f>$K$1144*$V$1144</f>
        <v>0</v>
      </c>
      <c r="AC1144" s="4">
        <f>$M$1144*$W$1144</f>
        <v>445.75753919999994</v>
      </c>
      <c r="AD1144" s="4">
        <f>$O$1144*$X$1144</f>
        <v>1004.5413983999999</v>
      </c>
      <c r="AE1144" s="4">
        <f>$K$1144*$Y$1144</f>
        <v>0</v>
      </c>
      <c r="AF1144" s="4">
        <f ca="1">$M$1144*$Z$1144</f>
        <v>548.19345659674707</v>
      </c>
      <c r="AG1144" s="4">
        <f>$O$1144*$AA$1144</f>
        <v>1264.0125708661574</v>
      </c>
    </row>
    <row r="1145" spans="1:33" ht="11.25" customHeight="1" x14ac:dyDescent="0.25">
      <c r="A1145" s="3" t="s">
        <v>21</v>
      </c>
      <c r="B1145" s="3" t="s">
        <v>33</v>
      </c>
      <c r="C1145" s="3" t="s">
        <v>34</v>
      </c>
      <c r="D1145" s="3" t="s">
        <v>45</v>
      </c>
      <c r="E1145" s="3" t="s">
        <v>53</v>
      </c>
      <c r="F1145" s="3" t="s">
        <v>25</v>
      </c>
      <c r="G1145" s="3" t="s">
        <v>25</v>
      </c>
      <c r="H1145" s="3" t="s">
        <v>25</v>
      </c>
      <c r="I1145" s="6">
        <v>44317</v>
      </c>
      <c r="J1145" s="4">
        <v>6226</v>
      </c>
      <c r="K1145" s="70">
        <v>6226</v>
      </c>
      <c r="L1145" s="4">
        <v>0</v>
      </c>
      <c r="M1145" s="70">
        <v>0</v>
      </c>
      <c r="N1145" s="4">
        <v>0</v>
      </c>
      <c r="O1145" s="70">
        <v>0</v>
      </c>
      <c r="P1145" s="4">
        <v>218</v>
      </c>
      <c r="Q1145" s="3" t="s">
        <v>26</v>
      </c>
      <c r="R1145" s="3">
        <v>0</v>
      </c>
      <c r="S1145" s="4">
        <v>7</v>
      </c>
      <c r="T1145" s="4">
        <v>0</v>
      </c>
      <c r="U1145" s="4">
        <v>0</v>
      </c>
      <c r="V1145" s="70">
        <f>IF(ISERROR(VLOOKUP($S$1145,'TAR FIN'!$A$1:$O$99,15,0)),0,VLOOKUP($S$1145,'TAR FIN'!$A$1:$O$99,15,0))*(1-0.04)</f>
        <v>20.975999999999999</v>
      </c>
      <c r="W1145" s="70">
        <f>IF(ISERROR(VLOOKUP($T$1145,'TAR FIN'!$A$1:$O$99,15,0)),0,VLOOKUP($T$1145,'TAR FIN'!$A$1:$O$99,15,0))</f>
        <v>0</v>
      </c>
      <c r="X1145" s="70">
        <f>IF(ISERROR(VLOOKUP($U$1145,'TAR FIN'!$A$1:$O$99,15,0)),0,VLOOKUP($U$1145,'TAR FIN'!$A$1:$O$99,15,0))</f>
        <v>0</v>
      </c>
      <c r="Y1145" s="70">
        <f ca="1">('TUSD BE'!$AM$21+'TUSD BF'!$AM$21+'TUSD CVA'!$AM$21)*1*(1-0.02)</f>
        <v>24.176010844852033</v>
      </c>
      <c r="Z1145" s="70"/>
      <c r="AA1145" s="70"/>
      <c r="AB1145" s="4">
        <f>$K$1145*$V$1145</f>
        <v>130596.576</v>
      </c>
      <c r="AC1145" s="4">
        <f>$M$1145*$W$1145</f>
        <v>0</v>
      </c>
      <c r="AD1145" s="4">
        <f>$O$1145*$X$1145</f>
        <v>0</v>
      </c>
      <c r="AE1145" s="4">
        <f ca="1">$K$1145*$Y$1145</f>
        <v>150519.84352004877</v>
      </c>
      <c r="AF1145" s="4">
        <f>$M$1145*$Z$1145</f>
        <v>0</v>
      </c>
      <c r="AG1145" s="4">
        <f>$O$1145*$AA$1145</f>
        <v>0</v>
      </c>
    </row>
    <row r="1146" spans="1:33" ht="11.25" customHeight="1" x14ac:dyDescent="0.25">
      <c r="A1146" s="3" t="s">
        <v>28</v>
      </c>
      <c r="B1146" s="3" t="s">
        <v>33</v>
      </c>
      <c r="C1146" s="3" t="s">
        <v>34</v>
      </c>
      <c r="D1146" s="3" t="s">
        <v>45</v>
      </c>
      <c r="E1146" s="3" t="s">
        <v>53</v>
      </c>
      <c r="F1146" s="3" t="s">
        <v>25</v>
      </c>
      <c r="G1146" s="3" t="s">
        <v>25</v>
      </c>
      <c r="H1146" s="3" t="s">
        <v>25</v>
      </c>
      <c r="I1146" s="6">
        <v>44317</v>
      </c>
      <c r="J1146" s="4">
        <v>1096</v>
      </c>
      <c r="K1146" s="70">
        <v>1096</v>
      </c>
      <c r="L1146" s="4">
        <v>0</v>
      </c>
      <c r="M1146" s="70">
        <v>0</v>
      </c>
      <c r="N1146" s="4">
        <v>0</v>
      </c>
      <c r="O1146" s="70">
        <v>0</v>
      </c>
      <c r="P1146" s="4">
        <v>16</v>
      </c>
      <c r="Q1146" s="3" t="s">
        <v>26</v>
      </c>
      <c r="R1146" s="3">
        <v>0</v>
      </c>
      <c r="S1146" s="4">
        <v>7</v>
      </c>
      <c r="T1146" s="4">
        <v>0</v>
      </c>
      <c r="U1146" s="4">
        <v>0</v>
      </c>
      <c r="V1146" s="70">
        <f>IF(ISERROR(VLOOKUP($S$1146,'TAR FIN'!$A$1:$O$99,15,0)),0,VLOOKUP($S$1146,'TAR FIN'!$A$1:$O$99,15,0))*(1-0.04)</f>
        <v>20.975999999999999</v>
      </c>
      <c r="W1146" s="70">
        <f>IF(ISERROR(VLOOKUP($T$1146,'TAR FIN'!$A$1:$O$99,15,0)),0,VLOOKUP($T$1146,'TAR FIN'!$A$1:$O$99,15,0))</f>
        <v>0</v>
      </c>
      <c r="X1146" s="70">
        <f>IF(ISERROR(VLOOKUP($U$1146,'TAR FIN'!$A$1:$O$99,15,0)),0,VLOOKUP($U$1146,'TAR FIN'!$A$1:$O$99,15,0))</f>
        <v>0</v>
      </c>
      <c r="Y1146" s="70">
        <f ca="1">('TUSD BE'!$AM$21+'TUSD BF'!$AM$21+'TUSD CVA'!$AM$21)*1*(1-0.02)</f>
        <v>24.176010844852033</v>
      </c>
      <c r="Z1146" s="70"/>
      <c r="AA1146" s="70"/>
      <c r="AB1146" s="4">
        <f>$K$1146*$V$1146</f>
        <v>22989.696</v>
      </c>
      <c r="AC1146" s="4">
        <f>$M$1146*$W$1146</f>
        <v>0</v>
      </c>
      <c r="AD1146" s="4">
        <f>$O$1146*$X$1146</f>
        <v>0</v>
      </c>
      <c r="AE1146" s="4">
        <f ca="1">$K$1146*$Y$1146</f>
        <v>26496.907885957829</v>
      </c>
      <c r="AF1146" s="4">
        <f>$M$1146*$Z$1146</f>
        <v>0</v>
      </c>
      <c r="AG1146" s="4">
        <f>$O$1146*$AA$1146</f>
        <v>0</v>
      </c>
    </row>
    <row r="1147" spans="1:33" ht="11.25" customHeight="1" x14ac:dyDescent="0.25">
      <c r="A1147" s="3" t="s">
        <v>21</v>
      </c>
      <c r="B1147" s="3" t="s">
        <v>33</v>
      </c>
      <c r="C1147" s="3" t="s">
        <v>34</v>
      </c>
      <c r="D1147" s="3" t="s">
        <v>45</v>
      </c>
      <c r="E1147" s="3" t="s">
        <v>53</v>
      </c>
      <c r="F1147" s="3" t="s">
        <v>25</v>
      </c>
      <c r="G1147" s="3" t="s">
        <v>25</v>
      </c>
      <c r="H1147" s="3" t="s">
        <v>25</v>
      </c>
      <c r="I1147" s="6">
        <v>44348</v>
      </c>
      <c r="J1147" s="4">
        <v>5221</v>
      </c>
      <c r="K1147" s="70">
        <v>5221</v>
      </c>
      <c r="L1147" s="4">
        <v>0</v>
      </c>
      <c r="M1147" s="70">
        <v>0</v>
      </c>
      <c r="N1147" s="4">
        <v>0</v>
      </c>
      <c r="O1147" s="70">
        <v>0</v>
      </c>
      <c r="P1147" s="4">
        <v>212</v>
      </c>
      <c r="Q1147" s="3" t="s">
        <v>26</v>
      </c>
      <c r="R1147" s="3">
        <v>0</v>
      </c>
      <c r="S1147" s="4">
        <v>7</v>
      </c>
      <c r="T1147" s="4">
        <v>0</v>
      </c>
      <c r="U1147" s="4">
        <v>0</v>
      </c>
      <c r="V1147" s="70">
        <f>IF(ISERROR(VLOOKUP($S$1147,'TAR FIN'!$A$1:$O$99,15,0)),0,VLOOKUP($S$1147,'TAR FIN'!$A$1:$O$99,15,0))*(1-0.04)</f>
        <v>20.975999999999999</v>
      </c>
      <c r="W1147" s="70">
        <f>IF(ISERROR(VLOOKUP($T$1147,'TAR FIN'!$A$1:$O$99,15,0)),0,VLOOKUP($T$1147,'TAR FIN'!$A$1:$O$99,15,0))</f>
        <v>0</v>
      </c>
      <c r="X1147" s="70">
        <f>IF(ISERROR(VLOOKUP($U$1147,'TAR FIN'!$A$1:$O$99,15,0)),0,VLOOKUP($U$1147,'TAR FIN'!$A$1:$O$99,15,0))</f>
        <v>0</v>
      </c>
      <c r="Y1147" s="70">
        <f ca="1">('TUSD BE'!$AM$21+'TUSD BF'!$AM$21+'TUSD CVA'!$AM$21)*1*(1-0.02)</f>
        <v>24.176010844852033</v>
      </c>
      <c r="Z1147" s="70"/>
      <c r="AA1147" s="70"/>
      <c r="AB1147" s="4">
        <f>$K$1147*$V$1147</f>
        <v>109515.696</v>
      </c>
      <c r="AC1147" s="4">
        <f>$M$1147*$W$1147</f>
        <v>0</v>
      </c>
      <c r="AD1147" s="4">
        <f>$O$1147*$X$1147</f>
        <v>0</v>
      </c>
      <c r="AE1147" s="4">
        <f ca="1">$K$1147*$Y$1147</f>
        <v>126222.95262097247</v>
      </c>
      <c r="AF1147" s="4">
        <f>$M$1147*$Z$1147</f>
        <v>0</v>
      </c>
      <c r="AG1147" s="4">
        <f>$O$1147*$AA$1147</f>
        <v>0</v>
      </c>
    </row>
    <row r="1148" spans="1:33" ht="11.25" customHeight="1" x14ac:dyDescent="0.25">
      <c r="A1148" s="3" t="s">
        <v>27</v>
      </c>
      <c r="B1148" s="3" t="s">
        <v>33</v>
      </c>
      <c r="C1148" s="3" t="s">
        <v>34</v>
      </c>
      <c r="D1148" s="3" t="s">
        <v>45</v>
      </c>
      <c r="E1148" s="3" t="s">
        <v>53</v>
      </c>
      <c r="F1148" s="3" t="s">
        <v>25</v>
      </c>
      <c r="G1148" s="3" t="s">
        <v>25</v>
      </c>
      <c r="H1148" s="3" t="s">
        <v>25</v>
      </c>
      <c r="I1148" s="6">
        <v>44348</v>
      </c>
      <c r="J1148" s="4">
        <v>-596</v>
      </c>
      <c r="K1148" s="70">
        <v>-596</v>
      </c>
      <c r="L1148" s="4">
        <v>0</v>
      </c>
      <c r="M1148" s="70">
        <v>0</v>
      </c>
      <c r="N1148" s="4">
        <v>0</v>
      </c>
      <c r="O1148" s="70">
        <v>0</v>
      </c>
      <c r="P1148" s="4">
        <v>-1</v>
      </c>
      <c r="Q1148" s="3" t="s">
        <v>26</v>
      </c>
      <c r="R1148" s="3">
        <v>0</v>
      </c>
      <c r="S1148" s="4">
        <v>7</v>
      </c>
      <c r="T1148" s="4">
        <v>0</v>
      </c>
      <c r="U1148" s="4">
        <v>0</v>
      </c>
      <c r="V1148" s="70">
        <f>IF(ISERROR(VLOOKUP($S$1148,'TAR FIN'!$A$1:$O$99,15,0)),0,VLOOKUP($S$1148,'TAR FIN'!$A$1:$O$99,15,0))*(1-0.04)</f>
        <v>20.975999999999999</v>
      </c>
      <c r="W1148" s="70">
        <f>IF(ISERROR(VLOOKUP($T$1148,'TAR FIN'!$A$1:$O$99,15,0)),0,VLOOKUP($T$1148,'TAR FIN'!$A$1:$O$99,15,0))</f>
        <v>0</v>
      </c>
      <c r="X1148" s="70">
        <f>IF(ISERROR(VLOOKUP($U$1148,'TAR FIN'!$A$1:$O$99,15,0)),0,VLOOKUP($U$1148,'TAR FIN'!$A$1:$O$99,15,0))</f>
        <v>0</v>
      </c>
      <c r="Y1148" s="70">
        <f ca="1">('TUSD BE'!$AM$21+'TUSD BF'!$AM$21+'TUSD CVA'!$AM$21)*1*(1-0.02)</f>
        <v>24.176010844852033</v>
      </c>
      <c r="Z1148" s="70"/>
      <c r="AA1148" s="70"/>
      <c r="AB1148" s="4">
        <f>$K$1148*$V$1148</f>
        <v>-12501.696</v>
      </c>
      <c r="AC1148" s="4">
        <f>$M$1148*$W$1148</f>
        <v>0</v>
      </c>
      <c r="AD1148" s="4">
        <f>$O$1148*$X$1148</f>
        <v>0</v>
      </c>
      <c r="AE1148" s="4">
        <f ca="1">$K$1148*$Y$1148</f>
        <v>-14408.902463531813</v>
      </c>
      <c r="AF1148" s="4">
        <f>$M$1148*$Z$1148</f>
        <v>0</v>
      </c>
      <c r="AG1148" s="4">
        <f>$O$1148*$AA$1148</f>
        <v>0</v>
      </c>
    </row>
    <row r="1149" spans="1:33" ht="11.25" customHeight="1" x14ac:dyDescent="0.25">
      <c r="A1149" s="3" t="s">
        <v>28</v>
      </c>
      <c r="B1149" s="3" t="s">
        <v>33</v>
      </c>
      <c r="C1149" s="3" t="s">
        <v>34</v>
      </c>
      <c r="D1149" s="3" t="s">
        <v>45</v>
      </c>
      <c r="E1149" s="3" t="s">
        <v>53</v>
      </c>
      <c r="F1149" s="3" t="s">
        <v>25</v>
      </c>
      <c r="G1149" s="3" t="s">
        <v>25</v>
      </c>
      <c r="H1149" s="3" t="s">
        <v>25</v>
      </c>
      <c r="I1149" s="6">
        <v>44348</v>
      </c>
      <c r="J1149" s="4">
        <v>441</v>
      </c>
      <c r="K1149" s="70">
        <v>441</v>
      </c>
      <c r="L1149" s="4">
        <v>0</v>
      </c>
      <c r="M1149" s="70">
        <v>0</v>
      </c>
      <c r="N1149" s="4">
        <v>0</v>
      </c>
      <c r="O1149" s="70">
        <v>0</v>
      </c>
      <c r="P1149" s="4">
        <v>14</v>
      </c>
      <c r="Q1149" s="3" t="s">
        <v>26</v>
      </c>
      <c r="R1149" s="3">
        <v>0</v>
      </c>
      <c r="S1149" s="4">
        <v>7</v>
      </c>
      <c r="T1149" s="4">
        <v>0</v>
      </c>
      <c r="U1149" s="4">
        <v>0</v>
      </c>
      <c r="V1149" s="70">
        <f>IF(ISERROR(VLOOKUP($S$1149,'TAR FIN'!$A$1:$O$99,15,0)),0,VLOOKUP($S$1149,'TAR FIN'!$A$1:$O$99,15,0))*(1-0.04)</f>
        <v>20.975999999999999</v>
      </c>
      <c r="W1149" s="70">
        <f>IF(ISERROR(VLOOKUP($T$1149,'TAR FIN'!$A$1:$O$99,15,0)),0,VLOOKUP($T$1149,'TAR FIN'!$A$1:$O$99,15,0))</f>
        <v>0</v>
      </c>
      <c r="X1149" s="70">
        <f>IF(ISERROR(VLOOKUP($U$1149,'TAR FIN'!$A$1:$O$99,15,0)),0,VLOOKUP($U$1149,'TAR FIN'!$A$1:$O$99,15,0))</f>
        <v>0</v>
      </c>
      <c r="Y1149" s="70">
        <f ca="1">('TUSD BE'!$AM$21+'TUSD BF'!$AM$21+'TUSD CVA'!$AM$21)*1*(1-0.02)</f>
        <v>24.176010844852033</v>
      </c>
      <c r="Z1149" s="70"/>
      <c r="AA1149" s="70"/>
      <c r="AB1149" s="4">
        <f>$K$1149*$V$1149</f>
        <v>9250.4159999999993</v>
      </c>
      <c r="AC1149" s="4">
        <f>$M$1149*$W$1149</f>
        <v>0</v>
      </c>
      <c r="AD1149" s="4">
        <f>$O$1149*$X$1149</f>
        <v>0</v>
      </c>
      <c r="AE1149" s="4">
        <f ca="1">$K$1149*$Y$1149</f>
        <v>10661.620782579746</v>
      </c>
      <c r="AF1149" s="4">
        <f>$M$1149*$Z$1149</f>
        <v>0</v>
      </c>
      <c r="AG1149" s="4">
        <f>$O$1149*$AA$1149</f>
        <v>0</v>
      </c>
    </row>
    <row r="1150" spans="1:33" ht="11.25" customHeight="1" x14ac:dyDescent="0.25">
      <c r="A1150" s="3" t="s">
        <v>21</v>
      </c>
      <c r="B1150" s="3" t="s">
        <v>33</v>
      </c>
      <c r="C1150" s="3" t="s">
        <v>34</v>
      </c>
      <c r="D1150" s="3" t="s">
        <v>45</v>
      </c>
      <c r="E1150" s="3" t="s">
        <v>53</v>
      </c>
      <c r="F1150" s="3" t="s">
        <v>25</v>
      </c>
      <c r="G1150" s="3" t="s">
        <v>25</v>
      </c>
      <c r="H1150" s="3" t="s">
        <v>25</v>
      </c>
      <c r="I1150" s="6">
        <v>44378</v>
      </c>
      <c r="J1150" s="4">
        <v>4974</v>
      </c>
      <c r="K1150" s="70">
        <v>4974</v>
      </c>
      <c r="L1150" s="4">
        <v>0</v>
      </c>
      <c r="M1150" s="70">
        <v>0</v>
      </c>
      <c r="N1150" s="4">
        <v>0</v>
      </c>
      <c r="O1150" s="70">
        <v>0</v>
      </c>
      <c r="P1150" s="4">
        <v>213</v>
      </c>
      <c r="Q1150" s="3" t="s">
        <v>26</v>
      </c>
      <c r="R1150" s="3">
        <v>0</v>
      </c>
      <c r="S1150" s="4">
        <v>7</v>
      </c>
      <c r="T1150" s="4">
        <v>0</v>
      </c>
      <c r="U1150" s="4">
        <v>0</v>
      </c>
      <c r="V1150" s="70">
        <f>IF(ISERROR(VLOOKUP($S$1150,'TAR FIN'!$A$1:$O$99,15,0)),0,VLOOKUP($S$1150,'TAR FIN'!$A$1:$O$99,15,0))*(1-0.04)</f>
        <v>20.975999999999999</v>
      </c>
      <c r="W1150" s="70">
        <f>IF(ISERROR(VLOOKUP($T$1150,'TAR FIN'!$A$1:$O$99,15,0)),0,VLOOKUP($T$1150,'TAR FIN'!$A$1:$O$99,15,0))</f>
        <v>0</v>
      </c>
      <c r="X1150" s="70">
        <f>IF(ISERROR(VLOOKUP($U$1150,'TAR FIN'!$A$1:$O$99,15,0)),0,VLOOKUP($U$1150,'TAR FIN'!$A$1:$O$99,15,0))</f>
        <v>0</v>
      </c>
      <c r="Y1150" s="70">
        <f ca="1">('TUSD BE'!$AM$21+'TUSD BF'!$AM$21+'TUSD CVA'!$AM$21)*1*(1-0.02)</f>
        <v>24.176010844852033</v>
      </c>
      <c r="Z1150" s="70"/>
      <c r="AA1150" s="70"/>
      <c r="AB1150" s="4">
        <f>$K$1150*$V$1150</f>
        <v>104334.624</v>
      </c>
      <c r="AC1150" s="4">
        <f>$M$1150*$W$1150</f>
        <v>0</v>
      </c>
      <c r="AD1150" s="4">
        <f>$O$1150*$X$1150</f>
        <v>0</v>
      </c>
      <c r="AE1150" s="4">
        <f ca="1">$K$1150*$Y$1150</f>
        <v>120251.47794229402</v>
      </c>
      <c r="AF1150" s="4">
        <f>$M$1150*$Z$1150</f>
        <v>0</v>
      </c>
      <c r="AG1150" s="4">
        <f>$O$1150*$AA$1150</f>
        <v>0</v>
      </c>
    </row>
    <row r="1151" spans="1:33" ht="11.25" customHeight="1" x14ac:dyDescent="0.25">
      <c r="A1151" s="3" t="s">
        <v>27</v>
      </c>
      <c r="B1151" s="3" t="s">
        <v>33</v>
      </c>
      <c r="C1151" s="3" t="s">
        <v>34</v>
      </c>
      <c r="D1151" s="3" t="s">
        <v>45</v>
      </c>
      <c r="E1151" s="3" t="s">
        <v>53</v>
      </c>
      <c r="F1151" s="3" t="s">
        <v>25</v>
      </c>
      <c r="G1151" s="3" t="s">
        <v>25</v>
      </c>
      <c r="H1151" s="3" t="s">
        <v>25</v>
      </c>
      <c r="I1151" s="6">
        <v>44378</v>
      </c>
      <c r="J1151" s="4">
        <v>-7695</v>
      </c>
      <c r="K1151" s="70">
        <v>-7695</v>
      </c>
      <c r="L1151" s="4">
        <v>0</v>
      </c>
      <c r="M1151" s="70">
        <v>0</v>
      </c>
      <c r="N1151" s="4">
        <v>0</v>
      </c>
      <c r="O1151" s="70">
        <v>0</v>
      </c>
      <c r="P1151" s="4">
        <v>-2</v>
      </c>
      <c r="Q1151" s="3" t="s">
        <v>26</v>
      </c>
      <c r="R1151" s="3">
        <v>0</v>
      </c>
      <c r="S1151" s="4">
        <v>7</v>
      </c>
      <c r="T1151" s="4">
        <v>0</v>
      </c>
      <c r="U1151" s="4">
        <v>0</v>
      </c>
      <c r="V1151" s="70">
        <f>IF(ISERROR(VLOOKUP($S$1151,'TAR FIN'!$A$1:$O$99,15,0)),0,VLOOKUP($S$1151,'TAR FIN'!$A$1:$O$99,15,0))*(1-0.04)</f>
        <v>20.975999999999999</v>
      </c>
      <c r="W1151" s="70">
        <f>IF(ISERROR(VLOOKUP($T$1151,'TAR FIN'!$A$1:$O$99,15,0)),0,VLOOKUP($T$1151,'TAR FIN'!$A$1:$O$99,15,0))</f>
        <v>0</v>
      </c>
      <c r="X1151" s="70">
        <f>IF(ISERROR(VLOOKUP($U$1151,'TAR FIN'!$A$1:$O$99,15,0)),0,VLOOKUP($U$1151,'TAR FIN'!$A$1:$O$99,15,0))</f>
        <v>0</v>
      </c>
      <c r="Y1151" s="70">
        <f ca="1">('TUSD BE'!$AM$21+'TUSD BF'!$AM$21+'TUSD CVA'!$AM$21)*1*(1-0.02)</f>
        <v>24.176010844852033</v>
      </c>
      <c r="Z1151" s="70"/>
      <c r="AA1151" s="70"/>
      <c r="AB1151" s="4">
        <f>$K$1151*$V$1151</f>
        <v>-161410.32</v>
      </c>
      <c r="AC1151" s="4">
        <f>$M$1151*$W$1151</f>
        <v>0</v>
      </c>
      <c r="AD1151" s="4">
        <f>$O$1151*$X$1151</f>
        <v>0</v>
      </c>
      <c r="AE1151" s="4">
        <f ca="1">$K$1151*$Y$1151</f>
        <v>-186034.4034511364</v>
      </c>
      <c r="AF1151" s="4">
        <f>$M$1151*$Z$1151</f>
        <v>0</v>
      </c>
      <c r="AG1151" s="4">
        <f>$O$1151*$AA$1151</f>
        <v>0</v>
      </c>
    </row>
    <row r="1152" spans="1:33" ht="11.25" customHeight="1" x14ac:dyDescent="0.25">
      <c r="A1152" s="3" t="s">
        <v>28</v>
      </c>
      <c r="B1152" s="3" t="s">
        <v>33</v>
      </c>
      <c r="C1152" s="3" t="s">
        <v>34</v>
      </c>
      <c r="D1152" s="3" t="s">
        <v>45</v>
      </c>
      <c r="E1152" s="3" t="s">
        <v>53</v>
      </c>
      <c r="F1152" s="3" t="s">
        <v>25</v>
      </c>
      <c r="G1152" s="3" t="s">
        <v>25</v>
      </c>
      <c r="H1152" s="3" t="s">
        <v>25</v>
      </c>
      <c r="I1152" s="6">
        <v>44378</v>
      </c>
      <c r="J1152" s="4">
        <v>316</v>
      </c>
      <c r="K1152" s="70">
        <v>316</v>
      </c>
      <c r="L1152" s="4">
        <v>0</v>
      </c>
      <c r="M1152" s="70">
        <v>0</v>
      </c>
      <c r="N1152" s="4">
        <v>0</v>
      </c>
      <c r="O1152" s="70">
        <v>0</v>
      </c>
      <c r="P1152" s="4">
        <v>14</v>
      </c>
      <c r="Q1152" s="3" t="s">
        <v>26</v>
      </c>
      <c r="R1152" s="3">
        <v>0</v>
      </c>
      <c r="S1152" s="4">
        <v>7</v>
      </c>
      <c r="T1152" s="4">
        <v>0</v>
      </c>
      <c r="U1152" s="4">
        <v>0</v>
      </c>
      <c r="V1152" s="70">
        <f>IF(ISERROR(VLOOKUP($S$1152,'TAR FIN'!$A$1:$O$99,15,0)),0,VLOOKUP($S$1152,'TAR FIN'!$A$1:$O$99,15,0))*(1-0.04)</f>
        <v>20.975999999999999</v>
      </c>
      <c r="W1152" s="70">
        <f>IF(ISERROR(VLOOKUP($T$1152,'TAR FIN'!$A$1:$O$99,15,0)),0,VLOOKUP($T$1152,'TAR FIN'!$A$1:$O$99,15,0))</f>
        <v>0</v>
      </c>
      <c r="X1152" s="70">
        <f>IF(ISERROR(VLOOKUP($U$1152,'TAR FIN'!$A$1:$O$99,15,0)),0,VLOOKUP($U$1152,'TAR FIN'!$A$1:$O$99,15,0))</f>
        <v>0</v>
      </c>
      <c r="Y1152" s="70">
        <f ca="1">('TUSD BE'!$AM$21+'TUSD BF'!$AM$21+'TUSD CVA'!$AM$21)*1*(1-0.02)</f>
        <v>24.176010844852033</v>
      </c>
      <c r="Z1152" s="70"/>
      <c r="AA1152" s="70"/>
      <c r="AB1152" s="4">
        <f>$K$1152*$V$1152</f>
        <v>6628.4159999999993</v>
      </c>
      <c r="AC1152" s="4">
        <f>$M$1152*$W$1152</f>
        <v>0</v>
      </c>
      <c r="AD1152" s="4">
        <f>$O$1152*$X$1152</f>
        <v>0</v>
      </c>
      <c r="AE1152" s="4">
        <f ca="1">$K$1152*$Y$1152</f>
        <v>7639.6194269732423</v>
      </c>
      <c r="AF1152" s="4">
        <f>$M$1152*$Z$1152</f>
        <v>0</v>
      </c>
      <c r="AG1152" s="4">
        <f>$O$1152*$AA$1152</f>
        <v>0</v>
      </c>
    </row>
    <row r="1153" spans="1:33" ht="11.25" customHeight="1" x14ac:dyDescent="0.25">
      <c r="A1153" s="3" t="s">
        <v>21</v>
      </c>
      <c r="B1153" s="3" t="s">
        <v>33</v>
      </c>
      <c r="C1153" s="3" t="s">
        <v>34</v>
      </c>
      <c r="D1153" s="3" t="s">
        <v>45</v>
      </c>
      <c r="E1153" s="3" t="s">
        <v>53</v>
      </c>
      <c r="F1153" s="3" t="s">
        <v>25</v>
      </c>
      <c r="G1153" s="3" t="s">
        <v>25</v>
      </c>
      <c r="H1153" s="3" t="s">
        <v>25</v>
      </c>
      <c r="I1153" s="6">
        <v>44409</v>
      </c>
      <c r="J1153" s="4">
        <v>13775</v>
      </c>
      <c r="K1153" s="70">
        <v>13775</v>
      </c>
      <c r="L1153" s="4">
        <v>0</v>
      </c>
      <c r="M1153" s="70">
        <v>0</v>
      </c>
      <c r="N1153" s="4">
        <v>0</v>
      </c>
      <c r="O1153" s="70">
        <v>0</v>
      </c>
      <c r="P1153" s="4">
        <v>230</v>
      </c>
      <c r="Q1153" s="3" t="s">
        <v>26</v>
      </c>
      <c r="R1153" s="3">
        <v>0</v>
      </c>
      <c r="S1153" s="4">
        <v>7</v>
      </c>
      <c r="T1153" s="4">
        <v>0</v>
      </c>
      <c r="U1153" s="4">
        <v>0</v>
      </c>
      <c r="V1153" s="70">
        <f>IF(ISERROR(VLOOKUP($S$1153,'TAR FIN'!$A$1:$O$99,15,0)),0,VLOOKUP($S$1153,'TAR FIN'!$A$1:$O$99,15,0))*(1-0.04)</f>
        <v>20.975999999999999</v>
      </c>
      <c r="W1153" s="70">
        <f>IF(ISERROR(VLOOKUP($T$1153,'TAR FIN'!$A$1:$O$99,15,0)),0,VLOOKUP($T$1153,'TAR FIN'!$A$1:$O$99,15,0))</f>
        <v>0</v>
      </c>
      <c r="X1153" s="70">
        <f>IF(ISERROR(VLOOKUP($U$1153,'TAR FIN'!$A$1:$O$99,15,0)),0,VLOOKUP($U$1153,'TAR FIN'!$A$1:$O$99,15,0))</f>
        <v>0</v>
      </c>
      <c r="Y1153" s="70">
        <f ca="1">('TUSD BE'!$AM$21+'TUSD BF'!$AM$21+'TUSD CVA'!$AM$21)*1*(1-0.02)</f>
        <v>24.176010844852033</v>
      </c>
      <c r="Z1153" s="70"/>
      <c r="AA1153" s="70"/>
      <c r="AB1153" s="4">
        <f>$K$1153*$V$1153</f>
        <v>288944.39999999997</v>
      </c>
      <c r="AC1153" s="4">
        <f>$M$1153*$W$1153</f>
        <v>0</v>
      </c>
      <c r="AD1153" s="4">
        <f>$O$1153*$X$1153</f>
        <v>0</v>
      </c>
      <c r="AE1153" s="4">
        <f ca="1">$K$1153*$Y$1153</f>
        <v>333024.54938783677</v>
      </c>
      <c r="AF1153" s="4">
        <f>$M$1153*$Z$1153</f>
        <v>0</v>
      </c>
      <c r="AG1153" s="4">
        <f>$O$1153*$AA$1153</f>
        <v>0</v>
      </c>
    </row>
    <row r="1154" spans="1:33" ht="11.25" customHeight="1" x14ac:dyDescent="0.25">
      <c r="A1154" s="3" t="s">
        <v>27</v>
      </c>
      <c r="B1154" s="3" t="s">
        <v>33</v>
      </c>
      <c r="C1154" s="3" t="s">
        <v>34</v>
      </c>
      <c r="D1154" s="3" t="s">
        <v>45</v>
      </c>
      <c r="E1154" s="3" t="s">
        <v>53</v>
      </c>
      <c r="F1154" s="3" t="s">
        <v>25</v>
      </c>
      <c r="G1154" s="3" t="s">
        <v>25</v>
      </c>
      <c r="H1154" s="3" t="s">
        <v>25</v>
      </c>
      <c r="I1154" s="6">
        <v>44409</v>
      </c>
      <c r="J1154" s="4">
        <v>-57</v>
      </c>
      <c r="K1154" s="70">
        <v>-57</v>
      </c>
      <c r="L1154" s="4">
        <v>0</v>
      </c>
      <c r="M1154" s="70">
        <v>0</v>
      </c>
      <c r="N1154" s="4">
        <v>0</v>
      </c>
      <c r="O1154" s="70">
        <v>0</v>
      </c>
      <c r="P1154" s="4">
        <v>-5</v>
      </c>
      <c r="Q1154" s="3" t="s">
        <v>26</v>
      </c>
      <c r="R1154" s="3">
        <v>0</v>
      </c>
      <c r="S1154" s="4">
        <v>7</v>
      </c>
      <c r="T1154" s="4">
        <v>0</v>
      </c>
      <c r="U1154" s="4">
        <v>0</v>
      </c>
      <c r="V1154" s="70">
        <f>IF(ISERROR(VLOOKUP($S$1154,'TAR FIN'!$A$1:$O$99,15,0)),0,VLOOKUP($S$1154,'TAR FIN'!$A$1:$O$99,15,0))*(1-0.04)</f>
        <v>20.975999999999999</v>
      </c>
      <c r="W1154" s="70">
        <f>IF(ISERROR(VLOOKUP($T$1154,'TAR FIN'!$A$1:$O$99,15,0)),0,VLOOKUP($T$1154,'TAR FIN'!$A$1:$O$99,15,0))</f>
        <v>0</v>
      </c>
      <c r="X1154" s="70">
        <f>IF(ISERROR(VLOOKUP($U$1154,'TAR FIN'!$A$1:$O$99,15,0)),0,VLOOKUP($U$1154,'TAR FIN'!$A$1:$O$99,15,0))</f>
        <v>0</v>
      </c>
      <c r="Y1154" s="70">
        <f ca="1">('TUSD BE'!$AM$21+'TUSD BF'!$AM$21+'TUSD CVA'!$AM$21)*1*(1-0.02)</f>
        <v>24.176010844852033</v>
      </c>
      <c r="Z1154" s="70"/>
      <c r="AA1154" s="70"/>
      <c r="AB1154" s="4">
        <f>$K$1154*$V$1154</f>
        <v>-1195.6320000000001</v>
      </c>
      <c r="AC1154" s="4">
        <f>$M$1154*$W$1154</f>
        <v>0</v>
      </c>
      <c r="AD1154" s="4">
        <f>$O$1154*$X$1154</f>
        <v>0</v>
      </c>
      <c r="AE1154" s="4">
        <f ca="1">$K$1154*$Y$1154</f>
        <v>-1378.0326181565658</v>
      </c>
      <c r="AF1154" s="4">
        <f>$M$1154*$Z$1154</f>
        <v>0</v>
      </c>
      <c r="AG1154" s="4">
        <f>$O$1154*$AA$1154</f>
        <v>0</v>
      </c>
    </row>
    <row r="1155" spans="1:33" ht="11.25" customHeight="1" x14ac:dyDescent="0.25">
      <c r="A1155" s="3" t="s">
        <v>28</v>
      </c>
      <c r="B1155" s="3" t="s">
        <v>33</v>
      </c>
      <c r="C1155" s="3" t="s">
        <v>34</v>
      </c>
      <c r="D1155" s="3" t="s">
        <v>45</v>
      </c>
      <c r="E1155" s="3" t="s">
        <v>53</v>
      </c>
      <c r="F1155" s="3" t="s">
        <v>25</v>
      </c>
      <c r="G1155" s="3" t="s">
        <v>25</v>
      </c>
      <c r="H1155" s="3" t="s">
        <v>25</v>
      </c>
      <c r="I1155" s="6">
        <v>44409</v>
      </c>
      <c r="J1155" s="4">
        <v>528</v>
      </c>
      <c r="K1155" s="70">
        <v>528</v>
      </c>
      <c r="L1155" s="4">
        <v>0</v>
      </c>
      <c r="M1155" s="70">
        <v>0</v>
      </c>
      <c r="N1155" s="4">
        <v>0</v>
      </c>
      <c r="O1155" s="70">
        <v>0</v>
      </c>
      <c r="P1155" s="4">
        <v>13</v>
      </c>
      <c r="Q1155" s="3" t="s">
        <v>26</v>
      </c>
      <c r="R1155" s="3">
        <v>0</v>
      </c>
      <c r="S1155" s="4">
        <v>7</v>
      </c>
      <c r="T1155" s="4">
        <v>0</v>
      </c>
      <c r="U1155" s="4">
        <v>0</v>
      </c>
      <c r="V1155" s="70">
        <f>IF(ISERROR(VLOOKUP($S$1155,'TAR FIN'!$A$1:$O$99,15,0)),0,VLOOKUP($S$1155,'TAR FIN'!$A$1:$O$99,15,0))*(1-0.04)</f>
        <v>20.975999999999999</v>
      </c>
      <c r="W1155" s="70">
        <f>IF(ISERROR(VLOOKUP($T$1155,'TAR FIN'!$A$1:$O$99,15,0)),0,VLOOKUP($T$1155,'TAR FIN'!$A$1:$O$99,15,0))</f>
        <v>0</v>
      </c>
      <c r="X1155" s="70">
        <f>IF(ISERROR(VLOOKUP($U$1155,'TAR FIN'!$A$1:$O$99,15,0)),0,VLOOKUP($U$1155,'TAR FIN'!$A$1:$O$99,15,0))</f>
        <v>0</v>
      </c>
      <c r="Y1155" s="70">
        <f ca="1">('TUSD BE'!$AM$21+'TUSD BF'!$AM$21+'TUSD CVA'!$AM$21)*1*(1-0.02)</f>
        <v>24.176010844852033</v>
      </c>
      <c r="Z1155" s="70"/>
      <c r="AA1155" s="70"/>
      <c r="AB1155" s="4">
        <f>$K$1155*$V$1155</f>
        <v>11075.328</v>
      </c>
      <c r="AC1155" s="4">
        <f>$M$1155*$W$1155</f>
        <v>0</v>
      </c>
      <c r="AD1155" s="4">
        <f>$O$1155*$X$1155</f>
        <v>0</v>
      </c>
      <c r="AE1155" s="4">
        <f ca="1">$K$1155*$Y$1155</f>
        <v>12764.933726081874</v>
      </c>
      <c r="AF1155" s="4">
        <f>$M$1155*$Z$1155</f>
        <v>0</v>
      </c>
      <c r="AG1155" s="4">
        <f>$O$1155*$AA$1155</f>
        <v>0</v>
      </c>
    </row>
    <row r="1156" spans="1:33" ht="11.25" customHeight="1" x14ac:dyDescent="0.25">
      <c r="A1156" s="3" t="s">
        <v>21</v>
      </c>
      <c r="B1156" s="3" t="s">
        <v>33</v>
      </c>
      <c r="C1156" s="3" t="s">
        <v>34</v>
      </c>
      <c r="D1156" s="3" t="s">
        <v>45</v>
      </c>
      <c r="E1156" s="3" t="s">
        <v>53</v>
      </c>
      <c r="F1156" s="3" t="s">
        <v>25</v>
      </c>
      <c r="G1156" s="3" t="s">
        <v>25</v>
      </c>
      <c r="H1156" s="3" t="s">
        <v>25</v>
      </c>
      <c r="I1156" s="6">
        <v>44440</v>
      </c>
      <c r="J1156" s="4">
        <v>18117</v>
      </c>
      <c r="K1156" s="70">
        <v>18117</v>
      </c>
      <c r="L1156" s="4">
        <v>0</v>
      </c>
      <c r="M1156" s="70">
        <v>0</v>
      </c>
      <c r="N1156" s="4">
        <v>0</v>
      </c>
      <c r="O1156" s="70">
        <v>0</v>
      </c>
      <c r="P1156" s="4">
        <v>230</v>
      </c>
      <c r="Q1156" s="3" t="s">
        <v>26</v>
      </c>
      <c r="R1156" s="3">
        <v>0</v>
      </c>
      <c r="S1156" s="4">
        <v>7</v>
      </c>
      <c r="T1156" s="4">
        <v>0</v>
      </c>
      <c r="U1156" s="4">
        <v>0</v>
      </c>
      <c r="V1156" s="70">
        <f>IF(ISERROR(VLOOKUP($S$1156,'TAR FIN'!$A$1:$O$99,15,0)),0,VLOOKUP($S$1156,'TAR FIN'!$A$1:$O$99,15,0))*(1-0.04)</f>
        <v>20.975999999999999</v>
      </c>
      <c r="W1156" s="70">
        <f>IF(ISERROR(VLOOKUP($T$1156,'TAR FIN'!$A$1:$O$99,15,0)),0,VLOOKUP($T$1156,'TAR FIN'!$A$1:$O$99,15,0))</f>
        <v>0</v>
      </c>
      <c r="X1156" s="70">
        <f>IF(ISERROR(VLOOKUP($U$1156,'TAR FIN'!$A$1:$O$99,15,0)),0,VLOOKUP($U$1156,'TAR FIN'!$A$1:$O$99,15,0))</f>
        <v>0</v>
      </c>
      <c r="Y1156" s="70">
        <f ca="1">('TUSD BE'!$AM$21+'TUSD BF'!$AM$21+'TUSD CVA'!$AM$21)*1*(1-0.02)</f>
        <v>24.176010844852033</v>
      </c>
      <c r="Z1156" s="70"/>
      <c r="AA1156" s="70"/>
      <c r="AB1156" s="4">
        <f>$K$1156*$V$1156</f>
        <v>380022.19199999998</v>
      </c>
      <c r="AC1156" s="4">
        <f>$M$1156*$W$1156</f>
        <v>0</v>
      </c>
      <c r="AD1156" s="4">
        <f>$O$1156*$X$1156</f>
        <v>0</v>
      </c>
      <c r="AE1156" s="4">
        <f ca="1">$K$1156*$Y$1156</f>
        <v>437996.7884761843</v>
      </c>
      <c r="AF1156" s="4">
        <f>$M$1156*$Z$1156</f>
        <v>0</v>
      </c>
      <c r="AG1156" s="4">
        <f>$O$1156*$AA$1156</f>
        <v>0</v>
      </c>
    </row>
    <row r="1157" spans="1:33" ht="11.25" customHeight="1" x14ac:dyDescent="0.25">
      <c r="A1157" s="3" t="s">
        <v>27</v>
      </c>
      <c r="B1157" s="3" t="s">
        <v>33</v>
      </c>
      <c r="C1157" s="3" t="s">
        <v>34</v>
      </c>
      <c r="D1157" s="3" t="s">
        <v>45</v>
      </c>
      <c r="E1157" s="3" t="s">
        <v>53</v>
      </c>
      <c r="F1157" s="3" t="s">
        <v>25</v>
      </c>
      <c r="G1157" s="3" t="s">
        <v>25</v>
      </c>
      <c r="H1157" s="3" t="s">
        <v>25</v>
      </c>
      <c r="I1157" s="6">
        <v>44440</v>
      </c>
      <c r="J1157" s="4">
        <v>-196</v>
      </c>
      <c r="K1157" s="70">
        <v>-196</v>
      </c>
      <c r="L1157" s="4">
        <v>0</v>
      </c>
      <c r="M1157" s="70">
        <v>0</v>
      </c>
      <c r="N1157" s="4">
        <v>0</v>
      </c>
      <c r="O1157" s="70">
        <v>0</v>
      </c>
      <c r="P1157" s="4">
        <v>0</v>
      </c>
      <c r="Q1157" s="3" t="s">
        <v>26</v>
      </c>
      <c r="R1157" s="3">
        <v>0</v>
      </c>
      <c r="S1157" s="4">
        <v>7</v>
      </c>
      <c r="T1157" s="4">
        <v>0</v>
      </c>
      <c r="U1157" s="4">
        <v>0</v>
      </c>
      <c r="V1157" s="70">
        <f>IF(ISERROR(VLOOKUP($S$1157,'TAR FIN'!$A$1:$O$99,15,0)),0,VLOOKUP($S$1157,'TAR FIN'!$A$1:$O$99,15,0))*(1-0.04)</f>
        <v>20.975999999999999</v>
      </c>
      <c r="W1157" s="70">
        <f>IF(ISERROR(VLOOKUP($T$1157,'TAR FIN'!$A$1:$O$99,15,0)),0,VLOOKUP($T$1157,'TAR FIN'!$A$1:$O$99,15,0))</f>
        <v>0</v>
      </c>
      <c r="X1157" s="70">
        <f>IF(ISERROR(VLOOKUP($U$1157,'TAR FIN'!$A$1:$O$99,15,0)),0,VLOOKUP($U$1157,'TAR FIN'!$A$1:$O$99,15,0))</f>
        <v>0</v>
      </c>
      <c r="Y1157" s="70">
        <f ca="1">('TUSD BE'!$AM$21+'TUSD BF'!$AM$21+'TUSD CVA'!$AM$21)*1*(1-0.02)</f>
        <v>24.176010844852033</v>
      </c>
      <c r="Z1157" s="70"/>
      <c r="AA1157" s="70"/>
      <c r="AB1157" s="4">
        <f>$K$1157*$V$1157</f>
        <v>-4111.2960000000003</v>
      </c>
      <c r="AC1157" s="4">
        <f>$M$1157*$W$1157</f>
        <v>0</v>
      </c>
      <c r="AD1157" s="4">
        <f>$O$1157*$X$1157</f>
        <v>0</v>
      </c>
      <c r="AE1157" s="4">
        <f ca="1">$K$1157*$Y$1157</f>
        <v>-4738.4981255909988</v>
      </c>
      <c r="AF1157" s="4">
        <f>$M$1157*$Z$1157</f>
        <v>0</v>
      </c>
      <c r="AG1157" s="4">
        <f>$O$1157*$AA$1157</f>
        <v>0</v>
      </c>
    </row>
    <row r="1158" spans="1:33" ht="11.25" customHeight="1" x14ac:dyDescent="0.25">
      <c r="A1158" s="3" t="s">
        <v>28</v>
      </c>
      <c r="B1158" s="3" t="s">
        <v>33</v>
      </c>
      <c r="C1158" s="3" t="s">
        <v>34</v>
      </c>
      <c r="D1158" s="3" t="s">
        <v>45</v>
      </c>
      <c r="E1158" s="3" t="s">
        <v>53</v>
      </c>
      <c r="F1158" s="3" t="s">
        <v>25</v>
      </c>
      <c r="G1158" s="3" t="s">
        <v>25</v>
      </c>
      <c r="H1158" s="3" t="s">
        <v>25</v>
      </c>
      <c r="I1158" s="6">
        <v>44440</v>
      </c>
      <c r="J1158" s="4">
        <v>1778</v>
      </c>
      <c r="K1158" s="70">
        <v>1778</v>
      </c>
      <c r="L1158" s="4">
        <v>0</v>
      </c>
      <c r="M1158" s="70">
        <v>0</v>
      </c>
      <c r="N1158" s="4">
        <v>0</v>
      </c>
      <c r="O1158" s="70">
        <v>0</v>
      </c>
      <c r="P1158" s="4">
        <v>14</v>
      </c>
      <c r="Q1158" s="3" t="s">
        <v>26</v>
      </c>
      <c r="R1158" s="3">
        <v>0</v>
      </c>
      <c r="S1158" s="4">
        <v>7</v>
      </c>
      <c r="T1158" s="4">
        <v>0</v>
      </c>
      <c r="U1158" s="4">
        <v>0</v>
      </c>
      <c r="V1158" s="70">
        <f>IF(ISERROR(VLOOKUP($S$1158,'TAR FIN'!$A$1:$O$99,15,0)),0,VLOOKUP($S$1158,'TAR FIN'!$A$1:$O$99,15,0))*(1-0.04)</f>
        <v>20.975999999999999</v>
      </c>
      <c r="W1158" s="70">
        <f>IF(ISERROR(VLOOKUP($T$1158,'TAR FIN'!$A$1:$O$99,15,0)),0,VLOOKUP($T$1158,'TAR FIN'!$A$1:$O$99,15,0))</f>
        <v>0</v>
      </c>
      <c r="X1158" s="70">
        <f>IF(ISERROR(VLOOKUP($U$1158,'TAR FIN'!$A$1:$O$99,15,0)),0,VLOOKUP($U$1158,'TAR FIN'!$A$1:$O$99,15,0))</f>
        <v>0</v>
      </c>
      <c r="Y1158" s="70">
        <f ca="1">('TUSD BE'!$AM$21+'TUSD BF'!$AM$21+'TUSD CVA'!$AM$21)*1*(1-0.02)</f>
        <v>24.176010844852033</v>
      </c>
      <c r="Z1158" s="70"/>
      <c r="AA1158" s="70"/>
      <c r="AB1158" s="4">
        <f>$K$1158*$V$1158</f>
        <v>37295.328000000001</v>
      </c>
      <c r="AC1158" s="4">
        <f>$M$1158*$W$1158</f>
        <v>0</v>
      </c>
      <c r="AD1158" s="4">
        <f>$O$1158*$X$1158</f>
        <v>0</v>
      </c>
      <c r="AE1158" s="4">
        <f ca="1">$K$1158*$Y$1158</f>
        <v>42984.947282146917</v>
      </c>
      <c r="AF1158" s="4">
        <f>$M$1158*$Z$1158</f>
        <v>0</v>
      </c>
      <c r="AG1158" s="4">
        <f>$O$1158*$AA$1158</f>
        <v>0</v>
      </c>
    </row>
    <row r="1159" spans="1:33" ht="11.25" customHeight="1" x14ac:dyDescent="0.25">
      <c r="A1159" s="3" t="s">
        <v>21</v>
      </c>
      <c r="B1159" s="3" t="s">
        <v>33</v>
      </c>
      <c r="C1159" s="3" t="s">
        <v>34</v>
      </c>
      <c r="D1159" s="3" t="s">
        <v>45</v>
      </c>
      <c r="E1159" s="3" t="s">
        <v>53</v>
      </c>
      <c r="F1159" s="3" t="s">
        <v>25</v>
      </c>
      <c r="G1159" s="3" t="s">
        <v>25</v>
      </c>
      <c r="H1159" s="3" t="s">
        <v>25</v>
      </c>
      <c r="I1159" s="6">
        <v>44470</v>
      </c>
      <c r="J1159" s="4">
        <v>23146</v>
      </c>
      <c r="K1159" s="70">
        <v>23146</v>
      </c>
      <c r="L1159" s="4">
        <v>0</v>
      </c>
      <c r="M1159" s="70">
        <v>0</v>
      </c>
      <c r="N1159" s="4">
        <v>0</v>
      </c>
      <c r="O1159" s="70">
        <v>0</v>
      </c>
      <c r="P1159" s="4">
        <v>242</v>
      </c>
      <c r="Q1159" s="3" t="s">
        <v>26</v>
      </c>
      <c r="R1159" s="3">
        <v>0</v>
      </c>
      <c r="S1159" s="4">
        <v>7</v>
      </c>
      <c r="T1159" s="4">
        <v>0</v>
      </c>
      <c r="U1159" s="4">
        <v>0</v>
      </c>
      <c r="V1159" s="70">
        <f>IF(ISERROR(VLOOKUP($S$1159,'TAR FIN'!$A$1:$O$99,15,0)),0,VLOOKUP($S$1159,'TAR FIN'!$A$1:$O$99,15,0))*(1-0.04)</f>
        <v>20.975999999999999</v>
      </c>
      <c r="W1159" s="70">
        <f>IF(ISERROR(VLOOKUP($T$1159,'TAR FIN'!$A$1:$O$99,15,0)),0,VLOOKUP($T$1159,'TAR FIN'!$A$1:$O$99,15,0))</f>
        <v>0</v>
      </c>
      <c r="X1159" s="70">
        <f>IF(ISERROR(VLOOKUP($U$1159,'TAR FIN'!$A$1:$O$99,15,0)),0,VLOOKUP($U$1159,'TAR FIN'!$A$1:$O$99,15,0))</f>
        <v>0</v>
      </c>
      <c r="Y1159" s="70">
        <f ca="1">('TUSD BE'!$AM$21+'TUSD BF'!$AM$21+'TUSD CVA'!$AM$21)*1*(1-0.02)</f>
        <v>24.176010844852033</v>
      </c>
      <c r="Z1159" s="70"/>
      <c r="AA1159" s="70"/>
      <c r="AB1159" s="4">
        <f>$K$1159*$V$1159</f>
        <v>485510.49599999998</v>
      </c>
      <c r="AC1159" s="4">
        <f>$M$1159*$W$1159</f>
        <v>0</v>
      </c>
      <c r="AD1159" s="4">
        <f>$O$1159*$X$1159</f>
        <v>0</v>
      </c>
      <c r="AE1159" s="4">
        <f ca="1">$K$1159*$Y$1159</f>
        <v>559577.94701494521</v>
      </c>
      <c r="AF1159" s="4">
        <f>$M$1159*$Z$1159</f>
        <v>0</v>
      </c>
      <c r="AG1159" s="4">
        <f>$O$1159*$AA$1159</f>
        <v>0</v>
      </c>
    </row>
    <row r="1160" spans="1:33" ht="11.25" customHeight="1" x14ac:dyDescent="0.25">
      <c r="A1160" s="3" t="s">
        <v>27</v>
      </c>
      <c r="B1160" s="3" t="s">
        <v>33</v>
      </c>
      <c r="C1160" s="3" t="s">
        <v>34</v>
      </c>
      <c r="D1160" s="3" t="s">
        <v>45</v>
      </c>
      <c r="E1160" s="3" t="s">
        <v>53</v>
      </c>
      <c r="F1160" s="3" t="s">
        <v>25</v>
      </c>
      <c r="G1160" s="3" t="s">
        <v>25</v>
      </c>
      <c r="H1160" s="3" t="s">
        <v>25</v>
      </c>
      <c r="I1160" s="6">
        <v>44470</v>
      </c>
      <c r="J1160" s="4">
        <v>-134</v>
      </c>
      <c r="K1160" s="70">
        <v>-134</v>
      </c>
      <c r="L1160" s="4">
        <v>0</v>
      </c>
      <c r="M1160" s="70">
        <v>0</v>
      </c>
      <c r="N1160" s="4">
        <v>0</v>
      </c>
      <c r="O1160" s="70">
        <v>0</v>
      </c>
      <c r="P1160" s="4">
        <v>0</v>
      </c>
      <c r="Q1160" s="3" t="s">
        <v>26</v>
      </c>
      <c r="R1160" s="3">
        <v>0</v>
      </c>
      <c r="S1160" s="4">
        <v>7</v>
      </c>
      <c r="T1160" s="4">
        <v>0</v>
      </c>
      <c r="U1160" s="4">
        <v>0</v>
      </c>
      <c r="V1160" s="70">
        <f>IF(ISERROR(VLOOKUP($S$1160,'TAR FIN'!$A$1:$O$99,15,0)),0,VLOOKUP($S$1160,'TAR FIN'!$A$1:$O$99,15,0))*(1-0.04)</f>
        <v>20.975999999999999</v>
      </c>
      <c r="W1160" s="70">
        <f>IF(ISERROR(VLOOKUP($T$1160,'TAR FIN'!$A$1:$O$99,15,0)),0,VLOOKUP($T$1160,'TAR FIN'!$A$1:$O$99,15,0))</f>
        <v>0</v>
      </c>
      <c r="X1160" s="70">
        <f>IF(ISERROR(VLOOKUP($U$1160,'TAR FIN'!$A$1:$O$99,15,0)),0,VLOOKUP($U$1160,'TAR FIN'!$A$1:$O$99,15,0))</f>
        <v>0</v>
      </c>
      <c r="Y1160" s="70">
        <f ca="1">('TUSD BE'!$AM$21+'TUSD BF'!$AM$21+'TUSD CVA'!$AM$21)*1*(1-0.02)</f>
        <v>24.176010844852033</v>
      </c>
      <c r="Z1160" s="70"/>
      <c r="AA1160" s="70"/>
      <c r="AB1160" s="4">
        <f>$K$1160*$V$1160</f>
        <v>-2810.7839999999997</v>
      </c>
      <c r="AC1160" s="4">
        <f>$M$1160*$W$1160</f>
        <v>0</v>
      </c>
      <c r="AD1160" s="4">
        <f>$O$1160*$X$1160</f>
        <v>0</v>
      </c>
      <c r="AE1160" s="4">
        <f ca="1">$K$1160*$Y$1160</f>
        <v>-3239.5854532101725</v>
      </c>
      <c r="AF1160" s="4">
        <f>$M$1160*$Z$1160</f>
        <v>0</v>
      </c>
      <c r="AG1160" s="4">
        <f>$O$1160*$AA$1160</f>
        <v>0</v>
      </c>
    </row>
    <row r="1161" spans="1:33" ht="11.25" customHeight="1" x14ac:dyDescent="0.25">
      <c r="A1161" s="3" t="s">
        <v>28</v>
      </c>
      <c r="B1161" s="3" t="s">
        <v>33</v>
      </c>
      <c r="C1161" s="3" t="s">
        <v>34</v>
      </c>
      <c r="D1161" s="3" t="s">
        <v>45</v>
      </c>
      <c r="E1161" s="3" t="s">
        <v>53</v>
      </c>
      <c r="F1161" s="3" t="s">
        <v>25</v>
      </c>
      <c r="G1161" s="3" t="s">
        <v>25</v>
      </c>
      <c r="H1161" s="3" t="s">
        <v>25</v>
      </c>
      <c r="I1161" s="6">
        <v>44470</v>
      </c>
      <c r="J1161" s="4">
        <v>2209</v>
      </c>
      <c r="K1161" s="70">
        <v>2209</v>
      </c>
      <c r="L1161" s="4">
        <v>0</v>
      </c>
      <c r="M1161" s="70">
        <v>0</v>
      </c>
      <c r="N1161" s="4">
        <v>0</v>
      </c>
      <c r="O1161" s="70">
        <v>0</v>
      </c>
      <c r="P1161" s="4">
        <v>14</v>
      </c>
      <c r="Q1161" s="3" t="s">
        <v>26</v>
      </c>
      <c r="R1161" s="3">
        <v>0</v>
      </c>
      <c r="S1161" s="4">
        <v>7</v>
      </c>
      <c r="T1161" s="4">
        <v>0</v>
      </c>
      <c r="U1161" s="4">
        <v>0</v>
      </c>
      <c r="V1161" s="70">
        <f>IF(ISERROR(VLOOKUP($S$1161,'TAR FIN'!$A$1:$O$99,15,0)),0,VLOOKUP($S$1161,'TAR FIN'!$A$1:$O$99,15,0))*(1-0.04)</f>
        <v>20.975999999999999</v>
      </c>
      <c r="W1161" s="70">
        <f>IF(ISERROR(VLOOKUP($T$1161,'TAR FIN'!$A$1:$O$99,15,0)),0,VLOOKUP($T$1161,'TAR FIN'!$A$1:$O$99,15,0))</f>
        <v>0</v>
      </c>
      <c r="X1161" s="70">
        <f>IF(ISERROR(VLOOKUP($U$1161,'TAR FIN'!$A$1:$O$99,15,0)),0,VLOOKUP($U$1161,'TAR FIN'!$A$1:$O$99,15,0))</f>
        <v>0</v>
      </c>
      <c r="Y1161" s="70">
        <f ca="1">('TUSD BE'!$AM$21+'TUSD BF'!$AM$21+'TUSD CVA'!$AM$21)*1*(1-0.02)</f>
        <v>24.176010844852033</v>
      </c>
      <c r="Z1161" s="70"/>
      <c r="AA1161" s="70"/>
      <c r="AB1161" s="4">
        <f>$K$1161*$V$1161</f>
        <v>46335.983999999997</v>
      </c>
      <c r="AC1161" s="4">
        <f>$M$1161*$W$1161</f>
        <v>0</v>
      </c>
      <c r="AD1161" s="4">
        <f>$O$1161*$X$1161</f>
        <v>0</v>
      </c>
      <c r="AE1161" s="4">
        <f ca="1">$K$1161*$Y$1161</f>
        <v>53404.807956278142</v>
      </c>
      <c r="AF1161" s="4">
        <f>$M$1161*$Z$1161</f>
        <v>0</v>
      </c>
      <c r="AG1161" s="4">
        <f>$O$1161*$AA$1161</f>
        <v>0</v>
      </c>
    </row>
    <row r="1162" spans="1:33" ht="11.25" customHeight="1" x14ac:dyDescent="0.25">
      <c r="A1162" s="3" t="s">
        <v>21</v>
      </c>
      <c r="B1162" s="3" t="s">
        <v>33</v>
      </c>
      <c r="C1162" s="3" t="s">
        <v>34</v>
      </c>
      <c r="D1162" s="3" t="s">
        <v>45</v>
      </c>
      <c r="E1162" s="3" t="s">
        <v>53</v>
      </c>
      <c r="F1162" s="3" t="s">
        <v>25</v>
      </c>
      <c r="G1162" s="3" t="s">
        <v>25</v>
      </c>
      <c r="H1162" s="3" t="s">
        <v>25</v>
      </c>
      <c r="I1162" s="6">
        <v>44501</v>
      </c>
      <c r="J1162" s="4">
        <v>25117</v>
      </c>
      <c r="K1162" s="70">
        <v>25117</v>
      </c>
      <c r="L1162" s="4">
        <v>0</v>
      </c>
      <c r="M1162" s="70">
        <v>0</v>
      </c>
      <c r="N1162" s="4">
        <v>0</v>
      </c>
      <c r="O1162" s="70">
        <v>0</v>
      </c>
      <c r="P1162" s="4">
        <v>225</v>
      </c>
      <c r="Q1162" s="3" t="s">
        <v>26</v>
      </c>
      <c r="R1162" s="3">
        <v>0</v>
      </c>
      <c r="S1162" s="4">
        <v>7</v>
      </c>
      <c r="T1162" s="4">
        <v>0</v>
      </c>
      <c r="U1162" s="4">
        <v>0</v>
      </c>
      <c r="V1162" s="70">
        <f>IF(ISERROR(VLOOKUP($S$1162,'TAR FIN'!$A$1:$O$99,15,0)),0,VLOOKUP($S$1162,'TAR FIN'!$A$1:$O$99,15,0))*(1-0.04)</f>
        <v>20.975999999999999</v>
      </c>
      <c r="W1162" s="70">
        <f>IF(ISERROR(VLOOKUP($T$1162,'TAR FIN'!$A$1:$O$99,15,0)),0,VLOOKUP($T$1162,'TAR FIN'!$A$1:$O$99,15,0))</f>
        <v>0</v>
      </c>
      <c r="X1162" s="70">
        <f>IF(ISERROR(VLOOKUP($U$1162,'TAR FIN'!$A$1:$O$99,15,0)),0,VLOOKUP($U$1162,'TAR FIN'!$A$1:$O$99,15,0))</f>
        <v>0</v>
      </c>
      <c r="Y1162" s="70">
        <f ca="1">('TUSD BE'!$AM$21+'TUSD BF'!$AM$21+'TUSD CVA'!$AM$21)*1*(1-0.02)</f>
        <v>24.176010844852033</v>
      </c>
      <c r="Z1162" s="70"/>
      <c r="AA1162" s="70"/>
      <c r="AB1162" s="4">
        <f>$K$1162*$V$1162</f>
        <v>526854.19199999992</v>
      </c>
      <c r="AC1162" s="4">
        <f>$M$1162*$W$1162</f>
        <v>0</v>
      </c>
      <c r="AD1162" s="4">
        <f>$O$1162*$X$1162</f>
        <v>0</v>
      </c>
      <c r="AE1162" s="4">
        <f ca="1">$K$1162*$Y$1162</f>
        <v>607228.86439014855</v>
      </c>
      <c r="AF1162" s="4">
        <f>$M$1162*$Z$1162</f>
        <v>0</v>
      </c>
      <c r="AG1162" s="4">
        <f>$O$1162*$AA$1162</f>
        <v>0</v>
      </c>
    </row>
    <row r="1163" spans="1:33" ht="11.25" customHeight="1" x14ac:dyDescent="0.25">
      <c r="A1163" s="3" t="s">
        <v>27</v>
      </c>
      <c r="B1163" s="3" t="s">
        <v>33</v>
      </c>
      <c r="C1163" s="3" t="s">
        <v>34</v>
      </c>
      <c r="D1163" s="3" t="s">
        <v>45</v>
      </c>
      <c r="E1163" s="3" t="s">
        <v>53</v>
      </c>
      <c r="F1163" s="3" t="s">
        <v>25</v>
      </c>
      <c r="G1163" s="3" t="s">
        <v>25</v>
      </c>
      <c r="H1163" s="3" t="s">
        <v>25</v>
      </c>
      <c r="I1163" s="6">
        <v>44501</v>
      </c>
      <c r="J1163" s="4">
        <v>-1366</v>
      </c>
      <c r="K1163" s="70">
        <v>-1366</v>
      </c>
      <c r="L1163" s="4">
        <v>0</v>
      </c>
      <c r="M1163" s="70">
        <v>0</v>
      </c>
      <c r="N1163" s="4">
        <v>0</v>
      </c>
      <c r="O1163" s="70">
        <v>0</v>
      </c>
      <c r="P1163" s="4">
        <v>-4</v>
      </c>
      <c r="Q1163" s="3" t="s">
        <v>26</v>
      </c>
      <c r="R1163" s="3">
        <v>0</v>
      </c>
      <c r="S1163" s="4">
        <v>7</v>
      </c>
      <c r="T1163" s="4">
        <v>0</v>
      </c>
      <c r="U1163" s="4">
        <v>0</v>
      </c>
      <c r="V1163" s="70">
        <f>IF(ISERROR(VLOOKUP($S$1163,'TAR FIN'!$A$1:$O$99,15,0)),0,VLOOKUP($S$1163,'TAR FIN'!$A$1:$O$99,15,0))*(1-0.04)</f>
        <v>20.975999999999999</v>
      </c>
      <c r="W1163" s="70">
        <f>IF(ISERROR(VLOOKUP($T$1163,'TAR FIN'!$A$1:$O$99,15,0)),0,VLOOKUP($T$1163,'TAR FIN'!$A$1:$O$99,15,0))</f>
        <v>0</v>
      </c>
      <c r="X1163" s="70">
        <f>IF(ISERROR(VLOOKUP($U$1163,'TAR FIN'!$A$1:$O$99,15,0)),0,VLOOKUP($U$1163,'TAR FIN'!$A$1:$O$99,15,0))</f>
        <v>0</v>
      </c>
      <c r="Y1163" s="70">
        <f ca="1">('TUSD BE'!$AM$21+'TUSD BF'!$AM$21+'TUSD CVA'!$AM$21)*1*(1-0.02)</f>
        <v>24.176010844852033</v>
      </c>
      <c r="Z1163" s="70"/>
      <c r="AA1163" s="70"/>
      <c r="AB1163" s="4">
        <f>$K$1163*$V$1163</f>
        <v>-28653.216</v>
      </c>
      <c r="AC1163" s="4">
        <f>$M$1163*$W$1163</f>
        <v>0</v>
      </c>
      <c r="AD1163" s="4">
        <f>$O$1163*$X$1163</f>
        <v>0</v>
      </c>
      <c r="AE1163" s="4">
        <f ca="1">$K$1163*$Y$1163</f>
        <v>-33024.430814067877</v>
      </c>
      <c r="AF1163" s="4">
        <f>$M$1163*$Z$1163</f>
        <v>0</v>
      </c>
      <c r="AG1163" s="4">
        <f>$O$1163*$AA$1163</f>
        <v>0</v>
      </c>
    </row>
    <row r="1164" spans="1:33" ht="11.25" customHeight="1" x14ac:dyDescent="0.25">
      <c r="A1164" s="3" t="s">
        <v>28</v>
      </c>
      <c r="B1164" s="3" t="s">
        <v>33</v>
      </c>
      <c r="C1164" s="3" t="s">
        <v>34</v>
      </c>
      <c r="D1164" s="3" t="s">
        <v>45</v>
      </c>
      <c r="E1164" s="3" t="s">
        <v>53</v>
      </c>
      <c r="F1164" s="3" t="s">
        <v>25</v>
      </c>
      <c r="G1164" s="3" t="s">
        <v>25</v>
      </c>
      <c r="H1164" s="3" t="s">
        <v>25</v>
      </c>
      <c r="I1164" s="6">
        <v>44501</v>
      </c>
      <c r="J1164" s="4">
        <v>2179</v>
      </c>
      <c r="K1164" s="70">
        <v>2179</v>
      </c>
      <c r="L1164" s="4">
        <v>0</v>
      </c>
      <c r="M1164" s="70">
        <v>0</v>
      </c>
      <c r="N1164" s="4">
        <v>0</v>
      </c>
      <c r="O1164" s="70">
        <v>0</v>
      </c>
      <c r="P1164" s="4">
        <v>15</v>
      </c>
      <c r="Q1164" s="3" t="s">
        <v>26</v>
      </c>
      <c r="R1164" s="3">
        <v>0</v>
      </c>
      <c r="S1164" s="4">
        <v>7</v>
      </c>
      <c r="T1164" s="4">
        <v>0</v>
      </c>
      <c r="U1164" s="4">
        <v>0</v>
      </c>
      <c r="V1164" s="70">
        <f>IF(ISERROR(VLOOKUP($S$1164,'TAR FIN'!$A$1:$O$99,15,0)),0,VLOOKUP($S$1164,'TAR FIN'!$A$1:$O$99,15,0))*(1-0.04)</f>
        <v>20.975999999999999</v>
      </c>
      <c r="W1164" s="70">
        <f>IF(ISERROR(VLOOKUP($T$1164,'TAR FIN'!$A$1:$O$99,15,0)),0,VLOOKUP($T$1164,'TAR FIN'!$A$1:$O$99,15,0))</f>
        <v>0</v>
      </c>
      <c r="X1164" s="70">
        <f>IF(ISERROR(VLOOKUP($U$1164,'TAR FIN'!$A$1:$O$99,15,0)),0,VLOOKUP($U$1164,'TAR FIN'!$A$1:$O$99,15,0))</f>
        <v>0</v>
      </c>
      <c r="Y1164" s="70">
        <f ca="1">('TUSD BE'!$AM$21+'TUSD BF'!$AM$21+'TUSD CVA'!$AM$21)*1*(1-0.02)</f>
        <v>24.176010844852033</v>
      </c>
      <c r="Z1164" s="70"/>
      <c r="AA1164" s="70"/>
      <c r="AB1164" s="4">
        <f>$K$1164*$V$1164</f>
        <v>45706.703999999998</v>
      </c>
      <c r="AC1164" s="4">
        <f>$M$1164*$W$1164</f>
        <v>0</v>
      </c>
      <c r="AD1164" s="4">
        <f>$O$1164*$X$1164</f>
        <v>0</v>
      </c>
      <c r="AE1164" s="4">
        <f ca="1">$K$1164*$Y$1164</f>
        <v>52679.527630932578</v>
      </c>
      <c r="AF1164" s="4">
        <f>$M$1164*$Z$1164</f>
        <v>0</v>
      </c>
      <c r="AG1164" s="4">
        <f>$O$1164*$AA$1164</f>
        <v>0</v>
      </c>
    </row>
    <row r="1165" spans="1:33" ht="11.25" customHeight="1" x14ac:dyDescent="0.25">
      <c r="A1165" s="3" t="s">
        <v>21</v>
      </c>
      <c r="B1165" s="3" t="s">
        <v>33</v>
      </c>
      <c r="C1165" s="3" t="s">
        <v>34</v>
      </c>
      <c r="D1165" s="3" t="s">
        <v>45</v>
      </c>
      <c r="E1165" s="3" t="s">
        <v>53</v>
      </c>
      <c r="F1165" s="3" t="s">
        <v>25</v>
      </c>
      <c r="G1165" s="3" t="s">
        <v>25</v>
      </c>
      <c r="H1165" s="3" t="s">
        <v>25</v>
      </c>
      <c r="I1165" s="6">
        <v>44531</v>
      </c>
      <c r="J1165" s="4">
        <v>26254</v>
      </c>
      <c r="K1165" s="70">
        <v>26254</v>
      </c>
      <c r="L1165" s="4">
        <v>0</v>
      </c>
      <c r="M1165" s="70">
        <v>0</v>
      </c>
      <c r="N1165" s="4">
        <v>0</v>
      </c>
      <c r="O1165" s="70">
        <v>0</v>
      </c>
      <c r="P1165" s="4">
        <v>224</v>
      </c>
      <c r="Q1165" s="3" t="s">
        <v>26</v>
      </c>
      <c r="R1165" s="3">
        <v>0</v>
      </c>
      <c r="S1165" s="4">
        <v>7</v>
      </c>
      <c r="T1165" s="4">
        <v>0</v>
      </c>
      <c r="U1165" s="4">
        <v>0</v>
      </c>
      <c r="V1165" s="70">
        <f>IF(ISERROR(VLOOKUP($S$1165,'TAR FIN'!$A$1:$O$99,15,0)),0,VLOOKUP($S$1165,'TAR FIN'!$A$1:$O$99,15,0))*(1-0.04)</f>
        <v>20.975999999999999</v>
      </c>
      <c r="W1165" s="70">
        <f>IF(ISERROR(VLOOKUP($T$1165,'TAR FIN'!$A$1:$O$99,15,0)),0,VLOOKUP($T$1165,'TAR FIN'!$A$1:$O$99,15,0))</f>
        <v>0</v>
      </c>
      <c r="X1165" s="70">
        <f>IF(ISERROR(VLOOKUP($U$1165,'TAR FIN'!$A$1:$O$99,15,0)),0,VLOOKUP($U$1165,'TAR FIN'!$A$1:$O$99,15,0))</f>
        <v>0</v>
      </c>
      <c r="Y1165" s="70">
        <f ca="1">('TUSD BE'!$AM$21+'TUSD BF'!$AM$21+'TUSD CVA'!$AM$21)*1*(1-0.02)</f>
        <v>24.176010844852033</v>
      </c>
      <c r="Z1165" s="70"/>
      <c r="AA1165" s="70"/>
      <c r="AB1165" s="4">
        <f>$K$1165*$V$1165</f>
        <v>550703.90399999998</v>
      </c>
      <c r="AC1165" s="4">
        <f>$M$1165*$W$1165</f>
        <v>0</v>
      </c>
      <c r="AD1165" s="4">
        <f>$O$1165*$X$1165</f>
        <v>0</v>
      </c>
      <c r="AE1165" s="4">
        <f ca="1">$K$1165*$Y$1165</f>
        <v>634716.98872074531</v>
      </c>
      <c r="AF1165" s="4">
        <f>$M$1165*$Z$1165</f>
        <v>0</v>
      </c>
      <c r="AG1165" s="4">
        <f>$O$1165*$AA$1165</f>
        <v>0</v>
      </c>
    </row>
    <row r="1166" spans="1:33" ht="11.25" customHeight="1" x14ac:dyDescent="0.25">
      <c r="A1166" s="3" t="s">
        <v>28</v>
      </c>
      <c r="B1166" s="3" t="s">
        <v>33</v>
      </c>
      <c r="C1166" s="3" t="s">
        <v>34</v>
      </c>
      <c r="D1166" s="3" t="s">
        <v>45</v>
      </c>
      <c r="E1166" s="3" t="s">
        <v>53</v>
      </c>
      <c r="F1166" s="3" t="s">
        <v>25</v>
      </c>
      <c r="G1166" s="3" t="s">
        <v>25</v>
      </c>
      <c r="H1166" s="3" t="s">
        <v>25</v>
      </c>
      <c r="I1166" s="6">
        <v>44531</v>
      </c>
      <c r="J1166" s="4">
        <v>2390</v>
      </c>
      <c r="K1166" s="70">
        <v>2390</v>
      </c>
      <c r="L1166" s="4">
        <v>0</v>
      </c>
      <c r="M1166" s="70">
        <v>0</v>
      </c>
      <c r="N1166" s="4">
        <v>0</v>
      </c>
      <c r="O1166" s="70">
        <v>0</v>
      </c>
      <c r="P1166" s="4">
        <v>15</v>
      </c>
      <c r="Q1166" s="3" t="s">
        <v>26</v>
      </c>
      <c r="R1166" s="3">
        <v>0</v>
      </c>
      <c r="S1166" s="4">
        <v>7</v>
      </c>
      <c r="T1166" s="4">
        <v>0</v>
      </c>
      <c r="U1166" s="4">
        <v>0</v>
      </c>
      <c r="V1166" s="70">
        <f>IF(ISERROR(VLOOKUP($S$1166,'TAR FIN'!$A$1:$O$99,15,0)),0,VLOOKUP($S$1166,'TAR FIN'!$A$1:$O$99,15,0))*(1-0.04)</f>
        <v>20.975999999999999</v>
      </c>
      <c r="W1166" s="70">
        <f>IF(ISERROR(VLOOKUP($T$1166,'TAR FIN'!$A$1:$O$99,15,0)),0,VLOOKUP($T$1166,'TAR FIN'!$A$1:$O$99,15,0))</f>
        <v>0</v>
      </c>
      <c r="X1166" s="70">
        <f>IF(ISERROR(VLOOKUP($U$1166,'TAR FIN'!$A$1:$O$99,15,0)),0,VLOOKUP($U$1166,'TAR FIN'!$A$1:$O$99,15,0))</f>
        <v>0</v>
      </c>
      <c r="Y1166" s="70">
        <f ca="1">('TUSD BE'!$AM$21+'TUSD BF'!$AM$21+'TUSD CVA'!$AM$21)*1*(1-0.02)</f>
        <v>24.176010844852033</v>
      </c>
      <c r="Z1166" s="70"/>
      <c r="AA1166" s="70"/>
      <c r="AB1166" s="4">
        <f>$K$1166*$V$1166</f>
        <v>50132.639999999999</v>
      </c>
      <c r="AC1166" s="4">
        <f>$M$1166*$W$1166</f>
        <v>0</v>
      </c>
      <c r="AD1166" s="4">
        <f>$O$1166*$X$1166</f>
        <v>0</v>
      </c>
      <c r="AE1166" s="4">
        <f ca="1">$K$1166*$Y$1166</f>
        <v>57780.665919196363</v>
      </c>
      <c r="AF1166" s="4">
        <f>$M$1166*$Z$1166</f>
        <v>0</v>
      </c>
      <c r="AG1166" s="4">
        <f>$O$1166*$AA$1166</f>
        <v>0</v>
      </c>
    </row>
    <row r="1167" spans="1:33" ht="11.25" customHeight="1" x14ac:dyDescent="0.25">
      <c r="A1167" s="3" t="s">
        <v>21</v>
      </c>
      <c r="B1167" s="3" t="s">
        <v>33</v>
      </c>
      <c r="C1167" s="3" t="s">
        <v>34</v>
      </c>
      <c r="D1167" s="3" t="s">
        <v>45</v>
      </c>
      <c r="E1167" s="3" t="s">
        <v>53</v>
      </c>
      <c r="F1167" s="3" t="s">
        <v>25</v>
      </c>
      <c r="G1167" s="3" t="s">
        <v>25</v>
      </c>
      <c r="H1167" s="3" t="s">
        <v>25</v>
      </c>
      <c r="I1167" s="6">
        <v>44562</v>
      </c>
      <c r="J1167" s="4">
        <v>23879</v>
      </c>
      <c r="K1167" s="70">
        <v>23879</v>
      </c>
      <c r="L1167" s="4">
        <v>0</v>
      </c>
      <c r="M1167" s="70">
        <v>0</v>
      </c>
      <c r="N1167" s="4">
        <v>0</v>
      </c>
      <c r="O1167" s="70">
        <v>0</v>
      </c>
      <c r="P1167" s="4">
        <v>217</v>
      </c>
      <c r="Q1167" s="3" t="s">
        <v>26</v>
      </c>
      <c r="R1167" s="3">
        <v>0</v>
      </c>
      <c r="S1167" s="4">
        <v>7</v>
      </c>
      <c r="T1167" s="4">
        <v>0</v>
      </c>
      <c r="U1167" s="4">
        <v>0</v>
      </c>
      <c r="V1167" s="70">
        <f>IF(ISERROR(VLOOKUP($S$1167,'TAR FIN'!$A$1:$O$99,15,0)),0,VLOOKUP($S$1167,'TAR FIN'!$A$1:$O$99,15,0))*(1-0.04)</f>
        <v>20.975999999999999</v>
      </c>
      <c r="W1167" s="70">
        <f>IF(ISERROR(VLOOKUP($T$1167,'TAR FIN'!$A$1:$O$99,15,0)),0,VLOOKUP($T$1167,'TAR FIN'!$A$1:$O$99,15,0))</f>
        <v>0</v>
      </c>
      <c r="X1167" s="70">
        <f>IF(ISERROR(VLOOKUP($U$1167,'TAR FIN'!$A$1:$O$99,15,0)),0,VLOOKUP($U$1167,'TAR FIN'!$A$1:$O$99,15,0))</f>
        <v>0</v>
      </c>
      <c r="Y1167" s="70">
        <f ca="1">('TUSD BE'!$AM$21+'TUSD BF'!$AM$21+'TUSD CVA'!$AM$21)*1*(1-0.02)</f>
        <v>24.176010844852033</v>
      </c>
      <c r="Z1167" s="70"/>
      <c r="AA1167" s="70"/>
      <c r="AB1167" s="4">
        <f>$K$1167*$V$1167</f>
        <v>500885.90399999998</v>
      </c>
      <c r="AC1167" s="4">
        <f>$M$1167*$W$1167</f>
        <v>0</v>
      </c>
      <c r="AD1167" s="4">
        <f>$O$1167*$X$1167</f>
        <v>0</v>
      </c>
      <c r="AE1167" s="4">
        <f ca="1">$K$1167*$Y$1167</f>
        <v>577298.96296422172</v>
      </c>
      <c r="AF1167" s="4">
        <f>$M$1167*$Z$1167</f>
        <v>0</v>
      </c>
      <c r="AG1167" s="4">
        <f>$O$1167*$AA$1167</f>
        <v>0</v>
      </c>
    </row>
    <row r="1168" spans="1:33" ht="11.25" customHeight="1" x14ac:dyDescent="0.25">
      <c r="A1168" s="3" t="s">
        <v>27</v>
      </c>
      <c r="B1168" s="3" t="s">
        <v>33</v>
      </c>
      <c r="C1168" s="3" t="s">
        <v>34</v>
      </c>
      <c r="D1168" s="3" t="s">
        <v>45</v>
      </c>
      <c r="E1168" s="3" t="s">
        <v>53</v>
      </c>
      <c r="F1168" s="3" t="s">
        <v>25</v>
      </c>
      <c r="G1168" s="3" t="s">
        <v>25</v>
      </c>
      <c r="H1168" s="3" t="s">
        <v>25</v>
      </c>
      <c r="I1168" s="6">
        <v>44562</v>
      </c>
      <c r="J1168" s="4">
        <v>-37</v>
      </c>
      <c r="K1168" s="70">
        <v>-37</v>
      </c>
      <c r="L1168" s="4">
        <v>0</v>
      </c>
      <c r="M1168" s="70">
        <v>0</v>
      </c>
      <c r="N1168" s="4">
        <v>0</v>
      </c>
      <c r="O1168" s="70">
        <v>0</v>
      </c>
      <c r="P1168" s="4">
        <v>-1</v>
      </c>
      <c r="Q1168" s="3" t="s">
        <v>26</v>
      </c>
      <c r="R1168" s="3">
        <v>0</v>
      </c>
      <c r="S1168" s="4">
        <v>7</v>
      </c>
      <c r="T1168" s="4">
        <v>0</v>
      </c>
      <c r="U1168" s="4">
        <v>0</v>
      </c>
      <c r="V1168" s="70">
        <f>IF(ISERROR(VLOOKUP($S$1168,'TAR FIN'!$A$1:$O$99,15,0)),0,VLOOKUP($S$1168,'TAR FIN'!$A$1:$O$99,15,0))*(1-0.04)</f>
        <v>20.975999999999999</v>
      </c>
      <c r="W1168" s="70">
        <f>IF(ISERROR(VLOOKUP($T$1168,'TAR FIN'!$A$1:$O$99,15,0)),0,VLOOKUP($T$1168,'TAR FIN'!$A$1:$O$99,15,0))</f>
        <v>0</v>
      </c>
      <c r="X1168" s="70">
        <f>IF(ISERROR(VLOOKUP($U$1168,'TAR FIN'!$A$1:$O$99,15,0)),0,VLOOKUP($U$1168,'TAR FIN'!$A$1:$O$99,15,0))</f>
        <v>0</v>
      </c>
      <c r="Y1168" s="70">
        <f ca="1">('TUSD BE'!$AM$21+'TUSD BF'!$AM$21+'TUSD CVA'!$AM$21)*1*(1-0.02)</f>
        <v>24.176010844852033</v>
      </c>
      <c r="Z1168" s="70"/>
      <c r="AA1168" s="70"/>
      <c r="AB1168" s="4">
        <f>$K$1168*$V$1168</f>
        <v>-776.11199999999997</v>
      </c>
      <c r="AC1168" s="4">
        <f>$M$1168*$W$1168</f>
        <v>0</v>
      </c>
      <c r="AD1168" s="4">
        <f>$O$1168*$X$1168</f>
        <v>0</v>
      </c>
      <c r="AE1168" s="4">
        <f ca="1">$K$1168*$Y$1168</f>
        <v>-894.51240125952529</v>
      </c>
      <c r="AF1168" s="4">
        <f>$M$1168*$Z$1168</f>
        <v>0</v>
      </c>
      <c r="AG1168" s="4">
        <f>$O$1168*$AA$1168</f>
        <v>0</v>
      </c>
    </row>
    <row r="1169" spans="1:33" ht="11.25" customHeight="1" x14ac:dyDescent="0.25">
      <c r="A1169" s="3" t="s">
        <v>28</v>
      </c>
      <c r="B1169" s="3" t="s">
        <v>33</v>
      </c>
      <c r="C1169" s="3" t="s">
        <v>34</v>
      </c>
      <c r="D1169" s="3" t="s">
        <v>45</v>
      </c>
      <c r="E1169" s="3" t="s">
        <v>53</v>
      </c>
      <c r="F1169" s="3" t="s">
        <v>25</v>
      </c>
      <c r="G1169" s="3" t="s">
        <v>25</v>
      </c>
      <c r="H1169" s="3" t="s">
        <v>25</v>
      </c>
      <c r="I1169" s="6">
        <v>44562</v>
      </c>
      <c r="J1169" s="4">
        <v>2399</v>
      </c>
      <c r="K1169" s="70">
        <v>2399</v>
      </c>
      <c r="L1169" s="4">
        <v>0</v>
      </c>
      <c r="M1169" s="70">
        <v>0</v>
      </c>
      <c r="N1169" s="4">
        <v>0</v>
      </c>
      <c r="O1169" s="70">
        <v>0</v>
      </c>
      <c r="P1169" s="4">
        <v>16</v>
      </c>
      <c r="Q1169" s="3" t="s">
        <v>26</v>
      </c>
      <c r="R1169" s="3">
        <v>0</v>
      </c>
      <c r="S1169" s="4">
        <v>7</v>
      </c>
      <c r="T1169" s="4">
        <v>0</v>
      </c>
      <c r="U1169" s="4">
        <v>0</v>
      </c>
      <c r="V1169" s="70">
        <f>IF(ISERROR(VLOOKUP($S$1169,'TAR FIN'!$A$1:$O$99,15,0)),0,VLOOKUP($S$1169,'TAR FIN'!$A$1:$O$99,15,0))*(1-0.04)</f>
        <v>20.975999999999999</v>
      </c>
      <c r="W1169" s="70">
        <f>IF(ISERROR(VLOOKUP($T$1169,'TAR FIN'!$A$1:$O$99,15,0)),0,VLOOKUP($T$1169,'TAR FIN'!$A$1:$O$99,15,0))</f>
        <v>0</v>
      </c>
      <c r="X1169" s="70">
        <f>IF(ISERROR(VLOOKUP($U$1169,'TAR FIN'!$A$1:$O$99,15,0)),0,VLOOKUP($U$1169,'TAR FIN'!$A$1:$O$99,15,0))</f>
        <v>0</v>
      </c>
      <c r="Y1169" s="70">
        <f ca="1">('TUSD BE'!$AM$21+'TUSD BF'!$AM$21+'TUSD CVA'!$AM$21)*1*(1-0.02)</f>
        <v>24.176010844852033</v>
      </c>
      <c r="Z1169" s="70"/>
      <c r="AA1169" s="70"/>
      <c r="AB1169" s="4">
        <f>$K$1169*$V$1169</f>
        <v>50321.423999999999</v>
      </c>
      <c r="AC1169" s="4">
        <f>$M$1169*$W$1169</f>
        <v>0</v>
      </c>
      <c r="AD1169" s="4">
        <f>$O$1169*$X$1169</f>
        <v>0</v>
      </c>
      <c r="AE1169" s="4">
        <f ca="1">$K$1169*$Y$1169</f>
        <v>57998.250016800026</v>
      </c>
      <c r="AF1169" s="4">
        <f>$M$1169*$Z$1169</f>
        <v>0</v>
      </c>
      <c r="AG1169" s="4">
        <f>$O$1169*$AA$1169</f>
        <v>0</v>
      </c>
    </row>
    <row r="1170" spans="1:33" ht="11.25" customHeight="1" x14ac:dyDescent="0.25">
      <c r="A1170" s="3" t="s">
        <v>21</v>
      </c>
      <c r="B1170" s="3" t="s">
        <v>33</v>
      </c>
      <c r="C1170" s="3" t="s">
        <v>34</v>
      </c>
      <c r="D1170" s="3" t="s">
        <v>45</v>
      </c>
      <c r="E1170" s="3" t="s">
        <v>53</v>
      </c>
      <c r="F1170" s="3" t="s">
        <v>25</v>
      </c>
      <c r="G1170" s="3" t="s">
        <v>25</v>
      </c>
      <c r="H1170" s="3" t="s">
        <v>25</v>
      </c>
      <c r="I1170" s="6">
        <v>44593</v>
      </c>
      <c r="J1170" s="4">
        <v>25852</v>
      </c>
      <c r="K1170" s="70">
        <v>25852</v>
      </c>
      <c r="L1170" s="4">
        <v>0</v>
      </c>
      <c r="M1170" s="70">
        <v>0</v>
      </c>
      <c r="N1170" s="4">
        <v>0</v>
      </c>
      <c r="O1170" s="70">
        <v>0</v>
      </c>
      <c r="P1170" s="4">
        <v>221</v>
      </c>
      <c r="Q1170" s="3" t="s">
        <v>26</v>
      </c>
      <c r="R1170" s="3">
        <v>0</v>
      </c>
      <c r="S1170" s="4">
        <v>7</v>
      </c>
      <c r="T1170" s="4">
        <v>0</v>
      </c>
      <c r="U1170" s="4">
        <v>0</v>
      </c>
      <c r="V1170" s="70">
        <f>IF(ISERROR(VLOOKUP($S$1170,'TAR FIN'!$A$1:$O$99,15,0)),0,VLOOKUP($S$1170,'TAR FIN'!$A$1:$O$99,15,0))*(1-0.04)</f>
        <v>20.975999999999999</v>
      </c>
      <c r="W1170" s="70">
        <f>IF(ISERROR(VLOOKUP($T$1170,'TAR FIN'!$A$1:$O$99,15,0)),0,VLOOKUP($T$1170,'TAR FIN'!$A$1:$O$99,15,0))</f>
        <v>0</v>
      </c>
      <c r="X1170" s="70">
        <f>IF(ISERROR(VLOOKUP($U$1170,'TAR FIN'!$A$1:$O$99,15,0)),0,VLOOKUP($U$1170,'TAR FIN'!$A$1:$O$99,15,0))</f>
        <v>0</v>
      </c>
      <c r="Y1170" s="70">
        <f ca="1">('TUSD BE'!$AM$21+'TUSD BF'!$AM$21+'TUSD CVA'!$AM$21)*1*(1-0.02)</f>
        <v>24.176010844852033</v>
      </c>
      <c r="Z1170" s="70"/>
      <c r="AA1170" s="70"/>
      <c r="AB1170" s="4">
        <f>$K$1170*$V$1170</f>
        <v>542271.55200000003</v>
      </c>
      <c r="AC1170" s="4">
        <f>$M$1170*$W$1170</f>
        <v>0</v>
      </c>
      <c r="AD1170" s="4">
        <f>$O$1170*$X$1170</f>
        <v>0</v>
      </c>
      <c r="AE1170" s="4">
        <f ca="1">$K$1170*$Y$1170</f>
        <v>624998.23236111482</v>
      </c>
      <c r="AF1170" s="4">
        <f>$M$1170*$Z$1170</f>
        <v>0</v>
      </c>
      <c r="AG1170" s="4">
        <f>$O$1170*$AA$1170</f>
        <v>0</v>
      </c>
    </row>
    <row r="1171" spans="1:33" ht="11.25" customHeight="1" x14ac:dyDescent="0.25">
      <c r="A1171" s="3" t="s">
        <v>28</v>
      </c>
      <c r="B1171" s="3" t="s">
        <v>33</v>
      </c>
      <c r="C1171" s="3" t="s">
        <v>34</v>
      </c>
      <c r="D1171" s="3" t="s">
        <v>45</v>
      </c>
      <c r="E1171" s="3" t="s">
        <v>53</v>
      </c>
      <c r="F1171" s="3" t="s">
        <v>25</v>
      </c>
      <c r="G1171" s="3" t="s">
        <v>25</v>
      </c>
      <c r="H1171" s="3" t="s">
        <v>25</v>
      </c>
      <c r="I1171" s="6">
        <v>44593</v>
      </c>
      <c r="J1171" s="4">
        <v>2388</v>
      </c>
      <c r="K1171" s="70">
        <v>2388</v>
      </c>
      <c r="L1171" s="4">
        <v>0</v>
      </c>
      <c r="M1171" s="70">
        <v>0</v>
      </c>
      <c r="N1171" s="4">
        <v>0</v>
      </c>
      <c r="O1171" s="70">
        <v>0</v>
      </c>
      <c r="P1171" s="4">
        <v>16</v>
      </c>
      <c r="Q1171" s="3" t="s">
        <v>26</v>
      </c>
      <c r="R1171" s="3">
        <v>0</v>
      </c>
      <c r="S1171" s="4">
        <v>7</v>
      </c>
      <c r="T1171" s="4">
        <v>0</v>
      </c>
      <c r="U1171" s="4">
        <v>0</v>
      </c>
      <c r="V1171" s="70">
        <f>IF(ISERROR(VLOOKUP($S$1171,'TAR FIN'!$A$1:$O$99,15,0)),0,VLOOKUP($S$1171,'TAR FIN'!$A$1:$O$99,15,0))*(1-0.04)</f>
        <v>20.975999999999999</v>
      </c>
      <c r="W1171" s="70">
        <f>IF(ISERROR(VLOOKUP($T$1171,'TAR FIN'!$A$1:$O$99,15,0)),0,VLOOKUP($T$1171,'TAR FIN'!$A$1:$O$99,15,0))</f>
        <v>0</v>
      </c>
      <c r="X1171" s="70">
        <f>IF(ISERROR(VLOOKUP($U$1171,'TAR FIN'!$A$1:$O$99,15,0)),0,VLOOKUP($U$1171,'TAR FIN'!$A$1:$O$99,15,0))</f>
        <v>0</v>
      </c>
      <c r="Y1171" s="70">
        <f ca="1">('TUSD BE'!$AM$21+'TUSD BF'!$AM$21+'TUSD CVA'!$AM$21)*1*(1-0.02)</f>
        <v>24.176010844852033</v>
      </c>
      <c r="Z1171" s="70"/>
      <c r="AA1171" s="70"/>
      <c r="AB1171" s="4">
        <f>$K$1171*$V$1171</f>
        <v>50090.687999999995</v>
      </c>
      <c r="AC1171" s="4">
        <f>$M$1171*$W$1171</f>
        <v>0</v>
      </c>
      <c r="AD1171" s="4">
        <f>$O$1171*$X$1171</f>
        <v>0</v>
      </c>
      <c r="AE1171" s="4">
        <f ca="1">$K$1171*$Y$1171</f>
        <v>57732.313897506654</v>
      </c>
      <c r="AF1171" s="4">
        <f>$M$1171*$Z$1171</f>
        <v>0</v>
      </c>
      <c r="AG1171" s="4">
        <f>$O$1171*$AA$1171</f>
        <v>0</v>
      </c>
    </row>
    <row r="1172" spans="1:33" ht="11.25" customHeight="1" x14ac:dyDescent="0.25">
      <c r="A1172" s="3" t="s">
        <v>21</v>
      </c>
      <c r="B1172" s="3" t="s">
        <v>33</v>
      </c>
      <c r="C1172" s="3" t="s">
        <v>34</v>
      </c>
      <c r="D1172" s="3" t="s">
        <v>45</v>
      </c>
      <c r="E1172" s="3" t="s">
        <v>53</v>
      </c>
      <c r="F1172" s="3" t="s">
        <v>25</v>
      </c>
      <c r="G1172" s="3" t="s">
        <v>25</v>
      </c>
      <c r="H1172" s="3" t="s">
        <v>25</v>
      </c>
      <c r="I1172" s="6">
        <v>44621</v>
      </c>
      <c r="J1172" s="4">
        <v>26284</v>
      </c>
      <c r="K1172" s="70">
        <v>26284</v>
      </c>
      <c r="L1172" s="4">
        <v>0</v>
      </c>
      <c r="M1172" s="70">
        <v>0</v>
      </c>
      <c r="N1172" s="4">
        <v>0</v>
      </c>
      <c r="O1172" s="70">
        <v>0</v>
      </c>
      <c r="P1172" s="4">
        <v>216</v>
      </c>
      <c r="Q1172" s="3" t="s">
        <v>26</v>
      </c>
      <c r="R1172" s="3">
        <v>0</v>
      </c>
      <c r="S1172" s="4">
        <v>7</v>
      </c>
      <c r="T1172" s="4">
        <v>0</v>
      </c>
      <c r="U1172" s="4">
        <v>0</v>
      </c>
      <c r="V1172" s="70">
        <f>IF(ISERROR(VLOOKUP($S$1172,'TAR FIN'!$A$1:$O$99,15,0)),0,VLOOKUP($S$1172,'TAR FIN'!$A$1:$O$99,15,0))*(1-0.04)</f>
        <v>20.975999999999999</v>
      </c>
      <c r="W1172" s="70">
        <f>IF(ISERROR(VLOOKUP($T$1172,'TAR FIN'!$A$1:$O$99,15,0)),0,VLOOKUP($T$1172,'TAR FIN'!$A$1:$O$99,15,0))</f>
        <v>0</v>
      </c>
      <c r="X1172" s="70">
        <f>IF(ISERROR(VLOOKUP($U$1172,'TAR FIN'!$A$1:$O$99,15,0)),0,VLOOKUP($U$1172,'TAR FIN'!$A$1:$O$99,15,0))</f>
        <v>0</v>
      </c>
      <c r="Y1172" s="70">
        <f ca="1">('TUSD BE'!$AM$21+'TUSD BF'!$AM$21+'TUSD CVA'!$AM$21)*1*(1-0.02)</f>
        <v>24.176010844852033</v>
      </c>
      <c r="Z1172" s="70"/>
      <c r="AA1172" s="70"/>
      <c r="AB1172" s="4">
        <f>$K$1172*$V$1172</f>
        <v>551333.18400000001</v>
      </c>
      <c r="AC1172" s="4">
        <f>$M$1172*$W$1172</f>
        <v>0</v>
      </c>
      <c r="AD1172" s="4">
        <f>$O$1172*$X$1172</f>
        <v>0</v>
      </c>
      <c r="AE1172" s="4">
        <f ca="1">$K$1172*$Y$1172</f>
        <v>635442.26904609089</v>
      </c>
      <c r="AF1172" s="4">
        <f>$M$1172*$Z$1172</f>
        <v>0</v>
      </c>
      <c r="AG1172" s="4">
        <f>$O$1172*$AA$1172</f>
        <v>0</v>
      </c>
    </row>
    <row r="1173" spans="1:33" ht="11.25" customHeight="1" x14ac:dyDescent="0.25">
      <c r="A1173" s="3" t="s">
        <v>28</v>
      </c>
      <c r="B1173" s="3" t="s">
        <v>33</v>
      </c>
      <c r="C1173" s="3" t="s">
        <v>34</v>
      </c>
      <c r="D1173" s="3" t="s">
        <v>45</v>
      </c>
      <c r="E1173" s="3" t="s">
        <v>53</v>
      </c>
      <c r="F1173" s="3" t="s">
        <v>25</v>
      </c>
      <c r="G1173" s="3" t="s">
        <v>25</v>
      </c>
      <c r="H1173" s="3" t="s">
        <v>25</v>
      </c>
      <c r="I1173" s="6">
        <v>44621</v>
      </c>
      <c r="J1173" s="4">
        <v>2222</v>
      </c>
      <c r="K1173" s="70">
        <v>2222</v>
      </c>
      <c r="L1173" s="4">
        <v>0</v>
      </c>
      <c r="M1173" s="70">
        <v>0</v>
      </c>
      <c r="N1173" s="4">
        <v>0</v>
      </c>
      <c r="O1173" s="70">
        <v>0</v>
      </c>
      <c r="P1173" s="4">
        <v>16</v>
      </c>
      <c r="Q1173" s="3" t="s">
        <v>26</v>
      </c>
      <c r="R1173" s="3">
        <v>0</v>
      </c>
      <c r="S1173" s="4">
        <v>7</v>
      </c>
      <c r="T1173" s="4">
        <v>0</v>
      </c>
      <c r="U1173" s="4">
        <v>0</v>
      </c>
      <c r="V1173" s="70">
        <f>IF(ISERROR(VLOOKUP($S$1173,'TAR FIN'!$A$1:$O$99,15,0)),0,VLOOKUP($S$1173,'TAR FIN'!$A$1:$O$99,15,0))*(1-0.04)</f>
        <v>20.975999999999999</v>
      </c>
      <c r="W1173" s="70">
        <f>IF(ISERROR(VLOOKUP($T$1173,'TAR FIN'!$A$1:$O$99,15,0)),0,VLOOKUP($T$1173,'TAR FIN'!$A$1:$O$99,15,0))</f>
        <v>0</v>
      </c>
      <c r="X1173" s="70">
        <f>IF(ISERROR(VLOOKUP($U$1173,'TAR FIN'!$A$1:$O$99,15,0)),0,VLOOKUP($U$1173,'TAR FIN'!$A$1:$O$99,15,0))</f>
        <v>0</v>
      </c>
      <c r="Y1173" s="70">
        <f ca="1">('TUSD BE'!$AM$21+'TUSD BF'!$AM$21+'TUSD CVA'!$AM$21)*1*(1-0.02)</f>
        <v>24.176010844852033</v>
      </c>
      <c r="Z1173" s="70"/>
      <c r="AA1173" s="70"/>
      <c r="AB1173" s="4">
        <f>$K$1173*$V$1173</f>
        <v>46608.671999999999</v>
      </c>
      <c r="AC1173" s="4">
        <f>$M$1173*$W$1173</f>
        <v>0</v>
      </c>
      <c r="AD1173" s="4">
        <f>$O$1173*$X$1173</f>
        <v>0</v>
      </c>
      <c r="AE1173" s="4">
        <f ca="1">$K$1173*$Y$1173</f>
        <v>53719.096097261216</v>
      </c>
      <c r="AF1173" s="4">
        <f>$M$1173*$Z$1173</f>
        <v>0</v>
      </c>
      <c r="AG1173" s="4">
        <f>$O$1173*$AA$1173</f>
        <v>0</v>
      </c>
    </row>
    <row r="1174" spans="1:33" ht="11.25" customHeight="1" x14ac:dyDescent="0.25">
      <c r="A1174" s="3" t="s">
        <v>56</v>
      </c>
      <c r="B1174" s="3" t="s">
        <v>33</v>
      </c>
      <c r="C1174" s="3" t="s">
        <v>34</v>
      </c>
      <c r="D1174" s="3" t="s">
        <v>45</v>
      </c>
      <c r="E1174" s="3" t="s">
        <v>53</v>
      </c>
      <c r="F1174" s="3" t="s">
        <v>25</v>
      </c>
      <c r="G1174" s="3" t="s">
        <v>25</v>
      </c>
      <c r="H1174" s="3" t="s">
        <v>25</v>
      </c>
      <c r="I1174" s="6">
        <v>44652</v>
      </c>
      <c r="J1174" s="4">
        <v>26284</v>
      </c>
      <c r="K1174" s="70">
        <v>26284</v>
      </c>
      <c r="L1174" s="4">
        <v>0</v>
      </c>
      <c r="M1174" s="70">
        <v>0</v>
      </c>
      <c r="N1174" s="4">
        <v>0</v>
      </c>
      <c r="O1174" s="70">
        <v>0</v>
      </c>
      <c r="P1174" s="4">
        <v>216</v>
      </c>
      <c r="Q1174" s="3" t="s">
        <v>26</v>
      </c>
      <c r="R1174" s="3">
        <v>0</v>
      </c>
      <c r="S1174" s="4">
        <v>7</v>
      </c>
      <c r="T1174" s="4">
        <v>0</v>
      </c>
      <c r="U1174" s="4">
        <v>0</v>
      </c>
      <c r="V1174" s="70">
        <f>IF(ISERROR(VLOOKUP($S$1174,'TAR FIN'!$A$1:$O$99,15,0)),0,VLOOKUP($S$1174,'TAR FIN'!$A$1:$O$99,15,0))*(1-0.04)</f>
        <v>20.975999999999999</v>
      </c>
      <c r="W1174" s="70">
        <f>IF(ISERROR(VLOOKUP($T$1174,'TAR FIN'!$A$1:$O$99,15,0)),0,VLOOKUP($T$1174,'TAR FIN'!$A$1:$O$99,15,0))</f>
        <v>0</v>
      </c>
      <c r="X1174" s="70">
        <f>IF(ISERROR(VLOOKUP($U$1174,'TAR FIN'!$A$1:$O$99,15,0)),0,VLOOKUP($U$1174,'TAR FIN'!$A$1:$O$99,15,0))</f>
        <v>0</v>
      </c>
      <c r="Y1174" s="70">
        <f ca="1">('TUSD BE'!$AM$21+'TUSD BF'!$AM$21+'TUSD CVA'!$AM$21)*1*(1-0.02)</f>
        <v>24.176010844852033</v>
      </c>
      <c r="Z1174" s="70"/>
      <c r="AA1174" s="70"/>
      <c r="AB1174" s="4">
        <f>$K$1174*$V$1174</f>
        <v>551333.18400000001</v>
      </c>
      <c r="AC1174" s="4">
        <f>$M$1174*$W$1174</f>
        <v>0</v>
      </c>
      <c r="AD1174" s="4">
        <f>$O$1174*$X$1174</f>
        <v>0</v>
      </c>
      <c r="AE1174" s="4">
        <f ca="1">$K$1174*$Y$1174</f>
        <v>635442.26904609089</v>
      </c>
      <c r="AF1174" s="4">
        <f>$M$1174*$Z$1174</f>
        <v>0</v>
      </c>
      <c r="AG1174" s="4">
        <f>$O$1174*$AA$1174</f>
        <v>0</v>
      </c>
    </row>
    <row r="1175" spans="1:33" ht="11.25" customHeight="1" x14ac:dyDescent="0.25">
      <c r="A1175" s="3" t="s">
        <v>56</v>
      </c>
      <c r="B1175" s="3" t="s">
        <v>33</v>
      </c>
      <c r="C1175" s="3" t="s">
        <v>34</v>
      </c>
      <c r="D1175" s="3" t="s">
        <v>45</v>
      </c>
      <c r="E1175" s="3" t="s">
        <v>53</v>
      </c>
      <c r="F1175" s="3" t="s">
        <v>25</v>
      </c>
      <c r="G1175" s="3" t="s">
        <v>25</v>
      </c>
      <c r="H1175" s="3" t="s">
        <v>25</v>
      </c>
      <c r="I1175" s="6">
        <v>44652</v>
      </c>
      <c r="J1175" s="4">
        <v>2222</v>
      </c>
      <c r="K1175" s="70">
        <v>2222</v>
      </c>
      <c r="L1175" s="4">
        <v>0</v>
      </c>
      <c r="M1175" s="70">
        <v>0</v>
      </c>
      <c r="N1175" s="4">
        <v>0</v>
      </c>
      <c r="O1175" s="70">
        <v>0</v>
      </c>
      <c r="P1175" s="4">
        <v>16</v>
      </c>
      <c r="Q1175" s="3" t="s">
        <v>26</v>
      </c>
      <c r="R1175" s="3">
        <v>0</v>
      </c>
      <c r="S1175" s="4">
        <v>7</v>
      </c>
      <c r="T1175" s="4">
        <v>0</v>
      </c>
      <c r="U1175" s="4">
        <v>0</v>
      </c>
      <c r="V1175" s="70">
        <f>IF(ISERROR(VLOOKUP($S$1175,'TAR FIN'!$A$1:$O$99,15,0)),0,VLOOKUP($S$1175,'TAR FIN'!$A$1:$O$99,15,0))*(1-0.04)</f>
        <v>20.975999999999999</v>
      </c>
      <c r="W1175" s="70">
        <f>IF(ISERROR(VLOOKUP($T$1175,'TAR FIN'!$A$1:$O$99,15,0)),0,VLOOKUP($T$1175,'TAR FIN'!$A$1:$O$99,15,0))</f>
        <v>0</v>
      </c>
      <c r="X1175" s="70">
        <f>IF(ISERROR(VLOOKUP($U$1175,'TAR FIN'!$A$1:$O$99,15,0)),0,VLOOKUP($U$1175,'TAR FIN'!$A$1:$O$99,15,0))</f>
        <v>0</v>
      </c>
      <c r="Y1175" s="70">
        <f ca="1">('TUSD BE'!$AM$21+'TUSD BF'!$AM$21+'TUSD CVA'!$AM$21)*1*(1-0.02)</f>
        <v>24.176010844852033</v>
      </c>
      <c r="Z1175" s="70"/>
      <c r="AA1175" s="70"/>
      <c r="AB1175" s="4">
        <f>$K$1175*$V$1175</f>
        <v>46608.671999999999</v>
      </c>
      <c r="AC1175" s="4">
        <f>$M$1175*$W$1175</f>
        <v>0</v>
      </c>
      <c r="AD1175" s="4">
        <f>$O$1175*$X$1175</f>
        <v>0</v>
      </c>
      <c r="AE1175" s="4">
        <f ca="1">$K$1175*$Y$1175</f>
        <v>53719.096097261216</v>
      </c>
      <c r="AF1175" s="4">
        <f>$M$1175*$Z$1175</f>
        <v>0</v>
      </c>
      <c r="AG1175" s="4">
        <f>$O$1175*$AA$1175</f>
        <v>0</v>
      </c>
    </row>
    <row r="1176" spans="1:33" ht="11.25" customHeight="1" x14ac:dyDescent="0.25">
      <c r="A1176" s="3" t="s">
        <v>21</v>
      </c>
      <c r="B1176" s="3" t="s">
        <v>33</v>
      </c>
      <c r="C1176" s="3" t="s">
        <v>34</v>
      </c>
      <c r="D1176" s="3" t="s">
        <v>45</v>
      </c>
      <c r="E1176" s="3" t="s">
        <v>53</v>
      </c>
      <c r="F1176" s="3" t="s">
        <v>25</v>
      </c>
      <c r="G1176" s="3" t="s">
        <v>25</v>
      </c>
      <c r="H1176" s="3" t="s">
        <v>35</v>
      </c>
      <c r="I1176" s="6">
        <v>44317</v>
      </c>
      <c r="J1176" s="4">
        <v>0</v>
      </c>
      <c r="K1176" s="70">
        <v>0</v>
      </c>
      <c r="L1176" s="4">
        <v>9.4350000000000005</v>
      </c>
      <c r="M1176" s="70">
        <v>9.4350000000000005</v>
      </c>
      <c r="N1176" s="4">
        <v>9.4350000000000005</v>
      </c>
      <c r="O1176" s="70">
        <v>9.4350000000000005</v>
      </c>
      <c r="P1176" s="4">
        <v>0</v>
      </c>
      <c r="Q1176" s="3" t="s">
        <v>26</v>
      </c>
      <c r="R1176" s="3">
        <v>0</v>
      </c>
      <c r="S1176" s="4">
        <v>0</v>
      </c>
      <c r="T1176" s="4">
        <v>8</v>
      </c>
      <c r="U1176" s="4">
        <v>72</v>
      </c>
      <c r="V1176" s="70">
        <f>IF(ISERROR(VLOOKUP($S$1176,'TAR FIN'!$A$1:$O$99,15,0)),0,VLOOKUP($S$1176,'TAR FIN'!$A$1:$O$99,15,0))</f>
        <v>0</v>
      </c>
      <c r="W1176" s="70">
        <f>IF(ISERROR(VLOOKUP($T$1176,'TAR FIN'!$A$1:$O$99,15,0)),0,VLOOKUP($T$1176,'TAR FIN'!$A$1:$O$99,15,0))*(1-0.04)</f>
        <v>1495.4304</v>
      </c>
      <c r="X1176" s="70">
        <f>IF(ISERROR(VLOOKUP($U$1176,'TAR FIN'!$A$1:$O$99,15,0)),0,VLOOKUP($U$1176,'TAR FIN'!$A$1:$O$99,15,0))*(1-0.04)</f>
        <v>332.74560000000002</v>
      </c>
      <c r="Y1176" s="70"/>
      <c r="Z1176" s="70">
        <f ca="1">('TUSD BE'!$AM$22+'TUSD BF'!$AM$22+'TUSD CVA'!$AM$22)*1*(1-0.02)</f>
        <v>1763.14935965871</v>
      </c>
      <c r="AA1176" s="70">
        <f>('TE BE'!$AA$7+'TE BF'!$AA$7+'TE CVA'!$AA$7)*1*(1-0.02)</f>
        <v>415.4185945530557</v>
      </c>
      <c r="AB1176" s="4">
        <f>$K$1176*$V$1176</f>
        <v>0</v>
      </c>
      <c r="AC1176" s="4">
        <f>$M$1176*$W$1176</f>
        <v>14109.385824000001</v>
      </c>
      <c r="AD1176" s="4">
        <f>$O$1176*$X$1176</f>
        <v>3139.4547360000006</v>
      </c>
      <c r="AE1176" s="4">
        <f>$K$1176*$Y$1176</f>
        <v>0</v>
      </c>
      <c r="AF1176" s="4">
        <f ca="1">$M$1176*$Z$1176</f>
        <v>16635.314208379928</v>
      </c>
      <c r="AG1176" s="4">
        <f>$O$1176*$AA$1176</f>
        <v>3919.4744396080805</v>
      </c>
    </row>
    <row r="1177" spans="1:33" ht="11.25" customHeight="1" x14ac:dyDescent="0.25">
      <c r="A1177" s="3" t="s">
        <v>21</v>
      </c>
      <c r="B1177" s="3" t="s">
        <v>33</v>
      </c>
      <c r="C1177" s="3" t="s">
        <v>34</v>
      </c>
      <c r="D1177" s="3" t="s">
        <v>45</v>
      </c>
      <c r="E1177" s="3" t="s">
        <v>53</v>
      </c>
      <c r="F1177" s="3" t="s">
        <v>25</v>
      </c>
      <c r="G1177" s="3" t="s">
        <v>25</v>
      </c>
      <c r="H1177" s="3" t="s">
        <v>35</v>
      </c>
      <c r="I1177" s="6">
        <v>44348</v>
      </c>
      <c r="J1177" s="4">
        <v>0</v>
      </c>
      <c r="K1177" s="70">
        <v>0</v>
      </c>
      <c r="L1177" s="4">
        <v>6.7779999999999996</v>
      </c>
      <c r="M1177" s="70">
        <v>6.7779999999999996</v>
      </c>
      <c r="N1177" s="4">
        <v>6.7779999999999996</v>
      </c>
      <c r="O1177" s="70">
        <v>6.7779999999999996</v>
      </c>
      <c r="P1177" s="4">
        <v>0</v>
      </c>
      <c r="Q1177" s="3" t="s">
        <v>26</v>
      </c>
      <c r="R1177" s="3">
        <v>0</v>
      </c>
      <c r="S1177" s="4">
        <v>0</v>
      </c>
      <c r="T1177" s="4">
        <v>8</v>
      </c>
      <c r="U1177" s="4">
        <v>72</v>
      </c>
      <c r="V1177" s="70">
        <f>IF(ISERROR(VLOOKUP($S$1177,'TAR FIN'!$A$1:$O$99,15,0)),0,VLOOKUP($S$1177,'TAR FIN'!$A$1:$O$99,15,0))</f>
        <v>0</v>
      </c>
      <c r="W1177" s="70">
        <f>IF(ISERROR(VLOOKUP($T$1177,'TAR FIN'!$A$1:$O$99,15,0)),0,VLOOKUP($T$1177,'TAR FIN'!$A$1:$O$99,15,0))*(1-0.04)</f>
        <v>1495.4304</v>
      </c>
      <c r="X1177" s="70">
        <f>IF(ISERROR(VLOOKUP($U$1177,'TAR FIN'!$A$1:$O$99,15,0)),0,VLOOKUP($U$1177,'TAR FIN'!$A$1:$O$99,15,0))*(1-0.04)</f>
        <v>332.74560000000002</v>
      </c>
      <c r="Y1177" s="70"/>
      <c r="Z1177" s="70">
        <f ca="1">('TUSD BE'!$AM$22+'TUSD BF'!$AM$22+'TUSD CVA'!$AM$22)*1*(1-0.02)</f>
        <v>1763.14935965871</v>
      </c>
      <c r="AA1177" s="70">
        <f>('TE BE'!$AA$7+'TE BF'!$AA$7+'TE CVA'!$AA$7)*1*(1-0.02)</f>
        <v>415.4185945530557</v>
      </c>
      <c r="AB1177" s="4">
        <f>$K$1177*$V$1177</f>
        <v>0</v>
      </c>
      <c r="AC1177" s="4">
        <f>$M$1177*$W$1177</f>
        <v>10136.027251199999</v>
      </c>
      <c r="AD1177" s="4">
        <f>$O$1177*$X$1177</f>
        <v>2255.3496768</v>
      </c>
      <c r="AE1177" s="4">
        <f>$K$1177*$Y$1177</f>
        <v>0</v>
      </c>
      <c r="AF1177" s="4">
        <f ca="1">$M$1177*$Z$1177</f>
        <v>11950.626359766735</v>
      </c>
      <c r="AG1177" s="4">
        <f>$O$1177*$AA$1177</f>
        <v>2815.7072338806115</v>
      </c>
    </row>
    <row r="1178" spans="1:33" ht="11.25" customHeight="1" x14ac:dyDescent="0.25">
      <c r="A1178" s="3" t="s">
        <v>27</v>
      </c>
      <c r="B1178" s="3" t="s">
        <v>33</v>
      </c>
      <c r="C1178" s="3" t="s">
        <v>34</v>
      </c>
      <c r="D1178" s="3" t="s">
        <v>45</v>
      </c>
      <c r="E1178" s="3" t="s">
        <v>53</v>
      </c>
      <c r="F1178" s="3" t="s">
        <v>25</v>
      </c>
      <c r="G1178" s="3" t="s">
        <v>25</v>
      </c>
      <c r="H1178" s="3" t="s">
        <v>35</v>
      </c>
      <c r="I1178" s="6">
        <v>44348</v>
      </c>
      <c r="J1178" s="4">
        <v>0</v>
      </c>
      <c r="K1178" s="70">
        <v>0</v>
      </c>
      <c r="L1178" s="4">
        <v>-2.3E-2</v>
      </c>
      <c r="M1178" s="70">
        <v>-2.3E-2</v>
      </c>
      <c r="N1178" s="4">
        <v>-2.3E-2</v>
      </c>
      <c r="O1178" s="70">
        <v>-2.3E-2</v>
      </c>
      <c r="P1178" s="4">
        <v>0</v>
      </c>
      <c r="Q1178" s="3" t="s">
        <v>26</v>
      </c>
      <c r="R1178" s="3">
        <v>0</v>
      </c>
      <c r="S1178" s="4">
        <v>0</v>
      </c>
      <c r="T1178" s="4">
        <v>8</v>
      </c>
      <c r="U1178" s="4">
        <v>72</v>
      </c>
      <c r="V1178" s="70">
        <f>IF(ISERROR(VLOOKUP($S$1178,'TAR FIN'!$A$1:$O$99,15,0)),0,VLOOKUP($S$1178,'TAR FIN'!$A$1:$O$99,15,0))</f>
        <v>0</v>
      </c>
      <c r="W1178" s="70">
        <f>IF(ISERROR(VLOOKUP($T$1178,'TAR FIN'!$A$1:$O$99,15,0)),0,VLOOKUP($T$1178,'TAR FIN'!$A$1:$O$99,15,0))*(1-0.04)</f>
        <v>1495.4304</v>
      </c>
      <c r="X1178" s="70">
        <f>IF(ISERROR(VLOOKUP($U$1178,'TAR FIN'!$A$1:$O$99,15,0)),0,VLOOKUP($U$1178,'TAR FIN'!$A$1:$O$99,15,0))*(1-0.04)</f>
        <v>332.74560000000002</v>
      </c>
      <c r="Y1178" s="70"/>
      <c r="Z1178" s="70">
        <f ca="1">('TUSD BE'!$AM$22+'TUSD BF'!$AM$22+'TUSD CVA'!$AM$22)*1*(1-0.02)</f>
        <v>1763.14935965871</v>
      </c>
      <c r="AA1178" s="70">
        <f>('TE BE'!$AA$7+'TE BF'!$AA$7+'TE CVA'!$AA$7)*1*(1-0.02)</f>
        <v>415.4185945530557</v>
      </c>
      <c r="AB1178" s="4">
        <f>$K$1178*$V$1178</f>
        <v>0</v>
      </c>
      <c r="AC1178" s="4">
        <f>$M$1178*$W$1178</f>
        <v>-34.394899199999998</v>
      </c>
      <c r="AD1178" s="4">
        <f>$O$1178*$X$1178</f>
        <v>-7.6531488000000003</v>
      </c>
      <c r="AE1178" s="4">
        <f>$K$1178*$Y$1178</f>
        <v>0</v>
      </c>
      <c r="AF1178" s="4">
        <f ca="1">$M$1178*$Z$1178</f>
        <v>-40.552435272150326</v>
      </c>
      <c r="AG1178" s="4">
        <f>$O$1178*$AA$1178</f>
        <v>-9.5546276747202814</v>
      </c>
    </row>
    <row r="1179" spans="1:33" ht="11.25" customHeight="1" x14ac:dyDescent="0.25">
      <c r="A1179" s="3" t="s">
        <v>21</v>
      </c>
      <c r="B1179" s="3" t="s">
        <v>33</v>
      </c>
      <c r="C1179" s="3" t="s">
        <v>34</v>
      </c>
      <c r="D1179" s="3" t="s">
        <v>45</v>
      </c>
      <c r="E1179" s="3" t="s">
        <v>53</v>
      </c>
      <c r="F1179" s="3" t="s">
        <v>25</v>
      </c>
      <c r="G1179" s="3" t="s">
        <v>25</v>
      </c>
      <c r="H1179" s="3" t="s">
        <v>35</v>
      </c>
      <c r="I1179" s="6">
        <v>44378</v>
      </c>
      <c r="J1179" s="4">
        <v>0</v>
      </c>
      <c r="K1179" s="70">
        <v>0</v>
      </c>
      <c r="L1179" s="4">
        <v>8.4969999999999999</v>
      </c>
      <c r="M1179" s="70">
        <v>8.4969999999999999</v>
      </c>
      <c r="N1179" s="4">
        <v>8.4969999999999999</v>
      </c>
      <c r="O1179" s="70">
        <v>8.4969999999999999</v>
      </c>
      <c r="P1179" s="4">
        <v>0</v>
      </c>
      <c r="Q1179" s="3" t="s">
        <v>26</v>
      </c>
      <c r="R1179" s="3">
        <v>0</v>
      </c>
      <c r="S1179" s="4">
        <v>0</v>
      </c>
      <c r="T1179" s="4">
        <v>8</v>
      </c>
      <c r="U1179" s="4">
        <v>72</v>
      </c>
      <c r="V1179" s="70">
        <f>IF(ISERROR(VLOOKUP($S$1179,'TAR FIN'!$A$1:$O$99,15,0)),0,VLOOKUP($S$1179,'TAR FIN'!$A$1:$O$99,15,0))</f>
        <v>0</v>
      </c>
      <c r="W1179" s="70">
        <f>IF(ISERROR(VLOOKUP($T$1179,'TAR FIN'!$A$1:$O$99,15,0)),0,VLOOKUP($T$1179,'TAR FIN'!$A$1:$O$99,15,0))*(1-0.04)</f>
        <v>1495.4304</v>
      </c>
      <c r="X1179" s="70">
        <f>IF(ISERROR(VLOOKUP($U$1179,'TAR FIN'!$A$1:$O$99,15,0)),0,VLOOKUP($U$1179,'TAR FIN'!$A$1:$O$99,15,0))*(1-0.04)</f>
        <v>332.74560000000002</v>
      </c>
      <c r="Y1179" s="70"/>
      <c r="Z1179" s="70">
        <f ca="1">('TUSD BE'!$AM$22+'TUSD BF'!$AM$22+'TUSD CVA'!$AM$22)*1*(1-0.02)</f>
        <v>1763.14935965871</v>
      </c>
      <c r="AA1179" s="70">
        <f>('TE BE'!$AA$7+'TE BF'!$AA$7+'TE CVA'!$AA$7)*1*(1-0.02)</f>
        <v>415.4185945530557</v>
      </c>
      <c r="AB1179" s="4">
        <f>$K$1179*$V$1179</f>
        <v>0</v>
      </c>
      <c r="AC1179" s="4">
        <f>$M$1179*$W$1179</f>
        <v>12706.672108799999</v>
      </c>
      <c r="AD1179" s="4">
        <f>$O$1179*$X$1179</f>
        <v>2827.3393632000002</v>
      </c>
      <c r="AE1179" s="4">
        <f>$K$1179*$Y$1179</f>
        <v>0</v>
      </c>
      <c r="AF1179" s="4">
        <f ca="1">$M$1179*$Z$1179</f>
        <v>14981.480109020058</v>
      </c>
      <c r="AG1179" s="4">
        <f>$O$1179*$AA$1179</f>
        <v>3529.8117979173144</v>
      </c>
    </row>
    <row r="1180" spans="1:33" ht="11.25" customHeight="1" x14ac:dyDescent="0.25">
      <c r="A1180" s="3" t="s">
        <v>27</v>
      </c>
      <c r="B1180" s="3" t="s">
        <v>33</v>
      </c>
      <c r="C1180" s="3" t="s">
        <v>34</v>
      </c>
      <c r="D1180" s="3" t="s">
        <v>45</v>
      </c>
      <c r="E1180" s="3" t="s">
        <v>53</v>
      </c>
      <c r="F1180" s="3" t="s">
        <v>25</v>
      </c>
      <c r="G1180" s="3" t="s">
        <v>25</v>
      </c>
      <c r="H1180" s="3" t="s">
        <v>35</v>
      </c>
      <c r="I1180" s="6">
        <v>44378</v>
      </c>
      <c r="J1180" s="4">
        <v>0</v>
      </c>
      <c r="K1180" s="70">
        <v>0</v>
      </c>
      <c r="L1180" s="4">
        <v>-5.5E-2</v>
      </c>
      <c r="M1180" s="70">
        <v>-5.5E-2</v>
      </c>
      <c r="N1180" s="4">
        <v>-5.5E-2</v>
      </c>
      <c r="O1180" s="70">
        <v>-5.5E-2</v>
      </c>
      <c r="P1180" s="4">
        <v>0</v>
      </c>
      <c r="Q1180" s="3" t="s">
        <v>26</v>
      </c>
      <c r="R1180" s="3">
        <v>0</v>
      </c>
      <c r="S1180" s="4">
        <v>0</v>
      </c>
      <c r="T1180" s="4">
        <v>8</v>
      </c>
      <c r="U1180" s="4">
        <v>72</v>
      </c>
      <c r="V1180" s="70">
        <f>IF(ISERROR(VLOOKUP($S$1180,'TAR FIN'!$A$1:$O$99,15,0)),0,VLOOKUP($S$1180,'TAR FIN'!$A$1:$O$99,15,0))</f>
        <v>0</v>
      </c>
      <c r="W1180" s="70">
        <f>IF(ISERROR(VLOOKUP($T$1180,'TAR FIN'!$A$1:$O$99,15,0)),0,VLOOKUP($T$1180,'TAR FIN'!$A$1:$O$99,15,0))*(1-0.04)</f>
        <v>1495.4304</v>
      </c>
      <c r="X1180" s="70">
        <f>IF(ISERROR(VLOOKUP($U$1180,'TAR FIN'!$A$1:$O$99,15,0)),0,VLOOKUP($U$1180,'TAR FIN'!$A$1:$O$99,15,0))*(1-0.04)</f>
        <v>332.74560000000002</v>
      </c>
      <c r="Y1180" s="70"/>
      <c r="Z1180" s="70">
        <f ca="1">('TUSD BE'!$AM$22+'TUSD BF'!$AM$22+'TUSD CVA'!$AM$22)*1*(1-0.02)</f>
        <v>1763.14935965871</v>
      </c>
      <c r="AA1180" s="70">
        <f>('TE BE'!$AA$7+'TE BF'!$AA$7+'TE CVA'!$AA$7)*1*(1-0.02)</f>
        <v>415.4185945530557</v>
      </c>
      <c r="AB1180" s="4">
        <f>$K$1180*$V$1180</f>
        <v>0</v>
      </c>
      <c r="AC1180" s="4">
        <f>$M$1180*$W$1180</f>
        <v>-82.248671999999999</v>
      </c>
      <c r="AD1180" s="4">
        <f>$O$1180*$X$1180</f>
        <v>-18.301008000000003</v>
      </c>
      <c r="AE1180" s="4">
        <f>$K$1180*$Y$1180</f>
        <v>0</v>
      </c>
      <c r="AF1180" s="4">
        <f ca="1">$M$1180*$Z$1180</f>
        <v>-96.973214781229046</v>
      </c>
      <c r="AG1180" s="4">
        <f>$O$1180*$AA$1180</f>
        <v>-22.848022700418063</v>
      </c>
    </row>
    <row r="1181" spans="1:33" ht="11.25" customHeight="1" x14ac:dyDescent="0.25">
      <c r="A1181" s="3" t="s">
        <v>21</v>
      </c>
      <c r="B1181" s="3" t="s">
        <v>33</v>
      </c>
      <c r="C1181" s="3" t="s">
        <v>34</v>
      </c>
      <c r="D1181" s="3" t="s">
        <v>45</v>
      </c>
      <c r="E1181" s="3" t="s">
        <v>53</v>
      </c>
      <c r="F1181" s="3" t="s">
        <v>25</v>
      </c>
      <c r="G1181" s="3" t="s">
        <v>25</v>
      </c>
      <c r="H1181" s="3" t="s">
        <v>35</v>
      </c>
      <c r="I1181" s="6">
        <v>44409</v>
      </c>
      <c r="J1181" s="4">
        <v>0</v>
      </c>
      <c r="K1181" s="70">
        <v>0</v>
      </c>
      <c r="L1181" s="4">
        <v>15.045999999999999</v>
      </c>
      <c r="M1181" s="70">
        <v>15.045999999999999</v>
      </c>
      <c r="N1181" s="4">
        <v>15.045999999999999</v>
      </c>
      <c r="O1181" s="70">
        <v>15.045999999999999</v>
      </c>
      <c r="P1181" s="4">
        <v>0</v>
      </c>
      <c r="Q1181" s="3" t="s">
        <v>26</v>
      </c>
      <c r="R1181" s="3">
        <v>0</v>
      </c>
      <c r="S1181" s="4">
        <v>0</v>
      </c>
      <c r="T1181" s="4">
        <v>8</v>
      </c>
      <c r="U1181" s="4">
        <v>72</v>
      </c>
      <c r="V1181" s="70">
        <f>IF(ISERROR(VLOOKUP($S$1181,'TAR FIN'!$A$1:$O$99,15,0)),0,VLOOKUP($S$1181,'TAR FIN'!$A$1:$O$99,15,0))</f>
        <v>0</v>
      </c>
      <c r="W1181" s="70">
        <f>IF(ISERROR(VLOOKUP($T$1181,'TAR FIN'!$A$1:$O$99,15,0)),0,VLOOKUP($T$1181,'TAR FIN'!$A$1:$O$99,15,0))*(1-0.04)</f>
        <v>1495.4304</v>
      </c>
      <c r="X1181" s="70">
        <f>IF(ISERROR(VLOOKUP($U$1181,'TAR FIN'!$A$1:$O$99,15,0)),0,VLOOKUP($U$1181,'TAR FIN'!$A$1:$O$99,15,0))*(1-0.04)</f>
        <v>332.74560000000002</v>
      </c>
      <c r="Y1181" s="70"/>
      <c r="Z1181" s="70">
        <f ca="1">('TUSD BE'!$AM$22+'TUSD BF'!$AM$22+'TUSD CVA'!$AM$22)*1*(1-0.02)</f>
        <v>1763.14935965871</v>
      </c>
      <c r="AA1181" s="70">
        <f>('TE BE'!$AA$7+'TE BF'!$AA$7+'TE CVA'!$AA$7)*1*(1-0.02)</f>
        <v>415.4185945530557</v>
      </c>
      <c r="AB1181" s="4">
        <f>$K$1181*$V$1181</f>
        <v>0</v>
      </c>
      <c r="AC1181" s="4">
        <f>$M$1181*$W$1181</f>
        <v>22500.245798399999</v>
      </c>
      <c r="AD1181" s="4">
        <f>$O$1181*$X$1181</f>
        <v>5006.4902976000003</v>
      </c>
      <c r="AE1181" s="4">
        <f>$K$1181*$Y$1181</f>
        <v>0</v>
      </c>
      <c r="AF1181" s="4">
        <f ca="1">$M$1181*$Z$1181</f>
        <v>26528.345265424949</v>
      </c>
      <c r="AG1181" s="4">
        <f>$O$1181*$AA$1181</f>
        <v>6250.3881736452759</v>
      </c>
    </row>
    <row r="1182" spans="1:33" ht="11.25" customHeight="1" x14ac:dyDescent="0.25">
      <c r="A1182" s="3" t="s">
        <v>27</v>
      </c>
      <c r="B1182" s="3" t="s">
        <v>33</v>
      </c>
      <c r="C1182" s="3" t="s">
        <v>34</v>
      </c>
      <c r="D1182" s="3" t="s">
        <v>45</v>
      </c>
      <c r="E1182" s="3" t="s">
        <v>53</v>
      </c>
      <c r="F1182" s="3" t="s">
        <v>25</v>
      </c>
      <c r="G1182" s="3" t="s">
        <v>25</v>
      </c>
      <c r="H1182" s="3" t="s">
        <v>35</v>
      </c>
      <c r="I1182" s="6">
        <v>44409</v>
      </c>
      <c r="J1182" s="4">
        <v>0</v>
      </c>
      <c r="K1182" s="70">
        <v>0</v>
      </c>
      <c r="L1182" s="4">
        <v>-0.93300000000000005</v>
      </c>
      <c r="M1182" s="70">
        <v>-0.93300000000000005</v>
      </c>
      <c r="N1182" s="4">
        <v>-0.93300000000000005</v>
      </c>
      <c r="O1182" s="70">
        <v>-0.93300000000000005</v>
      </c>
      <c r="P1182" s="4">
        <v>0</v>
      </c>
      <c r="Q1182" s="3" t="s">
        <v>26</v>
      </c>
      <c r="R1182" s="3">
        <v>0</v>
      </c>
      <c r="S1182" s="4">
        <v>0</v>
      </c>
      <c r="T1182" s="4">
        <v>8</v>
      </c>
      <c r="U1182" s="4">
        <v>72</v>
      </c>
      <c r="V1182" s="70">
        <f>IF(ISERROR(VLOOKUP($S$1182,'TAR FIN'!$A$1:$O$99,15,0)),0,VLOOKUP($S$1182,'TAR FIN'!$A$1:$O$99,15,0))</f>
        <v>0</v>
      </c>
      <c r="W1182" s="70">
        <f>IF(ISERROR(VLOOKUP($T$1182,'TAR FIN'!$A$1:$O$99,15,0)),0,VLOOKUP($T$1182,'TAR FIN'!$A$1:$O$99,15,0))*(1-0.04)</f>
        <v>1495.4304</v>
      </c>
      <c r="X1182" s="70">
        <f>IF(ISERROR(VLOOKUP($U$1182,'TAR FIN'!$A$1:$O$99,15,0)),0,VLOOKUP($U$1182,'TAR FIN'!$A$1:$O$99,15,0))*(1-0.04)</f>
        <v>332.74560000000002</v>
      </c>
      <c r="Y1182" s="70"/>
      <c r="Z1182" s="70">
        <f ca="1">('TUSD BE'!$AM$22+'TUSD BF'!$AM$22+'TUSD CVA'!$AM$22)*1*(1-0.02)</f>
        <v>1763.14935965871</v>
      </c>
      <c r="AA1182" s="70">
        <f>('TE BE'!$AA$7+'TE BF'!$AA$7+'TE CVA'!$AA$7)*1*(1-0.02)</f>
        <v>415.4185945530557</v>
      </c>
      <c r="AB1182" s="4">
        <f>$K$1182*$V$1182</f>
        <v>0</v>
      </c>
      <c r="AC1182" s="4">
        <f>$M$1182*$W$1182</f>
        <v>-1395.2365632000001</v>
      </c>
      <c r="AD1182" s="4">
        <f>$O$1182*$X$1182</f>
        <v>-310.45164480000005</v>
      </c>
      <c r="AE1182" s="4">
        <f>$K$1182*$Y$1182</f>
        <v>0</v>
      </c>
      <c r="AF1182" s="4">
        <f ca="1">$M$1182*$Z$1182</f>
        <v>-1645.0183525615764</v>
      </c>
      <c r="AG1182" s="4">
        <f>$O$1182*$AA$1182</f>
        <v>-387.58554871800101</v>
      </c>
    </row>
    <row r="1183" spans="1:33" ht="11.25" customHeight="1" x14ac:dyDescent="0.25">
      <c r="A1183" s="3" t="s">
        <v>21</v>
      </c>
      <c r="B1183" s="3" t="s">
        <v>33</v>
      </c>
      <c r="C1183" s="3" t="s">
        <v>34</v>
      </c>
      <c r="D1183" s="3" t="s">
        <v>45</v>
      </c>
      <c r="E1183" s="3" t="s">
        <v>53</v>
      </c>
      <c r="F1183" s="3" t="s">
        <v>25</v>
      </c>
      <c r="G1183" s="3" t="s">
        <v>25</v>
      </c>
      <c r="H1183" s="3" t="s">
        <v>35</v>
      </c>
      <c r="I1183" s="6">
        <v>44440</v>
      </c>
      <c r="J1183" s="4">
        <v>0</v>
      </c>
      <c r="K1183" s="70">
        <v>0</v>
      </c>
      <c r="L1183" s="4">
        <v>19.14</v>
      </c>
      <c r="M1183" s="70">
        <v>19.14</v>
      </c>
      <c r="N1183" s="4">
        <v>19.14</v>
      </c>
      <c r="O1183" s="70">
        <v>19.14</v>
      </c>
      <c r="P1183" s="4">
        <v>0</v>
      </c>
      <c r="Q1183" s="3" t="s">
        <v>26</v>
      </c>
      <c r="R1183" s="3">
        <v>0</v>
      </c>
      <c r="S1183" s="4">
        <v>0</v>
      </c>
      <c r="T1183" s="4">
        <v>8</v>
      </c>
      <c r="U1183" s="4">
        <v>72</v>
      </c>
      <c r="V1183" s="70">
        <f>IF(ISERROR(VLOOKUP($S$1183,'TAR FIN'!$A$1:$O$99,15,0)),0,VLOOKUP($S$1183,'TAR FIN'!$A$1:$O$99,15,0))</f>
        <v>0</v>
      </c>
      <c r="W1183" s="70">
        <f>IF(ISERROR(VLOOKUP($T$1183,'TAR FIN'!$A$1:$O$99,15,0)),0,VLOOKUP($T$1183,'TAR FIN'!$A$1:$O$99,15,0))*(1-0.04)</f>
        <v>1495.4304</v>
      </c>
      <c r="X1183" s="70">
        <f>IF(ISERROR(VLOOKUP($U$1183,'TAR FIN'!$A$1:$O$99,15,0)),0,VLOOKUP($U$1183,'TAR FIN'!$A$1:$O$99,15,0))*(1-0.04)</f>
        <v>332.74560000000002</v>
      </c>
      <c r="Y1183" s="70"/>
      <c r="Z1183" s="70">
        <f ca="1">('TUSD BE'!$AM$22+'TUSD BF'!$AM$22+'TUSD CVA'!$AM$22)*1*(1-0.02)</f>
        <v>1763.14935965871</v>
      </c>
      <c r="AA1183" s="70">
        <f>('TE BE'!$AA$7+'TE BF'!$AA$7+'TE CVA'!$AA$7)*1*(1-0.02)</f>
        <v>415.4185945530557</v>
      </c>
      <c r="AB1183" s="4">
        <f>$K$1183*$V$1183</f>
        <v>0</v>
      </c>
      <c r="AC1183" s="4">
        <f>$M$1183*$W$1183</f>
        <v>28622.537855999999</v>
      </c>
      <c r="AD1183" s="4">
        <f>$O$1183*$X$1183</f>
        <v>6368.7507840000007</v>
      </c>
      <c r="AE1183" s="4">
        <f>$K$1183*$Y$1183</f>
        <v>0</v>
      </c>
      <c r="AF1183" s="4">
        <f ca="1">$M$1183*$Z$1183</f>
        <v>33746.678743867713</v>
      </c>
      <c r="AG1183" s="4">
        <f>$O$1183*$AA$1183</f>
        <v>7951.111899745486</v>
      </c>
    </row>
    <row r="1184" spans="1:33" ht="11.25" customHeight="1" x14ac:dyDescent="0.25">
      <c r="A1184" s="3" t="s">
        <v>21</v>
      </c>
      <c r="B1184" s="3" t="s">
        <v>33</v>
      </c>
      <c r="C1184" s="3" t="s">
        <v>34</v>
      </c>
      <c r="D1184" s="3" t="s">
        <v>45</v>
      </c>
      <c r="E1184" s="3" t="s">
        <v>53</v>
      </c>
      <c r="F1184" s="3" t="s">
        <v>25</v>
      </c>
      <c r="G1184" s="3" t="s">
        <v>25</v>
      </c>
      <c r="H1184" s="3" t="s">
        <v>35</v>
      </c>
      <c r="I1184" s="6">
        <v>44470</v>
      </c>
      <c r="J1184" s="4">
        <v>0</v>
      </c>
      <c r="K1184" s="70">
        <v>0</v>
      </c>
      <c r="L1184" s="4">
        <v>29.234999999999999</v>
      </c>
      <c r="M1184" s="70">
        <v>29.234999999999999</v>
      </c>
      <c r="N1184" s="4">
        <v>29.234999999999999</v>
      </c>
      <c r="O1184" s="70">
        <v>29.234999999999999</v>
      </c>
      <c r="P1184" s="4">
        <v>0</v>
      </c>
      <c r="Q1184" s="3" t="s">
        <v>26</v>
      </c>
      <c r="R1184" s="3">
        <v>0</v>
      </c>
      <c r="S1184" s="4">
        <v>0</v>
      </c>
      <c r="T1184" s="4">
        <v>8</v>
      </c>
      <c r="U1184" s="4">
        <v>72</v>
      </c>
      <c r="V1184" s="70">
        <f>IF(ISERROR(VLOOKUP($S$1184,'TAR FIN'!$A$1:$O$99,15,0)),0,VLOOKUP($S$1184,'TAR FIN'!$A$1:$O$99,15,0))</f>
        <v>0</v>
      </c>
      <c r="W1184" s="70">
        <f>IF(ISERROR(VLOOKUP($T$1184,'TAR FIN'!$A$1:$O$99,15,0)),0,VLOOKUP($T$1184,'TAR FIN'!$A$1:$O$99,15,0))*(1-0.04)</f>
        <v>1495.4304</v>
      </c>
      <c r="X1184" s="70">
        <f>IF(ISERROR(VLOOKUP($U$1184,'TAR FIN'!$A$1:$O$99,15,0)),0,VLOOKUP($U$1184,'TAR FIN'!$A$1:$O$99,15,0))*(1-0.04)</f>
        <v>332.74560000000002</v>
      </c>
      <c r="Y1184" s="70"/>
      <c r="Z1184" s="70">
        <f ca="1">('TUSD BE'!$AM$22+'TUSD BF'!$AM$22+'TUSD CVA'!$AM$22)*1*(1-0.02)</f>
        <v>1763.14935965871</v>
      </c>
      <c r="AA1184" s="70">
        <f>('TE BE'!$AA$7+'TE BF'!$AA$7+'TE CVA'!$AA$7)*1*(1-0.02)</f>
        <v>415.4185945530557</v>
      </c>
      <c r="AB1184" s="4">
        <f>$K$1184*$V$1184</f>
        <v>0</v>
      </c>
      <c r="AC1184" s="4">
        <f>$M$1184*$W$1184</f>
        <v>43718.907743999996</v>
      </c>
      <c r="AD1184" s="4">
        <f>$O$1184*$X$1184</f>
        <v>9727.8176160000003</v>
      </c>
      <c r="AE1184" s="4">
        <f>$K$1184*$Y$1184</f>
        <v>0</v>
      </c>
      <c r="AF1184" s="4">
        <f ca="1">$M$1184*$Z$1184</f>
        <v>51545.671529622385</v>
      </c>
      <c r="AG1184" s="4">
        <f>$O$1184*$AA$1184</f>
        <v>12144.762611758582</v>
      </c>
    </row>
    <row r="1185" spans="1:33" ht="11.25" customHeight="1" x14ac:dyDescent="0.25">
      <c r="A1185" s="3" t="s">
        <v>21</v>
      </c>
      <c r="B1185" s="3" t="s">
        <v>33</v>
      </c>
      <c r="C1185" s="3" t="s">
        <v>34</v>
      </c>
      <c r="D1185" s="3" t="s">
        <v>45</v>
      </c>
      <c r="E1185" s="3" t="s">
        <v>53</v>
      </c>
      <c r="F1185" s="3" t="s">
        <v>25</v>
      </c>
      <c r="G1185" s="3" t="s">
        <v>25</v>
      </c>
      <c r="H1185" s="3" t="s">
        <v>35</v>
      </c>
      <c r="I1185" s="6">
        <v>44501</v>
      </c>
      <c r="J1185" s="4">
        <v>0</v>
      </c>
      <c r="K1185" s="70">
        <v>0</v>
      </c>
      <c r="L1185" s="4">
        <v>43.805999999999997</v>
      </c>
      <c r="M1185" s="70">
        <v>43.805999999999997</v>
      </c>
      <c r="N1185" s="4">
        <v>43.805999999999997</v>
      </c>
      <c r="O1185" s="70">
        <v>43.805999999999997</v>
      </c>
      <c r="P1185" s="4">
        <v>0</v>
      </c>
      <c r="Q1185" s="3" t="s">
        <v>26</v>
      </c>
      <c r="R1185" s="3">
        <v>0</v>
      </c>
      <c r="S1185" s="4">
        <v>0</v>
      </c>
      <c r="T1185" s="4">
        <v>8</v>
      </c>
      <c r="U1185" s="4">
        <v>72</v>
      </c>
      <c r="V1185" s="70">
        <f>IF(ISERROR(VLOOKUP($S$1185,'TAR FIN'!$A$1:$O$99,15,0)),0,VLOOKUP($S$1185,'TAR FIN'!$A$1:$O$99,15,0))</f>
        <v>0</v>
      </c>
      <c r="W1185" s="70">
        <f>IF(ISERROR(VLOOKUP($T$1185,'TAR FIN'!$A$1:$O$99,15,0)),0,VLOOKUP($T$1185,'TAR FIN'!$A$1:$O$99,15,0))*(1-0.04)</f>
        <v>1495.4304</v>
      </c>
      <c r="X1185" s="70">
        <f>IF(ISERROR(VLOOKUP($U$1185,'TAR FIN'!$A$1:$O$99,15,0)),0,VLOOKUP($U$1185,'TAR FIN'!$A$1:$O$99,15,0))*(1-0.04)</f>
        <v>332.74560000000002</v>
      </c>
      <c r="Y1185" s="70"/>
      <c r="Z1185" s="70">
        <f ca="1">('TUSD BE'!$AM$22+'TUSD BF'!$AM$22+'TUSD CVA'!$AM$22)*1*(1-0.02)</f>
        <v>1763.14935965871</v>
      </c>
      <c r="AA1185" s="70">
        <f>('TE BE'!$AA$7+'TE BF'!$AA$7+'TE CVA'!$AA$7)*1*(1-0.02)</f>
        <v>415.4185945530557</v>
      </c>
      <c r="AB1185" s="4">
        <f>$K$1185*$V$1185</f>
        <v>0</v>
      </c>
      <c r="AC1185" s="4">
        <f>$M$1185*$W$1185</f>
        <v>65508.824102399994</v>
      </c>
      <c r="AD1185" s="4">
        <f>$O$1185*$X$1185</f>
        <v>14576.2537536</v>
      </c>
      <c r="AE1185" s="4">
        <f>$K$1185*$Y$1185</f>
        <v>0</v>
      </c>
      <c r="AF1185" s="4">
        <f ca="1">$M$1185*$Z$1185</f>
        <v>77236.520849209439</v>
      </c>
      <c r="AG1185" s="4">
        <f>$O$1185*$AA$1185</f>
        <v>18197.826952991156</v>
      </c>
    </row>
    <row r="1186" spans="1:33" ht="11.25" customHeight="1" x14ac:dyDescent="0.25">
      <c r="A1186" s="3" t="s">
        <v>21</v>
      </c>
      <c r="B1186" s="3" t="s">
        <v>33</v>
      </c>
      <c r="C1186" s="3" t="s">
        <v>34</v>
      </c>
      <c r="D1186" s="3" t="s">
        <v>45</v>
      </c>
      <c r="E1186" s="3" t="s">
        <v>53</v>
      </c>
      <c r="F1186" s="3" t="s">
        <v>25</v>
      </c>
      <c r="G1186" s="3" t="s">
        <v>25</v>
      </c>
      <c r="H1186" s="3" t="s">
        <v>35</v>
      </c>
      <c r="I1186" s="6">
        <v>44531</v>
      </c>
      <c r="J1186" s="4">
        <v>0</v>
      </c>
      <c r="K1186" s="70">
        <v>0</v>
      </c>
      <c r="L1186" s="4">
        <v>34.412999999999997</v>
      </c>
      <c r="M1186" s="70">
        <v>34.412999999999997</v>
      </c>
      <c r="N1186" s="4">
        <v>34.412999999999997</v>
      </c>
      <c r="O1186" s="70">
        <v>34.412999999999997</v>
      </c>
      <c r="P1186" s="4">
        <v>0</v>
      </c>
      <c r="Q1186" s="3" t="s">
        <v>26</v>
      </c>
      <c r="R1186" s="3">
        <v>0</v>
      </c>
      <c r="S1186" s="4">
        <v>0</v>
      </c>
      <c r="T1186" s="4">
        <v>8</v>
      </c>
      <c r="U1186" s="4">
        <v>72</v>
      </c>
      <c r="V1186" s="70">
        <f>IF(ISERROR(VLOOKUP($S$1186,'TAR FIN'!$A$1:$O$99,15,0)),0,VLOOKUP($S$1186,'TAR FIN'!$A$1:$O$99,15,0))</f>
        <v>0</v>
      </c>
      <c r="W1186" s="70">
        <f>IF(ISERROR(VLOOKUP($T$1186,'TAR FIN'!$A$1:$O$99,15,0)),0,VLOOKUP($T$1186,'TAR FIN'!$A$1:$O$99,15,0))*(1-0.04)</f>
        <v>1495.4304</v>
      </c>
      <c r="X1186" s="70">
        <f>IF(ISERROR(VLOOKUP($U$1186,'TAR FIN'!$A$1:$O$99,15,0)),0,VLOOKUP($U$1186,'TAR FIN'!$A$1:$O$99,15,0))*(1-0.04)</f>
        <v>332.74560000000002</v>
      </c>
      <c r="Y1186" s="70"/>
      <c r="Z1186" s="70">
        <f ca="1">('TUSD BE'!$AM$22+'TUSD BF'!$AM$22+'TUSD CVA'!$AM$22)*1*(1-0.02)</f>
        <v>1763.14935965871</v>
      </c>
      <c r="AA1186" s="70">
        <f>('TE BE'!$AA$7+'TE BF'!$AA$7+'TE CVA'!$AA$7)*1*(1-0.02)</f>
        <v>415.4185945530557</v>
      </c>
      <c r="AB1186" s="4">
        <f>$K$1186*$V$1186</f>
        <v>0</v>
      </c>
      <c r="AC1186" s="4">
        <f>$M$1186*$W$1186</f>
        <v>51462.246355199997</v>
      </c>
      <c r="AD1186" s="4">
        <f>$O$1186*$X$1186</f>
        <v>11450.7743328</v>
      </c>
      <c r="AE1186" s="4">
        <f>$K$1186*$Y$1186</f>
        <v>0</v>
      </c>
      <c r="AF1186" s="4">
        <f ca="1">$M$1186*$Z$1186</f>
        <v>60675.258913935177</v>
      </c>
      <c r="AG1186" s="4">
        <f>$O$1186*$AA$1186</f>
        <v>14295.800094354305</v>
      </c>
    </row>
    <row r="1187" spans="1:33" ht="11.25" customHeight="1" x14ac:dyDescent="0.25">
      <c r="A1187" s="3" t="s">
        <v>21</v>
      </c>
      <c r="B1187" s="3" t="s">
        <v>33</v>
      </c>
      <c r="C1187" s="3" t="s">
        <v>34</v>
      </c>
      <c r="D1187" s="3" t="s">
        <v>45</v>
      </c>
      <c r="E1187" s="3" t="s">
        <v>53</v>
      </c>
      <c r="F1187" s="3" t="s">
        <v>25</v>
      </c>
      <c r="G1187" s="3" t="s">
        <v>25</v>
      </c>
      <c r="H1187" s="3" t="s">
        <v>35</v>
      </c>
      <c r="I1187" s="6">
        <v>44562</v>
      </c>
      <c r="J1187" s="4">
        <v>0</v>
      </c>
      <c r="K1187" s="70">
        <v>0</v>
      </c>
      <c r="L1187" s="4">
        <v>46.701999999999998</v>
      </c>
      <c r="M1187" s="70">
        <v>46.701999999999998</v>
      </c>
      <c r="N1187" s="4">
        <v>46.701999999999998</v>
      </c>
      <c r="O1187" s="70">
        <v>46.701999999999998</v>
      </c>
      <c r="P1187" s="4">
        <v>0</v>
      </c>
      <c r="Q1187" s="3" t="s">
        <v>26</v>
      </c>
      <c r="R1187" s="3">
        <v>0</v>
      </c>
      <c r="S1187" s="4">
        <v>0</v>
      </c>
      <c r="T1187" s="4">
        <v>8</v>
      </c>
      <c r="U1187" s="4">
        <v>72</v>
      </c>
      <c r="V1187" s="70">
        <f>IF(ISERROR(VLOOKUP($S$1187,'TAR FIN'!$A$1:$O$99,15,0)),0,VLOOKUP($S$1187,'TAR FIN'!$A$1:$O$99,15,0))</f>
        <v>0</v>
      </c>
      <c r="W1187" s="70">
        <f>IF(ISERROR(VLOOKUP($T$1187,'TAR FIN'!$A$1:$O$99,15,0)),0,VLOOKUP($T$1187,'TAR FIN'!$A$1:$O$99,15,0))*(1-0.04)</f>
        <v>1495.4304</v>
      </c>
      <c r="X1187" s="70">
        <f>IF(ISERROR(VLOOKUP($U$1187,'TAR FIN'!$A$1:$O$99,15,0)),0,VLOOKUP($U$1187,'TAR FIN'!$A$1:$O$99,15,0))*(1-0.04)</f>
        <v>332.74560000000002</v>
      </c>
      <c r="Y1187" s="70"/>
      <c r="Z1187" s="70">
        <f ca="1">('TUSD BE'!$AM$22+'TUSD BF'!$AM$22+'TUSD CVA'!$AM$22)*1*(1-0.02)</f>
        <v>1763.14935965871</v>
      </c>
      <c r="AA1187" s="70">
        <f>('TE BE'!$AA$7+'TE BF'!$AA$7+'TE CVA'!$AA$7)*1*(1-0.02)</f>
        <v>415.4185945530557</v>
      </c>
      <c r="AB1187" s="4">
        <f>$K$1187*$V$1187</f>
        <v>0</v>
      </c>
      <c r="AC1187" s="4">
        <f>$M$1187*$W$1187</f>
        <v>69839.590540799996</v>
      </c>
      <c r="AD1187" s="4">
        <f>$O$1187*$X$1187</f>
        <v>15539.8850112</v>
      </c>
      <c r="AE1187" s="4">
        <f>$K$1187*$Y$1187</f>
        <v>0</v>
      </c>
      <c r="AF1187" s="4">
        <f ca="1">$M$1187*$Z$1187</f>
        <v>82342.601394781072</v>
      </c>
      <c r="AG1187" s="4">
        <f>$O$1187*$AA$1187</f>
        <v>19400.879202816806</v>
      </c>
    </row>
    <row r="1188" spans="1:33" ht="11.25" customHeight="1" x14ac:dyDescent="0.25">
      <c r="A1188" s="3" t="s">
        <v>21</v>
      </c>
      <c r="B1188" s="3" t="s">
        <v>33</v>
      </c>
      <c r="C1188" s="3" t="s">
        <v>34</v>
      </c>
      <c r="D1188" s="3" t="s">
        <v>45</v>
      </c>
      <c r="E1188" s="3" t="s">
        <v>53</v>
      </c>
      <c r="F1188" s="3" t="s">
        <v>25</v>
      </c>
      <c r="G1188" s="3" t="s">
        <v>25</v>
      </c>
      <c r="H1188" s="3" t="s">
        <v>35</v>
      </c>
      <c r="I1188" s="6">
        <v>44593</v>
      </c>
      <c r="J1188" s="4">
        <v>0</v>
      </c>
      <c r="K1188" s="70">
        <v>0</v>
      </c>
      <c r="L1188" s="4">
        <v>38.884999999999998</v>
      </c>
      <c r="M1188" s="70">
        <v>38.884999999999998</v>
      </c>
      <c r="N1188" s="4">
        <v>38.884999999999998</v>
      </c>
      <c r="O1188" s="70">
        <v>38.884999999999998</v>
      </c>
      <c r="P1188" s="4">
        <v>0</v>
      </c>
      <c r="Q1188" s="3" t="s">
        <v>26</v>
      </c>
      <c r="R1188" s="3">
        <v>0</v>
      </c>
      <c r="S1188" s="4">
        <v>0</v>
      </c>
      <c r="T1188" s="4">
        <v>8</v>
      </c>
      <c r="U1188" s="4">
        <v>72</v>
      </c>
      <c r="V1188" s="70">
        <f>IF(ISERROR(VLOOKUP($S$1188,'TAR FIN'!$A$1:$O$99,15,0)),0,VLOOKUP($S$1188,'TAR FIN'!$A$1:$O$99,15,0))</f>
        <v>0</v>
      </c>
      <c r="W1188" s="70">
        <f>IF(ISERROR(VLOOKUP($T$1188,'TAR FIN'!$A$1:$O$99,15,0)),0,VLOOKUP($T$1188,'TAR FIN'!$A$1:$O$99,15,0))*(1-0.04)</f>
        <v>1495.4304</v>
      </c>
      <c r="X1188" s="70">
        <f>IF(ISERROR(VLOOKUP($U$1188,'TAR FIN'!$A$1:$O$99,15,0)),0,VLOOKUP($U$1188,'TAR FIN'!$A$1:$O$99,15,0))*(1-0.04)</f>
        <v>332.74560000000002</v>
      </c>
      <c r="Y1188" s="70"/>
      <c r="Z1188" s="70">
        <f ca="1">('TUSD BE'!$AM$22+'TUSD BF'!$AM$22+'TUSD CVA'!$AM$22)*1*(1-0.02)</f>
        <v>1763.14935965871</v>
      </c>
      <c r="AA1188" s="70">
        <f>('TE BE'!$AA$7+'TE BF'!$AA$7+'TE CVA'!$AA$7)*1*(1-0.02)</f>
        <v>415.4185945530557</v>
      </c>
      <c r="AB1188" s="4">
        <f>$K$1188*$V$1188</f>
        <v>0</v>
      </c>
      <c r="AC1188" s="4">
        <f>$M$1188*$W$1188</f>
        <v>58149.811103999993</v>
      </c>
      <c r="AD1188" s="4">
        <f>$O$1188*$X$1188</f>
        <v>12938.812656</v>
      </c>
      <c r="AE1188" s="4">
        <f>$K$1188*$Y$1188</f>
        <v>0</v>
      </c>
      <c r="AF1188" s="4">
        <f ca="1">$M$1188*$Z$1188</f>
        <v>68560.062850328934</v>
      </c>
      <c r="AG1188" s="4">
        <f>$O$1188*$AA$1188</f>
        <v>16153.55204919557</v>
      </c>
    </row>
    <row r="1189" spans="1:33" ht="11.25" customHeight="1" x14ac:dyDescent="0.25">
      <c r="A1189" s="3" t="s">
        <v>21</v>
      </c>
      <c r="B1189" s="3" t="s">
        <v>33</v>
      </c>
      <c r="C1189" s="3" t="s">
        <v>34</v>
      </c>
      <c r="D1189" s="3" t="s">
        <v>45</v>
      </c>
      <c r="E1189" s="3" t="s">
        <v>53</v>
      </c>
      <c r="F1189" s="3" t="s">
        <v>25</v>
      </c>
      <c r="G1189" s="3" t="s">
        <v>25</v>
      </c>
      <c r="H1189" s="3" t="s">
        <v>35</v>
      </c>
      <c r="I1189" s="6">
        <v>44621</v>
      </c>
      <c r="J1189" s="4">
        <v>0</v>
      </c>
      <c r="K1189" s="70">
        <v>0</v>
      </c>
      <c r="L1189" s="4">
        <v>23.085000000000001</v>
      </c>
      <c r="M1189" s="70">
        <v>23.085000000000001</v>
      </c>
      <c r="N1189" s="4">
        <v>23.085000000000001</v>
      </c>
      <c r="O1189" s="70">
        <v>23.085000000000001</v>
      </c>
      <c r="P1189" s="4">
        <v>0</v>
      </c>
      <c r="Q1189" s="3" t="s">
        <v>26</v>
      </c>
      <c r="R1189" s="3">
        <v>0</v>
      </c>
      <c r="S1189" s="4">
        <v>0</v>
      </c>
      <c r="T1189" s="4">
        <v>8</v>
      </c>
      <c r="U1189" s="4">
        <v>72</v>
      </c>
      <c r="V1189" s="70">
        <f>IF(ISERROR(VLOOKUP($S$1189,'TAR FIN'!$A$1:$O$99,15,0)),0,VLOOKUP($S$1189,'TAR FIN'!$A$1:$O$99,15,0))</f>
        <v>0</v>
      </c>
      <c r="W1189" s="70">
        <f>IF(ISERROR(VLOOKUP($T$1189,'TAR FIN'!$A$1:$O$99,15,0)),0,VLOOKUP($T$1189,'TAR FIN'!$A$1:$O$99,15,0))*(1-0.04)</f>
        <v>1495.4304</v>
      </c>
      <c r="X1189" s="70">
        <f>IF(ISERROR(VLOOKUP($U$1189,'TAR FIN'!$A$1:$O$99,15,0)),0,VLOOKUP($U$1189,'TAR FIN'!$A$1:$O$99,15,0))*(1-0.04)</f>
        <v>332.74560000000002</v>
      </c>
      <c r="Y1189" s="70"/>
      <c r="Z1189" s="70">
        <f ca="1">('TUSD BE'!$AM$22+'TUSD BF'!$AM$22+'TUSD CVA'!$AM$22)*1*(1-0.02)</f>
        <v>1763.14935965871</v>
      </c>
      <c r="AA1189" s="70">
        <f>('TE BE'!$AA$7+'TE BF'!$AA$7+'TE CVA'!$AA$7)*1*(1-0.02)</f>
        <v>415.4185945530557</v>
      </c>
      <c r="AB1189" s="4">
        <f>$K$1189*$V$1189</f>
        <v>0</v>
      </c>
      <c r="AC1189" s="4">
        <f>$M$1189*$W$1189</f>
        <v>34522.010783999998</v>
      </c>
      <c r="AD1189" s="4">
        <f>$O$1189*$X$1189</f>
        <v>7681.4321760000012</v>
      </c>
      <c r="AE1189" s="4">
        <f>$K$1189*$Y$1189</f>
        <v>0</v>
      </c>
      <c r="AF1189" s="4">
        <f ca="1">$M$1189*$Z$1189</f>
        <v>40702.30296772132</v>
      </c>
      <c r="AG1189" s="4">
        <f>$O$1189*$AA$1189</f>
        <v>9589.9382552572915</v>
      </c>
    </row>
    <row r="1190" spans="1:33" ht="11.25" customHeight="1" x14ac:dyDescent="0.25">
      <c r="A1190" s="3" t="s">
        <v>27</v>
      </c>
      <c r="B1190" s="3" t="s">
        <v>33</v>
      </c>
      <c r="C1190" s="3" t="s">
        <v>34</v>
      </c>
      <c r="D1190" s="3" t="s">
        <v>45</v>
      </c>
      <c r="E1190" s="3" t="s">
        <v>53</v>
      </c>
      <c r="F1190" s="3" t="s">
        <v>25</v>
      </c>
      <c r="G1190" s="3" t="s">
        <v>25</v>
      </c>
      <c r="H1190" s="3" t="s">
        <v>35</v>
      </c>
      <c r="I1190" s="6">
        <v>44621</v>
      </c>
      <c r="J1190" s="4">
        <v>0</v>
      </c>
      <c r="K1190" s="70">
        <v>0</v>
      </c>
      <c r="L1190" s="4">
        <v>-11.449</v>
      </c>
      <c r="M1190" s="70">
        <v>-11.449</v>
      </c>
      <c r="N1190" s="4">
        <v>-11.449</v>
      </c>
      <c r="O1190" s="70">
        <v>-11.449</v>
      </c>
      <c r="P1190" s="4">
        <v>0</v>
      </c>
      <c r="Q1190" s="3" t="s">
        <v>26</v>
      </c>
      <c r="R1190" s="3">
        <v>0</v>
      </c>
      <c r="S1190" s="4">
        <v>0</v>
      </c>
      <c r="T1190" s="4">
        <v>8</v>
      </c>
      <c r="U1190" s="4">
        <v>72</v>
      </c>
      <c r="V1190" s="70">
        <f>IF(ISERROR(VLOOKUP($S$1190,'TAR FIN'!$A$1:$O$99,15,0)),0,VLOOKUP($S$1190,'TAR FIN'!$A$1:$O$99,15,0))</f>
        <v>0</v>
      </c>
      <c r="W1190" s="70">
        <f>IF(ISERROR(VLOOKUP($T$1190,'TAR FIN'!$A$1:$O$99,15,0)),0,VLOOKUP($T$1190,'TAR FIN'!$A$1:$O$99,15,0))*(1-0.04)</f>
        <v>1495.4304</v>
      </c>
      <c r="X1190" s="70">
        <f>IF(ISERROR(VLOOKUP($U$1190,'TAR FIN'!$A$1:$O$99,15,0)),0,VLOOKUP($U$1190,'TAR FIN'!$A$1:$O$99,15,0))*(1-0.04)</f>
        <v>332.74560000000002</v>
      </c>
      <c r="Y1190" s="70"/>
      <c r="Z1190" s="70">
        <f ca="1">('TUSD BE'!$AM$22+'TUSD BF'!$AM$22+'TUSD CVA'!$AM$22)*1*(1-0.02)</f>
        <v>1763.14935965871</v>
      </c>
      <c r="AA1190" s="70">
        <f>('TE BE'!$AA$7+'TE BF'!$AA$7+'TE CVA'!$AA$7)*1*(1-0.02)</f>
        <v>415.4185945530557</v>
      </c>
      <c r="AB1190" s="4">
        <f>$K$1190*$V$1190</f>
        <v>0</v>
      </c>
      <c r="AC1190" s="4">
        <f>$M$1190*$W$1190</f>
        <v>-17121.182649599999</v>
      </c>
      <c r="AD1190" s="4">
        <f>$O$1190*$X$1190</f>
        <v>-3809.6043744000003</v>
      </c>
      <c r="AE1190" s="4">
        <f>$K$1190*$Y$1190</f>
        <v>0</v>
      </c>
      <c r="AF1190" s="4">
        <f ca="1">$M$1190*$Z$1190</f>
        <v>-20186.29701873257</v>
      </c>
      <c r="AG1190" s="4">
        <f>$O$1190*$AA$1190</f>
        <v>-4756.1274890379345</v>
      </c>
    </row>
    <row r="1191" spans="1:33" ht="11.25" customHeight="1" x14ac:dyDescent="0.25">
      <c r="A1191" s="3" t="s">
        <v>56</v>
      </c>
      <c r="B1191" s="3" t="s">
        <v>33</v>
      </c>
      <c r="C1191" s="3" t="s">
        <v>34</v>
      </c>
      <c r="D1191" s="3" t="s">
        <v>45</v>
      </c>
      <c r="E1191" s="3" t="s">
        <v>53</v>
      </c>
      <c r="F1191" s="3" t="s">
        <v>25</v>
      </c>
      <c r="G1191" s="3" t="s">
        <v>25</v>
      </c>
      <c r="H1191" s="3" t="s">
        <v>35</v>
      </c>
      <c r="I1191" s="6">
        <v>44652</v>
      </c>
      <c r="J1191" s="4">
        <v>0</v>
      </c>
      <c r="K1191" s="70">
        <v>0</v>
      </c>
      <c r="L1191" s="4">
        <v>23.085000000000001</v>
      </c>
      <c r="M1191" s="70">
        <v>23.085000000000001</v>
      </c>
      <c r="N1191" s="4">
        <v>23.085000000000001</v>
      </c>
      <c r="O1191" s="70">
        <v>23.085000000000001</v>
      </c>
      <c r="P1191" s="4">
        <v>0</v>
      </c>
      <c r="Q1191" s="3" t="s">
        <v>26</v>
      </c>
      <c r="R1191" s="3">
        <v>0</v>
      </c>
      <c r="S1191" s="4">
        <v>0</v>
      </c>
      <c r="T1191" s="4">
        <v>8</v>
      </c>
      <c r="U1191" s="4">
        <v>72</v>
      </c>
      <c r="V1191" s="70">
        <f>IF(ISERROR(VLOOKUP($S$1191,'TAR FIN'!$A$1:$O$99,15,0)),0,VLOOKUP($S$1191,'TAR FIN'!$A$1:$O$99,15,0))</f>
        <v>0</v>
      </c>
      <c r="W1191" s="70">
        <f>IF(ISERROR(VLOOKUP($T$1191,'TAR FIN'!$A$1:$O$99,15,0)),0,VLOOKUP($T$1191,'TAR FIN'!$A$1:$O$99,15,0))*(1-0.04)</f>
        <v>1495.4304</v>
      </c>
      <c r="X1191" s="70">
        <f>IF(ISERROR(VLOOKUP($U$1191,'TAR FIN'!$A$1:$O$99,15,0)),0,VLOOKUP($U$1191,'TAR FIN'!$A$1:$O$99,15,0))*(1-0.04)</f>
        <v>332.74560000000002</v>
      </c>
      <c r="Y1191" s="70"/>
      <c r="Z1191" s="70">
        <f ca="1">('TUSD BE'!$AM$22+'TUSD BF'!$AM$22+'TUSD CVA'!$AM$22)*1*(1-0.02)</f>
        <v>1763.14935965871</v>
      </c>
      <c r="AA1191" s="70">
        <f>('TE BE'!$AA$7+'TE BF'!$AA$7+'TE CVA'!$AA$7)*1*(1-0.02)</f>
        <v>415.4185945530557</v>
      </c>
      <c r="AB1191" s="4">
        <f>$K$1191*$V$1191</f>
        <v>0</v>
      </c>
      <c r="AC1191" s="4">
        <f>$M$1191*$W$1191</f>
        <v>34522.010783999998</v>
      </c>
      <c r="AD1191" s="4">
        <f>$O$1191*$X$1191</f>
        <v>7681.4321760000012</v>
      </c>
      <c r="AE1191" s="4">
        <f>$K$1191*$Y$1191</f>
        <v>0</v>
      </c>
      <c r="AF1191" s="4">
        <f ca="1">$M$1191*$Z$1191</f>
        <v>40702.30296772132</v>
      </c>
      <c r="AG1191" s="4">
        <f>$O$1191*$AA$1191</f>
        <v>9589.9382552572915</v>
      </c>
    </row>
    <row r="1192" spans="1:33" ht="11.25" customHeight="1" x14ac:dyDescent="0.25">
      <c r="A1192" s="3" t="s">
        <v>56</v>
      </c>
      <c r="B1192" s="3" t="s">
        <v>33</v>
      </c>
      <c r="C1192" s="3" t="s">
        <v>34</v>
      </c>
      <c r="D1192" s="3" t="s">
        <v>45</v>
      </c>
      <c r="E1192" s="3" t="s">
        <v>53</v>
      </c>
      <c r="F1192" s="3" t="s">
        <v>25</v>
      </c>
      <c r="G1192" s="3" t="s">
        <v>25</v>
      </c>
      <c r="H1192" s="3" t="s">
        <v>35</v>
      </c>
      <c r="I1192" s="6">
        <v>44652</v>
      </c>
      <c r="J1192" s="4">
        <v>0</v>
      </c>
      <c r="K1192" s="70">
        <v>0</v>
      </c>
      <c r="L1192" s="4">
        <v>-11.449</v>
      </c>
      <c r="M1192" s="70">
        <v>-11.449</v>
      </c>
      <c r="N1192" s="4">
        <v>-11.449</v>
      </c>
      <c r="O1192" s="70">
        <v>-11.449</v>
      </c>
      <c r="P1192" s="4">
        <v>0</v>
      </c>
      <c r="Q1192" s="3" t="s">
        <v>26</v>
      </c>
      <c r="R1192" s="3">
        <v>0</v>
      </c>
      <c r="S1192" s="4">
        <v>0</v>
      </c>
      <c r="T1192" s="4">
        <v>8</v>
      </c>
      <c r="U1192" s="4">
        <v>72</v>
      </c>
      <c r="V1192" s="70">
        <f>IF(ISERROR(VLOOKUP($S$1192,'TAR FIN'!$A$1:$O$99,15,0)),0,VLOOKUP($S$1192,'TAR FIN'!$A$1:$O$99,15,0))</f>
        <v>0</v>
      </c>
      <c r="W1192" s="70">
        <f>IF(ISERROR(VLOOKUP($T$1192,'TAR FIN'!$A$1:$O$99,15,0)),0,VLOOKUP($T$1192,'TAR FIN'!$A$1:$O$99,15,0))*(1-0.04)</f>
        <v>1495.4304</v>
      </c>
      <c r="X1192" s="70">
        <f>IF(ISERROR(VLOOKUP($U$1192,'TAR FIN'!$A$1:$O$99,15,0)),0,VLOOKUP($U$1192,'TAR FIN'!$A$1:$O$99,15,0))*(1-0.04)</f>
        <v>332.74560000000002</v>
      </c>
      <c r="Y1192" s="70"/>
      <c r="Z1192" s="70">
        <f ca="1">('TUSD BE'!$AM$22+'TUSD BF'!$AM$22+'TUSD CVA'!$AM$22)*1*(1-0.02)</f>
        <v>1763.14935965871</v>
      </c>
      <c r="AA1192" s="70">
        <f>('TE BE'!$AA$7+'TE BF'!$AA$7+'TE CVA'!$AA$7)*1*(1-0.02)</f>
        <v>415.4185945530557</v>
      </c>
      <c r="AB1192" s="4">
        <f>$K$1192*$V$1192</f>
        <v>0</v>
      </c>
      <c r="AC1192" s="4">
        <f>$M$1192*$W$1192</f>
        <v>-17121.182649599999</v>
      </c>
      <c r="AD1192" s="4">
        <f>$O$1192*$X$1192</f>
        <v>-3809.6043744000003</v>
      </c>
      <c r="AE1192" s="4">
        <f>$K$1192*$Y$1192</f>
        <v>0</v>
      </c>
      <c r="AF1192" s="4">
        <f ca="1">$M$1192*$Z$1192</f>
        <v>-20186.29701873257</v>
      </c>
      <c r="AG1192" s="4">
        <f>$O$1192*$AA$1192</f>
        <v>-4756.1274890379345</v>
      </c>
    </row>
    <row r="1193" spans="1:33" ht="11.25" customHeight="1" x14ac:dyDescent="0.25">
      <c r="A1193" s="3" t="s">
        <v>21</v>
      </c>
      <c r="B1193" s="3" t="s">
        <v>33</v>
      </c>
      <c r="C1193" s="3" t="s">
        <v>34</v>
      </c>
      <c r="D1193" s="3" t="s">
        <v>45</v>
      </c>
      <c r="E1193" s="3" t="s">
        <v>25</v>
      </c>
      <c r="F1193" s="3" t="s">
        <v>25</v>
      </c>
      <c r="G1193" s="3" t="s">
        <v>25</v>
      </c>
      <c r="H1193" s="3" t="s">
        <v>36</v>
      </c>
      <c r="I1193" s="6">
        <v>44317</v>
      </c>
      <c r="J1193" s="4">
        <v>0</v>
      </c>
      <c r="K1193" s="70">
        <v>0</v>
      </c>
      <c r="L1193" s="4">
        <v>1020.134</v>
      </c>
      <c r="M1193" s="70">
        <v>1020.134</v>
      </c>
      <c r="N1193" s="4">
        <v>1020.134</v>
      </c>
      <c r="O1193" s="70">
        <v>1020.134</v>
      </c>
      <c r="P1193" s="4">
        <v>0</v>
      </c>
      <c r="Q1193" s="3" t="s">
        <v>26</v>
      </c>
      <c r="R1193" s="3">
        <v>0</v>
      </c>
      <c r="S1193" s="4">
        <v>0</v>
      </c>
      <c r="T1193" s="4">
        <v>29</v>
      </c>
      <c r="U1193" s="4">
        <v>73</v>
      </c>
      <c r="V1193" s="70">
        <f>IF(ISERROR(VLOOKUP($S$1193,'TAR FIN'!$A$1:$O$99,15,0)),0,VLOOKUP($S$1193,'TAR FIN'!$A$1:$O$99,15,0))</f>
        <v>0</v>
      </c>
      <c r="W1193" s="70">
        <f>IF(ISERROR(VLOOKUP($T$1193,'TAR FIN'!$A$1:$O$99,15,0)),0,VLOOKUP($T$1193,'TAR FIN'!$A$1:$O$99,15,0))*(1-0.04)</f>
        <v>93.70559999999999</v>
      </c>
      <c r="X1193" s="70">
        <f>IF(ISERROR(VLOOKUP($U$1193,'TAR FIN'!$A$1:$O$99,15,0)),0,VLOOKUP($U$1193,'TAR FIN'!$A$1:$O$99,15,0))*(1-0.04)</f>
        <v>211.1712</v>
      </c>
      <c r="Y1193" s="70"/>
      <c r="Z1193" s="70">
        <f ca="1">('TUSD BE'!$AM$23+'TUSD BF'!$AM$23+'TUSD CVA'!$AM$23)*1*(1-0.02)</f>
        <v>115.23932238737589</v>
      </c>
      <c r="AA1193" s="70">
        <f>('TE BE'!$AA$8+'TE BF'!$AA$8+'TE CVA'!$AA$8)*1*(1-0.02)</f>
        <v>265.71632769942346</v>
      </c>
      <c r="AB1193" s="4">
        <f>$K$1193*$V$1193</f>
        <v>0</v>
      </c>
      <c r="AC1193" s="4">
        <f>$M$1193*$W$1193</f>
        <v>95592.268550399996</v>
      </c>
      <c r="AD1193" s="4">
        <f>$O$1193*$X$1193</f>
        <v>215422.92094079999</v>
      </c>
      <c r="AE1193" s="4">
        <f>$K$1193*$Y$1193</f>
        <v>0</v>
      </c>
      <c r="AF1193" s="4">
        <f ca="1">$M$1193*$Z$1193</f>
        <v>117559.55090432332</v>
      </c>
      <c r="AG1193" s="4">
        <f>$O$1193*$AA$1193</f>
        <v>271066.26024132367</v>
      </c>
    </row>
    <row r="1194" spans="1:33" ht="11.25" customHeight="1" x14ac:dyDescent="0.25">
      <c r="A1194" s="3" t="s">
        <v>28</v>
      </c>
      <c r="B1194" s="3" t="s">
        <v>33</v>
      </c>
      <c r="C1194" s="3" t="s">
        <v>34</v>
      </c>
      <c r="D1194" s="3" t="s">
        <v>45</v>
      </c>
      <c r="E1194" s="3" t="s">
        <v>25</v>
      </c>
      <c r="F1194" s="3" t="s">
        <v>25</v>
      </c>
      <c r="G1194" s="3" t="s">
        <v>25</v>
      </c>
      <c r="H1194" s="3" t="s">
        <v>36</v>
      </c>
      <c r="I1194" s="6">
        <v>44317</v>
      </c>
      <c r="J1194" s="4">
        <v>0</v>
      </c>
      <c r="K1194" s="70">
        <v>0</v>
      </c>
      <c r="L1194" s="4">
        <v>4.2039999999999997</v>
      </c>
      <c r="M1194" s="70">
        <v>4.2039999999999997</v>
      </c>
      <c r="N1194" s="4">
        <v>4.2039999999999997</v>
      </c>
      <c r="O1194" s="70">
        <v>4.2039999999999997</v>
      </c>
      <c r="P1194" s="4">
        <v>0</v>
      </c>
      <c r="Q1194" s="3" t="s">
        <v>26</v>
      </c>
      <c r="R1194" s="3">
        <v>0</v>
      </c>
      <c r="S1194" s="4">
        <v>0</v>
      </c>
      <c r="T1194" s="4">
        <v>29</v>
      </c>
      <c r="U1194" s="4">
        <v>73</v>
      </c>
      <c r="V1194" s="70">
        <f>IF(ISERROR(VLOOKUP($S$1194,'TAR FIN'!$A$1:$O$99,15,0)),0,VLOOKUP($S$1194,'TAR FIN'!$A$1:$O$99,15,0))</f>
        <v>0</v>
      </c>
      <c r="W1194" s="70">
        <f>IF(ISERROR(VLOOKUP($T$1194,'TAR FIN'!$A$1:$O$99,15,0)),0,VLOOKUP($T$1194,'TAR FIN'!$A$1:$O$99,15,0))*(1-0.04)</f>
        <v>93.70559999999999</v>
      </c>
      <c r="X1194" s="70">
        <f>IF(ISERROR(VLOOKUP($U$1194,'TAR FIN'!$A$1:$O$99,15,0)),0,VLOOKUP($U$1194,'TAR FIN'!$A$1:$O$99,15,0))*(1-0.04)</f>
        <v>211.1712</v>
      </c>
      <c r="Y1194" s="70"/>
      <c r="Z1194" s="70">
        <f ca="1">('TUSD BE'!$AM$23+'TUSD BF'!$AM$23+'TUSD CVA'!$AM$23)*1*(1-0.02)</f>
        <v>115.23932238737589</v>
      </c>
      <c r="AA1194" s="70">
        <f>('TE BE'!$AA$8+'TE BF'!$AA$8+'TE CVA'!$AA$8)*1*(1-0.02)</f>
        <v>265.71632769942346</v>
      </c>
      <c r="AB1194" s="4">
        <f>$K$1194*$V$1194</f>
        <v>0</v>
      </c>
      <c r="AC1194" s="4">
        <f>$M$1194*$W$1194</f>
        <v>393.93834239999995</v>
      </c>
      <c r="AD1194" s="4">
        <f>$O$1194*$X$1194</f>
        <v>887.76372479999998</v>
      </c>
      <c r="AE1194" s="4">
        <f>$K$1194*$Y$1194</f>
        <v>0</v>
      </c>
      <c r="AF1194" s="4">
        <f ca="1">$M$1194*$Z$1194</f>
        <v>484.46611131652821</v>
      </c>
      <c r="AG1194" s="4">
        <f>$O$1194*$AA$1194</f>
        <v>1117.0714416483761</v>
      </c>
    </row>
    <row r="1195" spans="1:33" ht="11.25" customHeight="1" x14ac:dyDescent="0.25">
      <c r="A1195" s="3" t="s">
        <v>21</v>
      </c>
      <c r="B1195" s="3" t="s">
        <v>33</v>
      </c>
      <c r="C1195" s="3" t="s">
        <v>34</v>
      </c>
      <c r="D1195" s="3" t="s">
        <v>45</v>
      </c>
      <c r="E1195" s="3" t="s">
        <v>25</v>
      </c>
      <c r="F1195" s="3" t="s">
        <v>25</v>
      </c>
      <c r="G1195" s="3" t="s">
        <v>25</v>
      </c>
      <c r="H1195" s="3" t="s">
        <v>36</v>
      </c>
      <c r="I1195" s="6">
        <v>44348</v>
      </c>
      <c r="J1195" s="4">
        <v>0</v>
      </c>
      <c r="K1195" s="70">
        <v>0</v>
      </c>
      <c r="L1195" s="4">
        <v>996.875</v>
      </c>
      <c r="M1195" s="70">
        <v>996.875</v>
      </c>
      <c r="N1195" s="4">
        <v>996.875</v>
      </c>
      <c r="O1195" s="70">
        <v>996.875</v>
      </c>
      <c r="P1195" s="4">
        <v>0</v>
      </c>
      <c r="Q1195" s="3" t="s">
        <v>26</v>
      </c>
      <c r="R1195" s="3">
        <v>0</v>
      </c>
      <c r="S1195" s="4">
        <v>0</v>
      </c>
      <c r="T1195" s="4">
        <v>29</v>
      </c>
      <c r="U1195" s="4">
        <v>73</v>
      </c>
      <c r="V1195" s="70">
        <f>IF(ISERROR(VLOOKUP($S$1195,'TAR FIN'!$A$1:$O$99,15,0)),0,VLOOKUP($S$1195,'TAR FIN'!$A$1:$O$99,15,0))</f>
        <v>0</v>
      </c>
      <c r="W1195" s="70">
        <f>IF(ISERROR(VLOOKUP($T$1195,'TAR FIN'!$A$1:$O$99,15,0)),0,VLOOKUP($T$1195,'TAR FIN'!$A$1:$O$99,15,0))*(1-0.04)</f>
        <v>93.70559999999999</v>
      </c>
      <c r="X1195" s="70">
        <f>IF(ISERROR(VLOOKUP($U$1195,'TAR FIN'!$A$1:$O$99,15,0)),0,VLOOKUP($U$1195,'TAR FIN'!$A$1:$O$99,15,0))*(1-0.04)</f>
        <v>211.1712</v>
      </c>
      <c r="Y1195" s="70"/>
      <c r="Z1195" s="70">
        <f ca="1">('TUSD BE'!$AM$23+'TUSD BF'!$AM$23+'TUSD CVA'!$AM$23)*1*(1-0.02)</f>
        <v>115.23932238737589</v>
      </c>
      <c r="AA1195" s="70">
        <f>('TE BE'!$AA$8+'TE BF'!$AA$8+'TE CVA'!$AA$8)*1*(1-0.02)</f>
        <v>265.71632769942346</v>
      </c>
      <c r="AB1195" s="4">
        <f>$K$1195*$V$1195</f>
        <v>0</v>
      </c>
      <c r="AC1195" s="4">
        <f>$M$1195*$W$1195</f>
        <v>93412.76999999999</v>
      </c>
      <c r="AD1195" s="4">
        <f>$O$1195*$X$1195</f>
        <v>210511.29</v>
      </c>
      <c r="AE1195" s="4">
        <f>$K$1195*$Y$1195</f>
        <v>0</v>
      </c>
      <c r="AF1195" s="4">
        <f ca="1">$M$1195*$Z$1195</f>
        <v>114879.19950491535</v>
      </c>
      <c r="AG1195" s="4">
        <f>$O$1195*$AA$1195</f>
        <v>264885.96417536278</v>
      </c>
    </row>
    <row r="1196" spans="1:33" ht="11.25" customHeight="1" x14ac:dyDescent="0.25">
      <c r="A1196" s="3" t="s">
        <v>28</v>
      </c>
      <c r="B1196" s="3" t="s">
        <v>33</v>
      </c>
      <c r="C1196" s="3" t="s">
        <v>34</v>
      </c>
      <c r="D1196" s="3" t="s">
        <v>45</v>
      </c>
      <c r="E1196" s="3" t="s">
        <v>25</v>
      </c>
      <c r="F1196" s="3" t="s">
        <v>25</v>
      </c>
      <c r="G1196" s="3" t="s">
        <v>25</v>
      </c>
      <c r="H1196" s="3" t="s">
        <v>36</v>
      </c>
      <c r="I1196" s="6">
        <v>44348</v>
      </c>
      <c r="J1196" s="4">
        <v>0</v>
      </c>
      <c r="K1196" s="70">
        <v>0</v>
      </c>
      <c r="L1196" s="4">
        <v>-5.6360000000000001</v>
      </c>
      <c r="M1196" s="70">
        <v>-5.6360000000000001</v>
      </c>
      <c r="N1196" s="4">
        <v>-5.6360000000000001</v>
      </c>
      <c r="O1196" s="70">
        <v>-5.6360000000000001</v>
      </c>
      <c r="P1196" s="4">
        <v>0</v>
      </c>
      <c r="Q1196" s="3" t="s">
        <v>26</v>
      </c>
      <c r="R1196" s="3">
        <v>0</v>
      </c>
      <c r="S1196" s="4">
        <v>0</v>
      </c>
      <c r="T1196" s="4">
        <v>29</v>
      </c>
      <c r="U1196" s="4">
        <v>73</v>
      </c>
      <c r="V1196" s="70">
        <f>IF(ISERROR(VLOOKUP($S$1196,'TAR FIN'!$A$1:$O$99,15,0)),0,VLOOKUP($S$1196,'TAR FIN'!$A$1:$O$99,15,0))</f>
        <v>0</v>
      </c>
      <c r="W1196" s="70">
        <f>IF(ISERROR(VLOOKUP($T$1196,'TAR FIN'!$A$1:$O$99,15,0)),0,VLOOKUP($T$1196,'TAR FIN'!$A$1:$O$99,15,0))*(1-0.04)</f>
        <v>93.70559999999999</v>
      </c>
      <c r="X1196" s="70">
        <f>IF(ISERROR(VLOOKUP($U$1196,'TAR FIN'!$A$1:$O$99,15,0)),0,VLOOKUP($U$1196,'TAR FIN'!$A$1:$O$99,15,0))*(1-0.04)</f>
        <v>211.1712</v>
      </c>
      <c r="Y1196" s="70"/>
      <c r="Z1196" s="70">
        <f ca="1">('TUSD BE'!$AM$23+'TUSD BF'!$AM$23+'TUSD CVA'!$AM$23)*1*(1-0.02)</f>
        <v>115.23932238737589</v>
      </c>
      <c r="AA1196" s="70">
        <f>('TE BE'!$AA$8+'TE BF'!$AA$8+'TE CVA'!$AA$8)*1*(1-0.02)</f>
        <v>265.71632769942346</v>
      </c>
      <c r="AB1196" s="4">
        <f>$K$1196*$V$1196</f>
        <v>0</v>
      </c>
      <c r="AC1196" s="4">
        <f>$M$1196*$W$1196</f>
        <v>-528.12476159999994</v>
      </c>
      <c r="AD1196" s="4">
        <f>$O$1196*$X$1196</f>
        <v>-1190.1608831999999</v>
      </c>
      <c r="AE1196" s="4">
        <f>$K$1196*$Y$1196</f>
        <v>0</v>
      </c>
      <c r="AF1196" s="4">
        <f ca="1">$M$1196*$Z$1196</f>
        <v>-649.48882097525052</v>
      </c>
      <c r="AG1196" s="4">
        <f>$O$1196*$AA$1196</f>
        <v>-1497.5772229139507</v>
      </c>
    </row>
    <row r="1197" spans="1:33" ht="11.25" customHeight="1" x14ac:dyDescent="0.25">
      <c r="A1197" s="3" t="s">
        <v>21</v>
      </c>
      <c r="B1197" s="3" t="s">
        <v>33</v>
      </c>
      <c r="C1197" s="3" t="s">
        <v>34</v>
      </c>
      <c r="D1197" s="3" t="s">
        <v>45</v>
      </c>
      <c r="E1197" s="3" t="s">
        <v>25</v>
      </c>
      <c r="F1197" s="3" t="s">
        <v>25</v>
      </c>
      <c r="G1197" s="3" t="s">
        <v>25</v>
      </c>
      <c r="H1197" s="3" t="s">
        <v>36</v>
      </c>
      <c r="I1197" s="6">
        <v>44378</v>
      </c>
      <c r="J1197" s="4">
        <v>0</v>
      </c>
      <c r="K1197" s="70">
        <v>0</v>
      </c>
      <c r="L1197" s="4">
        <v>1004.29</v>
      </c>
      <c r="M1197" s="70">
        <v>1004.29</v>
      </c>
      <c r="N1197" s="4">
        <v>1004.29</v>
      </c>
      <c r="O1197" s="70">
        <v>1004.29</v>
      </c>
      <c r="P1197" s="4">
        <v>0</v>
      </c>
      <c r="Q1197" s="3" t="s">
        <v>26</v>
      </c>
      <c r="R1197" s="3">
        <v>0</v>
      </c>
      <c r="S1197" s="4">
        <v>0</v>
      </c>
      <c r="T1197" s="4">
        <v>29</v>
      </c>
      <c r="U1197" s="4">
        <v>73</v>
      </c>
      <c r="V1197" s="70">
        <f>IF(ISERROR(VLOOKUP($S$1197,'TAR FIN'!$A$1:$O$99,15,0)),0,VLOOKUP($S$1197,'TAR FIN'!$A$1:$O$99,15,0))</f>
        <v>0</v>
      </c>
      <c r="W1197" s="70">
        <f>IF(ISERROR(VLOOKUP($T$1197,'TAR FIN'!$A$1:$O$99,15,0)),0,VLOOKUP($T$1197,'TAR FIN'!$A$1:$O$99,15,0))*(1-0.04)</f>
        <v>93.70559999999999</v>
      </c>
      <c r="X1197" s="70">
        <f>IF(ISERROR(VLOOKUP($U$1197,'TAR FIN'!$A$1:$O$99,15,0)),0,VLOOKUP($U$1197,'TAR FIN'!$A$1:$O$99,15,0))*(1-0.04)</f>
        <v>211.1712</v>
      </c>
      <c r="Y1197" s="70"/>
      <c r="Z1197" s="70">
        <f ca="1">('TUSD BE'!$AM$23+'TUSD BF'!$AM$23+'TUSD CVA'!$AM$23)*1*(1-0.02)</f>
        <v>115.23932238737589</v>
      </c>
      <c r="AA1197" s="70">
        <f>('TE BE'!$AA$8+'TE BF'!$AA$8+'TE CVA'!$AA$8)*1*(1-0.02)</f>
        <v>265.71632769942346</v>
      </c>
      <c r="AB1197" s="4">
        <f>$K$1197*$V$1197</f>
        <v>0</v>
      </c>
      <c r="AC1197" s="4">
        <f>$M$1197*$W$1197</f>
        <v>94107.597023999988</v>
      </c>
      <c r="AD1197" s="4">
        <f>$O$1197*$X$1197</f>
        <v>212077.12444799999</v>
      </c>
      <c r="AE1197" s="4">
        <f>$K$1197*$Y$1197</f>
        <v>0</v>
      </c>
      <c r="AF1197" s="4">
        <f ca="1">$M$1197*$Z$1197</f>
        <v>115733.69908041773</v>
      </c>
      <c r="AG1197" s="4">
        <f>$O$1197*$AA$1197</f>
        <v>266856.25074525399</v>
      </c>
    </row>
    <row r="1198" spans="1:33" ht="11.25" customHeight="1" x14ac:dyDescent="0.25">
      <c r="A1198" s="3" t="s">
        <v>28</v>
      </c>
      <c r="B1198" s="3" t="s">
        <v>33</v>
      </c>
      <c r="C1198" s="3" t="s">
        <v>34</v>
      </c>
      <c r="D1198" s="3" t="s">
        <v>45</v>
      </c>
      <c r="E1198" s="3" t="s">
        <v>25</v>
      </c>
      <c r="F1198" s="3" t="s">
        <v>25</v>
      </c>
      <c r="G1198" s="3" t="s">
        <v>25</v>
      </c>
      <c r="H1198" s="3" t="s">
        <v>36</v>
      </c>
      <c r="I1198" s="6">
        <v>44378</v>
      </c>
      <c r="J1198" s="4">
        <v>0</v>
      </c>
      <c r="K1198" s="70">
        <v>0</v>
      </c>
      <c r="L1198" s="4">
        <v>0.54</v>
      </c>
      <c r="M1198" s="70">
        <v>0.54</v>
      </c>
      <c r="N1198" s="4">
        <v>0.54</v>
      </c>
      <c r="O1198" s="70">
        <v>0.54</v>
      </c>
      <c r="P1198" s="4">
        <v>0</v>
      </c>
      <c r="Q1198" s="3" t="s">
        <v>26</v>
      </c>
      <c r="R1198" s="3">
        <v>0</v>
      </c>
      <c r="S1198" s="4">
        <v>0</v>
      </c>
      <c r="T1198" s="4">
        <v>29</v>
      </c>
      <c r="U1198" s="4">
        <v>73</v>
      </c>
      <c r="V1198" s="70">
        <f>IF(ISERROR(VLOOKUP($S$1198,'TAR FIN'!$A$1:$O$99,15,0)),0,VLOOKUP($S$1198,'TAR FIN'!$A$1:$O$99,15,0))</f>
        <v>0</v>
      </c>
      <c r="W1198" s="70">
        <f>IF(ISERROR(VLOOKUP($T$1198,'TAR FIN'!$A$1:$O$99,15,0)),0,VLOOKUP($T$1198,'TAR FIN'!$A$1:$O$99,15,0))*(1-0.04)</f>
        <v>93.70559999999999</v>
      </c>
      <c r="X1198" s="70">
        <f>IF(ISERROR(VLOOKUP($U$1198,'TAR FIN'!$A$1:$O$99,15,0)),0,VLOOKUP($U$1198,'TAR FIN'!$A$1:$O$99,15,0))*(1-0.04)</f>
        <v>211.1712</v>
      </c>
      <c r="Y1198" s="70"/>
      <c r="Z1198" s="70">
        <f ca="1">('TUSD BE'!$AM$23+'TUSD BF'!$AM$23+'TUSD CVA'!$AM$23)*1*(1-0.02)</f>
        <v>115.23932238737589</v>
      </c>
      <c r="AA1198" s="70">
        <f>('TE BE'!$AA$8+'TE BF'!$AA$8+'TE CVA'!$AA$8)*1*(1-0.02)</f>
        <v>265.71632769942346</v>
      </c>
      <c r="AB1198" s="4">
        <f>$K$1198*$V$1198</f>
        <v>0</v>
      </c>
      <c r="AC1198" s="4">
        <f>$M$1198*$W$1198</f>
        <v>50.601023999999995</v>
      </c>
      <c r="AD1198" s="4">
        <f>$O$1198*$X$1198</f>
        <v>114.032448</v>
      </c>
      <c r="AE1198" s="4">
        <f>$K$1198*$Y$1198</f>
        <v>0</v>
      </c>
      <c r="AF1198" s="4">
        <f ca="1">$M$1198*$Z$1198</f>
        <v>62.229234089182988</v>
      </c>
      <c r="AG1198" s="4">
        <f>$O$1198*$AA$1198</f>
        <v>143.48681695768869</v>
      </c>
    </row>
    <row r="1199" spans="1:33" ht="11.25" customHeight="1" x14ac:dyDescent="0.25">
      <c r="A1199" s="3" t="s">
        <v>21</v>
      </c>
      <c r="B1199" s="3" t="s">
        <v>33</v>
      </c>
      <c r="C1199" s="3" t="s">
        <v>34</v>
      </c>
      <c r="D1199" s="3" t="s">
        <v>45</v>
      </c>
      <c r="E1199" s="3" t="s">
        <v>25</v>
      </c>
      <c r="F1199" s="3" t="s">
        <v>25</v>
      </c>
      <c r="G1199" s="3" t="s">
        <v>25</v>
      </c>
      <c r="H1199" s="3" t="s">
        <v>36</v>
      </c>
      <c r="I1199" s="6">
        <v>44409</v>
      </c>
      <c r="J1199" s="4">
        <v>0</v>
      </c>
      <c r="K1199" s="70">
        <v>0</v>
      </c>
      <c r="L1199" s="4">
        <v>735.94899999999996</v>
      </c>
      <c r="M1199" s="70">
        <v>735.94899999999996</v>
      </c>
      <c r="N1199" s="4">
        <v>735.94899999999996</v>
      </c>
      <c r="O1199" s="70">
        <v>735.94899999999996</v>
      </c>
      <c r="P1199" s="4">
        <v>0</v>
      </c>
      <c r="Q1199" s="3" t="s">
        <v>26</v>
      </c>
      <c r="R1199" s="3">
        <v>0</v>
      </c>
      <c r="S1199" s="4">
        <v>0</v>
      </c>
      <c r="T1199" s="4">
        <v>29</v>
      </c>
      <c r="U1199" s="4">
        <v>73</v>
      </c>
      <c r="V1199" s="70">
        <f>IF(ISERROR(VLOOKUP($S$1199,'TAR FIN'!$A$1:$O$99,15,0)),0,VLOOKUP($S$1199,'TAR FIN'!$A$1:$O$99,15,0))</f>
        <v>0</v>
      </c>
      <c r="W1199" s="70">
        <f>IF(ISERROR(VLOOKUP($T$1199,'TAR FIN'!$A$1:$O$99,15,0)),0,VLOOKUP($T$1199,'TAR FIN'!$A$1:$O$99,15,0))*(1-0.04)</f>
        <v>93.70559999999999</v>
      </c>
      <c r="X1199" s="70">
        <f>IF(ISERROR(VLOOKUP($U$1199,'TAR FIN'!$A$1:$O$99,15,0)),0,VLOOKUP($U$1199,'TAR FIN'!$A$1:$O$99,15,0))*(1-0.04)</f>
        <v>211.1712</v>
      </c>
      <c r="Y1199" s="70"/>
      <c r="Z1199" s="70">
        <f ca="1">('TUSD BE'!$AM$23+'TUSD BF'!$AM$23+'TUSD CVA'!$AM$23)*1*(1-0.02)</f>
        <v>115.23932238737589</v>
      </c>
      <c r="AA1199" s="70">
        <f>('TE BE'!$AA$8+'TE BF'!$AA$8+'TE CVA'!$AA$8)*1*(1-0.02)</f>
        <v>265.71632769942346</v>
      </c>
      <c r="AB1199" s="4">
        <f>$K$1199*$V$1199</f>
        <v>0</v>
      </c>
      <c r="AC1199" s="4">
        <f>$M$1199*$W$1199</f>
        <v>68962.542614399994</v>
      </c>
      <c r="AD1199" s="4">
        <f>$O$1199*$X$1199</f>
        <v>155411.2334688</v>
      </c>
      <c r="AE1199" s="4">
        <f>$K$1199*$Y$1199</f>
        <v>0</v>
      </c>
      <c r="AF1199" s="4">
        <f ca="1">$M$1199*$Z$1199</f>
        <v>84810.264071666898</v>
      </c>
      <c r="AG1199" s="4">
        <f>$O$1199*$AA$1199</f>
        <v>195553.66565406299</v>
      </c>
    </row>
    <row r="1200" spans="1:33" ht="11.25" customHeight="1" x14ac:dyDescent="0.25">
      <c r="A1200" s="3" t="s">
        <v>28</v>
      </c>
      <c r="B1200" s="3" t="s">
        <v>33</v>
      </c>
      <c r="C1200" s="3" t="s">
        <v>34</v>
      </c>
      <c r="D1200" s="3" t="s">
        <v>45</v>
      </c>
      <c r="E1200" s="3" t="s">
        <v>25</v>
      </c>
      <c r="F1200" s="3" t="s">
        <v>25</v>
      </c>
      <c r="G1200" s="3" t="s">
        <v>25</v>
      </c>
      <c r="H1200" s="3" t="s">
        <v>36</v>
      </c>
      <c r="I1200" s="6">
        <v>44409</v>
      </c>
      <c r="J1200" s="4">
        <v>0</v>
      </c>
      <c r="K1200" s="70">
        <v>0</v>
      </c>
      <c r="L1200" s="4">
        <v>17.625</v>
      </c>
      <c r="M1200" s="70">
        <v>17.625</v>
      </c>
      <c r="N1200" s="4">
        <v>17.625</v>
      </c>
      <c r="O1200" s="70">
        <v>17.625</v>
      </c>
      <c r="P1200" s="4">
        <v>0</v>
      </c>
      <c r="Q1200" s="3" t="s">
        <v>26</v>
      </c>
      <c r="R1200" s="3">
        <v>0</v>
      </c>
      <c r="S1200" s="4">
        <v>0</v>
      </c>
      <c r="T1200" s="4">
        <v>29</v>
      </c>
      <c r="U1200" s="4">
        <v>73</v>
      </c>
      <c r="V1200" s="70">
        <f>IF(ISERROR(VLOOKUP($S$1200,'TAR FIN'!$A$1:$O$99,15,0)),0,VLOOKUP($S$1200,'TAR FIN'!$A$1:$O$99,15,0))</f>
        <v>0</v>
      </c>
      <c r="W1200" s="70">
        <f>IF(ISERROR(VLOOKUP($T$1200,'TAR FIN'!$A$1:$O$99,15,0)),0,VLOOKUP($T$1200,'TAR FIN'!$A$1:$O$99,15,0))*(1-0.04)</f>
        <v>93.70559999999999</v>
      </c>
      <c r="X1200" s="70">
        <f>IF(ISERROR(VLOOKUP($U$1200,'TAR FIN'!$A$1:$O$99,15,0)),0,VLOOKUP($U$1200,'TAR FIN'!$A$1:$O$99,15,0))*(1-0.04)</f>
        <v>211.1712</v>
      </c>
      <c r="Y1200" s="70"/>
      <c r="Z1200" s="70">
        <f ca="1">('TUSD BE'!$AM$23+'TUSD BF'!$AM$23+'TUSD CVA'!$AM$23)*1*(1-0.02)</f>
        <v>115.23932238737589</v>
      </c>
      <c r="AA1200" s="70">
        <f>('TE BE'!$AA$8+'TE BF'!$AA$8+'TE CVA'!$AA$8)*1*(1-0.02)</f>
        <v>265.71632769942346</v>
      </c>
      <c r="AB1200" s="4">
        <f>$K$1200*$V$1200</f>
        <v>0</v>
      </c>
      <c r="AC1200" s="4">
        <f>$M$1200*$W$1200</f>
        <v>1651.5611999999999</v>
      </c>
      <c r="AD1200" s="4">
        <f>$O$1200*$X$1200</f>
        <v>3721.8924000000002</v>
      </c>
      <c r="AE1200" s="4">
        <f>$K$1200*$Y$1200</f>
        <v>0</v>
      </c>
      <c r="AF1200" s="4">
        <f ca="1">$M$1200*$Z$1200</f>
        <v>2031.0930570775001</v>
      </c>
      <c r="AG1200" s="4">
        <f>$O$1200*$AA$1200</f>
        <v>4683.2502757023385</v>
      </c>
    </row>
    <row r="1201" spans="1:33" ht="11.25" customHeight="1" x14ac:dyDescent="0.25">
      <c r="A1201" s="3" t="s">
        <v>21</v>
      </c>
      <c r="B1201" s="3" t="s">
        <v>33</v>
      </c>
      <c r="C1201" s="3" t="s">
        <v>34</v>
      </c>
      <c r="D1201" s="3" t="s">
        <v>45</v>
      </c>
      <c r="E1201" s="3" t="s">
        <v>25</v>
      </c>
      <c r="F1201" s="3" t="s">
        <v>25</v>
      </c>
      <c r="G1201" s="3" t="s">
        <v>25</v>
      </c>
      <c r="H1201" s="3" t="s">
        <v>36</v>
      </c>
      <c r="I1201" s="6">
        <v>44440</v>
      </c>
      <c r="J1201" s="4">
        <v>0</v>
      </c>
      <c r="K1201" s="70">
        <v>0</v>
      </c>
      <c r="L1201" s="4">
        <v>690.42499999999995</v>
      </c>
      <c r="M1201" s="70">
        <v>690.42499999999995</v>
      </c>
      <c r="N1201" s="4">
        <v>690.42499999999995</v>
      </c>
      <c r="O1201" s="70">
        <v>690.42499999999995</v>
      </c>
      <c r="P1201" s="4">
        <v>0</v>
      </c>
      <c r="Q1201" s="3" t="s">
        <v>26</v>
      </c>
      <c r="R1201" s="3">
        <v>0</v>
      </c>
      <c r="S1201" s="4">
        <v>0</v>
      </c>
      <c r="T1201" s="4">
        <v>29</v>
      </c>
      <c r="U1201" s="4">
        <v>73</v>
      </c>
      <c r="V1201" s="70">
        <f>IF(ISERROR(VLOOKUP($S$1201,'TAR FIN'!$A$1:$O$99,15,0)),0,VLOOKUP($S$1201,'TAR FIN'!$A$1:$O$99,15,0))</f>
        <v>0</v>
      </c>
      <c r="W1201" s="70">
        <f>IF(ISERROR(VLOOKUP($T$1201,'TAR FIN'!$A$1:$O$99,15,0)),0,VLOOKUP($T$1201,'TAR FIN'!$A$1:$O$99,15,0))*(1-0.04)</f>
        <v>93.70559999999999</v>
      </c>
      <c r="X1201" s="70">
        <f>IF(ISERROR(VLOOKUP($U$1201,'TAR FIN'!$A$1:$O$99,15,0)),0,VLOOKUP($U$1201,'TAR FIN'!$A$1:$O$99,15,0))*(1-0.04)</f>
        <v>211.1712</v>
      </c>
      <c r="Y1201" s="70"/>
      <c r="Z1201" s="70">
        <f ca="1">('TUSD BE'!$AM$23+'TUSD BF'!$AM$23+'TUSD CVA'!$AM$23)*1*(1-0.02)</f>
        <v>115.23932238737589</v>
      </c>
      <c r="AA1201" s="70">
        <f>('TE BE'!$AA$8+'TE BF'!$AA$8+'TE CVA'!$AA$8)*1*(1-0.02)</f>
        <v>265.71632769942346</v>
      </c>
      <c r="AB1201" s="4">
        <f>$K$1201*$V$1201</f>
        <v>0</v>
      </c>
      <c r="AC1201" s="4">
        <f>$M$1201*$W$1201</f>
        <v>64696.688879999987</v>
      </c>
      <c r="AD1201" s="4">
        <f>$O$1201*$X$1201</f>
        <v>145797.87576</v>
      </c>
      <c r="AE1201" s="4">
        <f>$K$1201*$Y$1201</f>
        <v>0</v>
      </c>
      <c r="AF1201" s="4">
        <f ca="1">$M$1201*$Z$1201</f>
        <v>79564.109159303989</v>
      </c>
      <c r="AG1201" s="4">
        <f>$O$1201*$AA$1201</f>
        <v>183457.19555187444</v>
      </c>
    </row>
    <row r="1202" spans="1:33" ht="11.25" customHeight="1" x14ac:dyDescent="0.25">
      <c r="A1202" s="3" t="s">
        <v>28</v>
      </c>
      <c r="B1202" s="3" t="s">
        <v>33</v>
      </c>
      <c r="C1202" s="3" t="s">
        <v>34</v>
      </c>
      <c r="D1202" s="3" t="s">
        <v>45</v>
      </c>
      <c r="E1202" s="3" t="s">
        <v>25</v>
      </c>
      <c r="F1202" s="3" t="s">
        <v>25</v>
      </c>
      <c r="G1202" s="3" t="s">
        <v>25</v>
      </c>
      <c r="H1202" s="3" t="s">
        <v>36</v>
      </c>
      <c r="I1202" s="6">
        <v>44440</v>
      </c>
      <c r="J1202" s="4">
        <v>0</v>
      </c>
      <c r="K1202" s="70">
        <v>0</v>
      </c>
      <c r="L1202" s="4">
        <v>105.735</v>
      </c>
      <c r="M1202" s="70">
        <v>105.735</v>
      </c>
      <c r="N1202" s="4">
        <v>105.735</v>
      </c>
      <c r="O1202" s="70">
        <v>105.735</v>
      </c>
      <c r="P1202" s="4">
        <v>0</v>
      </c>
      <c r="Q1202" s="3" t="s">
        <v>26</v>
      </c>
      <c r="R1202" s="3">
        <v>0</v>
      </c>
      <c r="S1202" s="4">
        <v>0</v>
      </c>
      <c r="T1202" s="4">
        <v>29</v>
      </c>
      <c r="U1202" s="4">
        <v>73</v>
      </c>
      <c r="V1202" s="70">
        <f>IF(ISERROR(VLOOKUP($S$1202,'TAR FIN'!$A$1:$O$99,15,0)),0,VLOOKUP($S$1202,'TAR FIN'!$A$1:$O$99,15,0))</f>
        <v>0</v>
      </c>
      <c r="W1202" s="70">
        <f>IF(ISERROR(VLOOKUP($T$1202,'TAR FIN'!$A$1:$O$99,15,0)),0,VLOOKUP($T$1202,'TAR FIN'!$A$1:$O$99,15,0))*(1-0.04)</f>
        <v>93.70559999999999</v>
      </c>
      <c r="X1202" s="70">
        <f>IF(ISERROR(VLOOKUP($U$1202,'TAR FIN'!$A$1:$O$99,15,0)),0,VLOOKUP($U$1202,'TAR FIN'!$A$1:$O$99,15,0))*(1-0.04)</f>
        <v>211.1712</v>
      </c>
      <c r="Y1202" s="70"/>
      <c r="Z1202" s="70">
        <f ca="1">('TUSD BE'!$AM$23+'TUSD BF'!$AM$23+'TUSD CVA'!$AM$23)*1*(1-0.02)</f>
        <v>115.23932238737589</v>
      </c>
      <c r="AA1202" s="70">
        <f>('TE BE'!$AA$8+'TE BF'!$AA$8+'TE CVA'!$AA$8)*1*(1-0.02)</f>
        <v>265.71632769942346</v>
      </c>
      <c r="AB1202" s="4">
        <f>$K$1202*$V$1202</f>
        <v>0</v>
      </c>
      <c r="AC1202" s="4">
        <f>$M$1202*$W$1202</f>
        <v>9907.9616159999987</v>
      </c>
      <c r="AD1202" s="4">
        <f>$O$1202*$X$1202</f>
        <v>22328.186831999999</v>
      </c>
      <c r="AE1202" s="4">
        <f>$K$1202*$Y$1202</f>
        <v>0</v>
      </c>
      <c r="AF1202" s="4">
        <f ca="1">$M$1202*$Z$1202</f>
        <v>12184.82975262919</v>
      </c>
      <c r="AG1202" s="4">
        <f>$O$1202*$AA$1202</f>
        <v>28095.515909298538</v>
      </c>
    </row>
    <row r="1203" spans="1:33" ht="11.25" customHeight="1" x14ac:dyDescent="0.25">
      <c r="A1203" s="3" t="s">
        <v>21</v>
      </c>
      <c r="B1203" s="3" t="s">
        <v>33</v>
      </c>
      <c r="C1203" s="3" t="s">
        <v>34</v>
      </c>
      <c r="D1203" s="3" t="s">
        <v>45</v>
      </c>
      <c r="E1203" s="3" t="s">
        <v>25</v>
      </c>
      <c r="F1203" s="3" t="s">
        <v>25</v>
      </c>
      <c r="G1203" s="3" t="s">
        <v>25</v>
      </c>
      <c r="H1203" s="3" t="s">
        <v>36</v>
      </c>
      <c r="I1203" s="6">
        <v>44470</v>
      </c>
      <c r="J1203" s="4">
        <v>0</v>
      </c>
      <c r="K1203" s="70">
        <v>0</v>
      </c>
      <c r="L1203" s="4">
        <v>758.21699999999998</v>
      </c>
      <c r="M1203" s="70">
        <v>758.21699999999998</v>
      </c>
      <c r="N1203" s="4">
        <v>758.21699999999998</v>
      </c>
      <c r="O1203" s="70">
        <v>758.21699999999998</v>
      </c>
      <c r="P1203" s="4">
        <v>0</v>
      </c>
      <c r="Q1203" s="3" t="s">
        <v>26</v>
      </c>
      <c r="R1203" s="3">
        <v>0</v>
      </c>
      <c r="S1203" s="4">
        <v>0</v>
      </c>
      <c r="T1203" s="4">
        <v>29</v>
      </c>
      <c r="U1203" s="4">
        <v>73</v>
      </c>
      <c r="V1203" s="70">
        <f>IF(ISERROR(VLOOKUP($S$1203,'TAR FIN'!$A$1:$O$99,15,0)),0,VLOOKUP($S$1203,'TAR FIN'!$A$1:$O$99,15,0))</f>
        <v>0</v>
      </c>
      <c r="W1203" s="70">
        <f>IF(ISERROR(VLOOKUP($T$1203,'TAR FIN'!$A$1:$O$99,15,0)),0,VLOOKUP($T$1203,'TAR FIN'!$A$1:$O$99,15,0))*(1-0.04)</f>
        <v>93.70559999999999</v>
      </c>
      <c r="X1203" s="70">
        <f>IF(ISERROR(VLOOKUP($U$1203,'TAR FIN'!$A$1:$O$99,15,0)),0,VLOOKUP($U$1203,'TAR FIN'!$A$1:$O$99,15,0))*(1-0.04)</f>
        <v>211.1712</v>
      </c>
      <c r="Y1203" s="70"/>
      <c r="Z1203" s="70">
        <f ca="1">('TUSD BE'!$AM$23+'TUSD BF'!$AM$23+'TUSD CVA'!$AM$23)*1*(1-0.02)</f>
        <v>115.23932238737589</v>
      </c>
      <c r="AA1203" s="70">
        <f>('TE BE'!$AA$8+'TE BF'!$AA$8+'TE CVA'!$AA$8)*1*(1-0.02)</f>
        <v>265.71632769942346</v>
      </c>
      <c r="AB1203" s="4">
        <f>$K$1203*$V$1203</f>
        <v>0</v>
      </c>
      <c r="AC1203" s="4">
        <f>$M$1203*$W$1203</f>
        <v>71049.178915199984</v>
      </c>
      <c r="AD1203" s="4">
        <f>$O$1203*$X$1203</f>
        <v>160113.5937504</v>
      </c>
      <c r="AE1203" s="4">
        <f>$K$1203*$Y$1203</f>
        <v>0</v>
      </c>
      <c r="AF1203" s="4">
        <f ca="1">$M$1203*$Z$1203</f>
        <v>87376.41330258899</v>
      </c>
      <c r="AG1203" s="4">
        <f>$O$1203*$AA$1203</f>
        <v>201470.63683927376</v>
      </c>
    </row>
    <row r="1204" spans="1:33" ht="11.25" customHeight="1" x14ac:dyDescent="0.25">
      <c r="A1204" s="3" t="s">
        <v>28</v>
      </c>
      <c r="B1204" s="3" t="s">
        <v>33</v>
      </c>
      <c r="C1204" s="3" t="s">
        <v>34</v>
      </c>
      <c r="D1204" s="3" t="s">
        <v>45</v>
      </c>
      <c r="E1204" s="3" t="s">
        <v>25</v>
      </c>
      <c r="F1204" s="3" t="s">
        <v>25</v>
      </c>
      <c r="G1204" s="3" t="s">
        <v>25</v>
      </c>
      <c r="H1204" s="3" t="s">
        <v>36</v>
      </c>
      <c r="I1204" s="6">
        <v>44470</v>
      </c>
      <c r="J1204" s="4">
        <v>0</v>
      </c>
      <c r="K1204" s="70">
        <v>0</v>
      </c>
      <c r="L1204" s="4">
        <v>237.92599999999999</v>
      </c>
      <c r="M1204" s="70">
        <v>237.92599999999999</v>
      </c>
      <c r="N1204" s="4">
        <v>237.92599999999999</v>
      </c>
      <c r="O1204" s="70">
        <v>237.92599999999999</v>
      </c>
      <c r="P1204" s="4">
        <v>0</v>
      </c>
      <c r="Q1204" s="3" t="s">
        <v>26</v>
      </c>
      <c r="R1204" s="3">
        <v>0</v>
      </c>
      <c r="S1204" s="4">
        <v>0</v>
      </c>
      <c r="T1204" s="4">
        <v>29</v>
      </c>
      <c r="U1204" s="4">
        <v>73</v>
      </c>
      <c r="V1204" s="70">
        <f>IF(ISERROR(VLOOKUP($S$1204,'TAR FIN'!$A$1:$O$99,15,0)),0,VLOOKUP($S$1204,'TAR FIN'!$A$1:$O$99,15,0))</f>
        <v>0</v>
      </c>
      <c r="W1204" s="70">
        <f>IF(ISERROR(VLOOKUP($T$1204,'TAR FIN'!$A$1:$O$99,15,0)),0,VLOOKUP($T$1204,'TAR FIN'!$A$1:$O$99,15,0))*(1-0.04)</f>
        <v>93.70559999999999</v>
      </c>
      <c r="X1204" s="70">
        <f>IF(ISERROR(VLOOKUP($U$1204,'TAR FIN'!$A$1:$O$99,15,0)),0,VLOOKUP($U$1204,'TAR FIN'!$A$1:$O$99,15,0))*(1-0.04)</f>
        <v>211.1712</v>
      </c>
      <c r="Y1204" s="70"/>
      <c r="Z1204" s="70">
        <f ca="1">('TUSD BE'!$AM$23+'TUSD BF'!$AM$23+'TUSD CVA'!$AM$23)*1*(1-0.02)</f>
        <v>115.23932238737589</v>
      </c>
      <c r="AA1204" s="70">
        <f>('TE BE'!$AA$8+'TE BF'!$AA$8+'TE CVA'!$AA$8)*1*(1-0.02)</f>
        <v>265.71632769942346</v>
      </c>
      <c r="AB1204" s="4">
        <f>$K$1204*$V$1204</f>
        <v>0</v>
      </c>
      <c r="AC1204" s="4">
        <f>$M$1204*$W$1204</f>
        <v>22294.998585599995</v>
      </c>
      <c r="AD1204" s="4">
        <f>$O$1204*$X$1204</f>
        <v>50243.118931199999</v>
      </c>
      <c r="AE1204" s="4">
        <f>$K$1204*$Y$1204</f>
        <v>0</v>
      </c>
      <c r="AF1204" s="4">
        <f ca="1">$M$1204*$Z$1204</f>
        <v>27418.431018338797</v>
      </c>
      <c r="AG1204" s="4">
        <f>$O$1204*$AA$1204</f>
        <v>63220.822984213024</v>
      </c>
    </row>
    <row r="1205" spans="1:33" ht="11.25" customHeight="1" x14ac:dyDescent="0.25">
      <c r="A1205" s="3" t="s">
        <v>21</v>
      </c>
      <c r="B1205" s="3" t="s">
        <v>33</v>
      </c>
      <c r="C1205" s="3" t="s">
        <v>34</v>
      </c>
      <c r="D1205" s="3" t="s">
        <v>45</v>
      </c>
      <c r="E1205" s="3" t="s">
        <v>25</v>
      </c>
      <c r="F1205" s="3" t="s">
        <v>25</v>
      </c>
      <c r="G1205" s="3" t="s">
        <v>25</v>
      </c>
      <c r="H1205" s="3" t="s">
        <v>36</v>
      </c>
      <c r="I1205" s="6">
        <v>44501</v>
      </c>
      <c r="J1205" s="4">
        <v>0</v>
      </c>
      <c r="K1205" s="70">
        <v>0</v>
      </c>
      <c r="L1205" s="4">
        <v>752.76700000000005</v>
      </c>
      <c r="M1205" s="70">
        <v>752.76700000000005</v>
      </c>
      <c r="N1205" s="4">
        <v>752.76700000000005</v>
      </c>
      <c r="O1205" s="70">
        <v>752.76700000000005</v>
      </c>
      <c r="P1205" s="4">
        <v>0</v>
      </c>
      <c r="Q1205" s="3" t="s">
        <v>26</v>
      </c>
      <c r="R1205" s="3">
        <v>0</v>
      </c>
      <c r="S1205" s="4">
        <v>0</v>
      </c>
      <c r="T1205" s="4">
        <v>29</v>
      </c>
      <c r="U1205" s="4">
        <v>73</v>
      </c>
      <c r="V1205" s="70">
        <f>IF(ISERROR(VLOOKUP($S$1205,'TAR FIN'!$A$1:$O$99,15,0)),0,VLOOKUP($S$1205,'TAR FIN'!$A$1:$O$99,15,0))</f>
        <v>0</v>
      </c>
      <c r="W1205" s="70">
        <f>IF(ISERROR(VLOOKUP($T$1205,'TAR FIN'!$A$1:$O$99,15,0)),0,VLOOKUP($T$1205,'TAR FIN'!$A$1:$O$99,15,0))*(1-0.04)</f>
        <v>93.70559999999999</v>
      </c>
      <c r="X1205" s="70">
        <f>IF(ISERROR(VLOOKUP($U$1205,'TAR FIN'!$A$1:$O$99,15,0)),0,VLOOKUP($U$1205,'TAR FIN'!$A$1:$O$99,15,0))*(1-0.04)</f>
        <v>211.1712</v>
      </c>
      <c r="Y1205" s="70"/>
      <c r="Z1205" s="70">
        <f ca="1">('TUSD BE'!$AM$23+'TUSD BF'!$AM$23+'TUSD CVA'!$AM$23)*1*(1-0.02)</f>
        <v>115.23932238737589</v>
      </c>
      <c r="AA1205" s="70">
        <f>('TE BE'!$AA$8+'TE BF'!$AA$8+'TE CVA'!$AA$8)*1*(1-0.02)</f>
        <v>265.71632769942346</v>
      </c>
      <c r="AB1205" s="4">
        <f>$K$1205*$V$1205</f>
        <v>0</v>
      </c>
      <c r="AC1205" s="4">
        <f>$M$1205*$W$1205</f>
        <v>70538.483395200004</v>
      </c>
      <c r="AD1205" s="4">
        <f>$O$1205*$X$1205</f>
        <v>158962.71071040002</v>
      </c>
      <c r="AE1205" s="4">
        <f>$K$1205*$Y$1205</f>
        <v>0</v>
      </c>
      <c r="AF1205" s="4">
        <f ca="1">$M$1205*$Z$1205</f>
        <v>86748.358995577801</v>
      </c>
      <c r="AG1205" s="4">
        <f>$O$1205*$AA$1205</f>
        <v>200022.4828533119</v>
      </c>
    </row>
    <row r="1206" spans="1:33" ht="11.25" customHeight="1" x14ac:dyDescent="0.25">
      <c r="A1206" s="3" t="s">
        <v>28</v>
      </c>
      <c r="B1206" s="3" t="s">
        <v>33</v>
      </c>
      <c r="C1206" s="3" t="s">
        <v>34</v>
      </c>
      <c r="D1206" s="3" t="s">
        <v>45</v>
      </c>
      <c r="E1206" s="3" t="s">
        <v>25</v>
      </c>
      <c r="F1206" s="3" t="s">
        <v>25</v>
      </c>
      <c r="G1206" s="3" t="s">
        <v>25</v>
      </c>
      <c r="H1206" s="3" t="s">
        <v>36</v>
      </c>
      <c r="I1206" s="6">
        <v>44501</v>
      </c>
      <c r="J1206" s="4">
        <v>0</v>
      </c>
      <c r="K1206" s="70">
        <v>0</v>
      </c>
      <c r="L1206" s="4">
        <v>516.38599999999997</v>
      </c>
      <c r="M1206" s="70">
        <v>516.38599999999997</v>
      </c>
      <c r="N1206" s="4">
        <v>516.38599999999997</v>
      </c>
      <c r="O1206" s="70">
        <v>516.38599999999997</v>
      </c>
      <c r="P1206" s="4">
        <v>0</v>
      </c>
      <c r="Q1206" s="3" t="s">
        <v>26</v>
      </c>
      <c r="R1206" s="3">
        <v>0</v>
      </c>
      <c r="S1206" s="4">
        <v>0</v>
      </c>
      <c r="T1206" s="4">
        <v>29</v>
      </c>
      <c r="U1206" s="4">
        <v>73</v>
      </c>
      <c r="V1206" s="70">
        <f>IF(ISERROR(VLOOKUP($S$1206,'TAR FIN'!$A$1:$O$99,15,0)),0,VLOOKUP($S$1206,'TAR FIN'!$A$1:$O$99,15,0))</f>
        <v>0</v>
      </c>
      <c r="W1206" s="70">
        <f>IF(ISERROR(VLOOKUP($T$1206,'TAR FIN'!$A$1:$O$99,15,0)),0,VLOOKUP($T$1206,'TAR FIN'!$A$1:$O$99,15,0))*(1-0.04)</f>
        <v>93.70559999999999</v>
      </c>
      <c r="X1206" s="70">
        <f>IF(ISERROR(VLOOKUP($U$1206,'TAR FIN'!$A$1:$O$99,15,0)),0,VLOOKUP($U$1206,'TAR FIN'!$A$1:$O$99,15,0))*(1-0.04)</f>
        <v>211.1712</v>
      </c>
      <c r="Y1206" s="70"/>
      <c r="Z1206" s="70">
        <f ca="1">('TUSD BE'!$AM$23+'TUSD BF'!$AM$23+'TUSD CVA'!$AM$23)*1*(1-0.02)</f>
        <v>115.23932238737589</v>
      </c>
      <c r="AA1206" s="70">
        <f>('TE BE'!$AA$8+'TE BF'!$AA$8+'TE CVA'!$AA$8)*1*(1-0.02)</f>
        <v>265.71632769942346</v>
      </c>
      <c r="AB1206" s="4">
        <f>$K$1206*$V$1206</f>
        <v>0</v>
      </c>
      <c r="AC1206" s="4">
        <f>$M$1206*$W$1206</f>
        <v>48388.259961599993</v>
      </c>
      <c r="AD1206" s="4">
        <f>$O$1206*$X$1206</f>
        <v>109045.8512832</v>
      </c>
      <c r="AE1206" s="4">
        <f>$K$1206*$Y$1206</f>
        <v>0</v>
      </c>
      <c r="AF1206" s="4">
        <f ca="1">$M$1206*$Z$1206</f>
        <v>59507.972730327485</v>
      </c>
      <c r="AG1206" s="4">
        <f>$O$1206*$AA$1206</f>
        <v>137212.19159539448</v>
      </c>
    </row>
    <row r="1207" spans="1:33" ht="11.25" customHeight="1" x14ac:dyDescent="0.25">
      <c r="A1207" s="3" t="s">
        <v>21</v>
      </c>
      <c r="B1207" s="3" t="s">
        <v>33</v>
      </c>
      <c r="C1207" s="3" t="s">
        <v>34</v>
      </c>
      <c r="D1207" s="3" t="s">
        <v>45</v>
      </c>
      <c r="E1207" s="3" t="s">
        <v>25</v>
      </c>
      <c r="F1207" s="3" t="s">
        <v>25</v>
      </c>
      <c r="G1207" s="3" t="s">
        <v>25</v>
      </c>
      <c r="H1207" s="3" t="s">
        <v>36</v>
      </c>
      <c r="I1207" s="6">
        <v>44531</v>
      </c>
      <c r="J1207" s="4">
        <v>0</v>
      </c>
      <c r="K1207" s="70">
        <v>0</v>
      </c>
      <c r="L1207" s="4">
        <v>775.32399999999996</v>
      </c>
      <c r="M1207" s="70">
        <v>775.32399999999996</v>
      </c>
      <c r="N1207" s="4">
        <v>775.32399999999996</v>
      </c>
      <c r="O1207" s="70">
        <v>775.32399999999996</v>
      </c>
      <c r="P1207" s="4">
        <v>0</v>
      </c>
      <c r="Q1207" s="3" t="s">
        <v>26</v>
      </c>
      <c r="R1207" s="3">
        <v>0</v>
      </c>
      <c r="S1207" s="4">
        <v>0</v>
      </c>
      <c r="T1207" s="4">
        <v>29</v>
      </c>
      <c r="U1207" s="4">
        <v>73</v>
      </c>
      <c r="V1207" s="70">
        <f>IF(ISERROR(VLOOKUP($S$1207,'TAR FIN'!$A$1:$O$99,15,0)),0,VLOOKUP($S$1207,'TAR FIN'!$A$1:$O$99,15,0))</f>
        <v>0</v>
      </c>
      <c r="W1207" s="70">
        <f>IF(ISERROR(VLOOKUP($T$1207,'TAR FIN'!$A$1:$O$99,15,0)),0,VLOOKUP($T$1207,'TAR FIN'!$A$1:$O$99,15,0))*(1-0.04)</f>
        <v>93.70559999999999</v>
      </c>
      <c r="X1207" s="70">
        <f>IF(ISERROR(VLOOKUP($U$1207,'TAR FIN'!$A$1:$O$99,15,0)),0,VLOOKUP($U$1207,'TAR FIN'!$A$1:$O$99,15,0))*(1-0.04)</f>
        <v>211.1712</v>
      </c>
      <c r="Y1207" s="70"/>
      <c r="Z1207" s="70">
        <f ca="1">('TUSD BE'!$AM$23+'TUSD BF'!$AM$23+'TUSD CVA'!$AM$23)*1*(1-0.02)</f>
        <v>115.23932238737589</v>
      </c>
      <c r="AA1207" s="70">
        <f>('TE BE'!$AA$8+'TE BF'!$AA$8+'TE CVA'!$AA$8)*1*(1-0.02)</f>
        <v>265.71632769942346</v>
      </c>
      <c r="AB1207" s="4">
        <f>$K$1207*$V$1207</f>
        <v>0</v>
      </c>
      <c r="AC1207" s="4">
        <f>$M$1207*$W$1207</f>
        <v>72652.20061439999</v>
      </c>
      <c r="AD1207" s="4">
        <f>$O$1207*$X$1207</f>
        <v>163726.09946879998</v>
      </c>
      <c r="AE1207" s="4">
        <f>$K$1207*$Y$1207</f>
        <v>0</v>
      </c>
      <c r="AF1207" s="4">
        <f ca="1">$M$1207*$Z$1207</f>
        <v>89347.812390669817</v>
      </c>
      <c r="AG1207" s="4">
        <f>$O$1207*$AA$1207</f>
        <v>206016.24605722778</v>
      </c>
    </row>
    <row r="1208" spans="1:33" ht="11.25" customHeight="1" x14ac:dyDescent="0.25">
      <c r="A1208" s="3" t="s">
        <v>28</v>
      </c>
      <c r="B1208" s="3" t="s">
        <v>33</v>
      </c>
      <c r="C1208" s="3" t="s">
        <v>34</v>
      </c>
      <c r="D1208" s="3" t="s">
        <v>45</v>
      </c>
      <c r="E1208" s="3" t="s">
        <v>25</v>
      </c>
      <c r="F1208" s="3" t="s">
        <v>25</v>
      </c>
      <c r="G1208" s="3" t="s">
        <v>25</v>
      </c>
      <c r="H1208" s="3" t="s">
        <v>36</v>
      </c>
      <c r="I1208" s="6">
        <v>44531</v>
      </c>
      <c r="J1208" s="4">
        <v>0</v>
      </c>
      <c r="K1208" s="70">
        <v>0</v>
      </c>
      <c r="L1208" s="4">
        <v>539.37</v>
      </c>
      <c r="M1208" s="70">
        <v>539.37</v>
      </c>
      <c r="N1208" s="4">
        <v>539.37</v>
      </c>
      <c r="O1208" s="70">
        <v>539.37</v>
      </c>
      <c r="P1208" s="4">
        <v>0</v>
      </c>
      <c r="Q1208" s="3" t="s">
        <v>26</v>
      </c>
      <c r="R1208" s="3">
        <v>0</v>
      </c>
      <c r="S1208" s="4">
        <v>0</v>
      </c>
      <c r="T1208" s="4">
        <v>29</v>
      </c>
      <c r="U1208" s="4">
        <v>73</v>
      </c>
      <c r="V1208" s="70">
        <f>IF(ISERROR(VLOOKUP($S$1208,'TAR FIN'!$A$1:$O$99,15,0)),0,VLOOKUP($S$1208,'TAR FIN'!$A$1:$O$99,15,0))</f>
        <v>0</v>
      </c>
      <c r="W1208" s="70">
        <f>IF(ISERROR(VLOOKUP($T$1208,'TAR FIN'!$A$1:$O$99,15,0)),0,VLOOKUP($T$1208,'TAR FIN'!$A$1:$O$99,15,0))*(1-0.04)</f>
        <v>93.70559999999999</v>
      </c>
      <c r="X1208" s="70">
        <f>IF(ISERROR(VLOOKUP($U$1208,'TAR FIN'!$A$1:$O$99,15,0)),0,VLOOKUP($U$1208,'TAR FIN'!$A$1:$O$99,15,0))*(1-0.04)</f>
        <v>211.1712</v>
      </c>
      <c r="Y1208" s="70"/>
      <c r="Z1208" s="70">
        <f ca="1">('TUSD BE'!$AM$23+'TUSD BF'!$AM$23+'TUSD CVA'!$AM$23)*1*(1-0.02)</f>
        <v>115.23932238737589</v>
      </c>
      <c r="AA1208" s="70">
        <f>('TE BE'!$AA$8+'TE BF'!$AA$8+'TE CVA'!$AA$8)*1*(1-0.02)</f>
        <v>265.71632769942346</v>
      </c>
      <c r="AB1208" s="4">
        <f>$K$1208*$V$1208</f>
        <v>0</v>
      </c>
      <c r="AC1208" s="4">
        <f>$M$1208*$W$1208</f>
        <v>50541.989471999994</v>
      </c>
      <c r="AD1208" s="4">
        <f>$O$1208*$X$1208</f>
        <v>113899.41014399999</v>
      </c>
      <c r="AE1208" s="4">
        <f>$K$1208*$Y$1208</f>
        <v>0</v>
      </c>
      <c r="AF1208" s="4">
        <f ca="1">$M$1208*$Z$1208</f>
        <v>62156.633316078936</v>
      </c>
      <c r="AG1208" s="4">
        <f>$O$1208*$AA$1208</f>
        <v>143319.41567123804</v>
      </c>
    </row>
    <row r="1209" spans="1:33" ht="11.25" customHeight="1" x14ac:dyDescent="0.25">
      <c r="A1209" s="3" t="s">
        <v>21</v>
      </c>
      <c r="B1209" s="3" t="s">
        <v>33</v>
      </c>
      <c r="C1209" s="3" t="s">
        <v>34</v>
      </c>
      <c r="D1209" s="3" t="s">
        <v>45</v>
      </c>
      <c r="E1209" s="3" t="s">
        <v>25</v>
      </c>
      <c r="F1209" s="3" t="s">
        <v>25</v>
      </c>
      <c r="G1209" s="3" t="s">
        <v>25</v>
      </c>
      <c r="H1209" s="3" t="s">
        <v>36</v>
      </c>
      <c r="I1209" s="6">
        <v>44562</v>
      </c>
      <c r="J1209" s="4">
        <v>0</v>
      </c>
      <c r="K1209" s="70">
        <v>0</v>
      </c>
      <c r="L1209" s="4">
        <v>698.18299999999999</v>
      </c>
      <c r="M1209" s="70">
        <v>698.18299999999999</v>
      </c>
      <c r="N1209" s="4">
        <v>698.18299999999999</v>
      </c>
      <c r="O1209" s="70">
        <v>698.18299999999999</v>
      </c>
      <c r="P1209" s="4">
        <v>0</v>
      </c>
      <c r="Q1209" s="3" t="s">
        <v>26</v>
      </c>
      <c r="R1209" s="3">
        <v>0</v>
      </c>
      <c r="S1209" s="4">
        <v>0</v>
      </c>
      <c r="T1209" s="4">
        <v>29</v>
      </c>
      <c r="U1209" s="4">
        <v>73</v>
      </c>
      <c r="V1209" s="70">
        <f>IF(ISERROR(VLOOKUP($S$1209,'TAR FIN'!$A$1:$O$99,15,0)),0,VLOOKUP($S$1209,'TAR FIN'!$A$1:$O$99,15,0))</f>
        <v>0</v>
      </c>
      <c r="W1209" s="70">
        <f>IF(ISERROR(VLOOKUP($T$1209,'TAR FIN'!$A$1:$O$99,15,0)),0,VLOOKUP($T$1209,'TAR FIN'!$A$1:$O$99,15,0))*(1-0.04)</f>
        <v>93.70559999999999</v>
      </c>
      <c r="X1209" s="70">
        <f>IF(ISERROR(VLOOKUP($U$1209,'TAR FIN'!$A$1:$O$99,15,0)),0,VLOOKUP($U$1209,'TAR FIN'!$A$1:$O$99,15,0))*(1-0.04)</f>
        <v>211.1712</v>
      </c>
      <c r="Y1209" s="70"/>
      <c r="Z1209" s="70">
        <f ca="1">('TUSD BE'!$AM$23+'TUSD BF'!$AM$23+'TUSD CVA'!$AM$23)*1*(1-0.02)</f>
        <v>115.23932238737589</v>
      </c>
      <c r="AA1209" s="70">
        <f>('TE BE'!$AA$8+'TE BF'!$AA$8+'TE CVA'!$AA$8)*1*(1-0.02)</f>
        <v>265.71632769942346</v>
      </c>
      <c r="AB1209" s="4">
        <f>$K$1209*$V$1209</f>
        <v>0</v>
      </c>
      <c r="AC1209" s="4">
        <f>$M$1209*$W$1209</f>
        <v>65423.656924799994</v>
      </c>
      <c r="AD1209" s="4">
        <f>$O$1209*$X$1209</f>
        <v>147436.14192960001</v>
      </c>
      <c r="AE1209" s="4">
        <f>$K$1209*$Y$1209</f>
        <v>0</v>
      </c>
      <c r="AF1209" s="4">
        <f ca="1">$M$1209*$Z$1209</f>
        <v>80458.135822385259</v>
      </c>
      <c r="AG1209" s="4">
        <f>$O$1209*$AA$1209</f>
        <v>185518.62282216657</v>
      </c>
    </row>
    <row r="1210" spans="1:33" ht="11.25" customHeight="1" x14ac:dyDescent="0.25">
      <c r="A1210" s="3" t="s">
        <v>28</v>
      </c>
      <c r="B1210" s="3" t="s">
        <v>33</v>
      </c>
      <c r="C1210" s="3" t="s">
        <v>34</v>
      </c>
      <c r="D1210" s="3" t="s">
        <v>45</v>
      </c>
      <c r="E1210" s="3" t="s">
        <v>25</v>
      </c>
      <c r="F1210" s="3" t="s">
        <v>25</v>
      </c>
      <c r="G1210" s="3" t="s">
        <v>25</v>
      </c>
      <c r="H1210" s="3" t="s">
        <v>36</v>
      </c>
      <c r="I1210" s="6">
        <v>44562</v>
      </c>
      <c r="J1210" s="4">
        <v>0</v>
      </c>
      <c r="K1210" s="70">
        <v>0</v>
      </c>
      <c r="L1210" s="4">
        <v>273.089</v>
      </c>
      <c r="M1210" s="70">
        <v>273.089</v>
      </c>
      <c r="N1210" s="4">
        <v>273.089</v>
      </c>
      <c r="O1210" s="70">
        <v>273.089</v>
      </c>
      <c r="P1210" s="4">
        <v>0</v>
      </c>
      <c r="Q1210" s="3" t="s">
        <v>26</v>
      </c>
      <c r="R1210" s="3">
        <v>0</v>
      </c>
      <c r="S1210" s="4">
        <v>0</v>
      </c>
      <c r="T1210" s="4">
        <v>29</v>
      </c>
      <c r="U1210" s="4">
        <v>73</v>
      </c>
      <c r="V1210" s="70">
        <f>IF(ISERROR(VLOOKUP($S$1210,'TAR FIN'!$A$1:$O$99,15,0)),0,VLOOKUP($S$1210,'TAR FIN'!$A$1:$O$99,15,0))</f>
        <v>0</v>
      </c>
      <c r="W1210" s="70">
        <f>IF(ISERROR(VLOOKUP($T$1210,'TAR FIN'!$A$1:$O$99,15,0)),0,VLOOKUP($T$1210,'TAR FIN'!$A$1:$O$99,15,0))*(1-0.04)</f>
        <v>93.70559999999999</v>
      </c>
      <c r="X1210" s="70">
        <f>IF(ISERROR(VLOOKUP($U$1210,'TAR FIN'!$A$1:$O$99,15,0)),0,VLOOKUP($U$1210,'TAR FIN'!$A$1:$O$99,15,0))*(1-0.04)</f>
        <v>211.1712</v>
      </c>
      <c r="Y1210" s="70"/>
      <c r="Z1210" s="70">
        <f ca="1">('TUSD BE'!$AM$23+'TUSD BF'!$AM$23+'TUSD CVA'!$AM$23)*1*(1-0.02)</f>
        <v>115.23932238737589</v>
      </c>
      <c r="AA1210" s="70">
        <f>('TE BE'!$AA$8+'TE BF'!$AA$8+'TE CVA'!$AA$8)*1*(1-0.02)</f>
        <v>265.71632769942346</v>
      </c>
      <c r="AB1210" s="4">
        <f>$K$1210*$V$1210</f>
        <v>0</v>
      </c>
      <c r="AC1210" s="4">
        <f>$M$1210*$W$1210</f>
        <v>25589.968598399999</v>
      </c>
      <c r="AD1210" s="4">
        <f>$O$1210*$X$1210</f>
        <v>57668.531836800001</v>
      </c>
      <c r="AE1210" s="4">
        <f>$K$1210*$Y$1210</f>
        <v>0</v>
      </c>
      <c r="AF1210" s="4">
        <f ca="1">$M$1210*$Z$1210</f>
        <v>31470.591311446096</v>
      </c>
      <c r="AG1210" s="4">
        <f>$O$1210*$AA$1210</f>
        <v>72564.206215107857</v>
      </c>
    </row>
    <row r="1211" spans="1:33" ht="11.25" customHeight="1" x14ac:dyDescent="0.25">
      <c r="A1211" s="3" t="s">
        <v>21</v>
      </c>
      <c r="B1211" s="3" t="s">
        <v>33</v>
      </c>
      <c r="C1211" s="3" t="s">
        <v>34</v>
      </c>
      <c r="D1211" s="3" t="s">
        <v>45</v>
      </c>
      <c r="E1211" s="3" t="s">
        <v>25</v>
      </c>
      <c r="F1211" s="3" t="s">
        <v>25</v>
      </c>
      <c r="G1211" s="3" t="s">
        <v>25</v>
      </c>
      <c r="H1211" s="3" t="s">
        <v>36</v>
      </c>
      <c r="I1211" s="6">
        <v>44593</v>
      </c>
      <c r="J1211" s="4">
        <v>0</v>
      </c>
      <c r="K1211" s="70">
        <v>0</v>
      </c>
      <c r="L1211" s="4">
        <v>667.37599999999998</v>
      </c>
      <c r="M1211" s="70">
        <v>667.37599999999998</v>
      </c>
      <c r="N1211" s="4">
        <v>667.37599999999998</v>
      </c>
      <c r="O1211" s="70">
        <v>667.37599999999998</v>
      </c>
      <c r="P1211" s="4">
        <v>0</v>
      </c>
      <c r="Q1211" s="3" t="s">
        <v>26</v>
      </c>
      <c r="R1211" s="3">
        <v>0</v>
      </c>
      <c r="S1211" s="4">
        <v>0</v>
      </c>
      <c r="T1211" s="4">
        <v>29</v>
      </c>
      <c r="U1211" s="4">
        <v>73</v>
      </c>
      <c r="V1211" s="70">
        <f>IF(ISERROR(VLOOKUP($S$1211,'TAR FIN'!$A$1:$O$99,15,0)),0,VLOOKUP($S$1211,'TAR FIN'!$A$1:$O$99,15,0))</f>
        <v>0</v>
      </c>
      <c r="W1211" s="70">
        <f>IF(ISERROR(VLOOKUP($T$1211,'TAR FIN'!$A$1:$O$99,15,0)),0,VLOOKUP($T$1211,'TAR FIN'!$A$1:$O$99,15,0))*(1-0.04)</f>
        <v>93.70559999999999</v>
      </c>
      <c r="X1211" s="70">
        <f>IF(ISERROR(VLOOKUP($U$1211,'TAR FIN'!$A$1:$O$99,15,0)),0,VLOOKUP($U$1211,'TAR FIN'!$A$1:$O$99,15,0))*(1-0.04)</f>
        <v>211.1712</v>
      </c>
      <c r="Y1211" s="70"/>
      <c r="Z1211" s="70">
        <f ca="1">('TUSD BE'!$AM$23+'TUSD BF'!$AM$23+'TUSD CVA'!$AM$23)*1*(1-0.02)</f>
        <v>115.23932238737589</v>
      </c>
      <c r="AA1211" s="70">
        <f>('TE BE'!$AA$8+'TE BF'!$AA$8+'TE CVA'!$AA$8)*1*(1-0.02)</f>
        <v>265.71632769942346</v>
      </c>
      <c r="AB1211" s="4">
        <f>$K$1211*$V$1211</f>
        <v>0</v>
      </c>
      <c r="AC1211" s="4">
        <f>$M$1211*$W$1211</f>
        <v>62536.868505599989</v>
      </c>
      <c r="AD1211" s="4">
        <f>$O$1211*$X$1211</f>
        <v>140930.59077119999</v>
      </c>
      <c r="AE1211" s="4">
        <f>$K$1211*$Y$1211</f>
        <v>0</v>
      </c>
      <c r="AF1211" s="4">
        <f ca="1">$M$1211*$Z$1211</f>
        <v>76907.958017597368</v>
      </c>
      <c r="AG1211" s="4">
        <f>$O$1211*$AA$1211</f>
        <v>177332.69991473042</v>
      </c>
    </row>
    <row r="1212" spans="1:33" ht="11.25" customHeight="1" x14ac:dyDescent="0.25">
      <c r="A1212" s="3" t="s">
        <v>28</v>
      </c>
      <c r="B1212" s="3" t="s">
        <v>33</v>
      </c>
      <c r="C1212" s="3" t="s">
        <v>34</v>
      </c>
      <c r="D1212" s="3" t="s">
        <v>45</v>
      </c>
      <c r="E1212" s="3" t="s">
        <v>25</v>
      </c>
      <c r="F1212" s="3" t="s">
        <v>25</v>
      </c>
      <c r="G1212" s="3" t="s">
        <v>25</v>
      </c>
      <c r="H1212" s="3" t="s">
        <v>36</v>
      </c>
      <c r="I1212" s="6">
        <v>44593</v>
      </c>
      <c r="J1212" s="4">
        <v>0</v>
      </c>
      <c r="K1212" s="70">
        <v>0</v>
      </c>
      <c r="L1212" s="4">
        <v>477.92899999999997</v>
      </c>
      <c r="M1212" s="70">
        <v>477.92899999999997</v>
      </c>
      <c r="N1212" s="4">
        <v>477.92899999999997</v>
      </c>
      <c r="O1212" s="70">
        <v>477.92899999999997</v>
      </c>
      <c r="P1212" s="4">
        <v>0</v>
      </c>
      <c r="Q1212" s="3" t="s">
        <v>26</v>
      </c>
      <c r="R1212" s="3">
        <v>0</v>
      </c>
      <c r="S1212" s="4">
        <v>0</v>
      </c>
      <c r="T1212" s="4">
        <v>29</v>
      </c>
      <c r="U1212" s="4">
        <v>73</v>
      </c>
      <c r="V1212" s="70">
        <f>IF(ISERROR(VLOOKUP($S$1212,'TAR FIN'!$A$1:$O$99,15,0)),0,VLOOKUP($S$1212,'TAR FIN'!$A$1:$O$99,15,0))</f>
        <v>0</v>
      </c>
      <c r="W1212" s="70">
        <f>IF(ISERROR(VLOOKUP($T$1212,'TAR FIN'!$A$1:$O$99,15,0)),0,VLOOKUP($T$1212,'TAR FIN'!$A$1:$O$99,15,0))*(1-0.04)</f>
        <v>93.70559999999999</v>
      </c>
      <c r="X1212" s="70">
        <f>IF(ISERROR(VLOOKUP($U$1212,'TAR FIN'!$A$1:$O$99,15,0)),0,VLOOKUP($U$1212,'TAR FIN'!$A$1:$O$99,15,0))*(1-0.04)</f>
        <v>211.1712</v>
      </c>
      <c r="Y1212" s="70"/>
      <c r="Z1212" s="70">
        <f ca="1">('TUSD BE'!$AM$23+'TUSD BF'!$AM$23+'TUSD CVA'!$AM$23)*1*(1-0.02)</f>
        <v>115.23932238737589</v>
      </c>
      <c r="AA1212" s="70">
        <f>('TE BE'!$AA$8+'TE BF'!$AA$8+'TE CVA'!$AA$8)*1*(1-0.02)</f>
        <v>265.71632769942346</v>
      </c>
      <c r="AB1212" s="4">
        <f>$K$1212*$V$1212</f>
        <v>0</v>
      </c>
      <c r="AC1212" s="4">
        <f>$M$1212*$W$1212</f>
        <v>44784.623702399993</v>
      </c>
      <c r="AD1212" s="4">
        <f>$O$1212*$X$1212</f>
        <v>100924.84044479999</v>
      </c>
      <c r="AE1212" s="4">
        <f>$K$1212*$Y$1212</f>
        <v>0</v>
      </c>
      <c r="AF1212" s="4">
        <f ca="1">$M$1212*$Z$1212</f>
        <v>55076.214109276167</v>
      </c>
      <c r="AG1212" s="4">
        <f>$O$1212*$AA$1212</f>
        <v>126993.53878105775</v>
      </c>
    </row>
    <row r="1213" spans="1:33" ht="11.25" customHeight="1" x14ac:dyDescent="0.25">
      <c r="A1213" s="3" t="s">
        <v>21</v>
      </c>
      <c r="B1213" s="3" t="s">
        <v>33</v>
      </c>
      <c r="C1213" s="3" t="s">
        <v>34</v>
      </c>
      <c r="D1213" s="3" t="s">
        <v>45</v>
      </c>
      <c r="E1213" s="3" t="s">
        <v>25</v>
      </c>
      <c r="F1213" s="3" t="s">
        <v>25</v>
      </c>
      <c r="G1213" s="3" t="s">
        <v>25</v>
      </c>
      <c r="H1213" s="3" t="s">
        <v>36</v>
      </c>
      <c r="I1213" s="6">
        <v>44621</v>
      </c>
      <c r="J1213" s="4">
        <v>0</v>
      </c>
      <c r="K1213" s="70">
        <v>0</v>
      </c>
      <c r="L1213" s="4">
        <v>688.91700000000003</v>
      </c>
      <c r="M1213" s="70">
        <v>688.91700000000003</v>
      </c>
      <c r="N1213" s="4">
        <v>688.91700000000003</v>
      </c>
      <c r="O1213" s="70">
        <v>688.91700000000003</v>
      </c>
      <c r="P1213" s="4">
        <v>0</v>
      </c>
      <c r="Q1213" s="3" t="s">
        <v>26</v>
      </c>
      <c r="R1213" s="3">
        <v>0</v>
      </c>
      <c r="S1213" s="4">
        <v>0</v>
      </c>
      <c r="T1213" s="4">
        <v>29</v>
      </c>
      <c r="U1213" s="4">
        <v>73</v>
      </c>
      <c r="V1213" s="70">
        <f>IF(ISERROR(VLOOKUP($S$1213,'TAR FIN'!$A$1:$O$99,15,0)),0,VLOOKUP($S$1213,'TAR FIN'!$A$1:$O$99,15,0))</f>
        <v>0</v>
      </c>
      <c r="W1213" s="70">
        <f>IF(ISERROR(VLOOKUP($T$1213,'TAR FIN'!$A$1:$O$99,15,0)),0,VLOOKUP($T$1213,'TAR FIN'!$A$1:$O$99,15,0))*(1-0.04)</f>
        <v>93.70559999999999</v>
      </c>
      <c r="X1213" s="70">
        <f>IF(ISERROR(VLOOKUP($U$1213,'TAR FIN'!$A$1:$O$99,15,0)),0,VLOOKUP($U$1213,'TAR FIN'!$A$1:$O$99,15,0))*(1-0.04)</f>
        <v>211.1712</v>
      </c>
      <c r="Y1213" s="70"/>
      <c r="Z1213" s="70">
        <f ca="1">('TUSD BE'!$AM$23+'TUSD BF'!$AM$23+'TUSD CVA'!$AM$23)*1*(1-0.02)</f>
        <v>115.23932238737589</v>
      </c>
      <c r="AA1213" s="70">
        <f>('TE BE'!$AA$8+'TE BF'!$AA$8+'TE CVA'!$AA$8)*1*(1-0.02)</f>
        <v>265.71632769942346</v>
      </c>
      <c r="AB1213" s="4">
        <f>$K$1213*$V$1213</f>
        <v>0</v>
      </c>
      <c r="AC1213" s="4">
        <f>$M$1213*$W$1213</f>
        <v>64555.380835199998</v>
      </c>
      <c r="AD1213" s="4">
        <f>$O$1213*$X$1213</f>
        <v>145479.42959040002</v>
      </c>
      <c r="AE1213" s="4">
        <f>$K$1213*$Y$1213</f>
        <v>0</v>
      </c>
      <c r="AF1213" s="4">
        <f ca="1">$M$1213*$Z$1213</f>
        <v>79390.328261143848</v>
      </c>
      <c r="AG1213" s="4">
        <f>$O$1213*$AA$1213</f>
        <v>183056.49532970373</v>
      </c>
    </row>
    <row r="1214" spans="1:33" ht="11.25" customHeight="1" x14ac:dyDescent="0.25">
      <c r="A1214" s="3" t="s">
        <v>28</v>
      </c>
      <c r="B1214" s="3" t="s">
        <v>33</v>
      </c>
      <c r="C1214" s="3" t="s">
        <v>34</v>
      </c>
      <c r="D1214" s="3" t="s">
        <v>45</v>
      </c>
      <c r="E1214" s="3" t="s">
        <v>25</v>
      </c>
      <c r="F1214" s="3" t="s">
        <v>25</v>
      </c>
      <c r="G1214" s="3" t="s">
        <v>25</v>
      </c>
      <c r="H1214" s="3" t="s">
        <v>36</v>
      </c>
      <c r="I1214" s="6">
        <v>44621</v>
      </c>
      <c r="J1214" s="4">
        <v>0</v>
      </c>
      <c r="K1214" s="70">
        <v>0</v>
      </c>
      <c r="L1214" s="4">
        <v>156.30500000000001</v>
      </c>
      <c r="M1214" s="70">
        <v>156.30500000000001</v>
      </c>
      <c r="N1214" s="4">
        <v>156.30500000000001</v>
      </c>
      <c r="O1214" s="70">
        <v>156.30500000000001</v>
      </c>
      <c r="P1214" s="4">
        <v>0</v>
      </c>
      <c r="Q1214" s="3" t="s">
        <v>26</v>
      </c>
      <c r="R1214" s="3">
        <v>0</v>
      </c>
      <c r="S1214" s="4">
        <v>0</v>
      </c>
      <c r="T1214" s="4">
        <v>29</v>
      </c>
      <c r="U1214" s="4">
        <v>73</v>
      </c>
      <c r="V1214" s="70">
        <f>IF(ISERROR(VLOOKUP($S$1214,'TAR FIN'!$A$1:$O$99,15,0)),0,VLOOKUP($S$1214,'TAR FIN'!$A$1:$O$99,15,0))</f>
        <v>0</v>
      </c>
      <c r="W1214" s="70">
        <f>IF(ISERROR(VLOOKUP($T$1214,'TAR FIN'!$A$1:$O$99,15,0)),0,VLOOKUP($T$1214,'TAR FIN'!$A$1:$O$99,15,0))*(1-0.04)</f>
        <v>93.70559999999999</v>
      </c>
      <c r="X1214" s="70">
        <f>IF(ISERROR(VLOOKUP($U$1214,'TAR FIN'!$A$1:$O$99,15,0)),0,VLOOKUP($U$1214,'TAR FIN'!$A$1:$O$99,15,0))*(1-0.04)</f>
        <v>211.1712</v>
      </c>
      <c r="Y1214" s="70"/>
      <c r="Z1214" s="70">
        <f ca="1">('TUSD BE'!$AM$23+'TUSD BF'!$AM$23+'TUSD CVA'!$AM$23)*1*(1-0.02)</f>
        <v>115.23932238737589</v>
      </c>
      <c r="AA1214" s="70">
        <f>('TE BE'!$AA$8+'TE BF'!$AA$8+'TE CVA'!$AA$8)*1*(1-0.02)</f>
        <v>265.71632769942346</v>
      </c>
      <c r="AB1214" s="4">
        <f>$K$1214*$V$1214</f>
        <v>0</v>
      </c>
      <c r="AC1214" s="4">
        <f>$M$1214*$W$1214</f>
        <v>14646.653807999999</v>
      </c>
      <c r="AD1214" s="4">
        <f>$O$1214*$X$1214</f>
        <v>33007.114416000004</v>
      </c>
      <c r="AE1214" s="4">
        <f>$K$1214*$Y$1214</f>
        <v>0</v>
      </c>
      <c r="AF1214" s="4">
        <f ca="1">$M$1214*$Z$1214</f>
        <v>18012.48228575879</v>
      </c>
      <c r="AG1214" s="4">
        <f>$O$1214*$AA$1214</f>
        <v>41532.790601058383</v>
      </c>
    </row>
    <row r="1215" spans="1:33" ht="11.25" customHeight="1" x14ac:dyDescent="0.25">
      <c r="A1215" s="3" t="s">
        <v>56</v>
      </c>
      <c r="B1215" s="3" t="s">
        <v>33</v>
      </c>
      <c r="C1215" s="3" t="s">
        <v>34</v>
      </c>
      <c r="D1215" s="3" t="s">
        <v>45</v>
      </c>
      <c r="E1215" s="3" t="s">
        <v>25</v>
      </c>
      <c r="F1215" s="3" t="s">
        <v>25</v>
      </c>
      <c r="G1215" s="3" t="s">
        <v>25</v>
      </c>
      <c r="H1215" s="3" t="s">
        <v>36</v>
      </c>
      <c r="I1215" s="6">
        <v>44652</v>
      </c>
      <c r="J1215" s="4">
        <v>0</v>
      </c>
      <c r="K1215" s="70">
        <v>0</v>
      </c>
      <c r="L1215" s="4">
        <v>688.91700000000003</v>
      </c>
      <c r="M1215" s="70">
        <v>688.91700000000003</v>
      </c>
      <c r="N1215" s="4">
        <v>688.91700000000003</v>
      </c>
      <c r="O1215" s="70">
        <v>688.91700000000003</v>
      </c>
      <c r="P1215" s="4">
        <v>0</v>
      </c>
      <c r="Q1215" s="3" t="s">
        <v>26</v>
      </c>
      <c r="R1215" s="3">
        <v>0</v>
      </c>
      <c r="S1215" s="4">
        <v>0</v>
      </c>
      <c r="T1215" s="4">
        <v>29</v>
      </c>
      <c r="U1215" s="4">
        <v>73</v>
      </c>
      <c r="V1215" s="70">
        <f>IF(ISERROR(VLOOKUP($S$1215,'TAR FIN'!$A$1:$O$99,15,0)),0,VLOOKUP($S$1215,'TAR FIN'!$A$1:$O$99,15,0))</f>
        <v>0</v>
      </c>
      <c r="W1215" s="70">
        <f>IF(ISERROR(VLOOKUP($T$1215,'TAR FIN'!$A$1:$O$99,15,0)),0,VLOOKUP($T$1215,'TAR FIN'!$A$1:$O$99,15,0))*(1-0.04)</f>
        <v>93.70559999999999</v>
      </c>
      <c r="X1215" s="70">
        <f>IF(ISERROR(VLOOKUP($U$1215,'TAR FIN'!$A$1:$O$99,15,0)),0,VLOOKUP($U$1215,'TAR FIN'!$A$1:$O$99,15,0))*(1-0.04)</f>
        <v>211.1712</v>
      </c>
      <c r="Y1215" s="70"/>
      <c r="Z1215" s="70">
        <f ca="1">('TUSD BE'!$AM$23+'TUSD BF'!$AM$23+'TUSD CVA'!$AM$23)*1*(1-0.02)</f>
        <v>115.23932238737589</v>
      </c>
      <c r="AA1215" s="70">
        <f>('TE BE'!$AA$8+'TE BF'!$AA$8+'TE CVA'!$AA$8)*1*(1-0.02)</f>
        <v>265.71632769942346</v>
      </c>
      <c r="AB1215" s="4">
        <f>$K$1215*$V$1215</f>
        <v>0</v>
      </c>
      <c r="AC1215" s="4">
        <f>$M$1215*$W$1215</f>
        <v>64555.380835199998</v>
      </c>
      <c r="AD1215" s="4">
        <f>$O$1215*$X$1215</f>
        <v>145479.42959040002</v>
      </c>
      <c r="AE1215" s="4">
        <f>$K$1215*$Y$1215</f>
        <v>0</v>
      </c>
      <c r="AF1215" s="4">
        <f ca="1">$M$1215*$Z$1215</f>
        <v>79390.328261143848</v>
      </c>
      <c r="AG1215" s="4">
        <f>$O$1215*$AA$1215</f>
        <v>183056.49532970373</v>
      </c>
    </row>
    <row r="1216" spans="1:33" ht="11.25" customHeight="1" x14ac:dyDescent="0.25">
      <c r="A1216" s="3" t="s">
        <v>56</v>
      </c>
      <c r="B1216" s="3" t="s">
        <v>33</v>
      </c>
      <c r="C1216" s="3" t="s">
        <v>34</v>
      </c>
      <c r="D1216" s="3" t="s">
        <v>45</v>
      </c>
      <c r="E1216" s="3" t="s">
        <v>25</v>
      </c>
      <c r="F1216" s="3" t="s">
        <v>25</v>
      </c>
      <c r="G1216" s="3" t="s">
        <v>25</v>
      </c>
      <c r="H1216" s="3" t="s">
        <v>36</v>
      </c>
      <c r="I1216" s="6">
        <v>44652</v>
      </c>
      <c r="J1216" s="4">
        <v>0</v>
      </c>
      <c r="K1216" s="70">
        <v>0</v>
      </c>
      <c r="L1216" s="4">
        <v>156.30500000000001</v>
      </c>
      <c r="M1216" s="70">
        <v>156.30500000000001</v>
      </c>
      <c r="N1216" s="4">
        <v>156.30500000000001</v>
      </c>
      <c r="O1216" s="70">
        <v>156.30500000000001</v>
      </c>
      <c r="P1216" s="4">
        <v>0</v>
      </c>
      <c r="Q1216" s="3" t="s">
        <v>26</v>
      </c>
      <c r="R1216" s="3">
        <v>0</v>
      </c>
      <c r="S1216" s="4">
        <v>0</v>
      </c>
      <c r="T1216" s="4">
        <v>29</v>
      </c>
      <c r="U1216" s="4">
        <v>73</v>
      </c>
      <c r="V1216" s="70">
        <f>IF(ISERROR(VLOOKUP($S$1216,'TAR FIN'!$A$1:$O$99,15,0)),0,VLOOKUP($S$1216,'TAR FIN'!$A$1:$O$99,15,0))</f>
        <v>0</v>
      </c>
      <c r="W1216" s="70">
        <f>IF(ISERROR(VLOOKUP($T$1216,'TAR FIN'!$A$1:$O$99,15,0)),0,VLOOKUP($T$1216,'TAR FIN'!$A$1:$O$99,15,0))*(1-0.04)</f>
        <v>93.70559999999999</v>
      </c>
      <c r="X1216" s="70">
        <f>IF(ISERROR(VLOOKUP($U$1216,'TAR FIN'!$A$1:$O$99,15,0)),0,VLOOKUP($U$1216,'TAR FIN'!$A$1:$O$99,15,0))*(1-0.04)</f>
        <v>211.1712</v>
      </c>
      <c r="Y1216" s="70"/>
      <c r="Z1216" s="70">
        <f ca="1">('TUSD BE'!$AM$23+'TUSD BF'!$AM$23+'TUSD CVA'!$AM$23)*1*(1-0.02)</f>
        <v>115.23932238737589</v>
      </c>
      <c r="AA1216" s="70">
        <f>('TE BE'!$AA$8+'TE BF'!$AA$8+'TE CVA'!$AA$8)*1*(1-0.02)</f>
        <v>265.71632769942346</v>
      </c>
      <c r="AB1216" s="4">
        <f>$K$1216*$V$1216</f>
        <v>0</v>
      </c>
      <c r="AC1216" s="4">
        <f>$M$1216*$W$1216</f>
        <v>14646.653807999999</v>
      </c>
      <c r="AD1216" s="4">
        <f>$O$1216*$X$1216</f>
        <v>33007.114416000004</v>
      </c>
      <c r="AE1216" s="4">
        <f>$K$1216*$Y$1216</f>
        <v>0</v>
      </c>
      <c r="AF1216" s="4">
        <f ca="1">$M$1216*$Z$1216</f>
        <v>18012.48228575879</v>
      </c>
      <c r="AG1216" s="4">
        <f>$O$1216*$AA$1216</f>
        <v>41532.790601058383</v>
      </c>
    </row>
    <row r="1217" spans="1:33" ht="11.25" customHeight="1" x14ac:dyDescent="0.25">
      <c r="A1217" s="3" t="s">
        <v>21</v>
      </c>
      <c r="B1217" s="3" t="s">
        <v>33</v>
      </c>
      <c r="C1217" s="3" t="s">
        <v>34</v>
      </c>
      <c r="D1217" s="3" t="s">
        <v>45</v>
      </c>
      <c r="E1217" s="3" t="s">
        <v>25</v>
      </c>
      <c r="F1217" s="3" t="s">
        <v>25</v>
      </c>
      <c r="G1217" s="3" t="s">
        <v>25</v>
      </c>
      <c r="H1217" s="3" t="s">
        <v>25</v>
      </c>
      <c r="I1217" s="6">
        <v>44317</v>
      </c>
      <c r="J1217" s="4">
        <v>5550</v>
      </c>
      <c r="K1217" s="70">
        <v>5550</v>
      </c>
      <c r="L1217" s="4">
        <v>0</v>
      </c>
      <c r="M1217" s="70">
        <v>0</v>
      </c>
      <c r="N1217" s="4">
        <v>0</v>
      </c>
      <c r="O1217" s="70">
        <v>0</v>
      </c>
      <c r="P1217" s="4">
        <v>41</v>
      </c>
      <c r="Q1217" s="3" t="s">
        <v>26</v>
      </c>
      <c r="R1217" s="3">
        <v>0</v>
      </c>
      <c r="S1217" s="4">
        <v>7</v>
      </c>
      <c r="T1217" s="4">
        <v>0</v>
      </c>
      <c r="U1217" s="4">
        <v>0</v>
      </c>
      <c r="V1217" s="70">
        <f>IF(ISERROR(VLOOKUP($S$1217,'TAR FIN'!$A$1:$O$99,15,0)),0,VLOOKUP($S$1217,'TAR FIN'!$A$1:$O$99,15,0))*(1-0.04)</f>
        <v>20.975999999999999</v>
      </c>
      <c r="W1217" s="70">
        <f>IF(ISERROR(VLOOKUP($T$1217,'TAR FIN'!$A$1:$O$99,15,0)),0,VLOOKUP($T$1217,'TAR FIN'!$A$1:$O$99,15,0))</f>
        <v>0</v>
      </c>
      <c r="X1217" s="70">
        <f>IF(ISERROR(VLOOKUP($U$1217,'TAR FIN'!$A$1:$O$99,15,0)),0,VLOOKUP($U$1217,'TAR FIN'!$A$1:$O$99,15,0))</f>
        <v>0</v>
      </c>
      <c r="Y1217" s="70">
        <f ca="1">('TUSD BE'!$AM$21+'TUSD BF'!$AM$21+'TUSD CVA'!$AM$21)*1*(1-0.02)</f>
        <v>24.176010844852033</v>
      </c>
      <c r="Z1217" s="70"/>
      <c r="AA1217" s="70"/>
      <c r="AB1217" s="4">
        <f>$K$1217*$V$1217</f>
        <v>116416.79999999999</v>
      </c>
      <c r="AC1217" s="4">
        <f>$M$1217*$W$1217</f>
        <v>0</v>
      </c>
      <c r="AD1217" s="4">
        <f>$O$1217*$X$1217</f>
        <v>0</v>
      </c>
      <c r="AE1217" s="4">
        <f ca="1">$K$1217*$Y$1217</f>
        <v>134176.86018892878</v>
      </c>
      <c r="AF1217" s="4">
        <f>$M$1217*$Z$1217</f>
        <v>0</v>
      </c>
      <c r="AG1217" s="4">
        <f>$O$1217*$AA$1217</f>
        <v>0</v>
      </c>
    </row>
    <row r="1218" spans="1:33" ht="11.25" customHeight="1" x14ac:dyDescent="0.25">
      <c r="A1218" s="3" t="s">
        <v>28</v>
      </c>
      <c r="B1218" s="3" t="s">
        <v>33</v>
      </c>
      <c r="C1218" s="3" t="s">
        <v>34</v>
      </c>
      <c r="D1218" s="3" t="s">
        <v>45</v>
      </c>
      <c r="E1218" s="3" t="s">
        <v>25</v>
      </c>
      <c r="F1218" s="3" t="s">
        <v>25</v>
      </c>
      <c r="G1218" s="3" t="s">
        <v>25</v>
      </c>
      <c r="H1218" s="3" t="s">
        <v>25</v>
      </c>
      <c r="I1218" s="6">
        <v>44317</v>
      </c>
      <c r="J1218" s="4">
        <v>32</v>
      </c>
      <c r="K1218" s="70">
        <v>32</v>
      </c>
      <c r="L1218" s="4">
        <v>0</v>
      </c>
      <c r="M1218" s="70">
        <v>0</v>
      </c>
      <c r="N1218" s="4">
        <v>0</v>
      </c>
      <c r="O1218" s="70">
        <v>0</v>
      </c>
      <c r="P1218" s="4">
        <v>3</v>
      </c>
      <c r="Q1218" s="3" t="s">
        <v>26</v>
      </c>
      <c r="R1218" s="3">
        <v>0</v>
      </c>
      <c r="S1218" s="4">
        <v>7</v>
      </c>
      <c r="T1218" s="4">
        <v>0</v>
      </c>
      <c r="U1218" s="4">
        <v>0</v>
      </c>
      <c r="V1218" s="70">
        <f>IF(ISERROR(VLOOKUP($S$1218,'TAR FIN'!$A$1:$O$99,15,0)),0,VLOOKUP($S$1218,'TAR FIN'!$A$1:$O$99,15,0))*(1-0.04)</f>
        <v>20.975999999999999</v>
      </c>
      <c r="W1218" s="70">
        <f>IF(ISERROR(VLOOKUP($T$1218,'TAR FIN'!$A$1:$O$99,15,0)),0,VLOOKUP($T$1218,'TAR FIN'!$A$1:$O$99,15,0))</f>
        <v>0</v>
      </c>
      <c r="X1218" s="70">
        <f>IF(ISERROR(VLOOKUP($U$1218,'TAR FIN'!$A$1:$O$99,15,0)),0,VLOOKUP($U$1218,'TAR FIN'!$A$1:$O$99,15,0))</f>
        <v>0</v>
      </c>
      <c r="Y1218" s="70">
        <f ca="1">('TUSD BE'!$AM$21+'TUSD BF'!$AM$21+'TUSD CVA'!$AM$21)*1*(1-0.02)</f>
        <v>24.176010844852033</v>
      </c>
      <c r="Z1218" s="70"/>
      <c r="AA1218" s="70"/>
      <c r="AB1218" s="4">
        <f>$K$1218*$V$1218</f>
        <v>671.23199999999997</v>
      </c>
      <c r="AC1218" s="4">
        <f>$M$1218*$W$1218</f>
        <v>0</v>
      </c>
      <c r="AD1218" s="4">
        <f>$O$1218*$X$1218</f>
        <v>0</v>
      </c>
      <c r="AE1218" s="4">
        <f ca="1">$K$1218*$Y$1218</f>
        <v>773.63234703526507</v>
      </c>
      <c r="AF1218" s="4">
        <f>$M$1218*$Z$1218</f>
        <v>0</v>
      </c>
      <c r="AG1218" s="4">
        <f>$O$1218*$AA$1218</f>
        <v>0</v>
      </c>
    </row>
    <row r="1219" spans="1:33" ht="11.25" customHeight="1" x14ac:dyDescent="0.25">
      <c r="A1219" s="3" t="s">
        <v>21</v>
      </c>
      <c r="B1219" s="3" t="s">
        <v>33</v>
      </c>
      <c r="C1219" s="3" t="s">
        <v>34</v>
      </c>
      <c r="D1219" s="3" t="s">
        <v>45</v>
      </c>
      <c r="E1219" s="3" t="s">
        <v>25</v>
      </c>
      <c r="F1219" s="3" t="s">
        <v>25</v>
      </c>
      <c r="G1219" s="3" t="s">
        <v>25</v>
      </c>
      <c r="H1219" s="3" t="s">
        <v>25</v>
      </c>
      <c r="I1219" s="6">
        <v>44348</v>
      </c>
      <c r="J1219" s="4">
        <v>4018</v>
      </c>
      <c r="K1219" s="70">
        <v>4018</v>
      </c>
      <c r="L1219" s="4">
        <v>0</v>
      </c>
      <c r="M1219" s="70">
        <v>0</v>
      </c>
      <c r="N1219" s="4">
        <v>0</v>
      </c>
      <c r="O1219" s="70">
        <v>0</v>
      </c>
      <c r="P1219" s="4">
        <v>41</v>
      </c>
      <c r="Q1219" s="3" t="s">
        <v>26</v>
      </c>
      <c r="R1219" s="3">
        <v>0</v>
      </c>
      <c r="S1219" s="4">
        <v>7</v>
      </c>
      <c r="T1219" s="4">
        <v>0</v>
      </c>
      <c r="U1219" s="4">
        <v>0</v>
      </c>
      <c r="V1219" s="70">
        <f>IF(ISERROR(VLOOKUP($S$1219,'TAR FIN'!$A$1:$O$99,15,0)),0,VLOOKUP($S$1219,'TAR FIN'!$A$1:$O$99,15,0))*(1-0.04)</f>
        <v>20.975999999999999</v>
      </c>
      <c r="W1219" s="70">
        <f>IF(ISERROR(VLOOKUP($T$1219,'TAR FIN'!$A$1:$O$99,15,0)),0,VLOOKUP($T$1219,'TAR FIN'!$A$1:$O$99,15,0))</f>
        <v>0</v>
      </c>
      <c r="X1219" s="70">
        <f>IF(ISERROR(VLOOKUP($U$1219,'TAR FIN'!$A$1:$O$99,15,0)),0,VLOOKUP($U$1219,'TAR FIN'!$A$1:$O$99,15,0))</f>
        <v>0</v>
      </c>
      <c r="Y1219" s="70">
        <f ca="1">('TUSD BE'!$AM$21+'TUSD BF'!$AM$21+'TUSD CVA'!$AM$21)*1*(1-0.02)</f>
        <v>24.176010844852033</v>
      </c>
      <c r="Z1219" s="70"/>
      <c r="AA1219" s="70"/>
      <c r="AB1219" s="4">
        <f>$K$1219*$V$1219</f>
        <v>84281.567999999999</v>
      </c>
      <c r="AC1219" s="4">
        <f>$M$1219*$W$1219</f>
        <v>0</v>
      </c>
      <c r="AD1219" s="4">
        <f>$O$1219*$X$1219</f>
        <v>0</v>
      </c>
      <c r="AE1219" s="4">
        <f ca="1">$K$1219*$Y$1219</f>
        <v>97139.211574615474</v>
      </c>
      <c r="AF1219" s="4">
        <f>$M$1219*$Z$1219</f>
        <v>0</v>
      </c>
      <c r="AG1219" s="4">
        <f>$O$1219*$AA$1219</f>
        <v>0</v>
      </c>
    </row>
    <row r="1220" spans="1:33" ht="11.25" customHeight="1" x14ac:dyDescent="0.25">
      <c r="A1220" s="3" t="s">
        <v>28</v>
      </c>
      <c r="B1220" s="3" t="s">
        <v>33</v>
      </c>
      <c r="C1220" s="3" t="s">
        <v>34</v>
      </c>
      <c r="D1220" s="3" t="s">
        <v>45</v>
      </c>
      <c r="E1220" s="3" t="s">
        <v>25</v>
      </c>
      <c r="F1220" s="3" t="s">
        <v>25</v>
      </c>
      <c r="G1220" s="3" t="s">
        <v>25</v>
      </c>
      <c r="H1220" s="3" t="s">
        <v>25</v>
      </c>
      <c r="I1220" s="6">
        <v>44348</v>
      </c>
      <c r="J1220" s="4">
        <v>539</v>
      </c>
      <c r="K1220" s="70">
        <v>539</v>
      </c>
      <c r="L1220" s="4">
        <v>0</v>
      </c>
      <c r="M1220" s="70">
        <v>0</v>
      </c>
      <c r="N1220" s="4">
        <v>0</v>
      </c>
      <c r="O1220" s="70">
        <v>0</v>
      </c>
      <c r="P1220" s="4">
        <v>3</v>
      </c>
      <c r="Q1220" s="3" t="s">
        <v>26</v>
      </c>
      <c r="R1220" s="3">
        <v>0</v>
      </c>
      <c r="S1220" s="4">
        <v>7</v>
      </c>
      <c r="T1220" s="4">
        <v>0</v>
      </c>
      <c r="U1220" s="4">
        <v>0</v>
      </c>
      <c r="V1220" s="70">
        <f>IF(ISERROR(VLOOKUP($S$1220,'TAR FIN'!$A$1:$O$99,15,0)),0,VLOOKUP($S$1220,'TAR FIN'!$A$1:$O$99,15,0))*(1-0.04)</f>
        <v>20.975999999999999</v>
      </c>
      <c r="W1220" s="70">
        <f>IF(ISERROR(VLOOKUP($T$1220,'TAR FIN'!$A$1:$O$99,15,0)),0,VLOOKUP($T$1220,'TAR FIN'!$A$1:$O$99,15,0))</f>
        <v>0</v>
      </c>
      <c r="X1220" s="70">
        <f>IF(ISERROR(VLOOKUP($U$1220,'TAR FIN'!$A$1:$O$99,15,0)),0,VLOOKUP($U$1220,'TAR FIN'!$A$1:$O$99,15,0))</f>
        <v>0</v>
      </c>
      <c r="Y1220" s="70">
        <f ca="1">('TUSD BE'!$AM$21+'TUSD BF'!$AM$21+'TUSD CVA'!$AM$21)*1*(1-0.02)</f>
        <v>24.176010844852033</v>
      </c>
      <c r="Z1220" s="70"/>
      <c r="AA1220" s="70"/>
      <c r="AB1220" s="4">
        <f>$K$1220*$V$1220</f>
        <v>11306.064</v>
      </c>
      <c r="AC1220" s="4">
        <f>$M$1220*$W$1220</f>
        <v>0</v>
      </c>
      <c r="AD1220" s="4">
        <f>$O$1220*$X$1220</f>
        <v>0</v>
      </c>
      <c r="AE1220" s="4">
        <f ca="1">$K$1220*$Y$1220</f>
        <v>13030.869845375246</v>
      </c>
      <c r="AF1220" s="4">
        <f>$M$1220*$Z$1220</f>
        <v>0</v>
      </c>
      <c r="AG1220" s="4">
        <f>$O$1220*$AA$1220</f>
        <v>0</v>
      </c>
    </row>
    <row r="1221" spans="1:33" ht="11.25" customHeight="1" x14ac:dyDescent="0.25">
      <c r="A1221" s="3" t="s">
        <v>21</v>
      </c>
      <c r="B1221" s="3" t="s">
        <v>33</v>
      </c>
      <c r="C1221" s="3" t="s">
        <v>34</v>
      </c>
      <c r="D1221" s="3" t="s">
        <v>45</v>
      </c>
      <c r="E1221" s="3" t="s">
        <v>25</v>
      </c>
      <c r="F1221" s="3" t="s">
        <v>25</v>
      </c>
      <c r="G1221" s="3" t="s">
        <v>25</v>
      </c>
      <c r="H1221" s="3" t="s">
        <v>25</v>
      </c>
      <c r="I1221" s="6">
        <v>44378</v>
      </c>
      <c r="J1221" s="4">
        <v>4255</v>
      </c>
      <c r="K1221" s="70">
        <v>4255</v>
      </c>
      <c r="L1221" s="4">
        <v>0</v>
      </c>
      <c r="M1221" s="70">
        <v>0</v>
      </c>
      <c r="N1221" s="4">
        <v>0</v>
      </c>
      <c r="O1221" s="70">
        <v>0</v>
      </c>
      <c r="P1221" s="4">
        <v>41</v>
      </c>
      <c r="Q1221" s="3" t="s">
        <v>26</v>
      </c>
      <c r="R1221" s="3">
        <v>0</v>
      </c>
      <c r="S1221" s="4">
        <v>7</v>
      </c>
      <c r="T1221" s="4">
        <v>0</v>
      </c>
      <c r="U1221" s="4">
        <v>0</v>
      </c>
      <c r="V1221" s="70">
        <f>IF(ISERROR(VLOOKUP($S$1221,'TAR FIN'!$A$1:$O$99,15,0)),0,VLOOKUP($S$1221,'TAR FIN'!$A$1:$O$99,15,0))*(1-0.04)</f>
        <v>20.975999999999999</v>
      </c>
      <c r="W1221" s="70">
        <f>IF(ISERROR(VLOOKUP($T$1221,'TAR FIN'!$A$1:$O$99,15,0)),0,VLOOKUP($T$1221,'TAR FIN'!$A$1:$O$99,15,0))</f>
        <v>0</v>
      </c>
      <c r="X1221" s="70">
        <f>IF(ISERROR(VLOOKUP($U$1221,'TAR FIN'!$A$1:$O$99,15,0)),0,VLOOKUP($U$1221,'TAR FIN'!$A$1:$O$99,15,0))</f>
        <v>0</v>
      </c>
      <c r="Y1221" s="70">
        <f ca="1">('TUSD BE'!$AM$21+'TUSD BF'!$AM$21+'TUSD CVA'!$AM$21)*1*(1-0.02)</f>
        <v>24.176010844852033</v>
      </c>
      <c r="Z1221" s="70"/>
      <c r="AA1221" s="70"/>
      <c r="AB1221" s="4">
        <f>$K$1221*$V$1221</f>
        <v>89252.87999999999</v>
      </c>
      <c r="AC1221" s="4">
        <f>$M$1221*$W$1221</f>
        <v>0</v>
      </c>
      <c r="AD1221" s="4">
        <f>$O$1221*$X$1221</f>
        <v>0</v>
      </c>
      <c r="AE1221" s="4">
        <f ca="1">$K$1221*$Y$1221</f>
        <v>102868.92614484541</v>
      </c>
      <c r="AF1221" s="4">
        <f>$M$1221*$Z$1221</f>
        <v>0</v>
      </c>
      <c r="AG1221" s="4">
        <f>$O$1221*$AA$1221</f>
        <v>0</v>
      </c>
    </row>
    <row r="1222" spans="1:33" ht="11.25" customHeight="1" x14ac:dyDescent="0.25">
      <c r="A1222" s="3" t="s">
        <v>28</v>
      </c>
      <c r="B1222" s="3" t="s">
        <v>33</v>
      </c>
      <c r="C1222" s="3" t="s">
        <v>34</v>
      </c>
      <c r="D1222" s="3" t="s">
        <v>45</v>
      </c>
      <c r="E1222" s="3" t="s">
        <v>25</v>
      </c>
      <c r="F1222" s="3" t="s">
        <v>25</v>
      </c>
      <c r="G1222" s="3" t="s">
        <v>25</v>
      </c>
      <c r="H1222" s="3" t="s">
        <v>25</v>
      </c>
      <c r="I1222" s="6">
        <v>44378</v>
      </c>
      <c r="J1222" s="4">
        <v>1</v>
      </c>
      <c r="K1222" s="70">
        <v>1</v>
      </c>
      <c r="L1222" s="4">
        <v>0</v>
      </c>
      <c r="M1222" s="70">
        <v>0</v>
      </c>
      <c r="N1222" s="4">
        <v>0</v>
      </c>
      <c r="O1222" s="70">
        <v>0</v>
      </c>
      <c r="P1222" s="4">
        <v>2</v>
      </c>
      <c r="Q1222" s="3" t="s">
        <v>26</v>
      </c>
      <c r="R1222" s="3">
        <v>0</v>
      </c>
      <c r="S1222" s="4">
        <v>7</v>
      </c>
      <c r="T1222" s="4">
        <v>0</v>
      </c>
      <c r="U1222" s="4">
        <v>0</v>
      </c>
      <c r="V1222" s="70">
        <f>IF(ISERROR(VLOOKUP($S$1222,'TAR FIN'!$A$1:$O$99,15,0)),0,VLOOKUP($S$1222,'TAR FIN'!$A$1:$O$99,15,0))*(1-0.04)</f>
        <v>20.975999999999999</v>
      </c>
      <c r="W1222" s="70">
        <f>IF(ISERROR(VLOOKUP($T$1222,'TAR FIN'!$A$1:$O$99,15,0)),0,VLOOKUP($T$1222,'TAR FIN'!$A$1:$O$99,15,0))</f>
        <v>0</v>
      </c>
      <c r="X1222" s="70">
        <f>IF(ISERROR(VLOOKUP($U$1222,'TAR FIN'!$A$1:$O$99,15,0)),0,VLOOKUP($U$1222,'TAR FIN'!$A$1:$O$99,15,0))</f>
        <v>0</v>
      </c>
      <c r="Y1222" s="70">
        <f ca="1">('TUSD BE'!$AM$21+'TUSD BF'!$AM$21+'TUSD CVA'!$AM$21)*1*(1-0.02)</f>
        <v>24.176010844852033</v>
      </c>
      <c r="Z1222" s="70"/>
      <c r="AA1222" s="70"/>
      <c r="AB1222" s="4">
        <f>$K$1222*$V$1222</f>
        <v>20.975999999999999</v>
      </c>
      <c r="AC1222" s="4">
        <f>$M$1222*$W$1222</f>
        <v>0</v>
      </c>
      <c r="AD1222" s="4">
        <f>$O$1222*$X$1222</f>
        <v>0</v>
      </c>
      <c r="AE1222" s="4">
        <f ca="1">$K$1222*$Y$1222</f>
        <v>24.176010844852033</v>
      </c>
      <c r="AF1222" s="4">
        <f>$M$1222*$Z$1222</f>
        <v>0</v>
      </c>
      <c r="AG1222" s="4">
        <f>$O$1222*$AA$1222</f>
        <v>0</v>
      </c>
    </row>
    <row r="1223" spans="1:33" ht="11.25" customHeight="1" x14ac:dyDescent="0.25">
      <c r="A1223" s="3" t="s">
        <v>21</v>
      </c>
      <c r="B1223" s="3" t="s">
        <v>33</v>
      </c>
      <c r="C1223" s="3" t="s">
        <v>34</v>
      </c>
      <c r="D1223" s="3" t="s">
        <v>45</v>
      </c>
      <c r="E1223" s="3" t="s">
        <v>25</v>
      </c>
      <c r="F1223" s="3" t="s">
        <v>25</v>
      </c>
      <c r="G1223" s="3" t="s">
        <v>25</v>
      </c>
      <c r="H1223" s="3" t="s">
        <v>25</v>
      </c>
      <c r="I1223" s="6">
        <v>44409</v>
      </c>
      <c r="J1223" s="4">
        <v>4170</v>
      </c>
      <c r="K1223" s="70">
        <v>4170</v>
      </c>
      <c r="L1223" s="4">
        <v>0</v>
      </c>
      <c r="M1223" s="70">
        <v>0</v>
      </c>
      <c r="N1223" s="4">
        <v>0</v>
      </c>
      <c r="O1223" s="70">
        <v>0</v>
      </c>
      <c r="P1223" s="4">
        <v>41</v>
      </c>
      <c r="Q1223" s="3" t="s">
        <v>26</v>
      </c>
      <c r="R1223" s="3">
        <v>0</v>
      </c>
      <c r="S1223" s="4">
        <v>7</v>
      </c>
      <c r="T1223" s="4">
        <v>0</v>
      </c>
      <c r="U1223" s="4">
        <v>0</v>
      </c>
      <c r="V1223" s="70">
        <f>IF(ISERROR(VLOOKUP($S$1223,'TAR FIN'!$A$1:$O$99,15,0)),0,VLOOKUP($S$1223,'TAR FIN'!$A$1:$O$99,15,0))*(1-0.04)</f>
        <v>20.975999999999999</v>
      </c>
      <c r="W1223" s="70">
        <f>IF(ISERROR(VLOOKUP($T$1223,'TAR FIN'!$A$1:$O$99,15,0)),0,VLOOKUP($T$1223,'TAR FIN'!$A$1:$O$99,15,0))</f>
        <v>0</v>
      </c>
      <c r="X1223" s="70">
        <f>IF(ISERROR(VLOOKUP($U$1223,'TAR FIN'!$A$1:$O$99,15,0)),0,VLOOKUP($U$1223,'TAR FIN'!$A$1:$O$99,15,0))</f>
        <v>0</v>
      </c>
      <c r="Y1223" s="70">
        <f ca="1">('TUSD BE'!$AM$21+'TUSD BF'!$AM$21+'TUSD CVA'!$AM$21)*1*(1-0.02)</f>
        <v>24.176010844852033</v>
      </c>
      <c r="Z1223" s="70"/>
      <c r="AA1223" s="70"/>
      <c r="AB1223" s="4">
        <f>$K$1223*$V$1223</f>
        <v>87469.92</v>
      </c>
      <c r="AC1223" s="4">
        <f>$M$1223*$W$1223</f>
        <v>0</v>
      </c>
      <c r="AD1223" s="4">
        <f>$O$1223*$X$1223</f>
        <v>0</v>
      </c>
      <c r="AE1223" s="4">
        <f ca="1">$K$1223*$Y$1223</f>
        <v>100813.96522303298</v>
      </c>
      <c r="AF1223" s="4">
        <f>$M$1223*$Z$1223</f>
        <v>0</v>
      </c>
      <c r="AG1223" s="4">
        <f>$O$1223*$AA$1223</f>
        <v>0</v>
      </c>
    </row>
    <row r="1224" spans="1:33" ht="11.25" customHeight="1" x14ac:dyDescent="0.25">
      <c r="A1224" s="3" t="s">
        <v>28</v>
      </c>
      <c r="B1224" s="3" t="s">
        <v>33</v>
      </c>
      <c r="C1224" s="3" t="s">
        <v>34</v>
      </c>
      <c r="D1224" s="3" t="s">
        <v>45</v>
      </c>
      <c r="E1224" s="3" t="s">
        <v>25</v>
      </c>
      <c r="F1224" s="3" t="s">
        <v>25</v>
      </c>
      <c r="G1224" s="3" t="s">
        <v>25</v>
      </c>
      <c r="H1224" s="3" t="s">
        <v>25</v>
      </c>
      <c r="I1224" s="6">
        <v>44409</v>
      </c>
      <c r="J1224" s="4">
        <v>225</v>
      </c>
      <c r="K1224" s="70">
        <v>225</v>
      </c>
      <c r="L1224" s="4">
        <v>0</v>
      </c>
      <c r="M1224" s="70">
        <v>0</v>
      </c>
      <c r="N1224" s="4">
        <v>0</v>
      </c>
      <c r="O1224" s="70">
        <v>0</v>
      </c>
      <c r="P1224" s="4">
        <v>3</v>
      </c>
      <c r="Q1224" s="3" t="s">
        <v>26</v>
      </c>
      <c r="R1224" s="3">
        <v>0</v>
      </c>
      <c r="S1224" s="4">
        <v>7</v>
      </c>
      <c r="T1224" s="4">
        <v>0</v>
      </c>
      <c r="U1224" s="4">
        <v>0</v>
      </c>
      <c r="V1224" s="70">
        <f>IF(ISERROR(VLOOKUP($S$1224,'TAR FIN'!$A$1:$O$99,15,0)),0,VLOOKUP($S$1224,'TAR FIN'!$A$1:$O$99,15,0))*(1-0.04)</f>
        <v>20.975999999999999</v>
      </c>
      <c r="W1224" s="70">
        <f>IF(ISERROR(VLOOKUP($T$1224,'TAR FIN'!$A$1:$O$99,15,0)),0,VLOOKUP($T$1224,'TAR FIN'!$A$1:$O$99,15,0))</f>
        <v>0</v>
      </c>
      <c r="X1224" s="70">
        <f>IF(ISERROR(VLOOKUP($U$1224,'TAR FIN'!$A$1:$O$99,15,0)),0,VLOOKUP($U$1224,'TAR FIN'!$A$1:$O$99,15,0))</f>
        <v>0</v>
      </c>
      <c r="Y1224" s="70">
        <f ca="1">('TUSD BE'!$AM$21+'TUSD BF'!$AM$21+'TUSD CVA'!$AM$21)*1*(1-0.02)</f>
        <v>24.176010844852033</v>
      </c>
      <c r="Z1224" s="70"/>
      <c r="AA1224" s="70"/>
      <c r="AB1224" s="4">
        <f>$K$1224*$V$1224</f>
        <v>4719.5999999999995</v>
      </c>
      <c r="AC1224" s="4">
        <f>$M$1224*$W$1224</f>
        <v>0</v>
      </c>
      <c r="AD1224" s="4">
        <f>$O$1224*$X$1224</f>
        <v>0</v>
      </c>
      <c r="AE1224" s="4">
        <f ca="1">$K$1224*$Y$1224</f>
        <v>5439.6024400917076</v>
      </c>
      <c r="AF1224" s="4">
        <f>$M$1224*$Z$1224</f>
        <v>0</v>
      </c>
      <c r="AG1224" s="4">
        <f>$O$1224*$AA$1224</f>
        <v>0</v>
      </c>
    </row>
    <row r="1225" spans="1:33" ht="11.25" customHeight="1" x14ac:dyDescent="0.25">
      <c r="A1225" s="3" t="s">
        <v>21</v>
      </c>
      <c r="B1225" s="3" t="s">
        <v>33</v>
      </c>
      <c r="C1225" s="3" t="s">
        <v>34</v>
      </c>
      <c r="D1225" s="3" t="s">
        <v>45</v>
      </c>
      <c r="E1225" s="3" t="s">
        <v>25</v>
      </c>
      <c r="F1225" s="3" t="s">
        <v>25</v>
      </c>
      <c r="G1225" s="3" t="s">
        <v>25</v>
      </c>
      <c r="H1225" s="3" t="s">
        <v>25</v>
      </c>
      <c r="I1225" s="6">
        <v>44440</v>
      </c>
      <c r="J1225" s="4">
        <v>3013</v>
      </c>
      <c r="K1225" s="70">
        <v>3013</v>
      </c>
      <c r="L1225" s="4">
        <v>0</v>
      </c>
      <c r="M1225" s="70">
        <v>0</v>
      </c>
      <c r="N1225" s="4">
        <v>0</v>
      </c>
      <c r="O1225" s="70">
        <v>0</v>
      </c>
      <c r="P1225" s="4">
        <v>42</v>
      </c>
      <c r="Q1225" s="3" t="s">
        <v>26</v>
      </c>
      <c r="R1225" s="3">
        <v>0</v>
      </c>
      <c r="S1225" s="4">
        <v>7</v>
      </c>
      <c r="T1225" s="4">
        <v>0</v>
      </c>
      <c r="U1225" s="4">
        <v>0</v>
      </c>
      <c r="V1225" s="70">
        <f>IF(ISERROR(VLOOKUP($S$1225,'TAR FIN'!$A$1:$O$99,15,0)),0,VLOOKUP($S$1225,'TAR FIN'!$A$1:$O$99,15,0))*(1-0.04)</f>
        <v>20.975999999999999</v>
      </c>
      <c r="W1225" s="70">
        <f>IF(ISERROR(VLOOKUP($T$1225,'TAR FIN'!$A$1:$O$99,15,0)),0,VLOOKUP($T$1225,'TAR FIN'!$A$1:$O$99,15,0))</f>
        <v>0</v>
      </c>
      <c r="X1225" s="70">
        <f>IF(ISERROR(VLOOKUP($U$1225,'TAR FIN'!$A$1:$O$99,15,0)),0,VLOOKUP($U$1225,'TAR FIN'!$A$1:$O$99,15,0))</f>
        <v>0</v>
      </c>
      <c r="Y1225" s="70">
        <f ca="1">('TUSD BE'!$AM$21+'TUSD BF'!$AM$21+'TUSD CVA'!$AM$21)*1*(1-0.02)</f>
        <v>24.176010844852033</v>
      </c>
      <c r="Z1225" s="70"/>
      <c r="AA1225" s="70"/>
      <c r="AB1225" s="4">
        <f>$K$1225*$V$1225</f>
        <v>63200.687999999995</v>
      </c>
      <c r="AC1225" s="4">
        <f>$M$1225*$W$1225</f>
        <v>0</v>
      </c>
      <c r="AD1225" s="4">
        <f>$O$1225*$X$1225</f>
        <v>0</v>
      </c>
      <c r="AE1225" s="4">
        <f ca="1">$K$1225*$Y$1225</f>
        <v>72842.320675539173</v>
      </c>
      <c r="AF1225" s="4">
        <f>$M$1225*$Z$1225</f>
        <v>0</v>
      </c>
      <c r="AG1225" s="4">
        <f>$O$1225*$AA$1225</f>
        <v>0</v>
      </c>
    </row>
    <row r="1226" spans="1:33" ht="11.25" customHeight="1" x14ac:dyDescent="0.25">
      <c r="A1226" s="3" t="s">
        <v>28</v>
      </c>
      <c r="B1226" s="3" t="s">
        <v>33</v>
      </c>
      <c r="C1226" s="3" t="s">
        <v>34</v>
      </c>
      <c r="D1226" s="3" t="s">
        <v>45</v>
      </c>
      <c r="E1226" s="3" t="s">
        <v>25</v>
      </c>
      <c r="F1226" s="3" t="s">
        <v>25</v>
      </c>
      <c r="G1226" s="3" t="s">
        <v>25</v>
      </c>
      <c r="H1226" s="3" t="s">
        <v>25</v>
      </c>
      <c r="I1226" s="6">
        <v>44440</v>
      </c>
      <c r="J1226" s="4">
        <v>312</v>
      </c>
      <c r="K1226" s="70">
        <v>312</v>
      </c>
      <c r="L1226" s="4">
        <v>0</v>
      </c>
      <c r="M1226" s="70">
        <v>0</v>
      </c>
      <c r="N1226" s="4">
        <v>0</v>
      </c>
      <c r="O1226" s="70">
        <v>0</v>
      </c>
      <c r="P1226" s="4">
        <v>3</v>
      </c>
      <c r="Q1226" s="3" t="s">
        <v>26</v>
      </c>
      <c r="R1226" s="3">
        <v>0</v>
      </c>
      <c r="S1226" s="4">
        <v>7</v>
      </c>
      <c r="T1226" s="4">
        <v>0</v>
      </c>
      <c r="U1226" s="4">
        <v>0</v>
      </c>
      <c r="V1226" s="70">
        <f>IF(ISERROR(VLOOKUP($S$1226,'TAR FIN'!$A$1:$O$99,15,0)),0,VLOOKUP($S$1226,'TAR FIN'!$A$1:$O$99,15,0))*(1-0.04)</f>
        <v>20.975999999999999</v>
      </c>
      <c r="W1226" s="70">
        <f>IF(ISERROR(VLOOKUP($T$1226,'TAR FIN'!$A$1:$O$99,15,0)),0,VLOOKUP($T$1226,'TAR FIN'!$A$1:$O$99,15,0))</f>
        <v>0</v>
      </c>
      <c r="X1226" s="70">
        <f>IF(ISERROR(VLOOKUP($U$1226,'TAR FIN'!$A$1:$O$99,15,0)),0,VLOOKUP($U$1226,'TAR FIN'!$A$1:$O$99,15,0))</f>
        <v>0</v>
      </c>
      <c r="Y1226" s="70">
        <f ca="1">('TUSD BE'!$AM$21+'TUSD BF'!$AM$21+'TUSD CVA'!$AM$21)*1*(1-0.02)</f>
        <v>24.176010844852033</v>
      </c>
      <c r="Z1226" s="70"/>
      <c r="AA1226" s="70"/>
      <c r="AB1226" s="4">
        <f>$K$1226*$V$1226</f>
        <v>6544.5119999999997</v>
      </c>
      <c r="AC1226" s="4">
        <f>$M$1226*$W$1226</f>
        <v>0</v>
      </c>
      <c r="AD1226" s="4">
        <f>$O$1226*$X$1226</f>
        <v>0</v>
      </c>
      <c r="AE1226" s="4">
        <f ca="1">$K$1226*$Y$1226</f>
        <v>7542.9153835938341</v>
      </c>
      <c r="AF1226" s="4">
        <f>$M$1226*$Z$1226</f>
        <v>0</v>
      </c>
      <c r="AG1226" s="4">
        <f>$O$1226*$AA$1226</f>
        <v>0</v>
      </c>
    </row>
    <row r="1227" spans="1:33" ht="11.25" customHeight="1" x14ac:dyDescent="0.25">
      <c r="A1227" s="3" t="s">
        <v>21</v>
      </c>
      <c r="B1227" s="3" t="s">
        <v>33</v>
      </c>
      <c r="C1227" s="3" t="s">
        <v>34</v>
      </c>
      <c r="D1227" s="3" t="s">
        <v>45</v>
      </c>
      <c r="E1227" s="3" t="s">
        <v>25</v>
      </c>
      <c r="F1227" s="3" t="s">
        <v>25</v>
      </c>
      <c r="G1227" s="3" t="s">
        <v>25</v>
      </c>
      <c r="H1227" s="3" t="s">
        <v>25</v>
      </c>
      <c r="I1227" s="6">
        <v>44470</v>
      </c>
      <c r="J1227" s="4">
        <v>2672</v>
      </c>
      <c r="K1227" s="70">
        <v>2672</v>
      </c>
      <c r="L1227" s="4">
        <v>0</v>
      </c>
      <c r="M1227" s="70">
        <v>0</v>
      </c>
      <c r="N1227" s="4">
        <v>0</v>
      </c>
      <c r="O1227" s="70">
        <v>0</v>
      </c>
      <c r="P1227" s="4">
        <v>38</v>
      </c>
      <c r="Q1227" s="3" t="s">
        <v>26</v>
      </c>
      <c r="R1227" s="3">
        <v>0</v>
      </c>
      <c r="S1227" s="4">
        <v>7</v>
      </c>
      <c r="T1227" s="4">
        <v>0</v>
      </c>
      <c r="U1227" s="4">
        <v>0</v>
      </c>
      <c r="V1227" s="70">
        <f>IF(ISERROR(VLOOKUP($S$1227,'TAR FIN'!$A$1:$O$99,15,0)),0,VLOOKUP($S$1227,'TAR FIN'!$A$1:$O$99,15,0))*(1-0.04)</f>
        <v>20.975999999999999</v>
      </c>
      <c r="W1227" s="70">
        <f>IF(ISERROR(VLOOKUP($T$1227,'TAR FIN'!$A$1:$O$99,15,0)),0,VLOOKUP($T$1227,'TAR FIN'!$A$1:$O$99,15,0))</f>
        <v>0</v>
      </c>
      <c r="X1227" s="70">
        <f>IF(ISERROR(VLOOKUP($U$1227,'TAR FIN'!$A$1:$O$99,15,0)),0,VLOOKUP($U$1227,'TAR FIN'!$A$1:$O$99,15,0))</f>
        <v>0</v>
      </c>
      <c r="Y1227" s="70">
        <f ca="1">('TUSD BE'!$AM$21+'TUSD BF'!$AM$21+'TUSD CVA'!$AM$21)*1*(1-0.02)</f>
        <v>24.176010844852033</v>
      </c>
      <c r="Z1227" s="70"/>
      <c r="AA1227" s="70"/>
      <c r="AB1227" s="4">
        <f>$K$1227*$V$1227</f>
        <v>56047.871999999996</v>
      </c>
      <c r="AC1227" s="4">
        <f>$M$1227*$W$1227</f>
        <v>0</v>
      </c>
      <c r="AD1227" s="4">
        <f>$O$1227*$X$1227</f>
        <v>0</v>
      </c>
      <c r="AE1227" s="4">
        <f ca="1">$K$1227*$Y$1227</f>
        <v>64598.300977444633</v>
      </c>
      <c r="AF1227" s="4">
        <f>$M$1227*$Z$1227</f>
        <v>0</v>
      </c>
      <c r="AG1227" s="4">
        <f>$O$1227*$AA$1227</f>
        <v>0</v>
      </c>
    </row>
    <row r="1228" spans="1:33" ht="11.25" customHeight="1" x14ac:dyDescent="0.25">
      <c r="A1228" s="3" t="s">
        <v>28</v>
      </c>
      <c r="B1228" s="3" t="s">
        <v>33</v>
      </c>
      <c r="C1228" s="3" t="s">
        <v>34</v>
      </c>
      <c r="D1228" s="3" t="s">
        <v>45</v>
      </c>
      <c r="E1228" s="3" t="s">
        <v>25</v>
      </c>
      <c r="F1228" s="3" t="s">
        <v>25</v>
      </c>
      <c r="G1228" s="3" t="s">
        <v>25</v>
      </c>
      <c r="H1228" s="3" t="s">
        <v>25</v>
      </c>
      <c r="I1228" s="6">
        <v>44470</v>
      </c>
      <c r="J1228" s="4">
        <v>235</v>
      </c>
      <c r="K1228" s="70">
        <v>235</v>
      </c>
      <c r="L1228" s="4">
        <v>0</v>
      </c>
      <c r="M1228" s="70">
        <v>0</v>
      </c>
      <c r="N1228" s="4">
        <v>0</v>
      </c>
      <c r="O1228" s="70">
        <v>0</v>
      </c>
      <c r="P1228" s="4">
        <v>3</v>
      </c>
      <c r="Q1228" s="3" t="s">
        <v>26</v>
      </c>
      <c r="R1228" s="3">
        <v>0</v>
      </c>
      <c r="S1228" s="4">
        <v>7</v>
      </c>
      <c r="T1228" s="4">
        <v>0</v>
      </c>
      <c r="U1228" s="4">
        <v>0</v>
      </c>
      <c r="V1228" s="70">
        <f>IF(ISERROR(VLOOKUP($S$1228,'TAR FIN'!$A$1:$O$99,15,0)),0,VLOOKUP($S$1228,'TAR FIN'!$A$1:$O$99,15,0))*(1-0.04)</f>
        <v>20.975999999999999</v>
      </c>
      <c r="W1228" s="70">
        <f>IF(ISERROR(VLOOKUP($T$1228,'TAR FIN'!$A$1:$O$99,15,0)),0,VLOOKUP($T$1228,'TAR FIN'!$A$1:$O$99,15,0))</f>
        <v>0</v>
      </c>
      <c r="X1228" s="70">
        <f>IF(ISERROR(VLOOKUP($U$1228,'TAR FIN'!$A$1:$O$99,15,0)),0,VLOOKUP($U$1228,'TAR FIN'!$A$1:$O$99,15,0))</f>
        <v>0</v>
      </c>
      <c r="Y1228" s="70">
        <f ca="1">('TUSD BE'!$AM$21+'TUSD BF'!$AM$21+'TUSD CVA'!$AM$21)*1*(1-0.02)</f>
        <v>24.176010844852033</v>
      </c>
      <c r="Z1228" s="70"/>
      <c r="AA1228" s="70"/>
      <c r="AB1228" s="4">
        <f>$K$1228*$V$1228</f>
        <v>4929.3599999999997</v>
      </c>
      <c r="AC1228" s="4">
        <f>$M$1228*$W$1228</f>
        <v>0</v>
      </c>
      <c r="AD1228" s="4">
        <f>$O$1228*$X$1228</f>
        <v>0</v>
      </c>
      <c r="AE1228" s="4">
        <f ca="1">$K$1228*$Y$1228</f>
        <v>5681.3625485402281</v>
      </c>
      <c r="AF1228" s="4">
        <f>$M$1228*$Z$1228</f>
        <v>0</v>
      </c>
      <c r="AG1228" s="4">
        <f>$O$1228*$AA$1228</f>
        <v>0</v>
      </c>
    </row>
    <row r="1229" spans="1:33" ht="11.25" customHeight="1" x14ac:dyDescent="0.25">
      <c r="A1229" s="3" t="s">
        <v>21</v>
      </c>
      <c r="B1229" s="3" t="s">
        <v>33</v>
      </c>
      <c r="C1229" s="3" t="s">
        <v>34</v>
      </c>
      <c r="D1229" s="3" t="s">
        <v>45</v>
      </c>
      <c r="E1229" s="3" t="s">
        <v>25</v>
      </c>
      <c r="F1229" s="3" t="s">
        <v>25</v>
      </c>
      <c r="G1229" s="3" t="s">
        <v>25</v>
      </c>
      <c r="H1229" s="3" t="s">
        <v>25</v>
      </c>
      <c r="I1229" s="6">
        <v>44501</v>
      </c>
      <c r="J1229" s="4">
        <v>3283</v>
      </c>
      <c r="K1229" s="70">
        <v>3283</v>
      </c>
      <c r="L1229" s="4">
        <v>0</v>
      </c>
      <c r="M1229" s="70">
        <v>0</v>
      </c>
      <c r="N1229" s="4">
        <v>0</v>
      </c>
      <c r="O1229" s="70">
        <v>0</v>
      </c>
      <c r="P1229" s="4">
        <v>43</v>
      </c>
      <c r="Q1229" s="3" t="s">
        <v>26</v>
      </c>
      <c r="R1229" s="3">
        <v>0</v>
      </c>
      <c r="S1229" s="4">
        <v>7</v>
      </c>
      <c r="T1229" s="4">
        <v>0</v>
      </c>
      <c r="U1229" s="4">
        <v>0</v>
      </c>
      <c r="V1229" s="70">
        <f>IF(ISERROR(VLOOKUP($S$1229,'TAR FIN'!$A$1:$O$99,15,0)),0,VLOOKUP($S$1229,'TAR FIN'!$A$1:$O$99,15,0))*(1-0.04)</f>
        <v>20.975999999999999</v>
      </c>
      <c r="W1229" s="70">
        <f>IF(ISERROR(VLOOKUP($T$1229,'TAR FIN'!$A$1:$O$99,15,0)),0,VLOOKUP($T$1229,'TAR FIN'!$A$1:$O$99,15,0))</f>
        <v>0</v>
      </c>
      <c r="X1229" s="70">
        <f>IF(ISERROR(VLOOKUP($U$1229,'TAR FIN'!$A$1:$O$99,15,0)),0,VLOOKUP($U$1229,'TAR FIN'!$A$1:$O$99,15,0))</f>
        <v>0</v>
      </c>
      <c r="Y1229" s="70">
        <f ca="1">('TUSD BE'!$AM$21+'TUSD BF'!$AM$21+'TUSD CVA'!$AM$21)*1*(1-0.02)</f>
        <v>24.176010844852033</v>
      </c>
      <c r="Z1229" s="70"/>
      <c r="AA1229" s="70"/>
      <c r="AB1229" s="4">
        <f>$K$1229*$V$1229</f>
        <v>68864.207999999999</v>
      </c>
      <c r="AC1229" s="4">
        <f>$M$1229*$W$1229</f>
        <v>0</v>
      </c>
      <c r="AD1229" s="4">
        <f>$O$1229*$X$1229</f>
        <v>0</v>
      </c>
      <c r="AE1229" s="4">
        <f ca="1">$K$1229*$Y$1229</f>
        <v>79369.84360364922</v>
      </c>
      <c r="AF1229" s="4">
        <f>$M$1229*$Z$1229</f>
        <v>0</v>
      </c>
      <c r="AG1229" s="4">
        <f>$O$1229*$AA$1229</f>
        <v>0</v>
      </c>
    </row>
    <row r="1230" spans="1:33" ht="11.25" customHeight="1" x14ac:dyDescent="0.25">
      <c r="A1230" s="3" t="s">
        <v>28</v>
      </c>
      <c r="B1230" s="3" t="s">
        <v>33</v>
      </c>
      <c r="C1230" s="3" t="s">
        <v>34</v>
      </c>
      <c r="D1230" s="3" t="s">
        <v>45</v>
      </c>
      <c r="E1230" s="3" t="s">
        <v>25</v>
      </c>
      <c r="F1230" s="3" t="s">
        <v>25</v>
      </c>
      <c r="G1230" s="3" t="s">
        <v>25</v>
      </c>
      <c r="H1230" s="3" t="s">
        <v>25</v>
      </c>
      <c r="I1230" s="6">
        <v>44501</v>
      </c>
      <c r="J1230" s="4">
        <v>359</v>
      </c>
      <c r="K1230" s="70">
        <v>359</v>
      </c>
      <c r="L1230" s="4">
        <v>0</v>
      </c>
      <c r="M1230" s="70">
        <v>0</v>
      </c>
      <c r="N1230" s="4">
        <v>0</v>
      </c>
      <c r="O1230" s="70">
        <v>0</v>
      </c>
      <c r="P1230" s="4">
        <v>3</v>
      </c>
      <c r="Q1230" s="3" t="s">
        <v>26</v>
      </c>
      <c r="R1230" s="3">
        <v>0</v>
      </c>
      <c r="S1230" s="4">
        <v>7</v>
      </c>
      <c r="T1230" s="4">
        <v>0</v>
      </c>
      <c r="U1230" s="4">
        <v>0</v>
      </c>
      <c r="V1230" s="70">
        <f>IF(ISERROR(VLOOKUP($S$1230,'TAR FIN'!$A$1:$O$99,15,0)),0,VLOOKUP($S$1230,'TAR FIN'!$A$1:$O$99,15,0))*(1-0.04)</f>
        <v>20.975999999999999</v>
      </c>
      <c r="W1230" s="70">
        <f>IF(ISERROR(VLOOKUP($T$1230,'TAR FIN'!$A$1:$O$99,15,0)),0,VLOOKUP($T$1230,'TAR FIN'!$A$1:$O$99,15,0))</f>
        <v>0</v>
      </c>
      <c r="X1230" s="70">
        <f>IF(ISERROR(VLOOKUP($U$1230,'TAR FIN'!$A$1:$O$99,15,0)),0,VLOOKUP($U$1230,'TAR FIN'!$A$1:$O$99,15,0))</f>
        <v>0</v>
      </c>
      <c r="Y1230" s="70">
        <f ca="1">('TUSD BE'!$AM$21+'TUSD BF'!$AM$21+'TUSD CVA'!$AM$21)*1*(1-0.02)</f>
        <v>24.176010844852033</v>
      </c>
      <c r="Z1230" s="70"/>
      <c r="AA1230" s="70"/>
      <c r="AB1230" s="4">
        <f>$K$1230*$V$1230</f>
        <v>7530.384</v>
      </c>
      <c r="AC1230" s="4">
        <f>$M$1230*$W$1230</f>
        <v>0</v>
      </c>
      <c r="AD1230" s="4">
        <f>$O$1230*$X$1230</f>
        <v>0</v>
      </c>
      <c r="AE1230" s="4">
        <f ca="1">$K$1230*$Y$1230</f>
        <v>8679.1878933018797</v>
      </c>
      <c r="AF1230" s="4">
        <f>$M$1230*$Z$1230</f>
        <v>0</v>
      </c>
      <c r="AG1230" s="4">
        <f>$O$1230*$AA$1230</f>
        <v>0</v>
      </c>
    </row>
    <row r="1231" spans="1:33" ht="11.25" customHeight="1" x14ac:dyDescent="0.25">
      <c r="A1231" s="3" t="s">
        <v>21</v>
      </c>
      <c r="B1231" s="3" t="s">
        <v>33</v>
      </c>
      <c r="C1231" s="3" t="s">
        <v>34</v>
      </c>
      <c r="D1231" s="3" t="s">
        <v>45</v>
      </c>
      <c r="E1231" s="3" t="s">
        <v>25</v>
      </c>
      <c r="F1231" s="3" t="s">
        <v>25</v>
      </c>
      <c r="G1231" s="3" t="s">
        <v>25</v>
      </c>
      <c r="H1231" s="3" t="s">
        <v>25</v>
      </c>
      <c r="I1231" s="6">
        <v>44531</v>
      </c>
      <c r="J1231" s="4">
        <v>3104</v>
      </c>
      <c r="K1231" s="70">
        <v>3104</v>
      </c>
      <c r="L1231" s="4">
        <v>0</v>
      </c>
      <c r="M1231" s="70">
        <v>0</v>
      </c>
      <c r="N1231" s="4">
        <v>0</v>
      </c>
      <c r="O1231" s="70">
        <v>0</v>
      </c>
      <c r="P1231" s="4">
        <v>40</v>
      </c>
      <c r="Q1231" s="3" t="s">
        <v>26</v>
      </c>
      <c r="R1231" s="3">
        <v>0</v>
      </c>
      <c r="S1231" s="4">
        <v>7</v>
      </c>
      <c r="T1231" s="4">
        <v>0</v>
      </c>
      <c r="U1231" s="4">
        <v>0</v>
      </c>
      <c r="V1231" s="70">
        <f>IF(ISERROR(VLOOKUP($S$1231,'TAR FIN'!$A$1:$O$99,15,0)),0,VLOOKUP($S$1231,'TAR FIN'!$A$1:$O$99,15,0))*(1-0.04)</f>
        <v>20.975999999999999</v>
      </c>
      <c r="W1231" s="70">
        <f>IF(ISERROR(VLOOKUP($T$1231,'TAR FIN'!$A$1:$O$99,15,0)),0,VLOOKUP($T$1231,'TAR FIN'!$A$1:$O$99,15,0))</f>
        <v>0</v>
      </c>
      <c r="X1231" s="70">
        <f>IF(ISERROR(VLOOKUP($U$1231,'TAR FIN'!$A$1:$O$99,15,0)),0,VLOOKUP($U$1231,'TAR FIN'!$A$1:$O$99,15,0))</f>
        <v>0</v>
      </c>
      <c r="Y1231" s="70">
        <f ca="1">('TUSD BE'!$AM$21+'TUSD BF'!$AM$21+'TUSD CVA'!$AM$21)*1*(1-0.02)</f>
        <v>24.176010844852033</v>
      </c>
      <c r="Z1231" s="70"/>
      <c r="AA1231" s="70"/>
      <c r="AB1231" s="4">
        <f>$K$1231*$V$1231</f>
        <v>65109.504000000001</v>
      </c>
      <c r="AC1231" s="4">
        <f>$M$1231*$W$1231</f>
        <v>0</v>
      </c>
      <c r="AD1231" s="4">
        <f>$O$1231*$X$1231</f>
        <v>0</v>
      </c>
      <c r="AE1231" s="4">
        <f ca="1">$K$1231*$Y$1231</f>
        <v>75042.337662420716</v>
      </c>
      <c r="AF1231" s="4">
        <f>$M$1231*$Z$1231</f>
        <v>0</v>
      </c>
      <c r="AG1231" s="4">
        <f>$O$1231*$AA$1231</f>
        <v>0</v>
      </c>
    </row>
    <row r="1232" spans="1:33" ht="11.25" customHeight="1" x14ac:dyDescent="0.25">
      <c r="A1232" s="3" t="s">
        <v>28</v>
      </c>
      <c r="B1232" s="3" t="s">
        <v>33</v>
      </c>
      <c r="C1232" s="3" t="s">
        <v>34</v>
      </c>
      <c r="D1232" s="3" t="s">
        <v>45</v>
      </c>
      <c r="E1232" s="3" t="s">
        <v>25</v>
      </c>
      <c r="F1232" s="3" t="s">
        <v>25</v>
      </c>
      <c r="G1232" s="3" t="s">
        <v>25</v>
      </c>
      <c r="H1232" s="3" t="s">
        <v>25</v>
      </c>
      <c r="I1232" s="6">
        <v>44531</v>
      </c>
      <c r="J1232" s="4">
        <v>355</v>
      </c>
      <c r="K1232" s="70">
        <v>355</v>
      </c>
      <c r="L1232" s="4">
        <v>0</v>
      </c>
      <c r="M1232" s="70">
        <v>0</v>
      </c>
      <c r="N1232" s="4">
        <v>0</v>
      </c>
      <c r="O1232" s="70">
        <v>0</v>
      </c>
      <c r="P1232" s="4">
        <v>3</v>
      </c>
      <c r="Q1232" s="3" t="s">
        <v>26</v>
      </c>
      <c r="R1232" s="3">
        <v>0</v>
      </c>
      <c r="S1232" s="4">
        <v>7</v>
      </c>
      <c r="T1232" s="4">
        <v>0</v>
      </c>
      <c r="U1232" s="4">
        <v>0</v>
      </c>
      <c r="V1232" s="70">
        <f>IF(ISERROR(VLOOKUP($S$1232,'TAR FIN'!$A$1:$O$99,15,0)),0,VLOOKUP($S$1232,'TAR FIN'!$A$1:$O$99,15,0))*(1-0.04)</f>
        <v>20.975999999999999</v>
      </c>
      <c r="W1232" s="70">
        <f>IF(ISERROR(VLOOKUP($T$1232,'TAR FIN'!$A$1:$O$99,15,0)),0,VLOOKUP($T$1232,'TAR FIN'!$A$1:$O$99,15,0))</f>
        <v>0</v>
      </c>
      <c r="X1232" s="70">
        <f>IF(ISERROR(VLOOKUP($U$1232,'TAR FIN'!$A$1:$O$99,15,0)),0,VLOOKUP($U$1232,'TAR FIN'!$A$1:$O$99,15,0))</f>
        <v>0</v>
      </c>
      <c r="Y1232" s="70">
        <f ca="1">('TUSD BE'!$AM$21+'TUSD BF'!$AM$21+'TUSD CVA'!$AM$21)*1*(1-0.02)</f>
        <v>24.176010844852033</v>
      </c>
      <c r="Z1232" s="70"/>
      <c r="AA1232" s="70"/>
      <c r="AB1232" s="4">
        <f>$K$1232*$V$1232</f>
        <v>7446.48</v>
      </c>
      <c r="AC1232" s="4">
        <f>$M$1232*$W$1232</f>
        <v>0</v>
      </c>
      <c r="AD1232" s="4">
        <f>$O$1232*$X$1232</f>
        <v>0</v>
      </c>
      <c r="AE1232" s="4">
        <f ca="1">$K$1232*$Y$1232</f>
        <v>8582.4838499224716</v>
      </c>
      <c r="AF1232" s="4">
        <f>$M$1232*$Z$1232</f>
        <v>0</v>
      </c>
      <c r="AG1232" s="4">
        <f>$O$1232*$AA$1232</f>
        <v>0</v>
      </c>
    </row>
    <row r="1233" spans="1:33" ht="11.25" customHeight="1" x14ac:dyDescent="0.25">
      <c r="A1233" s="3" t="s">
        <v>21</v>
      </c>
      <c r="B1233" s="3" t="s">
        <v>33</v>
      </c>
      <c r="C1233" s="3" t="s">
        <v>34</v>
      </c>
      <c r="D1233" s="3" t="s">
        <v>45</v>
      </c>
      <c r="E1233" s="3" t="s">
        <v>25</v>
      </c>
      <c r="F1233" s="3" t="s">
        <v>25</v>
      </c>
      <c r="G1233" s="3" t="s">
        <v>25</v>
      </c>
      <c r="H1233" s="3" t="s">
        <v>25</v>
      </c>
      <c r="I1233" s="6">
        <v>44562</v>
      </c>
      <c r="J1233" s="4">
        <v>3706</v>
      </c>
      <c r="K1233" s="70">
        <v>3706</v>
      </c>
      <c r="L1233" s="4">
        <v>0</v>
      </c>
      <c r="M1233" s="70">
        <v>0</v>
      </c>
      <c r="N1233" s="4">
        <v>0</v>
      </c>
      <c r="O1233" s="70">
        <v>0</v>
      </c>
      <c r="P1233" s="4">
        <v>42</v>
      </c>
      <c r="Q1233" s="3" t="s">
        <v>26</v>
      </c>
      <c r="R1233" s="3">
        <v>0</v>
      </c>
      <c r="S1233" s="4">
        <v>7</v>
      </c>
      <c r="T1233" s="4">
        <v>0</v>
      </c>
      <c r="U1233" s="4">
        <v>0</v>
      </c>
      <c r="V1233" s="70">
        <f>IF(ISERROR(VLOOKUP($S$1233,'TAR FIN'!$A$1:$O$99,15,0)),0,VLOOKUP($S$1233,'TAR FIN'!$A$1:$O$99,15,0))*(1-0.04)</f>
        <v>20.975999999999999</v>
      </c>
      <c r="W1233" s="70">
        <f>IF(ISERROR(VLOOKUP($T$1233,'TAR FIN'!$A$1:$O$99,15,0)),0,VLOOKUP($T$1233,'TAR FIN'!$A$1:$O$99,15,0))</f>
        <v>0</v>
      </c>
      <c r="X1233" s="70">
        <f>IF(ISERROR(VLOOKUP($U$1233,'TAR FIN'!$A$1:$O$99,15,0)),0,VLOOKUP($U$1233,'TAR FIN'!$A$1:$O$99,15,0))</f>
        <v>0</v>
      </c>
      <c r="Y1233" s="70">
        <f ca="1">('TUSD BE'!$AM$21+'TUSD BF'!$AM$21+'TUSD CVA'!$AM$21)*1*(1-0.02)</f>
        <v>24.176010844852033</v>
      </c>
      <c r="Z1233" s="70"/>
      <c r="AA1233" s="70"/>
      <c r="AB1233" s="4">
        <f>$K$1233*$V$1233</f>
        <v>77737.055999999997</v>
      </c>
      <c r="AC1233" s="4">
        <f>$M$1233*$W$1233</f>
        <v>0</v>
      </c>
      <c r="AD1233" s="4">
        <f>$O$1233*$X$1233</f>
        <v>0</v>
      </c>
      <c r="AE1233" s="4">
        <f ca="1">$K$1233*$Y$1233</f>
        <v>89596.29619102164</v>
      </c>
      <c r="AF1233" s="4">
        <f>$M$1233*$Z$1233</f>
        <v>0</v>
      </c>
      <c r="AG1233" s="4">
        <f>$O$1233*$AA$1233</f>
        <v>0</v>
      </c>
    </row>
    <row r="1234" spans="1:33" ht="11.25" customHeight="1" x14ac:dyDescent="0.25">
      <c r="A1234" s="3" t="s">
        <v>28</v>
      </c>
      <c r="B1234" s="3" t="s">
        <v>33</v>
      </c>
      <c r="C1234" s="3" t="s">
        <v>34</v>
      </c>
      <c r="D1234" s="3" t="s">
        <v>45</v>
      </c>
      <c r="E1234" s="3" t="s">
        <v>25</v>
      </c>
      <c r="F1234" s="3" t="s">
        <v>25</v>
      </c>
      <c r="G1234" s="3" t="s">
        <v>25</v>
      </c>
      <c r="H1234" s="3" t="s">
        <v>25</v>
      </c>
      <c r="I1234" s="6">
        <v>44562</v>
      </c>
      <c r="J1234" s="4">
        <v>367</v>
      </c>
      <c r="K1234" s="70">
        <v>367</v>
      </c>
      <c r="L1234" s="4">
        <v>0</v>
      </c>
      <c r="M1234" s="70">
        <v>0</v>
      </c>
      <c r="N1234" s="4">
        <v>0</v>
      </c>
      <c r="O1234" s="70">
        <v>0</v>
      </c>
      <c r="P1234" s="4">
        <v>3</v>
      </c>
      <c r="Q1234" s="3" t="s">
        <v>26</v>
      </c>
      <c r="R1234" s="3">
        <v>0</v>
      </c>
      <c r="S1234" s="4">
        <v>7</v>
      </c>
      <c r="T1234" s="4">
        <v>0</v>
      </c>
      <c r="U1234" s="4">
        <v>0</v>
      </c>
      <c r="V1234" s="70">
        <f>IF(ISERROR(VLOOKUP($S$1234,'TAR FIN'!$A$1:$O$99,15,0)),0,VLOOKUP($S$1234,'TAR FIN'!$A$1:$O$99,15,0))*(1-0.04)</f>
        <v>20.975999999999999</v>
      </c>
      <c r="W1234" s="70">
        <f>IF(ISERROR(VLOOKUP($T$1234,'TAR FIN'!$A$1:$O$99,15,0)),0,VLOOKUP($T$1234,'TAR FIN'!$A$1:$O$99,15,0))</f>
        <v>0</v>
      </c>
      <c r="X1234" s="70">
        <f>IF(ISERROR(VLOOKUP($U$1234,'TAR FIN'!$A$1:$O$99,15,0)),0,VLOOKUP($U$1234,'TAR FIN'!$A$1:$O$99,15,0))</f>
        <v>0</v>
      </c>
      <c r="Y1234" s="70">
        <f ca="1">('TUSD BE'!$AM$21+'TUSD BF'!$AM$21+'TUSD CVA'!$AM$21)*1*(1-0.02)</f>
        <v>24.176010844852033</v>
      </c>
      <c r="Z1234" s="70"/>
      <c r="AA1234" s="70"/>
      <c r="AB1234" s="4">
        <f>$K$1234*$V$1234</f>
        <v>7698.192</v>
      </c>
      <c r="AC1234" s="4">
        <f>$M$1234*$W$1234</f>
        <v>0</v>
      </c>
      <c r="AD1234" s="4">
        <f>$O$1234*$X$1234</f>
        <v>0</v>
      </c>
      <c r="AE1234" s="4">
        <f ca="1">$K$1234*$Y$1234</f>
        <v>8872.5959800606961</v>
      </c>
      <c r="AF1234" s="4">
        <f>$M$1234*$Z$1234</f>
        <v>0</v>
      </c>
      <c r="AG1234" s="4">
        <f>$O$1234*$AA$1234</f>
        <v>0</v>
      </c>
    </row>
    <row r="1235" spans="1:33" ht="11.25" customHeight="1" x14ac:dyDescent="0.25">
      <c r="A1235" s="3" t="s">
        <v>21</v>
      </c>
      <c r="B1235" s="3" t="s">
        <v>33</v>
      </c>
      <c r="C1235" s="3" t="s">
        <v>34</v>
      </c>
      <c r="D1235" s="3" t="s">
        <v>45</v>
      </c>
      <c r="E1235" s="3" t="s">
        <v>25</v>
      </c>
      <c r="F1235" s="3" t="s">
        <v>25</v>
      </c>
      <c r="G1235" s="3" t="s">
        <v>25</v>
      </c>
      <c r="H1235" s="3" t="s">
        <v>25</v>
      </c>
      <c r="I1235" s="6">
        <v>44593</v>
      </c>
      <c r="J1235" s="4">
        <v>2629</v>
      </c>
      <c r="K1235" s="70">
        <v>2629</v>
      </c>
      <c r="L1235" s="4">
        <v>0</v>
      </c>
      <c r="M1235" s="70">
        <v>0</v>
      </c>
      <c r="N1235" s="4">
        <v>0</v>
      </c>
      <c r="O1235" s="70">
        <v>0</v>
      </c>
      <c r="P1235" s="4">
        <v>38</v>
      </c>
      <c r="Q1235" s="3" t="s">
        <v>26</v>
      </c>
      <c r="R1235" s="3">
        <v>0</v>
      </c>
      <c r="S1235" s="4">
        <v>7</v>
      </c>
      <c r="T1235" s="4">
        <v>0</v>
      </c>
      <c r="U1235" s="4">
        <v>0</v>
      </c>
      <c r="V1235" s="70">
        <f>IF(ISERROR(VLOOKUP($S$1235,'TAR FIN'!$A$1:$O$99,15,0)),0,VLOOKUP($S$1235,'TAR FIN'!$A$1:$O$99,15,0))*(1-0.04)</f>
        <v>20.975999999999999</v>
      </c>
      <c r="W1235" s="70">
        <f>IF(ISERROR(VLOOKUP($T$1235,'TAR FIN'!$A$1:$O$99,15,0)),0,VLOOKUP($T$1235,'TAR FIN'!$A$1:$O$99,15,0))</f>
        <v>0</v>
      </c>
      <c r="X1235" s="70">
        <f>IF(ISERROR(VLOOKUP($U$1235,'TAR FIN'!$A$1:$O$99,15,0)),0,VLOOKUP($U$1235,'TAR FIN'!$A$1:$O$99,15,0))</f>
        <v>0</v>
      </c>
      <c r="Y1235" s="70">
        <f ca="1">('TUSD BE'!$AM$21+'TUSD BF'!$AM$21+'TUSD CVA'!$AM$21)*1*(1-0.02)</f>
        <v>24.176010844852033</v>
      </c>
      <c r="Z1235" s="70"/>
      <c r="AA1235" s="70"/>
      <c r="AB1235" s="4">
        <f>$K$1235*$V$1235</f>
        <v>55145.903999999995</v>
      </c>
      <c r="AC1235" s="4">
        <f>$M$1235*$W$1235</f>
        <v>0</v>
      </c>
      <c r="AD1235" s="4">
        <f>$O$1235*$X$1235</f>
        <v>0</v>
      </c>
      <c r="AE1235" s="4">
        <f ca="1">$K$1235*$Y$1235</f>
        <v>63558.732511115995</v>
      </c>
      <c r="AF1235" s="4">
        <f>$M$1235*$Z$1235</f>
        <v>0</v>
      </c>
      <c r="AG1235" s="4">
        <f>$O$1235*$AA$1235</f>
        <v>0</v>
      </c>
    </row>
    <row r="1236" spans="1:33" ht="11.25" customHeight="1" x14ac:dyDescent="0.25">
      <c r="A1236" s="3" t="s">
        <v>28</v>
      </c>
      <c r="B1236" s="3" t="s">
        <v>33</v>
      </c>
      <c r="C1236" s="3" t="s">
        <v>34</v>
      </c>
      <c r="D1236" s="3" t="s">
        <v>45</v>
      </c>
      <c r="E1236" s="3" t="s">
        <v>25</v>
      </c>
      <c r="F1236" s="3" t="s">
        <v>25</v>
      </c>
      <c r="G1236" s="3" t="s">
        <v>25</v>
      </c>
      <c r="H1236" s="3" t="s">
        <v>25</v>
      </c>
      <c r="I1236" s="6">
        <v>44593</v>
      </c>
      <c r="J1236" s="4">
        <v>371</v>
      </c>
      <c r="K1236" s="70">
        <v>371</v>
      </c>
      <c r="L1236" s="4">
        <v>0</v>
      </c>
      <c r="M1236" s="70">
        <v>0</v>
      </c>
      <c r="N1236" s="4">
        <v>0</v>
      </c>
      <c r="O1236" s="70">
        <v>0</v>
      </c>
      <c r="P1236" s="4">
        <v>3</v>
      </c>
      <c r="Q1236" s="3" t="s">
        <v>26</v>
      </c>
      <c r="R1236" s="3">
        <v>0</v>
      </c>
      <c r="S1236" s="4">
        <v>7</v>
      </c>
      <c r="T1236" s="4">
        <v>0</v>
      </c>
      <c r="U1236" s="4">
        <v>0</v>
      </c>
      <c r="V1236" s="70">
        <f>IF(ISERROR(VLOOKUP($S$1236,'TAR FIN'!$A$1:$O$99,15,0)),0,VLOOKUP($S$1236,'TAR FIN'!$A$1:$O$99,15,0))*(1-0.04)</f>
        <v>20.975999999999999</v>
      </c>
      <c r="W1236" s="70">
        <f>IF(ISERROR(VLOOKUP($T$1236,'TAR FIN'!$A$1:$O$99,15,0)),0,VLOOKUP($T$1236,'TAR FIN'!$A$1:$O$99,15,0))</f>
        <v>0</v>
      </c>
      <c r="X1236" s="70">
        <f>IF(ISERROR(VLOOKUP($U$1236,'TAR FIN'!$A$1:$O$99,15,0)),0,VLOOKUP($U$1236,'TAR FIN'!$A$1:$O$99,15,0))</f>
        <v>0</v>
      </c>
      <c r="Y1236" s="70">
        <f ca="1">('TUSD BE'!$AM$21+'TUSD BF'!$AM$21+'TUSD CVA'!$AM$21)*1*(1-0.02)</f>
        <v>24.176010844852033</v>
      </c>
      <c r="Z1236" s="70"/>
      <c r="AA1236" s="70"/>
      <c r="AB1236" s="4">
        <f>$K$1236*$V$1236</f>
        <v>7782.0959999999995</v>
      </c>
      <c r="AC1236" s="4">
        <f>$M$1236*$W$1236</f>
        <v>0</v>
      </c>
      <c r="AD1236" s="4">
        <f>$O$1236*$X$1236</f>
        <v>0</v>
      </c>
      <c r="AE1236" s="4">
        <f ca="1">$K$1236*$Y$1236</f>
        <v>8969.3000234401043</v>
      </c>
      <c r="AF1236" s="4">
        <f>$M$1236*$Z$1236</f>
        <v>0</v>
      </c>
      <c r="AG1236" s="4">
        <f>$O$1236*$AA$1236</f>
        <v>0</v>
      </c>
    </row>
    <row r="1237" spans="1:33" ht="11.25" customHeight="1" x14ac:dyDescent="0.25">
      <c r="A1237" s="3" t="s">
        <v>21</v>
      </c>
      <c r="B1237" s="3" t="s">
        <v>33</v>
      </c>
      <c r="C1237" s="3" t="s">
        <v>34</v>
      </c>
      <c r="D1237" s="3" t="s">
        <v>45</v>
      </c>
      <c r="E1237" s="3" t="s">
        <v>25</v>
      </c>
      <c r="F1237" s="3" t="s">
        <v>25</v>
      </c>
      <c r="G1237" s="3" t="s">
        <v>25</v>
      </c>
      <c r="H1237" s="3" t="s">
        <v>25</v>
      </c>
      <c r="I1237" s="6">
        <v>44621</v>
      </c>
      <c r="J1237" s="4">
        <v>3744</v>
      </c>
      <c r="K1237" s="70">
        <v>3744</v>
      </c>
      <c r="L1237" s="4">
        <v>0</v>
      </c>
      <c r="M1237" s="70">
        <v>0</v>
      </c>
      <c r="N1237" s="4">
        <v>0</v>
      </c>
      <c r="O1237" s="70">
        <v>0</v>
      </c>
      <c r="P1237" s="4">
        <v>41</v>
      </c>
      <c r="Q1237" s="3" t="s">
        <v>26</v>
      </c>
      <c r="R1237" s="3">
        <v>0</v>
      </c>
      <c r="S1237" s="4">
        <v>7</v>
      </c>
      <c r="T1237" s="4">
        <v>0</v>
      </c>
      <c r="U1237" s="4">
        <v>0</v>
      </c>
      <c r="V1237" s="70">
        <f>IF(ISERROR(VLOOKUP($S$1237,'TAR FIN'!$A$1:$O$99,15,0)),0,VLOOKUP($S$1237,'TAR FIN'!$A$1:$O$99,15,0))*(1-0.04)</f>
        <v>20.975999999999999</v>
      </c>
      <c r="W1237" s="70">
        <f>IF(ISERROR(VLOOKUP($T$1237,'TAR FIN'!$A$1:$O$99,15,0)),0,VLOOKUP($T$1237,'TAR FIN'!$A$1:$O$99,15,0))</f>
        <v>0</v>
      </c>
      <c r="X1237" s="70">
        <f>IF(ISERROR(VLOOKUP($U$1237,'TAR FIN'!$A$1:$O$99,15,0)),0,VLOOKUP($U$1237,'TAR FIN'!$A$1:$O$99,15,0))</f>
        <v>0</v>
      </c>
      <c r="Y1237" s="70">
        <f ca="1">('TUSD BE'!$AM$21+'TUSD BF'!$AM$21+'TUSD CVA'!$AM$21)*1*(1-0.02)</f>
        <v>24.176010844852033</v>
      </c>
      <c r="Z1237" s="70"/>
      <c r="AA1237" s="70"/>
      <c r="AB1237" s="4">
        <f>$K$1237*$V$1237</f>
        <v>78534.144</v>
      </c>
      <c r="AC1237" s="4">
        <f>$M$1237*$W$1237</f>
        <v>0</v>
      </c>
      <c r="AD1237" s="4">
        <f>$O$1237*$X$1237</f>
        <v>0</v>
      </c>
      <c r="AE1237" s="4">
        <f ca="1">$K$1237*$Y$1237</f>
        <v>90514.984603126009</v>
      </c>
      <c r="AF1237" s="4">
        <f>$M$1237*$Z$1237</f>
        <v>0</v>
      </c>
      <c r="AG1237" s="4">
        <f>$O$1237*$AA$1237</f>
        <v>0</v>
      </c>
    </row>
    <row r="1238" spans="1:33" ht="11.25" customHeight="1" x14ac:dyDescent="0.25">
      <c r="A1238" s="3" t="s">
        <v>28</v>
      </c>
      <c r="B1238" s="3" t="s">
        <v>33</v>
      </c>
      <c r="C1238" s="3" t="s">
        <v>34</v>
      </c>
      <c r="D1238" s="3" t="s">
        <v>45</v>
      </c>
      <c r="E1238" s="3" t="s">
        <v>25</v>
      </c>
      <c r="F1238" s="3" t="s">
        <v>25</v>
      </c>
      <c r="G1238" s="3" t="s">
        <v>25</v>
      </c>
      <c r="H1238" s="3" t="s">
        <v>25</v>
      </c>
      <c r="I1238" s="6">
        <v>44621</v>
      </c>
      <c r="J1238" s="4">
        <v>878</v>
      </c>
      <c r="K1238" s="70">
        <v>878</v>
      </c>
      <c r="L1238" s="4">
        <v>0</v>
      </c>
      <c r="M1238" s="70">
        <v>0</v>
      </c>
      <c r="N1238" s="4">
        <v>0</v>
      </c>
      <c r="O1238" s="70">
        <v>0</v>
      </c>
      <c r="P1238" s="4">
        <v>4</v>
      </c>
      <c r="Q1238" s="3" t="s">
        <v>26</v>
      </c>
      <c r="R1238" s="3">
        <v>0</v>
      </c>
      <c r="S1238" s="4">
        <v>7</v>
      </c>
      <c r="T1238" s="4">
        <v>0</v>
      </c>
      <c r="U1238" s="4">
        <v>0</v>
      </c>
      <c r="V1238" s="70">
        <f>IF(ISERROR(VLOOKUP($S$1238,'TAR FIN'!$A$1:$O$99,15,0)),0,VLOOKUP($S$1238,'TAR FIN'!$A$1:$O$99,15,0))*(1-0.04)</f>
        <v>20.975999999999999</v>
      </c>
      <c r="W1238" s="70">
        <f>IF(ISERROR(VLOOKUP($T$1238,'TAR FIN'!$A$1:$O$99,15,0)),0,VLOOKUP($T$1238,'TAR FIN'!$A$1:$O$99,15,0))</f>
        <v>0</v>
      </c>
      <c r="X1238" s="70">
        <f>IF(ISERROR(VLOOKUP($U$1238,'TAR FIN'!$A$1:$O$99,15,0)),0,VLOOKUP($U$1238,'TAR FIN'!$A$1:$O$99,15,0))</f>
        <v>0</v>
      </c>
      <c r="Y1238" s="70">
        <f ca="1">('TUSD BE'!$AM$21+'TUSD BF'!$AM$21+'TUSD CVA'!$AM$21)*1*(1-0.02)</f>
        <v>24.176010844852033</v>
      </c>
      <c r="Z1238" s="70"/>
      <c r="AA1238" s="70"/>
      <c r="AB1238" s="4">
        <f>$K$1238*$V$1238</f>
        <v>18416.928</v>
      </c>
      <c r="AC1238" s="4">
        <f>$M$1238*$W$1238</f>
        <v>0</v>
      </c>
      <c r="AD1238" s="4">
        <f>$O$1238*$X$1238</f>
        <v>0</v>
      </c>
      <c r="AE1238" s="4">
        <f ca="1">$K$1238*$Y$1238</f>
        <v>21226.537521780087</v>
      </c>
      <c r="AF1238" s="4">
        <f>$M$1238*$Z$1238</f>
        <v>0</v>
      </c>
      <c r="AG1238" s="4">
        <f>$O$1238*$AA$1238</f>
        <v>0</v>
      </c>
    </row>
    <row r="1239" spans="1:33" ht="11.25" customHeight="1" x14ac:dyDescent="0.25">
      <c r="A1239" s="3" t="s">
        <v>56</v>
      </c>
      <c r="B1239" s="3" t="s">
        <v>33</v>
      </c>
      <c r="C1239" s="3" t="s">
        <v>34</v>
      </c>
      <c r="D1239" s="3" t="s">
        <v>45</v>
      </c>
      <c r="E1239" s="3" t="s">
        <v>25</v>
      </c>
      <c r="F1239" s="3" t="s">
        <v>25</v>
      </c>
      <c r="G1239" s="3" t="s">
        <v>25</v>
      </c>
      <c r="H1239" s="3" t="s">
        <v>25</v>
      </c>
      <c r="I1239" s="6">
        <v>44652</v>
      </c>
      <c r="J1239" s="4">
        <v>3744</v>
      </c>
      <c r="K1239" s="70">
        <v>3744</v>
      </c>
      <c r="L1239" s="4">
        <v>0</v>
      </c>
      <c r="M1239" s="70">
        <v>0</v>
      </c>
      <c r="N1239" s="4">
        <v>0</v>
      </c>
      <c r="O1239" s="70">
        <v>0</v>
      </c>
      <c r="P1239" s="4">
        <v>41</v>
      </c>
      <c r="Q1239" s="3" t="s">
        <v>26</v>
      </c>
      <c r="R1239" s="3">
        <v>0</v>
      </c>
      <c r="S1239" s="4">
        <v>7</v>
      </c>
      <c r="T1239" s="4">
        <v>0</v>
      </c>
      <c r="U1239" s="4">
        <v>0</v>
      </c>
      <c r="V1239" s="70">
        <f>IF(ISERROR(VLOOKUP($S$1239,'TAR FIN'!$A$1:$O$99,15,0)),0,VLOOKUP($S$1239,'TAR FIN'!$A$1:$O$99,15,0))*(1-0.04)</f>
        <v>20.975999999999999</v>
      </c>
      <c r="W1239" s="70">
        <f>IF(ISERROR(VLOOKUP($T$1239,'TAR FIN'!$A$1:$O$99,15,0)),0,VLOOKUP($T$1239,'TAR FIN'!$A$1:$O$99,15,0))</f>
        <v>0</v>
      </c>
      <c r="X1239" s="70">
        <f>IF(ISERROR(VLOOKUP($U$1239,'TAR FIN'!$A$1:$O$99,15,0)),0,VLOOKUP($U$1239,'TAR FIN'!$A$1:$O$99,15,0))</f>
        <v>0</v>
      </c>
      <c r="Y1239" s="70">
        <f ca="1">('TUSD BE'!$AM$21+'TUSD BF'!$AM$21+'TUSD CVA'!$AM$21)*1*(1-0.02)</f>
        <v>24.176010844852033</v>
      </c>
      <c r="Z1239" s="70"/>
      <c r="AA1239" s="70"/>
      <c r="AB1239" s="4">
        <f>$K$1239*$V$1239</f>
        <v>78534.144</v>
      </c>
      <c r="AC1239" s="4">
        <f>$M$1239*$W$1239</f>
        <v>0</v>
      </c>
      <c r="AD1239" s="4">
        <f>$O$1239*$X$1239</f>
        <v>0</v>
      </c>
      <c r="AE1239" s="4">
        <f ca="1">$K$1239*$Y$1239</f>
        <v>90514.984603126009</v>
      </c>
      <c r="AF1239" s="4">
        <f>$M$1239*$Z$1239</f>
        <v>0</v>
      </c>
      <c r="AG1239" s="4">
        <f>$O$1239*$AA$1239</f>
        <v>0</v>
      </c>
    </row>
    <row r="1240" spans="1:33" ht="11.25" customHeight="1" x14ac:dyDescent="0.25">
      <c r="A1240" s="3" t="s">
        <v>56</v>
      </c>
      <c r="B1240" s="3" t="s">
        <v>33</v>
      </c>
      <c r="C1240" s="3" t="s">
        <v>34</v>
      </c>
      <c r="D1240" s="3" t="s">
        <v>45</v>
      </c>
      <c r="E1240" s="3" t="s">
        <v>25</v>
      </c>
      <c r="F1240" s="3" t="s">
        <v>25</v>
      </c>
      <c r="G1240" s="3" t="s">
        <v>25</v>
      </c>
      <c r="H1240" s="3" t="s">
        <v>25</v>
      </c>
      <c r="I1240" s="6">
        <v>44652</v>
      </c>
      <c r="J1240" s="4">
        <v>878</v>
      </c>
      <c r="K1240" s="70">
        <v>878</v>
      </c>
      <c r="L1240" s="4">
        <v>0</v>
      </c>
      <c r="M1240" s="70">
        <v>0</v>
      </c>
      <c r="N1240" s="4">
        <v>0</v>
      </c>
      <c r="O1240" s="70">
        <v>0</v>
      </c>
      <c r="P1240" s="4">
        <v>4</v>
      </c>
      <c r="Q1240" s="3" t="s">
        <v>26</v>
      </c>
      <c r="R1240" s="3">
        <v>0</v>
      </c>
      <c r="S1240" s="4">
        <v>7</v>
      </c>
      <c r="T1240" s="4">
        <v>0</v>
      </c>
      <c r="U1240" s="4">
        <v>0</v>
      </c>
      <c r="V1240" s="70">
        <f>IF(ISERROR(VLOOKUP($S$1240,'TAR FIN'!$A$1:$O$99,15,0)),0,VLOOKUP($S$1240,'TAR FIN'!$A$1:$O$99,15,0))*(1-0.04)</f>
        <v>20.975999999999999</v>
      </c>
      <c r="W1240" s="70">
        <f>IF(ISERROR(VLOOKUP($T$1240,'TAR FIN'!$A$1:$O$99,15,0)),0,VLOOKUP($T$1240,'TAR FIN'!$A$1:$O$99,15,0))</f>
        <v>0</v>
      </c>
      <c r="X1240" s="70">
        <f>IF(ISERROR(VLOOKUP($U$1240,'TAR FIN'!$A$1:$O$99,15,0)),0,VLOOKUP($U$1240,'TAR FIN'!$A$1:$O$99,15,0))</f>
        <v>0</v>
      </c>
      <c r="Y1240" s="70">
        <f ca="1">('TUSD BE'!$AM$21+'TUSD BF'!$AM$21+'TUSD CVA'!$AM$21)*1*(1-0.02)</f>
        <v>24.176010844852033</v>
      </c>
      <c r="Z1240" s="70"/>
      <c r="AA1240" s="70"/>
      <c r="AB1240" s="4">
        <f>$K$1240*$V$1240</f>
        <v>18416.928</v>
      </c>
      <c r="AC1240" s="4">
        <f>$M$1240*$W$1240</f>
        <v>0</v>
      </c>
      <c r="AD1240" s="4">
        <f>$O$1240*$X$1240</f>
        <v>0</v>
      </c>
      <c r="AE1240" s="4">
        <f ca="1">$K$1240*$Y$1240</f>
        <v>21226.537521780087</v>
      </c>
      <c r="AF1240" s="4">
        <f>$M$1240*$Z$1240</f>
        <v>0</v>
      </c>
      <c r="AG1240" s="4">
        <f>$O$1240*$AA$1240</f>
        <v>0</v>
      </c>
    </row>
    <row r="1241" spans="1:33" ht="11.25" customHeight="1" x14ac:dyDescent="0.25">
      <c r="A1241" s="3" t="s">
        <v>21</v>
      </c>
      <c r="B1241" s="3" t="s">
        <v>33</v>
      </c>
      <c r="C1241" s="3" t="s">
        <v>34</v>
      </c>
      <c r="D1241" s="3" t="s">
        <v>45</v>
      </c>
      <c r="E1241" s="3" t="s">
        <v>25</v>
      </c>
      <c r="F1241" s="3" t="s">
        <v>25</v>
      </c>
      <c r="G1241" s="3" t="s">
        <v>25</v>
      </c>
      <c r="H1241" s="3" t="s">
        <v>35</v>
      </c>
      <c r="I1241" s="6">
        <v>44317</v>
      </c>
      <c r="J1241" s="4">
        <v>0</v>
      </c>
      <c r="K1241" s="70">
        <v>0</v>
      </c>
      <c r="L1241" s="4">
        <v>60.104999999999997</v>
      </c>
      <c r="M1241" s="70">
        <v>60.104999999999997</v>
      </c>
      <c r="N1241" s="4">
        <v>60.104999999999997</v>
      </c>
      <c r="O1241" s="70">
        <v>60.104999999999997</v>
      </c>
      <c r="P1241" s="4">
        <v>0</v>
      </c>
      <c r="Q1241" s="3" t="s">
        <v>26</v>
      </c>
      <c r="R1241" s="3">
        <v>0</v>
      </c>
      <c r="S1241" s="4">
        <v>0</v>
      </c>
      <c r="T1241" s="4">
        <v>8</v>
      </c>
      <c r="U1241" s="4">
        <v>72</v>
      </c>
      <c r="V1241" s="70">
        <f>IF(ISERROR(VLOOKUP($S$1241,'TAR FIN'!$A$1:$O$99,15,0)),0,VLOOKUP($S$1241,'TAR FIN'!$A$1:$O$99,15,0))</f>
        <v>0</v>
      </c>
      <c r="W1241" s="70">
        <f>IF(ISERROR(VLOOKUP($T$1241,'TAR FIN'!$A$1:$O$99,15,0)),0,VLOOKUP($T$1241,'TAR FIN'!$A$1:$O$99,15,0))*(1-0.04)</f>
        <v>1495.4304</v>
      </c>
      <c r="X1241" s="70">
        <f>IF(ISERROR(VLOOKUP($U$1241,'TAR FIN'!$A$1:$O$99,15,0)),0,VLOOKUP($U$1241,'TAR FIN'!$A$1:$O$99,15,0))*(1-0.04)</f>
        <v>332.74560000000002</v>
      </c>
      <c r="Y1241" s="70"/>
      <c r="Z1241" s="70">
        <f ca="1">('TUSD BE'!$AM$22+'TUSD BF'!$AM$22+'TUSD CVA'!$AM$22)*1*(1-0.02)</f>
        <v>1763.14935965871</v>
      </c>
      <c r="AA1241" s="70">
        <f>('TE BE'!$AA$7+'TE BF'!$AA$7+'TE CVA'!$AA$7)*1*(1-0.02)</f>
        <v>415.4185945530557</v>
      </c>
      <c r="AB1241" s="4">
        <f>$K$1241*$V$1241</f>
        <v>0</v>
      </c>
      <c r="AC1241" s="4">
        <f>$M$1241*$W$1241</f>
        <v>89882.84419199999</v>
      </c>
      <c r="AD1241" s="4">
        <f>$O$1241*$X$1241</f>
        <v>19999.674288000002</v>
      </c>
      <c r="AE1241" s="4">
        <f>$K$1241*$Y$1241</f>
        <v>0</v>
      </c>
      <c r="AF1241" s="4">
        <f ca="1">$M$1241*$Z$1241</f>
        <v>105974.09226228675</v>
      </c>
      <c r="AG1241" s="4">
        <f>$O$1241*$AA$1241</f>
        <v>24968.734625611411</v>
      </c>
    </row>
    <row r="1242" spans="1:33" ht="11.25" customHeight="1" x14ac:dyDescent="0.25">
      <c r="A1242" s="3" t="s">
        <v>28</v>
      </c>
      <c r="B1242" s="3" t="s">
        <v>33</v>
      </c>
      <c r="C1242" s="3" t="s">
        <v>34</v>
      </c>
      <c r="D1242" s="3" t="s">
        <v>45</v>
      </c>
      <c r="E1242" s="3" t="s">
        <v>25</v>
      </c>
      <c r="F1242" s="3" t="s">
        <v>25</v>
      </c>
      <c r="G1242" s="3" t="s">
        <v>25</v>
      </c>
      <c r="H1242" s="3" t="s">
        <v>35</v>
      </c>
      <c r="I1242" s="6">
        <v>44317</v>
      </c>
      <c r="J1242" s="4">
        <v>0</v>
      </c>
      <c r="K1242" s="70">
        <v>0</v>
      </c>
      <c r="L1242" s="4">
        <v>6.0999999999999999E-2</v>
      </c>
      <c r="M1242" s="70">
        <v>6.0999999999999999E-2</v>
      </c>
      <c r="N1242" s="4">
        <v>6.0999999999999999E-2</v>
      </c>
      <c r="O1242" s="70">
        <v>6.0999999999999999E-2</v>
      </c>
      <c r="P1242" s="4">
        <v>0</v>
      </c>
      <c r="Q1242" s="3" t="s">
        <v>26</v>
      </c>
      <c r="R1242" s="3">
        <v>0</v>
      </c>
      <c r="S1242" s="4">
        <v>0</v>
      </c>
      <c r="T1242" s="4">
        <v>8</v>
      </c>
      <c r="U1242" s="4">
        <v>72</v>
      </c>
      <c r="V1242" s="70">
        <f>IF(ISERROR(VLOOKUP($S$1242,'TAR FIN'!$A$1:$O$99,15,0)),0,VLOOKUP($S$1242,'TAR FIN'!$A$1:$O$99,15,0))</f>
        <v>0</v>
      </c>
      <c r="W1242" s="70">
        <f>IF(ISERROR(VLOOKUP($T$1242,'TAR FIN'!$A$1:$O$99,15,0)),0,VLOOKUP($T$1242,'TAR FIN'!$A$1:$O$99,15,0))*(1-0.04)</f>
        <v>1495.4304</v>
      </c>
      <c r="X1242" s="70">
        <f>IF(ISERROR(VLOOKUP($U$1242,'TAR FIN'!$A$1:$O$99,15,0)),0,VLOOKUP($U$1242,'TAR FIN'!$A$1:$O$99,15,0))*(1-0.04)</f>
        <v>332.74560000000002</v>
      </c>
      <c r="Y1242" s="70"/>
      <c r="Z1242" s="70">
        <f ca="1">('TUSD BE'!$AM$22+'TUSD BF'!$AM$22+'TUSD CVA'!$AM$22)*1*(1-0.02)</f>
        <v>1763.14935965871</v>
      </c>
      <c r="AA1242" s="70">
        <f>('TE BE'!$AA$7+'TE BF'!$AA$7+'TE CVA'!$AA$7)*1*(1-0.02)</f>
        <v>415.4185945530557</v>
      </c>
      <c r="AB1242" s="4">
        <f>$K$1242*$V$1242</f>
        <v>0</v>
      </c>
      <c r="AC1242" s="4">
        <f>$M$1242*$W$1242</f>
        <v>91.221254399999992</v>
      </c>
      <c r="AD1242" s="4">
        <f>$O$1242*$X$1242</f>
        <v>20.297481600000001</v>
      </c>
      <c r="AE1242" s="4">
        <f>$K$1242*$Y$1242</f>
        <v>0</v>
      </c>
      <c r="AF1242" s="4">
        <f ca="1">$M$1242*$Z$1242</f>
        <v>107.5521109391813</v>
      </c>
      <c r="AG1242" s="4">
        <f>$O$1242*$AA$1242</f>
        <v>25.340534267736398</v>
      </c>
    </row>
    <row r="1243" spans="1:33" ht="11.25" customHeight="1" x14ac:dyDescent="0.25">
      <c r="A1243" s="3" t="s">
        <v>21</v>
      </c>
      <c r="B1243" s="3" t="s">
        <v>33</v>
      </c>
      <c r="C1243" s="3" t="s">
        <v>34</v>
      </c>
      <c r="D1243" s="3" t="s">
        <v>45</v>
      </c>
      <c r="E1243" s="3" t="s">
        <v>25</v>
      </c>
      <c r="F1243" s="3" t="s">
        <v>25</v>
      </c>
      <c r="G1243" s="3" t="s">
        <v>25</v>
      </c>
      <c r="H1243" s="3" t="s">
        <v>35</v>
      </c>
      <c r="I1243" s="6">
        <v>44348</v>
      </c>
      <c r="J1243" s="4">
        <v>0</v>
      </c>
      <c r="K1243" s="70">
        <v>0</v>
      </c>
      <c r="L1243" s="4">
        <v>56.448999999999998</v>
      </c>
      <c r="M1243" s="70">
        <v>56.448999999999998</v>
      </c>
      <c r="N1243" s="4">
        <v>56.448999999999998</v>
      </c>
      <c r="O1243" s="70">
        <v>56.448999999999998</v>
      </c>
      <c r="P1243" s="4">
        <v>0</v>
      </c>
      <c r="Q1243" s="3" t="s">
        <v>26</v>
      </c>
      <c r="R1243" s="3">
        <v>0</v>
      </c>
      <c r="S1243" s="4">
        <v>0</v>
      </c>
      <c r="T1243" s="4">
        <v>8</v>
      </c>
      <c r="U1243" s="4">
        <v>72</v>
      </c>
      <c r="V1243" s="70">
        <f>IF(ISERROR(VLOOKUP($S$1243,'TAR FIN'!$A$1:$O$99,15,0)),0,VLOOKUP($S$1243,'TAR FIN'!$A$1:$O$99,15,0))</f>
        <v>0</v>
      </c>
      <c r="W1243" s="70">
        <f>IF(ISERROR(VLOOKUP($T$1243,'TAR FIN'!$A$1:$O$99,15,0)),0,VLOOKUP($T$1243,'TAR FIN'!$A$1:$O$99,15,0))*(1-0.04)</f>
        <v>1495.4304</v>
      </c>
      <c r="X1243" s="70">
        <f>IF(ISERROR(VLOOKUP($U$1243,'TAR FIN'!$A$1:$O$99,15,0)),0,VLOOKUP($U$1243,'TAR FIN'!$A$1:$O$99,15,0))*(1-0.04)</f>
        <v>332.74560000000002</v>
      </c>
      <c r="Y1243" s="70"/>
      <c r="Z1243" s="70">
        <f ca="1">('TUSD BE'!$AM$22+'TUSD BF'!$AM$22+'TUSD CVA'!$AM$22)*1*(1-0.02)</f>
        <v>1763.14935965871</v>
      </c>
      <c r="AA1243" s="70">
        <f>('TE BE'!$AA$7+'TE BF'!$AA$7+'TE CVA'!$AA$7)*1*(1-0.02)</f>
        <v>415.4185945530557</v>
      </c>
      <c r="AB1243" s="4">
        <f>$K$1243*$V$1243</f>
        <v>0</v>
      </c>
      <c r="AC1243" s="4">
        <f>$M$1243*$W$1243</f>
        <v>84415.550649600002</v>
      </c>
      <c r="AD1243" s="4">
        <f>$O$1243*$X$1243</f>
        <v>18783.156374400001</v>
      </c>
      <c r="AE1243" s="4">
        <f>$K$1243*$Y$1243</f>
        <v>0</v>
      </c>
      <c r="AF1243" s="4">
        <f ca="1">$M$1243*$Z$1243</f>
        <v>99528.018203374508</v>
      </c>
      <c r="AG1243" s="4">
        <f>$O$1243*$AA$1243</f>
        <v>23449.964243925438</v>
      </c>
    </row>
    <row r="1244" spans="1:33" ht="11.25" customHeight="1" x14ac:dyDescent="0.25">
      <c r="A1244" s="3" t="s">
        <v>28</v>
      </c>
      <c r="B1244" s="3" t="s">
        <v>33</v>
      </c>
      <c r="C1244" s="3" t="s">
        <v>34</v>
      </c>
      <c r="D1244" s="3" t="s">
        <v>45</v>
      </c>
      <c r="E1244" s="3" t="s">
        <v>25</v>
      </c>
      <c r="F1244" s="3" t="s">
        <v>25</v>
      </c>
      <c r="G1244" s="3" t="s">
        <v>25</v>
      </c>
      <c r="H1244" s="3" t="s">
        <v>35</v>
      </c>
      <c r="I1244" s="6">
        <v>44348</v>
      </c>
      <c r="J1244" s="4">
        <v>0</v>
      </c>
      <c r="K1244" s="70">
        <v>0</v>
      </c>
      <c r="L1244" s="4">
        <v>-1.0489999999999999</v>
      </c>
      <c r="M1244" s="70">
        <v>-1.0489999999999999</v>
      </c>
      <c r="N1244" s="4">
        <v>-1.0489999999999999</v>
      </c>
      <c r="O1244" s="70">
        <v>-1.0489999999999999</v>
      </c>
      <c r="P1244" s="4">
        <v>0</v>
      </c>
      <c r="Q1244" s="3" t="s">
        <v>26</v>
      </c>
      <c r="R1244" s="3">
        <v>0</v>
      </c>
      <c r="S1244" s="4">
        <v>0</v>
      </c>
      <c r="T1244" s="4">
        <v>8</v>
      </c>
      <c r="U1244" s="4">
        <v>72</v>
      </c>
      <c r="V1244" s="70">
        <f>IF(ISERROR(VLOOKUP($S$1244,'TAR FIN'!$A$1:$O$99,15,0)),0,VLOOKUP($S$1244,'TAR FIN'!$A$1:$O$99,15,0))</f>
        <v>0</v>
      </c>
      <c r="W1244" s="70">
        <f>IF(ISERROR(VLOOKUP($T$1244,'TAR FIN'!$A$1:$O$99,15,0)),0,VLOOKUP($T$1244,'TAR FIN'!$A$1:$O$99,15,0))*(1-0.04)</f>
        <v>1495.4304</v>
      </c>
      <c r="X1244" s="70">
        <f>IF(ISERROR(VLOOKUP($U$1244,'TAR FIN'!$A$1:$O$99,15,0)),0,VLOOKUP($U$1244,'TAR FIN'!$A$1:$O$99,15,0))*(1-0.04)</f>
        <v>332.74560000000002</v>
      </c>
      <c r="Y1244" s="70"/>
      <c r="Z1244" s="70">
        <f ca="1">('TUSD BE'!$AM$22+'TUSD BF'!$AM$22+'TUSD CVA'!$AM$22)*1*(1-0.02)</f>
        <v>1763.14935965871</v>
      </c>
      <c r="AA1244" s="70">
        <f>('TE BE'!$AA$7+'TE BF'!$AA$7+'TE CVA'!$AA$7)*1*(1-0.02)</f>
        <v>415.4185945530557</v>
      </c>
      <c r="AB1244" s="4">
        <f>$K$1244*$V$1244</f>
        <v>0</v>
      </c>
      <c r="AC1244" s="4">
        <f>$M$1244*$W$1244</f>
        <v>-1568.7064895999999</v>
      </c>
      <c r="AD1244" s="4">
        <f>$O$1244*$X$1244</f>
        <v>-349.05013439999999</v>
      </c>
      <c r="AE1244" s="4">
        <f>$K$1244*$Y$1244</f>
        <v>0</v>
      </c>
      <c r="AF1244" s="4">
        <f ca="1">$M$1244*$Z$1244</f>
        <v>-1849.5436782819866</v>
      </c>
      <c r="AG1244" s="4">
        <f>$O$1244*$AA$1244</f>
        <v>-435.77410568615539</v>
      </c>
    </row>
    <row r="1245" spans="1:33" ht="11.25" customHeight="1" x14ac:dyDescent="0.25">
      <c r="A1245" s="3" t="s">
        <v>21</v>
      </c>
      <c r="B1245" s="3" t="s">
        <v>33</v>
      </c>
      <c r="C1245" s="3" t="s">
        <v>34</v>
      </c>
      <c r="D1245" s="3" t="s">
        <v>45</v>
      </c>
      <c r="E1245" s="3" t="s">
        <v>25</v>
      </c>
      <c r="F1245" s="3" t="s">
        <v>25</v>
      </c>
      <c r="G1245" s="3" t="s">
        <v>25</v>
      </c>
      <c r="H1245" s="3" t="s">
        <v>35</v>
      </c>
      <c r="I1245" s="6">
        <v>44378</v>
      </c>
      <c r="J1245" s="4">
        <v>0</v>
      </c>
      <c r="K1245" s="70">
        <v>0</v>
      </c>
      <c r="L1245" s="4">
        <v>60.249000000000002</v>
      </c>
      <c r="M1245" s="70">
        <v>60.249000000000002</v>
      </c>
      <c r="N1245" s="4">
        <v>60.249000000000002</v>
      </c>
      <c r="O1245" s="70">
        <v>60.249000000000002</v>
      </c>
      <c r="P1245" s="4">
        <v>0</v>
      </c>
      <c r="Q1245" s="3" t="s">
        <v>26</v>
      </c>
      <c r="R1245" s="3">
        <v>0</v>
      </c>
      <c r="S1245" s="4">
        <v>0</v>
      </c>
      <c r="T1245" s="4">
        <v>8</v>
      </c>
      <c r="U1245" s="4">
        <v>72</v>
      </c>
      <c r="V1245" s="70">
        <f>IF(ISERROR(VLOOKUP($S$1245,'TAR FIN'!$A$1:$O$99,15,0)),0,VLOOKUP($S$1245,'TAR FIN'!$A$1:$O$99,15,0))</f>
        <v>0</v>
      </c>
      <c r="W1245" s="70">
        <f>IF(ISERROR(VLOOKUP($T$1245,'TAR FIN'!$A$1:$O$99,15,0)),0,VLOOKUP($T$1245,'TAR FIN'!$A$1:$O$99,15,0))*(1-0.04)</f>
        <v>1495.4304</v>
      </c>
      <c r="X1245" s="70">
        <f>IF(ISERROR(VLOOKUP($U$1245,'TAR FIN'!$A$1:$O$99,15,0)),0,VLOOKUP($U$1245,'TAR FIN'!$A$1:$O$99,15,0))*(1-0.04)</f>
        <v>332.74560000000002</v>
      </c>
      <c r="Y1245" s="70"/>
      <c r="Z1245" s="70">
        <f ca="1">('TUSD BE'!$AM$22+'TUSD BF'!$AM$22+'TUSD CVA'!$AM$22)*1*(1-0.02)</f>
        <v>1763.14935965871</v>
      </c>
      <c r="AA1245" s="70">
        <f>('TE BE'!$AA$7+'TE BF'!$AA$7+'TE CVA'!$AA$7)*1*(1-0.02)</f>
        <v>415.4185945530557</v>
      </c>
      <c r="AB1245" s="4">
        <f>$K$1245*$V$1245</f>
        <v>0</v>
      </c>
      <c r="AC1245" s="4">
        <f>$M$1245*$W$1245</f>
        <v>90098.186169599998</v>
      </c>
      <c r="AD1245" s="4">
        <f>$O$1245*$X$1245</f>
        <v>20047.589654400002</v>
      </c>
      <c r="AE1245" s="4">
        <f>$K$1245*$Y$1245</f>
        <v>0</v>
      </c>
      <c r="AF1245" s="4">
        <f ca="1">$M$1245*$Z$1245</f>
        <v>106227.98577007762</v>
      </c>
      <c r="AG1245" s="4">
        <f>$O$1245*$AA$1245</f>
        <v>25028.554903227054</v>
      </c>
    </row>
    <row r="1246" spans="1:33" ht="11.25" customHeight="1" x14ac:dyDescent="0.25">
      <c r="A1246" s="3" t="s">
        <v>28</v>
      </c>
      <c r="B1246" s="3" t="s">
        <v>33</v>
      </c>
      <c r="C1246" s="3" t="s">
        <v>34</v>
      </c>
      <c r="D1246" s="3" t="s">
        <v>45</v>
      </c>
      <c r="E1246" s="3" t="s">
        <v>25</v>
      </c>
      <c r="F1246" s="3" t="s">
        <v>25</v>
      </c>
      <c r="G1246" s="3" t="s">
        <v>25</v>
      </c>
      <c r="H1246" s="3" t="s">
        <v>35</v>
      </c>
      <c r="I1246" s="6">
        <v>44378</v>
      </c>
      <c r="J1246" s="4">
        <v>0</v>
      </c>
      <c r="K1246" s="70">
        <v>0</v>
      </c>
      <c r="L1246" s="4">
        <v>0.105</v>
      </c>
      <c r="M1246" s="70">
        <v>0.105</v>
      </c>
      <c r="N1246" s="4">
        <v>0.105</v>
      </c>
      <c r="O1246" s="70">
        <v>0.105</v>
      </c>
      <c r="P1246" s="4">
        <v>0</v>
      </c>
      <c r="Q1246" s="3" t="s">
        <v>26</v>
      </c>
      <c r="R1246" s="3">
        <v>0</v>
      </c>
      <c r="S1246" s="4">
        <v>0</v>
      </c>
      <c r="T1246" s="4">
        <v>8</v>
      </c>
      <c r="U1246" s="4">
        <v>72</v>
      </c>
      <c r="V1246" s="70">
        <f>IF(ISERROR(VLOOKUP($S$1246,'TAR FIN'!$A$1:$O$99,15,0)),0,VLOOKUP($S$1246,'TAR FIN'!$A$1:$O$99,15,0))</f>
        <v>0</v>
      </c>
      <c r="W1246" s="70">
        <f>IF(ISERROR(VLOOKUP($T$1246,'TAR FIN'!$A$1:$O$99,15,0)),0,VLOOKUP($T$1246,'TAR FIN'!$A$1:$O$99,15,0))*(1-0.04)</f>
        <v>1495.4304</v>
      </c>
      <c r="X1246" s="70">
        <f>IF(ISERROR(VLOOKUP($U$1246,'TAR FIN'!$A$1:$O$99,15,0)),0,VLOOKUP($U$1246,'TAR FIN'!$A$1:$O$99,15,0))*(1-0.04)</f>
        <v>332.74560000000002</v>
      </c>
      <c r="Y1246" s="70"/>
      <c r="Z1246" s="70">
        <f ca="1">('TUSD BE'!$AM$22+'TUSD BF'!$AM$22+'TUSD CVA'!$AM$22)*1*(1-0.02)</f>
        <v>1763.14935965871</v>
      </c>
      <c r="AA1246" s="70">
        <f>('TE BE'!$AA$7+'TE BF'!$AA$7+'TE CVA'!$AA$7)*1*(1-0.02)</f>
        <v>415.4185945530557</v>
      </c>
      <c r="AB1246" s="4">
        <f>$K$1246*$V$1246</f>
        <v>0</v>
      </c>
      <c r="AC1246" s="4">
        <f>$M$1246*$W$1246</f>
        <v>157.02019199999998</v>
      </c>
      <c r="AD1246" s="4">
        <f>$O$1246*$X$1246</f>
        <v>34.938288</v>
      </c>
      <c r="AE1246" s="4">
        <f>$K$1246*$Y$1246</f>
        <v>0</v>
      </c>
      <c r="AF1246" s="4">
        <f ca="1">$M$1246*$Z$1246</f>
        <v>185.13068276416453</v>
      </c>
      <c r="AG1246" s="4">
        <f>$O$1246*$AA$1246</f>
        <v>43.618952428070848</v>
      </c>
    </row>
    <row r="1247" spans="1:33" ht="11.25" customHeight="1" x14ac:dyDescent="0.25">
      <c r="A1247" s="3" t="s">
        <v>21</v>
      </c>
      <c r="B1247" s="3" t="s">
        <v>33</v>
      </c>
      <c r="C1247" s="3" t="s">
        <v>34</v>
      </c>
      <c r="D1247" s="3" t="s">
        <v>45</v>
      </c>
      <c r="E1247" s="3" t="s">
        <v>25</v>
      </c>
      <c r="F1247" s="3" t="s">
        <v>25</v>
      </c>
      <c r="G1247" s="3" t="s">
        <v>25</v>
      </c>
      <c r="H1247" s="3" t="s">
        <v>35</v>
      </c>
      <c r="I1247" s="6">
        <v>44409</v>
      </c>
      <c r="J1247" s="4">
        <v>0</v>
      </c>
      <c r="K1247" s="70">
        <v>0</v>
      </c>
      <c r="L1247" s="4">
        <v>51.003999999999998</v>
      </c>
      <c r="M1247" s="70">
        <v>51.003999999999998</v>
      </c>
      <c r="N1247" s="4">
        <v>51.003999999999998</v>
      </c>
      <c r="O1247" s="70">
        <v>51.003999999999998</v>
      </c>
      <c r="P1247" s="4">
        <v>0</v>
      </c>
      <c r="Q1247" s="3" t="s">
        <v>26</v>
      </c>
      <c r="R1247" s="3">
        <v>0</v>
      </c>
      <c r="S1247" s="4">
        <v>0</v>
      </c>
      <c r="T1247" s="4">
        <v>8</v>
      </c>
      <c r="U1247" s="4">
        <v>72</v>
      </c>
      <c r="V1247" s="70">
        <f>IF(ISERROR(VLOOKUP($S$1247,'TAR FIN'!$A$1:$O$99,15,0)),0,VLOOKUP($S$1247,'TAR FIN'!$A$1:$O$99,15,0))</f>
        <v>0</v>
      </c>
      <c r="W1247" s="70">
        <f>IF(ISERROR(VLOOKUP($T$1247,'TAR FIN'!$A$1:$O$99,15,0)),0,VLOOKUP($T$1247,'TAR FIN'!$A$1:$O$99,15,0))*(1-0.04)</f>
        <v>1495.4304</v>
      </c>
      <c r="X1247" s="70">
        <f>IF(ISERROR(VLOOKUP($U$1247,'TAR FIN'!$A$1:$O$99,15,0)),0,VLOOKUP($U$1247,'TAR FIN'!$A$1:$O$99,15,0))*(1-0.04)</f>
        <v>332.74560000000002</v>
      </c>
      <c r="Y1247" s="70"/>
      <c r="Z1247" s="70">
        <f ca="1">('TUSD BE'!$AM$22+'TUSD BF'!$AM$22+'TUSD CVA'!$AM$22)*1*(1-0.02)</f>
        <v>1763.14935965871</v>
      </c>
      <c r="AA1247" s="70">
        <f>('TE BE'!$AA$7+'TE BF'!$AA$7+'TE CVA'!$AA$7)*1*(1-0.02)</f>
        <v>415.4185945530557</v>
      </c>
      <c r="AB1247" s="4">
        <f>$K$1247*$V$1247</f>
        <v>0</v>
      </c>
      <c r="AC1247" s="4">
        <f>$M$1247*$W$1247</f>
        <v>76272.932121599995</v>
      </c>
      <c r="AD1247" s="4">
        <f>$O$1247*$X$1247</f>
        <v>16971.3565824</v>
      </c>
      <c r="AE1247" s="4">
        <f>$K$1247*$Y$1247</f>
        <v>0</v>
      </c>
      <c r="AF1247" s="4">
        <f ca="1">$M$1247*$Z$1247</f>
        <v>89927.669940032836</v>
      </c>
      <c r="AG1247" s="4">
        <f>$O$1247*$AA$1247</f>
        <v>21188.009996584053</v>
      </c>
    </row>
    <row r="1248" spans="1:33" ht="11.25" customHeight="1" x14ac:dyDescent="0.25">
      <c r="A1248" s="3" t="s">
        <v>28</v>
      </c>
      <c r="B1248" s="3" t="s">
        <v>33</v>
      </c>
      <c r="C1248" s="3" t="s">
        <v>34</v>
      </c>
      <c r="D1248" s="3" t="s">
        <v>45</v>
      </c>
      <c r="E1248" s="3" t="s">
        <v>25</v>
      </c>
      <c r="F1248" s="3" t="s">
        <v>25</v>
      </c>
      <c r="G1248" s="3" t="s">
        <v>25</v>
      </c>
      <c r="H1248" s="3" t="s">
        <v>35</v>
      </c>
      <c r="I1248" s="6">
        <v>44409</v>
      </c>
      <c r="J1248" s="4">
        <v>0</v>
      </c>
      <c r="K1248" s="70">
        <v>0</v>
      </c>
      <c r="L1248" s="4">
        <v>1.103</v>
      </c>
      <c r="M1248" s="70">
        <v>1.103</v>
      </c>
      <c r="N1248" s="4">
        <v>1.103</v>
      </c>
      <c r="O1248" s="70">
        <v>1.103</v>
      </c>
      <c r="P1248" s="4">
        <v>0</v>
      </c>
      <c r="Q1248" s="3" t="s">
        <v>26</v>
      </c>
      <c r="R1248" s="3">
        <v>0</v>
      </c>
      <c r="S1248" s="4">
        <v>0</v>
      </c>
      <c r="T1248" s="4">
        <v>8</v>
      </c>
      <c r="U1248" s="4">
        <v>72</v>
      </c>
      <c r="V1248" s="70">
        <f>IF(ISERROR(VLOOKUP($S$1248,'TAR FIN'!$A$1:$O$99,15,0)),0,VLOOKUP($S$1248,'TAR FIN'!$A$1:$O$99,15,0))</f>
        <v>0</v>
      </c>
      <c r="W1248" s="70">
        <f>IF(ISERROR(VLOOKUP($T$1248,'TAR FIN'!$A$1:$O$99,15,0)),0,VLOOKUP($T$1248,'TAR FIN'!$A$1:$O$99,15,0))*(1-0.04)</f>
        <v>1495.4304</v>
      </c>
      <c r="X1248" s="70">
        <f>IF(ISERROR(VLOOKUP($U$1248,'TAR FIN'!$A$1:$O$99,15,0)),0,VLOOKUP($U$1248,'TAR FIN'!$A$1:$O$99,15,0))*(1-0.04)</f>
        <v>332.74560000000002</v>
      </c>
      <c r="Y1248" s="70"/>
      <c r="Z1248" s="70">
        <f ca="1">('TUSD BE'!$AM$22+'TUSD BF'!$AM$22+'TUSD CVA'!$AM$22)*1*(1-0.02)</f>
        <v>1763.14935965871</v>
      </c>
      <c r="AA1248" s="70">
        <f>('TE BE'!$AA$7+'TE BF'!$AA$7+'TE CVA'!$AA$7)*1*(1-0.02)</f>
        <v>415.4185945530557</v>
      </c>
      <c r="AB1248" s="4">
        <f>$K$1248*$V$1248</f>
        <v>0</v>
      </c>
      <c r="AC1248" s="4">
        <f>$M$1248*$W$1248</f>
        <v>1649.4597311999999</v>
      </c>
      <c r="AD1248" s="4">
        <f>$O$1248*$X$1248</f>
        <v>367.0183968</v>
      </c>
      <c r="AE1248" s="4">
        <f>$K$1248*$Y$1248</f>
        <v>0</v>
      </c>
      <c r="AF1248" s="4">
        <f ca="1">$M$1248*$Z$1248</f>
        <v>1944.7537437035571</v>
      </c>
      <c r="AG1248" s="4">
        <f>$O$1248*$AA$1248</f>
        <v>458.20670979202043</v>
      </c>
    </row>
    <row r="1249" spans="1:33" ht="11.25" customHeight="1" x14ac:dyDescent="0.25">
      <c r="A1249" s="3" t="s">
        <v>21</v>
      </c>
      <c r="B1249" s="3" t="s">
        <v>33</v>
      </c>
      <c r="C1249" s="3" t="s">
        <v>34</v>
      </c>
      <c r="D1249" s="3" t="s">
        <v>45</v>
      </c>
      <c r="E1249" s="3" t="s">
        <v>25</v>
      </c>
      <c r="F1249" s="3" t="s">
        <v>25</v>
      </c>
      <c r="G1249" s="3" t="s">
        <v>25</v>
      </c>
      <c r="H1249" s="3" t="s">
        <v>35</v>
      </c>
      <c r="I1249" s="6">
        <v>44440</v>
      </c>
      <c r="J1249" s="4">
        <v>0</v>
      </c>
      <c r="K1249" s="70">
        <v>0</v>
      </c>
      <c r="L1249" s="4">
        <v>47.575000000000003</v>
      </c>
      <c r="M1249" s="70">
        <v>47.575000000000003</v>
      </c>
      <c r="N1249" s="4">
        <v>47.575000000000003</v>
      </c>
      <c r="O1249" s="70">
        <v>47.575000000000003</v>
      </c>
      <c r="P1249" s="4">
        <v>0</v>
      </c>
      <c r="Q1249" s="3" t="s">
        <v>26</v>
      </c>
      <c r="R1249" s="3">
        <v>0</v>
      </c>
      <c r="S1249" s="4">
        <v>0</v>
      </c>
      <c r="T1249" s="4">
        <v>8</v>
      </c>
      <c r="U1249" s="4">
        <v>72</v>
      </c>
      <c r="V1249" s="70">
        <f>IF(ISERROR(VLOOKUP($S$1249,'TAR FIN'!$A$1:$O$99,15,0)),0,VLOOKUP($S$1249,'TAR FIN'!$A$1:$O$99,15,0))</f>
        <v>0</v>
      </c>
      <c r="W1249" s="70">
        <f>IF(ISERROR(VLOOKUP($T$1249,'TAR FIN'!$A$1:$O$99,15,0)),0,VLOOKUP($T$1249,'TAR FIN'!$A$1:$O$99,15,0))*(1-0.04)</f>
        <v>1495.4304</v>
      </c>
      <c r="X1249" s="70">
        <f>IF(ISERROR(VLOOKUP($U$1249,'TAR FIN'!$A$1:$O$99,15,0)),0,VLOOKUP($U$1249,'TAR FIN'!$A$1:$O$99,15,0))*(1-0.04)</f>
        <v>332.74560000000002</v>
      </c>
      <c r="Y1249" s="70"/>
      <c r="Z1249" s="70">
        <f ca="1">('TUSD BE'!$AM$22+'TUSD BF'!$AM$22+'TUSD CVA'!$AM$22)*1*(1-0.02)</f>
        <v>1763.14935965871</v>
      </c>
      <c r="AA1249" s="70">
        <f>('TE BE'!$AA$7+'TE BF'!$AA$7+'TE CVA'!$AA$7)*1*(1-0.02)</f>
        <v>415.4185945530557</v>
      </c>
      <c r="AB1249" s="4">
        <f>$K$1249*$V$1249</f>
        <v>0</v>
      </c>
      <c r="AC1249" s="4">
        <f>$M$1249*$W$1249</f>
        <v>71145.101280000003</v>
      </c>
      <c r="AD1249" s="4">
        <f>$O$1249*$X$1249</f>
        <v>15830.371920000001</v>
      </c>
      <c r="AE1249" s="4">
        <f>$K$1249*$Y$1249</f>
        <v>0</v>
      </c>
      <c r="AF1249" s="4">
        <f ca="1">$M$1249*$Z$1249</f>
        <v>83881.83078576313</v>
      </c>
      <c r="AG1249" s="4">
        <f>$O$1249*$AA$1249</f>
        <v>19763.539635861627</v>
      </c>
    </row>
    <row r="1250" spans="1:33" ht="11.25" customHeight="1" x14ac:dyDescent="0.25">
      <c r="A1250" s="3" t="s">
        <v>28</v>
      </c>
      <c r="B1250" s="3" t="s">
        <v>33</v>
      </c>
      <c r="C1250" s="3" t="s">
        <v>34</v>
      </c>
      <c r="D1250" s="3" t="s">
        <v>45</v>
      </c>
      <c r="E1250" s="3" t="s">
        <v>25</v>
      </c>
      <c r="F1250" s="3" t="s">
        <v>25</v>
      </c>
      <c r="G1250" s="3" t="s">
        <v>25</v>
      </c>
      <c r="H1250" s="3" t="s">
        <v>35</v>
      </c>
      <c r="I1250" s="6">
        <v>44440</v>
      </c>
      <c r="J1250" s="4">
        <v>0</v>
      </c>
      <c r="K1250" s="70">
        <v>0</v>
      </c>
      <c r="L1250" s="4">
        <v>5.2469999999999999</v>
      </c>
      <c r="M1250" s="70">
        <v>5.2469999999999999</v>
      </c>
      <c r="N1250" s="4">
        <v>5.2469999999999999</v>
      </c>
      <c r="O1250" s="70">
        <v>5.2469999999999999</v>
      </c>
      <c r="P1250" s="4">
        <v>0</v>
      </c>
      <c r="Q1250" s="3" t="s">
        <v>26</v>
      </c>
      <c r="R1250" s="3">
        <v>0</v>
      </c>
      <c r="S1250" s="4">
        <v>0</v>
      </c>
      <c r="T1250" s="4">
        <v>8</v>
      </c>
      <c r="U1250" s="4">
        <v>72</v>
      </c>
      <c r="V1250" s="70">
        <f>IF(ISERROR(VLOOKUP($S$1250,'TAR FIN'!$A$1:$O$99,15,0)),0,VLOOKUP($S$1250,'TAR FIN'!$A$1:$O$99,15,0))</f>
        <v>0</v>
      </c>
      <c r="W1250" s="70">
        <f>IF(ISERROR(VLOOKUP($T$1250,'TAR FIN'!$A$1:$O$99,15,0)),0,VLOOKUP($T$1250,'TAR FIN'!$A$1:$O$99,15,0))*(1-0.04)</f>
        <v>1495.4304</v>
      </c>
      <c r="X1250" s="70">
        <f>IF(ISERROR(VLOOKUP($U$1250,'TAR FIN'!$A$1:$O$99,15,0)),0,VLOOKUP($U$1250,'TAR FIN'!$A$1:$O$99,15,0))*(1-0.04)</f>
        <v>332.74560000000002</v>
      </c>
      <c r="Y1250" s="70"/>
      <c r="Z1250" s="70">
        <f ca="1">('TUSD BE'!$AM$22+'TUSD BF'!$AM$22+'TUSD CVA'!$AM$22)*1*(1-0.02)</f>
        <v>1763.14935965871</v>
      </c>
      <c r="AA1250" s="70">
        <f>('TE BE'!$AA$7+'TE BF'!$AA$7+'TE CVA'!$AA$7)*1*(1-0.02)</f>
        <v>415.4185945530557</v>
      </c>
      <c r="AB1250" s="4">
        <f>$K$1250*$V$1250</f>
        <v>0</v>
      </c>
      <c r="AC1250" s="4">
        <f>$M$1250*$W$1250</f>
        <v>7846.5233087999995</v>
      </c>
      <c r="AD1250" s="4">
        <f>$O$1250*$X$1250</f>
        <v>1745.9161632</v>
      </c>
      <c r="AE1250" s="4">
        <f>$K$1250*$Y$1250</f>
        <v>0</v>
      </c>
      <c r="AF1250" s="4">
        <f ca="1">$M$1250*$Z$1250</f>
        <v>9251.2446901292515</v>
      </c>
      <c r="AG1250" s="4">
        <f>$O$1250*$AA$1250</f>
        <v>2179.7013656198833</v>
      </c>
    </row>
    <row r="1251" spans="1:33" ht="11.25" customHeight="1" x14ac:dyDescent="0.25">
      <c r="A1251" s="3" t="s">
        <v>21</v>
      </c>
      <c r="B1251" s="3" t="s">
        <v>33</v>
      </c>
      <c r="C1251" s="3" t="s">
        <v>34</v>
      </c>
      <c r="D1251" s="3" t="s">
        <v>45</v>
      </c>
      <c r="E1251" s="3" t="s">
        <v>25</v>
      </c>
      <c r="F1251" s="3" t="s">
        <v>25</v>
      </c>
      <c r="G1251" s="3" t="s">
        <v>25</v>
      </c>
      <c r="H1251" s="3" t="s">
        <v>35</v>
      </c>
      <c r="I1251" s="6">
        <v>44470</v>
      </c>
      <c r="J1251" s="4">
        <v>0</v>
      </c>
      <c r="K1251" s="70">
        <v>0</v>
      </c>
      <c r="L1251" s="4">
        <v>50.600999999999999</v>
      </c>
      <c r="M1251" s="70">
        <v>50.600999999999999</v>
      </c>
      <c r="N1251" s="4">
        <v>50.600999999999999</v>
      </c>
      <c r="O1251" s="70">
        <v>50.600999999999999</v>
      </c>
      <c r="P1251" s="4">
        <v>0</v>
      </c>
      <c r="Q1251" s="3" t="s">
        <v>26</v>
      </c>
      <c r="R1251" s="3">
        <v>0</v>
      </c>
      <c r="S1251" s="4">
        <v>0</v>
      </c>
      <c r="T1251" s="4">
        <v>8</v>
      </c>
      <c r="U1251" s="4">
        <v>72</v>
      </c>
      <c r="V1251" s="70">
        <f>IF(ISERROR(VLOOKUP($S$1251,'TAR FIN'!$A$1:$O$99,15,0)),0,VLOOKUP($S$1251,'TAR FIN'!$A$1:$O$99,15,0))</f>
        <v>0</v>
      </c>
      <c r="W1251" s="70">
        <f>IF(ISERROR(VLOOKUP($T$1251,'TAR FIN'!$A$1:$O$99,15,0)),0,VLOOKUP($T$1251,'TAR FIN'!$A$1:$O$99,15,0))*(1-0.04)</f>
        <v>1495.4304</v>
      </c>
      <c r="X1251" s="70">
        <f>IF(ISERROR(VLOOKUP($U$1251,'TAR FIN'!$A$1:$O$99,15,0)),0,VLOOKUP($U$1251,'TAR FIN'!$A$1:$O$99,15,0))*(1-0.04)</f>
        <v>332.74560000000002</v>
      </c>
      <c r="Y1251" s="70"/>
      <c r="Z1251" s="70">
        <f ca="1">('TUSD BE'!$AM$22+'TUSD BF'!$AM$22+'TUSD CVA'!$AM$22)*1*(1-0.02)</f>
        <v>1763.14935965871</v>
      </c>
      <c r="AA1251" s="70">
        <f>('TE BE'!$AA$7+'TE BF'!$AA$7+'TE CVA'!$AA$7)*1*(1-0.02)</f>
        <v>415.4185945530557</v>
      </c>
      <c r="AB1251" s="4">
        <f>$K$1251*$V$1251</f>
        <v>0</v>
      </c>
      <c r="AC1251" s="4">
        <f>$M$1251*$W$1251</f>
        <v>75670.273670399998</v>
      </c>
      <c r="AD1251" s="4">
        <f>$O$1251*$X$1251</f>
        <v>16837.260105600002</v>
      </c>
      <c r="AE1251" s="4">
        <f>$K$1251*$Y$1251</f>
        <v>0</v>
      </c>
      <c r="AF1251" s="4">
        <f ca="1">$M$1251*$Z$1251</f>
        <v>89217.120748090383</v>
      </c>
      <c r="AG1251" s="4">
        <f>$O$1251*$AA$1251</f>
        <v>21020.596302979171</v>
      </c>
    </row>
    <row r="1252" spans="1:33" ht="11.25" customHeight="1" x14ac:dyDescent="0.25">
      <c r="A1252" s="3" t="s">
        <v>28</v>
      </c>
      <c r="B1252" s="3" t="s">
        <v>33</v>
      </c>
      <c r="C1252" s="3" t="s">
        <v>34</v>
      </c>
      <c r="D1252" s="3" t="s">
        <v>45</v>
      </c>
      <c r="E1252" s="3" t="s">
        <v>25</v>
      </c>
      <c r="F1252" s="3" t="s">
        <v>25</v>
      </c>
      <c r="G1252" s="3" t="s">
        <v>25</v>
      </c>
      <c r="H1252" s="3" t="s">
        <v>35</v>
      </c>
      <c r="I1252" s="6">
        <v>44470</v>
      </c>
      <c r="J1252" s="4">
        <v>0</v>
      </c>
      <c r="K1252" s="70">
        <v>0</v>
      </c>
      <c r="L1252" s="4">
        <v>12.153</v>
      </c>
      <c r="M1252" s="70">
        <v>12.153</v>
      </c>
      <c r="N1252" s="4">
        <v>12.153</v>
      </c>
      <c r="O1252" s="70">
        <v>12.153</v>
      </c>
      <c r="P1252" s="4">
        <v>0</v>
      </c>
      <c r="Q1252" s="3" t="s">
        <v>26</v>
      </c>
      <c r="R1252" s="3">
        <v>0</v>
      </c>
      <c r="S1252" s="4">
        <v>0</v>
      </c>
      <c r="T1252" s="4">
        <v>8</v>
      </c>
      <c r="U1252" s="4">
        <v>72</v>
      </c>
      <c r="V1252" s="70">
        <f>IF(ISERROR(VLOOKUP($S$1252,'TAR FIN'!$A$1:$O$99,15,0)),0,VLOOKUP($S$1252,'TAR FIN'!$A$1:$O$99,15,0))</f>
        <v>0</v>
      </c>
      <c r="W1252" s="70">
        <f>IF(ISERROR(VLOOKUP($T$1252,'TAR FIN'!$A$1:$O$99,15,0)),0,VLOOKUP($T$1252,'TAR FIN'!$A$1:$O$99,15,0))*(1-0.04)</f>
        <v>1495.4304</v>
      </c>
      <c r="X1252" s="70">
        <f>IF(ISERROR(VLOOKUP($U$1252,'TAR FIN'!$A$1:$O$99,15,0)),0,VLOOKUP($U$1252,'TAR FIN'!$A$1:$O$99,15,0))*(1-0.04)</f>
        <v>332.74560000000002</v>
      </c>
      <c r="Y1252" s="70"/>
      <c r="Z1252" s="70">
        <f ca="1">('TUSD BE'!$AM$22+'TUSD BF'!$AM$22+'TUSD CVA'!$AM$22)*1*(1-0.02)</f>
        <v>1763.14935965871</v>
      </c>
      <c r="AA1252" s="70">
        <f>('TE BE'!$AA$7+'TE BF'!$AA$7+'TE CVA'!$AA$7)*1*(1-0.02)</f>
        <v>415.4185945530557</v>
      </c>
      <c r="AB1252" s="4">
        <f>$K$1252*$V$1252</f>
        <v>0</v>
      </c>
      <c r="AC1252" s="4">
        <f>$M$1252*$W$1252</f>
        <v>18173.9656512</v>
      </c>
      <c r="AD1252" s="4">
        <f>$O$1252*$X$1252</f>
        <v>4043.8572768000004</v>
      </c>
      <c r="AE1252" s="4">
        <f>$K$1252*$Y$1252</f>
        <v>0</v>
      </c>
      <c r="AF1252" s="4">
        <f ca="1">$M$1252*$Z$1252</f>
        <v>21427.554167932303</v>
      </c>
      <c r="AG1252" s="4">
        <f>$O$1252*$AA$1252</f>
        <v>5048.582179603286</v>
      </c>
    </row>
    <row r="1253" spans="1:33" ht="11.25" customHeight="1" x14ac:dyDescent="0.25">
      <c r="A1253" s="3" t="s">
        <v>21</v>
      </c>
      <c r="B1253" s="3" t="s">
        <v>33</v>
      </c>
      <c r="C1253" s="3" t="s">
        <v>34</v>
      </c>
      <c r="D1253" s="3" t="s">
        <v>45</v>
      </c>
      <c r="E1253" s="3" t="s">
        <v>25</v>
      </c>
      <c r="F1253" s="3" t="s">
        <v>25</v>
      </c>
      <c r="G1253" s="3" t="s">
        <v>25</v>
      </c>
      <c r="H1253" s="3" t="s">
        <v>35</v>
      </c>
      <c r="I1253" s="6">
        <v>44501</v>
      </c>
      <c r="J1253" s="4">
        <v>0</v>
      </c>
      <c r="K1253" s="70">
        <v>0</v>
      </c>
      <c r="L1253" s="4">
        <v>53.113999999999997</v>
      </c>
      <c r="M1253" s="70">
        <v>53.113999999999997</v>
      </c>
      <c r="N1253" s="4">
        <v>53.113999999999997</v>
      </c>
      <c r="O1253" s="70">
        <v>53.113999999999997</v>
      </c>
      <c r="P1253" s="4">
        <v>0</v>
      </c>
      <c r="Q1253" s="3" t="s">
        <v>26</v>
      </c>
      <c r="R1253" s="3">
        <v>0</v>
      </c>
      <c r="S1253" s="4">
        <v>0</v>
      </c>
      <c r="T1253" s="4">
        <v>8</v>
      </c>
      <c r="U1253" s="4">
        <v>72</v>
      </c>
      <c r="V1253" s="70">
        <f>IF(ISERROR(VLOOKUP($S$1253,'TAR FIN'!$A$1:$O$99,15,0)),0,VLOOKUP($S$1253,'TAR FIN'!$A$1:$O$99,15,0))</f>
        <v>0</v>
      </c>
      <c r="W1253" s="70">
        <f>IF(ISERROR(VLOOKUP($T$1253,'TAR FIN'!$A$1:$O$99,15,0)),0,VLOOKUP($T$1253,'TAR FIN'!$A$1:$O$99,15,0))*(1-0.04)</f>
        <v>1495.4304</v>
      </c>
      <c r="X1253" s="70">
        <f>IF(ISERROR(VLOOKUP($U$1253,'TAR FIN'!$A$1:$O$99,15,0)),0,VLOOKUP($U$1253,'TAR FIN'!$A$1:$O$99,15,0))*(1-0.04)</f>
        <v>332.74560000000002</v>
      </c>
      <c r="Y1253" s="70"/>
      <c r="Z1253" s="70">
        <f ca="1">('TUSD BE'!$AM$22+'TUSD BF'!$AM$22+'TUSD CVA'!$AM$22)*1*(1-0.02)</f>
        <v>1763.14935965871</v>
      </c>
      <c r="AA1253" s="70">
        <f>('TE BE'!$AA$7+'TE BF'!$AA$7+'TE CVA'!$AA$7)*1*(1-0.02)</f>
        <v>415.4185945530557</v>
      </c>
      <c r="AB1253" s="4">
        <f>$K$1253*$V$1253</f>
        <v>0</v>
      </c>
      <c r="AC1253" s="4">
        <f>$M$1253*$W$1253</f>
        <v>79428.290265599993</v>
      </c>
      <c r="AD1253" s="4">
        <f>$O$1253*$X$1253</f>
        <v>17673.449798400001</v>
      </c>
      <c r="AE1253" s="4">
        <f>$K$1253*$Y$1253</f>
        <v>0</v>
      </c>
      <c r="AF1253" s="4">
        <f ca="1">$M$1253*$Z$1253</f>
        <v>93647.91508891272</v>
      </c>
      <c r="AG1253" s="4">
        <f>$O$1253*$AA$1253</f>
        <v>22064.543231091</v>
      </c>
    </row>
    <row r="1254" spans="1:33" ht="11.25" customHeight="1" x14ac:dyDescent="0.25">
      <c r="A1254" s="3" t="s">
        <v>28</v>
      </c>
      <c r="B1254" s="3" t="s">
        <v>33</v>
      </c>
      <c r="C1254" s="3" t="s">
        <v>34</v>
      </c>
      <c r="D1254" s="3" t="s">
        <v>45</v>
      </c>
      <c r="E1254" s="3" t="s">
        <v>25</v>
      </c>
      <c r="F1254" s="3" t="s">
        <v>25</v>
      </c>
      <c r="G1254" s="3" t="s">
        <v>25</v>
      </c>
      <c r="H1254" s="3" t="s">
        <v>35</v>
      </c>
      <c r="I1254" s="6">
        <v>44501</v>
      </c>
      <c r="J1254" s="4">
        <v>0</v>
      </c>
      <c r="K1254" s="70">
        <v>0</v>
      </c>
      <c r="L1254" s="4">
        <v>28.7</v>
      </c>
      <c r="M1254" s="70">
        <v>28.7</v>
      </c>
      <c r="N1254" s="4">
        <v>28.7</v>
      </c>
      <c r="O1254" s="70">
        <v>28.7</v>
      </c>
      <c r="P1254" s="4">
        <v>0</v>
      </c>
      <c r="Q1254" s="3" t="s">
        <v>26</v>
      </c>
      <c r="R1254" s="3">
        <v>0</v>
      </c>
      <c r="S1254" s="4">
        <v>0</v>
      </c>
      <c r="T1254" s="4">
        <v>8</v>
      </c>
      <c r="U1254" s="4">
        <v>72</v>
      </c>
      <c r="V1254" s="70">
        <f>IF(ISERROR(VLOOKUP($S$1254,'TAR FIN'!$A$1:$O$99,15,0)),0,VLOOKUP($S$1254,'TAR FIN'!$A$1:$O$99,15,0))</f>
        <v>0</v>
      </c>
      <c r="W1254" s="70">
        <f>IF(ISERROR(VLOOKUP($T$1254,'TAR FIN'!$A$1:$O$99,15,0)),0,VLOOKUP($T$1254,'TAR FIN'!$A$1:$O$99,15,0))*(1-0.04)</f>
        <v>1495.4304</v>
      </c>
      <c r="X1254" s="70">
        <f>IF(ISERROR(VLOOKUP($U$1254,'TAR FIN'!$A$1:$O$99,15,0)),0,VLOOKUP($U$1254,'TAR FIN'!$A$1:$O$99,15,0))*(1-0.04)</f>
        <v>332.74560000000002</v>
      </c>
      <c r="Y1254" s="70"/>
      <c r="Z1254" s="70">
        <f ca="1">('TUSD BE'!$AM$22+'TUSD BF'!$AM$22+'TUSD CVA'!$AM$22)*1*(1-0.02)</f>
        <v>1763.14935965871</v>
      </c>
      <c r="AA1254" s="70">
        <f>('TE BE'!$AA$7+'TE BF'!$AA$7+'TE CVA'!$AA$7)*1*(1-0.02)</f>
        <v>415.4185945530557</v>
      </c>
      <c r="AB1254" s="4">
        <f>$K$1254*$V$1254</f>
        <v>0</v>
      </c>
      <c r="AC1254" s="4">
        <f>$M$1254*$W$1254</f>
        <v>42918.852480000001</v>
      </c>
      <c r="AD1254" s="4">
        <f>$O$1254*$X$1254</f>
        <v>9549.7987200000007</v>
      </c>
      <c r="AE1254" s="4">
        <f>$K$1254*$Y$1254</f>
        <v>0</v>
      </c>
      <c r="AF1254" s="4">
        <f ca="1">$M$1254*$Z$1254</f>
        <v>50602.386622204976</v>
      </c>
      <c r="AG1254" s="4">
        <f>$O$1254*$AA$1254</f>
        <v>11922.513663672698</v>
      </c>
    </row>
    <row r="1255" spans="1:33" ht="11.25" customHeight="1" x14ac:dyDescent="0.25">
      <c r="A1255" s="3" t="s">
        <v>21</v>
      </c>
      <c r="B1255" s="3" t="s">
        <v>33</v>
      </c>
      <c r="C1255" s="3" t="s">
        <v>34</v>
      </c>
      <c r="D1255" s="3" t="s">
        <v>45</v>
      </c>
      <c r="E1255" s="3" t="s">
        <v>25</v>
      </c>
      <c r="F1255" s="3" t="s">
        <v>25</v>
      </c>
      <c r="G1255" s="3" t="s">
        <v>25</v>
      </c>
      <c r="H1255" s="3" t="s">
        <v>35</v>
      </c>
      <c r="I1255" s="6">
        <v>44531</v>
      </c>
      <c r="J1255" s="4">
        <v>0</v>
      </c>
      <c r="K1255" s="70">
        <v>0</v>
      </c>
      <c r="L1255" s="4">
        <v>57.963000000000001</v>
      </c>
      <c r="M1255" s="70">
        <v>57.963000000000001</v>
      </c>
      <c r="N1255" s="4">
        <v>57.963000000000001</v>
      </c>
      <c r="O1255" s="70">
        <v>57.963000000000001</v>
      </c>
      <c r="P1255" s="4">
        <v>0</v>
      </c>
      <c r="Q1255" s="3" t="s">
        <v>26</v>
      </c>
      <c r="R1255" s="3">
        <v>0</v>
      </c>
      <c r="S1255" s="4">
        <v>0</v>
      </c>
      <c r="T1255" s="4">
        <v>8</v>
      </c>
      <c r="U1255" s="4">
        <v>72</v>
      </c>
      <c r="V1255" s="70">
        <f>IF(ISERROR(VLOOKUP($S$1255,'TAR FIN'!$A$1:$O$99,15,0)),0,VLOOKUP($S$1255,'TAR FIN'!$A$1:$O$99,15,0))</f>
        <v>0</v>
      </c>
      <c r="W1255" s="70">
        <f>IF(ISERROR(VLOOKUP($T$1255,'TAR FIN'!$A$1:$O$99,15,0)),0,VLOOKUP($T$1255,'TAR FIN'!$A$1:$O$99,15,0))*(1-0.04)</f>
        <v>1495.4304</v>
      </c>
      <c r="X1255" s="70">
        <f>IF(ISERROR(VLOOKUP($U$1255,'TAR FIN'!$A$1:$O$99,15,0)),0,VLOOKUP($U$1255,'TAR FIN'!$A$1:$O$99,15,0))*(1-0.04)</f>
        <v>332.74560000000002</v>
      </c>
      <c r="Y1255" s="70"/>
      <c r="Z1255" s="70">
        <f ca="1">('TUSD BE'!$AM$22+'TUSD BF'!$AM$22+'TUSD CVA'!$AM$22)*1*(1-0.02)</f>
        <v>1763.14935965871</v>
      </c>
      <c r="AA1255" s="70">
        <f>('TE BE'!$AA$7+'TE BF'!$AA$7+'TE CVA'!$AA$7)*1*(1-0.02)</f>
        <v>415.4185945530557</v>
      </c>
      <c r="AB1255" s="4">
        <f>$K$1255*$V$1255</f>
        <v>0</v>
      </c>
      <c r="AC1255" s="4">
        <f>$M$1255*$W$1255</f>
        <v>86679.632275199998</v>
      </c>
      <c r="AD1255" s="4">
        <f>$O$1255*$X$1255</f>
        <v>19286.933212800002</v>
      </c>
      <c r="AE1255" s="4">
        <f>$K$1255*$Y$1255</f>
        <v>0</v>
      </c>
      <c r="AF1255" s="4">
        <f ca="1">$M$1255*$Z$1255</f>
        <v>102197.42633389781</v>
      </c>
      <c r="AG1255" s="4">
        <f>$O$1255*$AA$1255</f>
        <v>24078.907996078768</v>
      </c>
    </row>
    <row r="1256" spans="1:33" ht="11.25" customHeight="1" x14ac:dyDescent="0.25">
      <c r="A1256" s="3" t="s">
        <v>28</v>
      </c>
      <c r="B1256" s="3" t="s">
        <v>33</v>
      </c>
      <c r="C1256" s="3" t="s">
        <v>34</v>
      </c>
      <c r="D1256" s="3" t="s">
        <v>45</v>
      </c>
      <c r="E1256" s="3" t="s">
        <v>25</v>
      </c>
      <c r="F1256" s="3" t="s">
        <v>25</v>
      </c>
      <c r="G1256" s="3" t="s">
        <v>25</v>
      </c>
      <c r="H1256" s="3" t="s">
        <v>35</v>
      </c>
      <c r="I1256" s="6">
        <v>44531</v>
      </c>
      <c r="J1256" s="4">
        <v>0</v>
      </c>
      <c r="K1256" s="70">
        <v>0</v>
      </c>
      <c r="L1256" s="4">
        <v>32.121000000000002</v>
      </c>
      <c r="M1256" s="70">
        <v>32.121000000000002</v>
      </c>
      <c r="N1256" s="4">
        <v>32.121000000000002</v>
      </c>
      <c r="O1256" s="70">
        <v>32.121000000000002</v>
      </c>
      <c r="P1256" s="4">
        <v>0</v>
      </c>
      <c r="Q1256" s="3" t="s">
        <v>26</v>
      </c>
      <c r="R1256" s="3">
        <v>0</v>
      </c>
      <c r="S1256" s="4">
        <v>0</v>
      </c>
      <c r="T1256" s="4">
        <v>8</v>
      </c>
      <c r="U1256" s="4">
        <v>72</v>
      </c>
      <c r="V1256" s="70">
        <f>IF(ISERROR(VLOOKUP($S$1256,'TAR FIN'!$A$1:$O$99,15,0)),0,VLOOKUP($S$1256,'TAR FIN'!$A$1:$O$99,15,0))</f>
        <v>0</v>
      </c>
      <c r="W1256" s="70">
        <f>IF(ISERROR(VLOOKUP($T$1256,'TAR FIN'!$A$1:$O$99,15,0)),0,VLOOKUP($T$1256,'TAR FIN'!$A$1:$O$99,15,0))*(1-0.04)</f>
        <v>1495.4304</v>
      </c>
      <c r="X1256" s="70">
        <f>IF(ISERROR(VLOOKUP($U$1256,'TAR FIN'!$A$1:$O$99,15,0)),0,VLOOKUP($U$1256,'TAR FIN'!$A$1:$O$99,15,0))*(1-0.04)</f>
        <v>332.74560000000002</v>
      </c>
      <c r="Y1256" s="70"/>
      <c r="Z1256" s="70">
        <f ca="1">('TUSD BE'!$AM$22+'TUSD BF'!$AM$22+'TUSD CVA'!$AM$22)*1*(1-0.02)</f>
        <v>1763.14935965871</v>
      </c>
      <c r="AA1256" s="70">
        <f>('TE BE'!$AA$7+'TE BF'!$AA$7+'TE CVA'!$AA$7)*1*(1-0.02)</f>
        <v>415.4185945530557</v>
      </c>
      <c r="AB1256" s="4">
        <f>$K$1256*$V$1256</f>
        <v>0</v>
      </c>
      <c r="AC1256" s="4">
        <f>$M$1256*$W$1256</f>
        <v>48034.719878399999</v>
      </c>
      <c r="AD1256" s="4">
        <f>$O$1256*$X$1256</f>
        <v>10688.121417600001</v>
      </c>
      <c r="AE1256" s="4">
        <f>$K$1256*$Y$1256</f>
        <v>0</v>
      </c>
      <c r="AF1256" s="4">
        <f ca="1">$M$1256*$Z$1256</f>
        <v>56634.120581597424</v>
      </c>
      <c r="AG1256" s="4">
        <f>$O$1256*$AA$1256</f>
        <v>13343.660675638703</v>
      </c>
    </row>
    <row r="1257" spans="1:33" ht="11.25" customHeight="1" x14ac:dyDescent="0.25">
      <c r="A1257" s="3" t="s">
        <v>21</v>
      </c>
      <c r="B1257" s="3" t="s">
        <v>33</v>
      </c>
      <c r="C1257" s="3" t="s">
        <v>34</v>
      </c>
      <c r="D1257" s="3" t="s">
        <v>45</v>
      </c>
      <c r="E1257" s="3" t="s">
        <v>25</v>
      </c>
      <c r="F1257" s="3" t="s">
        <v>25</v>
      </c>
      <c r="G1257" s="3" t="s">
        <v>25</v>
      </c>
      <c r="H1257" s="3" t="s">
        <v>35</v>
      </c>
      <c r="I1257" s="6">
        <v>44562</v>
      </c>
      <c r="J1257" s="4">
        <v>0</v>
      </c>
      <c r="K1257" s="70">
        <v>0</v>
      </c>
      <c r="L1257" s="4">
        <v>50.191000000000003</v>
      </c>
      <c r="M1257" s="70">
        <v>50.191000000000003</v>
      </c>
      <c r="N1257" s="4">
        <v>50.191000000000003</v>
      </c>
      <c r="O1257" s="70">
        <v>50.191000000000003</v>
      </c>
      <c r="P1257" s="4">
        <v>0</v>
      </c>
      <c r="Q1257" s="3" t="s">
        <v>26</v>
      </c>
      <c r="R1257" s="3">
        <v>0</v>
      </c>
      <c r="S1257" s="4">
        <v>0</v>
      </c>
      <c r="T1257" s="4">
        <v>8</v>
      </c>
      <c r="U1257" s="4">
        <v>72</v>
      </c>
      <c r="V1257" s="70">
        <f>IF(ISERROR(VLOOKUP($S$1257,'TAR FIN'!$A$1:$O$99,15,0)),0,VLOOKUP($S$1257,'TAR FIN'!$A$1:$O$99,15,0))</f>
        <v>0</v>
      </c>
      <c r="W1257" s="70">
        <f>IF(ISERROR(VLOOKUP($T$1257,'TAR FIN'!$A$1:$O$99,15,0)),0,VLOOKUP($T$1257,'TAR FIN'!$A$1:$O$99,15,0))*(1-0.04)</f>
        <v>1495.4304</v>
      </c>
      <c r="X1257" s="70">
        <f>IF(ISERROR(VLOOKUP($U$1257,'TAR FIN'!$A$1:$O$99,15,0)),0,VLOOKUP($U$1257,'TAR FIN'!$A$1:$O$99,15,0))*(1-0.04)</f>
        <v>332.74560000000002</v>
      </c>
      <c r="Y1257" s="70"/>
      <c r="Z1257" s="70">
        <f ca="1">('TUSD BE'!$AM$22+'TUSD BF'!$AM$22+'TUSD CVA'!$AM$22)*1*(1-0.02)</f>
        <v>1763.14935965871</v>
      </c>
      <c r="AA1257" s="70">
        <f>('TE BE'!$AA$7+'TE BF'!$AA$7+'TE CVA'!$AA$7)*1*(1-0.02)</f>
        <v>415.4185945530557</v>
      </c>
      <c r="AB1257" s="4">
        <f>$K$1257*$V$1257</f>
        <v>0</v>
      </c>
      <c r="AC1257" s="4">
        <f>$M$1257*$W$1257</f>
        <v>75057.147206399997</v>
      </c>
      <c r="AD1257" s="4">
        <f>$O$1257*$X$1257</f>
        <v>16700.834409600004</v>
      </c>
      <c r="AE1257" s="4">
        <f>$K$1257*$Y$1257</f>
        <v>0</v>
      </c>
      <c r="AF1257" s="4">
        <f ca="1">$M$1257*$Z$1257</f>
        <v>88494.229510630321</v>
      </c>
      <c r="AG1257" s="4">
        <f>$O$1257*$AA$1257</f>
        <v>20850.27467921242</v>
      </c>
    </row>
    <row r="1258" spans="1:33" ht="11.25" customHeight="1" x14ac:dyDescent="0.25">
      <c r="A1258" s="3" t="s">
        <v>28</v>
      </c>
      <c r="B1258" s="3" t="s">
        <v>33</v>
      </c>
      <c r="C1258" s="3" t="s">
        <v>34</v>
      </c>
      <c r="D1258" s="3" t="s">
        <v>45</v>
      </c>
      <c r="E1258" s="3" t="s">
        <v>25</v>
      </c>
      <c r="F1258" s="3" t="s">
        <v>25</v>
      </c>
      <c r="G1258" s="3" t="s">
        <v>25</v>
      </c>
      <c r="H1258" s="3" t="s">
        <v>35</v>
      </c>
      <c r="I1258" s="6">
        <v>44562</v>
      </c>
      <c r="J1258" s="4">
        <v>0</v>
      </c>
      <c r="K1258" s="70">
        <v>0</v>
      </c>
      <c r="L1258" s="4">
        <v>17.806999999999999</v>
      </c>
      <c r="M1258" s="70">
        <v>17.806999999999999</v>
      </c>
      <c r="N1258" s="4">
        <v>17.806999999999999</v>
      </c>
      <c r="O1258" s="70">
        <v>17.806999999999999</v>
      </c>
      <c r="P1258" s="4">
        <v>0</v>
      </c>
      <c r="Q1258" s="3" t="s">
        <v>26</v>
      </c>
      <c r="R1258" s="3">
        <v>0</v>
      </c>
      <c r="S1258" s="4">
        <v>0</v>
      </c>
      <c r="T1258" s="4">
        <v>8</v>
      </c>
      <c r="U1258" s="4">
        <v>72</v>
      </c>
      <c r="V1258" s="70">
        <f>IF(ISERROR(VLOOKUP($S$1258,'TAR FIN'!$A$1:$O$99,15,0)),0,VLOOKUP($S$1258,'TAR FIN'!$A$1:$O$99,15,0))</f>
        <v>0</v>
      </c>
      <c r="W1258" s="70">
        <f>IF(ISERROR(VLOOKUP($T$1258,'TAR FIN'!$A$1:$O$99,15,0)),0,VLOOKUP($T$1258,'TAR FIN'!$A$1:$O$99,15,0))*(1-0.04)</f>
        <v>1495.4304</v>
      </c>
      <c r="X1258" s="70">
        <f>IF(ISERROR(VLOOKUP($U$1258,'TAR FIN'!$A$1:$O$99,15,0)),0,VLOOKUP($U$1258,'TAR FIN'!$A$1:$O$99,15,0))*(1-0.04)</f>
        <v>332.74560000000002</v>
      </c>
      <c r="Y1258" s="70"/>
      <c r="Z1258" s="70">
        <f ca="1">('TUSD BE'!$AM$22+'TUSD BF'!$AM$22+'TUSD CVA'!$AM$22)*1*(1-0.02)</f>
        <v>1763.14935965871</v>
      </c>
      <c r="AA1258" s="70">
        <f>('TE BE'!$AA$7+'TE BF'!$AA$7+'TE CVA'!$AA$7)*1*(1-0.02)</f>
        <v>415.4185945530557</v>
      </c>
      <c r="AB1258" s="4">
        <f>$K$1258*$V$1258</f>
        <v>0</v>
      </c>
      <c r="AC1258" s="4">
        <f>$M$1258*$W$1258</f>
        <v>26629.129132799997</v>
      </c>
      <c r="AD1258" s="4">
        <f>$O$1258*$X$1258</f>
        <v>5925.2008992000001</v>
      </c>
      <c r="AE1258" s="4">
        <f>$K$1258*$Y$1258</f>
        <v>0</v>
      </c>
      <c r="AF1258" s="4">
        <f ca="1">$M$1258*$Z$1258</f>
        <v>31396.400647442646</v>
      </c>
      <c r="AG1258" s="4">
        <f>$O$1258*$AA$1258</f>
        <v>7397.3589132062625</v>
      </c>
    </row>
    <row r="1259" spans="1:33" ht="11.25" customHeight="1" x14ac:dyDescent="0.25">
      <c r="A1259" s="3" t="s">
        <v>21</v>
      </c>
      <c r="B1259" s="3" t="s">
        <v>33</v>
      </c>
      <c r="C1259" s="3" t="s">
        <v>34</v>
      </c>
      <c r="D1259" s="3" t="s">
        <v>45</v>
      </c>
      <c r="E1259" s="3" t="s">
        <v>25</v>
      </c>
      <c r="F1259" s="3" t="s">
        <v>25</v>
      </c>
      <c r="G1259" s="3" t="s">
        <v>25</v>
      </c>
      <c r="H1259" s="3" t="s">
        <v>35</v>
      </c>
      <c r="I1259" s="6">
        <v>44593</v>
      </c>
      <c r="J1259" s="4">
        <v>0</v>
      </c>
      <c r="K1259" s="70">
        <v>0</v>
      </c>
      <c r="L1259" s="4">
        <v>47.332000000000001</v>
      </c>
      <c r="M1259" s="70">
        <v>47.332000000000001</v>
      </c>
      <c r="N1259" s="4">
        <v>47.332000000000001</v>
      </c>
      <c r="O1259" s="70">
        <v>47.332000000000001</v>
      </c>
      <c r="P1259" s="4">
        <v>0</v>
      </c>
      <c r="Q1259" s="3" t="s">
        <v>26</v>
      </c>
      <c r="R1259" s="3">
        <v>0</v>
      </c>
      <c r="S1259" s="4">
        <v>0</v>
      </c>
      <c r="T1259" s="4">
        <v>8</v>
      </c>
      <c r="U1259" s="4">
        <v>72</v>
      </c>
      <c r="V1259" s="70">
        <f>IF(ISERROR(VLOOKUP($S$1259,'TAR FIN'!$A$1:$O$99,15,0)),0,VLOOKUP($S$1259,'TAR FIN'!$A$1:$O$99,15,0))</f>
        <v>0</v>
      </c>
      <c r="W1259" s="70">
        <f>IF(ISERROR(VLOOKUP($T$1259,'TAR FIN'!$A$1:$O$99,15,0)),0,VLOOKUP($T$1259,'TAR FIN'!$A$1:$O$99,15,0))*(1-0.04)</f>
        <v>1495.4304</v>
      </c>
      <c r="X1259" s="70">
        <f>IF(ISERROR(VLOOKUP($U$1259,'TAR FIN'!$A$1:$O$99,15,0)),0,VLOOKUP($U$1259,'TAR FIN'!$A$1:$O$99,15,0))*(1-0.04)</f>
        <v>332.74560000000002</v>
      </c>
      <c r="Y1259" s="70"/>
      <c r="Z1259" s="70">
        <f ca="1">('TUSD BE'!$AM$22+'TUSD BF'!$AM$22+'TUSD CVA'!$AM$22)*1*(1-0.02)</f>
        <v>1763.14935965871</v>
      </c>
      <c r="AA1259" s="70">
        <f>('TE BE'!$AA$7+'TE BF'!$AA$7+'TE CVA'!$AA$7)*1*(1-0.02)</f>
        <v>415.4185945530557</v>
      </c>
      <c r="AB1259" s="4">
        <f>$K$1259*$V$1259</f>
        <v>0</v>
      </c>
      <c r="AC1259" s="4">
        <f>$M$1259*$W$1259</f>
        <v>70781.711692800003</v>
      </c>
      <c r="AD1259" s="4">
        <f>$O$1259*$X$1259</f>
        <v>15749.514739200002</v>
      </c>
      <c r="AE1259" s="4">
        <f>$K$1259*$Y$1259</f>
        <v>0</v>
      </c>
      <c r="AF1259" s="4">
        <f ca="1">$M$1259*$Z$1259</f>
        <v>83453.385491366062</v>
      </c>
      <c r="AG1259" s="4">
        <f>$O$1259*$AA$1259</f>
        <v>19662.592917385231</v>
      </c>
    </row>
    <row r="1260" spans="1:33" ht="11.25" customHeight="1" x14ac:dyDescent="0.25">
      <c r="A1260" s="3" t="s">
        <v>28</v>
      </c>
      <c r="B1260" s="3" t="s">
        <v>33</v>
      </c>
      <c r="C1260" s="3" t="s">
        <v>34</v>
      </c>
      <c r="D1260" s="3" t="s">
        <v>45</v>
      </c>
      <c r="E1260" s="3" t="s">
        <v>25</v>
      </c>
      <c r="F1260" s="3" t="s">
        <v>25</v>
      </c>
      <c r="G1260" s="3" t="s">
        <v>25</v>
      </c>
      <c r="H1260" s="3" t="s">
        <v>35</v>
      </c>
      <c r="I1260" s="6">
        <v>44593</v>
      </c>
      <c r="J1260" s="4">
        <v>0</v>
      </c>
      <c r="K1260" s="70">
        <v>0</v>
      </c>
      <c r="L1260" s="4">
        <v>27.065000000000001</v>
      </c>
      <c r="M1260" s="70">
        <v>27.065000000000001</v>
      </c>
      <c r="N1260" s="4">
        <v>27.065000000000001</v>
      </c>
      <c r="O1260" s="70">
        <v>27.065000000000001</v>
      </c>
      <c r="P1260" s="4">
        <v>0</v>
      </c>
      <c r="Q1260" s="3" t="s">
        <v>26</v>
      </c>
      <c r="R1260" s="3">
        <v>0</v>
      </c>
      <c r="S1260" s="4">
        <v>0</v>
      </c>
      <c r="T1260" s="4">
        <v>8</v>
      </c>
      <c r="U1260" s="4">
        <v>72</v>
      </c>
      <c r="V1260" s="70">
        <f>IF(ISERROR(VLOOKUP($S$1260,'TAR FIN'!$A$1:$O$99,15,0)),0,VLOOKUP($S$1260,'TAR FIN'!$A$1:$O$99,15,0))</f>
        <v>0</v>
      </c>
      <c r="W1260" s="70">
        <f>IF(ISERROR(VLOOKUP($T$1260,'TAR FIN'!$A$1:$O$99,15,0)),0,VLOOKUP($T$1260,'TAR FIN'!$A$1:$O$99,15,0))*(1-0.04)</f>
        <v>1495.4304</v>
      </c>
      <c r="X1260" s="70">
        <f>IF(ISERROR(VLOOKUP($U$1260,'TAR FIN'!$A$1:$O$99,15,0)),0,VLOOKUP($U$1260,'TAR FIN'!$A$1:$O$99,15,0))*(1-0.04)</f>
        <v>332.74560000000002</v>
      </c>
      <c r="Y1260" s="70"/>
      <c r="Z1260" s="70">
        <f ca="1">('TUSD BE'!$AM$22+'TUSD BF'!$AM$22+'TUSD CVA'!$AM$22)*1*(1-0.02)</f>
        <v>1763.14935965871</v>
      </c>
      <c r="AA1260" s="70">
        <f>('TE BE'!$AA$7+'TE BF'!$AA$7+'TE CVA'!$AA$7)*1*(1-0.02)</f>
        <v>415.4185945530557</v>
      </c>
      <c r="AB1260" s="4">
        <f>$K$1260*$V$1260</f>
        <v>0</v>
      </c>
      <c r="AC1260" s="4">
        <f>$M$1260*$W$1260</f>
        <v>40473.823775999997</v>
      </c>
      <c r="AD1260" s="4">
        <f>$O$1260*$X$1260</f>
        <v>9005.7596640000011</v>
      </c>
      <c r="AE1260" s="4">
        <f>$K$1260*$Y$1260</f>
        <v>0</v>
      </c>
      <c r="AF1260" s="4">
        <f ca="1">$M$1260*$Z$1260</f>
        <v>47719.637419162987</v>
      </c>
      <c r="AG1260" s="4">
        <f>$O$1260*$AA$1260</f>
        <v>11243.304261578452</v>
      </c>
    </row>
    <row r="1261" spans="1:33" ht="11.25" customHeight="1" x14ac:dyDescent="0.25">
      <c r="A1261" s="3" t="s">
        <v>21</v>
      </c>
      <c r="B1261" s="3" t="s">
        <v>33</v>
      </c>
      <c r="C1261" s="3" t="s">
        <v>34</v>
      </c>
      <c r="D1261" s="3" t="s">
        <v>45</v>
      </c>
      <c r="E1261" s="3" t="s">
        <v>25</v>
      </c>
      <c r="F1261" s="3" t="s">
        <v>25</v>
      </c>
      <c r="G1261" s="3" t="s">
        <v>25</v>
      </c>
      <c r="H1261" s="3" t="s">
        <v>35</v>
      </c>
      <c r="I1261" s="6">
        <v>44621</v>
      </c>
      <c r="J1261" s="4">
        <v>0</v>
      </c>
      <c r="K1261" s="70">
        <v>0</v>
      </c>
      <c r="L1261" s="4">
        <v>44.673999999999999</v>
      </c>
      <c r="M1261" s="70">
        <v>44.673999999999999</v>
      </c>
      <c r="N1261" s="4">
        <v>44.673999999999999</v>
      </c>
      <c r="O1261" s="70">
        <v>44.673999999999999</v>
      </c>
      <c r="P1261" s="4">
        <v>0</v>
      </c>
      <c r="Q1261" s="3" t="s">
        <v>26</v>
      </c>
      <c r="R1261" s="3">
        <v>0</v>
      </c>
      <c r="S1261" s="4">
        <v>0</v>
      </c>
      <c r="T1261" s="4">
        <v>8</v>
      </c>
      <c r="U1261" s="4">
        <v>72</v>
      </c>
      <c r="V1261" s="70">
        <f>IF(ISERROR(VLOOKUP($S$1261,'TAR FIN'!$A$1:$O$99,15,0)),0,VLOOKUP($S$1261,'TAR FIN'!$A$1:$O$99,15,0))</f>
        <v>0</v>
      </c>
      <c r="W1261" s="70">
        <f>IF(ISERROR(VLOOKUP($T$1261,'TAR FIN'!$A$1:$O$99,15,0)),0,VLOOKUP($T$1261,'TAR FIN'!$A$1:$O$99,15,0))*(1-0.04)</f>
        <v>1495.4304</v>
      </c>
      <c r="X1261" s="70">
        <f>IF(ISERROR(VLOOKUP($U$1261,'TAR FIN'!$A$1:$O$99,15,0)),0,VLOOKUP($U$1261,'TAR FIN'!$A$1:$O$99,15,0))*(1-0.04)</f>
        <v>332.74560000000002</v>
      </c>
      <c r="Y1261" s="70"/>
      <c r="Z1261" s="70">
        <f ca="1">('TUSD BE'!$AM$22+'TUSD BF'!$AM$22+'TUSD CVA'!$AM$22)*1*(1-0.02)</f>
        <v>1763.14935965871</v>
      </c>
      <c r="AA1261" s="70">
        <f>('TE BE'!$AA$7+'TE BF'!$AA$7+'TE CVA'!$AA$7)*1*(1-0.02)</f>
        <v>415.4185945530557</v>
      </c>
      <c r="AB1261" s="4">
        <f>$K$1261*$V$1261</f>
        <v>0</v>
      </c>
      <c r="AC1261" s="4">
        <f>$M$1261*$W$1261</f>
        <v>66806.857689600001</v>
      </c>
      <c r="AD1261" s="4">
        <f>$O$1261*$X$1261</f>
        <v>14865.0769344</v>
      </c>
      <c r="AE1261" s="4">
        <f>$K$1261*$Y$1261</f>
        <v>0</v>
      </c>
      <c r="AF1261" s="4">
        <f ca="1">$M$1261*$Z$1261</f>
        <v>78766.934493393201</v>
      </c>
      <c r="AG1261" s="4">
        <f>$O$1261*$AA$1261</f>
        <v>18558.410293063211</v>
      </c>
    </row>
    <row r="1262" spans="1:33" ht="11.25" customHeight="1" x14ac:dyDescent="0.25">
      <c r="A1262" s="3" t="s">
        <v>28</v>
      </c>
      <c r="B1262" s="3" t="s">
        <v>33</v>
      </c>
      <c r="C1262" s="3" t="s">
        <v>34</v>
      </c>
      <c r="D1262" s="3" t="s">
        <v>45</v>
      </c>
      <c r="E1262" s="3" t="s">
        <v>25</v>
      </c>
      <c r="F1262" s="3" t="s">
        <v>25</v>
      </c>
      <c r="G1262" s="3" t="s">
        <v>25</v>
      </c>
      <c r="H1262" s="3" t="s">
        <v>35</v>
      </c>
      <c r="I1262" s="6">
        <v>44621</v>
      </c>
      <c r="J1262" s="4">
        <v>0</v>
      </c>
      <c r="K1262" s="70">
        <v>0</v>
      </c>
      <c r="L1262" s="4">
        <v>8.4009999999999998</v>
      </c>
      <c r="M1262" s="70">
        <v>8.4009999999999998</v>
      </c>
      <c r="N1262" s="4">
        <v>8.4009999999999998</v>
      </c>
      <c r="O1262" s="70">
        <v>8.4009999999999998</v>
      </c>
      <c r="P1262" s="4">
        <v>0</v>
      </c>
      <c r="Q1262" s="3" t="s">
        <v>26</v>
      </c>
      <c r="R1262" s="3">
        <v>0</v>
      </c>
      <c r="S1262" s="4">
        <v>0</v>
      </c>
      <c r="T1262" s="4">
        <v>8</v>
      </c>
      <c r="U1262" s="4">
        <v>72</v>
      </c>
      <c r="V1262" s="70">
        <f>IF(ISERROR(VLOOKUP($S$1262,'TAR FIN'!$A$1:$O$99,15,0)),0,VLOOKUP($S$1262,'TAR FIN'!$A$1:$O$99,15,0))</f>
        <v>0</v>
      </c>
      <c r="W1262" s="70">
        <f>IF(ISERROR(VLOOKUP($T$1262,'TAR FIN'!$A$1:$O$99,15,0)),0,VLOOKUP($T$1262,'TAR FIN'!$A$1:$O$99,15,0))*(1-0.04)</f>
        <v>1495.4304</v>
      </c>
      <c r="X1262" s="70">
        <f>IF(ISERROR(VLOOKUP($U$1262,'TAR FIN'!$A$1:$O$99,15,0)),0,VLOOKUP($U$1262,'TAR FIN'!$A$1:$O$99,15,0))*(1-0.04)</f>
        <v>332.74560000000002</v>
      </c>
      <c r="Y1262" s="70"/>
      <c r="Z1262" s="70">
        <f ca="1">('TUSD BE'!$AM$22+'TUSD BF'!$AM$22+'TUSD CVA'!$AM$22)*1*(1-0.02)</f>
        <v>1763.14935965871</v>
      </c>
      <c r="AA1262" s="70">
        <f>('TE BE'!$AA$7+'TE BF'!$AA$7+'TE CVA'!$AA$7)*1*(1-0.02)</f>
        <v>415.4185945530557</v>
      </c>
      <c r="AB1262" s="4">
        <f>$K$1262*$V$1262</f>
        <v>0</v>
      </c>
      <c r="AC1262" s="4">
        <f>$M$1262*$W$1262</f>
        <v>12563.1107904</v>
      </c>
      <c r="AD1262" s="4">
        <f>$O$1262*$X$1262</f>
        <v>2795.3957856000002</v>
      </c>
      <c r="AE1262" s="4">
        <f>$K$1262*$Y$1262</f>
        <v>0</v>
      </c>
      <c r="AF1262" s="4">
        <f ca="1">$M$1262*$Z$1262</f>
        <v>14812.217770492822</v>
      </c>
      <c r="AG1262" s="4">
        <f>$O$1262*$AA$1262</f>
        <v>3489.9316128402206</v>
      </c>
    </row>
    <row r="1263" spans="1:33" ht="11.25" customHeight="1" x14ac:dyDescent="0.25">
      <c r="A1263" s="3" t="s">
        <v>56</v>
      </c>
      <c r="B1263" s="3" t="s">
        <v>33</v>
      </c>
      <c r="C1263" s="3" t="s">
        <v>34</v>
      </c>
      <c r="D1263" s="3" t="s">
        <v>45</v>
      </c>
      <c r="E1263" s="3" t="s">
        <v>25</v>
      </c>
      <c r="F1263" s="3" t="s">
        <v>25</v>
      </c>
      <c r="G1263" s="3" t="s">
        <v>25</v>
      </c>
      <c r="H1263" s="3" t="s">
        <v>35</v>
      </c>
      <c r="I1263" s="6">
        <v>44652</v>
      </c>
      <c r="J1263" s="4">
        <v>0</v>
      </c>
      <c r="K1263" s="70">
        <v>0</v>
      </c>
      <c r="L1263" s="4">
        <v>44.673999999999999</v>
      </c>
      <c r="M1263" s="70">
        <v>44.673999999999999</v>
      </c>
      <c r="N1263" s="4">
        <v>44.673999999999999</v>
      </c>
      <c r="O1263" s="70">
        <v>44.673999999999999</v>
      </c>
      <c r="P1263" s="4">
        <v>0</v>
      </c>
      <c r="Q1263" s="3" t="s">
        <v>26</v>
      </c>
      <c r="R1263" s="3">
        <v>0</v>
      </c>
      <c r="S1263" s="4">
        <v>0</v>
      </c>
      <c r="T1263" s="4">
        <v>8</v>
      </c>
      <c r="U1263" s="4">
        <v>72</v>
      </c>
      <c r="V1263" s="70">
        <f>IF(ISERROR(VLOOKUP($S$1263,'TAR FIN'!$A$1:$O$99,15,0)),0,VLOOKUP($S$1263,'TAR FIN'!$A$1:$O$99,15,0))</f>
        <v>0</v>
      </c>
      <c r="W1263" s="70">
        <f>IF(ISERROR(VLOOKUP($T$1263,'TAR FIN'!$A$1:$O$99,15,0)),0,VLOOKUP($T$1263,'TAR FIN'!$A$1:$O$99,15,0))*(1-0.04)</f>
        <v>1495.4304</v>
      </c>
      <c r="X1263" s="70">
        <f>IF(ISERROR(VLOOKUP($U$1263,'TAR FIN'!$A$1:$O$99,15,0)),0,VLOOKUP($U$1263,'TAR FIN'!$A$1:$O$99,15,0))*(1-0.04)</f>
        <v>332.74560000000002</v>
      </c>
      <c r="Y1263" s="70"/>
      <c r="Z1263" s="70">
        <f ca="1">('TUSD BE'!$AM$22+'TUSD BF'!$AM$22+'TUSD CVA'!$AM$22)*1*(1-0.02)</f>
        <v>1763.14935965871</v>
      </c>
      <c r="AA1263" s="70">
        <f>('TE BE'!$AA$7+'TE BF'!$AA$7+'TE CVA'!$AA$7)*1*(1-0.02)</f>
        <v>415.4185945530557</v>
      </c>
      <c r="AB1263" s="4">
        <f>$K$1263*$V$1263</f>
        <v>0</v>
      </c>
      <c r="AC1263" s="4">
        <f>$M$1263*$W$1263</f>
        <v>66806.857689600001</v>
      </c>
      <c r="AD1263" s="4">
        <f>$O$1263*$X$1263</f>
        <v>14865.0769344</v>
      </c>
      <c r="AE1263" s="4">
        <f>$K$1263*$Y$1263</f>
        <v>0</v>
      </c>
      <c r="AF1263" s="4">
        <f ca="1">$M$1263*$Z$1263</f>
        <v>78766.934493393201</v>
      </c>
      <c r="AG1263" s="4">
        <f>$O$1263*$AA$1263</f>
        <v>18558.410293063211</v>
      </c>
    </row>
    <row r="1264" spans="1:33" ht="11.25" customHeight="1" x14ac:dyDescent="0.25">
      <c r="A1264" s="3" t="s">
        <v>56</v>
      </c>
      <c r="B1264" s="3" t="s">
        <v>33</v>
      </c>
      <c r="C1264" s="3" t="s">
        <v>34</v>
      </c>
      <c r="D1264" s="3" t="s">
        <v>45</v>
      </c>
      <c r="E1264" s="3" t="s">
        <v>25</v>
      </c>
      <c r="F1264" s="3" t="s">
        <v>25</v>
      </c>
      <c r="G1264" s="3" t="s">
        <v>25</v>
      </c>
      <c r="H1264" s="3" t="s">
        <v>35</v>
      </c>
      <c r="I1264" s="6">
        <v>44652</v>
      </c>
      <c r="J1264" s="4">
        <v>0</v>
      </c>
      <c r="K1264" s="70">
        <v>0</v>
      </c>
      <c r="L1264" s="4">
        <v>8.4009999999999998</v>
      </c>
      <c r="M1264" s="70">
        <v>8.4009999999999998</v>
      </c>
      <c r="N1264" s="4">
        <v>8.4009999999999998</v>
      </c>
      <c r="O1264" s="70">
        <v>8.4009999999999998</v>
      </c>
      <c r="P1264" s="4">
        <v>0</v>
      </c>
      <c r="Q1264" s="3" t="s">
        <v>26</v>
      </c>
      <c r="R1264" s="3">
        <v>0</v>
      </c>
      <c r="S1264" s="4">
        <v>0</v>
      </c>
      <c r="T1264" s="4">
        <v>8</v>
      </c>
      <c r="U1264" s="4">
        <v>72</v>
      </c>
      <c r="V1264" s="70">
        <f>IF(ISERROR(VLOOKUP($S$1264,'TAR FIN'!$A$1:$O$99,15,0)),0,VLOOKUP($S$1264,'TAR FIN'!$A$1:$O$99,15,0))</f>
        <v>0</v>
      </c>
      <c r="W1264" s="70">
        <f>IF(ISERROR(VLOOKUP($T$1264,'TAR FIN'!$A$1:$O$99,15,0)),0,VLOOKUP($T$1264,'TAR FIN'!$A$1:$O$99,15,0))*(1-0.04)</f>
        <v>1495.4304</v>
      </c>
      <c r="X1264" s="70">
        <f>IF(ISERROR(VLOOKUP($U$1264,'TAR FIN'!$A$1:$O$99,15,0)),0,VLOOKUP($U$1264,'TAR FIN'!$A$1:$O$99,15,0))*(1-0.04)</f>
        <v>332.74560000000002</v>
      </c>
      <c r="Y1264" s="70"/>
      <c r="Z1264" s="70">
        <f ca="1">('TUSD BE'!$AM$22+'TUSD BF'!$AM$22+'TUSD CVA'!$AM$22)*1*(1-0.02)</f>
        <v>1763.14935965871</v>
      </c>
      <c r="AA1264" s="70">
        <f>('TE BE'!$AA$7+'TE BF'!$AA$7+'TE CVA'!$AA$7)*1*(1-0.02)</f>
        <v>415.4185945530557</v>
      </c>
      <c r="AB1264" s="4">
        <f>$K$1264*$V$1264</f>
        <v>0</v>
      </c>
      <c r="AC1264" s="4">
        <f>$M$1264*$W$1264</f>
        <v>12563.1107904</v>
      </c>
      <c r="AD1264" s="4">
        <f>$O$1264*$X$1264</f>
        <v>2795.3957856000002</v>
      </c>
      <c r="AE1264" s="4">
        <f>$K$1264*$Y$1264</f>
        <v>0</v>
      </c>
      <c r="AF1264" s="4">
        <f ca="1">$M$1264*$Z$1264</f>
        <v>14812.217770492822</v>
      </c>
      <c r="AG1264" s="4">
        <f>$O$1264*$AA$1264</f>
        <v>3489.9316128402206</v>
      </c>
    </row>
    <row r="1265" spans="1:33" ht="11.25" customHeight="1" x14ac:dyDescent="0.25">
      <c r="A1265" s="3" t="s">
        <v>21</v>
      </c>
      <c r="B1265" s="3" t="s">
        <v>33</v>
      </c>
      <c r="C1265" s="3" t="s">
        <v>34</v>
      </c>
      <c r="D1265" s="3" t="s">
        <v>50</v>
      </c>
      <c r="E1265" s="3" t="s">
        <v>51</v>
      </c>
      <c r="F1265" s="3" t="s">
        <v>25</v>
      </c>
      <c r="G1265" s="3" t="s">
        <v>25</v>
      </c>
      <c r="H1265" s="3" t="s">
        <v>36</v>
      </c>
      <c r="I1265" s="6">
        <v>44317</v>
      </c>
      <c r="J1265" s="4">
        <v>0</v>
      </c>
      <c r="K1265" s="70">
        <v>0</v>
      </c>
      <c r="L1265" s="4">
        <v>4641.6940000000004</v>
      </c>
      <c r="M1265" s="70">
        <v>4641.6940000000004</v>
      </c>
      <c r="N1265" s="4">
        <v>4641.6940000000004</v>
      </c>
      <c r="O1265" s="70">
        <v>4641.6940000000004</v>
      </c>
      <c r="P1265" s="4">
        <v>0</v>
      </c>
      <c r="Q1265" s="3" t="s">
        <v>26</v>
      </c>
      <c r="R1265" s="3">
        <v>0</v>
      </c>
      <c r="S1265" s="4">
        <v>0</v>
      </c>
      <c r="T1265" s="4">
        <v>29</v>
      </c>
      <c r="U1265" s="4">
        <v>73</v>
      </c>
      <c r="V1265" s="70">
        <f>IF(ISERROR(VLOOKUP($S$1265,'TAR FIN'!$A$1:$O$99,15,0)),0,VLOOKUP($S$1265,'TAR FIN'!$A$1:$O$99,15,0))</f>
        <v>0</v>
      </c>
      <c r="W1265" s="70">
        <f>IF(ISERROR(VLOOKUP($T$1265,'TAR FIN'!$A$1:$O$99,15,0)),0,VLOOKUP($T$1265,'TAR FIN'!$A$1:$O$99,15,0))*(1-0.06)</f>
        <v>91.753399999999999</v>
      </c>
      <c r="X1265" s="70">
        <f>IF(ISERROR(VLOOKUP($U$1265,'TAR FIN'!$A$1:$O$99,15,0)),0,VLOOKUP($U$1265,'TAR FIN'!$A$1:$O$99,15,0))*(1-0.06)</f>
        <v>206.77179999999998</v>
      </c>
      <c r="Y1265" s="70"/>
      <c r="Z1265" s="70">
        <f ca="1">('TUSD BE'!$AM$23+'TUSD BF'!$AM$23+'TUSD CVA'!$AM$23)*1*(1-0.03)</f>
        <v>114.0634109344435</v>
      </c>
      <c r="AA1265" s="70">
        <f>('TE BE'!$AA$8+'TE BF'!$AA$8+'TE CVA'!$AA$8)*1*(1-0.03)</f>
        <v>263.00493660044975</v>
      </c>
      <c r="AB1265" s="4">
        <f>$K$1265*$V$1265</f>
        <v>0</v>
      </c>
      <c r="AC1265" s="4">
        <f>$M$1265*$W$1265</f>
        <v>425891.20625960006</v>
      </c>
      <c r="AD1265" s="4">
        <f>$O$1265*$X$1265</f>
        <v>959771.42342919996</v>
      </c>
      <c r="AE1265" s="4">
        <f>$K$1265*$Y$1265</f>
        <v>0</v>
      </c>
      <c r="AF1265" s="4">
        <f ca="1">$M$1265*$Z$1265</f>
        <v>529447.45015394082</v>
      </c>
      <c r="AG1265" s="4">
        <f>$O$1265*$AA$1265</f>
        <v>1220788.436188688</v>
      </c>
    </row>
    <row r="1266" spans="1:33" ht="11.25" customHeight="1" x14ac:dyDescent="0.25">
      <c r="A1266" s="3" t="s">
        <v>21</v>
      </c>
      <c r="B1266" s="3" t="s">
        <v>33</v>
      </c>
      <c r="C1266" s="3" t="s">
        <v>34</v>
      </c>
      <c r="D1266" s="3" t="s">
        <v>50</v>
      </c>
      <c r="E1266" s="3" t="s">
        <v>51</v>
      </c>
      <c r="F1266" s="3" t="s">
        <v>25</v>
      </c>
      <c r="G1266" s="3" t="s">
        <v>25</v>
      </c>
      <c r="H1266" s="3" t="s">
        <v>36</v>
      </c>
      <c r="I1266" s="6">
        <v>44348</v>
      </c>
      <c r="J1266" s="4">
        <v>0</v>
      </c>
      <c r="K1266" s="70">
        <v>0</v>
      </c>
      <c r="L1266" s="4">
        <v>4329.7560000000003</v>
      </c>
      <c r="M1266" s="70">
        <v>4329.7560000000003</v>
      </c>
      <c r="N1266" s="4">
        <v>4329.7560000000003</v>
      </c>
      <c r="O1266" s="70">
        <v>4329.7560000000003</v>
      </c>
      <c r="P1266" s="4">
        <v>0</v>
      </c>
      <c r="Q1266" s="3" t="s">
        <v>26</v>
      </c>
      <c r="R1266" s="3">
        <v>0</v>
      </c>
      <c r="S1266" s="4">
        <v>0</v>
      </c>
      <c r="T1266" s="4">
        <v>29</v>
      </c>
      <c r="U1266" s="4">
        <v>73</v>
      </c>
      <c r="V1266" s="70">
        <f>IF(ISERROR(VLOOKUP($S$1266,'TAR FIN'!$A$1:$O$99,15,0)),0,VLOOKUP($S$1266,'TAR FIN'!$A$1:$O$99,15,0))</f>
        <v>0</v>
      </c>
      <c r="W1266" s="70">
        <f>IF(ISERROR(VLOOKUP($T$1266,'TAR FIN'!$A$1:$O$99,15,0)),0,VLOOKUP($T$1266,'TAR FIN'!$A$1:$O$99,15,0))*(1-0.06)</f>
        <v>91.753399999999999</v>
      </c>
      <c r="X1266" s="70">
        <f>IF(ISERROR(VLOOKUP($U$1266,'TAR FIN'!$A$1:$O$99,15,0)),0,VLOOKUP($U$1266,'TAR FIN'!$A$1:$O$99,15,0))*(1-0.06)</f>
        <v>206.77179999999998</v>
      </c>
      <c r="Y1266" s="70"/>
      <c r="Z1266" s="70">
        <f ca="1">('TUSD BE'!$AM$23+'TUSD BF'!$AM$23+'TUSD CVA'!$AM$23)*1*(1-0.03)</f>
        <v>114.0634109344435</v>
      </c>
      <c r="AA1266" s="70">
        <f>('TE BE'!$AA$8+'TE BF'!$AA$8+'TE CVA'!$AA$8)*1*(1-0.03)</f>
        <v>263.00493660044975</v>
      </c>
      <c r="AB1266" s="4">
        <f>$K$1266*$V$1266</f>
        <v>0</v>
      </c>
      <c r="AC1266" s="4">
        <f>$M$1266*$W$1266</f>
        <v>397269.83417040005</v>
      </c>
      <c r="AD1266" s="4">
        <f>$O$1266*$X$1266</f>
        <v>895271.44168080005</v>
      </c>
      <c r="AE1266" s="4">
        <f>$K$1266*$Y$1266</f>
        <v>0</v>
      </c>
      <c r="AF1266" s="4">
        <f ca="1">$M$1266*$Z$1266</f>
        <v>493866.73787387239</v>
      </c>
      <c r="AG1266" s="4">
        <f>$O$1266*$AA$1266</f>
        <v>1138747.202275417</v>
      </c>
    </row>
    <row r="1267" spans="1:33" ht="11.25" customHeight="1" x14ac:dyDescent="0.25">
      <c r="A1267" s="3" t="s">
        <v>28</v>
      </c>
      <c r="B1267" s="3" t="s">
        <v>33</v>
      </c>
      <c r="C1267" s="3" t="s">
        <v>34</v>
      </c>
      <c r="D1267" s="3" t="s">
        <v>50</v>
      </c>
      <c r="E1267" s="3" t="s">
        <v>51</v>
      </c>
      <c r="F1267" s="3" t="s">
        <v>25</v>
      </c>
      <c r="G1267" s="3" t="s">
        <v>25</v>
      </c>
      <c r="H1267" s="3" t="s">
        <v>36</v>
      </c>
      <c r="I1267" s="6">
        <v>44348</v>
      </c>
      <c r="J1267" s="4">
        <v>0</v>
      </c>
      <c r="K1267" s="70">
        <v>0</v>
      </c>
      <c r="L1267" s="4">
        <v>16.446999999999999</v>
      </c>
      <c r="M1267" s="70">
        <v>16.446999999999999</v>
      </c>
      <c r="N1267" s="4">
        <v>16.446999999999999</v>
      </c>
      <c r="O1267" s="70">
        <v>16.446999999999999</v>
      </c>
      <c r="P1267" s="4">
        <v>0</v>
      </c>
      <c r="Q1267" s="3" t="s">
        <v>26</v>
      </c>
      <c r="R1267" s="3">
        <v>0</v>
      </c>
      <c r="S1267" s="4">
        <v>0</v>
      </c>
      <c r="T1267" s="4">
        <v>29</v>
      </c>
      <c r="U1267" s="4">
        <v>73</v>
      </c>
      <c r="V1267" s="70">
        <f>IF(ISERROR(VLOOKUP($S$1267,'TAR FIN'!$A$1:$O$99,15,0)),0,VLOOKUP($S$1267,'TAR FIN'!$A$1:$O$99,15,0))</f>
        <v>0</v>
      </c>
      <c r="W1267" s="70">
        <f>IF(ISERROR(VLOOKUP($T$1267,'TAR FIN'!$A$1:$O$99,15,0)),0,VLOOKUP($T$1267,'TAR FIN'!$A$1:$O$99,15,0))*(1-0.06)</f>
        <v>91.753399999999999</v>
      </c>
      <c r="X1267" s="70">
        <f>IF(ISERROR(VLOOKUP($U$1267,'TAR FIN'!$A$1:$O$99,15,0)),0,VLOOKUP($U$1267,'TAR FIN'!$A$1:$O$99,15,0))*(1-0.06)</f>
        <v>206.77179999999998</v>
      </c>
      <c r="Y1267" s="70"/>
      <c r="Z1267" s="70">
        <f ca="1">('TUSD BE'!$AM$23+'TUSD BF'!$AM$23+'TUSD CVA'!$AM$23)*1*(1-0.03)</f>
        <v>114.0634109344435</v>
      </c>
      <c r="AA1267" s="70">
        <f>('TE BE'!$AA$8+'TE BF'!$AA$8+'TE CVA'!$AA$8)*1*(1-0.03)</f>
        <v>263.00493660044975</v>
      </c>
      <c r="AB1267" s="4">
        <f>$K$1267*$V$1267</f>
        <v>0</v>
      </c>
      <c r="AC1267" s="4">
        <f>$M$1267*$W$1267</f>
        <v>1509.0681697999999</v>
      </c>
      <c r="AD1267" s="4">
        <f>$O$1267*$X$1267</f>
        <v>3400.7757945999997</v>
      </c>
      <c r="AE1267" s="4">
        <f>$K$1267*$Y$1267</f>
        <v>0</v>
      </c>
      <c r="AF1267" s="4">
        <f ca="1">$M$1267*$Z$1267</f>
        <v>1876.0009196387921</v>
      </c>
      <c r="AG1267" s="4">
        <f>$O$1267*$AA$1267</f>
        <v>4325.6421922675972</v>
      </c>
    </row>
    <row r="1268" spans="1:33" ht="11.25" customHeight="1" x14ac:dyDescent="0.25">
      <c r="A1268" s="3" t="s">
        <v>21</v>
      </c>
      <c r="B1268" s="3" t="s">
        <v>33</v>
      </c>
      <c r="C1268" s="3" t="s">
        <v>34</v>
      </c>
      <c r="D1268" s="3" t="s">
        <v>50</v>
      </c>
      <c r="E1268" s="3" t="s">
        <v>51</v>
      </c>
      <c r="F1268" s="3" t="s">
        <v>25</v>
      </c>
      <c r="G1268" s="3" t="s">
        <v>25</v>
      </c>
      <c r="H1268" s="3" t="s">
        <v>36</v>
      </c>
      <c r="I1268" s="6">
        <v>44378</v>
      </c>
      <c r="J1268" s="4">
        <v>0</v>
      </c>
      <c r="K1268" s="70">
        <v>0</v>
      </c>
      <c r="L1268" s="4">
        <v>4514.2030000000004</v>
      </c>
      <c r="M1268" s="70">
        <v>4514.2030000000004</v>
      </c>
      <c r="N1268" s="4">
        <v>4514.2030000000004</v>
      </c>
      <c r="O1268" s="70">
        <v>4514.2030000000004</v>
      </c>
      <c r="P1268" s="4">
        <v>0</v>
      </c>
      <c r="Q1268" s="3" t="s">
        <v>26</v>
      </c>
      <c r="R1268" s="3">
        <v>0</v>
      </c>
      <c r="S1268" s="4">
        <v>0</v>
      </c>
      <c r="T1268" s="4">
        <v>29</v>
      </c>
      <c r="U1268" s="4">
        <v>73</v>
      </c>
      <c r="V1268" s="70">
        <f>IF(ISERROR(VLOOKUP($S$1268,'TAR FIN'!$A$1:$O$99,15,0)),0,VLOOKUP($S$1268,'TAR FIN'!$A$1:$O$99,15,0))</f>
        <v>0</v>
      </c>
      <c r="W1268" s="70">
        <f>IF(ISERROR(VLOOKUP($T$1268,'TAR FIN'!$A$1:$O$99,15,0)),0,VLOOKUP($T$1268,'TAR FIN'!$A$1:$O$99,15,0))*(1-0.06)</f>
        <v>91.753399999999999</v>
      </c>
      <c r="X1268" s="70">
        <f>IF(ISERROR(VLOOKUP($U$1268,'TAR FIN'!$A$1:$O$99,15,0)),0,VLOOKUP($U$1268,'TAR FIN'!$A$1:$O$99,15,0))*(1-0.06)</f>
        <v>206.77179999999998</v>
      </c>
      <c r="Y1268" s="70"/>
      <c r="Z1268" s="70">
        <f ca="1">('TUSD BE'!$AM$23+'TUSD BF'!$AM$23+'TUSD CVA'!$AM$23)*1*(1-0.03)</f>
        <v>114.0634109344435</v>
      </c>
      <c r="AA1268" s="70">
        <f>('TE BE'!$AA$8+'TE BF'!$AA$8+'TE CVA'!$AA$8)*1*(1-0.03)</f>
        <v>263.00493660044975</v>
      </c>
      <c r="AB1268" s="4">
        <f>$K$1268*$V$1268</f>
        <v>0</v>
      </c>
      <c r="AC1268" s="4">
        <f>$M$1268*$W$1268</f>
        <v>414193.47354020004</v>
      </c>
      <c r="AD1268" s="4">
        <f>$O$1268*$X$1268</f>
        <v>933409.87987539999</v>
      </c>
      <c r="AE1268" s="4">
        <f>$K$1268*$Y$1268</f>
        <v>0</v>
      </c>
      <c r="AF1268" s="4">
        <f ca="1">$M$1268*$Z$1268</f>
        <v>514905.39183049765</v>
      </c>
      <c r="AG1268" s="4">
        <f>$O$1268*$AA$1268</f>
        <v>1187257.6738165603</v>
      </c>
    </row>
    <row r="1269" spans="1:33" ht="11.25" customHeight="1" x14ac:dyDescent="0.25">
      <c r="A1269" s="3" t="s">
        <v>28</v>
      </c>
      <c r="B1269" s="3" t="s">
        <v>33</v>
      </c>
      <c r="C1269" s="3" t="s">
        <v>34</v>
      </c>
      <c r="D1269" s="3" t="s">
        <v>50</v>
      </c>
      <c r="E1269" s="3" t="s">
        <v>51</v>
      </c>
      <c r="F1269" s="3" t="s">
        <v>25</v>
      </c>
      <c r="G1269" s="3" t="s">
        <v>25</v>
      </c>
      <c r="H1269" s="3" t="s">
        <v>36</v>
      </c>
      <c r="I1269" s="6">
        <v>44378</v>
      </c>
      <c r="J1269" s="4">
        <v>0</v>
      </c>
      <c r="K1269" s="70">
        <v>0</v>
      </c>
      <c r="L1269" s="4">
        <v>16.873000000000001</v>
      </c>
      <c r="M1269" s="70">
        <v>16.873000000000001</v>
      </c>
      <c r="N1269" s="4">
        <v>16.873000000000001</v>
      </c>
      <c r="O1269" s="70">
        <v>16.873000000000001</v>
      </c>
      <c r="P1269" s="4">
        <v>0</v>
      </c>
      <c r="Q1269" s="3" t="s">
        <v>26</v>
      </c>
      <c r="R1269" s="3">
        <v>0</v>
      </c>
      <c r="S1269" s="4">
        <v>0</v>
      </c>
      <c r="T1269" s="4">
        <v>29</v>
      </c>
      <c r="U1269" s="4">
        <v>73</v>
      </c>
      <c r="V1269" s="70">
        <f>IF(ISERROR(VLOOKUP($S$1269,'TAR FIN'!$A$1:$O$99,15,0)),0,VLOOKUP($S$1269,'TAR FIN'!$A$1:$O$99,15,0))</f>
        <v>0</v>
      </c>
      <c r="W1269" s="70">
        <f>IF(ISERROR(VLOOKUP($T$1269,'TAR FIN'!$A$1:$O$99,15,0)),0,VLOOKUP($T$1269,'TAR FIN'!$A$1:$O$99,15,0))*(1-0.06)</f>
        <v>91.753399999999999</v>
      </c>
      <c r="X1269" s="70">
        <f>IF(ISERROR(VLOOKUP($U$1269,'TAR FIN'!$A$1:$O$99,15,0)),0,VLOOKUP($U$1269,'TAR FIN'!$A$1:$O$99,15,0))*(1-0.06)</f>
        <v>206.77179999999998</v>
      </c>
      <c r="Y1269" s="70"/>
      <c r="Z1269" s="70">
        <f ca="1">('TUSD BE'!$AM$23+'TUSD BF'!$AM$23+'TUSD CVA'!$AM$23)*1*(1-0.03)</f>
        <v>114.0634109344435</v>
      </c>
      <c r="AA1269" s="70">
        <f>('TE BE'!$AA$8+'TE BF'!$AA$8+'TE CVA'!$AA$8)*1*(1-0.03)</f>
        <v>263.00493660044975</v>
      </c>
      <c r="AB1269" s="4">
        <f>$K$1269*$V$1269</f>
        <v>0</v>
      </c>
      <c r="AC1269" s="4">
        <f>$M$1269*$W$1269</f>
        <v>1548.1551182000001</v>
      </c>
      <c r="AD1269" s="4">
        <f>$O$1269*$X$1269</f>
        <v>3488.8605813999998</v>
      </c>
      <c r="AE1269" s="4">
        <f>$K$1269*$Y$1269</f>
        <v>0</v>
      </c>
      <c r="AF1269" s="4">
        <f ca="1">$M$1269*$Z$1269</f>
        <v>1924.5919326968653</v>
      </c>
      <c r="AG1269" s="4">
        <f>$O$1269*$AA$1269</f>
        <v>4437.6822952593893</v>
      </c>
    </row>
    <row r="1270" spans="1:33" ht="11.25" customHeight="1" x14ac:dyDescent="0.25">
      <c r="A1270" s="3" t="s">
        <v>21</v>
      </c>
      <c r="B1270" s="3" t="s">
        <v>33</v>
      </c>
      <c r="C1270" s="3" t="s">
        <v>34</v>
      </c>
      <c r="D1270" s="3" t="s">
        <v>50</v>
      </c>
      <c r="E1270" s="3" t="s">
        <v>51</v>
      </c>
      <c r="F1270" s="3" t="s">
        <v>25</v>
      </c>
      <c r="G1270" s="3" t="s">
        <v>25</v>
      </c>
      <c r="H1270" s="3" t="s">
        <v>36</v>
      </c>
      <c r="I1270" s="6">
        <v>44409</v>
      </c>
      <c r="J1270" s="4">
        <v>0</v>
      </c>
      <c r="K1270" s="70">
        <v>0</v>
      </c>
      <c r="L1270" s="4">
        <v>4537.826</v>
      </c>
      <c r="M1270" s="70">
        <v>4537.826</v>
      </c>
      <c r="N1270" s="4">
        <v>4537.826</v>
      </c>
      <c r="O1270" s="70">
        <v>4537.826</v>
      </c>
      <c r="P1270" s="4">
        <v>0</v>
      </c>
      <c r="Q1270" s="3" t="s">
        <v>26</v>
      </c>
      <c r="R1270" s="3">
        <v>0</v>
      </c>
      <c r="S1270" s="4">
        <v>0</v>
      </c>
      <c r="T1270" s="4">
        <v>29</v>
      </c>
      <c r="U1270" s="4">
        <v>73</v>
      </c>
      <c r="V1270" s="70">
        <f>IF(ISERROR(VLOOKUP($S$1270,'TAR FIN'!$A$1:$O$99,15,0)),0,VLOOKUP($S$1270,'TAR FIN'!$A$1:$O$99,15,0))</f>
        <v>0</v>
      </c>
      <c r="W1270" s="70">
        <f>IF(ISERROR(VLOOKUP($T$1270,'TAR FIN'!$A$1:$O$99,15,0)),0,VLOOKUP($T$1270,'TAR FIN'!$A$1:$O$99,15,0))*(1-0.06)</f>
        <v>91.753399999999999</v>
      </c>
      <c r="X1270" s="70">
        <f>IF(ISERROR(VLOOKUP($U$1270,'TAR FIN'!$A$1:$O$99,15,0)),0,VLOOKUP($U$1270,'TAR FIN'!$A$1:$O$99,15,0))*(1-0.06)</f>
        <v>206.77179999999998</v>
      </c>
      <c r="Y1270" s="70"/>
      <c r="Z1270" s="70">
        <f ca="1">('TUSD BE'!$AM$23+'TUSD BF'!$AM$23+'TUSD CVA'!$AM$23)*1*(1-0.03)</f>
        <v>114.0634109344435</v>
      </c>
      <c r="AA1270" s="70">
        <f>('TE BE'!$AA$8+'TE BF'!$AA$8+'TE CVA'!$AA$8)*1*(1-0.03)</f>
        <v>263.00493660044975</v>
      </c>
      <c r="AB1270" s="4">
        <f>$K$1270*$V$1270</f>
        <v>0</v>
      </c>
      <c r="AC1270" s="4">
        <f>$M$1270*$W$1270</f>
        <v>416360.96410839999</v>
      </c>
      <c r="AD1270" s="4">
        <f>$O$1270*$X$1270</f>
        <v>938294.45010679995</v>
      </c>
      <c r="AE1270" s="4">
        <f>$K$1270*$Y$1270</f>
        <v>0</v>
      </c>
      <c r="AF1270" s="4">
        <f ca="1">$M$1270*$Z$1270</f>
        <v>517599.911787002</v>
      </c>
      <c r="AG1270" s="4">
        <f>$O$1270*$AA$1270</f>
        <v>1193470.6394338724</v>
      </c>
    </row>
    <row r="1271" spans="1:33" ht="11.25" customHeight="1" x14ac:dyDescent="0.25">
      <c r="A1271" s="3" t="s">
        <v>28</v>
      </c>
      <c r="B1271" s="3" t="s">
        <v>33</v>
      </c>
      <c r="C1271" s="3" t="s">
        <v>34</v>
      </c>
      <c r="D1271" s="3" t="s">
        <v>50</v>
      </c>
      <c r="E1271" s="3" t="s">
        <v>51</v>
      </c>
      <c r="F1271" s="3" t="s">
        <v>25</v>
      </c>
      <c r="G1271" s="3" t="s">
        <v>25</v>
      </c>
      <c r="H1271" s="3" t="s">
        <v>36</v>
      </c>
      <c r="I1271" s="6">
        <v>44409</v>
      </c>
      <c r="J1271" s="4">
        <v>0</v>
      </c>
      <c r="K1271" s="70">
        <v>0</v>
      </c>
      <c r="L1271" s="4">
        <v>18.643999999999998</v>
      </c>
      <c r="M1271" s="70">
        <v>18.643999999999998</v>
      </c>
      <c r="N1271" s="4">
        <v>18.643999999999998</v>
      </c>
      <c r="O1271" s="70">
        <v>18.643999999999998</v>
      </c>
      <c r="P1271" s="4">
        <v>0</v>
      </c>
      <c r="Q1271" s="3" t="s">
        <v>26</v>
      </c>
      <c r="R1271" s="3">
        <v>0</v>
      </c>
      <c r="S1271" s="4">
        <v>0</v>
      </c>
      <c r="T1271" s="4">
        <v>29</v>
      </c>
      <c r="U1271" s="4">
        <v>73</v>
      </c>
      <c r="V1271" s="70">
        <f>IF(ISERROR(VLOOKUP($S$1271,'TAR FIN'!$A$1:$O$99,15,0)),0,VLOOKUP($S$1271,'TAR FIN'!$A$1:$O$99,15,0))</f>
        <v>0</v>
      </c>
      <c r="W1271" s="70">
        <f>IF(ISERROR(VLOOKUP($T$1271,'TAR FIN'!$A$1:$O$99,15,0)),0,VLOOKUP($T$1271,'TAR FIN'!$A$1:$O$99,15,0))*(1-0.06)</f>
        <v>91.753399999999999</v>
      </c>
      <c r="X1271" s="70">
        <f>IF(ISERROR(VLOOKUP($U$1271,'TAR FIN'!$A$1:$O$99,15,0)),0,VLOOKUP($U$1271,'TAR FIN'!$A$1:$O$99,15,0))*(1-0.06)</f>
        <v>206.77179999999998</v>
      </c>
      <c r="Y1271" s="70"/>
      <c r="Z1271" s="70">
        <f ca="1">('TUSD BE'!$AM$23+'TUSD BF'!$AM$23+'TUSD CVA'!$AM$23)*1*(1-0.03)</f>
        <v>114.0634109344435</v>
      </c>
      <c r="AA1271" s="70">
        <f>('TE BE'!$AA$8+'TE BF'!$AA$8+'TE CVA'!$AA$8)*1*(1-0.03)</f>
        <v>263.00493660044975</v>
      </c>
      <c r="AB1271" s="4">
        <f>$K$1271*$V$1271</f>
        <v>0</v>
      </c>
      <c r="AC1271" s="4">
        <f>$M$1271*$W$1271</f>
        <v>1710.6503895999999</v>
      </c>
      <c r="AD1271" s="4">
        <f>$O$1271*$X$1271</f>
        <v>3855.0534391999995</v>
      </c>
      <c r="AE1271" s="4">
        <f>$K$1271*$Y$1271</f>
        <v>0</v>
      </c>
      <c r="AF1271" s="4">
        <f ca="1">$M$1271*$Z$1271</f>
        <v>2126.5982334617643</v>
      </c>
      <c r="AG1271" s="4">
        <f>$O$1271*$AA$1271</f>
        <v>4903.4640379787852</v>
      </c>
    </row>
    <row r="1272" spans="1:33" ht="11.25" customHeight="1" x14ac:dyDescent="0.25">
      <c r="A1272" s="3" t="s">
        <v>21</v>
      </c>
      <c r="B1272" s="3" t="s">
        <v>33</v>
      </c>
      <c r="C1272" s="3" t="s">
        <v>34</v>
      </c>
      <c r="D1272" s="3" t="s">
        <v>50</v>
      </c>
      <c r="E1272" s="3" t="s">
        <v>51</v>
      </c>
      <c r="F1272" s="3" t="s">
        <v>25</v>
      </c>
      <c r="G1272" s="3" t="s">
        <v>25</v>
      </c>
      <c r="H1272" s="3" t="s">
        <v>36</v>
      </c>
      <c r="I1272" s="6">
        <v>44440</v>
      </c>
      <c r="J1272" s="4">
        <v>0</v>
      </c>
      <c r="K1272" s="70">
        <v>0</v>
      </c>
      <c r="L1272" s="4">
        <v>4334.0870000000004</v>
      </c>
      <c r="M1272" s="70">
        <v>4334.0870000000004</v>
      </c>
      <c r="N1272" s="4">
        <v>4334.0870000000004</v>
      </c>
      <c r="O1272" s="70">
        <v>4334.0870000000004</v>
      </c>
      <c r="P1272" s="4">
        <v>0</v>
      </c>
      <c r="Q1272" s="3" t="s">
        <v>26</v>
      </c>
      <c r="R1272" s="3">
        <v>0</v>
      </c>
      <c r="S1272" s="4">
        <v>0</v>
      </c>
      <c r="T1272" s="4">
        <v>29</v>
      </c>
      <c r="U1272" s="4">
        <v>73</v>
      </c>
      <c r="V1272" s="70">
        <f>IF(ISERROR(VLOOKUP($S$1272,'TAR FIN'!$A$1:$O$99,15,0)),0,VLOOKUP($S$1272,'TAR FIN'!$A$1:$O$99,15,0))</f>
        <v>0</v>
      </c>
      <c r="W1272" s="70">
        <f>IF(ISERROR(VLOOKUP($T$1272,'TAR FIN'!$A$1:$O$99,15,0)),0,VLOOKUP($T$1272,'TAR FIN'!$A$1:$O$99,15,0))*(1-0.06)</f>
        <v>91.753399999999999</v>
      </c>
      <c r="X1272" s="70">
        <f>IF(ISERROR(VLOOKUP($U$1272,'TAR FIN'!$A$1:$O$99,15,0)),0,VLOOKUP($U$1272,'TAR FIN'!$A$1:$O$99,15,0))*(1-0.06)</f>
        <v>206.77179999999998</v>
      </c>
      <c r="Y1272" s="70"/>
      <c r="Z1272" s="70">
        <f ca="1">('TUSD BE'!$AM$23+'TUSD BF'!$AM$23+'TUSD CVA'!$AM$23)*1*(1-0.03)</f>
        <v>114.0634109344435</v>
      </c>
      <c r="AA1272" s="70">
        <f>('TE BE'!$AA$8+'TE BF'!$AA$8+'TE CVA'!$AA$8)*1*(1-0.03)</f>
        <v>263.00493660044975</v>
      </c>
      <c r="AB1272" s="4">
        <f>$K$1272*$V$1272</f>
        <v>0</v>
      </c>
      <c r="AC1272" s="4">
        <f>$M$1272*$W$1272</f>
        <v>397667.21814580006</v>
      </c>
      <c r="AD1272" s="4">
        <f>$O$1272*$X$1272</f>
        <v>896166.97034660005</v>
      </c>
      <c r="AE1272" s="4">
        <f>$K$1272*$Y$1272</f>
        <v>0</v>
      </c>
      <c r="AF1272" s="4">
        <f ca="1">$M$1272*$Z$1272</f>
        <v>494360.74650662945</v>
      </c>
      <c r="AG1272" s="4">
        <f>$O$1272*$AA$1272</f>
        <v>1139886.2766558335</v>
      </c>
    </row>
    <row r="1273" spans="1:33" ht="11.25" customHeight="1" x14ac:dyDescent="0.25">
      <c r="A1273" s="3" t="s">
        <v>28</v>
      </c>
      <c r="B1273" s="3" t="s">
        <v>33</v>
      </c>
      <c r="C1273" s="3" t="s">
        <v>34</v>
      </c>
      <c r="D1273" s="3" t="s">
        <v>50</v>
      </c>
      <c r="E1273" s="3" t="s">
        <v>51</v>
      </c>
      <c r="F1273" s="3" t="s">
        <v>25</v>
      </c>
      <c r="G1273" s="3" t="s">
        <v>25</v>
      </c>
      <c r="H1273" s="3" t="s">
        <v>36</v>
      </c>
      <c r="I1273" s="6">
        <v>44440</v>
      </c>
      <c r="J1273" s="4">
        <v>0</v>
      </c>
      <c r="K1273" s="70">
        <v>0</v>
      </c>
      <c r="L1273" s="4">
        <v>17.384</v>
      </c>
      <c r="M1273" s="70">
        <v>17.384</v>
      </c>
      <c r="N1273" s="4">
        <v>17.384</v>
      </c>
      <c r="O1273" s="70">
        <v>17.384</v>
      </c>
      <c r="P1273" s="4">
        <v>0</v>
      </c>
      <c r="Q1273" s="3" t="s">
        <v>26</v>
      </c>
      <c r="R1273" s="3">
        <v>0</v>
      </c>
      <c r="S1273" s="4">
        <v>0</v>
      </c>
      <c r="T1273" s="4">
        <v>29</v>
      </c>
      <c r="U1273" s="4">
        <v>73</v>
      </c>
      <c r="V1273" s="70">
        <f>IF(ISERROR(VLOOKUP($S$1273,'TAR FIN'!$A$1:$O$99,15,0)),0,VLOOKUP($S$1273,'TAR FIN'!$A$1:$O$99,15,0))</f>
        <v>0</v>
      </c>
      <c r="W1273" s="70">
        <f>IF(ISERROR(VLOOKUP($T$1273,'TAR FIN'!$A$1:$O$99,15,0)),0,VLOOKUP($T$1273,'TAR FIN'!$A$1:$O$99,15,0))*(1-0.06)</f>
        <v>91.753399999999999</v>
      </c>
      <c r="X1273" s="70">
        <f>IF(ISERROR(VLOOKUP($U$1273,'TAR FIN'!$A$1:$O$99,15,0)),0,VLOOKUP($U$1273,'TAR FIN'!$A$1:$O$99,15,0))*(1-0.06)</f>
        <v>206.77179999999998</v>
      </c>
      <c r="Y1273" s="70"/>
      <c r="Z1273" s="70">
        <f ca="1">('TUSD BE'!$AM$23+'TUSD BF'!$AM$23+'TUSD CVA'!$AM$23)*1*(1-0.03)</f>
        <v>114.0634109344435</v>
      </c>
      <c r="AA1273" s="70">
        <f>('TE BE'!$AA$8+'TE BF'!$AA$8+'TE CVA'!$AA$8)*1*(1-0.03)</f>
        <v>263.00493660044975</v>
      </c>
      <c r="AB1273" s="4">
        <f>$K$1273*$V$1273</f>
        <v>0</v>
      </c>
      <c r="AC1273" s="4">
        <f>$M$1273*$W$1273</f>
        <v>1595.0411056</v>
      </c>
      <c r="AD1273" s="4">
        <f>$O$1273*$X$1273</f>
        <v>3594.5209711999996</v>
      </c>
      <c r="AE1273" s="4">
        <f>$K$1273*$Y$1273</f>
        <v>0</v>
      </c>
      <c r="AF1273" s="4">
        <f ca="1">$M$1273*$Z$1273</f>
        <v>1982.8783356843658</v>
      </c>
      <c r="AG1273" s="4">
        <f>$O$1273*$AA$1273</f>
        <v>4572.0778178622186</v>
      </c>
    </row>
    <row r="1274" spans="1:33" ht="11.25" customHeight="1" x14ac:dyDescent="0.25">
      <c r="A1274" s="3" t="s">
        <v>21</v>
      </c>
      <c r="B1274" s="3" t="s">
        <v>33</v>
      </c>
      <c r="C1274" s="3" t="s">
        <v>34</v>
      </c>
      <c r="D1274" s="3" t="s">
        <v>50</v>
      </c>
      <c r="E1274" s="3" t="s">
        <v>51</v>
      </c>
      <c r="F1274" s="3" t="s">
        <v>25</v>
      </c>
      <c r="G1274" s="3" t="s">
        <v>25</v>
      </c>
      <c r="H1274" s="3" t="s">
        <v>36</v>
      </c>
      <c r="I1274" s="6">
        <v>44470</v>
      </c>
      <c r="J1274" s="4">
        <v>0</v>
      </c>
      <c r="K1274" s="70">
        <v>0</v>
      </c>
      <c r="L1274" s="4">
        <v>4657.0370000000003</v>
      </c>
      <c r="M1274" s="70">
        <v>4657.0370000000003</v>
      </c>
      <c r="N1274" s="4">
        <v>4657.0370000000003</v>
      </c>
      <c r="O1274" s="70">
        <v>4657.0370000000003</v>
      </c>
      <c r="P1274" s="4">
        <v>0</v>
      </c>
      <c r="Q1274" s="3" t="s">
        <v>26</v>
      </c>
      <c r="R1274" s="3">
        <v>0</v>
      </c>
      <c r="S1274" s="4">
        <v>0</v>
      </c>
      <c r="T1274" s="4">
        <v>29</v>
      </c>
      <c r="U1274" s="4">
        <v>73</v>
      </c>
      <c r="V1274" s="70">
        <f>IF(ISERROR(VLOOKUP($S$1274,'TAR FIN'!$A$1:$O$99,15,0)),0,VLOOKUP($S$1274,'TAR FIN'!$A$1:$O$99,15,0))</f>
        <v>0</v>
      </c>
      <c r="W1274" s="70">
        <f>IF(ISERROR(VLOOKUP($T$1274,'TAR FIN'!$A$1:$O$99,15,0)),0,VLOOKUP($T$1274,'TAR FIN'!$A$1:$O$99,15,0))*(1-0.06)</f>
        <v>91.753399999999999</v>
      </c>
      <c r="X1274" s="70">
        <f>IF(ISERROR(VLOOKUP($U$1274,'TAR FIN'!$A$1:$O$99,15,0)),0,VLOOKUP($U$1274,'TAR FIN'!$A$1:$O$99,15,0))*(1-0.06)</f>
        <v>206.77179999999998</v>
      </c>
      <c r="Y1274" s="70"/>
      <c r="Z1274" s="70">
        <f ca="1">('TUSD BE'!$AM$23+'TUSD BF'!$AM$23+'TUSD CVA'!$AM$23)*1*(1-0.03)</f>
        <v>114.0634109344435</v>
      </c>
      <c r="AA1274" s="70">
        <f>('TE BE'!$AA$8+'TE BF'!$AA$8+'TE CVA'!$AA$8)*1*(1-0.03)</f>
        <v>263.00493660044975</v>
      </c>
      <c r="AB1274" s="4">
        <f>$K$1274*$V$1274</f>
        <v>0</v>
      </c>
      <c r="AC1274" s="4">
        <f>$M$1274*$W$1274</f>
        <v>427298.97867580003</v>
      </c>
      <c r="AD1274" s="4">
        <f>$O$1274*$X$1274</f>
        <v>962943.92315659998</v>
      </c>
      <c r="AE1274" s="4">
        <f>$K$1274*$Y$1274</f>
        <v>0</v>
      </c>
      <c r="AF1274" s="4">
        <f ca="1">$M$1274*$Z$1274</f>
        <v>531197.52506790799</v>
      </c>
      <c r="AG1274" s="4">
        <f>$O$1274*$AA$1274</f>
        <v>1224823.7209309489</v>
      </c>
    </row>
    <row r="1275" spans="1:33" ht="11.25" customHeight="1" x14ac:dyDescent="0.25">
      <c r="A1275" s="3" t="s">
        <v>28</v>
      </c>
      <c r="B1275" s="3" t="s">
        <v>33</v>
      </c>
      <c r="C1275" s="3" t="s">
        <v>34</v>
      </c>
      <c r="D1275" s="3" t="s">
        <v>50</v>
      </c>
      <c r="E1275" s="3" t="s">
        <v>51</v>
      </c>
      <c r="F1275" s="3" t="s">
        <v>25</v>
      </c>
      <c r="G1275" s="3" t="s">
        <v>25</v>
      </c>
      <c r="H1275" s="3" t="s">
        <v>36</v>
      </c>
      <c r="I1275" s="6">
        <v>44470</v>
      </c>
      <c r="J1275" s="4">
        <v>0</v>
      </c>
      <c r="K1275" s="70">
        <v>0</v>
      </c>
      <c r="L1275" s="4">
        <v>22.382999999999999</v>
      </c>
      <c r="M1275" s="70">
        <v>22.382999999999999</v>
      </c>
      <c r="N1275" s="4">
        <v>22.382999999999999</v>
      </c>
      <c r="O1275" s="70">
        <v>22.382999999999999</v>
      </c>
      <c r="P1275" s="4">
        <v>0</v>
      </c>
      <c r="Q1275" s="3" t="s">
        <v>26</v>
      </c>
      <c r="R1275" s="3">
        <v>0</v>
      </c>
      <c r="S1275" s="4">
        <v>0</v>
      </c>
      <c r="T1275" s="4">
        <v>29</v>
      </c>
      <c r="U1275" s="4">
        <v>73</v>
      </c>
      <c r="V1275" s="70">
        <f>IF(ISERROR(VLOOKUP($S$1275,'TAR FIN'!$A$1:$O$99,15,0)),0,VLOOKUP($S$1275,'TAR FIN'!$A$1:$O$99,15,0))</f>
        <v>0</v>
      </c>
      <c r="W1275" s="70">
        <f>IF(ISERROR(VLOOKUP($T$1275,'TAR FIN'!$A$1:$O$99,15,0)),0,VLOOKUP($T$1275,'TAR FIN'!$A$1:$O$99,15,0))*(1-0.06)</f>
        <v>91.753399999999999</v>
      </c>
      <c r="X1275" s="70">
        <f>IF(ISERROR(VLOOKUP($U$1275,'TAR FIN'!$A$1:$O$99,15,0)),0,VLOOKUP($U$1275,'TAR FIN'!$A$1:$O$99,15,0))*(1-0.06)</f>
        <v>206.77179999999998</v>
      </c>
      <c r="Y1275" s="70"/>
      <c r="Z1275" s="70">
        <f ca="1">('TUSD BE'!$AM$23+'TUSD BF'!$AM$23+'TUSD CVA'!$AM$23)*1*(1-0.03)</f>
        <v>114.0634109344435</v>
      </c>
      <c r="AA1275" s="70">
        <f>('TE BE'!$AA$8+'TE BF'!$AA$8+'TE CVA'!$AA$8)*1*(1-0.03)</f>
        <v>263.00493660044975</v>
      </c>
      <c r="AB1275" s="4">
        <f>$K$1275*$V$1275</f>
        <v>0</v>
      </c>
      <c r="AC1275" s="4">
        <f>$M$1275*$W$1275</f>
        <v>2053.7163522000001</v>
      </c>
      <c r="AD1275" s="4">
        <f>$O$1275*$X$1275</f>
        <v>4628.1731993999992</v>
      </c>
      <c r="AE1275" s="4">
        <f>$K$1275*$Y$1275</f>
        <v>0</v>
      </c>
      <c r="AF1275" s="4">
        <f ca="1">$M$1275*$Z$1275</f>
        <v>2553.0813269456485</v>
      </c>
      <c r="AG1275" s="4">
        <f>$O$1275*$AA$1275</f>
        <v>5886.8394959278667</v>
      </c>
    </row>
    <row r="1276" spans="1:33" ht="11.25" customHeight="1" x14ac:dyDescent="0.25">
      <c r="A1276" s="3" t="s">
        <v>21</v>
      </c>
      <c r="B1276" s="3" t="s">
        <v>33</v>
      </c>
      <c r="C1276" s="3" t="s">
        <v>34</v>
      </c>
      <c r="D1276" s="3" t="s">
        <v>50</v>
      </c>
      <c r="E1276" s="3" t="s">
        <v>51</v>
      </c>
      <c r="F1276" s="3" t="s">
        <v>25</v>
      </c>
      <c r="G1276" s="3" t="s">
        <v>25</v>
      </c>
      <c r="H1276" s="3" t="s">
        <v>36</v>
      </c>
      <c r="I1276" s="6">
        <v>44501</v>
      </c>
      <c r="J1276" s="4">
        <v>0</v>
      </c>
      <c r="K1276" s="70">
        <v>0</v>
      </c>
      <c r="L1276" s="4">
        <v>4427.6210000000001</v>
      </c>
      <c r="M1276" s="70">
        <v>4427.6210000000001</v>
      </c>
      <c r="N1276" s="4">
        <v>4427.6210000000001</v>
      </c>
      <c r="O1276" s="70">
        <v>4427.6210000000001</v>
      </c>
      <c r="P1276" s="4">
        <v>0</v>
      </c>
      <c r="Q1276" s="3" t="s">
        <v>26</v>
      </c>
      <c r="R1276" s="3">
        <v>0</v>
      </c>
      <c r="S1276" s="4">
        <v>0</v>
      </c>
      <c r="T1276" s="4">
        <v>29</v>
      </c>
      <c r="U1276" s="4">
        <v>73</v>
      </c>
      <c r="V1276" s="70">
        <f>IF(ISERROR(VLOOKUP($S$1276,'TAR FIN'!$A$1:$O$99,15,0)),0,VLOOKUP($S$1276,'TAR FIN'!$A$1:$O$99,15,0))</f>
        <v>0</v>
      </c>
      <c r="W1276" s="70">
        <f>IF(ISERROR(VLOOKUP($T$1276,'TAR FIN'!$A$1:$O$99,15,0)),0,VLOOKUP($T$1276,'TAR FIN'!$A$1:$O$99,15,0))*(1-0.06)</f>
        <v>91.753399999999999</v>
      </c>
      <c r="X1276" s="70">
        <f>IF(ISERROR(VLOOKUP($U$1276,'TAR FIN'!$A$1:$O$99,15,0)),0,VLOOKUP($U$1276,'TAR FIN'!$A$1:$O$99,15,0))*(1-0.06)</f>
        <v>206.77179999999998</v>
      </c>
      <c r="Y1276" s="70"/>
      <c r="Z1276" s="70">
        <f ca="1">('TUSD BE'!$AM$23+'TUSD BF'!$AM$23+'TUSD CVA'!$AM$23)*1*(1-0.03)</f>
        <v>114.0634109344435</v>
      </c>
      <c r="AA1276" s="70">
        <f>('TE BE'!$AA$8+'TE BF'!$AA$8+'TE CVA'!$AA$8)*1*(1-0.03)</f>
        <v>263.00493660044975</v>
      </c>
      <c r="AB1276" s="4">
        <f>$K$1276*$V$1276</f>
        <v>0</v>
      </c>
      <c r="AC1276" s="4">
        <f>$M$1276*$W$1276</f>
        <v>406249.2806614</v>
      </c>
      <c r="AD1276" s="4">
        <f>$O$1276*$X$1276</f>
        <v>915507.16388779995</v>
      </c>
      <c r="AE1276" s="4">
        <f>$K$1276*$Y$1276</f>
        <v>0</v>
      </c>
      <c r="AF1276" s="4">
        <f ca="1">$M$1276*$Z$1276</f>
        <v>505029.55358497164</v>
      </c>
      <c r="AG1276" s="4">
        <f>$O$1276*$AA$1276</f>
        <v>1164486.1803958199</v>
      </c>
    </row>
    <row r="1277" spans="1:33" ht="11.25" customHeight="1" x14ac:dyDescent="0.25">
      <c r="A1277" s="3" t="s">
        <v>27</v>
      </c>
      <c r="B1277" s="3" t="s">
        <v>33</v>
      </c>
      <c r="C1277" s="3" t="s">
        <v>34</v>
      </c>
      <c r="D1277" s="3" t="s">
        <v>50</v>
      </c>
      <c r="E1277" s="3" t="s">
        <v>51</v>
      </c>
      <c r="F1277" s="3" t="s">
        <v>25</v>
      </c>
      <c r="G1277" s="3" t="s">
        <v>25</v>
      </c>
      <c r="H1277" s="3" t="s">
        <v>36</v>
      </c>
      <c r="I1277" s="6">
        <v>44501</v>
      </c>
      <c r="J1277" s="4">
        <v>0</v>
      </c>
      <c r="K1277" s="70">
        <v>0</v>
      </c>
      <c r="L1277" s="4">
        <v>2.161</v>
      </c>
      <c r="M1277" s="70">
        <v>2.161</v>
      </c>
      <c r="N1277" s="4">
        <v>2.161</v>
      </c>
      <c r="O1277" s="70">
        <v>2.161</v>
      </c>
      <c r="P1277" s="4">
        <v>0</v>
      </c>
      <c r="Q1277" s="3" t="s">
        <v>26</v>
      </c>
      <c r="R1277" s="3">
        <v>0</v>
      </c>
      <c r="S1277" s="4">
        <v>0</v>
      </c>
      <c r="T1277" s="4">
        <v>29</v>
      </c>
      <c r="U1277" s="4">
        <v>73</v>
      </c>
      <c r="V1277" s="70">
        <f>IF(ISERROR(VLOOKUP($S$1277,'TAR FIN'!$A$1:$O$99,15,0)),0,VLOOKUP($S$1277,'TAR FIN'!$A$1:$O$99,15,0))</f>
        <v>0</v>
      </c>
      <c r="W1277" s="70">
        <f>IF(ISERROR(VLOOKUP($T$1277,'TAR FIN'!$A$1:$O$99,15,0)),0,VLOOKUP($T$1277,'TAR FIN'!$A$1:$O$99,15,0))*(1-0.06)</f>
        <v>91.753399999999999</v>
      </c>
      <c r="X1277" s="70">
        <f>IF(ISERROR(VLOOKUP($U$1277,'TAR FIN'!$A$1:$O$99,15,0)),0,VLOOKUP($U$1277,'TAR FIN'!$A$1:$O$99,15,0))*(1-0.06)</f>
        <v>206.77179999999998</v>
      </c>
      <c r="Y1277" s="70"/>
      <c r="Z1277" s="70">
        <f ca="1">('TUSD BE'!$AM$23+'TUSD BF'!$AM$23+'TUSD CVA'!$AM$23)*1*(1-0.03)</f>
        <v>114.0634109344435</v>
      </c>
      <c r="AA1277" s="70">
        <f>('TE BE'!$AA$8+'TE BF'!$AA$8+'TE CVA'!$AA$8)*1*(1-0.03)</f>
        <v>263.00493660044975</v>
      </c>
      <c r="AB1277" s="4">
        <f>$K$1277*$V$1277</f>
        <v>0</v>
      </c>
      <c r="AC1277" s="4">
        <f>$M$1277*$W$1277</f>
        <v>198.27909740000001</v>
      </c>
      <c r="AD1277" s="4">
        <f>$O$1277*$X$1277</f>
        <v>446.83385979999997</v>
      </c>
      <c r="AE1277" s="4">
        <f>$K$1277*$Y$1277</f>
        <v>0</v>
      </c>
      <c r="AF1277" s="4">
        <f ca="1">$M$1277*$Z$1277</f>
        <v>246.49103102933239</v>
      </c>
      <c r="AG1277" s="4">
        <f>$O$1277*$AA$1277</f>
        <v>568.35366799357189</v>
      </c>
    </row>
    <row r="1278" spans="1:33" ht="11.25" customHeight="1" x14ac:dyDescent="0.25">
      <c r="A1278" s="3" t="s">
        <v>28</v>
      </c>
      <c r="B1278" s="3" t="s">
        <v>33</v>
      </c>
      <c r="C1278" s="3" t="s">
        <v>34</v>
      </c>
      <c r="D1278" s="3" t="s">
        <v>50</v>
      </c>
      <c r="E1278" s="3" t="s">
        <v>51</v>
      </c>
      <c r="F1278" s="3" t="s">
        <v>25</v>
      </c>
      <c r="G1278" s="3" t="s">
        <v>25</v>
      </c>
      <c r="H1278" s="3" t="s">
        <v>36</v>
      </c>
      <c r="I1278" s="6">
        <v>44501</v>
      </c>
      <c r="J1278" s="4">
        <v>0</v>
      </c>
      <c r="K1278" s="70">
        <v>0</v>
      </c>
      <c r="L1278" s="4">
        <v>13.494999999999999</v>
      </c>
      <c r="M1278" s="70">
        <v>13.494999999999999</v>
      </c>
      <c r="N1278" s="4">
        <v>13.494999999999999</v>
      </c>
      <c r="O1278" s="70">
        <v>13.494999999999999</v>
      </c>
      <c r="P1278" s="4">
        <v>0</v>
      </c>
      <c r="Q1278" s="3" t="s">
        <v>26</v>
      </c>
      <c r="R1278" s="3">
        <v>0</v>
      </c>
      <c r="S1278" s="4">
        <v>0</v>
      </c>
      <c r="T1278" s="4">
        <v>29</v>
      </c>
      <c r="U1278" s="4">
        <v>73</v>
      </c>
      <c r="V1278" s="70">
        <f>IF(ISERROR(VLOOKUP($S$1278,'TAR FIN'!$A$1:$O$99,15,0)),0,VLOOKUP($S$1278,'TAR FIN'!$A$1:$O$99,15,0))</f>
        <v>0</v>
      </c>
      <c r="W1278" s="70">
        <f>IF(ISERROR(VLOOKUP($T$1278,'TAR FIN'!$A$1:$O$99,15,0)),0,VLOOKUP($T$1278,'TAR FIN'!$A$1:$O$99,15,0))*(1-0.06)</f>
        <v>91.753399999999999</v>
      </c>
      <c r="X1278" s="70">
        <f>IF(ISERROR(VLOOKUP($U$1278,'TAR FIN'!$A$1:$O$99,15,0)),0,VLOOKUP($U$1278,'TAR FIN'!$A$1:$O$99,15,0))*(1-0.06)</f>
        <v>206.77179999999998</v>
      </c>
      <c r="Y1278" s="70"/>
      <c r="Z1278" s="70">
        <f ca="1">('TUSD BE'!$AM$23+'TUSD BF'!$AM$23+'TUSD CVA'!$AM$23)*1*(1-0.03)</f>
        <v>114.0634109344435</v>
      </c>
      <c r="AA1278" s="70">
        <f>('TE BE'!$AA$8+'TE BF'!$AA$8+'TE CVA'!$AA$8)*1*(1-0.03)</f>
        <v>263.00493660044975</v>
      </c>
      <c r="AB1278" s="4">
        <f>$K$1278*$V$1278</f>
        <v>0</v>
      </c>
      <c r="AC1278" s="4">
        <f>$M$1278*$W$1278</f>
        <v>1238.212133</v>
      </c>
      <c r="AD1278" s="4">
        <f>$O$1278*$X$1278</f>
        <v>2790.3854409999994</v>
      </c>
      <c r="AE1278" s="4">
        <f>$K$1278*$Y$1278</f>
        <v>0</v>
      </c>
      <c r="AF1278" s="4">
        <f ca="1">$M$1278*$Z$1278</f>
        <v>1539.285730560315</v>
      </c>
      <c r="AG1278" s="4">
        <f>$O$1278*$AA$1278</f>
        <v>3549.2516194230693</v>
      </c>
    </row>
    <row r="1279" spans="1:33" ht="11.25" customHeight="1" x14ac:dyDescent="0.25">
      <c r="A1279" s="3" t="s">
        <v>21</v>
      </c>
      <c r="B1279" s="3" t="s">
        <v>33</v>
      </c>
      <c r="C1279" s="3" t="s">
        <v>34</v>
      </c>
      <c r="D1279" s="3" t="s">
        <v>50</v>
      </c>
      <c r="E1279" s="3" t="s">
        <v>51</v>
      </c>
      <c r="F1279" s="3" t="s">
        <v>25</v>
      </c>
      <c r="G1279" s="3" t="s">
        <v>25</v>
      </c>
      <c r="H1279" s="3" t="s">
        <v>36</v>
      </c>
      <c r="I1279" s="6">
        <v>44531</v>
      </c>
      <c r="J1279" s="4">
        <v>0</v>
      </c>
      <c r="K1279" s="70">
        <v>0</v>
      </c>
      <c r="L1279" s="4">
        <v>4464.2560000000003</v>
      </c>
      <c r="M1279" s="70">
        <v>4464.2560000000003</v>
      </c>
      <c r="N1279" s="4">
        <v>4464.2560000000003</v>
      </c>
      <c r="O1279" s="70">
        <v>4464.2560000000003</v>
      </c>
      <c r="P1279" s="4">
        <v>0</v>
      </c>
      <c r="Q1279" s="3" t="s">
        <v>26</v>
      </c>
      <c r="R1279" s="3">
        <v>0</v>
      </c>
      <c r="S1279" s="4">
        <v>0</v>
      </c>
      <c r="T1279" s="4">
        <v>29</v>
      </c>
      <c r="U1279" s="4">
        <v>73</v>
      </c>
      <c r="V1279" s="70">
        <f>IF(ISERROR(VLOOKUP($S$1279,'TAR FIN'!$A$1:$O$99,15,0)),0,VLOOKUP($S$1279,'TAR FIN'!$A$1:$O$99,15,0))</f>
        <v>0</v>
      </c>
      <c r="W1279" s="70">
        <f>IF(ISERROR(VLOOKUP($T$1279,'TAR FIN'!$A$1:$O$99,15,0)),0,VLOOKUP($T$1279,'TAR FIN'!$A$1:$O$99,15,0))*(1-0.06)</f>
        <v>91.753399999999999</v>
      </c>
      <c r="X1279" s="70">
        <f>IF(ISERROR(VLOOKUP($U$1279,'TAR FIN'!$A$1:$O$99,15,0)),0,VLOOKUP($U$1279,'TAR FIN'!$A$1:$O$99,15,0))*(1-0.06)</f>
        <v>206.77179999999998</v>
      </c>
      <c r="Y1279" s="70"/>
      <c r="Z1279" s="70">
        <f ca="1">('TUSD BE'!$AM$23+'TUSD BF'!$AM$23+'TUSD CVA'!$AM$23)*1*(1-0.03)</f>
        <v>114.0634109344435</v>
      </c>
      <c r="AA1279" s="70">
        <f>('TE BE'!$AA$8+'TE BF'!$AA$8+'TE CVA'!$AA$8)*1*(1-0.03)</f>
        <v>263.00493660044975</v>
      </c>
      <c r="AB1279" s="4">
        <f>$K$1279*$V$1279</f>
        <v>0</v>
      </c>
      <c r="AC1279" s="4">
        <f>$M$1279*$W$1279</f>
        <v>409610.6664704</v>
      </c>
      <c r="AD1279" s="4">
        <f>$O$1279*$X$1279</f>
        <v>923082.24878080003</v>
      </c>
      <c r="AE1279" s="4">
        <f>$K$1279*$Y$1279</f>
        <v>0</v>
      </c>
      <c r="AF1279" s="4">
        <f ca="1">$M$1279*$Z$1279</f>
        <v>509208.26664455503</v>
      </c>
      <c r="AG1279" s="4">
        <f>$O$1279*$AA$1279</f>
        <v>1174121.3662481776</v>
      </c>
    </row>
    <row r="1280" spans="1:33" ht="11.25" customHeight="1" x14ac:dyDescent="0.25">
      <c r="A1280" s="3" t="s">
        <v>27</v>
      </c>
      <c r="B1280" s="3" t="s">
        <v>33</v>
      </c>
      <c r="C1280" s="3" t="s">
        <v>34</v>
      </c>
      <c r="D1280" s="3" t="s">
        <v>50</v>
      </c>
      <c r="E1280" s="3" t="s">
        <v>51</v>
      </c>
      <c r="F1280" s="3" t="s">
        <v>25</v>
      </c>
      <c r="G1280" s="3" t="s">
        <v>25</v>
      </c>
      <c r="H1280" s="3" t="s">
        <v>36</v>
      </c>
      <c r="I1280" s="6">
        <v>44531</v>
      </c>
      <c r="J1280" s="4">
        <v>0</v>
      </c>
      <c r="K1280" s="70">
        <v>0</v>
      </c>
      <c r="L1280" s="4">
        <v>1.657</v>
      </c>
      <c r="M1280" s="70">
        <v>1.657</v>
      </c>
      <c r="N1280" s="4">
        <v>1.657</v>
      </c>
      <c r="O1280" s="70">
        <v>1.657</v>
      </c>
      <c r="P1280" s="4">
        <v>0</v>
      </c>
      <c r="Q1280" s="3" t="s">
        <v>26</v>
      </c>
      <c r="R1280" s="3">
        <v>0</v>
      </c>
      <c r="S1280" s="4">
        <v>0</v>
      </c>
      <c r="T1280" s="4">
        <v>29</v>
      </c>
      <c r="U1280" s="4">
        <v>73</v>
      </c>
      <c r="V1280" s="70">
        <f>IF(ISERROR(VLOOKUP($S$1280,'TAR FIN'!$A$1:$O$99,15,0)),0,VLOOKUP($S$1280,'TAR FIN'!$A$1:$O$99,15,0))</f>
        <v>0</v>
      </c>
      <c r="W1280" s="70">
        <f>IF(ISERROR(VLOOKUP($T$1280,'TAR FIN'!$A$1:$O$99,15,0)),0,VLOOKUP($T$1280,'TAR FIN'!$A$1:$O$99,15,0))*(1-0.06)</f>
        <v>91.753399999999999</v>
      </c>
      <c r="X1280" s="70">
        <f>IF(ISERROR(VLOOKUP($U$1280,'TAR FIN'!$A$1:$O$99,15,0)),0,VLOOKUP($U$1280,'TAR FIN'!$A$1:$O$99,15,0))*(1-0.06)</f>
        <v>206.77179999999998</v>
      </c>
      <c r="Y1280" s="70"/>
      <c r="Z1280" s="70">
        <f ca="1">('TUSD BE'!$AM$23+'TUSD BF'!$AM$23+'TUSD CVA'!$AM$23)*1*(1-0.03)</f>
        <v>114.0634109344435</v>
      </c>
      <c r="AA1280" s="70">
        <f>('TE BE'!$AA$8+'TE BF'!$AA$8+'TE CVA'!$AA$8)*1*(1-0.03)</f>
        <v>263.00493660044975</v>
      </c>
      <c r="AB1280" s="4">
        <f>$K$1280*$V$1280</f>
        <v>0</v>
      </c>
      <c r="AC1280" s="4">
        <f>$M$1280*$W$1280</f>
        <v>152.03538380000001</v>
      </c>
      <c r="AD1280" s="4">
        <f>$O$1280*$X$1280</f>
        <v>342.62087259999998</v>
      </c>
      <c r="AE1280" s="4">
        <f>$K$1280*$Y$1280</f>
        <v>0</v>
      </c>
      <c r="AF1280" s="4">
        <f ca="1">$M$1280*$Z$1280</f>
        <v>189.00307191837288</v>
      </c>
      <c r="AG1280" s="4">
        <f>$O$1280*$AA$1280</f>
        <v>435.79917994694523</v>
      </c>
    </row>
    <row r="1281" spans="1:33" ht="11.25" customHeight="1" x14ac:dyDescent="0.25">
      <c r="A1281" s="3" t="s">
        <v>28</v>
      </c>
      <c r="B1281" s="3" t="s">
        <v>33</v>
      </c>
      <c r="C1281" s="3" t="s">
        <v>34</v>
      </c>
      <c r="D1281" s="3" t="s">
        <v>50</v>
      </c>
      <c r="E1281" s="3" t="s">
        <v>51</v>
      </c>
      <c r="F1281" s="3" t="s">
        <v>25</v>
      </c>
      <c r="G1281" s="3" t="s">
        <v>25</v>
      </c>
      <c r="H1281" s="3" t="s">
        <v>36</v>
      </c>
      <c r="I1281" s="6">
        <v>44531</v>
      </c>
      <c r="J1281" s="4">
        <v>0</v>
      </c>
      <c r="K1281" s="70">
        <v>0</v>
      </c>
      <c r="L1281" s="4">
        <v>22.876999999999999</v>
      </c>
      <c r="M1281" s="70">
        <v>22.876999999999999</v>
      </c>
      <c r="N1281" s="4">
        <v>22.876999999999999</v>
      </c>
      <c r="O1281" s="70">
        <v>22.876999999999999</v>
      </c>
      <c r="P1281" s="4">
        <v>0</v>
      </c>
      <c r="Q1281" s="3" t="s">
        <v>26</v>
      </c>
      <c r="R1281" s="3">
        <v>0</v>
      </c>
      <c r="S1281" s="4">
        <v>0</v>
      </c>
      <c r="T1281" s="4">
        <v>29</v>
      </c>
      <c r="U1281" s="4">
        <v>73</v>
      </c>
      <c r="V1281" s="70">
        <f>IF(ISERROR(VLOOKUP($S$1281,'TAR FIN'!$A$1:$O$99,15,0)),0,VLOOKUP($S$1281,'TAR FIN'!$A$1:$O$99,15,0))</f>
        <v>0</v>
      </c>
      <c r="W1281" s="70">
        <f>IF(ISERROR(VLOOKUP($T$1281,'TAR FIN'!$A$1:$O$99,15,0)),0,VLOOKUP($T$1281,'TAR FIN'!$A$1:$O$99,15,0))*(1-0.06)</f>
        <v>91.753399999999999</v>
      </c>
      <c r="X1281" s="70">
        <f>IF(ISERROR(VLOOKUP($U$1281,'TAR FIN'!$A$1:$O$99,15,0)),0,VLOOKUP($U$1281,'TAR FIN'!$A$1:$O$99,15,0))*(1-0.06)</f>
        <v>206.77179999999998</v>
      </c>
      <c r="Y1281" s="70"/>
      <c r="Z1281" s="70">
        <f ca="1">('TUSD BE'!$AM$23+'TUSD BF'!$AM$23+'TUSD CVA'!$AM$23)*1*(1-0.03)</f>
        <v>114.0634109344435</v>
      </c>
      <c r="AA1281" s="70">
        <f>('TE BE'!$AA$8+'TE BF'!$AA$8+'TE CVA'!$AA$8)*1*(1-0.03)</f>
        <v>263.00493660044975</v>
      </c>
      <c r="AB1281" s="4">
        <f>$K$1281*$V$1281</f>
        <v>0</v>
      </c>
      <c r="AC1281" s="4">
        <f>$M$1281*$W$1281</f>
        <v>2099.0425317999998</v>
      </c>
      <c r="AD1281" s="4">
        <f>$O$1281*$X$1281</f>
        <v>4730.3184685999995</v>
      </c>
      <c r="AE1281" s="4">
        <f>$K$1281*$Y$1281</f>
        <v>0</v>
      </c>
      <c r="AF1281" s="4">
        <f ca="1">$M$1281*$Z$1281</f>
        <v>2609.4286519472639</v>
      </c>
      <c r="AG1281" s="4">
        <f>$O$1281*$AA$1281</f>
        <v>6016.7639346084889</v>
      </c>
    </row>
    <row r="1282" spans="1:33" ht="11.25" customHeight="1" x14ac:dyDescent="0.25">
      <c r="A1282" s="3" t="s">
        <v>21</v>
      </c>
      <c r="B1282" s="3" t="s">
        <v>33</v>
      </c>
      <c r="C1282" s="3" t="s">
        <v>34</v>
      </c>
      <c r="D1282" s="3" t="s">
        <v>50</v>
      </c>
      <c r="E1282" s="3" t="s">
        <v>51</v>
      </c>
      <c r="F1282" s="3" t="s">
        <v>25</v>
      </c>
      <c r="G1282" s="3" t="s">
        <v>25</v>
      </c>
      <c r="H1282" s="3" t="s">
        <v>36</v>
      </c>
      <c r="I1282" s="6">
        <v>44562</v>
      </c>
      <c r="J1282" s="4">
        <v>0</v>
      </c>
      <c r="K1282" s="70">
        <v>0</v>
      </c>
      <c r="L1282" s="4">
        <v>4503.6189999999997</v>
      </c>
      <c r="M1282" s="70">
        <v>4503.6189999999997</v>
      </c>
      <c r="N1282" s="4">
        <v>4503.6189999999997</v>
      </c>
      <c r="O1282" s="70">
        <v>4503.6189999999997</v>
      </c>
      <c r="P1282" s="4">
        <v>0</v>
      </c>
      <c r="Q1282" s="3" t="s">
        <v>26</v>
      </c>
      <c r="R1282" s="3">
        <v>0</v>
      </c>
      <c r="S1282" s="4">
        <v>0</v>
      </c>
      <c r="T1282" s="4">
        <v>29</v>
      </c>
      <c r="U1282" s="4">
        <v>73</v>
      </c>
      <c r="V1282" s="70">
        <f>IF(ISERROR(VLOOKUP($S$1282,'TAR FIN'!$A$1:$O$99,15,0)),0,VLOOKUP($S$1282,'TAR FIN'!$A$1:$O$99,15,0))</f>
        <v>0</v>
      </c>
      <c r="W1282" s="70">
        <f>IF(ISERROR(VLOOKUP($T$1282,'TAR FIN'!$A$1:$O$99,15,0)),0,VLOOKUP($T$1282,'TAR FIN'!$A$1:$O$99,15,0))*(1-0.06)</f>
        <v>91.753399999999999</v>
      </c>
      <c r="X1282" s="70">
        <f>IF(ISERROR(VLOOKUP($U$1282,'TAR FIN'!$A$1:$O$99,15,0)),0,VLOOKUP($U$1282,'TAR FIN'!$A$1:$O$99,15,0))*(1-0.06)</f>
        <v>206.77179999999998</v>
      </c>
      <c r="Y1282" s="70"/>
      <c r="Z1282" s="70">
        <f ca="1">('TUSD BE'!$AM$23+'TUSD BF'!$AM$23+'TUSD CVA'!$AM$23)*1*(1-0.03)</f>
        <v>114.0634109344435</v>
      </c>
      <c r="AA1282" s="70">
        <f>('TE BE'!$AA$8+'TE BF'!$AA$8+'TE CVA'!$AA$8)*1*(1-0.03)</f>
        <v>263.00493660044975</v>
      </c>
      <c r="AB1282" s="4">
        <f>$K$1282*$V$1282</f>
        <v>0</v>
      </c>
      <c r="AC1282" s="4">
        <f>$M$1282*$W$1282</f>
        <v>413222.35555459996</v>
      </c>
      <c r="AD1282" s="4">
        <f>$O$1282*$X$1282</f>
        <v>931221.40714419982</v>
      </c>
      <c r="AE1282" s="4">
        <f>$K$1282*$Y$1282</f>
        <v>0</v>
      </c>
      <c r="AF1282" s="4">
        <f ca="1">$M$1282*$Z$1282</f>
        <v>513698.14468916744</v>
      </c>
      <c r="AG1282" s="4">
        <f>$O$1282*$AA$1282</f>
        <v>1184474.0295675809</v>
      </c>
    </row>
    <row r="1283" spans="1:33" ht="11.25" customHeight="1" x14ac:dyDescent="0.25">
      <c r="A1283" s="3" t="s">
        <v>28</v>
      </c>
      <c r="B1283" s="3" t="s">
        <v>33</v>
      </c>
      <c r="C1283" s="3" t="s">
        <v>34</v>
      </c>
      <c r="D1283" s="3" t="s">
        <v>50</v>
      </c>
      <c r="E1283" s="3" t="s">
        <v>51</v>
      </c>
      <c r="F1283" s="3" t="s">
        <v>25</v>
      </c>
      <c r="G1283" s="3" t="s">
        <v>25</v>
      </c>
      <c r="H1283" s="3" t="s">
        <v>36</v>
      </c>
      <c r="I1283" s="6">
        <v>44562</v>
      </c>
      <c r="J1283" s="4">
        <v>0</v>
      </c>
      <c r="K1283" s="70">
        <v>0</v>
      </c>
      <c r="L1283" s="4">
        <v>22.722000000000001</v>
      </c>
      <c r="M1283" s="70">
        <v>22.722000000000001</v>
      </c>
      <c r="N1283" s="4">
        <v>22.722000000000001</v>
      </c>
      <c r="O1283" s="70">
        <v>22.722000000000001</v>
      </c>
      <c r="P1283" s="4">
        <v>0</v>
      </c>
      <c r="Q1283" s="3" t="s">
        <v>26</v>
      </c>
      <c r="R1283" s="3">
        <v>0</v>
      </c>
      <c r="S1283" s="4">
        <v>0</v>
      </c>
      <c r="T1283" s="4">
        <v>29</v>
      </c>
      <c r="U1283" s="4">
        <v>73</v>
      </c>
      <c r="V1283" s="70">
        <f>IF(ISERROR(VLOOKUP($S$1283,'TAR FIN'!$A$1:$O$99,15,0)),0,VLOOKUP($S$1283,'TAR FIN'!$A$1:$O$99,15,0))</f>
        <v>0</v>
      </c>
      <c r="W1283" s="70">
        <f>IF(ISERROR(VLOOKUP($T$1283,'TAR FIN'!$A$1:$O$99,15,0)),0,VLOOKUP($T$1283,'TAR FIN'!$A$1:$O$99,15,0))*(1-0.06)</f>
        <v>91.753399999999999</v>
      </c>
      <c r="X1283" s="70">
        <f>IF(ISERROR(VLOOKUP($U$1283,'TAR FIN'!$A$1:$O$99,15,0)),0,VLOOKUP($U$1283,'TAR FIN'!$A$1:$O$99,15,0))*(1-0.06)</f>
        <v>206.77179999999998</v>
      </c>
      <c r="Y1283" s="70"/>
      <c r="Z1283" s="70">
        <f ca="1">('TUSD BE'!$AM$23+'TUSD BF'!$AM$23+'TUSD CVA'!$AM$23)*1*(1-0.03)</f>
        <v>114.0634109344435</v>
      </c>
      <c r="AA1283" s="70">
        <f>('TE BE'!$AA$8+'TE BF'!$AA$8+'TE CVA'!$AA$8)*1*(1-0.03)</f>
        <v>263.00493660044975</v>
      </c>
      <c r="AB1283" s="4">
        <f>$K$1283*$V$1283</f>
        <v>0</v>
      </c>
      <c r="AC1283" s="4">
        <f>$M$1283*$W$1283</f>
        <v>2084.8207548</v>
      </c>
      <c r="AD1283" s="4">
        <f>$O$1283*$X$1283</f>
        <v>4698.2688396000003</v>
      </c>
      <c r="AE1283" s="4">
        <f>$K$1283*$Y$1283</f>
        <v>0</v>
      </c>
      <c r="AF1283" s="4">
        <f ca="1">$M$1283*$Z$1283</f>
        <v>2591.7488232524252</v>
      </c>
      <c r="AG1283" s="4">
        <f>$O$1283*$AA$1283</f>
        <v>5975.9981694354192</v>
      </c>
    </row>
    <row r="1284" spans="1:33" ht="11.25" customHeight="1" x14ac:dyDescent="0.25">
      <c r="A1284" s="3" t="s">
        <v>21</v>
      </c>
      <c r="B1284" s="3" t="s">
        <v>33</v>
      </c>
      <c r="C1284" s="3" t="s">
        <v>34</v>
      </c>
      <c r="D1284" s="3" t="s">
        <v>50</v>
      </c>
      <c r="E1284" s="3" t="s">
        <v>51</v>
      </c>
      <c r="F1284" s="3" t="s">
        <v>25</v>
      </c>
      <c r="G1284" s="3" t="s">
        <v>25</v>
      </c>
      <c r="H1284" s="3" t="s">
        <v>36</v>
      </c>
      <c r="I1284" s="6">
        <v>44593</v>
      </c>
      <c r="J1284" s="4">
        <v>0</v>
      </c>
      <c r="K1284" s="70">
        <v>0</v>
      </c>
      <c r="L1284" s="4">
        <v>3935.6869999999999</v>
      </c>
      <c r="M1284" s="70">
        <v>3935.6869999999999</v>
      </c>
      <c r="N1284" s="4">
        <v>3935.6869999999999</v>
      </c>
      <c r="O1284" s="70">
        <v>3935.6869999999999</v>
      </c>
      <c r="P1284" s="4">
        <v>0</v>
      </c>
      <c r="Q1284" s="3" t="s">
        <v>26</v>
      </c>
      <c r="R1284" s="3">
        <v>0</v>
      </c>
      <c r="S1284" s="4">
        <v>0</v>
      </c>
      <c r="T1284" s="4">
        <v>29</v>
      </c>
      <c r="U1284" s="4">
        <v>73</v>
      </c>
      <c r="V1284" s="70">
        <f>IF(ISERROR(VLOOKUP($S$1284,'TAR FIN'!$A$1:$O$99,15,0)),0,VLOOKUP($S$1284,'TAR FIN'!$A$1:$O$99,15,0))</f>
        <v>0</v>
      </c>
      <c r="W1284" s="70">
        <f>IF(ISERROR(VLOOKUP($T$1284,'TAR FIN'!$A$1:$O$99,15,0)),0,VLOOKUP($T$1284,'TAR FIN'!$A$1:$O$99,15,0))*(1-0.06)</f>
        <v>91.753399999999999</v>
      </c>
      <c r="X1284" s="70">
        <f>IF(ISERROR(VLOOKUP($U$1284,'TAR FIN'!$A$1:$O$99,15,0)),0,VLOOKUP($U$1284,'TAR FIN'!$A$1:$O$99,15,0))*(1-0.06)</f>
        <v>206.77179999999998</v>
      </c>
      <c r="Y1284" s="70"/>
      <c r="Z1284" s="70">
        <f ca="1">('TUSD BE'!$AM$23+'TUSD BF'!$AM$23+'TUSD CVA'!$AM$23)*1*(1-0.03)</f>
        <v>114.0634109344435</v>
      </c>
      <c r="AA1284" s="70">
        <f>('TE BE'!$AA$8+'TE BF'!$AA$8+'TE CVA'!$AA$8)*1*(1-0.03)</f>
        <v>263.00493660044975</v>
      </c>
      <c r="AB1284" s="4">
        <f>$K$1284*$V$1284</f>
        <v>0</v>
      </c>
      <c r="AC1284" s="4">
        <f>$M$1284*$W$1284</f>
        <v>361112.66358579998</v>
      </c>
      <c r="AD1284" s="4">
        <f>$O$1284*$X$1284</f>
        <v>813789.08522659994</v>
      </c>
      <c r="AE1284" s="4">
        <f>$K$1284*$Y$1284</f>
        <v>0</v>
      </c>
      <c r="AF1284" s="4">
        <f ca="1">$M$1284*$Z$1284</f>
        <v>448917.88359034713</v>
      </c>
      <c r="AG1284" s="4">
        <f>$O$1284*$AA$1284</f>
        <v>1035105.1099142142</v>
      </c>
    </row>
    <row r="1285" spans="1:33" ht="11.25" customHeight="1" x14ac:dyDescent="0.25">
      <c r="A1285" s="3" t="s">
        <v>28</v>
      </c>
      <c r="B1285" s="3" t="s">
        <v>33</v>
      </c>
      <c r="C1285" s="3" t="s">
        <v>34</v>
      </c>
      <c r="D1285" s="3" t="s">
        <v>50</v>
      </c>
      <c r="E1285" s="3" t="s">
        <v>51</v>
      </c>
      <c r="F1285" s="3" t="s">
        <v>25</v>
      </c>
      <c r="G1285" s="3" t="s">
        <v>25</v>
      </c>
      <c r="H1285" s="3" t="s">
        <v>36</v>
      </c>
      <c r="I1285" s="6">
        <v>44593</v>
      </c>
      <c r="J1285" s="4">
        <v>0</v>
      </c>
      <c r="K1285" s="70">
        <v>0</v>
      </c>
      <c r="L1285" s="4">
        <v>12.218</v>
      </c>
      <c r="M1285" s="70">
        <v>12.218</v>
      </c>
      <c r="N1285" s="4">
        <v>12.218</v>
      </c>
      <c r="O1285" s="70">
        <v>12.218</v>
      </c>
      <c r="P1285" s="4">
        <v>0</v>
      </c>
      <c r="Q1285" s="3" t="s">
        <v>26</v>
      </c>
      <c r="R1285" s="3">
        <v>0</v>
      </c>
      <c r="S1285" s="4">
        <v>0</v>
      </c>
      <c r="T1285" s="4">
        <v>29</v>
      </c>
      <c r="U1285" s="4">
        <v>73</v>
      </c>
      <c r="V1285" s="70">
        <f>IF(ISERROR(VLOOKUP($S$1285,'TAR FIN'!$A$1:$O$99,15,0)),0,VLOOKUP($S$1285,'TAR FIN'!$A$1:$O$99,15,0))</f>
        <v>0</v>
      </c>
      <c r="W1285" s="70">
        <f>IF(ISERROR(VLOOKUP($T$1285,'TAR FIN'!$A$1:$O$99,15,0)),0,VLOOKUP($T$1285,'TAR FIN'!$A$1:$O$99,15,0))*(1-0.06)</f>
        <v>91.753399999999999</v>
      </c>
      <c r="X1285" s="70">
        <f>IF(ISERROR(VLOOKUP($U$1285,'TAR FIN'!$A$1:$O$99,15,0)),0,VLOOKUP($U$1285,'TAR FIN'!$A$1:$O$99,15,0))*(1-0.06)</f>
        <v>206.77179999999998</v>
      </c>
      <c r="Y1285" s="70"/>
      <c r="Z1285" s="70">
        <f ca="1">('TUSD BE'!$AM$23+'TUSD BF'!$AM$23+'TUSD CVA'!$AM$23)*1*(1-0.03)</f>
        <v>114.0634109344435</v>
      </c>
      <c r="AA1285" s="70">
        <f>('TE BE'!$AA$8+'TE BF'!$AA$8+'TE CVA'!$AA$8)*1*(1-0.03)</f>
        <v>263.00493660044975</v>
      </c>
      <c r="AB1285" s="4">
        <f>$K$1285*$V$1285</f>
        <v>0</v>
      </c>
      <c r="AC1285" s="4">
        <f>$M$1285*$W$1285</f>
        <v>1121.0430412000001</v>
      </c>
      <c r="AD1285" s="4">
        <f>$O$1285*$X$1285</f>
        <v>2526.3378524</v>
      </c>
      <c r="AE1285" s="4">
        <f>$K$1285*$Y$1285</f>
        <v>0</v>
      </c>
      <c r="AF1285" s="4">
        <f ca="1">$M$1285*$Z$1285</f>
        <v>1393.6267547970306</v>
      </c>
      <c r="AG1285" s="4">
        <f>$O$1285*$AA$1285</f>
        <v>3213.3943153842952</v>
      </c>
    </row>
    <row r="1286" spans="1:33" ht="11.25" customHeight="1" x14ac:dyDescent="0.25">
      <c r="A1286" s="3" t="s">
        <v>21</v>
      </c>
      <c r="B1286" s="3" t="s">
        <v>33</v>
      </c>
      <c r="C1286" s="3" t="s">
        <v>34</v>
      </c>
      <c r="D1286" s="3" t="s">
        <v>50</v>
      </c>
      <c r="E1286" s="3" t="s">
        <v>51</v>
      </c>
      <c r="F1286" s="3" t="s">
        <v>25</v>
      </c>
      <c r="G1286" s="3" t="s">
        <v>25</v>
      </c>
      <c r="H1286" s="3" t="s">
        <v>36</v>
      </c>
      <c r="I1286" s="6">
        <v>44621</v>
      </c>
      <c r="J1286" s="4">
        <v>0</v>
      </c>
      <c r="K1286" s="70">
        <v>0</v>
      </c>
      <c r="L1286" s="4">
        <v>4499.54</v>
      </c>
      <c r="M1286" s="70">
        <v>4499.54</v>
      </c>
      <c r="N1286" s="4">
        <v>4499.54</v>
      </c>
      <c r="O1286" s="70">
        <v>4499.54</v>
      </c>
      <c r="P1286" s="4">
        <v>0</v>
      </c>
      <c r="Q1286" s="3" t="s">
        <v>26</v>
      </c>
      <c r="R1286" s="3">
        <v>0</v>
      </c>
      <c r="S1286" s="4">
        <v>0</v>
      </c>
      <c r="T1286" s="4">
        <v>29</v>
      </c>
      <c r="U1286" s="4">
        <v>73</v>
      </c>
      <c r="V1286" s="70">
        <f>IF(ISERROR(VLOOKUP($S$1286,'TAR FIN'!$A$1:$O$99,15,0)),0,VLOOKUP($S$1286,'TAR FIN'!$A$1:$O$99,15,0))</f>
        <v>0</v>
      </c>
      <c r="W1286" s="70">
        <f>IF(ISERROR(VLOOKUP($T$1286,'TAR FIN'!$A$1:$O$99,15,0)),0,VLOOKUP($T$1286,'TAR FIN'!$A$1:$O$99,15,0))*(1-0.06)</f>
        <v>91.753399999999999</v>
      </c>
      <c r="X1286" s="70">
        <f>IF(ISERROR(VLOOKUP($U$1286,'TAR FIN'!$A$1:$O$99,15,0)),0,VLOOKUP($U$1286,'TAR FIN'!$A$1:$O$99,15,0))*(1-0.06)</f>
        <v>206.77179999999998</v>
      </c>
      <c r="Y1286" s="70"/>
      <c r="Z1286" s="70">
        <f ca="1">('TUSD BE'!$AM$23+'TUSD BF'!$AM$23+'TUSD CVA'!$AM$23)*1*(1-0.03)</f>
        <v>114.0634109344435</v>
      </c>
      <c r="AA1286" s="70">
        <f>('TE BE'!$AA$8+'TE BF'!$AA$8+'TE CVA'!$AA$8)*1*(1-0.03)</f>
        <v>263.00493660044975</v>
      </c>
      <c r="AB1286" s="4">
        <f>$K$1286*$V$1286</f>
        <v>0</v>
      </c>
      <c r="AC1286" s="4">
        <f>$M$1286*$W$1286</f>
        <v>412848.093436</v>
      </c>
      <c r="AD1286" s="4">
        <f>$O$1286*$X$1286</f>
        <v>930377.98497199989</v>
      </c>
      <c r="AE1286" s="4">
        <f>$K$1286*$Y$1286</f>
        <v>0</v>
      </c>
      <c r="AF1286" s="4">
        <f ca="1">$M$1286*$Z$1286</f>
        <v>513232.88003596588</v>
      </c>
      <c r="AG1286" s="4">
        <f>$O$1286*$AA$1286</f>
        <v>1183401.2324311878</v>
      </c>
    </row>
    <row r="1287" spans="1:33" ht="11.25" customHeight="1" x14ac:dyDescent="0.25">
      <c r="A1287" s="3" t="s">
        <v>28</v>
      </c>
      <c r="B1287" s="3" t="s">
        <v>33</v>
      </c>
      <c r="C1287" s="3" t="s">
        <v>34</v>
      </c>
      <c r="D1287" s="3" t="s">
        <v>50</v>
      </c>
      <c r="E1287" s="3" t="s">
        <v>51</v>
      </c>
      <c r="F1287" s="3" t="s">
        <v>25</v>
      </c>
      <c r="G1287" s="3" t="s">
        <v>25</v>
      </c>
      <c r="H1287" s="3" t="s">
        <v>36</v>
      </c>
      <c r="I1287" s="6">
        <v>44621</v>
      </c>
      <c r="J1287" s="4">
        <v>0</v>
      </c>
      <c r="K1287" s="70">
        <v>0</v>
      </c>
      <c r="L1287" s="4">
        <v>23.904</v>
      </c>
      <c r="M1287" s="70">
        <v>23.904</v>
      </c>
      <c r="N1287" s="4">
        <v>23.904</v>
      </c>
      <c r="O1287" s="70">
        <v>23.904</v>
      </c>
      <c r="P1287" s="4">
        <v>0</v>
      </c>
      <c r="Q1287" s="3" t="s">
        <v>26</v>
      </c>
      <c r="R1287" s="3">
        <v>0</v>
      </c>
      <c r="S1287" s="4">
        <v>0</v>
      </c>
      <c r="T1287" s="4">
        <v>29</v>
      </c>
      <c r="U1287" s="4">
        <v>73</v>
      </c>
      <c r="V1287" s="70">
        <f>IF(ISERROR(VLOOKUP($S$1287,'TAR FIN'!$A$1:$O$99,15,0)),0,VLOOKUP($S$1287,'TAR FIN'!$A$1:$O$99,15,0))</f>
        <v>0</v>
      </c>
      <c r="W1287" s="70">
        <f>IF(ISERROR(VLOOKUP($T$1287,'TAR FIN'!$A$1:$O$99,15,0)),0,VLOOKUP($T$1287,'TAR FIN'!$A$1:$O$99,15,0))*(1-0.06)</f>
        <v>91.753399999999999</v>
      </c>
      <c r="X1287" s="70">
        <f>IF(ISERROR(VLOOKUP($U$1287,'TAR FIN'!$A$1:$O$99,15,0)),0,VLOOKUP($U$1287,'TAR FIN'!$A$1:$O$99,15,0))*(1-0.06)</f>
        <v>206.77179999999998</v>
      </c>
      <c r="Y1287" s="70"/>
      <c r="Z1287" s="70">
        <f ca="1">('TUSD BE'!$AM$23+'TUSD BF'!$AM$23+'TUSD CVA'!$AM$23)*1*(1-0.03)</f>
        <v>114.0634109344435</v>
      </c>
      <c r="AA1287" s="70">
        <f>('TE BE'!$AA$8+'TE BF'!$AA$8+'TE CVA'!$AA$8)*1*(1-0.03)</f>
        <v>263.00493660044975</v>
      </c>
      <c r="AB1287" s="4">
        <f>$K$1287*$V$1287</f>
        <v>0</v>
      </c>
      <c r="AC1287" s="4">
        <f>$M$1287*$W$1287</f>
        <v>2193.2732735999998</v>
      </c>
      <c r="AD1287" s="4">
        <f>$O$1287*$X$1287</f>
        <v>4942.6731071999993</v>
      </c>
      <c r="AE1287" s="4">
        <f>$K$1287*$Y$1287</f>
        <v>0</v>
      </c>
      <c r="AF1287" s="4">
        <f ca="1">$M$1287*$Z$1287</f>
        <v>2726.5717749769374</v>
      </c>
      <c r="AG1287" s="4">
        <f>$O$1287*$AA$1287</f>
        <v>6286.8700044971511</v>
      </c>
    </row>
    <row r="1288" spans="1:33" ht="11.25" customHeight="1" x14ac:dyDescent="0.25">
      <c r="A1288" s="3" t="s">
        <v>56</v>
      </c>
      <c r="B1288" s="3" t="s">
        <v>33</v>
      </c>
      <c r="C1288" s="3" t="s">
        <v>34</v>
      </c>
      <c r="D1288" s="3" t="s">
        <v>50</v>
      </c>
      <c r="E1288" s="3" t="s">
        <v>51</v>
      </c>
      <c r="F1288" s="3" t="s">
        <v>25</v>
      </c>
      <c r="G1288" s="3" t="s">
        <v>25</v>
      </c>
      <c r="H1288" s="3" t="s">
        <v>36</v>
      </c>
      <c r="I1288" s="6">
        <v>44652</v>
      </c>
      <c r="J1288" s="4">
        <v>0</v>
      </c>
      <c r="K1288" s="70">
        <v>0</v>
      </c>
      <c r="L1288" s="4">
        <v>4499.54</v>
      </c>
      <c r="M1288" s="70">
        <v>4499.54</v>
      </c>
      <c r="N1288" s="4">
        <v>4499.54</v>
      </c>
      <c r="O1288" s="70">
        <v>4499.54</v>
      </c>
      <c r="P1288" s="4">
        <v>0</v>
      </c>
      <c r="Q1288" s="3" t="s">
        <v>26</v>
      </c>
      <c r="R1288" s="3">
        <v>0</v>
      </c>
      <c r="S1288" s="4">
        <v>0</v>
      </c>
      <c r="T1288" s="4">
        <v>29</v>
      </c>
      <c r="U1288" s="4">
        <v>73</v>
      </c>
      <c r="V1288" s="70">
        <f>IF(ISERROR(VLOOKUP($S$1288,'TAR FIN'!$A$1:$O$99,15,0)),0,VLOOKUP($S$1288,'TAR FIN'!$A$1:$O$99,15,0))</f>
        <v>0</v>
      </c>
      <c r="W1288" s="70">
        <f>IF(ISERROR(VLOOKUP($T$1288,'TAR FIN'!$A$1:$O$99,15,0)),0,VLOOKUP($T$1288,'TAR FIN'!$A$1:$O$99,15,0))*(1-0.06)</f>
        <v>91.753399999999999</v>
      </c>
      <c r="X1288" s="70">
        <f>IF(ISERROR(VLOOKUP($U$1288,'TAR FIN'!$A$1:$O$99,15,0)),0,VLOOKUP($U$1288,'TAR FIN'!$A$1:$O$99,15,0))*(1-0.06)</f>
        <v>206.77179999999998</v>
      </c>
      <c r="Y1288" s="70"/>
      <c r="Z1288" s="70">
        <f ca="1">('TUSD BE'!$AM$23+'TUSD BF'!$AM$23+'TUSD CVA'!$AM$23)*1*(1-0.03)</f>
        <v>114.0634109344435</v>
      </c>
      <c r="AA1288" s="70">
        <f>('TE BE'!$AA$8+'TE BF'!$AA$8+'TE CVA'!$AA$8)*1*(1-0.03)</f>
        <v>263.00493660044975</v>
      </c>
      <c r="AB1288" s="4">
        <f>$K$1288*$V$1288</f>
        <v>0</v>
      </c>
      <c r="AC1288" s="4">
        <f>$M$1288*$W$1288</f>
        <v>412848.093436</v>
      </c>
      <c r="AD1288" s="4">
        <f>$O$1288*$X$1288</f>
        <v>930377.98497199989</v>
      </c>
      <c r="AE1288" s="4">
        <f>$K$1288*$Y$1288</f>
        <v>0</v>
      </c>
      <c r="AF1288" s="4">
        <f ca="1">$M$1288*$Z$1288</f>
        <v>513232.88003596588</v>
      </c>
      <c r="AG1288" s="4">
        <f>$O$1288*$AA$1288</f>
        <v>1183401.2324311878</v>
      </c>
    </row>
    <row r="1289" spans="1:33" ht="11.25" customHeight="1" x14ac:dyDescent="0.25">
      <c r="A1289" s="3" t="s">
        <v>56</v>
      </c>
      <c r="B1289" s="3" t="s">
        <v>33</v>
      </c>
      <c r="C1289" s="3" t="s">
        <v>34</v>
      </c>
      <c r="D1289" s="3" t="s">
        <v>50</v>
      </c>
      <c r="E1289" s="3" t="s">
        <v>51</v>
      </c>
      <c r="F1289" s="3" t="s">
        <v>25</v>
      </c>
      <c r="G1289" s="3" t="s">
        <v>25</v>
      </c>
      <c r="H1289" s="3" t="s">
        <v>36</v>
      </c>
      <c r="I1289" s="6">
        <v>44652</v>
      </c>
      <c r="J1289" s="4">
        <v>0</v>
      </c>
      <c r="K1289" s="70">
        <v>0</v>
      </c>
      <c r="L1289" s="4">
        <v>23.904</v>
      </c>
      <c r="M1289" s="70">
        <v>23.904</v>
      </c>
      <c r="N1289" s="4">
        <v>23.904</v>
      </c>
      <c r="O1289" s="70">
        <v>23.904</v>
      </c>
      <c r="P1289" s="4">
        <v>0</v>
      </c>
      <c r="Q1289" s="3" t="s">
        <v>26</v>
      </c>
      <c r="R1289" s="3">
        <v>0</v>
      </c>
      <c r="S1289" s="4">
        <v>0</v>
      </c>
      <c r="T1289" s="4">
        <v>29</v>
      </c>
      <c r="U1289" s="4">
        <v>73</v>
      </c>
      <c r="V1289" s="70">
        <f>IF(ISERROR(VLOOKUP($S$1289,'TAR FIN'!$A$1:$O$99,15,0)),0,VLOOKUP($S$1289,'TAR FIN'!$A$1:$O$99,15,0))</f>
        <v>0</v>
      </c>
      <c r="W1289" s="70">
        <f>IF(ISERROR(VLOOKUP($T$1289,'TAR FIN'!$A$1:$O$99,15,0)),0,VLOOKUP($T$1289,'TAR FIN'!$A$1:$O$99,15,0))*(1-0.06)</f>
        <v>91.753399999999999</v>
      </c>
      <c r="X1289" s="70">
        <f>IF(ISERROR(VLOOKUP($U$1289,'TAR FIN'!$A$1:$O$99,15,0)),0,VLOOKUP($U$1289,'TAR FIN'!$A$1:$O$99,15,0))*(1-0.06)</f>
        <v>206.77179999999998</v>
      </c>
      <c r="Y1289" s="70"/>
      <c r="Z1289" s="70">
        <f ca="1">('TUSD BE'!$AM$23+'TUSD BF'!$AM$23+'TUSD CVA'!$AM$23)*1*(1-0.03)</f>
        <v>114.0634109344435</v>
      </c>
      <c r="AA1289" s="70">
        <f>('TE BE'!$AA$8+'TE BF'!$AA$8+'TE CVA'!$AA$8)*1*(1-0.03)</f>
        <v>263.00493660044975</v>
      </c>
      <c r="AB1289" s="4">
        <f>$K$1289*$V$1289</f>
        <v>0</v>
      </c>
      <c r="AC1289" s="4">
        <f>$M$1289*$W$1289</f>
        <v>2193.2732735999998</v>
      </c>
      <c r="AD1289" s="4">
        <f>$O$1289*$X$1289</f>
        <v>4942.6731071999993</v>
      </c>
      <c r="AE1289" s="4">
        <f>$K$1289*$Y$1289</f>
        <v>0</v>
      </c>
      <c r="AF1289" s="4">
        <f ca="1">$M$1289*$Z$1289</f>
        <v>2726.5717749769374</v>
      </c>
      <c r="AG1289" s="4">
        <f>$O$1289*$AA$1289</f>
        <v>6286.8700044971511</v>
      </c>
    </row>
    <row r="1290" spans="1:33" ht="11.25" customHeight="1" x14ac:dyDescent="0.25">
      <c r="A1290" s="3" t="s">
        <v>21</v>
      </c>
      <c r="B1290" s="3" t="s">
        <v>33</v>
      </c>
      <c r="C1290" s="3" t="s">
        <v>34</v>
      </c>
      <c r="D1290" s="3" t="s">
        <v>50</v>
      </c>
      <c r="E1290" s="3" t="s">
        <v>51</v>
      </c>
      <c r="F1290" s="3" t="s">
        <v>25</v>
      </c>
      <c r="G1290" s="3" t="s">
        <v>25</v>
      </c>
      <c r="H1290" s="3" t="s">
        <v>25</v>
      </c>
      <c r="I1290" s="6">
        <v>44317</v>
      </c>
      <c r="J1290" s="4">
        <v>13518</v>
      </c>
      <c r="K1290" s="71">
        <v>13518</v>
      </c>
      <c r="L1290" s="4">
        <v>0</v>
      </c>
      <c r="M1290" s="70">
        <v>0</v>
      </c>
      <c r="N1290" s="4">
        <v>0</v>
      </c>
      <c r="O1290" s="70">
        <v>0</v>
      </c>
      <c r="P1290" s="4">
        <v>220</v>
      </c>
      <c r="Q1290" s="3" t="s">
        <v>26</v>
      </c>
      <c r="R1290" s="3">
        <v>0</v>
      </c>
      <c r="S1290" s="4">
        <v>7</v>
      </c>
      <c r="T1290" s="4">
        <v>0</v>
      </c>
      <c r="U1290" s="4">
        <v>0</v>
      </c>
      <c r="V1290" s="70">
        <f>IF(ISERROR(VLOOKUP($S$1290,'TAR FIN'!$A$1:$O$99,15,0)),0,VLOOKUP($S$1290,'TAR FIN'!$A$1:$O$99,15,0))*(1-0.06)</f>
        <v>20.539000000000001</v>
      </c>
      <c r="W1290" s="70">
        <f>IF(ISERROR(VLOOKUP($T$1290,'TAR FIN'!$A$1:$O$99,15,0)),0,VLOOKUP($T$1290,'TAR FIN'!$A$1:$O$99,15,0))</f>
        <v>0</v>
      </c>
      <c r="X1290" s="70">
        <f>IF(ISERROR(VLOOKUP($U$1290,'TAR FIN'!$A$1:$O$99,15,0)),0,VLOOKUP($U$1290,'TAR FIN'!$A$1:$O$99,15,0))</f>
        <v>0</v>
      </c>
      <c r="Y1290" s="70">
        <f ca="1">('TUSD BE'!$AM$21+'TUSD BF'!$AM$21+'TUSD CVA'!$AM$21)*1*(1-0.03)</f>
        <v>23.929316856639257</v>
      </c>
      <c r="Z1290" s="70"/>
      <c r="AA1290" s="70"/>
      <c r="AB1290" s="4">
        <f>$K$1290*$V$1290</f>
        <v>277646.20200000005</v>
      </c>
      <c r="AC1290" s="4">
        <f>$M$1290*$W$1290</f>
        <v>0</v>
      </c>
      <c r="AD1290" s="4">
        <f>$O$1290*$X$1290</f>
        <v>0</v>
      </c>
      <c r="AE1290" s="4">
        <f ca="1">$K$1290*$Y$1290</f>
        <v>323476.50526804948</v>
      </c>
      <c r="AF1290" s="4">
        <f>$M$1290*$Z$1290</f>
        <v>0</v>
      </c>
      <c r="AG1290" s="4">
        <f>$O$1290*$AA$1290</f>
        <v>0</v>
      </c>
    </row>
    <row r="1291" spans="1:33" ht="11.25" customHeight="1" x14ac:dyDescent="0.25">
      <c r="A1291" s="3" t="s">
        <v>21</v>
      </c>
      <c r="B1291" s="3" t="s">
        <v>33</v>
      </c>
      <c r="C1291" s="3" t="s">
        <v>34</v>
      </c>
      <c r="D1291" s="3" t="s">
        <v>50</v>
      </c>
      <c r="E1291" s="3" t="s">
        <v>51</v>
      </c>
      <c r="F1291" s="3" t="s">
        <v>25</v>
      </c>
      <c r="G1291" s="3" t="s">
        <v>25</v>
      </c>
      <c r="H1291" s="3" t="s">
        <v>25</v>
      </c>
      <c r="I1291" s="6">
        <v>44348</v>
      </c>
      <c r="J1291" s="4">
        <v>13284</v>
      </c>
      <c r="K1291" s="71">
        <v>13284</v>
      </c>
      <c r="L1291" s="4">
        <v>0</v>
      </c>
      <c r="M1291" s="70">
        <v>0</v>
      </c>
      <c r="N1291" s="4">
        <v>0</v>
      </c>
      <c r="O1291" s="70">
        <v>0</v>
      </c>
      <c r="P1291" s="4">
        <v>216</v>
      </c>
      <c r="Q1291" s="3" t="s">
        <v>26</v>
      </c>
      <c r="R1291" s="3">
        <v>0</v>
      </c>
      <c r="S1291" s="4">
        <v>7</v>
      </c>
      <c r="T1291" s="4">
        <v>0</v>
      </c>
      <c r="U1291" s="4">
        <v>0</v>
      </c>
      <c r="V1291" s="70">
        <f>IF(ISERROR(VLOOKUP($S$1291,'TAR FIN'!$A$1:$O$99,15,0)),0,VLOOKUP($S$1291,'TAR FIN'!$A$1:$O$99,15,0))*(1-0.06)</f>
        <v>20.539000000000001</v>
      </c>
      <c r="W1291" s="70">
        <f>IF(ISERROR(VLOOKUP($T$1291,'TAR FIN'!$A$1:$O$99,15,0)),0,VLOOKUP($T$1291,'TAR FIN'!$A$1:$O$99,15,0))</f>
        <v>0</v>
      </c>
      <c r="X1291" s="70">
        <f>IF(ISERROR(VLOOKUP($U$1291,'TAR FIN'!$A$1:$O$99,15,0)),0,VLOOKUP($U$1291,'TAR FIN'!$A$1:$O$99,15,0))</f>
        <v>0</v>
      </c>
      <c r="Y1291" s="70">
        <f ca="1">('TUSD BE'!$AM$21+'TUSD BF'!$AM$21+'TUSD CVA'!$AM$21)*1*(1-0.03)</f>
        <v>23.929316856639257</v>
      </c>
      <c r="Z1291" s="70"/>
      <c r="AA1291" s="70"/>
      <c r="AB1291" s="4">
        <f>$K$1291*$V$1291</f>
        <v>272840.076</v>
      </c>
      <c r="AC1291" s="4">
        <f>$M$1291*$W$1291</f>
        <v>0</v>
      </c>
      <c r="AD1291" s="4">
        <f>$O$1291*$X$1291</f>
        <v>0</v>
      </c>
      <c r="AE1291" s="4">
        <f ca="1">$K$1291*$Y$1291</f>
        <v>317877.04512359592</v>
      </c>
      <c r="AF1291" s="4">
        <f>$M$1291*$Z$1291</f>
        <v>0</v>
      </c>
      <c r="AG1291" s="4">
        <f>$O$1291*$AA$1291</f>
        <v>0</v>
      </c>
    </row>
    <row r="1292" spans="1:33" ht="11.25" customHeight="1" x14ac:dyDescent="0.25">
      <c r="A1292" s="3" t="s">
        <v>28</v>
      </c>
      <c r="B1292" s="3" t="s">
        <v>33</v>
      </c>
      <c r="C1292" s="3" t="s">
        <v>34</v>
      </c>
      <c r="D1292" s="3" t="s">
        <v>50</v>
      </c>
      <c r="E1292" s="3" t="s">
        <v>51</v>
      </c>
      <c r="F1292" s="3" t="s">
        <v>25</v>
      </c>
      <c r="G1292" s="3" t="s">
        <v>25</v>
      </c>
      <c r="H1292" s="3" t="s">
        <v>25</v>
      </c>
      <c r="I1292" s="6">
        <v>44348</v>
      </c>
      <c r="J1292" s="4">
        <v>50</v>
      </c>
      <c r="K1292" s="71">
        <v>50</v>
      </c>
      <c r="L1292" s="4">
        <v>0</v>
      </c>
      <c r="M1292" s="70">
        <v>0</v>
      </c>
      <c r="N1292" s="4">
        <v>0</v>
      </c>
      <c r="O1292" s="70">
        <v>0</v>
      </c>
      <c r="P1292" s="4">
        <v>1</v>
      </c>
      <c r="Q1292" s="3" t="s">
        <v>26</v>
      </c>
      <c r="R1292" s="3">
        <v>0</v>
      </c>
      <c r="S1292" s="4">
        <v>7</v>
      </c>
      <c r="T1292" s="4">
        <v>0</v>
      </c>
      <c r="U1292" s="4">
        <v>0</v>
      </c>
      <c r="V1292" s="70">
        <f>IF(ISERROR(VLOOKUP($S$1292,'TAR FIN'!$A$1:$O$99,15,0)),0,VLOOKUP($S$1292,'TAR FIN'!$A$1:$O$99,15,0))*(1-0.06)</f>
        <v>20.539000000000001</v>
      </c>
      <c r="W1292" s="70">
        <f>IF(ISERROR(VLOOKUP($T$1292,'TAR FIN'!$A$1:$O$99,15,0)),0,VLOOKUP($T$1292,'TAR FIN'!$A$1:$O$99,15,0))</f>
        <v>0</v>
      </c>
      <c r="X1292" s="70">
        <f>IF(ISERROR(VLOOKUP($U$1292,'TAR FIN'!$A$1:$O$99,15,0)),0,VLOOKUP($U$1292,'TAR FIN'!$A$1:$O$99,15,0))</f>
        <v>0</v>
      </c>
      <c r="Y1292" s="70">
        <f ca="1">('TUSD BE'!$AM$21+'TUSD BF'!$AM$21+'TUSD CVA'!$AM$21)*1*(1-0.03)</f>
        <v>23.929316856639257</v>
      </c>
      <c r="Z1292" s="70"/>
      <c r="AA1292" s="70"/>
      <c r="AB1292" s="4">
        <f>$K$1292*$V$1292</f>
        <v>1026.95</v>
      </c>
      <c r="AC1292" s="4">
        <f>$M$1292*$W$1292</f>
        <v>0</v>
      </c>
      <c r="AD1292" s="4">
        <f>$O$1292*$X$1292</f>
        <v>0</v>
      </c>
      <c r="AE1292" s="4">
        <f ca="1">$K$1292*$Y$1292</f>
        <v>1196.4658428319628</v>
      </c>
      <c r="AF1292" s="4">
        <f>$M$1292*$Z$1292</f>
        <v>0</v>
      </c>
      <c r="AG1292" s="4">
        <f>$O$1292*$AA$1292</f>
        <v>0</v>
      </c>
    </row>
    <row r="1293" spans="1:33" ht="11.25" customHeight="1" x14ac:dyDescent="0.25">
      <c r="A1293" s="3" t="s">
        <v>21</v>
      </c>
      <c r="B1293" s="3" t="s">
        <v>33</v>
      </c>
      <c r="C1293" s="3" t="s">
        <v>34</v>
      </c>
      <c r="D1293" s="3" t="s">
        <v>50</v>
      </c>
      <c r="E1293" s="3" t="s">
        <v>51</v>
      </c>
      <c r="F1293" s="3" t="s">
        <v>25</v>
      </c>
      <c r="G1293" s="3" t="s">
        <v>25</v>
      </c>
      <c r="H1293" s="3" t="s">
        <v>25</v>
      </c>
      <c r="I1293" s="6">
        <v>44378</v>
      </c>
      <c r="J1293" s="4">
        <v>13127</v>
      </c>
      <c r="K1293" s="71">
        <v>13127</v>
      </c>
      <c r="L1293" s="4">
        <v>0</v>
      </c>
      <c r="M1293" s="70">
        <v>0</v>
      </c>
      <c r="N1293" s="4">
        <v>0</v>
      </c>
      <c r="O1293" s="70">
        <v>0</v>
      </c>
      <c r="P1293" s="4">
        <v>215</v>
      </c>
      <c r="Q1293" s="3" t="s">
        <v>26</v>
      </c>
      <c r="R1293" s="3">
        <v>0</v>
      </c>
      <c r="S1293" s="4">
        <v>7</v>
      </c>
      <c r="T1293" s="4">
        <v>0</v>
      </c>
      <c r="U1293" s="4">
        <v>0</v>
      </c>
      <c r="V1293" s="70">
        <f>IF(ISERROR(VLOOKUP($S$1293,'TAR FIN'!$A$1:$O$99,15,0)),0,VLOOKUP($S$1293,'TAR FIN'!$A$1:$O$99,15,0))*(1-0.06)</f>
        <v>20.539000000000001</v>
      </c>
      <c r="W1293" s="70">
        <f>IF(ISERROR(VLOOKUP($T$1293,'TAR FIN'!$A$1:$O$99,15,0)),0,VLOOKUP($T$1293,'TAR FIN'!$A$1:$O$99,15,0))</f>
        <v>0</v>
      </c>
      <c r="X1293" s="70">
        <f>IF(ISERROR(VLOOKUP($U$1293,'TAR FIN'!$A$1:$O$99,15,0)),0,VLOOKUP($U$1293,'TAR FIN'!$A$1:$O$99,15,0))</f>
        <v>0</v>
      </c>
      <c r="Y1293" s="70">
        <f ca="1">('TUSD BE'!$AM$21+'TUSD BF'!$AM$21+'TUSD CVA'!$AM$21)*1*(1-0.03)</f>
        <v>23.929316856639257</v>
      </c>
      <c r="Z1293" s="70"/>
      <c r="AA1293" s="70"/>
      <c r="AB1293" s="4">
        <f>$K$1293*$V$1293</f>
        <v>269615.45300000004</v>
      </c>
      <c r="AC1293" s="4">
        <f>$M$1293*$W$1293</f>
        <v>0</v>
      </c>
      <c r="AD1293" s="4">
        <f>$O$1293*$X$1293</f>
        <v>0</v>
      </c>
      <c r="AE1293" s="4">
        <f ca="1">$K$1293*$Y$1293</f>
        <v>314120.1423771035</v>
      </c>
      <c r="AF1293" s="4">
        <f>$M$1293*$Z$1293</f>
        <v>0</v>
      </c>
      <c r="AG1293" s="4">
        <f>$O$1293*$AA$1293</f>
        <v>0</v>
      </c>
    </row>
    <row r="1294" spans="1:33" ht="11.25" customHeight="1" x14ac:dyDescent="0.25">
      <c r="A1294" s="3" t="s">
        <v>28</v>
      </c>
      <c r="B1294" s="3" t="s">
        <v>33</v>
      </c>
      <c r="C1294" s="3" t="s">
        <v>34</v>
      </c>
      <c r="D1294" s="3" t="s">
        <v>50</v>
      </c>
      <c r="E1294" s="3" t="s">
        <v>51</v>
      </c>
      <c r="F1294" s="3" t="s">
        <v>25</v>
      </c>
      <c r="G1294" s="3" t="s">
        <v>25</v>
      </c>
      <c r="H1294" s="3" t="s">
        <v>25</v>
      </c>
      <c r="I1294" s="6">
        <v>44378</v>
      </c>
      <c r="J1294" s="4">
        <v>59</v>
      </c>
      <c r="K1294" s="71">
        <v>59</v>
      </c>
      <c r="L1294" s="4">
        <v>0</v>
      </c>
      <c r="M1294" s="70">
        <v>0</v>
      </c>
      <c r="N1294" s="4">
        <v>0</v>
      </c>
      <c r="O1294" s="70">
        <v>0</v>
      </c>
      <c r="P1294" s="4">
        <v>1</v>
      </c>
      <c r="Q1294" s="3" t="s">
        <v>26</v>
      </c>
      <c r="R1294" s="3">
        <v>0</v>
      </c>
      <c r="S1294" s="4">
        <v>7</v>
      </c>
      <c r="T1294" s="4">
        <v>0</v>
      </c>
      <c r="U1294" s="4">
        <v>0</v>
      </c>
      <c r="V1294" s="70">
        <f>IF(ISERROR(VLOOKUP($S$1294,'TAR FIN'!$A$1:$O$99,15,0)),0,VLOOKUP($S$1294,'TAR FIN'!$A$1:$O$99,15,0))*(1-0.06)</f>
        <v>20.539000000000001</v>
      </c>
      <c r="W1294" s="70">
        <f>IF(ISERROR(VLOOKUP($T$1294,'TAR FIN'!$A$1:$O$99,15,0)),0,VLOOKUP($T$1294,'TAR FIN'!$A$1:$O$99,15,0))</f>
        <v>0</v>
      </c>
      <c r="X1294" s="70">
        <f>IF(ISERROR(VLOOKUP($U$1294,'TAR FIN'!$A$1:$O$99,15,0)),0,VLOOKUP($U$1294,'TAR FIN'!$A$1:$O$99,15,0))</f>
        <v>0</v>
      </c>
      <c r="Y1294" s="70">
        <f ca="1">('TUSD BE'!$AM$21+'TUSD BF'!$AM$21+'TUSD CVA'!$AM$21)*1*(1-0.03)</f>
        <v>23.929316856639257</v>
      </c>
      <c r="Z1294" s="70"/>
      <c r="AA1294" s="70"/>
      <c r="AB1294" s="4">
        <f>$K$1294*$V$1294</f>
        <v>1211.8010000000002</v>
      </c>
      <c r="AC1294" s="4">
        <f>$M$1294*$W$1294</f>
        <v>0</v>
      </c>
      <c r="AD1294" s="4">
        <f>$O$1294*$X$1294</f>
        <v>0</v>
      </c>
      <c r="AE1294" s="4">
        <f ca="1">$K$1294*$Y$1294</f>
        <v>1411.8296945417162</v>
      </c>
      <c r="AF1294" s="4">
        <f>$M$1294*$Z$1294</f>
        <v>0</v>
      </c>
      <c r="AG1294" s="4">
        <f>$O$1294*$AA$1294</f>
        <v>0</v>
      </c>
    </row>
    <row r="1295" spans="1:33" ht="11.25" customHeight="1" x14ac:dyDescent="0.25">
      <c r="A1295" s="3" t="s">
        <v>21</v>
      </c>
      <c r="B1295" s="3" t="s">
        <v>33</v>
      </c>
      <c r="C1295" s="3" t="s">
        <v>34</v>
      </c>
      <c r="D1295" s="3" t="s">
        <v>50</v>
      </c>
      <c r="E1295" s="3" t="s">
        <v>51</v>
      </c>
      <c r="F1295" s="3" t="s">
        <v>25</v>
      </c>
      <c r="G1295" s="3" t="s">
        <v>25</v>
      </c>
      <c r="H1295" s="3" t="s">
        <v>25</v>
      </c>
      <c r="I1295" s="6">
        <v>44409</v>
      </c>
      <c r="J1295" s="4">
        <v>13536</v>
      </c>
      <c r="K1295" s="71">
        <v>13536</v>
      </c>
      <c r="L1295" s="4">
        <v>0</v>
      </c>
      <c r="M1295" s="70">
        <v>0</v>
      </c>
      <c r="N1295" s="4">
        <v>0</v>
      </c>
      <c r="O1295" s="70">
        <v>0</v>
      </c>
      <c r="P1295" s="4">
        <v>215</v>
      </c>
      <c r="Q1295" s="3" t="s">
        <v>26</v>
      </c>
      <c r="R1295" s="3">
        <v>0</v>
      </c>
      <c r="S1295" s="4">
        <v>7</v>
      </c>
      <c r="T1295" s="4">
        <v>0</v>
      </c>
      <c r="U1295" s="4">
        <v>0</v>
      </c>
      <c r="V1295" s="70">
        <f>IF(ISERROR(VLOOKUP($S$1295,'TAR FIN'!$A$1:$O$99,15,0)),0,VLOOKUP($S$1295,'TAR FIN'!$A$1:$O$99,15,0))*(1-0.06)</f>
        <v>20.539000000000001</v>
      </c>
      <c r="W1295" s="70">
        <f>IF(ISERROR(VLOOKUP($T$1295,'TAR FIN'!$A$1:$O$99,15,0)),0,VLOOKUP($T$1295,'TAR FIN'!$A$1:$O$99,15,0))</f>
        <v>0</v>
      </c>
      <c r="X1295" s="70">
        <f>IF(ISERROR(VLOOKUP($U$1295,'TAR FIN'!$A$1:$O$99,15,0)),0,VLOOKUP($U$1295,'TAR FIN'!$A$1:$O$99,15,0))</f>
        <v>0</v>
      </c>
      <c r="Y1295" s="70">
        <f ca="1">('TUSD BE'!$AM$21+'TUSD BF'!$AM$21+'TUSD CVA'!$AM$21)*1*(1-0.03)</f>
        <v>23.929316856639257</v>
      </c>
      <c r="Z1295" s="70"/>
      <c r="AA1295" s="70"/>
      <c r="AB1295" s="4">
        <f>$K$1295*$V$1295</f>
        <v>278015.90400000004</v>
      </c>
      <c r="AC1295" s="4">
        <f>$M$1295*$W$1295</f>
        <v>0</v>
      </c>
      <c r="AD1295" s="4">
        <f>$O$1295*$X$1295</f>
        <v>0</v>
      </c>
      <c r="AE1295" s="4">
        <f ca="1">$K$1295*$Y$1295</f>
        <v>323907.232971469</v>
      </c>
      <c r="AF1295" s="4">
        <f>$M$1295*$Z$1295</f>
        <v>0</v>
      </c>
      <c r="AG1295" s="4">
        <f>$O$1295*$AA$1295</f>
        <v>0</v>
      </c>
    </row>
    <row r="1296" spans="1:33" ht="11.25" customHeight="1" x14ac:dyDescent="0.25">
      <c r="A1296" s="3" t="s">
        <v>28</v>
      </c>
      <c r="B1296" s="3" t="s">
        <v>33</v>
      </c>
      <c r="C1296" s="3" t="s">
        <v>34</v>
      </c>
      <c r="D1296" s="3" t="s">
        <v>50</v>
      </c>
      <c r="E1296" s="3" t="s">
        <v>51</v>
      </c>
      <c r="F1296" s="3" t="s">
        <v>25</v>
      </c>
      <c r="G1296" s="3" t="s">
        <v>25</v>
      </c>
      <c r="H1296" s="3" t="s">
        <v>25</v>
      </c>
      <c r="I1296" s="6">
        <v>44409</v>
      </c>
      <c r="J1296" s="4">
        <v>57</v>
      </c>
      <c r="K1296" s="71">
        <v>57</v>
      </c>
      <c r="L1296" s="4">
        <v>0</v>
      </c>
      <c r="M1296" s="70">
        <v>0</v>
      </c>
      <c r="N1296" s="4">
        <v>0</v>
      </c>
      <c r="O1296" s="70">
        <v>0</v>
      </c>
      <c r="P1296" s="4">
        <v>1</v>
      </c>
      <c r="Q1296" s="3" t="s">
        <v>26</v>
      </c>
      <c r="R1296" s="3">
        <v>0</v>
      </c>
      <c r="S1296" s="4">
        <v>7</v>
      </c>
      <c r="T1296" s="4">
        <v>0</v>
      </c>
      <c r="U1296" s="4">
        <v>0</v>
      </c>
      <c r="V1296" s="70">
        <f>IF(ISERROR(VLOOKUP($S$1296,'TAR FIN'!$A$1:$O$99,15,0)),0,VLOOKUP($S$1296,'TAR FIN'!$A$1:$O$99,15,0))*(1-0.06)</f>
        <v>20.539000000000001</v>
      </c>
      <c r="W1296" s="70">
        <f>IF(ISERROR(VLOOKUP($T$1296,'TAR FIN'!$A$1:$O$99,15,0)),0,VLOOKUP($T$1296,'TAR FIN'!$A$1:$O$99,15,0))</f>
        <v>0</v>
      </c>
      <c r="X1296" s="70">
        <f>IF(ISERROR(VLOOKUP($U$1296,'TAR FIN'!$A$1:$O$99,15,0)),0,VLOOKUP($U$1296,'TAR FIN'!$A$1:$O$99,15,0))</f>
        <v>0</v>
      </c>
      <c r="Y1296" s="70">
        <f ca="1">('TUSD BE'!$AM$21+'TUSD BF'!$AM$21+'TUSD CVA'!$AM$21)*1*(1-0.03)</f>
        <v>23.929316856639257</v>
      </c>
      <c r="Z1296" s="70"/>
      <c r="AA1296" s="70"/>
      <c r="AB1296" s="4">
        <f>$K$1296*$V$1296</f>
        <v>1170.7230000000002</v>
      </c>
      <c r="AC1296" s="4">
        <f>$M$1296*$W$1296</f>
        <v>0</v>
      </c>
      <c r="AD1296" s="4">
        <f>$O$1296*$X$1296</f>
        <v>0</v>
      </c>
      <c r="AE1296" s="4">
        <f ca="1">$K$1296*$Y$1296</f>
        <v>1363.9710608284377</v>
      </c>
      <c r="AF1296" s="4">
        <f>$M$1296*$Z$1296</f>
        <v>0</v>
      </c>
      <c r="AG1296" s="4">
        <f>$O$1296*$AA$1296</f>
        <v>0</v>
      </c>
    </row>
    <row r="1297" spans="1:33" ht="11.25" customHeight="1" x14ac:dyDescent="0.25">
      <c r="A1297" s="3" t="s">
        <v>21</v>
      </c>
      <c r="B1297" s="3" t="s">
        <v>33</v>
      </c>
      <c r="C1297" s="3" t="s">
        <v>34</v>
      </c>
      <c r="D1297" s="3" t="s">
        <v>50</v>
      </c>
      <c r="E1297" s="3" t="s">
        <v>51</v>
      </c>
      <c r="F1297" s="3" t="s">
        <v>25</v>
      </c>
      <c r="G1297" s="3" t="s">
        <v>25</v>
      </c>
      <c r="H1297" s="3" t="s">
        <v>25</v>
      </c>
      <c r="I1297" s="6">
        <v>44440</v>
      </c>
      <c r="J1297" s="4">
        <v>13015</v>
      </c>
      <c r="K1297" s="71">
        <v>13015</v>
      </c>
      <c r="L1297" s="4">
        <v>0</v>
      </c>
      <c r="M1297" s="70">
        <v>0</v>
      </c>
      <c r="N1297" s="4">
        <v>0</v>
      </c>
      <c r="O1297" s="70">
        <v>0</v>
      </c>
      <c r="P1297" s="4">
        <v>217</v>
      </c>
      <c r="Q1297" s="3" t="s">
        <v>26</v>
      </c>
      <c r="R1297" s="3">
        <v>0</v>
      </c>
      <c r="S1297" s="4">
        <v>7</v>
      </c>
      <c r="T1297" s="4">
        <v>0</v>
      </c>
      <c r="U1297" s="4">
        <v>0</v>
      </c>
      <c r="V1297" s="70">
        <f>IF(ISERROR(VLOOKUP($S$1297,'TAR FIN'!$A$1:$O$99,15,0)),0,VLOOKUP($S$1297,'TAR FIN'!$A$1:$O$99,15,0))*(1-0.06)</f>
        <v>20.539000000000001</v>
      </c>
      <c r="W1297" s="70">
        <f>IF(ISERROR(VLOOKUP($T$1297,'TAR FIN'!$A$1:$O$99,15,0)),0,VLOOKUP($T$1297,'TAR FIN'!$A$1:$O$99,15,0))</f>
        <v>0</v>
      </c>
      <c r="X1297" s="70">
        <f>IF(ISERROR(VLOOKUP($U$1297,'TAR FIN'!$A$1:$O$99,15,0)),0,VLOOKUP($U$1297,'TAR FIN'!$A$1:$O$99,15,0))</f>
        <v>0</v>
      </c>
      <c r="Y1297" s="70">
        <f ca="1">('TUSD BE'!$AM$21+'TUSD BF'!$AM$21+'TUSD CVA'!$AM$21)*1*(1-0.03)</f>
        <v>23.929316856639257</v>
      </c>
      <c r="Z1297" s="70"/>
      <c r="AA1297" s="70"/>
      <c r="AB1297" s="4">
        <f>$K$1297*$V$1297</f>
        <v>267315.08500000002</v>
      </c>
      <c r="AC1297" s="4">
        <f>$M$1297*$W$1297</f>
        <v>0</v>
      </c>
      <c r="AD1297" s="4">
        <f>$O$1297*$X$1297</f>
        <v>0</v>
      </c>
      <c r="AE1297" s="4">
        <f ca="1">$K$1297*$Y$1297</f>
        <v>311440.05888915993</v>
      </c>
      <c r="AF1297" s="4">
        <f>$M$1297*$Z$1297</f>
        <v>0</v>
      </c>
      <c r="AG1297" s="4">
        <f>$O$1297*$AA$1297</f>
        <v>0</v>
      </c>
    </row>
    <row r="1298" spans="1:33" ht="11.25" customHeight="1" x14ac:dyDescent="0.25">
      <c r="A1298" s="3" t="s">
        <v>28</v>
      </c>
      <c r="B1298" s="3" t="s">
        <v>33</v>
      </c>
      <c r="C1298" s="3" t="s">
        <v>34</v>
      </c>
      <c r="D1298" s="3" t="s">
        <v>50</v>
      </c>
      <c r="E1298" s="3" t="s">
        <v>51</v>
      </c>
      <c r="F1298" s="3" t="s">
        <v>25</v>
      </c>
      <c r="G1298" s="3" t="s">
        <v>25</v>
      </c>
      <c r="H1298" s="3" t="s">
        <v>25</v>
      </c>
      <c r="I1298" s="6">
        <v>44440</v>
      </c>
      <c r="J1298" s="4">
        <v>65</v>
      </c>
      <c r="K1298" s="71">
        <v>65</v>
      </c>
      <c r="L1298" s="4">
        <v>0</v>
      </c>
      <c r="M1298" s="70">
        <v>0</v>
      </c>
      <c r="N1298" s="4">
        <v>0</v>
      </c>
      <c r="O1298" s="70">
        <v>0</v>
      </c>
      <c r="P1298" s="4">
        <v>1</v>
      </c>
      <c r="Q1298" s="3" t="s">
        <v>26</v>
      </c>
      <c r="R1298" s="3">
        <v>0</v>
      </c>
      <c r="S1298" s="4">
        <v>7</v>
      </c>
      <c r="T1298" s="4">
        <v>0</v>
      </c>
      <c r="U1298" s="4">
        <v>0</v>
      </c>
      <c r="V1298" s="70">
        <f>IF(ISERROR(VLOOKUP($S$1298,'TAR FIN'!$A$1:$O$99,15,0)),0,VLOOKUP($S$1298,'TAR FIN'!$A$1:$O$99,15,0))*(1-0.06)</f>
        <v>20.539000000000001</v>
      </c>
      <c r="W1298" s="70">
        <f>IF(ISERROR(VLOOKUP($T$1298,'TAR FIN'!$A$1:$O$99,15,0)),0,VLOOKUP($T$1298,'TAR FIN'!$A$1:$O$99,15,0))</f>
        <v>0</v>
      </c>
      <c r="X1298" s="70">
        <f>IF(ISERROR(VLOOKUP($U$1298,'TAR FIN'!$A$1:$O$99,15,0)),0,VLOOKUP($U$1298,'TAR FIN'!$A$1:$O$99,15,0))</f>
        <v>0</v>
      </c>
      <c r="Y1298" s="70">
        <f ca="1">('TUSD BE'!$AM$21+'TUSD BF'!$AM$21+'TUSD CVA'!$AM$21)*1*(1-0.03)</f>
        <v>23.929316856639257</v>
      </c>
      <c r="Z1298" s="70"/>
      <c r="AA1298" s="70"/>
      <c r="AB1298" s="4">
        <f>$K$1298*$V$1298</f>
        <v>1335.0350000000001</v>
      </c>
      <c r="AC1298" s="4">
        <f>$M$1298*$W$1298</f>
        <v>0</v>
      </c>
      <c r="AD1298" s="4">
        <f>$O$1298*$X$1298</f>
        <v>0</v>
      </c>
      <c r="AE1298" s="4">
        <f ca="1">$K$1298*$Y$1298</f>
        <v>1555.4055956815516</v>
      </c>
      <c r="AF1298" s="4">
        <f>$M$1298*$Z$1298</f>
        <v>0</v>
      </c>
      <c r="AG1298" s="4">
        <f>$O$1298*$AA$1298</f>
        <v>0</v>
      </c>
    </row>
    <row r="1299" spans="1:33" ht="11.25" customHeight="1" x14ac:dyDescent="0.25">
      <c r="A1299" s="3" t="s">
        <v>21</v>
      </c>
      <c r="B1299" s="3" t="s">
        <v>33</v>
      </c>
      <c r="C1299" s="3" t="s">
        <v>34</v>
      </c>
      <c r="D1299" s="3" t="s">
        <v>50</v>
      </c>
      <c r="E1299" s="3" t="s">
        <v>51</v>
      </c>
      <c r="F1299" s="3" t="s">
        <v>25</v>
      </c>
      <c r="G1299" s="3" t="s">
        <v>25</v>
      </c>
      <c r="H1299" s="3" t="s">
        <v>25</v>
      </c>
      <c r="I1299" s="6">
        <v>44470</v>
      </c>
      <c r="J1299" s="4">
        <v>14089</v>
      </c>
      <c r="K1299" s="71">
        <v>14089</v>
      </c>
      <c r="L1299" s="4">
        <v>0</v>
      </c>
      <c r="M1299" s="70">
        <v>0</v>
      </c>
      <c r="N1299" s="4">
        <v>0</v>
      </c>
      <c r="O1299" s="70">
        <v>0</v>
      </c>
      <c r="P1299" s="4">
        <v>206</v>
      </c>
      <c r="Q1299" s="3" t="s">
        <v>26</v>
      </c>
      <c r="R1299" s="3">
        <v>0</v>
      </c>
      <c r="S1299" s="4">
        <v>7</v>
      </c>
      <c r="T1299" s="4">
        <v>0</v>
      </c>
      <c r="U1299" s="4">
        <v>0</v>
      </c>
      <c r="V1299" s="70">
        <f>IF(ISERROR(VLOOKUP($S$1299,'TAR FIN'!$A$1:$O$99,15,0)),0,VLOOKUP($S$1299,'TAR FIN'!$A$1:$O$99,15,0))*(1-0.06)</f>
        <v>20.539000000000001</v>
      </c>
      <c r="W1299" s="70">
        <f>IF(ISERROR(VLOOKUP($T$1299,'TAR FIN'!$A$1:$O$99,15,0)),0,VLOOKUP($T$1299,'TAR FIN'!$A$1:$O$99,15,0))</f>
        <v>0</v>
      </c>
      <c r="X1299" s="70">
        <f>IF(ISERROR(VLOOKUP($U$1299,'TAR FIN'!$A$1:$O$99,15,0)),0,VLOOKUP($U$1299,'TAR FIN'!$A$1:$O$99,15,0))</f>
        <v>0</v>
      </c>
      <c r="Y1299" s="70">
        <f ca="1">('TUSD BE'!$AM$21+'TUSD BF'!$AM$21+'TUSD CVA'!$AM$21)*1*(1-0.03)</f>
        <v>23.929316856639257</v>
      </c>
      <c r="Z1299" s="70"/>
      <c r="AA1299" s="70"/>
      <c r="AB1299" s="4">
        <f>$K$1299*$V$1299</f>
        <v>289373.97100000002</v>
      </c>
      <c r="AC1299" s="4">
        <f>$M$1299*$W$1299</f>
        <v>0</v>
      </c>
      <c r="AD1299" s="4">
        <f>$O$1299*$X$1299</f>
        <v>0</v>
      </c>
      <c r="AE1299" s="4">
        <f ca="1">$K$1299*$Y$1299</f>
        <v>337140.14519319049</v>
      </c>
      <c r="AF1299" s="4">
        <f>$M$1299*$Z$1299</f>
        <v>0</v>
      </c>
      <c r="AG1299" s="4">
        <f>$O$1299*$AA$1299</f>
        <v>0</v>
      </c>
    </row>
    <row r="1300" spans="1:33" ht="11.25" customHeight="1" x14ac:dyDescent="0.25">
      <c r="A1300" s="3" t="s">
        <v>28</v>
      </c>
      <c r="B1300" s="3" t="s">
        <v>33</v>
      </c>
      <c r="C1300" s="3" t="s">
        <v>34</v>
      </c>
      <c r="D1300" s="3" t="s">
        <v>50</v>
      </c>
      <c r="E1300" s="3" t="s">
        <v>51</v>
      </c>
      <c r="F1300" s="3" t="s">
        <v>25</v>
      </c>
      <c r="G1300" s="3" t="s">
        <v>25</v>
      </c>
      <c r="H1300" s="3" t="s">
        <v>25</v>
      </c>
      <c r="I1300" s="6">
        <v>44470</v>
      </c>
      <c r="J1300" s="4">
        <v>61</v>
      </c>
      <c r="K1300" s="71">
        <v>61</v>
      </c>
      <c r="L1300" s="4">
        <v>0</v>
      </c>
      <c r="M1300" s="70">
        <v>0</v>
      </c>
      <c r="N1300" s="4">
        <v>0</v>
      </c>
      <c r="O1300" s="70">
        <v>0</v>
      </c>
      <c r="P1300" s="4">
        <v>1</v>
      </c>
      <c r="Q1300" s="3" t="s">
        <v>26</v>
      </c>
      <c r="R1300" s="3">
        <v>0</v>
      </c>
      <c r="S1300" s="4">
        <v>7</v>
      </c>
      <c r="T1300" s="4">
        <v>0</v>
      </c>
      <c r="U1300" s="4">
        <v>0</v>
      </c>
      <c r="V1300" s="70">
        <f>IF(ISERROR(VLOOKUP($S$1300,'TAR FIN'!$A$1:$O$99,15,0)),0,VLOOKUP($S$1300,'TAR FIN'!$A$1:$O$99,15,0))*(1-0.06)</f>
        <v>20.539000000000001</v>
      </c>
      <c r="W1300" s="70">
        <f>IF(ISERROR(VLOOKUP($T$1300,'TAR FIN'!$A$1:$O$99,15,0)),0,VLOOKUP($T$1300,'TAR FIN'!$A$1:$O$99,15,0))</f>
        <v>0</v>
      </c>
      <c r="X1300" s="70">
        <f>IF(ISERROR(VLOOKUP($U$1300,'TAR FIN'!$A$1:$O$99,15,0)),0,VLOOKUP($U$1300,'TAR FIN'!$A$1:$O$99,15,0))</f>
        <v>0</v>
      </c>
      <c r="Y1300" s="70">
        <f ca="1">('TUSD BE'!$AM$21+'TUSD BF'!$AM$21+'TUSD CVA'!$AM$21)*1*(1-0.03)</f>
        <v>23.929316856639257</v>
      </c>
      <c r="Z1300" s="70"/>
      <c r="AA1300" s="70"/>
      <c r="AB1300" s="4">
        <f>$K$1300*$V$1300</f>
        <v>1252.8790000000001</v>
      </c>
      <c r="AC1300" s="4">
        <f>$M$1300*$W$1300</f>
        <v>0</v>
      </c>
      <c r="AD1300" s="4">
        <f>$O$1300*$X$1300</f>
        <v>0</v>
      </c>
      <c r="AE1300" s="4">
        <f ca="1">$K$1300*$Y$1300</f>
        <v>1459.6883282549948</v>
      </c>
      <c r="AF1300" s="4">
        <f>$M$1300*$Z$1300</f>
        <v>0</v>
      </c>
      <c r="AG1300" s="4">
        <f>$O$1300*$AA$1300</f>
        <v>0</v>
      </c>
    </row>
    <row r="1301" spans="1:33" ht="11.25" customHeight="1" x14ac:dyDescent="0.25">
      <c r="A1301" s="3" t="s">
        <v>21</v>
      </c>
      <c r="B1301" s="3" t="s">
        <v>33</v>
      </c>
      <c r="C1301" s="3" t="s">
        <v>34</v>
      </c>
      <c r="D1301" s="3" t="s">
        <v>50</v>
      </c>
      <c r="E1301" s="3" t="s">
        <v>51</v>
      </c>
      <c r="F1301" s="3" t="s">
        <v>25</v>
      </c>
      <c r="G1301" s="3" t="s">
        <v>25</v>
      </c>
      <c r="H1301" s="3" t="s">
        <v>25</v>
      </c>
      <c r="I1301" s="6">
        <v>44501</v>
      </c>
      <c r="J1301" s="4">
        <v>14911</v>
      </c>
      <c r="K1301" s="71">
        <v>14911</v>
      </c>
      <c r="L1301" s="4">
        <v>0</v>
      </c>
      <c r="M1301" s="70">
        <v>0</v>
      </c>
      <c r="N1301" s="4">
        <v>0</v>
      </c>
      <c r="O1301" s="70">
        <v>0</v>
      </c>
      <c r="P1301" s="4">
        <v>207</v>
      </c>
      <c r="Q1301" s="3" t="s">
        <v>26</v>
      </c>
      <c r="R1301" s="3">
        <v>0</v>
      </c>
      <c r="S1301" s="4">
        <v>7</v>
      </c>
      <c r="T1301" s="4">
        <v>0</v>
      </c>
      <c r="U1301" s="4">
        <v>0</v>
      </c>
      <c r="V1301" s="70">
        <f>IF(ISERROR(VLOOKUP($S$1301,'TAR FIN'!$A$1:$O$99,15,0)),0,VLOOKUP($S$1301,'TAR FIN'!$A$1:$O$99,15,0))*(1-0.06)</f>
        <v>20.539000000000001</v>
      </c>
      <c r="W1301" s="70">
        <f>IF(ISERROR(VLOOKUP($T$1301,'TAR FIN'!$A$1:$O$99,15,0)),0,VLOOKUP($T$1301,'TAR FIN'!$A$1:$O$99,15,0))</f>
        <v>0</v>
      </c>
      <c r="X1301" s="70">
        <f>IF(ISERROR(VLOOKUP($U$1301,'TAR FIN'!$A$1:$O$99,15,0)),0,VLOOKUP($U$1301,'TAR FIN'!$A$1:$O$99,15,0))</f>
        <v>0</v>
      </c>
      <c r="Y1301" s="70">
        <f ca="1">('TUSD BE'!$AM$21+'TUSD BF'!$AM$21+'TUSD CVA'!$AM$21)*1*(1-0.03)</f>
        <v>23.929316856639257</v>
      </c>
      <c r="Z1301" s="70"/>
      <c r="AA1301" s="70"/>
      <c r="AB1301" s="4">
        <f>$K$1301*$V$1301</f>
        <v>306257.02900000004</v>
      </c>
      <c r="AC1301" s="4">
        <f>$M$1301*$W$1301</f>
        <v>0</v>
      </c>
      <c r="AD1301" s="4">
        <f>$O$1301*$X$1301</f>
        <v>0</v>
      </c>
      <c r="AE1301" s="4">
        <f ca="1">$K$1301*$Y$1301</f>
        <v>356810.04364934796</v>
      </c>
      <c r="AF1301" s="4">
        <f>$M$1301*$Z$1301</f>
        <v>0</v>
      </c>
      <c r="AG1301" s="4">
        <f>$O$1301*$AA$1301</f>
        <v>0</v>
      </c>
    </row>
    <row r="1302" spans="1:33" ht="11.25" customHeight="1" x14ac:dyDescent="0.25">
      <c r="A1302" s="3" t="s">
        <v>27</v>
      </c>
      <c r="B1302" s="3" t="s">
        <v>33</v>
      </c>
      <c r="C1302" s="3" t="s">
        <v>34</v>
      </c>
      <c r="D1302" s="3" t="s">
        <v>50</v>
      </c>
      <c r="E1302" s="3" t="s">
        <v>51</v>
      </c>
      <c r="F1302" s="3" t="s">
        <v>25</v>
      </c>
      <c r="G1302" s="3" t="s">
        <v>25</v>
      </c>
      <c r="H1302" s="3" t="s">
        <v>25</v>
      </c>
      <c r="I1302" s="6">
        <v>44501</v>
      </c>
      <c r="J1302" s="4">
        <v>91</v>
      </c>
      <c r="K1302" s="71">
        <v>91</v>
      </c>
      <c r="L1302" s="4">
        <v>0</v>
      </c>
      <c r="M1302" s="70">
        <v>0</v>
      </c>
      <c r="N1302" s="4">
        <v>0</v>
      </c>
      <c r="O1302" s="70">
        <v>0</v>
      </c>
      <c r="P1302" s="4">
        <v>1</v>
      </c>
      <c r="Q1302" s="3" t="s">
        <v>26</v>
      </c>
      <c r="R1302" s="3">
        <v>0</v>
      </c>
      <c r="S1302" s="4">
        <v>7</v>
      </c>
      <c r="T1302" s="4">
        <v>0</v>
      </c>
      <c r="U1302" s="4">
        <v>0</v>
      </c>
      <c r="V1302" s="70">
        <f>IF(ISERROR(VLOOKUP($S$1302,'TAR FIN'!$A$1:$O$99,15,0)),0,VLOOKUP($S$1302,'TAR FIN'!$A$1:$O$99,15,0))*(1-0.06)</f>
        <v>20.539000000000001</v>
      </c>
      <c r="W1302" s="70">
        <f>IF(ISERROR(VLOOKUP($T$1302,'TAR FIN'!$A$1:$O$99,15,0)),0,VLOOKUP($T$1302,'TAR FIN'!$A$1:$O$99,15,0))</f>
        <v>0</v>
      </c>
      <c r="X1302" s="70">
        <f>IF(ISERROR(VLOOKUP($U$1302,'TAR FIN'!$A$1:$O$99,15,0)),0,VLOOKUP($U$1302,'TAR FIN'!$A$1:$O$99,15,0))</f>
        <v>0</v>
      </c>
      <c r="Y1302" s="70">
        <f ca="1">('TUSD BE'!$AM$21+'TUSD BF'!$AM$21+'TUSD CVA'!$AM$21)*1*(1-0.03)</f>
        <v>23.929316856639257</v>
      </c>
      <c r="Z1302" s="70"/>
      <c r="AA1302" s="70"/>
      <c r="AB1302" s="4">
        <f>$K$1302*$V$1302</f>
        <v>1869.0490000000002</v>
      </c>
      <c r="AC1302" s="4">
        <f>$M$1302*$W$1302</f>
        <v>0</v>
      </c>
      <c r="AD1302" s="4">
        <f>$O$1302*$X$1302</f>
        <v>0</v>
      </c>
      <c r="AE1302" s="4">
        <f ca="1">$K$1302*$Y$1302</f>
        <v>2177.5678339541723</v>
      </c>
      <c r="AF1302" s="4">
        <f>$M$1302*$Z$1302</f>
        <v>0</v>
      </c>
      <c r="AG1302" s="4">
        <f>$O$1302*$AA$1302</f>
        <v>0</v>
      </c>
    </row>
    <row r="1303" spans="1:33" ht="11.25" customHeight="1" x14ac:dyDescent="0.25">
      <c r="A1303" s="3" t="s">
        <v>28</v>
      </c>
      <c r="B1303" s="3" t="s">
        <v>33</v>
      </c>
      <c r="C1303" s="3" t="s">
        <v>34</v>
      </c>
      <c r="D1303" s="3" t="s">
        <v>50</v>
      </c>
      <c r="E1303" s="3" t="s">
        <v>51</v>
      </c>
      <c r="F1303" s="3" t="s">
        <v>25</v>
      </c>
      <c r="G1303" s="3" t="s">
        <v>25</v>
      </c>
      <c r="H1303" s="3" t="s">
        <v>25</v>
      </c>
      <c r="I1303" s="6">
        <v>44501</v>
      </c>
      <c r="J1303" s="4">
        <v>60</v>
      </c>
      <c r="K1303" s="71">
        <v>60</v>
      </c>
      <c r="L1303" s="4">
        <v>0</v>
      </c>
      <c r="M1303" s="70">
        <v>0</v>
      </c>
      <c r="N1303" s="4">
        <v>0</v>
      </c>
      <c r="O1303" s="70">
        <v>0</v>
      </c>
      <c r="P1303" s="4">
        <v>1</v>
      </c>
      <c r="Q1303" s="3" t="s">
        <v>26</v>
      </c>
      <c r="R1303" s="3">
        <v>0</v>
      </c>
      <c r="S1303" s="4">
        <v>7</v>
      </c>
      <c r="T1303" s="4">
        <v>0</v>
      </c>
      <c r="U1303" s="4">
        <v>0</v>
      </c>
      <c r="V1303" s="70">
        <f>IF(ISERROR(VLOOKUP($S$1303,'TAR FIN'!$A$1:$O$99,15,0)),0,VLOOKUP($S$1303,'TAR FIN'!$A$1:$O$99,15,0))*(1-0.06)</f>
        <v>20.539000000000001</v>
      </c>
      <c r="W1303" s="70">
        <f>IF(ISERROR(VLOOKUP($T$1303,'TAR FIN'!$A$1:$O$99,15,0)),0,VLOOKUP($T$1303,'TAR FIN'!$A$1:$O$99,15,0))</f>
        <v>0</v>
      </c>
      <c r="X1303" s="70">
        <f>IF(ISERROR(VLOOKUP($U$1303,'TAR FIN'!$A$1:$O$99,15,0)),0,VLOOKUP($U$1303,'TAR FIN'!$A$1:$O$99,15,0))</f>
        <v>0</v>
      </c>
      <c r="Y1303" s="70">
        <f ca="1">('TUSD BE'!$AM$21+'TUSD BF'!$AM$21+'TUSD CVA'!$AM$21)*1*(1-0.03)</f>
        <v>23.929316856639257</v>
      </c>
      <c r="Z1303" s="70"/>
      <c r="AA1303" s="70"/>
      <c r="AB1303" s="4">
        <f>$K$1303*$V$1303</f>
        <v>1232.3400000000001</v>
      </c>
      <c r="AC1303" s="4">
        <f>$M$1303*$W$1303</f>
        <v>0</v>
      </c>
      <c r="AD1303" s="4">
        <f>$O$1303*$X$1303</f>
        <v>0</v>
      </c>
      <c r="AE1303" s="4">
        <f ca="1">$K$1303*$Y$1303</f>
        <v>1435.7590113983554</v>
      </c>
      <c r="AF1303" s="4">
        <f>$M$1303*$Z$1303</f>
        <v>0</v>
      </c>
      <c r="AG1303" s="4">
        <f>$O$1303*$AA$1303</f>
        <v>0</v>
      </c>
    </row>
    <row r="1304" spans="1:33" ht="11.25" customHeight="1" x14ac:dyDescent="0.25">
      <c r="A1304" s="3" t="s">
        <v>21</v>
      </c>
      <c r="B1304" s="3" t="s">
        <v>33</v>
      </c>
      <c r="C1304" s="3" t="s">
        <v>34</v>
      </c>
      <c r="D1304" s="3" t="s">
        <v>50</v>
      </c>
      <c r="E1304" s="3" t="s">
        <v>51</v>
      </c>
      <c r="F1304" s="3" t="s">
        <v>25</v>
      </c>
      <c r="G1304" s="3" t="s">
        <v>25</v>
      </c>
      <c r="H1304" s="3" t="s">
        <v>25</v>
      </c>
      <c r="I1304" s="6">
        <v>44531</v>
      </c>
      <c r="J1304" s="4">
        <v>15382</v>
      </c>
      <c r="K1304" s="71">
        <v>15382</v>
      </c>
      <c r="L1304" s="4">
        <v>0</v>
      </c>
      <c r="M1304" s="70">
        <v>0</v>
      </c>
      <c r="N1304" s="4">
        <v>0</v>
      </c>
      <c r="O1304" s="70">
        <v>0</v>
      </c>
      <c r="P1304" s="4">
        <v>207</v>
      </c>
      <c r="Q1304" s="3" t="s">
        <v>26</v>
      </c>
      <c r="R1304" s="3">
        <v>0</v>
      </c>
      <c r="S1304" s="4">
        <v>7</v>
      </c>
      <c r="T1304" s="4">
        <v>0</v>
      </c>
      <c r="U1304" s="4">
        <v>0</v>
      </c>
      <c r="V1304" s="70">
        <f>IF(ISERROR(VLOOKUP($S$1304,'TAR FIN'!$A$1:$O$99,15,0)),0,VLOOKUP($S$1304,'TAR FIN'!$A$1:$O$99,15,0))*(1-0.06)</f>
        <v>20.539000000000001</v>
      </c>
      <c r="W1304" s="70">
        <f>IF(ISERROR(VLOOKUP($T$1304,'TAR FIN'!$A$1:$O$99,15,0)),0,VLOOKUP($T$1304,'TAR FIN'!$A$1:$O$99,15,0))</f>
        <v>0</v>
      </c>
      <c r="X1304" s="70">
        <f>IF(ISERROR(VLOOKUP($U$1304,'TAR FIN'!$A$1:$O$99,15,0)),0,VLOOKUP($U$1304,'TAR FIN'!$A$1:$O$99,15,0))</f>
        <v>0</v>
      </c>
      <c r="Y1304" s="70">
        <f ca="1">('TUSD BE'!$AM$21+'TUSD BF'!$AM$21+'TUSD CVA'!$AM$21)*1*(1-0.03)</f>
        <v>23.929316856639257</v>
      </c>
      <c r="Z1304" s="70"/>
      <c r="AA1304" s="70"/>
      <c r="AB1304" s="4">
        <f>$K$1304*$V$1304</f>
        <v>315930.89800000004</v>
      </c>
      <c r="AC1304" s="4">
        <f>$M$1304*$W$1304</f>
        <v>0</v>
      </c>
      <c r="AD1304" s="4">
        <f>$O$1304*$X$1304</f>
        <v>0</v>
      </c>
      <c r="AE1304" s="4">
        <f ca="1">$K$1304*$Y$1304</f>
        <v>368080.75188882503</v>
      </c>
      <c r="AF1304" s="4">
        <f>$M$1304*$Z$1304</f>
        <v>0</v>
      </c>
      <c r="AG1304" s="4">
        <f>$O$1304*$AA$1304</f>
        <v>0</v>
      </c>
    </row>
    <row r="1305" spans="1:33" ht="11.25" customHeight="1" x14ac:dyDescent="0.25">
      <c r="A1305" s="3" t="s">
        <v>27</v>
      </c>
      <c r="B1305" s="3" t="s">
        <v>33</v>
      </c>
      <c r="C1305" s="3" t="s">
        <v>34</v>
      </c>
      <c r="D1305" s="3" t="s">
        <v>50</v>
      </c>
      <c r="E1305" s="3" t="s">
        <v>51</v>
      </c>
      <c r="F1305" s="3" t="s">
        <v>25</v>
      </c>
      <c r="G1305" s="3" t="s">
        <v>25</v>
      </c>
      <c r="H1305" s="3" t="s">
        <v>25</v>
      </c>
      <c r="I1305" s="6">
        <v>44531</v>
      </c>
      <c r="J1305" s="4">
        <v>70</v>
      </c>
      <c r="K1305" s="71">
        <v>70</v>
      </c>
      <c r="L1305" s="4">
        <v>0</v>
      </c>
      <c r="M1305" s="70">
        <v>0</v>
      </c>
      <c r="N1305" s="4">
        <v>0</v>
      </c>
      <c r="O1305" s="70">
        <v>0</v>
      </c>
      <c r="P1305" s="4">
        <v>0</v>
      </c>
      <c r="Q1305" s="3" t="s">
        <v>26</v>
      </c>
      <c r="R1305" s="3">
        <v>0</v>
      </c>
      <c r="S1305" s="4">
        <v>7</v>
      </c>
      <c r="T1305" s="4">
        <v>0</v>
      </c>
      <c r="U1305" s="4">
        <v>0</v>
      </c>
      <c r="V1305" s="70">
        <f>IF(ISERROR(VLOOKUP($S$1305,'TAR FIN'!$A$1:$O$99,15,0)),0,VLOOKUP($S$1305,'TAR FIN'!$A$1:$O$99,15,0))*(1-0.06)</f>
        <v>20.539000000000001</v>
      </c>
      <c r="W1305" s="70">
        <f>IF(ISERROR(VLOOKUP($T$1305,'TAR FIN'!$A$1:$O$99,15,0)),0,VLOOKUP($T$1305,'TAR FIN'!$A$1:$O$99,15,0))</f>
        <v>0</v>
      </c>
      <c r="X1305" s="70">
        <f>IF(ISERROR(VLOOKUP($U$1305,'TAR FIN'!$A$1:$O$99,15,0)),0,VLOOKUP($U$1305,'TAR FIN'!$A$1:$O$99,15,0))</f>
        <v>0</v>
      </c>
      <c r="Y1305" s="70">
        <f ca="1">('TUSD BE'!$AM$21+'TUSD BF'!$AM$21+'TUSD CVA'!$AM$21)*1*(1-0.03)</f>
        <v>23.929316856639257</v>
      </c>
      <c r="Z1305" s="70"/>
      <c r="AA1305" s="70"/>
      <c r="AB1305" s="4">
        <f>$K$1305*$V$1305</f>
        <v>1437.73</v>
      </c>
      <c r="AC1305" s="4">
        <f>$M$1305*$W$1305</f>
        <v>0</v>
      </c>
      <c r="AD1305" s="4">
        <f>$O$1305*$X$1305</f>
        <v>0</v>
      </c>
      <c r="AE1305" s="4">
        <f ca="1">$K$1305*$Y$1305</f>
        <v>1675.0521799647481</v>
      </c>
      <c r="AF1305" s="4">
        <f>$M$1305*$Z$1305</f>
        <v>0</v>
      </c>
      <c r="AG1305" s="4">
        <f>$O$1305*$AA$1305</f>
        <v>0</v>
      </c>
    </row>
    <row r="1306" spans="1:33" ht="11.25" customHeight="1" x14ac:dyDescent="0.25">
      <c r="A1306" s="3" t="s">
        <v>28</v>
      </c>
      <c r="B1306" s="3" t="s">
        <v>33</v>
      </c>
      <c r="C1306" s="3" t="s">
        <v>34</v>
      </c>
      <c r="D1306" s="3" t="s">
        <v>50</v>
      </c>
      <c r="E1306" s="3" t="s">
        <v>51</v>
      </c>
      <c r="F1306" s="3" t="s">
        <v>25</v>
      </c>
      <c r="G1306" s="3" t="s">
        <v>25</v>
      </c>
      <c r="H1306" s="3" t="s">
        <v>25</v>
      </c>
      <c r="I1306" s="6">
        <v>44531</v>
      </c>
      <c r="J1306" s="4">
        <v>60</v>
      </c>
      <c r="K1306" s="71">
        <v>60</v>
      </c>
      <c r="L1306" s="4">
        <v>0</v>
      </c>
      <c r="M1306" s="70">
        <v>0</v>
      </c>
      <c r="N1306" s="4">
        <v>0</v>
      </c>
      <c r="O1306" s="70">
        <v>0</v>
      </c>
      <c r="P1306" s="4">
        <v>1</v>
      </c>
      <c r="Q1306" s="3" t="s">
        <v>26</v>
      </c>
      <c r="R1306" s="3">
        <v>0</v>
      </c>
      <c r="S1306" s="4">
        <v>7</v>
      </c>
      <c r="T1306" s="4">
        <v>0</v>
      </c>
      <c r="U1306" s="4">
        <v>0</v>
      </c>
      <c r="V1306" s="70">
        <f>IF(ISERROR(VLOOKUP($S$1306,'TAR FIN'!$A$1:$O$99,15,0)),0,VLOOKUP($S$1306,'TAR FIN'!$A$1:$O$99,15,0))*(1-0.06)</f>
        <v>20.539000000000001</v>
      </c>
      <c r="W1306" s="70">
        <f>IF(ISERROR(VLOOKUP($T$1306,'TAR FIN'!$A$1:$O$99,15,0)),0,VLOOKUP($T$1306,'TAR FIN'!$A$1:$O$99,15,0))</f>
        <v>0</v>
      </c>
      <c r="X1306" s="70">
        <f>IF(ISERROR(VLOOKUP($U$1306,'TAR FIN'!$A$1:$O$99,15,0)),0,VLOOKUP($U$1306,'TAR FIN'!$A$1:$O$99,15,0))</f>
        <v>0</v>
      </c>
      <c r="Y1306" s="70">
        <f ca="1">('TUSD BE'!$AM$21+'TUSD BF'!$AM$21+'TUSD CVA'!$AM$21)*1*(1-0.03)</f>
        <v>23.929316856639257</v>
      </c>
      <c r="Z1306" s="70"/>
      <c r="AA1306" s="70"/>
      <c r="AB1306" s="4">
        <f>$K$1306*$V$1306</f>
        <v>1232.3400000000001</v>
      </c>
      <c r="AC1306" s="4">
        <f>$M$1306*$W$1306</f>
        <v>0</v>
      </c>
      <c r="AD1306" s="4">
        <f>$O$1306*$X$1306</f>
        <v>0</v>
      </c>
      <c r="AE1306" s="4">
        <f ca="1">$K$1306*$Y$1306</f>
        <v>1435.7590113983554</v>
      </c>
      <c r="AF1306" s="4">
        <f>$M$1306*$Z$1306</f>
        <v>0</v>
      </c>
      <c r="AG1306" s="4">
        <f>$O$1306*$AA$1306</f>
        <v>0</v>
      </c>
    </row>
    <row r="1307" spans="1:33" ht="11.25" customHeight="1" x14ac:dyDescent="0.25">
      <c r="A1307" s="3" t="s">
        <v>21</v>
      </c>
      <c r="B1307" s="3" t="s">
        <v>33</v>
      </c>
      <c r="C1307" s="3" t="s">
        <v>34</v>
      </c>
      <c r="D1307" s="3" t="s">
        <v>50</v>
      </c>
      <c r="E1307" s="3" t="s">
        <v>51</v>
      </c>
      <c r="F1307" s="3" t="s">
        <v>25</v>
      </c>
      <c r="G1307" s="3" t="s">
        <v>25</v>
      </c>
      <c r="H1307" s="3" t="s">
        <v>25</v>
      </c>
      <c r="I1307" s="6">
        <v>44562</v>
      </c>
      <c r="J1307" s="4">
        <v>15474</v>
      </c>
      <c r="K1307" s="71">
        <v>15474</v>
      </c>
      <c r="L1307" s="4">
        <v>0</v>
      </c>
      <c r="M1307" s="70">
        <v>0</v>
      </c>
      <c r="N1307" s="4">
        <v>0</v>
      </c>
      <c r="O1307" s="70">
        <v>0</v>
      </c>
      <c r="P1307" s="4">
        <v>207</v>
      </c>
      <c r="Q1307" s="3" t="s">
        <v>26</v>
      </c>
      <c r="R1307" s="3">
        <v>0</v>
      </c>
      <c r="S1307" s="4">
        <v>7</v>
      </c>
      <c r="T1307" s="4">
        <v>0</v>
      </c>
      <c r="U1307" s="4">
        <v>0</v>
      </c>
      <c r="V1307" s="70">
        <f>IF(ISERROR(VLOOKUP($S$1307,'TAR FIN'!$A$1:$O$99,15,0)),0,VLOOKUP($S$1307,'TAR FIN'!$A$1:$O$99,15,0))*(1-0.06)</f>
        <v>20.539000000000001</v>
      </c>
      <c r="W1307" s="70">
        <f>IF(ISERROR(VLOOKUP($T$1307,'TAR FIN'!$A$1:$O$99,15,0)),0,VLOOKUP($T$1307,'TAR FIN'!$A$1:$O$99,15,0))</f>
        <v>0</v>
      </c>
      <c r="X1307" s="70">
        <f>IF(ISERROR(VLOOKUP($U$1307,'TAR FIN'!$A$1:$O$99,15,0)),0,VLOOKUP($U$1307,'TAR FIN'!$A$1:$O$99,15,0))</f>
        <v>0</v>
      </c>
      <c r="Y1307" s="70">
        <f ca="1">('TUSD BE'!$AM$21+'TUSD BF'!$AM$21+'TUSD CVA'!$AM$21)*1*(1-0.03)</f>
        <v>23.929316856639257</v>
      </c>
      <c r="Z1307" s="70"/>
      <c r="AA1307" s="70"/>
      <c r="AB1307" s="4">
        <f>$K$1307*$V$1307</f>
        <v>317820.48600000003</v>
      </c>
      <c r="AC1307" s="4">
        <f>$M$1307*$W$1307</f>
        <v>0</v>
      </c>
      <c r="AD1307" s="4">
        <f>$O$1307*$X$1307</f>
        <v>0</v>
      </c>
      <c r="AE1307" s="4">
        <f ca="1">$K$1307*$Y$1307</f>
        <v>370282.24903963588</v>
      </c>
      <c r="AF1307" s="4">
        <f>$M$1307*$Z$1307</f>
        <v>0</v>
      </c>
      <c r="AG1307" s="4">
        <f>$O$1307*$AA$1307</f>
        <v>0</v>
      </c>
    </row>
    <row r="1308" spans="1:33" ht="11.25" customHeight="1" x14ac:dyDescent="0.25">
      <c r="A1308" s="3" t="s">
        <v>28</v>
      </c>
      <c r="B1308" s="3" t="s">
        <v>33</v>
      </c>
      <c r="C1308" s="3" t="s">
        <v>34</v>
      </c>
      <c r="D1308" s="3" t="s">
        <v>50</v>
      </c>
      <c r="E1308" s="3" t="s">
        <v>51</v>
      </c>
      <c r="F1308" s="3" t="s">
        <v>25</v>
      </c>
      <c r="G1308" s="3" t="s">
        <v>25</v>
      </c>
      <c r="H1308" s="3" t="s">
        <v>25</v>
      </c>
      <c r="I1308" s="6">
        <v>44562</v>
      </c>
      <c r="J1308" s="4">
        <v>57</v>
      </c>
      <c r="K1308" s="71">
        <v>57</v>
      </c>
      <c r="L1308" s="4">
        <v>0</v>
      </c>
      <c r="M1308" s="70">
        <v>0</v>
      </c>
      <c r="N1308" s="4">
        <v>0</v>
      </c>
      <c r="O1308" s="70">
        <v>0</v>
      </c>
      <c r="P1308" s="4">
        <v>1</v>
      </c>
      <c r="Q1308" s="3" t="s">
        <v>26</v>
      </c>
      <c r="R1308" s="3">
        <v>0</v>
      </c>
      <c r="S1308" s="4">
        <v>7</v>
      </c>
      <c r="T1308" s="4">
        <v>0</v>
      </c>
      <c r="U1308" s="4">
        <v>0</v>
      </c>
      <c r="V1308" s="70">
        <f>IF(ISERROR(VLOOKUP($S$1308,'TAR FIN'!$A$1:$O$99,15,0)),0,VLOOKUP($S$1308,'TAR FIN'!$A$1:$O$99,15,0))*(1-0.06)</f>
        <v>20.539000000000001</v>
      </c>
      <c r="W1308" s="70">
        <f>IF(ISERROR(VLOOKUP($T$1308,'TAR FIN'!$A$1:$O$99,15,0)),0,VLOOKUP($T$1308,'TAR FIN'!$A$1:$O$99,15,0))</f>
        <v>0</v>
      </c>
      <c r="X1308" s="70">
        <f>IF(ISERROR(VLOOKUP($U$1308,'TAR FIN'!$A$1:$O$99,15,0)),0,VLOOKUP($U$1308,'TAR FIN'!$A$1:$O$99,15,0))</f>
        <v>0</v>
      </c>
      <c r="Y1308" s="70">
        <f ca="1">('TUSD BE'!$AM$21+'TUSD BF'!$AM$21+'TUSD CVA'!$AM$21)*1*(1-0.03)</f>
        <v>23.929316856639257</v>
      </c>
      <c r="Z1308" s="70"/>
      <c r="AA1308" s="70"/>
      <c r="AB1308" s="4">
        <f>$K$1308*$V$1308</f>
        <v>1170.7230000000002</v>
      </c>
      <c r="AC1308" s="4">
        <f>$M$1308*$W$1308</f>
        <v>0</v>
      </c>
      <c r="AD1308" s="4">
        <f>$O$1308*$X$1308</f>
        <v>0</v>
      </c>
      <c r="AE1308" s="4">
        <f ca="1">$K$1308*$Y$1308</f>
        <v>1363.9710608284377</v>
      </c>
      <c r="AF1308" s="4">
        <f>$M$1308*$Z$1308</f>
        <v>0</v>
      </c>
      <c r="AG1308" s="4">
        <f>$O$1308*$AA$1308</f>
        <v>0</v>
      </c>
    </row>
    <row r="1309" spans="1:33" ht="11.25" customHeight="1" x14ac:dyDescent="0.25">
      <c r="A1309" s="3" t="s">
        <v>21</v>
      </c>
      <c r="B1309" s="3" t="s">
        <v>33</v>
      </c>
      <c r="C1309" s="3" t="s">
        <v>34</v>
      </c>
      <c r="D1309" s="3" t="s">
        <v>50</v>
      </c>
      <c r="E1309" s="3" t="s">
        <v>51</v>
      </c>
      <c r="F1309" s="3" t="s">
        <v>25</v>
      </c>
      <c r="G1309" s="3" t="s">
        <v>25</v>
      </c>
      <c r="H1309" s="3" t="s">
        <v>25</v>
      </c>
      <c r="I1309" s="6">
        <v>44593</v>
      </c>
      <c r="J1309" s="4">
        <v>15164</v>
      </c>
      <c r="K1309" s="71">
        <v>15164</v>
      </c>
      <c r="L1309" s="4">
        <v>0</v>
      </c>
      <c r="M1309" s="70">
        <v>0</v>
      </c>
      <c r="N1309" s="4">
        <v>0</v>
      </c>
      <c r="O1309" s="70">
        <v>0</v>
      </c>
      <c r="P1309" s="4">
        <v>207</v>
      </c>
      <c r="Q1309" s="3" t="s">
        <v>26</v>
      </c>
      <c r="R1309" s="3">
        <v>0</v>
      </c>
      <c r="S1309" s="4">
        <v>7</v>
      </c>
      <c r="T1309" s="4">
        <v>0</v>
      </c>
      <c r="U1309" s="4">
        <v>0</v>
      </c>
      <c r="V1309" s="70">
        <f>IF(ISERROR(VLOOKUP($S$1309,'TAR FIN'!$A$1:$O$99,15,0)),0,VLOOKUP($S$1309,'TAR FIN'!$A$1:$O$99,15,0))*(1-0.06)</f>
        <v>20.539000000000001</v>
      </c>
      <c r="W1309" s="70">
        <f>IF(ISERROR(VLOOKUP($T$1309,'TAR FIN'!$A$1:$O$99,15,0)),0,VLOOKUP($T$1309,'TAR FIN'!$A$1:$O$99,15,0))</f>
        <v>0</v>
      </c>
      <c r="X1309" s="70">
        <f>IF(ISERROR(VLOOKUP($U$1309,'TAR FIN'!$A$1:$O$99,15,0)),0,VLOOKUP($U$1309,'TAR FIN'!$A$1:$O$99,15,0))</f>
        <v>0</v>
      </c>
      <c r="Y1309" s="70">
        <f ca="1">('TUSD BE'!$AM$21+'TUSD BF'!$AM$21+'TUSD CVA'!$AM$21)*1*(1-0.03)</f>
        <v>23.929316856639257</v>
      </c>
      <c r="Z1309" s="70"/>
      <c r="AA1309" s="70"/>
      <c r="AB1309" s="4">
        <f>$K$1309*$V$1309</f>
        <v>311453.39600000001</v>
      </c>
      <c r="AC1309" s="4">
        <f>$M$1309*$W$1309</f>
        <v>0</v>
      </c>
      <c r="AD1309" s="4">
        <f>$O$1309*$X$1309</f>
        <v>0</v>
      </c>
      <c r="AE1309" s="4">
        <f ca="1">$K$1309*$Y$1309</f>
        <v>362864.16081407771</v>
      </c>
      <c r="AF1309" s="4">
        <f>$M$1309*$Z$1309</f>
        <v>0</v>
      </c>
      <c r="AG1309" s="4">
        <f>$O$1309*$AA$1309</f>
        <v>0</v>
      </c>
    </row>
    <row r="1310" spans="1:33" ht="11.25" customHeight="1" x14ac:dyDescent="0.25">
      <c r="A1310" s="3" t="s">
        <v>28</v>
      </c>
      <c r="B1310" s="3" t="s">
        <v>33</v>
      </c>
      <c r="C1310" s="3" t="s">
        <v>34</v>
      </c>
      <c r="D1310" s="3" t="s">
        <v>50</v>
      </c>
      <c r="E1310" s="3" t="s">
        <v>51</v>
      </c>
      <c r="F1310" s="3" t="s">
        <v>25</v>
      </c>
      <c r="G1310" s="3" t="s">
        <v>25</v>
      </c>
      <c r="H1310" s="3" t="s">
        <v>25</v>
      </c>
      <c r="I1310" s="6">
        <v>44593</v>
      </c>
      <c r="J1310" s="4">
        <v>59</v>
      </c>
      <c r="K1310" s="71">
        <v>59</v>
      </c>
      <c r="L1310" s="4">
        <v>0</v>
      </c>
      <c r="M1310" s="70">
        <v>0</v>
      </c>
      <c r="N1310" s="4">
        <v>0</v>
      </c>
      <c r="O1310" s="70">
        <v>0</v>
      </c>
      <c r="P1310" s="4">
        <v>1</v>
      </c>
      <c r="Q1310" s="3" t="s">
        <v>26</v>
      </c>
      <c r="R1310" s="3">
        <v>0</v>
      </c>
      <c r="S1310" s="4">
        <v>7</v>
      </c>
      <c r="T1310" s="4">
        <v>0</v>
      </c>
      <c r="U1310" s="4">
        <v>0</v>
      </c>
      <c r="V1310" s="70">
        <f>IF(ISERROR(VLOOKUP($S$1310,'TAR FIN'!$A$1:$O$99,15,0)),0,VLOOKUP($S$1310,'TAR FIN'!$A$1:$O$99,15,0))*(1-0.06)</f>
        <v>20.539000000000001</v>
      </c>
      <c r="W1310" s="70">
        <f>IF(ISERROR(VLOOKUP($T$1310,'TAR FIN'!$A$1:$O$99,15,0)),0,VLOOKUP($T$1310,'TAR FIN'!$A$1:$O$99,15,0))</f>
        <v>0</v>
      </c>
      <c r="X1310" s="70">
        <f>IF(ISERROR(VLOOKUP($U$1310,'TAR FIN'!$A$1:$O$99,15,0)),0,VLOOKUP($U$1310,'TAR FIN'!$A$1:$O$99,15,0))</f>
        <v>0</v>
      </c>
      <c r="Y1310" s="70">
        <f ca="1">('TUSD BE'!$AM$21+'TUSD BF'!$AM$21+'TUSD CVA'!$AM$21)*1*(1-0.03)</f>
        <v>23.929316856639257</v>
      </c>
      <c r="Z1310" s="70"/>
      <c r="AA1310" s="70"/>
      <c r="AB1310" s="4">
        <f>$K$1310*$V$1310</f>
        <v>1211.8010000000002</v>
      </c>
      <c r="AC1310" s="4">
        <f>$M$1310*$W$1310</f>
        <v>0</v>
      </c>
      <c r="AD1310" s="4">
        <f>$O$1310*$X$1310</f>
        <v>0</v>
      </c>
      <c r="AE1310" s="4">
        <f ca="1">$K$1310*$Y$1310</f>
        <v>1411.8296945417162</v>
      </c>
      <c r="AF1310" s="4">
        <f>$M$1310*$Z$1310</f>
        <v>0</v>
      </c>
      <c r="AG1310" s="4">
        <f>$O$1310*$AA$1310</f>
        <v>0</v>
      </c>
    </row>
    <row r="1311" spans="1:33" ht="11.25" customHeight="1" x14ac:dyDescent="0.25">
      <c r="A1311" s="3" t="s">
        <v>21</v>
      </c>
      <c r="B1311" s="3" t="s">
        <v>33</v>
      </c>
      <c r="C1311" s="3" t="s">
        <v>34</v>
      </c>
      <c r="D1311" s="3" t="s">
        <v>50</v>
      </c>
      <c r="E1311" s="3" t="s">
        <v>51</v>
      </c>
      <c r="F1311" s="3" t="s">
        <v>25</v>
      </c>
      <c r="G1311" s="3" t="s">
        <v>25</v>
      </c>
      <c r="H1311" s="3" t="s">
        <v>25</v>
      </c>
      <c r="I1311" s="6">
        <v>44621</v>
      </c>
      <c r="J1311" s="4">
        <v>15309</v>
      </c>
      <c r="K1311" s="71">
        <v>15309</v>
      </c>
      <c r="L1311" s="4">
        <v>0</v>
      </c>
      <c r="M1311" s="70">
        <v>0</v>
      </c>
      <c r="N1311" s="4">
        <v>0</v>
      </c>
      <c r="O1311" s="70">
        <v>0</v>
      </c>
      <c r="P1311" s="4">
        <v>207</v>
      </c>
      <c r="Q1311" s="3" t="s">
        <v>26</v>
      </c>
      <c r="R1311" s="3">
        <v>0</v>
      </c>
      <c r="S1311" s="4">
        <v>7</v>
      </c>
      <c r="T1311" s="4">
        <v>0</v>
      </c>
      <c r="U1311" s="4">
        <v>0</v>
      </c>
      <c r="V1311" s="70">
        <f>IF(ISERROR(VLOOKUP($S$1311,'TAR FIN'!$A$1:$O$99,15,0)),0,VLOOKUP($S$1311,'TAR FIN'!$A$1:$O$99,15,0))*(1-0.06)</f>
        <v>20.539000000000001</v>
      </c>
      <c r="W1311" s="70">
        <f>IF(ISERROR(VLOOKUP($T$1311,'TAR FIN'!$A$1:$O$99,15,0)),0,VLOOKUP($T$1311,'TAR FIN'!$A$1:$O$99,15,0))</f>
        <v>0</v>
      </c>
      <c r="X1311" s="70">
        <f>IF(ISERROR(VLOOKUP($U$1311,'TAR FIN'!$A$1:$O$99,15,0)),0,VLOOKUP($U$1311,'TAR FIN'!$A$1:$O$99,15,0))</f>
        <v>0</v>
      </c>
      <c r="Y1311" s="70">
        <f ca="1">('TUSD BE'!$AM$21+'TUSD BF'!$AM$21+'TUSD CVA'!$AM$21)*1*(1-0.03)</f>
        <v>23.929316856639257</v>
      </c>
      <c r="Z1311" s="70"/>
      <c r="AA1311" s="70"/>
      <c r="AB1311" s="4">
        <f>$K$1311*$V$1311</f>
        <v>314431.55100000004</v>
      </c>
      <c r="AC1311" s="4">
        <f>$M$1311*$W$1311</f>
        <v>0</v>
      </c>
      <c r="AD1311" s="4">
        <f>$O$1311*$X$1311</f>
        <v>0</v>
      </c>
      <c r="AE1311" s="4">
        <f ca="1">$K$1311*$Y$1311</f>
        <v>366333.91175829037</v>
      </c>
      <c r="AF1311" s="4">
        <f>$M$1311*$Z$1311</f>
        <v>0</v>
      </c>
      <c r="AG1311" s="4">
        <f>$O$1311*$AA$1311</f>
        <v>0</v>
      </c>
    </row>
    <row r="1312" spans="1:33" ht="11.25" customHeight="1" x14ac:dyDescent="0.25">
      <c r="A1312" s="3" t="s">
        <v>28</v>
      </c>
      <c r="B1312" s="3" t="s">
        <v>33</v>
      </c>
      <c r="C1312" s="3" t="s">
        <v>34</v>
      </c>
      <c r="D1312" s="3" t="s">
        <v>50</v>
      </c>
      <c r="E1312" s="3" t="s">
        <v>51</v>
      </c>
      <c r="F1312" s="3" t="s">
        <v>25</v>
      </c>
      <c r="G1312" s="3" t="s">
        <v>25</v>
      </c>
      <c r="H1312" s="3" t="s">
        <v>25</v>
      </c>
      <c r="I1312" s="6">
        <v>44621</v>
      </c>
      <c r="J1312" s="4">
        <v>59</v>
      </c>
      <c r="K1312" s="71">
        <v>59</v>
      </c>
      <c r="L1312" s="4">
        <v>0</v>
      </c>
      <c r="M1312" s="70">
        <v>0</v>
      </c>
      <c r="N1312" s="4">
        <v>0</v>
      </c>
      <c r="O1312" s="70">
        <v>0</v>
      </c>
      <c r="P1312" s="4">
        <v>1</v>
      </c>
      <c r="Q1312" s="3" t="s">
        <v>26</v>
      </c>
      <c r="R1312" s="3">
        <v>0</v>
      </c>
      <c r="S1312" s="4">
        <v>7</v>
      </c>
      <c r="T1312" s="4">
        <v>0</v>
      </c>
      <c r="U1312" s="4">
        <v>0</v>
      </c>
      <c r="V1312" s="70">
        <f>IF(ISERROR(VLOOKUP($S$1312,'TAR FIN'!$A$1:$O$99,15,0)),0,VLOOKUP($S$1312,'TAR FIN'!$A$1:$O$99,15,0))*(1-0.06)</f>
        <v>20.539000000000001</v>
      </c>
      <c r="W1312" s="70">
        <f>IF(ISERROR(VLOOKUP($T$1312,'TAR FIN'!$A$1:$O$99,15,0)),0,VLOOKUP($T$1312,'TAR FIN'!$A$1:$O$99,15,0))</f>
        <v>0</v>
      </c>
      <c r="X1312" s="70">
        <f>IF(ISERROR(VLOOKUP($U$1312,'TAR FIN'!$A$1:$O$99,15,0)),0,VLOOKUP($U$1312,'TAR FIN'!$A$1:$O$99,15,0))</f>
        <v>0</v>
      </c>
      <c r="Y1312" s="70">
        <f ca="1">('TUSD BE'!$AM$21+'TUSD BF'!$AM$21+'TUSD CVA'!$AM$21)*1*(1-0.03)</f>
        <v>23.929316856639257</v>
      </c>
      <c r="Z1312" s="70"/>
      <c r="AA1312" s="70"/>
      <c r="AB1312" s="4">
        <f>$K$1312*$V$1312</f>
        <v>1211.8010000000002</v>
      </c>
      <c r="AC1312" s="4">
        <f>$M$1312*$W$1312</f>
        <v>0</v>
      </c>
      <c r="AD1312" s="4">
        <f>$O$1312*$X$1312</f>
        <v>0</v>
      </c>
      <c r="AE1312" s="4">
        <f ca="1">$K$1312*$Y$1312</f>
        <v>1411.8296945417162</v>
      </c>
      <c r="AF1312" s="4">
        <f>$M$1312*$Z$1312</f>
        <v>0</v>
      </c>
      <c r="AG1312" s="4">
        <f>$O$1312*$AA$1312</f>
        <v>0</v>
      </c>
    </row>
    <row r="1313" spans="1:33" ht="11.25" customHeight="1" x14ac:dyDescent="0.25">
      <c r="A1313" s="3" t="s">
        <v>56</v>
      </c>
      <c r="B1313" s="3" t="s">
        <v>33</v>
      </c>
      <c r="C1313" s="3" t="s">
        <v>34</v>
      </c>
      <c r="D1313" s="3" t="s">
        <v>50</v>
      </c>
      <c r="E1313" s="3" t="s">
        <v>51</v>
      </c>
      <c r="F1313" s="3" t="s">
        <v>25</v>
      </c>
      <c r="G1313" s="3" t="s">
        <v>25</v>
      </c>
      <c r="H1313" s="3" t="s">
        <v>25</v>
      </c>
      <c r="I1313" s="6">
        <v>44652</v>
      </c>
      <c r="J1313" s="4">
        <v>15309</v>
      </c>
      <c r="K1313" s="71">
        <v>15309</v>
      </c>
      <c r="L1313" s="4">
        <v>0</v>
      </c>
      <c r="M1313" s="70">
        <v>0</v>
      </c>
      <c r="N1313" s="4">
        <v>0</v>
      </c>
      <c r="O1313" s="70">
        <v>0</v>
      </c>
      <c r="P1313" s="4">
        <v>207</v>
      </c>
      <c r="Q1313" s="3" t="s">
        <v>26</v>
      </c>
      <c r="R1313" s="3">
        <v>0</v>
      </c>
      <c r="S1313" s="4">
        <v>7</v>
      </c>
      <c r="T1313" s="4">
        <v>0</v>
      </c>
      <c r="U1313" s="4">
        <v>0</v>
      </c>
      <c r="V1313" s="70">
        <f>IF(ISERROR(VLOOKUP($S$1313,'TAR FIN'!$A$1:$O$99,15,0)),0,VLOOKUP($S$1313,'TAR FIN'!$A$1:$O$99,15,0))*(1-0.06)</f>
        <v>20.539000000000001</v>
      </c>
      <c r="W1313" s="70">
        <f>IF(ISERROR(VLOOKUP($T$1313,'TAR FIN'!$A$1:$O$99,15,0)),0,VLOOKUP($T$1313,'TAR FIN'!$A$1:$O$99,15,0))</f>
        <v>0</v>
      </c>
      <c r="X1313" s="70">
        <f>IF(ISERROR(VLOOKUP($U$1313,'TAR FIN'!$A$1:$O$99,15,0)),0,VLOOKUP($U$1313,'TAR FIN'!$A$1:$O$99,15,0))</f>
        <v>0</v>
      </c>
      <c r="Y1313" s="70">
        <f ca="1">('TUSD BE'!$AM$21+'TUSD BF'!$AM$21+'TUSD CVA'!$AM$21)*1*(1-0.03)</f>
        <v>23.929316856639257</v>
      </c>
      <c r="Z1313" s="70"/>
      <c r="AA1313" s="70"/>
      <c r="AB1313" s="4">
        <f>$K$1313*$V$1313</f>
        <v>314431.55100000004</v>
      </c>
      <c r="AC1313" s="4">
        <f>$M$1313*$W$1313</f>
        <v>0</v>
      </c>
      <c r="AD1313" s="4">
        <f>$O$1313*$X$1313</f>
        <v>0</v>
      </c>
      <c r="AE1313" s="4">
        <f ca="1">$K$1313*$Y$1313</f>
        <v>366333.91175829037</v>
      </c>
      <c r="AF1313" s="4">
        <f>$M$1313*$Z$1313</f>
        <v>0</v>
      </c>
      <c r="AG1313" s="4">
        <f>$O$1313*$AA$1313</f>
        <v>0</v>
      </c>
    </row>
    <row r="1314" spans="1:33" ht="11.25" customHeight="1" x14ac:dyDescent="0.25">
      <c r="A1314" s="3" t="s">
        <v>56</v>
      </c>
      <c r="B1314" s="3" t="s">
        <v>33</v>
      </c>
      <c r="C1314" s="3" t="s">
        <v>34</v>
      </c>
      <c r="D1314" s="3" t="s">
        <v>50</v>
      </c>
      <c r="E1314" s="3" t="s">
        <v>51</v>
      </c>
      <c r="F1314" s="3" t="s">
        <v>25</v>
      </c>
      <c r="G1314" s="3" t="s">
        <v>25</v>
      </c>
      <c r="H1314" s="3" t="s">
        <v>25</v>
      </c>
      <c r="I1314" s="6">
        <v>44652</v>
      </c>
      <c r="J1314" s="4">
        <v>59</v>
      </c>
      <c r="K1314" s="71">
        <v>59</v>
      </c>
      <c r="L1314" s="4">
        <v>0</v>
      </c>
      <c r="M1314" s="70">
        <v>0</v>
      </c>
      <c r="N1314" s="4">
        <v>0</v>
      </c>
      <c r="O1314" s="70">
        <v>0</v>
      </c>
      <c r="P1314" s="4">
        <v>1</v>
      </c>
      <c r="Q1314" s="3" t="s">
        <v>26</v>
      </c>
      <c r="R1314" s="3">
        <v>0</v>
      </c>
      <c r="S1314" s="4">
        <v>7</v>
      </c>
      <c r="T1314" s="4">
        <v>0</v>
      </c>
      <c r="U1314" s="4">
        <v>0</v>
      </c>
      <c r="V1314" s="70">
        <f>IF(ISERROR(VLOOKUP($S$1314,'TAR FIN'!$A$1:$O$99,15,0)),0,VLOOKUP($S$1314,'TAR FIN'!$A$1:$O$99,15,0))*(1-0.06)</f>
        <v>20.539000000000001</v>
      </c>
      <c r="W1314" s="70">
        <f>IF(ISERROR(VLOOKUP($T$1314,'TAR FIN'!$A$1:$O$99,15,0)),0,VLOOKUP($T$1314,'TAR FIN'!$A$1:$O$99,15,0))</f>
        <v>0</v>
      </c>
      <c r="X1314" s="70">
        <f>IF(ISERROR(VLOOKUP($U$1314,'TAR FIN'!$A$1:$O$99,15,0)),0,VLOOKUP($U$1314,'TAR FIN'!$A$1:$O$99,15,0))</f>
        <v>0</v>
      </c>
      <c r="Y1314" s="70">
        <f ca="1">('TUSD BE'!$AM$21+'TUSD BF'!$AM$21+'TUSD CVA'!$AM$21)*1*(1-0.03)</f>
        <v>23.929316856639257</v>
      </c>
      <c r="Z1314" s="70"/>
      <c r="AA1314" s="70"/>
      <c r="AB1314" s="4">
        <f>$K$1314*$V$1314</f>
        <v>1211.8010000000002</v>
      </c>
      <c r="AC1314" s="4">
        <f>$M$1314*$W$1314</f>
        <v>0</v>
      </c>
      <c r="AD1314" s="4">
        <f>$O$1314*$X$1314</f>
        <v>0</v>
      </c>
      <c r="AE1314" s="4">
        <f ca="1">$K$1314*$Y$1314</f>
        <v>1411.8296945417162</v>
      </c>
      <c r="AF1314" s="4">
        <f>$M$1314*$Z$1314</f>
        <v>0</v>
      </c>
      <c r="AG1314" s="4">
        <f>$O$1314*$AA$1314</f>
        <v>0</v>
      </c>
    </row>
    <row r="1315" spans="1:33" ht="11.25" customHeight="1" x14ac:dyDescent="0.25">
      <c r="A1315" s="3" t="s">
        <v>21</v>
      </c>
      <c r="B1315" s="3" t="s">
        <v>33</v>
      </c>
      <c r="C1315" s="3" t="s">
        <v>34</v>
      </c>
      <c r="D1315" s="3" t="s">
        <v>50</v>
      </c>
      <c r="E1315" s="3" t="s">
        <v>51</v>
      </c>
      <c r="F1315" s="3" t="s">
        <v>25</v>
      </c>
      <c r="G1315" s="3" t="s">
        <v>25</v>
      </c>
      <c r="H1315" s="3" t="s">
        <v>35</v>
      </c>
      <c r="I1315" s="6">
        <v>44317</v>
      </c>
      <c r="J1315" s="4">
        <v>0</v>
      </c>
      <c r="K1315" s="70">
        <v>0</v>
      </c>
      <c r="L1315" s="4">
        <v>429.45600000000002</v>
      </c>
      <c r="M1315" s="70">
        <v>429.45600000000002</v>
      </c>
      <c r="N1315" s="4">
        <v>429.45600000000002</v>
      </c>
      <c r="O1315" s="70">
        <v>429.45600000000002</v>
      </c>
      <c r="P1315" s="4">
        <v>0</v>
      </c>
      <c r="Q1315" s="3" t="s">
        <v>26</v>
      </c>
      <c r="R1315" s="3">
        <v>0</v>
      </c>
      <c r="S1315" s="4">
        <v>0</v>
      </c>
      <c r="T1315" s="4">
        <v>8</v>
      </c>
      <c r="U1315" s="4">
        <v>72</v>
      </c>
      <c r="V1315" s="70">
        <f>IF(ISERROR(VLOOKUP($S$1315,'TAR FIN'!$A$1:$O$99,15,0)),0,VLOOKUP($S$1315,'TAR FIN'!$A$1:$O$99,15,0))</f>
        <v>0</v>
      </c>
      <c r="W1315" s="70">
        <f>IF(ISERROR(VLOOKUP($T$1315,'TAR FIN'!$A$1:$O$99,15,0)),0,VLOOKUP($T$1315,'TAR FIN'!$A$1:$O$99,15,0))*(1-0.06)</f>
        <v>1464.2755999999999</v>
      </c>
      <c r="X1315" s="70">
        <f>IF(ISERROR(VLOOKUP($U$1315,'TAR FIN'!$A$1:$O$99,15,0)),0,VLOOKUP($U$1315,'TAR FIN'!$A$1:$O$99,15,0))*(1-0.06)</f>
        <v>325.8134</v>
      </c>
      <c r="Y1315" s="70"/>
      <c r="Z1315" s="70">
        <f ca="1">('TUSD BE'!$AM$22+'TUSD BF'!$AM$22+'TUSD CVA'!$AM$22)*1*(1-0.03)</f>
        <v>1745.1580396621926</v>
      </c>
      <c r="AA1315" s="70">
        <f>('TE BE'!$AA$7+'TE BF'!$AA$7+'TE CVA'!$AA$7)*1*(1-0.03)</f>
        <v>411.17962930251429</v>
      </c>
      <c r="AB1315" s="4">
        <f>$K$1315*$V$1315</f>
        <v>0</v>
      </c>
      <c r="AC1315" s="4">
        <f>$M$1315*$W$1315</f>
        <v>628841.94207360002</v>
      </c>
      <c r="AD1315" s="4">
        <f>$O$1315*$X$1315</f>
        <v>139922.51951040002</v>
      </c>
      <c r="AE1315" s="4">
        <f>$K$1315*$Y$1315</f>
        <v>0</v>
      </c>
      <c r="AF1315" s="4">
        <f ca="1">$M$1315*$Z$1315</f>
        <v>749468.59108116664</v>
      </c>
      <c r="AG1315" s="4">
        <f>$O$1315*$AA$1315</f>
        <v>176583.55888174058</v>
      </c>
    </row>
    <row r="1316" spans="1:33" ht="11.25" customHeight="1" x14ac:dyDescent="0.25">
      <c r="A1316" s="3" t="s">
        <v>21</v>
      </c>
      <c r="B1316" s="3" t="s">
        <v>33</v>
      </c>
      <c r="C1316" s="3" t="s">
        <v>34</v>
      </c>
      <c r="D1316" s="3" t="s">
        <v>50</v>
      </c>
      <c r="E1316" s="3" t="s">
        <v>51</v>
      </c>
      <c r="F1316" s="3" t="s">
        <v>25</v>
      </c>
      <c r="G1316" s="3" t="s">
        <v>25</v>
      </c>
      <c r="H1316" s="3" t="s">
        <v>35</v>
      </c>
      <c r="I1316" s="6">
        <v>44348</v>
      </c>
      <c r="J1316" s="4">
        <v>0</v>
      </c>
      <c r="K1316" s="70">
        <v>0</v>
      </c>
      <c r="L1316" s="4">
        <v>406.90600000000001</v>
      </c>
      <c r="M1316" s="70">
        <v>406.90600000000001</v>
      </c>
      <c r="N1316" s="4">
        <v>406.90600000000001</v>
      </c>
      <c r="O1316" s="70">
        <v>406.90600000000001</v>
      </c>
      <c r="P1316" s="4">
        <v>0</v>
      </c>
      <c r="Q1316" s="3" t="s">
        <v>26</v>
      </c>
      <c r="R1316" s="3">
        <v>0</v>
      </c>
      <c r="S1316" s="4">
        <v>0</v>
      </c>
      <c r="T1316" s="4">
        <v>8</v>
      </c>
      <c r="U1316" s="4">
        <v>72</v>
      </c>
      <c r="V1316" s="70">
        <f>IF(ISERROR(VLOOKUP($S$1316,'TAR FIN'!$A$1:$O$99,15,0)),0,VLOOKUP($S$1316,'TAR FIN'!$A$1:$O$99,15,0))</f>
        <v>0</v>
      </c>
      <c r="W1316" s="70">
        <f>IF(ISERROR(VLOOKUP($T$1316,'TAR FIN'!$A$1:$O$99,15,0)),0,VLOOKUP($T$1316,'TAR FIN'!$A$1:$O$99,15,0))*(1-0.06)</f>
        <v>1464.2755999999999</v>
      </c>
      <c r="X1316" s="70">
        <f>IF(ISERROR(VLOOKUP($U$1316,'TAR FIN'!$A$1:$O$99,15,0)),0,VLOOKUP($U$1316,'TAR FIN'!$A$1:$O$99,15,0))*(1-0.06)</f>
        <v>325.8134</v>
      </c>
      <c r="Y1316" s="70"/>
      <c r="Z1316" s="70">
        <f ca="1">('TUSD BE'!$AM$22+'TUSD BF'!$AM$22+'TUSD CVA'!$AM$22)*1*(1-0.03)</f>
        <v>1745.1580396621926</v>
      </c>
      <c r="AA1316" s="70">
        <f>('TE BE'!$AA$7+'TE BF'!$AA$7+'TE CVA'!$AA$7)*1*(1-0.03)</f>
        <v>411.17962930251429</v>
      </c>
      <c r="AB1316" s="4">
        <f>$K$1316*$V$1316</f>
        <v>0</v>
      </c>
      <c r="AC1316" s="4">
        <f>$M$1316*$W$1316</f>
        <v>595822.52729360003</v>
      </c>
      <c r="AD1316" s="4">
        <f>$O$1316*$X$1316</f>
        <v>132575.4273404</v>
      </c>
      <c r="AE1316" s="4">
        <f>$K$1316*$Y$1316</f>
        <v>0</v>
      </c>
      <c r="AF1316" s="4">
        <f ca="1">$M$1316*$Z$1316</f>
        <v>710115.27728678414</v>
      </c>
      <c r="AG1316" s="4">
        <f>$O$1316*$AA$1316</f>
        <v>167311.45824096887</v>
      </c>
    </row>
    <row r="1317" spans="1:33" ht="11.25" customHeight="1" x14ac:dyDescent="0.25">
      <c r="A1317" s="3" t="s">
        <v>28</v>
      </c>
      <c r="B1317" s="3" t="s">
        <v>33</v>
      </c>
      <c r="C1317" s="3" t="s">
        <v>34</v>
      </c>
      <c r="D1317" s="3" t="s">
        <v>50</v>
      </c>
      <c r="E1317" s="3" t="s">
        <v>51</v>
      </c>
      <c r="F1317" s="3" t="s">
        <v>25</v>
      </c>
      <c r="G1317" s="3" t="s">
        <v>25</v>
      </c>
      <c r="H1317" s="3" t="s">
        <v>35</v>
      </c>
      <c r="I1317" s="6">
        <v>44348</v>
      </c>
      <c r="J1317" s="4">
        <v>0</v>
      </c>
      <c r="K1317" s="70">
        <v>0</v>
      </c>
      <c r="L1317" s="4">
        <v>2.1840000000000002</v>
      </c>
      <c r="M1317" s="70">
        <v>2.1840000000000002</v>
      </c>
      <c r="N1317" s="4">
        <v>2.1840000000000002</v>
      </c>
      <c r="O1317" s="70">
        <v>2.1840000000000002</v>
      </c>
      <c r="P1317" s="4">
        <v>0</v>
      </c>
      <c r="Q1317" s="3" t="s">
        <v>26</v>
      </c>
      <c r="R1317" s="3">
        <v>0</v>
      </c>
      <c r="S1317" s="4">
        <v>0</v>
      </c>
      <c r="T1317" s="4">
        <v>8</v>
      </c>
      <c r="U1317" s="4">
        <v>72</v>
      </c>
      <c r="V1317" s="70">
        <f>IF(ISERROR(VLOOKUP($S$1317,'TAR FIN'!$A$1:$O$99,15,0)),0,VLOOKUP($S$1317,'TAR FIN'!$A$1:$O$99,15,0))</f>
        <v>0</v>
      </c>
      <c r="W1317" s="70">
        <f>IF(ISERROR(VLOOKUP($T$1317,'TAR FIN'!$A$1:$O$99,15,0)),0,VLOOKUP($T$1317,'TAR FIN'!$A$1:$O$99,15,0))*(1-0.06)</f>
        <v>1464.2755999999999</v>
      </c>
      <c r="X1317" s="70">
        <f>IF(ISERROR(VLOOKUP($U$1317,'TAR FIN'!$A$1:$O$99,15,0)),0,VLOOKUP($U$1317,'TAR FIN'!$A$1:$O$99,15,0))*(1-0.06)</f>
        <v>325.8134</v>
      </c>
      <c r="Y1317" s="70"/>
      <c r="Z1317" s="70">
        <f ca="1">('TUSD BE'!$AM$22+'TUSD BF'!$AM$22+'TUSD CVA'!$AM$22)*1*(1-0.03)</f>
        <v>1745.1580396621926</v>
      </c>
      <c r="AA1317" s="70">
        <f>('TE BE'!$AA$7+'TE BF'!$AA$7+'TE CVA'!$AA$7)*1*(1-0.03)</f>
        <v>411.17962930251429</v>
      </c>
      <c r="AB1317" s="4">
        <f>$K$1317*$V$1317</f>
        <v>0</v>
      </c>
      <c r="AC1317" s="4">
        <f>$M$1317*$W$1317</f>
        <v>3197.9779103999999</v>
      </c>
      <c r="AD1317" s="4">
        <f>$O$1317*$X$1317</f>
        <v>711.57646560000001</v>
      </c>
      <c r="AE1317" s="4">
        <f>$K$1317*$Y$1317</f>
        <v>0</v>
      </c>
      <c r="AF1317" s="4">
        <f ca="1">$M$1317*$Z$1317</f>
        <v>3811.425158622229</v>
      </c>
      <c r="AG1317" s="4">
        <f>$O$1317*$AA$1317</f>
        <v>898.01631039669132</v>
      </c>
    </row>
    <row r="1318" spans="1:33" ht="11.25" customHeight="1" x14ac:dyDescent="0.25">
      <c r="A1318" s="3" t="s">
        <v>21</v>
      </c>
      <c r="B1318" s="3" t="s">
        <v>33</v>
      </c>
      <c r="C1318" s="3" t="s">
        <v>34</v>
      </c>
      <c r="D1318" s="3" t="s">
        <v>50</v>
      </c>
      <c r="E1318" s="3" t="s">
        <v>51</v>
      </c>
      <c r="F1318" s="3" t="s">
        <v>25</v>
      </c>
      <c r="G1318" s="3" t="s">
        <v>25</v>
      </c>
      <c r="H1318" s="3" t="s">
        <v>35</v>
      </c>
      <c r="I1318" s="6">
        <v>44378</v>
      </c>
      <c r="J1318" s="4">
        <v>0</v>
      </c>
      <c r="K1318" s="70">
        <v>0</v>
      </c>
      <c r="L1318" s="4">
        <v>426.63900000000001</v>
      </c>
      <c r="M1318" s="70">
        <v>426.63900000000001</v>
      </c>
      <c r="N1318" s="4">
        <v>426.63900000000001</v>
      </c>
      <c r="O1318" s="70">
        <v>426.63900000000001</v>
      </c>
      <c r="P1318" s="4">
        <v>0</v>
      </c>
      <c r="Q1318" s="3" t="s">
        <v>26</v>
      </c>
      <c r="R1318" s="3">
        <v>0</v>
      </c>
      <c r="S1318" s="4">
        <v>0</v>
      </c>
      <c r="T1318" s="4">
        <v>8</v>
      </c>
      <c r="U1318" s="4">
        <v>72</v>
      </c>
      <c r="V1318" s="70">
        <f>IF(ISERROR(VLOOKUP($S$1318,'TAR FIN'!$A$1:$O$99,15,0)),0,VLOOKUP($S$1318,'TAR FIN'!$A$1:$O$99,15,0))</f>
        <v>0</v>
      </c>
      <c r="W1318" s="70">
        <f>IF(ISERROR(VLOOKUP($T$1318,'TAR FIN'!$A$1:$O$99,15,0)),0,VLOOKUP($T$1318,'TAR FIN'!$A$1:$O$99,15,0))*(1-0.06)</f>
        <v>1464.2755999999999</v>
      </c>
      <c r="X1318" s="70">
        <f>IF(ISERROR(VLOOKUP($U$1318,'TAR FIN'!$A$1:$O$99,15,0)),0,VLOOKUP($U$1318,'TAR FIN'!$A$1:$O$99,15,0))*(1-0.06)</f>
        <v>325.8134</v>
      </c>
      <c r="Y1318" s="70"/>
      <c r="Z1318" s="70">
        <f ca="1">('TUSD BE'!$AM$22+'TUSD BF'!$AM$22+'TUSD CVA'!$AM$22)*1*(1-0.03)</f>
        <v>1745.1580396621926</v>
      </c>
      <c r="AA1318" s="70">
        <f>('TE BE'!$AA$7+'TE BF'!$AA$7+'TE CVA'!$AA$7)*1*(1-0.03)</f>
        <v>411.17962930251429</v>
      </c>
      <c r="AB1318" s="4">
        <f>$K$1318*$V$1318</f>
        <v>0</v>
      </c>
      <c r="AC1318" s="4">
        <f>$M$1318*$W$1318</f>
        <v>624717.07770839997</v>
      </c>
      <c r="AD1318" s="4">
        <f>$O$1318*$X$1318</f>
        <v>139004.7031626</v>
      </c>
      <c r="AE1318" s="4">
        <f>$K$1318*$Y$1318</f>
        <v>0</v>
      </c>
      <c r="AF1318" s="4">
        <f ca="1">$M$1318*$Z$1318</f>
        <v>744552.48088343814</v>
      </c>
      <c r="AG1318" s="4">
        <f>$O$1318*$AA$1318</f>
        <v>175425.2658659954</v>
      </c>
    </row>
    <row r="1319" spans="1:33" ht="11.25" customHeight="1" x14ac:dyDescent="0.25">
      <c r="A1319" s="3" t="s">
        <v>28</v>
      </c>
      <c r="B1319" s="3" t="s">
        <v>33</v>
      </c>
      <c r="C1319" s="3" t="s">
        <v>34</v>
      </c>
      <c r="D1319" s="3" t="s">
        <v>50</v>
      </c>
      <c r="E1319" s="3" t="s">
        <v>51</v>
      </c>
      <c r="F1319" s="3" t="s">
        <v>25</v>
      </c>
      <c r="G1319" s="3" t="s">
        <v>25</v>
      </c>
      <c r="H1319" s="3" t="s">
        <v>35</v>
      </c>
      <c r="I1319" s="6">
        <v>44378</v>
      </c>
      <c r="J1319" s="4">
        <v>0</v>
      </c>
      <c r="K1319" s="70">
        <v>0</v>
      </c>
      <c r="L1319" s="4">
        <v>2.6219999999999999</v>
      </c>
      <c r="M1319" s="70">
        <v>2.6219999999999999</v>
      </c>
      <c r="N1319" s="4">
        <v>2.6219999999999999</v>
      </c>
      <c r="O1319" s="70">
        <v>2.6219999999999999</v>
      </c>
      <c r="P1319" s="4">
        <v>0</v>
      </c>
      <c r="Q1319" s="3" t="s">
        <v>26</v>
      </c>
      <c r="R1319" s="3">
        <v>0</v>
      </c>
      <c r="S1319" s="4">
        <v>0</v>
      </c>
      <c r="T1319" s="4">
        <v>8</v>
      </c>
      <c r="U1319" s="4">
        <v>72</v>
      </c>
      <c r="V1319" s="70">
        <f>IF(ISERROR(VLOOKUP($S$1319,'TAR FIN'!$A$1:$O$99,15,0)),0,VLOOKUP($S$1319,'TAR FIN'!$A$1:$O$99,15,0))</f>
        <v>0</v>
      </c>
      <c r="W1319" s="70">
        <f>IF(ISERROR(VLOOKUP($T$1319,'TAR FIN'!$A$1:$O$99,15,0)),0,VLOOKUP($T$1319,'TAR FIN'!$A$1:$O$99,15,0))*(1-0.06)</f>
        <v>1464.2755999999999</v>
      </c>
      <c r="X1319" s="70">
        <f>IF(ISERROR(VLOOKUP($U$1319,'TAR FIN'!$A$1:$O$99,15,0)),0,VLOOKUP($U$1319,'TAR FIN'!$A$1:$O$99,15,0))*(1-0.06)</f>
        <v>325.8134</v>
      </c>
      <c r="Y1319" s="70"/>
      <c r="Z1319" s="70">
        <f ca="1">('TUSD BE'!$AM$22+'TUSD BF'!$AM$22+'TUSD CVA'!$AM$22)*1*(1-0.03)</f>
        <v>1745.1580396621926</v>
      </c>
      <c r="AA1319" s="70">
        <f>('TE BE'!$AA$7+'TE BF'!$AA$7+'TE CVA'!$AA$7)*1*(1-0.03)</f>
        <v>411.17962930251429</v>
      </c>
      <c r="AB1319" s="4">
        <f>$K$1319*$V$1319</f>
        <v>0</v>
      </c>
      <c r="AC1319" s="4">
        <f>$M$1319*$W$1319</f>
        <v>3839.3306231999995</v>
      </c>
      <c r="AD1319" s="4">
        <f>$O$1319*$X$1319</f>
        <v>854.28273479999996</v>
      </c>
      <c r="AE1319" s="4">
        <f>$K$1319*$Y$1319</f>
        <v>0</v>
      </c>
      <c r="AF1319" s="4">
        <f ca="1">$M$1319*$Z$1319</f>
        <v>4575.8043799942689</v>
      </c>
      <c r="AG1319" s="4">
        <f>$O$1319*$AA$1319</f>
        <v>1078.1129880311923</v>
      </c>
    </row>
    <row r="1320" spans="1:33" ht="11.25" customHeight="1" x14ac:dyDescent="0.25">
      <c r="A1320" s="3" t="s">
        <v>21</v>
      </c>
      <c r="B1320" s="3" t="s">
        <v>33</v>
      </c>
      <c r="C1320" s="3" t="s">
        <v>34</v>
      </c>
      <c r="D1320" s="3" t="s">
        <v>50</v>
      </c>
      <c r="E1320" s="3" t="s">
        <v>51</v>
      </c>
      <c r="F1320" s="3" t="s">
        <v>25</v>
      </c>
      <c r="G1320" s="3" t="s">
        <v>25</v>
      </c>
      <c r="H1320" s="3" t="s">
        <v>35</v>
      </c>
      <c r="I1320" s="6">
        <v>44409</v>
      </c>
      <c r="J1320" s="4">
        <v>0</v>
      </c>
      <c r="K1320" s="70">
        <v>0</v>
      </c>
      <c r="L1320" s="4">
        <v>435.65199999999999</v>
      </c>
      <c r="M1320" s="70">
        <v>435.65199999999999</v>
      </c>
      <c r="N1320" s="4">
        <v>435.65199999999999</v>
      </c>
      <c r="O1320" s="70">
        <v>435.65199999999999</v>
      </c>
      <c r="P1320" s="4">
        <v>0</v>
      </c>
      <c r="Q1320" s="3" t="s">
        <v>26</v>
      </c>
      <c r="R1320" s="3">
        <v>0</v>
      </c>
      <c r="S1320" s="4">
        <v>0</v>
      </c>
      <c r="T1320" s="4">
        <v>8</v>
      </c>
      <c r="U1320" s="4">
        <v>72</v>
      </c>
      <c r="V1320" s="70">
        <f>IF(ISERROR(VLOOKUP($S$1320,'TAR FIN'!$A$1:$O$99,15,0)),0,VLOOKUP($S$1320,'TAR FIN'!$A$1:$O$99,15,0))</f>
        <v>0</v>
      </c>
      <c r="W1320" s="70">
        <f>IF(ISERROR(VLOOKUP($T$1320,'TAR FIN'!$A$1:$O$99,15,0)),0,VLOOKUP($T$1320,'TAR FIN'!$A$1:$O$99,15,0))*(1-0.06)</f>
        <v>1464.2755999999999</v>
      </c>
      <c r="X1320" s="70">
        <f>IF(ISERROR(VLOOKUP($U$1320,'TAR FIN'!$A$1:$O$99,15,0)),0,VLOOKUP($U$1320,'TAR FIN'!$A$1:$O$99,15,0))*(1-0.06)</f>
        <v>325.8134</v>
      </c>
      <c r="Y1320" s="70"/>
      <c r="Z1320" s="70">
        <f ca="1">('TUSD BE'!$AM$22+'TUSD BF'!$AM$22+'TUSD CVA'!$AM$22)*1*(1-0.03)</f>
        <v>1745.1580396621926</v>
      </c>
      <c r="AA1320" s="70">
        <f>('TE BE'!$AA$7+'TE BF'!$AA$7+'TE CVA'!$AA$7)*1*(1-0.03)</f>
        <v>411.17962930251429</v>
      </c>
      <c r="AB1320" s="4">
        <f>$K$1320*$V$1320</f>
        <v>0</v>
      </c>
      <c r="AC1320" s="4">
        <f>$M$1320*$W$1320</f>
        <v>637914.5936911999</v>
      </c>
      <c r="AD1320" s="4">
        <f>$O$1320*$X$1320</f>
        <v>141941.25933679999</v>
      </c>
      <c r="AE1320" s="4">
        <f>$K$1320*$Y$1320</f>
        <v>0</v>
      </c>
      <c r="AF1320" s="4">
        <f ca="1">$M$1320*$Z$1320</f>
        <v>760281.59029491351</v>
      </c>
      <c r="AG1320" s="4">
        <f>$O$1320*$AA$1320</f>
        <v>179131.22786489894</v>
      </c>
    </row>
    <row r="1321" spans="1:33" ht="11.25" customHeight="1" x14ac:dyDescent="0.25">
      <c r="A1321" s="3" t="s">
        <v>28</v>
      </c>
      <c r="B1321" s="3" t="s">
        <v>33</v>
      </c>
      <c r="C1321" s="3" t="s">
        <v>34</v>
      </c>
      <c r="D1321" s="3" t="s">
        <v>50</v>
      </c>
      <c r="E1321" s="3" t="s">
        <v>51</v>
      </c>
      <c r="F1321" s="3" t="s">
        <v>25</v>
      </c>
      <c r="G1321" s="3" t="s">
        <v>25</v>
      </c>
      <c r="H1321" s="3" t="s">
        <v>35</v>
      </c>
      <c r="I1321" s="6">
        <v>44409</v>
      </c>
      <c r="J1321" s="4">
        <v>0</v>
      </c>
      <c r="K1321" s="70">
        <v>0</v>
      </c>
      <c r="L1321" s="4">
        <v>2.7410000000000001</v>
      </c>
      <c r="M1321" s="70">
        <v>2.7410000000000001</v>
      </c>
      <c r="N1321" s="4">
        <v>2.7410000000000001</v>
      </c>
      <c r="O1321" s="70">
        <v>2.7410000000000001</v>
      </c>
      <c r="P1321" s="4">
        <v>0</v>
      </c>
      <c r="Q1321" s="3" t="s">
        <v>26</v>
      </c>
      <c r="R1321" s="3">
        <v>0</v>
      </c>
      <c r="S1321" s="4">
        <v>0</v>
      </c>
      <c r="T1321" s="4">
        <v>8</v>
      </c>
      <c r="U1321" s="4">
        <v>72</v>
      </c>
      <c r="V1321" s="70">
        <f>IF(ISERROR(VLOOKUP($S$1321,'TAR FIN'!$A$1:$O$99,15,0)),0,VLOOKUP($S$1321,'TAR FIN'!$A$1:$O$99,15,0))</f>
        <v>0</v>
      </c>
      <c r="W1321" s="70">
        <f>IF(ISERROR(VLOOKUP($T$1321,'TAR FIN'!$A$1:$O$99,15,0)),0,VLOOKUP($T$1321,'TAR FIN'!$A$1:$O$99,15,0))*(1-0.06)</f>
        <v>1464.2755999999999</v>
      </c>
      <c r="X1321" s="70">
        <f>IF(ISERROR(VLOOKUP($U$1321,'TAR FIN'!$A$1:$O$99,15,0)),0,VLOOKUP($U$1321,'TAR FIN'!$A$1:$O$99,15,0))*(1-0.06)</f>
        <v>325.8134</v>
      </c>
      <c r="Y1321" s="70"/>
      <c r="Z1321" s="70">
        <f ca="1">('TUSD BE'!$AM$22+'TUSD BF'!$AM$22+'TUSD CVA'!$AM$22)*1*(1-0.03)</f>
        <v>1745.1580396621926</v>
      </c>
      <c r="AA1321" s="70">
        <f>('TE BE'!$AA$7+'TE BF'!$AA$7+'TE CVA'!$AA$7)*1*(1-0.03)</f>
        <v>411.17962930251429</v>
      </c>
      <c r="AB1321" s="4">
        <f>$K$1321*$V$1321</f>
        <v>0</v>
      </c>
      <c r="AC1321" s="4">
        <f>$M$1321*$W$1321</f>
        <v>4013.5794196000002</v>
      </c>
      <c r="AD1321" s="4">
        <f>$O$1321*$X$1321</f>
        <v>893.05452940000009</v>
      </c>
      <c r="AE1321" s="4">
        <f>$K$1321*$Y$1321</f>
        <v>0</v>
      </c>
      <c r="AF1321" s="4">
        <f ca="1">$M$1321*$Z$1321</f>
        <v>4783.47818671407</v>
      </c>
      <c r="AG1321" s="4">
        <f>$O$1321*$AA$1321</f>
        <v>1127.0433639181917</v>
      </c>
    </row>
    <row r="1322" spans="1:33" ht="11.25" customHeight="1" x14ac:dyDescent="0.25">
      <c r="A1322" s="3" t="s">
        <v>21</v>
      </c>
      <c r="B1322" s="3" t="s">
        <v>33</v>
      </c>
      <c r="C1322" s="3" t="s">
        <v>34</v>
      </c>
      <c r="D1322" s="3" t="s">
        <v>50</v>
      </c>
      <c r="E1322" s="3" t="s">
        <v>51</v>
      </c>
      <c r="F1322" s="3" t="s">
        <v>25</v>
      </c>
      <c r="G1322" s="3" t="s">
        <v>25</v>
      </c>
      <c r="H1322" s="3" t="s">
        <v>35</v>
      </c>
      <c r="I1322" s="6">
        <v>44440</v>
      </c>
      <c r="J1322" s="4">
        <v>0</v>
      </c>
      <c r="K1322" s="70">
        <v>0</v>
      </c>
      <c r="L1322" s="4">
        <v>408.01</v>
      </c>
      <c r="M1322" s="70">
        <v>408.01</v>
      </c>
      <c r="N1322" s="4">
        <v>408.01</v>
      </c>
      <c r="O1322" s="70">
        <v>408.01</v>
      </c>
      <c r="P1322" s="4">
        <v>0</v>
      </c>
      <c r="Q1322" s="3" t="s">
        <v>26</v>
      </c>
      <c r="R1322" s="3">
        <v>0</v>
      </c>
      <c r="S1322" s="4">
        <v>0</v>
      </c>
      <c r="T1322" s="4">
        <v>8</v>
      </c>
      <c r="U1322" s="4">
        <v>72</v>
      </c>
      <c r="V1322" s="70">
        <f>IF(ISERROR(VLOOKUP($S$1322,'TAR FIN'!$A$1:$O$99,15,0)),0,VLOOKUP($S$1322,'TAR FIN'!$A$1:$O$99,15,0))</f>
        <v>0</v>
      </c>
      <c r="W1322" s="70">
        <f>IF(ISERROR(VLOOKUP($T$1322,'TAR FIN'!$A$1:$O$99,15,0)),0,VLOOKUP($T$1322,'TAR FIN'!$A$1:$O$99,15,0))*(1-0.06)</f>
        <v>1464.2755999999999</v>
      </c>
      <c r="X1322" s="70">
        <f>IF(ISERROR(VLOOKUP($U$1322,'TAR FIN'!$A$1:$O$99,15,0)),0,VLOOKUP($U$1322,'TAR FIN'!$A$1:$O$99,15,0))*(1-0.06)</f>
        <v>325.8134</v>
      </c>
      <c r="Y1322" s="70"/>
      <c r="Z1322" s="70">
        <f ca="1">('TUSD BE'!$AM$22+'TUSD BF'!$AM$22+'TUSD CVA'!$AM$22)*1*(1-0.03)</f>
        <v>1745.1580396621926</v>
      </c>
      <c r="AA1322" s="70">
        <f>('TE BE'!$AA$7+'TE BF'!$AA$7+'TE CVA'!$AA$7)*1*(1-0.03)</f>
        <v>411.17962930251429</v>
      </c>
      <c r="AB1322" s="4">
        <f>$K$1322*$V$1322</f>
        <v>0</v>
      </c>
      <c r="AC1322" s="4">
        <f>$M$1322*$W$1322</f>
        <v>597439.08755599998</v>
      </c>
      <c r="AD1322" s="4">
        <f>$O$1322*$X$1322</f>
        <v>132935.12533400001</v>
      </c>
      <c r="AE1322" s="4">
        <f>$K$1322*$Y$1322</f>
        <v>0</v>
      </c>
      <c r="AF1322" s="4">
        <f ca="1">$M$1322*$Z$1322</f>
        <v>712041.93176257121</v>
      </c>
      <c r="AG1322" s="4">
        <f>$O$1322*$AA$1322</f>
        <v>167765.40055171886</v>
      </c>
    </row>
    <row r="1323" spans="1:33" ht="11.25" customHeight="1" x14ac:dyDescent="0.25">
      <c r="A1323" s="3" t="s">
        <v>28</v>
      </c>
      <c r="B1323" s="3" t="s">
        <v>33</v>
      </c>
      <c r="C1323" s="3" t="s">
        <v>34</v>
      </c>
      <c r="D1323" s="3" t="s">
        <v>50</v>
      </c>
      <c r="E1323" s="3" t="s">
        <v>51</v>
      </c>
      <c r="F1323" s="3" t="s">
        <v>25</v>
      </c>
      <c r="G1323" s="3" t="s">
        <v>25</v>
      </c>
      <c r="H1323" s="3" t="s">
        <v>35</v>
      </c>
      <c r="I1323" s="6">
        <v>44440</v>
      </c>
      <c r="J1323" s="4">
        <v>0</v>
      </c>
      <c r="K1323" s="70">
        <v>0</v>
      </c>
      <c r="L1323" s="4">
        <v>2.5739999999999998</v>
      </c>
      <c r="M1323" s="70">
        <v>2.5739999999999998</v>
      </c>
      <c r="N1323" s="4">
        <v>2.5739999999999998</v>
      </c>
      <c r="O1323" s="70">
        <v>2.5739999999999998</v>
      </c>
      <c r="P1323" s="4">
        <v>0</v>
      </c>
      <c r="Q1323" s="3" t="s">
        <v>26</v>
      </c>
      <c r="R1323" s="3">
        <v>0</v>
      </c>
      <c r="S1323" s="4">
        <v>0</v>
      </c>
      <c r="T1323" s="4">
        <v>8</v>
      </c>
      <c r="U1323" s="4">
        <v>72</v>
      </c>
      <c r="V1323" s="70">
        <f>IF(ISERROR(VLOOKUP($S$1323,'TAR FIN'!$A$1:$O$99,15,0)),0,VLOOKUP($S$1323,'TAR FIN'!$A$1:$O$99,15,0))</f>
        <v>0</v>
      </c>
      <c r="W1323" s="70">
        <f>IF(ISERROR(VLOOKUP($T$1323,'TAR FIN'!$A$1:$O$99,15,0)),0,VLOOKUP($T$1323,'TAR FIN'!$A$1:$O$99,15,0))*(1-0.06)</f>
        <v>1464.2755999999999</v>
      </c>
      <c r="X1323" s="70">
        <f>IF(ISERROR(VLOOKUP($U$1323,'TAR FIN'!$A$1:$O$99,15,0)),0,VLOOKUP($U$1323,'TAR FIN'!$A$1:$O$99,15,0))*(1-0.06)</f>
        <v>325.8134</v>
      </c>
      <c r="Y1323" s="70"/>
      <c r="Z1323" s="70">
        <f ca="1">('TUSD BE'!$AM$22+'TUSD BF'!$AM$22+'TUSD CVA'!$AM$22)*1*(1-0.03)</f>
        <v>1745.1580396621926</v>
      </c>
      <c r="AA1323" s="70">
        <f>('TE BE'!$AA$7+'TE BF'!$AA$7+'TE CVA'!$AA$7)*1*(1-0.03)</f>
        <v>411.17962930251429</v>
      </c>
      <c r="AB1323" s="4">
        <f>$K$1323*$V$1323</f>
        <v>0</v>
      </c>
      <c r="AC1323" s="4">
        <f>$M$1323*$W$1323</f>
        <v>3769.0453943999996</v>
      </c>
      <c r="AD1323" s="4">
        <f>$O$1323*$X$1323</f>
        <v>838.6436915999999</v>
      </c>
      <c r="AE1323" s="4">
        <f>$K$1323*$Y$1323</f>
        <v>0</v>
      </c>
      <c r="AF1323" s="4">
        <f ca="1">$M$1323*$Z$1323</f>
        <v>4492.0367940904835</v>
      </c>
      <c r="AG1323" s="4">
        <f>$O$1323*$AA$1323</f>
        <v>1058.3763658246717</v>
      </c>
    </row>
    <row r="1324" spans="1:33" ht="11.25" customHeight="1" x14ac:dyDescent="0.25">
      <c r="A1324" s="3" t="s">
        <v>21</v>
      </c>
      <c r="B1324" s="3" t="s">
        <v>33</v>
      </c>
      <c r="C1324" s="3" t="s">
        <v>34</v>
      </c>
      <c r="D1324" s="3" t="s">
        <v>50</v>
      </c>
      <c r="E1324" s="3" t="s">
        <v>51</v>
      </c>
      <c r="F1324" s="3" t="s">
        <v>25</v>
      </c>
      <c r="G1324" s="3" t="s">
        <v>25</v>
      </c>
      <c r="H1324" s="3" t="s">
        <v>35</v>
      </c>
      <c r="I1324" s="6">
        <v>44470</v>
      </c>
      <c r="J1324" s="4">
        <v>0</v>
      </c>
      <c r="K1324" s="70">
        <v>0</v>
      </c>
      <c r="L1324" s="4">
        <v>397.70100000000002</v>
      </c>
      <c r="M1324" s="70">
        <v>397.70100000000002</v>
      </c>
      <c r="N1324" s="4">
        <v>397.70100000000002</v>
      </c>
      <c r="O1324" s="70">
        <v>397.70100000000002</v>
      </c>
      <c r="P1324" s="4">
        <v>0</v>
      </c>
      <c r="Q1324" s="3" t="s">
        <v>26</v>
      </c>
      <c r="R1324" s="3">
        <v>0</v>
      </c>
      <c r="S1324" s="4">
        <v>0</v>
      </c>
      <c r="T1324" s="4">
        <v>8</v>
      </c>
      <c r="U1324" s="4">
        <v>72</v>
      </c>
      <c r="V1324" s="70">
        <f>IF(ISERROR(VLOOKUP($S$1324,'TAR FIN'!$A$1:$O$99,15,0)),0,VLOOKUP($S$1324,'TAR FIN'!$A$1:$O$99,15,0))</f>
        <v>0</v>
      </c>
      <c r="W1324" s="70">
        <f>IF(ISERROR(VLOOKUP($T$1324,'TAR FIN'!$A$1:$O$99,15,0)),0,VLOOKUP($T$1324,'TAR FIN'!$A$1:$O$99,15,0))*(1-0.06)</f>
        <v>1464.2755999999999</v>
      </c>
      <c r="X1324" s="70">
        <f>IF(ISERROR(VLOOKUP($U$1324,'TAR FIN'!$A$1:$O$99,15,0)),0,VLOOKUP($U$1324,'TAR FIN'!$A$1:$O$99,15,0))*(1-0.06)</f>
        <v>325.8134</v>
      </c>
      <c r="Y1324" s="70"/>
      <c r="Z1324" s="70">
        <f ca="1">('TUSD BE'!$AM$22+'TUSD BF'!$AM$22+'TUSD CVA'!$AM$22)*1*(1-0.03)</f>
        <v>1745.1580396621926</v>
      </c>
      <c r="AA1324" s="70">
        <f>('TE BE'!$AA$7+'TE BF'!$AA$7+'TE CVA'!$AA$7)*1*(1-0.03)</f>
        <v>411.17962930251429</v>
      </c>
      <c r="AB1324" s="4">
        <f>$K$1324*$V$1324</f>
        <v>0</v>
      </c>
      <c r="AC1324" s="4">
        <f>$M$1324*$W$1324</f>
        <v>582343.87039559998</v>
      </c>
      <c r="AD1324" s="4">
        <f>$O$1324*$X$1324</f>
        <v>129576.31499340001</v>
      </c>
      <c r="AE1324" s="4">
        <f>$K$1324*$Y$1324</f>
        <v>0</v>
      </c>
      <c r="AF1324" s="4">
        <f ca="1">$M$1324*$Z$1324</f>
        <v>694051.09753169364</v>
      </c>
      <c r="AG1324" s="4">
        <f>$O$1324*$AA$1324</f>
        <v>163526.54975323923</v>
      </c>
    </row>
    <row r="1325" spans="1:33" ht="11.25" customHeight="1" x14ac:dyDescent="0.25">
      <c r="A1325" s="3" t="s">
        <v>28</v>
      </c>
      <c r="B1325" s="3" t="s">
        <v>33</v>
      </c>
      <c r="C1325" s="3" t="s">
        <v>34</v>
      </c>
      <c r="D1325" s="3" t="s">
        <v>50</v>
      </c>
      <c r="E1325" s="3" t="s">
        <v>51</v>
      </c>
      <c r="F1325" s="3" t="s">
        <v>25</v>
      </c>
      <c r="G1325" s="3" t="s">
        <v>25</v>
      </c>
      <c r="H1325" s="3" t="s">
        <v>35</v>
      </c>
      <c r="I1325" s="6">
        <v>44470</v>
      </c>
      <c r="J1325" s="4">
        <v>0</v>
      </c>
      <c r="K1325" s="70">
        <v>0</v>
      </c>
      <c r="L1325" s="4">
        <v>2.9830000000000001</v>
      </c>
      <c r="M1325" s="70">
        <v>2.9830000000000001</v>
      </c>
      <c r="N1325" s="4">
        <v>2.9830000000000001</v>
      </c>
      <c r="O1325" s="70">
        <v>2.9830000000000001</v>
      </c>
      <c r="P1325" s="4">
        <v>0</v>
      </c>
      <c r="Q1325" s="3" t="s">
        <v>26</v>
      </c>
      <c r="R1325" s="3">
        <v>0</v>
      </c>
      <c r="S1325" s="4">
        <v>0</v>
      </c>
      <c r="T1325" s="4">
        <v>8</v>
      </c>
      <c r="U1325" s="4">
        <v>72</v>
      </c>
      <c r="V1325" s="70">
        <f>IF(ISERROR(VLOOKUP($S$1325,'TAR FIN'!$A$1:$O$99,15,0)),0,VLOOKUP($S$1325,'TAR FIN'!$A$1:$O$99,15,0))</f>
        <v>0</v>
      </c>
      <c r="W1325" s="70">
        <f>IF(ISERROR(VLOOKUP($T$1325,'TAR FIN'!$A$1:$O$99,15,0)),0,VLOOKUP($T$1325,'TAR FIN'!$A$1:$O$99,15,0))*(1-0.06)</f>
        <v>1464.2755999999999</v>
      </c>
      <c r="X1325" s="70">
        <f>IF(ISERROR(VLOOKUP($U$1325,'TAR FIN'!$A$1:$O$99,15,0)),0,VLOOKUP($U$1325,'TAR FIN'!$A$1:$O$99,15,0))*(1-0.06)</f>
        <v>325.8134</v>
      </c>
      <c r="Y1325" s="70"/>
      <c r="Z1325" s="70">
        <f ca="1">('TUSD BE'!$AM$22+'TUSD BF'!$AM$22+'TUSD CVA'!$AM$22)*1*(1-0.03)</f>
        <v>1745.1580396621926</v>
      </c>
      <c r="AA1325" s="70">
        <f>('TE BE'!$AA$7+'TE BF'!$AA$7+'TE CVA'!$AA$7)*1*(1-0.03)</f>
        <v>411.17962930251429</v>
      </c>
      <c r="AB1325" s="4">
        <f>$K$1325*$V$1325</f>
        <v>0</v>
      </c>
      <c r="AC1325" s="4">
        <f>$M$1325*$W$1325</f>
        <v>4367.9341148000003</v>
      </c>
      <c r="AD1325" s="4">
        <f>$O$1325*$X$1325</f>
        <v>971.90137220000008</v>
      </c>
      <c r="AE1325" s="4">
        <f>$K$1325*$Y$1325</f>
        <v>0</v>
      </c>
      <c r="AF1325" s="4">
        <f ca="1">$M$1325*$Z$1325</f>
        <v>5205.8064323123208</v>
      </c>
      <c r="AG1325" s="4">
        <f>$O$1325*$AA$1325</f>
        <v>1226.5488342094002</v>
      </c>
    </row>
    <row r="1326" spans="1:33" ht="11.25" customHeight="1" x14ac:dyDescent="0.25">
      <c r="A1326" s="3" t="s">
        <v>21</v>
      </c>
      <c r="B1326" s="3" t="s">
        <v>33</v>
      </c>
      <c r="C1326" s="3" t="s">
        <v>34</v>
      </c>
      <c r="D1326" s="3" t="s">
        <v>50</v>
      </c>
      <c r="E1326" s="3" t="s">
        <v>51</v>
      </c>
      <c r="F1326" s="3" t="s">
        <v>25</v>
      </c>
      <c r="G1326" s="3" t="s">
        <v>25</v>
      </c>
      <c r="H1326" s="3" t="s">
        <v>35</v>
      </c>
      <c r="I1326" s="6">
        <v>44501</v>
      </c>
      <c r="J1326" s="4">
        <v>0</v>
      </c>
      <c r="K1326" s="70">
        <v>0</v>
      </c>
      <c r="L1326" s="4">
        <v>385.101</v>
      </c>
      <c r="M1326" s="70">
        <v>385.101</v>
      </c>
      <c r="N1326" s="4">
        <v>385.101</v>
      </c>
      <c r="O1326" s="70">
        <v>385.101</v>
      </c>
      <c r="P1326" s="4">
        <v>0</v>
      </c>
      <c r="Q1326" s="3" t="s">
        <v>26</v>
      </c>
      <c r="R1326" s="3">
        <v>0</v>
      </c>
      <c r="S1326" s="4">
        <v>0</v>
      </c>
      <c r="T1326" s="4">
        <v>8</v>
      </c>
      <c r="U1326" s="4">
        <v>72</v>
      </c>
      <c r="V1326" s="70">
        <f>IF(ISERROR(VLOOKUP($S$1326,'TAR FIN'!$A$1:$O$99,15,0)),0,VLOOKUP($S$1326,'TAR FIN'!$A$1:$O$99,15,0))</f>
        <v>0</v>
      </c>
      <c r="W1326" s="70">
        <f>IF(ISERROR(VLOOKUP($T$1326,'TAR FIN'!$A$1:$O$99,15,0)),0,VLOOKUP($T$1326,'TAR FIN'!$A$1:$O$99,15,0))*(1-0.06)</f>
        <v>1464.2755999999999</v>
      </c>
      <c r="X1326" s="70">
        <f>IF(ISERROR(VLOOKUP($U$1326,'TAR FIN'!$A$1:$O$99,15,0)),0,VLOOKUP($U$1326,'TAR FIN'!$A$1:$O$99,15,0))*(1-0.06)</f>
        <v>325.8134</v>
      </c>
      <c r="Y1326" s="70"/>
      <c r="Z1326" s="70">
        <f ca="1">('TUSD BE'!$AM$22+'TUSD BF'!$AM$22+'TUSD CVA'!$AM$22)*1*(1-0.03)</f>
        <v>1745.1580396621926</v>
      </c>
      <c r="AA1326" s="70">
        <f>('TE BE'!$AA$7+'TE BF'!$AA$7+'TE CVA'!$AA$7)*1*(1-0.03)</f>
        <v>411.17962930251429</v>
      </c>
      <c r="AB1326" s="4">
        <f>$K$1326*$V$1326</f>
        <v>0</v>
      </c>
      <c r="AC1326" s="4">
        <f>$M$1326*$W$1326</f>
        <v>563893.99783559993</v>
      </c>
      <c r="AD1326" s="4">
        <f>$O$1326*$X$1326</f>
        <v>125471.0661534</v>
      </c>
      <c r="AE1326" s="4">
        <f>$K$1326*$Y$1326</f>
        <v>0</v>
      </c>
      <c r="AF1326" s="4">
        <f ca="1">$M$1326*$Z$1326</f>
        <v>672062.10623194999</v>
      </c>
      <c r="AG1326" s="4">
        <f>$O$1326*$AA$1326</f>
        <v>158345.68642402755</v>
      </c>
    </row>
    <row r="1327" spans="1:33" ht="11.25" customHeight="1" x14ac:dyDescent="0.25">
      <c r="A1327" s="3" t="s">
        <v>27</v>
      </c>
      <c r="B1327" s="3" t="s">
        <v>33</v>
      </c>
      <c r="C1327" s="3" t="s">
        <v>34</v>
      </c>
      <c r="D1327" s="3" t="s">
        <v>50</v>
      </c>
      <c r="E1327" s="3" t="s">
        <v>51</v>
      </c>
      <c r="F1327" s="3" t="s">
        <v>25</v>
      </c>
      <c r="G1327" s="3" t="s">
        <v>25</v>
      </c>
      <c r="H1327" s="3" t="s">
        <v>35</v>
      </c>
      <c r="I1327" s="6">
        <v>44501</v>
      </c>
      <c r="J1327" s="4">
        <v>0</v>
      </c>
      <c r="K1327" s="70">
        <v>0</v>
      </c>
      <c r="L1327" s="4">
        <v>0.19</v>
      </c>
      <c r="M1327" s="70">
        <v>0.19</v>
      </c>
      <c r="N1327" s="4">
        <v>0.19</v>
      </c>
      <c r="O1327" s="70">
        <v>0.19</v>
      </c>
      <c r="P1327" s="4">
        <v>0</v>
      </c>
      <c r="Q1327" s="3" t="s">
        <v>26</v>
      </c>
      <c r="R1327" s="3">
        <v>0</v>
      </c>
      <c r="S1327" s="4">
        <v>0</v>
      </c>
      <c r="T1327" s="4">
        <v>8</v>
      </c>
      <c r="U1327" s="4">
        <v>72</v>
      </c>
      <c r="V1327" s="70">
        <f>IF(ISERROR(VLOOKUP($S$1327,'TAR FIN'!$A$1:$O$99,15,0)),0,VLOOKUP($S$1327,'TAR FIN'!$A$1:$O$99,15,0))</f>
        <v>0</v>
      </c>
      <c r="W1327" s="70">
        <f>IF(ISERROR(VLOOKUP($T$1327,'TAR FIN'!$A$1:$O$99,15,0)),0,VLOOKUP($T$1327,'TAR FIN'!$A$1:$O$99,15,0))*(1-0.06)</f>
        <v>1464.2755999999999</v>
      </c>
      <c r="X1327" s="70">
        <f>IF(ISERROR(VLOOKUP($U$1327,'TAR FIN'!$A$1:$O$99,15,0)),0,VLOOKUP($U$1327,'TAR FIN'!$A$1:$O$99,15,0))*(1-0.06)</f>
        <v>325.8134</v>
      </c>
      <c r="Y1327" s="70"/>
      <c r="Z1327" s="70">
        <f ca="1">('TUSD BE'!$AM$22+'TUSD BF'!$AM$22+'TUSD CVA'!$AM$22)*1*(1-0.03)</f>
        <v>1745.1580396621926</v>
      </c>
      <c r="AA1327" s="70">
        <f>('TE BE'!$AA$7+'TE BF'!$AA$7+'TE CVA'!$AA$7)*1*(1-0.03)</f>
        <v>411.17962930251429</v>
      </c>
      <c r="AB1327" s="4">
        <f>$K$1327*$V$1327</f>
        <v>0</v>
      </c>
      <c r="AC1327" s="4">
        <f>$M$1327*$W$1327</f>
        <v>278.21236399999998</v>
      </c>
      <c r="AD1327" s="4">
        <f>$O$1327*$X$1327</f>
        <v>61.904546000000003</v>
      </c>
      <c r="AE1327" s="4">
        <f>$K$1327*$Y$1327</f>
        <v>0</v>
      </c>
      <c r="AF1327" s="4">
        <f ca="1">$M$1327*$Z$1327</f>
        <v>331.58002753581661</v>
      </c>
      <c r="AG1327" s="4">
        <f>$O$1327*$AA$1327</f>
        <v>78.124129567477709</v>
      </c>
    </row>
    <row r="1328" spans="1:33" ht="11.25" customHeight="1" x14ac:dyDescent="0.25">
      <c r="A1328" s="3" t="s">
        <v>28</v>
      </c>
      <c r="B1328" s="3" t="s">
        <v>33</v>
      </c>
      <c r="C1328" s="3" t="s">
        <v>34</v>
      </c>
      <c r="D1328" s="3" t="s">
        <v>50</v>
      </c>
      <c r="E1328" s="3" t="s">
        <v>51</v>
      </c>
      <c r="F1328" s="3" t="s">
        <v>25</v>
      </c>
      <c r="G1328" s="3" t="s">
        <v>25</v>
      </c>
      <c r="H1328" s="3" t="s">
        <v>35</v>
      </c>
      <c r="I1328" s="6">
        <v>44501</v>
      </c>
      <c r="J1328" s="4">
        <v>0</v>
      </c>
      <c r="K1328" s="70">
        <v>0</v>
      </c>
      <c r="L1328" s="4">
        <v>2.0249999999999999</v>
      </c>
      <c r="M1328" s="70">
        <v>2.0249999999999999</v>
      </c>
      <c r="N1328" s="4">
        <v>2.0249999999999999</v>
      </c>
      <c r="O1328" s="70">
        <v>2.0249999999999999</v>
      </c>
      <c r="P1328" s="4">
        <v>0</v>
      </c>
      <c r="Q1328" s="3" t="s">
        <v>26</v>
      </c>
      <c r="R1328" s="3">
        <v>0</v>
      </c>
      <c r="S1328" s="4">
        <v>0</v>
      </c>
      <c r="T1328" s="4">
        <v>8</v>
      </c>
      <c r="U1328" s="4">
        <v>72</v>
      </c>
      <c r="V1328" s="70">
        <f>IF(ISERROR(VLOOKUP($S$1328,'TAR FIN'!$A$1:$O$99,15,0)),0,VLOOKUP($S$1328,'TAR FIN'!$A$1:$O$99,15,0))</f>
        <v>0</v>
      </c>
      <c r="W1328" s="70">
        <f>IF(ISERROR(VLOOKUP($T$1328,'TAR FIN'!$A$1:$O$99,15,0)),0,VLOOKUP($T$1328,'TAR FIN'!$A$1:$O$99,15,0))*(1-0.06)</f>
        <v>1464.2755999999999</v>
      </c>
      <c r="X1328" s="70">
        <f>IF(ISERROR(VLOOKUP($U$1328,'TAR FIN'!$A$1:$O$99,15,0)),0,VLOOKUP($U$1328,'TAR FIN'!$A$1:$O$99,15,0))*(1-0.06)</f>
        <v>325.8134</v>
      </c>
      <c r="Y1328" s="70"/>
      <c r="Z1328" s="70">
        <f ca="1">('TUSD BE'!$AM$22+'TUSD BF'!$AM$22+'TUSD CVA'!$AM$22)*1*(1-0.03)</f>
        <v>1745.1580396621926</v>
      </c>
      <c r="AA1328" s="70">
        <f>('TE BE'!$AA$7+'TE BF'!$AA$7+'TE CVA'!$AA$7)*1*(1-0.03)</f>
        <v>411.17962930251429</v>
      </c>
      <c r="AB1328" s="4">
        <f>$K$1328*$V$1328</f>
        <v>0</v>
      </c>
      <c r="AC1328" s="4">
        <f>$M$1328*$W$1328</f>
        <v>2965.1580899999999</v>
      </c>
      <c r="AD1328" s="4">
        <f>$O$1328*$X$1328</f>
        <v>659.77213499999993</v>
      </c>
      <c r="AE1328" s="4">
        <f>$K$1328*$Y$1328</f>
        <v>0</v>
      </c>
      <c r="AF1328" s="4">
        <f ca="1">$M$1328*$Z$1328</f>
        <v>3533.9450303159397</v>
      </c>
      <c r="AG1328" s="4">
        <f>$O$1328*$AA$1328</f>
        <v>832.63874933759143</v>
      </c>
    </row>
    <row r="1329" spans="1:33" ht="11.25" customHeight="1" x14ac:dyDescent="0.25">
      <c r="A1329" s="3" t="s">
        <v>21</v>
      </c>
      <c r="B1329" s="3" t="s">
        <v>33</v>
      </c>
      <c r="C1329" s="3" t="s">
        <v>34</v>
      </c>
      <c r="D1329" s="3" t="s">
        <v>50</v>
      </c>
      <c r="E1329" s="3" t="s">
        <v>51</v>
      </c>
      <c r="F1329" s="3" t="s">
        <v>25</v>
      </c>
      <c r="G1329" s="3" t="s">
        <v>25</v>
      </c>
      <c r="H1329" s="3" t="s">
        <v>35</v>
      </c>
      <c r="I1329" s="6">
        <v>44531</v>
      </c>
      <c r="J1329" s="4">
        <v>0</v>
      </c>
      <c r="K1329" s="70">
        <v>0</v>
      </c>
      <c r="L1329" s="4">
        <v>442.82</v>
      </c>
      <c r="M1329" s="70">
        <v>442.82</v>
      </c>
      <c r="N1329" s="4">
        <v>442.82</v>
      </c>
      <c r="O1329" s="70">
        <v>442.82</v>
      </c>
      <c r="P1329" s="4">
        <v>0</v>
      </c>
      <c r="Q1329" s="3" t="s">
        <v>26</v>
      </c>
      <c r="R1329" s="3">
        <v>0</v>
      </c>
      <c r="S1329" s="4">
        <v>0</v>
      </c>
      <c r="T1329" s="4">
        <v>8</v>
      </c>
      <c r="U1329" s="4">
        <v>72</v>
      </c>
      <c r="V1329" s="70">
        <f>IF(ISERROR(VLOOKUP($S$1329,'TAR FIN'!$A$1:$O$99,15,0)),0,VLOOKUP($S$1329,'TAR FIN'!$A$1:$O$99,15,0))</f>
        <v>0</v>
      </c>
      <c r="W1329" s="70">
        <f>IF(ISERROR(VLOOKUP($T$1329,'TAR FIN'!$A$1:$O$99,15,0)),0,VLOOKUP($T$1329,'TAR FIN'!$A$1:$O$99,15,0))*(1-0.06)</f>
        <v>1464.2755999999999</v>
      </c>
      <c r="X1329" s="70">
        <f>IF(ISERROR(VLOOKUP($U$1329,'TAR FIN'!$A$1:$O$99,15,0)),0,VLOOKUP($U$1329,'TAR FIN'!$A$1:$O$99,15,0))*(1-0.06)</f>
        <v>325.8134</v>
      </c>
      <c r="Y1329" s="70"/>
      <c r="Z1329" s="70">
        <f ca="1">('TUSD BE'!$AM$22+'TUSD BF'!$AM$22+'TUSD CVA'!$AM$22)*1*(1-0.03)</f>
        <v>1745.1580396621926</v>
      </c>
      <c r="AA1329" s="70">
        <f>('TE BE'!$AA$7+'TE BF'!$AA$7+'TE CVA'!$AA$7)*1*(1-0.03)</f>
        <v>411.17962930251429</v>
      </c>
      <c r="AB1329" s="4">
        <f>$K$1329*$V$1329</f>
        <v>0</v>
      </c>
      <c r="AC1329" s="4">
        <f>$M$1329*$W$1329</f>
        <v>648410.52119200001</v>
      </c>
      <c r="AD1329" s="4">
        <f>$O$1329*$X$1329</f>
        <v>144276.68978799999</v>
      </c>
      <c r="AE1329" s="4">
        <f>$K$1329*$Y$1329</f>
        <v>0</v>
      </c>
      <c r="AF1329" s="4">
        <f ca="1">$M$1329*$Z$1329</f>
        <v>772790.88312321214</v>
      </c>
      <c r="AG1329" s="4">
        <f>$O$1329*$AA$1329</f>
        <v>182078.56344773938</v>
      </c>
    </row>
    <row r="1330" spans="1:33" ht="11.25" customHeight="1" x14ac:dyDescent="0.25">
      <c r="A1330" s="3" t="s">
        <v>27</v>
      </c>
      <c r="B1330" s="3" t="s">
        <v>33</v>
      </c>
      <c r="C1330" s="3" t="s">
        <v>34</v>
      </c>
      <c r="D1330" s="3" t="s">
        <v>50</v>
      </c>
      <c r="E1330" s="3" t="s">
        <v>51</v>
      </c>
      <c r="F1330" s="3" t="s">
        <v>25</v>
      </c>
      <c r="G1330" s="3" t="s">
        <v>25</v>
      </c>
      <c r="H1330" s="3" t="s">
        <v>35</v>
      </c>
      <c r="I1330" s="6">
        <v>44531</v>
      </c>
      <c r="J1330" s="4">
        <v>0</v>
      </c>
      <c r="K1330" s="70">
        <v>0</v>
      </c>
      <c r="L1330" s="4">
        <v>8.7999999999999995E-2</v>
      </c>
      <c r="M1330" s="70">
        <v>8.7999999999999995E-2</v>
      </c>
      <c r="N1330" s="4">
        <v>8.7999999999999995E-2</v>
      </c>
      <c r="O1330" s="70">
        <v>8.7999999999999995E-2</v>
      </c>
      <c r="P1330" s="4">
        <v>0</v>
      </c>
      <c r="Q1330" s="3" t="s">
        <v>26</v>
      </c>
      <c r="R1330" s="3">
        <v>0</v>
      </c>
      <c r="S1330" s="4">
        <v>0</v>
      </c>
      <c r="T1330" s="4">
        <v>8</v>
      </c>
      <c r="U1330" s="4">
        <v>72</v>
      </c>
      <c r="V1330" s="70">
        <f>IF(ISERROR(VLOOKUP($S$1330,'TAR FIN'!$A$1:$O$99,15,0)),0,VLOOKUP($S$1330,'TAR FIN'!$A$1:$O$99,15,0))</f>
        <v>0</v>
      </c>
      <c r="W1330" s="70">
        <f>IF(ISERROR(VLOOKUP($T$1330,'TAR FIN'!$A$1:$O$99,15,0)),0,VLOOKUP($T$1330,'TAR FIN'!$A$1:$O$99,15,0))*(1-0.06)</f>
        <v>1464.2755999999999</v>
      </c>
      <c r="X1330" s="70">
        <f>IF(ISERROR(VLOOKUP($U$1330,'TAR FIN'!$A$1:$O$99,15,0)),0,VLOOKUP($U$1330,'TAR FIN'!$A$1:$O$99,15,0))*(1-0.06)</f>
        <v>325.8134</v>
      </c>
      <c r="Y1330" s="70"/>
      <c r="Z1330" s="70">
        <f ca="1">('TUSD BE'!$AM$22+'TUSD BF'!$AM$22+'TUSD CVA'!$AM$22)*1*(1-0.03)</f>
        <v>1745.1580396621926</v>
      </c>
      <c r="AA1330" s="70">
        <f>('TE BE'!$AA$7+'TE BF'!$AA$7+'TE CVA'!$AA$7)*1*(1-0.03)</f>
        <v>411.17962930251429</v>
      </c>
      <c r="AB1330" s="4">
        <f>$K$1330*$V$1330</f>
        <v>0</v>
      </c>
      <c r="AC1330" s="4">
        <f>$M$1330*$W$1330</f>
        <v>128.85625279999999</v>
      </c>
      <c r="AD1330" s="4">
        <f>$O$1330*$X$1330</f>
        <v>28.6715792</v>
      </c>
      <c r="AE1330" s="4">
        <f>$K$1330*$Y$1330</f>
        <v>0</v>
      </c>
      <c r="AF1330" s="4">
        <f ca="1">$M$1330*$Z$1330</f>
        <v>153.57390749027294</v>
      </c>
      <c r="AG1330" s="4">
        <f>$O$1330*$AA$1330</f>
        <v>36.183807378621253</v>
      </c>
    </row>
    <row r="1331" spans="1:33" ht="11.25" customHeight="1" x14ac:dyDescent="0.25">
      <c r="A1331" s="3" t="s">
        <v>28</v>
      </c>
      <c r="B1331" s="3" t="s">
        <v>33</v>
      </c>
      <c r="C1331" s="3" t="s">
        <v>34</v>
      </c>
      <c r="D1331" s="3" t="s">
        <v>50</v>
      </c>
      <c r="E1331" s="3" t="s">
        <v>51</v>
      </c>
      <c r="F1331" s="3" t="s">
        <v>25</v>
      </c>
      <c r="G1331" s="3" t="s">
        <v>25</v>
      </c>
      <c r="H1331" s="3" t="s">
        <v>35</v>
      </c>
      <c r="I1331" s="6">
        <v>44531</v>
      </c>
      <c r="J1331" s="4">
        <v>0</v>
      </c>
      <c r="K1331" s="70">
        <v>0</v>
      </c>
      <c r="L1331" s="4">
        <v>3.5739999999999998</v>
      </c>
      <c r="M1331" s="70">
        <v>3.5739999999999998</v>
      </c>
      <c r="N1331" s="4">
        <v>3.5739999999999998</v>
      </c>
      <c r="O1331" s="70">
        <v>3.5739999999999998</v>
      </c>
      <c r="P1331" s="4">
        <v>0</v>
      </c>
      <c r="Q1331" s="3" t="s">
        <v>26</v>
      </c>
      <c r="R1331" s="3">
        <v>0</v>
      </c>
      <c r="S1331" s="4">
        <v>0</v>
      </c>
      <c r="T1331" s="4">
        <v>8</v>
      </c>
      <c r="U1331" s="4">
        <v>72</v>
      </c>
      <c r="V1331" s="70">
        <f>IF(ISERROR(VLOOKUP($S$1331,'TAR FIN'!$A$1:$O$99,15,0)),0,VLOOKUP($S$1331,'TAR FIN'!$A$1:$O$99,15,0))</f>
        <v>0</v>
      </c>
      <c r="W1331" s="70">
        <f>IF(ISERROR(VLOOKUP($T$1331,'TAR FIN'!$A$1:$O$99,15,0)),0,VLOOKUP($T$1331,'TAR FIN'!$A$1:$O$99,15,0))*(1-0.06)</f>
        <v>1464.2755999999999</v>
      </c>
      <c r="X1331" s="70">
        <f>IF(ISERROR(VLOOKUP($U$1331,'TAR FIN'!$A$1:$O$99,15,0)),0,VLOOKUP($U$1331,'TAR FIN'!$A$1:$O$99,15,0))*(1-0.06)</f>
        <v>325.8134</v>
      </c>
      <c r="Y1331" s="70"/>
      <c r="Z1331" s="70">
        <f ca="1">('TUSD BE'!$AM$22+'TUSD BF'!$AM$22+'TUSD CVA'!$AM$22)*1*(1-0.03)</f>
        <v>1745.1580396621926</v>
      </c>
      <c r="AA1331" s="70">
        <f>('TE BE'!$AA$7+'TE BF'!$AA$7+'TE CVA'!$AA$7)*1*(1-0.03)</f>
        <v>411.17962930251429</v>
      </c>
      <c r="AB1331" s="4">
        <f>$K$1331*$V$1331</f>
        <v>0</v>
      </c>
      <c r="AC1331" s="4">
        <f>$M$1331*$W$1331</f>
        <v>5233.3209943999991</v>
      </c>
      <c r="AD1331" s="4">
        <f>$O$1331*$X$1331</f>
        <v>1164.4570916</v>
      </c>
      <c r="AE1331" s="4">
        <f>$K$1331*$Y$1331</f>
        <v>0</v>
      </c>
      <c r="AF1331" s="4">
        <f ca="1">$M$1331*$Z$1331</f>
        <v>6237.1948337526755</v>
      </c>
      <c r="AG1331" s="4">
        <f>$O$1331*$AA$1331</f>
        <v>1469.555995127186</v>
      </c>
    </row>
    <row r="1332" spans="1:33" ht="11.25" customHeight="1" x14ac:dyDescent="0.25">
      <c r="A1332" s="3" t="s">
        <v>21</v>
      </c>
      <c r="B1332" s="3" t="s">
        <v>33</v>
      </c>
      <c r="C1332" s="3" t="s">
        <v>34</v>
      </c>
      <c r="D1332" s="3" t="s">
        <v>50</v>
      </c>
      <c r="E1332" s="3" t="s">
        <v>51</v>
      </c>
      <c r="F1332" s="3" t="s">
        <v>25</v>
      </c>
      <c r="G1332" s="3" t="s">
        <v>25</v>
      </c>
      <c r="H1332" s="3" t="s">
        <v>35</v>
      </c>
      <c r="I1332" s="6">
        <v>44562</v>
      </c>
      <c r="J1332" s="4">
        <v>0</v>
      </c>
      <c r="K1332" s="70">
        <v>0</v>
      </c>
      <c r="L1332" s="4">
        <v>402.59899999999999</v>
      </c>
      <c r="M1332" s="70">
        <v>402.59899999999999</v>
      </c>
      <c r="N1332" s="4">
        <v>402.59899999999999</v>
      </c>
      <c r="O1332" s="70">
        <v>402.59899999999999</v>
      </c>
      <c r="P1332" s="4">
        <v>0</v>
      </c>
      <c r="Q1332" s="3" t="s">
        <v>26</v>
      </c>
      <c r="R1332" s="3">
        <v>0</v>
      </c>
      <c r="S1332" s="4">
        <v>0</v>
      </c>
      <c r="T1332" s="4">
        <v>8</v>
      </c>
      <c r="U1332" s="4">
        <v>72</v>
      </c>
      <c r="V1332" s="70">
        <f>IF(ISERROR(VLOOKUP($S$1332,'TAR FIN'!$A$1:$O$99,15,0)),0,VLOOKUP($S$1332,'TAR FIN'!$A$1:$O$99,15,0))</f>
        <v>0</v>
      </c>
      <c r="W1332" s="70">
        <f>IF(ISERROR(VLOOKUP($T$1332,'TAR FIN'!$A$1:$O$99,15,0)),0,VLOOKUP($T$1332,'TAR FIN'!$A$1:$O$99,15,0))*(1-0.06)</f>
        <v>1464.2755999999999</v>
      </c>
      <c r="X1332" s="70">
        <f>IF(ISERROR(VLOOKUP($U$1332,'TAR FIN'!$A$1:$O$99,15,0)),0,VLOOKUP($U$1332,'TAR FIN'!$A$1:$O$99,15,0))*(1-0.06)</f>
        <v>325.8134</v>
      </c>
      <c r="Y1332" s="70"/>
      <c r="Z1332" s="70">
        <f ca="1">('TUSD BE'!$AM$22+'TUSD BF'!$AM$22+'TUSD CVA'!$AM$22)*1*(1-0.03)</f>
        <v>1745.1580396621926</v>
      </c>
      <c r="AA1332" s="70">
        <f>('TE BE'!$AA$7+'TE BF'!$AA$7+'TE CVA'!$AA$7)*1*(1-0.03)</f>
        <v>411.17962930251429</v>
      </c>
      <c r="AB1332" s="4">
        <f>$K$1332*$V$1332</f>
        <v>0</v>
      </c>
      <c r="AC1332" s="4">
        <f>$M$1332*$W$1332</f>
        <v>589515.89228439995</v>
      </c>
      <c r="AD1332" s="4">
        <f>$O$1332*$X$1332</f>
        <v>131172.1490266</v>
      </c>
      <c r="AE1332" s="4">
        <f>$K$1332*$Y$1332</f>
        <v>0</v>
      </c>
      <c r="AF1332" s="4">
        <f ca="1">$M$1332*$Z$1332</f>
        <v>702598.88160995906</v>
      </c>
      <c r="AG1332" s="4">
        <f>$O$1332*$AA$1332</f>
        <v>165540.50757756294</v>
      </c>
    </row>
    <row r="1333" spans="1:33" ht="11.25" customHeight="1" x14ac:dyDescent="0.25">
      <c r="A1333" s="3" t="s">
        <v>28</v>
      </c>
      <c r="B1333" s="3" t="s">
        <v>33</v>
      </c>
      <c r="C1333" s="3" t="s">
        <v>34</v>
      </c>
      <c r="D1333" s="3" t="s">
        <v>50</v>
      </c>
      <c r="E1333" s="3" t="s">
        <v>51</v>
      </c>
      <c r="F1333" s="3" t="s">
        <v>25</v>
      </c>
      <c r="G1333" s="3" t="s">
        <v>25</v>
      </c>
      <c r="H1333" s="3" t="s">
        <v>35</v>
      </c>
      <c r="I1333" s="6">
        <v>44562</v>
      </c>
      <c r="J1333" s="4">
        <v>0</v>
      </c>
      <c r="K1333" s="70">
        <v>0</v>
      </c>
      <c r="L1333" s="4">
        <v>3.2610000000000001</v>
      </c>
      <c r="M1333" s="70">
        <v>3.2610000000000001</v>
      </c>
      <c r="N1333" s="4">
        <v>3.2610000000000001</v>
      </c>
      <c r="O1333" s="70">
        <v>3.2610000000000001</v>
      </c>
      <c r="P1333" s="4">
        <v>0</v>
      </c>
      <c r="Q1333" s="3" t="s">
        <v>26</v>
      </c>
      <c r="R1333" s="3">
        <v>0</v>
      </c>
      <c r="S1333" s="4">
        <v>0</v>
      </c>
      <c r="T1333" s="4">
        <v>8</v>
      </c>
      <c r="U1333" s="4">
        <v>72</v>
      </c>
      <c r="V1333" s="70">
        <f>IF(ISERROR(VLOOKUP($S$1333,'TAR FIN'!$A$1:$O$99,15,0)),0,VLOOKUP($S$1333,'TAR FIN'!$A$1:$O$99,15,0))</f>
        <v>0</v>
      </c>
      <c r="W1333" s="70">
        <f>IF(ISERROR(VLOOKUP($T$1333,'TAR FIN'!$A$1:$O$99,15,0)),0,VLOOKUP($T$1333,'TAR FIN'!$A$1:$O$99,15,0))*(1-0.06)</f>
        <v>1464.2755999999999</v>
      </c>
      <c r="X1333" s="70">
        <f>IF(ISERROR(VLOOKUP($U$1333,'TAR FIN'!$A$1:$O$99,15,0)),0,VLOOKUP($U$1333,'TAR FIN'!$A$1:$O$99,15,0))*(1-0.06)</f>
        <v>325.8134</v>
      </c>
      <c r="Y1333" s="70"/>
      <c r="Z1333" s="70">
        <f ca="1">('TUSD BE'!$AM$22+'TUSD BF'!$AM$22+'TUSD CVA'!$AM$22)*1*(1-0.03)</f>
        <v>1745.1580396621926</v>
      </c>
      <c r="AA1333" s="70">
        <f>('TE BE'!$AA$7+'TE BF'!$AA$7+'TE CVA'!$AA$7)*1*(1-0.03)</f>
        <v>411.17962930251429</v>
      </c>
      <c r="AB1333" s="4">
        <f>$K$1333*$V$1333</f>
        <v>0</v>
      </c>
      <c r="AC1333" s="4">
        <f>$M$1333*$W$1333</f>
        <v>4775.0027315999996</v>
      </c>
      <c r="AD1333" s="4">
        <f>$O$1333*$X$1333</f>
        <v>1062.4774973999999</v>
      </c>
      <c r="AE1333" s="4">
        <f>$K$1333*$Y$1333</f>
        <v>0</v>
      </c>
      <c r="AF1333" s="4">
        <f ca="1">$M$1333*$Z$1333</f>
        <v>5690.9603673384099</v>
      </c>
      <c r="AG1333" s="4">
        <f>$O$1333*$AA$1333</f>
        <v>1340.8567711554992</v>
      </c>
    </row>
    <row r="1334" spans="1:33" ht="11.25" customHeight="1" x14ac:dyDescent="0.25">
      <c r="A1334" s="3" t="s">
        <v>21</v>
      </c>
      <c r="B1334" s="3" t="s">
        <v>33</v>
      </c>
      <c r="C1334" s="3" t="s">
        <v>34</v>
      </c>
      <c r="D1334" s="3" t="s">
        <v>50</v>
      </c>
      <c r="E1334" s="3" t="s">
        <v>51</v>
      </c>
      <c r="F1334" s="3" t="s">
        <v>25</v>
      </c>
      <c r="G1334" s="3" t="s">
        <v>25</v>
      </c>
      <c r="H1334" s="3" t="s">
        <v>35</v>
      </c>
      <c r="I1334" s="6">
        <v>44593</v>
      </c>
      <c r="J1334" s="4">
        <v>0</v>
      </c>
      <c r="K1334" s="70">
        <v>0</v>
      </c>
      <c r="L1334" s="4">
        <v>375.17599999999999</v>
      </c>
      <c r="M1334" s="70">
        <v>375.17599999999999</v>
      </c>
      <c r="N1334" s="4">
        <v>375.17599999999999</v>
      </c>
      <c r="O1334" s="70">
        <v>375.17599999999999</v>
      </c>
      <c r="P1334" s="4">
        <v>0</v>
      </c>
      <c r="Q1334" s="3" t="s">
        <v>26</v>
      </c>
      <c r="R1334" s="3">
        <v>0</v>
      </c>
      <c r="S1334" s="4">
        <v>0</v>
      </c>
      <c r="T1334" s="4">
        <v>8</v>
      </c>
      <c r="U1334" s="4">
        <v>72</v>
      </c>
      <c r="V1334" s="70">
        <f>IF(ISERROR(VLOOKUP($S$1334,'TAR FIN'!$A$1:$O$99,15,0)),0,VLOOKUP($S$1334,'TAR FIN'!$A$1:$O$99,15,0))</f>
        <v>0</v>
      </c>
      <c r="W1334" s="70">
        <f>IF(ISERROR(VLOOKUP($T$1334,'TAR FIN'!$A$1:$O$99,15,0)),0,VLOOKUP($T$1334,'TAR FIN'!$A$1:$O$99,15,0))*(1-0.06)</f>
        <v>1464.2755999999999</v>
      </c>
      <c r="X1334" s="70">
        <f>IF(ISERROR(VLOOKUP($U$1334,'TAR FIN'!$A$1:$O$99,15,0)),0,VLOOKUP($U$1334,'TAR FIN'!$A$1:$O$99,15,0))*(1-0.06)</f>
        <v>325.8134</v>
      </c>
      <c r="Y1334" s="70"/>
      <c r="Z1334" s="70">
        <f ca="1">('TUSD BE'!$AM$22+'TUSD BF'!$AM$22+'TUSD CVA'!$AM$22)*1*(1-0.03)</f>
        <v>1745.1580396621926</v>
      </c>
      <c r="AA1334" s="70">
        <f>('TE BE'!$AA$7+'TE BF'!$AA$7+'TE CVA'!$AA$7)*1*(1-0.03)</f>
        <v>411.17962930251429</v>
      </c>
      <c r="AB1334" s="4">
        <f>$K$1334*$V$1334</f>
        <v>0</v>
      </c>
      <c r="AC1334" s="4">
        <f>$M$1334*$W$1334</f>
        <v>549361.06250559993</v>
      </c>
      <c r="AD1334" s="4">
        <f>$O$1334*$X$1334</f>
        <v>122237.3681584</v>
      </c>
      <c r="AE1334" s="4">
        <f>$K$1334*$Y$1334</f>
        <v>0</v>
      </c>
      <c r="AF1334" s="4">
        <f ca="1">$M$1334*$Z$1334</f>
        <v>654741.41268830269</v>
      </c>
      <c r="AG1334" s="4">
        <f>$O$1334*$AA$1334</f>
        <v>154264.72860320008</v>
      </c>
    </row>
    <row r="1335" spans="1:33" ht="11.25" customHeight="1" x14ac:dyDescent="0.25">
      <c r="A1335" s="3" t="s">
        <v>28</v>
      </c>
      <c r="B1335" s="3" t="s">
        <v>33</v>
      </c>
      <c r="C1335" s="3" t="s">
        <v>34</v>
      </c>
      <c r="D1335" s="3" t="s">
        <v>50</v>
      </c>
      <c r="E1335" s="3" t="s">
        <v>51</v>
      </c>
      <c r="F1335" s="3" t="s">
        <v>25</v>
      </c>
      <c r="G1335" s="3" t="s">
        <v>25</v>
      </c>
      <c r="H1335" s="3" t="s">
        <v>35</v>
      </c>
      <c r="I1335" s="6">
        <v>44593</v>
      </c>
      <c r="J1335" s="4">
        <v>0</v>
      </c>
      <c r="K1335" s="70">
        <v>0</v>
      </c>
      <c r="L1335" s="4">
        <v>1.9770000000000001</v>
      </c>
      <c r="M1335" s="70">
        <v>1.9770000000000001</v>
      </c>
      <c r="N1335" s="4">
        <v>1.9770000000000001</v>
      </c>
      <c r="O1335" s="70">
        <v>1.9770000000000001</v>
      </c>
      <c r="P1335" s="4">
        <v>0</v>
      </c>
      <c r="Q1335" s="3" t="s">
        <v>26</v>
      </c>
      <c r="R1335" s="3">
        <v>0</v>
      </c>
      <c r="S1335" s="4">
        <v>0</v>
      </c>
      <c r="T1335" s="4">
        <v>8</v>
      </c>
      <c r="U1335" s="4">
        <v>72</v>
      </c>
      <c r="V1335" s="70">
        <f>IF(ISERROR(VLOOKUP($S$1335,'TAR FIN'!$A$1:$O$99,15,0)),0,VLOOKUP($S$1335,'TAR FIN'!$A$1:$O$99,15,0))</f>
        <v>0</v>
      </c>
      <c r="W1335" s="70">
        <f>IF(ISERROR(VLOOKUP($T$1335,'TAR FIN'!$A$1:$O$99,15,0)),0,VLOOKUP($T$1335,'TAR FIN'!$A$1:$O$99,15,0))*(1-0.06)</f>
        <v>1464.2755999999999</v>
      </c>
      <c r="X1335" s="70">
        <f>IF(ISERROR(VLOOKUP($U$1335,'TAR FIN'!$A$1:$O$99,15,0)),0,VLOOKUP($U$1335,'TAR FIN'!$A$1:$O$99,15,0))*(1-0.06)</f>
        <v>325.8134</v>
      </c>
      <c r="Y1335" s="70"/>
      <c r="Z1335" s="70">
        <f ca="1">('TUSD BE'!$AM$22+'TUSD BF'!$AM$22+'TUSD CVA'!$AM$22)*1*(1-0.03)</f>
        <v>1745.1580396621926</v>
      </c>
      <c r="AA1335" s="70">
        <f>('TE BE'!$AA$7+'TE BF'!$AA$7+'TE CVA'!$AA$7)*1*(1-0.03)</f>
        <v>411.17962930251429</v>
      </c>
      <c r="AB1335" s="4">
        <f>$K$1335*$V$1335</f>
        <v>0</v>
      </c>
      <c r="AC1335" s="4">
        <f>$M$1335*$W$1335</f>
        <v>2894.8728612</v>
      </c>
      <c r="AD1335" s="4">
        <f>$O$1335*$X$1335</f>
        <v>644.13309179999999</v>
      </c>
      <c r="AE1335" s="4">
        <f>$K$1335*$Y$1335</f>
        <v>0</v>
      </c>
      <c r="AF1335" s="4">
        <f ca="1">$M$1335*$Z$1335</f>
        <v>3450.1774444121547</v>
      </c>
      <c r="AG1335" s="4">
        <f>$O$1335*$AA$1335</f>
        <v>812.90212713107076</v>
      </c>
    </row>
    <row r="1336" spans="1:33" ht="11.25" customHeight="1" x14ac:dyDescent="0.25">
      <c r="A1336" s="3" t="s">
        <v>21</v>
      </c>
      <c r="B1336" s="3" t="s">
        <v>33</v>
      </c>
      <c r="C1336" s="3" t="s">
        <v>34</v>
      </c>
      <c r="D1336" s="3" t="s">
        <v>50</v>
      </c>
      <c r="E1336" s="3" t="s">
        <v>51</v>
      </c>
      <c r="F1336" s="3" t="s">
        <v>25</v>
      </c>
      <c r="G1336" s="3" t="s">
        <v>25</v>
      </c>
      <c r="H1336" s="3" t="s">
        <v>35</v>
      </c>
      <c r="I1336" s="6">
        <v>44621</v>
      </c>
      <c r="J1336" s="4">
        <v>0</v>
      </c>
      <c r="K1336" s="70">
        <v>0</v>
      </c>
      <c r="L1336" s="4">
        <v>440.09699999999998</v>
      </c>
      <c r="M1336" s="70">
        <v>440.09699999999998</v>
      </c>
      <c r="N1336" s="4">
        <v>440.09699999999998</v>
      </c>
      <c r="O1336" s="70">
        <v>440.09699999999998</v>
      </c>
      <c r="P1336" s="4">
        <v>0</v>
      </c>
      <c r="Q1336" s="3" t="s">
        <v>26</v>
      </c>
      <c r="R1336" s="3">
        <v>0</v>
      </c>
      <c r="S1336" s="4">
        <v>0</v>
      </c>
      <c r="T1336" s="4">
        <v>8</v>
      </c>
      <c r="U1336" s="4">
        <v>72</v>
      </c>
      <c r="V1336" s="70">
        <f>IF(ISERROR(VLOOKUP($S$1336,'TAR FIN'!$A$1:$O$99,15,0)),0,VLOOKUP($S$1336,'TAR FIN'!$A$1:$O$99,15,0))</f>
        <v>0</v>
      </c>
      <c r="W1336" s="70">
        <f>IF(ISERROR(VLOOKUP($T$1336,'TAR FIN'!$A$1:$O$99,15,0)),0,VLOOKUP($T$1336,'TAR FIN'!$A$1:$O$99,15,0))*(1-0.06)</f>
        <v>1464.2755999999999</v>
      </c>
      <c r="X1336" s="70">
        <f>IF(ISERROR(VLOOKUP($U$1336,'TAR FIN'!$A$1:$O$99,15,0)),0,VLOOKUP($U$1336,'TAR FIN'!$A$1:$O$99,15,0))*(1-0.06)</f>
        <v>325.8134</v>
      </c>
      <c r="Y1336" s="70"/>
      <c r="Z1336" s="70">
        <f ca="1">('TUSD BE'!$AM$22+'TUSD BF'!$AM$22+'TUSD CVA'!$AM$22)*1*(1-0.03)</f>
        <v>1745.1580396621926</v>
      </c>
      <c r="AA1336" s="70">
        <f>('TE BE'!$AA$7+'TE BF'!$AA$7+'TE CVA'!$AA$7)*1*(1-0.03)</f>
        <v>411.17962930251429</v>
      </c>
      <c r="AB1336" s="4">
        <f>$K$1336*$V$1336</f>
        <v>0</v>
      </c>
      <c r="AC1336" s="4">
        <f>$M$1336*$W$1336</f>
        <v>644423.29873319995</v>
      </c>
      <c r="AD1336" s="4">
        <f>$O$1336*$X$1336</f>
        <v>143389.49989979999</v>
      </c>
      <c r="AE1336" s="4">
        <f>$K$1336*$Y$1336</f>
        <v>0</v>
      </c>
      <c r="AF1336" s="4">
        <f ca="1">$M$1336*$Z$1336</f>
        <v>768038.81778121192</v>
      </c>
      <c r="AG1336" s="4">
        <f>$O$1336*$AA$1336</f>
        <v>180958.92131714863</v>
      </c>
    </row>
    <row r="1337" spans="1:33" ht="11.25" customHeight="1" x14ac:dyDescent="0.25">
      <c r="A1337" s="3" t="s">
        <v>28</v>
      </c>
      <c r="B1337" s="3" t="s">
        <v>33</v>
      </c>
      <c r="C1337" s="3" t="s">
        <v>34</v>
      </c>
      <c r="D1337" s="3" t="s">
        <v>50</v>
      </c>
      <c r="E1337" s="3" t="s">
        <v>51</v>
      </c>
      <c r="F1337" s="3" t="s">
        <v>25</v>
      </c>
      <c r="G1337" s="3" t="s">
        <v>25</v>
      </c>
      <c r="H1337" s="3" t="s">
        <v>35</v>
      </c>
      <c r="I1337" s="6">
        <v>44621</v>
      </c>
      <c r="J1337" s="4">
        <v>0</v>
      </c>
      <c r="K1337" s="70">
        <v>0</v>
      </c>
      <c r="L1337" s="4">
        <v>3.238</v>
      </c>
      <c r="M1337" s="70">
        <v>3.238</v>
      </c>
      <c r="N1337" s="4">
        <v>3.238</v>
      </c>
      <c r="O1337" s="70">
        <v>3.238</v>
      </c>
      <c r="P1337" s="4">
        <v>0</v>
      </c>
      <c r="Q1337" s="3" t="s">
        <v>26</v>
      </c>
      <c r="R1337" s="3">
        <v>0</v>
      </c>
      <c r="S1337" s="4">
        <v>0</v>
      </c>
      <c r="T1337" s="4">
        <v>8</v>
      </c>
      <c r="U1337" s="4">
        <v>72</v>
      </c>
      <c r="V1337" s="70">
        <f>IF(ISERROR(VLOOKUP($S$1337,'TAR FIN'!$A$1:$O$99,15,0)),0,VLOOKUP($S$1337,'TAR FIN'!$A$1:$O$99,15,0))</f>
        <v>0</v>
      </c>
      <c r="W1337" s="70">
        <f>IF(ISERROR(VLOOKUP($T$1337,'TAR FIN'!$A$1:$O$99,15,0)),0,VLOOKUP($T$1337,'TAR FIN'!$A$1:$O$99,15,0))*(1-0.06)</f>
        <v>1464.2755999999999</v>
      </c>
      <c r="X1337" s="70">
        <f>IF(ISERROR(VLOOKUP($U$1337,'TAR FIN'!$A$1:$O$99,15,0)),0,VLOOKUP($U$1337,'TAR FIN'!$A$1:$O$99,15,0))*(1-0.06)</f>
        <v>325.8134</v>
      </c>
      <c r="Y1337" s="70"/>
      <c r="Z1337" s="70">
        <f ca="1">('TUSD BE'!$AM$22+'TUSD BF'!$AM$22+'TUSD CVA'!$AM$22)*1*(1-0.03)</f>
        <v>1745.1580396621926</v>
      </c>
      <c r="AA1337" s="70">
        <f>('TE BE'!$AA$7+'TE BF'!$AA$7+'TE CVA'!$AA$7)*1*(1-0.03)</f>
        <v>411.17962930251429</v>
      </c>
      <c r="AB1337" s="4">
        <f>$K$1337*$V$1337</f>
        <v>0</v>
      </c>
      <c r="AC1337" s="4">
        <f>$M$1337*$W$1337</f>
        <v>4741.3243928000002</v>
      </c>
      <c r="AD1337" s="4">
        <f>$O$1337*$X$1337</f>
        <v>1054.9837892</v>
      </c>
      <c r="AE1337" s="4">
        <f>$K$1337*$Y$1337</f>
        <v>0</v>
      </c>
      <c r="AF1337" s="4">
        <f ca="1">$M$1337*$Z$1337</f>
        <v>5650.8217324261796</v>
      </c>
      <c r="AG1337" s="4">
        <f>$O$1337*$AA$1337</f>
        <v>1331.3996396815412</v>
      </c>
    </row>
    <row r="1338" spans="1:33" ht="11.25" customHeight="1" x14ac:dyDescent="0.25">
      <c r="A1338" s="3" t="s">
        <v>56</v>
      </c>
      <c r="B1338" s="3" t="s">
        <v>33</v>
      </c>
      <c r="C1338" s="3" t="s">
        <v>34</v>
      </c>
      <c r="D1338" s="3" t="s">
        <v>50</v>
      </c>
      <c r="E1338" s="3" t="s">
        <v>51</v>
      </c>
      <c r="F1338" s="3" t="s">
        <v>25</v>
      </c>
      <c r="G1338" s="3" t="s">
        <v>25</v>
      </c>
      <c r="H1338" s="3" t="s">
        <v>35</v>
      </c>
      <c r="I1338" s="6">
        <v>44652</v>
      </c>
      <c r="J1338" s="4">
        <v>0</v>
      </c>
      <c r="K1338" s="70">
        <v>0</v>
      </c>
      <c r="L1338" s="4">
        <v>440.09699999999998</v>
      </c>
      <c r="M1338" s="70">
        <v>440.09699999999998</v>
      </c>
      <c r="N1338" s="4">
        <v>440.09699999999998</v>
      </c>
      <c r="O1338" s="70">
        <v>440.09699999999998</v>
      </c>
      <c r="P1338" s="4">
        <v>0</v>
      </c>
      <c r="Q1338" s="3" t="s">
        <v>26</v>
      </c>
      <c r="R1338" s="3">
        <v>0</v>
      </c>
      <c r="S1338" s="4">
        <v>0</v>
      </c>
      <c r="T1338" s="4">
        <v>8</v>
      </c>
      <c r="U1338" s="4">
        <v>72</v>
      </c>
      <c r="V1338" s="70">
        <f>IF(ISERROR(VLOOKUP($S$1338,'TAR FIN'!$A$1:$O$99,15,0)),0,VLOOKUP($S$1338,'TAR FIN'!$A$1:$O$99,15,0))</f>
        <v>0</v>
      </c>
      <c r="W1338" s="70">
        <f>IF(ISERROR(VLOOKUP($T$1338,'TAR FIN'!$A$1:$O$99,15,0)),0,VLOOKUP($T$1338,'TAR FIN'!$A$1:$O$99,15,0))*(1-0.06)</f>
        <v>1464.2755999999999</v>
      </c>
      <c r="X1338" s="70">
        <f>IF(ISERROR(VLOOKUP($U$1338,'TAR FIN'!$A$1:$O$99,15,0)),0,VLOOKUP($U$1338,'TAR FIN'!$A$1:$O$99,15,0))*(1-0.06)</f>
        <v>325.8134</v>
      </c>
      <c r="Y1338" s="70"/>
      <c r="Z1338" s="70">
        <f ca="1">('TUSD BE'!$AM$22+'TUSD BF'!$AM$22+'TUSD CVA'!$AM$22)*1*(1-0.03)</f>
        <v>1745.1580396621926</v>
      </c>
      <c r="AA1338" s="70">
        <f>('TE BE'!$AA$7+'TE BF'!$AA$7+'TE CVA'!$AA$7)*1*(1-0.03)</f>
        <v>411.17962930251429</v>
      </c>
      <c r="AB1338" s="4">
        <f>$K$1338*$V$1338</f>
        <v>0</v>
      </c>
      <c r="AC1338" s="4">
        <f>$M$1338*$W$1338</f>
        <v>644423.29873319995</v>
      </c>
      <c r="AD1338" s="4">
        <f>$O$1338*$X$1338</f>
        <v>143389.49989979999</v>
      </c>
      <c r="AE1338" s="4">
        <f>$K$1338*$Y$1338</f>
        <v>0</v>
      </c>
      <c r="AF1338" s="4">
        <f ca="1">$M$1338*$Z$1338</f>
        <v>768038.81778121192</v>
      </c>
      <c r="AG1338" s="4">
        <f>$O$1338*$AA$1338</f>
        <v>180958.92131714863</v>
      </c>
    </row>
    <row r="1339" spans="1:33" ht="11.25" customHeight="1" x14ac:dyDescent="0.25">
      <c r="A1339" s="3" t="s">
        <v>56</v>
      </c>
      <c r="B1339" s="3" t="s">
        <v>33</v>
      </c>
      <c r="C1339" s="3" t="s">
        <v>34</v>
      </c>
      <c r="D1339" s="3" t="s">
        <v>50</v>
      </c>
      <c r="E1339" s="3" t="s">
        <v>51</v>
      </c>
      <c r="F1339" s="3" t="s">
        <v>25</v>
      </c>
      <c r="G1339" s="3" t="s">
        <v>25</v>
      </c>
      <c r="H1339" s="3" t="s">
        <v>35</v>
      </c>
      <c r="I1339" s="6">
        <v>44652</v>
      </c>
      <c r="J1339" s="4">
        <v>0</v>
      </c>
      <c r="K1339" s="70">
        <v>0</v>
      </c>
      <c r="L1339" s="4">
        <v>3.238</v>
      </c>
      <c r="M1339" s="70">
        <v>3.238</v>
      </c>
      <c r="N1339" s="4">
        <v>3.238</v>
      </c>
      <c r="O1339" s="70">
        <v>3.238</v>
      </c>
      <c r="P1339" s="4">
        <v>0</v>
      </c>
      <c r="Q1339" s="3" t="s">
        <v>26</v>
      </c>
      <c r="R1339" s="3">
        <v>0</v>
      </c>
      <c r="S1339" s="4">
        <v>0</v>
      </c>
      <c r="T1339" s="4">
        <v>8</v>
      </c>
      <c r="U1339" s="4">
        <v>72</v>
      </c>
      <c r="V1339" s="70">
        <f>IF(ISERROR(VLOOKUP($S$1339,'TAR FIN'!$A$1:$O$99,15,0)),0,VLOOKUP($S$1339,'TAR FIN'!$A$1:$O$99,15,0))</f>
        <v>0</v>
      </c>
      <c r="W1339" s="70">
        <f>IF(ISERROR(VLOOKUP($T$1339,'TAR FIN'!$A$1:$O$99,15,0)),0,VLOOKUP($T$1339,'TAR FIN'!$A$1:$O$99,15,0))*(1-0.06)</f>
        <v>1464.2755999999999</v>
      </c>
      <c r="X1339" s="70">
        <f>IF(ISERROR(VLOOKUP($U$1339,'TAR FIN'!$A$1:$O$99,15,0)),0,VLOOKUP($U$1339,'TAR FIN'!$A$1:$O$99,15,0))*(1-0.06)</f>
        <v>325.8134</v>
      </c>
      <c r="Y1339" s="70"/>
      <c r="Z1339" s="70">
        <f ca="1">('TUSD BE'!$AM$22+'TUSD BF'!$AM$22+'TUSD CVA'!$AM$22)*1*(1-0.03)</f>
        <v>1745.1580396621926</v>
      </c>
      <c r="AA1339" s="70">
        <f>('TE BE'!$AA$7+'TE BF'!$AA$7+'TE CVA'!$AA$7)*1*(1-0.03)</f>
        <v>411.17962930251429</v>
      </c>
      <c r="AB1339" s="4">
        <f>$K$1339*$V$1339</f>
        <v>0</v>
      </c>
      <c r="AC1339" s="4">
        <f>$M$1339*$W$1339</f>
        <v>4741.3243928000002</v>
      </c>
      <c r="AD1339" s="4">
        <f>$O$1339*$X$1339</f>
        <v>1054.9837892</v>
      </c>
      <c r="AE1339" s="4">
        <f>$K$1339*$Y$1339</f>
        <v>0</v>
      </c>
      <c r="AF1339" s="4">
        <f ca="1">$M$1339*$Z$1339</f>
        <v>5650.8217324261796</v>
      </c>
      <c r="AG1339" s="4">
        <f>$O$1339*$AA$1339</f>
        <v>1331.3996396815412</v>
      </c>
    </row>
    <row r="1340" spans="1:33" ht="11.25" customHeight="1" x14ac:dyDescent="0.25">
      <c r="A1340" s="3" t="s">
        <v>21</v>
      </c>
      <c r="B1340" s="3" t="s">
        <v>22</v>
      </c>
      <c r="C1340" s="3" t="s">
        <v>37</v>
      </c>
      <c r="D1340" s="3" t="s">
        <v>24</v>
      </c>
      <c r="E1340" s="3" t="s">
        <v>24</v>
      </c>
      <c r="F1340" s="3" t="s">
        <v>25</v>
      </c>
      <c r="G1340" s="3" t="s">
        <v>25</v>
      </c>
      <c r="H1340" s="3" t="s">
        <v>36</v>
      </c>
      <c r="I1340" s="6">
        <v>44317</v>
      </c>
      <c r="J1340" s="4">
        <v>0</v>
      </c>
      <c r="K1340" s="4">
        <v>0</v>
      </c>
      <c r="L1340" s="4">
        <v>63.302</v>
      </c>
      <c r="M1340" s="4">
        <v>63.302</v>
      </c>
      <c r="N1340" s="4">
        <v>63.302</v>
      </c>
      <c r="O1340" s="4">
        <v>63.302</v>
      </c>
      <c r="P1340" s="4">
        <v>0</v>
      </c>
      <c r="Q1340" s="3" t="s">
        <v>26</v>
      </c>
      <c r="R1340" s="3">
        <v>0</v>
      </c>
      <c r="S1340" s="4">
        <v>0</v>
      </c>
      <c r="T1340" s="4">
        <v>12</v>
      </c>
      <c r="U1340" s="4">
        <v>52</v>
      </c>
      <c r="V1340" s="4">
        <f>IF(ISERROR(VLOOKUP($S$1340,'TAR FIN'!$A$1:$O$99,15,0)),0,VLOOKUP($S$1340,'TAR FIN'!$A$1:$O$99,15,0))</f>
        <v>0</v>
      </c>
      <c r="W1340" s="4">
        <f>IF(ISERROR(VLOOKUP($T$1340,'TAR FIN'!$A$1:$O$99,15,0)),0,VLOOKUP($T$1340,'TAR FIN'!$A$1:$O$99,15,0))</f>
        <v>304.7</v>
      </c>
      <c r="X1340" s="4">
        <f>IF(ISERROR(VLOOKUP($U$1340,'TAR FIN'!$A$1:$O$99,15,0)),0,VLOOKUP($U$1340,'TAR FIN'!$A$1:$O$99,15,0))</f>
        <v>219.97</v>
      </c>
      <c r="Y1340" s="4"/>
      <c r="Z1340" s="4">
        <f ca="1">('TUSD BE'!$AM$30+'TUSD BF'!$AM$30+'TUSD CVA'!$AM$30)*1</f>
        <v>361.43108304877717</v>
      </c>
      <c r="AA1340" s="4">
        <f>('TE BE'!$AA$12+'TE BF'!$AA$12+'TE CVA'!$AA$12)*1</f>
        <v>271.13910989737087</v>
      </c>
      <c r="AB1340" s="4">
        <f>$K$1340*$V$1340</f>
        <v>0</v>
      </c>
      <c r="AC1340" s="4">
        <f>$M$1340*$W$1340</f>
        <v>19288.1194</v>
      </c>
      <c r="AD1340" s="4">
        <f>$O$1340*$X$1340</f>
        <v>13924.540939999999</v>
      </c>
      <c r="AE1340" s="4">
        <f>$K$1340*$Y$1340</f>
        <v>0</v>
      </c>
      <c r="AF1340" s="4">
        <f ca="1">$M$1340*$Z$1340</f>
        <v>22879.310419153691</v>
      </c>
      <c r="AG1340" s="4">
        <f>$O$1340*$AA$1340</f>
        <v>17163.647934723373</v>
      </c>
    </row>
    <row r="1341" spans="1:33" ht="11.25" customHeight="1" x14ac:dyDescent="0.25">
      <c r="A1341" s="3" t="s">
        <v>28</v>
      </c>
      <c r="B1341" s="3" t="s">
        <v>22</v>
      </c>
      <c r="C1341" s="3" t="s">
        <v>37</v>
      </c>
      <c r="D1341" s="3" t="s">
        <v>24</v>
      </c>
      <c r="E1341" s="3" t="s">
        <v>24</v>
      </c>
      <c r="F1341" s="3" t="s">
        <v>25</v>
      </c>
      <c r="G1341" s="3" t="s">
        <v>25</v>
      </c>
      <c r="H1341" s="3" t="s">
        <v>36</v>
      </c>
      <c r="I1341" s="6">
        <v>44317</v>
      </c>
      <c r="J1341" s="4">
        <v>0</v>
      </c>
      <c r="K1341" s="4">
        <v>0</v>
      </c>
      <c r="L1341" s="4">
        <v>0.182</v>
      </c>
      <c r="M1341" s="4">
        <v>0.182</v>
      </c>
      <c r="N1341" s="4">
        <v>0.182</v>
      </c>
      <c r="O1341" s="4">
        <v>0.182</v>
      </c>
      <c r="P1341" s="4">
        <v>0</v>
      </c>
      <c r="Q1341" s="3" t="s">
        <v>26</v>
      </c>
      <c r="R1341" s="3">
        <v>0</v>
      </c>
      <c r="S1341" s="4">
        <v>0</v>
      </c>
      <c r="T1341" s="4">
        <v>12</v>
      </c>
      <c r="U1341" s="4">
        <v>52</v>
      </c>
      <c r="V1341" s="4">
        <f>IF(ISERROR(VLOOKUP($S$1341,'TAR FIN'!$A$1:$O$99,15,0)),0,VLOOKUP($S$1341,'TAR FIN'!$A$1:$O$99,15,0))</f>
        <v>0</v>
      </c>
      <c r="W1341" s="4">
        <f>IF(ISERROR(VLOOKUP($T$1341,'TAR FIN'!$A$1:$O$99,15,0)),0,VLOOKUP($T$1341,'TAR FIN'!$A$1:$O$99,15,0))</f>
        <v>304.7</v>
      </c>
      <c r="X1341" s="4">
        <f>IF(ISERROR(VLOOKUP($U$1341,'TAR FIN'!$A$1:$O$99,15,0)),0,VLOOKUP($U$1341,'TAR FIN'!$A$1:$O$99,15,0))</f>
        <v>219.97</v>
      </c>
      <c r="Y1341" s="4"/>
      <c r="Z1341" s="4">
        <f ca="1">('TUSD BE'!$AM$30+'TUSD BF'!$AM$30+'TUSD CVA'!$AM$30)*1</f>
        <v>361.43108304877717</v>
      </c>
      <c r="AA1341" s="4">
        <f>('TE BE'!$AA$12+'TE BF'!$AA$12+'TE CVA'!$AA$12)*1</f>
        <v>271.13910989737087</v>
      </c>
      <c r="AB1341" s="4">
        <f>$K$1341*$V$1341</f>
        <v>0</v>
      </c>
      <c r="AC1341" s="4">
        <f>$M$1341*$W$1341</f>
        <v>55.455399999999997</v>
      </c>
      <c r="AD1341" s="4">
        <f>$O$1341*$X$1341</f>
        <v>40.03454</v>
      </c>
      <c r="AE1341" s="4">
        <f>$K$1341*$Y$1341</f>
        <v>0</v>
      </c>
      <c r="AF1341" s="4">
        <f ca="1">$M$1341*$Z$1341</f>
        <v>65.780457114877436</v>
      </c>
      <c r="AG1341" s="4">
        <f>$O$1341*$AA$1341</f>
        <v>49.347318001321497</v>
      </c>
    </row>
    <row r="1342" spans="1:33" ht="11.25" customHeight="1" x14ac:dyDescent="0.25">
      <c r="A1342" s="3" t="s">
        <v>21</v>
      </c>
      <c r="B1342" s="3" t="s">
        <v>22</v>
      </c>
      <c r="C1342" s="3" t="s">
        <v>37</v>
      </c>
      <c r="D1342" s="3" t="s">
        <v>24</v>
      </c>
      <c r="E1342" s="3" t="s">
        <v>24</v>
      </c>
      <c r="F1342" s="3" t="s">
        <v>25</v>
      </c>
      <c r="G1342" s="3" t="s">
        <v>25</v>
      </c>
      <c r="H1342" s="3" t="s">
        <v>36</v>
      </c>
      <c r="I1342" s="6">
        <v>44348</v>
      </c>
      <c r="J1342" s="4">
        <v>0</v>
      </c>
      <c r="K1342" s="4">
        <v>0</v>
      </c>
      <c r="L1342" s="4">
        <v>55.173000000000002</v>
      </c>
      <c r="M1342" s="4">
        <v>55.173000000000002</v>
      </c>
      <c r="N1342" s="4">
        <v>55.173000000000002</v>
      </c>
      <c r="O1342" s="4">
        <v>55.173000000000002</v>
      </c>
      <c r="P1342" s="4">
        <v>0</v>
      </c>
      <c r="Q1342" s="3" t="s">
        <v>26</v>
      </c>
      <c r="R1342" s="3">
        <v>0</v>
      </c>
      <c r="S1342" s="4">
        <v>0</v>
      </c>
      <c r="T1342" s="4">
        <v>12</v>
      </c>
      <c r="U1342" s="4">
        <v>52</v>
      </c>
      <c r="V1342" s="4">
        <f>IF(ISERROR(VLOOKUP($S$1342,'TAR FIN'!$A$1:$O$99,15,0)),0,VLOOKUP($S$1342,'TAR FIN'!$A$1:$O$99,15,0))</f>
        <v>0</v>
      </c>
      <c r="W1342" s="4">
        <f>IF(ISERROR(VLOOKUP($T$1342,'TAR FIN'!$A$1:$O$99,15,0)),0,VLOOKUP($T$1342,'TAR FIN'!$A$1:$O$99,15,0))</f>
        <v>304.7</v>
      </c>
      <c r="X1342" s="4">
        <f>IF(ISERROR(VLOOKUP($U$1342,'TAR FIN'!$A$1:$O$99,15,0)),0,VLOOKUP($U$1342,'TAR FIN'!$A$1:$O$99,15,0))</f>
        <v>219.97</v>
      </c>
      <c r="Y1342" s="4"/>
      <c r="Z1342" s="4">
        <f ca="1">('TUSD BE'!$AM$30+'TUSD BF'!$AM$30+'TUSD CVA'!$AM$30)*1</f>
        <v>361.43108304877717</v>
      </c>
      <c r="AA1342" s="4">
        <f>('TE BE'!$AA$12+'TE BF'!$AA$12+'TE CVA'!$AA$12)*1</f>
        <v>271.13910989737087</v>
      </c>
      <c r="AB1342" s="4">
        <f>$K$1342*$V$1342</f>
        <v>0</v>
      </c>
      <c r="AC1342" s="4">
        <f>$M$1342*$W$1342</f>
        <v>16811.213100000001</v>
      </c>
      <c r="AD1342" s="4">
        <f>$O$1342*$X$1342</f>
        <v>12136.40481</v>
      </c>
      <c r="AE1342" s="4">
        <f>$K$1342*$Y$1342</f>
        <v>0</v>
      </c>
      <c r="AF1342" s="4">
        <f ca="1">$M$1342*$Z$1342</f>
        <v>19941.237145050185</v>
      </c>
      <c r="AG1342" s="4">
        <f>$O$1342*$AA$1342</f>
        <v>14959.558110367643</v>
      </c>
    </row>
    <row r="1343" spans="1:33" ht="11.25" customHeight="1" x14ac:dyDescent="0.25">
      <c r="A1343" s="3" t="s">
        <v>27</v>
      </c>
      <c r="B1343" s="3" t="s">
        <v>22</v>
      </c>
      <c r="C1343" s="3" t="s">
        <v>37</v>
      </c>
      <c r="D1343" s="3" t="s">
        <v>24</v>
      </c>
      <c r="E1343" s="3" t="s">
        <v>24</v>
      </c>
      <c r="F1343" s="3" t="s">
        <v>25</v>
      </c>
      <c r="G1343" s="3" t="s">
        <v>25</v>
      </c>
      <c r="H1343" s="3" t="s">
        <v>36</v>
      </c>
      <c r="I1343" s="6">
        <v>44348</v>
      </c>
      <c r="J1343" s="4">
        <v>0</v>
      </c>
      <c r="K1343" s="4">
        <v>0</v>
      </c>
      <c r="L1343" s="4">
        <v>-0.879</v>
      </c>
      <c r="M1343" s="4">
        <v>-0.879</v>
      </c>
      <c r="N1343" s="4">
        <v>-0.879</v>
      </c>
      <c r="O1343" s="4">
        <v>-0.879</v>
      </c>
      <c r="P1343" s="4">
        <v>0</v>
      </c>
      <c r="Q1343" s="3" t="s">
        <v>26</v>
      </c>
      <c r="R1343" s="3">
        <v>0</v>
      </c>
      <c r="S1343" s="4">
        <v>0</v>
      </c>
      <c r="T1343" s="4">
        <v>12</v>
      </c>
      <c r="U1343" s="4">
        <v>52</v>
      </c>
      <c r="V1343" s="4">
        <f>IF(ISERROR(VLOOKUP($S$1343,'TAR FIN'!$A$1:$O$99,15,0)),0,VLOOKUP($S$1343,'TAR FIN'!$A$1:$O$99,15,0))</f>
        <v>0</v>
      </c>
      <c r="W1343" s="4">
        <f>IF(ISERROR(VLOOKUP($T$1343,'TAR FIN'!$A$1:$O$99,15,0)),0,VLOOKUP($T$1343,'TAR FIN'!$A$1:$O$99,15,0))</f>
        <v>304.7</v>
      </c>
      <c r="X1343" s="4">
        <f>IF(ISERROR(VLOOKUP($U$1343,'TAR FIN'!$A$1:$O$99,15,0)),0,VLOOKUP($U$1343,'TAR FIN'!$A$1:$O$99,15,0))</f>
        <v>219.97</v>
      </c>
      <c r="Y1343" s="4"/>
      <c r="Z1343" s="4">
        <f ca="1">('TUSD BE'!$AM$30+'TUSD BF'!$AM$30+'TUSD CVA'!$AM$30)*1</f>
        <v>361.43108304877717</v>
      </c>
      <c r="AA1343" s="4">
        <f>('TE BE'!$AA$12+'TE BF'!$AA$12+'TE CVA'!$AA$12)*1</f>
        <v>271.13910989737087</v>
      </c>
      <c r="AB1343" s="4">
        <f>$K$1343*$V$1343</f>
        <v>0</v>
      </c>
      <c r="AC1343" s="4">
        <f>$M$1343*$W$1343</f>
        <v>-267.8313</v>
      </c>
      <c r="AD1343" s="4">
        <f>$O$1343*$X$1343</f>
        <v>-193.35363000000001</v>
      </c>
      <c r="AE1343" s="4">
        <f>$K$1343*$Y$1343</f>
        <v>0</v>
      </c>
      <c r="AF1343" s="4">
        <f ca="1">$M$1343*$Z$1343</f>
        <v>-317.69792199987512</v>
      </c>
      <c r="AG1343" s="4">
        <f>$O$1343*$AA$1343</f>
        <v>-238.33127759978899</v>
      </c>
    </row>
    <row r="1344" spans="1:33" ht="11.25" customHeight="1" x14ac:dyDescent="0.25">
      <c r="A1344" s="3" t="s">
        <v>28</v>
      </c>
      <c r="B1344" s="3" t="s">
        <v>22</v>
      </c>
      <c r="C1344" s="3" t="s">
        <v>37</v>
      </c>
      <c r="D1344" s="3" t="s">
        <v>24</v>
      </c>
      <c r="E1344" s="3" t="s">
        <v>24</v>
      </c>
      <c r="F1344" s="3" t="s">
        <v>25</v>
      </c>
      <c r="G1344" s="3" t="s">
        <v>25</v>
      </c>
      <c r="H1344" s="3" t="s">
        <v>36</v>
      </c>
      <c r="I1344" s="6">
        <v>44348</v>
      </c>
      <c r="J1344" s="4">
        <v>0</v>
      </c>
      <c r="K1344" s="4">
        <v>0</v>
      </c>
      <c r="L1344" s="4">
        <v>3.5999999999999997E-2</v>
      </c>
      <c r="M1344" s="4">
        <v>3.5999999999999997E-2</v>
      </c>
      <c r="N1344" s="4">
        <v>3.5999999999999997E-2</v>
      </c>
      <c r="O1344" s="4">
        <v>3.5999999999999997E-2</v>
      </c>
      <c r="P1344" s="4">
        <v>0</v>
      </c>
      <c r="Q1344" s="3" t="s">
        <v>26</v>
      </c>
      <c r="R1344" s="3">
        <v>0</v>
      </c>
      <c r="S1344" s="4">
        <v>0</v>
      </c>
      <c r="T1344" s="4">
        <v>12</v>
      </c>
      <c r="U1344" s="4">
        <v>52</v>
      </c>
      <c r="V1344" s="4">
        <f>IF(ISERROR(VLOOKUP($S$1344,'TAR FIN'!$A$1:$O$99,15,0)),0,VLOOKUP($S$1344,'TAR FIN'!$A$1:$O$99,15,0))</f>
        <v>0</v>
      </c>
      <c r="W1344" s="4">
        <f>IF(ISERROR(VLOOKUP($T$1344,'TAR FIN'!$A$1:$O$99,15,0)),0,VLOOKUP($T$1344,'TAR FIN'!$A$1:$O$99,15,0))</f>
        <v>304.7</v>
      </c>
      <c r="X1344" s="4">
        <f>IF(ISERROR(VLOOKUP($U$1344,'TAR FIN'!$A$1:$O$99,15,0)),0,VLOOKUP($U$1344,'TAR FIN'!$A$1:$O$99,15,0))</f>
        <v>219.97</v>
      </c>
      <c r="Y1344" s="4"/>
      <c r="Z1344" s="4">
        <f ca="1">('TUSD BE'!$AM$30+'TUSD BF'!$AM$30+'TUSD CVA'!$AM$30)*1</f>
        <v>361.43108304877717</v>
      </c>
      <c r="AA1344" s="4">
        <f>('TE BE'!$AA$12+'TE BF'!$AA$12+'TE CVA'!$AA$12)*1</f>
        <v>271.13910989737087</v>
      </c>
      <c r="AB1344" s="4">
        <f>$K$1344*$V$1344</f>
        <v>0</v>
      </c>
      <c r="AC1344" s="4">
        <f>$M$1344*$W$1344</f>
        <v>10.969199999999999</v>
      </c>
      <c r="AD1344" s="4">
        <f>$O$1344*$X$1344</f>
        <v>7.9189199999999991</v>
      </c>
      <c r="AE1344" s="4">
        <f>$K$1344*$Y$1344</f>
        <v>0</v>
      </c>
      <c r="AF1344" s="4">
        <f ca="1">$M$1344*$Z$1344</f>
        <v>13.011518989755977</v>
      </c>
      <c r="AG1344" s="4">
        <f>$O$1344*$AA$1344</f>
        <v>9.7610079563053507</v>
      </c>
    </row>
    <row r="1345" spans="1:33" ht="11.25" customHeight="1" x14ac:dyDescent="0.25">
      <c r="A1345" s="3" t="s">
        <v>21</v>
      </c>
      <c r="B1345" s="3" t="s">
        <v>22</v>
      </c>
      <c r="C1345" s="3" t="s">
        <v>37</v>
      </c>
      <c r="D1345" s="3" t="s">
        <v>24</v>
      </c>
      <c r="E1345" s="3" t="s">
        <v>24</v>
      </c>
      <c r="F1345" s="3" t="s">
        <v>25</v>
      </c>
      <c r="G1345" s="3" t="s">
        <v>25</v>
      </c>
      <c r="H1345" s="3" t="s">
        <v>36</v>
      </c>
      <c r="I1345" s="6">
        <v>44378</v>
      </c>
      <c r="J1345" s="4">
        <v>0</v>
      </c>
      <c r="K1345" s="4">
        <v>0</v>
      </c>
      <c r="L1345" s="4">
        <v>49.68</v>
      </c>
      <c r="M1345" s="4">
        <v>49.68</v>
      </c>
      <c r="N1345" s="4">
        <v>49.68</v>
      </c>
      <c r="O1345" s="4">
        <v>49.68</v>
      </c>
      <c r="P1345" s="4">
        <v>0</v>
      </c>
      <c r="Q1345" s="3" t="s">
        <v>26</v>
      </c>
      <c r="R1345" s="3">
        <v>0</v>
      </c>
      <c r="S1345" s="4">
        <v>0</v>
      </c>
      <c r="T1345" s="4">
        <v>12</v>
      </c>
      <c r="U1345" s="4">
        <v>52</v>
      </c>
      <c r="V1345" s="4">
        <f>IF(ISERROR(VLOOKUP($S$1345,'TAR FIN'!$A$1:$O$99,15,0)),0,VLOOKUP($S$1345,'TAR FIN'!$A$1:$O$99,15,0))</f>
        <v>0</v>
      </c>
      <c r="W1345" s="4">
        <f>IF(ISERROR(VLOOKUP($T$1345,'TAR FIN'!$A$1:$O$99,15,0)),0,VLOOKUP($T$1345,'TAR FIN'!$A$1:$O$99,15,0))</f>
        <v>304.7</v>
      </c>
      <c r="X1345" s="4">
        <f>IF(ISERROR(VLOOKUP($U$1345,'TAR FIN'!$A$1:$O$99,15,0)),0,VLOOKUP($U$1345,'TAR FIN'!$A$1:$O$99,15,0))</f>
        <v>219.97</v>
      </c>
      <c r="Y1345" s="4"/>
      <c r="Z1345" s="4">
        <f ca="1">('TUSD BE'!$AM$30+'TUSD BF'!$AM$30+'TUSD CVA'!$AM$30)*1</f>
        <v>361.43108304877717</v>
      </c>
      <c r="AA1345" s="4">
        <f>('TE BE'!$AA$12+'TE BF'!$AA$12+'TE CVA'!$AA$12)*1</f>
        <v>271.13910989737087</v>
      </c>
      <c r="AB1345" s="4">
        <f>$K$1345*$V$1345</f>
        <v>0</v>
      </c>
      <c r="AC1345" s="4">
        <f>$M$1345*$W$1345</f>
        <v>15137.495999999999</v>
      </c>
      <c r="AD1345" s="4">
        <f>$O$1345*$X$1345</f>
        <v>10928.1096</v>
      </c>
      <c r="AE1345" s="4">
        <f>$K$1345*$Y$1345</f>
        <v>0</v>
      </c>
      <c r="AF1345" s="4">
        <f ca="1">$M$1345*$Z$1345</f>
        <v>17955.89620586325</v>
      </c>
      <c r="AG1345" s="4">
        <f>$O$1345*$AA$1345</f>
        <v>13470.190979701385</v>
      </c>
    </row>
    <row r="1346" spans="1:33" ht="11.25" customHeight="1" x14ac:dyDescent="0.25">
      <c r="A1346" s="3" t="s">
        <v>27</v>
      </c>
      <c r="B1346" s="3" t="s">
        <v>22</v>
      </c>
      <c r="C1346" s="3" t="s">
        <v>37</v>
      </c>
      <c r="D1346" s="3" t="s">
        <v>24</v>
      </c>
      <c r="E1346" s="3" t="s">
        <v>24</v>
      </c>
      <c r="F1346" s="3" t="s">
        <v>25</v>
      </c>
      <c r="G1346" s="3" t="s">
        <v>25</v>
      </c>
      <c r="H1346" s="3" t="s">
        <v>36</v>
      </c>
      <c r="I1346" s="6">
        <v>44378</v>
      </c>
      <c r="J1346" s="4">
        <v>0</v>
      </c>
      <c r="K1346" s="4">
        <v>0</v>
      </c>
      <c r="L1346" s="4">
        <v>-0.13900000000000001</v>
      </c>
      <c r="M1346" s="4">
        <v>-0.13900000000000001</v>
      </c>
      <c r="N1346" s="4">
        <v>-0.13900000000000001</v>
      </c>
      <c r="O1346" s="4">
        <v>-0.13900000000000001</v>
      </c>
      <c r="P1346" s="4">
        <v>0</v>
      </c>
      <c r="Q1346" s="3" t="s">
        <v>26</v>
      </c>
      <c r="R1346" s="3">
        <v>0</v>
      </c>
      <c r="S1346" s="4">
        <v>0</v>
      </c>
      <c r="T1346" s="4">
        <v>12</v>
      </c>
      <c r="U1346" s="4">
        <v>52</v>
      </c>
      <c r="V1346" s="4">
        <f>IF(ISERROR(VLOOKUP($S$1346,'TAR FIN'!$A$1:$O$99,15,0)),0,VLOOKUP($S$1346,'TAR FIN'!$A$1:$O$99,15,0))</f>
        <v>0</v>
      </c>
      <c r="W1346" s="4">
        <f>IF(ISERROR(VLOOKUP($T$1346,'TAR FIN'!$A$1:$O$99,15,0)),0,VLOOKUP($T$1346,'TAR FIN'!$A$1:$O$99,15,0))</f>
        <v>304.7</v>
      </c>
      <c r="X1346" s="4">
        <f>IF(ISERROR(VLOOKUP($U$1346,'TAR FIN'!$A$1:$O$99,15,0)),0,VLOOKUP($U$1346,'TAR FIN'!$A$1:$O$99,15,0))</f>
        <v>219.97</v>
      </c>
      <c r="Y1346" s="4"/>
      <c r="Z1346" s="4">
        <f ca="1">('TUSD BE'!$AM$30+'TUSD BF'!$AM$30+'TUSD CVA'!$AM$30)*1</f>
        <v>361.43108304877717</v>
      </c>
      <c r="AA1346" s="4">
        <f>('TE BE'!$AA$12+'TE BF'!$AA$12+'TE CVA'!$AA$12)*1</f>
        <v>271.13910989737087</v>
      </c>
      <c r="AB1346" s="4">
        <f>$K$1346*$V$1346</f>
        <v>0</v>
      </c>
      <c r="AC1346" s="4">
        <f>$M$1346*$W$1346</f>
        <v>-42.353300000000004</v>
      </c>
      <c r="AD1346" s="4">
        <f>$O$1346*$X$1346</f>
        <v>-30.575830000000003</v>
      </c>
      <c r="AE1346" s="4">
        <f>$K$1346*$Y$1346</f>
        <v>0</v>
      </c>
      <c r="AF1346" s="4">
        <f ca="1">$M$1346*$Z$1346</f>
        <v>-50.238920543780033</v>
      </c>
      <c r="AG1346" s="4">
        <f>$O$1346*$AA$1346</f>
        <v>-37.688336275734557</v>
      </c>
    </row>
    <row r="1347" spans="1:33" ht="11.25" customHeight="1" x14ac:dyDescent="0.25">
      <c r="A1347" s="3" t="s">
        <v>28</v>
      </c>
      <c r="B1347" s="3" t="s">
        <v>22</v>
      </c>
      <c r="C1347" s="3" t="s">
        <v>37</v>
      </c>
      <c r="D1347" s="3" t="s">
        <v>24</v>
      </c>
      <c r="E1347" s="3" t="s">
        <v>24</v>
      </c>
      <c r="F1347" s="3" t="s">
        <v>25</v>
      </c>
      <c r="G1347" s="3" t="s">
        <v>25</v>
      </c>
      <c r="H1347" s="3" t="s">
        <v>36</v>
      </c>
      <c r="I1347" s="6">
        <v>44378</v>
      </c>
      <c r="J1347" s="4">
        <v>0</v>
      </c>
      <c r="K1347" s="4">
        <v>0</v>
      </c>
      <c r="L1347" s="4">
        <v>0.442</v>
      </c>
      <c r="M1347" s="4">
        <v>0.442</v>
      </c>
      <c r="N1347" s="4">
        <v>0.442</v>
      </c>
      <c r="O1347" s="4">
        <v>0.442</v>
      </c>
      <c r="P1347" s="4">
        <v>0</v>
      </c>
      <c r="Q1347" s="3" t="s">
        <v>26</v>
      </c>
      <c r="R1347" s="3">
        <v>0</v>
      </c>
      <c r="S1347" s="4">
        <v>0</v>
      </c>
      <c r="T1347" s="4">
        <v>12</v>
      </c>
      <c r="U1347" s="4">
        <v>52</v>
      </c>
      <c r="V1347" s="4">
        <f>IF(ISERROR(VLOOKUP($S$1347,'TAR FIN'!$A$1:$O$99,15,0)),0,VLOOKUP($S$1347,'TAR FIN'!$A$1:$O$99,15,0))</f>
        <v>0</v>
      </c>
      <c r="W1347" s="4">
        <f>IF(ISERROR(VLOOKUP($T$1347,'TAR FIN'!$A$1:$O$99,15,0)),0,VLOOKUP($T$1347,'TAR FIN'!$A$1:$O$99,15,0))</f>
        <v>304.7</v>
      </c>
      <c r="X1347" s="4">
        <f>IF(ISERROR(VLOOKUP($U$1347,'TAR FIN'!$A$1:$O$99,15,0)),0,VLOOKUP($U$1347,'TAR FIN'!$A$1:$O$99,15,0))</f>
        <v>219.97</v>
      </c>
      <c r="Y1347" s="4"/>
      <c r="Z1347" s="4">
        <f ca="1">('TUSD BE'!$AM$30+'TUSD BF'!$AM$30+'TUSD CVA'!$AM$30)*1</f>
        <v>361.43108304877717</v>
      </c>
      <c r="AA1347" s="4">
        <f>('TE BE'!$AA$12+'TE BF'!$AA$12+'TE CVA'!$AA$12)*1</f>
        <v>271.13910989737087</v>
      </c>
      <c r="AB1347" s="4">
        <f>$K$1347*$V$1347</f>
        <v>0</v>
      </c>
      <c r="AC1347" s="4">
        <f>$M$1347*$W$1347</f>
        <v>134.67740000000001</v>
      </c>
      <c r="AD1347" s="4">
        <f>$O$1347*$X$1347</f>
        <v>97.226740000000007</v>
      </c>
      <c r="AE1347" s="4">
        <f>$K$1347*$Y$1347</f>
        <v>0</v>
      </c>
      <c r="AF1347" s="4">
        <f ca="1">$M$1347*$Z$1347</f>
        <v>159.75253870755952</v>
      </c>
      <c r="AG1347" s="4">
        <f>$O$1347*$AA$1347</f>
        <v>119.84348657463792</v>
      </c>
    </row>
    <row r="1348" spans="1:33" ht="11.25" customHeight="1" x14ac:dyDescent="0.25">
      <c r="A1348" s="3" t="s">
        <v>21</v>
      </c>
      <c r="B1348" s="3" t="s">
        <v>22</v>
      </c>
      <c r="C1348" s="3" t="s">
        <v>37</v>
      </c>
      <c r="D1348" s="3" t="s">
        <v>24</v>
      </c>
      <c r="E1348" s="3" t="s">
        <v>24</v>
      </c>
      <c r="F1348" s="3" t="s">
        <v>25</v>
      </c>
      <c r="G1348" s="3" t="s">
        <v>25</v>
      </c>
      <c r="H1348" s="3" t="s">
        <v>36</v>
      </c>
      <c r="I1348" s="6">
        <v>44409</v>
      </c>
      <c r="J1348" s="4">
        <v>0</v>
      </c>
      <c r="K1348" s="4">
        <v>0</v>
      </c>
      <c r="L1348" s="4">
        <v>47.259</v>
      </c>
      <c r="M1348" s="4">
        <v>47.259</v>
      </c>
      <c r="N1348" s="4">
        <v>47.259</v>
      </c>
      <c r="O1348" s="4">
        <v>47.259</v>
      </c>
      <c r="P1348" s="4">
        <v>0</v>
      </c>
      <c r="Q1348" s="3" t="s">
        <v>26</v>
      </c>
      <c r="R1348" s="3">
        <v>0</v>
      </c>
      <c r="S1348" s="4">
        <v>0</v>
      </c>
      <c r="T1348" s="4">
        <v>12</v>
      </c>
      <c r="U1348" s="4">
        <v>52</v>
      </c>
      <c r="V1348" s="4">
        <f>IF(ISERROR(VLOOKUP($S$1348,'TAR FIN'!$A$1:$O$99,15,0)),0,VLOOKUP($S$1348,'TAR FIN'!$A$1:$O$99,15,0))</f>
        <v>0</v>
      </c>
      <c r="W1348" s="4">
        <f>IF(ISERROR(VLOOKUP($T$1348,'TAR FIN'!$A$1:$O$99,15,0)),0,VLOOKUP($T$1348,'TAR FIN'!$A$1:$O$99,15,0))</f>
        <v>304.7</v>
      </c>
      <c r="X1348" s="4">
        <f>IF(ISERROR(VLOOKUP($U$1348,'TAR FIN'!$A$1:$O$99,15,0)),0,VLOOKUP($U$1348,'TAR FIN'!$A$1:$O$99,15,0))</f>
        <v>219.97</v>
      </c>
      <c r="Y1348" s="4"/>
      <c r="Z1348" s="4">
        <f ca="1">('TUSD BE'!$AM$30+'TUSD BF'!$AM$30+'TUSD CVA'!$AM$30)*1</f>
        <v>361.43108304877717</v>
      </c>
      <c r="AA1348" s="4">
        <f>('TE BE'!$AA$12+'TE BF'!$AA$12+'TE CVA'!$AA$12)*1</f>
        <v>271.13910989737087</v>
      </c>
      <c r="AB1348" s="4">
        <f>$K$1348*$V$1348</f>
        <v>0</v>
      </c>
      <c r="AC1348" s="4">
        <f>$M$1348*$W$1348</f>
        <v>14399.817299999999</v>
      </c>
      <c r="AD1348" s="4">
        <f>$O$1348*$X$1348</f>
        <v>10395.56223</v>
      </c>
      <c r="AE1348" s="4">
        <f>$K$1348*$Y$1348</f>
        <v>0</v>
      </c>
      <c r="AF1348" s="4">
        <f ca="1">$M$1348*$Z$1348</f>
        <v>17080.871553802161</v>
      </c>
      <c r="AG1348" s="4">
        <f>$O$1348*$AA$1348</f>
        <v>12813.763194639851</v>
      </c>
    </row>
    <row r="1349" spans="1:33" ht="11.25" customHeight="1" x14ac:dyDescent="0.25">
      <c r="A1349" s="3" t="s">
        <v>27</v>
      </c>
      <c r="B1349" s="3" t="s">
        <v>22</v>
      </c>
      <c r="C1349" s="3" t="s">
        <v>37</v>
      </c>
      <c r="D1349" s="3" t="s">
        <v>24</v>
      </c>
      <c r="E1349" s="3" t="s">
        <v>24</v>
      </c>
      <c r="F1349" s="3" t="s">
        <v>25</v>
      </c>
      <c r="G1349" s="3" t="s">
        <v>25</v>
      </c>
      <c r="H1349" s="3" t="s">
        <v>36</v>
      </c>
      <c r="I1349" s="6">
        <v>44409</v>
      </c>
      <c r="J1349" s="4">
        <v>0</v>
      </c>
      <c r="K1349" s="4">
        <v>0</v>
      </c>
      <c r="L1349" s="4">
        <v>0.191</v>
      </c>
      <c r="M1349" s="4">
        <v>0.191</v>
      </c>
      <c r="N1349" s="4">
        <v>0.191</v>
      </c>
      <c r="O1349" s="4">
        <v>0.191</v>
      </c>
      <c r="P1349" s="4">
        <v>0</v>
      </c>
      <c r="Q1349" s="3" t="s">
        <v>26</v>
      </c>
      <c r="R1349" s="3">
        <v>0</v>
      </c>
      <c r="S1349" s="4">
        <v>0</v>
      </c>
      <c r="T1349" s="4">
        <v>12</v>
      </c>
      <c r="U1349" s="4">
        <v>52</v>
      </c>
      <c r="V1349" s="4">
        <f>IF(ISERROR(VLOOKUP($S$1349,'TAR FIN'!$A$1:$O$99,15,0)),0,VLOOKUP($S$1349,'TAR FIN'!$A$1:$O$99,15,0))</f>
        <v>0</v>
      </c>
      <c r="W1349" s="4">
        <f>IF(ISERROR(VLOOKUP($T$1349,'TAR FIN'!$A$1:$O$99,15,0)),0,VLOOKUP($T$1349,'TAR FIN'!$A$1:$O$99,15,0))</f>
        <v>304.7</v>
      </c>
      <c r="X1349" s="4">
        <f>IF(ISERROR(VLOOKUP($U$1349,'TAR FIN'!$A$1:$O$99,15,0)),0,VLOOKUP($U$1349,'TAR FIN'!$A$1:$O$99,15,0))</f>
        <v>219.97</v>
      </c>
      <c r="Y1349" s="4"/>
      <c r="Z1349" s="4">
        <f ca="1">('TUSD BE'!$AM$30+'TUSD BF'!$AM$30+'TUSD CVA'!$AM$30)*1</f>
        <v>361.43108304877717</v>
      </c>
      <c r="AA1349" s="4">
        <f>('TE BE'!$AA$12+'TE BF'!$AA$12+'TE CVA'!$AA$12)*1</f>
        <v>271.13910989737087</v>
      </c>
      <c r="AB1349" s="4">
        <f>$K$1349*$V$1349</f>
        <v>0</v>
      </c>
      <c r="AC1349" s="4">
        <f>$M$1349*$W$1349</f>
        <v>58.197699999999998</v>
      </c>
      <c r="AD1349" s="4">
        <f>$O$1349*$X$1349</f>
        <v>42.014270000000003</v>
      </c>
      <c r="AE1349" s="4">
        <f>$K$1349*$Y$1349</f>
        <v>0</v>
      </c>
      <c r="AF1349" s="4">
        <f ca="1">$M$1349*$Z$1349</f>
        <v>69.033336862316446</v>
      </c>
      <c r="AG1349" s="4">
        <f>$O$1349*$AA$1349</f>
        <v>51.787569990397834</v>
      </c>
    </row>
    <row r="1350" spans="1:33" ht="11.25" customHeight="1" x14ac:dyDescent="0.25">
      <c r="A1350" s="3" t="s">
        <v>21</v>
      </c>
      <c r="B1350" s="3" t="s">
        <v>22</v>
      </c>
      <c r="C1350" s="3" t="s">
        <v>37</v>
      </c>
      <c r="D1350" s="3" t="s">
        <v>24</v>
      </c>
      <c r="E1350" s="3" t="s">
        <v>24</v>
      </c>
      <c r="F1350" s="3" t="s">
        <v>25</v>
      </c>
      <c r="G1350" s="3" t="s">
        <v>25</v>
      </c>
      <c r="H1350" s="3" t="s">
        <v>36</v>
      </c>
      <c r="I1350" s="6">
        <v>44440</v>
      </c>
      <c r="J1350" s="4">
        <v>0</v>
      </c>
      <c r="K1350" s="4">
        <v>0</v>
      </c>
      <c r="L1350" s="4">
        <v>52.165999999999997</v>
      </c>
      <c r="M1350" s="4">
        <v>52.165999999999997</v>
      </c>
      <c r="N1350" s="4">
        <v>52.165999999999997</v>
      </c>
      <c r="O1350" s="4">
        <v>52.165999999999997</v>
      </c>
      <c r="P1350" s="4">
        <v>0</v>
      </c>
      <c r="Q1350" s="3" t="s">
        <v>26</v>
      </c>
      <c r="R1350" s="3">
        <v>0</v>
      </c>
      <c r="S1350" s="4">
        <v>0</v>
      </c>
      <c r="T1350" s="4">
        <v>12</v>
      </c>
      <c r="U1350" s="4">
        <v>52</v>
      </c>
      <c r="V1350" s="4">
        <f>IF(ISERROR(VLOOKUP($S$1350,'TAR FIN'!$A$1:$O$99,15,0)),0,VLOOKUP($S$1350,'TAR FIN'!$A$1:$O$99,15,0))</f>
        <v>0</v>
      </c>
      <c r="W1350" s="4">
        <f>IF(ISERROR(VLOOKUP($T$1350,'TAR FIN'!$A$1:$O$99,15,0)),0,VLOOKUP($T$1350,'TAR FIN'!$A$1:$O$99,15,0))</f>
        <v>304.7</v>
      </c>
      <c r="X1350" s="4">
        <f>IF(ISERROR(VLOOKUP($U$1350,'TAR FIN'!$A$1:$O$99,15,0)),0,VLOOKUP($U$1350,'TAR FIN'!$A$1:$O$99,15,0))</f>
        <v>219.97</v>
      </c>
      <c r="Y1350" s="4"/>
      <c r="Z1350" s="4">
        <f ca="1">('TUSD BE'!$AM$30+'TUSD BF'!$AM$30+'TUSD CVA'!$AM$30)*1</f>
        <v>361.43108304877717</v>
      </c>
      <c r="AA1350" s="4">
        <f>('TE BE'!$AA$12+'TE BF'!$AA$12+'TE CVA'!$AA$12)*1</f>
        <v>271.13910989737087</v>
      </c>
      <c r="AB1350" s="4">
        <f>$K$1350*$V$1350</f>
        <v>0</v>
      </c>
      <c r="AC1350" s="4">
        <f>$M$1350*$W$1350</f>
        <v>15894.980199999998</v>
      </c>
      <c r="AD1350" s="4">
        <f>$O$1350*$X$1350</f>
        <v>11474.955019999999</v>
      </c>
      <c r="AE1350" s="4">
        <f>$K$1350*$Y$1350</f>
        <v>0</v>
      </c>
      <c r="AF1350" s="4">
        <f ca="1">$M$1350*$Z$1350</f>
        <v>18854.41387832251</v>
      </c>
      <c r="AG1350" s="4">
        <f>$O$1350*$AA$1350</f>
        <v>14144.242806906248</v>
      </c>
    </row>
    <row r="1351" spans="1:33" ht="11.25" customHeight="1" x14ac:dyDescent="0.25">
      <c r="A1351" s="3" t="s">
        <v>28</v>
      </c>
      <c r="B1351" s="3" t="s">
        <v>22</v>
      </c>
      <c r="C1351" s="3" t="s">
        <v>37</v>
      </c>
      <c r="D1351" s="3" t="s">
        <v>24</v>
      </c>
      <c r="E1351" s="3" t="s">
        <v>24</v>
      </c>
      <c r="F1351" s="3" t="s">
        <v>25</v>
      </c>
      <c r="G1351" s="3" t="s">
        <v>25</v>
      </c>
      <c r="H1351" s="3" t="s">
        <v>36</v>
      </c>
      <c r="I1351" s="6">
        <v>44440</v>
      </c>
      <c r="J1351" s="4">
        <v>0</v>
      </c>
      <c r="K1351" s="4">
        <v>0</v>
      </c>
      <c r="L1351" s="4">
        <v>4.9000000000000002E-2</v>
      </c>
      <c r="M1351" s="4">
        <v>4.9000000000000002E-2</v>
      </c>
      <c r="N1351" s="4">
        <v>4.9000000000000002E-2</v>
      </c>
      <c r="O1351" s="4">
        <v>4.9000000000000002E-2</v>
      </c>
      <c r="P1351" s="4">
        <v>0</v>
      </c>
      <c r="Q1351" s="3" t="s">
        <v>26</v>
      </c>
      <c r="R1351" s="3">
        <v>0</v>
      </c>
      <c r="S1351" s="4">
        <v>0</v>
      </c>
      <c r="T1351" s="4">
        <v>12</v>
      </c>
      <c r="U1351" s="4">
        <v>52</v>
      </c>
      <c r="V1351" s="4">
        <f>IF(ISERROR(VLOOKUP($S$1351,'TAR FIN'!$A$1:$O$99,15,0)),0,VLOOKUP($S$1351,'TAR FIN'!$A$1:$O$99,15,0))</f>
        <v>0</v>
      </c>
      <c r="W1351" s="4">
        <f>IF(ISERROR(VLOOKUP($T$1351,'TAR FIN'!$A$1:$O$99,15,0)),0,VLOOKUP($T$1351,'TAR FIN'!$A$1:$O$99,15,0))</f>
        <v>304.7</v>
      </c>
      <c r="X1351" s="4">
        <f>IF(ISERROR(VLOOKUP($U$1351,'TAR FIN'!$A$1:$O$99,15,0)),0,VLOOKUP($U$1351,'TAR FIN'!$A$1:$O$99,15,0))</f>
        <v>219.97</v>
      </c>
      <c r="Y1351" s="4"/>
      <c r="Z1351" s="4">
        <f ca="1">('TUSD BE'!$AM$30+'TUSD BF'!$AM$30+'TUSD CVA'!$AM$30)*1</f>
        <v>361.43108304877717</v>
      </c>
      <c r="AA1351" s="4">
        <f>('TE BE'!$AA$12+'TE BF'!$AA$12+'TE CVA'!$AA$12)*1</f>
        <v>271.13910989737087</v>
      </c>
      <c r="AB1351" s="4">
        <f>$K$1351*$V$1351</f>
        <v>0</v>
      </c>
      <c r="AC1351" s="4">
        <f>$M$1351*$W$1351</f>
        <v>14.930300000000001</v>
      </c>
      <c r="AD1351" s="4">
        <f>$O$1351*$X$1351</f>
        <v>10.77853</v>
      </c>
      <c r="AE1351" s="4">
        <f>$K$1351*$Y$1351</f>
        <v>0</v>
      </c>
      <c r="AF1351" s="4">
        <f ca="1">$M$1351*$Z$1351</f>
        <v>17.710123069390082</v>
      </c>
      <c r="AG1351" s="4">
        <f>$O$1351*$AA$1351</f>
        <v>13.285816384971174</v>
      </c>
    </row>
    <row r="1352" spans="1:33" ht="11.25" customHeight="1" x14ac:dyDescent="0.25">
      <c r="A1352" s="3" t="s">
        <v>21</v>
      </c>
      <c r="B1352" s="3" t="s">
        <v>22</v>
      </c>
      <c r="C1352" s="3" t="s">
        <v>37</v>
      </c>
      <c r="D1352" s="3" t="s">
        <v>24</v>
      </c>
      <c r="E1352" s="3" t="s">
        <v>24</v>
      </c>
      <c r="F1352" s="3" t="s">
        <v>25</v>
      </c>
      <c r="G1352" s="3" t="s">
        <v>25</v>
      </c>
      <c r="H1352" s="3" t="s">
        <v>36</v>
      </c>
      <c r="I1352" s="6">
        <v>44470</v>
      </c>
      <c r="J1352" s="4">
        <v>0</v>
      </c>
      <c r="K1352" s="4">
        <v>0</v>
      </c>
      <c r="L1352" s="4">
        <v>55.752000000000002</v>
      </c>
      <c r="M1352" s="4">
        <v>55.752000000000002</v>
      </c>
      <c r="N1352" s="4">
        <v>55.752000000000002</v>
      </c>
      <c r="O1352" s="4">
        <v>55.752000000000002</v>
      </c>
      <c r="P1352" s="4">
        <v>0</v>
      </c>
      <c r="Q1352" s="3" t="s">
        <v>26</v>
      </c>
      <c r="R1352" s="3">
        <v>0</v>
      </c>
      <c r="S1352" s="4">
        <v>0</v>
      </c>
      <c r="T1352" s="4">
        <v>12</v>
      </c>
      <c r="U1352" s="4">
        <v>52</v>
      </c>
      <c r="V1352" s="4">
        <f>IF(ISERROR(VLOOKUP($S$1352,'TAR FIN'!$A$1:$O$99,15,0)),0,VLOOKUP($S$1352,'TAR FIN'!$A$1:$O$99,15,0))</f>
        <v>0</v>
      </c>
      <c r="W1352" s="4">
        <f>IF(ISERROR(VLOOKUP($T$1352,'TAR FIN'!$A$1:$O$99,15,0)),0,VLOOKUP($T$1352,'TAR FIN'!$A$1:$O$99,15,0))</f>
        <v>304.7</v>
      </c>
      <c r="X1352" s="4">
        <f>IF(ISERROR(VLOOKUP($U$1352,'TAR FIN'!$A$1:$O$99,15,0)),0,VLOOKUP($U$1352,'TAR FIN'!$A$1:$O$99,15,0))</f>
        <v>219.97</v>
      </c>
      <c r="Y1352" s="4"/>
      <c r="Z1352" s="4">
        <f ca="1">('TUSD BE'!$AM$30+'TUSD BF'!$AM$30+'TUSD CVA'!$AM$30)*1</f>
        <v>361.43108304877717</v>
      </c>
      <c r="AA1352" s="4">
        <f>('TE BE'!$AA$12+'TE BF'!$AA$12+'TE CVA'!$AA$12)*1</f>
        <v>271.13910989737087</v>
      </c>
      <c r="AB1352" s="4">
        <f>$K$1352*$V$1352</f>
        <v>0</v>
      </c>
      <c r="AC1352" s="4">
        <f>$M$1352*$W$1352</f>
        <v>16987.634399999999</v>
      </c>
      <c r="AD1352" s="4">
        <f>$O$1352*$X$1352</f>
        <v>12263.76744</v>
      </c>
      <c r="AE1352" s="4">
        <f>$K$1352*$Y$1352</f>
        <v>0</v>
      </c>
      <c r="AF1352" s="4">
        <f ca="1">$M$1352*$Z$1352</f>
        <v>20150.505742135425</v>
      </c>
      <c r="AG1352" s="4">
        <f>$O$1352*$AA$1352</f>
        <v>15116.547654998221</v>
      </c>
    </row>
    <row r="1353" spans="1:33" ht="11.25" customHeight="1" x14ac:dyDescent="0.25">
      <c r="A1353" s="3" t="s">
        <v>28</v>
      </c>
      <c r="B1353" s="3" t="s">
        <v>22</v>
      </c>
      <c r="C1353" s="3" t="s">
        <v>37</v>
      </c>
      <c r="D1353" s="3" t="s">
        <v>24</v>
      </c>
      <c r="E1353" s="3" t="s">
        <v>24</v>
      </c>
      <c r="F1353" s="3" t="s">
        <v>25</v>
      </c>
      <c r="G1353" s="3" t="s">
        <v>25</v>
      </c>
      <c r="H1353" s="3" t="s">
        <v>36</v>
      </c>
      <c r="I1353" s="6">
        <v>44470</v>
      </c>
      <c r="J1353" s="4">
        <v>0</v>
      </c>
      <c r="K1353" s="4">
        <v>0</v>
      </c>
      <c r="L1353" s="4">
        <v>2.5999999999999999E-2</v>
      </c>
      <c r="M1353" s="4">
        <v>2.5999999999999999E-2</v>
      </c>
      <c r="N1353" s="4">
        <v>2.5999999999999999E-2</v>
      </c>
      <c r="O1353" s="4">
        <v>2.5999999999999999E-2</v>
      </c>
      <c r="P1353" s="4">
        <v>0</v>
      </c>
      <c r="Q1353" s="3" t="s">
        <v>26</v>
      </c>
      <c r="R1353" s="3">
        <v>0</v>
      </c>
      <c r="S1353" s="4">
        <v>0</v>
      </c>
      <c r="T1353" s="4">
        <v>12</v>
      </c>
      <c r="U1353" s="4">
        <v>52</v>
      </c>
      <c r="V1353" s="4">
        <f>IF(ISERROR(VLOOKUP($S$1353,'TAR FIN'!$A$1:$O$99,15,0)),0,VLOOKUP($S$1353,'TAR FIN'!$A$1:$O$99,15,0))</f>
        <v>0</v>
      </c>
      <c r="W1353" s="4">
        <f>IF(ISERROR(VLOOKUP($T$1353,'TAR FIN'!$A$1:$O$99,15,0)),0,VLOOKUP($T$1353,'TAR FIN'!$A$1:$O$99,15,0))</f>
        <v>304.7</v>
      </c>
      <c r="X1353" s="4">
        <f>IF(ISERROR(VLOOKUP($U$1353,'TAR FIN'!$A$1:$O$99,15,0)),0,VLOOKUP($U$1353,'TAR FIN'!$A$1:$O$99,15,0))</f>
        <v>219.97</v>
      </c>
      <c r="Y1353" s="4"/>
      <c r="Z1353" s="4">
        <f ca="1">('TUSD BE'!$AM$30+'TUSD BF'!$AM$30+'TUSD CVA'!$AM$30)*1</f>
        <v>361.43108304877717</v>
      </c>
      <c r="AA1353" s="4">
        <f>('TE BE'!$AA$12+'TE BF'!$AA$12+'TE CVA'!$AA$12)*1</f>
        <v>271.13910989737087</v>
      </c>
      <c r="AB1353" s="4">
        <f>$K$1353*$V$1353</f>
        <v>0</v>
      </c>
      <c r="AC1353" s="4">
        <f>$M$1353*$W$1353</f>
        <v>7.9221999999999992</v>
      </c>
      <c r="AD1353" s="4">
        <f>$O$1353*$X$1353</f>
        <v>5.71922</v>
      </c>
      <c r="AE1353" s="4">
        <f>$K$1353*$Y$1353</f>
        <v>0</v>
      </c>
      <c r="AF1353" s="4">
        <f ca="1">$M$1353*$Z$1353</f>
        <v>9.3972081592682066</v>
      </c>
      <c r="AG1353" s="4">
        <f>$O$1353*$AA$1353</f>
        <v>7.0496168573316424</v>
      </c>
    </row>
    <row r="1354" spans="1:33" ht="11.25" customHeight="1" x14ac:dyDescent="0.25">
      <c r="A1354" s="3" t="s">
        <v>21</v>
      </c>
      <c r="B1354" s="3" t="s">
        <v>22</v>
      </c>
      <c r="C1354" s="3" t="s">
        <v>37</v>
      </c>
      <c r="D1354" s="3" t="s">
        <v>24</v>
      </c>
      <c r="E1354" s="3" t="s">
        <v>24</v>
      </c>
      <c r="F1354" s="3" t="s">
        <v>25</v>
      </c>
      <c r="G1354" s="3" t="s">
        <v>25</v>
      </c>
      <c r="H1354" s="3" t="s">
        <v>36</v>
      </c>
      <c r="I1354" s="6">
        <v>44501</v>
      </c>
      <c r="J1354" s="4">
        <v>0</v>
      </c>
      <c r="K1354" s="4">
        <v>0</v>
      </c>
      <c r="L1354" s="4">
        <v>58.466999999999999</v>
      </c>
      <c r="M1354" s="4">
        <v>58.466999999999999</v>
      </c>
      <c r="N1354" s="4">
        <v>58.466999999999999</v>
      </c>
      <c r="O1354" s="4">
        <v>58.466999999999999</v>
      </c>
      <c r="P1354" s="4">
        <v>0</v>
      </c>
      <c r="Q1354" s="3" t="s">
        <v>26</v>
      </c>
      <c r="R1354" s="3">
        <v>0</v>
      </c>
      <c r="S1354" s="4">
        <v>0</v>
      </c>
      <c r="T1354" s="4">
        <v>12</v>
      </c>
      <c r="U1354" s="4">
        <v>52</v>
      </c>
      <c r="V1354" s="4">
        <f>IF(ISERROR(VLOOKUP($S$1354,'TAR FIN'!$A$1:$O$99,15,0)),0,VLOOKUP($S$1354,'TAR FIN'!$A$1:$O$99,15,0))</f>
        <v>0</v>
      </c>
      <c r="W1354" s="4">
        <f>IF(ISERROR(VLOOKUP($T$1354,'TAR FIN'!$A$1:$O$99,15,0)),0,VLOOKUP($T$1354,'TAR FIN'!$A$1:$O$99,15,0))</f>
        <v>304.7</v>
      </c>
      <c r="X1354" s="4">
        <f>IF(ISERROR(VLOOKUP($U$1354,'TAR FIN'!$A$1:$O$99,15,0)),0,VLOOKUP($U$1354,'TAR FIN'!$A$1:$O$99,15,0))</f>
        <v>219.97</v>
      </c>
      <c r="Y1354" s="4"/>
      <c r="Z1354" s="4">
        <f ca="1">('TUSD BE'!$AM$30+'TUSD BF'!$AM$30+'TUSD CVA'!$AM$30)*1</f>
        <v>361.43108304877717</v>
      </c>
      <c r="AA1354" s="4">
        <f>('TE BE'!$AA$12+'TE BF'!$AA$12+'TE CVA'!$AA$12)*1</f>
        <v>271.13910989737087</v>
      </c>
      <c r="AB1354" s="4">
        <f>$K$1354*$V$1354</f>
        <v>0</v>
      </c>
      <c r="AC1354" s="4">
        <f>$M$1354*$W$1354</f>
        <v>17814.894899999999</v>
      </c>
      <c r="AD1354" s="4">
        <f>$O$1354*$X$1354</f>
        <v>12860.985989999999</v>
      </c>
      <c r="AE1354" s="4">
        <f>$K$1354*$Y$1354</f>
        <v>0</v>
      </c>
      <c r="AF1354" s="4">
        <f ca="1">$M$1354*$Z$1354</f>
        <v>21131.791132612856</v>
      </c>
      <c r="AG1354" s="4">
        <f>$O$1354*$AA$1354</f>
        <v>15852.690338369583</v>
      </c>
    </row>
    <row r="1355" spans="1:33" ht="11.25" customHeight="1" x14ac:dyDescent="0.25">
      <c r="A1355" s="3" t="s">
        <v>27</v>
      </c>
      <c r="B1355" s="3" t="s">
        <v>22</v>
      </c>
      <c r="C1355" s="3" t="s">
        <v>37</v>
      </c>
      <c r="D1355" s="3" t="s">
        <v>24</v>
      </c>
      <c r="E1355" s="3" t="s">
        <v>24</v>
      </c>
      <c r="F1355" s="3" t="s">
        <v>25</v>
      </c>
      <c r="G1355" s="3" t="s">
        <v>25</v>
      </c>
      <c r="H1355" s="3" t="s">
        <v>36</v>
      </c>
      <c r="I1355" s="6">
        <v>44501</v>
      </c>
      <c r="J1355" s="4">
        <v>0</v>
      </c>
      <c r="K1355" s="4">
        <v>0</v>
      </c>
      <c r="L1355" s="4">
        <v>-0.255</v>
      </c>
      <c r="M1355" s="4">
        <v>-0.255</v>
      </c>
      <c r="N1355" s="4">
        <v>-0.255</v>
      </c>
      <c r="O1355" s="4">
        <v>-0.255</v>
      </c>
      <c r="P1355" s="4">
        <v>0</v>
      </c>
      <c r="Q1355" s="3" t="s">
        <v>26</v>
      </c>
      <c r="R1355" s="3">
        <v>0</v>
      </c>
      <c r="S1355" s="4">
        <v>0</v>
      </c>
      <c r="T1355" s="4">
        <v>12</v>
      </c>
      <c r="U1355" s="4">
        <v>52</v>
      </c>
      <c r="V1355" s="4">
        <f>IF(ISERROR(VLOOKUP($S$1355,'TAR FIN'!$A$1:$O$99,15,0)),0,VLOOKUP($S$1355,'TAR FIN'!$A$1:$O$99,15,0))</f>
        <v>0</v>
      </c>
      <c r="W1355" s="4">
        <f>IF(ISERROR(VLOOKUP($T$1355,'TAR FIN'!$A$1:$O$99,15,0)),0,VLOOKUP($T$1355,'TAR FIN'!$A$1:$O$99,15,0))</f>
        <v>304.7</v>
      </c>
      <c r="X1355" s="4">
        <f>IF(ISERROR(VLOOKUP($U$1355,'TAR FIN'!$A$1:$O$99,15,0)),0,VLOOKUP($U$1355,'TAR FIN'!$A$1:$O$99,15,0))</f>
        <v>219.97</v>
      </c>
      <c r="Y1355" s="4"/>
      <c r="Z1355" s="4">
        <f ca="1">('TUSD BE'!$AM$30+'TUSD BF'!$AM$30+'TUSD CVA'!$AM$30)*1</f>
        <v>361.43108304877717</v>
      </c>
      <c r="AA1355" s="4">
        <f>('TE BE'!$AA$12+'TE BF'!$AA$12+'TE CVA'!$AA$12)*1</f>
        <v>271.13910989737087</v>
      </c>
      <c r="AB1355" s="4">
        <f>$K$1355*$V$1355</f>
        <v>0</v>
      </c>
      <c r="AC1355" s="4">
        <f>$M$1355*$W$1355</f>
        <v>-77.698499999999996</v>
      </c>
      <c r="AD1355" s="4">
        <f>$O$1355*$X$1355</f>
        <v>-56.092350000000003</v>
      </c>
      <c r="AE1355" s="4">
        <f>$K$1355*$Y$1355</f>
        <v>0</v>
      </c>
      <c r="AF1355" s="4">
        <f ca="1">$M$1355*$Z$1355</f>
        <v>-92.164926177438176</v>
      </c>
      <c r="AG1355" s="4">
        <f>$O$1355*$AA$1355</f>
        <v>-69.140473023829571</v>
      </c>
    </row>
    <row r="1356" spans="1:33" ht="11.25" customHeight="1" x14ac:dyDescent="0.25">
      <c r="A1356" s="3" t="s">
        <v>28</v>
      </c>
      <c r="B1356" s="3" t="s">
        <v>22</v>
      </c>
      <c r="C1356" s="3" t="s">
        <v>37</v>
      </c>
      <c r="D1356" s="3" t="s">
        <v>24</v>
      </c>
      <c r="E1356" s="3" t="s">
        <v>24</v>
      </c>
      <c r="F1356" s="3" t="s">
        <v>25</v>
      </c>
      <c r="G1356" s="3" t="s">
        <v>25</v>
      </c>
      <c r="H1356" s="3" t="s">
        <v>36</v>
      </c>
      <c r="I1356" s="6">
        <v>44501</v>
      </c>
      <c r="J1356" s="4">
        <v>0</v>
      </c>
      <c r="K1356" s="4">
        <v>0</v>
      </c>
      <c r="L1356" s="4">
        <v>0.107</v>
      </c>
      <c r="M1356" s="4">
        <v>0.107</v>
      </c>
      <c r="N1356" s="4">
        <v>0.107</v>
      </c>
      <c r="O1356" s="4">
        <v>0.107</v>
      </c>
      <c r="P1356" s="4">
        <v>0</v>
      </c>
      <c r="Q1356" s="3" t="s">
        <v>26</v>
      </c>
      <c r="R1356" s="3">
        <v>0</v>
      </c>
      <c r="S1356" s="4">
        <v>0</v>
      </c>
      <c r="T1356" s="4">
        <v>12</v>
      </c>
      <c r="U1356" s="4">
        <v>52</v>
      </c>
      <c r="V1356" s="4">
        <f>IF(ISERROR(VLOOKUP($S$1356,'TAR FIN'!$A$1:$O$99,15,0)),0,VLOOKUP($S$1356,'TAR FIN'!$A$1:$O$99,15,0))</f>
        <v>0</v>
      </c>
      <c r="W1356" s="4">
        <f>IF(ISERROR(VLOOKUP($T$1356,'TAR FIN'!$A$1:$O$99,15,0)),0,VLOOKUP($T$1356,'TAR FIN'!$A$1:$O$99,15,0))</f>
        <v>304.7</v>
      </c>
      <c r="X1356" s="4">
        <f>IF(ISERROR(VLOOKUP($U$1356,'TAR FIN'!$A$1:$O$99,15,0)),0,VLOOKUP($U$1356,'TAR FIN'!$A$1:$O$99,15,0))</f>
        <v>219.97</v>
      </c>
      <c r="Y1356" s="4"/>
      <c r="Z1356" s="4">
        <f ca="1">('TUSD BE'!$AM$30+'TUSD BF'!$AM$30+'TUSD CVA'!$AM$30)*1</f>
        <v>361.43108304877717</v>
      </c>
      <c r="AA1356" s="4">
        <f>('TE BE'!$AA$12+'TE BF'!$AA$12+'TE CVA'!$AA$12)*1</f>
        <v>271.13910989737087</v>
      </c>
      <c r="AB1356" s="4">
        <f>$K$1356*$V$1356</f>
        <v>0</v>
      </c>
      <c r="AC1356" s="4">
        <f>$M$1356*$W$1356</f>
        <v>32.602899999999998</v>
      </c>
      <c r="AD1356" s="4">
        <f>$O$1356*$X$1356</f>
        <v>23.53679</v>
      </c>
      <c r="AE1356" s="4">
        <f>$K$1356*$Y$1356</f>
        <v>0</v>
      </c>
      <c r="AF1356" s="4">
        <f ca="1">$M$1356*$Z$1356</f>
        <v>38.673125886219154</v>
      </c>
      <c r="AG1356" s="4">
        <f>$O$1356*$AA$1356</f>
        <v>29.011884759018681</v>
      </c>
    </row>
    <row r="1357" spans="1:33" ht="11.25" customHeight="1" x14ac:dyDescent="0.25">
      <c r="A1357" s="3" t="s">
        <v>21</v>
      </c>
      <c r="B1357" s="3" t="s">
        <v>22</v>
      </c>
      <c r="C1357" s="3" t="s">
        <v>37</v>
      </c>
      <c r="D1357" s="3" t="s">
        <v>24</v>
      </c>
      <c r="E1357" s="3" t="s">
        <v>24</v>
      </c>
      <c r="F1357" s="3" t="s">
        <v>25</v>
      </c>
      <c r="G1357" s="3" t="s">
        <v>25</v>
      </c>
      <c r="H1357" s="3" t="s">
        <v>36</v>
      </c>
      <c r="I1357" s="6">
        <v>44531</v>
      </c>
      <c r="J1357" s="4">
        <v>0</v>
      </c>
      <c r="K1357" s="4">
        <v>0</v>
      </c>
      <c r="L1357" s="4">
        <v>61.220999999999997</v>
      </c>
      <c r="M1357" s="4">
        <v>61.220999999999997</v>
      </c>
      <c r="N1357" s="4">
        <v>61.220999999999997</v>
      </c>
      <c r="O1357" s="4">
        <v>61.220999999999997</v>
      </c>
      <c r="P1357" s="4">
        <v>0</v>
      </c>
      <c r="Q1357" s="3" t="s">
        <v>26</v>
      </c>
      <c r="R1357" s="3">
        <v>0</v>
      </c>
      <c r="S1357" s="4">
        <v>0</v>
      </c>
      <c r="T1357" s="4">
        <v>12</v>
      </c>
      <c r="U1357" s="4">
        <v>52</v>
      </c>
      <c r="V1357" s="4">
        <f>IF(ISERROR(VLOOKUP($S$1357,'TAR FIN'!$A$1:$O$99,15,0)),0,VLOOKUP($S$1357,'TAR FIN'!$A$1:$O$99,15,0))</f>
        <v>0</v>
      </c>
      <c r="W1357" s="4">
        <f>IF(ISERROR(VLOOKUP($T$1357,'TAR FIN'!$A$1:$O$99,15,0)),0,VLOOKUP($T$1357,'TAR FIN'!$A$1:$O$99,15,0))</f>
        <v>304.7</v>
      </c>
      <c r="X1357" s="4">
        <f>IF(ISERROR(VLOOKUP($U$1357,'TAR FIN'!$A$1:$O$99,15,0)),0,VLOOKUP($U$1357,'TAR FIN'!$A$1:$O$99,15,0))</f>
        <v>219.97</v>
      </c>
      <c r="Y1357" s="4"/>
      <c r="Z1357" s="4">
        <f ca="1">('TUSD BE'!$AM$30+'TUSD BF'!$AM$30+'TUSD CVA'!$AM$30)*1</f>
        <v>361.43108304877717</v>
      </c>
      <c r="AA1357" s="4">
        <f>('TE BE'!$AA$12+'TE BF'!$AA$12+'TE CVA'!$AA$12)*1</f>
        <v>271.13910989737087</v>
      </c>
      <c r="AB1357" s="4">
        <f>$K$1357*$V$1357</f>
        <v>0</v>
      </c>
      <c r="AC1357" s="4">
        <f>$M$1357*$W$1357</f>
        <v>18654.038699999997</v>
      </c>
      <c r="AD1357" s="4">
        <f>$O$1357*$X$1357</f>
        <v>13466.783369999999</v>
      </c>
      <c r="AE1357" s="4">
        <f>$K$1357*$Y$1357</f>
        <v>0</v>
      </c>
      <c r="AF1357" s="4">
        <f ca="1">$M$1357*$Z$1357</f>
        <v>22127.172335329185</v>
      </c>
      <c r="AG1357" s="4">
        <f>$O$1357*$AA$1357</f>
        <v>16599.407447026941</v>
      </c>
    </row>
    <row r="1358" spans="1:33" ht="11.25" customHeight="1" x14ac:dyDescent="0.25">
      <c r="A1358" s="3" t="s">
        <v>27</v>
      </c>
      <c r="B1358" s="3" t="s">
        <v>22</v>
      </c>
      <c r="C1358" s="3" t="s">
        <v>37</v>
      </c>
      <c r="D1358" s="3" t="s">
        <v>24</v>
      </c>
      <c r="E1358" s="3" t="s">
        <v>24</v>
      </c>
      <c r="F1358" s="3" t="s">
        <v>25</v>
      </c>
      <c r="G1358" s="3" t="s">
        <v>25</v>
      </c>
      <c r="H1358" s="3" t="s">
        <v>36</v>
      </c>
      <c r="I1358" s="6">
        <v>44531</v>
      </c>
      <c r="J1358" s="4">
        <v>0</v>
      </c>
      <c r="K1358" s="4">
        <v>0</v>
      </c>
      <c r="L1358" s="4">
        <v>-0.14499999999999999</v>
      </c>
      <c r="M1358" s="4">
        <v>-0.14499999999999999</v>
      </c>
      <c r="N1358" s="4">
        <v>-0.14499999999999999</v>
      </c>
      <c r="O1358" s="4">
        <v>-0.14499999999999999</v>
      </c>
      <c r="P1358" s="4">
        <v>0</v>
      </c>
      <c r="Q1358" s="3" t="s">
        <v>26</v>
      </c>
      <c r="R1358" s="3">
        <v>0</v>
      </c>
      <c r="S1358" s="4">
        <v>0</v>
      </c>
      <c r="T1358" s="4">
        <v>12</v>
      </c>
      <c r="U1358" s="4">
        <v>52</v>
      </c>
      <c r="V1358" s="4">
        <f>IF(ISERROR(VLOOKUP($S$1358,'TAR FIN'!$A$1:$O$99,15,0)),0,VLOOKUP($S$1358,'TAR FIN'!$A$1:$O$99,15,0))</f>
        <v>0</v>
      </c>
      <c r="W1358" s="4">
        <f>IF(ISERROR(VLOOKUP($T$1358,'TAR FIN'!$A$1:$O$99,15,0)),0,VLOOKUP($T$1358,'TAR FIN'!$A$1:$O$99,15,0))</f>
        <v>304.7</v>
      </c>
      <c r="X1358" s="4">
        <f>IF(ISERROR(VLOOKUP($U$1358,'TAR FIN'!$A$1:$O$99,15,0)),0,VLOOKUP($U$1358,'TAR FIN'!$A$1:$O$99,15,0))</f>
        <v>219.97</v>
      </c>
      <c r="Y1358" s="4"/>
      <c r="Z1358" s="4">
        <f ca="1">('TUSD BE'!$AM$30+'TUSD BF'!$AM$30+'TUSD CVA'!$AM$30)*1</f>
        <v>361.43108304877717</v>
      </c>
      <c r="AA1358" s="4">
        <f>('TE BE'!$AA$12+'TE BF'!$AA$12+'TE CVA'!$AA$12)*1</f>
        <v>271.13910989737087</v>
      </c>
      <c r="AB1358" s="4">
        <f>$K$1358*$V$1358</f>
        <v>0</v>
      </c>
      <c r="AC1358" s="4">
        <f>$M$1358*$W$1358</f>
        <v>-44.181499999999993</v>
      </c>
      <c r="AD1358" s="4">
        <f>$O$1358*$X$1358</f>
        <v>-31.895649999999996</v>
      </c>
      <c r="AE1358" s="4">
        <f>$K$1358*$Y$1358</f>
        <v>0</v>
      </c>
      <c r="AF1358" s="4">
        <f ca="1">$M$1358*$Z$1358</f>
        <v>-52.407507042072687</v>
      </c>
      <c r="AG1358" s="4">
        <f>$O$1358*$AA$1358</f>
        <v>-39.315170935118772</v>
      </c>
    </row>
    <row r="1359" spans="1:33" ht="11.25" customHeight="1" x14ac:dyDescent="0.25">
      <c r="A1359" s="3" t="s">
        <v>28</v>
      </c>
      <c r="B1359" s="3" t="s">
        <v>22</v>
      </c>
      <c r="C1359" s="3" t="s">
        <v>37</v>
      </c>
      <c r="D1359" s="3" t="s">
        <v>24</v>
      </c>
      <c r="E1359" s="3" t="s">
        <v>24</v>
      </c>
      <c r="F1359" s="3" t="s">
        <v>25</v>
      </c>
      <c r="G1359" s="3" t="s">
        <v>25</v>
      </c>
      <c r="H1359" s="3" t="s">
        <v>36</v>
      </c>
      <c r="I1359" s="6">
        <v>44531</v>
      </c>
      <c r="J1359" s="4">
        <v>0</v>
      </c>
      <c r="K1359" s="4">
        <v>0</v>
      </c>
      <c r="L1359" s="4">
        <v>0.152</v>
      </c>
      <c r="M1359" s="4">
        <v>0.152</v>
      </c>
      <c r="N1359" s="4">
        <v>0.152</v>
      </c>
      <c r="O1359" s="4">
        <v>0.152</v>
      </c>
      <c r="P1359" s="4">
        <v>0</v>
      </c>
      <c r="Q1359" s="3" t="s">
        <v>26</v>
      </c>
      <c r="R1359" s="3">
        <v>0</v>
      </c>
      <c r="S1359" s="4">
        <v>0</v>
      </c>
      <c r="T1359" s="4">
        <v>12</v>
      </c>
      <c r="U1359" s="4">
        <v>52</v>
      </c>
      <c r="V1359" s="4">
        <f>IF(ISERROR(VLOOKUP($S$1359,'TAR FIN'!$A$1:$O$99,15,0)),0,VLOOKUP($S$1359,'TAR FIN'!$A$1:$O$99,15,0))</f>
        <v>0</v>
      </c>
      <c r="W1359" s="4">
        <f>IF(ISERROR(VLOOKUP($T$1359,'TAR FIN'!$A$1:$O$99,15,0)),0,VLOOKUP($T$1359,'TAR FIN'!$A$1:$O$99,15,0))</f>
        <v>304.7</v>
      </c>
      <c r="X1359" s="4">
        <f>IF(ISERROR(VLOOKUP($U$1359,'TAR FIN'!$A$1:$O$99,15,0)),0,VLOOKUP($U$1359,'TAR FIN'!$A$1:$O$99,15,0))</f>
        <v>219.97</v>
      </c>
      <c r="Y1359" s="4"/>
      <c r="Z1359" s="4">
        <f ca="1">('TUSD BE'!$AM$30+'TUSD BF'!$AM$30+'TUSD CVA'!$AM$30)*1</f>
        <v>361.43108304877717</v>
      </c>
      <c r="AA1359" s="4">
        <f>('TE BE'!$AA$12+'TE BF'!$AA$12+'TE CVA'!$AA$12)*1</f>
        <v>271.13910989737087</v>
      </c>
      <c r="AB1359" s="4">
        <f>$K$1359*$V$1359</f>
        <v>0</v>
      </c>
      <c r="AC1359" s="4">
        <f>$M$1359*$W$1359</f>
        <v>46.314399999999999</v>
      </c>
      <c r="AD1359" s="4">
        <f>$O$1359*$X$1359</f>
        <v>33.43544</v>
      </c>
      <c r="AE1359" s="4">
        <f>$K$1359*$Y$1359</f>
        <v>0</v>
      </c>
      <c r="AF1359" s="4">
        <f ca="1">$M$1359*$Z$1359</f>
        <v>54.937524623414127</v>
      </c>
      <c r="AG1359" s="4">
        <f>$O$1359*$AA$1359</f>
        <v>41.213144704400371</v>
      </c>
    </row>
    <row r="1360" spans="1:33" ht="11.25" customHeight="1" x14ac:dyDescent="0.25">
      <c r="A1360" s="3" t="s">
        <v>21</v>
      </c>
      <c r="B1360" s="3" t="s">
        <v>22</v>
      </c>
      <c r="C1360" s="3" t="s">
        <v>37</v>
      </c>
      <c r="D1360" s="3" t="s">
        <v>24</v>
      </c>
      <c r="E1360" s="3" t="s">
        <v>24</v>
      </c>
      <c r="F1360" s="3" t="s">
        <v>25</v>
      </c>
      <c r="G1360" s="3" t="s">
        <v>25</v>
      </c>
      <c r="H1360" s="3" t="s">
        <v>36</v>
      </c>
      <c r="I1360" s="6">
        <v>44562</v>
      </c>
      <c r="J1360" s="4">
        <v>0</v>
      </c>
      <c r="K1360" s="4">
        <v>0</v>
      </c>
      <c r="L1360" s="4">
        <v>56.481000000000002</v>
      </c>
      <c r="M1360" s="4">
        <v>56.481000000000002</v>
      </c>
      <c r="N1360" s="4">
        <v>56.481000000000002</v>
      </c>
      <c r="O1360" s="4">
        <v>56.481000000000002</v>
      </c>
      <c r="P1360" s="4">
        <v>0</v>
      </c>
      <c r="Q1360" s="3" t="s">
        <v>26</v>
      </c>
      <c r="R1360" s="3">
        <v>0</v>
      </c>
      <c r="S1360" s="4">
        <v>0</v>
      </c>
      <c r="T1360" s="4">
        <v>12</v>
      </c>
      <c r="U1360" s="4">
        <v>52</v>
      </c>
      <c r="V1360" s="4">
        <f>IF(ISERROR(VLOOKUP($S$1360,'TAR FIN'!$A$1:$O$99,15,0)),0,VLOOKUP($S$1360,'TAR FIN'!$A$1:$O$99,15,0))</f>
        <v>0</v>
      </c>
      <c r="W1360" s="4">
        <f>IF(ISERROR(VLOOKUP($T$1360,'TAR FIN'!$A$1:$O$99,15,0)),0,VLOOKUP($T$1360,'TAR FIN'!$A$1:$O$99,15,0))</f>
        <v>304.7</v>
      </c>
      <c r="X1360" s="4">
        <f>IF(ISERROR(VLOOKUP($U$1360,'TAR FIN'!$A$1:$O$99,15,0)),0,VLOOKUP($U$1360,'TAR FIN'!$A$1:$O$99,15,0))</f>
        <v>219.97</v>
      </c>
      <c r="Y1360" s="4"/>
      <c r="Z1360" s="4">
        <f ca="1">('TUSD BE'!$AM$30+'TUSD BF'!$AM$30+'TUSD CVA'!$AM$30)*1</f>
        <v>361.43108304877717</v>
      </c>
      <c r="AA1360" s="4">
        <f>('TE BE'!$AA$12+'TE BF'!$AA$12+'TE CVA'!$AA$12)*1</f>
        <v>271.13910989737087</v>
      </c>
      <c r="AB1360" s="4">
        <f>$K$1360*$V$1360</f>
        <v>0</v>
      </c>
      <c r="AC1360" s="4">
        <f>$M$1360*$W$1360</f>
        <v>17209.760699999999</v>
      </c>
      <c r="AD1360" s="4">
        <f>$O$1360*$X$1360</f>
        <v>12424.12557</v>
      </c>
      <c r="AE1360" s="4">
        <f>$K$1360*$Y$1360</f>
        <v>0</v>
      </c>
      <c r="AF1360" s="4">
        <f ca="1">$M$1360*$Z$1360</f>
        <v>20413.989001677983</v>
      </c>
      <c r="AG1360" s="4">
        <f>$O$1360*$AA$1360</f>
        <v>15314.208066113404</v>
      </c>
    </row>
    <row r="1361" spans="1:33" ht="11.25" customHeight="1" x14ac:dyDescent="0.25">
      <c r="A1361" s="3" t="s">
        <v>28</v>
      </c>
      <c r="B1361" s="3" t="s">
        <v>22</v>
      </c>
      <c r="C1361" s="3" t="s">
        <v>37</v>
      </c>
      <c r="D1361" s="3" t="s">
        <v>24</v>
      </c>
      <c r="E1361" s="3" t="s">
        <v>24</v>
      </c>
      <c r="F1361" s="3" t="s">
        <v>25</v>
      </c>
      <c r="G1361" s="3" t="s">
        <v>25</v>
      </c>
      <c r="H1361" s="3" t="s">
        <v>36</v>
      </c>
      <c r="I1361" s="6">
        <v>44562</v>
      </c>
      <c r="J1361" s="4">
        <v>0</v>
      </c>
      <c r="K1361" s="4">
        <v>0</v>
      </c>
      <c r="L1361" s="4">
        <v>0.16400000000000001</v>
      </c>
      <c r="M1361" s="4">
        <v>0.16400000000000001</v>
      </c>
      <c r="N1361" s="4">
        <v>0.16400000000000001</v>
      </c>
      <c r="O1361" s="4">
        <v>0.16400000000000001</v>
      </c>
      <c r="P1361" s="4">
        <v>0</v>
      </c>
      <c r="Q1361" s="3" t="s">
        <v>26</v>
      </c>
      <c r="R1361" s="3">
        <v>0</v>
      </c>
      <c r="S1361" s="4">
        <v>0</v>
      </c>
      <c r="T1361" s="4">
        <v>12</v>
      </c>
      <c r="U1361" s="4">
        <v>52</v>
      </c>
      <c r="V1361" s="4">
        <f>IF(ISERROR(VLOOKUP($S$1361,'TAR FIN'!$A$1:$O$99,15,0)),0,VLOOKUP($S$1361,'TAR FIN'!$A$1:$O$99,15,0))</f>
        <v>0</v>
      </c>
      <c r="W1361" s="4">
        <f>IF(ISERROR(VLOOKUP($T$1361,'TAR FIN'!$A$1:$O$99,15,0)),0,VLOOKUP($T$1361,'TAR FIN'!$A$1:$O$99,15,0))</f>
        <v>304.7</v>
      </c>
      <c r="X1361" s="4">
        <f>IF(ISERROR(VLOOKUP($U$1361,'TAR FIN'!$A$1:$O$99,15,0)),0,VLOOKUP($U$1361,'TAR FIN'!$A$1:$O$99,15,0))</f>
        <v>219.97</v>
      </c>
      <c r="Y1361" s="4"/>
      <c r="Z1361" s="4">
        <f ca="1">('TUSD BE'!$AM$30+'TUSD BF'!$AM$30+'TUSD CVA'!$AM$30)*1</f>
        <v>361.43108304877717</v>
      </c>
      <c r="AA1361" s="4">
        <f>('TE BE'!$AA$12+'TE BF'!$AA$12+'TE CVA'!$AA$12)*1</f>
        <v>271.13910989737087</v>
      </c>
      <c r="AB1361" s="4">
        <f>$K$1361*$V$1361</f>
        <v>0</v>
      </c>
      <c r="AC1361" s="4">
        <f>$M$1361*$W$1361</f>
        <v>49.970799999999997</v>
      </c>
      <c r="AD1361" s="4">
        <f>$O$1361*$X$1361</f>
        <v>36.07508</v>
      </c>
      <c r="AE1361" s="4">
        <f>$K$1361*$Y$1361</f>
        <v>0</v>
      </c>
      <c r="AF1361" s="4">
        <f ca="1">$M$1361*$Z$1361</f>
        <v>59.274697619999458</v>
      </c>
      <c r="AG1361" s="4">
        <f>$O$1361*$AA$1361</f>
        <v>44.466814023168823</v>
      </c>
    </row>
    <row r="1362" spans="1:33" ht="11.25" customHeight="1" x14ac:dyDescent="0.25">
      <c r="A1362" s="3" t="s">
        <v>21</v>
      </c>
      <c r="B1362" s="3" t="s">
        <v>22</v>
      </c>
      <c r="C1362" s="3" t="s">
        <v>37</v>
      </c>
      <c r="D1362" s="3" t="s">
        <v>24</v>
      </c>
      <c r="E1362" s="3" t="s">
        <v>24</v>
      </c>
      <c r="F1362" s="3" t="s">
        <v>25</v>
      </c>
      <c r="G1362" s="3" t="s">
        <v>25</v>
      </c>
      <c r="H1362" s="3" t="s">
        <v>36</v>
      </c>
      <c r="I1362" s="6">
        <v>44593</v>
      </c>
      <c r="J1362" s="4">
        <v>0</v>
      </c>
      <c r="K1362" s="4">
        <v>0</v>
      </c>
      <c r="L1362" s="4">
        <v>56.331000000000003</v>
      </c>
      <c r="M1362" s="4">
        <v>56.331000000000003</v>
      </c>
      <c r="N1362" s="4">
        <v>56.331000000000003</v>
      </c>
      <c r="O1362" s="4">
        <v>56.331000000000003</v>
      </c>
      <c r="P1362" s="4">
        <v>0</v>
      </c>
      <c r="Q1362" s="3" t="s">
        <v>26</v>
      </c>
      <c r="R1362" s="3">
        <v>0</v>
      </c>
      <c r="S1362" s="4">
        <v>0</v>
      </c>
      <c r="T1362" s="4">
        <v>12</v>
      </c>
      <c r="U1362" s="4">
        <v>52</v>
      </c>
      <c r="V1362" s="4">
        <f>IF(ISERROR(VLOOKUP($S$1362,'TAR FIN'!$A$1:$O$99,15,0)),0,VLOOKUP($S$1362,'TAR FIN'!$A$1:$O$99,15,0))</f>
        <v>0</v>
      </c>
      <c r="W1362" s="4">
        <f>IF(ISERROR(VLOOKUP($T$1362,'TAR FIN'!$A$1:$O$99,15,0)),0,VLOOKUP($T$1362,'TAR FIN'!$A$1:$O$99,15,0))</f>
        <v>304.7</v>
      </c>
      <c r="X1362" s="4">
        <f>IF(ISERROR(VLOOKUP($U$1362,'TAR FIN'!$A$1:$O$99,15,0)),0,VLOOKUP($U$1362,'TAR FIN'!$A$1:$O$99,15,0))</f>
        <v>219.97</v>
      </c>
      <c r="Y1362" s="4"/>
      <c r="Z1362" s="4">
        <f ca="1">('TUSD BE'!$AM$30+'TUSD BF'!$AM$30+'TUSD CVA'!$AM$30)*1</f>
        <v>361.43108304877717</v>
      </c>
      <c r="AA1362" s="4">
        <f>('TE BE'!$AA$12+'TE BF'!$AA$12+'TE CVA'!$AA$12)*1</f>
        <v>271.13910989737087</v>
      </c>
      <c r="AB1362" s="4">
        <f>$K$1362*$V$1362</f>
        <v>0</v>
      </c>
      <c r="AC1362" s="4">
        <f>$M$1362*$W$1362</f>
        <v>17164.055700000001</v>
      </c>
      <c r="AD1362" s="4">
        <f>$O$1362*$X$1362</f>
        <v>12391.130070000001</v>
      </c>
      <c r="AE1362" s="4">
        <f>$K$1362*$Y$1362</f>
        <v>0</v>
      </c>
      <c r="AF1362" s="4">
        <f ca="1">$M$1362*$Z$1362</f>
        <v>20359.774339220668</v>
      </c>
      <c r="AG1362" s="4">
        <f>$O$1362*$AA$1362</f>
        <v>15273.537199628799</v>
      </c>
    </row>
    <row r="1363" spans="1:33" ht="11.25" customHeight="1" x14ac:dyDescent="0.25">
      <c r="A1363" s="3" t="s">
        <v>28</v>
      </c>
      <c r="B1363" s="3" t="s">
        <v>22</v>
      </c>
      <c r="C1363" s="3" t="s">
        <v>37</v>
      </c>
      <c r="D1363" s="3" t="s">
        <v>24</v>
      </c>
      <c r="E1363" s="3" t="s">
        <v>24</v>
      </c>
      <c r="F1363" s="3" t="s">
        <v>25</v>
      </c>
      <c r="G1363" s="3" t="s">
        <v>25</v>
      </c>
      <c r="H1363" s="3" t="s">
        <v>36</v>
      </c>
      <c r="I1363" s="6">
        <v>44593</v>
      </c>
      <c r="J1363" s="4">
        <v>0</v>
      </c>
      <c r="K1363" s="4">
        <v>0</v>
      </c>
      <c r="L1363" s="4">
        <v>0.13800000000000001</v>
      </c>
      <c r="M1363" s="4">
        <v>0.13800000000000001</v>
      </c>
      <c r="N1363" s="4">
        <v>0.13800000000000001</v>
      </c>
      <c r="O1363" s="4">
        <v>0.13800000000000001</v>
      </c>
      <c r="P1363" s="4">
        <v>0</v>
      </c>
      <c r="Q1363" s="3" t="s">
        <v>26</v>
      </c>
      <c r="R1363" s="3">
        <v>0</v>
      </c>
      <c r="S1363" s="4">
        <v>0</v>
      </c>
      <c r="T1363" s="4">
        <v>12</v>
      </c>
      <c r="U1363" s="4">
        <v>52</v>
      </c>
      <c r="V1363" s="4">
        <f>IF(ISERROR(VLOOKUP($S$1363,'TAR FIN'!$A$1:$O$99,15,0)),0,VLOOKUP($S$1363,'TAR FIN'!$A$1:$O$99,15,0))</f>
        <v>0</v>
      </c>
      <c r="W1363" s="4">
        <f>IF(ISERROR(VLOOKUP($T$1363,'TAR FIN'!$A$1:$O$99,15,0)),0,VLOOKUP($T$1363,'TAR FIN'!$A$1:$O$99,15,0))</f>
        <v>304.7</v>
      </c>
      <c r="X1363" s="4">
        <f>IF(ISERROR(VLOOKUP($U$1363,'TAR FIN'!$A$1:$O$99,15,0)),0,VLOOKUP($U$1363,'TAR FIN'!$A$1:$O$99,15,0))</f>
        <v>219.97</v>
      </c>
      <c r="Y1363" s="4"/>
      <c r="Z1363" s="4">
        <f ca="1">('TUSD BE'!$AM$30+'TUSD BF'!$AM$30+'TUSD CVA'!$AM$30)*1</f>
        <v>361.43108304877717</v>
      </c>
      <c r="AA1363" s="4">
        <f>('TE BE'!$AA$12+'TE BF'!$AA$12+'TE CVA'!$AA$12)*1</f>
        <v>271.13910989737087</v>
      </c>
      <c r="AB1363" s="4">
        <f>$K$1363*$V$1363</f>
        <v>0</v>
      </c>
      <c r="AC1363" s="4">
        <f>$M$1363*$W$1363</f>
        <v>42.0486</v>
      </c>
      <c r="AD1363" s="4">
        <f>$O$1363*$X$1363</f>
        <v>30.355860000000003</v>
      </c>
      <c r="AE1363" s="4">
        <f>$K$1363*$Y$1363</f>
        <v>0</v>
      </c>
      <c r="AF1363" s="4">
        <f ca="1">$M$1363*$Z$1363</f>
        <v>49.877489460731255</v>
      </c>
      <c r="AG1363" s="4">
        <f>$O$1363*$AA$1363</f>
        <v>37.41719716583718</v>
      </c>
    </row>
    <row r="1364" spans="1:33" ht="11.25" customHeight="1" x14ac:dyDescent="0.25">
      <c r="A1364" s="3" t="s">
        <v>21</v>
      </c>
      <c r="B1364" s="3" t="s">
        <v>22</v>
      </c>
      <c r="C1364" s="3" t="s">
        <v>37</v>
      </c>
      <c r="D1364" s="3" t="s">
        <v>24</v>
      </c>
      <c r="E1364" s="3" t="s">
        <v>24</v>
      </c>
      <c r="F1364" s="3" t="s">
        <v>25</v>
      </c>
      <c r="G1364" s="3" t="s">
        <v>25</v>
      </c>
      <c r="H1364" s="3" t="s">
        <v>36</v>
      </c>
      <c r="I1364" s="6">
        <v>44621</v>
      </c>
      <c r="J1364" s="4">
        <v>0</v>
      </c>
      <c r="K1364" s="4">
        <v>0</v>
      </c>
      <c r="L1364" s="4">
        <v>60.597999999999999</v>
      </c>
      <c r="M1364" s="4">
        <v>60.597999999999999</v>
      </c>
      <c r="N1364" s="4">
        <v>60.597999999999999</v>
      </c>
      <c r="O1364" s="4">
        <v>60.597999999999999</v>
      </c>
      <c r="P1364" s="4">
        <v>0</v>
      </c>
      <c r="Q1364" s="3" t="s">
        <v>26</v>
      </c>
      <c r="R1364" s="3">
        <v>0</v>
      </c>
      <c r="S1364" s="4">
        <v>0</v>
      </c>
      <c r="T1364" s="4">
        <v>12</v>
      </c>
      <c r="U1364" s="4">
        <v>52</v>
      </c>
      <c r="V1364" s="4">
        <f>IF(ISERROR(VLOOKUP($S$1364,'TAR FIN'!$A$1:$O$99,15,0)),0,VLOOKUP($S$1364,'TAR FIN'!$A$1:$O$99,15,0))</f>
        <v>0</v>
      </c>
      <c r="W1364" s="4">
        <f>IF(ISERROR(VLOOKUP($T$1364,'TAR FIN'!$A$1:$O$99,15,0)),0,VLOOKUP($T$1364,'TAR FIN'!$A$1:$O$99,15,0))</f>
        <v>304.7</v>
      </c>
      <c r="X1364" s="4">
        <f>IF(ISERROR(VLOOKUP($U$1364,'TAR FIN'!$A$1:$O$99,15,0)),0,VLOOKUP($U$1364,'TAR FIN'!$A$1:$O$99,15,0))</f>
        <v>219.97</v>
      </c>
      <c r="Y1364" s="4"/>
      <c r="Z1364" s="4">
        <f ca="1">('TUSD BE'!$AM$30+'TUSD BF'!$AM$30+'TUSD CVA'!$AM$30)*1</f>
        <v>361.43108304877717</v>
      </c>
      <c r="AA1364" s="4">
        <f>('TE BE'!$AA$12+'TE BF'!$AA$12+'TE CVA'!$AA$12)*1</f>
        <v>271.13910989737087</v>
      </c>
      <c r="AB1364" s="4">
        <f>$K$1364*$V$1364</f>
        <v>0</v>
      </c>
      <c r="AC1364" s="4">
        <f>$M$1364*$W$1364</f>
        <v>18464.210599999999</v>
      </c>
      <c r="AD1364" s="4">
        <f>$O$1364*$X$1364</f>
        <v>13329.74206</v>
      </c>
      <c r="AE1364" s="4">
        <f>$K$1364*$Y$1364</f>
        <v>0</v>
      </c>
      <c r="AF1364" s="4">
        <f ca="1">$M$1364*$Z$1364</f>
        <v>21902.000770589799</v>
      </c>
      <c r="AG1364" s="4">
        <f>$O$1364*$AA$1364</f>
        <v>16430.487781560882</v>
      </c>
    </row>
    <row r="1365" spans="1:33" ht="11.25" customHeight="1" x14ac:dyDescent="0.25">
      <c r="A1365" s="3" t="s">
        <v>28</v>
      </c>
      <c r="B1365" s="3" t="s">
        <v>22</v>
      </c>
      <c r="C1365" s="3" t="s">
        <v>37</v>
      </c>
      <c r="D1365" s="3" t="s">
        <v>24</v>
      </c>
      <c r="E1365" s="3" t="s">
        <v>24</v>
      </c>
      <c r="F1365" s="3" t="s">
        <v>25</v>
      </c>
      <c r="G1365" s="3" t="s">
        <v>25</v>
      </c>
      <c r="H1365" s="3" t="s">
        <v>36</v>
      </c>
      <c r="I1365" s="6">
        <v>44621</v>
      </c>
      <c r="J1365" s="4">
        <v>0</v>
      </c>
      <c r="K1365" s="4">
        <v>0</v>
      </c>
      <c r="L1365" s="4">
        <v>0.159</v>
      </c>
      <c r="M1365" s="4">
        <v>0.159</v>
      </c>
      <c r="N1365" s="4">
        <v>0.159</v>
      </c>
      <c r="O1365" s="4">
        <v>0.159</v>
      </c>
      <c r="P1365" s="4">
        <v>0</v>
      </c>
      <c r="Q1365" s="3" t="s">
        <v>26</v>
      </c>
      <c r="R1365" s="3">
        <v>0</v>
      </c>
      <c r="S1365" s="4">
        <v>0</v>
      </c>
      <c r="T1365" s="4">
        <v>12</v>
      </c>
      <c r="U1365" s="4">
        <v>52</v>
      </c>
      <c r="V1365" s="4">
        <f>IF(ISERROR(VLOOKUP($S$1365,'TAR FIN'!$A$1:$O$99,15,0)),0,VLOOKUP($S$1365,'TAR FIN'!$A$1:$O$99,15,0))</f>
        <v>0</v>
      </c>
      <c r="W1365" s="4">
        <f>IF(ISERROR(VLOOKUP($T$1365,'TAR FIN'!$A$1:$O$99,15,0)),0,VLOOKUP($T$1365,'TAR FIN'!$A$1:$O$99,15,0))</f>
        <v>304.7</v>
      </c>
      <c r="X1365" s="4">
        <f>IF(ISERROR(VLOOKUP($U$1365,'TAR FIN'!$A$1:$O$99,15,0)),0,VLOOKUP($U$1365,'TAR FIN'!$A$1:$O$99,15,0))</f>
        <v>219.97</v>
      </c>
      <c r="Y1365" s="4"/>
      <c r="Z1365" s="4">
        <f ca="1">('TUSD BE'!$AM$30+'TUSD BF'!$AM$30+'TUSD CVA'!$AM$30)*1</f>
        <v>361.43108304877717</v>
      </c>
      <c r="AA1365" s="4">
        <f>('TE BE'!$AA$12+'TE BF'!$AA$12+'TE CVA'!$AA$12)*1</f>
        <v>271.13910989737087</v>
      </c>
      <c r="AB1365" s="4">
        <f>$K$1365*$V$1365</f>
        <v>0</v>
      </c>
      <c r="AC1365" s="4">
        <f>$M$1365*$W$1365</f>
        <v>48.447299999999998</v>
      </c>
      <c r="AD1365" s="4">
        <f>$O$1365*$X$1365</f>
        <v>34.975230000000003</v>
      </c>
      <c r="AE1365" s="4">
        <f>$K$1365*$Y$1365</f>
        <v>0</v>
      </c>
      <c r="AF1365" s="4">
        <f ca="1">$M$1365*$Z$1365</f>
        <v>57.467542204755574</v>
      </c>
      <c r="AG1365" s="4">
        <f>$O$1365*$AA$1365</f>
        <v>43.111118473681969</v>
      </c>
    </row>
    <row r="1366" spans="1:33" ht="11.25" customHeight="1" x14ac:dyDescent="0.25">
      <c r="A1366" s="3" t="s">
        <v>56</v>
      </c>
      <c r="B1366" s="3" t="s">
        <v>22</v>
      </c>
      <c r="C1366" s="3" t="s">
        <v>37</v>
      </c>
      <c r="D1366" s="3" t="s">
        <v>24</v>
      </c>
      <c r="E1366" s="3" t="s">
        <v>24</v>
      </c>
      <c r="F1366" s="3" t="s">
        <v>25</v>
      </c>
      <c r="G1366" s="3" t="s">
        <v>25</v>
      </c>
      <c r="H1366" s="3" t="s">
        <v>36</v>
      </c>
      <c r="I1366" s="6">
        <v>44652</v>
      </c>
      <c r="J1366" s="4">
        <v>0</v>
      </c>
      <c r="K1366" s="4">
        <v>0</v>
      </c>
      <c r="L1366" s="4">
        <v>60.597999999999999</v>
      </c>
      <c r="M1366" s="4">
        <v>60.597999999999999</v>
      </c>
      <c r="N1366" s="4">
        <v>60.597999999999999</v>
      </c>
      <c r="O1366" s="4">
        <v>60.597999999999999</v>
      </c>
      <c r="P1366" s="4">
        <v>0</v>
      </c>
      <c r="Q1366" s="3" t="s">
        <v>26</v>
      </c>
      <c r="R1366" s="3">
        <v>0</v>
      </c>
      <c r="S1366" s="4">
        <v>0</v>
      </c>
      <c r="T1366" s="4">
        <v>12</v>
      </c>
      <c r="U1366" s="4">
        <v>52</v>
      </c>
      <c r="V1366" s="4">
        <f>IF(ISERROR(VLOOKUP($S$1366,'TAR FIN'!$A$1:$O$99,15,0)),0,VLOOKUP($S$1366,'TAR FIN'!$A$1:$O$99,15,0))</f>
        <v>0</v>
      </c>
      <c r="W1366" s="4">
        <f>IF(ISERROR(VLOOKUP($T$1366,'TAR FIN'!$A$1:$O$99,15,0)),0,VLOOKUP($T$1366,'TAR FIN'!$A$1:$O$99,15,0))</f>
        <v>304.7</v>
      </c>
      <c r="X1366" s="4">
        <f>IF(ISERROR(VLOOKUP($U$1366,'TAR FIN'!$A$1:$O$99,15,0)),0,VLOOKUP($U$1366,'TAR FIN'!$A$1:$O$99,15,0))</f>
        <v>219.97</v>
      </c>
      <c r="Y1366" s="4"/>
      <c r="Z1366" s="4">
        <f ca="1">('TUSD BE'!$AM$30+'TUSD BF'!$AM$30+'TUSD CVA'!$AM$30)*1</f>
        <v>361.43108304877717</v>
      </c>
      <c r="AA1366" s="4">
        <f>('TE BE'!$AA$12+'TE BF'!$AA$12+'TE CVA'!$AA$12)*1</f>
        <v>271.13910989737087</v>
      </c>
      <c r="AB1366" s="4">
        <f>$K$1366*$V$1366</f>
        <v>0</v>
      </c>
      <c r="AC1366" s="4">
        <f>$M$1366*$W$1366</f>
        <v>18464.210599999999</v>
      </c>
      <c r="AD1366" s="4">
        <f>$O$1366*$X$1366</f>
        <v>13329.74206</v>
      </c>
      <c r="AE1366" s="4">
        <f>$K$1366*$Y$1366</f>
        <v>0</v>
      </c>
      <c r="AF1366" s="4">
        <f ca="1">$M$1366*$Z$1366</f>
        <v>21902.000770589799</v>
      </c>
      <c r="AG1366" s="4">
        <f>$O$1366*$AA$1366</f>
        <v>16430.487781560882</v>
      </c>
    </row>
    <row r="1367" spans="1:33" ht="11.25" customHeight="1" x14ac:dyDescent="0.25">
      <c r="A1367" s="3" t="s">
        <v>56</v>
      </c>
      <c r="B1367" s="3" t="s">
        <v>22</v>
      </c>
      <c r="C1367" s="3" t="s">
        <v>37</v>
      </c>
      <c r="D1367" s="3" t="s">
        <v>24</v>
      </c>
      <c r="E1367" s="3" t="s">
        <v>24</v>
      </c>
      <c r="F1367" s="3" t="s">
        <v>25</v>
      </c>
      <c r="G1367" s="3" t="s">
        <v>25</v>
      </c>
      <c r="H1367" s="3" t="s">
        <v>36</v>
      </c>
      <c r="I1367" s="6">
        <v>44652</v>
      </c>
      <c r="J1367" s="4">
        <v>0</v>
      </c>
      <c r="K1367" s="4">
        <v>0</v>
      </c>
      <c r="L1367" s="4">
        <v>0.159</v>
      </c>
      <c r="M1367" s="4">
        <v>0.159</v>
      </c>
      <c r="N1367" s="4">
        <v>0.159</v>
      </c>
      <c r="O1367" s="4">
        <v>0.159</v>
      </c>
      <c r="P1367" s="4">
        <v>0</v>
      </c>
      <c r="Q1367" s="3" t="s">
        <v>26</v>
      </c>
      <c r="R1367" s="3">
        <v>0</v>
      </c>
      <c r="S1367" s="4">
        <v>0</v>
      </c>
      <c r="T1367" s="4">
        <v>12</v>
      </c>
      <c r="U1367" s="4">
        <v>52</v>
      </c>
      <c r="V1367" s="4">
        <f>IF(ISERROR(VLOOKUP($S$1367,'TAR FIN'!$A$1:$O$99,15,0)),0,VLOOKUP($S$1367,'TAR FIN'!$A$1:$O$99,15,0))</f>
        <v>0</v>
      </c>
      <c r="W1367" s="4">
        <f>IF(ISERROR(VLOOKUP($T$1367,'TAR FIN'!$A$1:$O$99,15,0)),0,VLOOKUP($T$1367,'TAR FIN'!$A$1:$O$99,15,0))</f>
        <v>304.7</v>
      </c>
      <c r="X1367" s="4">
        <f>IF(ISERROR(VLOOKUP($U$1367,'TAR FIN'!$A$1:$O$99,15,0)),0,VLOOKUP($U$1367,'TAR FIN'!$A$1:$O$99,15,0))</f>
        <v>219.97</v>
      </c>
      <c r="Y1367" s="4"/>
      <c r="Z1367" s="4">
        <f ca="1">('TUSD BE'!$AM$30+'TUSD BF'!$AM$30+'TUSD CVA'!$AM$30)*1</f>
        <v>361.43108304877717</v>
      </c>
      <c r="AA1367" s="4">
        <f>('TE BE'!$AA$12+'TE BF'!$AA$12+'TE CVA'!$AA$12)*1</f>
        <v>271.13910989737087</v>
      </c>
      <c r="AB1367" s="4">
        <f>$K$1367*$V$1367</f>
        <v>0</v>
      </c>
      <c r="AC1367" s="4">
        <f>$M$1367*$W$1367</f>
        <v>48.447299999999998</v>
      </c>
      <c r="AD1367" s="4">
        <f>$O$1367*$X$1367</f>
        <v>34.975230000000003</v>
      </c>
      <c r="AE1367" s="4">
        <f>$K$1367*$Y$1367</f>
        <v>0</v>
      </c>
      <c r="AF1367" s="4">
        <f ca="1">$M$1367*$Z$1367</f>
        <v>57.467542204755574</v>
      </c>
      <c r="AG1367" s="4">
        <f>$O$1367*$AA$1367</f>
        <v>43.111118473681969</v>
      </c>
    </row>
    <row r="1368" spans="1:33" ht="11.25" customHeight="1" x14ac:dyDescent="0.25">
      <c r="A1368" s="3" t="s">
        <v>21</v>
      </c>
      <c r="B1368" s="3" t="s">
        <v>22</v>
      </c>
      <c r="C1368" s="3" t="s">
        <v>37</v>
      </c>
      <c r="D1368" s="3" t="s">
        <v>24</v>
      </c>
      <c r="E1368" s="3" t="s">
        <v>24</v>
      </c>
      <c r="F1368" s="3" t="s">
        <v>25</v>
      </c>
      <c r="G1368" s="3" t="s">
        <v>25</v>
      </c>
      <c r="H1368" s="3" t="s">
        <v>38</v>
      </c>
      <c r="I1368" s="6">
        <v>44317</v>
      </c>
      <c r="J1368" s="4">
        <v>0</v>
      </c>
      <c r="K1368" s="4">
        <v>0</v>
      </c>
      <c r="L1368" s="4">
        <v>3.3980000000000001</v>
      </c>
      <c r="M1368" s="4">
        <v>3.3980000000000001</v>
      </c>
      <c r="N1368" s="4">
        <v>3.3980000000000001</v>
      </c>
      <c r="O1368" s="4">
        <v>3.3980000000000001</v>
      </c>
      <c r="P1368" s="4">
        <v>0</v>
      </c>
      <c r="Q1368" s="3" t="s">
        <v>26</v>
      </c>
      <c r="R1368" s="3">
        <v>0</v>
      </c>
      <c r="S1368" s="4">
        <v>0</v>
      </c>
      <c r="T1368" s="4">
        <v>32</v>
      </c>
      <c r="U1368" s="4">
        <v>51</v>
      </c>
      <c r="V1368" s="4">
        <f>IF(ISERROR(VLOOKUP($S$1368,'TAR FIN'!$A$1:$O$99,15,0)),0,VLOOKUP($S$1368,'TAR FIN'!$A$1:$O$99,15,0))</f>
        <v>0</v>
      </c>
      <c r="W1368" s="4">
        <f>IF(ISERROR(VLOOKUP($T$1368,'TAR FIN'!$A$1:$O$99,15,0)),0,VLOOKUP($T$1368,'TAR FIN'!$A$1:$O$99,15,0))</f>
        <v>657.51</v>
      </c>
      <c r="X1368" s="4">
        <f>IF(ISERROR(VLOOKUP($U$1368,'TAR FIN'!$A$1:$O$99,15,0)),0,VLOOKUP($U$1368,'TAR FIN'!$A$1:$O$99,15,0))</f>
        <v>219.97</v>
      </c>
      <c r="Y1368" s="4"/>
      <c r="Z1368" s="4">
        <f ca="1">('TUSD BE'!$AM$29+'TUSD BF'!$AM$29+'TUSD CVA'!$AM$29)*1</f>
        <v>769.81008209782362</v>
      </c>
      <c r="AA1368" s="4">
        <f>('TE BE'!$AA$11+'TE BF'!$AA$11+'TE CVA'!$AA$11)*1</f>
        <v>271.13910989737087</v>
      </c>
      <c r="AB1368" s="4">
        <f>$K$1368*$V$1368</f>
        <v>0</v>
      </c>
      <c r="AC1368" s="4">
        <f>$M$1368*$W$1368</f>
        <v>2234.2189800000001</v>
      </c>
      <c r="AD1368" s="4">
        <f>$O$1368*$X$1368</f>
        <v>747.45806000000005</v>
      </c>
      <c r="AE1368" s="4">
        <f>$K$1368*$Y$1368</f>
        <v>0</v>
      </c>
      <c r="AF1368" s="4">
        <f ca="1">$M$1368*$Z$1368</f>
        <v>2615.8146589684047</v>
      </c>
      <c r="AG1368" s="4">
        <f>$O$1368*$AA$1368</f>
        <v>921.33069543126624</v>
      </c>
    </row>
    <row r="1369" spans="1:33" ht="11.25" customHeight="1" x14ac:dyDescent="0.25">
      <c r="A1369" s="3" t="s">
        <v>28</v>
      </c>
      <c r="B1369" s="3" t="s">
        <v>22</v>
      </c>
      <c r="C1369" s="3" t="s">
        <v>37</v>
      </c>
      <c r="D1369" s="3" t="s">
        <v>24</v>
      </c>
      <c r="E1369" s="3" t="s">
        <v>24</v>
      </c>
      <c r="F1369" s="3" t="s">
        <v>25</v>
      </c>
      <c r="G1369" s="3" t="s">
        <v>25</v>
      </c>
      <c r="H1369" s="3" t="s">
        <v>38</v>
      </c>
      <c r="I1369" s="6">
        <v>44317</v>
      </c>
      <c r="J1369" s="4">
        <v>0</v>
      </c>
      <c r="K1369" s="4">
        <v>0</v>
      </c>
      <c r="L1369" s="4">
        <v>7.0000000000000001E-3</v>
      </c>
      <c r="M1369" s="4">
        <v>7.0000000000000001E-3</v>
      </c>
      <c r="N1369" s="4">
        <v>7.0000000000000001E-3</v>
      </c>
      <c r="O1369" s="4">
        <v>7.0000000000000001E-3</v>
      </c>
      <c r="P1369" s="4">
        <v>0</v>
      </c>
      <c r="Q1369" s="3" t="s">
        <v>26</v>
      </c>
      <c r="R1369" s="3">
        <v>0</v>
      </c>
      <c r="S1369" s="4">
        <v>0</v>
      </c>
      <c r="T1369" s="4">
        <v>32</v>
      </c>
      <c r="U1369" s="4">
        <v>51</v>
      </c>
      <c r="V1369" s="4">
        <f>IF(ISERROR(VLOOKUP($S$1369,'TAR FIN'!$A$1:$O$99,15,0)),0,VLOOKUP($S$1369,'TAR FIN'!$A$1:$O$99,15,0))</f>
        <v>0</v>
      </c>
      <c r="W1369" s="4">
        <f>IF(ISERROR(VLOOKUP($T$1369,'TAR FIN'!$A$1:$O$99,15,0)),0,VLOOKUP($T$1369,'TAR FIN'!$A$1:$O$99,15,0))</f>
        <v>657.51</v>
      </c>
      <c r="X1369" s="4">
        <f>IF(ISERROR(VLOOKUP($U$1369,'TAR FIN'!$A$1:$O$99,15,0)),0,VLOOKUP($U$1369,'TAR FIN'!$A$1:$O$99,15,0))</f>
        <v>219.97</v>
      </c>
      <c r="Y1369" s="4"/>
      <c r="Z1369" s="4">
        <f ca="1">('TUSD BE'!$AM$29+'TUSD BF'!$AM$29+'TUSD CVA'!$AM$29)*1</f>
        <v>769.81008209782362</v>
      </c>
      <c r="AA1369" s="4">
        <f>('TE BE'!$AA$11+'TE BF'!$AA$11+'TE CVA'!$AA$11)*1</f>
        <v>271.13910989737087</v>
      </c>
      <c r="AB1369" s="4">
        <f>$K$1369*$V$1369</f>
        <v>0</v>
      </c>
      <c r="AC1369" s="4">
        <f>$M$1369*$W$1369</f>
        <v>4.6025700000000001</v>
      </c>
      <c r="AD1369" s="4">
        <f>$O$1369*$X$1369</f>
        <v>1.53979</v>
      </c>
      <c r="AE1369" s="4">
        <f>$K$1369*$Y$1369</f>
        <v>0</v>
      </c>
      <c r="AF1369" s="4">
        <f ca="1">$M$1369*$Z$1369</f>
        <v>5.3886705746847658</v>
      </c>
      <c r="AG1369" s="4">
        <f>$O$1369*$AA$1369</f>
        <v>1.8979737692815961</v>
      </c>
    </row>
    <row r="1370" spans="1:33" ht="11.25" customHeight="1" x14ac:dyDescent="0.25">
      <c r="A1370" s="3" t="s">
        <v>21</v>
      </c>
      <c r="B1370" s="3" t="s">
        <v>22</v>
      </c>
      <c r="C1370" s="3" t="s">
        <v>37</v>
      </c>
      <c r="D1370" s="3" t="s">
        <v>24</v>
      </c>
      <c r="E1370" s="3" t="s">
        <v>24</v>
      </c>
      <c r="F1370" s="3" t="s">
        <v>25</v>
      </c>
      <c r="G1370" s="3" t="s">
        <v>25</v>
      </c>
      <c r="H1370" s="3" t="s">
        <v>38</v>
      </c>
      <c r="I1370" s="6">
        <v>44348</v>
      </c>
      <c r="J1370" s="4">
        <v>0</v>
      </c>
      <c r="K1370" s="4">
        <v>0</v>
      </c>
      <c r="L1370" s="4">
        <v>3.12</v>
      </c>
      <c r="M1370" s="4">
        <v>3.12</v>
      </c>
      <c r="N1370" s="4">
        <v>3.12</v>
      </c>
      <c r="O1370" s="4">
        <v>3.12</v>
      </c>
      <c r="P1370" s="4">
        <v>0</v>
      </c>
      <c r="Q1370" s="3" t="s">
        <v>26</v>
      </c>
      <c r="R1370" s="3">
        <v>0</v>
      </c>
      <c r="S1370" s="4">
        <v>0</v>
      </c>
      <c r="T1370" s="4">
        <v>32</v>
      </c>
      <c r="U1370" s="4">
        <v>51</v>
      </c>
      <c r="V1370" s="4">
        <f>IF(ISERROR(VLOOKUP($S$1370,'TAR FIN'!$A$1:$O$99,15,0)),0,VLOOKUP($S$1370,'TAR FIN'!$A$1:$O$99,15,0))</f>
        <v>0</v>
      </c>
      <c r="W1370" s="4">
        <f>IF(ISERROR(VLOOKUP($T$1370,'TAR FIN'!$A$1:$O$99,15,0)),0,VLOOKUP($T$1370,'TAR FIN'!$A$1:$O$99,15,0))</f>
        <v>657.51</v>
      </c>
      <c r="X1370" s="4">
        <f>IF(ISERROR(VLOOKUP($U$1370,'TAR FIN'!$A$1:$O$99,15,0)),0,VLOOKUP($U$1370,'TAR FIN'!$A$1:$O$99,15,0))</f>
        <v>219.97</v>
      </c>
      <c r="Y1370" s="4"/>
      <c r="Z1370" s="4">
        <f ca="1">('TUSD BE'!$AM$29+'TUSD BF'!$AM$29+'TUSD CVA'!$AM$29)*1</f>
        <v>769.81008209782362</v>
      </c>
      <c r="AA1370" s="4">
        <f>('TE BE'!$AA$11+'TE BF'!$AA$11+'TE CVA'!$AA$11)*1</f>
        <v>271.13910989737087</v>
      </c>
      <c r="AB1370" s="4">
        <f>$K$1370*$V$1370</f>
        <v>0</v>
      </c>
      <c r="AC1370" s="4">
        <f>$M$1370*$W$1370</f>
        <v>2051.4312</v>
      </c>
      <c r="AD1370" s="4">
        <f>$O$1370*$X$1370</f>
        <v>686.30640000000005</v>
      </c>
      <c r="AE1370" s="4">
        <f>$K$1370*$Y$1370</f>
        <v>0</v>
      </c>
      <c r="AF1370" s="4">
        <f ca="1">$M$1370*$Z$1370</f>
        <v>2401.8074561452099</v>
      </c>
      <c r="AG1370" s="4">
        <f>$O$1370*$AA$1370</f>
        <v>845.95402287979709</v>
      </c>
    </row>
    <row r="1371" spans="1:33" ht="11.25" customHeight="1" x14ac:dyDescent="0.25">
      <c r="A1371" s="3" t="s">
        <v>27</v>
      </c>
      <c r="B1371" s="3" t="s">
        <v>22</v>
      </c>
      <c r="C1371" s="3" t="s">
        <v>37</v>
      </c>
      <c r="D1371" s="3" t="s">
        <v>24</v>
      </c>
      <c r="E1371" s="3" t="s">
        <v>24</v>
      </c>
      <c r="F1371" s="3" t="s">
        <v>25</v>
      </c>
      <c r="G1371" s="3" t="s">
        <v>25</v>
      </c>
      <c r="H1371" s="3" t="s">
        <v>38</v>
      </c>
      <c r="I1371" s="6">
        <v>44348</v>
      </c>
      <c r="J1371" s="4">
        <v>0</v>
      </c>
      <c r="K1371" s="4">
        <v>0</v>
      </c>
      <c r="L1371" s="4">
        <v>-4.9000000000000002E-2</v>
      </c>
      <c r="M1371" s="4">
        <v>-4.9000000000000002E-2</v>
      </c>
      <c r="N1371" s="4">
        <v>-4.9000000000000002E-2</v>
      </c>
      <c r="O1371" s="4">
        <v>-4.9000000000000002E-2</v>
      </c>
      <c r="P1371" s="4">
        <v>0</v>
      </c>
      <c r="Q1371" s="3" t="s">
        <v>26</v>
      </c>
      <c r="R1371" s="3">
        <v>0</v>
      </c>
      <c r="S1371" s="4">
        <v>0</v>
      </c>
      <c r="T1371" s="4">
        <v>32</v>
      </c>
      <c r="U1371" s="4">
        <v>51</v>
      </c>
      <c r="V1371" s="4">
        <f>IF(ISERROR(VLOOKUP($S$1371,'TAR FIN'!$A$1:$O$99,15,0)),0,VLOOKUP($S$1371,'TAR FIN'!$A$1:$O$99,15,0))</f>
        <v>0</v>
      </c>
      <c r="W1371" s="4">
        <f>IF(ISERROR(VLOOKUP($T$1371,'TAR FIN'!$A$1:$O$99,15,0)),0,VLOOKUP($T$1371,'TAR FIN'!$A$1:$O$99,15,0))</f>
        <v>657.51</v>
      </c>
      <c r="X1371" s="4">
        <f>IF(ISERROR(VLOOKUP($U$1371,'TAR FIN'!$A$1:$O$99,15,0)),0,VLOOKUP($U$1371,'TAR FIN'!$A$1:$O$99,15,0))</f>
        <v>219.97</v>
      </c>
      <c r="Y1371" s="4"/>
      <c r="Z1371" s="4">
        <f ca="1">('TUSD BE'!$AM$29+'TUSD BF'!$AM$29+'TUSD CVA'!$AM$29)*1</f>
        <v>769.81008209782362</v>
      </c>
      <c r="AA1371" s="4">
        <f>('TE BE'!$AA$11+'TE BF'!$AA$11+'TE CVA'!$AA$11)*1</f>
        <v>271.13910989737087</v>
      </c>
      <c r="AB1371" s="4">
        <f>$K$1371*$V$1371</f>
        <v>0</v>
      </c>
      <c r="AC1371" s="4">
        <f>$M$1371*$W$1371</f>
        <v>-32.21799</v>
      </c>
      <c r="AD1371" s="4">
        <f>$O$1371*$X$1371</f>
        <v>-10.77853</v>
      </c>
      <c r="AE1371" s="4">
        <f>$K$1371*$Y$1371</f>
        <v>0</v>
      </c>
      <c r="AF1371" s="4">
        <f ca="1">$M$1371*$Z$1371</f>
        <v>-37.72069402279336</v>
      </c>
      <c r="AG1371" s="4">
        <f>$O$1371*$AA$1371</f>
        <v>-13.285816384971174</v>
      </c>
    </row>
    <row r="1372" spans="1:33" ht="11.25" customHeight="1" x14ac:dyDescent="0.25">
      <c r="A1372" s="3" t="s">
        <v>21</v>
      </c>
      <c r="B1372" s="3" t="s">
        <v>22</v>
      </c>
      <c r="C1372" s="3" t="s">
        <v>37</v>
      </c>
      <c r="D1372" s="3" t="s">
        <v>24</v>
      </c>
      <c r="E1372" s="3" t="s">
        <v>24</v>
      </c>
      <c r="F1372" s="3" t="s">
        <v>25</v>
      </c>
      <c r="G1372" s="3" t="s">
        <v>25</v>
      </c>
      <c r="H1372" s="3" t="s">
        <v>38</v>
      </c>
      <c r="I1372" s="6">
        <v>44378</v>
      </c>
      <c r="J1372" s="4">
        <v>0</v>
      </c>
      <c r="K1372" s="4">
        <v>0</v>
      </c>
      <c r="L1372" s="4">
        <v>2.746</v>
      </c>
      <c r="M1372" s="4">
        <v>2.746</v>
      </c>
      <c r="N1372" s="4">
        <v>2.746</v>
      </c>
      <c r="O1372" s="4">
        <v>2.746</v>
      </c>
      <c r="P1372" s="4">
        <v>0</v>
      </c>
      <c r="Q1372" s="3" t="s">
        <v>26</v>
      </c>
      <c r="R1372" s="3">
        <v>0</v>
      </c>
      <c r="S1372" s="4">
        <v>0</v>
      </c>
      <c r="T1372" s="4">
        <v>32</v>
      </c>
      <c r="U1372" s="4">
        <v>51</v>
      </c>
      <c r="V1372" s="4">
        <f>IF(ISERROR(VLOOKUP($S$1372,'TAR FIN'!$A$1:$O$99,15,0)),0,VLOOKUP($S$1372,'TAR FIN'!$A$1:$O$99,15,0))</f>
        <v>0</v>
      </c>
      <c r="W1372" s="4">
        <f>IF(ISERROR(VLOOKUP($T$1372,'TAR FIN'!$A$1:$O$99,15,0)),0,VLOOKUP($T$1372,'TAR FIN'!$A$1:$O$99,15,0))</f>
        <v>657.51</v>
      </c>
      <c r="X1372" s="4">
        <f>IF(ISERROR(VLOOKUP($U$1372,'TAR FIN'!$A$1:$O$99,15,0)),0,VLOOKUP($U$1372,'TAR FIN'!$A$1:$O$99,15,0))</f>
        <v>219.97</v>
      </c>
      <c r="Y1372" s="4"/>
      <c r="Z1372" s="4">
        <f ca="1">('TUSD BE'!$AM$29+'TUSD BF'!$AM$29+'TUSD CVA'!$AM$29)*1</f>
        <v>769.81008209782362</v>
      </c>
      <c r="AA1372" s="4">
        <f>('TE BE'!$AA$11+'TE BF'!$AA$11+'TE CVA'!$AA$11)*1</f>
        <v>271.13910989737087</v>
      </c>
      <c r="AB1372" s="4">
        <f>$K$1372*$V$1372</f>
        <v>0</v>
      </c>
      <c r="AC1372" s="4">
        <f>$M$1372*$W$1372</f>
        <v>1805.5224599999999</v>
      </c>
      <c r="AD1372" s="4">
        <f>$O$1372*$X$1372</f>
        <v>604.03761999999995</v>
      </c>
      <c r="AE1372" s="4">
        <f>$K$1372*$Y$1372</f>
        <v>0</v>
      </c>
      <c r="AF1372" s="4">
        <f ca="1">$M$1372*$Z$1372</f>
        <v>2113.8984854406235</v>
      </c>
      <c r="AG1372" s="4">
        <f>$O$1372*$AA$1372</f>
        <v>744.54799577818039</v>
      </c>
    </row>
    <row r="1373" spans="1:33" ht="11.25" customHeight="1" x14ac:dyDescent="0.25">
      <c r="A1373" s="3" t="s">
        <v>21</v>
      </c>
      <c r="B1373" s="3" t="s">
        <v>22</v>
      </c>
      <c r="C1373" s="3" t="s">
        <v>37</v>
      </c>
      <c r="D1373" s="3" t="s">
        <v>24</v>
      </c>
      <c r="E1373" s="3" t="s">
        <v>24</v>
      </c>
      <c r="F1373" s="3" t="s">
        <v>25</v>
      </c>
      <c r="G1373" s="3" t="s">
        <v>25</v>
      </c>
      <c r="H1373" s="3" t="s">
        <v>38</v>
      </c>
      <c r="I1373" s="6">
        <v>44409</v>
      </c>
      <c r="J1373" s="4">
        <v>0</v>
      </c>
      <c r="K1373" s="4">
        <v>0</v>
      </c>
      <c r="L1373" s="4">
        <v>2.6850000000000001</v>
      </c>
      <c r="M1373" s="4">
        <v>2.6850000000000001</v>
      </c>
      <c r="N1373" s="4">
        <v>2.6850000000000001</v>
      </c>
      <c r="O1373" s="4">
        <v>2.6850000000000001</v>
      </c>
      <c r="P1373" s="4">
        <v>0</v>
      </c>
      <c r="Q1373" s="3" t="s">
        <v>26</v>
      </c>
      <c r="R1373" s="3">
        <v>0</v>
      </c>
      <c r="S1373" s="4">
        <v>0</v>
      </c>
      <c r="T1373" s="4">
        <v>32</v>
      </c>
      <c r="U1373" s="4">
        <v>51</v>
      </c>
      <c r="V1373" s="4">
        <f>IF(ISERROR(VLOOKUP($S$1373,'TAR FIN'!$A$1:$O$99,15,0)),0,VLOOKUP($S$1373,'TAR FIN'!$A$1:$O$99,15,0))</f>
        <v>0</v>
      </c>
      <c r="W1373" s="4">
        <f>IF(ISERROR(VLOOKUP($T$1373,'TAR FIN'!$A$1:$O$99,15,0)),0,VLOOKUP($T$1373,'TAR FIN'!$A$1:$O$99,15,0))</f>
        <v>657.51</v>
      </c>
      <c r="X1373" s="4">
        <f>IF(ISERROR(VLOOKUP($U$1373,'TAR FIN'!$A$1:$O$99,15,0)),0,VLOOKUP($U$1373,'TAR FIN'!$A$1:$O$99,15,0))</f>
        <v>219.97</v>
      </c>
      <c r="Y1373" s="4"/>
      <c r="Z1373" s="4">
        <f ca="1">('TUSD BE'!$AM$29+'TUSD BF'!$AM$29+'TUSD CVA'!$AM$29)*1</f>
        <v>769.81008209782362</v>
      </c>
      <c r="AA1373" s="4">
        <f>('TE BE'!$AA$11+'TE BF'!$AA$11+'TE CVA'!$AA$11)*1</f>
        <v>271.13910989737087</v>
      </c>
      <c r="AB1373" s="4">
        <f>$K$1373*$V$1373</f>
        <v>0</v>
      </c>
      <c r="AC1373" s="4">
        <f>$M$1373*$W$1373</f>
        <v>1765.41435</v>
      </c>
      <c r="AD1373" s="4">
        <f>$O$1373*$X$1373</f>
        <v>590.61945000000003</v>
      </c>
      <c r="AE1373" s="4">
        <f>$K$1373*$Y$1373</f>
        <v>0</v>
      </c>
      <c r="AF1373" s="4">
        <f ca="1">$M$1373*$Z$1373</f>
        <v>2066.9400704326563</v>
      </c>
      <c r="AG1373" s="4">
        <f>$O$1373*$AA$1373</f>
        <v>728.00851007444078</v>
      </c>
    </row>
    <row r="1374" spans="1:33" ht="11.25" customHeight="1" x14ac:dyDescent="0.25">
      <c r="A1374" s="3" t="s">
        <v>21</v>
      </c>
      <c r="B1374" s="3" t="s">
        <v>22</v>
      </c>
      <c r="C1374" s="3" t="s">
        <v>37</v>
      </c>
      <c r="D1374" s="3" t="s">
        <v>24</v>
      </c>
      <c r="E1374" s="3" t="s">
        <v>24</v>
      </c>
      <c r="F1374" s="3" t="s">
        <v>25</v>
      </c>
      <c r="G1374" s="3" t="s">
        <v>25</v>
      </c>
      <c r="H1374" s="3" t="s">
        <v>38</v>
      </c>
      <c r="I1374" s="6">
        <v>44440</v>
      </c>
      <c r="J1374" s="4">
        <v>0</v>
      </c>
      <c r="K1374" s="4">
        <v>0</v>
      </c>
      <c r="L1374" s="4">
        <v>2.6389999999999998</v>
      </c>
      <c r="M1374" s="4">
        <v>2.6389999999999998</v>
      </c>
      <c r="N1374" s="4">
        <v>2.6389999999999998</v>
      </c>
      <c r="O1374" s="4">
        <v>2.6389999999999998</v>
      </c>
      <c r="P1374" s="4">
        <v>0</v>
      </c>
      <c r="Q1374" s="3" t="s">
        <v>26</v>
      </c>
      <c r="R1374" s="3">
        <v>0</v>
      </c>
      <c r="S1374" s="4">
        <v>0</v>
      </c>
      <c r="T1374" s="4">
        <v>32</v>
      </c>
      <c r="U1374" s="4">
        <v>51</v>
      </c>
      <c r="V1374" s="4">
        <f>IF(ISERROR(VLOOKUP($S$1374,'TAR FIN'!$A$1:$O$99,15,0)),0,VLOOKUP($S$1374,'TAR FIN'!$A$1:$O$99,15,0))</f>
        <v>0</v>
      </c>
      <c r="W1374" s="4">
        <f>IF(ISERROR(VLOOKUP($T$1374,'TAR FIN'!$A$1:$O$99,15,0)),0,VLOOKUP($T$1374,'TAR FIN'!$A$1:$O$99,15,0))</f>
        <v>657.51</v>
      </c>
      <c r="X1374" s="4">
        <f>IF(ISERROR(VLOOKUP($U$1374,'TAR FIN'!$A$1:$O$99,15,0)),0,VLOOKUP($U$1374,'TAR FIN'!$A$1:$O$99,15,0))</f>
        <v>219.97</v>
      </c>
      <c r="Y1374" s="4"/>
      <c r="Z1374" s="4">
        <f ca="1">('TUSD BE'!$AM$29+'TUSD BF'!$AM$29+'TUSD CVA'!$AM$29)*1</f>
        <v>769.81008209782362</v>
      </c>
      <c r="AA1374" s="4">
        <f>('TE BE'!$AA$11+'TE BF'!$AA$11+'TE CVA'!$AA$11)*1</f>
        <v>271.13910989737087</v>
      </c>
      <c r="AB1374" s="4">
        <f>$K$1374*$V$1374</f>
        <v>0</v>
      </c>
      <c r="AC1374" s="4">
        <f>$M$1374*$W$1374</f>
        <v>1735.1688899999999</v>
      </c>
      <c r="AD1374" s="4">
        <f>$O$1374*$X$1374</f>
        <v>580.50082999999995</v>
      </c>
      <c r="AE1374" s="4">
        <f>$K$1374*$Y$1374</f>
        <v>0</v>
      </c>
      <c r="AF1374" s="4">
        <f ca="1">$M$1374*$Z$1374</f>
        <v>2031.5288066561563</v>
      </c>
      <c r="AG1374" s="4">
        <f>$O$1374*$AA$1374</f>
        <v>715.53611101916169</v>
      </c>
    </row>
    <row r="1375" spans="1:33" ht="11.25" customHeight="1" x14ac:dyDescent="0.25">
      <c r="A1375" s="3" t="s">
        <v>28</v>
      </c>
      <c r="B1375" s="3" t="s">
        <v>22</v>
      </c>
      <c r="C1375" s="3" t="s">
        <v>37</v>
      </c>
      <c r="D1375" s="3" t="s">
        <v>24</v>
      </c>
      <c r="E1375" s="3" t="s">
        <v>24</v>
      </c>
      <c r="F1375" s="3" t="s">
        <v>25</v>
      </c>
      <c r="G1375" s="3" t="s">
        <v>25</v>
      </c>
      <c r="H1375" s="3" t="s">
        <v>38</v>
      </c>
      <c r="I1375" s="6">
        <v>44440</v>
      </c>
      <c r="J1375" s="4">
        <v>0</v>
      </c>
      <c r="K1375" s="4">
        <v>0</v>
      </c>
      <c r="L1375" s="4">
        <v>2E-3</v>
      </c>
      <c r="M1375" s="4">
        <v>2E-3</v>
      </c>
      <c r="N1375" s="4">
        <v>2E-3</v>
      </c>
      <c r="O1375" s="4">
        <v>2E-3</v>
      </c>
      <c r="P1375" s="4">
        <v>0</v>
      </c>
      <c r="Q1375" s="3" t="s">
        <v>26</v>
      </c>
      <c r="R1375" s="3">
        <v>0</v>
      </c>
      <c r="S1375" s="4">
        <v>0</v>
      </c>
      <c r="T1375" s="4">
        <v>32</v>
      </c>
      <c r="U1375" s="4">
        <v>51</v>
      </c>
      <c r="V1375" s="4">
        <f>IF(ISERROR(VLOOKUP($S$1375,'TAR FIN'!$A$1:$O$99,15,0)),0,VLOOKUP($S$1375,'TAR FIN'!$A$1:$O$99,15,0))</f>
        <v>0</v>
      </c>
      <c r="W1375" s="4">
        <f>IF(ISERROR(VLOOKUP($T$1375,'TAR FIN'!$A$1:$O$99,15,0)),0,VLOOKUP($T$1375,'TAR FIN'!$A$1:$O$99,15,0))</f>
        <v>657.51</v>
      </c>
      <c r="X1375" s="4">
        <f>IF(ISERROR(VLOOKUP($U$1375,'TAR FIN'!$A$1:$O$99,15,0)),0,VLOOKUP($U$1375,'TAR FIN'!$A$1:$O$99,15,0))</f>
        <v>219.97</v>
      </c>
      <c r="Y1375" s="4"/>
      <c r="Z1375" s="4">
        <f ca="1">('TUSD BE'!$AM$29+'TUSD BF'!$AM$29+'TUSD CVA'!$AM$29)*1</f>
        <v>769.81008209782362</v>
      </c>
      <c r="AA1375" s="4">
        <f>('TE BE'!$AA$11+'TE BF'!$AA$11+'TE CVA'!$AA$11)*1</f>
        <v>271.13910989737087</v>
      </c>
      <c r="AB1375" s="4">
        <f>$K$1375*$V$1375</f>
        <v>0</v>
      </c>
      <c r="AC1375" s="4">
        <f>$M$1375*$W$1375</f>
        <v>1.3150200000000001</v>
      </c>
      <c r="AD1375" s="4">
        <f>$O$1375*$X$1375</f>
        <v>0.43994</v>
      </c>
      <c r="AE1375" s="4">
        <f>$K$1375*$Y$1375</f>
        <v>0</v>
      </c>
      <c r="AF1375" s="4">
        <f ca="1">$M$1375*$Z$1375</f>
        <v>1.5396201641956473</v>
      </c>
      <c r="AG1375" s="4">
        <f>$O$1375*$AA$1375</f>
        <v>0.54227821979474178</v>
      </c>
    </row>
    <row r="1376" spans="1:33" ht="11.25" customHeight="1" x14ac:dyDescent="0.25">
      <c r="A1376" s="3" t="s">
        <v>21</v>
      </c>
      <c r="B1376" s="3" t="s">
        <v>22</v>
      </c>
      <c r="C1376" s="3" t="s">
        <v>37</v>
      </c>
      <c r="D1376" s="3" t="s">
        <v>24</v>
      </c>
      <c r="E1376" s="3" t="s">
        <v>24</v>
      </c>
      <c r="F1376" s="3" t="s">
        <v>25</v>
      </c>
      <c r="G1376" s="3" t="s">
        <v>25</v>
      </c>
      <c r="H1376" s="3" t="s">
        <v>38</v>
      </c>
      <c r="I1376" s="6">
        <v>44470</v>
      </c>
      <c r="J1376" s="4">
        <v>0</v>
      </c>
      <c r="K1376" s="4">
        <v>0</v>
      </c>
      <c r="L1376" s="4">
        <v>3.2970000000000002</v>
      </c>
      <c r="M1376" s="4">
        <v>3.2970000000000002</v>
      </c>
      <c r="N1376" s="4">
        <v>3.2970000000000002</v>
      </c>
      <c r="O1376" s="4">
        <v>3.2970000000000002</v>
      </c>
      <c r="P1376" s="4">
        <v>0</v>
      </c>
      <c r="Q1376" s="3" t="s">
        <v>26</v>
      </c>
      <c r="R1376" s="3">
        <v>0</v>
      </c>
      <c r="S1376" s="4">
        <v>0</v>
      </c>
      <c r="T1376" s="4">
        <v>32</v>
      </c>
      <c r="U1376" s="4">
        <v>51</v>
      </c>
      <c r="V1376" s="4">
        <f>IF(ISERROR(VLOOKUP($S$1376,'TAR FIN'!$A$1:$O$99,15,0)),0,VLOOKUP($S$1376,'TAR FIN'!$A$1:$O$99,15,0))</f>
        <v>0</v>
      </c>
      <c r="W1376" s="4">
        <f>IF(ISERROR(VLOOKUP($T$1376,'TAR FIN'!$A$1:$O$99,15,0)),0,VLOOKUP($T$1376,'TAR FIN'!$A$1:$O$99,15,0))</f>
        <v>657.51</v>
      </c>
      <c r="X1376" s="4">
        <f>IF(ISERROR(VLOOKUP($U$1376,'TAR FIN'!$A$1:$O$99,15,0)),0,VLOOKUP($U$1376,'TAR FIN'!$A$1:$O$99,15,0))</f>
        <v>219.97</v>
      </c>
      <c r="Y1376" s="4"/>
      <c r="Z1376" s="4">
        <f ca="1">('TUSD BE'!$AM$29+'TUSD BF'!$AM$29+'TUSD CVA'!$AM$29)*1</f>
        <v>769.81008209782362</v>
      </c>
      <c r="AA1376" s="4">
        <f>('TE BE'!$AA$11+'TE BF'!$AA$11+'TE CVA'!$AA$11)*1</f>
        <v>271.13910989737087</v>
      </c>
      <c r="AB1376" s="4">
        <f>$K$1376*$V$1376</f>
        <v>0</v>
      </c>
      <c r="AC1376" s="4">
        <f>$M$1376*$W$1376</f>
        <v>2167.8104699999999</v>
      </c>
      <c r="AD1376" s="4">
        <f>$O$1376*$X$1376</f>
        <v>725.24108999999999</v>
      </c>
      <c r="AE1376" s="4">
        <f>$K$1376*$Y$1376</f>
        <v>0</v>
      </c>
      <c r="AF1376" s="4">
        <f ca="1">$M$1376*$Z$1376</f>
        <v>2538.0638406765247</v>
      </c>
      <c r="AG1376" s="4">
        <f>$O$1376*$AA$1376</f>
        <v>893.94564533163179</v>
      </c>
    </row>
    <row r="1377" spans="1:33" ht="11.25" customHeight="1" x14ac:dyDescent="0.25">
      <c r="A1377" s="3" t="s">
        <v>28</v>
      </c>
      <c r="B1377" s="3" t="s">
        <v>22</v>
      </c>
      <c r="C1377" s="3" t="s">
        <v>37</v>
      </c>
      <c r="D1377" s="3" t="s">
        <v>24</v>
      </c>
      <c r="E1377" s="3" t="s">
        <v>24</v>
      </c>
      <c r="F1377" s="3" t="s">
        <v>25</v>
      </c>
      <c r="G1377" s="3" t="s">
        <v>25</v>
      </c>
      <c r="H1377" s="3" t="s">
        <v>38</v>
      </c>
      <c r="I1377" s="6">
        <v>44470</v>
      </c>
      <c r="J1377" s="4">
        <v>0</v>
      </c>
      <c r="K1377" s="4">
        <v>0</v>
      </c>
      <c r="L1377" s="4">
        <v>1E-3</v>
      </c>
      <c r="M1377" s="4">
        <v>1E-3</v>
      </c>
      <c r="N1377" s="4">
        <v>1E-3</v>
      </c>
      <c r="O1377" s="4">
        <v>1E-3</v>
      </c>
      <c r="P1377" s="4">
        <v>0</v>
      </c>
      <c r="Q1377" s="3" t="s">
        <v>26</v>
      </c>
      <c r="R1377" s="3">
        <v>0</v>
      </c>
      <c r="S1377" s="4">
        <v>0</v>
      </c>
      <c r="T1377" s="4">
        <v>32</v>
      </c>
      <c r="U1377" s="4">
        <v>51</v>
      </c>
      <c r="V1377" s="4">
        <f>IF(ISERROR(VLOOKUP($S$1377,'TAR FIN'!$A$1:$O$99,15,0)),0,VLOOKUP($S$1377,'TAR FIN'!$A$1:$O$99,15,0))</f>
        <v>0</v>
      </c>
      <c r="W1377" s="4">
        <f>IF(ISERROR(VLOOKUP($T$1377,'TAR FIN'!$A$1:$O$99,15,0)),0,VLOOKUP($T$1377,'TAR FIN'!$A$1:$O$99,15,0))</f>
        <v>657.51</v>
      </c>
      <c r="X1377" s="4">
        <f>IF(ISERROR(VLOOKUP($U$1377,'TAR FIN'!$A$1:$O$99,15,0)),0,VLOOKUP($U$1377,'TAR FIN'!$A$1:$O$99,15,0))</f>
        <v>219.97</v>
      </c>
      <c r="Y1377" s="4"/>
      <c r="Z1377" s="4">
        <f ca="1">('TUSD BE'!$AM$29+'TUSD BF'!$AM$29+'TUSD CVA'!$AM$29)*1</f>
        <v>769.81008209782362</v>
      </c>
      <c r="AA1377" s="4">
        <f>('TE BE'!$AA$11+'TE BF'!$AA$11+'TE CVA'!$AA$11)*1</f>
        <v>271.13910989737087</v>
      </c>
      <c r="AB1377" s="4">
        <f>$K$1377*$V$1377</f>
        <v>0</v>
      </c>
      <c r="AC1377" s="4">
        <f>$M$1377*$W$1377</f>
        <v>0.65751000000000004</v>
      </c>
      <c r="AD1377" s="4">
        <f>$O$1377*$X$1377</f>
        <v>0.21997</v>
      </c>
      <c r="AE1377" s="4">
        <f>$K$1377*$Y$1377</f>
        <v>0</v>
      </c>
      <c r="AF1377" s="4">
        <f ca="1">$M$1377*$Z$1377</f>
        <v>0.76981008209782364</v>
      </c>
      <c r="AG1377" s="4">
        <f>$O$1377*$AA$1377</f>
        <v>0.27113910989737089</v>
      </c>
    </row>
    <row r="1378" spans="1:33" ht="11.25" customHeight="1" x14ac:dyDescent="0.25">
      <c r="A1378" s="3" t="s">
        <v>21</v>
      </c>
      <c r="B1378" s="3" t="s">
        <v>22</v>
      </c>
      <c r="C1378" s="3" t="s">
        <v>37</v>
      </c>
      <c r="D1378" s="3" t="s">
        <v>24</v>
      </c>
      <c r="E1378" s="3" t="s">
        <v>24</v>
      </c>
      <c r="F1378" s="3" t="s">
        <v>25</v>
      </c>
      <c r="G1378" s="3" t="s">
        <v>25</v>
      </c>
      <c r="H1378" s="3" t="s">
        <v>38</v>
      </c>
      <c r="I1378" s="6">
        <v>44501</v>
      </c>
      <c r="J1378" s="4">
        <v>0</v>
      </c>
      <c r="K1378" s="4">
        <v>0</v>
      </c>
      <c r="L1378" s="4">
        <v>2.6629999999999998</v>
      </c>
      <c r="M1378" s="4">
        <v>2.6629999999999998</v>
      </c>
      <c r="N1378" s="4">
        <v>2.6629999999999998</v>
      </c>
      <c r="O1378" s="4">
        <v>2.6629999999999998</v>
      </c>
      <c r="P1378" s="4">
        <v>0</v>
      </c>
      <c r="Q1378" s="3" t="s">
        <v>26</v>
      </c>
      <c r="R1378" s="3">
        <v>0</v>
      </c>
      <c r="S1378" s="4">
        <v>0</v>
      </c>
      <c r="T1378" s="4">
        <v>32</v>
      </c>
      <c r="U1378" s="4">
        <v>51</v>
      </c>
      <c r="V1378" s="4">
        <f>IF(ISERROR(VLOOKUP($S$1378,'TAR FIN'!$A$1:$O$99,15,0)),0,VLOOKUP($S$1378,'TAR FIN'!$A$1:$O$99,15,0))</f>
        <v>0</v>
      </c>
      <c r="W1378" s="4">
        <f>IF(ISERROR(VLOOKUP($T$1378,'TAR FIN'!$A$1:$O$99,15,0)),0,VLOOKUP($T$1378,'TAR FIN'!$A$1:$O$99,15,0))</f>
        <v>657.51</v>
      </c>
      <c r="X1378" s="4">
        <f>IF(ISERROR(VLOOKUP($U$1378,'TAR FIN'!$A$1:$O$99,15,0)),0,VLOOKUP($U$1378,'TAR FIN'!$A$1:$O$99,15,0))</f>
        <v>219.97</v>
      </c>
      <c r="Y1378" s="4"/>
      <c r="Z1378" s="4">
        <f ca="1">('TUSD BE'!$AM$29+'TUSD BF'!$AM$29+'TUSD CVA'!$AM$29)*1</f>
        <v>769.81008209782362</v>
      </c>
      <c r="AA1378" s="4">
        <f>('TE BE'!$AA$11+'TE BF'!$AA$11+'TE CVA'!$AA$11)*1</f>
        <v>271.13910989737087</v>
      </c>
      <c r="AB1378" s="4">
        <f>$K$1378*$V$1378</f>
        <v>0</v>
      </c>
      <c r="AC1378" s="4">
        <f>$M$1378*$W$1378</f>
        <v>1750.9491299999997</v>
      </c>
      <c r="AD1378" s="4">
        <f>$O$1378*$X$1378</f>
        <v>585.78010999999992</v>
      </c>
      <c r="AE1378" s="4">
        <f>$K$1378*$Y$1378</f>
        <v>0</v>
      </c>
      <c r="AF1378" s="4">
        <f ca="1">$M$1378*$Z$1378</f>
        <v>2050.0042486265042</v>
      </c>
      <c r="AG1378" s="4">
        <f>$O$1378*$AA$1378</f>
        <v>722.04344965669861</v>
      </c>
    </row>
    <row r="1379" spans="1:33" ht="11.25" customHeight="1" x14ac:dyDescent="0.25">
      <c r="A1379" s="3" t="s">
        <v>27</v>
      </c>
      <c r="B1379" s="3" t="s">
        <v>22</v>
      </c>
      <c r="C1379" s="3" t="s">
        <v>37</v>
      </c>
      <c r="D1379" s="3" t="s">
        <v>24</v>
      </c>
      <c r="E1379" s="3" t="s">
        <v>24</v>
      </c>
      <c r="F1379" s="3" t="s">
        <v>25</v>
      </c>
      <c r="G1379" s="3" t="s">
        <v>25</v>
      </c>
      <c r="H1379" s="3" t="s">
        <v>38</v>
      </c>
      <c r="I1379" s="6">
        <v>44501</v>
      </c>
      <c r="J1379" s="4">
        <v>0</v>
      </c>
      <c r="K1379" s="4">
        <v>0</v>
      </c>
      <c r="L1379" s="4">
        <v>-0.52300000000000002</v>
      </c>
      <c r="M1379" s="4">
        <v>-0.52300000000000002</v>
      </c>
      <c r="N1379" s="4">
        <v>-0.52300000000000002</v>
      </c>
      <c r="O1379" s="4">
        <v>-0.52300000000000002</v>
      </c>
      <c r="P1379" s="4">
        <v>0</v>
      </c>
      <c r="Q1379" s="3" t="s">
        <v>26</v>
      </c>
      <c r="R1379" s="3">
        <v>0</v>
      </c>
      <c r="S1379" s="4">
        <v>0</v>
      </c>
      <c r="T1379" s="4">
        <v>32</v>
      </c>
      <c r="U1379" s="4">
        <v>51</v>
      </c>
      <c r="V1379" s="4">
        <f>IF(ISERROR(VLOOKUP($S$1379,'TAR FIN'!$A$1:$O$99,15,0)),0,VLOOKUP($S$1379,'TAR FIN'!$A$1:$O$99,15,0))</f>
        <v>0</v>
      </c>
      <c r="W1379" s="4">
        <f>IF(ISERROR(VLOOKUP($T$1379,'TAR FIN'!$A$1:$O$99,15,0)),0,VLOOKUP($T$1379,'TAR FIN'!$A$1:$O$99,15,0))</f>
        <v>657.51</v>
      </c>
      <c r="X1379" s="4">
        <f>IF(ISERROR(VLOOKUP($U$1379,'TAR FIN'!$A$1:$O$99,15,0)),0,VLOOKUP($U$1379,'TAR FIN'!$A$1:$O$99,15,0))</f>
        <v>219.97</v>
      </c>
      <c r="Y1379" s="4"/>
      <c r="Z1379" s="4">
        <f ca="1">('TUSD BE'!$AM$29+'TUSD BF'!$AM$29+'TUSD CVA'!$AM$29)*1</f>
        <v>769.81008209782362</v>
      </c>
      <c r="AA1379" s="4">
        <f>('TE BE'!$AA$11+'TE BF'!$AA$11+'TE CVA'!$AA$11)*1</f>
        <v>271.13910989737087</v>
      </c>
      <c r="AB1379" s="4">
        <f>$K$1379*$V$1379</f>
        <v>0</v>
      </c>
      <c r="AC1379" s="4">
        <f>$M$1379*$W$1379</f>
        <v>-343.87772999999999</v>
      </c>
      <c r="AD1379" s="4">
        <f>$O$1379*$X$1379</f>
        <v>-115.04431000000001</v>
      </c>
      <c r="AE1379" s="4">
        <f>$K$1379*$Y$1379</f>
        <v>0</v>
      </c>
      <c r="AF1379" s="4">
        <f ca="1">$M$1379*$Z$1379</f>
        <v>-402.61067293716178</v>
      </c>
      <c r="AG1379" s="4">
        <f>$O$1379*$AA$1379</f>
        <v>-141.80575447632498</v>
      </c>
    </row>
    <row r="1380" spans="1:33" ht="11.25" customHeight="1" x14ac:dyDescent="0.25">
      <c r="A1380" s="3" t="s">
        <v>28</v>
      </c>
      <c r="B1380" s="3" t="s">
        <v>22</v>
      </c>
      <c r="C1380" s="3" t="s">
        <v>37</v>
      </c>
      <c r="D1380" s="3" t="s">
        <v>24</v>
      </c>
      <c r="E1380" s="3" t="s">
        <v>24</v>
      </c>
      <c r="F1380" s="3" t="s">
        <v>25</v>
      </c>
      <c r="G1380" s="3" t="s">
        <v>25</v>
      </c>
      <c r="H1380" s="3" t="s">
        <v>38</v>
      </c>
      <c r="I1380" s="6">
        <v>44501</v>
      </c>
      <c r="J1380" s="4">
        <v>0</v>
      </c>
      <c r="K1380" s="4">
        <v>0</v>
      </c>
      <c r="L1380" s="4">
        <v>5.0000000000000001E-3</v>
      </c>
      <c r="M1380" s="4">
        <v>5.0000000000000001E-3</v>
      </c>
      <c r="N1380" s="4">
        <v>5.0000000000000001E-3</v>
      </c>
      <c r="O1380" s="4">
        <v>5.0000000000000001E-3</v>
      </c>
      <c r="P1380" s="4">
        <v>0</v>
      </c>
      <c r="Q1380" s="3" t="s">
        <v>26</v>
      </c>
      <c r="R1380" s="3">
        <v>0</v>
      </c>
      <c r="S1380" s="4">
        <v>0</v>
      </c>
      <c r="T1380" s="4">
        <v>32</v>
      </c>
      <c r="U1380" s="4">
        <v>51</v>
      </c>
      <c r="V1380" s="4">
        <f>IF(ISERROR(VLOOKUP($S$1380,'TAR FIN'!$A$1:$O$99,15,0)),0,VLOOKUP($S$1380,'TAR FIN'!$A$1:$O$99,15,0))</f>
        <v>0</v>
      </c>
      <c r="W1380" s="4">
        <f>IF(ISERROR(VLOOKUP($T$1380,'TAR FIN'!$A$1:$O$99,15,0)),0,VLOOKUP($T$1380,'TAR FIN'!$A$1:$O$99,15,0))</f>
        <v>657.51</v>
      </c>
      <c r="X1380" s="4">
        <f>IF(ISERROR(VLOOKUP($U$1380,'TAR FIN'!$A$1:$O$99,15,0)),0,VLOOKUP($U$1380,'TAR FIN'!$A$1:$O$99,15,0))</f>
        <v>219.97</v>
      </c>
      <c r="Y1380" s="4"/>
      <c r="Z1380" s="4">
        <f ca="1">('TUSD BE'!$AM$29+'TUSD BF'!$AM$29+'TUSD CVA'!$AM$29)*1</f>
        <v>769.81008209782362</v>
      </c>
      <c r="AA1380" s="4">
        <f>('TE BE'!$AA$11+'TE BF'!$AA$11+'TE CVA'!$AA$11)*1</f>
        <v>271.13910989737087</v>
      </c>
      <c r="AB1380" s="4">
        <f>$K$1380*$V$1380</f>
        <v>0</v>
      </c>
      <c r="AC1380" s="4">
        <f>$M$1380*$W$1380</f>
        <v>3.28755</v>
      </c>
      <c r="AD1380" s="4">
        <f>$O$1380*$X$1380</f>
        <v>1.09985</v>
      </c>
      <c r="AE1380" s="4">
        <f>$K$1380*$Y$1380</f>
        <v>0</v>
      </c>
      <c r="AF1380" s="4">
        <f ca="1">$M$1380*$Z$1380</f>
        <v>3.8490504104891183</v>
      </c>
      <c r="AG1380" s="4">
        <f>$O$1380*$AA$1380</f>
        <v>1.3556955494868543</v>
      </c>
    </row>
    <row r="1381" spans="1:33" ht="11.25" customHeight="1" x14ac:dyDescent="0.25">
      <c r="A1381" s="3" t="s">
        <v>21</v>
      </c>
      <c r="B1381" s="3" t="s">
        <v>22</v>
      </c>
      <c r="C1381" s="3" t="s">
        <v>37</v>
      </c>
      <c r="D1381" s="3" t="s">
        <v>24</v>
      </c>
      <c r="E1381" s="3" t="s">
        <v>24</v>
      </c>
      <c r="F1381" s="3" t="s">
        <v>25</v>
      </c>
      <c r="G1381" s="3" t="s">
        <v>25</v>
      </c>
      <c r="H1381" s="3" t="s">
        <v>38</v>
      </c>
      <c r="I1381" s="6">
        <v>44531</v>
      </c>
      <c r="J1381" s="4">
        <v>0</v>
      </c>
      <c r="K1381" s="4">
        <v>0</v>
      </c>
      <c r="L1381" s="4">
        <v>2.9780000000000002</v>
      </c>
      <c r="M1381" s="4">
        <v>2.9780000000000002</v>
      </c>
      <c r="N1381" s="4">
        <v>2.9780000000000002</v>
      </c>
      <c r="O1381" s="4">
        <v>2.9780000000000002</v>
      </c>
      <c r="P1381" s="4">
        <v>0</v>
      </c>
      <c r="Q1381" s="3" t="s">
        <v>26</v>
      </c>
      <c r="R1381" s="3">
        <v>0</v>
      </c>
      <c r="S1381" s="4">
        <v>0</v>
      </c>
      <c r="T1381" s="4">
        <v>32</v>
      </c>
      <c r="U1381" s="4">
        <v>51</v>
      </c>
      <c r="V1381" s="4">
        <f>IF(ISERROR(VLOOKUP($S$1381,'TAR FIN'!$A$1:$O$99,15,0)),0,VLOOKUP($S$1381,'TAR FIN'!$A$1:$O$99,15,0))</f>
        <v>0</v>
      </c>
      <c r="W1381" s="4">
        <f>IF(ISERROR(VLOOKUP($T$1381,'TAR FIN'!$A$1:$O$99,15,0)),0,VLOOKUP($T$1381,'TAR FIN'!$A$1:$O$99,15,0))</f>
        <v>657.51</v>
      </c>
      <c r="X1381" s="4">
        <f>IF(ISERROR(VLOOKUP($U$1381,'TAR FIN'!$A$1:$O$99,15,0)),0,VLOOKUP($U$1381,'TAR FIN'!$A$1:$O$99,15,0))</f>
        <v>219.97</v>
      </c>
      <c r="Y1381" s="4"/>
      <c r="Z1381" s="4">
        <f ca="1">('TUSD BE'!$AM$29+'TUSD BF'!$AM$29+'TUSD CVA'!$AM$29)*1</f>
        <v>769.81008209782362</v>
      </c>
      <c r="AA1381" s="4">
        <f>('TE BE'!$AA$11+'TE BF'!$AA$11+'TE CVA'!$AA$11)*1</f>
        <v>271.13910989737087</v>
      </c>
      <c r="AB1381" s="4">
        <f>$K$1381*$V$1381</f>
        <v>0</v>
      </c>
      <c r="AC1381" s="4">
        <f>$M$1381*$W$1381</f>
        <v>1958.0647800000002</v>
      </c>
      <c r="AD1381" s="4">
        <f>$O$1381*$X$1381</f>
        <v>655.07066000000009</v>
      </c>
      <c r="AE1381" s="4">
        <f>$K$1381*$Y$1381</f>
        <v>0</v>
      </c>
      <c r="AF1381" s="4">
        <f ca="1">$M$1381*$Z$1381</f>
        <v>2292.4944244873191</v>
      </c>
      <c r="AG1381" s="4">
        <f>$O$1381*$AA$1381</f>
        <v>807.45226927437056</v>
      </c>
    </row>
    <row r="1382" spans="1:33" ht="11.25" customHeight="1" x14ac:dyDescent="0.25">
      <c r="A1382" s="3" t="s">
        <v>27</v>
      </c>
      <c r="B1382" s="3" t="s">
        <v>22</v>
      </c>
      <c r="C1382" s="3" t="s">
        <v>37</v>
      </c>
      <c r="D1382" s="3" t="s">
        <v>24</v>
      </c>
      <c r="E1382" s="3" t="s">
        <v>24</v>
      </c>
      <c r="F1382" s="3" t="s">
        <v>25</v>
      </c>
      <c r="G1382" s="3" t="s">
        <v>25</v>
      </c>
      <c r="H1382" s="3" t="s">
        <v>38</v>
      </c>
      <c r="I1382" s="6">
        <v>44531</v>
      </c>
      <c r="J1382" s="4">
        <v>0</v>
      </c>
      <c r="K1382" s="4">
        <v>0</v>
      </c>
      <c r="L1382" s="4">
        <v>-6.0000000000000001E-3</v>
      </c>
      <c r="M1382" s="4">
        <v>-6.0000000000000001E-3</v>
      </c>
      <c r="N1382" s="4">
        <v>-6.0000000000000001E-3</v>
      </c>
      <c r="O1382" s="4">
        <v>-6.0000000000000001E-3</v>
      </c>
      <c r="P1382" s="4">
        <v>0</v>
      </c>
      <c r="Q1382" s="3" t="s">
        <v>26</v>
      </c>
      <c r="R1382" s="3">
        <v>0</v>
      </c>
      <c r="S1382" s="4">
        <v>0</v>
      </c>
      <c r="T1382" s="4">
        <v>32</v>
      </c>
      <c r="U1382" s="4">
        <v>51</v>
      </c>
      <c r="V1382" s="4">
        <f>IF(ISERROR(VLOOKUP($S$1382,'TAR FIN'!$A$1:$O$99,15,0)),0,VLOOKUP($S$1382,'TAR FIN'!$A$1:$O$99,15,0))</f>
        <v>0</v>
      </c>
      <c r="W1382" s="4">
        <f>IF(ISERROR(VLOOKUP($T$1382,'TAR FIN'!$A$1:$O$99,15,0)),0,VLOOKUP($T$1382,'TAR FIN'!$A$1:$O$99,15,0))</f>
        <v>657.51</v>
      </c>
      <c r="X1382" s="4">
        <f>IF(ISERROR(VLOOKUP($U$1382,'TAR FIN'!$A$1:$O$99,15,0)),0,VLOOKUP($U$1382,'TAR FIN'!$A$1:$O$99,15,0))</f>
        <v>219.97</v>
      </c>
      <c r="Y1382" s="4"/>
      <c r="Z1382" s="4">
        <f ca="1">('TUSD BE'!$AM$29+'TUSD BF'!$AM$29+'TUSD CVA'!$AM$29)*1</f>
        <v>769.81008209782362</v>
      </c>
      <c r="AA1382" s="4">
        <f>('TE BE'!$AA$11+'TE BF'!$AA$11+'TE CVA'!$AA$11)*1</f>
        <v>271.13910989737087</v>
      </c>
      <c r="AB1382" s="4">
        <f>$K$1382*$V$1382</f>
        <v>0</v>
      </c>
      <c r="AC1382" s="4">
        <f>$M$1382*$W$1382</f>
        <v>-3.9450600000000002</v>
      </c>
      <c r="AD1382" s="4">
        <f>$O$1382*$X$1382</f>
        <v>-1.31982</v>
      </c>
      <c r="AE1382" s="4">
        <f>$K$1382*$Y$1382</f>
        <v>0</v>
      </c>
      <c r="AF1382" s="4">
        <f ca="1">$M$1382*$Z$1382</f>
        <v>-4.6188604925869416</v>
      </c>
      <c r="AG1382" s="4">
        <f>$O$1382*$AA$1382</f>
        <v>-1.6268346593842253</v>
      </c>
    </row>
    <row r="1383" spans="1:33" ht="11.25" customHeight="1" x14ac:dyDescent="0.25">
      <c r="A1383" s="3" t="s">
        <v>28</v>
      </c>
      <c r="B1383" s="3" t="s">
        <v>22</v>
      </c>
      <c r="C1383" s="3" t="s">
        <v>37</v>
      </c>
      <c r="D1383" s="3" t="s">
        <v>24</v>
      </c>
      <c r="E1383" s="3" t="s">
        <v>24</v>
      </c>
      <c r="F1383" s="3" t="s">
        <v>25</v>
      </c>
      <c r="G1383" s="3" t="s">
        <v>25</v>
      </c>
      <c r="H1383" s="3" t="s">
        <v>38</v>
      </c>
      <c r="I1383" s="6">
        <v>44531</v>
      </c>
      <c r="J1383" s="4">
        <v>0</v>
      </c>
      <c r="K1383" s="4">
        <v>0</v>
      </c>
      <c r="L1383" s="4">
        <v>7.0000000000000001E-3</v>
      </c>
      <c r="M1383" s="4">
        <v>7.0000000000000001E-3</v>
      </c>
      <c r="N1383" s="4">
        <v>7.0000000000000001E-3</v>
      </c>
      <c r="O1383" s="4">
        <v>7.0000000000000001E-3</v>
      </c>
      <c r="P1383" s="4">
        <v>0</v>
      </c>
      <c r="Q1383" s="3" t="s">
        <v>26</v>
      </c>
      <c r="R1383" s="3">
        <v>0</v>
      </c>
      <c r="S1383" s="4">
        <v>0</v>
      </c>
      <c r="T1383" s="4">
        <v>32</v>
      </c>
      <c r="U1383" s="4">
        <v>51</v>
      </c>
      <c r="V1383" s="4">
        <f>IF(ISERROR(VLOOKUP($S$1383,'TAR FIN'!$A$1:$O$99,15,0)),0,VLOOKUP($S$1383,'TAR FIN'!$A$1:$O$99,15,0))</f>
        <v>0</v>
      </c>
      <c r="W1383" s="4">
        <f>IF(ISERROR(VLOOKUP($T$1383,'TAR FIN'!$A$1:$O$99,15,0)),0,VLOOKUP($T$1383,'TAR FIN'!$A$1:$O$99,15,0))</f>
        <v>657.51</v>
      </c>
      <c r="X1383" s="4">
        <f>IF(ISERROR(VLOOKUP($U$1383,'TAR FIN'!$A$1:$O$99,15,0)),0,VLOOKUP($U$1383,'TAR FIN'!$A$1:$O$99,15,0))</f>
        <v>219.97</v>
      </c>
      <c r="Y1383" s="4"/>
      <c r="Z1383" s="4">
        <f ca="1">('TUSD BE'!$AM$29+'TUSD BF'!$AM$29+'TUSD CVA'!$AM$29)*1</f>
        <v>769.81008209782362</v>
      </c>
      <c r="AA1383" s="4">
        <f>('TE BE'!$AA$11+'TE BF'!$AA$11+'TE CVA'!$AA$11)*1</f>
        <v>271.13910989737087</v>
      </c>
      <c r="AB1383" s="4">
        <f>$K$1383*$V$1383</f>
        <v>0</v>
      </c>
      <c r="AC1383" s="4">
        <f>$M$1383*$W$1383</f>
        <v>4.6025700000000001</v>
      </c>
      <c r="AD1383" s="4">
        <f>$O$1383*$X$1383</f>
        <v>1.53979</v>
      </c>
      <c r="AE1383" s="4">
        <f>$K$1383*$Y$1383</f>
        <v>0</v>
      </c>
      <c r="AF1383" s="4">
        <f ca="1">$M$1383*$Z$1383</f>
        <v>5.3886705746847658</v>
      </c>
      <c r="AG1383" s="4">
        <f>$O$1383*$AA$1383</f>
        <v>1.8979737692815961</v>
      </c>
    </row>
    <row r="1384" spans="1:33" ht="11.25" customHeight="1" x14ac:dyDescent="0.25">
      <c r="A1384" s="3" t="s">
        <v>21</v>
      </c>
      <c r="B1384" s="3" t="s">
        <v>22</v>
      </c>
      <c r="C1384" s="3" t="s">
        <v>37</v>
      </c>
      <c r="D1384" s="3" t="s">
        <v>24</v>
      </c>
      <c r="E1384" s="3" t="s">
        <v>24</v>
      </c>
      <c r="F1384" s="3" t="s">
        <v>25</v>
      </c>
      <c r="G1384" s="3" t="s">
        <v>25</v>
      </c>
      <c r="H1384" s="3" t="s">
        <v>38</v>
      </c>
      <c r="I1384" s="6">
        <v>44562</v>
      </c>
      <c r="J1384" s="4">
        <v>0</v>
      </c>
      <c r="K1384" s="4">
        <v>0</v>
      </c>
      <c r="L1384" s="4">
        <v>3.0219999999999998</v>
      </c>
      <c r="M1384" s="4">
        <v>3.0219999999999998</v>
      </c>
      <c r="N1384" s="4">
        <v>3.0219999999999998</v>
      </c>
      <c r="O1384" s="4">
        <v>3.0219999999999998</v>
      </c>
      <c r="P1384" s="4">
        <v>0</v>
      </c>
      <c r="Q1384" s="3" t="s">
        <v>26</v>
      </c>
      <c r="R1384" s="3">
        <v>0</v>
      </c>
      <c r="S1384" s="4">
        <v>0</v>
      </c>
      <c r="T1384" s="4">
        <v>32</v>
      </c>
      <c r="U1384" s="4">
        <v>51</v>
      </c>
      <c r="V1384" s="4">
        <f>IF(ISERROR(VLOOKUP($S$1384,'TAR FIN'!$A$1:$O$99,15,0)),0,VLOOKUP($S$1384,'TAR FIN'!$A$1:$O$99,15,0))</f>
        <v>0</v>
      </c>
      <c r="W1384" s="4">
        <f>IF(ISERROR(VLOOKUP($T$1384,'TAR FIN'!$A$1:$O$99,15,0)),0,VLOOKUP($T$1384,'TAR FIN'!$A$1:$O$99,15,0))</f>
        <v>657.51</v>
      </c>
      <c r="X1384" s="4">
        <f>IF(ISERROR(VLOOKUP($U$1384,'TAR FIN'!$A$1:$O$99,15,0)),0,VLOOKUP($U$1384,'TAR FIN'!$A$1:$O$99,15,0))</f>
        <v>219.97</v>
      </c>
      <c r="Y1384" s="4"/>
      <c r="Z1384" s="4">
        <f ca="1">('TUSD BE'!$AM$29+'TUSD BF'!$AM$29+'TUSD CVA'!$AM$29)*1</f>
        <v>769.81008209782362</v>
      </c>
      <c r="AA1384" s="4">
        <f>('TE BE'!$AA$11+'TE BF'!$AA$11+'TE CVA'!$AA$11)*1</f>
        <v>271.13910989737087</v>
      </c>
      <c r="AB1384" s="4">
        <f>$K$1384*$V$1384</f>
        <v>0</v>
      </c>
      <c r="AC1384" s="4">
        <f>$M$1384*$W$1384</f>
        <v>1986.9952199999998</v>
      </c>
      <c r="AD1384" s="4">
        <f>$O$1384*$X$1384</f>
        <v>664.74933999999996</v>
      </c>
      <c r="AE1384" s="4">
        <f>$K$1384*$Y$1384</f>
        <v>0</v>
      </c>
      <c r="AF1384" s="4">
        <f ca="1">$M$1384*$Z$1384</f>
        <v>2326.3660680996227</v>
      </c>
      <c r="AG1384" s="4">
        <f>$O$1384*$AA$1384</f>
        <v>819.38239010985467</v>
      </c>
    </row>
    <row r="1385" spans="1:33" ht="11.25" customHeight="1" x14ac:dyDescent="0.25">
      <c r="A1385" s="3" t="s">
        <v>28</v>
      </c>
      <c r="B1385" s="3" t="s">
        <v>22</v>
      </c>
      <c r="C1385" s="3" t="s">
        <v>37</v>
      </c>
      <c r="D1385" s="3" t="s">
        <v>24</v>
      </c>
      <c r="E1385" s="3" t="s">
        <v>24</v>
      </c>
      <c r="F1385" s="3" t="s">
        <v>25</v>
      </c>
      <c r="G1385" s="3" t="s">
        <v>25</v>
      </c>
      <c r="H1385" s="3" t="s">
        <v>38</v>
      </c>
      <c r="I1385" s="6">
        <v>44562</v>
      </c>
      <c r="J1385" s="4">
        <v>0</v>
      </c>
      <c r="K1385" s="4">
        <v>0</v>
      </c>
      <c r="L1385" s="4">
        <v>8.0000000000000002E-3</v>
      </c>
      <c r="M1385" s="4">
        <v>8.0000000000000002E-3</v>
      </c>
      <c r="N1385" s="4">
        <v>8.0000000000000002E-3</v>
      </c>
      <c r="O1385" s="4">
        <v>8.0000000000000002E-3</v>
      </c>
      <c r="P1385" s="4">
        <v>0</v>
      </c>
      <c r="Q1385" s="3" t="s">
        <v>26</v>
      </c>
      <c r="R1385" s="3">
        <v>0</v>
      </c>
      <c r="S1385" s="4">
        <v>0</v>
      </c>
      <c r="T1385" s="4">
        <v>32</v>
      </c>
      <c r="U1385" s="4">
        <v>51</v>
      </c>
      <c r="V1385" s="4">
        <f>IF(ISERROR(VLOOKUP($S$1385,'TAR FIN'!$A$1:$O$99,15,0)),0,VLOOKUP($S$1385,'TAR FIN'!$A$1:$O$99,15,0))</f>
        <v>0</v>
      </c>
      <c r="W1385" s="4">
        <f>IF(ISERROR(VLOOKUP($T$1385,'TAR FIN'!$A$1:$O$99,15,0)),0,VLOOKUP($T$1385,'TAR FIN'!$A$1:$O$99,15,0))</f>
        <v>657.51</v>
      </c>
      <c r="X1385" s="4">
        <f>IF(ISERROR(VLOOKUP($U$1385,'TAR FIN'!$A$1:$O$99,15,0)),0,VLOOKUP($U$1385,'TAR FIN'!$A$1:$O$99,15,0))</f>
        <v>219.97</v>
      </c>
      <c r="Y1385" s="4"/>
      <c r="Z1385" s="4">
        <f ca="1">('TUSD BE'!$AM$29+'TUSD BF'!$AM$29+'TUSD CVA'!$AM$29)*1</f>
        <v>769.81008209782362</v>
      </c>
      <c r="AA1385" s="4">
        <f>('TE BE'!$AA$11+'TE BF'!$AA$11+'TE CVA'!$AA$11)*1</f>
        <v>271.13910989737087</v>
      </c>
      <c r="AB1385" s="4">
        <f>$K$1385*$V$1385</f>
        <v>0</v>
      </c>
      <c r="AC1385" s="4">
        <f>$M$1385*$W$1385</f>
        <v>5.2600800000000003</v>
      </c>
      <c r="AD1385" s="4">
        <f>$O$1385*$X$1385</f>
        <v>1.75976</v>
      </c>
      <c r="AE1385" s="4">
        <f>$K$1385*$Y$1385</f>
        <v>0</v>
      </c>
      <c r="AF1385" s="4">
        <f ca="1">$M$1385*$Z$1385</f>
        <v>6.1584806567825892</v>
      </c>
      <c r="AG1385" s="4">
        <f>$O$1385*$AA$1385</f>
        <v>2.1691128791789671</v>
      </c>
    </row>
    <row r="1386" spans="1:33" ht="11.25" customHeight="1" x14ac:dyDescent="0.25">
      <c r="A1386" s="3" t="s">
        <v>21</v>
      </c>
      <c r="B1386" s="3" t="s">
        <v>22</v>
      </c>
      <c r="C1386" s="3" t="s">
        <v>37</v>
      </c>
      <c r="D1386" s="3" t="s">
        <v>24</v>
      </c>
      <c r="E1386" s="3" t="s">
        <v>24</v>
      </c>
      <c r="F1386" s="3" t="s">
        <v>25</v>
      </c>
      <c r="G1386" s="3" t="s">
        <v>25</v>
      </c>
      <c r="H1386" s="3" t="s">
        <v>38</v>
      </c>
      <c r="I1386" s="6">
        <v>44593</v>
      </c>
      <c r="J1386" s="4">
        <v>0</v>
      </c>
      <c r="K1386" s="4">
        <v>0</v>
      </c>
      <c r="L1386" s="4">
        <v>2.831</v>
      </c>
      <c r="M1386" s="4">
        <v>2.831</v>
      </c>
      <c r="N1386" s="4">
        <v>2.831</v>
      </c>
      <c r="O1386" s="4">
        <v>2.831</v>
      </c>
      <c r="P1386" s="4">
        <v>0</v>
      </c>
      <c r="Q1386" s="3" t="s">
        <v>26</v>
      </c>
      <c r="R1386" s="3">
        <v>0</v>
      </c>
      <c r="S1386" s="4">
        <v>0</v>
      </c>
      <c r="T1386" s="4">
        <v>32</v>
      </c>
      <c r="U1386" s="4">
        <v>51</v>
      </c>
      <c r="V1386" s="4">
        <f>IF(ISERROR(VLOOKUP($S$1386,'TAR FIN'!$A$1:$O$99,15,0)),0,VLOOKUP($S$1386,'TAR FIN'!$A$1:$O$99,15,0))</f>
        <v>0</v>
      </c>
      <c r="W1386" s="4">
        <f>IF(ISERROR(VLOOKUP($T$1386,'TAR FIN'!$A$1:$O$99,15,0)),0,VLOOKUP($T$1386,'TAR FIN'!$A$1:$O$99,15,0))</f>
        <v>657.51</v>
      </c>
      <c r="X1386" s="4">
        <f>IF(ISERROR(VLOOKUP($U$1386,'TAR FIN'!$A$1:$O$99,15,0)),0,VLOOKUP($U$1386,'TAR FIN'!$A$1:$O$99,15,0))</f>
        <v>219.97</v>
      </c>
      <c r="Y1386" s="4"/>
      <c r="Z1386" s="4">
        <f ca="1">('TUSD BE'!$AM$29+'TUSD BF'!$AM$29+'TUSD CVA'!$AM$29)*1</f>
        <v>769.81008209782362</v>
      </c>
      <c r="AA1386" s="4">
        <f>('TE BE'!$AA$11+'TE BF'!$AA$11+'TE CVA'!$AA$11)*1</f>
        <v>271.13910989737087</v>
      </c>
      <c r="AB1386" s="4">
        <f>$K$1386*$V$1386</f>
        <v>0</v>
      </c>
      <c r="AC1386" s="4">
        <f>$M$1386*$W$1386</f>
        <v>1861.4108099999999</v>
      </c>
      <c r="AD1386" s="4">
        <f>$O$1386*$X$1386</f>
        <v>622.73506999999995</v>
      </c>
      <c r="AE1386" s="4">
        <f>$K$1386*$Y$1386</f>
        <v>0</v>
      </c>
      <c r="AF1386" s="4">
        <f ca="1">$M$1386*$Z$1386</f>
        <v>2179.3323424189384</v>
      </c>
      <c r="AG1386" s="4">
        <f>$O$1386*$AA$1386</f>
        <v>767.59482011945693</v>
      </c>
    </row>
    <row r="1387" spans="1:33" ht="11.25" customHeight="1" x14ac:dyDescent="0.25">
      <c r="A1387" s="3" t="s">
        <v>28</v>
      </c>
      <c r="B1387" s="3" t="s">
        <v>22</v>
      </c>
      <c r="C1387" s="3" t="s">
        <v>37</v>
      </c>
      <c r="D1387" s="3" t="s">
        <v>24</v>
      </c>
      <c r="E1387" s="3" t="s">
        <v>24</v>
      </c>
      <c r="F1387" s="3" t="s">
        <v>25</v>
      </c>
      <c r="G1387" s="3" t="s">
        <v>25</v>
      </c>
      <c r="H1387" s="3" t="s">
        <v>38</v>
      </c>
      <c r="I1387" s="6">
        <v>44593</v>
      </c>
      <c r="J1387" s="4">
        <v>0</v>
      </c>
      <c r="K1387" s="4">
        <v>0</v>
      </c>
      <c r="L1387" s="4">
        <v>5.0000000000000001E-3</v>
      </c>
      <c r="M1387" s="4">
        <v>5.0000000000000001E-3</v>
      </c>
      <c r="N1387" s="4">
        <v>5.0000000000000001E-3</v>
      </c>
      <c r="O1387" s="4">
        <v>5.0000000000000001E-3</v>
      </c>
      <c r="P1387" s="4">
        <v>0</v>
      </c>
      <c r="Q1387" s="3" t="s">
        <v>26</v>
      </c>
      <c r="R1387" s="3">
        <v>0</v>
      </c>
      <c r="S1387" s="4">
        <v>0</v>
      </c>
      <c r="T1387" s="4">
        <v>32</v>
      </c>
      <c r="U1387" s="4">
        <v>51</v>
      </c>
      <c r="V1387" s="4">
        <f>IF(ISERROR(VLOOKUP($S$1387,'TAR FIN'!$A$1:$O$99,15,0)),0,VLOOKUP($S$1387,'TAR FIN'!$A$1:$O$99,15,0))</f>
        <v>0</v>
      </c>
      <c r="W1387" s="4">
        <f>IF(ISERROR(VLOOKUP($T$1387,'TAR FIN'!$A$1:$O$99,15,0)),0,VLOOKUP($T$1387,'TAR FIN'!$A$1:$O$99,15,0))</f>
        <v>657.51</v>
      </c>
      <c r="X1387" s="4">
        <f>IF(ISERROR(VLOOKUP($U$1387,'TAR FIN'!$A$1:$O$99,15,0)),0,VLOOKUP($U$1387,'TAR FIN'!$A$1:$O$99,15,0))</f>
        <v>219.97</v>
      </c>
      <c r="Y1387" s="4"/>
      <c r="Z1387" s="4">
        <f ca="1">('TUSD BE'!$AM$29+'TUSD BF'!$AM$29+'TUSD CVA'!$AM$29)*1</f>
        <v>769.81008209782362</v>
      </c>
      <c r="AA1387" s="4">
        <f>('TE BE'!$AA$11+'TE BF'!$AA$11+'TE CVA'!$AA$11)*1</f>
        <v>271.13910989737087</v>
      </c>
      <c r="AB1387" s="4">
        <f>$K$1387*$V$1387</f>
        <v>0</v>
      </c>
      <c r="AC1387" s="4">
        <f>$M$1387*$W$1387</f>
        <v>3.28755</v>
      </c>
      <c r="AD1387" s="4">
        <f>$O$1387*$X$1387</f>
        <v>1.09985</v>
      </c>
      <c r="AE1387" s="4">
        <f>$K$1387*$Y$1387</f>
        <v>0</v>
      </c>
      <c r="AF1387" s="4">
        <f ca="1">$M$1387*$Z$1387</f>
        <v>3.8490504104891183</v>
      </c>
      <c r="AG1387" s="4">
        <f>$O$1387*$AA$1387</f>
        <v>1.3556955494868543</v>
      </c>
    </row>
    <row r="1388" spans="1:33" ht="11.25" customHeight="1" x14ac:dyDescent="0.25">
      <c r="A1388" s="3" t="s">
        <v>21</v>
      </c>
      <c r="B1388" s="3" t="s">
        <v>22</v>
      </c>
      <c r="C1388" s="3" t="s">
        <v>37</v>
      </c>
      <c r="D1388" s="3" t="s">
        <v>24</v>
      </c>
      <c r="E1388" s="3" t="s">
        <v>24</v>
      </c>
      <c r="F1388" s="3" t="s">
        <v>25</v>
      </c>
      <c r="G1388" s="3" t="s">
        <v>25</v>
      </c>
      <c r="H1388" s="3" t="s">
        <v>38</v>
      </c>
      <c r="I1388" s="6">
        <v>44621</v>
      </c>
      <c r="J1388" s="4">
        <v>0</v>
      </c>
      <c r="K1388" s="4">
        <v>0</v>
      </c>
      <c r="L1388" s="4">
        <v>2.9950000000000001</v>
      </c>
      <c r="M1388" s="4">
        <v>2.9950000000000001</v>
      </c>
      <c r="N1388" s="4">
        <v>2.9950000000000001</v>
      </c>
      <c r="O1388" s="4">
        <v>2.9950000000000001</v>
      </c>
      <c r="P1388" s="4">
        <v>0</v>
      </c>
      <c r="Q1388" s="3" t="s">
        <v>26</v>
      </c>
      <c r="R1388" s="3">
        <v>0</v>
      </c>
      <c r="S1388" s="4">
        <v>0</v>
      </c>
      <c r="T1388" s="4">
        <v>32</v>
      </c>
      <c r="U1388" s="4">
        <v>51</v>
      </c>
      <c r="V1388" s="4">
        <f>IF(ISERROR(VLOOKUP($S$1388,'TAR FIN'!$A$1:$O$99,15,0)),0,VLOOKUP($S$1388,'TAR FIN'!$A$1:$O$99,15,0))</f>
        <v>0</v>
      </c>
      <c r="W1388" s="4">
        <f>IF(ISERROR(VLOOKUP($T$1388,'TAR FIN'!$A$1:$O$99,15,0)),0,VLOOKUP($T$1388,'TAR FIN'!$A$1:$O$99,15,0))</f>
        <v>657.51</v>
      </c>
      <c r="X1388" s="4">
        <f>IF(ISERROR(VLOOKUP($U$1388,'TAR FIN'!$A$1:$O$99,15,0)),0,VLOOKUP($U$1388,'TAR FIN'!$A$1:$O$99,15,0))</f>
        <v>219.97</v>
      </c>
      <c r="Y1388" s="4"/>
      <c r="Z1388" s="4">
        <f ca="1">('TUSD BE'!$AM$29+'TUSD BF'!$AM$29+'TUSD CVA'!$AM$29)*1</f>
        <v>769.81008209782362</v>
      </c>
      <c r="AA1388" s="4">
        <f>('TE BE'!$AA$11+'TE BF'!$AA$11+'TE CVA'!$AA$11)*1</f>
        <v>271.13910989737087</v>
      </c>
      <c r="AB1388" s="4">
        <f>$K$1388*$V$1388</f>
        <v>0</v>
      </c>
      <c r="AC1388" s="4">
        <f>$M$1388*$W$1388</f>
        <v>1969.24245</v>
      </c>
      <c r="AD1388" s="4">
        <f>$O$1388*$X$1388</f>
        <v>658.81015000000002</v>
      </c>
      <c r="AE1388" s="4">
        <f>$K$1388*$Y$1388</f>
        <v>0</v>
      </c>
      <c r="AF1388" s="4">
        <f ca="1">$M$1388*$Z$1388</f>
        <v>2305.5811958829818</v>
      </c>
      <c r="AG1388" s="4">
        <f>$O$1388*$AA$1388</f>
        <v>812.06163414262573</v>
      </c>
    </row>
    <row r="1389" spans="1:33" ht="11.25" customHeight="1" x14ac:dyDescent="0.25">
      <c r="A1389" s="3" t="s">
        <v>28</v>
      </c>
      <c r="B1389" s="3" t="s">
        <v>22</v>
      </c>
      <c r="C1389" s="3" t="s">
        <v>37</v>
      </c>
      <c r="D1389" s="3" t="s">
        <v>24</v>
      </c>
      <c r="E1389" s="3" t="s">
        <v>24</v>
      </c>
      <c r="F1389" s="3" t="s">
        <v>25</v>
      </c>
      <c r="G1389" s="3" t="s">
        <v>25</v>
      </c>
      <c r="H1389" s="3" t="s">
        <v>38</v>
      </c>
      <c r="I1389" s="6">
        <v>44621</v>
      </c>
      <c r="J1389" s="4">
        <v>0</v>
      </c>
      <c r="K1389" s="4">
        <v>0</v>
      </c>
      <c r="L1389" s="4">
        <v>7.0000000000000001E-3</v>
      </c>
      <c r="M1389" s="4">
        <v>7.0000000000000001E-3</v>
      </c>
      <c r="N1389" s="4">
        <v>7.0000000000000001E-3</v>
      </c>
      <c r="O1389" s="4">
        <v>7.0000000000000001E-3</v>
      </c>
      <c r="P1389" s="4">
        <v>0</v>
      </c>
      <c r="Q1389" s="3" t="s">
        <v>26</v>
      </c>
      <c r="R1389" s="3">
        <v>0</v>
      </c>
      <c r="S1389" s="4">
        <v>0</v>
      </c>
      <c r="T1389" s="4">
        <v>32</v>
      </c>
      <c r="U1389" s="4">
        <v>51</v>
      </c>
      <c r="V1389" s="4">
        <f>IF(ISERROR(VLOOKUP($S$1389,'TAR FIN'!$A$1:$O$99,15,0)),0,VLOOKUP($S$1389,'TAR FIN'!$A$1:$O$99,15,0))</f>
        <v>0</v>
      </c>
      <c r="W1389" s="4">
        <f>IF(ISERROR(VLOOKUP($T$1389,'TAR FIN'!$A$1:$O$99,15,0)),0,VLOOKUP($T$1389,'TAR FIN'!$A$1:$O$99,15,0))</f>
        <v>657.51</v>
      </c>
      <c r="X1389" s="4">
        <f>IF(ISERROR(VLOOKUP($U$1389,'TAR FIN'!$A$1:$O$99,15,0)),0,VLOOKUP($U$1389,'TAR FIN'!$A$1:$O$99,15,0))</f>
        <v>219.97</v>
      </c>
      <c r="Y1389" s="4"/>
      <c r="Z1389" s="4">
        <f ca="1">('TUSD BE'!$AM$29+'TUSD BF'!$AM$29+'TUSD CVA'!$AM$29)*1</f>
        <v>769.81008209782362</v>
      </c>
      <c r="AA1389" s="4">
        <f>('TE BE'!$AA$11+'TE BF'!$AA$11+'TE CVA'!$AA$11)*1</f>
        <v>271.13910989737087</v>
      </c>
      <c r="AB1389" s="4">
        <f>$K$1389*$V$1389</f>
        <v>0</v>
      </c>
      <c r="AC1389" s="4">
        <f>$M$1389*$W$1389</f>
        <v>4.6025700000000001</v>
      </c>
      <c r="AD1389" s="4">
        <f>$O$1389*$X$1389</f>
        <v>1.53979</v>
      </c>
      <c r="AE1389" s="4">
        <f>$K$1389*$Y$1389</f>
        <v>0</v>
      </c>
      <c r="AF1389" s="4">
        <f ca="1">$M$1389*$Z$1389</f>
        <v>5.3886705746847658</v>
      </c>
      <c r="AG1389" s="4">
        <f>$O$1389*$AA$1389</f>
        <v>1.8979737692815961</v>
      </c>
    </row>
    <row r="1390" spans="1:33" ht="11.25" customHeight="1" x14ac:dyDescent="0.25">
      <c r="A1390" s="3" t="s">
        <v>56</v>
      </c>
      <c r="B1390" s="3" t="s">
        <v>22</v>
      </c>
      <c r="C1390" s="3" t="s">
        <v>37</v>
      </c>
      <c r="D1390" s="3" t="s">
        <v>24</v>
      </c>
      <c r="E1390" s="3" t="s">
        <v>24</v>
      </c>
      <c r="F1390" s="3" t="s">
        <v>25</v>
      </c>
      <c r="G1390" s="3" t="s">
        <v>25</v>
      </c>
      <c r="H1390" s="3" t="s">
        <v>38</v>
      </c>
      <c r="I1390" s="6">
        <v>44652</v>
      </c>
      <c r="J1390" s="4">
        <v>0</v>
      </c>
      <c r="K1390" s="4">
        <v>0</v>
      </c>
      <c r="L1390" s="4">
        <v>2.9950000000000001</v>
      </c>
      <c r="M1390" s="4">
        <v>2.9950000000000001</v>
      </c>
      <c r="N1390" s="4">
        <v>2.9950000000000001</v>
      </c>
      <c r="O1390" s="4">
        <v>2.9950000000000001</v>
      </c>
      <c r="P1390" s="4">
        <v>0</v>
      </c>
      <c r="Q1390" s="3" t="s">
        <v>26</v>
      </c>
      <c r="R1390" s="3">
        <v>0</v>
      </c>
      <c r="S1390" s="4">
        <v>0</v>
      </c>
      <c r="T1390" s="4">
        <v>32</v>
      </c>
      <c r="U1390" s="4">
        <v>51</v>
      </c>
      <c r="V1390" s="4">
        <f>IF(ISERROR(VLOOKUP($S$1390,'TAR FIN'!$A$1:$O$99,15,0)),0,VLOOKUP($S$1390,'TAR FIN'!$A$1:$O$99,15,0))</f>
        <v>0</v>
      </c>
      <c r="W1390" s="4">
        <f>IF(ISERROR(VLOOKUP($T$1390,'TAR FIN'!$A$1:$O$99,15,0)),0,VLOOKUP($T$1390,'TAR FIN'!$A$1:$O$99,15,0))</f>
        <v>657.51</v>
      </c>
      <c r="X1390" s="4">
        <f>IF(ISERROR(VLOOKUP($U$1390,'TAR FIN'!$A$1:$O$99,15,0)),0,VLOOKUP($U$1390,'TAR FIN'!$A$1:$O$99,15,0))</f>
        <v>219.97</v>
      </c>
      <c r="Y1390" s="4"/>
      <c r="Z1390" s="4">
        <f ca="1">('TUSD BE'!$AM$29+'TUSD BF'!$AM$29+'TUSD CVA'!$AM$29)*1</f>
        <v>769.81008209782362</v>
      </c>
      <c r="AA1390" s="4">
        <f>('TE BE'!$AA$11+'TE BF'!$AA$11+'TE CVA'!$AA$11)*1</f>
        <v>271.13910989737087</v>
      </c>
      <c r="AB1390" s="4">
        <f>$K$1390*$V$1390</f>
        <v>0</v>
      </c>
      <c r="AC1390" s="4">
        <f>$M$1390*$W$1390</f>
        <v>1969.24245</v>
      </c>
      <c r="AD1390" s="4">
        <f>$O$1390*$X$1390</f>
        <v>658.81015000000002</v>
      </c>
      <c r="AE1390" s="4">
        <f>$K$1390*$Y$1390</f>
        <v>0</v>
      </c>
      <c r="AF1390" s="4">
        <f ca="1">$M$1390*$Z$1390</f>
        <v>2305.5811958829818</v>
      </c>
      <c r="AG1390" s="4">
        <f>$O$1390*$AA$1390</f>
        <v>812.06163414262573</v>
      </c>
    </row>
    <row r="1391" spans="1:33" ht="11.25" customHeight="1" x14ac:dyDescent="0.25">
      <c r="A1391" s="3" t="s">
        <v>56</v>
      </c>
      <c r="B1391" s="3" t="s">
        <v>22</v>
      </c>
      <c r="C1391" s="3" t="s">
        <v>37</v>
      </c>
      <c r="D1391" s="3" t="s">
        <v>24</v>
      </c>
      <c r="E1391" s="3" t="s">
        <v>24</v>
      </c>
      <c r="F1391" s="3" t="s">
        <v>25</v>
      </c>
      <c r="G1391" s="3" t="s">
        <v>25</v>
      </c>
      <c r="H1391" s="3" t="s">
        <v>38</v>
      </c>
      <c r="I1391" s="6">
        <v>44652</v>
      </c>
      <c r="J1391" s="4">
        <v>0</v>
      </c>
      <c r="K1391" s="4">
        <v>0</v>
      </c>
      <c r="L1391" s="4">
        <v>7.0000000000000001E-3</v>
      </c>
      <c r="M1391" s="4">
        <v>7.0000000000000001E-3</v>
      </c>
      <c r="N1391" s="4">
        <v>7.0000000000000001E-3</v>
      </c>
      <c r="O1391" s="4">
        <v>7.0000000000000001E-3</v>
      </c>
      <c r="P1391" s="4">
        <v>0</v>
      </c>
      <c r="Q1391" s="3" t="s">
        <v>26</v>
      </c>
      <c r="R1391" s="3">
        <v>0</v>
      </c>
      <c r="S1391" s="4">
        <v>0</v>
      </c>
      <c r="T1391" s="4">
        <v>32</v>
      </c>
      <c r="U1391" s="4">
        <v>51</v>
      </c>
      <c r="V1391" s="4">
        <f>IF(ISERROR(VLOOKUP($S$1391,'TAR FIN'!$A$1:$O$99,15,0)),0,VLOOKUP($S$1391,'TAR FIN'!$A$1:$O$99,15,0))</f>
        <v>0</v>
      </c>
      <c r="W1391" s="4">
        <f>IF(ISERROR(VLOOKUP($T$1391,'TAR FIN'!$A$1:$O$99,15,0)),0,VLOOKUP($T$1391,'TAR FIN'!$A$1:$O$99,15,0))</f>
        <v>657.51</v>
      </c>
      <c r="X1391" s="4">
        <f>IF(ISERROR(VLOOKUP($U$1391,'TAR FIN'!$A$1:$O$99,15,0)),0,VLOOKUP($U$1391,'TAR FIN'!$A$1:$O$99,15,0))</f>
        <v>219.97</v>
      </c>
      <c r="Y1391" s="4"/>
      <c r="Z1391" s="4">
        <f ca="1">('TUSD BE'!$AM$29+'TUSD BF'!$AM$29+'TUSD CVA'!$AM$29)*1</f>
        <v>769.81008209782362</v>
      </c>
      <c r="AA1391" s="4">
        <f>('TE BE'!$AA$11+'TE BF'!$AA$11+'TE CVA'!$AA$11)*1</f>
        <v>271.13910989737087</v>
      </c>
      <c r="AB1391" s="4">
        <f>$K$1391*$V$1391</f>
        <v>0</v>
      </c>
      <c r="AC1391" s="4">
        <f>$M$1391*$W$1391</f>
        <v>4.6025700000000001</v>
      </c>
      <c r="AD1391" s="4">
        <f>$O$1391*$X$1391</f>
        <v>1.53979</v>
      </c>
      <c r="AE1391" s="4">
        <f>$K$1391*$Y$1391</f>
        <v>0</v>
      </c>
      <c r="AF1391" s="4">
        <f ca="1">$M$1391*$Z$1391</f>
        <v>5.3886705746847658</v>
      </c>
      <c r="AG1391" s="4">
        <f>$O$1391*$AA$1391</f>
        <v>1.8979737692815961</v>
      </c>
    </row>
    <row r="1392" spans="1:33" ht="11.25" customHeight="1" x14ac:dyDescent="0.25">
      <c r="A1392" s="3" t="s">
        <v>21</v>
      </c>
      <c r="B1392" s="3" t="s">
        <v>22</v>
      </c>
      <c r="C1392" s="3" t="s">
        <v>37</v>
      </c>
      <c r="D1392" s="3" t="s">
        <v>24</v>
      </c>
      <c r="E1392" s="3" t="s">
        <v>24</v>
      </c>
      <c r="F1392" s="3" t="s">
        <v>25</v>
      </c>
      <c r="G1392" s="3" t="s">
        <v>25</v>
      </c>
      <c r="H1392" s="3" t="s">
        <v>35</v>
      </c>
      <c r="I1392" s="6">
        <v>44317</v>
      </c>
      <c r="J1392" s="4">
        <v>0</v>
      </c>
      <c r="K1392" s="4">
        <v>0</v>
      </c>
      <c r="L1392" s="4">
        <v>4.7320000000000002</v>
      </c>
      <c r="M1392" s="4">
        <v>4.7320000000000002</v>
      </c>
      <c r="N1392" s="4">
        <v>4.7320000000000002</v>
      </c>
      <c r="O1392" s="4">
        <v>4.7320000000000002</v>
      </c>
      <c r="P1392" s="4">
        <v>0</v>
      </c>
      <c r="Q1392" s="3" t="s">
        <v>26</v>
      </c>
      <c r="R1392" s="3">
        <v>0</v>
      </c>
      <c r="S1392" s="4">
        <v>0</v>
      </c>
      <c r="T1392" s="4">
        <v>31</v>
      </c>
      <c r="U1392" s="4">
        <v>50</v>
      </c>
      <c r="V1392" s="4">
        <f>IF(ISERROR(VLOOKUP($S$1392,'TAR FIN'!$A$1:$O$99,15,0)),0,VLOOKUP($S$1392,'TAR FIN'!$A$1:$O$99,15,0))</f>
        <v>0</v>
      </c>
      <c r="W1392" s="4">
        <f>IF(ISERROR(VLOOKUP($T$1392,'TAR FIN'!$A$1:$O$99,15,0)),0,VLOOKUP($T$1392,'TAR FIN'!$A$1:$O$99,15,0))</f>
        <v>1010.32</v>
      </c>
      <c r="X1392" s="4">
        <f>IF(ISERROR(VLOOKUP($U$1392,'TAR FIN'!$A$1:$O$99,15,0)),0,VLOOKUP($U$1392,'TAR FIN'!$A$1:$O$99,15,0))</f>
        <v>346.61</v>
      </c>
      <c r="Y1392" s="4"/>
      <c r="Z1392" s="4">
        <f ca="1">('TUSD BE'!$AM$28+'TUSD BF'!$AM$28+'TUSD CVA'!$AM$28)*1</f>
        <v>1178.1887517861644</v>
      </c>
      <c r="AA1392" s="4">
        <f>('TE BE'!$AA$10+'TE BF'!$AA$10+'TE CVA'!$AA$10)*1</f>
        <v>423.89652505413846</v>
      </c>
      <c r="AB1392" s="4">
        <f>$K$1392*$V$1392</f>
        <v>0</v>
      </c>
      <c r="AC1392" s="4">
        <f>$M$1392*$W$1392</f>
        <v>4780.8342400000001</v>
      </c>
      <c r="AD1392" s="4">
        <f>$O$1392*$X$1392</f>
        <v>1640.1585200000002</v>
      </c>
      <c r="AE1392" s="4">
        <f>$K$1392*$Y$1392</f>
        <v>0</v>
      </c>
      <c r="AF1392" s="4">
        <f ca="1">$M$1392*$Z$1392</f>
        <v>5575.1891734521305</v>
      </c>
      <c r="AG1392" s="4">
        <f>$O$1392*$AA$1392</f>
        <v>2005.8783565561832</v>
      </c>
    </row>
    <row r="1393" spans="1:33" ht="11.25" customHeight="1" x14ac:dyDescent="0.25">
      <c r="A1393" s="3" t="s">
        <v>28</v>
      </c>
      <c r="B1393" s="3" t="s">
        <v>22</v>
      </c>
      <c r="C1393" s="3" t="s">
        <v>37</v>
      </c>
      <c r="D1393" s="3" t="s">
        <v>24</v>
      </c>
      <c r="E1393" s="3" t="s">
        <v>24</v>
      </c>
      <c r="F1393" s="3" t="s">
        <v>25</v>
      </c>
      <c r="G1393" s="3" t="s">
        <v>25</v>
      </c>
      <c r="H1393" s="3" t="s">
        <v>35</v>
      </c>
      <c r="I1393" s="6">
        <v>44317</v>
      </c>
      <c r="J1393" s="4">
        <v>0</v>
      </c>
      <c r="K1393" s="4">
        <v>0</v>
      </c>
      <c r="L1393" s="4">
        <v>0.01</v>
      </c>
      <c r="M1393" s="4">
        <v>0.01</v>
      </c>
      <c r="N1393" s="4">
        <v>0.01</v>
      </c>
      <c r="O1393" s="4">
        <v>0.01</v>
      </c>
      <c r="P1393" s="4">
        <v>0</v>
      </c>
      <c r="Q1393" s="3" t="s">
        <v>26</v>
      </c>
      <c r="R1393" s="3">
        <v>0</v>
      </c>
      <c r="S1393" s="4">
        <v>0</v>
      </c>
      <c r="T1393" s="4">
        <v>31</v>
      </c>
      <c r="U1393" s="4">
        <v>50</v>
      </c>
      <c r="V1393" s="4">
        <f>IF(ISERROR(VLOOKUP($S$1393,'TAR FIN'!$A$1:$O$99,15,0)),0,VLOOKUP($S$1393,'TAR FIN'!$A$1:$O$99,15,0))</f>
        <v>0</v>
      </c>
      <c r="W1393" s="4">
        <f>IF(ISERROR(VLOOKUP($T$1393,'TAR FIN'!$A$1:$O$99,15,0)),0,VLOOKUP($T$1393,'TAR FIN'!$A$1:$O$99,15,0))</f>
        <v>1010.32</v>
      </c>
      <c r="X1393" s="4">
        <f>IF(ISERROR(VLOOKUP($U$1393,'TAR FIN'!$A$1:$O$99,15,0)),0,VLOOKUP($U$1393,'TAR FIN'!$A$1:$O$99,15,0))</f>
        <v>346.61</v>
      </c>
      <c r="Y1393" s="4"/>
      <c r="Z1393" s="4">
        <f ca="1">('TUSD BE'!$AM$28+'TUSD BF'!$AM$28+'TUSD CVA'!$AM$28)*1</f>
        <v>1178.1887517861644</v>
      </c>
      <c r="AA1393" s="4">
        <f>('TE BE'!$AA$10+'TE BF'!$AA$10+'TE CVA'!$AA$10)*1</f>
        <v>423.89652505413846</v>
      </c>
      <c r="AB1393" s="4">
        <f>$K$1393*$V$1393</f>
        <v>0</v>
      </c>
      <c r="AC1393" s="4">
        <f>$M$1393*$W$1393</f>
        <v>10.103200000000001</v>
      </c>
      <c r="AD1393" s="4">
        <f>$O$1393*$X$1393</f>
        <v>3.4661000000000004</v>
      </c>
      <c r="AE1393" s="4">
        <f>$K$1393*$Y$1393</f>
        <v>0</v>
      </c>
      <c r="AF1393" s="4">
        <f ca="1">$M$1393*$Z$1393</f>
        <v>11.781887517861644</v>
      </c>
      <c r="AG1393" s="4">
        <f>$O$1393*$AA$1393</f>
        <v>4.2389652505413844</v>
      </c>
    </row>
    <row r="1394" spans="1:33" ht="11.25" customHeight="1" x14ac:dyDescent="0.25">
      <c r="A1394" s="3" t="s">
        <v>21</v>
      </c>
      <c r="B1394" s="3" t="s">
        <v>22</v>
      </c>
      <c r="C1394" s="3" t="s">
        <v>37</v>
      </c>
      <c r="D1394" s="3" t="s">
        <v>24</v>
      </c>
      <c r="E1394" s="3" t="s">
        <v>24</v>
      </c>
      <c r="F1394" s="3" t="s">
        <v>25</v>
      </c>
      <c r="G1394" s="3" t="s">
        <v>25</v>
      </c>
      <c r="H1394" s="3" t="s">
        <v>35</v>
      </c>
      <c r="I1394" s="6">
        <v>44348</v>
      </c>
      <c r="J1394" s="4">
        <v>0</v>
      </c>
      <c r="K1394" s="4">
        <v>0</v>
      </c>
      <c r="L1394" s="4">
        <v>4.4550000000000001</v>
      </c>
      <c r="M1394" s="4">
        <v>4.4550000000000001</v>
      </c>
      <c r="N1394" s="4">
        <v>4.4550000000000001</v>
      </c>
      <c r="O1394" s="4">
        <v>4.4550000000000001</v>
      </c>
      <c r="P1394" s="4">
        <v>0</v>
      </c>
      <c r="Q1394" s="3" t="s">
        <v>26</v>
      </c>
      <c r="R1394" s="3">
        <v>0</v>
      </c>
      <c r="S1394" s="4">
        <v>0</v>
      </c>
      <c r="T1394" s="4">
        <v>31</v>
      </c>
      <c r="U1394" s="4">
        <v>50</v>
      </c>
      <c r="V1394" s="4">
        <f>IF(ISERROR(VLOOKUP($S$1394,'TAR FIN'!$A$1:$O$99,15,0)),0,VLOOKUP($S$1394,'TAR FIN'!$A$1:$O$99,15,0))</f>
        <v>0</v>
      </c>
      <c r="W1394" s="4">
        <f>IF(ISERROR(VLOOKUP($T$1394,'TAR FIN'!$A$1:$O$99,15,0)),0,VLOOKUP($T$1394,'TAR FIN'!$A$1:$O$99,15,0))</f>
        <v>1010.32</v>
      </c>
      <c r="X1394" s="4">
        <f>IF(ISERROR(VLOOKUP($U$1394,'TAR FIN'!$A$1:$O$99,15,0)),0,VLOOKUP($U$1394,'TAR FIN'!$A$1:$O$99,15,0))</f>
        <v>346.61</v>
      </c>
      <c r="Y1394" s="4"/>
      <c r="Z1394" s="4">
        <f ca="1">('TUSD BE'!$AM$28+'TUSD BF'!$AM$28+'TUSD CVA'!$AM$28)*1</f>
        <v>1178.1887517861644</v>
      </c>
      <c r="AA1394" s="4">
        <f>('TE BE'!$AA$10+'TE BF'!$AA$10+'TE CVA'!$AA$10)*1</f>
        <v>423.89652505413846</v>
      </c>
      <c r="AB1394" s="4">
        <f>$K$1394*$V$1394</f>
        <v>0</v>
      </c>
      <c r="AC1394" s="4">
        <f>$M$1394*$W$1394</f>
        <v>4500.9756000000007</v>
      </c>
      <c r="AD1394" s="4">
        <f>$O$1394*$X$1394</f>
        <v>1544.1475500000001</v>
      </c>
      <c r="AE1394" s="4">
        <f>$K$1394*$Y$1394</f>
        <v>0</v>
      </c>
      <c r="AF1394" s="4">
        <f ca="1">$M$1394*$Z$1394</f>
        <v>5248.8308892073628</v>
      </c>
      <c r="AG1394" s="4">
        <f>$O$1394*$AA$1394</f>
        <v>1888.4590191161869</v>
      </c>
    </row>
    <row r="1395" spans="1:33" ht="11.25" customHeight="1" x14ac:dyDescent="0.25">
      <c r="A1395" s="3" t="s">
        <v>27</v>
      </c>
      <c r="B1395" s="3" t="s">
        <v>22</v>
      </c>
      <c r="C1395" s="3" t="s">
        <v>37</v>
      </c>
      <c r="D1395" s="3" t="s">
        <v>24</v>
      </c>
      <c r="E1395" s="3" t="s">
        <v>24</v>
      </c>
      <c r="F1395" s="3" t="s">
        <v>25</v>
      </c>
      <c r="G1395" s="3" t="s">
        <v>25</v>
      </c>
      <c r="H1395" s="3" t="s">
        <v>35</v>
      </c>
      <c r="I1395" s="6">
        <v>44348</v>
      </c>
      <c r="J1395" s="4">
        <v>0</v>
      </c>
      <c r="K1395" s="4">
        <v>0</v>
      </c>
      <c r="L1395" s="4">
        <v>-1.2999999999999999E-2</v>
      </c>
      <c r="M1395" s="4">
        <v>-1.2999999999999999E-2</v>
      </c>
      <c r="N1395" s="4">
        <v>-1.2999999999999999E-2</v>
      </c>
      <c r="O1395" s="4">
        <v>-1.2999999999999999E-2</v>
      </c>
      <c r="P1395" s="4">
        <v>0</v>
      </c>
      <c r="Q1395" s="3" t="s">
        <v>26</v>
      </c>
      <c r="R1395" s="3">
        <v>0</v>
      </c>
      <c r="S1395" s="4">
        <v>0</v>
      </c>
      <c r="T1395" s="4">
        <v>31</v>
      </c>
      <c r="U1395" s="4">
        <v>50</v>
      </c>
      <c r="V1395" s="4">
        <f>IF(ISERROR(VLOOKUP($S$1395,'TAR FIN'!$A$1:$O$99,15,0)),0,VLOOKUP($S$1395,'TAR FIN'!$A$1:$O$99,15,0))</f>
        <v>0</v>
      </c>
      <c r="W1395" s="4">
        <f>IF(ISERROR(VLOOKUP($T$1395,'TAR FIN'!$A$1:$O$99,15,0)),0,VLOOKUP($T$1395,'TAR FIN'!$A$1:$O$99,15,0))</f>
        <v>1010.32</v>
      </c>
      <c r="X1395" s="4">
        <f>IF(ISERROR(VLOOKUP($U$1395,'TAR FIN'!$A$1:$O$99,15,0)),0,VLOOKUP($U$1395,'TAR FIN'!$A$1:$O$99,15,0))</f>
        <v>346.61</v>
      </c>
      <c r="Y1395" s="4"/>
      <c r="Z1395" s="4">
        <f ca="1">('TUSD BE'!$AM$28+'TUSD BF'!$AM$28+'TUSD CVA'!$AM$28)*1</f>
        <v>1178.1887517861644</v>
      </c>
      <c r="AA1395" s="4">
        <f>('TE BE'!$AA$10+'TE BF'!$AA$10+'TE CVA'!$AA$10)*1</f>
        <v>423.89652505413846</v>
      </c>
      <c r="AB1395" s="4">
        <f>$K$1395*$V$1395</f>
        <v>0</v>
      </c>
      <c r="AC1395" s="4">
        <f>$M$1395*$W$1395</f>
        <v>-13.13416</v>
      </c>
      <c r="AD1395" s="4">
        <f>$O$1395*$X$1395</f>
        <v>-4.5059300000000002</v>
      </c>
      <c r="AE1395" s="4">
        <f>$K$1395*$Y$1395</f>
        <v>0</v>
      </c>
      <c r="AF1395" s="4">
        <f ca="1">$M$1395*$Z$1395</f>
        <v>-15.316453773220136</v>
      </c>
      <c r="AG1395" s="4">
        <f>$O$1395*$AA$1395</f>
        <v>-5.5106548257038002</v>
      </c>
    </row>
    <row r="1396" spans="1:33" ht="11.25" customHeight="1" x14ac:dyDescent="0.25">
      <c r="A1396" s="3" t="s">
        <v>21</v>
      </c>
      <c r="B1396" s="3" t="s">
        <v>22</v>
      </c>
      <c r="C1396" s="3" t="s">
        <v>37</v>
      </c>
      <c r="D1396" s="3" t="s">
        <v>24</v>
      </c>
      <c r="E1396" s="3" t="s">
        <v>24</v>
      </c>
      <c r="F1396" s="3" t="s">
        <v>25</v>
      </c>
      <c r="G1396" s="3" t="s">
        <v>25</v>
      </c>
      <c r="H1396" s="3" t="s">
        <v>35</v>
      </c>
      <c r="I1396" s="6">
        <v>44378</v>
      </c>
      <c r="J1396" s="4">
        <v>0</v>
      </c>
      <c r="K1396" s="4">
        <v>0</v>
      </c>
      <c r="L1396" s="4">
        <v>4.0510000000000002</v>
      </c>
      <c r="M1396" s="4">
        <v>4.0510000000000002</v>
      </c>
      <c r="N1396" s="4">
        <v>4.0510000000000002</v>
      </c>
      <c r="O1396" s="4">
        <v>4.0510000000000002</v>
      </c>
      <c r="P1396" s="4">
        <v>0</v>
      </c>
      <c r="Q1396" s="3" t="s">
        <v>26</v>
      </c>
      <c r="R1396" s="3">
        <v>0</v>
      </c>
      <c r="S1396" s="4">
        <v>0</v>
      </c>
      <c r="T1396" s="4">
        <v>31</v>
      </c>
      <c r="U1396" s="4">
        <v>50</v>
      </c>
      <c r="V1396" s="4">
        <f>IF(ISERROR(VLOOKUP($S$1396,'TAR FIN'!$A$1:$O$99,15,0)),0,VLOOKUP($S$1396,'TAR FIN'!$A$1:$O$99,15,0))</f>
        <v>0</v>
      </c>
      <c r="W1396" s="4">
        <f>IF(ISERROR(VLOOKUP($T$1396,'TAR FIN'!$A$1:$O$99,15,0)),0,VLOOKUP($T$1396,'TAR FIN'!$A$1:$O$99,15,0))</f>
        <v>1010.32</v>
      </c>
      <c r="X1396" s="4">
        <f>IF(ISERROR(VLOOKUP($U$1396,'TAR FIN'!$A$1:$O$99,15,0)),0,VLOOKUP($U$1396,'TAR FIN'!$A$1:$O$99,15,0))</f>
        <v>346.61</v>
      </c>
      <c r="Y1396" s="4"/>
      <c r="Z1396" s="4">
        <f ca="1">('TUSD BE'!$AM$28+'TUSD BF'!$AM$28+'TUSD CVA'!$AM$28)*1</f>
        <v>1178.1887517861644</v>
      </c>
      <c r="AA1396" s="4">
        <f>('TE BE'!$AA$10+'TE BF'!$AA$10+'TE CVA'!$AA$10)*1</f>
        <v>423.89652505413846</v>
      </c>
      <c r="AB1396" s="4">
        <f>$K$1396*$V$1396</f>
        <v>0</v>
      </c>
      <c r="AC1396" s="4">
        <f>$M$1396*$W$1396</f>
        <v>4092.8063200000001</v>
      </c>
      <c r="AD1396" s="4">
        <f>$O$1396*$X$1396</f>
        <v>1404.1171100000001</v>
      </c>
      <c r="AE1396" s="4">
        <f>$K$1396*$Y$1396</f>
        <v>0</v>
      </c>
      <c r="AF1396" s="4">
        <f ca="1">$M$1396*$Z$1396</f>
        <v>4772.8426334857522</v>
      </c>
      <c r="AG1396" s="4">
        <f>$O$1396*$AA$1396</f>
        <v>1717.204822994315</v>
      </c>
    </row>
    <row r="1397" spans="1:33" ht="11.25" customHeight="1" x14ac:dyDescent="0.25">
      <c r="A1397" s="3" t="s">
        <v>21</v>
      </c>
      <c r="B1397" s="3" t="s">
        <v>22</v>
      </c>
      <c r="C1397" s="3" t="s">
        <v>37</v>
      </c>
      <c r="D1397" s="3" t="s">
        <v>24</v>
      </c>
      <c r="E1397" s="3" t="s">
        <v>24</v>
      </c>
      <c r="F1397" s="3" t="s">
        <v>25</v>
      </c>
      <c r="G1397" s="3" t="s">
        <v>25</v>
      </c>
      <c r="H1397" s="3" t="s">
        <v>35</v>
      </c>
      <c r="I1397" s="6">
        <v>44409</v>
      </c>
      <c r="J1397" s="4">
        <v>0</v>
      </c>
      <c r="K1397" s="4">
        <v>0</v>
      </c>
      <c r="L1397" s="4">
        <v>4.141</v>
      </c>
      <c r="M1397" s="4">
        <v>4.141</v>
      </c>
      <c r="N1397" s="4">
        <v>4.141</v>
      </c>
      <c r="O1397" s="4">
        <v>4.141</v>
      </c>
      <c r="P1397" s="4">
        <v>0</v>
      </c>
      <c r="Q1397" s="3" t="s">
        <v>26</v>
      </c>
      <c r="R1397" s="3">
        <v>0</v>
      </c>
      <c r="S1397" s="4">
        <v>0</v>
      </c>
      <c r="T1397" s="4">
        <v>31</v>
      </c>
      <c r="U1397" s="4">
        <v>50</v>
      </c>
      <c r="V1397" s="4">
        <f>IF(ISERROR(VLOOKUP($S$1397,'TAR FIN'!$A$1:$O$99,15,0)),0,VLOOKUP($S$1397,'TAR FIN'!$A$1:$O$99,15,0))</f>
        <v>0</v>
      </c>
      <c r="W1397" s="4">
        <f>IF(ISERROR(VLOOKUP($T$1397,'TAR FIN'!$A$1:$O$99,15,0)),0,VLOOKUP($T$1397,'TAR FIN'!$A$1:$O$99,15,0))</f>
        <v>1010.32</v>
      </c>
      <c r="X1397" s="4">
        <f>IF(ISERROR(VLOOKUP($U$1397,'TAR FIN'!$A$1:$O$99,15,0)),0,VLOOKUP($U$1397,'TAR FIN'!$A$1:$O$99,15,0))</f>
        <v>346.61</v>
      </c>
      <c r="Y1397" s="4"/>
      <c r="Z1397" s="4">
        <f ca="1">('TUSD BE'!$AM$28+'TUSD BF'!$AM$28+'TUSD CVA'!$AM$28)*1</f>
        <v>1178.1887517861644</v>
      </c>
      <c r="AA1397" s="4">
        <f>('TE BE'!$AA$10+'TE BF'!$AA$10+'TE CVA'!$AA$10)*1</f>
        <v>423.89652505413846</v>
      </c>
      <c r="AB1397" s="4">
        <f>$K$1397*$V$1397</f>
        <v>0</v>
      </c>
      <c r="AC1397" s="4">
        <f>$M$1397*$W$1397</f>
        <v>4183.7351200000003</v>
      </c>
      <c r="AD1397" s="4">
        <f>$O$1397*$X$1397</f>
        <v>1435.3120100000001</v>
      </c>
      <c r="AE1397" s="4">
        <f>$K$1397*$Y$1397</f>
        <v>0</v>
      </c>
      <c r="AF1397" s="4">
        <f ca="1">$M$1397*$Z$1397</f>
        <v>4878.8796211465069</v>
      </c>
      <c r="AG1397" s="4">
        <f>$O$1397*$AA$1397</f>
        <v>1755.3555102491873</v>
      </c>
    </row>
    <row r="1398" spans="1:33" ht="11.25" customHeight="1" x14ac:dyDescent="0.25">
      <c r="A1398" s="3" t="s">
        <v>21</v>
      </c>
      <c r="B1398" s="3" t="s">
        <v>22</v>
      </c>
      <c r="C1398" s="3" t="s">
        <v>37</v>
      </c>
      <c r="D1398" s="3" t="s">
        <v>24</v>
      </c>
      <c r="E1398" s="3" t="s">
        <v>24</v>
      </c>
      <c r="F1398" s="3" t="s">
        <v>25</v>
      </c>
      <c r="G1398" s="3" t="s">
        <v>25</v>
      </c>
      <c r="H1398" s="3" t="s">
        <v>35</v>
      </c>
      <c r="I1398" s="6">
        <v>44440</v>
      </c>
      <c r="J1398" s="4">
        <v>0</v>
      </c>
      <c r="K1398" s="4">
        <v>0</v>
      </c>
      <c r="L1398" s="4">
        <v>3.9369999999999998</v>
      </c>
      <c r="M1398" s="4">
        <v>3.9369999999999998</v>
      </c>
      <c r="N1398" s="4">
        <v>3.9369999999999998</v>
      </c>
      <c r="O1398" s="4">
        <v>3.9369999999999998</v>
      </c>
      <c r="P1398" s="4">
        <v>0</v>
      </c>
      <c r="Q1398" s="3" t="s">
        <v>26</v>
      </c>
      <c r="R1398" s="3">
        <v>0</v>
      </c>
      <c r="S1398" s="4">
        <v>0</v>
      </c>
      <c r="T1398" s="4">
        <v>31</v>
      </c>
      <c r="U1398" s="4">
        <v>50</v>
      </c>
      <c r="V1398" s="4">
        <f>IF(ISERROR(VLOOKUP($S$1398,'TAR FIN'!$A$1:$O$99,15,0)),0,VLOOKUP($S$1398,'TAR FIN'!$A$1:$O$99,15,0))</f>
        <v>0</v>
      </c>
      <c r="W1398" s="4">
        <f>IF(ISERROR(VLOOKUP($T$1398,'TAR FIN'!$A$1:$O$99,15,0)),0,VLOOKUP($T$1398,'TAR FIN'!$A$1:$O$99,15,0))</f>
        <v>1010.32</v>
      </c>
      <c r="X1398" s="4">
        <f>IF(ISERROR(VLOOKUP($U$1398,'TAR FIN'!$A$1:$O$99,15,0)),0,VLOOKUP($U$1398,'TAR FIN'!$A$1:$O$99,15,0))</f>
        <v>346.61</v>
      </c>
      <c r="Y1398" s="4"/>
      <c r="Z1398" s="4">
        <f ca="1">('TUSD BE'!$AM$28+'TUSD BF'!$AM$28+'TUSD CVA'!$AM$28)*1</f>
        <v>1178.1887517861644</v>
      </c>
      <c r="AA1398" s="4">
        <f>('TE BE'!$AA$10+'TE BF'!$AA$10+'TE CVA'!$AA$10)*1</f>
        <v>423.89652505413846</v>
      </c>
      <c r="AB1398" s="4">
        <f>$K$1398*$V$1398</f>
        <v>0</v>
      </c>
      <c r="AC1398" s="4">
        <f>$M$1398*$W$1398</f>
        <v>3977.6298400000001</v>
      </c>
      <c r="AD1398" s="4">
        <f>$O$1398*$X$1398</f>
        <v>1364.60357</v>
      </c>
      <c r="AE1398" s="4">
        <f>$K$1398*$Y$1398</f>
        <v>0</v>
      </c>
      <c r="AF1398" s="4">
        <f ca="1">$M$1398*$Z$1398</f>
        <v>4638.5291157821293</v>
      </c>
      <c r="AG1398" s="4">
        <f>$O$1398*$AA$1398</f>
        <v>1668.8806191381432</v>
      </c>
    </row>
    <row r="1399" spans="1:33" ht="11.25" customHeight="1" x14ac:dyDescent="0.25">
      <c r="A1399" s="3" t="s">
        <v>28</v>
      </c>
      <c r="B1399" s="3" t="s">
        <v>22</v>
      </c>
      <c r="C1399" s="3" t="s">
        <v>37</v>
      </c>
      <c r="D1399" s="3" t="s">
        <v>24</v>
      </c>
      <c r="E1399" s="3" t="s">
        <v>24</v>
      </c>
      <c r="F1399" s="3" t="s">
        <v>25</v>
      </c>
      <c r="G1399" s="3" t="s">
        <v>25</v>
      </c>
      <c r="H1399" s="3" t="s">
        <v>35</v>
      </c>
      <c r="I1399" s="6">
        <v>44440</v>
      </c>
      <c r="J1399" s="4">
        <v>0</v>
      </c>
      <c r="K1399" s="4">
        <v>0</v>
      </c>
      <c r="L1399" s="4">
        <v>2E-3</v>
      </c>
      <c r="M1399" s="4">
        <v>2E-3</v>
      </c>
      <c r="N1399" s="4">
        <v>2E-3</v>
      </c>
      <c r="O1399" s="4">
        <v>2E-3</v>
      </c>
      <c r="P1399" s="4">
        <v>0</v>
      </c>
      <c r="Q1399" s="3" t="s">
        <v>26</v>
      </c>
      <c r="R1399" s="3">
        <v>0</v>
      </c>
      <c r="S1399" s="4">
        <v>0</v>
      </c>
      <c r="T1399" s="4">
        <v>31</v>
      </c>
      <c r="U1399" s="4">
        <v>50</v>
      </c>
      <c r="V1399" s="4">
        <f>IF(ISERROR(VLOOKUP($S$1399,'TAR FIN'!$A$1:$O$99,15,0)),0,VLOOKUP($S$1399,'TAR FIN'!$A$1:$O$99,15,0))</f>
        <v>0</v>
      </c>
      <c r="W1399" s="4">
        <f>IF(ISERROR(VLOOKUP($T$1399,'TAR FIN'!$A$1:$O$99,15,0)),0,VLOOKUP($T$1399,'TAR FIN'!$A$1:$O$99,15,0))</f>
        <v>1010.32</v>
      </c>
      <c r="X1399" s="4">
        <f>IF(ISERROR(VLOOKUP($U$1399,'TAR FIN'!$A$1:$O$99,15,0)),0,VLOOKUP($U$1399,'TAR FIN'!$A$1:$O$99,15,0))</f>
        <v>346.61</v>
      </c>
      <c r="Y1399" s="4"/>
      <c r="Z1399" s="4">
        <f ca="1">('TUSD BE'!$AM$28+'TUSD BF'!$AM$28+'TUSD CVA'!$AM$28)*1</f>
        <v>1178.1887517861644</v>
      </c>
      <c r="AA1399" s="4">
        <f>('TE BE'!$AA$10+'TE BF'!$AA$10+'TE CVA'!$AA$10)*1</f>
        <v>423.89652505413846</v>
      </c>
      <c r="AB1399" s="4">
        <f>$K$1399*$V$1399</f>
        <v>0</v>
      </c>
      <c r="AC1399" s="4">
        <f>$M$1399*$W$1399</f>
        <v>2.0206400000000002</v>
      </c>
      <c r="AD1399" s="4">
        <f>$O$1399*$X$1399</f>
        <v>0.69322000000000006</v>
      </c>
      <c r="AE1399" s="4">
        <f>$K$1399*$Y$1399</f>
        <v>0</v>
      </c>
      <c r="AF1399" s="4">
        <f ca="1">$M$1399*$Z$1399</f>
        <v>2.3563775035723289</v>
      </c>
      <c r="AG1399" s="4">
        <f>$O$1399*$AA$1399</f>
        <v>0.84779305010827699</v>
      </c>
    </row>
    <row r="1400" spans="1:33" ht="11.25" customHeight="1" x14ac:dyDescent="0.25">
      <c r="A1400" s="3" t="s">
        <v>21</v>
      </c>
      <c r="B1400" s="3" t="s">
        <v>22</v>
      </c>
      <c r="C1400" s="3" t="s">
        <v>37</v>
      </c>
      <c r="D1400" s="3" t="s">
        <v>24</v>
      </c>
      <c r="E1400" s="3" t="s">
        <v>24</v>
      </c>
      <c r="F1400" s="3" t="s">
        <v>25</v>
      </c>
      <c r="G1400" s="3" t="s">
        <v>25</v>
      </c>
      <c r="H1400" s="3" t="s">
        <v>35</v>
      </c>
      <c r="I1400" s="6">
        <v>44470</v>
      </c>
      <c r="J1400" s="4">
        <v>0</v>
      </c>
      <c r="K1400" s="4">
        <v>0</v>
      </c>
      <c r="L1400" s="4">
        <v>4.4210000000000003</v>
      </c>
      <c r="M1400" s="4">
        <v>4.4210000000000003</v>
      </c>
      <c r="N1400" s="4">
        <v>4.4210000000000003</v>
      </c>
      <c r="O1400" s="4">
        <v>4.4210000000000003</v>
      </c>
      <c r="P1400" s="4">
        <v>0</v>
      </c>
      <c r="Q1400" s="3" t="s">
        <v>26</v>
      </c>
      <c r="R1400" s="3">
        <v>0</v>
      </c>
      <c r="S1400" s="4">
        <v>0</v>
      </c>
      <c r="T1400" s="4">
        <v>31</v>
      </c>
      <c r="U1400" s="4">
        <v>50</v>
      </c>
      <c r="V1400" s="4">
        <f>IF(ISERROR(VLOOKUP($S$1400,'TAR FIN'!$A$1:$O$99,15,0)),0,VLOOKUP($S$1400,'TAR FIN'!$A$1:$O$99,15,0))</f>
        <v>0</v>
      </c>
      <c r="W1400" s="4">
        <f>IF(ISERROR(VLOOKUP($T$1400,'TAR FIN'!$A$1:$O$99,15,0)),0,VLOOKUP($T$1400,'TAR FIN'!$A$1:$O$99,15,0))</f>
        <v>1010.32</v>
      </c>
      <c r="X1400" s="4">
        <f>IF(ISERROR(VLOOKUP($U$1400,'TAR FIN'!$A$1:$O$99,15,0)),0,VLOOKUP($U$1400,'TAR FIN'!$A$1:$O$99,15,0))</f>
        <v>346.61</v>
      </c>
      <c r="Y1400" s="4"/>
      <c r="Z1400" s="4">
        <f ca="1">('TUSD BE'!$AM$28+'TUSD BF'!$AM$28+'TUSD CVA'!$AM$28)*1</f>
        <v>1178.1887517861644</v>
      </c>
      <c r="AA1400" s="4">
        <f>('TE BE'!$AA$10+'TE BF'!$AA$10+'TE CVA'!$AA$10)*1</f>
        <v>423.89652505413846</v>
      </c>
      <c r="AB1400" s="4">
        <f>$K$1400*$V$1400</f>
        <v>0</v>
      </c>
      <c r="AC1400" s="4">
        <f>$M$1400*$W$1400</f>
        <v>4466.6247200000007</v>
      </c>
      <c r="AD1400" s="4">
        <f>$O$1400*$X$1400</f>
        <v>1532.3628100000001</v>
      </c>
      <c r="AE1400" s="4">
        <f>$K$1400*$Y$1400</f>
        <v>0</v>
      </c>
      <c r="AF1400" s="4">
        <f ca="1">$M$1400*$Z$1400</f>
        <v>5208.7724716466328</v>
      </c>
      <c r="AG1400" s="4">
        <f>$O$1400*$AA$1400</f>
        <v>1874.0465372643462</v>
      </c>
    </row>
    <row r="1401" spans="1:33" ht="11.25" customHeight="1" x14ac:dyDescent="0.25">
      <c r="A1401" s="3" t="s">
        <v>27</v>
      </c>
      <c r="B1401" s="3" t="s">
        <v>22</v>
      </c>
      <c r="C1401" s="3" t="s">
        <v>37</v>
      </c>
      <c r="D1401" s="3" t="s">
        <v>24</v>
      </c>
      <c r="E1401" s="3" t="s">
        <v>24</v>
      </c>
      <c r="F1401" s="3" t="s">
        <v>25</v>
      </c>
      <c r="G1401" s="3" t="s">
        <v>25</v>
      </c>
      <c r="H1401" s="3" t="s">
        <v>35</v>
      </c>
      <c r="I1401" s="6">
        <v>44470</v>
      </c>
      <c r="J1401" s="4">
        <v>0</v>
      </c>
      <c r="K1401" s="4">
        <v>0</v>
      </c>
      <c r="L1401" s="4">
        <v>-0.15</v>
      </c>
      <c r="M1401" s="4">
        <v>-0.15</v>
      </c>
      <c r="N1401" s="4">
        <v>-0.15</v>
      </c>
      <c r="O1401" s="4">
        <v>-0.15</v>
      </c>
      <c r="P1401" s="4">
        <v>0</v>
      </c>
      <c r="Q1401" s="3" t="s">
        <v>26</v>
      </c>
      <c r="R1401" s="3">
        <v>0</v>
      </c>
      <c r="S1401" s="4">
        <v>0</v>
      </c>
      <c r="T1401" s="4">
        <v>31</v>
      </c>
      <c r="U1401" s="4">
        <v>50</v>
      </c>
      <c r="V1401" s="4">
        <f>IF(ISERROR(VLOOKUP($S$1401,'TAR FIN'!$A$1:$O$99,15,0)),0,VLOOKUP($S$1401,'TAR FIN'!$A$1:$O$99,15,0))</f>
        <v>0</v>
      </c>
      <c r="W1401" s="4">
        <f>IF(ISERROR(VLOOKUP($T$1401,'TAR FIN'!$A$1:$O$99,15,0)),0,VLOOKUP($T$1401,'TAR FIN'!$A$1:$O$99,15,0))</f>
        <v>1010.32</v>
      </c>
      <c r="X1401" s="4">
        <f>IF(ISERROR(VLOOKUP($U$1401,'TAR FIN'!$A$1:$O$99,15,0)),0,VLOOKUP($U$1401,'TAR FIN'!$A$1:$O$99,15,0))</f>
        <v>346.61</v>
      </c>
      <c r="Y1401" s="4"/>
      <c r="Z1401" s="4">
        <f ca="1">('TUSD BE'!$AM$28+'TUSD BF'!$AM$28+'TUSD CVA'!$AM$28)*1</f>
        <v>1178.1887517861644</v>
      </c>
      <c r="AA1401" s="4">
        <f>('TE BE'!$AA$10+'TE BF'!$AA$10+'TE CVA'!$AA$10)*1</f>
        <v>423.89652505413846</v>
      </c>
      <c r="AB1401" s="4">
        <f>$K$1401*$V$1401</f>
        <v>0</v>
      </c>
      <c r="AC1401" s="4">
        <f>$M$1401*$W$1401</f>
        <v>-151.548</v>
      </c>
      <c r="AD1401" s="4">
        <f>$O$1401*$X$1401</f>
        <v>-51.991500000000002</v>
      </c>
      <c r="AE1401" s="4">
        <f>$K$1401*$Y$1401</f>
        <v>0</v>
      </c>
      <c r="AF1401" s="4">
        <f ca="1">$M$1401*$Z$1401</f>
        <v>-176.72831276792465</v>
      </c>
      <c r="AG1401" s="4">
        <f>$O$1401*$AA$1401</f>
        <v>-63.584478758120767</v>
      </c>
    </row>
    <row r="1402" spans="1:33" ht="11.25" customHeight="1" x14ac:dyDescent="0.25">
      <c r="A1402" s="3" t="s">
        <v>28</v>
      </c>
      <c r="B1402" s="3" t="s">
        <v>22</v>
      </c>
      <c r="C1402" s="3" t="s">
        <v>37</v>
      </c>
      <c r="D1402" s="3" t="s">
        <v>24</v>
      </c>
      <c r="E1402" s="3" t="s">
        <v>24</v>
      </c>
      <c r="F1402" s="3" t="s">
        <v>25</v>
      </c>
      <c r="G1402" s="3" t="s">
        <v>25</v>
      </c>
      <c r="H1402" s="3" t="s">
        <v>35</v>
      </c>
      <c r="I1402" s="6">
        <v>44470</v>
      </c>
      <c r="J1402" s="4">
        <v>0</v>
      </c>
      <c r="K1402" s="4">
        <v>0</v>
      </c>
      <c r="L1402" s="4">
        <v>2E-3</v>
      </c>
      <c r="M1402" s="4">
        <v>2E-3</v>
      </c>
      <c r="N1402" s="4">
        <v>2E-3</v>
      </c>
      <c r="O1402" s="4">
        <v>2E-3</v>
      </c>
      <c r="P1402" s="4">
        <v>0</v>
      </c>
      <c r="Q1402" s="3" t="s">
        <v>26</v>
      </c>
      <c r="R1402" s="3">
        <v>0</v>
      </c>
      <c r="S1402" s="4">
        <v>0</v>
      </c>
      <c r="T1402" s="4">
        <v>31</v>
      </c>
      <c r="U1402" s="4">
        <v>50</v>
      </c>
      <c r="V1402" s="4">
        <f>IF(ISERROR(VLOOKUP($S$1402,'TAR FIN'!$A$1:$O$99,15,0)),0,VLOOKUP($S$1402,'TAR FIN'!$A$1:$O$99,15,0))</f>
        <v>0</v>
      </c>
      <c r="W1402" s="4">
        <f>IF(ISERROR(VLOOKUP($T$1402,'TAR FIN'!$A$1:$O$99,15,0)),0,VLOOKUP($T$1402,'TAR FIN'!$A$1:$O$99,15,0))</f>
        <v>1010.32</v>
      </c>
      <c r="X1402" s="4">
        <f>IF(ISERROR(VLOOKUP($U$1402,'TAR FIN'!$A$1:$O$99,15,0)),0,VLOOKUP($U$1402,'TAR FIN'!$A$1:$O$99,15,0))</f>
        <v>346.61</v>
      </c>
      <c r="Y1402" s="4"/>
      <c r="Z1402" s="4">
        <f ca="1">('TUSD BE'!$AM$28+'TUSD BF'!$AM$28+'TUSD CVA'!$AM$28)*1</f>
        <v>1178.1887517861644</v>
      </c>
      <c r="AA1402" s="4">
        <f>('TE BE'!$AA$10+'TE BF'!$AA$10+'TE CVA'!$AA$10)*1</f>
        <v>423.89652505413846</v>
      </c>
      <c r="AB1402" s="4">
        <f>$K$1402*$V$1402</f>
        <v>0</v>
      </c>
      <c r="AC1402" s="4">
        <f>$M$1402*$W$1402</f>
        <v>2.0206400000000002</v>
      </c>
      <c r="AD1402" s="4">
        <f>$O$1402*$X$1402</f>
        <v>0.69322000000000006</v>
      </c>
      <c r="AE1402" s="4">
        <f>$K$1402*$Y$1402</f>
        <v>0</v>
      </c>
      <c r="AF1402" s="4">
        <f ca="1">$M$1402*$Z$1402</f>
        <v>2.3563775035723289</v>
      </c>
      <c r="AG1402" s="4">
        <f>$O$1402*$AA$1402</f>
        <v>0.84779305010827699</v>
      </c>
    </row>
    <row r="1403" spans="1:33" ht="11.25" customHeight="1" x14ac:dyDescent="0.25">
      <c r="A1403" s="3" t="s">
        <v>21</v>
      </c>
      <c r="B1403" s="3" t="s">
        <v>22</v>
      </c>
      <c r="C1403" s="3" t="s">
        <v>37</v>
      </c>
      <c r="D1403" s="3" t="s">
        <v>24</v>
      </c>
      <c r="E1403" s="3" t="s">
        <v>24</v>
      </c>
      <c r="F1403" s="3" t="s">
        <v>25</v>
      </c>
      <c r="G1403" s="3" t="s">
        <v>25</v>
      </c>
      <c r="H1403" s="3" t="s">
        <v>35</v>
      </c>
      <c r="I1403" s="6">
        <v>44501</v>
      </c>
      <c r="J1403" s="4">
        <v>0</v>
      </c>
      <c r="K1403" s="4">
        <v>0</v>
      </c>
      <c r="L1403" s="4">
        <v>3.84</v>
      </c>
      <c r="M1403" s="4">
        <v>3.84</v>
      </c>
      <c r="N1403" s="4">
        <v>3.84</v>
      </c>
      <c r="O1403" s="4">
        <v>3.84</v>
      </c>
      <c r="P1403" s="4">
        <v>0</v>
      </c>
      <c r="Q1403" s="3" t="s">
        <v>26</v>
      </c>
      <c r="R1403" s="3">
        <v>0</v>
      </c>
      <c r="S1403" s="4">
        <v>0</v>
      </c>
      <c r="T1403" s="4">
        <v>31</v>
      </c>
      <c r="U1403" s="4">
        <v>50</v>
      </c>
      <c r="V1403" s="4">
        <f>IF(ISERROR(VLOOKUP($S$1403,'TAR FIN'!$A$1:$O$99,15,0)),0,VLOOKUP($S$1403,'TAR FIN'!$A$1:$O$99,15,0))</f>
        <v>0</v>
      </c>
      <c r="W1403" s="4">
        <f>IF(ISERROR(VLOOKUP($T$1403,'TAR FIN'!$A$1:$O$99,15,0)),0,VLOOKUP($T$1403,'TAR FIN'!$A$1:$O$99,15,0))</f>
        <v>1010.32</v>
      </c>
      <c r="X1403" s="4">
        <f>IF(ISERROR(VLOOKUP($U$1403,'TAR FIN'!$A$1:$O$99,15,0)),0,VLOOKUP($U$1403,'TAR FIN'!$A$1:$O$99,15,0))</f>
        <v>346.61</v>
      </c>
      <c r="Y1403" s="4"/>
      <c r="Z1403" s="4">
        <f ca="1">('TUSD BE'!$AM$28+'TUSD BF'!$AM$28+'TUSD CVA'!$AM$28)*1</f>
        <v>1178.1887517861644</v>
      </c>
      <c r="AA1403" s="4">
        <f>('TE BE'!$AA$10+'TE BF'!$AA$10+'TE CVA'!$AA$10)*1</f>
        <v>423.89652505413846</v>
      </c>
      <c r="AB1403" s="4">
        <f>$K$1403*$V$1403</f>
        <v>0</v>
      </c>
      <c r="AC1403" s="4">
        <f>$M$1403*$W$1403</f>
        <v>3879.6288</v>
      </c>
      <c r="AD1403" s="4">
        <f>$O$1403*$X$1403</f>
        <v>1330.9824000000001</v>
      </c>
      <c r="AE1403" s="4">
        <f>$K$1403*$Y$1403</f>
        <v>0</v>
      </c>
      <c r="AF1403" s="4">
        <f ca="1">$M$1403*$Z$1403</f>
        <v>4524.244806858871</v>
      </c>
      <c r="AG1403" s="4">
        <f>$O$1403*$AA$1403</f>
        <v>1627.7626562078917</v>
      </c>
    </row>
    <row r="1404" spans="1:33" ht="11.25" customHeight="1" x14ac:dyDescent="0.25">
      <c r="A1404" s="3" t="s">
        <v>27</v>
      </c>
      <c r="B1404" s="3" t="s">
        <v>22</v>
      </c>
      <c r="C1404" s="3" t="s">
        <v>37</v>
      </c>
      <c r="D1404" s="3" t="s">
        <v>24</v>
      </c>
      <c r="E1404" s="3" t="s">
        <v>24</v>
      </c>
      <c r="F1404" s="3" t="s">
        <v>25</v>
      </c>
      <c r="G1404" s="3" t="s">
        <v>25</v>
      </c>
      <c r="H1404" s="3" t="s">
        <v>35</v>
      </c>
      <c r="I1404" s="6">
        <v>44501</v>
      </c>
      <c r="J1404" s="4">
        <v>0</v>
      </c>
      <c r="K1404" s="4">
        <v>0</v>
      </c>
      <c r="L1404" s="4">
        <v>-0.31</v>
      </c>
      <c r="M1404" s="4">
        <v>-0.31</v>
      </c>
      <c r="N1404" s="4">
        <v>-0.31</v>
      </c>
      <c r="O1404" s="4">
        <v>-0.31</v>
      </c>
      <c r="P1404" s="4">
        <v>0</v>
      </c>
      <c r="Q1404" s="3" t="s">
        <v>26</v>
      </c>
      <c r="R1404" s="3">
        <v>0</v>
      </c>
      <c r="S1404" s="4">
        <v>0</v>
      </c>
      <c r="T1404" s="4">
        <v>31</v>
      </c>
      <c r="U1404" s="4">
        <v>50</v>
      </c>
      <c r="V1404" s="4">
        <f>IF(ISERROR(VLOOKUP($S$1404,'TAR FIN'!$A$1:$O$99,15,0)),0,VLOOKUP($S$1404,'TAR FIN'!$A$1:$O$99,15,0))</f>
        <v>0</v>
      </c>
      <c r="W1404" s="4">
        <f>IF(ISERROR(VLOOKUP($T$1404,'TAR FIN'!$A$1:$O$99,15,0)),0,VLOOKUP($T$1404,'TAR FIN'!$A$1:$O$99,15,0))</f>
        <v>1010.32</v>
      </c>
      <c r="X1404" s="4">
        <f>IF(ISERROR(VLOOKUP($U$1404,'TAR FIN'!$A$1:$O$99,15,0)),0,VLOOKUP($U$1404,'TAR FIN'!$A$1:$O$99,15,0))</f>
        <v>346.61</v>
      </c>
      <c r="Y1404" s="4"/>
      <c r="Z1404" s="4">
        <f ca="1">('TUSD BE'!$AM$28+'TUSD BF'!$AM$28+'TUSD CVA'!$AM$28)*1</f>
        <v>1178.1887517861644</v>
      </c>
      <c r="AA1404" s="4">
        <f>('TE BE'!$AA$10+'TE BF'!$AA$10+'TE CVA'!$AA$10)*1</f>
        <v>423.89652505413846</v>
      </c>
      <c r="AB1404" s="4">
        <f>$K$1404*$V$1404</f>
        <v>0</v>
      </c>
      <c r="AC1404" s="4">
        <f>$M$1404*$W$1404</f>
        <v>-313.19920000000002</v>
      </c>
      <c r="AD1404" s="4">
        <f>$O$1404*$X$1404</f>
        <v>-107.4491</v>
      </c>
      <c r="AE1404" s="4">
        <f>$K$1404*$Y$1404</f>
        <v>0</v>
      </c>
      <c r="AF1404" s="4">
        <f ca="1">$M$1404*$Z$1404</f>
        <v>-365.23851305371096</v>
      </c>
      <c r="AG1404" s="4">
        <f>$O$1404*$AA$1404</f>
        <v>-131.40792276678292</v>
      </c>
    </row>
    <row r="1405" spans="1:33" ht="11.25" customHeight="1" x14ac:dyDescent="0.25">
      <c r="A1405" s="3" t="s">
        <v>28</v>
      </c>
      <c r="B1405" s="3" t="s">
        <v>22</v>
      </c>
      <c r="C1405" s="3" t="s">
        <v>37</v>
      </c>
      <c r="D1405" s="3" t="s">
        <v>24</v>
      </c>
      <c r="E1405" s="3" t="s">
        <v>24</v>
      </c>
      <c r="F1405" s="3" t="s">
        <v>25</v>
      </c>
      <c r="G1405" s="3" t="s">
        <v>25</v>
      </c>
      <c r="H1405" s="3" t="s">
        <v>35</v>
      </c>
      <c r="I1405" s="6">
        <v>44501</v>
      </c>
      <c r="J1405" s="4">
        <v>0</v>
      </c>
      <c r="K1405" s="4">
        <v>0</v>
      </c>
      <c r="L1405" s="4">
        <v>6.0000000000000001E-3</v>
      </c>
      <c r="M1405" s="4">
        <v>6.0000000000000001E-3</v>
      </c>
      <c r="N1405" s="4">
        <v>6.0000000000000001E-3</v>
      </c>
      <c r="O1405" s="4">
        <v>6.0000000000000001E-3</v>
      </c>
      <c r="P1405" s="4">
        <v>0</v>
      </c>
      <c r="Q1405" s="3" t="s">
        <v>26</v>
      </c>
      <c r="R1405" s="3">
        <v>0</v>
      </c>
      <c r="S1405" s="4">
        <v>0</v>
      </c>
      <c r="T1405" s="4">
        <v>31</v>
      </c>
      <c r="U1405" s="4">
        <v>50</v>
      </c>
      <c r="V1405" s="4">
        <f>IF(ISERROR(VLOOKUP($S$1405,'TAR FIN'!$A$1:$O$99,15,0)),0,VLOOKUP($S$1405,'TAR FIN'!$A$1:$O$99,15,0))</f>
        <v>0</v>
      </c>
      <c r="W1405" s="4">
        <f>IF(ISERROR(VLOOKUP($T$1405,'TAR FIN'!$A$1:$O$99,15,0)),0,VLOOKUP($T$1405,'TAR FIN'!$A$1:$O$99,15,0))</f>
        <v>1010.32</v>
      </c>
      <c r="X1405" s="4">
        <f>IF(ISERROR(VLOOKUP($U$1405,'TAR FIN'!$A$1:$O$99,15,0)),0,VLOOKUP($U$1405,'TAR FIN'!$A$1:$O$99,15,0))</f>
        <v>346.61</v>
      </c>
      <c r="Y1405" s="4"/>
      <c r="Z1405" s="4">
        <f ca="1">('TUSD BE'!$AM$28+'TUSD BF'!$AM$28+'TUSD CVA'!$AM$28)*1</f>
        <v>1178.1887517861644</v>
      </c>
      <c r="AA1405" s="4">
        <f>('TE BE'!$AA$10+'TE BF'!$AA$10+'TE CVA'!$AA$10)*1</f>
        <v>423.89652505413846</v>
      </c>
      <c r="AB1405" s="4">
        <f>$K$1405*$V$1405</f>
        <v>0</v>
      </c>
      <c r="AC1405" s="4">
        <f>$M$1405*$W$1405</f>
        <v>6.0619200000000006</v>
      </c>
      <c r="AD1405" s="4">
        <f>$O$1405*$X$1405</f>
        <v>2.0796600000000001</v>
      </c>
      <c r="AE1405" s="4">
        <f>$K$1405*$Y$1405</f>
        <v>0</v>
      </c>
      <c r="AF1405" s="4">
        <f ca="1">$M$1405*$Z$1405</f>
        <v>7.0691325107169867</v>
      </c>
      <c r="AG1405" s="4">
        <f>$O$1405*$AA$1405</f>
        <v>2.5433791503248306</v>
      </c>
    </row>
    <row r="1406" spans="1:33" ht="11.25" customHeight="1" x14ac:dyDescent="0.25">
      <c r="A1406" s="3" t="s">
        <v>21</v>
      </c>
      <c r="B1406" s="3" t="s">
        <v>22</v>
      </c>
      <c r="C1406" s="3" t="s">
        <v>37</v>
      </c>
      <c r="D1406" s="3" t="s">
        <v>24</v>
      </c>
      <c r="E1406" s="3" t="s">
        <v>24</v>
      </c>
      <c r="F1406" s="3" t="s">
        <v>25</v>
      </c>
      <c r="G1406" s="3" t="s">
        <v>25</v>
      </c>
      <c r="H1406" s="3" t="s">
        <v>35</v>
      </c>
      <c r="I1406" s="6">
        <v>44531</v>
      </c>
      <c r="J1406" s="4">
        <v>0</v>
      </c>
      <c r="K1406" s="4">
        <v>0</v>
      </c>
      <c r="L1406" s="4">
        <v>4.3099999999999996</v>
      </c>
      <c r="M1406" s="4">
        <v>4.3099999999999996</v>
      </c>
      <c r="N1406" s="4">
        <v>4.3099999999999996</v>
      </c>
      <c r="O1406" s="4">
        <v>4.3099999999999996</v>
      </c>
      <c r="P1406" s="4">
        <v>0</v>
      </c>
      <c r="Q1406" s="3" t="s">
        <v>26</v>
      </c>
      <c r="R1406" s="3">
        <v>0</v>
      </c>
      <c r="S1406" s="4">
        <v>0</v>
      </c>
      <c r="T1406" s="4">
        <v>31</v>
      </c>
      <c r="U1406" s="4">
        <v>50</v>
      </c>
      <c r="V1406" s="4">
        <f>IF(ISERROR(VLOOKUP($S$1406,'TAR FIN'!$A$1:$O$99,15,0)),0,VLOOKUP($S$1406,'TAR FIN'!$A$1:$O$99,15,0))</f>
        <v>0</v>
      </c>
      <c r="W1406" s="4">
        <f>IF(ISERROR(VLOOKUP($T$1406,'TAR FIN'!$A$1:$O$99,15,0)),0,VLOOKUP($T$1406,'TAR FIN'!$A$1:$O$99,15,0))</f>
        <v>1010.32</v>
      </c>
      <c r="X1406" s="4">
        <f>IF(ISERROR(VLOOKUP($U$1406,'TAR FIN'!$A$1:$O$99,15,0)),0,VLOOKUP($U$1406,'TAR FIN'!$A$1:$O$99,15,0))</f>
        <v>346.61</v>
      </c>
      <c r="Y1406" s="4"/>
      <c r="Z1406" s="4">
        <f ca="1">('TUSD BE'!$AM$28+'TUSD BF'!$AM$28+'TUSD CVA'!$AM$28)*1</f>
        <v>1178.1887517861644</v>
      </c>
      <c r="AA1406" s="4">
        <f>('TE BE'!$AA$10+'TE BF'!$AA$10+'TE CVA'!$AA$10)*1</f>
        <v>423.89652505413846</v>
      </c>
      <c r="AB1406" s="4">
        <f>$K$1406*$V$1406</f>
        <v>0</v>
      </c>
      <c r="AC1406" s="4">
        <f>$M$1406*$W$1406</f>
        <v>4354.4791999999998</v>
      </c>
      <c r="AD1406" s="4">
        <f>$O$1406*$X$1406</f>
        <v>1493.8890999999999</v>
      </c>
      <c r="AE1406" s="4">
        <f>$K$1406*$Y$1406</f>
        <v>0</v>
      </c>
      <c r="AF1406" s="4">
        <f ca="1">$M$1406*$Z$1406</f>
        <v>5077.9935201983681</v>
      </c>
      <c r="AG1406" s="4">
        <f>$O$1406*$AA$1406</f>
        <v>1826.9940229833367</v>
      </c>
    </row>
    <row r="1407" spans="1:33" ht="11.25" customHeight="1" x14ac:dyDescent="0.25">
      <c r="A1407" s="3" t="s">
        <v>27</v>
      </c>
      <c r="B1407" s="3" t="s">
        <v>22</v>
      </c>
      <c r="C1407" s="3" t="s">
        <v>37</v>
      </c>
      <c r="D1407" s="3" t="s">
        <v>24</v>
      </c>
      <c r="E1407" s="3" t="s">
        <v>24</v>
      </c>
      <c r="F1407" s="3" t="s">
        <v>25</v>
      </c>
      <c r="G1407" s="3" t="s">
        <v>25</v>
      </c>
      <c r="H1407" s="3" t="s">
        <v>35</v>
      </c>
      <c r="I1407" s="6">
        <v>44531</v>
      </c>
      <c r="J1407" s="4">
        <v>0</v>
      </c>
      <c r="K1407" s="4">
        <v>0</v>
      </c>
      <c r="L1407" s="4">
        <v>-8.0000000000000002E-3</v>
      </c>
      <c r="M1407" s="4">
        <v>-8.0000000000000002E-3</v>
      </c>
      <c r="N1407" s="4">
        <v>-8.0000000000000002E-3</v>
      </c>
      <c r="O1407" s="4">
        <v>-8.0000000000000002E-3</v>
      </c>
      <c r="P1407" s="4">
        <v>0</v>
      </c>
      <c r="Q1407" s="3" t="s">
        <v>26</v>
      </c>
      <c r="R1407" s="3">
        <v>0</v>
      </c>
      <c r="S1407" s="4">
        <v>0</v>
      </c>
      <c r="T1407" s="4">
        <v>31</v>
      </c>
      <c r="U1407" s="4">
        <v>50</v>
      </c>
      <c r="V1407" s="4">
        <f>IF(ISERROR(VLOOKUP($S$1407,'TAR FIN'!$A$1:$O$99,15,0)),0,VLOOKUP($S$1407,'TAR FIN'!$A$1:$O$99,15,0))</f>
        <v>0</v>
      </c>
      <c r="W1407" s="4">
        <f>IF(ISERROR(VLOOKUP($T$1407,'TAR FIN'!$A$1:$O$99,15,0)),0,VLOOKUP($T$1407,'TAR FIN'!$A$1:$O$99,15,0))</f>
        <v>1010.32</v>
      </c>
      <c r="X1407" s="4">
        <f>IF(ISERROR(VLOOKUP($U$1407,'TAR FIN'!$A$1:$O$99,15,0)),0,VLOOKUP($U$1407,'TAR FIN'!$A$1:$O$99,15,0))</f>
        <v>346.61</v>
      </c>
      <c r="Y1407" s="4"/>
      <c r="Z1407" s="4">
        <f ca="1">('TUSD BE'!$AM$28+'TUSD BF'!$AM$28+'TUSD CVA'!$AM$28)*1</f>
        <v>1178.1887517861644</v>
      </c>
      <c r="AA1407" s="4">
        <f>('TE BE'!$AA$10+'TE BF'!$AA$10+'TE CVA'!$AA$10)*1</f>
        <v>423.89652505413846</v>
      </c>
      <c r="AB1407" s="4">
        <f>$K$1407*$V$1407</f>
        <v>0</v>
      </c>
      <c r="AC1407" s="4">
        <f>$M$1407*$W$1407</f>
        <v>-8.0825600000000009</v>
      </c>
      <c r="AD1407" s="4">
        <f>$O$1407*$X$1407</f>
        <v>-2.7728800000000002</v>
      </c>
      <c r="AE1407" s="4">
        <f>$K$1407*$Y$1407</f>
        <v>0</v>
      </c>
      <c r="AF1407" s="4">
        <f ca="1">$M$1407*$Z$1407</f>
        <v>-9.4255100142893156</v>
      </c>
      <c r="AG1407" s="4">
        <f>$O$1407*$AA$1407</f>
        <v>-3.391172200433108</v>
      </c>
    </row>
    <row r="1408" spans="1:33" ht="11.25" customHeight="1" x14ac:dyDescent="0.25">
      <c r="A1408" s="3" t="s">
        <v>28</v>
      </c>
      <c r="B1408" s="3" t="s">
        <v>22</v>
      </c>
      <c r="C1408" s="3" t="s">
        <v>37</v>
      </c>
      <c r="D1408" s="3" t="s">
        <v>24</v>
      </c>
      <c r="E1408" s="3" t="s">
        <v>24</v>
      </c>
      <c r="F1408" s="3" t="s">
        <v>25</v>
      </c>
      <c r="G1408" s="3" t="s">
        <v>25</v>
      </c>
      <c r="H1408" s="3" t="s">
        <v>35</v>
      </c>
      <c r="I1408" s="6">
        <v>44531</v>
      </c>
      <c r="J1408" s="4">
        <v>0</v>
      </c>
      <c r="K1408" s="4">
        <v>0</v>
      </c>
      <c r="L1408" s="4">
        <v>8.0000000000000002E-3</v>
      </c>
      <c r="M1408" s="4">
        <v>8.0000000000000002E-3</v>
      </c>
      <c r="N1408" s="4">
        <v>8.0000000000000002E-3</v>
      </c>
      <c r="O1408" s="4">
        <v>8.0000000000000002E-3</v>
      </c>
      <c r="P1408" s="4">
        <v>0</v>
      </c>
      <c r="Q1408" s="3" t="s">
        <v>26</v>
      </c>
      <c r="R1408" s="3">
        <v>0</v>
      </c>
      <c r="S1408" s="4">
        <v>0</v>
      </c>
      <c r="T1408" s="4">
        <v>31</v>
      </c>
      <c r="U1408" s="4">
        <v>50</v>
      </c>
      <c r="V1408" s="4">
        <f>IF(ISERROR(VLOOKUP($S$1408,'TAR FIN'!$A$1:$O$99,15,0)),0,VLOOKUP($S$1408,'TAR FIN'!$A$1:$O$99,15,0))</f>
        <v>0</v>
      </c>
      <c r="W1408" s="4">
        <f>IF(ISERROR(VLOOKUP($T$1408,'TAR FIN'!$A$1:$O$99,15,0)),0,VLOOKUP($T$1408,'TAR FIN'!$A$1:$O$99,15,0))</f>
        <v>1010.32</v>
      </c>
      <c r="X1408" s="4">
        <f>IF(ISERROR(VLOOKUP($U$1408,'TAR FIN'!$A$1:$O$99,15,0)),0,VLOOKUP($U$1408,'TAR FIN'!$A$1:$O$99,15,0))</f>
        <v>346.61</v>
      </c>
      <c r="Y1408" s="4"/>
      <c r="Z1408" s="4">
        <f ca="1">('TUSD BE'!$AM$28+'TUSD BF'!$AM$28+'TUSD CVA'!$AM$28)*1</f>
        <v>1178.1887517861644</v>
      </c>
      <c r="AA1408" s="4">
        <f>('TE BE'!$AA$10+'TE BF'!$AA$10+'TE CVA'!$AA$10)*1</f>
        <v>423.89652505413846</v>
      </c>
      <c r="AB1408" s="4">
        <f>$K$1408*$V$1408</f>
        <v>0</v>
      </c>
      <c r="AC1408" s="4">
        <f>$M$1408*$W$1408</f>
        <v>8.0825600000000009</v>
      </c>
      <c r="AD1408" s="4">
        <f>$O$1408*$X$1408</f>
        <v>2.7728800000000002</v>
      </c>
      <c r="AE1408" s="4">
        <f>$K$1408*$Y$1408</f>
        <v>0</v>
      </c>
      <c r="AF1408" s="4">
        <f ca="1">$M$1408*$Z$1408</f>
        <v>9.4255100142893156</v>
      </c>
      <c r="AG1408" s="4">
        <f>$O$1408*$AA$1408</f>
        <v>3.391172200433108</v>
      </c>
    </row>
    <row r="1409" spans="1:33" ht="11.25" customHeight="1" x14ac:dyDescent="0.25">
      <c r="A1409" s="3" t="s">
        <v>21</v>
      </c>
      <c r="B1409" s="3" t="s">
        <v>22</v>
      </c>
      <c r="C1409" s="3" t="s">
        <v>37</v>
      </c>
      <c r="D1409" s="3" t="s">
        <v>24</v>
      </c>
      <c r="E1409" s="3" t="s">
        <v>24</v>
      </c>
      <c r="F1409" s="3" t="s">
        <v>25</v>
      </c>
      <c r="G1409" s="3" t="s">
        <v>25</v>
      </c>
      <c r="H1409" s="3" t="s">
        <v>35</v>
      </c>
      <c r="I1409" s="6">
        <v>44562</v>
      </c>
      <c r="J1409" s="4">
        <v>0</v>
      </c>
      <c r="K1409" s="4">
        <v>0</v>
      </c>
      <c r="L1409" s="4">
        <v>4.2809999999999997</v>
      </c>
      <c r="M1409" s="4">
        <v>4.2809999999999997</v>
      </c>
      <c r="N1409" s="4">
        <v>4.2809999999999997</v>
      </c>
      <c r="O1409" s="4">
        <v>4.2809999999999997</v>
      </c>
      <c r="P1409" s="4">
        <v>0</v>
      </c>
      <c r="Q1409" s="3" t="s">
        <v>26</v>
      </c>
      <c r="R1409" s="3">
        <v>0</v>
      </c>
      <c r="S1409" s="4">
        <v>0</v>
      </c>
      <c r="T1409" s="4">
        <v>31</v>
      </c>
      <c r="U1409" s="4">
        <v>50</v>
      </c>
      <c r="V1409" s="4">
        <f>IF(ISERROR(VLOOKUP($S$1409,'TAR FIN'!$A$1:$O$99,15,0)),0,VLOOKUP($S$1409,'TAR FIN'!$A$1:$O$99,15,0))</f>
        <v>0</v>
      </c>
      <c r="W1409" s="4">
        <f>IF(ISERROR(VLOOKUP($T$1409,'TAR FIN'!$A$1:$O$99,15,0)),0,VLOOKUP($T$1409,'TAR FIN'!$A$1:$O$99,15,0))</f>
        <v>1010.32</v>
      </c>
      <c r="X1409" s="4">
        <f>IF(ISERROR(VLOOKUP($U$1409,'TAR FIN'!$A$1:$O$99,15,0)),0,VLOOKUP($U$1409,'TAR FIN'!$A$1:$O$99,15,0))</f>
        <v>346.61</v>
      </c>
      <c r="Y1409" s="4"/>
      <c r="Z1409" s="4">
        <f ca="1">('TUSD BE'!$AM$28+'TUSD BF'!$AM$28+'TUSD CVA'!$AM$28)*1</f>
        <v>1178.1887517861644</v>
      </c>
      <c r="AA1409" s="4">
        <f>('TE BE'!$AA$10+'TE BF'!$AA$10+'TE CVA'!$AA$10)*1</f>
        <v>423.89652505413846</v>
      </c>
      <c r="AB1409" s="4">
        <f>$K$1409*$V$1409</f>
        <v>0</v>
      </c>
      <c r="AC1409" s="4">
        <f>$M$1409*$W$1409</f>
        <v>4325.1799199999996</v>
      </c>
      <c r="AD1409" s="4">
        <f>$O$1409*$X$1409</f>
        <v>1483.8374099999999</v>
      </c>
      <c r="AE1409" s="4">
        <f>$K$1409*$Y$1409</f>
        <v>0</v>
      </c>
      <c r="AF1409" s="4">
        <f ca="1">$M$1409*$Z$1409</f>
        <v>5043.8260463965698</v>
      </c>
      <c r="AG1409" s="4">
        <f>$O$1409*$AA$1409</f>
        <v>1814.7010237567667</v>
      </c>
    </row>
    <row r="1410" spans="1:33" ht="11.25" customHeight="1" x14ac:dyDescent="0.25">
      <c r="A1410" s="3" t="s">
        <v>28</v>
      </c>
      <c r="B1410" s="3" t="s">
        <v>22</v>
      </c>
      <c r="C1410" s="3" t="s">
        <v>37</v>
      </c>
      <c r="D1410" s="3" t="s">
        <v>24</v>
      </c>
      <c r="E1410" s="3" t="s">
        <v>24</v>
      </c>
      <c r="F1410" s="3" t="s">
        <v>25</v>
      </c>
      <c r="G1410" s="3" t="s">
        <v>25</v>
      </c>
      <c r="H1410" s="3" t="s">
        <v>35</v>
      </c>
      <c r="I1410" s="6">
        <v>44562</v>
      </c>
      <c r="J1410" s="4">
        <v>0</v>
      </c>
      <c r="K1410" s="4">
        <v>0</v>
      </c>
      <c r="L1410" s="4">
        <v>0.01</v>
      </c>
      <c r="M1410" s="4">
        <v>0.01</v>
      </c>
      <c r="N1410" s="4">
        <v>0.01</v>
      </c>
      <c r="O1410" s="4">
        <v>0.01</v>
      </c>
      <c r="P1410" s="4">
        <v>0</v>
      </c>
      <c r="Q1410" s="3" t="s">
        <v>26</v>
      </c>
      <c r="R1410" s="3">
        <v>0</v>
      </c>
      <c r="S1410" s="4">
        <v>0</v>
      </c>
      <c r="T1410" s="4">
        <v>31</v>
      </c>
      <c r="U1410" s="4">
        <v>50</v>
      </c>
      <c r="V1410" s="4">
        <f>IF(ISERROR(VLOOKUP($S$1410,'TAR FIN'!$A$1:$O$99,15,0)),0,VLOOKUP($S$1410,'TAR FIN'!$A$1:$O$99,15,0))</f>
        <v>0</v>
      </c>
      <c r="W1410" s="4">
        <f>IF(ISERROR(VLOOKUP($T$1410,'TAR FIN'!$A$1:$O$99,15,0)),0,VLOOKUP($T$1410,'TAR FIN'!$A$1:$O$99,15,0))</f>
        <v>1010.32</v>
      </c>
      <c r="X1410" s="4">
        <f>IF(ISERROR(VLOOKUP($U$1410,'TAR FIN'!$A$1:$O$99,15,0)),0,VLOOKUP($U$1410,'TAR FIN'!$A$1:$O$99,15,0))</f>
        <v>346.61</v>
      </c>
      <c r="Y1410" s="4"/>
      <c r="Z1410" s="4">
        <f ca="1">('TUSD BE'!$AM$28+'TUSD BF'!$AM$28+'TUSD CVA'!$AM$28)*1</f>
        <v>1178.1887517861644</v>
      </c>
      <c r="AA1410" s="4">
        <f>('TE BE'!$AA$10+'TE BF'!$AA$10+'TE CVA'!$AA$10)*1</f>
        <v>423.89652505413846</v>
      </c>
      <c r="AB1410" s="4">
        <f>$K$1410*$V$1410</f>
        <v>0</v>
      </c>
      <c r="AC1410" s="4">
        <f>$M$1410*$W$1410</f>
        <v>10.103200000000001</v>
      </c>
      <c r="AD1410" s="4">
        <f>$O$1410*$X$1410</f>
        <v>3.4661000000000004</v>
      </c>
      <c r="AE1410" s="4">
        <f>$K$1410*$Y$1410</f>
        <v>0</v>
      </c>
      <c r="AF1410" s="4">
        <f ca="1">$M$1410*$Z$1410</f>
        <v>11.781887517861644</v>
      </c>
      <c r="AG1410" s="4">
        <f>$O$1410*$AA$1410</f>
        <v>4.2389652505413844</v>
      </c>
    </row>
    <row r="1411" spans="1:33" ht="11.25" customHeight="1" x14ac:dyDescent="0.25">
      <c r="A1411" s="3" t="s">
        <v>21</v>
      </c>
      <c r="B1411" s="3" t="s">
        <v>22</v>
      </c>
      <c r="C1411" s="3" t="s">
        <v>37</v>
      </c>
      <c r="D1411" s="3" t="s">
        <v>24</v>
      </c>
      <c r="E1411" s="3" t="s">
        <v>24</v>
      </c>
      <c r="F1411" s="3" t="s">
        <v>25</v>
      </c>
      <c r="G1411" s="3" t="s">
        <v>25</v>
      </c>
      <c r="H1411" s="3" t="s">
        <v>35</v>
      </c>
      <c r="I1411" s="6">
        <v>44593</v>
      </c>
      <c r="J1411" s="4">
        <v>0</v>
      </c>
      <c r="K1411" s="4">
        <v>0</v>
      </c>
      <c r="L1411" s="4">
        <v>3.915</v>
      </c>
      <c r="M1411" s="4">
        <v>3.915</v>
      </c>
      <c r="N1411" s="4">
        <v>3.915</v>
      </c>
      <c r="O1411" s="4">
        <v>3.915</v>
      </c>
      <c r="P1411" s="4">
        <v>0</v>
      </c>
      <c r="Q1411" s="3" t="s">
        <v>26</v>
      </c>
      <c r="R1411" s="3">
        <v>0</v>
      </c>
      <c r="S1411" s="4">
        <v>0</v>
      </c>
      <c r="T1411" s="4">
        <v>31</v>
      </c>
      <c r="U1411" s="4">
        <v>50</v>
      </c>
      <c r="V1411" s="4">
        <f>IF(ISERROR(VLOOKUP($S$1411,'TAR FIN'!$A$1:$O$99,15,0)),0,VLOOKUP($S$1411,'TAR FIN'!$A$1:$O$99,15,0))</f>
        <v>0</v>
      </c>
      <c r="W1411" s="4">
        <f>IF(ISERROR(VLOOKUP($T$1411,'TAR FIN'!$A$1:$O$99,15,0)),0,VLOOKUP($T$1411,'TAR FIN'!$A$1:$O$99,15,0))</f>
        <v>1010.32</v>
      </c>
      <c r="X1411" s="4">
        <f>IF(ISERROR(VLOOKUP($U$1411,'TAR FIN'!$A$1:$O$99,15,0)),0,VLOOKUP($U$1411,'TAR FIN'!$A$1:$O$99,15,0))</f>
        <v>346.61</v>
      </c>
      <c r="Y1411" s="4"/>
      <c r="Z1411" s="4">
        <f ca="1">('TUSD BE'!$AM$28+'TUSD BF'!$AM$28+'TUSD CVA'!$AM$28)*1</f>
        <v>1178.1887517861644</v>
      </c>
      <c r="AA1411" s="4">
        <f>('TE BE'!$AA$10+'TE BF'!$AA$10+'TE CVA'!$AA$10)*1</f>
        <v>423.89652505413846</v>
      </c>
      <c r="AB1411" s="4">
        <f>$K$1411*$V$1411</f>
        <v>0</v>
      </c>
      <c r="AC1411" s="4">
        <f>$M$1411*$W$1411</f>
        <v>3955.4028000000003</v>
      </c>
      <c r="AD1411" s="4">
        <f>$O$1411*$X$1411</f>
        <v>1356.9781500000001</v>
      </c>
      <c r="AE1411" s="4">
        <f>$K$1411*$Y$1411</f>
        <v>0</v>
      </c>
      <c r="AF1411" s="4">
        <f ca="1">$M$1411*$Z$1411</f>
        <v>4612.6089632428339</v>
      </c>
      <c r="AG1411" s="4">
        <f>$O$1411*$AA$1411</f>
        <v>1659.5548955869522</v>
      </c>
    </row>
    <row r="1412" spans="1:33" ht="11.25" customHeight="1" x14ac:dyDescent="0.25">
      <c r="A1412" s="3" t="s">
        <v>28</v>
      </c>
      <c r="B1412" s="3" t="s">
        <v>22</v>
      </c>
      <c r="C1412" s="3" t="s">
        <v>37</v>
      </c>
      <c r="D1412" s="3" t="s">
        <v>24</v>
      </c>
      <c r="E1412" s="3" t="s">
        <v>24</v>
      </c>
      <c r="F1412" s="3" t="s">
        <v>25</v>
      </c>
      <c r="G1412" s="3" t="s">
        <v>25</v>
      </c>
      <c r="H1412" s="3" t="s">
        <v>35</v>
      </c>
      <c r="I1412" s="6">
        <v>44593</v>
      </c>
      <c r="J1412" s="4">
        <v>0</v>
      </c>
      <c r="K1412" s="4">
        <v>0</v>
      </c>
      <c r="L1412" s="4">
        <v>8.0000000000000002E-3</v>
      </c>
      <c r="M1412" s="4">
        <v>8.0000000000000002E-3</v>
      </c>
      <c r="N1412" s="4">
        <v>8.0000000000000002E-3</v>
      </c>
      <c r="O1412" s="4">
        <v>8.0000000000000002E-3</v>
      </c>
      <c r="P1412" s="4">
        <v>0</v>
      </c>
      <c r="Q1412" s="3" t="s">
        <v>26</v>
      </c>
      <c r="R1412" s="3">
        <v>0</v>
      </c>
      <c r="S1412" s="4">
        <v>0</v>
      </c>
      <c r="T1412" s="4">
        <v>31</v>
      </c>
      <c r="U1412" s="4">
        <v>50</v>
      </c>
      <c r="V1412" s="4">
        <f>IF(ISERROR(VLOOKUP($S$1412,'TAR FIN'!$A$1:$O$99,15,0)),0,VLOOKUP($S$1412,'TAR FIN'!$A$1:$O$99,15,0))</f>
        <v>0</v>
      </c>
      <c r="W1412" s="4">
        <f>IF(ISERROR(VLOOKUP($T$1412,'TAR FIN'!$A$1:$O$99,15,0)),0,VLOOKUP($T$1412,'TAR FIN'!$A$1:$O$99,15,0))</f>
        <v>1010.32</v>
      </c>
      <c r="X1412" s="4">
        <f>IF(ISERROR(VLOOKUP($U$1412,'TAR FIN'!$A$1:$O$99,15,0)),0,VLOOKUP($U$1412,'TAR FIN'!$A$1:$O$99,15,0))</f>
        <v>346.61</v>
      </c>
      <c r="Y1412" s="4"/>
      <c r="Z1412" s="4">
        <f ca="1">('TUSD BE'!$AM$28+'TUSD BF'!$AM$28+'TUSD CVA'!$AM$28)*1</f>
        <v>1178.1887517861644</v>
      </c>
      <c r="AA1412" s="4">
        <f>('TE BE'!$AA$10+'TE BF'!$AA$10+'TE CVA'!$AA$10)*1</f>
        <v>423.89652505413846</v>
      </c>
      <c r="AB1412" s="4">
        <f>$K$1412*$V$1412</f>
        <v>0</v>
      </c>
      <c r="AC1412" s="4">
        <f>$M$1412*$W$1412</f>
        <v>8.0825600000000009</v>
      </c>
      <c r="AD1412" s="4">
        <f>$O$1412*$X$1412</f>
        <v>2.7728800000000002</v>
      </c>
      <c r="AE1412" s="4">
        <f>$K$1412*$Y$1412</f>
        <v>0</v>
      </c>
      <c r="AF1412" s="4">
        <f ca="1">$M$1412*$Z$1412</f>
        <v>9.4255100142893156</v>
      </c>
      <c r="AG1412" s="4">
        <f>$O$1412*$AA$1412</f>
        <v>3.391172200433108</v>
      </c>
    </row>
    <row r="1413" spans="1:33" ht="11.25" customHeight="1" x14ac:dyDescent="0.25">
      <c r="A1413" s="3" t="s">
        <v>21</v>
      </c>
      <c r="B1413" s="3" t="s">
        <v>22</v>
      </c>
      <c r="C1413" s="3" t="s">
        <v>37</v>
      </c>
      <c r="D1413" s="3" t="s">
        <v>24</v>
      </c>
      <c r="E1413" s="3" t="s">
        <v>24</v>
      </c>
      <c r="F1413" s="3" t="s">
        <v>25</v>
      </c>
      <c r="G1413" s="3" t="s">
        <v>25</v>
      </c>
      <c r="H1413" s="3" t="s">
        <v>35</v>
      </c>
      <c r="I1413" s="6">
        <v>44621</v>
      </c>
      <c r="J1413" s="4">
        <v>0</v>
      </c>
      <c r="K1413" s="4">
        <v>0</v>
      </c>
      <c r="L1413" s="4">
        <v>4.3780000000000001</v>
      </c>
      <c r="M1413" s="4">
        <v>4.3780000000000001</v>
      </c>
      <c r="N1413" s="4">
        <v>4.3780000000000001</v>
      </c>
      <c r="O1413" s="4">
        <v>4.3780000000000001</v>
      </c>
      <c r="P1413" s="4">
        <v>0</v>
      </c>
      <c r="Q1413" s="3" t="s">
        <v>26</v>
      </c>
      <c r="R1413" s="3">
        <v>0</v>
      </c>
      <c r="S1413" s="4">
        <v>0</v>
      </c>
      <c r="T1413" s="4">
        <v>31</v>
      </c>
      <c r="U1413" s="4">
        <v>50</v>
      </c>
      <c r="V1413" s="4">
        <f>IF(ISERROR(VLOOKUP($S$1413,'TAR FIN'!$A$1:$O$99,15,0)),0,VLOOKUP($S$1413,'TAR FIN'!$A$1:$O$99,15,0))</f>
        <v>0</v>
      </c>
      <c r="W1413" s="4">
        <f>IF(ISERROR(VLOOKUP($T$1413,'TAR FIN'!$A$1:$O$99,15,0)),0,VLOOKUP($T$1413,'TAR FIN'!$A$1:$O$99,15,0))</f>
        <v>1010.32</v>
      </c>
      <c r="X1413" s="4">
        <f>IF(ISERROR(VLOOKUP($U$1413,'TAR FIN'!$A$1:$O$99,15,0)),0,VLOOKUP($U$1413,'TAR FIN'!$A$1:$O$99,15,0))</f>
        <v>346.61</v>
      </c>
      <c r="Y1413" s="4"/>
      <c r="Z1413" s="4">
        <f ca="1">('TUSD BE'!$AM$28+'TUSD BF'!$AM$28+'TUSD CVA'!$AM$28)*1</f>
        <v>1178.1887517861644</v>
      </c>
      <c r="AA1413" s="4">
        <f>('TE BE'!$AA$10+'TE BF'!$AA$10+'TE CVA'!$AA$10)*1</f>
        <v>423.89652505413846</v>
      </c>
      <c r="AB1413" s="4">
        <f>$K$1413*$V$1413</f>
        <v>0</v>
      </c>
      <c r="AC1413" s="4">
        <f>$M$1413*$W$1413</f>
        <v>4423.1809600000006</v>
      </c>
      <c r="AD1413" s="4">
        <f>$O$1413*$X$1413</f>
        <v>1517.4585800000002</v>
      </c>
      <c r="AE1413" s="4">
        <f>$K$1413*$Y$1413</f>
        <v>0</v>
      </c>
      <c r="AF1413" s="4">
        <f ca="1">$M$1413*$Z$1413</f>
        <v>5158.1103553198282</v>
      </c>
      <c r="AG1413" s="4">
        <f>$O$1413*$AA$1413</f>
        <v>1855.8189866870182</v>
      </c>
    </row>
    <row r="1414" spans="1:33" ht="11.25" customHeight="1" x14ac:dyDescent="0.25">
      <c r="A1414" s="3" t="s">
        <v>28</v>
      </c>
      <c r="B1414" s="3" t="s">
        <v>22</v>
      </c>
      <c r="C1414" s="3" t="s">
        <v>37</v>
      </c>
      <c r="D1414" s="3" t="s">
        <v>24</v>
      </c>
      <c r="E1414" s="3" t="s">
        <v>24</v>
      </c>
      <c r="F1414" s="3" t="s">
        <v>25</v>
      </c>
      <c r="G1414" s="3" t="s">
        <v>25</v>
      </c>
      <c r="H1414" s="3" t="s">
        <v>35</v>
      </c>
      <c r="I1414" s="6">
        <v>44621</v>
      </c>
      <c r="J1414" s="4">
        <v>0</v>
      </c>
      <c r="K1414" s="4">
        <v>0</v>
      </c>
      <c r="L1414" s="4">
        <v>8.0000000000000002E-3</v>
      </c>
      <c r="M1414" s="4">
        <v>8.0000000000000002E-3</v>
      </c>
      <c r="N1414" s="4">
        <v>8.0000000000000002E-3</v>
      </c>
      <c r="O1414" s="4">
        <v>8.0000000000000002E-3</v>
      </c>
      <c r="P1414" s="4">
        <v>0</v>
      </c>
      <c r="Q1414" s="3" t="s">
        <v>26</v>
      </c>
      <c r="R1414" s="3">
        <v>0</v>
      </c>
      <c r="S1414" s="4">
        <v>0</v>
      </c>
      <c r="T1414" s="4">
        <v>31</v>
      </c>
      <c r="U1414" s="4">
        <v>50</v>
      </c>
      <c r="V1414" s="4">
        <f>IF(ISERROR(VLOOKUP($S$1414,'TAR FIN'!$A$1:$O$99,15,0)),0,VLOOKUP($S$1414,'TAR FIN'!$A$1:$O$99,15,0))</f>
        <v>0</v>
      </c>
      <c r="W1414" s="4">
        <f>IF(ISERROR(VLOOKUP($T$1414,'TAR FIN'!$A$1:$O$99,15,0)),0,VLOOKUP($T$1414,'TAR FIN'!$A$1:$O$99,15,0))</f>
        <v>1010.32</v>
      </c>
      <c r="X1414" s="4">
        <f>IF(ISERROR(VLOOKUP($U$1414,'TAR FIN'!$A$1:$O$99,15,0)),0,VLOOKUP($U$1414,'TAR FIN'!$A$1:$O$99,15,0))</f>
        <v>346.61</v>
      </c>
      <c r="Y1414" s="4"/>
      <c r="Z1414" s="4">
        <f ca="1">('TUSD BE'!$AM$28+'TUSD BF'!$AM$28+'TUSD CVA'!$AM$28)*1</f>
        <v>1178.1887517861644</v>
      </c>
      <c r="AA1414" s="4">
        <f>('TE BE'!$AA$10+'TE BF'!$AA$10+'TE CVA'!$AA$10)*1</f>
        <v>423.89652505413846</v>
      </c>
      <c r="AB1414" s="4">
        <f>$K$1414*$V$1414</f>
        <v>0</v>
      </c>
      <c r="AC1414" s="4">
        <f>$M$1414*$W$1414</f>
        <v>8.0825600000000009</v>
      </c>
      <c r="AD1414" s="4">
        <f>$O$1414*$X$1414</f>
        <v>2.7728800000000002</v>
      </c>
      <c r="AE1414" s="4">
        <f>$K$1414*$Y$1414</f>
        <v>0</v>
      </c>
      <c r="AF1414" s="4">
        <f ca="1">$M$1414*$Z$1414</f>
        <v>9.4255100142893156</v>
      </c>
      <c r="AG1414" s="4">
        <f>$O$1414*$AA$1414</f>
        <v>3.391172200433108</v>
      </c>
    </row>
    <row r="1415" spans="1:33" ht="11.25" customHeight="1" x14ac:dyDescent="0.25">
      <c r="A1415" s="3" t="s">
        <v>56</v>
      </c>
      <c r="B1415" s="3" t="s">
        <v>22</v>
      </c>
      <c r="C1415" s="3" t="s">
        <v>37</v>
      </c>
      <c r="D1415" s="3" t="s">
        <v>24</v>
      </c>
      <c r="E1415" s="3" t="s">
        <v>24</v>
      </c>
      <c r="F1415" s="3" t="s">
        <v>25</v>
      </c>
      <c r="G1415" s="3" t="s">
        <v>25</v>
      </c>
      <c r="H1415" s="3" t="s">
        <v>35</v>
      </c>
      <c r="I1415" s="6">
        <v>44652</v>
      </c>
      <c r="J1415" s="4">
        <v>0</v>
      </c>
      <c r="K1415" s="4">
        <v>0</v>
      </c>
      <c r="L1415" s="4">
        <v>4.3780000000000001</v>
      </c>
      <c r="M1415" s="4">
        <v>4.3780000000000001</v>
      </c>
      <c r="N1415" s="4">
        <v>4.3780000000000001</v>
      </c>
      <c r="O1415" s="4">
        <v>4.3780000000000001</v>
      </c>
      <c r="P1415" s="4">
        <v>0</v>
      </c>
      <c r="Q1415" s="3" t="s">
        <v>26</v>
      </c>
      <c r="R1415" s="3">
        <v>0</v>
      </c>
      <c r="S1415" s="4">
        <v>0</v>
      </c>
      <c r="T1415" s="4">
        <v>31</v>
      </c>
      <c r="U1415" s="4">
        <v>50</v>
      </c>
      <c r="V1415" s="4">
        <f>IF(ISERROR(VLOOKUP($S$1415,'TAR FIN'!$A$1:$O$99,15,0)),0,VLOOKUP($S$1415,'TAR FIN'!$A$1:$O$99,15,0))</f>
        <v>0</v>
      </c>
      <c r="W1415" s="4">
        <f>IF(ISERROR(VLOOKUP($T$1415,'TAR FIN'!$A$1:$O$99,15,0)),0,VLOOKUP($T$1415,'TAR FIN'!$A$1:$O$99,15,0))</f>
        <v>1010.32</v>
      </c>
      <c r="X1415" s="4">
        <f>IF(ISERROR(VLOOKUP($U$1415,'TAR FIN'!$A$1:$O$99,15,0)),0,VLOOKUP($U$1415,'TAR FIN'!$A$1:$O$99,15,0))</f>
        <v>346.61</v>
      </c>
      <c r="Y1415" s="4"/>
      <c r="Z1415" s="4">
        <f ca="1">('TUSD BE'!$AM$28+'TUSD BF'!$AM$28+'TUSD CVA'!$AM$28)*1</f>
        <v>1178.1887517861644</v>
      </c>
      <c r="AA1415" s="4">
        <f>('TE BE'!$AA$10+'TE BF'!$AA$10+'TE CVA'!$AA$10)*1</f>
        <v>423.89652505413846</v>
      </c>
      <c r="AB1415" s="4">
        <f>$K$1415*$V$1415</f>
        <v>0</v>
      </c>
      <c r="AC1415" s="4">
        <f>$M$1415*$W$1415</f>
        <v>4423.1809600000006</v>
      </c>
      <c r="AD1415" s="4">
        <f>$O$1415*$X$1415</f>
        <v>1517.4585800000002</v>
      </c>
      <c r="AE1415" s="4">
        <f>$K$1415*$Y$1415</f>
        <v>0</v>
      </c>
      <c r="AF1415" s="4">
        <f ca="1">$M$1415*$Z$1415</f>
        <v>5158.1103553198282</v>
      </c>
      <c r="AG1415" s="4">
        <f>$O$1415*$AA$1415</f>
        <v>1855.8189866870182</v>
      </c>
    </row>
    <row r="1416" spans="1:33" ht="11.25" customHeight="1" x14ac:dyDescent="0.25">
      <c r="A1416" s="3" t="s">
        <v>56</v>
      </c>
      <c r="B1416" s="3" t="s">
        <v>22</v>
      </c>
      <c r="C1416" s="3" t="s">
        <v>37</v>
      </c>
      <c r="D1416" s="3" t="s">
        <v>24</v>
      </c>
      <c r="E1416" s="3" t="s">
        <v>24</v>
      </c>
      <c r="F1416" s="3" t="s">
        <v>25</v>
      </c>
      <c r="G1416" s="3" t="s">
        <v>25</v>
      </c>
      <c r="H1416" s="3" t="s">
        <v>35</v>
      </c>
      <c r="I1416" s="6">
        <v>44652</v>
      </c>
      <c r="J1416" s="4">
        <v>0</v>
      </c>
      <c r="K1416" s="4">
        <v>0</v>
      </c>
      <c r="L1416" s="4">
        <v>8.0000000000000002E-3</v>
      </c>
      <c r="M1416" s="4">
        <v>8.0000000000000002E-3</v>
      </c>
      <c r="N1416" s="4">
        <v>8.0000000000000002E-3</v>
      </c>
      <c r="O1416" s="4">
        <v>8.0000000000000002E-3</v>
      </c>
      <c r="P1416" s="4">
        <v>0</v>
      </c>
      <c r="Q1416" s="3" t="s">
        <v>26</v>
      </c>
      <c r="R1416" s="3">
        <v>0</v>
      </c>
      <c r="S1416" s="4">
        <v>0</v>
      </c>
      <c r="T1416" s="4">
        <v>31</v>
      </c>
      <c r="U1416" s="4">
        <v>50</v>
      </c>
      <c r="V1416" s="4">
        <f>IF(ISERROR(VLOOKUP($S$1416,'TAR FIN'!$A$1:$O$99,15,0)),0,VLOOKUP($S$1416,'TAR FIN'!$A$1:$O$99,15,0))</f>
        <v>0</v>
      </c>
      <c r="W1416" s="4">
        <f>IF(ISERROR(VLOOKUP($T$1416,'TAR FIN'!$A$1:$O$99,15,0)),0,VLOOKUP($T$1416,'TAR FIN'!$A$1:$O$99,15,0))</f>
        <v>1010.32</v>
      </c>
      <c r="X1416" s="4">
        <f>IF(ISERROR(VLOOKUP($U$1416,'TAR FIN'!$A$1:$O$99,15,0)),0,VLOOKUP($U$1416,'TAR FIN'!$A$1:$O$99,15,0))</f>
        <v>346.61</v>
      </c>
      <c r="Y1416" s="4"/>
      <c r="Z1416" s="4">
        <f ca="1">('TUSD BE'!$AM$28+'TUSD BF'!$AM$28+'TUSD CVA'!$AM$28)*1</f>
        <v>1178.1887517861644</v>
      </c>
      <c r="AA1416" s="4">
        <f>('TE BE'!$AA$10+'TE BF'!$AA$10+'TE CVA'!$AA$10)*1</f>
        <v>423.89652505413846</v>
      </c>
      <c r="AB1416" s="4">
        <f>$K$1416*$V$1416</f>
        <v>0</v>
      </c>
      <c r="AC1416" s="4">
        <f>$M$1416*$W$1416</f>
        <v>8.0825600000000009</v>
      </c>
      <c r="AD1416" s="4">
        <f>$O$1416*$X$1416</f>
        <v>2.7728800000000002</v>
      </c>
      <c r="AE1416" s="4">
        <f>$K$1416*$Y$1416</f>
        <v>0</v>
      </c>
      <c r="AF1416" s="4">
        <f ca="1">$M$1416*$Z$1416</f>
        <v>9.4255100142893156</v>
      </c>
      <c r="AG1416" s="4">
        <f>$O$1416*$AA$1416</f>
        <v>3.391172200433108</v>
      </c>
    </row>
    <row r="1417" spans="1:33" ht="11.25" customHeight="1" x14ac:dyDescent="0.25">
      <c r="A1417" s="3" t="s">
        <v>21</v>
      </c>
      <c r="B1417" s="3" t="s">
        <v>22</v>
      </c>
      <c r="C1417" s="3" t="s">
        <v>23</v>
      </c>
      <c r="D1417" s="3" t="s">
        <v>24</v>
      </c>
      <c r="E1417" s="3" t="s">
        <v>24</v>
      </c>
      <c r="F1417" s="3" t="s">
        <v>25</v>
      </c>
      <c r="G1417" s="3" t="s">
        <v>25</v>
      </c>
      <c r="H1417" s="3" t="s">
        <v>25</v>
      </c>
      <c r="I1417" s="6">
        <v>44317</v>
      </c>
      <c r="J1417" s="4">
        <v>0</v>
      </c>
      <c r="K1417" s="4">
        <v>0</v>
      </c>
      <c r="L1417" s="4">
        <v>99925.642999999996</v>
      </c>
      <c r="M1417" s="4">
        <v>99925.642999999996</v>
      </c>
      <c r="N1417" s="4">
        <v>99925.642999999996</v>
      </c>
      <c r="O1417" s="4">
        <v>99925.642999999996</v>
      </c>
      <c r="P1417" s="4">
        <v>720359</v>
      </c>
      <c r="Q1417" s="3" t="s">
        <v>26</v>
      </c>
      <c r="R1417" s="3">
        <v>0</v>
      </c>
      <c r="S1417" s="4">
        <v>0</v>
      </c>
      <c r="T1417" s="4">
        <v>13</v>
      </c>
      <c r="U1417" s="4">
        <v>53</v>
      </c>
      <c r="V1417" s="4">
        <f>IF(ISERROR(VLOOKUP($S$1417,'TAR FIN'!$A$1:$O$99,15,0)),0,VLOOKUP($S$1417,'TAR FIN'!$A$1:$O$99,15,0))</f>
        <v>0</v>
      </c>
      <c r="W1417" s="4">
        <f>IF(ISERROR(VLOOKUP($T$1417,'TAR FIN'!$A$1:$O$99,15,0)),0,VLOOKUP($T$1417,'TAR FIN'!$A$1:$O$99,15,0))</f>
        <v>395.58</v>
      </c>
      <c r="X1417" s="4">
        <f>IF(ISERROR(VLOOKUP($U$1417,'TAR FIN'!$A$1:$O$99,15,0)),0,VLOOKUP($U$1417,'TAR FIN'!$A$1:$O$99,15,0))</f>
        <v>230.53</v>
      </c>
      <c r="Y1417" s="4"/>
      <c r="Z1417" s="4">
        <f ca="1">('TUSD BE'!$AM$31+'TUSD BF'!$AM$31+'TUSD CVA'!$AM$31)*1</f>
        <v>466.61942630573992</v>
      </c>
      <c r="AA1417" s="4">
        <f>('TE BE'!$AA$13+'TE BF'!$AA$13+'TE CVA'!$AA$13)*1</f>
        <v>283.86889449376815</v>
      </c>
      <c r="AB1417" s="4">
        <f>$K$1417*$V$1417</f>
        <v>0</v>
      </c>
      <c r="AC1417" s="4">
        <f>$M$1417*$W$1417</f>
        <v>39528585.857939996</v>
      </c>
      <c r="AD1417" s="4">
        <f>$O$1417*$X$1417</f>
        <v>23035858.48079</v>
      </c>
      <c r="AE1417" s="4">
        <f>$K$1417*$Y$1417</f>
        <v>0</v>
      </c>
      <c r="AF1417" s="4">
        <f ca="1">$M$1417*$Z$1417</f>
        <v>46627246.209892176</v>
      </c>
      <c r="AG1417" s="4">
        <f>$O$1417*$AA$1417</f>
        <v>28365781.809988942</v>
      </c>
    </row>
    <row r="1418" spans="1:33" ht="11.25" customHeight="1" x14ac:dyDescent="0.25">
      <c r="A1418" s="3" t="s">
        <v>27</v>
      </c>
      <c r="B1418" s="3" t="s">
        <v>22</v>
      </c>
      <c r="C1418" s="3" t="s">
        <v>23</v>
      </c>
      <c r="D1418" s="3" t="s">
        <v>24</v>
      </c>
      <c r="E1418" s="3" t="s">
        <v>24</v>
      </c>
      <c r="F1418" s="3" t="s">
        <v>25</v>
      </c>
      <c r="G1418" s="3" t="s">
        <v>25</v>
      </c>
      <c r="H1418" s="3" t="s">
        <v>25</v>
      </c>
      <c r="I1418" s="6">
        <v>44317</v>
      </c>
      <c r="J1418" s="4">
        <v>0</v>
      </c>
      <c r="K1418" s="4">
        <v>0</v>
      </c>
      <c r="L1418" s="4">
        <v>-804.37300000000005</v>
      </c>
      <c r="M1418" s="4">
        <v>-804.37300000000005</v>
      </c>
      <c r="N1418" s="4">
        <v>-804.37300000000005</v>
      </c>
      <c r="O1418" s="4">
        <v>-804.37300000000005</v>
      </c>
      <c r="P1418" s="4">
        <v>-6484</v>
      </c>
      <c r="Q1418" s="3" t="s">
        <v>26</v>
      </c>
      <c r="R1418" s="3">
        <v>0</v>
      </c>
      <c r="S1418" s="4">
        <v>0</v>
      </c>
      <c r="T1418" s="4">
        <v>13</v>
      </c>
      <c r="U1418" s="4">
        <v>53</v>
      </c>
      <c r="V1418" s="4">
        <f>IF(ISERROR(VLOOKUP($S$1418,'TAR FIN'!$A$1:$O$99,15,0)),0,VLOOKUP($S$1418,'TAR FIN'!$A$1:$O$99,15,0))</f>
        <v>0</v>
      </c>
      <c r="W1418" s="4">
        <f>IF(ISERROR(VLOOKUP($T$1418,'TAR FIN'!$A$1:$O$99,15,0)),0,VLOOKUP($T$1418,'TAR FIN'!$A$1:$O$99,15,0))</f>
        <v>395.58</v>
      </c>
      <c r="X1418" s="4">
        <f>IF(ISERROR(VLOOKUP($U$1418,'TAR FIN'!$A$1:$O$99,15,0)),0,VLOOKUP($U$1418,'TAR FIN'!$A$1:$O$99,15,0))</f>
        <v>230.53</v>
      </c>
      <c r="Y1418" s="4"/>
      <c r="Z1418" s="4">
        <f ca="1">('TUSD BE'!$AM$31+'TUSD BF'!$AM$31+'TUSD CVA'!$AM$31)*1</f>
        <v>466.61942630573992</v>
      </c>
      <c r="AA1418" s="4">
        <f>('TE BE'!$AA$13+'TE BF'!$AA$13+'TE CVA'!$AA$13)*1</f>
        <v>283.86889449376815</v>
      </c>
      <c r="AB1418" s="4">
        <f>$K$1418*$V$1418</f>
        <v>0</v>
      </c>
      <c r="AC1418" s="4">
        <f>$M$1418*$W$1418</f>
        <v>-318193.87134000001</v>
      </c>
      <c r="AD1418" s="4">
        <f>$O$1418*$X$1418</f>
        <v>-185432.10769</v>
      </c>
      <c r="AE1418" s="4">
        <f>$K$1418*$Y$1418</f>
        <v>0</v>
      </c>
      <c r="AF1418" s="4">
        <f ca="1">$M$1418*$Z$1418</f>
        <v>-375336.06779582694</v>
      </c>
      <c r="AG1418" s="4">
        <f>$O$1418*$AA$1418</f>
        <v>-228336.47427063578</v>
      </c>
    </row>
    <row r="1419" spans="1:33" ht="11.25" customHeight="1" x14ac:dyDescent="0.25">
      <c r="A1419" s="3" t="s">
        <v>28</v>
      </c>
      <c r="B1419" s="3" t="s">
        <v>22</v>
      </c>
      <c r="C1419" s="3" t="s">
        <v>23</v>
      </c>
      <c r="D1419" s="3" t="s">
        <v>24</v>
      </c>
      <c r="E1419" s="3" t="s">
        <v>24</v>
      </c>
      <c r="F1419" s="3" t="s">
        <v>25</v>
      </c>
      <c r="G1419" s="3" t="s">
        <v>25</v>
      </c>
      <c r="H1419" s="3" t="s">
        <v>25</v>
      </c>
      <c r="I1419" s="6">
        <v>44317</v>
      </c>
      <c r="J1419" s="4">
        <v>0</v>
      </c>
      <c r="K1419" s="4">
        <v>0</v>
      </c>
      <c r="L1419" s="4">
        <v>610.88499999999999</v>
      </c>
      <c r="M1419" s="4">
        <v>610.88499999999999</v>
      </c>
      <c r="N1419" s="4">
        <v>610.88499999999999</v>
      </c>
      <c r="O1419" s="4">
        <v>610.88499999999999</v>
      </c>
      <c r="P1419" s="4">
        <v>3758</v>
      </c>
      <c r="Q1419" s="3" t="s">
        <v>26</v>
      </c>
      <c r="R1419" s="3">
        <v>0</v>
      </c>
      <c r="S1419" s="4">
        <v>0</v>
      </c>
      <c r="T1419" s="4">
        <v>13</v>
      </c>
      <c r="U1419" s="4">
        <v>53</v>
      </c>
      <c r="V1419" s="4">
        <f>IF(ISERROR(VLOOKUP($S$1419,'TAR FIN'!$A$1:$O$99,15,0)),0,VLOOKUP($S$1419,'TAR FIN'!$A$1:$O$99,15,0))</f>
        <v>0</v>
      </c>
      <c r="W1419" s="4">
        <f>IF(ISERROR(VLOOKUP($T$1419,'TAR FIN'!$A$1:$O$99,15,0)),0,VLOOKUP($T$1419,'TAR FIN'!$A$1:$O$99,15,0))</f>
        <v>395.58</v>
      </c>
      <c r="X1419" s="4">
        <f>IF(ISERROR(VLOOKUP($U$1419,'TAR FIN'!$A$1:$O$99,15,0)),0,VLOOKUP($U$1419,'TAR FIN'!$A$1:$O$99,15,0))</f>
        <v>230.53</v>
      </c>
      <c r="Y1419" s="4"/>
      <c r="Z1419" s="4">
        <f ca="1">('TUSD BE'!$AM$31+'TUSD BF'!$AM$31+'TUSD CVA'!$AM$31)*1</f>
        <v>466.61942630573992</v>
      </c>
      <c r="AA1419" s="4">
        <f>('TE BE'!$AA$13+'TE BF'!$AA$13+'TE CVA'!$AA$13)*1</f>
        <v>283.86889449376815</v>
      </c>
      <c r="AB1419" s="4">
        <f>$K$1419*$V$1419</f>
        <v>0</v>
      </c>
      <c r="AC1419" s="4">
        <f>$M$1419*$W$1419</f>
        <v>241653.88829999999</v>
      </c>
      <c r="AD1419" s="4">
        <f>$O$1419*$X$1419</f>
        <v>140827.31904999999</v>
      </c>
      <c r="AE1419" s="4">
        <f>$K$1419*$Y$1419</f>
        <v>0</v>
      </c>
      <c r="AF1419" s="4">
        <f ca="1">$M$1419*$Z$1419</f>
        <v>285050.80823878193</v>
      </c>
      <c r="AG1419" s="4">
        <f>$O$1419*$AA$1419</f>
        <v>173411.24961282554</v>
      </c>
    </row>
    <row r="1420" spans="1:33" ht="11.25" customHeight="1" x14ac:dyDescent="0.25">
      <c r="A1420" s="3" t="s">
        <v>28</v>
      </c>
      <c r="B1420" s="3" t="s">
        <v>22</v>
      </c>
      <c r="C1420" s="3" t="s">
        <v>23</v>
      </c>
      <c r="D1420" s="3" t="s">
        <v>24</v>
      </c>
      <c r="E1420" s="3" t="s">
        <v>24</v>
      </c>
      <c r="F1420" s="3" t="s">
        <v>25</v>
      </c>
      <c r="G1420" s="3" t="s">
        <v>25</v>
      </c>
      <c r="H1420" s="3" t="s">
        <v>25</v>
      </c>
      <c r="I1420" s="6">
        <v>44317</v>
      </c>
      <c r="J1420" s="4">
        <v>0</v>
      </c>
      <c r="K1420" s="4">
        <v>0</v>
      </c>
      <c r="L1420" s="4">
        <v>5.5380000000000003</v>
      </c>
      <c r="M1420" s="4">
        <v>5.5380000000000003</v>
      </c>
      <c r="N1420" s="4">
        <v>5.5380000000000003</v>
      </c>
      <c r="O1420" s="4">
        <v>5.5380000000000003</v>
      </c>
      <c r="P1420" s="4">
        <v>14</v>
      </c>
      <c r="Q1420" s="3" t="s">
        <v>26</v>
      </c>
      <c r="R1420" s="3">
        <v>0</v>
      </c>
      <c r="S1420" s="4">
        <v>0</v>
      </c>
      <c r="T1420" s="4">
        <v>13</v>
      </c>
      <c r="U1420" s="4">
        <v>53</v>
      </c>
      <c r="V1420" s="4">
        <f>IF(ISERROR(VLOOKUP($S$1420,'TAR FIN'!$A$1:$O$99,15,0)),0,VLOOKUP($S$1420,'TAR FIN'!$A$1:$O$99,15,0))</f>
        <v>0</v>
      </c>
      <c r="W1420" s="4">
        <f>IF(ISERROR(VLOOKUP($T$1420,'TAR FIN'!$A$1:$O$99,15,0)),0,VLOOKUP($T$1420,'TAR FIN'!$A$1:$O$99,15,0))</f>
        <v>395.58</v>
      </c>
      <c r="X1420" s="4">
        <f>IF(ISERROR(VLOOKUP($U$1420,'TAR FIN'!$A$1:$O$99,15,0)),0,VLOOKUP($U$1420,'TAR FIN'!$A$1:$O$99,15,0))</f>
        <v>230.53</v>
      </c>
      <c r="Y1420" s="4"/>
      <c r="Z1420" s="4">
        <f ca="1">('TUSD BE'!$AM$31+'TUSD BF'!$AM$31+'TUSD CVA'!$AM$31)*1</f>
        <v>466.61942630573992</v>
      </c>
      <c r="AA1420" s="4">
        <f>('TE BE'!$AA$13+'TE BF'!$AA$13+'TE CVA'!$AA$13)*1</f>
        <v>283.86889449376815</v>
      </c>
      <c r="AB1420" s="4">
        <f>$K$1420*$V$1420</f>
        <v>0</v>
      </c>
      <c r="AC1420" s="4">
        <f>$M$1420*$W$1420</f>
        <v>2190.7220400000001</v>
      </c>
      <c r="AD1420" s="4">
        <f>$O$1420*$X$1420</f>
        <v>1276.6751400000001</v>
      </c>
      <c r="AE1420" s="4">
        <f>$K$1420*$Y$1420</f>
        <v>0</v>
      </c>
      <c r="AF1420" s="4">
        <f ca="1">$M$1420*$Z$1420</f>
        <v>2584.1383828811877</v>
      </c>
      <c r="AG1420" s="4">
        <f>$O$1420*$AA$1420</f>
        <v>1572.0659377064881</v>
      </c>
    </row>
    <row r="1421" spans="1:33" ht="11.25" customHeight="1" x14ac:dyDescent="0.25">
      <c r="A1421" s="3" t="s">
        <v>21</v>
      </c>
      <c r="B1421" s="3" t="s">
        <v>22</v>
      </c>
      <c r="C1421" s="3" t="s">
        <v>23</v>
      </c>
      <c r="D1421" s="3" t="s">
        <v>24</v>
      </c>
      <c r="E1421" s="3" t="s">
        <v>24</v>
      </c>
      <c r="F1421" s="3" t="s">
        <v>25</v>
      </c>
      <c r="G1421" s="3" t="s">
        <v>25</v>
      </c>
      <c r="H1421" s="3" t="s">
        <v>25</v>
      </c>
      <c r="I1421" s="6">
        <v>44348</v>
      </c>
      <c r="J1421" s="4">
        <v>0</v>
      </c>
      <c r="K1421" s="4">
        <v>0</v>
      </c>
      <c r="L1421" s="4">
        <v>93674.627999999997</v>
      </c>
      <c r="M1421" s="4">
        <v>93674.627999999997</v>
      </c>
      <c r="N1421" s="4">
        <v>93674.627999999997</v>
      </c>
      <c r="O1421" s="4">
        <v>93674.627999999997</v>
      </c>
      <c r="P1421" s="4">
        <v>714113</v>
      </c>
      <c r="Q1421" s="3" t="s">
        <v>26</v>
      </c>
      <c r="R1421" s="3">
        <v>0</v>
      </c>
      <c r="S1421" s="4">
        <v>0</v>
      </c>
      <c r="T1421" s="4">
        <v>13</v>
      </c>
      <c r="U1421" s="4">
        <v>53</v>
      </c>
      <c r="V1421" s="4">
        <f>IF(ISERROR(VLOOKUP($S$1421,'TAR FIN'!$A$1:$O$99,15,0)),0,VLOOKUP($S$1421,'TAR FIN'!$A$1:$O$99,15,0))</f>
        <v>0</v>
      </c>
      <c r="W1421" s="4">
        <f>IF(ISERROR(VLOOKUP($T$1421,'TAR FIN'!$A$1:$O$99,15,0)),0,VLOOKUP($T$1421,'TAR FIN'!$A$1:$O$99,15,0))</f>
        <v>395.58</v>
      </c>
      <c r="X1421" s="4">
        <f>IF(ISERROR(VLOOKUP($U$1421,'TAR FIN'!$A$1:$O$99,15,0)),0,VLOOKUP($U$1421,'TAR FIN'!$A$1:$O$99,15,0))</f>
        <v>230.53</v>
      </c>
      <c r="Y1421" s="4"/>
      <c r="Z1421" s="4">
        <f ca="1">('TUSD BE'!$AM$31+'TUSD BF'!$AM$31+'TUSD CVA'!$AM$31)*1</f>
        <v>466.61942630573992</v>
      </c>
      <c r="AA1421" s="4">
        <f>('TE BE'!$AA$13+'TE BF'!$AA$13+'TE CVA'!$AA$13)*1</f>
        <v>283.86889449376815</v>
      </c>
      <c r="AB1421" s="4">
        <f>$K$1421*$V$1421</f>
        <v>0</v>
      </c>
      <c r="AC1421" s="4">
        <f>$M$1421*$W$1421</f>
        <v>37055809.344239995</v>
      </c>
      <c r="AD1421" s="4">
        <f>$O$1421*$X$1421</f>
        <v>21594811.992839999</v>
      </c>
      <c r="AE1421" s="4">
        <f>$K$1421*$Y$1421</f>
        <v>0</v>
      </c>
      <c r="AF1421" s="4">
        <f ca="1">$M$1421*$Z$1421</f>
        <v>43710401.176763602</v>
      </c>
      <c r="AG1421" s="4">
        <f>$O$1421*$AA$1421</f>
        <v>26591313.092474978</v>
      </c>
    </row>
    <row r="1422" spans="1:33" ht="11.25" customHeight="1" x14ac:dyDescent="0.25">
      <c r="A1422" s="3" t="s">
        <v>27</v>
      </c>
      <c r="B1422" s="3" t="s">
        <v>22</v>
      </c>
      <c r="C1422" s="3" t="s">
        <v>23</v>
      </c>
      <c r="D1422" s="3" t="s">
        <v>24</v>
      </c>
      <c r="E1422" s="3" t="s">
        <v>24</v>
      </c>
      <c r="F1422" s="3" t="s">
        <v>25</v>
      </c>
      <c r="G1422" s="3" t="s">
        <v>25</v>
      </c>
      <c r="H1422" s="3" t="s">
        <v>25</v>
      </c>
      <c r="I1422" s="6">
        <v>44348</v>
      </c>
      <c r="J1422" s="4">
        <v>0</v>
      </c>
      <c r="K1422" s="4">
        <v>0</v>
      </c>
      <c r="L1422" s="4">
        <v>-830.81299999999999</v>
      </c>
      <c r="M1422" s="4">
        <v>-830.81299999999999</v>
      </c>
      <c r="N1422" s="4">
        <v>-830.81299999999999</v>
      </c>
      <c r="O1422" s="4">
        <v>-830.81299999999999</v>
      </c>
      <c r="P1422" s="4">
        <v>-12795</v>
      </c>
      <c r="Q1422" s="3" t="s">
        <v>26</v>
      </c>
      <c r="R1422" s="3">
        <v>0</v>
      </c>
      <c r="S1422" s="4">
        <v>0</v>
      </c>
      <c r="T1422" s="4">
        <v>13</v>
      </c>
      <c r="U1422" s="4">
        <v>53</v>
      </c>
      <c r="V1422" s="4">
        <f>IF(ISERROR(VLOOKUP($S$1422,'TAR FIN'!$A$1:$O$99,15,0)),0,VLOOKUP($S$1422,'TAR FIN'!$A$1:$O$99,15,0))</f>
        <v>0</v>
      </c>
      <c r="W1422" s="4">
        <f>IF(ISERROR(VLOOKUP($T$1422,'TAR FIN'!$A$1:$O$99,15,0)),0,VLOOKUP($T$1422,'TAR FIN'!$A$1:$O$99,15,0))</f>
        <v>395.58</v>
      </c>
      <c r="X1422" s="4">
        <f>IF(ISERROR(VLOOKUP($U$1422,'TAR FIN'!$A$1:$O$99,15,0)),0,VLOOKUP($U$1422,'TAR FIN'!$A$1:$O$99,15,0))</f>
        <v>230.53</v>
      </c>
      <c r="Y1422" s="4"/>
      <c r="Z1422" s="4">
        <f ca="1">('TUSD BE'!$AM$31+'TUSD BF'!$AM$31+'TUSD CVA'!$AM$31)*1</f>
        <v>466.61942630573992</v>
      </c>
      <c r="AA1422" s="4">
        <f>('TE BE'!$AA$13+'TE BF'!$AA$13+'TE CVA'!$AA$13)*1</f>
        <v>283.86889449376815</v>
      </c>
      <c r="AB1422" s="4">
        <f>$K$1422*$V$1422</f>
        <v>0</v>
      </c>
      <c r="AC1422" s="4">
        <f>$M$1422*$W$1422</f>
        <v>-328653.00653999997</v>
      </c>
      <c r="AD1422" s="4">
        <f>$O$1422*$X$1422</f>
        <v>-191527.32089</v>
      </c>
      <c r="AE1422" s="4">
        <f>$K$1422*$Y$1422</f>
        <v>0</v>
      </c>
      <c r="AF1422" s="4">
        <f ca="1">$M$1422*$Z$1422</f>
        <v>-387673.48542735068</v>
      </c>
      <c r="AG1422" s="4">
        <f>$O$1422*$AA$1422</f>
        <v>-235841.967841051</v>
      </c>
    </row>
    <row r="1423" spans="1:33" ht="11.25" customHeight="1" x14ac:dyDescent="0.25">
      <c r="A1423" s="3" t="s">
        <v>28</v>
      </c>
      <c r="B1423" s="3" t="s">
        <v>22</v>
      </c>
      <c r="C1423" s="3" t="s">
        <v>23</v>
      </c>
      <c r="D1423" s="3" t="s">
        <v>24</v>
      </c>
      <c r="E1423" s="3" t="s">
        <v>24</v>
      </c>
      <c r="F1423" s="3" t="s">
        <v>25</v>
      </c>
      <c r="G1423" s="3" t="s">
        <v>25</v>
      </c>
      <c r="H1423" s="3" t="s">
        <v>25</v>
      </c>
      <c r="I1423" s="6">
        <v>44348</v>
      </c>
      <c r="J1423" s="4">
        <v>0</v>
      </c>
      <c r="K1423" s="4">
        <v>0</v>
      </c>
      <c r="L1423" s="4">
        <v>693.68600000000004</v>
      </c>
      <c r="M1423" s="4">
        <v>693.68600000000004</v>
      </c>
      <c r="N1423" s="4">
        <v>693.68600000000004</v>
      </c>
      <c r="O1423" s="4">
        <v>693.68600000000004</v>
      </c>
      <c r="P1423" s="4">
        <v>4151</v>
      </c>
      <c r="Q1423" s="3" t="s">
        <v>26</v>
      </c>
      <c r="R1423" s="3">
        <v>0</v>
      </c>
      <c r="S1423" s="4">
        <v>0</v>
      </c>
      <c r="T1423" s="4">
        <v>13</v>
      </c>
      <c r="U1423" s="4">
        <v>53</v>
      </c>
      <c r="V1423" s="4">
        <f>IF(ISERROR(VLOOKUP($S$1423,'TAR FIN'!$A$1:$O$99,15,0)),0,VLOOKUP($S$1423,'TAR FIN'!$A$1:$O$99,15,0))</f>
        <v>0</v>
      </c>
      <c r="W1423" s="4">
        <f>IF(ISERROR(VLOOKUP($T$1423,'TAR FIN'!$A$1:$O$99,15,0)),0,VLOOKUP($T$1423,'TAR FIN'!$A$1:$O$99,15,0))</f>
        <v>395.58</v>
      </c>
      <c r="X1423" s="4">
        <f>IF(ISERROR(VLOOKUP($U$1423,'TAR FIN'!$A$1:$O$99,15,0)),0,VLOOKUP($U$1423,'TAR FIN'!$A$1:$O$99,15,0))</f>
        <v>230.53</v>
      </c>
      <c r="Y1423" s="4"/>
      <c r="Z1423" s="4">
        <f ca="1">('TUSD BE'!$AM$31+'TUSD BF'!$AM$31+'TUSD CVA'!$AM$31)*1</f>
        <v>466.61942630573992</v>
      </c>
      <c r="AA1423" s="4">
        <f>('TE BE'!$AA$13+'TE BF'!$AA$13+'TE CVA'!$AA$13)*1</f>
        <v>283.86889449376815</v>
      </c>
      <c r="AB1423" s="4">
        <f>$K$1423*$V$1423</f>
        <v>0</v>
      </c>
      <c r="AC1423" s="4">
        <f>$M$1423*$W$1423</f>
        <v>274408.30787999998</v>
      </c>
      <c r="AD1423" s="4">
        <f>$O$1423*$X$1423</f>
        <v>159915.43358000001</v>
      </c>
      <c r="AE1423" s="4">
        <f>$K$1423*$Y$1423</f>
        <v>0</v>
      </c>
      <c r="AF1423" s="4">
        <f ca="1">$M$1423*$Z$1423</f>
        <v>323687.36335632351</v>
      </c>
      <c r="AG1423" s="4">
        <f>$O$1423*$AA$1423</f>
        <v>196915.87794580407</v>
      </c>
    </row>
    <row r="1424" spans="1:33" ht="11.25" customHeight="1" x14ac:dyDescent="0.25">
      <c r="A1424" s="3" t="s">
        <v>28</v>
      </c>
      <c r="B1424" s="3" t="s">
        <v>22</v>
      </c>
      <c r="C1424" s="3" t="s">
        <v>23</v>
      </c>
      <c r="D1424" s="3" t="s">
        <v>24</v>
      </c>
      <c r="E1424" s="3" t="s">
        <v>24</v>
      </c>
      <c r="F1424" s="3" t="s">
        <v>25</v>
      </c>
      <c r="G1424" s="3" t="s">
        <v>25</v>
      </c>
      <c r="H1424" s="3" t="s">
        <v>25</v>
      </c>
      <c r="I1424" s="6">
        <v>44348</v>
      </c>
      <c r="J1424" s="4">
        <v>0</v>
      </c>
      <c r="K1424" s="4">
        <v>0</v>
      </c>
      <c r="L1424" s="4">
        <v>8.8379999999999992</v>
      </c>
      <c r="M1424" s="4">
        <v>8.8379999999999992</v>
      </c>
      <c r="N1424" s="4">
        <v>8.8379999999999992</v>
      </c>
      <c r="O1424" s="4">
        <v>8.8379999999999992</v>
      </c>
      <c r="P1424" s="4">
        <v>10</v>
      </c>
      <c r="Q1424" s="3" t="s">
        <v>26</v>
      </c>
      <c r="R1424" s="3">
        <v>0</v>
      </c>
      <c r="S1424" s="4">
        <v>0</v>
      </c>
      <c r="T1424" s="4">
        <v>13</v>
      </c>
      <c r="U1424" s="4">
        <v>53</v>
      </c>
      <c r="V1424" s="4">
        <f>IF(ISERROR(VLOOKUP($S$1424,'TAR FIN'!$A$1:$O$99,15,0)),0,VLOOKUP($S$1424,'TAR FIN'!$A$1:$O$99,15,0))</f>
        <v>0</v>
      </c>
      <c r="W1424" s="4">
        <f>IF(ISERROR(VLOOKUP($T$1424,'TAR FIN'!$A$1:$O$99,15,0)),0,VLOOKUP($T$1424,'TAR FIN'!$A$1:$O$99,15,0))</f>
        <v>395.58</v>
      </c>
      <c r="X1424" s="4">
        <f>IF(ISERROR(VLOOKUP($U$1424,'TAR FIN'!$A$1:$O$99,15,0)),0,VLOOKUP($U$1424,'TAR FIN'!$A$1:$O$99,15,0))</f>
        <v>230.53</v>
      </c>
      <c r="Y1424" s="4"/>
      <c r="Z1424" s="4">
        <f ca="1">('TUSD BE'!$AM$31+'TUSD BF'!$AM$31+'TUSD CVA'!$AM$31)*1</f>
        <v>466.61942630573992</v>
      </c>
      <c r="AA1424" s="4">
        <f>('TE BE'!$AA$13+'TE BF'!$AA$13+'TE CVA'!$AA$13)*1</f>
        <v>283.86889449376815</v>
      </c>
      <c r="AB1424" s="4">
        <f>$K$1424*$V$1424</f>
        <v>0</v>
      </c>
      <c r="AC1424" s="4">
        <f>$M$1424*$W$1424</f>
        <v>3496.1360399999994</v>
      </c>
      <c r="AD1424" s="4">
        <f>$O$1424*$X$1424</f>
        <v>2037.4241399999999</v>
      </c>
      <c r="AE1424" s="4">
        <f>$K$1424*$Y$1424</f>
        <v>0</v>
      </c>
      <c r="AF1424" s="4">
        <f ca="1">$M$1424*$Z$1424</f>
        <v>4123.9824896901291</v>
      </c>
      <c r="AG1424" s="4">
        <f>$O$1424*$AA$1424</f>
        <v>2508.8332895359226</v>
      </c>
    </row>
    <row r="1425" spans="1:33" ht="11.25" customHeight="1" x14ac:dyDescent="0.25">
      <c r="A1425" s="3" t="s">
        <v>21</v>
      </c>
      <c r="B1425" s="3" t="s">
        <v>22</v>
      </c>
      <c r="C1425" s="3" t="s">
        <v>23</v>
      </c>
      <c r="D1425" s="3" t="s">
        <v>24</v>
      </c>
      <c r="E1425" s="3" t="s">
        <v>24</v>
      </c>
      <c r="F1425" s="3" t="s">
        <v>25</v>
      </c>
      <c r="G1425" s="3" t="s">
        <v>25</v>
      </c>
      <c r="H1425" s="3" t="s">
        <v>25</v>
      </c>
      <c r="I1425" s="6">
        <v>44378</v>
      </c>
      <c r="J1425" s="4">
        <v>0</v>
      </c>
      <c r="K1425" s="4">
        <v>0</v>
      </c>
      <c r="L1425" s="4">
        <v>87243.097999999998</v>
      </c>
      <c r="M1425" s="4">
        <v>87243.097999999998</v>
      </c>
      <c r="N1425" s="4">
        <v>87243.097999999998</v>
      </c>
      <c r="O1425" s="4">
        <v>87243.097999999998</v>
      </c>
      <c r="P1425" s="4">
        <v>714088</v>
      </c>
      <c r="Q1425" s="3" t="s">
        <v>26</v>
      </c>
      <c r="R1425" s="3">
        <v>0</v>
      </c>
      <c r="S1425" s="4">
        <v>0</v>
      </c>
      <c r="T1425" s="4">
        <v>13</v>
      </c>
      <c r="U1425" s="4">
        <v>53</v>
      </c>
      <c r="V1425" s="4">
        <f>IF(ISERROR(VLOOKUP($S$1425,'TAR FIN'!$A$1:$O$99,15,0)),0,VLOOKUP($S$1425,'TAR FIN'!$A$1:$O$99,15,0))</f>
        <v>0</v>
      </c>
      <c r="W1425" s="4">
        <f>IF(ISERROR(VLOOKUP($T$1425,'TAR FIN'!$A$1:$O$99,15,0)),0,VLOOKUP($T$1425,'TAR FIN'!$A$1:$O$99,15,0))</f>
        <v>395.58</v>
      </c>
      <c r="X1425" s="4">
        <f>IF(ISERROR(VLOOKUP($U$1425,'TAR FIN'!$A$1:$O$99,15,0)),0,VLOOKUP($U$1425,'TAR FIN'!$A$1:$O$99,15,0))</f>
        <v>230.53</v>
      </c>
      <c r="Y1425" s="4"/>
      <c r="Z1425" s="4">
        <f ca="1">('TUSD BE'!$AM$31+'TUSD BF'!$AM$31+'TUSD CVA'!$AM$31)*1</f>
        <v>466.61942630573992</v>
      </c>
      <c r="AA1425" s="4">
        <f>('TE BE'!$AA$13+'TE BF'!$AA$13+'TE CVA'!$AA$13)*1</f>
        <v>283.86889449376815</v>
      </c>
      <c r="AB1425" s="4">
        <f>$K$1425*$V$1425</f>
        <v>0</v>
      </c>
      <c r="AC1425" s="4">
        <f>$M$1425*$W$1425</f>
        <v>34511624.706840001</v>
      </c>
      <c r="AD1425" s="4">
        <f>$O$1425*$X$1425</f>
        <v>20112151.38194</v>
      </c>
      <c r="AE1425" s="4">
        <f>$K$1425*$Y$1425</f>
        <v>0</v>
      </c>
      <c r="AF1425" s="4">
        <f ca="1">$M$1425*$Z$1425</f>
        <v>40709324.337895446</v>
      </c>
      <c r="AG1425" s="4">
        <f>$O$1425*$AA$1425</f>
        <v>24765601.781471476</v>
      </c>
    </row>
    <row r="1426" spans="1:33" ht="11.25" customHeight="1" x14ac:dyDescent="0.25">
      <c r="A1426" s="3" t="s">
        <v>27</v>
      </c>
      <c r="B1426" s="3" t="s">
        <v>22</v>
      </c>
      <c r="C1426" s="3" t="s">
        <v>23</v>
      </c>
      <c r="D1426" s="3" t="s">
        <v>24</v>
      </c>
      <c r="E1426" s="3" t="s">
        <v>24</v>
      </c>
      <c r="F1426" s="3" t="s">
        <v>25</v>
      </c>
      <c r="G1426" s="3" t="s">
        <v>25</v>
      </c>
      <c r="H1426" s="3" t="s">
        <v>25</v>
      </c>
      <c r="I1426" s="6">
        <v>44378</v>
      </c>
      <c r="J1426" s="4">
        <v>0</v>
      </c>
      <c r="K1426" s="4">
        <v>0</v>
      </c>
      <c r="L1426" s="4">
        <v>-697.83299999999997</v>
      </c>
      <c r="M1426" s="4">
        <v>-697.83299999999997</v>
      </c>
      <c r="N1426" s="4">
        <v>-697.83299999999997</v>
      </c>
      <c r="O1426" s="4">
        <v>-697.83299999999997</v>
      </c>
      <c r="P1426" s="4">
        <v>-9418</v>
      </c>
      <c r="Q1426" s="3" t="s">
        <v>26</v>
      </c>
      <c r="R1426" s="3">
        <v>0</v>
      </c>
      <c r="S1426" s="4">
        <v>0</v>
      </c>
      <c r="T1426" s="4">
        <v>13</v>
      </c>
      <c r="U1426" s="4">
        <v>53</v>
      </c>
      <c r="V1426" s="4">
        <f>IF(ISERROR(VLOOKUP($S$1426,'TAR FIN'!$A$1:$O$99,15,0)),0,VLOOKUP($S$1426,'TAR FIN'!$A$1:$O$99,15,0))</f>
        <v>0</v>
      </c>
      <c r="W1426" s="4">
        <f>IF(ISERROR(VLOOKUP($T$1426,'TAR FIN'!$A$1:$O$99,15,0)),0,VLOOKUP($T$1426,'TAR FIN'!$A$1:$O$99,15,0))</f>
        <v>395.58</v>
      </c>
      <c r="X1426" s="4">
        <f>IF(ISERROR(VLOOKUP($U$1426,'TAR FIN'!$A$1:$O$99,15,0)),0,VLOOKUP($U$1426,'TAR FIN'!$A$1:$O$99,15,0))</f>
        <v>230.53</v>
      </c>
      <c r="Y1426" s="4"/>
      <c r="Z1426" s="4">
        <f ca="1">('TUSD BE'!$AM$31+'TUSD BF'!$AM$31+'TUSD CVA'!$AM$31)*1</f>
        <v>466.61942630573992</v>
      </c>
      <c r="AA1426" s="4">
        <f>('TE BE'!$AA$13+'TE BF'!$AA$13+'TE CVA'!$AA$13)*1</f>
        <v>283.86889449376815</v>
      </c>
      <c r="AB1426" s="4">
        <f>$K$1426*$V$1426</f>
        <v>0</v>
      </c>
      <c r="AC1426" s="4">
        <f>$M$1426*$W$1426</f>
        <v>-276048.77813999995</v>
      </c>
      <c r="AD1426" s="4">
        <f>$O$1426*$X$1426</f>
        <v>-160871.44149</v>
      </c>
      <c r="AE1426" s="4">
        <f>$K$1426*$Y$1426</f>
        <v>0</v>
      </c>
      <c r="AF1426" s="4">
        <f ca="1">$M$1426*$Z$1426</f>
        <v>-325622.43411721342</v>
      </c>
      <c r="AG1426" s="4">
        <f>$O$1426*$AA$1426</f>
        <v>-198093.08225126969</v>
      </c>
    </row>
    <row r="1427" spans="1:33" ht="11.25" customHeight="1" x14ac:dyDescent="0.25">
      <c r="A1427" s="3" t="s">
        <v>28</v>
      </c>
      <c r="B1427" s="3" t="s">
        <v>22</v>
      </c>
      <c r="C1427" s="3" t="s">
        <v>23</v>
      </c>
      <c r="D1427" s="3" t="s">
        <v>24</v>
      </c>
      <c r="E1427" s="3" t="s">
        <v>24</v>
      </c>
      <c r="F1427" s="3" t="s">
        <v>25</v>
      </c>
      <c r="G1427" s="3" t="s">
        <v>25</v>
      </c>
      <c r="H1427" s="3" t="s">
        <v>25</v>
      </c>
      <c r="I1427" s="6">
        <v>44378</v>
      </c>
      <c r="J1427" s="4">
        <v>0</v>
      </c>
      <c r="K1427" s="4">
        <v>0</v>
      </c>
      <c r="L1427" s="4">
        <v>686.67399999999998</v>
      </c>
      <c r="M1427" s="4">
        <v>686.67399999999998</v>
      </c>
      <c r="N1427" s="4">
        <v>686.67399999999998</v>
      </c>
      <c r="O1427" s="4">
        <v>686.67399999999998</v>
      </c>
      <c r="P1427" s="4">
        <v>4499</v>
      </c>
      <c r="Q1427" s="3" t="s">
        <v>26</v>
      </c>
      <c r="R1427" s="3">
        <v>0</v>
      </c>
      <c r="S1427" s="4">
        <v>0</v>
      </c>
      <c r="T1427" s="4">
        <v>13</v>
      </c>
      <c r="U1427" s="4">
        <v>53</v>
      </c>
      <c r="V1427" s="4">
        <f>IF(ISERROR(VLOOKUP($S$1427,'TAR FIN'!$A$1:$O$99,15,0)),0,VLOOKUP($S$1427,'TAR FIN'!$A$1:$O$99,15,0))</f>
        <v>0</v>
      </c>
      <c r="W1427" s="4">
        <f>IF(ISERROR(VLOOKUP($T$1427,'TAR FIN'!$A$1:$O$99,15,0)),0,VLOOKUP($T$1427,'TAR FIN'!$A$1:$O$99,15,0))</f>
        <v>395.58</v>
      </c>
      <c r="X1427" s="4">
        <f>IF(ISERROR(VLOOKUP($U$1427,'TAR FIN'!$A$1:$O$99,15,0)),0,VLOOKUP($U$1427,'TAR FIN'!$A$1:$O$99,15,0))</f>
        <v>230.53</v>
      </c>
      <c r="Y1427" s="4"/>
      <c r="Z1427" s="4">
        <f ca="1">('TUSD BE'!$AM$31+'TUSD BF'!$AM$31+'TUSD CVA'!$AM$31)*1</f>
        <v>466.61942630573992</v>
      </c>
      <c r="AA1427" s="4">
        <f>('TE BE'!$AA$13+'TE BF'!$AA$13+'TE CVA'!$AA$13)*1</f>
        <v>283.86889449376815</v>
      </c>
      <c r="AB1427" s="4">
        <f>$K$1427*$V$1427</f>
        <v>0</v>
      </c>
      <c r="AC1427" s="4">
        <f>$M$1427*$W$1427</f>
        <v>271634.50091999996</v>
      </c>
      <c r="AD1427" s="4">
        <f>$O$1427*$X$1427</f>
        <v>158298.95721999998</v>
      </c>
      <c r="AE1427" s="4">
        <f>$K$1427*$Y$1427</f>
        <v>0</v>
      </c>
      <c r="AF1427" s="4">
        <f ca="1">$M$1427*$Z$1427</f>
        <v>320415.42793906765</v>
      </c>
      <c r="AG1427" s="4">
        <f>$O$1427*$AA$1427</f>
        <v>194925.38925761374</v>
      </c>
    </row>
    <row r="1428" spans="1:33" ht="11.25" customHeight="1" x14ac:dyDescent="0.25">
      <c r="A1428" s="3" t="s">
        <v>28</v>
      </c>
      <c r="B1428" s="3" t="s">
        <v>22</v>
      </c>
      <c r="C1428" s="3" t="s">
        <v>23</v>
      </c>
      <c r="D1428" s="3" t="s">
        <v>24</v>
      </c>
      <c r="E1428" s="3" t="s">
        <v>24</v>
      </c>
      <c r="F1428" s="3" t="s">
        <v>25</v>
      </c>
      <c r="G1428" s="3" t="s">
        <v>25</v>
      </c>
      <c r="H1428" s="3" t="s">
        <v>25</v>
      </c>
      <c r="I1428" s="6">
        <v>44378</v>
      </c>
      <c r="J1428" s="4">
        <v>0</v>
      </c>
      <c r="K1428" s="4">
        <v>0</v>
      </c>
      <c r="L1428" s="4">
        <v>4.2999999999999997E-2</v>
      </c>
      <c r="M1428" s="4">
        <v>4.2999999999999997E-2</v>
      </c>
      <c r="N1428" s="4">
        <v>4.2999999999999997E-2</v>
      </c>
      <c r="O1428" s="4">
        <v>4.2999999999999997E-2</v>
      </c>
      <c r="P1428" s="4">
        <v>10</v>
      </c>
      <c r="Q1428" s="3" t="s">
        <v>26</v>
      </c>
      <c r="R1428" s="3">
        <v>0</v>
      </c>
      <c r="S1428" s="4">
        <v>0</v>
      </c>
      <c r="T1428" s="4">
        <v>13</v>
      </c>
      <c r="U1428" s="4">
        <v>53</v>
      </c>
      <c r="V1428" s="4">
        <f>IF(ISERROR(VLOOKUP($S$1428,'TAR FIN'!$A$1:$O$99,15,0)),0,VLOOKUP($S$1428,'TAR FIN'!$A$1:$O$99,15,0))</f>
        <v>0</v>
      </c>
      <c r="W1428" s="4">
        <f>IF(ISERROR(VLOOKUP($T$1428,'TAR FIN'!$A$1:$O$99,15,0)),0,VLOOKUP($T$1428,'TAR FIN'!$A$1:$O$99,15,0))</f>
        <v>395.58</v>
      </c>
      <c r="X1428" s="4">
        <f>IF(ISERROR(VLOOKUP($U$1428,'TAR FIN'!$A$1:$O$99,15,0)),0,VLOOKUP($U$1428,'TAR FIN'!$A$1:$O$99,15,0))</f>
        <v>230.53</v>
      </c>
      <c r="Y1428" s="4"/>
      <c r="Z1428" s="4">
        <f ca="1">('TUSD BE'!$AM$31+'TUSD BF'!$AM$31+'TUSD CVA'!$AM$31)*1</f>
        <v>466.61942630573992</v>
      </c>
      <c r="AA1428" s="4">
        <f>('TE BE'!$AA$13+'TE BF'!$AA$13+'TE CVA'!$AA$13)*1</f>
        <v>283.86889449376815</v>
      </c>
      <c r="AB1428" s="4">
        <f>$K$1428*$V$1428</f>
        <v>0</v>
      </c>
      <c r="AC1428" s="4">
        <f>$M$1428*$W$1428</f>
        <v>17.009939999999997</v>
      </c>
      <c r="AD1428" s="4">
        <f>$O$1428*$X$1428</f>
        <v>9.9127899999999993</v>
      </c>
      <c r="AE1428" s="4">
        <f>$K$1428*$Y$1428</f>
        <v>0</v>
      </c>
      <c r="AF1428" s="4">
        <f ca="1">$M$1428*$Z$1428</f>
        <v>20.064635331146814</v>
      </c>
      <c r="AG1428" s="4">
        <f>$O$1428*$AA$1428</f>
        <v>12.206362463232029</v>
      </c>
    </row>
    <row r="1429" spans="1:33" ht="11.25" customHeight="1" x14ac:dyDescent="0.25">
      <c r="A1429" s="3" t="s">
        <v>21</v>
      </c>
      <c r="B1429" s="3" t="s">
        <v>22</v>
      </c>
      <c r="C1429" s="3" t="s">
        <v>23</v>
      </c>
      <c r="D1429" s="3" t="s">
        <v>24</v>
      </c>
      <c r="E1429" s="3" t="s">
        <v>24</v>
      </c>
      <c r="F1429" s="3" t="s">
        <v>25</v>
      </c>
      <c r="G1429" s="3" t="s">
        <v>25</v>
      </c>
      <c r="H1429" s="3" t="s">
        <v>25</v>
      </c>
      <c r="I1429" s="6">
        <v>44409</v>
      </c>
      <c r="J1429" s="4">
        <v>0</v>
      </c>
      <c r="K1429" s="4">
        <v>0</v>
      </c>
      <c r="L1429" s="4">
        <v>84965.644</v>
      </c>
      <c r="M1429" s="4">
        <v>84965.644</v>
      </c>
      <c r="N1429" s="4">
        <v>84965.644</v>
      </c>
      <c r="O1429" s="4">
        <v>84965.644</v>
      </c>
      <c r="P1429" s="4">
        <v>710526</v>
      </c>
      <c r="Q1429" s="3" t="s">
        <v>26</v>
      </c>
      <c r="R1429" s="3">
        <v>0</v>
      </c>
      <c r="S1429" s="4">
        <v>0</v>
      </c>
      <c r="T1429" s="4">
        <v>13</v>
      </c>
      <c r="U1429" s="4">
        <v>53</v>
      </c>
      <c r="V1429" s="4">
        <f>IF(ISERROR(VLOOKUP($S$1429,'TAR FIN'!$A$1:$O$99,15,0)),0,VLOOKUP($S$1429,'TAR FIN'!$A$1:$O$99,15,0))</f>
        <v>0</v>
      </c>
      <c r="W1429" s="4">
        <f>IF(ISERROR(VLOOKUP($T$1429,'TAR FIN'!$A$1:$O$99,15,0)),0,VLOOKUP($T$1429,'TAR FIN'!$A$1:$O$99,15,0))</f>
        <v>395.58</v>
      </c>
      <c r="X1429" s="4">
        <f>IF(ISERROR(VLOOKUP($U$1429,'TAR FIN'!$A$1:$O$99,15,0)),0,VLOOKUP($U$1429,'TAR FIN'!$A$1:$O$99,15,0))</f>
        <v>230.53</v>
      </c>
      <c r="Y1429" s="4"/>
      <c r="Z1429" s="4">
        <f ca="1">('TUSD BE'!$AM$31+'TUSD BF'!$AM$31+'TUSD CVA'!$AM$31)*1</f>
        <v>466.61942630573992</v>
      </c>
      <c r="AA1429" s="4">
        <f>('TE BE'!$AA$13+'TE BF'!$AA$13+'TE CVA'!$AA$13)*1</f>
        <v>283.86889449376815</v>
      </c>
      <c r="AB1429" s="4">
        <f>$K$1429*$V$1429</f>
        <v>0</v>
      </c>
      <c r="AC1429" s="4">
        <f>$M$1429*$W$1429</f>
        <v>33610709.45352</v>
      </c>
      <c r="AD1429" s="4">
        <f>$O$1429*$X$1429</f>
        <v>19587129.911320001</v>
      </c>
      <c r="AE1429" s="4">
        <f>$K$1429*$Y$1429</f>
        <v>0</v>
      </c>
      <c r="AF1429" s="4">
        <f ca="1">$M$1429*$Z$1429</f>
        <v>39646620.058977731</v>
      </c>
      <c r="AG1429" s="4">
        <f>$O$1429*$AA$1429</f>
        <v>24119103.432231065</v>
      </c>
    </row>
    <row r="1430" spans="1:33" ht="11.25" customHeight="1" x14ac:dyDescent="0.25">
      <c r="A1430" s="3" t="s">
        <v>27</v>
      </c>
      <c r="B1430" s="3" t="s">
        <v>22</v>
      </c>
      <c r="C1430" s="3" t="s">
        <v>23</v>
      </c>
      <c r="D1430" s="3" t="s">
        <v>24</v>
      </c>
      <c r="E1430" s="3" t="s">
        <v>24</v>
      </c>
      <c r="F1430" s="3" t="s">
        <v>25</v>
      </c>
      <c r="G1430" s="3" t="s">
        <v>25</v>
      </c>
      <c r="H1430" s="3" t="s">
        <v>25</v>
      </c>
      <c r="I1430" s="6">
        <v>44409</v>
      </c>
      <c r="J1430" s="4">
        <v>0</v>
      </c>
      <c r="K1430" s="4">
        <v>0</v>
      </c>
      <c r="L1430" s="4">
        <v>-588.06500000000005</v>
      </c>
      <c r="M1430" s="4">
        <v>-588.06500000000005</v>
      </c>
      <c r="N1430" s="4">
        <v>-588.06500000000005</v>
      </c>
      <c r="O1430" s="4">
        <v>-588.06500000000005</v>
      </c>
      <c r="P1430" s="4">
        <v>-5115</v>
      </c>
      <c r="Q1430" s="3" t="s">
        <v>26</v>
      </c>
      <c r="R1430" s="3">
        <v>0</v>
      </c>
      <c r="S1430" s="4">
        <v>0</v>
      </c>
      <c r="T1430" s="4">
        <v>13</v>
      </c>
      <c r="U1430" s="4">
        <v>53</v>
      </c>
      <c r="V1430" s="4">
        <f>IF(ISERROR(VLOOKUP($S$1430,'TAR FIN'!$A$1:$O$99,15,0)),0,VLOOKUP($S$1430,'TAR FIN'!$A$1:$O$99,15,0))</f>
        <v>0</v>
      </c>
      <c r="W1430" s="4">
        <f>IF(ISERROR(VLOOKUP($T$1430,'TAR FIN'!$A$1:$O$99,15,0)),0,VLOOKUP($T$1430,'TAR FIN'!$A$1:$O$99,15,0))</f>
        <v>395.58</v>
      </c>
      <c r="X1430" s="4">
        <f>IF(ISERROR(VLOOKUP($U$1430,'TAR FIN'!$A$1:$O$99,15,0)),0,VLOOKUP($U$1430,'TAR FIN'!$A$1:$O$99,15,0))</f>
        <v>230.53</v>
      </c>
      <c r="Y1430" s="4"/>
      <c r="Z1430" s="4">
        <f ca="1">('TUSD BE'!$AM$31+'TUSD BF'!$AM$31+'TUSD CVA'!$AM$31)*1</f>
        <v>466.61942630573992</v>
      </c>
      <c r="AA1430" s="4">
        <f>('TE BE'!$AA$13+'TE BF'!$AA$13+'TE CVA'!$AA$13)*1</f>
        <v>283.86889449376815</v>
      </c>
      <c r="AB1430" s="4">
        <f>$K$1430*$V$1430</f>
        <v>0</v>
      </c>
      <c r="AC1430" s="4">
        <f>$M$1430*$W$1430</f>
        <v>-232626.75270000001</v>
      </c>
      <c r="AD1430" s="4">
        <f>$O$1430*$X$1430</f>
        <v>-135566.62445</v>
      </c>
      <c r="AE1430" s="4">
        <f>$K$1430*$Y$1430</f>
        <v>0</v>
      </c>
      <c r="AF1430" s="4">
        <f ca="1">$M$1430*$Z$1430</f>
        <v>-274402.55293048499</v>
      </c>
      <c r="AG1430" s="4">
        <f>$O$1430*$AA$1430</f>
        <v>-166933.36144047778</v>
      </c>
    </row>
    <row r="1431" spans="1:33" ht="11.25" customHeight="1" x14ac:dyDescent="0.25">
      <c r="A1431" s="3" t="s">
        <v>28</v>
      </c>
      <c r="B1431" s="3" t="s">
        <v>22</v>
      </c>
      <c r="C1431" s="3" t="s">
        <v>23</v>
      </c>
      <c r="D1431" s="3" t="s">
        <v>24</v>
      </c>
      <c r="E1431" s="3" t="s">
        <v>24</v>
      </c>
      <c r="F1431" s="3" t="s">
        <v>25</v>
      </c>
      <c r="G1431" s="3" t="s">
        <v>25</v>
      </c>
      <c r="H1431" s="3" t="s">
        <v>25</v>
      </c>
      <c r="I1431" s="6">
        <v>44409</v>
      </c>
      <c r="J1431" s="4">
        <v>0</v>
      </c>
      <c r="K1431" s="4">
        <v>0</v>
      </c>
      <c r="L1431" s="4">
        <v>715.93700000000001</v>
      </c>
      <c r="M1431" s="4">
        <v>715.93700000000001</v>
      </c>
      <c r="N1431" s="4">
        <v>715.93700000000001</v>
      </c>
      <c r="O1431" s="4">
        <v>715.93700000000001</v>
      </c>
      <c r="P1431" s="4">
        <v>4968</v>
      </c>
      <c r="Q1431" s="3" t="s">
        <v>26</v>
      </c>
      <c r="R1431" s="3">
        <v>0</v>
      </c>
      <c r="S1431" s="4">
        <v>0</v>
      </c>
      <c r="T1431" s="4">
        <v>13</v>
      </c>
      <c r="U1431" s="4">
        <v>53</v>
      </c>
      <c r="V1431" s="4">
        <f>IF(ISERROR(VLOOKUP($S$1431,'TAR FIN'!$A$1:$O$99,15,0)),0,VLOOKUP($S$1431,'TAR FIN'!$A$1:$O$99,15,0))</f>
        <v>0</v>
      </c>
      <c r="W1431" s="4">
        <f>IF(ISERROR(VLOOKUP($T$1431,'TAR FIN'!$A$1:$O$99,15,0)),0,VLOOKUP($T$1431,'TAR FIN'!$A$1:$O$99,15,0))</f>
        <v>395.58</v>
      </c>
      <c r="X1431" s="4">
        <f>IF(ISERROR(VLOOKUP($U$1431,'TAR FIN'!$A$1:$O$99,15,0)),0,VLOOKUP($U$1431,'TAR FIN'!$A$1:$O$99,15,0))</f>
        <v>230.53</v>
      </c>
      <c r="Y1431" s="4"/>
      <c r="Z1431" s="4">
        <f ca="1">('TUSD BE'!$AM$31+'TUSD BF'!$AM$31+'TUSD CVA'!$AM$31)*1</f>
        <v>466.61942630573992</v>
      </c>
      <c r="AA1431" s="4">
        <f>('TE BE'!$AA$13+'TE BF'!$AA$13+'TE CVA'!$AA$13)*1</f>
        <v>283.86889449376815</v>
      </c>
      <c r="AB1431" s="4">
        <f>$K$1431*$V$1431</f>
        <v>0</v>
      </c>
      <c r="AC1431" s="4">
        <f>$M$1431*$W$1431</f>
        <v>283210.35846000002</v>
      </c>
      <c r="AD1431" s="4">
        <f>$O$1431*$X$1431</f>
        <v>165044.95660999999</v>
      </c>
      <c r="AE1431" s="4">
        <f>$K$1431*$Y$1431</f>
        <v>0</v>
      </c>
      <c r="AF1431" s="4">
        <f ca="1">$M$1431*$Z$1431</f>
        <v>334070.1122110525</v>
      </c>
      <c r="AG1431" s="4">
        <f>$O$1431*$AA$1431</f>
        <v>203232.24471718489</v>
      </c>
    </row>
    <row r="1432" spans="1:33" ht="11.25" customHeight="1" x14ac:dyDescent="0.25">
      <c r="A1432" s="3" t="s">
        <v>28</v>
      </c>
      <c r="B1432" s="3" t="s">
        <v>22</v>
      </c>
      <c r="C1432" s="3" t="s">
        <v>23</v>
      </c>
      <c r="D1432" s="3" t="s">
        <v>24</v>
      </c>
      <c r="E1432" s="3" t="s">
        <v>24</v>
      </c>
      <c r="F1432" s="3" t="s">
        <v>25</v>
      </c>
      <c r="G1432" s="3" t="s">
        <v>25</v>
      </c>
      <c r="H1432" s="3" t="s">
        <v>25</v>
      </c>
      <c r="I1432" s="6">
        <v>44409</v>
      </c>
      <c r="J1432" s="4">
        <v>0</v>
      </c>
      <c r="K1432" s="4">
        <v>0</v>
      </c>
      <c r="L1432" s="4">
        <v>-18.384</v>
      </c>
      <c r="M1432" s="4">
        <v>-18.384</v>
      </c>
      <c r="N1432" s="4">
        <v>-18.384</v>
      </c>
      <c r="O1432" s="4">
        <v>-18.384</v>
      </c>
      <c r="P1432" s="4">
        <v>0</v>
      </c>
      <c r="Q1432" s="3" t="s">
        <v>26</v>
      </c>
      <c r="R1432" s="3">
        <v>0</v>
      </c>
      <c r="S1432" s="4">
        <v>0</v>
      </c>
      <c r="T1432" s="4">
        <v>13</v>
      </c>
      <c r="U1432" s="4">
        <v>53</v>
      </c>
      <c r="V1432" s="4">
        <f>IF(ISERROR(VLOOKUP($S$1432,'TAR FIN'!$A$1:$O$99,15,0)),0,VLOOKUP($S$1432,'TAR FIN'!$A$1:$O$99,15,0))</f>
        <v>0</v>
      </c>
      <c r="W1432" s="4">
        <f>IF(ISERROR(VLOOKUP($T$1432,'TAR FIN'!$A$1:$O$99,15,0)),0,VLOOKUP($T$1432,'TAR FIN'!$A$1:$O$99,15,0))</f>
        <v>395.58</v>
      </c>
      <c r="X1432" s="4">
        <f>IF(ISERROR(VLOOKUP($U$1432,'TAR FIN'!$A$1:$O$99,15,0)),0,VLOOKUP($U$1432,'TAR FIN'!$A$1:$O$99,15,0))</f>
        <v>230.53</v>
      </c>
      <c r="Y1432" s="4"/>
      <c r="Z1432" s="4">
        <f ca="1">('TUSD BE'!$AM$31+'TUSD BF'!$AM$31+'TUSD CVA'!$AM$31)*1</f>
        <v>466.61942630573992</v>
      </c>
      <c r="AA1432" s="4">
        <f>('TE BE'!$AA$13+'TE BF'!$AA$13+'TE CVA'!$AA$13)*1</f>
        <v>283.86889449376815</v>
      </c>
      <c r="AB1432" s="4">
        <f>$K$1432*$V$1432</f>
        <v>0</v>
      </c>
      <c r="AC1432" s="4">
        <f>$M$1432*$W$1432</f>
        <v>-7272.3427199999996</v>
      </c>
      <c r="AD1432" s="4">
        <f>$O$1432*$X$1432</f>
        <v>-4238.0635199999997</v>
      </c>
      <c r="AE1432" s="4">
        <f>$K$1432*$Y$1432</f>
        <v>0</v>
      </c>
      <c r="AF1432" s="4">
        <f ca="1">$M$1432*$Z$1432</f>
        <v>-8578.3315332047223</v>
      </c>
      <c r="AG1432" s="4">
        <f>$O$1432*$AA$1432</f>
        <v>-5218.6457563734339</v>
      </c>
    </row>
    <row r="1433" spans="1:33" ht="11.25" customHeight="1" x14ac:dyDescent="0.25">
      <c r="A1433" s="3" t="s">
        <v>21</v>
      </c>
      <c r="B1433" s="3" t="s">
        <v>22</v>
      </c>
      <c r="C1433" s="3" t="s">
        <v>23</v>
      </c>
      <c r="D1433" s="3" t="s">
        <v>24</v>
      </c>
      <c r="E1433" s="3" t="s">
        <v>24</v>
      </c>
      <c r="F1433" s="3" t="s">
        <v>25</v>
      </c>
      <c r="G1433" s="3" t="s">
        <v>25</v>
      </c>
      <c r="H1433" s="3" t="s">
        <v>25</v>
      </c>
      <c r="I1433" s="6">
        <v>44440</v>
      </c>
      <c r="J1433" s="4">
        <v>0</v>
      </c>
      <c r="K1433" s="4">
        <v>0</v>
      </c>
      <c r="L1433" s="4">
        <v>89958.422000000006</v>
      </c>
      <c r="M1433" s="4">
        <v>89958.422000000006</v>
      </c>
      <c r="N1433" s="4">
        <v>89958.422000000006</v>
      </c>
      <c r="O1433" s="4">
        <v>89958.422000000006</v>
      </c>
      <c r="P1433" s="4">
        <v>709464</v>
      </c>
      <c r="Q1433" s="3" t="s">
        <v>26</v>
      </c>
      <c r="R1433" s="3">
        <v>0</v>
      </c>
      <c r="S1433" s="4">
        <v>0</v>
      </c>
      <c r="T1433" s="4">
        <v>13</v>
      </c>
      <c r="U1433" s="4">
        <v>53</v>
      </c>
      <c r="V1433" s="4">
        <f>IF(ISERROR(VLOOKUP($S$1433,'TAR FIN'!$A$1:$O$99,15,0)),0,VLOOKUP($S$1433,'TAR FIN'!$A$1:$O$99,15,0))</f>
        <v>0</v>
      </c>
      <c r="W1433" s="4">
        <f>IF(ISERROR(VLOOKUP($T$1433,'TAR FIN'!$A$1:$O$99,15,0)),0,VLOOKUP($T$1433,'TAR FIN'!$A$1:$O$99,15,0))</f>
        <v>395.58</v>
      </c>
      <c r="X1433" s="4">
        <f>IF(ISERROR(VLOOKUP($U$1433,'TAR FIN'!$A$1:$O$99,15,0)),0,VLOOKUP($U$1433,'TAR FIN'!$A$1:$O$99,15,0))</f>
        <v>230.53</v>
      </c>
      <c r="Y1433" s="4"/>
      <c r="Z1433" s="4">
        <f ca="1">('TUSD BE'!$AM$31+'TUSD BF'!$AM$31+'TUSD CVA'!$AM$31)*1</f>
        <v>466.61942630573992</v>
      </c>
      <c r="AA1433" s="4">
        <f>('TE BE'!$AA$13+'TE BF'!$AA$13+'TE CVA'!$AA$13)*1</f>
        <v>283.86889449376815</v>
      </c>
      <c r="AB1433" s="4">
        <f>$K$1433*$V$1433</f>
        <v>0</v>
      </c>
      <c r="AC1433" s="4">
        <f>$M$1433*$W$1433</f>
        <v>35585752.574759997</v>
      </c>
      <c r="AD1433" s="4">
        <f>$O$1433*$X$1433</f>
        <v>20738115.02366</v>
      </c>
      <c r="AE1433" s="4">
        <f>$K$1433*$Y$1433</f>
        <v>0</v>
      </c>
      <c r="AF1433" s="4">
        <f ca="1">$M$1433*$Z$1433</f>
        <v>41976347.265009657</v>
      </c>
      <c r="AG1433" s="4">
        <f>$O$1433*$AA$1433</f>
        <v>25536397.803543873</v>
      </c>
    </row>
    <row r="1434" spans="1:33" ht="11.25" customHeight="1" x14ac:dyDescent="0.25">
      <c r="A1434" s="3" t="s">
        <v>27</v>
      </c>
      <c r="B1434" s="3" t="s">
        <v>22</v>
      </c>
      <c r="C1434" s="3" t="s">
        <v>23</v>
      </c>
      <c r="D1434" s="3" t="s">
        <v>24</v>
      </c>
      <c r="E1434" s="3" t="s">
        <v>24</v>
      </c>
      <c r="F1434" s="3" t="s">
        <v>25</v>
      </c>
      <c r="G1434" s="3" t="s">
        <v>25</v>
      </c>
      <c r="H1434" s="3" t="s">
        <v>25</v>
      </c>
      <c r="I1434" s="6">
        <v>44440</v>
      </c>
      <c r="J1434" s="4">
        <v>0</v>
      </c>
      <c r="K1434" s="4">
        <v>0</v>
      </c>
      <c r="L1434" s="4">
        <v>-523.68399999999997</v>
      </c>
      <c r="M1434" s="4">
        <v>-523.68399999999997</v>
      </c>
      <c r="N1434" s="4">
        <v>-523.68399999999997</v>
      </c>
      <c r="O1434" s="4">
        <v>-523.68399999999997</v>
      </c>
      <c r="P1434" s="4">
        <v>-6051</v>
      </c>
      <c r="Q1434" s="3" t="s">
        <v>26</v>
      </c>
      <c r="R1434" s="3">
        <v>0</v>
      </c>
      <c r="S1434" s="4">
        <v>0</v>
      </c>
      <c r="T1434" s="4">
        <v>13</v>
      </c>
      <c r="U1434" s="4">
        <v>53</v>
      </c>
      <c r="V1434" s="4">
        <f>IF(ISERROR(VLOOKUP($S$1434,'TAR FIN'!$A$1:$O$99,15,0)),0,VLOOKUP($S$1434,'TAR FIN'!$A$1:$O$99,15,0))</f>
        <v>0</v>
      </c>
      <c r="W1434" s="4">
        <f>IF(ISERROR(VLOOKUP($T$1434,'TAR FIN'!$A$1:$O$99,15,0)),0,VLOOKUP($T$1434,'TAR FIN'!$A$1:$O$99,15,0))</f>
        <v>395.58</v>
      </c>
      <c r="X1434" s="4">
        <f>IF(ISERROR(VLOOKUP($U$1434,'TAR FIN'!$A$1:$O$99,15,0)),0,VLOOKUP($U$1434,'TAR FIN'!$A$1:$O$99,15,0))</f>
        <v>230.53</v>
      </c>
      <c r="Y1434" s="4"/>
      <c r="Z1434" s="4">
        <f ca="1">('TUSD BE'!$AM$31+'TUSD BF'!$AM$31+'TUSD CVA'!$AM$31)*1</f>
        <v>466.61942630573992</v>
      </c>
      <c r="AA1434" s="4">
        <f>('TE BE'!$AA$13+'TE BF'!$AA$13+'TE CVA'!$AA$13)*1</f>
        <v>283.86889449376815</v>
      </c>
      <c r="AB1434" s="4">
        <f>$K$1434*$V$1434</f>
        <v>0</v>
      </c>
      <c r="AC1434" s="4">
        <f>$M$1434*$W$1434</f>
        <v>-207158.91671999998</v>
      </c>
      <c r="AD1434" s="4">
        <f>$O$1434*$X$1434</f>
        <v>-120724.87251999999</v>
      </c>
      <c r="AE1434" s="4">
        <f>$K$1434*$Y$1434</f>
        <v>0</v>
      </c>
      <c r="AF1434" s="4">
        <f ca="1">$M$1434*$Z$1434</f>
        <v>-244361.12764549509</v>
      </c>
      <c r="AG1434" s="4">
        <f>$O$1434*$AA$1434</f>
        <v>-148657.59814407447</v>
      </c>
    </row>
    <row r="1435" spans="1:33" ht="11.25" customHeight="1" x14ac:dyDescent="0.25">
      <c r="A1435" s="3" t="s">
        <v>28</v>
      </c>
      <c r="B1435" s="3" t="s">
        <v>22</v>
      </c>
      <c r="C1435" s="3" t="s">
        <v>23</v>
      </c>
      <c r="D1435" s="3" t="s">
        <v>24</v>
      </c>
      <c r="E1435" s="3" t="s">
        <v>24</v>
      </c>
      <c r="F1435" s="3" t="s">
        <v>25</v>
      </c>
      <c r="G1435" s="3" t="s">
        <v>25</v>
      </c>
      <c r="H1435" s="3" t="s">
        <v>25</v>
      </c>
      <c r="I1435" s="6">
        <v>44440</v>
      </c>
      <c r="J1435" s="4">
        <v>0</v>
      </c>
      <c r="K1435" s="4">
        <v>0</v>
      </c>
      <c r="L1435" s="4">
        <v>766.30899999999997</v>
      </c>
      <c r="M1435" s="4">
        <v>766.30899999999997</v>
      </c>
      <c r="N1435" s="4">
        <v>766.30899999999997</v>
      </c>
      <c r="O1435" s="4">
        <v>766.30899999999997</v>
      </c>
      <c r="P1435" s="4">
        <v>5411</v>
      </c>
      <c r="Q1435" s="3" t="s">
        <v>26</v>
      </c>
      <c r="R1435" s="3">
        <v>0</v>
      </c>
      <c r="S1435" s="4">
        <v>0</v>
      </c>
      <c r="T1435" s="4">
        <v>13</v>
      </c>
      <c r="U1435" s="4">
        <v>53</v>
      </c>
      <c r="V1435" s="4">
        <f>IF(ISERROR(VLOOKUP($S$1435,'TAR FIN'!$A$1:$O$99,15,0)),0,VLOOKUP($S$1435,'TAR FIN'!$A$1:$O$99,15,0))</f>
        <v>0</v>
      </c>
      <c r="W1435" s="4">
        <f>IF(ISERROR(VLOOKUP($T$1435,'TAR FIN'!$A$1:$O$99,15,0)),0,VLOOKUP($T$1435,'TAR FIN'!$A$1:$O$99,15,0))</f>
        <v>395.58</v>
      </c>
      <c r="X1435" s="4">
        <f>IF(ISERROR(VLOOKUP($U$1435,'TAR FIN'!$A$1:$O$99,15,0)),0,VLOOKUP($U$1435,'TAR FIN'!$A$1:$O$99,15,0))</f>
        <v>230.53</v>
      </c>
      <c r="Y1435" s="4"/>
      <c r="Z1435" s="4">
        <f ca="1">('TUSD BE'!$AM$31+'TUSD BF'!$AM$31+'TUSD CVA'!$AM$31)*1</f>
        <v>466.61942630573992</v>
      </c>
      <c r="AA1435" s="4">
        <f>('TE BE'!$AA$13+'TE BF'!$AA$13+'TE CVA'!$AA$13)*1</f>
        <v>283.86889449376815</v>
      </c>
      <c r="AB1435" s="4">
        <f>$K$1435*$V$1435</f>
        <v>0</v>
      </c>
      <c r="AC1435" s="4">
        <f>$M$1435*$W$1435</f>
        <v>303136.51421999995</v>
      </c>
      <c r="AD1435" s="4">
        <f>$O$1435*$X$1435</f>
        <v>176657.21377</v>
      </c>
      <c r="AE1435" s="4">
        <f>$K$1435*$Y$1435</f>
        <v>0</v>
      </c>
      <c r="AF1435" s="4">
        <f ca="1">$M$1435*$Z$1435</f>
        <v>357574.66595292522</v>
      </c>
      <c r="AG1435" s="4">
        <f>$O$1435*$AA$1435</f>
        <v>217531.28867062498</v>
      </c>
    </row>
    <row r="1436" spans="1:33" ht="11.25" customHeight="1" x14ac:dyDescent="0.25">
      <c r="A1436" s="3" t="s">
        <v>28</v>
      </c>
      <c r="B1436" s="3" t="s">
        <v>22</v>
      </c>
      <c r="C1436" s="3" t="s">
        <v>23</v>
      </c>
      <c r="D1436" s="3" t="s">
        <v>24</v>
      </c>
      <c r="E1436" s="3" t="s">
        <v>24</v>
      </c>
      <c r="F1436" s="3" t="s">
        <v>25</v>
      </c>
      <c r="G1436" s="3" t="s">
        <v>25</v>
      </c>
      <c r="H1436" s="3" t="s">
        <v>25</v>
      </c>
      <c r="I1436" s="6">
        <v>44440</v>
      </c>
      <c r="J1436" s="4">
        <v>0</v>
      </c>
      <c r="K1436" s="4">
        <v>0</v>
      </c>
      <c r="L1436" s="4">
        <v>-1.863</v>
      </c>
      <c r="M1436" s="4">
        <v>-1.863</v>
      </c>
      <c r="N1436" s="4">
        <v>-1.863</v>
      </c>
      <c r="O1436" s="4">
        <v>-1.863</v>
      </c>
      <c r="P1436" s="4">
        <v>3</v>
      </c>
      <c r="Q1436" s="3" t="s">
        <v>26</v>
      </c>
      <c r="R1436" s="3">
        <v>0</v>
      </c>
      <c r="S1436" s="4">
        <v>0</v>
      </c>
      <c r="T1436" s="4">
        <v>13</v>
      </c>
      <c r="U1436" s="4">
        <v>53</v>
      </c>
      <c r="V1436" s="4">
        <f>IF(ISERROR(VLOOKUP($S$1436,'TAR FIN'!$A$1:$O$99,15,0)),0,VLOOKUP($S$1436,'TAR FIN'!$A$1:$O$99,15,0))</f>
        <v>0</v>
      </c>
      <c r="W1436" s="4">
        <f>IF(ISERROR(VLOOKUP($T$1436,'TAR FIN'!$A$1:$O$99,15,0)),0,VLOOKUP($T$1436,'TAR FIN'!$A$1:$O$99,15,0))</f>
        <v>395.58</v>
      </c>
      <c r="X1436" s="4">
        <f>IF(ISERROR(VLOOKUP($U$1436,'TAR FIN'!$A$1:$O$99,15,0)),0,VLOOKUP($U$1436,'TAR FIN'!$A$1:$O$99,15,0))</f>
        <v>230.53</v>
      </c>
      <c r="Y1436" s="4"/>
      <c r="Z1436" s="4">
        <f ca="1">('TUSD BE'!$AM$31+'TUSD BF'!$AM$31+'TUSD CVA'!$AM$31)*1</f>
        <v>466.61942630573992</v>
      </c>
      <c r="AA1436" s="4">
        <f>('TE BE'!$AA$13+'TE BF'!$AA$13+'TE CVA'!$AA$13)*1</f>
        <v>283.86889449376815</v>
      </c>
      <c r="AB1436" s="4">
        <f>$K$1436*$V$1436</f>
        <v>0</v>
      </c>
      <c r="AC1436" s="4">
        <f>$M$1436*$W$1436</f>
        <v>-736.96553999999992</v>
      </c>
      <c r="AD1436" s="4">
        <f>$O$1436*$X$1436</f>
        <v>-429.47739000000001</v>
      </c>
      <c r="AE1436" s="4">
        <f>$K$1436*$Y$1436</f>
        <v>0</v>
      </c>
      <c r="AF1436" s="4">
        <f ca="1">$M$1436*$Z$1436</f>
        <v>-869.31199120759345</v>
      </c>
      <c r="AG1436" s="4">
        <f>$O$1436*$AA$1436</f>
        <v>-528.84775044189007</v>
      </c>
    </row>
    <row r="1437" spans="1:33" ht="11.25" customHeight="1" x14ac:dyDescent="0.25">
      <c r="A1437" s="3" t="s">
        <v>21</v>
      </c>
      <c r="B1437" s="3" t="s">
        <v>22</v>
      </c>
      <c r="C1437" s="3" t="s">
        <v>23</v>
      </c>
      <c r="D1437" s="3" t="s">
        <v>24</v>
      </c>
      <c r="E1437" s="3" t="s">
        <v>24</v>
      </c>
      <c r="F1437" s="3" t="s">
        <v>25</v>
      </c>
      <c r="G1437" s="3" t="s">
        <v>25</v>
      </c>
      <c r="H1437" s="3" t="s">
        <v>25</v>
      </c>
      <c r="I1437" s="6">
        <v>44470</v>
      </c>
      <c r="J1437" s="4">
        <v>0</v>
      </c>
      <c r="K1437" s="4">
        <v>0</v>
      </c>
      <c r="L1437" s="4">
        <v>96018.323000000004</v>
      </c>
      <c r="M1437" s="4">
        <v>96018.323000000004</v>
      </c>
      <c r="N1437" s="4">
        <v>96018.323000000004</v>
      </c>
      <c r="O1437" s="4">
        <v>96018.323000000004</v>
      </c>
      <c r="P1437" s="4">
        <v>712020</v>
      </c>
      <c r="Q1437" s="3" t="s">
        <v>26</v>
      </c>
      <c r="R1437" s="3">
        <v>0</v>
      </c>
      <c r="S1437" s="4">
        <v>0</v>
      </c>
      <c r="T1437" s="4">
        <v>13</v>
      </c>
      <c r="U1437" s="4">
        <v>53</v>
      </c>
      <c r="V1437" s="4">
        <f>IF(ISERROR(VLOOKUP($S$1437,'TAR FIN'!$A$1:$O$99,15,0)),0,VLOOKUP($S$1437,'TAR FIN'!$A$1:$O$99,15,0))</f>
        <v>0</v>
      </c>
      <c r="W1437" s="4">
        <f>IF(ISERROR(VLOOKUP($T$1437,'TAR FIN'!$A$1:$O$99,15,0)),0,VLOOKUP($T$1437,'TAR FIN'!$A$1:$O$99,15,0))</f>
        <v>395.58</v>
      </c>
      <c r="X1437" s="4">
        <f>IF(ISERROR(VLOOKUP($U$1437,'TAR FIN'!$A$1:$O$99,15,0)),0,VLOOKUP($U$1437,'TAR FIN'!$A$1:$O$99,15,0))</f>
        <v>230.53</v>
      </c>
      <c r="Y1437" s="4"/>
      <c r="Z1437" s="4">
        <f ca="1">('TUSD BE'!$AM$31+'TUSD BF'!$AM$31+'TUSD CVA'!$AM$31)*1</f>
        <v>466.61942630573992</v>
      </c>
      <c r="AA1437" s="4">
        <f>('TE BE'!$AA$13+'TE BF'!$AA$13+'TE CVA'!$AA$13)*1</f>
        <v>283.86889449376815</v>
      </c>
      <c r="AB1437" s="4">
        <f>$K$1437*$V$1437</f>
        <v>0</v>
      </c>
      <c r="AC1437" s="4">
        <f>$M$1437*$W$1437</f>
        <v>37982928.212339997</v>
      </c>
      <c r="AD1437" s="4">
        <f>$O$1437*$X$1437</f>
        <v>22135104.001189999</v>
      </c>
      <c r="AE1437" s="4">
        <f>$K$1437*$Y$1437</f>
        <v>0</v>
      </c>
      <c r="AF1437" s="4">
        <f ca="1">$M$1437*$Z$1437</f>
        <v>44804014.793099232</v>
      </c>
      <c r="AG1437" s="4">
        <f>$O$1437*$AA$1437</f>
        <v>27256615.201155555</v>
      </c>
    </row>
    <row r="1438" spans="1:33" ht="11.25" customHeight="1" x14ac:dyDescent="0.25">
      <c r="A1438" s="3" t="s">
        <v>27</v>
      </c>
      <c r="B1438" s="3" t="s">
        <v>22</v>
      </c>
      <c r="C1438" s="3" t="s">
        <v>23</v>
      </c>
      <c r="D1438" s="3" t="s">
        <v>24</v>
      </c>
      <c r="E1438" s="3" t="s">
        <v>24</v>
      </c>
      <c r="F1438" s="3" t="s">
        <v>25</v>
      </c>
      <c r="G1438" s="3" t="s">
        <v>25</v>
      </c>
      <c r="H1438" s="3" t="s">
        <v>25</v>
      </c>
      <c r="I1438" s="6">
        <v>44470</v>
      </c>
      <c r="J1438" s="4">
        <v>0</v>
      </c>
      <c r="K1438" s="4">
        <v>0</v>
      </c>
      <c r="L1438" s="4">
        <v>-706.54600000000005</v>
      </c>
      <c r="M1438" s="4">
        <v>-706.54600000000005</v>
      </c>
      <c r="N1438" s="4">
        <v>-706.54600000000005</v>
      </c>
      <c r="O1438" s="4">
        <v>-706.54600000000005</v>
      </c>
      <c r="P1438" s="4">
        <v>-5161</v>
      </c>
      <c r="Q1438" s="3" t="s">
        <v>26</v>
      </c>
      <c r="R1438" s="3">
        <v>0</v>
      </c>
      <c r="S1438" s="4">
        <v>0</v>
      </c>
      <c r="T1438" s="4">
        <v>13</v>
      </c>
      <c r="U1438" s="4">
        <v>53</v>
      </c>
      <c r="V1438" s="4">
        <f>IF(ISERROR(VLOOKUP($S$1438,'TAR FIN'!$A$1:$O$99,15,0)),0,VLOOKUP($S$1438,'TAR FIN'!$A$1:$O$99,15,0))</f>
        <v>0</v>
      </c>
      <c r="W1438" s="4">
        <f>IF(ISERROR(VLOOKUP($T$1438,'TAR FIN'!$A$1:$O$99,15,0)),0,VLOOKUP($T$1438,'TAR FIN'!$A$1:$O$99,15,0))</f>
        <v>395.58</v>
      </c>
      <c r="X1438" s="4">
        <f>IF(ISERROR(VLOOKUP($U$1438,'TAR FIN'!$A$1:$O$99,15,0)),0,VLOOKUP($U$1438,'TAR FIN'!$A$1:$O$99,15,0))</f>
        <v>230.53</v>
      </c>
      <c r="Y1438" s="4"/>
      <c r="Z1438" s="4">
        <f ca="1">('TUSD BE'!$AM$31+'TUSD BF'!$AM$31+'TUSD CVA'!$AM$31)*1</f>
        <v>466.61942630573992</v>
      </c>
      <c r="AA1438" s="4">
        <f>('TE BE'!$AA$13+'TE BF'!$AA$13+'TE CVA'!$AA$13)*1</f>
        <v>283.86889449376815</v>
      </c>
      <c r="AB1438" s="4">
        <f>$K$1438*$V$1438</f>
        <v>0</v>
      </c>
      <c r="AC1438" s="4">
        <f>$M$1438*$W$1438</f>
        <v>-279495.46668000001</v>
      </c>
      <c r="AD1438" s="4">
        <f>$O$1438*$X$1438</f>
        <v>-162880.04938000001</v>
      </c>
      <c r="AE1438" s="4">
        <f>$K$1438*$Y$1438</f>
        <v>0</v>
      </c>
      <c r="AF1438" s="4">
        <f ca="1">$M$1438*$Z$1438</f>
        <v>-329688.08917861537</v>
      </c>
      <c r="AG1438" s="4">
        <f>$O$1438*$AA$1438</f>
        <v>-200566.43192899393</v>
      </c>
    </row>
    <row r="1439" spans="1:33" ht="11.25" customHeight="1" x14ac:dyDescent="0.25">
      <c r="A1439" s="3" t="s">
        <v>28</v>
      </c>
      <c r="B1439" s="3" t="s">
        <v>22</v>
      </c>
      <c r="C1439" s="3" t="s">
        <v>23</v>
      </c>
      <c r="D1439" s="3" t="s">
        <v>24</v>
      </c>
      <c r="E1439" s="3" t="s">
        <v>24</v>
      </c>
      <c r="F1439" s="3" t="s">
        <v>25</v>
      </c>
      <c r="G1439" s="3" t="s">
        <v>25</v>
      </c>
      <c r="H1439" s="3" t="s">
        <v>25</v>
      </c>
      <c r="I1439" s="6">
        <v>44470</v>
      </c>
      <c r="J1439" s="4">
        <v>0</v>
      </c>
      <c r="K1439" s="4">
        <v>0</v>
      </c>
      <c r="L1439" s="4">
        <v>825.02700000000004</v>
      </c>
      <c r="M1439" s="4">
        <v>825.02700000000004</v>
      </c>
      <c r="N1439" s="4">
        <v>825.02700000000004</v>
      </c>
      <c r="O1439" s="4">
        <v>825.02700000000004</v>
      </c>
      <c r="P1439" s="4">
        <v>5933</v>
      </c>
      <c r="Q1439" s="3" t="s">
        <v>26</v>
      </c>
      <c r="R1439" s="3">
        <v>0</v>
      </c>
      <c r="S1439" s="4">
        <v>0</v>
      </c>
      <c r="T1439" s="4">
        <v>13</v>
      </c>
      <c r="U1439" s="4">
        <v>53</v>
      </c>
      <c r="V1439" s="4">
        <f>IF(ISERROR(VLOOKUP($S$1439,'TAR FIN'!$A$1:$O$99,15,0)),0,VLOOKUP($S$1439,'TAR FIN'!$A$1:$O$99,15,0))</f>
        <v>0</v>
      </c>
      <c r="W1439" s="4">
        <f>IF(ISERROR(VLOOKUP($T$1439,'TAR FIN'!$A$1:$O$99,15,0)),0,VLOOKUP($T$1439,'TAR FIN'!$A$1:$O$99,15,0))</f>
        <v>395.58</v>
      </c>
      <c r="X1439" s="4">
        <f>IF(ISERROR(VLOOKUP($U$1439,'TAR FIN'!$A$1:$O$99,15,0)),0,VLOOKUP($U$1439,'TAR FIN'!$A$1:$O$99,15,0))</f>
        <v>230.53</v>
      </c>
      <c r="Y1439" s="4"/>
      <c r="Z1439" s="4">
        <f ca="1">('TUSD BE'!$AM$31+'TUSD BF'!$AM$31+'TUSD CVA'!$AM$31)*1</f>
        <v>466.61942630573992</v>
      </c>
      <c r="AA1439" s="4">
        <f>('TE BE'!$AA$13+'TE BF'!$AA$13+'TE CVA'!$AA$13)*1</f>
        <v>283.86889449376815</v>
      </c>
      <c r="AB1439" s="4">
        <f>$K$1439*$V$1439</f>
        <v>0</v>
      </c>
      <c r="AC1439" s="4">
        <f>$M$1439*$W$1439</f>
        <v>326364.18066000001</v>
      </c>
      <c r="AD1439" s="4">
        <f>$O$1439*$X$1439</f>
        <v>190193.47431000002</v>
      </c>
      <c r="AE1439" s="4">
        <f>$K$1439*$Y$1439</f>
        <v>0</v>
      </c>
      <c r="AF1439" s="4">
        <f ca="1">$M$1439*$Z$1439</f>
        <v>384973.62542674568</v>
      </c>
      <c r="AG1439" s="4">
        <f>$O$1439*$AA$1439</f>
        <v>234199.50241751008</v>
      </c>
    </row>
    <row r="1440" spans="1:33" ht="11.25" customHeight="1" x14ac:dyDescent="0.25">
      <c r="A1440" s="3" t="s">
        <v>28</v>
      </c>
      <c r="B1440" s="3" t="s">
        <v>22</v>
      </c>
      <c r="C1440" s="3" t="s">
        <v>23</v>
      </c>
      <c r="D1440" s="3" t="s">
        <v>24</v>
      </c>
      <c r="E1440" s="3" t="s">
        <v>24</v>
      </c>
      <c r="F1440" s="3" t="s">
        <v>25</v>
      </c>
      <c r="G1440" s="3" t="s">
        <v>25</v>
      </c>
      <c r="H1440" s="3" t="s">
        <v>25</v>
      </c>
      <c r="I1440" s="6">
        <v>44470</v>
      </c>
      <c r="J1440" s="4">
        <v>0</v>
      </c>
      <c r="K1440" s="4">
        <v>0</v>
      </c>
      <c r="L1440" s="4">
        <v>-34.710999999999999</v>
      </c>
      <c r="M1440" s="4">
        <v>-34.710999999999999</v>
      </c>
      <c r="N1440" s="4">
        <v>-34.710999999999999</v>
      </c>
      <c r="O1440" s="4">
        <v>-34.710999999999999</v>
      </c>
      <c r="P1440" s="4">
        <v>-16</v>
      </c>
      <c r="Q1440" s="3" t="s">
        <v>26</v>
      </c>
      <c r="R1440" s="3">
        <v>0</v>
      </c>
      <c r="S1440" s="4">
        <v>0</v>
      </c>
      <c r="T1440" s="4">
        <v>13</v>
      </c>
      <c r="U1440" s="4">
        <v>53</v>
      </c>
      <c r="V1440" s="4">
        <f>IF(ISERROR(VLOOKUP($S$1440,'TAR FIN'!$A$1:$O$99,15,0)),0,VLOOKUP($S$1440,'TAR FIN'!$A$1:$O$99,15,0))</f>
        <v>0</v>
      </c>
      <c r="W1440" s="4">
        <f>IF(ISERROR(VLOOKUP($T$1440,'TAR FIN'!$A$1:$O$99,15,0)),0,VLOOKUP($T$1440,'TAR FIN'!$A$1:$O$99,15,0))</f>
        <v>395.58</v>
      </c>
      <c r="X1440" s="4">
        <f>IF(ISERROR(VLOOKUP($U$1440,'TAR FIN'!$A$1:$O$99,15,0)),0,VLOOKUP($U$1440,'TAR FIN'!$A$1:$O$99,15,0))</f>
        <v>230.53</v>
      </c>
      <c r="Y1440" s="4"/>
      <c r="Z1440" s="4">
        <f ca="1">('TUSD BE'!$AM$31+'TUSD BF'!$AM$31+'TUSD CVA'!$AM$31)*1</f>
        <v>466.61942630573992</v>
      </c>
      <c r="AA1440" s="4">
        <f>('TE BE'!$AA$13+'TE BF'!$AA$13+'TE CVA'!$AA$13)*1</f>
        <v>283.86889449376815</v>
      </c>
      <c r="AB1440" s="4">
        <f>$K$1440*$V$1440</f>
        <v>0</v>
      </c>
      <c r="AC1440" s="4">
        <f>$M$1440*$W$1440</f>
        <v>-13730.977379999998</v>
      </c>
      <c r="AD1440" s="4">
        <f>$O$1440*$X$1440</f>
        <v>-8001.9268299999994</v>
      </c>
      <c r="AE1440" s="4">
        <f>$K$1440*$Y$1440</f>
        <v>0</v>
      </c>
      <c r="AF1440" s="4">
        <f ca="1">$M$1440*$Z$1440</f>
        <v>-16196.826906498538</v>
      </c>
      <c r="AG1440" s="4">
        <f>$O$1440*$AA$1440</f>
        <v>-9853.3731967731856</v>
      </c>
    </row>
    <row r="1441" spans="1:33" ht="11.25" customHeight="1" x14ac:dyDescent="0.25">
      <c r="A1441" s="3" t="s">
        <v>21</v>
      </c>
      <c r="B1441" s="3" t="s">
        <v>22</v>
      </c>
      <c r="C1441" s="3" t="s">
        <v>23</v>
      </c>
      <c r="D1441" s="3" t="s">
        <v>24</v>
      </c>
      <c r="E1441" s="3" t="s">
        <v>24</v>
      </c>
      <c r="F1441" s="3" t="s">
        <v>25</v>
      </c>
      <c r="G1441" s="3" t="s">
        <v>25</v>
      </c>
      <c r="H1441" s="3" t="s">
        <v>25</v>
      </c>
      <c r="I1441" s="6">
        <v>44501</v>
      </c>
      <c r="J1441" s="4">
        <v>0</v>
      </c>
      <c r="K1441" s="4">
        <v>0</v>
      </c>
      <c r="L1441" s="4">
        <v>101314.617</v>
      </c>
      <c r="M1441" s="4">
        <v>101314.617</v>
      </c>
      <c r="N1441" s="4">
        <v>101314.617</v>
      </c>
      <c r="O1441" s="4">
        <v>101314.617</v>
      </c>
      <c r="P1441" s="4">
        <v>711178</v>
      </c>
      <c r="Q1441" s="3" t="s">
        <v>26</v>
      </c>
      <c r="R1441" s="3">
        <v>0</v>
      </c>
      <c r="S1441" s="4">
        <v>0</v>
      </c>
      <c r="T1441" s="4">
        <v>13</v>
      </c>
      <c r="U1441" s="4">
        <v>53</v>
      </c>
      <c r="V1441" s="4">
        <f>IF(ISERROR(VLOOKUP($S$1441,'TAR FIN'!$A$1:$O$99,15,0)),0,VLOOKUP($S$1441,'TAR FIN'!$A$1:$O$99,15,0))</f>
        <v>0</v>
      </c>
      <c r="W1441" s="4">
        <f>IF(ISERROR(VLOOKUP($T$1441,'TAR FIN'!$A$1:$O$99,15,0)),0,VLOOKUP($T$1441,'TAR FIN'!$A$1:$O$99,15,0))</f>
        <v>395.58</v>
      </c>
      <c r="X1441" s="4">
        <f>IF(ISERROR(VLOOKUP($U$1441,'TAR FIN'!$A$1:$O$99,15,0)),0,VLOOKUP($U$1441,'TAR FIN'!$A$1:$O$99,15,0))</f>
        <v>230.53</v>
      </c>
      <c r="Y1441" s="4"/>
      <c r="Z1441" s="4">
        <f ca="1">('TUSD BE'!$AM$31+'TUSD BF'!$AM$31+'TUSD CVA'!$AM$31)*1</f>
        <v>466.61942630573992</v>
      </c>
      <c r="AA1441" s="4">
        <f>('TE BE'!$AA$13+'TE BF'!$AA$13+'TE CVA'!$AA$13)*1</f>
        <v>283.86889449376815</v>
      </c>
      <c r="AB1441" s="4">
        <f>$K$1441*$V$1441</f>
        <v>0</v>
      </c>
      <c r="AC1441" s="4">
        <f>$M$1441*$W$1441</f>
        <v>40078036.19286</v>
      </c>
      <c r="AD1441" s="4">
        <f>$O$1441*$X$1441</f>
        <v>23356058.65701</v>
      </c>
      <c r="AE1441" s="4">
        <f>$K$1441*$Y$1441</f>
        <v>0</v>
      </c>
      <c r="AF1441" s="4">
        <f ca="1">$M$1441*$Z$1441</f>
        <v>47275368.460925765</v>
      </c>
      <c r="AG1441" s="4">
        <f>$O$1441*$AA$1441</f>
        <v>28760068.323849529</v>
      </c>
    </row>
    <row r="1442" spans="1:33" ht="11.25" customHeight="1" x14ac:dyDescent="0.25">
      <c r="A1442" s="3" t="s">
        <v>27</v>
      </c>
      <c r="B1442" s="3" t="s">
        <v>22</v>
      </c>
      <c r="C1442" s="3" t="s">
        <v>23</v>
      </c>
      <c r="D1442" s="3" t="s">
        <v>24</v>
      </c>
      <c r="E1442" s="3" t="s">
        <v>24</v>
      </c>
      <c r="F1442" s="3" t="s">
        <v>25</v>
      </c>
      <c r="G1442" s="3" t="s">
        <v>25</v>
      </c>
      <c r="H1442" s="3" t="s">
        <v>25</v>
      </c>
      <c r="I1442" s="6">
        <v>44501</v>
      </c>
      <c r="J1442" s="4">
        <v>0</v>
      </c>
      <c r="K1442" s="4">
        <v>0</v>
      </c>
      <c r="L1442" s="4">
        <v>-413.678</v>
      </c>
      <c r="M1442" s="4">
        <v>-413.678</v>
      </c>
      <c r="N1442" s="4">
        <v>-413.678</v>
      </c>
      <c r="O1442" s="4">
        <v>-413.678</v>
      </c>
      <c r="P1442" s="4">
        <v>-2942</v>
      </c>
      <c r="Q1442" s="3" t="s">
        <v>26</v>
      </c>
      <c r="R1442" s="3">
        <v>0</v>
      </c>
      <c r="S1442" s="4">
        <v>0</v>
      </c>
      <c r="T1442" s="4">
        <v>13</v>
      </c>
      <c r="U1442" s="4">
        <v>53</v>
      </c>
      <c r="V1442" s="4">
        <f>IF(ISERROR(VLOOKUP($S$1442,'TAR FIN'!$A$1:$O$99,15,0)),0,VLOOKUP($S$1442,'TAR FIN'!$A$1:$O$99,15,0))</f>
        <v>0</v>
      </c>
      <c r="W1442" s="4">
        <f>IF(ISERROR(VLOOKUP($T$1442,'TAR FIN'!$A$1:$O$99,15,0)),0,VLOOKUP($T$1442,'TAR FIN'!$A$1:$O$99,15,0))</f>
        <v>395.58</v>
      </c>
      <c r="X1442" s="4">
        <f>IF(ISERROR(VLOOKUP($U$1442,'TAR FIN'!$A$1:$O$99,15,0)),0,VLOOKUP($U$1442,'TAR FIN'!$A$1:$O$99,15,0))</f>
        <v>230.53</v>
      </c>
      <c r="Y1442" s="4"/>
      <c r="Z1442" s="4">
        <f ca="1">('TUSD BE'!$AM$31+'TUSD BF'!$AM$31+'TUSD CVA'!$AM$31)*1</f>
        <v>466.61942630573992</v>
      </c>
      <c r="AA1442" s="4">
        <f>('TE BE'!$AA$13+'TE BF'!$AA$13+'TE CVA'!$AA$13)*1</f>
        <v>283.86889449376815</v>
      </c>
      <c r="AB1442" s="4">
        <f>$K$1442*$V$1442</f>
        <v>0</v>
      </c>
      <c r="AC1442" s="4">
        <f>$M$1442*$W$1442</f>
        <v>-163642.74323999998</v>
      </c>
      <c r="AD1442" s="4">
        <f>$O$1442*$X$1442</f>
        <v>-95365.189339999997</v>
      </c>
      <c r="AE1442" s="4">
        <f>$K$1442*$Y$1442</f>
        <v>0</v>
      </c>
      <c r="AF1442" s="4">
        <f ca="1">$M$1442*$Z$1442</f>
        <v>-193030.19103530588</v>
      </c>
      <c r="AG1442" s="4">
        <f>$O$1442*$AA$1442</f>
        <v>-117430.31653639302</v>
      </c>
    </row>
    <row r="1443" spans="1:33" ht="11.25" customHeight="1" x14ac:dyDescent="0.25">
      <c r="A1443" s="3" t="s">
        <v>28</v>
      </c>
      <c r="B1443" s="3" t="s">
        <v>22</v>
      </c>
      <c r="C1443" s="3" t="s">
        <v>23</v>
      </c>
      <c r="D1443" s="3" t="s">
        <v>24</v>
      </c>
      <c r="E1443" s="3" t="s">
        <v>24</v>
      </c>
      <c r="F1443" s="3" t="s">
        <v>25</v>
      </c>
      <c r="G1443" s="3" t="s">
        <v>25</v>
      </c>
      <c r="H1443" s="3" t="s">
        <v>25</v>
      </c>
      <c r="I1443" s="6">
        <v>44501</v>
      </c>
      <c r="J1443" s="4">
        <v>0</v>
      </c>
      <c r="K1443" s="4">
        <v>0</v>
      </c>
      <c r="L1443" s="4">
        <v>867.30100000000004</v>
      </c>
      <c r="M1443" s="4">
        <v>867.30100000000004</v>
      </c>
      <c r="N1443" s="4">
        <v>867.30100000000004</v>
      </c>
      <c r="O1443" s="4">
        <v>867.30100000000004</v>
      </c>
      <c r="P1443" s="4">
        <v>6299</v>
      </c>
      <c r="Q1443" s="3" t="s">
        <v>26</v>
      </c>
      <c r="R1443" s="3">
        <v>0</v>
      </c>
      <c r="S1443" s="4">
        <v>0</v>
      </c>
      <c r="T1443" s="4">
        <v>13</v>
      </c>
      <c r="U1443" s="4">
        <v>53</v>
      </c>
      <c r="V1443" s="4">
        <f>IF(ISERROR(VLOOKUP($S$1443,'TAR FIN'!$A$1:$O$99,15,0)),0,VLOOKUP($S$1443,'TAR FIN'!$A$1:$O$99,15,0))</f>
        <v>0</v>
      </c>
      <c r="W1443" s="4">
        <f>IF(ISERROR(VLOOKUP($T$1443,'TAR FIN'!$A$1:$O$99,15,0)),0,VLOOKUP($T$1443,'TAR FIN'!$A$1:$O$99,15,0))</f>
        <v>395.58</v>
      </c>
      <c r="X1443" s="4">
        <f>IF(ISERROR(VLOOKUP($U$1443,'TAR FIN'!$A$1:$O$99,15,0)),0,VLOOKUP($U$1443,'TAR FIN'!$A$1:$O$99,15,0))</f>
        <v>230.53</v>
      </c>
      <c r="Y1443" s="4"/>
      <c r="Z1443" s="4">
        <f ca="1">('TUSD BE'!$AM$31+'TUSD BF'!$AM$31+'TUSD CVA'!$AM$31)*1</f>
        <v>466.61942630573992</v>
      </c>
      <c r="AA1443" s="4">
        <f>('TE BE'!$AA$13+'TE BF'!$AA$13+'TE CVA'!$AA$13)*1</f>
        <v>283.86889449376815</v>
      </c>
      <c r="AB1443" s="4">
        <f>$K$1443*$V$1443</f>
        <v>0</v>
      </c>
      <c r="AC1443" s="4">
        <f>$M$1443*$W$1443</f>
        <v>343086.92958</v>
      </c>
      <c r="AD1443" s="4">
        <f>$O$1443*$X$1443</f>
        <v>199938.89953000002</v>
      </c>
      <c r="AE1443" s="4">
        <f>$K$1443*$Y$1443</f>
        <v>0</v>
      </c>
      <c r="AF1443" s="4">
        <f ca="1">$M$1443*$Z$1443</f>
        <v>404699.49505439459</v>
      </c>
      <c r="AG1443" s="4">
        <f>$O$1443*$AA$1443</f>
        <v>246199.77606333964</v>
      </c>
    </row>
    <row r="1444" spans="1:33" ht="11.25" customHeight="1" x14ac:dyDescent="0.25">
      <c r="A1444" s="3" t="s">
        <v>28</v>
      </c>
      <c r="B1444" s="3" t="s">
        <v>22</v>
      </c>
      <c r="C1444" s="3" t="s">
        <v>23</v>
      </c>
      <c r="D1444" s="3" t="s">
        <v>24</v>
      </c>
      <c r="E1444" s="3" t="s">
        <v>24</v>
      </c>
      <c r="F1444" s="3" t="s">
        <v>25</v>
      </c>
      <c r="G1444" s="3" t="s">
        <v>25</v>
      </c>
      <c r="H1444" s="3" t="s">
        <v>25</v>
      </c>
      <c r="I1444" s="6">
        <v>44501</v>
      </c>
      <c r="J1444" s="4">
        <v>0</v>
      </c>
      <c r="K1444" s="4">
        <v>0</v>
      </c>
      <c r="L1444" s="4">
        <v>1.9810000000000001</v>
      </c>
      <c r="M1444" s="4">
        <v>1.9810000000000001</v>
      </c>
      <c r="N1444" s="4">
        <v>1.9810000000000001</v>
      </c>
      <c r="O1444" s="4">
        <v>1.9810000000000001</v>
      </c>
      <c r="P1444" s="4">
        <v>12</v>
      </c>
      <c r="Q1444" s="3" t="s">
        <v>26</v>
      </c>
      <c r="R1444" s="3">
        <v>0</v>
      </c>
      <c r="S1444" s="4">
        <v>0</v>
      </c>
      <c r="T1444" s="4">
        <v>13</v>
      </c>
      <c r="U1444" s="4">
        <v>53</v>
      </c>
      <c r="V1444" s="4">
        <f>IF(ISERROR(VLOOKUP($S$1444,'TAR FIN'!$A$1:$O$99,15,0)),0,VLOOKUP($S$1444,'TAR FIN'!$A$1:$O$99,15,0))</f>
        <v>0</v>
      </c>
      <c r="W1444" s="4">
        <f>IF(ISERROR(VLOOKUP($T$1444,'TAR FIN'!$A$1:$O$99,15,0)),0,VLOOKUP($T$1444,'TAR FIN'!$A$1:$O$99,15,0))</f>
        <v>395.58</v>
      </c>
      <c r="X1444" s="4">
        <f>IF(ISERROR(VLOOKUP($U$1444,'TAR FIN'!$A$1:$O$99,15,0)),0,VLOOKUP($U$1444,'TAR FIN'!$A$1:$O$99,15,0))</f>
        <v>230.53</v>
      </c>
      <c r="Y1444" s="4"/>
      <c r="Z1444" s="4">
        <f ca="1">('TUSD BE'!$AM$31+'TUSD BF'!$AM$31+'TUSD CVA'!$AM$31)*1</f>
        <v>466.61942630573992</v>
      </c>
      <c r="AA1444" s="4">
        <f>('TE BE'!$AA$13+'TE BF'!$AA$13+'TE CVA'!$AA$13)*1</f>
        <v>283.86889449376815</v>
      </c>
      <c r="AB1444" s="4">
        <f>$K$1444*$V$1444</f>
        <v>0</v>
      </c>
      <c r="AC1444" s="4">
        <f>$M$1444*$W$1444</f>
        <v>783.64398000000006</v>
      </c>
      <c r="AD1444" s="4">
        <f>$O$1444*$X$1444</f>
        <v>456.67993000000001</v>
      </c>
      <c r="AE1444" s="4">
        <f>$K$1444*$Y$1444</f>
        <v>0</v>
      </c>
      <c r="AF1444" s="4">
        <f ca="1">$M$1444*$Z$1444</f>
        <v>924.37308351167087</v>
      </c>
      <c r="AG1444" s="4">
        <f>$O$1444*$AA$1444</f>
        <v>562.34427999215472</v>
      </c>
    </row>
    <row r="1445" spans="1:33" ht="11.25" customHeight="1" x14ac:dyDescent="0.25">
      <c r="A1445" s="3" t="s">
        <v>21</v>
      </c>
      <c r="B1445" s="3" t="s">
        <v>22</v>
      </c>
      <c r="C1445" s="3" t="s">
        <v>23</v>
      </c>
      <c r="D1445" s="3" t="s">
        <v>24</v>
      </c>
      <c r="E1445" s="3" t="s">
        <v>24</v>
      </c>
      <c r="F1445" s="3" t="s">
        <v>25</v>
      </c>
      <c r="G1445" s="3" t="s">
        <v>25</v>
      </c>
      <c r="H1445" s="3" t="s">
        <v>25</v>
      </c>
      <c r="I1445" s="6">
        <v>44531</v>
      </c>
      <c r="J1445" s="4">
        <v>0</v>
      </c>
      <c r="K1445" s="4">
        <v>0</v>
      </c>
      <c r="L1445" s="4">
        <v>103451.139</v>
      </c>
      <c r="M1445" s="4">
        <v>103451.139</v>
      </c>
      <c r="N1445" s="4">
        <v>103451.139</v>
      </c>
      <c r="O1445" s="4">
        <v>103451.139</v>
      </c>
      <c r="P1445" s="4">
        <v>699786</v>
      </c>
      <c r="Q1445" s="3" t="s">
        <v>26</v>
      </c>
      <c r="R1445" s="3">
        <v>0</v>
      </c>
      <c r="S1445" s="4">
        <v>0</v>
      </c>
      <c r="T1445" s="4">
        <v>13</v>
      </c>
      <c r="U1445" s="4">
        <v>53</v>
      </c>
      <c r="V1445" s="4">
        <f>IF(ISERROR(VLOOKUP($S$1445,'TAR FIN'!$A$1:$O$99,15,0)),0,VLOOKUP($S$1445,'TAR FIN'!$A$1:$O$99,15,0))</f>
        <v>0</v>
      </c>
      <c r="W1445" s="4">
        <f>IF(ISERROR(VLOOKUP($T$1445,'TAR FIN'!$A$1:$O$99,15,0)),0,VLOOKUP($T$1445,'TAR FIN'!$A$1:$O$99,15,0))</f>
        <v>395.58</v>
      </c>
      <c r="X1445" s="4">
        <f>IF(ISERROR(VLOOKUP($U$1445,'TAR FIN'!$A$1:$O$99,15,0)),0,VLOOKUP($U$1445,'TAR FIN'!$A$1:$O$99,15,0))</f>
        <v>230.53</v>
      </c>
      <c r="Y1445" s="4"/>
      <c r="Z1445" s="4">
        <f ca="1">('TUSD BE'!$AM$31+'TUSD BF'!$AM$31+'TUSD CVA'!$AM$31)*1</f>
        <v>466.61942630573992</v>
      </c>
      <c r="AA1445" s="4">
        <f>('TE BE'!$AA$13+'TE BF'!$AA$13+'TE CVA'!$AA$13)*1</f>
        <v>283.86889449376815</v>
      </c>
      <c r="AB1445" s="4">
        <f>$K$1445*$V$1445</f>
        <v>0</v>
      </c>
      <c r="AC1445" s="4">
        <f>$M$1445*$W$1445</f>
        <v>40923201.565619998</v>
      </c>
      <c r="AD1445" s="4">
        <f>$O$1445*$X$1445</f>
        <v>23848591.07367</v>
      </c>
      <c r="AE1445" s="4">
        <f>$K$1445*$Y$1445</f>
        <v>0</v>
      </c>
      <c r="AF1445" s="4">
        <f ca="1">$M$1445*$Z$1445</f>
        <v>48272311.130855352</v>
      </c>
      <c r="AG1445" s="4">
        <f>$O$1445*$AA$1445</f>
        <v>29366560.462051142</v>
      </c>
    </row>
    <row r="1446" spans="1:33" ht="11.25" customHeight="1" x14ac:dyDescent="0.25">
      <c r="A1446" s="3" t="s">
        <v>27</v>
      </c>
      <c r="B1446" s="3" t="s">
        <v>22</v>
      </c>
      <c r="C1446" s="3" t="s">
        <v>23</v>
      </c>
      <c r="D1446" s="3" t="s">
        <v>24</v>
      </c>
      <c r="E1446" s="3" t="s">
        <v>24</v>
      </c>
      <c r="F1446" s="3" t="s">
        <v>25</v>
      </c>
      <c r="G1446" s="3" t="s">
        <v>25</v>
      </c>
      <c r="H1446" s="3" t="s">
        <v>25</v>
      </c>
      <c r="I1446" s="6">
        <v>44531</v>
      </c>
      <c r="J1446" s="4">
        <v>0</v>
      </c>
      <c r="K1446" s="4">
        <v>0</v>
      </c>
      <c r="L1446" s="4">
        <v>-390.34500000000003</v>
      </c>
      <c r="M1446" s="4">
        <v>-390.34500000000003</v>
      </c>
      <c r="N1446" s="4">
        <v>-390.34500000000003</v>
      </c>
      <c r="O1446" s="4">
        <v>-390.34500000000003</v>
      </c>
      <c r="P1446" s="4">
        <v>-3158</v>
      </c>
      <c r="Q1446" s="3" t="s">
        <v>26</v>
      </c>
      <c r="R1446" s="3">
        <v>0</v>
      </c>
      <c r="S1446" s="4">
        <v>0</v>
      </c>
      <c r="T1446" s="4">
        <v>13</v>
      </c>
      <c r="U1446" s="4">
        <v>53</v>
      </c>
      <c r="V1446" s="4">
        <f>IF(ISERROR(VLOOKUP($S$1446,'TAR FIN'!$A$1:$O$99,15,0)),0,VLOOKUP($S$1446,'TAR FIN'!$A$1:$O$99,15,0))</f>
        <v>0</v>
      </c>
      <c r="W1446" s="4">
        <f>IF(ISERROR(VLOOKUP($T$1446,'TAR FIN'!$A$1:$O$99,15,0)),0,VLOOKUP($T$1446,'TAR FIN'!$A$1:$O$99,15,0))</f>
        <v>395.58</v>
      </c>
      <c r="X1446" s="4">
        <f>IF(ISERROR(VLOOKUP($U$1446,'TAR FIN'!$A$1:$O$99,15,0)),0,VLOOKUP($U$1446,'TAR FIN'!$A$1:$O$99,15,0))</f>
        <v>230.53</v>
      </c>
      <c r="Y1446" s="4"/>
      <c r="Z1446" s="4">
        <f ca="1">('TUSD BE'!$AM$31+'TUSD BF'!$AM$31+'TUSD CVA'!$AM$31)*1</f>
        <v>466.61942630573992</v>
      </c>
      <c r="AA1446" s="4">
        <f>('TE BE'!$AA$13+'TE BF'!$AA$13+'TE CVA'!$AA$13)*1</f>
        <v>283.86889449376815</v>
      </c>
      <c r="AB1446" s="4">
        <f>$K$1446*$V$1446</f>
        <v>0</v>
      </c>
      <c r="AC1446" s="4">
        <f>$M$1446*$W$1446</f>
        <v>-154412.67509999999</v>
      </c>
      <c r="AD1446" s="4">
        <f>$O$1446*$X$1446</f>
        <v>-89986.23285</v>
      </c>
      <c r="AE1446" s="4">
        <f>$K$1446*$Y$1446</f>
        <v>0</v>
      </c>
      <c r="AF1446" s="4">
        <f ca="1">$M$1446*$Z$1446</f>
        <v>-182142.55996131405</v>
      </c>
      <c r="AG1446" s="4">
        <f>$O$1446*$AA$1446</f>
        <v>-110806.80362116994</v>
      </c>
    </row>
    <row r="1447" spans="1:33" ht="11.25" customHeight="1" x14ac:dyDescent="0.25">
      <c r="A1447" s="3" t="s">
        <v>28</v>
      </c>
      <c r="B1447" s="3" t="s">
        <v>22</v>
      </c>
      <c r="C1447" s="3" t="s">
        <v>23</v>
      </c>
      <c r="D1447" s="3" t="s">
        <v>24</v>
      </c>
      <c r="E1447" s="3" t="s">
        <v>24</v>
      </c>
      <c r="F1447" s="3" t="s">
        <v>25</v>
      </c>
      <c r="G1447" s="3" t="s">
        <v>25</v>
      </c>
      <c r="H1447" s="3" t="s">
        <v>25</v>
      </c>
      <c r="I1447" s="6">
        <v>44531</v>
      </c>
      <c r="J1447" s="4">
        <v>0</v>
      </c>
      <c r="K1447" s="4">
        <v>0</v>
      </c>
      <c r="L1447" s="4">
        <v>1065.6189999999999</v>
      </c>
      <c r="M1447" s="4">
        <v>1065.6189999999999</v>
      </c>
      <c r="N1447" s="4">
        <v>1065.6189999999999</v>
      </c>
      <c r="O1447" s="4">
        <v>1065.6189999999999</v>
      </c>
      <c r="P1447" s="4">
        <v>6880</v>
      </c>
      <c r="Q1447" s="3" t="s">
        <v>26</v>
      </c>
      <c r="R1447" s="3">
        <v>0</v>
      </c>
      <c r="S1447" s="4">
        <v>0</v>
      </c>
      <c r="T1447" s="4">
        <v>13</v>
      </c>
      <c r="U1447" s="4">
        <v>53</v>
      </c>
      <c r="V1447" s="4">
        <f>IF(ISERROR(VLOOKUP($S$1447,'TAR FIN'!$A$1:$O$99,15,0)),0,VLOOKUP($S$1447,'TAR FIN'!$A$1:$O$99,15,0))</f>
        <v>0</v>
      </c>
      <c r="W1447" s="4">
        <f>IF(ISERROR(VLOOKUP($T$1447,'TAR FIN'!$A$1:$O$99,15,0)),0,VLOOKUP($T$1447,'TAR FIN'!$A$1:$O$99,15,0))</f>
        <v>395.58</v>
      </c>
      <c r="X1447" s="4">
        <f>IF(ISERROR(VLOOKUP($U$1447,'TAR FIN'!$A$1:$O$99,15,0)),0,VLOOKUP($U$1447,'TAR FIN'!$A$1:$O$99,15,0))</f>
        <v>230.53</v>
      </c>
      <c r="Y1447" s="4"/>
      <c r="Z1447" s="4">
        <f ca="1">('TUSD BE'!$AM$31+'TUSD BF'!$AM$31+'TUSD CVA'!$AM$31)*1</f>
        <v>466.61942630573992</v>
      </c>
      <c r="AA1447" s="4">
        <f>('TE BE'!$AA$13+'TE BF'!$AA$13+'TE CVA'!$AA$13)*1</f>
        <v>283.86889449376815</v>
      </c>
      <c r="AB1447" s="4">
        <f>$K$1447*$V$1447</f>
        <v>0</v>
      </c>
      <c r="AC1447" s="4">
        <f>$M$1447*$W$1447</f>
        <v>421537.56401999993</v>
      </c>
      <c r="AD1447" s="4">
        <f>$O$1447*$X$1447</f>
        <v>245657.14807</v>
      </c>
      <c r="AE1447" s="4">
        <f>$K$1447*$Y$1447</f>
        <v>0</v>
      </c>
      <c r="AF1447" s="4">
        <f ca="1">$M$1447*$Z$1447</f>
        <v>497238.52644049621</v>
      </c>
      <c r="AG1447" s="4">
        <f>$O$1447*$AA$1447</f>
        <v>302496.08748155471</v>
      </c>
    </row>
    <row r="1448" spans="1:33" ht="11.25" customHeight="1" x14ac:dyDescent="0.25">
      <c r="A1448" s="3" t="s">
        <v>28</v>
      </c>
      <c r="B1448" s="3" t="s">
        <v>22</v>
      </c>
      <c r="C1448" s="3" t="s">
        <v>23</v>
      </c>
      <c r="D1448" s="3" t="s">
        <v>24</v>
      </c>
      <c r="E1448" s="3" t="s">
        <v>24</v>
      </c>
      <c r="F1448" s="3" t="s">
        <v>25</v>
      </c>
      <c r="G1448" s="3" t="s">
        <v>25</v>
      </c>
      <c r="H1448" s="3" t="s">
        <v>25</v>
      </c>
      <c r="I1448" s="6">
        <v>44531</v>
      </c>
      <c r="J1448" s="4">
        <v>0</v>
      </c>
      <c r="K1448" s="4">
        <v>0</v>
      </c>
      <c r="L1448" s="4">
        <v>-20.568999999999999</v>
      </c>
      <c r="M1448" s="4">
        <v>-20.568999999999999</v>
      </c>
      <c r="N1448" s="4">
        <v>-20.568999999999999</v>
      </c>
      <c r="O1448" s="4">
        <v>-20.568999999999999</v>
      </c>
      <c r="P1448" s="4">
        <v>1</v>
      </c>
      <c r="Q1448" s="3" t="s">
        <v>26</v>
      </c>
      <c r="R1448" s="3">
        <v>0</v>
      </c>
      <c r="S1448" s="4">
        <v>0</v>
      </c>
      <c r="T1448" s="4">
        <v>13</v>
      </c>
      <c r="U1448" s="4">
        <v>53</v>
      </c>
      <c r="V1448" s="4">
        <f>IF(ISERROR(VLOOKUP($S$1448,'TAR FIN'!$A$1:$O$99,15,0)),0,VLOOKUP($S$1448,'TAR FIN'!$A$1:$O$99,15,0))</f>
        <v>0</v>
      </c>
      <c r="W1448" s="4">
        <f>IF(ISERROR(VLOOKUP($T$1448,'TAR FIN'!$A$1:$O$99,15,0)),0,VLOOKUP($T$1448,'TAR FIN'!$A$1:$O$99,15,0))</f>
        <v>395.58</v>
      </c>
      <c r="X1448" s="4">
        <f>IF(ISERROR(VLOOKUP($U$1448,'TAR FIN'!$A$1:$O$99,15,0)),0,VLOOKUP($U$1448,'TAR FIN'!$A$1:$O$99,15,0))</f>
        <v>230.53</v>
      </c>
      <c r="Y1448" s="4"/>
      <c r="Z1448" s="4">
        <f ca="1">('TUSD BE'!$AM$31+'TUSD BF'!$AM$31+'TUSD CVA'!$AM$31)*1</f>
        <v>466.61942630573992</v>
      </c>
      <c r="AA1448" s="4">
        <f>('TE BE'!$AA$13+'TE BF'!$AA$13+'TE CVA'!$AA$13)*1</f>
        <v>283.86889449376815</v>
      </c>
      <c r="AB1448" s="4">
        <f>$K$1448*$V$1448</f>
        <v>0</v>
      </c>
      <c r="AC1448" s="4">
        <f>$M$1448*$W$1448</f>
        <v>-8136.685019999999</v>
      </c>
      <c r="AD1448" s="4">
        <f>$O$1448*$X$1448</f>
        <v>-4741.7715699999999</v>
      </c>
      <c r="AE1448" s="4">
        <f>$K$1448*$Y$1448</f>
        <v>0</v>
      </c>
      <c r="AF1448" s="4">
        <f ca="1">$M$1448*$Z$1448</f>
        <v>-9597.8949796827637</v>
      </c>
      <c r="AG1448" s="4">
        <f>$O$1448*$AA$1448</f>
        <v>-5838.899290842317</v>
      </c>
    </row>
    <row r="1449" spans="1:33" ht="11.25" customHeight="1" x14ac:dyDescent="0.25">
      <c r="A1449" s="3" t="s">
        <v>21</v>
      </c>
      <c r="B1449" s="3" t="s">
        <v>22</v>
      </c>
      <c r="C1449" s="3" t="s">
        <v>23</v>
      </c>
      <c r="D1449" s="3" t="s">
        <v>24</v>
      </c>
      <c r="E1449" s="3" t="s">
        <v>24</v>
      </c>
      <c r="F1449" s="3" t="s">
        <v>25</v>
      </c>
      <c r="G1449" s="3" t="s">
        <v>25</v>
      </c>
      <c r="H1449" s="3" t="s">
        <v>25</v>
      </c>
      <c r="I1449" s="6">
        <v>44562</v>
      </c>
      <c r="J1449" s="4">
        <v>0</v>
      </c>
      <c r="K1449" s="4">
        <v>0</v>
      </c>
      <c r="L1449" s="4">
        <v>100424.65700000001</v>
      </c>
      <c r="M1449" s="4">
        <v>100424.65700000001</v>
      </c>
      <c r="N1449" s="4">
        <v>100424.65700000001</v>
      </c>
      <c r="O1449" s="4">
        <v>100424.65700000001</v>
      </c>
      <c r="P1449" s="4">
        <v>685430</v>
      </c>
      <c r="Q1449" s="3" t="s">
        <v>26</v>
      </c>
      <c r="R1449" s="3">
        <v>0</v>
      </c>
      <c r="S1449" s="4">
        <v>0</v>
      </c>
      <c r="T1449" s="4">
        <v>13</v>
      </c>
      <c r="U1449" s="4">
        <v>53</v>
      </c>
      <c r="V1449" s="4">
        <f>IF(ISERROR(VLOOKUP($S$1449,'TAR FIN'!$A$1:$O$99,15,0)),0,VLOOKUP($S$1449,'TAR FIN'!$A$1:$O$99,15,0))</f>
        <v>0</v>
      </c>
      <c r="W1449" s="4">
        <f>IF(ISERROR(VLOOKUP($T$1449,'TAR FIN'!$A$1:$O$99,15,0)),0,VLOOKUP($T$1449,'TAR FIN'!$A$1:$O$99,15,0))</f>
        <v>395.58</v>
      </c>
      <c r="X1449" s="4">
        <f>IF(ISERROR(VLOOKUP($U$1449,'TAR FIN'!$A$1:$O$99,15,0)),0,VLOOKUP($U$1449,'TAR FIN'!$A$1:$O$99,15,0))</f>
        <v>230.53</v>
      </c>
      <c r="Y1449" s="4"/>
      <c r="Z1449" s="4">
        <f ca="1">('TUSD BE'!$AM$31+'TUSD BF'!$AM$31+'TUSD CVA'!$AM$31)*1</f>
        <v>466.61942630573992</v>
      </c>
      <c r="AA1449" s="4">
        <f>('TE BE'!$AA$13+'TE BF'!$AA$13+'TE CVA'!$AA$13)*1</f>
        <v>283.86889449376815</v>
      </c>
      <c r="AB1449" s="4">
        <f>$K$1449*$V$1449</f>
        <v>0</v>
      </c>
      <c r="AC1449" s="4">
        <f>$M$1449*$W$1449</f>
        <v>39725985.816059999</v>
      </c>
      <c r="AD1449" s="4">
        <f>$O$1449*$X$1449</f>
        <v>23150896.178210001</v>
      </c>
      <c r="AE1449" s="4">
        <f>$K$1449*$Y$1449</f>
        <v>0</v>
      </c>
      <c r="AF1449" s="4">
        <f ca="1">$M$1449*$Z$1449</f>
        <v>46860095.83629071</v>
      </c>
      <c r="AG1449" s="4">
        <f>$O$1449*$AA$1449</f>
        <v>28507436.362505857</v>
      </c>
    </row>
    <row r="1450" spans="1:33" ht="11.25" customHeight="1" x14ac:dyDescent="0.25">
      <c r="A1450" s="3" t="s">
        <v>27</v>
      </c>
      <c r="B1450" s="3" t="s">
        <v>22</v>
      </c>
      <c r="C1450" s="3" t="s">
        <v>23</v>
      </c>
      <c r="D1450" s="3" t="s">
        <v>24</v>
      </c>
      <c r="E1450" s="3" t="s">
        <v>24</v>
      </c>
      <c r="F1450" s="3" t="s">
        <v>25</v>
      </c>
      <c r="G1450" s="3" t="s">
        <v>25</v>
      </c>
      <c r="H1450" s="3" t="s">
        <v>25</v>
      </c>
      <c r="I1450" s="6">
        <v>44562</v>
      </c>
      <c r="J1450" s="4">
        <v>0</v>
      </c>
      <c r="K1450" s="4">
        <v>0</v>
      </c>
      <c r="L1450" s="4">
        <v>-816.92899999999997</v>
      </c>
      <c r="M1450" s="4">
        <v>-816.92899999999997</v>
      </c>
      <c r="N1450" s="4">
        <v>-816.92899999999997</v>
      </c>
      <c r="O1450" s="4">
        <v>-816.92899999999997</v>
      </c>
      <c r="P1450" s="4">
        <v>-5225</v>
      </c>
      <c r="Q1450" s="3" t="s">
        <v>26</v>
      </c>
      <c r="R1450" s="3">
        <v>0</v>
      </c>
      <c r="S1450" s="4">
        <v>0</v>
      </c>
      <c r="T1450" s="4">
        <v>13</v>
      </c>
      <c r="U1450" s="4">
        <v>53</v>
      </c>
      <c r="V1450" s="4">
        <f>IF(ISERROR(VLOOKUP($S$1450,'TAR FIN'!$A$1:$O$99,15,0)),0,VLOOKUP($S$1450,'TAR FIN'!$A$1:$O$99,15,0))</f>
        <v>0</v>
      </c>
      <c r="W1450" s="4">
        <f>IF(ISERROR(VLOOKUP($T$1450,'TAR FIN'!$A$1:$O$99,15,0)),0,VLOOKUP($T$1450,'TAR FIN'!$A$1:$O$99,15,0))</f>
        <v>395.58</v>
      </c>
      <c r="X1450" s="4">
        <f>IF(ISERROR(VLOOKUP($U$1450,'TAR FIN'!$A$1:$O$99,15,0)),0,VLOOKUP($U$1450,'TAR FIN'!$A$1:$O$99,15,0))</f>
        <v>230.53</v>
      </c>
      <c r="Y1450" s="4"/>
      <c r="Z1450" s="4">
        <f ca="1">('TUSD BE'!$AM$31+'TUSD BF'!$AM$31+'TUSD CVA'!$AM$31)*1</f>
        <v>466.61942630573992</v>
      </c>
      <c r="AA1450" s="4">
        <f>('TE BE'!$AA$13+'TE BF'!$AA$13+'TE CVA'!$AA$13)*1</f>
        <v>283.86889449376815</v>
      </c>
      <c r="AB1450" s="4">
        <f>$K$1450*$V$1450</f>
        <v>0</v>
      </c>
      <c r="AC1450" s="4">
        <f>$M$1450*$W$1450</f>
        <v>-323160.77382</v>
      </c>
      <c r="AD1450" s="4">
        <f>$O$1450*$X$1450</f>
        <v>-188326.64236999999</v>
      </c>
      <c r="AE1450" s="4">
        <f>$K$1450*$Y$1450</f>
        <v>0</v>
      </c>
      <c r="AF1450" s="4">
        <f ca="1">$M$1450*$Z$1450</f>
        <v>-381194.94131252181</v>
      </c>
      <c r="AG1450" s="4">
        <f>$O$1450*$AA$1450</f>
        <v>-231900.73210989952</v>
      </c>
    </row>
    <row r="1451" spans="1:33" ht="11.25" customHeight="1" x14ac:dyDescent="0.25">
      <c r="A1451" s="3" t="s">
        <v>28</v>
      </c>
      <c r="B1451" s="3" t="s">
        <v>22</v>
      </c>
      <c r="C1451" s="3" t="s">
        <v>23</v>
      </c>
      <c r="D1451" s="3" t="s">
        <v>24</v>
      </c>
      <c r="E1451" s="3" t="s">
        <v>24</v>
      </c>
      <c r="F1451" s="3" t="s">
        <v>25</v>
      </c>
      <c r="G1451" s="3" t="s">
        <v>25</v>
      </c>
      <c r="H1451" s="3" t="s">
        <v>25</v>
      </c>
      <c r="I1451" s="6">
        <v>44562</v>
      </c>
      <c r="J1451" s="4">
        <v>0</v>
      </c>
      <c r="K1451" s="4">
        <v>0</v>
      </c>
      <c r="L1451" s="4">
        <v>1161.79</v>
      </c>
      <c r="M1451" s="4">
        <v>1161.79</v>
      </c>
      <c r="N1451" s="4">
        <v>1161.79</v>
      </c>
      <c r="O1451" s="4">
        <v>1161.79</v>
      </c>
      <c r="P1451" s="4">
        <v>7465</v>
      </c>
      <c r="Q1451" s="3" t="s">
        <v>26</v>
      </c>
      <c r="R1451" s="3">
        <v>0</v>
      </c>
      <c r="S1451" s="4">
        <v>0</v>
      </c>
      <c r="T1451" s="4">
        <v>13</v>
      </c>
      <c r="U1451" s="4">
        <v>53</v>
      </c>
      <c r="V1451" s="4">
        <f>IF(ISERROR(VLOOKUP($S$1451,'TAR FIN'!$A$1:$O$99,15,0)),0,VLOOKUP($S$1451,'TAR FIN'!$A$1:$O$99,15,0))</f>
        <v>0</v>
      </c>
      <c r="W1451" s="4">
        <f>IF(ISERROR(VLOOKUP($T$1451,'TAR FIN'!$A$1:$O$99,15,0)),0,VLOOKUP($T$1451,'TAR FIN'!$A$1:$O$99,15,0))</f>
        <v>395.58</v>
      </c>
      <c r="X1451" s="4">
        <f>IF(ISERROR(VLOOKUP($U$1451,'TAR FIN'!$A$1:$O$99,15,0)),0,VLOOKUP($U$1451,'TAR FIN'!$A$1:$O$99,15,0))</f>
        <v>230.53</v>
      </c>
      <c r="Y1451" s="4"/>
      <c r="Z1451" s="4">
        <f ca="1">('TUSD BE'!$AM$31+'TUSD BF'!$AM$31+'TUSD CVA'!$AM$31)*1</f>
        <v>466.61942630573992</v>
      </c>
      <c r="AA1451" s="4">
        <f>('TE BE'!$AA$13+'TE BF'!$AA$13+'TE CVA'!$AA$13)*1</f>
        <v>283.86889449376815</v>
      </c>
      <c r="AB1451" s="4">
        <f>$K$1451*$V$1451</f>
        <v>0</v>
      </c>
      <c r="AC1451" s="4">
        <f>$M$1451*$W$1451</f>
        <v>459580.88819999999</v>
      </c>
      <c r="AD1451" s="4">
        <f>$O$1451*$X$1451</f>
        <v>267827.44870000001</v>
      </c>
      <c r="AE1451" s="4">
        <f>$K$1451*$Y$1451</f>
        <v>0</v>
      </c>
      <c r="AF1451" s="4">
        <f ca="1">$M$1451*$Z$1451</f>
        <v>542113.78328774555</v>
      </c>
      <c r="AG1451" s="4">
        <f>$O$1451*$AA$1451</f>
        <v>329796.04293391487</v>
      </c>
    </row>
    <row r="1452" spans="1:33" ht="11.25" customHeight="1" x14ac:dyDescent="0.25">
      <c r="A1452" s="3" t="s">
        <v>28</v>
      </c>
      <c r="B1452" s="3" t="s">
        <v>22</v>
      </c>
      <c r="C1452" s="3" t="s">
        <v>23</v>
      </c>
      <c r="D1452" s="3" t="s">
        <v>24</v>
      </c>
      <c r="E1452" s="3" t="s">
        <v>24</v>
      </c>
      <c r="F1452" s="3" t="s">
        <v>25</v>
      </c>
      <c r="G1452" s="3" t="s">
        <v>25</v>
      </c>
      <c r="H1452" s="3" t="s">
        <v>25</v>
      </c>
      <c r="I1452" s="6">
        <v>44562</v>
      </c>
      <c r="J1452" s="4">
        <v>0</v>
      </c>
      <c r="K1452" s="4">
        <v>0</v>
      </c>
      <c r="L1452" s="4">
        <v>-2.2850000000000001</v>
      </c>
      <c r="M1452" s="4">
        <v>-2.2850000000000001</v>
      </c>
      <c r="N1452" s="4">
        <v>-2.2850000000000001</v>
      </c>
      <c r="O1452" s="4">
        <v>-2.2850000000000001</v>
      </c>
      <c r="P1452" s="4">
        <v>1</v>
      </c>
      <c r="Q1452" s="3" t="s">
        <v>26</v>
      </c>
      <c r="R1452" s="3">
        <v>0</v>
      </c>
      <c r="S1452" s="4">
        <v>0</v>
      </c>
      <c r="T1452" s="4">
        <v>13</v>
      </c>
      <c r="U1452" s="4">
        <v>53</v>
      </c>
      <c r="V1452" s="4">
        <f>IF(ISERROR(VLOOKUP($S$1452,'TAR FIN'!$A$1:$O$99,15,0)),0,VLOOKUP($S$1452,'TAR FIN'!$A$1:$O$99,15,0))</f>
        <v>0</v>
      </c>
      <c r="W1452" s="4">
        <f>IF(ISERROR(VLOOKUP($T$1452,'TAR FIN'!$A$1:$O$99,15,0)),0,VLOOKUP($T$1452,'TAR FIN'!$A$1:$O$99,15,0))</f>
        <v>395.58</v>
      </c>
      <c r="X1452" s="4">
        <f>IF(ISERROR(VLOOKUP($U$1452,'TAR FIN'!$A$1:$O$99,15,0)),0,VLOOKUP($U$1452,'TAR FIN'!$A$1:$O$99,15,0))</f>
        <v>230.53</v>
      </c>
      <c r="Y1452" s="4"/>
      <c r="Z1452" s="4">
        <f ca="1">('TUSD BE'!$AM$31+'TUSD BF'!$AM$31+'TUSD CVA'!$AM$31)*1</f>
        <v>466.61942630573992</v>
      </c>
      <c r="AA1452" s="4">
        <f>('TE BE'!$AA$13+'TE BF'!$AA$13+'TE CVA'!$AA$13)*1</f>
        <v>283.86889449376815</v>
      </c>
      <c r="AB1452" s="4">
        <f>$K$1452*$V$1452</f>
        <v>0</v>
      </c>
      <c r="AC1452" s="4">
        <f>$M$1452*$W$1452</f>
        <v>-903.90030000000002</v>
      </c>
      <c r="AD1452" s="4">
        <f>$O$1452*$X$1452</f>
        <v>-526.76105000000007</v>
      </c>
      <c r="AE1452" s="4">
        <f>$K$1452*$Y$1452</f>
        <v>0</v>
      </c>
      <c r="AF1452" s="4">
        <f ca="1">$M$1452*$Z$1452</f>
        <v>-1066.2253891086157</v>
      </c>
      <c r="AG1452" s="4">
        <f>$O$1452*$AA$1452</f>
        <v>-648.64042391826024</v>
      </c>
    </row>
    <row r="1453" spans="1:33" ht="11.25" customHeight="1" x14ac:dyDescent="0.25">
      <c r="A1453" s="3" t="s">
        <v>21</v>
      </c>
      <c r="B1453" s="3" t="s">
        <v>22</v>
      </c>
      <c r="C1453" s="3" t="s">
        <v>23</v>
      </c>
      <c r="D1453" s="3" t="s">
        <v>24</v>
      </c>
      <c r="E1453" s="3" t="s">
        <v>24</v>
      </c>
      <c r="F1453" s="3" t="s">
        <v>25</v>
      </c>
      <c r="G1453" s="3" t="s">
        <v>25</v>
      </c>
      <c r="H1453" s="3" t="s">
        <v>25</v>
      </c>
      <c r="I1453" s="6">
        <v>44593</v>
      </c>
      <c r="J1453" s="4">
        <v>0</v>
      </c>
      <c r="K1453" s="4">
        <v>0</v>
      </c>
      <c r="L1453" s="4">
        <v>97867.597999999998</v>
      </c>
      <c r="M1453" s="4">
        <v>97867.597999999998</v>
      </c>
      <c r="N1453" s="4">
        <v>97867.597999999998</v>
      </c>
      <c r="O1453" s="4">
        <v>97867.597999999998</v>
      </c>
      <c r="P1453" s="4">
        <v>681080</v>
      </c>
      <c r="Q1453" s="3" t="s">
        <v>26</v>
      </c>
      <c r="R1453" s="3">
        <v>0</v>
      </c>
      <c r="S1453" s="4">
        <v>0</v>
      </c>
      <c r="T1453" s="4">
        <v>13</v>
      </c>
      <c r="U1453" s="4">
        <v>53</v>
      </c>
      <c r="V1453" s="4">
        <f>IF(ISERROR(VLOOKUP($S$1453,'TAR FIN'!$A$1:$O$99,15,0)),0,VLOOKUP($S$1453,'TAR FIN'!$A$1:$O$99,15,0))</f>
        <v>0</v>
      </c>
      <c r="W1453" s="4">
        <f>IF(ISERROR(VLOOKUP($T$1453,'TAR FIN'!$A$1:$O$99,15,0)),0,VLOOKUP($T$1453,'TAR FIN'!$A$1:$O$99,15,0))</f>
        <v>395.58</v>
      </c>
      <c r="X1453" s="4">
        <f>IF(ISERROR(VLOOKUP($U$1453,'TAR FIN'!$A$1:$O$99,15,0)),0,VLOOKUP($U$1453,'TAR FIN'!$A$1:$O$99,15,0))</f>
        <v>230.53</v>
      </c>
      <c r="Y1453" s="4"/>
      <c r="Z1453" s="4">
        <f ca="1">('TUSD BE'!$AM$31+'TUSD BF'!$AM$31+'TUSD CVA'!$AM$31)*1</f>
        <v>466.61942630573992</v>
      </c>
      <c r="AA1453" s="4">
        <f>('TE BE'!$AA$13+'TE BF'!$AA$13+'TE CVA'!$AA$13)*1</f>
        <v>283.86889449376815</v>
      </c>
      <c r="AB1453" s="4">
        <f>$K$1453*$V$1453</f>
        <v>0</v>
      </c>
      <c r="AC1453" s="4">
        <f>$M$1453*$W$1453</f>
        <v>38714464.416839994</v>
      </c>
      <c r="AD1453" s="4">
        <f>$O$1453*$X$1453</f>
        <v>22561417.366939999</v>
      </c>
      <c r="AE1453" s="4">
        <f>$K$1453*$Y$1453</f>
        <v>0</v>
      </c>
      <c r="AF1453" s="4">
        <f ca="1">$M$1453*$Z$1453</f>
        <v>45666922.432680778</v>
      </c>
      <c r="AG1453" s="4">
        <f>$O$1453*$AA$1453</f>
        <v>27781566.851020515</v>
      </c>
    </row>
    <row r="1454" spans="1:33" ht="11.25" customHeight="1" x14ac:dyDescent="0.25">
      <c r="A1454" s="3" t="s">
        <v>27</v>
      </c>
      <c r="B1454" s="3" t="s">
        <v>22</v>
      </c>
      <c r="C1454" s="3" t="s">
        <v>23</v>
      </c>
      <c r="D1454" s="3" t="s">
        <v>24</v>
      </c>
      <c r="E1454" s="3" t="s">
        <v>24</v>
      </c>
      <c r="F1454" s="3" t="s">
        <v>25</v>
      </c>
      <c r="G1454" s="3" t="s">
        <v>25</v>
      </c>
      <c r="H1454" s="3" t="s">
        <v>25</v>
      </c>
      <c r="I1454" s="6">
        <v>44593</v>
      </c>
      <c r="J1454" s="4">
        <v>0</v>
      </c>
      <c r="K1454" s="4">
        <v>0</v>
      </c>
      <c r="L1454" s="4">
        <v>-1709.421</v>
      </c>
      <c r="M1454" s="4">
        <v>-1709.421</v>
      </c>
      <c r="N1454" s="4">
        <v>-1709.421</v>
      </c>
      <c r="O1454" s="4">
        <v>-1709.421</v>
      </c>
      <c r="P1454" s="4">
        <v>-4678</v>
      </c>
      <c r="Q1454" s="3" t="s">
        <v>26</v>
      </c>
      <c r="R1454" s="3">
        <v>0</v>
      </c>
      <c r="S1454" s="4">
        <v>0</v>
      </c>
      <c r="T1454" s="4">
        <v>13</v>
      </c>
      <c r="U1454" s="4">
        <v>53</v>
      </c>
      <c r="V1454" s="4">
        <f>IF(ISERROR(VLOOKUP($S$1454,'TAR FIN'!$A$1:$O$99,15,0)),0,VLOOKUP($S$1454,'TAR FIN'!$A$1:$O$99,15,0))</f>
        <v>0</v>
      </c>
      <c r="W1454" s="4">
        <f>IF(ISERROR(VLOOKUP($T$1454,'TAR FIN'!$A$1:$O$99,15,0)),0,VLOOKUP($T$1454,'TAR FIN'!$A$1:$O$99,15,0))</f>
        <v>395.58</v>
      </c>
      <c r="X1454" s="4">
        <f>IF(ISERROR(VLOOKUP($U$1454,'TAR FIN'!$A$1:$O$99,15,0)),0,VLOOKUP($U$1454,'TAR FIN'!$A$1:$O$99,15,0))</f>
        <v>230.53</v>
      </c>
      <c r="Y1454" s="4"/>
      <c r="Z1454" s="4">
        <f ca="1">('TUSD BE'!$AM$31+'TUSD BF'!$AM$31+'TUSD CVA'!$AM$31)*1</f>
        <v>466.61942630573992</v>
      </c>
      <c r="AA1454" s="4">
        <f>('TE BE'!$AA$13+'TE BF'!$AA$13+'TE CVA'!$AA$13)*1</f>
        <v>283.86889449376815</v>
      </c>
      <c r="AB1454" s="4">
        <f>$K$1454*$V$1454</f>
        <v>0</v>
      </c>
      <c r="AC1454" s="4">
        <f>$M$1454*$W$1454</f>
        <v>-676212.75917999994</v>
      </c>
      <c r="AD1454" s="4">
        <f>$O$1454*$X$1454</f>
        <v>-394072.82313000003</v>
      </c>
      <c r="AE1454" s="4">
        <f>$K$1454*$Y$1454</f>
        <v>0</v>
      </c>
      <c r="AF1454" s="4">
        <f ca="1">$M$1454*$Z$1454</f>
        <v>-797649.04633498425</v>
      </c>
      <c r="AG1454" s="4">
        <f>$O$1454*$AA$1454</f>
        <v>-485251.44949443167</v>
      </c>
    </row>
    <row r="1455" spans="1:33" ht="11.25" customHeight="1" x14ac:dyDescent="0.25">
      <c r="A1455" s="3" t="s">
        <v>28</v>
      </c>
      <c r="B1455" s="3" t="s">
        <v>22</v>
      </c>
      <c r="C1455" s="3" t="s">
        <v>23</v>
      </c>
      <c r="D1455" s="3" t="s">
        <v>24</v>
      </c>
      <c r="E1455" s="3" t="s">
        <v>24</v>
      </c>
      <c r="F1455" s="3" t="s">
        <v>25</v>
      </c>
      <c r="G1455" s="3" t="s">
        <v>25</v>
      </c>
      <c r="H1455" s="3" t="s">
        <v>25</v>
      </c>
      <c r="I1455" s="6">
        <v>44593</v>
      </c>
      <c r="J1455" s="4">
        <v>0</v>
      </c>
      <c r="K1455" s="4">
        <v>0</v>
      </c>
      <c r="L1455" s="4">
        <v>1193.732</v>
      </c>
      <c r="M1455" s="4">
        <v>1193.732</v>
      </c>
      <c r="N1455" s="4">
        <v>1193.732</v>
      </c>
      <c r="O1455" s="4">
        <v>1193.732</v>
      </c>
      <c r="P1455" s="4">
        <v>8143</v>
      </c>
      <c r="Q1455" s="3" t="s">
        <v>26</v>
      </c>
      <c r="R1455" s="3">
        <v>0</v>
      </c>
      <c r="S1455" s="4">
        <v>0</v>
      </c>
      <c r="T1455" s="4">
        <v>13</v>
      </c>
      <c r="U1455" s="4">
        <v>53</v>
      </c>
      <c r="V1455" s="4">
        <f>IF(ISERROR(VLOOKUP($S$1455,'TAR FIN'!$A$1:$O$99,15,0)),0,VLOOKUP($S$1455,'TAR FIN'!$A$1:$O$99,15,0))</f>
        <v>0</v>
      </c>
      <c r="W1455" s="4">
        <f>IF(ISERROR(VLOOKUP($T$1455,'TAR FIN'!$A$1:$O$99,15,0)),0,VLOOKUP($T$1455,'TAR FIN'!$A$1:$O$99,15,0))</f>
        <v>395.58</v>
      </c>
      <c r="X1455" s="4">
        <f>IF(ISERROR(VLOOKUP($U$1455,'TAR FIN'!$A$1:$O$99,15,0)),0,VLOOKUP($U$1455,'TAR FIN'!$A$1:$O$99,15,0))</f>
        <v>230.53</v>
      </c>
      <c r="Y1455" s="4"/>
      <c r="Z1455" s="4">
        <f ca="1">('TUSD BE'!$AM$31+'TUSD BF'!$AM$31+'TUSD CVA'!$AM$31)*1</f>
        <v>466.61942630573992</v>
      </c>
      <c r="AA1455" s="4">
        <f>('TE BE'!$AA$13+'TE BF'!$AA$13+'TE CVA'!$AA$13)*1</f>
        <v>283.86889449376815</v>
      </c>
      <c r="AB1455" s="4">
        <f>$K$1455*$V$1455</f>
        <v>0</v>
      </c>
      <c r="AC1455" s="4">
        <f>$M$1455*$W$1455</f>
        <v>472216.50455999997</v>
      </c>
      <c r="AD1455" s="4">
        <f>$O$1455*$X$1455</f>
        <v>275191.03795999999</v>
      </c>
      <c r="AE1455" s="4">
        <f>$K$1455*$Y$1455</f>
        <v>0</v>
      </c>
      <c r="AF1455" s="4">
        <f ca="1">$M$1455*$Z$1455</f>
        <v>557018.54100280348</v>
      </c>
      <c r="AG1455" s="4">
        <f>$O$1455*$AA$1455</f>
        <v>338863.38316183485</v>
      </c>
    </row>
    <row r="1456" spans="1:33" ht="11.25" customHeight="1" x14ac:dyDescent="0.25">
      <c r="A1456" s="3" t="s">
        <v>28</v>
      </c>
      <c r="B1456" s="3" t="s">
        <v>22</v>
      </c>
      <c r="C1456" s="3" t="s">
        <v>23</v>
      </c>
      <c r="D1456" s="3" t="s">
        <v>24</v>
      </c>
      <c r="E1456" s="3" t="s">
        <v>24</v>
      </c>
      <c r="F1456" s="3" t="s">
        <v>25</v>
      </c>
      <c r="G1456" s="3" t="s">
        <v>25</v>
      </c>
      <c r="H1456" s="3" t="s">
        <v>25</v>
      </c>
      <c r="I1456" s="6">
        <v>44593</v>
      </c>
      <c r="J1456" s="4">
        <v>0</v>
      </c>
      <c r="K1456" s="4">
        <v>0</v>
      </c>
      <c r="L1456" s="4">
        <v>-5.9450000000000003</v>
      </c>
      <c r="M1456" s="4">
        <v>-5.9450000000000003</v>
      </c>
      <c r="N1456" s="4">
        <v>-5.9450000000000003</v>
      </c>
      <c r="O1456" s="4">
        <v>-5.9450000000000003</v>
      </c>
      <c r="P1456" s="4">
        <v>-1</v>
      </c>
      <c r="Q1456" s="3" t="s">
        <v>26</v>
      </c>
      <c r="R1456" s="3">
        <v>0</v>
      </c>
      <c r="S1456" s="4">
        <v>0</v>
      </c>
      <c r="T1456" s="4">
        <v>13</v>
      </c>
      <c r="U1456" s="4">
        <v>53</v>
      </c>
      <c r="V1456" s="4">
        <f>IF(ISERROR(VLOOKUP($S$1456,'TAR FIN'!$A$1:$O$99,15,0)),0,VLOOKUP($S$1456,'TAR FIN'!$A$1:$O$99,15,0))</f>
        <v>0</v>
      </c>
      <c r="W1456" s="4">
        <f>IF(ISERROR(VLOOKUP($T$1456,'TAR FIN'!$A$1:$O$99,15,0)),0,VLOOKUP($T$1456,'TAR FIN'!$A$1:$O$99,15,0))</f>
        <v>395.58</v>
      </c>
      <c r="X1456" s="4">
        <f>IF(ISERROR(VLOOKUP($U$1456,'TAR FIN'!$A$1:$O$99,15,0)),0,VLOOKUP($U$1456,'TAR FIN'!$A$1:$O$99,15,0))</f>
        <v>230.53</v>
      </c>
      <c r="Y1456" s="4"/>
      <c r="Z1456" s="4">
        <f ca="1">('TUSD BE'!$AM$31+'TUSD BF'!$AM$31+'TUSD CVA'!$AM$31)*1</f>
        <v>466.61942630573992</v>
      </c>
      <c r="AA1456" s="4">
        <f>('TE BE'!$AA$13+'TE BF'!$AA$13+'TE CVA'!$AA$13)*1</f>
        <v>283.86889449376815</v>
      </c>
      <c r="AB1456" s="4">
        <f>$K$1456*$V$1456</f>
        <v>0</v>
      </c>
      <c r="AC1456" s="4">
        <f>$M$1456*$W$1456</f>
        <v>-2351.7231000000002</v>
      </c>
      <c r="AD1456" s="4">
        <f>$O$1456*$X$1456</f>
        <v>-1370.5008500000001</v>
      </c>
      <c r="AE1456" s="4">
        <f>$K$1456*$Y$1456</f>
        <v>0</v>
      </c>
      <c r="AF1456" s="4">
        <f ca="1">$M$1456*$Z$1456</f>
        <v>-2774.0524893876241</v>
      </c>
      <c r="AG1456" s="4">
        <f>$O$1456*$AA$1456</f>
        <v>-1687.6005777654518</v>
      </c>
    </row>
    <row r="1457" spans="1:33" ht="11.25" customHeight="1" x14ac:dyDescent="0.25">
      <c r="A1457" s="3" t="s">
        <v>21</v>
      </c>
      <c r="B1457" s="3" t="s">
        <v>22</v>
      </c>
      <c r="C1457" s="3" t="s">
        <v>23</v>
      </c>
      <c r="D1457" s="3" t="s">
        <v>24</v>
      </c>
      <c r="E1457" s="3" t="s">
        <v>24</v>
      </c>
      <c r="F1457" s="3" t="s">
        <v>25</v>
      </c>
      <c r="G1457" s="3" t="s">
        <v>25</v>
      </c>
      <c r="H1457" s="3" t="s">
        <v>25</v>
      </c>
      <c r="I1457" s="6">
        <v>44621</v>
      </c>
      <c r="J1457" s="4">
        <v>0</v>
      </c>
      <c r="K1457" s="4">
        <v>0</v>
      </c>
      <c r="L1457" s="4">
        <v>103690.25900000001</v>
      </c>
      <c r="M1457" s="4">
        <v>103690.25900000001</v>
      </c>
      <c r="N1457" s="4">
        <v>103690.25900000001</v>
      </c>
      <c r="O1457" s="4">
        <v>103690.25900000001</v>
      </c>
      <c r="P1457" s="4">
        <v>676678</v>
      </c>
      <c r="Q1457" s="3" t="s">
        <v>26</v>
      </c>
      <c r="R1457" s="3">
        <v>0</v>
      </c>
      <c r="S1457" s="4">
        <v>0</v>
      </c>
      <c r="T1457" s="4">
        <v>13</v>
      </c>
      <c r="U1457" s="4">
        <v>53</v>
      </c>
      <c r="V1457" s="4">
        <f>IF(ISERROR(VLOOKUP($S$1457,'TAR FIN'!$A$1:$O$99,15,0)),0,VLOOKUP($S$1457,'TAR FIN'!$A$1:$O$99,15,0))</f>
        <v>0</v>
      </c>
      <c r="W1457" s="4">
        <f>IF(ISERROR(VLOOKUP($T$1457,'TAR FIN'!$A$1:$O$99,15,0)),0,VLOOKUP($T$1457,'TAR FIN'!$A$1:$O$99,15,0))</f>
        <v>395.58</v>
      </c>
      <c r="X1457" s="4">
        <f>IF(ISERROR(VLOOKUP($U$1457,'TAR FIN'!$A$1:$O$99,15,0)),0,VLOOKUP($U$1457,'TAR FIN'!$A$1:$O$99,15,0))</f>
        <v>230.53</v>
      </c>
      <c r="Y1457" s="4"/>
      <c r="Z1457" s="4">
        <f ca="1">('TUSD BE'!$AM$31+'TUSD BF'!$AM$31+'TUSD CVA'!$AM$31)*1</f>
        <v>466.61942630573992</v>
      </c>
      <c r="AA1457" s="4">
        <f>('TE BE'!$AA$13+'TE BF'!$AA$13+'TE CVA'!$AA$13)*1</f>
        <v>283.86889449376815</v>
      </c>
      <c r="AB1457" s="4">
        <f>$K$1457*$V$1457</f>
        <v>0</v>
      </c>
      <c r="AC1457" s="4">
        <f>$M$1457*$W$1457</f>
        <v>41017792.655220002</v>
      </c>
      <c r="AD1457" s="4">
        <f>$O$1457*$X$1457</f>
        <v>23903715.407270003</v>
      </c>
      <c r="AE1457" s="4">
        <f>$K$1457*$Y$1457</f>
        <v>0</v>
      </c>
      <c r="AF1457" s="4">
        <f ca="1">$M$1457*$Z$1457</f>
        <v>48383889.168073587</v>
      </c>
      <c r="AG1457" s="4">
        <f>$O$1457*$AA$1457</f>
        <v>29434439.192102496</v>
      </c>
    </row>
    <row r="1458" spans="1:33" ht="11.25" customHeight="1" x14ac:dyDescent="0.25">
      <c r="A1458" s="3" t="s">
        <v>27</v>
      </c>
      <c r="B1458" s="3" t="s">
        <v>22</v>
      </c>
      <c r="C1458" s="3" t="s">
        <v>23</v>
      </c>
      <c r="D1458" s="3" t="s">
        <v>24</v>
      </c>
      <c r="E1458" s="3" t="s">
        <v>24</v>
      </c>
      <c r="F1458" s="3" t="s">
        <v>25</v>
      </c>
      <c r="G1458" s="3" t="s">
        <v>25</v>
      </c>
      <c r="H1458" s="3" t="s">
        <v>25</v>
      </c>
      <c r="I1458" s="6">
        <v>44621</v>
      </c>
      <c r="J1458" s="4">
        <v>0</v>
      </c>
      <c r="K1458" s="4">
        <v>0</v>
      </c>
      <c r="L1458" s="4">
        <v>-557.851</v>
      </c>
      <c r="M1458" s="4">
        <v>-557.851</v>
      </c>
      <c r="N1458" s="4">
        <v>-557.851</v>
      </c>
      <c r="O1458" s="4">
        <v>-557.851</v>
      </c>
      <c r="P1458" s="4">
        <v>-1881</v>
      </c>
      <c r="Q1458" s="3" t="s">
        <v>26</v>
      </c>
      <c r="R1458" s="3">
        <v>0</v>
      </c>
      <c r="S1458" s="4">
        <v>0</v>
      </c>
      <c r="T1458" s="4">
        <v>13</v>
      </c>
      <c r="U1458" s="4">
        <v>53</v>
      </c>
      <c r="V1458" s="4">
        <f>IF(ISERROR(VLOOKUP($S$1458,'TAR FIN'!$A$1:$O$99,15,0)),0,VLOOKUP($S$1458,'TAR FIN'!$A$1:$O$99,15,0))</f>
        <v>0</v>
      </c>
      <c r="W1458" s="4">
        <f>IF(ISERROR(VLOOKUP($T$1458,'TAR FIN'!$A$1:$O$99,15,0)),0,VLOOKUP($T$1458,'TAR FIN'!$A$1:$O$99,15,0))</f>
        <v>395.58</v>
      </c>
      <c r="X1458" s="4">
        <f>IF(ISERROR(VLOOKUP($U$1458,'TAR FIN'!$A$1:$O$99,15,0)),0,VLOOKUP($U$1458,'TAR FIN'!$A$1:$O$99,15,0))</f>
        <v>230.53</v>
      </c>
      <c r="Y1458" s="4"/>
      <c r="Z1458" s="4">
        <f ca="1">('TUSD BE'!$AM$31+'TUSD BF'!$AM$31+'TUSD CVA'!$AM$31)*1</f>
        <v>466.61942630573992</v>
      </c>
      <c r="AA1458" s="4">
        <f>('TE BE'!$AA$13+'TE BF'!$AA$13+'TE CVA'!$AA$13)*1</f>
        <v>283.86889449376815</v>
      </c>
      <c r="AB1458" s="4">
        <f>$K$1458*$V$1458</f>
        <v>0</v>
      </c>
      <c r="AC1458" s="4">
        <f>$M$1458*$W$1458</f>
        <v>-220674.69858</v>
      </c>
      <c r="AD1458" s="4">
        <f>$O$1458*$X$1458</f>
        <v>-128601.39103</v>
      </c>
      <c r="AE1458" s="4">
        <f>$K$1458*$Y$1458</f>
        <v>0</v>
      </c>
      <c r="AF1458" s="4">
        <f ca="1">$M$1458*$Z$1458</f>
        <v>-260304.11358408333</v>
      </c>
      <c r="AG1458" s="4">
        <f>$O$1458*$AA$1458</f>
        <v>-158356.54666224305</v>
      </c>
    </row>
    <row r="1459" spans="1:33" ht="11.25" customHeight="1" x14ac:dyDescent="0.25">
      <c r="A1459" s="3" t="s">
        <v>28</v>
      </c>
      <c r="B1459" s="3" t="s">
        <v>22</v>
      </c>
      <c r="C1459" s="3" t="s">
        <v>23</v>
      </c>
      <c r="D1459" s="3" t="s">
        <v>24</v>
      </c>
      <c r="E1459" s="3" t="s">
        <v>24</v>
      </c>
      <c r="F1459" s="3" t="s">
        <v>25</v>
      </c>
      <c r="G1459" s="3" t="s">
        <v>25</v>
      </c>
      <c r="H1459" s="3" t="s">
        <v>25</v>
      </c>
      <c r="I1459" s="6">
        <v>44621</v>
      </c>
      <c r="J1459" s="4">
        <v>0</v>
      </c>
      <c r="K1459" s="4">
        <v>0</v>
      </c>
      <c r="L1459" s="4">
        <v>1438.873</v>
      </c>
      <c r="M1459" s="4">
        <v>1438.873</v>
      </c>
      <c r="N1459" s="4">
        <v>1438.873</v>
      </c>
      <c r="O1459" s="4">
        <v>1438.873</v>
      </c>
      <c r="P1459" s="4">
        <v>8974</v>
      </c>
      <c r="Q1459" s="3" t="s">
        <v>26</v>
      </c>
      <c r="R1459" s="3">
        <v>0</v>
      </c>
      <c r="S1459" s="4">
        <v>0</v>
      </c>
      <c r="T1459" s="4">
        <v>13</v>
      </c>
      <c r="U1459" s="4">
        <v>53</v>
      </c>
      <c r="V1459" s="4">
        <f>IF(ISERROR(VLOOKUP($S$1459,'TAR FIN'!$A$1:$O$99,15,0)),0,VLOOKUP($S$1459,'TAR FIN'!$A$1:$O$99,15,0))</f>
        <v>0</v>
      </c>
      <c r="W1459" s="4">
        <f>IF(ISERROR(VLOOKUP($T$1459,'TAR FIN'!$A$1:$O$99,15,0)),0,VLOOKUP($T$1459,'TAR FIN'!$A$1:$O$99,15,0))</f>
        <v>395.58</v>
      </c>
      <c r="X1459" s="4">
        <f>IF(ISERROR(VLOOKUP($U$1459,'TAR FIN'!$A$1:$O$99,15,0)),0,VLOOKUP($U$1459,'TAR FIN'!$A$1:$O$99,15,0))</f>
        <v>230.53</v>
      </c>
      <c r="Y1459" s="4"/>
      <c r="Z1459" s="4">
        <f ca="1">('TUSD BE'!$AM$31+'TUSD BF'!$AM$31+'TUSD CVA'!$AM$31)*1</f>
        <v>466.61942630573992</v>
      </c>
      <c r="AA1459" s="4">
        <f>('TE BE'!$AA$13+'TE BF'!$AA$13+'TE CVA'!$AA$13)*1</f>
        <v>283.86889449376815</v>
      </c>
      <c r="AB1459" s="4">
        <f>$K$1459*$V$1459</f>
        <v>0</v>
      </c>
      <c r="AC1459" s="4">
        <f>$M$1459*$W$1459</f>
        <v>569189.38133999996</v>
      </c>
      <c r="AD1459" s="4">
        <f>$O$1459*$X$1459</f>
        <v>331703.39269000001</v>
      </c>
      <c r="AE1459" s="4">
        <f>$K$1459*$Y$1459</f>
        <v>0</v>
      </c>
      <c r="AF1459" s="4">
        <f ca="1">$M$1459*$Z$1459</f>
        <v>671406.09378681891</v>
      </c>
      <c r="AG1459" s="4">
        <f>$O$1459*$AA$1459</f>
        <v>408451.28782693169</v>
      </c>
    </row>
    <row r="1460" spans="1:33" ht="11.25" customHeight="1" x14ac:dyDescent="0.25">
      <c r="A1460" s="3" t="s">
        <v>28</v>
      </c>
      <c r="B1460" s="3" t="s">
        <v>22</v>
      </c>
      <c r="C1460" s="3" t="s">
        <v>23</v>
      </c>
      <c r="D1460" s="3" t="s">
        <v>24</v>
      </c>
      <c r="E1460" s="3" t="s">
        <v>24</v>
      </c>
      <c r="F1460" s="3" t="s">
        <v>25</v>
      </c>
      <c r="G1460" s="3" t="s">
        <v>25</v>
      </c>
      <c r="H1460" s="3" t="s">
        <v>25</v>
      </c>
      <c r="I1460" s="6">
        <v>44621</v>
      </c>
      <c r="J1460" s="4">
        <v>0</v>
      </c>
      <c r="K1460" s="4">
        <v>0</v>
      </c>
      <c r="L1460" s="4">
        <v>-8.7859999999999996</v>
      </c>
      <c r="M1460" s="4">
        <v>-8.7859999999999996</v>
      </c>
      <c r="N1460" s="4">
        <v>-8.7859999999999996</v>
      </c>
      <c r="O1460" s="4">
        <v>-8.7859999999999996</v>
      </c>
      <c r="P1460" s="4">
        <v>4</v>
      </c>
      <c r="Q1460" s="3" t="s">
        <v>26</v>
      </c>
      <c r="R1460" s="3">
        <v>0</v>
      </c>
      <c r="S1460" s="4">
        <v>0</v>
      </c>
      <c r="T1460" s="4">
        <v>13</v>
      </c>
      <c r="U1460" s="4">
        <v>53</v>
      </c>
      <c r="V1460" s="4">
        <f>IF(ISERROR(VLOOKUP($S$1460,'TAR FIN'!$A$1:$O$99,15,0)),0,VLOOKUP($S$1460,'TAR FIN'!$A$1:$O$99,15,0))</f>
        <v>0</v>
      </c>
      <c r="W1460" s="4">
        <f>IF(ISERROR(VLOOKUP($T$1460,'TAR FIN'!$A$1:$O$99,15,0)),0,VLOOKUP($T$1460,'TAR FIN'!$A$1:$O$99,15,0))</f>
        <v>395.58</v>
      </c>
      <c r="X1460" s="4">
        <f>IF(ISERROR(VLOOKUP($U$1460,'TAR FIN'!$A$1:$O$99,15,0)),0,VLOOKUP($U$1460,'TAR FIN'!$A$1:$O$99,15,0))</f>
        <v>230.53</v>
      </c>
      <c r="Y1460" s="4"/>
      <c r="Z1460" s="4">
        <f ca="1">('TUSD BE'!$AM$31+'TUSD BF'!$AM$31+'TUSD CVA'!$AM$31)*1</f>
        <v>466.61942630573992</v>
      </c>
      <c r="AA1460" s="4">
        <f>('TE BE'!$AA$13+'TE BF'!$AA$13+'TE CVA'!$AA$13)*1</f>
        <v>283.86889449376815</v>
      </c>
      <c r="AB1460" s="4">
        <f>$K$1460*$V$1460</f>
        <v>0</v>
      </c>
      <c r="AC1460" s="4">
        <f>$M$1460*$W$1460</f>
        <v>-3475.5658799999997</v>
      </c>
      <c r="AD1460" s="4">
        <f>$O$1460*$X$1460</f>
        <v>-2025.4365799999998</v>
      </c>
      <c r="AE1460" s="4">
        <f>$K$1460*$Y$1460</f>
        <v>0</v>
      </c>
      <c r="AF1460" s="4">
        <f ca="1">$M$1460*$Z$1460</f>
        <v>-4099.7182795222307</v>
      </c>
      <c r="AG1460" s="4">
        <f>$O$1460*$AA$1460</f>
        <v>-2494.0721070222467</v>
      </c>
    </row>
    <row r="1461" spans="1:33" ht="11.25" customHeight="1" x14ac:dyDescent="0.25">
      <c r="A1461" s="3" t="s">
        <v>56</v>
      </c>
      <c r="B1461" s="3" t="s">
        <v>22</v>
      </c>
      <c r="C1461" s="3" t="s">
        <v>23</v>
      </c>
      <c r="D1461" s="3" t="s">
        <v>24</v>
      </c>
      <c r="E1461" s="3" t="s">
        <v>24</v>
      </c>
      <c r="F1461" s="3" t="s">
        <v>25</v>
      </c>
      <c r="G1461" s="3" t="s">
        <v>25</v>
      </c>
      <c r="H1461" s="3" t="s">
        <v>25</v>
      </c>
      <c r="I1461" s="6">
        <v>44652</v>
      </c>
      <c r="J1461" s="4">
        <v>0</v>
      </c>
      <c r="K1461" s="4">
        <v>0</v>
      </c>
      <c r="L1461" s="4">
        <v>103690.25900000001</v>
      </c>
      <c r="M1461" s="4">
        <v>103690.25900000001</v>
      </c>
      <c r="N1461" s="4">
        <v>103690.25900000001</v>
      </c>
      <c r="O1461" s="4">
        <v>103690.25900000001</v>
      </c>
      <c r="P1461" s="4">
        <v>676678</v>
      </c>
      <c r="Q1461" s="3" t="s">
        <v>26</v>
      </c>
      <c r="R1461" s="3">
        <v>0</v>
      </c>
      <c r="S1461" s="4">
        <v>0</v>
      </c>
      <c r="T1461" s="4">
        <v>13</v>
      </c>
      <c r="U1461" s="4">
        <v>53</v>
      </c>
      <c r="V1461" s="4">
        <f>IF(ISERROR(VLOOKUP($S$1461,'TAR FIN'!$A$1:$O$99,15,0)),0,VLOOKUP($S$1461,'TAR FIN'!$A$1:$O$99,15,0))</f>
        <v>0</v>
      </c>
      <c r="W1461" s="4">
        <f>IF(ISERROR(VLOOKUP($T$1461,'TAR FIN'!$A$1:$O$99,15,0)),0,VLOOKUP($T$1461,'TAR FIN'!$A$1:$O$99,15,0))</f>
        <v>395.58</v>
      </c>
      <c r="X1461" s="4">
        <f>IF(ISERROR(VLOOKUP($U$1461,'TAR FIN'!$A$1:$O$99,15,0)),0,VLOOKUP($U$1461,'TAR FIN'!$A$1:$O$99,15,0))</f>
        <v>230.53</v>
      </c>
      <c r="Y1461" s="4"/>
      <c r="Z1461" s="4">
        <f ca="1">('TUSD BE'!$AM$31+'TUSD BF'!$AM$31+'TUSD CVA'!$AM$31)*1</f>
        <v>466.61942630573992</v>
      </c>
      <c r="AA1461" s="4">
        <f>('TE BE'!$AA$13+'TE BF'!$AA$13+'TE CVA'!$AA$13)*1</f>
        <v>283.86889449376815</v>
      </c>
      <c r="AB1461" s="4">
        <f>$K$1461*$V$1461</f>
        <v>0</v>
      </c>
      <c r="AC1461" s="4">
        <f>$M$1461*$W$1461</f>
        <v>41017792.655220002</v>
      </c>
      <c r="AD1461" s="4">
        <f>$O$1461*$X$1461</f>
        <v>23903715.407270003</v>
      </c>
      <c r="AE1461" s="4">
        <f>$K$1461*$Y$1461</f>
        <v>0</v>
      </c>
      <c r="AF1461" s="4">
        <f ca="1">$M$1461*$Z$1461</f>
        <v>48383889.168073587</v>
      </c>
      <c r="AG1461" s="4">
        <f>$O$1461*$AA$1461</f>
        <v>29434439.192102496</v>
      </c>
    </row>
    <row r="1462" spans="1:33" ht="11.25" customHeight="1" x14ac:dyDescent="0.25">
      <c r="A1462" s="3" t="s">
        <v>56</v>
      </c>
      <c r="B1462" s="3" t="s">
        <v>22</v>
      </c>
      <c r="C1462" s="3" t="s">
        <v>23</v>
      </c>
      <c r="D1462" s="3" t="s">
        <v>24</v>
      </c>
      <c r="E1462" s="3" t="s">
        <v>24</v>
      </c>
      <c r="F1462" s="3" t="s">
        <v>25</v>
      </c>
      <c r="G1462" s="3" t="s">
        <v>25</v>
      </c>
      <c r="H1462" s="3" t="s">
        <v>25</v>
      </c>
      <c r="I1462" s="6">
        <v>44652</v>
      </c>
      <c r="J1462" s="4">
        <v>0</v>
      </c>
      <c r="K1462" s="4">
        <v>0</v>
      </c>
      <c r="L1462" s="4">
        <v>-557.851</v>
      </c>
      <c r="M1462" s="4">
        <v>-557.851</v>
      </c>
      <c r="N1462" s="4">
        <v>-557.851</v>
      </c>
      <c r="O1462" s="4">
        <v>-557.851</v>
      </c>
      <c r="P1462" s="4">
        <v>-1881</v>
      </c>
      <c r="Q1462" s="3" t="s">
        <v>26</v>
      </c>
      <c r="R1462" s="3">
        <v>0</v>
      </c>
      <c r="S1462" s="4">
        <v>0</v>
      </c>
      <c r="T1462" s="4">
        <v>13</v>
      </c>
      <c r="U1462" s="4">
        <v>53</v>
      </c>
      <c r="V1462" s="4">
        <f>IF(ISERROR(VLOOKUP($S$1462,'TAR FIN'!$A$1:$O$99,15,0)),0,VLOOKUP($S$1462,'TAR FIN'!$A$1:$O$99,15,0))</f>
        <v>0</v>
      </c>
      <c r="W1462" s="4">
        <f>IF(ISERROR(VLOOKUP($T$1462,'TAR FIN'!$A$1:$O$99,15,0)),0,VLOOKUP($T$1462,'TAR FIN'!$A$1:$O$99,15,0))</f>
        <v>395.58</v>
      </c>
      <c r="X1462" s="4">
        <f>IF(ISERROR(VLOOKUP($U$1462,'TAR FIN'!$A$1:$O$99,15,0)),0,VLOOKUP($U$1462,'TAR FIN'!$A$1:$O$99,15,0))</f>
        <v>230.53</v>
      </c>
      <c r="Y1462" s="4"/>
      <c r="Z1462" s="4">
        <f ca="1">('TUSD BE'!$AM$31+'TUSD BF'!$AM$31+'TUSD CVA'!$AM$31)*1</f>
        <v>466.61942630573992</v>
      </c>
      <c r="AA1462" s="4">
        <f>('TE BE'!$AA$13+'TE BF'!$AA$13+'TE CVA'!$AA$13)*1</f>
        <v>283.86889449376815</v>
      </c>
      <c r="AB1462" s="4">
        <f>$K$1462*$V$1462</f>
        <v>0</v>
      </c>
      <c r="AC1462" s="4">
        <f>$M$1462*$W$1462</f>
        <v>-220674.69858</v>
      </c>
      <c r="AD1462" s="4">
        <f>$O$1462*$X$1462</f>
        <v>-128601.39103</v>
      </c>
      <c r="AE1462" s="4">
        <f>$K$1462*$Y$1462</f>
        <v>0</v>
      </c>
      <c r="AF1462" s="4">
        <f ca="1">$M$1462*$Z$1462</f>
        <v>-260304.11358408333</v>
      </c>
      <c r="AG1462" s="4">
        <f>$O$1462*$AA$1462</f>
        <v>-158356.54666224305</v>
      </c>
    </row>
    <row r="1463" spans="1:33" ht="11.25" customHeight="1" x14ac:dyDescent="0.25">
      <c r="A1463" s="3" t="s">
        <v>56</v>
      </c>
      <c r="B1463" s="3" t="s">
        <v>22</v>
      </c>
      <c r="C1463" s="3" t="s">
        <v>23</v>
      </c>
      <c r="D1463" s="3" t="s">
        <v>24</v>
      </c>
      <c r="E1463" s="3" t="s">
        <v>24</v>
      </c>
      <c r="F1463" s="3" t="s">
        <v>25</v>
      </c>
      <c r="G1463" s="3" t="s">
        <v>25</v>
      </c>
      <c r="H1463" s="3" t="s">
        <v>25</v>
      </c>
      <c r="I1463" s="6">
        <v>44652</v>
      </c>
      <c r="J1463" s="4">
        <v>0</v>
      </c>
      <c r="K1463" s="4">
        <v>0</v>
      </c>
      <c r="L1463" s="4">
        <v>1438.873</v>
      </c>
      <c r="M1463" s="4">
        <v>1438.873</v>
      </c>
      <c r="N1463" s="4">
        <v>1438.873</v>
      </c>
      <c r="O1463" s="4">
        <v>1438.873</v>
      </c>
      <c r="P1463" s="4">
        <v>8974</v>
      </c>
      <c r="Q1463" s="3" t="s">
        <v>26</v>
      </c>
      <c r="R1463" s="3">
        <v>0</v>
      </c>
      <c r="S1463" s="4">
        <v>0</v>
      </c>
      <c r="T1463" s="4">
        <v>13</v>
      </c>
      <c r="U1463" s="4">
        <v>53</v>
      </c>
      <c r="V1463" s="4">
        <f>IF(ISERROR(VLOOKUP($S$1463,'TAR FIN'!$A$1:$O$99,15,0)),0,VLOOKUP($S$1463,'TAR FIN'!$A$1:$O$99,15,0))</f>
        <v>0</v>
      </c>
      <c r="W1463" s="4">
        <f>IF(ISERROR(VLOOKUP($T$1463,'TAR FIN'!$A$1:$O$99,15,0)),0,VLOOKUP($T$1463,'TAR FIN'!$A$1:$O$99,15,0))</f>
        <v>395.58</v>
      </c>
      <c r="X1463" s="4">
        <f>IF(ISERROR(VLOOKUP($U$1463,'TAR FIN'!$A$1:$O$99,15,0)),0,VLOOKUP($U$1463,'TAR FIN'!$A$1:$O$99,15,0))</f>
        <v>230.53</v>
      </c>
      <c r="Y1463" s="4"/>
      <c r="Z1463" s="4">
        <f ca="1">('TUSD BE'!$AM$31+'TUSD BF'!$AM$31+'TUSD CVA'!$AM$31)*1</f>
        <v>466.61942630573992</v>
      </c>
      <c r="AA1463" s="4">
        <f>('TE BE'!$AA$13+'TE BF'!$AA$13+'TE CVA'!$AA$13)*1</f>
        <v>283.86889449376815</v>
      </c>
      <c r="AB1463" s="4">
        <f>$K$1463*$V$1463</f>
        <v>0</v>
      </c>
      <c r="AC1463" s="4">
        <f>$M$1463*$W$1463</f>
        <v>569189.38133999996</v>
      </c>
      <c r="AD1463" s="4">
        <f>$O$1463*$X$1463</f>
        <v>331703.39269000001</v>
      </c>
      <c r="AE1463" s="4">
        <f>$K$1463*$Y$1463</f>
        <v>0</v>
      </c>
      <c r="AF1463" s="4">
        <f ca="1">$M$1463*$Z$1463</f>
        <v>671406.09378681891</v>
      </c>
      <c r="AG1463" s="4">
        <f>$O$1463*$AA$1463</f>
        <v>408451.28782693169</v>
      </c>
    </row>
    <row r="1464" spans="1:33" ht="11.25" customHeight="1" x14ac:dyDescent="0.25">
      <c r="A1464" s="3" t="s">
        <v>56</v>
      </c>
      <c r="B1464" s="3" t="s">
        <v>22</v>
      </c>
      <c r="C1464" s="3" t="s">
        <v>23</v>
      </c>
      <c r="D1464" s="3" t="s">
        <v>24</v>
      </c>
      <c r="E1464" s="3" t="s">
        <v>24</v>
      </c>
      <c r="F1464" s="3" t="s">
        <v>25</v>
      </c>
      <c r="G1464" s="3" t="s">
        <v>25</v>
      </c>
      <c r="H1464" s="3" t="s">
        <v>25</v>
      </c>
      <c r="I1464" s="6">
        <v>44652</v>
      </c>
      <c r="J1464" s="4">
        <v>0</v>
      </c>
      <c r="K1464" s="4">
        <v>0</v>
      </c>
      <c r="L1464" s="4">
        <v>-8.7859999999999996</v>
      </c>
      <c r="M1464" s="4">
        <v>-8.7859999999999996</v>
      </c>
      <c r="N1464" s="4">
        <v>-8.7859999999999996</v>
      </c>
      <c r="O1464" s="4">
        <v>-8.7859999999999996</v>
      </c>
      <c r="P1464" s="4">
        <v>4</v>
      </c>
      <c r="Q1464" s="3" t="s">
        <v>26</v>
      </c>
      <c r="R1464" s="3">
        <v>0</v>
      </c>
      <c r="S1464" s="4">
        <v>0</v>
      </c>
      <c r="T1464" s="4">
        <v>13</v>
      </c>
      <c r="U1464" s="4">
        <v>53</v>
      </c>
      <c r="V1464" s="4">
        <f>IF(ISERROR(VLOOKUP($S$1464,'TAR FIN'!$A$1:$O$99,15,0)),0,VLOOKUP($S$1464,'TAR FIN'!$A$1:$O$99,15,0))</f>
        <v>0</v>
      </c>
      <c r="W1464" s="4">
        <f>IF(ISERROR(VLOOKUP($T$1464,'TAR FIN'!$A$1:$O$99,15,0)),0,VLOOKUP($T$1464,'TAR FIN'!$A$1:$O$99,15,0))</f>
        <v>395.58</v>
      </c>
      <c r="X1464" s="4">
        <f>IF(ISERROR(VLOOKUP($U$1464,'TAR FIN'!$A$1:$O$99,15,0)),0,VLOOKUP($U$1464,'TAR FIN'!$A$1:$O$99,15,0))</f>
        <v>230.53</v>
      </c>
      <c r="Y1464" s="4"/>
      <c r="Z1464" s="4">
        <f ca="1">('TUSD BE'!$AM$31+'TUSD BF'!$AM$31+'TUSD CVA'!$AM$31)*1</f>
        <v>466.61942630573992</v>
      </c>
      <c r="AA1464" s="4">
        <f>('TE BE'!$AA$13+'TE BF'!$AA$13+'TE CVA'!$AA$13)*1</f>
        <v>283.86889449376815</v>
      </c>
      <c r="AB1464" s="4">
        <f>$K$1464*$V$1464</f>
        <v>0</v>
      </c>
      <c r="AC1464" s="4">
        <f>$M$1464*$W$1464</f>
        <v>-3475.5658799999997</v>
      </c>
      <c r="AD1464" s="4">
        <f>$O$1464*$X$1464</f>
        <v>-2025.4365799999998</v>
      </c>
      <c r="AE1464" s="4">
        <f>$K$1464*$Y$1464</f>
        <v>0</v>
      </c>
      <c r="AF1464" s="4">
        <f ca="1">$M$1464*$Z$1464</f>
        <v>-4099.7182795222307</v>
      </c>
      <c r="AG1464" s="4">
        <f>$O$1464*$AA$1464</f>
        <v>-2494.0721070222467</v>
      </c>
    </row>
    <row r="1465" spans="1:33" ht="11.25" customHeight="1" x14ac:dyDescent="0.25">
      <c r="A1465" s="3" t="s">
        <v>21</v>
      </c>
      <c r="B1465" s="3" t="s">
        <v>22</v>
      </c>
      <c r="C1465" s="3" t="s">
        <v>23</v>
      </c>
      <c r="D1465" s="3" t="s">
        <v>24</v>
      </c>
      <c r="E1465" s="3" t="s">
        <v>29</v>
      </c>
      <c r="F1465" s="3" t="s">
        <v>25</v>
      </c>
      <c r="G1465" s="3" t="s">
        <v>25</v>
      </c>
      <c r="H1465" s="3" t="s">
        <v>25</v>
      </c>
      <c r="I1465" s="6">
        <v>44317</v>
      </c>
      <c r="J1465" s="4">
        <v>0</v>
      </c>
      <c r="K1465" s="4">
        <v>0</v>
      </c>
      <c r="L1465" s="4">
        <v>10455.143</v>
      </c>
      <c r="M1465" s="4">
        <v>10455.143</v>
      </c>
      <c r="N1465" s="4">
        <v>10455.143</v>
      </c>
      <c r="O1465" s="4">
        <v>10455.143</v>
      </c>
      <c r="P1465" s="4">
        <v>44935</v>
      </c>
      <c r="Q1465" s="3" t="s">
        <v>26</v>
      </c>
      <c r="R1465" s="3">
        <v>0</v>
      </c>
      <c r="S1465" s="4">
        <v>0</v>
      </c>
      <c r="T1465" s="4">
        <v>14</v>
      </c>
      <c r="U1465" s="4">
        <v>74</v>
      </c>
      <c r="V1465" s="4">
        <f>IF(ISERROR(VLOOKUP($S$1465,'TAR FIN'!$A$1:$O$99,15,0)),0,VLOOKUP($S$1465,'TAR FIN'!$A$1:$O$99,15,0))</f>
        <v>0</v>
      </c>
      <c r="W1465" s="4">
        <f>IF(ISERROR(VLOOKUP($T$1465,'TAR FIN'!$A$1:$O$99,15,0)),0,VLOOKUP($T$1465,'TAR FIN'!$A$1:$O$99,15,0))</f>
        <v>118.67</v>
      </c>
      <c r="X1465" s="4">
        <f>IF(ISERROR(VLOOKUP($U$1465,'TAR FIN'!$A$1:$O$99,15,0)),0,VLOOKUP($U$1465,'TAR FIN'!$A$1:$O$99,15,0))</f>
        <v>80.680000000000007</v>
      </c>
      <c r="Y1465" s="4"/>
      <c r="Z1465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65" s="4">
        <f>('TE BE'!$AA$14+'TE BF'!$AA$14+'TE CVA'!$AA$14)*(1-CUSTOS!$M$34)</f>
        <v>99.354113072818848</v>
      </c>
      <c r="AB1465" s="4">
        <f>$K$1465*$V$1465</f>
        <v>0</v>
      </c>
      <c r="AC1465" s="4">
        <f>$M$1465*$W$1465</f>
        <v>1240711.81981</v>
      </c>
      <c r="AD1465" s="4">
        <f>$O$1465*$X$1465</f>
        <v>843520.93724000012</v>
      </c>
      <c r="AE1465" s="4">
        <f>$K$1465*$Y$1465</f>
        <v>0</v>
      </c>
      <c r="AF1465" s="4">
        <f ca="1">$M$1465*$Z$1465</f>
        <v>1459493.8089657929</v>
      </c>
      <c r="AG1465" s="4">
        <f>$O$1465*$AA$1465</f>
        <v>1038761.4598144905</v>
      </c>
    </row>
    <row r="1466" spans="1:33" ht="11.25" customHeight="1" x14ac:dyDescent="0.25">
      <c r="A1466" s="3" t="s">
        <v>21</v>
      </c>
      <c r="B1466" s="3" t="s">
        <v>22</v>
      </c>
      <c r="C1466" s="3" t="s">
        <v>23</v>
      </c>
      <c r="D1466" s="3" t="s">
        <v>24</v>
      </c>
      <c r="E1466" s="3" t="s">
        <v>29</v>
      </c>
      <c r="F1466" s="3" t="s">
        <v>25</v>
      </c>
      <c r="G1466" s="3" t="s">
        <v>25</v>
      </c>
      <c r="H1466" s="3" t="s">
        <v>25</v>
      </c>
      <c r="I1466" s="6">
        <v>44348</v>
      </c>
      <c r="J1466" s="4">
        <v>0</v>
      </c>
      <c r="K1466" s="4">
        <v>0</v>
      </c>
      <c r="L1466" s="4">
        <v>10561.165999999999</v>
      </c>
      <c r="M1466" s="4">
        <v>10561.165999999999</v>
      </c>
      <c r="N1466" s="4">
        <v>10561.165999999999</v>
      </c>
      <c r="O1466" s="4">
        <v>10561.165999999999</v>
      </c>
      <c r="P1466" s="4">
        <v>47300</v>
      </c>
      <c r="Q1466" s="3" t="s">
        <v>26</v>
      </c>
      <c r="R1466" s="3">
        <v>0</v>
      </c>
      <c r="S1466" s="4">
        <v>0</v>
      </c>
      <c r="T1466" s="4">
        <v>14</v>
      </c>
      <c r="U1466" s="4">
        <v>74</v>
      </c>
      <c r="V1466" s="4">
        <f>IF(ISERROR(VLOOKUP($S$1466,'TAR FIN'!$A$1:$O$99,15,0)),0,VLOOKUP($S$1466,'TAR FIN'!$A$1:$O$99,15,0))</f>
        <v>0</v>
      </c>
      <c r="W1466" s="4">
        <f>IF(ISERROR(VLOOKUP($T$1466,'TAR FIN'!$A$1:$O$99,15,0)),0,VLOOKUP($T$1466,'TAR FIN'!$A$1:$O$99,15,0))</f>
        <v>118.67</v>
      </c>
      <c r="X1466" s="4">
        <f>IF(ISERROR(VLOOKUP($U$1466,'TAR FIN'!$A$1:$O$99,15,0)),0,VLOOKUP($U$1466,'TAR FIN'!$A$1:$O$99,15,0))</f>
        <v>80.680000000000007</v>
      </c>
      <c r="Y1466" s="4"/>
      <c r="Z1466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66" s="4">
        <f>('TE BE'!$AA$14+'TE BF'!$AA$14+'TE CVA'!$AA$14)*(1-CUSTOS!$M$34)</f>
        <v>99.354113072818848</v>
      </c>
      <c r="AB1466" s="4">
        <f>$K$1466*$V$1466</f>
        <v>0</v>
      </c>
      <c r="AC1466" s="4">
        <f>$M$1466*$W$1466</f>
        <v>1253293.5692199999</v>
      </c>
      <c r="AD1466" s="4">
        <f>$O$1466*$X$1466</f>
        <v>852074.87288000004</v>
      </c>
      <c r="AE1466" s="4">
        <f>$K$1466*$Y$1466</f>
        <v>0</v>
      </c>
      <c r="AF1466" s="4">
        <f ca="1">$M$1466*$Z$1466</f>
        <v>1474294.1720127622</v>
      </c>
      <c r="AG1466" s="4">
        <f>$O$1466*$AA$1466</f>
        <v>1049295.2809448098</v>
      </c>
    </row>
    <row r="1467" spans="1:33" ht="11.25" customHeight="1" x14ac:dyDescent="0.25">
      <c r="A1467" s="3" t="s">
        <v>21</v>
      </c>
      <c r="B1467" s="3" t="s">
        <v>22</v>
      </c>
      <c r="C1467" s="3" t="s">
        <v>23</v>
      </c>
      <c r="D1467" s="3" t="s">
        <v>24</v>
      </c>
      <c r="E1467" s="3" t="s">
        <v>29</v>
      </c>
      <c r="F1467" s="3" t="s">
        <v>25</v>
      </c>
      <c r="G1467" s="3" t="s">
        <v>25</v>
      </c>
      <c r="H1467" s="3" t="s">
        <v>25</v>
      </c>
      <c r="I1467" s="6">
        <v>44378</v>
      </c>
      <c r="J1467" s="4">
        <v>0</v>
      </c>
      <c r="K1467" s="4">
        <v>0</v>
      </c>
      <c r="L1467" s="4">
        <v>10647.829</v>
      </c>
      <c r="M1467" s="4">
        <v>10647.829</v>
      </c>
      <c r="N1467" s="4">
        <v>10647.829</v>
      </c>
      <c r="O1467" s="4">
        <v>10647.829</v>
      </c>
      <c r="P1467" s="4">
        <v>49835</v>
      </c>
      <c r="Q1467" s="3" t="s">
        <v>26</v>
      </c>
      <c r="R1467" s="3">
        <v>0</v>
      </c>
      <c r="S1467" s="4">
        <v>0</v>
      </c>
      <c r="T1467" s="4">
        <v>14</v>
      </c>
      <c r="U1467" s="4">
        <v>74</v>
      </c>
      <c r="V1467" s="4">
        <f>IF(ISERROR(VLOOKUP($S$1467,'TAR FIN'!$A$1:$O$99,15,0)),0,VLOOKUP($S$1467,'TAR FIN'!$A$1:$O$99,15,0))</f>
        <v>0</v>
      </c>
      <c r="W1467" s="4">
        <f>IF(ISERROR(VLOOKUP($T$1467,'TAR FIN'!$A$1:$O$99,15,0)),0,VLOOKUP($T$1467,'TAR FIN'!$A$1:$O$99,15,0))</f>
        <v>118.67</v>
      </c>
      <c r="X1467" s="4">
        <f>IF(ISERROR(VLOOKUP($U$1467,'TAR FIN'!$A$1:$O$99,15,0)),0,VLOOKUP($U$1467,'TAR FIN'!$A$1:$O$99,15,0))</f>
        <v>80.680000000000007</v>
      </c>
      <c r="Y1467" s="4"/>
      <c r="Z1467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67" s="4">
        <f>('TE BE'!$AA$14+'TE BF'!$AA$14+'TE CVA'!$AA$14)*(1-CUSTOS!$M$34)</f>
        <v>99.354113072818848</v>
      </c>
      <c r="AB1467" s="4">
        <f>$K$1467*$V$1467</f>
        <v>0</v>
      </c>
      <c r="AC1467" s="4">
        <f>$M$1467*$W$1467</f>
        <v>1263577.8674300001</v>
      </c>
      <c r="AD1467" s="4">
        <f>$O$1467*$X$1467</f>
        <v>859066.84372</v>
      </c>
      <c r="AE1467" s="4">
        <f>$K$1467*$Y$1467</f>
        <v>0</v>
      </c>
      <c r="AF1467" s="4">
        <f ca="1">$M$1467*$Z$1467</f>
        <v>1486391.9608202805</v>
      </c>
      <c r="AG1467" s="4">
        <f>$O$1467*$AA$1467</f>
        <v>1057905.6064460396</v>
      </c>
    </row>
    <row r="1468" spans="1:33" ht="11.25" customHeight="1" x14ac:dyDescent="0.25">
      <c r="A1468" s="3" t="s">
        <v>21</v>
      </c>
      <c r="B1468" s="3" t="s">
        <v>22</v>
      </c>
      <c r="C1468" s="3" t="s">
        <v>23</v>
      </c>
      <c r="D1468" s="3" t="s">
        <v>24</v>
      </c>
      <c r="E1468" s="3" t="s">
        <v>29</v>
      </c>
      <c r="F1468" s="3" t="s">
        <v>25</v>
      </c>
      <c r="G1468" s="3" t="s">
        <v>25</v>
      </c>
      <c r="H1468" s="3" t="s">
        <v>25</v>
      </c>
      <c r="I1468" s="6">
        <v>44409</v>
      </c>
      <c r="J1468" s="4">
        <v>0</v>
      </c>
      <c r="K1468" s="4">
        <v>0</v>
      </c>
      <c r="L1468" s="4">
        <v>10783.445</v>
      </c>
      <c r="M1468" s="4">
        <v>10783.445</v>
      </c>
      <c r="N1468" s="4">
        <v>10783.445</v>
      </c>
      <c r="O1468" s="4">
        <v>10783.445</v>
      </c>
      <c r="P1468" s="4">
        <v>51526</v>
      </c>
      <c r="Q1468" s="3" t="s">
        <v>26</v>
      </c>
      <c r="R1468" s="3">
        <v>0</v>
      </c>
      <c r="S1468" s="4">
        <v>0</v>
      </c>
      <c r="T1468" s="4">
        <v>14</v>
      </c>
      <c r="U1468" s="4">
        <v>74</v>
      </c>
      <c r="V1468" s="4">
        <f>IF(ISERROR(VLOOKUP($S$1468,'TAR FIN'!$A$1:$O$99,15,0)),0,VLOOKUP($S$1468,'TAR FIN'!$A$1:$O$99,15,0))</f>
        <v>0</v>
      </c>
      <c r="W1468" s="4">
        <f>IF(ISERROR(VLOOKUP($T$1468,'TAR FIN'!$A$1:$O$99,15,0)),0,VLOOKUP($T$1468,'TAR FIN'!$A$1:$O$99,15,0))</f>
        <v>118.67</v>
      </c>
      <c r="X1468" s="4">
        <f>IF(ISERROR(VLOOKUP($U$1468,'TAR FIN'!$A$1:$O$99,15,0)),0,VLOOKUP($U$1468,'TAR FIN'!$A$1:$O$99,15,0))</f>
        <v>80.680000000000007</v>
      </c>
      <c r="Y1468" s="4"/>
      <c r="Z1468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68" s="4">
        <f>('TE BE'!$AA$14+'TE BF'!$AA$14+'TE CVA'!$AA$14)*(1-CUSTOS!$M$34)</f>
        <v>99.354113072818848</v>
      </c>
      <c r="AB1468" s="4">
        <f>$K$1468*$V$1468</f>
        <v>0</v>
      </c>
      <c r="AC1468" s="4">
        <f>$M$1468*$W$1468</f>
        <v>1279671.41815</v>
      </c>
      <c r="AD1468" s="4">
        <f>$O$1468*$X$1468</f>
        <v>870008.34260000009</v>
      </c>
      <c r="AE1468" s="4">
        <f>$K$1468*$Y$1468</f>
        <v>0</v>
      </c>
      <c r="AF1468" s="4">
        <f ca="1">$M$1468*$Z$1468</f>
        <v>1505323.3816910139</v>
      </c>
      <c r="AG1468" s="4">
        <f>$O$1468*$AA$1468</f>
        <v>1071379.613844523</v>
      </c>
    </row>
    <row r="1469" spans="1:33" ht="11.25" customHeight="1" x14ac:dyDescent="0.25">
      <c r="A1469" s="3" t="s">
        <v>21</v>
      </c>
      <c r="B1469" s="3" t="s">
        <v>22</v>
      </c>
      <c r="C1469" s="3" t="s">
        <v>23</v>
      </c>
      <c r="D1469" s="3" t="s">
        <v>24</v>
      </c>
      <c r="E1469" s="3" t="s">
        <v>29</v>
      </c>
      <c r="F1469" s="3" t="s">
        <v>25</v>
      </c>
      <c r="G1469" s="3" t="s">
        <v>25</v>
      </c>
      <c r="H1469" s="3" t="s">
        <v>25</v>
      </c>
      <c r="I1469" s="6">
        <v>44440</v>
      </c>
      <c r="J1469" s="4">
        <v>0</v>
      </c>
      <c r="K1469" s="4">
        <v>0</v>
      </c>
      <c r="L1469" s="4">
        <v>10870.652</v>
      </c>
      <c r="M1469" s="4">
        <v>10870.652</v>
      </c>
      <c r="N1469" s="4">
        <v>10870.652</v>
      </c>
      <c r="O1469" s="4">
        <v>10870.652</v>
      </c>
      <c r="P1469" s="4">
        <v>50080</v>
      </c>
      <c r="Q1469" s="3" t="s">
        <v>26</v>
      </c>
      <c r="R1469" s="3">
        <v>0</v>
      </c>
      <c r="S1469" s="4">
        <v>0</v>
      </c>
      <c r="T1469" s="4">
        <v>14</v>
      </c>
      <c r="U1469" s="4">
        <v>74</v>
      </c>
      <c r="V1469" s="4">
        <f>IF(ISERROR(VLOOKUP($S$1469,'TAR FIN'!$A$1:$O$99,15,0)),0,VLOOKUP($S$1469,'TAR FIN'!$A$1:$O$99,15,0))</f>
        <v>0</v>
      </c>
      <c r="W1469" s="4">
        <f>IF(ISERROR(VLOOKUP($T$1469,'TAR FIN'!$A$1:$O$99,15,0)),0,VLOOKUP($T$1469,'TAR FIN'!$A$1:$O$99,15,0))</f>
        <v>118.67</v>
      </c>
      <c r="X1469" s="4">
        <f>IF(ISERROR(VLOOKUP($U$1469,'TAR FIN'!$A$1:$O$99,15,0)),0,VLOOKUP($U$1469,'TAR FIN'!$A$1:$O$99,15,0))</f>
        <v>80.680000000000007</v>
      </c>
      <c r="Y1469" s="4"/>
      <c r="Z1469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69" s="4">
        <f>('TE BE'!$AA$14+'TE BF'!$AA$14+'TE CVA'!$AA$14)*(1-CUSTOS!$M$34)</f>
        <v>99.354113072818848</v>
      </c>
      <c r="AB1469" s="4">
        <f>$K$1469*$V$1469</f>
        <v>0</v>
      </c>
      <c r="AC1469" s="4">
        <f>$M$1469*$W$1469</f>
        <v>1290020.27284</v>
      </c>
      <c r="AD1469" s="4">
        <f>$O$1469*$X$1469</f>
        <v>877044.20336000004</v>
      </c>
      <c r="AE1469" s="4">
        <f>$K$1469*$Y$1469</f>
        <v>0</v>
      </c>
      <c r="AF1469" s="4">
        <f ca="1">$M$1469*$Z$1469</f>
        <v>1517497.1106011285</v>
      </c>
      <c r="AG1469" s="4">
        <f>$O$1469*$AA$1469</f>
        <v>1080043.9879832643</v>
      </c>
    </row>
    <row r="1470" spans="1:33" ht="11.25" customHeight="1" x14ac:dyDescent="0.25">
      <c r="A1470" s="3" t="s">
        <v>21</v>
      </c>
      <c r="B1470" s="3" t="s">
        <v>22</v>
      </c>
      <c r="C1470" s="3" t="s">
        <v>23</v>
      </c>
      <c r="D1470" s="3" t="s">
        <v>24</v>
      </c>
      <c r="E1470" s="3" t="s">
        <v>29</v>
      </c>
      <c r="F1470" s="3" t="s">
        <v>25</v>
      </c>
      <c r="G1470" s="3" t="s">
        <v>25</v>
      </c>
      <c r="H1470" s="3" t="s">
        <v>25</v>
      </c>
      <c r="I1470" s="6">
        <v>44470</v>
      </c>
      <c r="J1470" s="4">
        <v>0</v>
      </c>
      <c r="K1470" s="4">
        <v>0</v>
      </c>
      <c r="L1470" s="4">
        <v>10861.496999999999</v>
      </c>
      <c r="M1470" s="4">
        <v>10861.496999999999</v>
      </c>
      <c r="N1470" s="4">
        <v>10861.496999999999</v>
      </c>
      <c r="O1470" s="4">
        <v>10861.496999999999</v>
      </c>
      <c r="P1470" s="4">
        <v>47881</v>
      </c>
      <c r="Q1470" s="3" t="s">
        <v>26</v>
      </c>
      <c r="R1470" s="3">
        <v>0</v>
      </c>
      <c r="S1470" s="4">
        <v>0</v>
      </c>
      <c r="T1470" s="4">
        <v>14</v>
      </c>
      <c r="U1470" s="4">
        <v>74</v>
      </c>
      <c r="V1470" s="4">
        <f>IF(ISERROR(VLOOKUP($S$1470,'TAR FIN'!$A$1:$O$99,15,0)),0,VLOOKUP($S$1470,'TAR FIN'!$A$1:$O$99,15,0))</f>
        <v>0</v>
      </c>
      <c r="W1470" s="4">
        <f>IF(ISERROR(VLOOKUP($T$1470,'TAR FIN'!$A$1:$O$99,15,0)),0,VLOOKUP($T$1470,'TAR FIN'!$A$1:$O$99,15,0))</f>
        <v>118.67</v>
      </c>
      <c r="X1470" s="4">
        <f>IF(ISERROR(VLOOKUP($U$1470,'TAR FIN'!$A$1:$O$99,15,0)),0,VLOOKUP($U$1470,'TAR FIN'!$A$1:$O$99,15,0))</f>
        <v>80.680000000000007</v>
      </c>
      <c r="Y1470" s="4"/>
      <c r="Z1470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70" s="4">
        <f>('TE BE'!$AA$14+'TE BF'!$AA$14+'TE CVA'!$AA$14)*(1-CUSTOS!$M$34)</f>
        <v>99.354113072818848</v>
      </c>
      <c r="AB1470" s="4">
        <f>$K$1470*$V$1470</f>
        <v>0</v>
      </c>
      <c r="AC1470" s="4">
        <f>$M$1470*$W$1470</f>
        <v>1288933.8489899999</v>
      </c>
      <c r="AD1470" s="4">
        <f>$O$1470*$X$1470</f>
        <v>876305.57796000002</v>
      </c>
      <c r="AE1470" s="4">
        <f>$K$1470*$Y$1470</f>
        <v>0</v>
      </c>
      <c r="AF1470" s="4">
        <f ca="1">$M$1470*$Z$1470</f>
        <v>1516219.1112642391</v>
      </c>
      <c r="AG1470" s="4">
        <f>$O$1470*$AA$1470</f>
        <v>1079134.4010780826</v>
      </c>
    </row>
    <row r="1471" spans="1:33" ht="11.25" customHeight="1" x14ac:dyDescent="0.25">
      <c r="A1471" s="3" t="s">
        <v>21</v>
      </c>
      <c r="B1471" s="3" t="s">
        <v>22</v>
      </c>
      <c r="C1471" s="3" t="s">
        <v>23</v>
      </c>
      <c r="D1471" s="3" t="s">
        <v>24</v>
      </c>
      <c r="E1471" s="3" t="s">
        <v>29</v>
      </c>
      <c r="F1471" s="3" t="s">
        <v>25</v>
      </c>
      <c r="G1471" s="3" t="s">
        <v>25</v>
      </c>
      <c r="H1471" s="3" t="s">
        <v>25</v>
      </c>
      <c r="I1471" s="6">
        <v>44501</v>
      </c>
      <c r="J1471" s="4">
        <v>0</v>
      </c>
      <c r="K1471" s="4">
        <v>0</v>
      </c>
      <c r="L1471" s="4">
        <v>10916.983</v>
      </c>
      <c r="M1471" s="4">
        <v>10916.983</v>
      </c>
      <c r="N1471" s="4">
        <v>10916.983</v>
      </c>
      <c r="O1471" s="4">
        <v>10916.983</v>
      </c>
      <c r="P1471" s="4">
        <v>46469</v>
      </c>
      <c r="Q1471" s="3" t="s">
        <v>26</v>
      </c>
      <c r="R1471" s="3">
        <v>0</v>
      </c>
      <c r="S1471" s="4">
        <v>0</v>
      </c>
      <c r="T1471" s="4">
        <v>14</v>
      </c>
      <c r="U1471" s="4">
        <v>74</v>
      </c>
      <c r="V1471" s="4">
        <f>IF(ISERROR(VLOOKUP($S$1471,'TAR FIN'!$A$1:$O$99,15,0)),0,VLOOKUP($S$1471,'TAR FIN'!$A$1:$O$99,15,0))</f>
        <v>0</v>
      </c>
      <c r="W1471" s="4">
        <f>IF(ISERROR(VLOOKUP($T$1471,'TAR FIN'!$A$1:$O$99,15,0)),0,VLOOKUP($T$1471,'TAR FIN'!$A$1:$O$99,15,0))</f>
        <v>118.67</v>
      </c>
      <c r="X1471" s="4">
        <f>IF(ISERROR(VLOOKUP($U$1471,'TAR FIN'!$A$1:$O$99,15,0)),0,VLOOKUP($U$1471,'TAR FIN'!$A$1:$O$99,15,0))</f>
        <v>80.680000000000007</v>
      </c>
      <c r="Y1471" s="4"/>
      <c r="Z1471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71" s="4">
        <f>('TE BE'!$AA$14+'TE BF'!$AA$14+'TE CVA'!$AA$14)*(1-CUSTOS!$M$34)</f>
        <v>99.354113072818848</v>
      </c>
      <c r="AB1471" s="4">
        <f>$K$1471*$V$1471</f>
        <v>0</v>
      </c>
      <c r="AC1471" s="4">
        <f>$M$1471*$W$1471</f>
        <v>1295518.37261</v>
      </c>
      <c r="AD1471" s="4">
        <f>$O$1471*$X$1471</f>
        <v>880782.18844000006</v>
      </c>
      <c r="AE1471" s="4">
        <f>$K$1471*$Y$1471</f>
        <v>0</v>
      </c>
      <c r="AF1471" s="4">
        <f ca="1">$M$1471*$Z$1471</f>
        <v>1523964.7225374926</v>
      </c>
      <c r="AG1471" s="4">
        <f>$O$1471*$AA$1471</f>
        <v>1084647.1633960411</v>
      </c>
    </row>
    <row r="1472" spans="1:33" ht="11.25" customHeight="1" x14ac:dyDescent="0.25">
      <c r="A1472" s="3" t="s">
        <v>21</v>
      </c>
      <c r="B1472" s="3" t="s">
        <v>22</v>
      </c>
      <c r="C1472" s="3" t="s">
        <v>23</v>
      </c>
      <c r="D1472" s="3" t="s">
        <v>24</v>
      </c>
      <c r="E1472" s="3" t="s">
        <v>29</v>
      </c>
      <c r="F1472" s="3" t="s">
        <v>25</v>
      </c>
      <c r="G1472" s="3" t="s">
        <v>25</v>
      </c>
      <c r="H1472" s="3" t="s">
        <v>25</v>
      </c>
      <c r="I1472" s="6">
        <v>44531</v>
      </c>
      <c r="J1472" s="4">
        <v>0</v>
      </c>
      <c r="K1472" s="4">
        <v>0</v>
      </c>
      <c r="L1472" s="4">
        <v>11470.518</v>
      </c>
      <c r="M1472" s="4">
        <v>11470.518</v>
      </c>
      <c r="N1472" s="4">
        <v>11470.518</v>
      </c>
      <c r="O1472" s="4">
        <v>11470.518</v>
      </c>
      <c r="P1472" s="4">
        <v>47685</v>
      </c>
      <c r="Q1472" s="3" t="s">
        <v>26</v>
      </c>
      <c r="R1472" s="3">
        <v>0</v>
      </c>
      <c r="S1472" s="4">
        <v>0</v>
      </c>
      <c r="T1472" s="4">
        <v>14</v>
      </c>
      <c r="U1472" s="4">
        <v>74</v>
      </c>
      <c r="V1472" s="4">
        <f>IF(ISERROR(VLOOKUP($S$1472,'TAR FIN'!$A$1:$O$99,15,0)),0,VLOOKUP($S$1472,'TAR FIN'!$A$1:$O$99,15,0))</f>
        <v>0</v>
      </c>
      <c r="W1472" s="4">
        <f>IF(ISERROR(VLOOKUP($T$1472,'TAR FIN'!$A$1:$O$99,15,0)),0,VLOOKUP($T$1472,'TAR FIN'!$A$1:$O$99,15,0))</f>
        <v>118.67</v>
      </c>
      <c r="X1472" s="4">
        <f>IF(ISERROR(VLOOKUP($U$1472,'TAR FIN'!$A$1:$O$99,15,0)),0,VLOOKUP($U$1472,'TAR FIN'!$A$1:$O$99,15,0))</f>
        <v>80.680000000000007</v>
      </c>
      <c r="Y1472" s="4"/>
      <c r="Z1472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72" s="4">
        <f>('TE BE'!$AA$14+'TE BF'!$AA$14+'TE CVA'!$AA$14)*(1-CUSTOS!$M$34)</f>
        <v>99.354113072818848</v>
      </c>
      <c r="AB1472" s="4">
        <f>$K$1472*$V$1472</f>
        <v>0</v>
      </c>
      <c r="AC1472" s="4">
        <f>$M$1472*$W$1472</f>
        <v>1361206.37106</v>
      </c>
      <c r="AD1472" s="4">
        <f>$O$1472*$X$1472</f>
        <v>925441.39224000007</v>
      </c>
      <c r="AE1472" s="4">
        <f>$K$1472*$Y$1472</f>
        <v>0</v>
      </c>
      <c r="AF1472" s="4">
        <f ca="1">$M$1472*$Z$1472</f>
        <v>1601235.870865725</v>
      </c>
      <c r="AG1472" s="4">
        <f>$O$1472*$AA$1472</f>
        <v>1139643.142375804</v>
      </c>
    </row>
    <row r="1473" spans="1:33" ht="11.25" customHeight="1" x14ac:dyDescent="0.25">
      <c r="A1473" s="3" t="s">
        <v>21</v>
      </c>
      <c r="B1473" s="3" t="s">
        <v>22</v>
      </c>
      <c r="C1473" s="3" t="s">
        <v>23</v>
      </c>
      <c r="D1473" s="3" t="s">
        <v>24</v>
      </c>
      <c r="E1473" s="3" t="s">
        <v>29</v>
      </c>
      <c r="F1473" s="3" t="s">
        <v>25</v>
      </c>
      <c r="G1473" s="3" t="s">
        <v>25</v>
      </c>
      <c r="H1473" s="3" t="s">
        <v>25</v>
      </c>
      <c r="I1473" s="6">
        <v>44562</v>
      </c>
      <c r="J1473" s="4">
        <v>0</v>
      </c>
      <c r="K1473" s="4">
        <v>0</v>
      </c>
      <c r="L1473" s="4">
        <v>12009.77</v>
      </c>
      <c r="M1473" s="4">
        <v>12009.77</v>
      </c>
      <c r="N1473" s="4">
        <v>12009.77</v>
      </c>
      <c r="O1473" s="4">
        <v>12009.77</v>
      </c>
      <c r="P1473" s="4">
        <v>51375</v>
      </c>
      <c r="Q1473" s="3" t="s">
        <v>26</v>
      </c>
      <c r="R1473" s="3">
        <v>0</v>
      </c>
      <c r="S1473" s="4">
        <v>0</v>
      </c>
      <c r="T1473" s="4">
        <v>14</v>
      </c>
      <c r="U1473" s="4">
        <v>74</v>
      </c>
      <c r="V1473" s="4">
        <f>IF(ISERROR(VLOOKUP($S$1473,'TAR FIN'!$A$1:$O$99,15,0)),0,VLOOKUP($S$1473,'TAR FIN'!$A$1:$O$99,15,0))</f>
        <v>0</v>
      </c>
      <c r="W1473" s="4">
        <f>IF(ISERROR(VLOOKUP($T$1473,'TAR FIN'!$A$1:$O$99,15,0)),0,VLOOKUP($T$1473,'TAR FIN'!$A$1:$O$99,15,0))</f>
        <v>118.67</v>
      </c>
      <c r="X1473" s="4">
        <f>IF(ISERROR(VLOOKUP($U$1473,'TAR FIN'!$A$1:$O$99,15,0)),0,VLOOKUP($U$1473,'TAR FIN'!$A$1:$O$99,15,0))</f>
        <v>80.680000000000007</v>
      </c>
      <c r="Y1473" s="4"/>
      <c r="Z1473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73" s="4">
        <f>('TE BE'!$AA$14+'TE BF'!$AA$14+'TE CVA'!$AA$14)*(1-CUSTOS!$M$34)</f>
        <v>99.354113072818848</v>
      </c>
      <c r="AB1473" s="4">
        <f>$K$1473*$V$1473</f>
        <v>0</v>
      </c>
      <c r="AC1473" s="4">
        <f>$M$1473*$W$1473</f>
        <v>1425199.4059000001</v>
      </c>
      <c r="AD1473" s="4">
        <f>$O$1473*$X$1473</f>
        <v>968948.24360000016</v>
      </c>
      <c r="AE1473" s="4">
        <f>$K$1473*$Y$1473</f>
        <v>0</v>
      </c>
      <c r="AF1473" s="4">
        <f ca="1">$M$1473*$Z$1473</f>
        <v>1676513.1727134781</v>
      </c>
      <c r="AG1473" s="4">
        <f>$O$1473*$AA$1473</f>
        <v>1193220.0465585478</v>
      </c>
    </row>
    <row r="1474" spans="1:33" ht="11.25" customHeight="1" x14ac:dyDescent="0.25">
      <c r="A1474" s="3" t="s">
        <v>21</v>
      </c>
      <c r="B1474" s="3" t="s">
        <v>22</v>
      </c>
      <c r="C1474" s="3" t="s">
        <v>23</v>
      </c>
      <c r="D1474" s="3" t="s">
        <v>24</v>
      </c>
      <c r="E1474" s="3" t="s">
        <v>29</v>
      </c>
      <c r="F1474" s="3" t="s">
        <v>25</v>
      </c>
      <c r="G1474" s="3" t="s">
        <v>25</v>
      </c>
      <c r="H1474" s="3" t="s">
        <v>25</v>
      </c>
      <c r="I1474" s="6">
        <v>44593</v>
      </c>
      <c r="J1474" s="4">
        <v>0</v>
      </c>
      <c r="K1474" s="4">
        <v>0</v>
      </c>
      <c r="L1474" s="4">
        <v>11899.406999999999</v>
      </c>
      <c r="M1474" s="4">
        <v>11899.406999999999</v>
      </c>
      <c r="N1474" s="4">
        <v>11899.406999999999</v>
      </c>
      <c r="O1474" s="4">
        <v>11899.406999999999</v>
      </c>
      <c r="P1474" s="4">
        <v>51716</v>
      </c>
      <c r="Q1474" s="3" t="s">
        <v>26</v>
      </c>
      <c r="R1474" s="3">
        <v>0</v>
      </c>
      <c r="S1474" s="4">
        <v>0</v>
      </c>
      <c r="T1474" s="4">
        <v>14</v>
      </c>
      <c r="U1474" s="4">
        <v>74</v>
      </c>
      <c r="V1474" s="4">
        <f>IF(ISERROR(VLOOKUP($S$1474,'TAR FIN'!$A$1:$O$99,15,0)),0,VLOOKUP($S$1474,'TAR FIN'!$A$1:$O$99,15,0))</f>
        <v>0</v>
      </c>
      <c r="W1474" s="4">
        <f>IF(ISERROR(VLOOKUP($T$1474,'TAR FIN'!$A$1:$O$99,15,0)),0,VLOOKUP($T$1474,'TAR FIN'!$A$1:$O$99,15,0))</f>
        <v>118.67</v>
      </c>
      <c r="X1474" s="4">
        <f>IF(ISERROR(VLOOKUP($U$1474,'TAR FIN'!$A$1:$O$99,15,0)),0,VLOOKUP($U$1474,'TAR FIN'!$A$1:$O$99,15,0))</f>
        <v>80.680000000000007</v>
      </c>
      <c r="Y1474" s="4"/>
      <c r="Z1474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74" s="4">
        <f>('TE BE'!$AA$14+'TE BF'!$AA$14+'TE CVA'!$AA$14)*(1-CUSTOS!$M$34)</f>
        <v>99.354113072818848</v>
      </c>
      <c r="AB1474" s="4">
        <f>$K$1474*$V$1474</f>
        <v>0</v>
      </c>
      <c r="AC1474" s="4">
        <f>$M$1474*$W$1474</f>
        <v>1412102.6286899999</v>
      </c>
      <c r="AD1474" s="4">
        <f>$O$1474*$X$1474</f>
        <v>960044.15676000004</v>
      </c>
      <c r="AE1474" s="4">
        <f>$K$1474*$Y$1474</f>
        <v>0</v>
      </c>
      <c r="AF1474" s="4">
        <f ca="1">$M$1474*$Z$1474</f>
        <v>1661106.9639950613</v>
      </c>
      <c r="AG1474" s="4">
        <f>$O$1474*$AA$1474</f>
        <v>1182255.0285774921</v>
      </c>
    </row>
    <row r="1475" spans="1:33" ht="11.25" customHeight="1" x14ac:dyDescent="0.25">
      <c r="A1475" s="3" t="s">
        <v>21</v>
      </c>
      <c r="B1475" s="3" t="s">
        <v>22</v>
      </c>
      <c r="C1475" s="3" t="s">
        <v>23</v>
      </c>
      <c r="D1475" s="3" t="s">
        <v>24</v>
      </c>
      <c r="E1475" s="3" t="s">
        <v>29</v>
      </c>
      <c r="F1475" s="3" t="s">
        <v>25</v>
      </c>
      <c r="G1475" s="3" t="s">
        <v>25</v>
      </c>
      <c r="H1475" s="3" t="s">
        <v>25</v>
      </c>
      <c r="I1475" s="6">
        <v>44621</v>
      </c>
      <c r="J1475" s="4">
        <v>0</v>
      </c>
      <c r="K1475" s="4">
        <v>0</v>
      </c>
      <c r="L1475" s="4">
        <v>11920.166999999999</v>
      </c>
      <c r="M1475" s="4">
        <v>11920.166999999999</v>
      </c>
      <c r="N1475" s="4">
        <v>11920.166999999999</v>
      </c>
      <c r="O1475" s="4">
        <v>11920.166999999999</v>
      </c>
      <c r="P1475" s="4">
        <v>48796</v>
      </c>
      <c r="Q1475" s="3" t="s">
        <v>26</v>
      </c>
      <c r="R1475" s="3">
        <v>0</v>
      </c>
      <c r="S1475" s="4">
        <v>0</v>
      </c>
      <c r="T1475" s="4">
        <v>14</v>
      </c>
      <c r="U1475" s="4">
        <v>74</v>
      </c>
      <c r="V1475" s="4">
        <f>IF(ISERROR(VLOOKUP($S$1475,'TAR FIN'!$A$1:$O$99,15,0)),0,VLOOKUP($S$1475,'TAR FIN'!$A$1:$O$99,15,0))</f>
        <v>0</v>
      </c>
      <c r="W1475" s="4">
        <f>IF(ISERROR(VLOOKUP($T$1475,'TAR FIN'!$A$1:$O$99,15,0)),0,VLOOKUP($T$1475,'TAR FIN'!$A$1:$O$99,15,0))</f>
        <v>118.67</v>
      </c>
      <c r="X1475" s="4">
        <f>IF(ISERROR(VLOOKUP($U$1475,'TAR FIN'!$A$1:$O$99,15,0)),0,VLOOKUP($U$1475,'TAR FIN'!$A$1:$O$99,15,0))</f>
        <v>80.680000000000007</v>
      </c>
      <c r="Y1475" s="4"/>
      <c r="Z1475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75" s="4">
        <f>('TE BE'!$AA$14+'TE BF'!$AA$14+'TE CVA'!$AA$14)*(1-CUSTOS!$M$34)</f>
        <v>99.354113072818848</v>
      </c>
      <c r="AB1475" s="4">
        <f>$K$1475*$V$1475</f>
        <v>0</v>
      </c>
      <c r="AC1475" s="4">
        <f>$M$1475*$W$1475</f>
        <v>1414566.21789</v>
      </c>
      <c r="AD1475" s="4">
        <f>$O$1475*$X$1475</f>
        <v>961719.07356000005</v>
      </c>
      <c r="AE1475" s="4">
        <f>$K$1475*$Y$1475</f>
        <v>0</v>
      </c>
      <c r="AF1475" s="4">
        <f ca="1">$M$1475*$Z$1475</f>
        <v>1664004.9723220761</v>
      </c>
      <c r="AG1475" s="4">
        <f>$O$1475*$AA$1475</f>
        <v>1184317.6199648837</v>
      </c>
    </row>
    <row r="1476" spans="1:33" ht="11.25" customHeight="1" x14ac:dyDescent="0.25">
      <c r="A1476" s="3" t="s">
        <v>56</v>
      </c>
      <c r="B1476" s="3" t="s">
        <v>22</v>
      </c>
      <c r="C1476" s="3" t="s">
        <v>23</v>
      </c>
      <c r="D1476" s="3" t="s">
        <v>24</v>
      </c>
      <c r="E1476" s="3" t="s">
        <v>29</v>
      </c>
      <c r="F1476" s="3" t="s">
        <v>25</v>
      </c>
      <c r="G1476" s="3" t="s">
        <v>25</v>
      </c>
      <c r="H1476" s="3" t="s">
        <v>25</v>
      </c>
      <c r="I1476" s="6">
        <v>44652</v>
      </c>
      <c r="J1476" s="4">
        <v>0</v>
      </c>
      <c r="K1476" s="4">
        <v>0</v>
      </c>
      <c r="L1476" s="4">
        <v>11920.166999999999</v>
      </c>
      <c r="M1476" s="4">
        <v>11920.166999999999</v>
      </c>
      <c r="N1476" s="4">
        <v>11920.166999999999</v>
      </c>
      <c r="O1476" s="4">
        <v>11920.166999999999</v>
      </c>
      <c r="P1476" s="4">
        <v>48796</v>
      </c>
      <c r="Q1476" s="3" t="s">
        <v>26</v>
      </c>
      <c r="R1476" s="3">
        <v>0</v>
      </c>
      <c r="S1476" s="4">
        <v>0</v>
      </c>
      <c r="T1476" s="4">
        <v>14</v>
      </c>
      <c r="U1476" s="4">
        <v>74</v>
      </c>
      <c r="V1476" s="4">
        <f>IF(ISERROR(VLOOKUP($S$1476,'TAR FIN'!$A$1:$O$99,15,0)),0,VLOOKUP($S$1476,'TAR FIN'!$A$1:$O$99,15,0))</f>
        <v>0</v>
      </c>
      <c r="W1476" s="4">
        <f>IF(ISERROR(VLOOKUP($T$1476,'TAR FIN'!$A$1:$O$99,15,0)),0,VLOOKUP($T$1476,'TAR FIN'!$A$1:$O$99,15,0))</f>
        <v>118.67</v>
      </c>
      <c r="X1476" s="4">
        <f>IF(ISERROR(VLOOKUP($U$1476,'TAR FIN'!$A$1:$O$99,15,0)),0,VLOOKUP($U$1476,'TAR FIN'!$A$1:$O$99,15,0))</f>
        <v>80.680000000000007</v>
      </c>
      <c r="Y1476" s="4"/>
      <c r="Z1476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1476" s="4">
        <f>('TE BE'!$AA$14+'TE BF'!$AA$14+'TE CVA'!$AA$14)*(1-CUSTOS!$M$34)</f>
        <v>99.354113072818848</v>
      </c>
      <c r="AB1476" s="4">
        <f>$K$1476*$V$1476</f>
        <v>0</v>
      </c>
      <c r="AC1476" s="4">
        <f>$M$1476*$W$1476</f>
        <v>1414566.21789</v>
      </c>
      <c r="AD1476" s="4">
        <f>$O$1476*$X$1476</f>
        <v>961719.07356000005</v>
      </c>
      <c r="AE1476" s="4">
        <f>$K$1476*$Y$1476</f>
        <v>0</v>
      </c>
      <c r="AF1476" s="4">
        <f ca="1">$M$1476*$Z$1476</f>
        <v>1664004.9723220761</v>
      </c>
      <c r="AG1476" s="4">
        <f>$O$1476*$AA$1476</f>
        <v>1184317.6199648837</v>
      </c>
    </row>
    <row r="1477" spans="1:33" ht="11.25" customHeight="1" x14ac:dyDescent="0.25">
      <c r="A1477" s="3" t="s">
        <v>21</v>
      </c>
      <c r="B1477" s="3" t="s">
        <v>22</v>
      </c>
      <c r="C1477" s="3" t="s">
        <v>23</v>
      </c>
      <c r="D1477" s="3" t="s">
        <v>24</v>
      </c>
      <c r="E1477" s="3" t="s">
        <v>30</v>
      </c>
      <c r="F1477" s="3" t="s">
        <v>25</v>
      </c>
      <c r="G1477" s="3" t="s">
        <v>25</v>
      </c>
      <c r="H1477" s="3" t="s">
        <v>25</v>
      </c>
      <c r="I1477" s="6">
        <v>44317</v>
      </c>
      <c r="J1477" s="4">
        <v>0</v>
      </c>
      <c r="K1477" s="4">
        <v>0</v>
      </c>
      <c r="L1477" s="4">
        <v>16077.365</v>
      </c>
      <c r="M1477" s="4">
        <v>16077.365</v>
      </c>
      <c r="N1477" s="4">
        <v>16077.365</v>
      </c>
      <c r="O1477" s="4">
        <v>16077.365</v>
      </c>
      <c r="P1477" s="4">
        <v>170033</v>
      </c>
      <c r="Q1477" s="3" t="s">
        <v>26</v>
      </c>
      <c r="R1477" s="3">
        <v>0</v>
      </c>
      <c r="S1477" s="4">
        <v>0</v>
      </c>
      <c r="T1477" s="4">
        <v>15</v>
      </c>
      <c r="U1477" s="4">
        <v>75</v>
      </c>
      <c r="V1477" s="4">
        <f>IF(ISERROR(VLOOKUP($S$1477,'TAR FIN'!$A$1:$O$99,15,0)),0,VLOOKUP($S$1477,'TAR FIN'!$A$1:$O$99,15,0))</f>
        <v>0</v>
      </c>
      <c r="W1477" s="4">
        <f>IF(ISERROR(VLOOKUP($T$1477,'TAR FIN'!$A$1:$O$99,15,0)),0,VLOOKUP($T$1477,'TAR FIN'!$A$1:$O$99,15,0))</f>
        <v>203.44</v>
      </c>
      <c r="X1477" s="4">
        <f>IF(ISERROR(VLOOKUP($U$1477,'TAR FIN'!$A$1:$O$99,15,0)),0,VLOOKUP($U$1477,'TAR FIN'!$A$1:$O$99,15,0))</f>
        <v>138.32</v>
      </c>
      <c r="Y1477" s="4"/>
      <c r="Z1477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77" s="4">
        <f>('TE BE'!$AA$15+'TE BF'!$AA$15+'TE CVA'!$AA$15)*(1-CUSTOS!$M$35)</f>
        <v>170.32133669626089</v>
      </c>
      <c r="AB1477" s="4">
        <f>$K$1477*$V$1477</f>
        <v>0</v>
      </c>
      <c r="AC1477" s="4">
        <f>$M$1477*$W$1477</f>
        <v>3270779.1355999997</v>
      </c>
      <c r="AD1477" s="4">
        <f>$O$1477*$X$1477</f>
        <v>2223821.1267999997</v>
      </c>
      <c r="AE1477" s="4">
        <f>$K$1477*$Y$1477</f>
        <v>0</v>
      </c>
      <c r="AF1477" s="4">
        <f ca="1">$M$1477*$Z$1477</f>
        <v>3847426.7255537007</v>
      </c>
      <c r="AG1477" s="4">
        <f>$O$1477*$AA$1477</f>
        <v>2738318.2973536802</v>
      </c>
    </row>
    <row r="1478" spans="1:33" ht="11.25" customHeight="1" x14ac:dyDescent="0.25">
      <c r="A1478" s="3" t="s">
        <v>21</v>
      </c>
      <c r="B1478" s="3" t="s">
        <v>22</v>
      </c>
      <c r="C1478" s="3" t="s">
        <v>23</v>
      </c>
      <c r="D1478" s="3" t="s">
        <v>24</v>
      </c>
      <c r="E1478" s="3" t="s">
        <v>30</v>
      </c>
      <c r="F1478" s="3" t="s">
        <v>25</v>
      </c>
      <c r="G1478" s="3" t="s">
        <v>25</v>
      </c>
      <c r="H1478" s="3" t="s">
        <v>25</v>
      </c>
      <c r="I1478" s="6">
        <v>44348</v>
      </c>
      <c r="J1478" s="4">
        <v>0</v>
      </c>
      <c r="K1478" s="4">
        <v>0</v>
      </c>
      <c r="L1478" s="4">
        <v>15612.285</v>
      </c>
      <c r="M1478" s="4">
        <v>15612.285</v>
      </c>
      <c r="N1478" s="4">
        <v>15612.285</v>
      </c>
      <c r="O1478" s="4">
        <v>15612.285</v>
      </c>
      <c r="P1478" s="4">
        <v>181675</v>
      </c>
      <c r="Q1478" s="3" t="s">
        <v>26</v>
      </c>
      <c r="R1478" s="3">
        <v>0</v>
      </c>
      <c r="S1478" s="4">
        <v>0</v>
      </c>
      <c r="T1478" s="4">
        <v>15</v>
      </c>
      <c r="U1478" s="4">
        <v>75</v>
      </c>
      <c r="V1478" s="4">
        <f>IF(ISERROR(VLOOKUP($S$1478,'TAR FIN'!$A$1:$O$99,15,0)),0,VLOOKUP($S$1478,'TAR FIN'!$A$1:$O$99,15,0))</f>
        <v>0</v>
      </c>
      <c r="W1478" s="4">
        <f>IF(ISERROR(VLOOKUP($T$1478,'TAR FIN'!$A$1:$O$99,15,0)),0,VLOOKUP($T$1478,'TAR FIN'!$A$1:$O$99,15,0))</f>
        <v>203.44</v>
      </c>
      <c r="X1478" s="4">
        <f>IF(ISERROR(VLOOKUP($U$1478,'TAR FIN'!$A$1:$O$99,15,0)),0,VLOOKUP($U$1478,'TAR FIN'!$A$1:$O$99,15,0))</f>
        <v>138.32</v>
      </c>
      <c r="Y1478" s="4"/>
      <c r="Z1478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78" s="4">
        <f>('TE BE'!$AA$15+'TE BF'!$AA$15+'TE CVA'!$AA$15)*(1-CUSTOS!$M$35)</f>
        <v>170.32133669626089</v>
      </c>
      <c r="AB1478" s="4">
        <f>$K$1478*$V$1478</f>
        <v>0</v>
      </c>
      <c r="AC1478" s="4">
        <f>$M$1478*$W$1478</f>
        <v>3176163.2604</v>
      </c>
      <c r="AD1478" s="4">
        <f>$O$1478*$X$1478</f>
        <v>2159491.2612000001</v>
      </c>
      <c r="AE1478" s="4">
        <f>$K$1478*$Y$1478</f>
        <v>0</v>
      </c>
      <c r="AF1478" s="4">
        <f ca="1">$M$1478*$Z$1478</f>
        <v>3736129.8046017592</v>
      </c>
      <c r="AG1478" s="4">
        <f>$O$1478*$AA$1478</f>
        <v>2659105.2500829832</v>
      </c>
    </row>
    <row r="1479" spans="1:33" ht="11.25" customHeight="1" x14ac:dyDescent="0.25">
      <c r="A1479" s="3" t="s">
        <v>21</v>
      </c>
      <c r="B1479" s="3" t="s">
        <v>22</v>
      </c>
      <c r="C1479" s="3" t="s">
        <v>23</v>
      </c>
      <c r="D1479" s="3" t="s">
        <v>24</v>
      </c>
      <c r="E1479" s="3" t="s">
        <v>30</v>
      </c>
      <c r="F1479" s="3" t="s">
        <v>25</v>
      </c>
      <c r="G1479" s="3" t="s">
        <v>25</v>
      </c>
      <c r="H1479" s="3" t="s">
        <v>25</v>
      </c>
      <c r="I1479" s="6">
        <v>44378</v>
      </c>
      <c r="J1479" s="4">
        <v>0</v>
      </c>
      <c r="K1479" s="4">
        <v>0</v>
      </c>
      <c r="L1479" s="4">
        <v>14934.215</v>
      </c>
      <c r="M1479" s="4">
        <v>14934.215</v>
      </c>
      <c r="N1479" s="4">
        <v>14934.215</v>
      </c>
      <c r="O1479" s="4">
        <v>14934.215</v>
      </c>
      <c r="P1479" s="4">
        <v>197966</v>
      </c>
      <c r="Q1479" s="3" t="s">
        <v>26</v>
      </c>
      <c r="R1479" s="3">
        <v>0</v>
      </c>
      <c r="S1479" s="4">
        <v>0</v>
      </c>
      <c r="T1479" s="4">
        <v>15</v>
      </c>
      <c r="U1479" s="4">
        <v>75</v>
      </c>
      <c r="V1479" s="4">
        <f>IF(ISERROR(VLOOKUP($S$1479,'TAR FIN'!$A$1:$O$99,15,0)),0,VLOOKUP($S$1479,'TAR FIN'!$A$1:$O$99,15,0))</f>
        <v>0</v>
      </c>
      <c r="W1479" s="4">
        <f>IF(ISERROR(VLOOKUP($T$1479,'TAR FIN'!$A$1:$O$99,15,0)),0,VLOOKUP($T$1479,'TAR FIN'!$A$1:$O$99,15,0))</f>
        <v>203.44</v>
      </c>
      <c r="X1479" s="4">
        <f>IF(ISERROR(VLOOKUP($U$1479,'TAR FIN'!$A$1:$O$99,15,0)),0,VLOOKUP($U$1479,'TAR FIN'!$A$1:$O$99,15,0))</f>
        <v>138.32</v>
      </c>
      <c r="Y1479" s="4"/>
      <c r="Z1479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79" s="4">
        <f>('TE BE'!$AA$15+'TE BF'!$AA$15+'TE CVA'!$AA$15)*(1-CUSTOS!$M$35)</f>
        <v>170.32133669626089</v>
      </c>
      <c r="AB1479" s="4">
        <f>$K$1479*$V$1479</f>
        <v>0</v>
      </c>
      <c r="AC1479" s="4">
        <f>$M$1479*$W$1479</f>
        <v>3038216.6995999999</v>
      </c>
      <c r="AD1479" s="4">
        <f>$O$1479*$X$1479</f>
        <v>2065700.6187999998</v>
      </c>
      <c r="AE1479" s="4">
        <f>$K$1479*$Y$1479</f>
        <v>0</v>
      </c>
      <c r="AF1479" s="4">
        <f ca="1">$M$1479*$Z$1479</f>
        <v>3573862.8759230734</v>
      </c>
      <c r="AG1479" s="4">
        <f>$O$1479*$AA$1479</f>
        <v>2543615.4613093496</v>
      </c>
    </row>
    <row r="1480" spans="1:33" ht="11.25" customHeight="1" x14ac:dyDescent="0.25">
      <c r="A1480" s="3" t="s">
        <v>21</v>
      </c>
      <c r="B1480" s="3" t="s">
        <v>22</v>
      </c>
      <c r="C1480" s="3" t="s">
        <v>23</v>
      </c>
      <c r="D1480" s="3" t="s">
        <v>24</v>
      </c>
      <c r="E1480" s="3" t="s">
        <v>30</v>
      </c>
      <c r="F1480" s="3" t="s">
        <v>25</v>
      </c>
      <c r="G1480" s="3" t="s">
        <v>25</v>
      </c>
      <c r="H1480" s="3" t="s">
        <v>25</v>
      </c>
      <c r="I1480" s="6">
        <v>44409</v>
      </c>
      <c r="J1480" s="4">
        <v>0</v>
      </c>
      <c r="K1480" s="4">
        <v>0</v>
      </c>
      <c r="L1480" s="4">
        <v>14767.232</v>
      </c>
      <c r="M1480" s="4">
        <v>14767.232</v>
      </c>
      <c r="N1480" s="4">
        <v>14767.232</v>
      </c>
      <c r="O1480" s="4">
        <v>14767.232</v>
      </c>
      <c r="P1480" s="4">
        <v>205798</v>
      </c>
      <c r="Q1480" s="3" t="s">
        <v>26</v>
      </c>
      <c r="R1480" s="3">
        <v>0</v>
      </c>
      <c r="S1480" s="4">
        <v>0</v>
      </c>
      <c r="T1480" s="4">
        <v>15</v>
      </c>
      <c r="U1480" s="4">
        <v>75</v>
      </c>
      <c r="V1480" s="4">
        <f>IF(ISERROR(VLOOKUP($S$1480,'TAR FIN'!$A$1:$O$99,15,0)),0,VLOOKUP($S$1480,'TAR FIN'!$A$1:$O$99,15,0))</f>
        <v>0</v>
      </c>
      <c r="W1480" s="4">
        <f>IF(ISERROR(VLOOKUP($T$1480,'TAR FIN'!$A$1:$O$99,15,0)),0,VLOOKUP($T$1480,'TAR FIN'!$A$1:$O$99,15,0))</f>
        <v>203.44</v>
      </c>
      <c r="X1480" s="4">
        <f>IF(ISERROR(VLOOKUP($U$1480,'TAR FIN'!$A$1:$O$99,15,0)),0,VLOOKUP($U$1480,'TAR FIN'!$A$1:$O$99,15,0))</f>
        <v>138.32</v>
      </c>
      <c r="Y1480" s="4"/>
      <c r="Z1480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80" s="4">
        <f>('TE BE'!$AA$15+'TE BF'!$AA$15+'TE CVA'!$AA$15)*(1-CUSTOS!$M$35)</f>
        <v>170.32133669626089</v>
      </c>
      <c r="AB1480" s="4">
        <f>$K$1480*$V$1480</f>
        <v>0</v>
      </c>
      <c r="AC1480" s="4">
        <f>$M$1480*$W$1480</f>
        <v>3004245.67808</v>
      </c>
      <c r="AD1480" s="4">
        <f>$O$1480*$X$1480</f>
        <v>2042603.53024</v>
      </c>
      <c r="AE1480" s="4">
        <f>$K$1480*$Y$1480</f>
        <v>0</v>
      </c>
      <c r="AF1480" s="4">
        <f ca="1">$M$1480*$Z$1480</f>
        <v>3533902.6674614795</v>
      </c>
      <c r="AG1480" s="4">
        <f>$O$1480*$AA$1480</f>
        <v>2515174.6935437978</v>
      </c>
    </row>
    <row r="1481" spans="1:33" ht="11.25" customHeight="1" x14ac:dyDescent="0.25">
      <c r="A1481" s="3" t="s">
        <v>21</v>
      </c>
      <c r="B1481" s="3" t="s">
        <v>22</v>
      </c>
      <c r="C1481" s="3" t="s">
        <v>23</v>
      </c>
      <c r="D1481" s="3" t="s">
        <v>24</v>
      </c>
      <c r="E1481" s="3" t="s">
        <v>30</v>
      </c>
      <c r="F1481" s="3" t="s">
        <v>25</v>
      </c>
      <c r="G1481" s="3" t="s">
        <v>25</v>
      </c>
      <c r="H1481" s="3" t="s">
        <v>25</v>
      </c>
      <c r="I1481" s="6">
        <v>44440</v>
      </c>
      <c r="J1481" s="4">
        <v>0</v>
      </c>
      <c r="K1481" s="4">
        <v>0</v>
      </c>
      <c r="L1481" s="4">
        <v>15543.1</v>
      </c>
      <c r="M1481" s="4">
        <v>15543.1</v>
      </c>
      <c r="N1481" s="4">
        <v>15543.1</v>
      </c>
      <c r="O1481" s="4">
        <v>15543.1</v>
      </c>
      <c r="P1481" s="4">
        <v>197336</v>
      </c>
      <c r="Q1481" s="3" t="s">
        <v>26</v>
      </c>
      <c r="R1481" s="3">
        <v>0</v>
      </c>
      <c r="S1481" s="4">
        <v>0</v>
      </c>
      <c r="T1481" s="4">
        <v>15</v>
      </c>
      <c r="U1481" s="4">
        <v>75</v>
      </c>
      <c r="V1481" s="4">
        <f>IF(ISERROR(VLOOKUP($S$1481,'TAR FIN'!$A$1:$O$99,15,0)),0,VLOOKUP($S$1481,'TAR FIN'!$A$1:$O$99,15,0))</f>
        <v>0</v>
      </c>
      <c r="W1481" s="4">
        <f>IF(ISERROR(VLOOKUP($T$1481,'TAR FIN'!$A$1:$O$99,15,0)),0,VLOOKUP($T$1481,'TAR FIN'!$A$1:$O$99,15,0))</f>
        <v>203.44</v>
      </c>
      <c r="X1481" s="4">
        <f>IF(ISERROR(VLOOKUP($U$1481,'TAR FIN'!$A$1:$O$99,15,0)),0,VLOOKUP($U$1481,'TAR FIN'!$A$1:$O$99,15,0))</f>
        <v>138.32</v>
      </c>
      <c r="Y1481" s="4"/>
      <c r="Z1481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81" s="4">
        <f>('TE BE'!$AA$15+'TE BF'!$AA$15+'TE CVA'!$AA$15)*(1-CUSTOS!$M$35)</f>
        <v>170.32133669626089</v>
      </c>
      <c r="AB1481" s="4">
        <f>$K$1481*$V$1481</f>
        <v>0</v>
      </c>
      <c r="AC1481" s="4">
        <f>$M$1481*$W$1481</f>
        <v>3162088.264</v>
      </c>
      <c r="AD1481" s="4">
        <f>$O$1481*$X$1481</f>
        <v>2149921.5919999997</v>
      </c>
      <c r="AE1481" s="4">
        <f>$K$1481*$Y$1481</f>
        <v>0</v>
      </c>
      <c r="AF1481" s="4">
        <f ca="1">$M$1481*$Z$1481</f>
        <v>3719573.3466245076</v>
      </c>
      <c r="AG1481" s="4">
        <f>$O$1481*$AA$1481</f>
        <v>2647321.5684036529</v>
      </c>
    </row>
    <row r="1482" spans="1:33" ht="11.25" customHeight="1" x14ac:dyDescent="0.25">
      <c r="A1482" s="3" t="s">
        <v>21</v>
      </c>
      <c r="B1482" s="3" t="s">
        <v>22</v>
      </c>
      <c r="C1482" s="3" t="s">
        <v>23</v>
      </c>
      <c r="D1482" s="3" t="s">
        <v>24</v>
      </c>
      <c r="E1482" s="3" t="s">
        <v>30</v>
      </c>
      <c r="F1482" s="3" t="s">
        <v>25</v>
      </c>
      <c r="G1482" s="3" t="s">
        <v>25</v>
      </c>
      <c r="H1482" s="3" t="s">
        <v>25</v>
      </c>
      <c r="I1482" s="6">
        <v>44470</v>
      </c>
      <c r="J1482" s="4">
        <v>0</v>
      </c>
      <c r="K1482" s="4">
        <v>0</v>
      </c>
      <c r="L1482" s="4">
        <v>16294.031000000001</v>
      </c>
      <c r="M1482" s="4">
        <v>16294.031000000001</v>
      </c>
      <c r="N1482" s="4">
        <v>16294.031000000001</v>
      </c>
      <c r="O1482" s="4">
        <v>16294.031000000001</v>
      </c>
      <c r="P1482" s="4">
        <v>184733</v>
      </c>
      <c r="Q1482" s="3" t="s">
        <v>26</v>
      </c>
      <c r="R1482" s="3">
        <v>0</v>
      </c>
      <c r="S1482" s="4">
        <v>0</v>
      </c>
      <c r="T1482" s="4">
        <v>15</v>
      </c>
      <c r="U1482" s="4">
        <v>75</v>
      </c>
      <c r="V1482" s="4">
        <f>IF(ISERROR(VLOOKUP($S$1482,'TAR FIN'!$A$1:$O$99,15,0)),0,VLOOKUP($S$1482,'TAR FIN'!$A$1:$O$99,15,0))</f>
        <v>0</v>
      </c>
      <c r="W1482" s="4">
        <f>IF(ISERROR(VLOOKUP($T$1482,'TAR FIN'!$A$1:$O$99,15,0)),0,VLOOKUP($T$1482,'TAR FIN'!$A$1:$O$99,15,0))</f>
        <v>203.44</v>
      </c>
      <c r="X1482" s="4">
        <f>IF(ISERROR(VLOOKUP($U$1482,'TAR FIN'!$A$1:$O$99,15,0)),0,VLOOKUP($U$1482,'TAR FIN'!$A$1:$O$99,15,0))</f>
        <v>138.32</v>
      </c>
      <c r="Y1482" s="4"/>
      <c r="Z1482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82" s="4">
        <f>('TE BE'!$AA$15+'TE BF'!$AA$15+'TE CVA'!$AA$15)*(1-CUSTOS!$M$35)</f>
        <v>170.32133669626089</v>
      </c>
      <c r="AB1482" s="4">
        <f>$K$1482*$V$1482</f>
        <v>0</v>
      </c>
      <c r="AC1482" s="4">
        <f>$M$1482*$W$1482</f>
        <v>3314857.66664</v>
      </c>
      <c r="AD1482" s="4">
        <f>$O$1482*$X$1482</f>
        <v>2253790.3679200001</v>
      </c>
      <c r="AE1482" s="4">
        <f>$K$1482*$Y$1482</f>
        <v>0</v>
      </c>
      <c r="AF1482" s="4">
        <f ca="1">$M$1482*$Z$1482</f>
        <v>3899276.4259815272</v>
      </c>
      <c r="AG1482" s="4">
        <f>$O$1482*$AA$1482</f>
        <v>2775221.1400903128</v>
      </c>
    </row>
    <row r="1483" spans="1:33" ht="11.25" customHeight="1" x14ac:dyDescent="0.25">
      <c r="A1483" s="3" t="s">
        <v>21</v>
      </c>
      <c r="B1483" s="3" t="s">
        <v>22</v>
      </c>
      <c r="C1483" s="3" t="s">
        <v>23</v>
      </c>
      <c r="D1483" s="3" t="s">
        <v>24</v>
      </c>
      <c r="E1483" s="3" t="s">
        <v>30</v>
      </c>
      <c r="F1483" s="3" t="s">
        <v>25</v>
      </c>
      <c r="G1483" s="3" t="s">
        <v>25</v>
      </c>
      <c r="H1483" s="3" t="s">
        <v>25</v>
      </c>
      <c r="I1483" s="6">
        <v>44501</v>
      </c>
      <c r="J1483" s="4">
        <v>0</v>
      </c>
      <c r="K1483" s="4">
        <v>0</v>
      </c>
      <c r="L1483" s="4">
        <v>17100.547999999999</v>
      </c>
      <c r="M1483" s="4">
        <v>17100.547999999999</v>
      </c>
      <c r="N1483" s="4">
        <v>17100.547999999999</v>
      </c>
      <c r="O1483" s="4">
        <v>17100.547999999999</v>
      </c>
      <c r="P1483" s="4">
        <v>172211</v>
      </c>
      <c r="Q1483" s="3" t="s">
        <v>26</v>
      </c>
      <c r="R1483" s="3">
        <v>0</v>
      </c>
      <c r="S1483" s="4">
        <v>0</v>
      </c>
      <c r="T1483" s="4">
        <v>15</v>
      </c>
      <c r="U1483" s="4">
        <v>75</v>
      </c>
      <c r="V1483" s="4">
        <f>IF(ISERROR(VLOOKUP($S$1483,'TAR FIN'!$A$1:$O$99,15,0)),0,VLOOKUP($S$1483,'TAR FIN'!$A$1:$O$99,15,0))</f>
        <v>0</v>
      </c>
      <c r="W1483" s="4">
        <f>IF(ISERROR(VLOOKUP($T$1483,'TAR FIN'!$A$1:$O$99,15,0)),0,VLOOKUP($T$1483,'TAR FIN'!$A$1:$O$99,15,0))</f>
        <v>203.44</v>
      </c>
      <c r="X1483" s="4">
        <f>IF(ISERROR(VLOOKUP($U$1483,'TAR FIN'!$A$1:$O$99,15,0)),0,VLOOKUP($U$1483,'TAR FIN'!$A$1:$O$99,15,0))</f>
        <v>138.32</v>
      </c>
      <c r="Y1483" s="4"/>
      <c r="Z1483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83" s="4">
        <f>('TE BE'!$AA$15+'TE BF'!$AA$15+'TE CVA'!$AA$15)*(1-CUSTOS!$M$35)</f>
        <v>170.32133669626089</v>
      </c>
      <c r="AB1483" s="4">
        <f>$K$1483*$V$1483</f>
        <v>0</v>
      </c>
      <c r="AC1483" s="4">
        <f>$M$1483*$W$1483</f>
        <v>3478935.4851199999</v>
      </c>
      <c r="AD1483" s="4">
        <f>$O$1483*$X$1483</f>
        <v>2365347.7993599996</v>
      </c>
      <c r="AE1483" s="4">
        <f>$K$1483*$Y$1483</f>
        <v>0</v>
      </c>
      <c r="AF1483" s="4">
        <f ca="1">$M$1483*$Z$1483</f>
        <v>4092281.6267972942</v>
      </c>
      <c r="AG1483" s="4">
        <f>$O$1483*$AA$1483</f>
        <v>2912588.1935985703</v>
      </c>
    </row>
    <row r="1484" spans="1:33" ht="11.25" customHeight="1" x14ac:dyDescent="0.25">
      <c r="A1484" s="3" t="s">
        <v>21</v>
      </c>
      <c r="B1484" s="3" t="s">
        <v>22</v>
      </c>
      <c r="C1484" s="3" t="s">
        <v>23</v>
      </c>
      <c r="D1484" s="3" t="s">
        <v>24</v>
      </c>
      <c r="E1484" s="3" t="s">
        <v>30</v>
      </c>
      <c r="F1484" s="3" t="s">
        <v>25</v>
      </c>
      <c r="G1484" s="3" t="s">
        <v>25</v>
      </c>
      <c r="H1484" s="3" t="s">
        <v>25</v>
      </c>
      <c r="I1484" s="6">
        <v>44531</v>
      </c>
      <c r="J1484" s="4">
        <v>0</v>
      </c>
      <c r="K1484" s="4">
        <v>0</v>
      </c>
      <c r="L1484" s="4">
        <v>18353.892</v>
      </c>
      <c r="M1484" s="4">
        <v>18353.892</v>
      </c>
      <c r="N1484" s="4">
        <v>18353.892</v>
      </c>
      <c r="O1484" s="4">
        <v>18353.892</v>
      </c>
      <c r="P1484" s="4">
        <v>173327</v>
      </c>
      <c r="Q1484" s="3" t="s">
        <v>26</v>
      </c>
      <c r="R1484" s="3">
        <v>0</v>
      </c>
      <c r="S1484" s="4">
        <v>0</v>
      </c>
      <c r="T1484" s="4">
        <v>15</v>
      </c>
      <c r="U1484" s="4">
        <v>75</v>
      </c>
      <c r="V1484" s="4">
        <f>IF(ISERROR(VLOOKUP($S$1484,'TAR FIN'!$A$1:$O$99,15,0)),0,VLOOKUP($S$1484,'TAR FIN'!$A$1:$O$99,15,0))</f>
        <v>0</v>
      </c>
      <c r="W1484" s="4">
        <f>IF(ISERROR(VLOOKUP($T$1484,'TAR FIN'!$A$1:$O$99,15,0)),0,VLOOKUP($T$1484,'TAR FIN'!$A$1:$O$99,15,0))</f>
        <v>203.44</v>
      </c>
      <c r="X1484" s="4">
        <f>IF(ISERROR(VLOOKUP($U$1484,'TAR FIN'!$A$1:$O$99,15,0)),0,VLOOKUP($U$1484,'TAR FIN'!$A$1:$O$99,15,0))</f>
        <v>138.32</v>
      </c>
      <c r="Y1484" s="4"/>
      <c r="Z1484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84" s="4">
        <f>('TE BE'!$AA$15+'TE BF'!$AA$15+'TE CVA'!$AA$15)*(1-CUSTOS!$M$35)</f>
        <v>170.32133669626089</v>
      </c>
      <c r="AB1484" s="4">
        <f>$K$1484*$V$1484</f>
        <v>0</v>
      </c>
      <c r="AC1484" s="4">
        <f>$M$1484*$W$1484</f>
        <v>3733915.7884800001</v>
      </c>
      <c r="AD1484" s="4">
        <f>$O$1484*$X$1484</f>
        <v>2538710.3414399996</v>
      </c>
      <c r="AE1484" s="4">
        <f>$K$1484*$Y$1484</f>
        <v>0</v>
      </c>
      <c r="AF1484" s="4">
        <f ca="1">$M$1484*$Z$1484</f>
        <v>4392215.6770544341</v>
      </c>
      <c r="AG1484" s="4">
        <f>$O$1484*$AA$1484</f>
        <v>3126059.4190188092</v>
      </c>
    </row>
    <row r="1485" spans="1:33" ht="11.25" customHeight="1" x14ac:dyDescent="0.25">
      <c r="A1485" s="3" t="s">
        <v>21</v>
      </c>
      <c r="B1485" s="3" t="s">
        <v>22</v>
      </c>
      <c r="C1485" s="3" t="s">
        <v>23</v>
      </c>
      <c r="D1485" s="3" t="s">
        <v>24</v>
      </c>
      <c r="E1485" s="3" t="s">
        <v>30</v>
      </c>
      <c r="F1485" s="3" t="s">
        <v>25</v>
      </c>
      <c r="G1485" s="3" t="s">
        <v>25</v>
      </c>
      <c r="H1485" s="3" t="s">
        <v>25</v>
      </c>
      <c r="I1485" s="6">
        <v>44562</v>
      </c>
      <c r="J1485" s="4">
        <v>0</v>
      </c>
      <c r="K1485" s="4">
        <v>0</v>
      </c>
      <c r="L1485" s="4">
        <v>18870.63</v>
      </c>
      <c r="M1485" s="4">
        <v>18870.63</v>
      </c>
      <c r="N1485" s="4">
        <v>18870.63</v>
      </c>
      <c r="O1485" s="4">
        <v>18870.63</v>
      </c>
      <c r="P1485" s="4">
        <v>186656</v>
      </c>
      <c r="Q1485" s="3" t="s">
        <v>26</v>
      </c>
      <c r="R1485" s="3">
        <v>0</v>
      </c>
      <c r="S1485" s="4">
        <v>0</v>
      </c>
      <c r="T1485" s="4">
        <v>15</v>
      </c>
      <c r="U1485" s="4">
        <v>75</v>
      </c>
      <c r="V1485" s="4">
        <f>IF(ISERROR(VLOOKUP($S$1485,'TAR FIN'!$A$1:$O$99,15,0)),0,VLOOKUP($S$1485,'TAR FIN'!$A$1:$O$99,15,0))</f>
        <v>0</v>
      </c>
      <c r="W1485" s="4">
        <f>IF(ISERROR(VLOOKUP($T$1485,'TAR FIN'!$A$1:$O$99,15,0)),0,VLOOKUP($T$1485,'TAR FIN'!$A$1:$O$99,15,0))</f>
        <v>203.44</v>
      </c>
      <c r="X1485" s="4">
        <f>IF(ISERROR(VLOOKUP($U$1485,'TAR FIN'!$A$1:$O$99,15,0)),0,VLOOKUP($U$1485,'TAR FIN'!$A$1:$O$99,15,0))</f>
        <v>138.32</v>
      </c>
      <c r="Y1485" s="4"/>
      <c r="Z1485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85" s="4">
        <f>('TE BE'!$AA$15+'TE BF'!$AA$15+'TE CVA'!$AA$15)*(1-CUSTOS!$M$35)</f>
        <v>170.32133669626089</v>
      </c>
      <c r="AB1485" s="4">
        <f>$K$1485*$V$1485</f>
        <v>0</v>
      </c>
      <c r="AC1485" s="4">
        <f>$M$1485*$W$1485</f>
        <v>3839040.9672000003</v>
      </c>
      <c r="AD1485" s="4">
        <f>$O$1485*$X$1485</f>
        <v>2610185.5416000001</v>
      </c>
      <c r="AE1485" s="4">
        <f>$K$1485*$Y$1485</f>
        <v>0</v>
      </c>
      <c r="AF1485" s="4">
        <f ca="1">$M$1485*$Z$1485</f>
        <v>4515874.7213884518</v>
      </c>
      <c r="AG1485" s="4">
        <f>$O$1485*$AA$1485</f>
        <v>3214070.9259005617</v>
      </c>
    </row>
    <row r="1486" spans="1:33" ht="11.25" customHeight="1" x14ac:dyDescent="0.25">
      <c r="A1486" s="3" t="s">
        <v>21</v>
      </c>
      <c r="B1486" s="3" t="s">
        <v>22</v>
      </c>
      <c r="C1486" s="3" t="s">
        <v>23</v>
      </c>
      <c r="D1486" s="3" t="s">
        <v>24</v>
      </c>
      <c r="E1486" s="3" t="s">
        <v>30</v>
      </c>
      <c r="F1486" s="3" t="s">
        <v>25</v>
      </c>
      <c r="G1486" s="3" t="s">
        <v>25</v>
      </c>
      <c r="H1486" s="3" t="s">
        <v>25</v>
      </c>
      <c r="I1486" s="6">
        <v>44593</v>
      </c>
      <c r="J1486" s="4">
        <v>0</v>
      </c>
      <c r="K1486" s="4">
        <v>0</v>
      </c>
      <c r="L1486" s="4">
        <v>19059.675999999999</v>
      </c>
      <c r="M1486" s="4">
        <v>19059.675999999999</v>
      </c>
      <c r="N1486" s="4">
        <v>19059.675999999999</v>
      </c>
      <c r="O1486" s="4">
        <v>19059.675999999999</v>
      </c>
      <c r="P1486" s="4">
        <v>193424</v>
      </c>
      <c r="Q1486" s="3" t="s">
        <v>26</v>
      </c>
      <c r="R1486" s="3">
        <v>0</v>
      </c>
      <c r="S1486" s="4">
        <v>0</v>
      </c>
      <c r="T1486" s="4">
        <v>15</v>
      </c>
      <c r="U1486" s="4">
        <v>75</v>
      </c>
      <c r="V1486" s="4">
        <f>IF(ISERROR(VLOOKUP($S$1486,'TAR FIN'!$A$1:$O$99,15,0)),0,VLOOKUP($S$1486,'TAR FIN'!$A$1:$O$99,15,0))</f>
        <v>0</v>
      </c>
      <c r="W1486" s="4">
        <f>IF(ISERROR(VLOOKUP($T$1486,'TAR FIN'!$A$1:$O$99,15,0)),0,VLOOKUP($T$1486,'TAR FIN'!$A$1:$O$99,15,0))</f>
        <v>203.44</v>
      </c>
      <c r="X1486" s="4">
        <f>IF(ISERROR(VLOOKUP($U$1486,'TAR FIN'!$A$1:$O$99,15,0)),0,VLOOKUP($U$1486,'TAR FIN'!$A$1:$O$99,15,0))</f>
        <v>138.32</v>
      </c>
      <c r="Y1486" s="4"/>
      <c r="Z1486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86" s="4">
        <f>('TE BE'!$AA$15+'TE BF'!$AA$15+'TE CVA'!$AA$15)*(1-CUSTOS!$M$35)</f>
        <v>170.32133669626089</v>
      </c>
      <c r="AB1486" s="4">
        <f>$K$1486*$V$1486</f>
        <v>0</v>
      </c>
      <c r="AC1486" s="4">
        <f>$M$1486*$W$1486</f>
        <v>3877500.48544</v>
      </c>
      <c r="AD1486" s="4">
        <f>$O$1486*$X$1486</f>
        <v>2636334.3843199997</v>
      </c>
      <c r="AE1486" s="4">
        <f>$K$1486*$Y$1486</f>
        <v>0</v>
      </c>
      <c r="AF1486" s="4">
        <f ca="1">$M$1486*$Z$1486</f>
        <v>4561114.7612058604</v>
      </c>
      <c r="AG1486" s="4">
        <f>$O$1486*$AA$1486</f>
        <v>3246269.4933176427</v>
      </c>
    </row>
    <row r="1487" spans="1:33" ht="11.25" customHeight="1" x14ac:dyDescent="0.25">
      <c r="A1487" s="3" t="s">
        <v>21</v>
      </c>
      <c r="B1487" s="3" t="s">
        <v>22</v>
      </c>
      <c r="C1487" s="3" t="s">
        <v>23</v>
      </c>
      <c r="D1487" s="3" t="s">
        <v>24</v>
      </c>
      <c r="E1487" s="3" t="s">
        <v>30</v>
      </c>
      <c r="F1487" s="3" t="s">
        <v>25</v>
      </c>
      <c r="G1487" s="3" t="s">
        <v>25</v>
      </c>
      <c r="H1487" s="3" t="s">
        <v>25</v>
      </c>
      <c r="I1487" s="6">
        <v>44621</v>
      </c>
      <c r="J1487" s="4">
        <v>0</v>
      </c>
      <c r="K1487" s="4">
        <v>0</v>
      </c>
      <c r="L1487" s="4">
        <v>20407.688999999998</v>
      </c>
      <c r="M1487" s="4">
        <v>20407.688999999998</v>
      </c>
      <c r="N1487" s="4">
        <v>20407.688999999998</v>
      </c>
      <c r="O1487" s="4">
        <v>20407.688999999998</v>
      </c>
      <c r="P1487" s="4">
        <v>177677</v>
      </c>
      <c r="Q1487" s="3" t="s">
        <v>26</v>
      </c>
      <c r="R1487" s="3">
        <v>0</v>
      </c>
      <c r="S1487" s="4">
        <v>0</v>
      </c>
      <c r="T1487" s="4">
        <v>15</v>
      </c>
      <c r="U1487" s="4">
        <v>75</v>
      </c>
      <c r="V1487" s="4">
        <f>IF(ISERROR(VLOOKUP($S$1487,'TAR FIN'!$A$1:$O$99,15,0)),0,VLOOKUP($S$1487,'TAR FIN'!$A$1:$O$99,15,0))</f>
        <v>0</v>
      </c>
      <c r="W1487" s="4">
        <f>IF(ISERROR(VLOOKUP($T$1487,'TAR FIN'!$A$1:$O$99,15,0)),0,VLOOKUP($T$1487,'TAR FIN'!$A$1:$O$99,15,0))</f>
        <v>203.44</v>
      </c>
      <c r="X1487" s="4">
        <f>IF(ISERROR(VLOOKUP($U$1487,'TAR FIN'!$A$1:$O$99,15,0)),0,VLOOKUP($U$1487,'TAR FIN'!$A$1:$O$99,15,0))</f>
        <v>138.32</v>
      </c>
      <c r="Y1487" s="4"/>
      <c r="Z1487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87" s="4">
        <f>('TE BE'!$AA$15+'TE BF'!$AA$15+'TE CVA'!$AA$15)*(1-CUSTOS!$M$35)</f>
        <v>170.32133669626089</v>
      </c>
      <c r="AB1487" s="4">
        <f>$K$1487*$V$1487</f>
        <v>0</v>
      </c>
      <c r="AC1487" s="4">
        <f>$M$1487*$W$1487</f>
        <v>4151740.2501599998</v>
      </c>
      <c r="AD1487" s="4">
        <f>$O$1487*$X$1487</f>
        <v>2822791.5424799998</v>
      </c>
      <c r="AE1487" s="4">
        <f>$K$1487*$Y$1487</f>
        <v>0</v>
      </c>
      <c r="AF1487" s="4">
        <f ca="1">$M$1487*$Z$1487</f>
        <v>4883703.7702004202</v>
      </c>
      <c r="AG1487" s="4">
        <f>$O$1487*$AA$1487</f>
        <v>3475864.8693615794</v>
      </c>
    </row>
    <row r="1488" spans="1:33" ht="11.25" customHeight="1" x14ac:dyDescent="0.25">
      <c r="A1488" s="3" t="s">
        <v>56</v>
      </c>
      <c r="B1488" s="3" t="s">
        <v>22</v>
      </c>
      <c r="C1488" s="3" t="s">
        <v>23</v>
      </c>
      <c r="D1488" s="3" t="s">
        <v>24</v>
      </c>
      <c r="E1488" s="3" t="s">
        <v>30</v>
      </c>
      <c r="F1488" s="3" t="s">
        <v>25</v>
      </c>
      <c r="G1488" s="3" t="s">
        <v>25</v>
      </c>
      <c r="H1488" s="3" t="s">
        <v>25</v>
      </c>
      <c r="I1488" s="6">
        <v>44652</v>
      </c>
      <c r="J1488" s="4">
        <v>0</v>
      </c>
      <c r="K1488" s="4">
        <v>0</v>
      </c>
      <c r="L1488" s="4">
        <v>20407.688999999998</v>
      </c>
      <c r="M1488" s="4">
        <v>20407.688999999998</v>
      </c>
      <c r="N1488" s="4">
        <v>20407.688999999998</v>
      </c>
      <c r="O1488" s="4">
        <v>20407.688999999998</v>
      </c>
      <c r="P1488" s="4">
        <v>177677</v>
      </c>
      <c r="Q1488" s="3" t="s">
        <v>26</v>
      </c>
      <c r="R1488" s="3">
        <v>0</v>
      </c>
      <c r="S1488" s="4">
        <v>0</v>
      </c>
      <c r="T1488" s="4">
        <v>15</v>
      </c>
      <c r="U1488" s="4">
        <v>75</v>
      </c>
      <c r="V1488" s="4">
        <f>IF(ISERROR(VLOOKUP($S$1488,'TAR FIN'!$A$1:$O$99,15,0)),0,VLOOKUP($S$1488,'TAR FIN'!$A$1:$O$99,15,0))</f>
        <v>0</v>
      </c>
      <c r="W1488" s="4">
        <f>IF(ISERROR(VLOOKUP($T$1488,'TAR FIN'!$A$1:$O$99,15,0)),0,VLOOKUP($T$1488,'TAR FIN'!$A$1:$O$99,15,0))</f>
        <v>203.44</v>
      </c>
      <c r="X1488" s="4">
        <f>IF(ISERROR(VLOOKUP($U$1488,'TAR FIN'!$A$1:$O$99,15,0)),0,VLOOKUP($U$1488,'TAR FIN'!$A$1:$O$99,15,0))</f>
        <v>138.32</v>
      </c>
      <c r="Y1488" s="4"/>
      <c r="Z1488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1488" s="4">
        <f>('TE BE'!$AA$15+'TE BF'!$AA$15+'TE CVA'!$AA$15)*(1-CUSTOS!$M$35)</f>
        <v>170.32133669626089</v>
      </c>
      <c r="AB1488" s="4">
        <f>$K$1488*$V$1488</f>
        <v>0</v>
      </c>
      <c r="AC1488" s="4">
        <f>$M$1488*$W$1488</f>
        <v>4151740.2501599998</v>
      </c>
      <c r="AD1488" s="4">
        <f>$O$1488*$X$1488</f>
        <v>2822791.5424799998</v>
      </c>
      <c r="AE1488" s="4">
        <f>$K$1488*$Y$1488</f>
        <v>0</v>
      </c>
      <c r="AF1488" s="4">
        <f ca="1">$M$1488*$Z$1488</f>
        <v>4883703.7702004202</v>
      </c>
      <c r="AG1488" s="4">
        <f>$O$1488*$AA$1488</f>
        <v>3475864.8693615794</v>
      </c>
    </row>
    <row r="1489" spans="1:33" ht="11.25" customHeight="1" x14ac:dyDescent="0.25">
      <c r="A1489" s="3" t="s">
        <v>21</v>
      </c>
      <c r="B1489" s="3" t="s">
        <v>22</v>
      </c>
      <c r="C1489" s="3" t="s">
        <v>23</v>
      </c>
      <c r="D1489" s="3" t="s">
        <v>24</v>
      </c>
      <c r="E1489" s="3" t="s">
        <v>31</v>
      </c>
      <c r="F1489" s="3" t="s">
        <v>25</v>
      </c>
      <c r="G1489" s="3" t="s">
        <v>25</v>
      </c>
      <c r="H1489" s="3" t="s">
        <v>25</v>
      </c>
      <c r="I1489" s="6">
        <v>44317</v>
      </c>
      <c r="J1489" s="4">
        <v>0</v>
      </c>
      <c r="K1489" s="4">
        <v>0</v>
      </c>
      <c r="L1489" s="4">
        <v>6241.5249999999996</v>
      </c>
      <c r="M1489" s="4">
        <v>6241.5249999999996</v>
      </c>
      <c r="N1489" s="4">
        <v>6241.5249999999996</v>
      </c>
      <c r="O1489" s="4">
        <v>6241.5249999999996</v>
      </c>
      <c r="P1489" s="4">
        <v>120572</v>
      </c>
      <c r="Q1489" s="3" t="s">
        <v>26</v>
      </c>
      <c r="R1489" s="3">
        <v>0</v>
      </c>
      <c r="S1489" s="4">
        <v>0</v>
      </c>
      <c r="T1489" s="4">
        <v>33</v>
      </c>
      <c r="U1489" s="4">
        <v>54</v>
      </c>
      <c r="V1489" s="4">
        <f>IF(ISERROR(VLOOKUP($S$1489,'TAR FIN'!$A$1:$O$99,15,0)),0,VLOOKUP($S$1489,'TAR FIN'!$A$1:$O$99,15,0))</f>
        <v>0</v>
      </c>
      <c r="W1489" s="4">
        <f>IF(ISERROR(VLOOKUP($T$1489,'TAR FIN'!$A$1:$O$99,15,0)),0,VLOOKUP($T$1489,'TAR FIN'!$A$1:$O$99,15,0))</f>
        <v>305.14999999999998</v>
      </c>
      <c r="X1489" s="4">
        <f>IF(ISERROR(VLOOKUP($U$1489,'TAR FIN'!$A$1:$O$99,15,0)),0,VLOOKUP($U$1489,'TAR FIN'!$A$1:$O$99,15,0))</f>
        <v>207.47</v>
      </c>
      <c r="Y1489" s="4"/>
      <c r="Z1489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89" s="4">
        <f>('TE BE'!$AA$16+'TE BF'!$AA$16+'TE CVA'!$AA$16)*(1-CUSTOS!$M$36)</f>
        <v>255.48200504439134</v>
      </c>
      <c r="AB1489" s="4">
        <f>$K$1489*$V$1489</f>
        <v>0</v>
      </c>
      <c r="AC1489" s="4">
        <f>$M$1489*$W$1489</f>
        <v>1904601.3537499998</v>
      </c>
      <c r="AD1489" s="4">
        <f>$O$1489*$X$1489</f>
        <v>1294929.19175</v>
      </c>
      <c r="AE1489" s="4">
        <f>$K$1489*$Y$1489</f>
        <v>0</v>
      </c>
      <c r="AF1489" s="4">
        <f ca="1">$M$1489*$Z$1489</f>
        <v>2240461.3653927334</v>
      </c>
      <c r="AG1489" s="4">
        <f>$O$1489*$AA$1489</f>
        <v>1594597.3215346946</v>
      </c>
    </row>
    <row r="1490" spans="1:33" ht="11.25" customHeight="1" x14ac:dyDescent="0.25">
      <c r="A1490" s="3" t="s">
        <v>21</v>
      </c>
      <c r="B1490" s="3" t="s">
        <v>22</v>
      </c>
      <c r="C1490" s="3" t="s">
        <v>23</v>
      </c>
      <c r="D1490" s="3" t="s">
        <v>24</v>
      </c>
      <c r="E1490" s="3" t="s">
        <v>31</v>
      </c>
      <c r="F1490" s="3" t="s">
        <v>25</v>
      </c>
      <c r="G1490" s="3" t="s">
        <v>25</v>
      </c>
      <c r="H1490" s="3" t="s">
        <v>25</v>
      </c>
      <c r="I1490" s="6">
        <v>44348</v>
      </c>
      <c r="J1490" s="4">
        <v>0</v>
      </c>
      <c r="K1490" s="4">
        <v>0</v>
      </c>
      <c r="L1490" s="4">
        <v>5574.6679999999997</v>
      </c>
      <c r="M1490" s="4">
        <v>5574.6679999999997</v>
      </c>
      <c r="N1490" s="4">
        <v>5574.6679999999997</v>
      </c>
      <c r="O1490" s="4">
        <v>5574.6679999999997</v>
      </c>
      <c r="P1490" s="4">
        <v>112012</v>
      </c>
      <c r="Q1490" s="3" t="s">
        <v>26</v>
      </c>
      <c r="R1490" s="3">
        <v>0</v>
      </c>
      <c r="S1490" s="4">
        <v>0</v>
      </c>
      <c r="T1490" s="4">
        <v>33</v>
      </c>
      <c r="U1490" s="4">
        <v>54</v>
      </c>
      <c r="V1490" s="4">
        <f>IF(ISERROR(VLOOKUP($S$1490,'TAR FIN'!$A$1:$O$99,15,0)),0,VLOOKUP($S$1490,'TAR FIN'!$A$1:$O$99,15,0))</f>
        <v>0</v>
      </c>
      <c r="W1490" s="4">
        <f>IF(ISERROR(VLOOKUP($T$1490,'TAR FIN'!$A$1:$O$99,15,0)),0,VLOOKUP($T$1490,'TAR FIN'!$A$1:$O$99,15,0))</f>
        <v>305.14999999999998</v>
      </c>
      <c r="X1490" s="4">
        <f>IF(ISERROR(VLOOKUP($U$1490,'TAR FIN'!$A$1:$O$99,15,0)),0,VLOOKUP($U$1490,'TAR FIN'!$A$1:$O$99,15,0))</f>
        <v>207.47</v>
      </c>
      <c r="Y1490" s="4"/>
      <c r="Z1490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0" s="4">
        <f>('TE BE'!$AA$16+'TE BF'!$AA$16+'TE CVA'!$AA$16)*(1-CUSTOS!$M$36)</f>
        <v>255.48200504439134</v>
      </c>
      <c r="AB1490" s="4">
        <f>$K$1490*$V$1490</f>
        <v>0</v>
      </c>
      <c r="AC1490" s="4">
        <f>$M$1490*$W$1490</f>
        <v>1701109.9401999998</v>
      </c>
      <c r="AD1490" s="4">
        <f>$O$1490*$X$1490</f>
        <v>1156576.36996</v>
      </c>
      <c r="AE1490" s="4">
        <f>$K$1490*$Y$1490</f>
        <v>0</v>
      </c>
      <c r="AF1490" s="4">
        <f ca="1">$M$1490*$Z$1490</f>
        <v>2001085.997234839</v>
      </c>
      <c r="AG1490" s="4">
        <f>$O$1490*$AA$1490</f>
        <v>1424227.3580968068</v>
      </c>
    </row>
    <row r="1491" spans="1:33" ht="11.25" customHeight="1" x14ac:dyDescent="0.25">
      <c r="A1491" s="3" t="s">
        <v>21</v>
      </c>
      <c r="B1491" s="3" t="s">
        <v>22</v>
      </c>
      <c r="C1491" s="3" t="s">
        <v>23</v>
      </c>
      <c r="D1491" s="3" t="s">
        <v>24</v>
      </c>
      <c r="E1491" s="3" t="s">
        <v>31</v>
      </c>
      <c r="F1491" s="3" t="s">
        <v>25</v>
      </c>
      <c r="G1491" s="3" t="s">
        <v>25</v>
      </c>
      <c r="H1491" s="3" t="s">
        <v>25</v>
      </c>
      <c r="I1491" s="6">
        <v>44378</v>
      </c>
      <c r="J1491" s="4">
        <v>0</v>
      </c>
      <c r="K1491" s="4">
        <v>0</v>
      </c>
      <c r="L1491" s="4">
        <v>4570.7780000000002</v>
      </c>
      <c r="M1491" s="4">
        <v>4570.7780000000002</v>
      </c>
      <c r="N1491" s="4">
        <v>4570.7780000000002</v>
      </c>
      <c r="O1491" s="4">
        <v>4570.7780000000002</v>
      </c>
      <c r="P1491" s="4">
        <v>98967</v>
      </c>
      <c r="Q1491" s="3" t="s">
        <v>26</v>
      </c>
      <c r="R1491" s="3">
        <v>0</v>
      </c>
      <c r="S1491" s="4">
        <v>0</v>
      </c>
      <c r="T1491" s="4">
        <v>33</v>
      </c>
      <c r="U1491" s="4">
        <v>54</v>
      </c>
      <c r="V1491" s="4">
        <f>IF(ISERROR(VLOOKUP($S$1491,'TAR FIN'!$A$1:$O$99,15,0)),0,VLOOKUP($S$1491,'TAR FIN'!$A$1:$O$99,15,0))</f>
        <v>0</v>
      </c>
      <c r="W1491" s="4">
        <f>IF(ISERROR(VLOOKUP($T$1491,'TAR FIN'!$A$1:$O$99,15,0)),0,VLOOKUP($T$1491,'TAR FIN'!$A$1:$O$99,15,0))</f>
        <v>305.14999999999998</v>
      </c>
      <c r="X1491" s="4">
        <f>IF(ISERROR(VLOOKUP($U$1491,'TAR FIN'!$A$1:$O$99,15,0)),0,VLOOKUP($U$1491,'TAR FIN'!$A$1:$O$99,15,0))</f>
        <v>207.47</v>
      </c>
      <c r="Y1491" s="4"/>
      <c r="Z1491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1" s="4">
        <f>('TE BE'!$AA$16+'TE BF'!$AA$16+'TE CVA'!$AA$16)*(1-CUSTOS!$M$36)</f>
        <v>255.48200504439134</v>
      </c>
      <c r="AB1491" s="4">
        <f>$K$1491*$V$1491</f>
        <v>0</v>
      </c>
      <c r="AC1491" s="4">
        <f>$M$1491*$W$1491</f>
        <v>1394772.9066999999</v>
      </c>
      <c r="AD1491" s="4">
        <f>$O$1491*$X$1491</f>
        <v>948299.31166000001</v>
      </c>
      <c r="AE1491" s="4">
        <f>$K$1491*$Y$1491</f>
        <v>0</v>
      </c>
      <c r="AF1491" s="4">
        <f ca="1">$M$1491*$Z$1491</f>
        <v>1640729.0716270574</v>
      </c>
      <c r="AG1491" s="4">
        <f>$O$1491*$AA$1491</f>
        <v>1167751.5280527931</v>
      </c>
    </row>
    <row r="1492" spans="1:33" ht="11.25" customHeight="1" x14ac:dyDescent="0.25">
      <c r="A1492" s="3" t="s">
        <v>21</v>
      </c>
      <c r="B1492" s="3" t="s">
        <v>22</v>
      </c>
      <c r="C1492" s="3" t="s">
        <v>23</v>
      </c>
      <c r="D1492" s="3" t="s">
        <v>24</v>
      </c>
      <c r="E1492" s="3" t="s">
        <v>31</v>
      </c>
      <c r="F1492" s="3" t="s">
        <v>25</v>
      </c>
      <c r="G1492" s="3" t="s">
        <v>25</v>
      </c>
      <c r="H1492" s="3" t="s">
        <v>25</v>
      </c>
      <c r="I1492" s="6">
        <v>44409</v>
      </c>
      <c r="J1492" s="4">
        <v>0</v>
      </c>
      <c r="K1492" s="4">
        <v>0</v>
      </c>
      <c r="L1492" s="4">
        <v>4280.3370000000004</v>
      </c>
      <c r="M1492" s="4">
        <v>4280.3370000000004</v>
      </c>
      <c r="N1492" s="4">
        <v>4280.3370000000004</v>
      </c>
      <c r="O1492" s="4">
        <v>4280.3370000000004</v>
      </c>
      <c r="P1492" s="4">
        <v>94626</v>
      </c>
      <c r="Q1492" s="3" t="s">
        <v>26</v>
      </c>
      <c r="R1492" s="3">
        <v>0</v>
      </c>
      <c r="S1492" s="4">
        <v>0</v>
      </c>
      <c r="T1492" s="4">
        <v>33</v>
      </c>
      <c r="U1492" s="4">
        <v>54</v>
      </c>
      <c r="V1492" s="4">
        <f>IF(ISERROR(VLOOKUP($S$1492,'TAR FIN'!$A$1:$O$99,15,0)),0,VLOOKUP($S$1492,'TAR FIN'!$A$1:$O$99,15,0))</f>
        <v>0</v>
      </c>
      <c r="W1492" s="4">
        <f>IF(ISERROR(VLOOKUP($T$1492,'TAR FIN'!$A$1:$O$99,15,0)),0,VLOOKUP($T$1492,'TAR FIN'!$A$1:$O$99,15,0))</f>
        <v>305.14999999999998</v>
      </c>
      <c r="X1492" s="4">
        <f>IF(ISERROR(VLOOKUP($U$1492,'TAR FIN'!$A$1:$O$99,15,0)),0,VLOOKUP($U$1492,'TAR FIN'!$A$1:$O$99,15,0))</f>
        <v>207.47</v>
      </c>
      <c r="Y1492" s="4"/>
      <c r="Z1492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2" s="4">
        <f>('TE BE'!$AA$16+'TE BF'!$AA$16+'TE CVA'!$AA$16)*(1-CUSTOS!$M$36)</f>
        <v>255.48200504439134</v>
      </c>
      <c r="AB1492" s="4">
        <f>$K$1492*$V$1492</f>
        <v>0</v>
      </c>
      <c r="AC1492" s="4">
        <f>$M$1492*$W$1492</f>
        <v>1306144.83555</v>
      </c>
      <c r="AD1492" s="4">
        <f>$O$1492*$X$1492</f>
        <v>888041.51739000005</v>
      </c>
      <c r="AE1492" s="4">
        <f>$K$1492*$Y$1492</f>
        <v>0</v>
      </c>
      <c r="AF1492" s="4">
        <f ca="1">$M$1492*$Z$1492</f>
        <v>1536472.2050077566</v>
      </c>
      <c r="AG1492" s="4">
        <f>$O$1492*$AA$1492</f>
        <v>1093549.0790256951</v>
      </c>
    </row>
    <row r="1493" spans="1:33" ht="11.25" customHeight="1" x14ac:dyDescent="0.25">
      <c r="A1493" s="3" t="s">
        <v>21</v>
      </c>
      <c r="B1493" s="3" t="s">
        <v>22</v>
      </c>
      <c r="C1493" s="3" t="s">
        <v>23</v>
      </c>
      <c r="D1493" s="3" t="s">
        <v>24</v>
      </c>
      <c r="E1493" s="3" t="s">
        <v>31</v>
      </c>
      <c r="F1493" s="3" t="s">
        <v>25</v>
      </c>
      <c r="G1493" s="3" t="s">
        <v>25</v>
      </c>
      <c r="H1493" s="3" t="s">
        <v>25</v>
      </c>
      <c r="I1493" s="6">
        <v>44440</v>
      </c>
      <c r="J1493" s="4">
        <v>0</v>
      </c>
      <c r="K1493" s="4">
        <v>0</v>
      </c>
      <c r="L1493" s="4">
        <v>4982.7870000000003</v>
      </c>
      <c r="M1493" s="4">
        <v>4982.7870000000003</v>
      </c>
      <c r="N1493" s="4">
        <v>4982.7870000000003</v>
      </c>
      <c r="O1493" s="4">
        <v>4982.7870000000003</v>
      </c>
      <c r="P1493" s="4">
        <v>105531</v>
      </c>
      <c r="Q1493" s="3" t="s">
        <v>26</v>
      </c>
      <c r="R1493" s="3">
        <v>0</v>
      </c>
      <c r="S1493" s="4">
        <v>0</v>
      </c>
      <c r="T1493" s="4">
        <v>33</v>
      </c>
      <c r="U1493" s="4">
        <v>54</v>
      </c>
      <c r="V1493" s="4">
        <f>IF(ISERROR(VLOOKUP($S$1493,'TAR FIN'!$A$1:$O$99,15,0)),0,VLOOKUP($S$1493,'TAR FIN'!$A$1:$O$99,15,0))</f>
        <v>0</v>
      </c>
      <c r="W1493" s="4">
        <f>IF(ISERROR(VLOOKUP($T$1493,'TAR FIN'!$A$1:$O$99,15,0)),0,VLOOKUP($T$1493,'TAR FIN'!$A$1:$O$99,15,0))</f>
        <v>305.14999999999998</v>
      </c>
      <c r="X1493" s="4">
        <f>IF(ISERROR(VLOOKUP($U$1493,'TAR FIN'!$A$1:$O$99,15,0)),0,VLOOKUP($U$1493,'TAR FIN'!$A$1:$O$99,15,0))</f>
        <v>207.47</v>
      </c>
      <c r="Y1493" s="4"/>
      <c r="Z1493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3" s="4">
        <f>('TE BE'!$AA$16+'TE BF'!$AA$16+'TE CVA'!$AA$16)*(1-CUSTOS!$M$36)</f>
        <v>255.48200504439134</v>
      </c>
      <c r="AB1493" s="4">
        <f>$K$1493*$V$1493</f>
        <v>0</v>
      </c>
      <c r="AC1493" s="4">
        <f>$M$1493*$W$1493</f>
        <v>1520497.4530499999</v>
      </c>
      <c r="AD1493" s="4">
        <f>$O$1493*$X$1493</f>
        <v>1033778.81889</v>
      </c>
      <c r="AE1493" s="4">
        <f>$K$1493*$Y$1493</f>
        <v>0</v>
      </c>
      <c r="AF1493" s="4">
        <f ca="1">$M$1493*$Z$1493</f>
        <v>1788624.0566978685</v>
      </c>
      <c r="AG1493" s="4">
        <f>$O$1493*$AA$1493</f>
        <v>1273012.4134691276</v>
      </c>
    </row>
    <row r="1494" spans="1:33" ht="11.25" customHeight="1" x14ac:dyDescent="0.25">
      <c r="A1494" s="3" t="s">
        <v>21</v>
      </c>
      <c r="B1494" s="3" t="s">
        <v>22</v>
      </c>
      <c r="C1494" s="3" t="s">
        <v>23</v>
      </c>
      <c r="D1494" s="3" t="s">
        <v>24</v>
      </c>
      <c r="E1494" s="3" t="s">
        <v>31</v>
      </c>
      <c r="F1494" s="3" t="s">
        <v>25</v>
      </c>
      <c r="G1494" s="3" t="s">
        <v>25</v>
      </c>
      <c r="H1494" s="3" t="s">
        <v>25</v>
      </c>
      <c r="I1494" s="6">
        <v>44470</v>
      </c>
      <c r="J1494" s="4">
        <v>0</v>
      </c>
      <c r="K1494" s="4">
        <v>0</v>
      </c>
      <c r="L1494" s="4">
        <v>5808.45</v>
      </c>
      <c r="M1494" s="4">
        <v>5808.45</v>
      </c>
      <c r="N1494" s="4">
        <v>5808.45</v>
      </c>
      <c r="O1494" s="4">
        <v>5808.45</v>
      </c>
      <c r="P1494" s="4">
        <v>117808</v>
      </c>
      <c r="Q1494" s="3" t="s">
        <v>26</v>
      </c>
      <c r="R1494" s="3">
        <v>0</v>
      </c>
      <c r="S1494" s="4">
        <v>0</v>
      </c>
      <c r="T1494" s="4">
        <v>33</v>
      </c>
      <c r="U1494" s="4">
        <v>54</v>
      </c>
      <c r="V1494" s="4">
        <f>IF(ISERROR(VLOOKUP($S$1494,'TAR FIN'!$A$1:$O$99,15,0)),0,VLOOKUP($S$1494,'TAR FIN'!$A$1:$O$99,15,0))</f>
        <v>0</v>
      </c>
      <c r="W1494" s="4">
        <f>IF(ISERROR(VLOOKUP($T$1494,'TAR FIN'!$A$1:$O$99,15,0)),0,VLOOKUP($T$1494,'TAR FIN'!$A$1:$O$99,15,0))</f>
        <v>305.14999999999998</v>
      </c>
      <c r="X1494" s="4">
        <f>IF(ISERROR(VLOOKUP($U$1494,'TAR FIN'!$A$1:$O$99,15,0)),0,VLOOKUP($U$1494,'TAR FIN'!$A$1:$O$99,15,0))</f>
        <v>207.47</v>
      </c>
      <c r="Y1494" s="4"/>
      <c r="Z1494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4" s="4">
        <f>('TE BE'!$AA$16+'TE BF'!$AA$16+'TE CVA'!$AA$16)*(1-CUSTOS!$M$36)</f>
        <v>255.48200504439134</v>
      </c>
      <c r="AB1494" s="4">
        <f>$K$1494*$V$1494</f>
        <v>0</v>
      </c>
      <c r="AC1494" s="4">
        <f>$M$1494*$W$1494</f>
        <v>1772448.5174999998</v>
      </c>
      <c r="AD1494" s="4">
        <f>$O$1494*$X$1494</f>
        <v>1205079.1214999999</v>
      </c>
      <c r="AE1494" s="4">
        <f>$K$1494*$Y$1494</f>
        <v>0</v>
      </c>
      <c r="AF1494" s="4">
        <f ca="1">$M$1494*$Z$1494</f>
        <v>2085004.5169754864</v>
      </c>
      <c r="AG1494" s="4">
        <f>$O$1494*$AA$1494</f>
        <v>1483954.4522000949</v>
      </c>
    </row>
    <row r="1495" spans="1:33" ht="11.25" customHeight="1" x14ac:dyDescent="0.25">
      <c r="A1495" s="3" t="s">
        <v>21</v>
      </c>
      <c r="B1495" s="3" t="s">
        <v>22</v>
      </c>
      <c r="C1495" s="3" t="s">
        <v>23</v>
      </c>
      <c r="D1495" s="3" t="s">
        <v>24</v>
      </c>
      <c r="E1495" s="3" t="s">
        <v>31</v>
      </c>
      <c r="F1495" s="3" t="s">
        <v>25</v>
      </c>
      <c r="G1495" s="3" t="s">
        <v>25</v>
      </c>
      <c r="H1495" s="3" t="s">
        <v>25</v>
      </c>
      <c r="I1495" s="6">
        <v>44501</v>
      </c>
      <c r="J1495" s="4">
        <v>0</v>
      </c>
      <c r="K1495" s="4">
        <v>0</v>
      </c>
      <c r="L1495" s="4">
        <v>6793.5389999999998</v>
      </c>
      <c r="M1495" s="4">
        <v>6793.5389999999998</v>
      </c>
      <c r="N1495" s="4">
        <v>6793.5389999999998</v>
      </c>
      <c r="O1495" s="4">
        <v>6793.5389999999998</v>
      </c>
      <c r="P1495" s="4">
        <v>130909</v>
      </c>
      <c r="Q1495" s="3" t="s">
        <v>26</v>
      </c>
      <c r="R1495" s="3">
        <v>0</v>
      </c>
      <c r="S1495" s="4">
        <v>0</v>
      </c>
      <c r="T1495" s="4">
        <v>33</v>
      </c>
      <c r="U1495" s="4">
        <v>54</v>
      </c>
      <c r="V1495" s="4">
        <f>IF(ISERROR(VLOOKUP($S$1495,'TAR FIN'!$A$1:$O$99,15,0)),0,VLOOKUP($S$1495,'TAR FIN'!$A$1:$O$99,15,0))</f>
        <v>0</v>
      </c>
      <c r="W1495" s="4">
        <f>IF(ISERROR(VLOOKUP($T$1495,'TAR FIN'!$A$1:$O$99,15,0)),0,VLOOKUP($T$1495,'TAR FIN'!$A$1:$O$99,15,0))</f>
        <v>305.14999999999998</v>
      </c>
      <c r="X1495" s="4">
        <f>IF(ISERROR(VLOOKUP($U$1495,'TAR FIN'!$A$1:$O$99,15,0)),0,VLOOKUP($U$1495,'TAR FIN'!$A$1:$O$99,15,0))</f>
        <v>207.47</v>
      </c>
      <c r="Y1495" s="4"/>
      <c r="Z1495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5" s="4">
        <f>('TE BE'!$AA$16+'TE BF'!$AA$16+'TE CVA'!$AA$16)*(1-CUSTOS!$M$36)</f>
        <v>255.48200504439134</v>
      </c>
      <c r="AB1495" s="4">
        <f>$K$1495*$V$1495</f>
        <v>0</v>
      </c>
      <c r="AC1495" s="4">
        <f>$M$1495*$W$1495</f>
        <v>2073048.4258499998</v>
      </c>
      <c r="AD1495" s="4">
        <f>$O$1495*$X$1495</f>
        <v>1409455.53633</v>
      </c>
      <c r="AE1495" s="4">
        <f>$K$1495*$Y$1495</f>
        <v>0</v>
      </c>
      <c r="AF1495" s="4">
        <f ca="1">$M$1495*$Z$1495</f>
        <v>2438612.624925605</v>
      </c>
      <c r="AG1495" s="4">
        <f>$O$1495*$AA$1495</f>
        <v>1735626.9650672693</v>
      </c>
    </row>
    <row r="1496" spans="1:33" ht="11.25" customHeight="1" x14ac:dyDescent="0.25">
      <c r="A1496" s="3" t="s">
        <v>21</v>
      </c>
      <c r="B1496" s="3" t="s">
        <v>22</v>
      </c>
      <c r="C1496" s="3" t="s">
        <v>23</v>
      </c>
      <c r="D1496" s="3" t="s">
        <v>24</v>
      </c>
      <c r="E1496" s="3" t="s">
        <v>31</v>
      </c>
      <c r="F1496" s="3" t="s">
        <v>25</v>
      </c>
      <c r="G1496" s="3" t="s">
        <v>25</v>
      </c>
      <c r="H1496" s="3" t="s">
        <v>25</v>
      </c>
      <c r="I1496" s="6">
        <v>44531</v>
      </c>
      <c r="J1496" s="4">
        <v>0</v>
      </c>
      <c r="K1496" s="4">
        <v>0</v>
      </c>
      <c r="L1496" s="4">
        <v>7819.826</v>
      </c>
      <c r="M1496" s="4">
        <v>7819.826</v>
      </c>
      <c r="N1496" s="4">
        <v>7819.826</v>
      </c>
      <c r="O1496" s="4">
        <v>7819.826</v>
      </c>
      <c r="P1496" s="4">
        <v>143851</v>
      </c>
      <c r="Q1496" s="3" t="s">
        <v>26</v>
      </c>
      <c r="R1496" s="3">
        <v>0</v>
      </c>
      <c r="S1496" s="4">
        <v>0</v>
      </c>
      <c r="T1496" s="4">
        <v>33</v>
      </c>
      <c r="U1496" s="4">
        <v>54</v>
      </c>
      <c r="V1496" s="4">
        <f>IF(ISERROR(VLOOKUP($S$1496,'TAR FIN'!$A$1:$O$99,15,0)),0,VLOOKUP($S$1496,'TAR FIN'!$A$1:$O$99,15,0))</f>
        <v>0</v>
      </c>
      <c r="W1496" s="4">
        <f>IF(ISERROR(VLOOKUP($T$1496,'TAR FIN'!$A$1:$O$99,15,0)),0,VLOOKUP($T$1496,'TAR FIN'!$A$1:$O$99,15,0))</f>
        <v>305.14999999999998</v>
      </c>
      <c r="X1496" s="4">
        <f>IF(ISERROR(VLOOKUP($U$1496,'TAR FIN'!$A$1:$O$99,15,0)),0,VLOOKUP($U$1496,'TAR FIN'!$A$1:$O$99,15,0))</f>
        <v>207.47</v>
      </c>
      <c r="Y1496" s="4"/>
      <c r="Z1496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6" s="4">
        <f>('TE BE'!$AA$16+'TE BF'!$AA$16+'TE CVA'!$AA$16)*(1-CUSTOS!$M$36)</f>
        <v>255.48200504439134</v>
      </c>
      <c r="AB1496" s="4">
        <f>$K$1496*$V$1496</f>
        <v>0</v>
      </c>
      <c r="AC1496" s="4">
        <f>$M$1496*$W$1496</f>
        <v>2386219.9038999998</v>
      </c>
      <c r="AD1496" s="4">
        <f>$O$1496*$X$1496</f>
        <v>1622379.3002200001</v>
      </c>
      <c r="AE1496" s="4">
        <f>$K$1496*$Y$1496</f>
        <v>0</v>
      </c>
      <c r="AF1496" s="4">
        <f ca="1">$M$1496*$Z$1496</f>
        <v>2807009.1903971545</v>
      </c>
      <c r="AG1496" s="4">
        <f>$O$1496*$AA$1496</f>
        <v>1997824.8255782626</v>
      </c>
    </row>
    <row r="1497" spans="1:33" ht="11.25" customHeight="1" x14ac:dyDescent="0.25">
      <c r="A1497" s="3" t="s">
        <v>21</v>
      </c>
      <c r="B1497" s="3" t="s">
        <v>22</v>
      </c>
      <c r="C1497" s="3" t="s">
        <v>23</v>
      </c>
      <c r="D1497" s="3" t="s">
        <v>24</v>
      </c>
      <c r="E1497" s="3" t="s">
        <v>31</v>
      </c>
      <c r="F1497" s="3" t="s">
        <v>25</v>
      </c>
      <c r="G1497" s="3" t="s">
        <v>25</v>
      </c>
      <c r="H1497" s="3" t="s">
        <v>25</v>
      </c>
      <c r="I1497" s="6">
        <v>44562</v>
      </c>
      <c r="J1497" s="4">
        <v>0</v>
      </c>
      <c r="K1497" s="4">
        <v>0</v>
      </c>
      <c r="L1497" s="4">
        <v>7863.6009999999997</v>
      </c>
      <c r="M1497" s="4">
        <v>7863.6009999999997</v>
      </c>
      <c r="N1497" s="4">
        <v>7863.6009999999997</v>
      </c>
      <c r="O1497" s="4">
        <v>7863.6009999999997</v>
      </c>
      <c r="P1497" s="4">
        <v>144783</v>
      </c>
      <c r="Q1497" s="3" t="s">
        <v>26</v>
      </c>
      <c r="R1497" s="3">
        <v>0</v>
      </c>
      <c r="S1497" s="4">
        <v>0</v>
      </c>
      <c r="T1497" s="4">
        <v>33</v>
      </c>
      <c r="U1497" s="4">
        <v>54</v>
      </c>
      <c r="V1497" s="4">
        <f>IF(ISERROR(VLOOKUP($S$1497,'TAR FIN'!$A$1:$O$99,15,0)),0,VLOOKUP($S$1497,'TAR FIN'!$A$1:$O$99,15,0))</f>
        <v>0</v>
      </c>
      <c r="W1497" s="4">
        <f>IF(ISERROR(VLOOKUP($T$1497,'TAR FIN'!$A$1:$O$99,15,0)),0,VLOOKUP($T$1497,'TAR FIN'!$A$1:$O$99,15,0))</f>
        <v>305.14999999999998</v>
      </c>
      <c r="X1497" s="4">
        <f>IF(ISERROR(VLOOKUP($U$1497,'TAR FIN'!$A$1:$O$99,15,0)),0,VLOOKUP($U$1497,'TAR FIN'!$A$1:$O$99,15,0))</f>
        <v>207.47</v>
      </c>
      <c r="Y1497" s="4"/>
      <c r="Z1497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7" s="4">
        <f>('TE BE'!$AA$16+'TE BF'!$AA$16+'TE CVA'!$AA$16)*(1-CUSTOS!$M$36)</f>
        <v>255.48200504439134</v>
      </c>
      <c r="AB1497" s="4">
        <f>$K$1497*$V$1497</f>
        <v>0</v>
      </c>
      <c r="AC1497" s="4">
        <f>$M$1497*$W$1497</f>
        <v>2399577.8451499995</v>
      </c>
      <c r="AD1497" s="4">
        <f>$O$1497*$X$1497</f>
        <v>1631461.29947</v>
      </c>
      <c r="AE1497" s="4">
        <f>$K$1497*$Y$1497</f>
        <v>0</v>
      </c>
      <c r="AF1497" s="4">
        <f ca="1">$M$1497*$Z$1497</f>
        <v>2822722.6893048836</v>
      </c>
      <c r="AG1497" s="4">
        <f>$O$1497*$AA$1497</f>
        <v>2009008.5503490807</v>
      </c>
    </row>
    <row r="1498" spans="1:33" ht="11.25" customHeight="1" x14ac:dyDescent="0.25">
      <c r="A1498" s="3" t="s">
        <v>21</v>
      </c>
      <c r="B1498" s="3" t="s">
        <v>22</v>
      </c>
      <c r="C1498" s="3" t="s">
        <v>23</v>
      </c>
      <c r="D1498" s="3" t="s">
        <v>24</v>
      </c>
      <c r="E1498" s="3" t="s">
        <v>31</v>
      </c>
      <c r="F1498" s="3" t="s">
        <v>25</v>
      </c>
      <c r="G1498" s="3" t="s">
        <v>25</v>
      </c>
      <c r="H1498" s="3" t="s">
        <v>25</v>
      </c>
      <c r="I1498" s="6">
        <v>44593</v>
      </c>
      <c r="J1498" s="4">
        <v>0</v>
      </c>
      <c r="K1498" s="4">
        <v>0</v>
      </c>
      <c r="L1498" s="4">
        <v>7866.2489999999998</v>
      </c>
      <c r="M1498" s="4">
        <v>7866.2489999999998</v>
      </c>
      <c r="N1498" s="4">
        <v>7866.2489999999998</v>
      </c>
      <c r="O1498" s="4">
        <v>7866.2489999999998</v>
      </c>
      <c r="P1498" s="4">
        <v>143765</v>
      </c>
      <c r="Q1498" s="3" t="s">
        <v>26</v>
      </c>
      <c r="R1498" s="3">
        <v>0</v>
      </c>
      <c r="S1498" s="4">
        <v>0</v>
      </c>
      <c r="T1498" s="4">
        <v>33</v>
      </c>
      <c r="U1498" s="4">
        <v>54</v>
      </c>
      <c r="V1498" s="4">
        <f>IF(ISERROR(VLOOKUP($S$1498,'TAR FIN'!$A$1:$O$99,15,0)),0,VLOOKUP($S$1498,'TAR FIN'!$A$1:$O$99,15,0))</f>
        <v>0</v>
      </c>
      <c r="W1498" s="4">
        <f>IF(ISERROR(VLOOKUP($T$1498,'TAR FIN'!$A$1:$O$99,15,0)),0,VLOOKUP($T$1498,'TAR FIN'!$A$1:$O$99,15,0))</f>
        <v>305.14999999999998</v>
      </c>
      <c r="X1498" s="4">
        <f>IF(ISERROR(VLOOKUP($U$1498,'TAR FIN'!$A$1:$O$99,15,0)),0,VLOOKUP($U$1498,'TAR FIN'!$A$1:$O$99,15,0))</f>
        <v>207.47</v>
      </c>
      <c r="Y1498" s="4"/>
      <c r="Z1498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8" s="4">
        <f>('TE BE'!$AA$16+'TE BF'!$AA$16+'TE CVA'!$AA$16)*(1-CUSTOS!$M$36)</f>
        <v>255.48200504439134</v>
      </c>
      <c r="AB1498" s="4">
        <f>$K$1498*$V$1498</f>
        <v>0</v>
      </c>
      <c r="AC1498" s="4">
        <f>$M$1498*$W$1498</f>
        <v>2400385.8823499996</v>
      </c>
      <c r="AD1498" s="4">
        <f>$O$1498*$X$1498</f>
        <v>1632010.6800299999</v>
      </c>
      <c r="AE1498" s="4">
        <f>$K$1498*$Y$1498</f>
        <v>0</v>
      </c>
      <c r="AF1498" s="4">
        <f ca="1">$M$1498*$Z$1498</f>
        <v>2823673.2168915812</v>
      </c>
      <c r="AG1498" s="4">
        <f>$O$1498*$AA$1498</f>
        <v>2009685.0666984383</v>
      </c>
    </row>
    <row r="1499" spans="1:33" ht="11.25" customHeight="1" x14ac:dyDescent="0.25">
      <c r="A1499" s="3" t="s">
        <v>21</v>
      </c>
      <c r="B1499" s="3" t="s">
        <v>22</v>
      </c>
      <c r="C1499" s="3" t="s">
        <v>23</v>
      </c>
      <c r="D1499" s="3" t="s">
        <v>24</v>
      </c>
      <c r="E1499" s="3" t="s">
        <v>31</v>
      </c>
      <c r="F1499" s="3" t="s">
        <v>25</v>
      </c>
      <c r="G1499" s="3" t="s">
        <v>25</v>
      </c>
      <c r="H1499" s="3" t="s">
        <v>25</v>
      </c>
      <c r="I1499" s="6">
        <v>44621</v>
      </c>
      <c r="J1499" s="4">
        <v>0</v>
      </c>
      <c r="K1499" s="4">
        <v>0</v>
      </c>
      <c r="L1499" s="4">
        <v>9757.3469999999998</v>
      </c>
      <c r="M1499" s="4">
        <v>9757.3469999999998</v>
      </c>
      <c r="N1499" s="4">
        <v>9757.3469999999998</v>
      </c>
      <c r="O1499" s="4">
        <v>9757.3469999999998</v>
      </c>
      <c r="P1499" s="4">
        <v>163822</v>
      </c>
      <c r="Q1499" s="3" t="s">
        <v>26</v>
      </c>
      <c r="R1499" s="3">
        <v>0</v>
      </c>
      <c r="S1499" s="4">
        <v>0</v>
      </c>
      <c r="T1499" s="4">
        <v>33</v>
      </c>
      <c r="U1499" s="4">
        <v>54</v>
      </c>
      <c r="V1499" s="4">
        <f>IF(ISERROR(VLOOKUP($S$1499,'TAR FIN'!$A$1:$O$99,15,0)),0,VLOOKUP($S$1499,'TAR FIN'!$A$1:$O$99,15,0))</f>
        <v>0</v>
      </c>
      <c r="W1499" s="4">
        <f>IF(ISERROR(VLOOKUP($T$1499,'TAR FIN'!$A$1:$O$99,15,0)),0,VLOOKUP($T$1499,'TAR FIN'!$A$1:$O$99,15,0))</f>
        <v>305.14999999999998</v>
      </c>
      <c r="X1499" s="4">
        <f>IF(ISERROR(VLOOKUP($U$1499,'TAR FIN'!$A$1:$O$99,15,0)),0,VLOOKUP($U$1499,'TAR FIN'!$A$1:$O$99,15,0))</f>
        <v>207.47</v>
      </c>
      <c r="Y1499" s="4"/>
      <c r="Z1499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499" s="4">
        <f>('TE BE'!$AA$16+'TE BF'!$AA$16+'TE CVA'!$AA$16)*(1-CUSTOS!$M$36)</f>
        <v>255.48200504439134</v>
      </c>
      <c r="AB1499" s="4">
        <f>$K$1499*$V$1499</f>
        <v>0</v>
      </c>
      <c r="AC1499" s="4">
        <f>$M$1499*$W$1499</f>
        <v>2977454.4370499998</v>
      </c>
      <c r="AD1499" s="4">
        <f>$O$1499*$X$1499</f>
        <v>2024356.7820899999</v>
      </c>
      <c r="AE1499" s="4">
        <f>$K$1499*$Y$1499</f>
        <v>0</v>
      </c>
      <c r="AF1499" s="4">
        <f ca="1">$M$1499*$Z$1499</f>
        <v>3502502.8309957413</v>
      </c>
      <c r="AG1499" s="4">
        <f>$O$1499*$AA$1499</f>
        <v>2492826.5754738767</v>
      </c>
    </row>
    <row r="1500" spans="1:33" ht="11.25" customHeight="1" x14ac:dyDescent="0.25">
      <c r="A1500" s="3" t="s">
        <v>56</v>
      </c>
      <c r="B1500" s="3" t="s">
        <v>22</v>
      </c>
      <c r="C1500" s="3" t="s">
        <v>23</v>
      </c>
      <c r="D1500" s="3" t="s">
        <v>24</v>
      </c>
      <c r="E1500" s="3" t="s">
        <v>31</v>
      </c>
      <c r="F1500" s="3" t="s">
        <v>25</v>
      </c>
      <c r="G1500" s="3" t="s">
        <v>25</v>
      </c>
      <c r="H1500" s="3" t="s">
        <v>25</v>
      </c>
      <c r="I1500" s="6">
        <v>44652</v>
      </c>
      <c r="J1500" s="4">
        <v>0</v>
      </c>
      <c r="K1500" s="4">
        <v>0</v>
      </c>
      <c r="L1500" s="4">
        <v>9757.3469999999998</v>
      </c>
      <c r="M1500" s="4">
        <v>9757.3469999999998</v>
      </c>
      <c r="N1500" s="4">
        <v>9757.3469999999998</v>
      </c>
      <c r="O1500" s="4">
        <v>9757.3469999999998</v>
      </c>
      <c r="P1500" s="4">
        <v>163822</v>
      </c>
      <c r="Q1500" s="3" t="s">
        <v>26</v>
      </c>
      <c r="R1500" s="3">
        <v>0</v>
      </c>
      <c r="S1500" s="4">
        <v>0</v>
      </c>
      <c r="T1500" s="4">
        <v>33</v>
      </c>
      <c r="U1500" s="4">
        <v>54</v>
      </c>
      <c r="V1500" s="4">
        <f>IF(ISERROR(VLOOKUP($S$1500,'TAR FIN'!$A$1:$O$99,15,0)),0,VLOOKUP($S$1500,'TAR FIN'!$A$1:$O$99,15,0))</f>
        <v>0</v>
      </c>
      <c r="W1500" s="4">
        <f>IF(ISERROR(VLOOKUP($T$1500,'TAR FIN'!$A$1:$O$99,15,0)),0,VLOOKUP($T$1500,'TAR FIN'!$A$1:$O$99,15,0))</f>
        <v>305.14999999999998</v>
      </c>
      <c r="X1500" s="4">
        <f>IF(ISERROR(VLOOKUP($U$1500,'TAR FIN'!$A$1:$O$99,15,0)),0,VLOOKUP($U$1500,'TAR FIN'!$A$1:$O$99,15,0))</f>
        <v>207.47</v>
      </c>
      <c r="Y1500" s="4"/>
      <c r="Z1500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1500" s="4">
        <f>('TE BE'!$AA$16+'TE BF'!$AA$16+'TE CVA'!$AA$16)*(1-CUSTOS!$M$36)</f>
        <v>255.48200504439134</v>
      </c>
      <c r="AB1500" s="4">
        <f>$K$1500*$V$1500</f>
        <v>0</v>
      </c>
      <c r="AC1500" s="4">
        <f>$M$1500*$W$1500</f>
        <v>2977454.4370499998</v>
      </c>
      <c r="AD1500" s="4">
        <f>$O$1500*$X$1500</f>
        <v>2024356.7820899999</v>
      </c>
      <c r="AE1500" s="4">
        <f>$K$1500*$Y$1500</f>
        <v>0</v>
      </c>
      <c r="AF1500" s="4">
        <f ca="1">$M$1500*$Z$1500</f>
        <v>3502502.8309957413</v>
      </c>
      <c r="AG1500" s="4">
        <f>$O$1500*$AA$1500</f>
        <v>2492826.5754738767</v>
      </c>
    </row>
    <row r="1501" spans="1:33" ht="11.25" customHeight="1" x14ac:dyDescent="0.25">
      <c r="A1501" s="3" t="s">
        <v>21</v>
      </c>
      <c r="B1501" s="3" t="s">
        <v>22</v>
      </c>
      <c r="C1501" s="3" t="s">
        <v>23</v>
      </c>
      <c r="D1501" s="3" t="s">
        <v>24</v>
      </c>
      <c r="E1501" s="3" t="s">
        <v>32</v>
      </c>
      <c r="F1501" s="3" t="s">
        <v>25</v>
      </c>
      <c r="G1501" s="3" t="s">
        <v>25</v>
      </c>
      <c r="H1501" s="3" t="s">
        <v>25</v>
      </c>
      <c r="I1501" s="6">
        <v>44317</v>
      </c>
      <c r="J1501" s="4">
        <v>0</v>
      </c>
      <c r="K1501" s="4">
        <v>0</v>
      </c>
      <c r="L1501" s="4">
        <v>1251.383</v>
      </c>
      <c r="M1501" s="4">
        <v>1251.383</v>
      </c>
      <c r="N1501" s="4">
        <v>1251.383</v>
      </c>
      <c r="O1501" s="4">
        <v>1251.383</v>
      </c>
      <c r="P1501" s="4">
        <v>13300</v>
      </c>
      <c r="Q1501" s="3" t="s">
        <v>26</v>
      </c>
      <c r="R1501" s="3">
        <v>0</v>
      </c>
      <c r="S1501" s="4">
        <v>0</v>
      </c>
      <c r="T1501" s="4">
        <v>34</v>
      </c>
      <c r="U1501" s="4">
        <v>55</v>
      </c>
      <c r="V1501" s="4">
        <f>IF(ISERROR(VLOOKUP($S$1501,'TAR FIN'!$A$1:$O$99,15,0)),0,VLOOKUP($S$1501,'TAR FIN'!$A$1:$O$99,15,0))</f>
        <v>0</v>
      </c>
      <c r="W1501" s="4">
        <f>IF(ISERROR(VLOOKUP($T$1501,'TAR FIN'!$A$1:$O$99,15,0)),0,VLOOKUP($T$1501,'TAR FIN'!$A$1:$O$99,15,0))</f>
        <v>339.06</v>
      </c>
      <c r="X1501" s="4">
        <f>IF(ISERROR(VLOOKUP($U$1501,'TAR FIN'!$A$1:$O$99,15,0)),0,VLOOKUP($U$1501,'TAR FIN'!$A$1:$O$99,15,0))</f>
        <v>230.53</v>
      </c>
      <c r="Y1501" s="4"/>
      <c r="Z1501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01" s="4">
        <f>('TE BE'!$AA$17+'TE BF'!$AA$17+'TE CVA'!$AA$17)*(1-CUSTOS!$M$37)</f>
        <v>283.86889449376815</v>
      </c>
      <c r="AB1501" s="4">
        <f>$K$1501*$V$1501</f>
        <v>0</v>
      </c>
      <c r="AC1501" s="4">
        <f>$M$1501*$W$1501</f>
        <v>424293.91998000001</v>
      </c>
      <c r="AD1501" s="4">
        <f>$O$1501*$X$1501</f>
        <v>288481.32299000002</v>
      </c>
      <c r="AE1501" s="4">
        <f>$K$1501*$Y$1501</f>
        <v>0</v>
      </c>
      <c r="AF1501" s="4">
        <f ca="1">$M$1501*$Z$1501</f>
        <v>499107.94856656832</v>
      </c>
      <c r="AG1501" s="4">
        <f>$O$1501*$AA$1501</f>
        <v>355228.70879829506</v>
      </c>
    </row>
    <row r="1502" spans="1:33" ht="11.25" customHeight="1" x14ac:dyDescent="0.25">
      <c r="A1502" s="3" t="s">
        <v>21</v>
      </c>
      <c r="B1502" s="3" t="s">
        <v>22</v>
      </c>
      <c r="C1502" s="3" t="s">
        <v>23</v>
      </c>
      <c r="D1502" s="3" t="s">
        <v>24</v>
      </c>
      <c r="E1502" s="3" t="s">
        <v>32</v>
      </c>
      <c r="F1502" s="3" t="s">
        <v>25</v>
      </c>
      <c r="G1502" s="3" t="s">
        <v>25</v>
      </c>
      <c r="H1502" s="3" t="s">
        <v>25</v>
      </c>
      <c r="I1502" s="6">
        <v>44348</v>
      </c>
      <c r="J1502" s="4">
        <v>0</v>
      </c>
      <c r="K1502" s="4">
        <v>0</v>
      </c>
      <c r="L1502" s="4">
        <v>1007.394</v>
      </c>
      <c r="M1502" s="4">
        <v>1007.394</v>
      </c>
      <c r="N1502" s="4">
        <v>1007.394</v>
      </c>
      <c r="O1502" s="4">
        <v>1007.394</v>
      </c>
      <c r="P1502" s="4">
        <v>11410</v>
      </c>
      <c r="Q1502" s="3" t="s">
        <v>26</v>
      </c>
      <c r="R1502" s="3">
        <v>0</v>
      </c>
      <c r="S1502" s="4">
        <v>0</v>
      </c>
      <c r="T1502" s="4">
        <v>34</v>
      </c>
      <c r="U1502" s="4">
        <v>55</v>
      </c>
      <c r="V1502" s="4">
        <f>IF(ISERROR(VLOOKUP($S$1502,'TAR FIN'!$A$1:$O$99,15,0)),0,VLOOKUP($S$1502,'TAR FIN'!$A$1:$O$99,15,0))</f>
        <v>0</v>
      </c>
      <c r="W1502" s="4">
        <f>IF(ISERROR(VLOOKUP($T$1502,'TAR FIN'!$A$1:$O$99,15,0)),0,VLOOKUP($T$1502,'TAR FIN'!$A$1:$O$99,15,0))</f>
        <v>339.06</v>
      </c>
      <c r="X1502" s="4">
        <f>IF(ISERROR(VLOOKUP($U$1502,'TAR FIN'!$A$1:$O$99,15,0)),0,VLOOKUP($U$1502,'TAR FIN'!$A$1:$O$99,15,0))</f>
        <v>230.53</v>
      </c>
      <c r="Y1502" s="4"/>
      <c r="Z1502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02" s="4">
        <f>('TE BE'!$AA$17+'TE BF'!$AA$17+'TE CVA'!$AA$17)*(1-CUSTOS!$M$37)</f>
        <v>283.86889449376815</v>
      </c>
      <c r="AB1502" s="4">
        <f>$K$1502*$V$1502</f>
        <v>0</v>
      </c>
      <c r="AC1502" s="4">
        <f>$M$1502*$W$1502</f>
        <v>341567.00964</v>
      </c>
      <c r="AD1502" s="4">
        <f>$O$1502*$X$1502</f>
        <v>232234.53882000002</v>
      </c>
      <c r="AE1502" s="4">
        <f>$K$1502*$Y$1502</f>
        <v>0</v>
      </c>
      <c r="AF1502" s="4">
        <f ca="1">$M$1502*$Z$1502</f>
        <v>401794.13715726481</v>
      </c>
      <c r="AG1502" s="4">
        <f>$O$1502*$AA$1502</f>
        <v>285967.82109965506</v>
      </c>
    </row>
    <row r="1503" spans="1:33" ht="11.25" customHeight="1" x14ac:dyDescent="0.25">
      <c r="A1503" s="3" t="s">
        <v>21</v>
      </c>
      <c r="B1503" s="3" t="s">
        <v>22</v>
      </c>
      <c r="C1503" s="3" t="s">
        <v>23</v>
      </c>
      <c r="D1503" s="3" t="s">
        <v>24</v>
      </c>
      <c r="E1503" s="3" t="s">
        <v>32</v>
      </c>
      <c r="F1503" s="3" t="s">
        <v>25</v>
      </c>
      <c r="G1503" s="3" t="s">
        <v>25</v>
      </c>
      <c r="H1503" s="3" t="s">
        <v>25</v>
      </c>
      <c r="I1503" s="6">
        <v>44378</v>
      </c>
      <c r="J1503" s="4">
        <v>0</v>
      </c>
      <c r="K1503" s="4">
        <v>0</v>
      </c>
      <c r="L1503" s="4">
        <v>777.51199999999994</v>
      </c>
      <c r="M1503" s="4">
        <v>777.51199999999994</v>
      </c>
      <c r="N1503" s="4">
        <v>777.51199999999994</v>
      </c>
      <c r="O1503" s="4">
        <v>777.51199999999994</v>
      </c>
      <c r="P1503" s="4">
        <v>8641</v>
      </c>
      <c r="Q1503" s="3" t="s">
        <v>26</v>
      </c>
      <c r="R1503" s="3">
        <v>0</v>
      </c>
      <c r="S1503" s="4">
        <v>0</v>
      </c>
      <c r="T1503" s="4">
        <v>34</v>
      </c>
      <c r="U1503" s="4">
        <v>55</v>
      </c>
      <c r="V1503" s="4">
        <f>IF(ISERROR(VLOOKUP($S$1503,'TAR FIN'!$A$1:$O$99,15,0)),0,VLOOKUP($S$1503,'TAR FIN'!$A$1:$O$99,15,0))</f>
        <v>0</v>
      </c>
      <c r="W1503" s="4">
        <f>IF(ISERROR(VLOOKUP($T$1503,'TAR FIN'!$A$1:$O$99,15,0)),0,VLOOKUP($T$1503,'TAR FIN'!$A$1:$O$99,15,0))</f>
        <v>339.06</v>
      </c>
      <c r="X1503" s="4">
        <f>IF(ISERROR(VLOOKUP($U$1503,'TAR FIN'!$A$1:$O$99,15,0)),0,VLOOKUP($U$1503,'TAR FIN'!$A$1:$O$99,15,0))</f>
        <v>230.53</v>
      </c>
      <c r="Y1503" s="4"/>
      <c r="Z1503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03" s="4">
        <f>('TE BE'!$AA$17+'TE BF'!$AA$17+'TE CVA'!$AA$17)*(1-CUSTOS!$M$37)</f>
        <v>283.86889449376815</v>
      </c>
      <c r="AB1503" s="4">
        <f>$K$1503*$V$1503</f>
        <v>0</v>
      </c>
      <c r="AC1503" s="4">
        <f>$M$1503*$W$1503</f>
        <v>263623.21872</v>
      </c>
      <c r="AD1503" s="4">
        <f>$O$1503*$X$1503</f>
        <v>179239.84135999999</v>
      </c>
      <c r="AE1503" s="4">
        <f>$K$1503*$Y$1503</f>
        <v>0</v>
      </c>
      <c r="AF1503" s="4">
        <f ca="1">$M$1503*$Z$1503</f>
        <v>310106.83324441011</v>
      </c>
      <c r="AG1503" s="4">
        <f>$O$1503*$AA$1503</f>
        <v>220711.47189563865</v>
      </c>
    </row>
    <row r="1504" spans="1:33" ht="11.25" customHeight="1" x14ac:dyDescent="0.25">
      <c r="A1504" s="3" t="s">
        <v>27</v>
      </c>
      <c r="B1504" s="3" t="s">
        <v>22</v>
      </c>
      <c r="C1504" s="3" t="s">
        <v>23</v>
      </c>
      <c r="D1504" s="3" t="s">
        <v>24</v>
      </c>
      <c r="E1504" s="3" t="s">
        <v>32</v>
      </c>
      <c r="F1504" s="3" t="s">
        <v>25</v>
      </c>
      <c r="G1504" s="3" t="s">
        <v>25</v>
      </c>
      <c r="H1504" s="3" t="s">
        <v>25</v>
      </c>
      <c r="I1504" s="6">
        <v>44378</v>
      </c>
      <c r="J1504" s="4">
        <v>0</v>
      </c>
      <c r="K1504" s="4">
        <v>0</v>
      </c>
      <c r="L1504" s="4">
        <v>-1012.818</v>
      </c>
      <c r="M1504" s="4">
        <v>-1012.818</v>
      </c>
      <c r="N1504" s="4">
        <v>-1012.818</v>
      </c>
      <c r="O1504" s="4">
        <v>-1012.818</v>
      </c>
      <c r="P1504" s="4">
        <v>-41</v>
      </c>
      <c r="Q1504" s="3" t="s">
        <v>26</v>
      </c>
      <c r="R1504" s="3">
        <v>0</v>
      </c>
      <c r="S1504" s="4">
        <v>0</v>
      </c>
      <c r="T1504" s="4">
        <v>34</v>
      </c>
      <c r="U1504" s="4">
        <v>55</v>
      </c>
      <c r="V1504" s="4">
        <f>IF(ISERROR(VLOOKUP($S$1504,'TAR FIN'!$A$1:$O$99,15,0)),0,VLOOKUP($S$1504,'TAR FIN'!$A$1:$O$99,15,0))</f>
        <v>0</v>
      </c>
      <c r="W1504" s="4">
        <f>IF(ISERROR(VLOOKUP($T$1504,'TAR FIN'!$A$1:$O$99,15,0)),0,VLOOKUP($T$1504,'TAR FIN'!$A$1:$O$99,15,0))</f>
        <v>339.06</v>
      </c>
      <c r="X1504" s="4">
        <f>IF(ISERROR(VLOOKUP($U$1504,'TAR FIN'!$A$1:$O$99,15,0)),0,VLOOKUP($U$1504,'TAR FIN'!$A$1:$O$99,15,0))</f>
        <v>230.53</v>
      </c>
      <c r="Y1504" s="4"/>
      <c r="Z1504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04" s="4">
        <f>('TE BE'!$AA$17+'TE BF'!$AA$17+'TE CVA'!$AA$17)*(1-CUSTOS!$M$37)</f>
        <v>283.86889449376815</v>
      </c>
      <c r="AB1504" s="4">
        <f>$K$1504*$V$1504</f>
        <v>0</v>
      </c>
      <c r="AC1504" s="4">
        <f>$M$1504*$W$1504</f>
        <v>-343406.07108000002</v>
      </c>
      <c r="AD1504" s="4">
        <f>$O$1504*$X$1504</f>
        <v>-233484.93354</v>
      </c>
      <c r="AE1504" s="4">
        <f>$K$1504*$Y$1504</f>
        <v>0</v>
      </c>
      <c r="AF1504" s="4">
        <f ca="1">$M$1504*$Z$1504</f>
        <v>-403957.472853071</v>
      </c>
      <c r="AG1504" s="4">
        <f>$O$1504*$AA$1504</f>
        <v>-287507.52598338929</v>
      </c>
    </row>
    <row r="1505" spans="1:33" ht="11.25" customHeight="1" x14ac:dyDescent="0.25">
      <c r="A1505" s="3" t="s">
        <v>21</v>
      </c>
      <c r="B1505" s="3" t="s">
        <v>22</v>
      </c>
      <c r="C1505" s="3" t="s">
        <v>23</v>
      </c>
      <c r="D1505" s="3" t="s">
        <v>24</v>
      </c>
      <c r="E1505" s="3" t="s">
        <v>32</v>
      </c>
      <c r="F1505" s="3" t="s">
        <v>25</v>
      </c>
      <c r="G1505" s="3" t="s">
        <v>25</v>
      </c>
      <c r="H1505" s="3" t="s">
        <v>25</v>
      </c>
      <c r="I1505" s="6">
        <v>44409</v>
      </c>
      <c r="J1505" s="4">
        <v>0</v>
      </c>
      <c r="K1505" s="4">
        <v>0</v>
      </c>
      <c r="L1505" s="4">
        <v>721.98299999999995</v>
      </c>
      <c r="M1505" s="4">
        <v>721.98299999999995</v>
      </c>
      <c r="N1505" s="4">
        <v>721.98299999999995</v>
      </c>
      <c r="O1505" s="4">
        <v>721.98299999999995</v>
      </c>
      <c r="P1505" s="4">
        <v>7999</v>
      </c>
      <c r="Q1505" s="3" t="s">
        <v>26</v>
      </c>
      <c r="R1505" s="3">
        <v>0</v>
      </c>
      <c r="S1505" s="4">
        <v>0</v>
      </c>
      <c r="T1505" s="4">
        <v>34</v>
      </c>
      <c r="U1505" s="4">
        <v>55</v>
      </c>
      <c r="V1505" s="4">
        <f>IF(ISERROR(VLOOKUP($S$1505,'TAR FIN'!$A$1:$O$99,15,0)),0,VLOOKUP($S$1505,'TAR FIN'!$A$1:$O$99,15,0))</f>
        <v>0</v>
      </c>
      <c r="W1505" s="4">
        <f>IF(ISERROR(VLOOKUP($T$1505,'TAR FIN'!$A$1:$O$99,15,0)),0,VLOOKUP($T$1505,'TAR FIN'!$A$1:$O$99,15,0))</f>
        <v>339.06</v>
      </c>
      <c r="X1505" s="4">
        <f>IF(ISERROR(VLOOKUP($U$1505,'TAR FIN'!$A$1:$O$99,15,0)),0,VLOOKUP($U$1505,'TAR FIN'!$A$1:$O$99,15,0))</f>
        <v>230.53</v>
      </c>
      <c r="Y1505" s="4"/>
      <c r="Z1505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05" s="4">
        <f>('TE BE'!$AA$17+'TE BF'!$AA$17+'TE CVA'!$AA$17)*(1-CUSTOS!$M$37)</f>
        <v>283.86889449376815</v>
      </c>
      <c r="AB1505" s="4">
        <f>$K$1505*$V$1505</f>
        <v>0</v>
      </c>
      <c r="AC1505" s="4">
        <f>$M$1505*$W$1505</f>
        <v>244795.55597999998</v>
      </c>
      <c r="AD1505" s="4">
        <f>$O$1505*$X$1505</f>
        <v>166438.74098999999</v>
      </c>
      <c r="AE1505" s="4">
        <f>$K$1505*$Y$1505</f>
        <v>0</v>
      </c>
      <c r="AF1505" s="4">
        <f ca="1">$M$1505*$Z$1505</f>
        <v>287959.36498253263</v>
      </c>
      <c r="AG1505" s="4">
        <f>$O$1505*$AA$1505</f>
        <v>204948.51605329421</v>
      </c>
    </row>
    <row r="1506" spans="1:33" ht="11.25" customHeight="1" x14ac:dyDescent="0.25">
      <c r="A1506" s="3" t="s">
        <v>21</v>
      </c>
      <c r="B1506" s="3" t="s">
        <v>22</v>
      </c>
      <c r="C1506" s="3" t="s">
        <v>23</v>
      </c>
      <c r="D1506" s="3" t="s">
        <v>24</v>
      </c>
      <c r="E1506" s="3" t="s">
        <v>32</v>
      </c>
      <c r="F1506" s="3" t="s">
        <v>25</v>
      </c>
      <c r="G1506" s="3" t="s">
        <v>25</v>
      </c>
      <c r="H1506" s="3" t="s">
        <v>25</v>
      </c>
      <c r="I1506" s="6">
        <v>44440</v>
      </c>
      <c r="J1506" s="4">
        <v>0</v>
      </c>
      <c r="K1506" s="4">
        <v>0</v>
      </c>
      <c r="L1506" s="4">
        <v>886.71199999999999</v>
      </c>
      <c r="M1506" s="4">
        <v>886.71199999999999</v>
      </c>
      <c r="N1506" s="4">
        <v>886.71199999999999</v>
      </c>
      <c r="O1506" s="4">
        <v>886.71199999999999</v>
      </c>
      <c r="P1506" s="4">
        <v>9854</v>
      </c>
      <c r="Q1506" s="3" t="s">
        <v>26</v>
      </c>
      <c r="R1506" s="3">
        <v>0</v>
      </c>
      <c r="S1506" s="4">
        <v>0</v>
      </c>
      <c r="T1506" s="4">
        <v>34</v>
      </c>
      <c r="U1506" s="4">
        <v>55</v>
      </c>
      <c r="V1506" s="4">
        <f>IF(ISERROR(VLOOKUP($S$1506,'TAR FIN'!$A$1:$O$99,15,0)),0,VLOOKUP($S$1506,'TAR FIN'!$A$1:$O$99,15,0))</f>
        <v>0</v>
      </c>
      <c r="W1506" s="4">
        <f>IF(ISERROR(VLOOKUP($T$1506,'TAR FIN'!$A$1:$O$99,15,0)),0,VLOOKUP($T$1506,'TAR FIN'!$A$1:$O$99,15,0))</f>
        <v>339.06</v>
      </c>
      <c r="X1506" s="4">
        <f>IF(ISERROR(VLOOKUP($U$1506,'TAR FIN'!$A$1:$O$99,15,0)),0,VLOOKUP($U$1506,'TAR FIN'!$A$1:$O$99,15,0))</f>
        <v>230.53</v>
      </c>
      <c r="Y1506" s="4"/>
      <c r="Z1506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06" s="4">
        <f>('TE BE'!$AA$17+'TE BF'!$AA$17+'TE CVA'!$AA$17)*(1-CUSTOS!$M$37)</f>
        <v>283.86889449376815</v>
      </c>
      <c r="AB1506" s="4">
        <f>$K$1506*$V$1506</f>
        <v>0</v>
      </c>
      <c r="AC1506" s="4">
        <f>$M$1506*$W$1506</f>
        <v>300648.57072000002</v>
      </c>
      <c r="AD1506" s="4">
        <f>$O$1506*$X$1506</f>
        <v>204413.71736000001</v>
      </c>
      <c r="AE1506" s="4">
        <f>$K$1506*$Y$1506</f>
        <v>0</v>
      </c>
      <c r="AF1506" s="4">
        <f ca="1">$M$1506*$Z$1506</f>
        <v>353660.71561572992</v>
      </c>
      <c r="AG1506" s="4">
        <f>$O$1506*$AA$1506</f>
        <v>251709.95517435815</v>
      </c>
    </row>
    <row r="1507" spans="1:33" ht="11.25" customHeight="1" x14ac:dyDescent="0.25">
      <c r="A1507" s="3" t="s">
        <v>21</v>
      </c>
      <c r="B1507" s="3" t="s">
        <v>22</v>
      </c>
      <c r="C1507" s="3" t="s">
        <v>23</v>
      </c>
      <c r="D1507" s="3" t="s">
        <v>24</v>
      </c>
      <c r="E1507" s="3" t="s">
        <v>32</v>
      </c>
      <c r="F1507" s="3" t="s">
        <v>25</v>
      </c>
      <c r="G1507" s="3" t="s">
        <v>25</v>
      </c>
      <c r="H1507" s="3" t="s">
        <v>25</v>
      </c>
      <c r="I1507" s="6">
        <v>44470</v>
      </c>
      <c r="J1507" s="4">
        <v>0</v>
      </c>
      <c r="K1507" s="4">
        <v>0</v>
      </c>
      <c r="L1507" s="4">
        <v>1087.183</v>
      </c>
      <c r="M1507" s="4">
        <v>1087.183</v>
      </c>
      <c r="N1507" s="4">
        <v>1087.183</v>
      </c>
      <c r="O1507" s="4">
        <v>1087.183</v>
      </c>
      <c r="P1507" s="4">
        <v>12032</v>
      </c>
      <c r="Q1507" s="3" t="s">
        <v>26</v>
      </c>
      <c r="R1507" s="3">
        <v>0</v>
      </c>
      <c r="S1507" s="4">
        <v>0</v>
      </c>
      <c r="T1507" s="4">
        <v>34</v>
      </c>
      <c r="U1507" s="4">
        <v>55</v>
      </c>
      <c r="V1507" s="4">
        <f>IF(ISERROR(VLOOKUP($S$1507,'TAR FIN'!$A$1:$O$99,15,0)),0,VLOOKUP($S$1507,'TAR FIN'!$A$1:$O$99,15,0))</f>
        <v>0</v>
      </c>
      <c r="W1507" s="4">
        <f>IF(ISERROR(VLOOKUP($T$1507,'TAR FIN'!$A$1:$O$99,15,0)),0,VLOOKUP($T$1507,'TAR FIN'!$A$1:$O$99,15,0))</f>
        <v>339.06</v>
      </c>
      <c r="X1507" s="4">
        <f>IF(ISERROR(VLOOKUP($U$1507,'TAR FIN'!$A$1:$O$99,15,0)),0,VLOOKUP($U$1507,'TAR FIN'!$A$1:$O$99,15,0))</f>
        <v>230.53</v>
      </c>
      <c r="Y1507" s="4"/>
      <c r="Z1507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07" s="4">
        <f>('TE BE'!$AA$17+'TE BF'!$AA$17+'TE CVA'!$AA$17)*(1-CUSTOS!$M$37)</f>
        <v>283.86889449376815</v>
      </c>
      <c r="AB1507" s="4">
        <f>$K$1507*$V$1507</f>
        <v>0</v>
      </c>
      <c r="AC1507" s="4">
        <f>$M$1507*$W$1507</f>
        <v>368620.26798</v>
      </c>
      <c r="AD1507" s="4">
        <f>$O$1507*$X$1507</f>
        <v>250628.29699</v>
      </c>
      <c r="AE1507" s="4">
        <f>$K$1507*$Y$1507</f>
        <v>0</v>
      </c>
      <c r="AF1507" s="4">
        <f ca="1">$M$1507*$Z$1507</f>
        <v>433617.58697892446</v>
      </c>
      <c r="AG1507" s="4">
        <f>$O$1507*$AA$1507</f>
        <v>308617.43632241833</v>
      </c>
    </row>
    <row r="1508" spans="1:33" ht="11.25" customHeight="1" x14ac:dyDescent="0.25">
      <c r="A1508" s="3" t="s">
        <v>21</v>
      </c>
      <c r="B1508" s="3" t="s">
        <v>22</v>
      </c>
      <c r="C1508" s="3" t="s">
        <v>23</v>
      </c>
      <c r="D1508" s="3" t="s">
        <v>24</v>
      </c>
      <c r="E1508" s="3" t="s">
        <v>32</v>
      </c>
      <c r="F1508" s="3" t="s">
        <v>25</v>
      </c>
      <c r="G1508" s="3" t="s">
        <v>25</v>
      </c>
      <c r="H1508" s="3" t="s">
        <v>25</v>
      </c>
      <c r="I1508" s="6">
        <v>44501</v>
      </c>
      <c r="J1508" s="4">
        <v>0</v>
      </c>
      <c r="K1508" s="4">
        <v>0</v>
      </c>
      <c r="L1508" s="4">
        <v>1353.7639999999999</v>
      </c>
      <c r="M1508" s="4">
        <v>1353.7639999999999</v>
      </c>
      <c r="N1508" s="4">
        <v>1353.7639999999999</v>
      </c>
      <c r="O1508" s="4">
        <v>1353.7639999999999</v>
      </c>
      <c r="P1508" s="4">
        <v>14736</v>
      </c>
      <c r="Q1508" s="3" t="s">
        <v>26</v>
      </c>
      <c r="R1508" s="3">
        <v>0</v>
      </c>
      <c r="S1508" s="4">
        <v>0</v>
      </c>
      <c r="T1508" s="4">
        <v>34</v>
      </c>
      <c r="U1508" s="4">
        <v>55</v>
      </c>
      <c r="V1508" s="4">
        <f>IF(ISERROR(VLOOKUP($S$1508,'TAR FIN'!$A$1:$O$99,15,0)),0,VLOOKUP($S$1508,'TAR FIN'!$A$1:$O$99,15,0))</f>
        <v>0</v>
      </c>
      <c r="W1508" s="4">
        <f>IF(ISERROR(VLOOKUP($T$1508,'TAR FIN'!$A$1:$O$99,15,0)),0,VLOOKUP($T$1508,'TAR FIN'!$A$1:$O$99,15,0))</f>
        <v>339.06</v>
      </c>
      <c r="X1508" s="4">
        <f>IF(ISERROR(VLOOKUP($U$1508,'TAR FIN'!$A$1:$O$99,15,0)),0,VLOOKUP($U$1508,'TAR FIN'!$A$1:$O$99,15,0))</f>
        <v>230.53</v>
      </c>
      <c r="Y1508" s="4"/>
      <c r="Z1508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08" s="4">
        <f>('TE BE'!$AA$17+'TE BF'!$AA$17+'TE CVA'!$AA$17)*(1-CUSTOS!$M$37)</f>
        <v>283.86889449376815</v>
      </c>
      <c r="AB1508" s="4">
        <f>$K$1508*$V$1508</f>
        <v>0</v>
      </c>
      <c r="AC1508" s="4">
        <f>$M$1508*$W$1508</f>
        <v>459007.22183999995</v>
      </c>
      <c r="AD1508" s="4">
        <f>$O$1508*$X$1508</f>
        <v>312083.21492</v>
      </c>
      <c r="AE1508" s="4">
        <f>$K$1508*$Y$1508</f>
        <v>0</v>
      </c>
      <c r="AF1508" s="4">
        <f ca="1">$M$1508*$Z$1508</f>
        <v>539942.10636014049</v>
      </c>
      <c r="AG1508" s="4">
        <f>$O$1508*$AA$1508</f>
        <v>384291.49008546153</v>
      </c>
    </row>
    <row r="1509" spans="1:33" ht="11.25" customHeight="1" x14ac:dyDescent="0.25">
      <c r="A1509" s="3" t="s">
        <v>21</v>
      </c>
      <c r="B1509" s="3" t="s">
        <v>22</v>
      </c>
      <c r="C1509" s="3" t="s">
        <v>23</v>
      </c>
      <c r="D1509" s="3" t="s">
        <v>24</v>
      </c>
      <c r="E1509" s="3" t="s">
        <v>32</v>
      </c>
      <c r="F1509" s="3" t="s">
        <v>25</v>
      </c>
      <c r="G1509" s="3" t="s">
        <v>25</v>
      </c>
      <c r="H1509" s="3" t="s">
        <v>25</v>
      </c>
      <c r="I1509" s="6">
        <v>44531</v>
      </c>
      <c r="J1509" s="4">
        <v>0</v>
      </c>
      <c r="K1509" s="4">
        <v>0</v>
      </c>
      <c r="L1509" s="4">
        <v>1757.1959999999999</v>
      </c>
      <c r="M1509" s="4">
        <v>1757.1959999999999</v>
      </c>
      <c r="N1509" s="4">
        <v>1757.1959999999999</v>
      </c>
      <c r="O1509" s="4">
        <v>1757.1959999999999</v>
      </c>
      <c r="P1509" s="4">
        <v>17963</v>
      </c>
      <c r="Q1509" s="3" t="s">
        <v>26</v>
      </c>
      <c r="R1509" s="3">
        <v>0</v>
      </c>
      <c r="S1509" s="4">
        <v>0</v>
      </c>
      <c r="T1509" s="4">
        <v>34</v>
      </c>
      <c r="U1509" s="4">
        <v>55</v>
      </c>
      <c r="V1509" s="4">
        <f>IF(ISERROR(VLOOKUP($S$1509,'TAR FIN'!$A$1:$O$99,15,0)),0,VLOOKUP($S$1509,'TAR FIN'!$A$1:$O$99,15,0))</f>
        <v>0</v>
      </c>
      <c r="W1509" s="4">
        <f>IF(ISERROR(VLOOKUP($T$1509,'TAR FIN'!$A$1:$O$99,15,0)),0,VLOOKUP($T$1509,'TAR FIN'!$A$1:$O$99,15,0))</f>
        <v>339.06</v>
      </c>
      <c r="X1509" s="4">
        <f>IF(ISERROR(VLOOKUP($U$1509,'TAR FIN'!$A$1:$O$99,15,0)),0,VLOOKUP($U$1509,'TAR FIN'!$A$1:$O$99,15,0))</f>
        <v>230.53</v>
      </c>
      <c r="Y1509" s="4"/>
      <c r="Z1509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09" s="4">
        <f>('TE BE'!$AA$17+'TE BF'!$AA$17+'TE CVA'!$AA$17)*(1-CUSTOS!$M$37)</f>
        <v>283.86889449376815</v>
      </c>
      <c r="AB1509" s="4">
        <f>$K$1509*$V$1509</f>
        <v>0</v>
      </c>
      <c r="AC1509" s="4">
        <f>$M$1509*$W$1509</f>
        <v>595794.87575999997</v>
      </c>
      <c r="AD1509" s="4">
        <f>$O$1509*$X$1509</f>
        <v>405086.39387999999</v>
      </c>
      <c r="AE1509" s="4">
        <f>$K$1509*$Y$1509</f>
        <v>0</v>
      </c>
      <c r="AF1509" s="4">
        <f ca="1">$M$1509*$Z$1509</f>
        <v>700848.97332741413</v>
      </c>
      <c r="AG1509" s="4">
        <f>$O$1509*$AA$1509</f>
        <v>498813.28592887142</v>
      </c>
    </row>
    <row r="1510" spans="1:33" ht="11.25" customHeight="1" x14ac:dyDescent="0.25">
      <c r="A1510" s="3" t="s">
        <v>21</v>
      </c>
      <c r="B1510" s="3" t="s">
        <v>22</v>
      </c>
      <c r="C1510" s="3" t="s">
        <v>23</v>
      </c>
      <c r="D1510" s="3" t="s">
        <v>24</v>
      </c>
      <c r="E1510" s="3" t="s">
        <v>32</v>
      </c>
      <c r="F1510" s="3" t="s">
        <v>25</v>
      </c>
      <c r="G1510" s="3" t="s">
        <v>25</v>
      </c>
      <c r="H1510" s="3" t="s">
        <v>25</v>
      </c>
      <c r="I1510" s="6">
        <v>44562</v>
      </c>
      <c r="J1510" s="4">
        <v>0</v>
      </c>
      <c r="K1510" s="4">
        <v>0</v>
      </c>
      <c r="L1510" s="4">
        <v>1811.5360000000001</v>
      </c>
      <c r="M1510" s="4">
        <v>1811.5360000000001</v>
      </c>
      <c r="N1510" s="4">
        <v>1811.5360000000001</v>
      </c>
      <c r="O1510" s="4">
        <v>1811.5360000000001</v>
      </c>
      <c r="P1510" s="4">
        <v>18068</v>
      </c>
      <c r="Q1510" s="3" t="s">
        <v>26</v>
      </c>
      <c r="R1510" s="3">
        <v>0</v>
      </c>
      <c r="S1510" s="4">
        <v>0</v>
      </c>
      <c r="T1510" s="4">
        <v>34</v>
      </c>
      <c r="U1510" s="4">
        <v>55</v>
      </c>
      <c r="V1510" s="4">
        <f>IF(ISERROR(VLOOKUP($S$1510,'TAR FIN'!$A$1:$O$99,15,0)),0,VLOOKUP($S$1510,'TAR FIN'!$A$1:$O$99,15,0))</f>
        <v>0</v>
      </c>
      <c r="W1510" s="4">
        <f>IF(ISERROR(VLOOKUP($T$1510,'TAR FIN'!$A$1:$O$99,15,0)),0,VLOOKUP($T$1510,'TAR FIN'!$A$1:$O$99,15,0))</f>
        <v>339.06</v>
      </c>
      <c r="X1510" s="4">
        <f>IF(ISERROR(VLOOKUP($U$1510,'TAR FIN'!$A$1:$O$99,15,0)),0,VLOOKUP($U$1510,'TAR FIN'!$A$1:$O$99,15,0))</f>
        <v>230.53</v>
      </c>
      <c r="Y1510" s="4"/>
      <c r="Z1510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10" s="4">
        <f>('TE BE'!$AA$17+'TE BF'!$AA$17+'TE CVA'!$AA$17)*(1-CUSTOS!$M$37)</f>
        <v>283.86889449376815</v>
      </c>
      <c r="AB1510" s="4">
        <f>$K$1510*$V$1510</f>
        <v>0</v>
      </c>
      <c r="AC1510" s="4">
        <f>$M$1510*$W$1510</f>
        <v>614219.39616</v>
      </c>
      <c r="AD1510" s="4">
        <f>$O$1510*$X$1510</f>
        <v>417613.39408</v>
      </c>
      <c r="AE1510" s="4">
        <f>$K$1510*$Y$1510</f>
        <v>0</v>
      </c>
      <c r="AF1510" s="4">
        <f ca="1">$M$1510*$Z$1510</f>
        <v>722522.2147931424</v>
      </c>
      <c r="AG1510" s="4">
        <f>$O$1510*$AA$1510</f>
        <v>514238.72165566281</v>
      </c>
    </row>
    <row r="1511" spans="1:33" ht="11.25" customHeight="1" x14ac:dyDescent="0.25">
      <c r="A1511" s="3" t="s">
        <v>21</v>
      </c>
      <c r="B1511" s="3" t="s">
        <v>22</v>
      </c>
      <c r="C1511" s="3" t="s">
        <v>23</v>
      </c>
      <c r="D1511" s="3" t="s">
        <v>24</v>
      </c>
      <c r="E1511" s="3" t="s">
        <v>32</v>
      </c>
      <c r="F1511" s="3" t="s">
        <v>25</v>
      </c>
      <c r="G1511" s="3" t="s">
        <v>25</v>
      </c>
      <c r="H1511" s="3" t="s">
        <v>25</v>
      </c>
      <c r="I1511" s="6">
        <v>44593</v>
      </c>
      <c r="J1511" s="4">
        <v>0</v>
      </c>
      <c r="K1511" s="4">
        <v>0</v>
      </c>
      <c r="L1511" s="4">
        <v>1773.5150000000001</v>
      </c>
      <c r="M1511" s="4">
        <v>1773.5150000000001</v>
      </c>
      <c r="N1511" s="4">
        <v>1773.5150000000001</v>
      </c>
      <c r="O1511" s="4">
        <v>1773.5150000000001</v>
      </c>
      <c r="P1511" s="4">
        <v>17479</v>
      </c>
      <c r="Q1511" s="3" t="s">
        <v>26</v>
      </c>
      <c r="R1511" s="3">
        <v>0</v>
      </c>
      <c r="S1511" s="4">
        <v>0</v>
      </c>
      <c r="T1511" s="4">
        <v>34</v>
      </c>
      <c r="U1511" s="4">
        <v>55</v>
      </c>
      <c r="V1511" s="4">
        <f>IF(ISERROR(VLOOKUP($S$1511,'TAR FIN'!$A$1:$O$99,15,0)),0,VLOOKUP($S$1511,'TAR FIN'!$A$1:$O$99,15,0))</f>
        <v>0</v>
      </c>
      <c r="W1511" s="4">
        <f>IF(ISERROR(VLOOKUP($T$1511,'TAR FIN'!$A$1:$O$99,15,0)),0,VLOOKUP($T$1511,'TAR FIN'!$A$1:$O$99,15,0))</f>
        <v>339.06</v>
      </c>
      <c r="X1511" s="4">
        <f>IF(ISERROR(VLOOKUP($U$1511,'TAR FIN'!$A$1:$O$99,15,0)),0,VLOOKUP($U$1511,'TAR FIN'!$A$1:$O$99,15,0))</f>
        <v>230.53</v>
      </c>
      <c r="Y1511" s="4"/>
      <c r="Z1511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11" s="4">
        <f>('TE BE'!$AA$17+'TE BF'!$AA$17+'TE CVA'!$AA$17)*(1-CUSTOS!$M$37)</f>
        <v>283.86889449376815</v>
      </c>
      <c r="AB1511" s="4">
        <f>$K$1511*$V$1511</f>
        <v>0</v>
      </c>
      <c r="AC1511" s="4">
        <f>$M$1511*$W$1511</f>
        <v>601327.99589999998</v>
      </c>
      <c r="AD1511" s="4">
        <f>$O$1511*$X$1511</f>
        <v>408848.41295000003</v>
      </c>
      <c r="AE1511" s="4">
        <f>$K$1511*$Y$1511</f>
        <v>0</v>
      </c>
      <c r="AF1511" s="4">
        <f ca="1">$M$1511*$Z$1511</f>
        <v>707357.72613343596</v>
      </c>
      <c r="AG1511" s="4">
        <f>$O$1511*$AA$1511</f>
        <v>503445.74241811526</v>
      </c>
    </row>
    <row r="1512" spans="1:33" ht="11.25" customHeight="1" x14ac:dyDescent="0.25">
      <c r="A1512" s="3" t="s">
        <v>21</v>
      </c>
      <c r="B1512" s="3" t="s">
        <v>22</v>
      </c>
      <c r="C1512" s="3" t="s">
        <v>23</v>
      </c>
      <c r="D1512" s="3" t="s">
        <v>24</v>
      </c>
      <c r="E1512" s="3" t="s">
        <v>32</v>
      </c>
      <c r="F1512" s="3" t="s">
        <v>25</v>
      </c>
      <c r="G1512" s="3" t="s">
        <v>25</v>
      </c>
      <c r="H1512" s="3" t="s">
        <v>25</v>
      </c>
      <c r="I1512" s="6">
        <v>44621</v>
      </c>
      <c r="J1512" s="4">
        <v>0</v>
      </c>
      <c r="K1512" s="4">
        <v>0</v>
      </c>
      <c r="L1512" s="4">
        <v>2266.096</v>
      </c>
      <c r="M1512" s="4">
        <v>2266.096</v>
      </c>
      <c r="N1512" s="4">
        <v>2266.096</v>
      </c>
      <c r="O1512" s="4">
        <v>2266.096</v>
      </c>
      <c r="P1512" s="4">
        <v>23101</v>
      </c>
      <c r="Q1512" s="3" t="s">
        <v>26</v>
      </c>
      <c r="R1512" s="3">
        <v>0</v>
      </c>
      <c r="S1512" s="4">
        <v>0</v>
      </c>
      <c r="T1512" s="4">
        <v>34</v>
      </c>
      <c r="U1512" s="4">
        <v>55</v>
      </c>
      <c r="V1512" s="4">
        <f>IF(ISERROR(VLOOKUP($S$1512,'TAR FIN'!$A$1:$O$99,15,0)),0,VLOOKUP($S$1512,'TAR FIN'!$A$1:$O$99,15,0))</f>
        <v>0</v>
      </c>
      <c r="W1512" s="4">
        <f>IF(ISERROR(VLOOKUP($T$1512,'TAR FIN'!$A$1:$O$99,15,0)),0,VLOOKUP($T$1512,'TAR FIN'!$A$1:$O$99,15,0))</f>
        <v>339.06</v>
      </c>
      <c r="X1512" s="4">
        <f>IF(ISERROR(VLOOKUP($U$1512,'TAR FIN'!$A$1:$O$99,15,0)),0,VLOOKUP($U$1512,'TAR FIN'!$A$1:$O$99,15,0))</f>
        <v>230.53</v>
      </c>
      <c r="Y1512" s="4"/>
      <c r="Z1512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12" s="4">
        <f>('TE BE'!$AA$17+'TE BF'!$AA$17+'TE CVA'!$AA$17)*(1-CUSTOS!$M$37)</f>
        <v>283.86889449376815</v>
      </c>
      <c r="AB1512" s="4">
        <f>$K$1512*$V$1512</f>
        <v>0</v>
      </c>
      <c r="AC1512" s="4">
        <f>$M$1512*$W$1512</f>
        <v>768342.50976000004</v>
      </c>
      <c r="AD1512" s="4">
        <f>$O$1512*$X$1512</f>
        <v>522403.11087999999</v>
      </c>
      <c r="AE1512" s="4">
        <f>$K$1512*$Y$1512</f>
        <v>0</v>
      </c>
      <c r="AF1512" s="4">
        <f ca="1">$M$1512*$Z$1512</f>
        <v>903821.2328399109</v>
      </c>
      <c r="AG1512" s="4">
        <f>$O$1512*$AA$1512</f>
        <v>643274.16633675003</v>
      </c>
    </row>
    <row r="1513" spans="1:33" ht="11.25" customHeight="1" x14ac:dyDescent="0.25">
      <c r="A1513" s="3" t="s">
        <v>56</v>
      </c>
      <c r="B1513" s="3" t="s">
        <v>22</v>
      </c>
      <c r="C1513" s="3" t="s">
        <v>23</v>
      </c>
      <c r="D1513" s="3" t="s">
        <v>24</v>
      </c>
      <c r="E1513" s="3" t="s">
        <v>32</v>
      </c>
      <c r="F1513" s="3" t="s">
        <v>25</v>
      </c>
      <c r="G1513" s="3" t="s">
        <v>25</v>
      </c>
      <c r="H1513" s="3" t="s">
        <v>25</v>
      </c>
      <c r="I1513" s="6">
        <v>44652</v>
      </c>
      <c r="J1513" s="4">
        <v>0</v>
      </c>
      <c r="K1513" s="4">
        <v>0</v>
      </c>
      <c r="L1513" s="4">
        <v>2266.096</v>
      </c>
      <c r="M1513" s="4">
        <v>2266.096</v>
      </c>
      <c r="N1513" s="4">
        <v>2266.096</v>
      </c>
      <c r="O1513" s="4">
        <v>2266.096</v>
      </c>
      <c r="P1513" s="4">
        <v>23101</v>
      </c>
      <c r="Q1513" s="3" t="s">
        <v>26</v>
      </c>
      <c r="R1513" s="3">
        <v>0</v>
      </c>
      <c r="S1513" s="4">
        <v>0</v>
      </c>
      <c r="T1513" s="4">
        <v>34</v>
      </c>
      <c r="U1513" s="4">
        <v>55</v>
      </c>
      <c r="V1513" s="4">
        <f>IF(ISERROR(VLOOKUP($S$1513,'TAR FIN'!$A$1:$O$99,15,0)),0,VLOOKUP($S$1513,'TAR FIN'!$A$1:$O$99,15,0))</f>
        <v>0</v>
      </c>
      <c r="W1513" s="4">
        <f>IF(ISERROR(VLOOKUP($T$1513,'TAR FIN'!$A$1:$O$99,15,0)),0,VLOOKUP($T$1513,'TAR FIN'!$A$1:$O$99,15,0))</f>
        <v>339.06</v>
      </c>
      <c r="X1513" s="4">
        <f>IF(ISERROR(VLOOKUP($U$1513,'TAR FIN'!$A$1:$O$99,15,0)),0,VLOOKUP($U$1513,'TAR FIN'!$A$1:$O$99,15,0))</f>
        <v>230.53</v>
      </c>
      <c r="Y1513" s="4"/>
      <c r="Z1513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1513" s="4">
        <f>('TE BE'!$AA$17+'TE BF'!$AA$17+'TE CVA'!$AA$17)*(1-CUSTOS!$M$37)</f>
        <v>283.86889449376815</v>
      </c>
      <c r="AB1513" s="4">
        <f>$K$1513*$V$1513</f>
        <v>0</v>
      </c>
      <c r="AC1513" s="4">
        <f>$M$1513*$W$1513</f>
        <v>768342.50976000004</v>
      </c>
      <c r="AD1513" s="4">
        <f>$O$1513*$X$1513</f>
        <v>522403.11087999999</v>
      </c>
      <c r="AE1513" s="4">
        <f>$K$1513*$Y$1513</f>
        <v>0</v>
      </c>
      <c r="AF1513" s="4">
        <f ca="1">$M$1513*$Z$1513</f>
        <v>903821.2328399109</v>
      </c>
      <c r="AG1513" s="4">
        <f>$O$1513*$AA$1513</f>
        <v>643274.16633675003</v>
      </c>
    </row>
    <row r="1514" spans="1:33" ht="11.25" customHeight="1" x14ac:dyDescent="0.25">
      <c r="A1514" s="3" t="s">
        <v>21</v>
      </c>
      <c r="B1514" s="3" t="s">
        <v>44</v>
      </c>
      <c r="C1514" s="3" t="s">
        <v>37</v>
      </c>
      <c r="D1514" s="3" t="s">
        <v>45</v>
      </c>
      <c r="E1514" s="3" t="s">
        <v>25</v>
      </c>
      <c r="F1514" s="3" t="s">
        <v>25</v>
      </c>
      <c r="G1514" s="3" t="s">
        <v>25</v>
      </c>
      <c r="H1514" s="3" t="s">
        <v>36</v>
      </c>
      <c r="I1514" s="6">
        <v>44317</v>
      </c>
      <c r="J1514" s="4">
        <v>0</v>
      </c>
      <c r="K1514" s="4">
        <v>0</v>
      </c>
      <c r="L1514" s="4">
        <v>1.2929999999999999</v>
      </c>
      <c r="M1514" s="4">
        <v>1.2929999999999999</v>
      </c>
      <c r="N1514" s="4">
        <v>1.2929999999999999</v>
      </c>
      <c r="O1514" s="4">
        <v>1.2929999999999999</v>
      </c>
      <c r="P1514" s="4">
        <v>0</v>
      </c>
      <c r="Q1514" s="3" t="s">
        <v>26</v>
      </c>
      <c r="R1514" s="3">
        <v>0</v>
      </c>
      <c r="S1514" s="4">
        <v>0</v>
      </c>
      <c r="T1514" s="4">
        <v>21</v>
      </c>
      <c r="U1514" s="4">
        <v>61</v>
      </c>
      <c r="V1514" s="4">
        <f>IF(ISERROR(VLOOKUP($S$1514,'TAR FIN'!$A$1:$O$99,15,0)),0,VLOOKUP($S$1514,'TAR FIN'!$A$1:$O$99,15,0))</f>
        <v>0</v>
      </c>
      <c r="W1514" s="4">
        <f>IF(ISERROR(VLOOKUP($T$1514,'TAR FIN'!$A$1:$O$99,15,0)),0,VLOOKUP($T$1514,'TAR FIN'!$A$1:$O$99,15,0))</f>
        <v>268.14</v>
      </c>
      <c r="X1514" s="4">
        <f>IF(ISERROR(VLOOKUP($U$1514,'TAR FIN'!$A$1:$O$99,15,0)),0,VLOOKUP($U$1514,'TAR FIN'!$A$1:$O$99,15,0))</f>
        <v>193.58</v>
      </c>
      <c r="Y1514" s="4"/>
      <c r="Z1514" s="4">
        <f ca="1">('TUSD BE'!$AM$43+'TUSD BF'!$AM$43+'TUSD CVA'!$AM$43)*(1-CUSTOS!$M$38)</f>
        <v>339.74521806585051</v>
      </c>
      <c r="AA1514" s="4">
        <f>('TE BE'!$AA$25+'TE BF'!$AA$25+'TE CVA'!$AA$25)*(1-CUSTOS!$M$38)</f>
        <v>254.87076330352861</v>
      </c>
      <c r="AB1514" s="4">
        <f>$K$1514*$V$1514</f>
        <v>0</v>
      </c>
      <c r="AC1514" s="4">
        <f>$M$1514*$W$1514</f>
        <v>346.70501999999999</v>
      </c>
      <c r="AD1514" s="4">
        <f>$O$1514*$X$1514</f>
        <v>250.29894000000002</v>
      </c>
      <c r="AE1514" s="4">
        <f>$K$1514*$Y$1514</f>
        <v>0</v>
      </c>
      <c r="AF1514" s="4">
        <f ca="1">$M$1514*$Z$1514</f>
        <v>439.29056695914466</v>
      </c>
      <c r="AG1514" s="4">
        <f>$O$1514*$AA$1514</f>
        <v>329.54789695146246</v>
      </c>
    </row>
    <row r="1515" spans="1:33" ht="11.25" customHeight="1" x14ac:dyDescent="0.25">
      <c r="A1515" s="3" t="s">
        <v>21</v>
      </c>
      <c r="B1515" s="3" t="s">
        <v>44</v>
      </c>
      <c r="C1515" s="3" t="s">
        <v>37</v>
      </c>
      <c r="D1515" s="3" t="s">
        <v>45</v>
      </c>
      <c r="E1515" s="3" t="s">
        <v>25</v>
      </c>
      <c r="F1515" s="3" t="s">
        <v>25</v>
      </c>
      <c r="G1515" s="3" t="s">
        <v>25</v>
      </c>
      <c r="H1515" s="3" t="s">
        <v>36</v>
      </c>
      <c r="I1515" s="6">
        <v>44348</v>
      </c>
      <c r="J1515" s="4">
        <v>0</v>
      </c>
      <c r="K1515" s="4">
        <v>0</v>
      </c>
      <c r="L1515" s="4">
        <v>0.1</v>
      </c>
      <c r="M1515" s="4">
        <v>0.1</v>
      </c>
      <c r="N1515" s="4">
        <v>0.1</v>
      </c>
      <c r="O1515" s="4">
        <v>0.1</v>
      </c>
      <c r="P1515" s="4">
        <v>0</v>
      </c>
      <c r="Q1515" s="3" t="s">
        <v>26</v>
      </c>
      <c r="R1515" s="3">
        <v>0</v>
      </c>
      <c r="S1515" s="4">
        <v>0</v>
      </c>
      <c r="T1515" s="4">
        <v>21</v>
      </c>
      <c r="U1515" s="4">
        <v>61</v>
      </c>
      <c r="V1515" s="4">
        <f>IF(ISERROR(VLOOKUP($S$1515,'TAR FIN'!$A$1:$O$99,15,0)),0,VLOOKUP($S$1515,'TAR FIN'!$A$1:$O$99,15,0))</f>
        <v>0</v>
      </c>
      <c r="W1515" s="4">
        <f>IF(ISERROR(VLOOKUP($T$1515,'TAR FIN'!$A$1:$O$99,15,0)),0,VLOOKUP($T$1515,'TAR FIN'!$A$1:$O$99,15,0))</f>
        <v>268.14</v>
      </c>
      <c r="X1515" s="4">
        <f>IF(ISERROR(VLOOKUP($U$1515,'TAR FIN'!$A$1:$O$99,15,0)),0,VLOOKUP($U$1515,'TAR FIN'!$A$1:$O$99,15,0))</f>
        <v>193.58</v>
      </c>
      <c r="Y1515" s="4"/>
      <c r="Z1515" s="4">
        <f ca="1">('TUSD BE'!$AM$43+'TUSD BF'!$AM$43+'TUSD CVA'!$AM$43)*(1-CUSTOS!$M$38)</f>
        <v>339.74521806585051</v>
      </c>
      <c r="AA1515" s="4">
        <f>('TE BE'!$AA$25+'TE BF'!$AA$25+'TE CVA'!$AA$25)*(1-CUSTOS!$M$38)</f>
        <v>254.87076330352861</v>
      </c>
      <c r="AB1515" s="4">
        <f>$K$1515*$V$1515</f>
        <v>0</v>
      </c>
      <c r="AC1515" s="4">
        <f>$M$1515*$W$1515</f>
        <v>26.814</v>
      </c>
      <c r="AD1515" s="4">
        <f>$O$1515*$X$1515</f>
        <v>19.358000000000004</v>
      </c>
      <c r="AE1515" s="4">
        <f>$K$1515*$Y$1515</f>
        <v>0</v>
      </c>
      <c r="AF1515" s="4">
        <f ca="1">$M$1515*$Z$1515</f>
        <v>33.974521806585052</v>
      </c>
      <c r="AG1515" s="4">
        <f>$O$1515*$AA$1515</f>
        <v>25.487076330352863</v>
      </c>
    </row>
    <row r="1516" spans="1:33" ht="11.25" customHeight="1" x14ac:dyDescent="0.25">
      <c r="A1516" s="3" t="s">
        <v>21</v>
      </c>
      <c r="B1516" s="3" t="s">
        <v>44</v>
      </c>
      <c r="C1516" s="3" t="s">
        <v>37</v>
      </c>
      <c r="D1516" s="3" t="s">
        <v>45</v>
      </c>
      <c r="E1516" s="3" t="s">
        <v>25</v>
      </c>
      <c r="F1516" s="3" t="s">
        <v>25</v>
      </c>
      <c r="G1516" s="3" t="s">
        <v>25</v>
      </c>
      <c r="H1516" s="3" t="s">
        <v>36</v>
      </c>
      <c r="I1516" s="6">
        <v>44378</v>
      </c>
      <c r="J1516" s="4">
        <v>0</v>
      </c>
      <c r="K1516" s="4">
        <v>0</v>
      </c>
      <c r="L1516" s="4">
        <v>0.1</v>
      </c>
      <c r="M1516" s="4">
        <v>0.1</v>
      </c>
      <c r="N1516" s="4">
        <v>0.1</v>
      </c>
      <c r="O1516" s="4">
        <v>0.1</v>
      </c>
      <c r="P1516" s="4">
        <v>0</v>
      </c>
      <c r="Q1516" s="3" t="s">
        <v>26</v>
      </c>
      <c r="R1516" s="3">
        <v>0</v>
      </c>
      <c r="S1516" s="4">
        <v>0</v>
      </c>
      <c r="T1516" s="4">
        <v>21</v>
      </c>
      <c r="U1516" s="4">
        <v>61</v>
      </c>
      <c r="V1516" s="4">
        <f>IF(ISERROR(VLOOKUP($S$1516,'TAR FIN'!$A$1:$O$99,15,0)),0,VLOOKUP($S$1516,'TAR FIN'!$A$1:$O$99,15,0))</f>
        <v>0</v>
      </c>
      <c r="W1516" s="4">
        <f>IF(ISERROR(VLOOKUP($T$1516,'TAR FIN'!$A$1:$O$99,15,0)),0,VLOOKUP($T$1516,'TAR FIN'!$A$1:$O$99,15,0))</f>
        <v>268.14</v>
      </c>
      <c r="X1516" s="4">
        <f>IF(ISERROR(VLOOKUP($U$1516,'TAR FIN'!$A$1:$O$99,15,0)),0,VLOOKUP($U$1516,'TAR FIN'!$A$1:$O$99,15,0))</f>
        <v>193.58</v>
      </c>
      <c r="Y1516" s="4"/>
      <c r="Z1516" s="4">
        <f ca="1">('TUSD BE'!$AM$43+'TUSD BF'!$AM$43+'TUSD CVA'!$AM$43)*(1-CUSTOS!$M$38)</f>
        <v>339.74521806585051</v>
      </c>
      <c r="AA1516" s="4">
        <f>('TE BE'!$AA$25+'TE BF'!$AA$25+'TE CVA'!$AA$25)*(1-CUSTOS!$M$38)</f>
        <v>254.87076330352861</v>
      </c>
      <c r="AB1516" s="4">
        <f>$K$1516*$V$1516</f>
        <v>0</v>
      </c>
      <c r="AC1516" s="4">
        <f>$M$1516*$W$1516</f>
        <v>26.814</v>
      </c>
      <c r="AD1516" s="4">
        <f>$O$1516*$X$1516</f>
        <v>19.358000000000004</v>
      </c>
      <c r="AE1516" s="4">
        <f>$K$1516*$Y$1516</f>
        <v>0</v>
      </c>
      <c r="AF1516" s="4">
        <f ca="1">$M$1516*$Z$1516</f>
        <v>33.974521806585052</v>
      </c>
      <c r="AG1516" s="4">
        <f>$O$1516*$AA$1516</f>
        <v>25.487076330352863</v>
      </c>
    </row>
    <row r="1517" spans="1:33" ht="11.25" customHeight="1" x14ac:dyDescent="0.25">
      <c r="A1517" s="3" t="s">
        <v>21</v>
      </c>
      <c r="B1517" s="3" t="s">
        <v>44</v>
      </c>
      <c r="C1517" s="3" t="s">
        <v>37</v>
      </c>
      <c r="D1517" s="3" t="s">
        <v>45</v>
      </c>
      <c r="E1517" s="3" t="s">
        <v>25</v>
      </c>
      <c r="F1517" s="3" t="s">
        <v>25</v>
      </c>
      <c r="G1517" s="3" t="s">
        <v>25</v>
      </c>
      <c r="H1517" s="3" t="s">
        <v>36</v>
      </c>
      <c r="I1517" s="6">
        <v>44409</v>
      </c>
      <c r="J1517" s="4">
        <v>0</v>
      </c>
      <c r="K1517" s="4">
        <v>0</v>
      </c>
      <c r="L1517" s="4">
        <v>0.1</v>
      </c>
      <c r="M1517" s="4">
        <v>0.1</v>
      </c>
      <c r="N1517" s="4">
        <v>0.1</v>
      </c>
      <c r="O1517" s="4">
        <v>0.1</v>
      </c>
      <c r="P1517" s="4">
        <v>0</v>
      </c>
      <c r="Q1517" s="3" t="s">
        <v>26</v>
      </c>
      <c r="R1517" s="3">
        <v>0</v>
      </c>
      <c r="S1517" s="4">
        <v>0</v>
      </c>
      <c r="T1517" s="4">
        <v>21</v>
      </c>
      <c r="U1517" s="4">
        <v>61</v>
      </c>
      <c r="V1517" s="4">
        <f>IF(ISERROR(VLOOKUP($S$1517,'TAR FIN'!$A$1:$O$99,15,0)),0,VLOOKUP($S$1517,'TAR FIN'!$A$1:$O$99,15,0))</f>
        <v>0</v>
      </c>
      <c r="W1517" s="4">
        <f>IF(ISERROR(VLOOKUP($T$1517,'TAR FIN'!$A$1:$O$99,15,0)),0,VLOOKUP($T$1517,'TAR FIN'!$A$1:$O$99,15,0))</f>
        <v>268.14</v>
      </c>
      <c r="X1517" s="4">
        <f>IF(ISERROR(VLOOKUP($U$1517,'TAR FIN'!$A$1:$O$99,15,0)),0,VLOOKUP($U$1517,'TAR FIN'!$A$1:$O$99,15,0))</f>
        <v>193.58</v>
      </c>
      <c r="Y1517" s="4"/>
      <c r="Z1517" s="4">
        <f ca="1">('TUSD BE'!$AM$43+'TUSD BF'!$AM$43+'TUSD CVA'!$AM$43)*(1-CUSTOS!$M$38)</f>
        <v>339.74521806585051</v>
      </c>
      <c r="AA1517" s="4">
        <f>('TE BE'!$AA$25+'TE BF'!$AA$25+'TE CVA'!$AA$25)*(1-CUSTOS!$M$38)</f>
        <v>254.87076330352861</v>
      </c>
      <c r="AB1517" s="4">
        <f>$K$1517*$V$1517</f>
        <v>0</v>
      </c>
      <c r="AC1517" s="4">
        <f>$M$1517*$W$1517</f>
        <v>26.814</v>
      </c>
      <c r="AD1517" s="4">
        <f>$O$1517*$X$1517</f>
        <v>19.358000000000004</v>
      </c>
      <c r="AE1517" s="4">
        <f>$K$1517*$Y$1517</f>
        <v>0</v>
      </c>
      <c r="AF1517" s="4">
        <f ca="1">$M$1517*$Z$1517</f>
        <v>33.974521806585052</v>
      </c>
      <c r="AG1517" s="4">
        <f>$O$1517*$AA$1517</f>
        <v>25.487076330352863</v>
      </c>
    </row>
    <row r="1518" spans="1:33" ht="11.25" customHeight="1" x14ac:dyDescent="0.25">
      <c r="A1518" s="3" t="s">
        <v>21</v>
      </c>
      <c r="B1518" s="3" t="s">
        <v>44</v>
      </c>
      <c r="C1518" s="3" t="s">
        <v>37</v>
      </c>
      <c r="D1518" s="3" t="s">
        <v>45</v>
      </c>
      <c r="E1518" s="3" t="s">
        <v>25</v>
      </c>
      <c r="F1518" s="3" t="s">
        <v>25</v>
      </c>
      <c r="G1518" s="3" t="s">
        <v>25</v>
      </c>
      <c r="H1518" s="3" t="s">
        <v>36</v>
      </c>
      <c r="I1518" s="6">
        <v>44470</v>
      </c>
      <c r="J1518" s="4">
        <v>0</v>
      </c>
      <c r="K1518" s="4">
        <v>0</v>
      </c>
      <c r="L1518" s="4">
        <v>1.0640000000000001</v>
      </c>
      <c r="M1518" s="4">
        <v>1.0640000000000001</v>
      </c>
      <c r="N1518" s="4">
        <v>1.0640000000000001</v>
      </c>
      <c r="O1518" s="4">
        <v>1.0640000000000001</v>
      </c>
      <c r="P1518" s="4">
        <v>0</v>
      </c>
      <c r="Q1518" s="3" t="s">
        <v>26</v>
      </c>
      <c r="R1518" s="3">
        <v>0</v>
      </c>
      <c r="S1518" s="4">
        <v>0</v>
      </c>
      <c r="T1518" s="4">
        <v>21</v>
      </c>
      <c r="U1518" s="4">
        <v>61</v>
      </c>
      <c r="V1518" s="4">
        <f>IF(ISERROR(VLOOKUP($S$1518,'TAR FIN'!$A$1:$O$99,15,0)),0,VLOOKUP($S$1518,'TAR FIN'!$A$1:$O$99,15,0))</f>
        <v>0</v>
      </c>
      <c r="W1518" s="4">
        <f>IF(ISERROR(VLOOKUP($T$1518,'TAR FIN'!$A$1:$O$99,15,0)),0,VLOOKUP($T$1518,'TAR FIN'!$A$1:$O$99,15,0))</f>
        <v>268.14</v>
      </c>
      <c r="X1518" s="4">
        <f>IF(ISERROR(VLOOKUP($U$1518,'TAR FIN'!$A$1:$O$99,15,0)),0,VLOOKUP($U$1518,'TAR FIN'!$A$1:$O$99,15,0))</f>
        <v>193.58</v>
      </c>
      <c r="Y1518" s="4"/>
      <c r="Z1518" s="4">
        <f ca="1">('TUSD BE'!$AM$43+'TUSD BF'!$AM$43+'TUSD CVA'!$AM$43)*(1-CUSTOS!$M$38)</f>
        <v>339.74521806585051</v>
      </c>
      <c r="AA1518" s="4">
        <f>('TE BE'!$AA$25+'TE BF'!$AA$25+'TE CVA'!$AA$25)*(1-CUSTOS!$M$38)</f>
        <v>254.87076330352861</v>
      </c>
      <c r="AB1518" s="4">
        <f>$K$1518*$V$1518</f>
        <v>0</v>
      </c>
      <c r="AC1518" s="4">
        <f>$M$1518*$W$1518</f>
        <v>285.30095999999998</v>
      </c>
      <c r="AD1518" s="4">
        <f>$O$1518*$X$1518</f>
        <v>205.96912000000003</v>
      </c>
      <c r="AE1518" s="4">
        <f>$K$1518*$Y$1518</f>
        <v>0</v>
      </c>
      <c r="AF1518" s="4">
        <f ca="1">$M$1518*$Z$1518</f>
        <v>361.48891202206494</v>
      </c>
      <c r="AG1518" s="4">
        <f>$O$1518*$AA$1518</f>
        <v>271.18249215495445</v>
      </c>
    </row>
    <row r="1519" spans="1:33" ht="11.25" customHeight="1" x14ac:dyDescent="0.25">
      <c r="A1519" s="3" t="s">
        <v>21</v>
      </c>
      <c r="B1519" s="3" t="s">
        <v>44</v>
      </c>
      <c r="C1519" s="3" t="s">
        <v>37</v>
      </c>
      <c r="D1519" s="3" t="s">
        <v>45</v>
      </c>
      <c r="E1519" s="3" t="s">
        <v>25</v>
      </c>
      <c r="F1519" s="3" t="s">
        <v>25</v>
      </c>
      <c r="G1519" s="3" t="s">
        <v>25</v>
      </c>
      <c r="H1519" s="3" t="s">
        <v>36</v>
      </c>
      <c r="I1519" s="6">
        <v>44501</v>
      </c>
      <c r="J1519" s="4">
        <v>0</v>
      </c>
      <c r="K1519" s="4">
        <v>0</v>
      </c>
      <c r="L1519" s="4">
        <v>1.5489999999999999</v>
      </c>
      <c r="M1519" s="4">
        <v>1.5489999999999999</v>
      </c>
      <c r="N1519" s="4">
        <v>1.5489999999999999</v>
      </c>
      <c r="O1519" s="4">
        <v>1.5489999999999999</v>
      </c>
      <c r="P1519" s="4">
        <v>0</v>
      </c>
      <c r="Q1519" s="3" t="s">
        <v>26</v>
      </c>
      <c r="R1519" s="3">
        <v>0</v>
      </c>
      <c r="S1519" s="4">
        <v>0</v>
      </c>
      <c r="T1519" s="4">
        <v>21</v>
      </c>
      <c r="U1519" s="4">
        <v>61</v>
      </c>
      <c r="V1519" s="4">
        <f>IF(ISERROR(VLOOKUP($S$1519,'TAR FIN'!$A$1:$O$99,15,0)),0,VLOOKUP($S$1519,'TAR FIN'!$A$1:$O$99,15,0))</f>
        <v>0</v>
      </c>
      <c r="W1519" s="4">
        <f>IF(ISERROR(VLOOKUP($T$1519,'TAR FIN'!$A$1:$O$99,15,0)),0,VLOOKUP($T$1519,'TAR FIN'!$A$1:$O$99,15,0))</f>
        <v>268.14</v>
      </c>
      <c r="X1519" s="4">
        <f>IF(ISERROR(VLOOKUP($U$1519,'TAR FIN'!$A$1:$O$99,15,0)),0,VLOOKUP($U$1519,'TAR FIN'!$A$1:$O$99,15,0))</f>
        <v>193.58</v>
      </c>
      <c r="Y1519" s="4"/>
      <c r="Z1519" s="4">
        <f ca="1">('TUSD BE'!$AM$43+'TUSD BF'!$AM$43+'TUSD CVA'!$AM$43)*(1-CUSTOS!$M$38)</f>
        <v>339.74521806585051</v>
      </c>
      <c r="AA1519" s="4">
        <f>('TE BE'!$AA$25+'TE BF'!$AA$25+'TE CVA'!$AA$25)*(1-CUSTOS!$M$38)</f>
        <v>254.87076330352861</v>
      </c>
      <c r="AB1519" s="4">
        <f>$K$1519*$V$1519</f>
        <v>0</v>
      </c>
      <c r="AC1519" s="4">
        <f>$M$1519*$W$1519</f>
        <v>415.34885999999995</v>
      </c>
      <c r="AD1519" s="4">
        <f>$O$1519*$X$1519</f>
        <v>299.85541999999998</v>
      </c>
      <c r="AE1519" s="4">
        <f>$K$1519*$Y$1519</f>
        <v>0</v>
      </c>
      <c r="AF1519" s="4">
        <f ca="1">$M$1519*$Z$1519</f>
        <v>526.26534278400243</v>
      </c>
      <c r="AG1519" s="4">
        <f>$O$1519*$AA$1519</f>
        <v>394.79481235716577</v>
      </c>
    </row>
    <row r="1520" spans="1:33" ht="11.25" customHeight="1" x14ac:dyDescent="0.25">
      <c r="A1520" s="3" t="s">
        <v>21</v>
      </c>
      <c r="B1520" s="3" t="s">
        <v>44</v>
      </c>
      <c r="C1520" s="3" t="s">
        <v>37</v>
      </c>
      <c r="D1520" s="3" t="s">
        <v>45</v>
      </c>
      <c r="E1520" s="3" t="s">
        <v>25</v>
      </c>
      <c r="F1520" s="3" t="s">
        <v>25</v>
      </c>
      <c r="G1520" s="3" t="s">
        <v>25</v>
      </c>
      <c r="H1520" s="3" t="s">
        <v>36</v>
      </c>
      <c r="I1520" s="6">
        <v>44531</v>
      </c>
      <c r="J1520" s="4">
        <v>0</v>
      </c>
      <c r="K1520" s="4">
        <v>0</v>
      </c>
      <c r="L1520" s="4">
        <v>1.798</v>
      </c>
      <c r="M1520" s="4">
        <v>1.798</v>
      </c>
      <c r="N1520" s="4">
        <v>1.798</v>
      </c>
      <c r="O1520" s="4">
        <v>1.798</v>
      </c>
      <c r="P1520" s="4">
        <v>0</v>
      </c>
      <c r="Q1520" s="3" t="s">
        <v>26</v>
      </c>
      <c r="R1520" s="3">
        <v>0</v>
      </c>
      <c r="S1520" s="4">
        <v>0</v>
      </c>
      <c r="T1520" s="4">
        <v>21</v>
      </c>
      <c r="U1520" s="4">
        <v>61</v>
      </c>
      <c r="V1520" s="4">
        <f>IF(ISERROR(VLOOKUP($S$1520,'TAR FIN'!$A$1:$O$99,15,0)),0,VLOOKUP($S$1520,'TAR FIN'!$A$1:$O$99,15,0))</f>
        <v>0</v>
      </c>
      <c r="W1520" s="4">
        <f>IF(ISERROR(VLOOKUP($T$1520,'TAR FIN'!$A$1:$O$99,15,0)),0,VLOOKUP($T$1520,'TAR FIN'!$A$1:$O$99,15,0))</f>
        <v>268.14</v>
      </c>
      <c r="X1520" s="4">
        <f>IF(ISERROR(VLOOKUP($U$1520,'TAR FIN'!$A$1:$O$99,15,0)),0,VLOOKUP($U$1520,'TAR FIN'!$A$1:$O$99,15,0))</f>
        <v>193.58</v>
      </c>
      <c r="Y1520" s="4"/>
      <c r="Z1520" s="4">
        <f ca="1">('TUSD BE'!$AM$43+'TUSD BF'!$AM$43+'TUSD CVA'!$AM$43)*(1-CUSTOS!$M$38)</f>
        <v>339.74521806585051</v>
      </c>
      <c r="AA1520" s="4">
        <f>('TE BE'!$AA$25+'TE BF'!$AA$25+'TE CVA'!$AA$25)*(1-CUSTOS!$M$38)</f>
        <v>254.87076330352861</v>
      </c>
      <c r="AB1520" s="4">
        <f>$K$1520*$V$1520</f>
        <v>0</v>
      </c>
      <c r="AC1520" s="4">
        <f>$M$1520*$W$1520</f>
        <v>482.11572000000001</v>
      </c>
      <c r="AD1520" s="4">
        <f>$O$1520*$X$1520</f>
        <v>348.05684000000002</v>
      </c>
      <c r="AE1520" s="4">
        <f>$K$1520*$Y$1520</f>
        <v>0</v>
      </c>
      <c r="AF1520" s="4">
        <f ca="1">$M$1520*$Z$1520</f>
        <v>610.86190208239918</v>
      </c>
      <c r="AG1520" s="4">
        <f>$O$1520*$AA$1520</f>
        <v>458.25763241974443</v>
      </c>
    </row>
    <row r="1521" spans="1:33" ht="11.25" customHeight="1" x14ac:dyDescent="0.25">
      <c r="A1521" s="3" t="s">
        <v>21</v>
      </c>
      <c r="B1521" s="3" t="s">
        <v>44</v>
      </c>
      <c r="C1521" s="3" t="s">
        <v>37</v>
      </c>
      <c r="D1521" s="3" t="s">
        <v>45</v>
      </c>
      <c r="E1521" s="3" t="s">
        <v>25</v>
      </c>
      <c r="F1521" s="3" t="s">
        <v>25</v>
      </c>
      <c r="G1521" s="3" t="s">
        <v>25</v>
      </c>
      <c r="H1521" s="3" t="s">
        <v>36</v>
      </c>
      <c r="I1521" s="6">
        <v>44562</v>
      </c>
      <c r="J1521" s="4">
        <v>0</v>
      </c>
      <c r="K1521" s="4">
        <v>0</v>
      </c>
      <c r="L1521" s="4">
        <v>0.55000000000000004</v>
      </c>
      <c r="M1521" s="4">
        <v>0.55000000000000004</v>
      </c>
      <c r="N1521" s="4">
        <v>0.55000000000000004</v>
      </c>
      <c r="O1521" s="4">
        <v>0.55000000000000004</v>
      </c>
      <c r="P1521" s="4">
        <v>0</v>
      </c>
      <c r="Q1521" s="3" t="s">
        <v>26</v>
      </c>
      <c r="R1521" s="3">
        <v>0</v>
      </c>
      <c r="S1521" s="4">
        <v>0</v>
      </c>
      <c r="T1521" s="4">
        <v>21</v>
      </c>
      <c r="U1521" s="4">
        <v>61</v>
      </c>
      <c r="V1521" s="4">
        <f>IF(ISERROR(VLOOKUP($S$1521,'TAR FIN'!$A$1:$O$99,15,0)),0,VLOOKUP($S$1521,'TAR FIN'!$A$1:$O$99,15,0))</f>
        <v>0</v>
      </c>
      <c r="W1521" s="4">
        <f>IF(ISERROR(VLOOKUP($T$1521,'TAR FIN'!$A$1:$O$99,15,0)),0,VLOOKUP($T$1521,'TAR FIN'!$A$1:$O$99,15,0))</f>
        <v>268.14</v>
      </c>
      <c r="X1521" s="4">
        <f>IF(ISERROR(VLOOKUP($U$1521,'TAR FIN'!$A$1:$O$99,15,0)),0,VLOOKUP($U$1521,'TAR FIN'!$A$1:$O$99,15,0))</f>
        <v>193.58</v>
      </c>
      <c r="Y1521" s="4"/>
      <c r="Z1521" s="4">
        <f ca="1">('TUSD BE'!$AM$43+'TUSD BF'!$AM$43+'TUSD CVA'!$AM$43)*(1-CUSTOS!$M$38)</f>
        <v>339.74521806585051</v>
      </c>
      <c r="AA1521" s="4">
        <f>('TE BE'!$AA$25+'TE BF'!$AA$25+'TE CVA'!$AA$25)*(1-CUSTOS!$M$38)</f>
        <v>254.87076330352861</v>
      </c>
      <c r="AB1521" s="4">
        <f>$K$1521*$V$1521</f>
        <v>0</v>
      </c>
      <c r="AC1521" s="4">
        <f>$M$1521*$W$1521</f>
        <v>147.477</v>
      </c>
      <c r="AD1521" s="4">
        <f>$O$1521*$X$1521</f>
        <v>106.46900000000002</v>
      </c>
      <c r="AE1521" s="4">
        <f>$K$1521*$Y$1521</f>
        <v>0</v>
      </c>
      <c r="AF1521" s="4">
        <f ca="1">$M$1521*$Z$1521</f>
        <v>186.85986993621779</v>
      </c>
      <c r="AG1521" s="4">
        <f>$O$1521*$AA$1521</f>
        <v>140.17891981694075</v>
      </c>
    </row>
    <row r="1522" spans="1:33" ht="11.25" customHeight="1" x14ac:dyDescent="0.25">
      <c r="A1522" s="3" t="s">
        <v>21</v>
      </c>
      <c r="B1522" s="3" t="s">
        <v>44</v>
      </c>
      <c r="C1522" s="3" t="s">
        <v>37</v>
      </c>
      <c r="D1522" s="3" t="s">
        <v>45</v>
      </c>
      <c r="E1522" s="3" t="s">
        <v>25</v>
      </c>
      <c r="F1522" s="3" t="s">
        <v>25</v>
      </c>
      <c r="G1522" s="3" t="s">
        <v>25</v>
      </c>
      <c r="H1522" s="3" t="s">
        <v>36</v>
      </c>
      <c r="I1522" s="6">
        <v>44593</v>
      </c>
      <c r="J1522" s="4">
        <v>0</v>
      </c>
      <c r="K1522" s="4">
        <v>0</v>
      </c>
      <c r="L1522" s="4">
        <v>0.38300000000000001</v>
      </c>
      <c r="M1522" s="4">
        <v>0.38300000000000001</v>
      </c>
      <c r="N1522" s="4">
        <v>0.38300000000000001</v>
      </c>
      <c r="O1522" s="4">
        <v>0.38300000000000001</v>
      </c>
      <c r="P1522" s="4">
        <v>0</v>
      </c>
      <c r="Q1522" s="3" t="s">
        <v>26</v>
      </c>
      <c r="R1522" s="3">
        <v>0</v>
      </c>
      <c r="S1522" s="4">
        <v>0</v>
      </c>
      <c r="T1522" s="4">
        <v>21</v>
      </c>
      <c r="U1522" s="4">
        <v>61</v>
      </c>
      <c r="V1522" s="4">
        <f>IF(ISERROR(VLOOKUP($S$1522,'TAR FIN'!$A$1:$O$99,15,0)),0,VLOOKUP($S$1522,'TAR FIN'!$A$1:$O$99,15,0))</f>
        <v>0</v>
      </c>
      <c r="W1522" s="4">
        <f>IF(ISERROR(VLOOKUP($T$1522,'TAR FIN'!$A$1:$O$99,15,0)),0,VLOOKUP($T$1522,'TAR FIN'!$A$1:$O$99,15,0))</f>
        <v>268.14</v>
      </c>
      <c r="X1522" s="4">
        <f>IF(ISERROR(VLOOKUP($U$1522,'TAR FIN'!$A$1:$O$99,15,0)),0,VLOOKUP($U$1522,'TAR FIN'!$A$1:$O$99,15,0))</f>
        <v>193.58</v>
      </c>
      <c r="Y1522" s="4"/>
      <c r="Z1522" s="4">
        <f ca="1">('TUSD BE'!$AM$43+'TUSD BF'!$AM$43+'TUSD CVA'!$AM$43)*(1-CUSTOS!$M$38)</f>
        <v>339.74521806585051</v>
      </c>
      <c r="AA1522" s="4">
        <f>('TE BE'!$AA$25+'TE BF'!$AA$25+'TE CVA'!$AA$25)*(1-CUSTOS!$M$38)</f>
        <v>254.87076330352861</v>
      </c>
      <c r="AB1522" s="4">
        <f>$K$1522*$V$1522</f>
        <v>0</v>
      </c>
      <c r="AC1522" s="4">
        <f>$M$1522*$W$1522</f>
        <v>102.69762</v>
      </c>
      <c r="AD1522" s="4">
        <f>$O$1522*$X$1522</f>
        <v>74.141140000000007</v>
      </c>
      <c r="AE1522" s="4">
        <f>$K$1522*$Y$1522</f>
        <v>0</v>
      </c>
      <c r="AF1522" s="4">
        <f ca="1">$M$1522*$Z$1522</f>
        <v>130.12241851922076</v>
      </c>
      <c r="AG1522" s="4">
        <f>$O$1522*$AA$1522</f>
        <v>97.615502345251457</v>
      </c>
    </row>
    <row r="1523" spans="1:33" ht="11.25" customHeight="1" x14ac:dyDescent="0.25">
      <c r="A1523" s="3" t="s">
        <v>21</v>
      </c>
      <c r="B1523" s="3" t="s">
        <v>44</v>
      </c>
      <c r="C1523" s="3" t="s">
        <v>37</v>
      </c>
      <c r="D1523" s="3" t="s">
        <v>45</v>
      </c>
      <c r="E1523" s="3" t="s">
        <v>25</v>
      </c>
      <c r="F1523" s="3" t="s">
        <v>25</v>
      </c>
      <c r="G1523" s="3" t="s">
        <v>25</v>
      </c>
      <c r="H1523" s="3" t="s">
        <v>36</v>
      </c>
      <c r="I1523" s="6">
        <v>44621</v>
      </c>
      <c r="J1523" s="4">
        <v>0</v>
      </c>
      <c r="K1523" s="4">
        <v>0</v>
      </c>
      <c r="L1523" s="4">
        <v>1.01</v>
      </c>
      <c r="M1523" s="4">
        <v>1.01</v>
      </c>
      <c r="N1523" s="4">
        <v>1.01</v>
      </c>
      <c r="O1523" s="4">
        <v>1.01</v>
      </c>
      <c r="P1523" s="4">
        <v>0</v>
      </c>
      <c r="Q1523" s="3" t="s">
        <v>26</v>
      </c>
      <c r="R1523" s="3">
        <v>0</v>
      </c>
      <c r="S1523" s="4">
        <v>0</v>
      </c>
      <c r="T1523" s="4">
        <v>21</v>
      </c>
      <c r="U1523" s="4">
        <v>61</v>
      </c>
      <c r="V1523" s="4">
        <f>IF(ISERROR(VLOOKUP($S$1523,'TAR FIN'!$A$1:$O$99,15,0)),0,VLOOKUP($S$1523,'TAR FIN'!$A$1:$O$99,15,0))</f>
        <v>0</v>
      </c>
      <c r="W1523" s="4">
        <f>IF(ISERROR(VLOOKUP($T$1523,'TAR FIN'!$A$1:$O$99,15,0)),0,VLOOKUP($T$1523,'TAR FIN'!$A$1:$O$99,15,0))</f>
        <v>268.14</v>
      </c>
      <c r="X1523" s="4">
        <f>IF(ISERROR(VLOOKUP($U$1523,'TAR FIN'!$A$1:$O$99,15,0)),0,VLOOKUP($U$1523,'TAR FIN'!$A$1:$O$99,15,0))</f>
        <v>193.58</v>
      </c>
      <c r="Y1523" s="4"/>
      <c r="Z1523" s="4">
        <f ca="1">('TUSD BE'!$AM$43+'TUSD BF'!$AM$43+'TUSD CVA'!$AM$43)*(1-CUSTOS!$M$38)</f>
        <v>339.74521806585051</v>
      </c>
      <c r="AA1523" s="4">
        <f>('TE BE'!$AA$25+'TE BF'!$AA$25+'TE CVA'!$AA$25)*(1-CUSTOS!$M$38)</f>
        <v>254.87076330352861</v>
      </c>
      <c r="AB1523" s="4">
        <f>$K$1523*$V$1523</f>
        <v>0</v>
      </c>
      <c r="AC1523" s="4">
        <f>$M$1523*$W$1523</f>
        <v>270.82139999999998</v>
      </c>
      <c r="AD1523" s="4">
        <f>$O$1523*$X$1523</f>
        <v>195.51580000000001</v>
      </c>
      <c r="AE1523" s="4">
        <f>$K$1523*$Y$1523</f>
        <v>0</v>
      </c>
      <c r="AF1523" s="4">
        <f ca="1">$M$1523*$Z$1523</f>
        <v>343.142670246509</v>
      </c>
      <c r="AG1523" s="4">
        <f>$O$1523*$AA$1523</f>
        <v>257.41947093656387</v>
      </c>
    </row>
    <row r="1524" spans="1:33" ht="11.25" customHeight="1" x14ac:dyDescent="0.25">
      <c r="A1524" s="3" t="s">
        <v>56</v>
      </c>
      <c r="B1524" s="3" t="s">
        <v>44</v>
      </c>
      <c r="C1524" s="3" t="s">
        <v>37</v>
      </c>
      <c r="D1524" s="3" t="s">
        <v>45</v>
      </c>
      <c r="E1524" s="3" t="s">
        <v>25</v>
      </c>
      <c r="F1524" s="3" t="s">
        <v>25</v>
      </c>
      <c r="G1524" s="3" t="s">
        <v>25</v>
      </c>
      <c r="H1524" s="3" t="s">
        <v>36</v>
      </c>
      <c r="I1524" s="6">
        <v>44652</v>
      </c>
      <c r="J1524" s="4">
        <v>0</v>
      </c>
      <c r="K1524" s="4">
        <v>0</v>
      </c>
      <c r="L1524" s="4">
        <v>1.01</v>
      </c>
      <c r="M1524" s="4">
        <v>1.01</v>
      </c>
      <c r="N1524" s="4">
        <v>1.01</v>
      </c>
      <c r="O1524" s="4">
        <v>1.01</v>
      </c>
      <c r="P1524" s="4">
        <v>0</v>
      </c>
      <c r="Q1524" s="3" t="s">
        <v>26</v>
      </c>
      <c r="R1524" s="3">
        <v>0</v>
      </c>
      <c r="S1524" s="4">
        <v>0</v>
      </c>
      <c r="T1524" s="4">
        <v>21</v>
      </c>
      <c r="U1524" s="4">
        <v>61</v>
      </c>
      <c r="V1524" s="4">
        <f>IF(ISERROR(VLOOKUP($S$1524,'TAR FIN'!$A$1:$O$99,15,0)),0,VLOOKUP($S$1524,'TAR FIN'!$A$1:$O$99,15,0))</f>
        <v>0</v>
      </c>
      <c r="W1524" s="4">
        <f>IF(ISERROR(VLOOKUP($T$1524,'TAR FIN'!$A$1:$O$99,15,0)),0,VLOOKUP($T$1524,'TAR FIN'!$A$1:$O$99,15,0))</f>
        <v>268.14</v>
      </c>
      <c r="X1524" s="4">
        <f>IF(ISERROR(VLOOKUP($U$1524,'TAR FIN'!$A$1:$O$99,15,0)),0,VLOOKUP($U$1524,'TAR FIN'!$A$1:$O$99,15,0))</f>
        <v>193.58</v>
      </c>
      <c r="Y1524" s="4"/>
      <c r="Z1524" s="4">
        <f ca="1">('TUSD BE'!$AM$43+'TUSD BF'!$AM$43+'TUSD CVA'!$AM$43)*(1-CUSTOS!$M$38)</f>
        <v>339.74521806585051</v>
      </c>
      <c r="AA1524" s="4">
        <f>('TE BE'!$AA$25+'TE BF'!$AA$25+'TE CVA'!$AA$25)*(1-CUSTOS!$M$38)</f>
        <v>254.87076330352861</v>
      </c>
      <c r="AB1524" s="4">
        <f>$K$1524*$V$1524</f>
        <v>0</v>
      </c>
      <c r="AC1524" s="4">
        <f>$M$1524*$W$1524</f>
        <v>270.82139999999998</v>
      </c>
      <c r="AD1524" s="4">
        <f>$O$1524*$X$1524</f>
        <v>195.51580000000001</v>
      </c>
      <c r="AE1524" s="4">
        <f>$K$1524*$Y$1524</f>
        <v>0</v>
      </c>
      <c r="AF1524" s="4">
        <f ca="1">$M$1524*$Z$1524</f>
        <v>343.142670246509</v>
      </c>
      <c r="AG1524" s="4">
        <f>$O$1524*$AA$1524</f>
        <v>257.41947093656387</v>
      </c>
    </row>
    <row r="1525" spans="1:33" ht="11.25" customHeight="1" x14ac:dyDescent="0.25">
      <c r="A1525" s="3" t="s">
        <v>21</v>
      </c>
      <c r="B1525" s="3" t="s">
        <v>44</v>
      </c>
      <c r="C1525" s="3" t="s">
        <v>37</v>
      </c>
      <c r="D1525" s="3" t="s">
        <v>45</v>
      </c>
      <c r="E1525" s="3" t="s">
        <v>25</v>
      </c>
      <c r="F1525" s="3" t="s">
        <v>25</v>
      </c>
      <c r="G1525" s="3" t="s">
        <v>25</v>
      </c>
      <c r="H1525" s="3" t="s">
        <v>38</v>
      </c>
      <c r="I1525" s="6">
        <v>44317</v>
      </c>
      <c r="J1525" s="4">
        <v>0</v>
      </c>
      <c r="K1525" s="4">
        <v>0</v>
      </c>
      <c r="L1525" s="4">
        <v>6.0000000000000001E-3</v>
      </c>
      <c r="M1525" s="4">
        <v>6.0000000000000001E-3</v>
      </c>
      <c r="N1525" s="4">
        <v>6.0000000000000001E-3</v>
      </c>
      <c r="O1525" s="4">
        <v>6.0000000000000001E-3</v>
      </c>
      <c r="P1525" s="4">
        <v>0</v>
      </c>
      <c r="Q1525" s="3" t="s">
        <v>26</v>
      </c>
      <c r="R1525" s="3">
        <v>0</v>
      </c>
      <c r="S1525" s="4">
        <v>0</v>
      </c>
      <c r="T1525" s="4">
        <v>20</v>
      </c>
      <c r="U1525" s="4">
        <v>60</v>
      </c>
      <c r="V1525" s="4">
        <f>IF(ISERROR(VLOOKUP($S$1525,'TAR FIN'!$A$1:$O$99,15,0)),0,VLOOKUP($S$1525,'TAR FIN'!$A$1:$O$99,15,0))</f>
        <v>0</v>
      </c>
      <c r="W1525" s="4">
        <f>IF(ISERROR(VLOOKUP($T$1525,'TAR FIN'!$A$1:$O$99,15,0)),0,VLOOKUP($T$1525,'TAR FIN'!$A$1:$O$99,15,0))</f>
        <v>578.61</v>
      </c>
      <c r="X1525" s="4">
        <f>IF(ISERROR(VLOOKUP($U$1525,'TAR FIN'!$A$1:$O$99,15,0)),0,VLOOKUP($U$1525,'TAR FIN'!$A$1:$O$99,15,0))</f>
        <v>193.58</v>
      </c>
      <c r="Y1525" s="4"/>
      <c r="Z1525" s="4">
        <f ca="1">('TUSD BE'!$AM$42+'TUSD BF'!$AM$42+'TUSD CVA'!$AM$42)*(1-CUSTOS!$M$38)</f>
        <v>723.62147717195421</v>
      </c>
      <c r="AA1525" s="4">
        <f>('TE BE'!$AA$24+'TE BF'!$AA$24+'TE CVA'!$AA$24)*(1-CUSTOS!$M$38)</f>
        <v>254.87076330352861</v>
      </c>
      <c r="AB1525" s="4">
        <f>$K$1525*$V$1525</f>
        <v>0</v>
      </c>
      <c r="AC1525" s="4">
        <f>$M$1525*$W$1525</f>
        <v>3.47166</v>
      </c>
      <c r="AD1525" s="4">
        <f>$O$1525*$X$1525</f>
        <v>1.1614800000000001</v>
      </c>
      <c r="AE1525" s="4">
        <f>$K$1525*$Y$1525</f>
        <v>0</v>
      </c>
      <c r="AF1525" s="4">
        <f ca="1">$M$1525*$Z$1525</f>
        <v>4.341728863031725</v>
      </c>
      <c r="AG1525" s="4">
        <f>$O$1525*$AA$1525</f>
        <v>1.5292245798211717</v>
      </c>
    </row>
    <row r="1526" spans="1:33" ht="11.25" customHeight="1" x14ac:dyDescent="0.25">
      <c r="A1526" s="3" t="s">
        <v>21</v>
      </c>
      <c r="B1526" s="3" t="s">
        <v>44</v>
      </c>
      <c r="C1526" s="3" t="s">
        <v>37</v>
      </c>
      <c r="D1526" s="3" t="s">
        <v>45</v>
      </c>
      <c r="E1526" s="3" t="s">
        <v>25</v>
      </c>
      <c r="F1526" s="3" t="s">
        <v>25</v>
      </c>
      <c r="G1526" s="3" t="s">
        <v>25</v>
      </c>
      <c r="H1526" s="3" t="s">
        <v>38</v>
      </c>
      <c r="I1526" s="6">
        <v>44470</v>
      </c>
      <c r="J1526" s="4">
        <v>0</v>
      </c>
      <c r="K1526" s="4">
        <v>0</v>
      </c>
      <c r="L1526" s="4">
        <v>4.0000000000000001E-3</v>
      </c>
      <c r="M1526" s="4">
        <v>4.0000000000000001E-3</v>
      </c>
      <c r="N1526" s="4">
        <v>4.0000000000000001E-3</v>
      </c>
      <c r="O1526" s="4">
        <v>4.0000000000000001E-3</v>
      </c>
      <c r="P1526" s="4">
        <v>0</v>
      </c>
      <c r="Q1526" s="3" t="s">
        <v>26</v>
      </c>
      <c r="R1526" s="3">
        <v>0</v>
      </c>
      <c r="S1526" s="4">
        <v>0</v>
      </c>
      <c r="T1526" s="4">
        <v>20</v>
      </c>
      <c r="U1526" s="4">
        <v>60</v>
      </c>
      <c r="V1526" s="4">
        <f>IF(ISERROR(VLOOKUP($S$1526,'TAR FIN'!$A$1:$O$99,15,0)),0,VLOOKUP($S$1526,'TAR FIN'!$A$1:$O$99,15,0))</f>
        <v>0</v>
      </c>
      <c r="W1526" s="4">
        <f>IF(ISERROR(VLOOKUP($T$1526,'TAR FIN'!$A$1:$O$99,15,0)),0,VLOOKUP($T$1526,'TAR FIN'!$A$1:$O$99,15,0))</f>
        <v>578.61</v>
      </c>
      <c r="X1526" s="4">
        <f>IF(ISERROR(VLOOKUP($U$1526,'TAR FIN'!$A$1:$O$99,15,0)),0,VLOOKUP($U$1526,'TAR FIN'!$A$1:$O$99,15,0))</f>
        <v>193.58</v>
      </c>
      <c r="Y1526" s="4"/>
      <c r="Z1526" s="4">
        <f ca="1">('TUSD BE'!$AM$42+'TUSD BF'!$AM$42+'TUSD CVA'!$AM$42)*(1-CUSTOS!$M$38)</f>
        <v>723.62147717195421</v>
      </c>
      <c r="AA1526" s="4">
        <f>('TE BE'!$AA$24+'TE BF'!$AA$24+'TE CVA'!$AA$24)*(1-CUSTOS!$M$38)</f>
        <v>254.87076330352861</v>
      </c>
      <c r="AB1526" s="4">
        <f>$K$1526*$V$1526</f>
        <v>0</v>
      </c>
      <c r="AC1526" s="4">
        <f>$M$1526*$W$1526</f>
        <v>2.3144400000000003</v>
      </c>
      <c r="AD1526" s="4">
        <f>$O$1526*$X$1526</f>
        <v>0.77432000000000012</v>
      </c>
      <c r="AE1526" s="4">
        <f>$K$1526*$Y$1526</f>
        <v>0</v>
      </c>
      <c r="AF1526" s="4">
        <f ca="1">$M$1526*$Z$1526</f>
        <v>2.894485908687817</v>
      </c>
      <c r="AG1526" s="4">
        <f>$O$1526*$AA$1526</f>
        <v>1.0194830532141144</v>
      </c>
    </row>
    <row r="1527" spans="1:33" ht="11.25" customHeight="1" x14ac:dyDescent="0.25">
      <c r="A1527" s="3" t="s">
        <v>21</v>
      </c>
      <c r="B1527" s="3" t="s">
        <v>44</v>
      </c>
      <c r="C1527" s="3" t="s">
        <v>37</v>
      </c>
      <c r="D1527" s="3" t="s">
        <v>45</v>
      </c>
      <c r="E1527" s="3" t="s">
        <v>25</v>
      </c>
      <c r="F1527" s="3" t="s">
        <v>25</v>
      </c>
      <c r="G1527" s="3" t="s">
        <v>25</v>
      </c>
      <c r="H1527" s="3" t="s">
        <v>38</v>
      </c>
      <c r="I1527" s="6">
        <v>44501</v>
      </c>
      <c r="J1527" s="4">
        <v>0</v>
      </c>
      <c r="K1527" s="4">
        <v>0</v>
      </c>
      <c r="L1527" s="4">
        <v>1.2999999999999999E-2</v>
      </c>
      <c r="M1527" s="4">
        <v>1.2999999999999999E-2</v>
      </c>
      <c r="N1527" s="4">
        <v>1.2999999999999999E-2</v>
      </c>
      <c r="O1527" s="4">
        <v>1.2999999999999999E-2</v>
      </c>
      <c r="P1527" s="4">
        <v>0</v>
      </c>
      <c r="Q1527" s="3" t="s">
        <v>26</v>
      </c>
      <c r="R1527" s="3">
        <v>0</v>
      </c>
      <c r="S1527" s="4">
        <v>0</v>
      </c>
      <c r="T1527" s="4">
        <v>20</v>
      </c>
      <c r="U1527" s="4">
        <v>60</v>
      </c>
      <c r="V1527" s="4">
        <f>IF(ISERROR(VLOOKUP($S$1527,'TAR FIN'!$A$1:$O$99,15,0)),0,VLOOKUP($S$1527,'TAR FIN'!$A$1:$O$99,15,0))</f>
        <v>0</v>
      </c>
      <c r="W1527" s="4">
        <f>IF(ISERROR(VLOOKUP($T$1527,'TAR FIN'!$A$1:$O$99,15,0)),0,VLOOKUP($T$1527,'TAR FIN'!$A$1:$O$99,15,0))</f>
        <v>578.61</v>
      </c>
      <c r="X1527" s="4">
        <f>IF(ISERROR(VLOOKUP($U$1527,'TAR FIN'!$A$1:$O$99,15,0)),0,VLOOKUP($U$1527,'TAR FIN'!$A$1:$O$99,15,0))</f>
        <v>193.58</v>
      </c>
      <c r="Y1527" s="4"/>
      <c r="Z1527" s="4">
        <f ca="1">('TUSD BE'!$AM$42+'TUSD BF'!$AM$42+'TUSD CVA'!$AM$42)*(1-CUSTOS!$M$38)</f>
        <v>723.62147717195421</v>
      </c>
      <c r="AA1527" s="4">
        <f>('TE BE'!$AA$24+'TE BF'!$AA$24+'TE CVA'!$AA$24)*(1-CUSTOS!$M$38)</f>
        <v>254.87076330352861</v>
      </c>
      <c r="AB1527" s="4">
        <f>$K$1527*$V$1527</f>
        <v>0</v>
      </c>
      <c r="AC1527" s="4">
        <f>$M$1527*$W$1527</f>
        <v>7.5219300000000002</v>
      </c>
      <c r="AD1527" s="4">
        <f>$O$1527*$X$1527</f>
        <v>2.51654</v>
      </c>
      <c r="AE1527" s="4">
        <f>$K$1527*$Y$1527</f>
        <v>0</v>
      </c>
      <c r="AF1527" s="4">
        <f ca="1">$M$1527*$Z$1527</f>
        <v>9.4070792032354049</v>
      </c>
      <c r="AG1527" s="4">
        <f>$O$1527*$AA$1527</f>
        <v>3.3133199229458716</v>
      </c>
    </row>
    <row r="1528" spans="1:33" ht="11.25" customHeight="1" x14ac:dyDescent="0.25">
      <c r="A1528" s="3" t="s">
        <v>21</v>
      </c>
      <c r="B1528" s="3" t="s">
        <v>44</v>
      </c>
      <c r="C1528" s="3" t="s">
        <v>37</v>
      </c>
      <c r="D1528" s="3" t="s">
        <v>45</v>
      </c>
      <c r="E1528" s="3" t="s">
        <v>25</v>
      </c>
      <c r="F1528" s="3" t="s">
        <v>25</v>
      </c>
      <c r="G1528" s="3" t="s">
        <v>25</v>
      </c>
      <c r="H1528" s="3" t="s">
        <v>38</v>
      </c>
      <c r="I1528" s="6">
        <v>44531</v>
      </c>
      <c r="J1528" s="4">
        <v>0</v>
      </c>
      <c r="K1528" s="4">
        <v>0</v>
      </c>
      <c r="L1528" s="4">
        <v>6.0000000000000001E-3</v>
      </c>
      <c r="M1528" s="4">
        <v>6.0000000000000001E-3</v>
      </c>
      <c r="N1528" s="4">
        <v>6.0000000000000001E-3</v>
      </c>
      <c r="O1528" s="4">
        <v>6.0000000000000001E-3</v>
      </c>
      <c r="P1528" s="4">
        <v>0</v>
      </c>
      <c r="Q1528" s="3" t="s">
        <v>26</v>
      </c>
      <c r="R1528" s="3">
        <v>0</v>
      </c>
      <c r="S1528" s="4">
        <v>0</v>
      </c>
      <c r="T1528" s="4">
        <v>20</v>
      </c>
      <c r="U1528" s="4">
        <v>60</v>
      </c>
      <c r="V1528" s="4">
        <f>IF(ISERROR(VLOOKUP($S$1528,'TAR FIN'!$A$1:$O$99,15,0)),0,VLOOKUP($S$1528,'TAR FIN'!$A$1:$O$99,15,0))</f>
        <v>0</v>
      </c>
      <c r="W1528" s="4">
        <f>IF(ISERROR(VLOOKUP($T$1528,'TAR FIN'!$A$1:$O$99,15,0)),0,VLOOKUP($T$1528,'TAR FIN'!$A$1:$O$99,15,0))</f>
        <v>578.61</v>
      </c>
      <c r="X1528" s="4">
        <f>IF(ISERROR(VLOOKUP($U$1528,'TAR FIN'!$A$1:$O$99,15,0)),0,VLOOKUP($U$1528,'TAR FIN'!$A$1:$O$99,15,0))</f>
        <v>193.58</v>
      </c>
      <c r="Y1528" s="4"/>
      <c r="Z1528" s="4">
        <f ca="1">('TUSD BE'!$AM$42+'TUSD BF'!$AM$42+'TUSD CVA'!$AM$42)*(1-CUSTOS!$M$38)</f>
        <v>723.62147717195421</v>
      </c>
      <c r="AA1528" s="4">
        <f>('TE BE'!$AA$24+'TE BF'!$AA$24+'TE CVA'!$AA$24)*(1-CUSTOS!$M$38)</f>
        <v>254.87076330352861</v>
      </c>
      <c r="AB1528" s="4">
        <f>$K$1528*$V$1528</f>
        <v>0</v>
      </c>
      <c r="AC1528" s="4">
        <f>$M$1528*$W$1528</f>
        <v>3.47166</v>
      </c>
      <c r="AD1528" s="4">
        <f>$O$1528*$X$1528</f>
        <v>1.1614800000000001</v>
      </c>
      <c r="AE1528" s="4">
        <f>$K$1528*$Y$1528</f>
        <v>0</v>
      </c>
      <c r="AF1528" s="4">
        <f ca="1">$M$1528*$Z$1528</f>
        <v>4.341728863031725</v>
      </c>
      <c r="AG1528" s="4">
        <f>$O$1528*$AA$1528</f>
        <v>1.5292245798211717</v>
      </c>
    </row>
    <row r="1529" spans="1:33" ht="11.25" customHeight="1" x14ac:dyDescent="0.25">
      <c r="A1529" s="3" t="s">
        <v>21</v>
      </c>
      <c r="B1529" s="3" t="s">
        <v>44</v>
      </c>
      <c r="C1529" s="3" t="s">
        <v>37</v>
      </c>
      <c r="D1529" s="3" t="s">
        <v>45</v>
      </c>
      <c r="E1529" s="3" t="s">
        <v>25</v>
      </c>
      <c r="F1529" s="3" t="s">
        <v>25</v>
      </c>
      <c r="G1529" s="3" t="s">
        <v>25</v>
      </c>
      <c r="H1529" s="3" t="s">
        <v>38</v>
      </c>
      <c r="I1529" s="6">
        <v>44621</v>
      </c>
      <c r="J1529" s="4">
        <v>0</v>
      </c>
      <c r="K1529" s="4">
        <v>0</v>
      </c>
      <c r="L1529" s="4">
        <v>1E-3</v>
      </c>
      <c r="M1529" s="4">
        <v>1E-3</v>
      </c>
      <c r="N1529" s="4">
        <v>1E-3</v>
      </c>
      <c r="O1529" s="4">
        <v>1E-3</v>
      </c>
      <c r="P1529" s="4">
        <v>0</v>
      </c>
      <c r="Q1529" s="3" t="s">
        <v>26</v>
      </c>
      <c r="R1529" s="3">
        <v>0</v>
      </c>
      <c r="S1529" s="4">
        <v>0</v>
      </c>
      <c r="T1529" s="4">
        <v>20</v>
      </c>
      <c r="U1529" s="4">
        <v>60</v>
      </c>
      <c r="V1529" s="4">
        <f>IF(ISERROR(VLOOKUP($S$1529,'TAR FIN'!$A$1:$O$99,15,0)),0,VLOOKUP($S$1529,'TAR FIN'!$A$1:$O$99,15,0))</f>
        <v>0</v>
      </c>
      <c r="W1529" s="4">
        <f>IF(ISERROR(VLOOKUP($T$1529,'TAR FIN'!$A$1:$O$99,15,0)),0,VLOOKUP($T$1529,'TAR FIN'!$A$1:$O$99,15,0))</f>
        <v>578.61</v>
      </c>
      <c r="X1529" s="4">
        <f>IF(ISERROR(VLOOKUP($U$1529,'TAR FIN'!$A$1:$O$99,15,0)),0,VLOOKUP($U$1529,'TAR FIN'!$A$1:$O$99,15,0))</f>
        <v>193.58</v>
      </c>
      <c r="Y1529" s="4"/>
      <c r="Z1529" s="4">
        <f ca="1">('TUSD BE'!$AM$42+'TUSD BF'!$AM$42+'TUSD CVA'!$AM$42)*(1-CUSTOS!$M$38)</f>
        <v>723.62147717195421</v>
      </c>
      <c r="AA1529" s="4">
        <f>('TE BE'!$AA$24+'TE BF'!$AA$24+'TE CVA'!$AA$24)*(1-CUSTOS!$M$38)</f>
        <v>254.87076330352861</v>
      </c>
      <c r="AB1529" s="4">
        <f>$K$1529*$V$1529</f>
        <v>0</v>
      </c>
      <c r="AC1529" s="4">
        <f>$M$1529*$W$1529</f>
        <v>0.57861000000000007</v>
      </c>
      <c r="AD1529" s="4">
        <f>$O$1529*$X$1529</f>
        <v>0.19358000000000003</v>
      </c>
      <c r="AE1529" s="4">
        <f>$K$1529*$Y$1529</f>
        <v>0</v>
      </c>
      <c r="AF1529" s="4">
        <f ca="1">$M$1529*$Z$1529</f>
        <v>0.72362147717195424</v>
      </c>
      <c r="AG1529" s="4">
        <f>$O$1529*$AA$1529</f>
        <v>0.25487076330352859</v>
      </c>
    </row>
    <row r="1530" spans="1:33" ht="11.25" customHeight="1" x14ac:dyDescent="0.25">
      <c r="A1530" s="3" t="s">
        <v>56</v>
      </c>
      <c r="B1530" s="3" t="s">
        <v>44</v>
      </c>
      <c r="C1530" s="3" t="s">
        <v>37</v>
      </c>
      <c r="D1530" s="3" t="s">
        <v>45</v>
      </c>
      <c r="E1530" s="3" t="s">
        <v>25</v>
      </c>
      <c r="F1530" s="3" t="s">
        <v>25</v>
      </c>
      <c r="G1530" s="3" t="s">
        <v>25</v>
      </c>
      <c r="H1530" s="3" t="s">
        <v>38</v>
      </c>
      <c r="I1530" s="6">
        <v>44652</v>
      </c>
      <c r="J1530" s="4">
        <v>0</v>
      </c>
      <c r="K1530" s="4">
        <v>0</v>
      </c>
      <c r="L1530" s="4">
        <v>1E-3</v>
      </c>
      <c r="M1530" s="4">
        <v>1E-3</v>
      </c>
      <c r="N1530" s="4">
        <v>1E-3</v>
      </c>
      <c r="O1530" s="4">
        <v>1E-3</v>
      </c>
      <c r="P1530" s="4">
        <v>0</v>
      </c>
      <c r="Q1530" s="3" t="s">
        <v>26</v>
      </c>
      <c r="R1530" s="3">
        <v>0</v>
      </c>
      <c r="S1530" s="4">
        <v>0</v>
      </c>
      <c r="T1530" s="4">
        <v>20</v>
      </c>
      <c r="U1530" s="4">
        <v>60</v>
      </c>
      <c r="V1530" s="4">
        <f>IF(ISERROR(VLOOKUP($S$1530,'TAR FIN'!$A$1:$O$99,15,0)),0,VLOOKUP($S$1530,'TAR FIN'!$A$1:$O$99,15,0))</f>
        <v>0</v>
      </c>
      <c r="W1530" s="4">
        <f>IF(ISERROR(VLOOKUP($T$1530,'TAR FIN'!$A$1:$O$99,15,0)),0,VLOOKUP($T$1530,'TAR FIN'!$A$1:$O$99,15,0))</f>
        <v>578.61</v>
      </c>
      <c r="X1530" s="4">
        <f>IF(ISERROR(VLOOKUP($U$1530,'TAR FIN'!$A$1:$O$99,15,0)),0,VLOOKUP($U$1530,'TAR FIN'!$A$1:$O$99,15,0))</f>
        <v>193.58</v>
      </c>
      <c r="Y1530" s="4"/>
      <c r="Z1530" s="4">
        <f ca="1">('TUSD BE'!$AM$42+'TUSD BF'!$AM$42+'TUSD CVA'!$AM$42)*(1-CUSTOS!$M$38)</f>
        <v>723.62147717195421</v>
      </c>
      <c r="AA1530" s="4">
        <f>('TE BE'!$AA$24+'TE BF'!$AA$24+'TE CVA'!$AA$24)*(1-CUSTOS!$M$38)</f>
        <v>254.87076330352861</v>
      </c>
      <c r="AB1530" s="4">
        <f>$K$1530*$V$1530</f>
        <v>0</v>
      </c>
      <c r="AC1530" s="4">
        <f>$M$1530*$W$1530</f>
        <v>0.57861000000000007</v>
      </c>
      <c r="AD1530" s="4">
        <f>$O$1530*$X$1530</f>
        <v>0.19358000000000003</v>
      </c>
      <c r="AE1530" s="4">
        <f>$K$1530*$Y$1530</f>
        <v>0</v>
      </c>
      <c r="AF1530" s="4">
        <f ca="1">$M$1530*$Z$1530</f>
        <v>0.72362147717195424</v>
      </c>
      <c r="AG1530" s="4">
        <f>$O$1530*$AA$1530</f>
        <v>0.25487076330352859</v>
      </c>
    </row>
    <row r="1531" spans="1:33" ht="11.25" customHeight="1" x14ac:dyDescent="0.25">
      <c r="A1531" s="3" t="s">
        <v>21</v>
      </c>
      <c r="B1531" s="3" t="s">
        <v>44</v>
      </c>
      <c r="C1531" s="3" t="s">
        <v>37</v>
      </c>
      <c r="D1531" s="3" t="s">
        <v>45</v>
      </c>
      <c r="E1531" s="3" t="s">
        <v>25</v>
      </c>
      <c r="F1531" s="3" t="s">
        <v>25</v>
      </c>
      <c r="G1531" s="3" t="s">
        <v>25</v>
      </c>
      <c r="H1531" s="3" t="s">
        <v>35</v>
      </c>
      <c r="I1531" s="6">
        <v>44470</v>
      </c>
      <c r="J1531" s="4">
        <v>0</v>
      </c>
      <c r="K1531" s="4">
        <v>0</v>
      </c>
      <c r="L1531" s="4">
        <v>1E-3</v>
      </c>
      <c r="M1531" s="4">
        <v>1E-3</v>
      </c>
      <c r="N1531" s="4">
        <v>1E-3</v>
      </c>
      <c r="O1531" s="4">
        <v>1E-3</v>
      </c>
      <c r="P1531" s="4">
        <v>0</v>
      </c>
      <c r="Q1531" s="3" t="s">
        <v>26</v>
      </c>
      <c r="R1531" s="3">
        <v>0</v>
      </c>
      <c r="S1531" s="4">
        <v>0</v>
      </c>
      <c r="T1531" s="4">
        <v>19</v>
      </c>
      <c r="U1531" s="4">
        <v>59</v>
      </c>
      <c r="V1531" s="4">
        <f>IF(ISERROR(VLOOKUP($S$1531,'TAR FIN'!$A$1:$O$99,15,0)),0,VLOOKUP($S$1531,'TAR FIN'!$A$1:$O$99,15,0))</f>
        <v>0</v>
      </c>
      <c r="W1531" s="4">
        <f>IF(ISERROR(VLOOKUP($T$1531,'TAR FIN'!$A$1:$O$99,15,0)),0,VLOOKUP($T$1531,'TAR FIN'!$A$1:$O$99,15,0))</f>
        <v>889.08</v>
      </c>
      <c r="X1531" s="4">
        <f>IF(ISERROR(VLOOKUP($U$1531,'TAR FIN'!$A$1:$O$99,15,0)),0,VLOOKUP($U$1531,'TAR FIN'!$A$1:$O$99,15,0))</f>
        <v>305.02</v>
      </c>
      <c r="Y1531" s="4"/>
      <c r="Z1531" s="4">
        <f ca="1">('TUSD BE'!$AM$41+'TUSD BF'!$AM$41+'TUSD CVA'!$AM$41)*(1-CUSTOS!$M$38)</f>
        <v>1107.4974266789945</v>
      </c>
      <c r="AA1531" s="4">
        <f>('TE BE'!$AA$23+'TE BF'!$AA$23+'TE CVA'!$AA$23)*(1-CUSTOS!$M$38)</f>
        <v>398.46273355089011</v>
      </c>
      <c r="AB1531" s="4">
        <f>$K$1531*$V$1531</f>
        <v>0</v>
      </c>
      <c r="AC1531" s="4">
        <f>$M$1531*$W$1531</f>
        <v>0.88908000000000009</v>
      </c>
      <c r="AD1531" s="4">
        <f>$O$1531*$X$1531</f>
        <v>0.30502000000000001</v>
      </c>
      <c r="AE1531" s="4">
        <f>$K$1531*$Y$1531</f>
        <v>0</v>
      </c>
      <c r="AF1531" s="4">
        <f ca="1">$M$1531*$Z$1531</f>
        <v>1.1074974266789945</v>
      </c>
      <c r="AG1531" s="4">
        <f>$O$1531*$AA$1531</f>
        <v>0.39846273355089012</v>
      </c>
    </row>
    <row r="1532" spans="1:33" ht="11.25" customHeight="1" x14ac:dyDescent="0.25">
      <c r="A1532" s="3" t="s">
        <v>21</v>
      </c>
      <c r="B1532" s="3" t="s">
        <v>44</v>
      </c>
      <c r="C1532" s="3" t="s">
        <v>37</v>
      </c>
      <c r="D1532" s="3" t="s">
        <v>45</v>
      </c>
      <c r="E1532" s="3" t="s">
        <v>25</v>
      </c>
      <c r="F1532" s="3" t="s">
        <v>25</v>
      </c>
      <c r="G1532" s="3" t="s">
        <v>25</v>
      </c>
      <c r="H1532" s="3" t="s">
        <v>35</v>
      </c>
      <c r="I1532" s="6">
        <v>44501</v>
      </c>
      <c r="J1532" s="4">
        <v>0</v>
      </c>
      <c r="K1532" s="4">
        <v>0</v>
      </c>
      <c r="L1532" s="4">
        <v>1E-3</v>
      </c>
      <c r="M1532" s="4">
        <v>1E-3</v>
      </c>
      <c r="N1532" s="4">
        <v>1E-3</v>
      </c>
      <c r="O1532" s="4">
        <v>1E-3</v>
      </c>
      <c r="P1532" s="4">
        <v>0</v>
      </c>
      <c r="Q1532" s="3" t="s">
        <v>26</v>
      </c>
      <c r="R1532" s="3">
        <v>0</v>
      </c>
      <c r="S1532" s="4">
        <v>0</v>
      </c>
      <c r="T1532" s="4">
        <v>19</v>
      </c>
      <c r="U1532" s="4">
        <v>59</v>
      </c>
      <c r="V1532" s="4">
        <f>IF(ISERROR(VLOOKUP($S$1532,'TAR FIN'!$A$1:$O$99,15,0)),0,VLOOKUP($S$1532,'TAR FIN'!$A$1:$O$99,15,0))</f>
        <v>0</v>
      </c>
      <c r="W1532" s="4">
        <f>IF(ISERROR(VLOOKUP($T$1532,'TAR FIN'!$A$1:$O$99,15,0)),0,VLOOKUP($T$1532,'TAR FIN'!$A$1:$O$99,15,0))</f>
        <v>889.08</v>
      </c>
      <c r="X1532" s="4">
        <f>IF(ISERROR(VLOOKUP($U$1532,'TAR FIN'!$A$1:$O$99,15,0)),0,VLOOKUP($U$1532,'TAR FIN'!$A$1:$O$99,15,0))</f>
        <v>305.02</v>
      </c>
      <c r="Y1532" s="4"/>
      <c r="Z1532" s="4">
        <f ca="1">('TUSD BE'!$AM$41+'TUSD BF'!$AM$41+'TUSD CVA'!$AM$41)*(1-CUSTOS!$M$38)</f>
        <v>1107.4974266789945</v>
      </c>
      <c r="AA1532" s="4">
        <f>('TE BE'!$AA$23+'TE BF'!$AA$23+'TE CVA'!$AA$23)*(1-CUSTOS!$M$38)</f>
        <v>398.46273355089011</v>
      </c>
      <c r="AB1532" s="4">
        <f>$K$1532*$V$1532</f>
        <v>0</v>
      </c>
      <c r="AC1532" s="4">
        <f>$M$1532*$W$1532</f>
        <v>0.88908000000000009</v>
      </c>
      <c r="AD1532" s="4">
        <f>$O$1532*$X$1532</f>
        <v>0.30502000000000001</v>
      </c>
      <c r="AE1532" s="4">
        <f>$K$1532*$Y$1532</f>
        <v>0</v>
      </c>
      <c r="AF1532" s="4">
        <f ca="1">$M$1532*$Z$1532</f>
        <v>1.1074974266789945</v>
      </c>
      <c r="AG1532" s="4">
        <f>$O$1532*$AA$1532</f>
        <v>0.39846273355089012</v>
      </c>
    </row>
    <row r="1533" spans="1:33" ht="11.25" customHeight="1" x14ac:dyDescent="0.25">
      <c r="A1533" s="3" t="s">
        <v>21</v>
      </c>
      <c r="B1533" s="3" t="s">
        <v>44</v>
      </c>
      <c r="C1533" s="3" t="s">
        <v>37</v>
      </c>
      <c r="D1533" s="3" t="s">
        <v>45</v>
      </c>
      <c r="E1533" s="3" t="s">
        <v>25</v>
      </c>
      <c r="F1533" s="3" t="s">
        <v>25</v>
      </c>
      <c r="G1533" s="3" t="s">
        <v>25</v>
      </c>
      <c r="H1533" s="3" t="s">
        <v>35</v>
      </c>
      <c r="I1533" s="6">
        <v>44531</v>
      </c>
      <c r="J1533" s="4">
        <v>0</v>
      </c>
      <c r="K1533" s="4">
        <v>0</v>
      </c>
      <c r="L1533" s="4">
        <v>1E-3</v>
      </c>
      <c r="M1533" s="4">
        <v>1E-3</v>
      </c>
      <c r="N1533" s="4">
        <v>1E-3</v>
      </c>
      <c r="O1533" s="4">
        <v>1E-3</v>
      </c>
      <c r="P1533" s="4">
        <v>0</v>
      </c>
      <c r="Q1533" s="3" t="s">
        <v>26</v>
      </c>
      <c r="R1533" s="3">
        <v>0</v>
      </c>
      <c r="S1533" s="4">
        <v>0</v>
      </c>
      <c r="T1533" s="4">
        <v>19</v>
      </c>
      <c r="U1533" s="4">
        <v>59</v>
      </c>
      <c r="V1533" s="4">
        <f>IF(ISERROR(VLOOKUP($S$1533,'TAR FIN'!$A$1:$O$99,15,0)),0,VLOOKUP($S$1533,'TAR FIN'!$A$1:$O$99,15,0))</f>
        <v>0</v>
      </c>
      <c r="W1533" s="4">
        <f>IF(ISERROR(VLOOKUP($T$1533,'TAR FIN'!$A$1:$O$99,15,0)),0,VLOOKUP($T$1533,'TAR FIN'!$A$1:$O$99,15,0))</f>
        <v>889.08</v>
      </c>
      <c r="X1533" s="4">
        <f>IF(ISERROR(VLOOKUP($U$1533,'TAR FIN'!$A$1:$O$99,15,0)),0,VLOOKUP($U$1533,'TAR FIN'!$A$1:$O$99,15,0))</f>
        <v>305.02</v>
      </c>
      <c r="Y1533" s="4"/>
      <c r="Z1533" s="4">
        <f ca="1">('TUSD BE'!$AM$41+'TUSD BF'!$AM$41+'TUSD CVA'!$AM$41)*(1-CUSTOS!$M$38)</f>
        <v>1107.4974266789945</v>
      </c>
      <c r="AA1533" s="4">
        <f>('TE BE'!$AA$23+'TE BF'!$AA$23+'TE CVA'!$AA$23)*(1-CUSTOS!$M$38)</f>
        <v>398.46273355089011</v>
      </c>
      <c r="AB1533" s="4">
        <f>$K$1533*$V$1533</f>
        <v>0</v>
      </c>
      <c r="AC1533" s="4">
        <f>$M$1533*$W$1533</f>
        <v>0.88908000000000009</v>
      </c>
      <c r="AD1533" s="4">
        <f>$O$1533*$X$1533</f>
        <v>0.30502000000000001</v>
      </c>
      <c r="AE1533" s="4">
        <f>$K$1533*$Y$1533</f>
        <v>0</v>
      </c>
      <c r="AF1533" s="4">
        <f ca="1">$M$1533*$Z$1533</f>
        <v>1.1074974266789945</v>
      </c>
      <c r="AG1533" s="4">
        <f>$O$1533*$AA$1533</f>
        <v>0.39846273355089012</v>
      </c>
    </row>
    <row r="1534" spans="1:33" ht="11.25" customHeight="1" x14ac:dyDescent="0.25">
      <c r="A1534" s="3" t="s">
        <v>21</v>
      </c>
      <c r="B1534" s="3" t="s">
        <v>44</v>
      </c>
      <c r="C1534" s="3" t="s">
        <v>23</v>
      </c>
      <c r="D1534" s="3" t="s">
        <v>45</v>
      </c>
      <c r="E1534" s="3" t="s">
        <v>53</v>
      </c>
      <c r="F1534" s="3" t="s">
        <v>54</v>
      </c>
      <c r="G1534" s="3" t="s">
        <v>25</v>
      </c>
      <c r="H1534" s="3" t="s">
        <v>25</v>
      </c>
      <c r="I1534" s="6">
        <v>44317</v>
      </c>
      <c r="J1534" s="4">
        <v>0</v>
      </c>
      <c r="K1534" s="4">
        <v>0</v>
      </c>
      <c r="L1534" s="4">
        <v>15.4</v>
      </c>
      <c r="M1534" s="4">
        <v>15.4</v>
      </c>
      <c r="N1534" s="4">
        <v>15.4</v>
      </c>
      <c r="O1534" s="4">
        <v>15.4</v>
      </c>
      <c r="P1534" s="4">
        <v>0</v>
      </c>
      <c r="Q1534" s="3" t="s">
        <v>26</v>
      </c>
      <c r="R1534" s="3">
        <v>0</v>
      </c>
      <c r="S1534" s="4">
        <v>0</v>
      </c>
      <c r="T1534" s="4">
        <v>37</v>
      </c>
      <c r="U1534" s="4">
        <v>78</v>
      </c>
      <c r="V1534" s="4">
        <f>IF(ISERROR(VLOOKUP($S$1534,'TAR FIN'!$A$1:$O$99,15,0)),0,VLOOKUP($S$1534,'TAR FIN'!$A$1:$O$99,15,0))</f>
        <v>0</v>
      </c>
      <c r="W1534" s="4">
        <f>IF(ISERROR(VLOOKUP($T$1534,'TAR FIN'!$A$1:$O$99,15,0)),0,VLOOKUP($T$1534,'TAR FIN'!$A$1:$O$99,15,0))</f>
        <v>348.11</v>
      </c>
      <c r="X1534" s="4">
        <f>IF(ISERROR(VLOOKUP($U$1534,'TAR FIN'!$A$1:$O$99,15,0)),0,VLOOKUP($U$1534,'TAR FIN'!$A$1:$O$99,15,0))</f>
        <v>202.86</v>
      </c>
      <c r="Y1534" s="4"/>
      <c r="Z1534" s="4">
        <f ca="1">('TUSD BE'!$AM$44+'TUSD BF'!$AM$44+'TUSD CVA'!$AM$44)*(1-CUSTOS!$M$38)</f>
        <v>438.62226072739548</v>
      </c>
      <c r="AA1534" s="4">
        <f>('TE BE'!$AA$26+'TE BF'!$AA$26+'TE CVA'!$AA$26)*(1-CUSTOS!$M$38)</f>
        <v>266.83676082414206</v>
      </c>
      <c r="AB1534" s="4">
        <f>$K$1534*$V$1534</f>
        <v>0</v>
      </c>
      <c r="AC1534" s="4">
        <f>$M$1534*$W$1534</f>
        <v>5360.8940000000002</v>
      </c>
      <c r="AD1534" s="4">
        <f>$O$1534*$X$1534</f>
        <v>3124.0440000000003</v>
      </c>
      <c r="AE1534" s="4">
        <f>$K$1534*$Y$1534</f>
        <v>0</v>
      </c>
      <c r="AF1534" s="4">
        <f ca="1">$M$1534*$Z$1534</f>
        <v>6754.782815201891</v>
      </c>
      <c r="AG1534" s="4">
        <f>$O$1534*$AA$1534</f>
        <v>4109.2861166917883</v>
      </c>
    </row>
    <row r="1535" spans="1:33" ht="11.25" customHeight="1" x14ac:dyDescent="0.25">
      <c r="A1535" s="3" t="s">
        <v>21</v>
      </c>
      <c r="B1535" s="3" t="s">
        <v>44</v>
      </c>
      <c r="C1535" s="3" t="s">
        <v>23</v>
      </c>
      <c r="D1535" s="3" t="s">
        <v>45</v>
      </c>
      <c r="E1535" s="3" t="s">
        <v>53</v>
      </c>
      <c r="F1535" s="3" t="s">
        <v>54</v>
      </c>
      <c r="G1535" s="3" t="s">
        <v>25</v>
      </c>
      <c r="H1535" s="3" t="s">
        <v>25</v>
      </c>
      <c r="I1535" s="6">
        <v>44348</v>
      </c>
      <c r="J1535" s="4">
        <v>0</v>
      </c>
      <c r="K1535" s="4">
        <v>0</v>
      </c>
      <c r="L1535" s="4">
        <v>17.745000000000001</v>
      </c>
      <c r="M1535" s="4">
        <v>17.745000000000001</v>
      </c>
      <c r="N1535" s="4">
        <v>17.745000000000001</v>
      </c>
      <c r="O1535" s="4">
        <v>17.745000000000001</v>
      </c>
      <c r="P1535" s="4">
        <v>0</v>
      </c>
      <c r="Q1535" s="3" t="s">
        <v>26</v>
      </c>
      <c r="R1535" s="3">
        <v>0</v>
      </c>
      <c r="S1535" s="4">
        <v>0</v>
      </c>
      <c r="T1535" s="4">
        <v>37</v>
      </c>
      <c r="U1535" s="4">
        <v>78</v>
      </c>
      <c r="V1535" s="4">
        <f>IF(ISERROR(VLOOKUP($S$1535,'TAR FIN'!$A$1:$O$99,15,0)),0,VLOOKUP($S$1535,'TAR FIN'!$A$1:$O$99,15,0))</f>
        <v>0</v>
      </c>
      <c r="W1535" s="4">
        <f>IF(ISERROR(VLOOKUP($T$1535,'TAR FIN'!$A$1:$O$99,15,0)),0,VLOOKUP($T$1535,'TAR FIN'!$A$1:$O$99,15,0))</f>
        <v>348.11</v>
      </c>
      <c r="X1535" s="4">
        <f>IF(ISERROR(VLOOKUP($U$1535,'TAR FIN'!$A$1:$O$99,15,0)),0,VLOOKUP($U$1535,'TAR FIN'!$A$1:$O$99,15,0))</f>
        <v>202.86</v>
      </c>
      <c r="Y1535" s="4"/>
      <c r="Z1535" s="4">
        <f ca="1">('TUSD BE'!$AM$44+'TUSD BF'!$AM$44+'TUSD CVA'!$AM$44)*(1-CUSTOS!$M$38)</f>
        <v>438.62226072739548</v>
      </c>
      <c r="AA1535" s="4">
        <f>('TE BE'!$AA$26+'TE BF'!$AA$26+'TE CVA'!$AA$26)*(1-CUSTOS!$M$38)</f>
        <v>266.83676082414206</v>
      </c>
      <c r="AB1535" s="4">
        <f>$K$1535*$V$1535</f>
        <v>0</v>
      </c>
      <c r="AC1535" s="4">
        <f>$M$1535*$W$1535</f>
        <v>6177.2119500000008</v>
      </c>
      <c r="AD1535" s="4">
        <f>$O$1535*$X$1535</f>
        <v>3599.7507000000005</v>
      </c>
      <c r="AE1535" s="4">
        <f>$K$1535*$Y$1535</f>
        <v>0</v>
      </c>
      <c r="AF1535" s="4">
        <f ca="1">$M$1535*$Z$1535</f>
        <v>7783.3520166076332</v>
      </c>
      <c r="AG1535" s="4">
        <f>$O$1535*$AA$1535</f>
        <v>4735.0183208244007</v>
      </c>
    </row>
    <row r="1536" spans="1:33" ht="11.25" customHeight="1" x14ac:dyDescent="0.25">
      <c r="A1536" s="3" t="s">
        <v>27</v>
      </c>
      <c r="B1536" s="3" t="s">
        <v>44</v>
      </c>
      <c r="C1536" s="3" t="s">
        <v>23</v>
      </c>
      <c r="D1536" s="3" t="s">
        <v>45</v>
      </c>
      <c r="E1536" s="3" t="s">
        <v>53</v>
      </c>
      <c r="F1536" s="3" t="s">
        <v>54</v>
      </c>
      <c r="G1536" s="3" t="s">
        <v>25</v>
      </c>
      <c r="H1536" s="3" t="s">
        <v>25</v>
      </c>
      <c r="I1536" s="6">
        <v>44348</v>
      </c>
      <c r="J1536" s="4">
        <v>0</v>
      </c>
      <c r="K1536" s="4">
        <v>0</v>
      </c>
      <c r="L1536" s="4">
        <v>-19.623999999999999</v>
      </c>
      <c r="M1536" s="4">
        <v>-19.623999999999999</v>
      </c>
      <c r="N1536" s="4">
        <v>-19.623999999999999</v>
      </c>
      <c r="O1536" s="4">
        <v>-19.623999999999999</v>
      </c>
      <c r="P1536" s="4">
        <v>0</v>
      </c>
      <c r="Q1536" s="3" t="s">
        <v>26</v>
      </c>
      <c r="R1536" s="3">
        <v>0</v>
      </c>
      <c r="S1536" s="4">
        <v>0</v>
      </c>
      <c r="T1536" s="4">
        <v>37</v>
      </c>
      <c r="U1536" s="4">
        <v>78</v>
      </c>
      <c r="V1536" s="4">
        <f>IF(ISERROR(VLOOKUP($S$1536,'TAR FIN'!$A$1:$O$99,15,0)),0,VLOOKUP($S$1536,'TAR FIN'!$A$1:$O$99,15,0))</f>
        <v>0</v>
      </c>
      <c r="W1536" s="4">
        <f>IF(ISERROR(VLOOKUP($T$1536,'TAR FIN'!$A$1:$O$99,15,0)),0,VLOOKUP($T$1536,'TAR FIN'!$A$1:$O$99,15,0))</f>
        <v>348.11</v>
      </c>
      <c r="X1536" s="4">
        <f>IF(ISERROR(VLOOKUP($U$1536,'TAR FIN'!$A$1:$O$99,15,0)),0,VLOOKUP($U$1536,'TAR FIN'!$A$1:$O$99,15,0))</f>
        <v>202.86</v>
      </c>
      <c r="Y1536" s="4"/>
      <c r="Z1536" s="4">
        <f ca="1">('TUSD BE'!$AM$44+'TUSD BF'!$AM$44+'TUSD CVA'!$AM$44)*(1-CUSTOS!$M$38)</f>
        <v>438.62226072739548</v>
      </c>
      <c r="AA1536" s="4">
        <f>('TE BE'!$AA$26+'TE BF'!$AA$26+'TE CVA'!$AA$26)*(1-CUSTOS!$M$38)</f>
        <v>266.83676082414206</v>
      </c>
      <c r="AB1536" s="4">
        <f>$K$1536*$V$1536</f>
        <v>0</v>
      </c>
      <c r="AC1536" s="4">
        <f>$M$1536*$W$1536</f>
        <v>-6831.3106399999997</v>
      </c>
      <c r="AD1536" s="4">
        <f>$O$1536*$X$1536</f>
        <v>-3980.9246400000002</v>
      </c>
      <c r="AE1536" s="4">
        <f>$K$1536*$Y$1536</f>
        <v>0</v>
      </c>
      <c r="AF1536" s="4">
        <f ca="1">$M$1536*$Z$1536</f>
        <v>-8607.5232445144084</v>
      </c>
      <c r="AG1536" s="4">
        <f>$O$1536*$AA$1536</f>
        <v>-5236.4045944129639</v>
      </c>
    </row>
    <row r="1537" spans="1:33" ht="11.25" customHeight="1" x14ac:dyDescent="0.25">
      <c r="A1537" s="3" t="s">
        <v>21</v>
      </c>
      <c r="B1537" s="3" t="s">
        <v>44</v>
      </c>
      <c r="C1537" s="3" t="s">
        <v>23</v>
      </c>
      <c r="D1537" s="3" t="s">
        <v>45</v>
      </c>
      <c r="E1537" s="3" t="s">
        <v>53</v>
      </c>
      <c r="F1537" s="3" t="s">
        <v>54</v>
      </c>
      <c r="G1537" s="3" t="s">
        <v>25</v>
      </c>
      <c r="H1537" s="3" t="s">
        <v>25</v>
      </c>
      <c r="I1537" s="6">
        <v>44378</v>
      </c>
      <c r="J1537" s="4">
        <v>0</v>
      </c>
      <c r="K1537" s="4">
        <v>0</v>
      </c>
      <c r="L1537" s="4">
        <v>22.635999999999999</v>
      </c>
      <c r="M1537" s="4">
        <v>22.635999999999999</v>
      </c>
      <c r="N1537" s="4">
        <v>22.635999999999999</v>
      </c>
      <c r="O1537" s="4">
        <v>22.635999999999999</v>
      </c>
      <c r="P1537" s="4">
        <v>0</v>
      </c>
      <c r="Q1537" s="3" t="s">
        <v>26</v>
      </c>
      <c r="R1537" s="3">
        <v>0</v>
      </c>
      <c r="S1537" s="4">
        <v>0</v>
      </c>
      <c r="T1537" s="4">
        <v>37</v>
      </c>
      <c r="U1537" s="4">
        <v>78</v>
      </c>
      <c r="V1537" s="4">
        <f>IF(ISERROR(VLOOKUP($S$1537,'TAR FIN'!$A$1:$O$99,15,0)),0,VLOOKUP($S$1537,'TAR FIN'!$A$1:$O$99,15,0))</f>
        <v>0</v>
      </c>
      <c r="W1537" s="4">
        <f>IF(ISERROR(VLOOKUP($T$1537,'TAR FIN'!$A$1:$O$99,15,0)),0,VLOOKUP($T$1537,'TAR FIN'!$A$1:$O$99,15,0))</f>
        <v>348.11</v>
      </c>
      <c r="X1537" s="4">
        <f>IF(ISERROR(VLOOKUP($U$1537,'TAR FIN'!$A$1:$O$99,15,0)),0,VLOOKUP($U$1537,'TAR FIN'!$A$1:$O$99,15,0))</f>
        <v>202.86</v>
      </c>
      <c r="Y1537" s="4"/>
      <c r="Z1537" s="4">
        <f ca="1">('TUSD BE'!$AM$44+'TUSD BF'!$AM$44+'TUSD CVA'!$AM$44)*(1-CUSTOS!$M$38)</f>
        <v>438.62226072739548</v>
      </c>
      <c r="AA1537" s="4">
        <f>('TE BE'!$AA$26+'TE BF'!$AA$26+'TE CVA'!$AA$26)*(1-CUSTOS!$M$38)</f>
        <v>266.83676082414206</v>
      </c>
      <c r="AB1537" s="4">
        <f>$K$1537*$V$1537</f>
        <v>0</v>
      </c>
      <c r="AC1537" s="4">
        <f>$M$1537*$W$1537</f>
        <v>7879.8179600000003</v>
      </c>
      <c r="AD1537" s="4">
        <f>$O$1537*$X$1537</f>
        <v>4591.9389600000004</v>
      </c>
      <c r="AE1537" s="4">
        <f>$K$1537*$Y$1537</f>
        <v>0</v>
      </c>
      <c r="AF1537" s="4">
        <f ca="1">$M$1537*$Z$1537</f>
        <v>9928.6534938253244</v>
      </c>
      <c r="AG1537" s="4">
        <f>$O$1537*$AA$1537</f>
        <v>6040.1169180152792</v>
      </c>
    </row>
    <row r="1538" spans="1:33" ht="11.25" customHeight="1" x14ac:dyDescent="0.25">
      <c r="A1538" s="3" t="s">
        <v>27</v>
      </c>
      <c r="B1538" s="3" t="s">
        <v>44</v>
      </c>
      <c r="C1538" s="3" t="s">
        <v>23</v>
      </c>
      <c r="D1538" s="3" t="s">
        <v>45</v>
      </c>
      <c r="E1538" s="3" t="s">
        <v>53</v>
      </c>
      <c r="F1538" s="3" t="s">
        <v>54</v>
      </c>
      <c r="G1538" s="3" t="s">
        <v>25</v>
      </c>
      <c r="H1538" s="3" t="s">
        <v>25</v>
      </c>
      <c r="I1538" s="6">
        <v>44378</v>
      </c>
      <c r="J1538" s="4">
        <v>0</v>
      </c>
      <c r="K1538" s="4">
        <v>0</v>
      </c>
      <c r="L1538" s="4">
        <v>-0.39600000000000002</v>
      </c>
      <c r="M1538" s="4">
        <v>-0.39600000000000002</v>
      </c>
      <c r="N1538" s="4">
        <v>-0.39600000000000002</v>
      </c>
      <c r="O1538" s="4">
        <v>-0.39600000000000002</v>
      </c>
      <c r="P1538" s="4">
        <v>0</v>
      </c>
      <c r="Q1538" s="3" t="s">
        <v>26</v>
      </c>
      <c r="R1538" s="3">
        <v>0</v>
      </c>
      <c r="S1538" s="4">
        <v>0</v>
      </c>
      <c r="T1538" s="4">
        <v>37</v>
      </c>
      <c r="U1538" s="4">
        <v>78</v>
      </c>
      <c r="V1538" s="4">
        <f>IF(ISERROR(VLOOKUP($S$1538,'TAR FIN'!$A$1:$O$99,15,0)),0,VLOOKUP($S$1538,'TAR FIN'!$A$1:$O$99,15,0))</f>
        <v>0</v>
      </c>
      <c r="W1538" s="4">
        <f>IF(ISERROR(VLOOKUP($T$1538,'TAR FIN'!$A$1:$O$99,15,0)),0,VLOOKUP($T$1538,'TAR FIN'!$A$1:$O$99,15,0))</f>
        <v>348.11</v>
      </c>
      <c r="X1538" s="4">
        <f>IF(ISERROR(VLOOKUP($U$1538,'TAR FIN'!$A$1:$O$99,15,0)),0,VLOOKUP($U$1538,'TAR FIN'!$A$1:$O$99,15,0))</f>
        <v>202.86</v>
      </c>
      <c r="Y1538" s="4"/>
      <c r="Z1538" s="4">
        <f ca="1">('TUSD BE'!$AM$44+'TUSD BF'!$AM$44+'TUSD CVA'!$AM$44)*(1-CUSTOS!$M$38)</f>
        <v>438.62226072739548</v>
      </c>
      <c r="AA1538" s="4">
        <f>('TE BE'!$AA$26+'TE BF'!$AA$26+'TE CVA'!$AA$26)*(1-CUSTOS!$M$38)</f>
        <v>266.83676082414206</v>
      </c>
      <c r="AB1538" s="4">
        <f>$K$1538*$V$1538</f>
        <v>0</v>
      </c>
      <c r="AC1538" s="4">
        <f>$M$1538*$W$1538</f>
        <v>-137.85156000000001</v>
      </c>
      <c r="AD1538" s="4">
        <f>$O$1538*$X$1538</f>
        <v>-80.332560000000015</v>
      </c>
      <c r="AE1538" s="4">
        <f>$K$1538*$Y$1538</f>
        <v>0</v>
      </c>
      <c r="AF1538" s="4">
        <f ca="1">$M$1538*$Z$1538</f>
        <v>-173.69441524804861</v>
      </c>
      <c r="AG1538" s="4">
        <f>$O$1538*$AA$1538</f>
        <v>-105.66735728636026</v>
      </c>
    </row>
    <row r="1539" spans="1:33" ht="11.25" customHeight="1" x14ac:dyDescent="0.25">
      <c r="A1539" s="3" t="s">
        <v>21</v>
      </c>
      <c r="B1539" s="3" t="s">
        <v>44</v>
      </c>
      <c r="C1539" s="3" t="s">
        <v>23</v>
      </c>
      <c r="D1539" s="3" t="s">
        <v>45</v>
      </c>
      <c r="E1539" s="3" t="s">
        <v>53</v>
      </c>
      <c r="F1539" s="3" t="s">
        <v>54</v>
      </c>
      <c r="G1539" s="3" t="s">
        <v>25</v>
      </c>
      <c r="H1539" s="3" t="s">
        <v>25</v>
      </c>
      <c r="I1539" s="6">
        <v>44409</v>
      </c>
      <c r="J1539" s="4">
        <v>0</v>
      </c>
      <c r="K1539" s="4">
        <v>0</v>
      </c>
      <c r="L1539" s="4">
        <v>19.344999999999999</v>
      </c>
      <c r="M1539" s="4">
        <v>19.344999999999999</v>
      </c>
      <c r="N1539" s="4">
        <v>19.344999999999999</v>
      </c>
      <c r="O1539" s="4">
        <v>19.344999999999999</v>
      </c>
      <c r="P1539" s="4">
        <v>0</v>
      </c>
      <c r="Q1539" s="3" t="s">
        <v>26</v>
      </c>
      <c r="R1539" s="3">
        <v>0</v>
      </c>
      <c r="S1539" s="4">
        <v>0</v>
      </c>
      <c r="T1539" s="4">
        <v>37</v>
      </c>
      <c r="U1539" s="4">
        <v>78</v>
      </c>
      <c r="V1539" s="4">
        <f>IF(ISERROR(VLOOKUP($S$1539,'TAR FIN'!$A$1:$O$99,15,0)),0,VLOOKUP($S$1539,'TAR FIN'!$A$1:$O$99,15,0))</f>
        <v>0</v>
      </c>
      <c r="W1539" s="4">
        <f>IF(ISERROR(VLOOKUP($T$1539,'TAR FIN'!$A$1:$O$99,15,0)),0,VLOOKUP($T$1539,'TAR FIN'!$A$1:$O$99,15,0))</f>
        <v>348.11</v>
      </c>
      <c r="X1539" s="4">
        <f>IF(ISERROR(VLOOKUP($U$1539,'TAR FIN'!$A$1:$O$99,15,0)),0,VLOOKUP($U$1539,'TAR FIN'!$A$1:$O$99,15,0))</f>
        <v>202.86</v>
      </c>
      <c r="Y1539" s="4"/>
      <c r="Z1539" s="4">
        <f ca="1">('TUSD BE'!$AM$44+'TUSD BF'!$AM$44+'TUSD CVA'!$AM$44)*(1-CUSTOS!$M$38)</f>
        <v>438.62226072739548</v>
      </c>
      <c r="AA1539" s="4">
        <f>('TE BE'!$AA$26+'TE BF'!$AA$26+'TE CVA'!$AA$26)*(1-CUSTOS!$M$38)</f>
        <v>266.83676082414206</v>
      </c>
      <c r="AB1539" s="4">
        <f>$K$1539*$V$1539</f>
        <v>0</v>
      </c>
      <c r="AC1539" s="4">
        <f>$M$1539*$W$1539</f>
        <v>6734.1879499999995</v>
      </c>
      <c r="AD1539" s="4">
        <f>$O$1539*$X$1539</f>
        <v>3924.3267000000001</v>
      </c>
      <c r="AE1539" s="4">
        <f>$K$1539*$Y$1539</f>
        <v>0</v>
      </c>
      <c r="AF1539" s="4">
        <f ca="1">$M$1539*$Z$1539</f>
        <v>8485.1476337714648</v>
      </c>
      <c r="AG1539" s="4">
        <f>$O$1539*$AA$1539</f>
        <v>5161.9571381430278</v>
      </c>
    </row>
    <row r="1540" spans="1:33" ht="11.25" customHeight="1" x14ac:dyDescent="0.25">
      <c r="A1540" s="3" t="s">
        <v>27</v>
      </c>
      <c r="B1540" s="3" t="s">
        <v>44</v>
      </c>
      <c r="C1540" s="3" t="s">
        <v>23</v>
      </c>
      <c r="D1540" s="3" t="s">
        <v>45</v>
      </c>
      <c r="E1540" s="3" t="s">
        <v>53</v>
      </c>
      <c r="F1540" s="3" t="s">
        <v>54</v>
      </c>
      <c r="G1540" s="3" t="s">
        <v>25</v>
      </c>
      <c r="H1540" s="3" t="s">
        <v>25</v>
      </c>
      <c r="I1540" s="6">
        <v>44409</v>
      </c>
      <c r="J1540" s="4">
        <v>0</v>
      </c>
      <c r="K1540" s="4">
        <v>0</v>
      </c>
      <c r="L1540" s="4">
        <v>-0.14099999999999999</v>
      </c>
      <c r="M1540" s="4">
        <v>-0.14099999999999999</v>
      </c>
      <c r="N1540" s="4">
        <v>-0.14099999999999999</v>
      </c>
      <c r="O1540" s="4">
        <v>-0.14099999999999999</v>
      </c>
      <c r="P1540" s="4">
        <v>0</v>
      </c>
      <c r="Q1540" s="3" t="s">
        <v>26</v>
      </c>
      <c r="R1540" s="3">
        <v>0</v>
      </c>
      <c r="S1540" s="4">
        <v>0</v>
      </c>
      <c r="T1540" s="4">
        <v>37</v>
      </c>
      <c r="U1540" s="4">
        <v>78</v>
      </c>
      <c r="V1540" s="4">
        <f>IF(ISERROR(VLOOKUP($S$1540,'TAR FIN'!$A$1:$O$99,15,0)),0,VLOOKUP($S$1540,'TAR FIN'!$A$1:$O$99,15,0))</f>
        <v>0</v>
      </c>
      <c r="W1540" s="4">
        <f>IF(ISERROR(VLOOKUP($T$1540,'TAR FIN'!$A$1:$O$99,15,0)),0,VLOOKUP($T$1540,'TAR FIN'!$A$1:$O$99,15,0))</f>
        <v>348.11</v>
      </c>
      <c r="X1540" s="4">
        <f>IF(ISERROR(VLOOKUP($U$1540,'TAR FIN'!$A$1:$O$99,15,0)),0,VLOOKUP($U$1540,'TAR FIN'!$A$1:$O$99,15,0))</f>
        <v>202.86</v>
      </c>
      <c r="Y1540" s="4"/>
      <c r="Z1540" s="4">
        <f ca="1">('TUSD BE'!$AM$44+'TUSD BF'!$AM$44+'TUSD CVA'!$AM$44)*(1-CUSTOS!$M$38)</f>
        <v>438.62226072739548</v>
      </c>
      <c r="AA1540" s="4">
        <f>('TE BE'!$AA$26+'TE BF'!$AA$26+'TE CVA'!$AA$26)*(1-CUSTOS!$M$38)</f>
        <v>266.83676082414206</v>
      </c>
      <c r="AB1540" s="4">
        <f>$K$1540*$V$1540</f>
        <v>0</v>
      </c>
      <c r="AC1540" s="4">
        <f>$M$1540*$W$1540</f>
        <v>-49.083509999999997</v>
      </c>
      <c r="AD1540" s="4">
        <f>$O$1540*$X$1540</f>
        <v>-28.603259999999999</v>
      </c>
      <c r="AE1540" s="4">
        <f>$K$1540*$Y$1540</f>
        <v>0</v>
      </c>
      <c r="AF1540" s="4">
        <f ca="1">$M$1540*$Z$1540</f>
        <v>-61.84573876256276</v>
      </c>
      <c r="AG1540" s="4">
        <f>$O$1540*$AA$1540</f>
        <v>-37.623983276204029</v>
      </c>
    </row>
    <row r="1541" spans="1:33" ht="11.25" customHeight="1" x14ac:dyDescent="0.25">
      <c r="A1541" s="3" t="s">
        <v>21</v>
      </c>
      <c r="B1541" s="3" t="s">
        <v>44</v>
      </c>
      <c r="C1541" s="3" t="s">
        <v>23</v>
      </c>
      <c r="D1541" s="3" t="s">
        <v>45</v>
      </c>
      <c r="E1541" s="3" t="s">
        <v>53</v>
      </c>
      <c r="F1541" s="3" t="s">
        <v>54</v>
      </c>
      <c r="G1541" s="3" t="s">
        <v>25</v>
      </c>
      <c r="H1541" s="3" t="s">
        <v>25</v>
      </c>
      <c r="I1541" s="6">
        <v>44440</v>
      </c>
      <c r="J1541" s="4">
        <v>0</v>
      </c>
      <c r="K1541" s="4">
        <v>0</v>
      </c>
      <c r="L1541" s="4">
        <v>32.347000000000001</v>
      </c>
      <c r="M1541" s="4">
        <v>32.347000000000001</v>
      </c>
      <c r="N1541" s="4">
        <v>32.347000000000001</v>
      </c>
      <c r="O1541" s="4">
        <v>32.347000000000001</v>
      </c>
      <c r="P1541" s="4">
        <v>0</v>
      </c>
      <c r="Q1541" s="3" t="s">
        <v>26</v>
      </c>
      <c r="R1541" s="3">
        <v>0</v>
      </c>
      <c r="S1541" s="4">
        <v>0</v>
      </c>
      <c r="T1541" s="4">
        <v>37</v>
      </c>
      <c r="U1541" s="4">
        <v>78</v>
      </c>
      <c r="V1541" s="4">
        <f>IF(ISERROR(VLOOKUP($S$1541,'TAR FIN'!$A$1:$O$99,15,0)),0,VLOOKUP($S$1541,'TAR FIN'!$A$1:$O$99,15,0))</f>
        <v>0</v>
      </c>
      <c r="W1541" s="4">
        <f>IF(ISERROR(VLOOKUP($T$1541,'TAR FIN'!$A$1:$O$99,15,0)),0,VLOOKUP($T$1541,'TAR FIN'!$A$1:$O$99,15,0))</f>
        <v>348.11</v>
      </c>
      <c r="X1541" s="4">
        <f>IF(ISERROR(VLOOKUP($U$1541,'TAR FIN'!$A$1:$O$99,15,0)),0,VLOOKUP($U$1541,'TAR FIN'!$A$1:$O$99,15,0))</f>
        <v>202.86</v>
      </c>
      <c r="Y1541" s="4"/>
      <c r="Z1541" s="4">
        <f ca="1">('TUSD BE'!$AM$44+'TUSD BF'!$AM$44+'TUSD CVA'!$AM$44)*(1-CUSTOS!$M$38)</f>
        <v>438.62226072739548</v>
      </c>
      <c r="AA1541" s="4">
        <f>('TE BE'!$AA$26+'TE BF'!$AA$26+'TE CVA'!$AA$26)*(1-CUSTOS!$M$38)</f>
        <v>266.83676082414206</v>
      </c>
      <c r="AB1541" s="4">
        <f>$K$1541*$V$1541</f>
        <v>0</v>
      </c>
      <c r="AC1541" s="4">
        <f>$M$1541*$W$1541</f>
        <v>11260.314170000001</v>
      </c>
      <c r="AD1541" s="4">
        <f>$O$1541*$X$1541</f>
        <v>6561.9124200000006</v>
      </c>
      <c r="AE1541" s="4">
        <f>$K$1541*$Y$1541</f>
        <v>0</v>
      </c>
      <c r="AF1541" s="4">
        <f ca="1">$M$1541*$Z$1541</f>
        <v>14188.114267749062</v>
      </c>
      <c r="AG1541" s="4">
        <f>$O$1541*$AA$1541</f>
        <v>8631.3687023785242</v>
      </c>
    </row>
    <row r="1542" spans="1:33" ht="11.25" customHeight="1" x14ac:dyDescent="0.25">
      <c r="A1542" s="3" t="s">
        <v>27</v>
      </c>
      <c r="B1542" s="3" t="s">
        <v>44</v>
      </c>
      <c r="C1542" s="3" t="s">
        <v>23</v>
      </c>
      <c r="D1542" s="3" t="s">
        <v>45</v>
      </c>
      <c r="E1542" s="3" t="s">
        <v>53</v>
      </c>
      <c r="F1542" s="3" t="s">
        <v>54</v>
      </c>
      <c r="G1542" s="3" t="s">
        <v>25</v>
      </c>
      <c r="H1542" s="3" t="s">
        <v>25</v>
      </c>
      <c r="I1542" s="6">
        <v>44440</v>
      </c>
      <c r="J1542" s="4">
        <v>0</v>
      </c>
      <c r="K1542" s="4">
        <v>0</v>
      </c>
      <c r="L1542" s="4">
        <v>-3.976</v>
      </c>
      <c r="M1542" s="4">
        <v>-3.976</v>
      </c>
      <c r="N1542" s="4">
        <v>-3.976</v>
      </c>
      <c r="O1542" s="4">
        <v>-3.976</v>
      </c>
      <c r="P1542" s="4">
        <v>0</v>
      </c>
      <c r="Q1542" s="3" t="s">
        <v>26</v>
      </c>
      <c r="R1542" s="3">
        <v>0</v>
      </c>
      <c r="S1542" s="4">
        <v>0</v>
      </c>
      <c r="T1542" s="4">
        <v>37</v>
      </c>
      <c r="U1542" s="4">
        <v>78</v>
      </c>
      <c r="V1542" s="4">
        <f>IF(ISERROR(VLOOKUP($S$1542,'TAR FIN'!$A$1:$O$99,15,0)),0,VLOOKUP($S$1542,'TAR FIN'!$A$1:$O$99,15,0))</f>
        <v>0</v>
      </c>
      <c r="W1542" s="4">
        <f>IF(ISERROR(VLOOKUP($T$1542,'TAR FIN'!$A$1:$O$99,15,0)),0,VLOOKUP($T$1542,'TAR FIN'!$A$1:$O$99,15,0))</f>
        <v>348.11</v>
      </c>
      <c r="X1542" s="4">
        <f>IF(ISERROR(VLOOKUP($U$1542,'TAR FIN'!$A$1:$O$99,15,0)),0,VLOOKUP($U$1542,'TAR FIN'!$A$1:$O$99,15,0))</f>
        <v>202.86</v>
      </c>
      <c r="Y1542" s="4"/>
      <c r="Z1542" s="4">
        <f ca="1">('TUSD BE'!$AM$44+'TUSD BF'!$AM$44+'TUSD CVA'!$AM$44)*(1-CUSTOS!$M$38)</f>
        <v>438.62226072739548</v>
      </c>
      <c r="AA1542" s="4">
        <f>('TE BE'!$AA$26+'TE BF'!$AA$26+'TE CVA'!$AA$26)*(1-CUSTOS!$M$38)</f>
        <v>266.83676082414206</v>
      </c>
      <c r="AB1542" s="4">
        <f>$K$1542*$V$1542</f>
        <v>0</v>
      </c>
      <c r="AC1542" s="4">
        <f>$M$1542*$W$1542</f>
        <v>-1384.08536</v>
      </c>
      <c r="AD1542" s="4">
        <f>$O$1542*$X$1542</f>
        <v>-806.57136000000003</v>
      </c>
      <c r="AE1542" s="4">
        <f>$K$1542*$Y$1542</f>
        <v>0</v>
      </c>
      <c r="AF1542" s="4">
        <f ca="1">$M$1542*$Z$1542</f>
        <v>-1743.9621086521245</v>
      </c>
      <c r="AG1542" s="4">
        <f>$O$1542*$AA$1542</f>
        <v>-1060.9429610367888</v>
      </c>
    </row>
    <row r="1543" spans="1:33" ht="11.25" customHeight="1" x14ac:dyDescent="0.25">
      <c r="A1543" s="3" t="s">
        <v>21</v>
      </c>
      <c r="B1543" s="3" t="s">
        <v>44</v>
      </c>
      <c r="C1543" s="3" t="s">
        <v>23</v>
      </c>
      <c r="D1543" s="3" t="s">
        <v>45</v>
      </c>
      <c r="E1543" s="3" t="s">
        <v>53</v>
      </c>
      <c r="F1543" s="3" t="s">
        <v>54</v>
      </c>
      <c r="G1543" s="3" t="s">
        <v>25</v>
      </c>
      <c r="H1543" s="3" t="s">
        <v>25</v>
      </c>
      <c r="I1543" s="6">
        <v>44470</v>
      </c>
      <c r="J1543" s="4">
        <v>0</v>
      </c>
      <c r="K1543" s="4">
        <v>0</v>
      </c>
      <c r="L1543" s="4">
        <v>48.305999999999997</v>
      </c>
      <c r="M1543" s="4">
        <v>48.305999999999997</v>
      </c>
      <c r="N1543" s="4">
        <v>48.305999999999997</v>
      </c>
      <c r="O1543" s="4">
        <v>48.305999999999997</v>
      </c>
      <c r="P1543" s="4">
        <v>0</v>
      </c>
      <c r="Q1543" s="3" t="s">
        <v>26</v>
      </c>
      <c r="R1543" s="3">
        <v>0</v>
      </c>
      <c r="S1543" s="4">
        <v>0</v>
      </c>
      <c r="T1543" s="4">
        <v>37</v>
      </c>
      <c r="U1543" s="4">
        <v>78</v>
      </c>
      <c r="V1543" s="4">
        <f>IF(ISERROR(VLOOKUP($S$1543,'TAR FIN'!$A$1:$O$99,15,0)),0,VLOOKUP($S$1543,'TAR FIN'!$A$1:$O$99,15,0))</f>
        <v>0</v>
      </c>
      <c r="W1543" s="4">
        <f>IF(ISERROR(VLOOKUP($T$1543,'TAR FIN'!$A$1:$O$99,15,0)),0,VLOOKUP($T$1543,'TAR FIN'!$A$1:$O$99,15,0))</f>
        <v>348.11</v>
      </c>
      <c r="X1543" s="4">
        <f>IF(ISERROR(VLOOKUP($U$1543,'TAR FIN'!$A$1:$O$99,15,0)),0,VLOOKUP($U$1543,'TAR FIN'!$A$1:$O$99,15,0))</f>
        <v>202.86</v>
      </c>
      <c r="Y1543" s="4"/>
      <c r="Z1543" s="4">
        <f ca="1">('TUSD BE'!$AM$44+'TUSD BF'!$AM$44+'TUSD CVA'!$AM$44)*(1-CUSTOS!$M$38)</f>
        <v>438.62226072739548</v>
      </c>
      <c r="AA1543" s="4">
        <f>('TE BE'!$AA$26+'TE BF'!$AA$26+'TE CVA'!$AA$26)*(1-CUSTOS!$M$38)</f>
        <v>266.83676082414206</v>
      </c>
      <c r="AB1543" s="4">
        <f>$K$1543*$V$1543</f>
        <v>0</v>
      </c>
      <c r="AC1543" s="4">
        <f>$M$1543*$W$1543</f>
        <v>16815.801660000001</v>
      </c>
      <c r="AD1543" s="4">
        <f>$O$1543*$X$1543</f>
        <v>9799.355160000001</v>
      </c>
      <c r="AE1543" s="4">
        <f>$K$1543*$Y$1543</f>
        <v>0</v>
      </c>
      <c r="AF1543" s="4">
        <f ca="1">$M$1543*$Z$1543</f>
        <v>21188.086926697564</v>
      </c>
      <c r="AG1543" s="4">
        <f>$O$1543*$AA$1543</f>
        <v>12889.816568371005</v>
      </c>
    </row>
    <row r="1544" spans="1:33" ht="11.25" customHeight="1" x14ac:dyDescent="0.25">
      <c r="A1544" s="3" t="s">
        <v>27</v>
      </c>
      <c r="B1544" s="3" t="s">
        <v>44</v>
      </c>
      <c r="C1544" s="3" t="s">
        <v>23</v>
      </c>
      <c r="D1544" s="3" t="s">
        <v>45</v>
      </c>
      <c r="E1544" s="3" t="s">
        <v>53</v>
      </c>
      <c r="F1544" s="3" t="s">
        <v>54</v>
      </c>
      <c r="G1544" s="3" t="s">
        <v>25</v>
      </c>
      <c r="H1544" s="3" t="s">
        <v>25</v>
      </c>
      <c r="I1544" s="6">
        <v>44470</v>
      </c>
      <c r="J1544" s="4">
        <v>0</v>
      </c>
      <c r="K1544" s="4">
        <v>0</v>
      </c>
      <c r="L1544" s="4">
        <v>-1.3149999999999999</v>
      </c>
      <c r="M1544" s="4">
        <v>-1.3149999999999999</v>
      </c>
      <c r="N1544" s="4">
        <v>-1.3149999999999999</v>
      </c>
      <c r="O1544" s="4">
        <v>-1.3149999999999999</v>
      </c>
      <c r="P1544" s="4">
        <v>0</v>
      </c>
      <c r="Q1544" s="3" t="s">
        <v>26</v>
      </c>
      <c r="R1544" s="3">
        <v>0</v>
      </c>
      <c r="S1544" s="4">
        <v>0</v>
      </c>
      <c r="T1544" s="4">
        <v>37</v>
      </c>
      <c r="U1544" s="4">
        <v>78</v>
      </c>
      <c r="V1544" s="4">
        <f>IF(ISERROR(VLOOKUP($S$1544,'TAR FIN'!$A$1:$O$99,15,0)),0,VLOOKUP($S$1544,'TAR FIN'!$A$1:$O$99,15,0))</f>
        <v>0</v>
      </c>
      <c r="W1544" s="4">
        <f>IF(ISERROR(VLOOKUP($T$1544,'TAR FIN'!$A$1:$O$99,15,0)),0,VLOOKUP($T$1544,'TAR FIN'!$A$1:$O$99,15,0))</f>
        <v>348.11</v>
      </c>
      <c r="X1544" s="4">
        <f>IF(ISERROR(VLOOKUP($U$1544,'TAR FIN'!$A$1:$O$99,15,0)),0,VLOOKUP($U$1544,'TAR FIN'!$A$1:$O$99,15,0))</f>
        <v>202.86</v>
      </c>
      <c r="Y1544" s="4"/>
      <c r="Z1544" s="4">
        <f ca="1">('TUSD BE'!$AM$44+'TUSD BF'!$AM$44+'TUSD CVA'!$AM$44)*(1-CUSTOS!$M$38)</f>
        <v>438.62226072739548</v>
      </c>
      <c r="AA1544" s="4">
        <f>('TE BE'!$AA$26+'TE BF'!$AA$26+'TE CVA'!$AA$26)*(1-CUSTOS!$M$38)</f>
        <v>266.83676082414206</v>
      </c>
      <c r="AB1544" s="4">
        <f>$K$1544*$V$1544</f>
        <v>0</v>
      </c>
      <c r="AC1544" s="4">
        <f>$M$1544*$W$1544</f>
        <v>-457.76465000000002</v>
      </c>
      <c r="AD1544" s="4">
        <f>$O$1544*$X$1544</f>
        <v>-266.76089999999999</v>
      </c>
      <c r="AE1544" s="4">
        <f>$K$1544*$Y$1544</f>
        <v>0</v>
      </c>
      <c r="AF1544" s="4">
        <f ca="1">$M$1544*$Z$1544</f>
        <v>-576.78827285652505</v>
      </c>
      <c r="AG1544" s="4">
        <f>$O$1544*$AA$1544</f>
        <v>-350.8903404837468</v>
      </c>
    </row>
    <row r="1545" spans="1:33" ht="11.25" customHeight="1" x14ac:dyDescent="0.25">
      <c r="A1545" s="3" t="s">
        <v>21</v>
      </c>
      <c r="B1545" s="3" t="s">
        <v>44</v>
      </c>
      <c r="C1545" s="3" t="s">
        <v>23</v>
      </c>
      <c r="D1545" s="3" t="s">
        <v>45</v>
      </c>
      <c r="E1545" s="3" t="s">
        <v>53</v>
      </c>
      <c r="F1545" s="3" t="s">
        <v>54</v>
      </c>
      <c r="G1545" s="3" t="s">
        <v>25</v>
      </c>
      <c r="H1545" s="3" t="s">
        <v>25</v>
      </c>
      <c r="I1545" s="6">
        <v>44501</v>
      </c>
      <c r="J1545" s="4">
        <v>0</v>
      </c>
      <c r="K1545" s="4">
        <v>0</v>
      </c>
      <c r="L1545" s="4">
        <v>61.534999999999997</v>
      </c>
      <c r="M1545" s="4">
        <v>61.534999999999997</v>
      </c>
      <c r="N1545" s="4">
        <v>61.534999999999997</v>
      </c>
      <c r="O1545" s="4">
        <v>61.534999999999997</v>
      </c>
      <c r="P1545" s="4">
        <v>0</v>
      </c>
      <c r="Q1545" s="3" t="s">
        <v>26</v>
      </c>
      <c r="R1545" s="3">
        <v>0</v>
      </c>
      <c r="S1545" s="4">
        <v>0</v>
      </c>
      <c r="T1545" s="4">
        <v>37</v>
      </c>
      <c r="U1545" s="4">
        <v>78</v>
      </c>
      <c r="V1545" s="4">
        <f>IF(ISERROR(VLOOKUP($S$1545,'TAR FIN'!$A$1:$O$99,15,0)),0,VLOOKUP($S$1545,'TAR FIN'!$A$1:$O$99,15,0))</f>
        <v>0</v>
      </c>
      <c r="W1545" s="4">
        <f>IF(ISERROR(VLOOKUP($T$1545,'TAR FIN'!$A$1:$O$99,15,0)),0,VLOOKUP($T$1545,'TAR FIN'!$A$1:$O$99,15,0))</f>
        <v>348.11</v>
      </c>
      <c r="X1545" s="4">
        <f>IF(ISERROR(VLOOKUP($U$1545,'TAR FIN'!$A$1:$O$99,15,0)),0,VLOOKUP($U$1545,'TAR FIN'!$A$1:$O$99,15,0))</f>
        <v>202.86</v>
      </c>
      <c r="Y1545" s="4"/>
      <c r="Z1545" s="4">
        <f ca="1">('TUSD BE'!$AM$44+'TUSD BF'!$AM$44+'TUSD CVA'!$AM$44)*(1-CUSTOS!$M$38)</f>
        <v>438.62226072739548</v>
      </c>
      <c r="AA1545" s="4">
        <f>('TE BE'!$AA$26+'TE BF'!$AA$26+'TE CVA'!$AA$26)*(1-CUSTOS!$M$38)</f>
        <v>266.83676082414206</v>
      </c>
      <c r="AB1545" s="4">
        <f>$K$1545*$V$1545</f>
        <v>0</v>
      </c>
      <c r="AC1545" s="4">
        <f>$M$1545*$W$1545</f>
        <v>21420.948850000001</v>
      </c>
      <c r="AD1545" s="4">
        <f>$O$1545*$X$1545</f>
        <v>12482.990100000001</v>
      </c>
      <c r="AE1545" s="4">
        <f>$K$1545*$Y$1545</f>
        <v>0</v>
      </c>
      <c r="AF1545" s="4">
        <f ca="1">$M$1545*$Z$1545</f>
        <v>26990.620813860281</v>
      </c>
      <c r="AG1545" s="4">
        <f>$O$1545*$AA$1545</f>
        <v>16419.800077313579</v>
      </c>
    </row>
    <row r="1546" spans="1:33" ht="11.25" customHeight="1" x14ac:dyDescent="0.25">
      <c r="A1546" s="3" t="s">
        <v>21</v>
      </c>
      <c r="B1546" s="3" t="s">
        <v>44</v>
      </c>
      <c r="C1546" s="3" t="s">
        <v>23</v>
      </c>
      <c r="D1546" s="3" t="s">
        <v>45</v>
      </c>
      <c r="E1546" s="3" t="s">
        <v>53</v>
      </c>
      <c r="F1546" s="3" t="s">
        <v>54</v>
      </c>
      <c r="G1546" s="3" t="s">
        <v>25</v>
      </c>
      <c r="H1546" s="3" t="s">
        <v>25</v>
      </c>
      <c r="I1546" s="6">
        <v>44531</v>
      </c>
      <c r="J1546" s="4">
        <v>0</v>
      </c>
      <c r="K1546" s="4">
        <v>0</v>
      </c>
      <c r="L1546" s="4">
        <v>61.465000000000003</v>
      </c>
      <c r="M1546" s="4">
        <v>61.465000000000003</v>
      </c>
      <c r="N1546" s="4">
        <v>61.465000000000003</v>
      </c>
      <c r="O1546" s="4">
        <v>61.465000000000003</v>
      </c>
      <c r="P1546" s="4">
        <v>0</v>
      </c>
      <c r="Q1546" s="3" t="s">
        <v>26</v>
      </c>
      <c r="R1546" s="3">
        <v>0</v>
      </c>
      <c r="S1546" s="4">
        <v>0</v>
      </c>
      <c r="T1546" s="4">
        <v>37</v>
      </c>
      <c r="U1546" s="4">
        <v>78</v>
      </c>
      <c r="V1546" s="4">
        <f>IF(ISERROR(VLOOKUP($S$1546,'TAR FIN'!$A$1:$O$99,15,0)),0,VLOOKUP($S$1546,'TAR FIN'!$A$1:$O$99,15,0))</f>
        <v>0</v>
      </c>
      <c r="W1546" s="4">
        <f>IF(ISERROR(VLOOKUP($T$1546,'TAR FIN'!$A$1:$O$99,15,0)),0,VLOOKUP($T$1546,'TAR FIN'!$A$1:$O$99,15,0))</f>
        <v>348.11</v>
      </c>
      <c r="X1546" s="4">
        <f>IF(ISERROR(VLOOKUP($U$1546,'TAR FIN'!$A$1:$O$99,15,0)),0,VLOOKUP($U$1546,'TAR FIN'!$A$1:$O$99,15,0))</f>
        <v>202.86</v>
      </c>
      <c r="Y1546" s="4"/>
      <c r="Z1546" s="4">
        <f ca="1">('TUSD BE'!$AM$44+'TUSD BF'!$AM$44+'TUSD CVA'!$AM$44)*(1-CUSTOS!$M$38)</f>
        <v>438.62226072739548</v>
      </c>
      <c r="AA1546" s="4">
        <f>('TE BE'!$AA$26+'TE BF'!$AA$26+'TE CVA'!$AA$26)*(1-CUSTOS!$M$38)</f>
        <v>266.83676082414206</v>
      </c>
      <c r="AB1546" s="4">
        <f>$K$1546*$V$1546</f>
        <v>0</v>
      </c>
      <c r="AC1546" s="4">
        <f>$M$1546*$W$1546</f>
        <v>21396.581150000002</v>
      </c>
      <c r="AD1546" s="4">
        <f>$O$1546*$X$1546</f>
        <v>12468.789900000002</v>
      </c>
      <c r="AE1546" s="4">
        <f>$K$1546*$Y$1546</f>
        <v>0</v>
      </c>
      <c r="AF1546" s="4">
        <f ca="1">$M$1546*$Z$1546</f>
        <v>26959.917255609365</v>
      </c>
      <c r="AG1546" s="4">
        <f>$O$1546*$AA$1546</f>
        <v>16401.121504055893</v>
      </c>
    </row>
    <row r="1547" spans="1:33" ht="11.25" customHeight="1" x14ac:dyDescent="0.25">
      <c r="A1547" s="3" t="s">
        <v>21</v>
      </c>
      <c r="B1547" s="3" t="s">
        <v>44</v>
      </c>
      <c r="C1547" s="3" t="s">
        <v>23</v>
      </c>
      <c r="D1547" s="3" t="s">
        <v>45</v>
      </c>
      <c r="E1547" s="3" t="s">
        <v>53</v>
      </c>
      <c r="F1547" s="3" t="s">
        <v>54</v>
      </c>
      <c r="G1547" s="3" t="s">
        <v>25</v>
      </c>
      <c r="H1547" s="3" t="s">
        <v>25</v>
      </c>
      <c r="I1547" s="6">
        <v>44562</v>
      </c>
      <c r="J1547" s="4">
        <v>0</v>
      </c>
      <c r="K1547" s="4">
        <v>0</v>
      </c>
      <c r="L1547" s="4">
        <v>54.213000000000001</v>
      </c>
      <c r="M1547" s="4">
        <v>54.213000000000001</v>
      </c>
      <c r="N1547" s="4">
        <v>54.213000000000001</v>
      </c>
      <c r="O1547" s="4">
        <v>54.213000000000001</v>
      </c>
      <c r="P1547" s="4">
        <v>0</v>
      </c>
      <c r="Q1547" s="3" t="s">
        <v>26</v>
      </c>
      <c r="R1547" s="3">
        <v>0</v>
      </c>
      <c r="S1547" s="4">
        <v>0</v>
      </c>
      <c r="T1547" s="4">
        <v>37</v>
      </c>
      <c r="U1547" s="4">
        <v>78</v>
      </c>
      <c r="V1547" s="4">
        <f>IF(ISERROR(VLOOKUP($S$1547,'TAR FIN'!$A$1:$O$99,15,0)),0,VLOOKUP($S$1547,'TAR FIN'!$A$1:$O$99,15,0))</f>
        <v>0</v>
      </c>
      <c r="W1547" s="4">
        <f>IF(ISERROR(VLOOKUP($T$1547,'TAR FIN'!$A$1:$O$99,15,0)),0,VLOOKUP($T$1547,'TAR FIN'!$A$1:$O$99,15,0))</f>
        <v>348.11</v>
      </c>
      <c r="X1547" s="4">
        <f>IF(ISERROR(VLOOKUP($U$1547,'TAR FIN'!$A$1:$O$99,15,0)),0,VLOOKUP($U$1547,'TAR FIN'!$A$1:$O$99,15,0))</f>
        <v>202.86</v>
      </c>
      <c r="Y1547" s="4"/>
      <c r="Z1547" s="4">
        <f ca="1">('TUSD BE'!$AM$44+'TUSD BF'!$AM$44+'TUSD CVA'!$AM$44)*(1-CUSTOS!$M$38)</f>
        <v>438.62226072739548</v>
      </c>
      <c r="AA1547" s="4">
        <f>('TE BE'!$AA$26+'TE BF'!$AA$26+'TE CVA'!$AA$26)*(1-CUSTOS!$M$38)</f>
        <v>266.83676082414206</v>
      </c>
      <c r="AB1547" s="4">
        <f>$K$1547*$V$1547</f>
        <v>0</v>
      </c>
      <c r="AC1547" s="4">
        <f>$M$1547*$W$1547</f>
        <v>18872.08743</v>
      </c>
      <c r="AD1547" s="4">
        <f>$O$1547*$X$1547</f>
        <v>10997.64918</v>
      </c>
      <c r="AE1547" s="4">
        <f>$K$1547*$Y$1547</f>
        <v>0</v>
      </c>
      <c r="AF1547" s="4">
        <f ca="1">$M$1547*$Z$1547</f>
        <v>23779.028620814293</v>
      </c>
      <c r="AG1547" s="4">
        <f>$O$1547*$AA$1547</f>
        <v>14466.021314559213</v>
      </c>
    </row>
    <row r="1548" spans="1:33" ht="11.25" customHeight="1" x14ac:dyDescent="0.25">
      <c r="A1548" s="3" t="s">
        <v>21</v>
      </c>
      <c r="B1548" s="3" t="s">
        <v>44</v>
      </c>
      <c r="C1548" s="3" t="s">
        <v>23</v>
      </c>
      <c r="D1548" s="3" t="s">
        <v>45</v>
      </c>
      <c r="E1548" s="3" t="s">
        <v>53</v>
      </c>
      <c r="F1548" s="3" t="s">
        <v>54</v>
      </c>
      <c r="G1548" s="3" t="s">
        <v>25</v>
      </c>
      <c r="H1548" s="3" t="s">
        <v>25</v>
      </c>
      <c r="I1548" s="6">
        <v>44593</v>
      </c>
      <c r="J1548" s="4">
        <v>0</v>
      </c>
      <c r="K1548" s="4">
        <v>0</v>
      </c>
      <c r="L1548" s="4">
        <v>52.506999999999998</v>
      </c>
      <c r="M1548" s="4">
        <v>52.506999999999998</v>
      </c>
      <c r="N1548" s="4">
        <v>52.506999999999998</v>
      </c>
      <c r="O1548" s="4">
        <v>52.506999999999998</v>
      </c>
      <c r="P1548" s="4">
        <v>0</v>
      </c>
      <c r="Q1548" s="3" t="s">
        <v>26</v>
      </c>
      <c r="R1548" s="3">
        <v>0</v>
      </c>
      <c r="S1548" s="4">
        <v>0</v>
      </c>
      <c r="T1548" s="4">
        <v>37</v>
      </c>
      <c r="U1548" s="4">
        <v>78</v>
      </c>
      <c r="V1548" s="4">
        <f>IF(ISERROR(VLOOKUP($S$1548,'TAR FIN'!$A$1:$O$99,15,0)),0,VLOOKUP($S$1548,'TAR FIN'!$A$1:$O$99,15,0))</f>
        <v>0</v>
      </c>
      <c r="W1548" s="4">
        <f>IF(ISERROR(VLOOKUP($T$1548,'TAR FIN'!$A$1:$O$99,15,0)),0,VLOOKUP($T$1548,'TAR FIN'!$A$1:$O$99,15,0))</f>
        <v>348.11</v>
      </c>
      <c r="X1548" s="4">
        <f>IF(ISERROR(VLOOKUP($U$1548,'TAR FIN'!$A$1:$O$99,15,0)),0,VLOOKUP($U$1548,'TAR FIN'!$A$1:$O$99,15,0))</f>
        <v>202.86</v>
      </c>
      <c r="Y1548" s="4"/>
      <c r="Z1548" s="4">
        <f ca="1">('TUSD BE'!$AM$44+'TUSD BF'!$AM$44+'TUSD CVA'!$AM$44)*(1-CUSTOS!$M$38)</f>
        <v>438.62226072739548</v>
      </c>
      <c r="AA1548" s="4">
        <f>('TE BE'!$AA$26+'TE BF'!$AA$26+'TE CVA'!$AA$26)*(1-CUSTOS!$M$38)</f>
        <v>266.83676082414206</v>
      </c>
      <c r="AB1548" s="4">
        <f>$K$1548*$V$1548</f>
        <v>0</v>
      </c>
      <c r="AC1548" s="4">
        <f>$M$1548*$W$1548</f>
        <v>18278.211770000002</v>
      </c>
      <c r="AD1548" s="4">
        <f>$O$1548*$X$1548</f>
        <v>10651.570020000001</v>
      </c>
      <c r="AE1548" s="4">
        <f>$K$1548*$Y$1548</f>
        <v>0</v>
      </c>
      <c r="AF1548" s="4">
        <f ca="1">$M$1548*$Z$1548</f>
        <v>23030.739044013353</v>
      </c>
      <c r="AG1548" s="4">
        <f>$O$1548*$AA$1548</f>
        <v>14010.797800593227</v>
      </c>
    </row>
    <row r="1549" spans="1:33" ht="11.25" customHeight="1" x14ac:dyDescent="0.25">
      <c r="A1549" s="3" t="s">
        <v>27</v>
      </c>
      <c r="B1549" s="3" t="s">
        <v>44</v>
      </c>
      <c r="C1549" s="3" t="s">
        <v>23</v>
      </c>
      <c r="D1549" s="3" t="s">
        <v>45</v>
      </c>
      <c r="E1549" s="3" t="s">
        <v>53</v>
      </c>
      <c r="F1549" s="3" t="s">
        <v>54</v>
      </c>
      <c r="G1549" s="3" t="s">
        <v>25</v>
      </c>
      <c r="H1549" s="3" t="s">
        <v>25</v>
      </c>
      <c r="I1549" s="6">
        <v>44593</v>
      </c>
      <c r="J1549" s="4">
        <v>0</v>
      </c>
      <c r="K1549" s="4">
        <v>0</v>
      </c>
      <c r="L1549" s="4">
        <v>0.23499999999999999</v>
      </c>
      <c r="M1549" s="4">
        <v>0.23499999999999999</v>
      </c>
      <c r="N1549" s="4">
        <v>0.23499999999999999</v>
      </c>
      <c r="O1549" s="4">
        <v>0.23499999999999999</v>
      </c>
      <c r="P1549" s="4">
        <v>0</v>
      </c>
      <c r="Q1549" s="3" t="s">
        <v>26</v>
      </c>
      <c r="R1549" s="3">
        <v>0</v>
      </c>
      <c r="S1549" s="4">
        <v>0</v>
      </c>
      <c r="T1549" s="4">
        <v>37</v>
      </c>
      <c r="U1549" s="4">
        <v>78</v>
      </c>
      <c r="V1549" s="4">
        <f>IF(ISERROR(VLOOKUP($S$1549,'TAR FIN'!$A$1:$O$99,15,0)),0,VLOOKUP($S$1549,'TAR FIN'!$A$1:$O$99,15,0))</f>
        <v>0</v>
      </c>
      <c r="W1549" s="4">
        <f>IF(ISERROR(VLOOKUP($T$1549,'TAR FIN'!$A$1:$O$99,15,0)),0,VLOOKUP($T$1549,'TAR FIN'!$A$1:$O$99,15,0))</f>
        <v>348.11</v>
      </c>
      <c r="X1549" s="4">
        <f>IF(ISERROR(VLOOKUP($U$1549,'TAR FIN'!$A$1:$O$99,15,0)),0,VLOOKUP($U$1549,'TAR FIN'!$A$1:$O$99,15,0))</f>
        <v>202.86</v>
      </c>
      <c r="Y1549" s="4"/>
      <c r="Z1549" s="4">
        <f ca="1">('TUSD BE'!$AM$44+'TUSD BF'!$AM$44+'TUSD CVA'!$AM$44)*(1-CUSTOS!$M$38)</f>
        <v>438.62226072739548</v>
      </c>
      <c r="AA1549" s="4">
        <f>('TE BE'!$AA$26+'TE BF'!$AA$26+'TE CVA'!$AA$26)*(1-CUSTOS!$M$38)</f>
        <v>266.83676082414206</v>
      </c>
      <c r="AB1549" s="4">
        <f>$K$1549*$V$1549</f>
        <v>0</v>
      </c>
      <c r="AC1549" s="4">
        <f>$M$1549*$W$1549</f>
        <v>81.805849999999992</v>
      </c>
      <c r="AD1549" s="4">
        <f>$O$1549*$X$1549</f>
        <v>47.6721</v>
      </c>
      <c r="AE1549" s="4">
        <f>$K$1549*$Y$1549</f>
        <v>0</v>
      </c>
      <c r="AF1549" s="4">
        <f ca="1">$M$1549*$Z$1549</f>
        <v>103.07623127093794</v>
      </c>
      <c r="AG1549" s="4">
        <f>$O$1549*$AA$1549</f>
        <v>62.706638793673378</v>
      </c>
    </row>
    <row r="1550" spans="1:33" ht="11.25" customHeight="1" x14ac:dyDescent="0.25">
      <c r="A1550" s="3" t="s">
        <v>21</v>
      </c>
      <c r="B1550" s="3" t="s">
        <v>44</v>
      </c>
      <c r="C1550" s="3" t="s">
        <v>23</v>
      </c>
      <c r="D1550" s="3" t="s">
        <v>45</v>
      </c>
      <c r="E1550" s="3" t="s">
        <v>53</v>
      </c>
      <c r="F1550" s="3" t="s">
        <v>54</v>
      </c>
      <c r="G1550" s="3" t="s">
        <v>25</v>
      </c>
      <c r="H1550" s="3" t="s">
        <v>25</v>
      </c>
      <c r="I1550" s="6">
        <v>44621</v>
      </c>
      <c r="J1550" s="4">
        <v>0</v>
      </c>
      <c r="K1550" s="4">
        <v>0</v>
      </c>
      <c r="L1550" s="4">
        <v>37.521000000000001</v>
      </c>
      <c r="M1550" s="4">
        <v>37.521000000000001</v>
      </c>
      <c r="N1550" s="4">
        <v>37.521000000000001</v>
      </c>
      <c r="O1550" s="4">
        <v>37.521000000000001</v>
      </c>
      <c r="P1550" s="4">
        <v>0</v>
      </c>
      <c r="Q1550" s="3" t="s">
        <v>26</v>
      </c>
      <c r="R1550" s="3">
        <v>0</v>
      </c>
      <c r="S1550" s="4">
        <v>0</v>
      </c>
      <c r="T1550" s="4">
        <v>37</v>
      </c>
      <c r="U1550" s="4">
        <v>78</v>
      </c>
      <c r="V1550" s="4">
        <f>IF(ISERROR(VLOOKUP($S$1550,'TAR FIN'!$A$1:$O$99,15,0)),0,VLOOKUP($S$1550,'TAR FIN'!$A$1:$O$99,15,0))</f>
        <v>0</v>
      </c>
      <c r="W1550" s="4">
        <f>IF(ISERROR(VLOOKUP($T$1550,'TAR FIN'!$A$1:$O$99,15,0)),0,VLOOKUP($T$1550,'TAR FIN'!$A$1:$O$99,15,0))</f>
        <v>348.11</v>
      </c>
      <c r="X1550" s="4">
        <f>IF(ISERROR(VLOOKUP($U$1550,'TAR FIN'!$A$1:$O$99,15,0)),0,VLOOKUP($U$1550,'TAR FIN'!$A$1:$O$99,15,0))</f>
        <v>202.86</v>
      </c>
      <c r="Y1550" s="4"/>
      <c r="Z1550" s="4">
        <f ca="1">('TUSD BE'!$AM$44+'TUSD BF'!$AM$44+'TUSD CVA'!$AM$44)*(1-CUSTOS!$M$38)</f>
        <v>438.62226072739548</v>
      </c>
      <c r="AA1550" s="4">
        <f>('TE BE'!$AA$26+'TE BF'!$AA$26+'TE CVA'!$AA$26)*(1-CUSTOS!$M$38)</f>
        <v>266.83676082414206</v>
      </c>
      <c r="AB1550" s="4">
        <f>$K$1550*$V$1550</f>
        <v>0</v>
      </c>
      <c r="AC1550" s="4">
        <f>$M$1550*$W$1550</f>
        <v>13061.435310000001</v>
      </c>
      <c r="AD1550" s="4">
        <f>$O$1550*$X$1550</f>
        <v>7611.5100600000005</v>
      </c>
      <c r="AE1550" s="4">
        <f>$K$1550*$Y$1550</f>
        <v>0</v>
      </c>
      <c r="AF1550" s="4">
        <f ca="1">$M$1550*$Z$1550</f>
        <v>16457.545844752607</v>
      </c>
      <c r="AG1550" s="4">
        <f>$O$1550*$AA$1550</f>
        <v>10011.982102882634</v>
      </c>
    </row>
    <row r="1551" spans="1:33" ht="11.25" customHeight="1" x14ac:dyDescent="0.25">
      <c r="A1551" s="3" t="s">
        <v>56</v>
      </c>
      <c r="B1551" s="3" t="s">
        <v>44</v>
      </c>
      <c r="C1551" s="3" t="s">
        <v>23</v>
      </c>
      <c r="D1551" s="3" t="s">
        <v>45</v>
      </c>
      <c r="E1551" s="3" t="s">
        <v>53</v>
      </c>
      <c r="F1551" s="3" t="s">
        <v>54</v>
      </c>
      <c r="G1551" s="3" t="s">
        <v>25</v>
      </c>
      <c r="H1551" s="3" t="s">
        <v>25</v>
      </c>
      <c r="I1551" s="6">
        <v>44652</v>
      </c>
      <c r="J1551" s="4">
        <v>0</v>
      </c>
      <c r="K1551" s="4">
        <v>0</v>
      </c>
      <c r="L1551" s="4">
        <v>37.521000000000001</v>
      </c>
      <c r="M1551" s="4">
        <v>37.521000000000001</v>
      </c>
      <c r="N1551" s="4">
        <v>37.521000000000001</v>
      </c>
      <c r="O1551" s="4">
        <v>37.521000000000001</v>
      </c>
      <c r="P1551" s="4">
        <v>0</v>
      </c>
      <c r="Q1551" s="3" t="s">
        <v>26</v>
      </c>
      <c r="R1551" s="3">
        <v>0</v>
      </c>
      <c r="S1551" s="4">
        <v>0</v>
      </c>
      <c r="T1551" s="4">
        <v>37</v>
      </c>
      <c r="U1551" s="4">
        <v>78</v>
      </c>
      <c r="V1551" s="4">
        <f>IF(ISERROR(VLOOKUP($S$1551,'TAR FIN'!$A$1:$O$99,15,0)),0,VLOOKUP($S$1551,'TAR FIN'!$A$1:$O$99,15,0))</f>
        <v>0</v>
      </c>
      <c r="W1551" s="4">
        <f>IF(ISERROR(VLOOKUP($T$1551,'TAR FIN'!$A$1:$O$99,15,0)),0,VLOOKUP($T$1551,'TAR FIN'!$A$1:$O$99,15,0))</f>
        <v>348.11</v>
      </c>
      <c r="X1551" s="4">
        <f>IF(ISERROR(VLOOKUP($U$1551,'TAR FIN'!$A$1:$O$99,15,0)),0,VLOOKUP($U$1551,'TAR FIN'!$A$1:$O$99,15,0))</f>
        <v>202.86</v>
      </c>
      <c r="Y1551" s="4"/>
      <c r="Z1551" s="4">
        <f ca="1">('TUSD BE'!$AM$44+'TUSD BF'!$AM$44+'TUSD CVA'!$AM$44)*(1-CUSTOS!$M$38)</f>
        <v>438.62226072739548</v>
      </c>
      <c r="AA1551" s="4">
        <f>('TE BE'!$AA$26+'TE BF'!$AA$26+'TE CVA'!$AA$26)*(1-CUSTOS!$M$38)</f>
        <v>266.83676082414206</v>
      </c>
      <c r="AB1551" s="4">
        <f>$K$1551*$V$1551</f>
        <v>0</v>
      </c>
      <c r="AC1551" s="4">
        <f>$M$1551*$W$1551</f>
        <v>13061.435310000001</v>
      </c>
      <c r="AD1551" s="4">
        <f>$O$1551*$X$1551</f>
        <v>7611.5100600000005</v>
      </c>
      <c r="AE1551" s="4">
        <f>$K$1551*$Y$1551</f>
        <v>0</v>
      </c>
      <c r="AF1551" s="4">
        <f ca="1">$M$1551*$Z$1551</f>
        <v>16457.545844752607</v>
      </c>
      <c r="AG1551" s="4">
        <f>$O$1551*$AA$1551</f>
        <v>10011.982102882634</v>
      </c>
    </row>
    <row r="1552" spans="1:33" ht="11.25" customHeight="1" x14ac:dyDescent="0.25">
      <c r="A1552" s="3" t="s">
        <v>21</v>
      </c>
      <c r="B1552" s="3" t="s">
        <v>44</v>
      </c>
      <c r="C1552" s="3" t="s">
        <v>23</v>
      </c>
      <c r="D1552" s="3" t="s">
        <v>45</v>
      </c>
      <c r="E1552" s="3" t="s">
        <v>53</v>
      </c>
      <c r="F1552" s="3" t="s">
        <v>55</v>
      </c>
      <c r="G1552" s="3" t="s">
        <v>25</v>
      </c>
      <c r="H1552" s="3" t="s">
        <v>25</v>
      </c>
      <c r="I1552" s="6">
        <v>44317</v>
      </c>
      <c r="J1552" s="4">
        <v>0</v>
      </c>
      <c r="K1552" s="4">
        <v>0</v>
      </c>
      <c r="L1552" s="4">
        <v>23.552</v>
      </c>
      <c r="M1552" s="4">
        <v>6.3590400000000002</v>
      </c>
      <c r="N1552" s="4">
        <v>23.552</v>
      </c>
      <c r="O1552" s="4">
        <v>6.3590400000000002</v>
      </c>
      <c r="P1552" s="4">
        <v>0</v>
      </c>
      <c r="Q1552" s="3" t="s">
        <v>26</v>
      </c>
      <c r="R1552" s="3">
        <v>0</v>
      </c>
      <c r="S1552" s="4">
        <v>0</v>
      </c>
      <c r="T1552" s="4">
        <v>24</v>
      </c>
      <c r="U1552" s="4">
        <v>78</v>
      </c>
      <c r="V1552" s="4">
        <f>IF(ISERROR(VLOOKUP($S$1552,'TAR FIN'!$A$1:$O$99,15,0)),0,VLOOKUP($S$1552,'TAR FIN'!$A$1:$O$99,15,0))</f>
        <v>0</v>
      </c>
      <c r="W1552" s="4">
        <f>IF(ISERROR(VLOOKUP($T$1552,'TAR FIN'!$A$1:$O$99,15,0)),0,VLOOKUP($T$1552,'TAR FIN'!$A$1:$O$99,15,0))</f>
        <v>348.11</v>
      </c>
      <c r="X1552" s="4">
        <f>IF(ISERROR(VLOOKUP($U$1552,'TAR FIN'!$A$1:$O$99,15,0)),0,VLOOKUP($U$1552,'TAR FIN'!$A$1:$O$99,15,0))</f>
        <v>202.86</v>
      </c>
      <c r="Y1552" s="4"/>
      <c r="Z1552" s="4">
        <f ca="1">('TUSD BE'!$AM$44+'TUSD BF'!$AM$44+'TUSD CVA'!$AM$44)*(1-CUSTOS!$M$38)</f>
        <v>438.62226072739548</v>
      </c>
      <c r="AA1552" s="4">
        <f>('TE BE'!$AA$26+'TE BF'!$AA$26+'TE CVA'!$AA$26)*(1-CUSTOS!$M$38)</f>
        <v>266.83676082414206</v>
      </c>
      <c r="AB1552" s="4">
        <f>$K$1552*$V$1552</f>
        <v>0</v>
      </c>
      <c r="AC1552" s="4">
        <f>$M$1552*$W$1552</f>
        <v>2213.6454144000004</v>
      </c>
      <c r="AD1552" s="4">
        <f>$O$1552*$X$1552</f>
        <v>1289.9948544000001</v>
      </c>
      <c r="AE1552" s="4">
        <f>$K$1552*$Y$1552</f>
        <v>0</v>
      </c>
      <c r="AF1552" s="4">
        <f ca="1">$M$1552*$Z$1552</f>
        <v>2789.2165008559373</v>
      </c>
      <c r="AG1552" s="4">
        <f>$O$1552*$AA$1552</f>
        <v>1696.8256355511523</v>
      </c>
    </row>
    <row r="1553" spans="1:33" ht="11.25" customHeight="1" x14ac:dyDescent="0.25">
      <c r="A1553" s="3" t="s">
        <v>21</v>
      </c>
      <c r="B1553" s="3" t="s">
        <v>44</v>
      </c>
      <c r="C1553" s="3" t="s">
        <v>23</v>
      </c>
      <c r="D1553" s="3" t="s">
        <v>45</v>
      </c>
      <c r="E1553" s="3" t="s">
        <v>53</v>
      </c>
      <c r="F1553" s="3" t="s">
        <v>55</v>
      </c>
      <c r="G1553" s="3" t="s">
        <v>25</v>
      </c>
      <c r="H1553" s="3" t="s">
        <v>25</v>
      </c>
      <c r="I1553" s="6">
        <v>44348</v>
      </c>
      <c r="J1553" s="4">
        <v>0</v>
      </c>
      <c r="K1553" s="4">
        <v>0</v>
      </c>
      <c r="L1553" s="4">
        <v>30.077999999999999</v>
      </c>
      <c r="M1553" s="4">
        <v>8.1210599999999999</v>
      </c>
      <c r="N1553" s="4">
        <v>30.077999999999999</v>
      </c>
      <c r="O1553" s="4">
        <v>8.1210599999999999</v>
      </c>
      <c r="P1553" s="4">
        <v>0</v>
      </c>
      <c r="Q1553" s="3" t="s">
        <v>26</v>
      </c>
      <c r="R1553" s="3">
        <v>0</v>
      </c>
      <c r="S1553" s="4">
        <v>0</v>
      </c>
      <c r="T1553" s="4">
        <v>24</v>
      </c>
      <c r="U1553" s="4">
        <v>78</v>
      </c>
      <c r="V1553" s="4">
        <f>IF(ISERROR(VLOOKUP($S$1553,'TAR FIN'!$A$1:$O$99,15,0)),0,VLOOKUP($S$1553,'TAR FIN'!$A$1:$O$99,15,0))</f>
        <v>0</v>
      </c>
      <c r="W1553" s="4">
        <f>IF(ISERROR(VLOOKUP($T$1553,'TAR FIN'!$A$1:$O$99,15,0)),0,VLOOKUP($T$1553,'TAR FIN'!$A$1:$O$99,15,0))</f>
        <v>348.11</v>
      </c>
      <c r="X1553" s="4">
        <f>IF(ISERROR(VLOOKUP($U$1553,'TAR FIN'!$A$1:$O$99,15,0)),0,VLOOKUP($U$1553,'TAR FIN'!$A$1:$O$99,15,0))</f>
        <v>202.86</v>
      </c>
      <c r="Y1553" s="4"/>
      <c r="Z1553" s="4">
        <f ca="1">('TUSD BE'!$AM$44+'TUSD BF'!$AM$44+'TUSD CVA'!$AM$44)*(1-CUSTOS!$M$38)</f>
        <v>438.62226072739548</v>
      </c>
      <c r="AA1553" s="4">
        <f>('TE BE'!$AA$26+'TE BF'!$AA$26+'TE CVA'!$AA$26)*(1-CUSTOS!$M$38)</f>
        <v>266.83676082414206</v>
      </c>
      <c r="AB1553" s="4">
        <f>$K$1553*$V$1553</f>
        <v>0</v>
      </c>
      <c r="AC1553" s="4">
        <f>$M$1553*$W$1553</f>
        <v>2827.0221965999999</v>
      </c>
      <c r="AD1553" s="4">
        <f>$O$1553*$X$1553</f>
        <v>1647.4382316000001</v>
      </c>
      <c r="AE1553" s="4">
        <f>$K$1553*$Y$1553</f>
        <v>0</v>
      </c>
      <c r="AF1553" s="4">
        <f ca="1">$M$1553*$Z$1553</f>
        <v>3562.0776967028223</v>
      </c>
      <c r="AG1553" s="4">
        <f>$O$1553*$AA$1553</f>
        <v>2166.9973448585069</v>
      </c>
    </row>
    <row r="1554" spans="1:33" ht="11.25" customHeight="1" x14ac:dyDescent="0.25">
      <c r="A1554" s="3" t="s">
        <v>27</v>
      </c>
      <c r="B1554" s="3" t="s">
        <v>44</v>
      </c>
      <c r="C1554" s="3" t="s">
        <v>23</v>
      </c>
      <c r="D1554" s="3" t="s">
        <v>45</v>
      </c>
      <c r="E1554" s="3" t="s">
        <v>53</v>
      </c>
      <c r="F1554" s="3" t="s">
        <v>55</v>
      </c>
      <c r="G1554" s="3" t="s">
        <v>25</v>
      </c>
      <c r="H1554" s="3" t="s">
        <v>25</v>
      </c>
      <c r="I1554" s="6">
        <v>44348</v>
      </c>
      <c r="J1554" s="4">
        <v>0</v>
      </c>
      <c r="K1554" s="4">
        <v>0</v>
      </c>
      <c r="L1554" s="4">
        <v>20.071000000000002</v>
      </c>
      <c r="M1554" s="4">
        <v>5.4191700000000003</v>
      </c>
      <c r="N1554" s="4">
        <v>20.071000000000002</v>
      </c>
      <c r="O1554" s="4">
        <v>5.4191700000000003</v>
      </c>
      <c r="P1554" s="4">
        <v>0</v>
      </c>
      <c r="Q1554" s="3" t="s">
        <v>26</v>
      </c>
      <c r="R1554" s="3">
        <v>0</v>
      </c>
      <c r="S1554" s="4">
        <v>0</v>
      </c>
      <c r="T1554" s="4">
        <v>24</v>
      </c>
      <c r="U1554" s="4">
        <v>78</v>
      </c>
      <c r="V1554" s="4">
        <f>IF(ISERROR(VLOOKUP($S$1554,'TAR FIN'!$A$1:$O$99,15,0)),0,VLOOKUP($S$1554,'TAR FIN'!$A$1:$O$99,15,0))</f>
        <v>0</v>
      </c>
      <c r="W1554" s="4">
        <f>IF(ISERROR(VLOOKUP($T$1554,'TAR FIN'!$A$1:$O$99,15,0)),0,VLOOKUP($T$1554,'TAR FIN'!$A$1:$O$99,15,0))</f>
        <v>348.11</v>
      </c>
      <c r="X1554" s="4">
        <f>IF(ISERROR(VLOOKUP($U$1554,'TAR FIN'!$A$1:$O$99,15,0)),0,VLOOKUP($U$1554,'TAR FIN'!$A$1:$O$99,15,0))</f>
        <v>202.86</v>
      </c>
      <c r="Y1554" s="4"/>
      <c r="Z1554" s="4">
        <f ca="1">('TUSD BE'!$AM$44+'TUSD BF'!$AM$44+'TUSD CVA'!$AM$44)*(1-CUSTOS!$M$38)</f>
        <v>438.62226072739548</v>
      </c>
      <c r="AA1554" s="4">
        <f>('TE BE'!$AA$26+'TE BF'!$AA$26+'TE CVA'!$AA$26)*(1-CUSTOS!$M$38)</f>
        <v>266.83676082414206</v>
      </c>
      <c r="AB1554" s="4">
        <f>$K$1554*$V$1554</f>
        <v>0</v>
      </c>
      <c r="AC1554" s="4">
        <f>$M$1554*$W$1554</f>
        <v>1886.4672687000002</v>
      </c>
      <c r="AD1554" s="4">
        <f>$O$1554*$X$1554</f>
        <v>1099.3328262000002</v>
      </c>
      <c r="AE1554" s="4">
        <f>$K$1554*$Y$1554</f>
        <v>0</v>
      </c>
      <c r="AF1554" s="4">
        <f ca="1">$M$1554*$Z$1554</f>
        <v>2376.96859666608</v>
      </c>
      <c r="AG1554" s="4">
        <f>$O$1554*$AA$1554</f>
        <v>1446.0337691553659</v>
      </c>
    </row>
    <row r="1555" spans="1:33" ht="11.25" customHeight="1" x14ac:dyDescent="0.25">
      <c r="A1555" s="3" t="s">
        <v>21</v>
      </c>
      <c r="B1555" s="3" t="s">
        <v>44</v>
      </c>
      <c r="C1555" s="3" t="s">
        <v>23</v>
      </c>
      <c r="D1555" s="3" t="s">
        <v>45</v>
      </c>
      <c r="E1555" s="3" t="s">
        <v>53</v>
      </c>
      <c r="F1555" s="3" t="s">
        <v>55</v>
      </c>
      <c r="G1555" s="3" t="s">
        <v>25</v>
      </c>
      <c r="H1555" s="3" t="s">
        <v>25</v>
      </c>
      <c r="I1555" s="6">
        <v>44378</v>
      </c>
      <c r="J1555" s="4">
        <v>0</v>
      </c>
      <c r="K1555" s="4">
        <v>0</v>
      </c>
      <c r="L1555" s="4">
        <v>30.792999999999999</v>
      </c>
      <c r="M1555" s="4">
        <v>8.3141099999999994</v>
      </c>
      <c r="N1555" s="4">
        <v>30.792999999999999</v>
      </c>
      <c r="O1555" s="4">
        <v>8.3141099999999994</v>
      </c>
      <c r="P1555" s="4">
        <v>0</v>
      </c>
      <c r="Q1555" s="3" t="s">
        <v>26</v>
      </c>
      <c r="R1555" s="3">
        <v>0</v>
      </c>
      <c r="S1555" s="4">
        <v>0</v>
      </c>
      <c r="T1555" s="4">
        <v>24</v>
      </c>
      <c r="U1555" s="4">
        <v>78</v>
      </c>
      <c r="V1555" s="4">
        <f>IF(ISERROR(VLOOKUP($S$1555,'TAR FIN'!$A$1:$O$99,15,0)),0,VLOOKUP($S$1555,'TAR FIN'!$A$1:$O$99,15,0))</f>
        <v>0</v>
      </c>
      <c r="W1555" s="4">
        <f>IF(ISERROR(VLOOKUP($T$1555,'TAR FIN'!$A$1:$O$99,15,0)),0,VLOOKUP($T$1555,'TAR FIN'!$A$1:$O$99,15,0))</f>
        <v>348.11</v>
      </c>
      <c r="X1555" s="4">
        <f>IF(ISERROR(VLOOKUP($U$1555,'TAR FIN'!$A$1:$O$99,15,0)),0,VLOOKUP($U$1555,'TAR FIN'!$A$1:$O$99,15,0))</f>
        <v>202.86</v>
      </c>
      <c r="Y1555" s="4"/>
      <c r="Z1555" s="4">
        <f ca="1">('TUSD BE'!$AM$44+'TUSD BF'!$AM$44+'TUSD CVA'!$AM$44)*(1-CUSTOS!$M$38)</f>
        <v>438.62226072739548</v>
      </c>
      <c r="AA1555" s="4">
        <f>('TE BE'!$AA$26+'TE BF'!$AA$26+'TE CVA'!$AA$26)*(1-CUSTOS!$M$38)</f>
        <v>266.83676082414206</v>
      </c>
      <c r="AB1555" s="4">
        <f>$K$1555*$V$1555</f>
        <v>0</v>
      </c>
      <c r="AC1555" s="4">
        <f>$M$1555*$W$1555</f>
        <v>2894.2248320999997</v>
      </c>
      <c r="AD1555" s="4">
        <f>$O$1555*$X$1555</f>
        <v>1686.6003545999999</v>
      </c>
      <c r="AE1555" s="4">
        <f>$K$1555*$Y$1555</f>
        <v>0</v>
      </c>
      <c r="AF1555" s="4">
        <f ca="1">$M$1555*$Z$1555</f>
        <v>3646.7537241362456</v>
      </c>
      <c r="AG1555" s="4">
        <f>$O$1555*$AA$1555</f>
        <v>2218.5101815356074</v>
      </c>
    </row>
    <row r="1556" spans="1:33" ht="11.25" customHeight="1" x14ac:dyDescent="0.25">
      <c r="A1556" s="3" t="s">
        <v>27</v>
      </c>
      <c r="B1556" s="3" t="s">
        <v>44</v>
      </c>
      <c r="C1556" s="3" t="s">
        <v>23</v>
      </c>
      <c r="D1556" s="3" t="s">
        <v>45</v>
      </c>
      <c r="E1556" s="3" t="s">
        <v>53</v>
      </c>
      <c r="F1556" s="3" t="s">
        <v>55</v>
      </c>
      <c r="G1556" s="3" t="s">
        <v>25</v>
      </c>
      <c r="H1556" s="3" t="s">
        <v>25</v>
      </c>
      <c r="I1556" s="6">
        <v>44378</v>
      </c>
      <c r="J1556" s="4">
        <v>0</v>
      </c>
      <c r="K1556" s="4">
        <v>0</v>
      </c>
      <c r="L1556" s="4">
        <v>-0.95299999999999996</v>
      </c>
      <c r="M1556" s="4">
        <v>-0.25730999999999998</v>
      </c>
      <c r="N1556" s="4">
        <v>-0.95299999999999996</v>
      </c>
      <c r="O1556" s="4">
        <v>-0.25730999999999998</v>
      </c>
      <c r="P1556" s="4">
        <v>0</v>
      </c>
      <c r="Q1556" s="3" t="s">
        <v>26</v>
      </c>
      <c r="R1556" s="3">
        <v>0</v>
      </c>
      <c r="S1556" s="4">
        <v>0</v>
      </c>
      <c r="T1556" s="4">
        <v>24</v>
      </c>
      <c r="U1556" s="4">
        <v>78</v>
      </c>
      <c r="V1556" s="4">
        <f>IF(ISERROR(VLOOKUP($S$1556,'TAR FIN'!$A$1:$O$99,15,0)),0,VLOOKUP($S$1556,'TAR FIN'!$A$1:$O$99,15,0))</f>
        <v>0</v>
      </c>
      <c r="W1556" s="4">
        <f>IF(ISERROR(VLOOKUP($T$1556,'TAR FIN'!$A$1:$O$99,15,0)),0,VLOOKUP($T$1556,'TAR FIN'!$A$1:$O$99,15,0))</f>
        <v>348.11</v>
      </c>
      <c r="X1556" s="4">
        <f>IF(ISERROR(VLOOKUP($U$1556,'TAR FIN'!$A$1:$O$99,15,0)),0,VLOOKUP($U$1556,'TAR FIN'!$A$1:$O$99,15,0))</f>
        <v>202.86</v>
      </c>
      <c r="Y1556" s="4"/>
      <c r="Z1556" s="4">
        <f ca="1">('TUSD BE'!$AM$44+'TUSD BF'!$AM$44+'TUSD CVA'!$AM$44)*(1-CUSTOS!$M$38)</f>
        <v>438.62226072739548</v>
      </c>
      <c r="AA1556" s="4">
        <f>('TE BE'!$AA$26+'TE BF'!$AA$26+'TE CVA'!$AA$26)*(1-CUSTOS!$M$38)</f>
        <v>266.83676082414206</v>
      </c>
      <c r="AB1556" s="4">
        <f>$K$1556*$V$1556</f>
        <v>0</v>
      </c>
      <c r="AC1556" s="4">
        <f>$M$1556*$W$1556</f>
        <v>-89.572184100000001</v>
      </c>
      <c r="AD1556" s="4">
        <f>$O$1556*$X$1556</f>
        <v>-52.197906600000003</v>
      </c>
      <c r="AE1556" s="4">
        <f>$K$1556*$Y$1556</f>
        <v>0</v>
      </c>
      <c r="AF1556" s="4">
        <f ca="1">$M$1556*$Z$1556</f>
        <v>-112.86189390776613</v>
      </c>
      <c r="AG1556" s="4">
        <f>$O$1556*$AA$1556</f>
        <v>-68.659766927659987</v>
      </c>
    </row>
    <row r="1557" spans="1:33" ht="11.25" customHeight="1" x14ac:dyDescent="0.25">
      <c r="A1557" s="3" t="s">
        <v>21</v>
      </c>
      <c r="B1557" s="3" t="s">
        <v>44</v>
      </c>
      <c r="C1557" s="3" t="s">
        <v>23</v>
      </c>
      <c r="D1557" s="3" t="s">
        <v>45</v>
      </c>
      <c r="E1557" s="3" t="s">
        <v>53</v>
      </c>
      <c r="F1557" s="3" t="s">
        <v>55</v>
      </c>
      <c r="G1557" s="3" t="s">
        <v>25</v>
      </c>
      <c r="H1557" s="3" t="s">
        <v>25</v>
      </c>
      <c r="I1557" s="6">
        <v>44409</v>
      </c>
      <c r="J1557" s="4">
        <v>0</v>
      </c>
      <c r="K1557" s="4">
        <v>0</v>
      </c>
      <c r="L1557" s="4">
        <v>31.149000000000001</v>
      </c>
      <c r="M1557" s="4">
        <v>8.4102300000000003</v>
      </c>
      <c r="N1557" s="4">
        <v>31.149000000000001</v>
      </c>
      <c r="O1557" s="4">
        <v>8.4102300000000003</v>
      </c>
      <c r="P1557" s="4">
        <v>0</v>
      </c>
      <c r="Q1557" s="3" t="s">
        <v>26</v>
      </c>
      <c r="R1557" s="3">
        <v>0</v>
      </c>
      <c r="S1557" s="4">
        <v>0</v>
      </c>
      <c r="T1557" s="4">
        <v>24</v>
      </c>
      <c r="U1557" s="4">
        <v>78</v>
      </c>
      <c r="V1557" s="4">
        <f>IF(ISERROR(VLOOKUP($S$1557,'TAR FIN'!$A$1:$O$99,15,0)),0,VLOOKUP($S$1557,'TAR FIN'!$A$1:$O$99,15,0))</f>
        <v>0</v>
      </c>
      <c r="W1557" s="4">
        <f>IF(ISERROR(VLOOKUP($T$1557,'TAR FIN'!$A$1:$O$99,15,0)),0,VLOOKUP($T$1557,'TAR FIN'!$A$1:$O$99,15,0))</f>
        <v>348.11</v>
      </c>
      <c r="X1557" s="4">
        <f>IF(ISERROR(VLOOKUP($U$1557,'TAR FIN'!$A$1:$O$99,15,0)),0,VLOOKUP($U$1557,'TAR FIN'!$A$1:$O$99,15,0))</f>
        <v>202.86</v>
      </c>
      <c r="Y1557" s="4"/>
      <c r="Z1557" s="4">
        <f ca="1">('TUSD BE'!$AM$44+'TUSD BF'!$AM$44+'TUSD CVA'!$AM$44)*(1-CUSTOS!$M$38)</f>
        <v>438.62226072739548</v>
      </c>
      <c r="AA1557" s="4">
        <f>('TE BE'!$AA$26+'TE BF'!$AA$26+'TE CVA'!$AA$26)*(1-CUSTOS!$M$38)</f>
        <v>266.83676082414206</v>
      </c>
      <c r="AB1557" s="4">
        <f>$K$1557*$V$1557</f>
        <v>0</v>
      </c>
      <c r="AC1557" s="4">
        <f>$M$1557*$W$1557</f>
        <v>2927.6851653000003</v>
      </c>
      <c r="AD1557" s="4">
        <f>$O$1557*$X$1557</f>
        <v>1706.0992578000003</v>
      </c>
      <c r="AE1557" s="4">
        <f>$K$1557*$Y$1557</f>
        <v>0</v>
      </c>
      <c r="AF1557" s="4">
        <f ca="1">$M$1557*$Z$1557</f>
        <v>3688.9140958373637</v>
      </c>
      <c r="AG1557" s="4">
        <f>$O$1557*$AA$1557</f>
        <v>2244.1585309860243</v>
      </c>
    </row>
    <row r="1558" spans="1:33" ht="11.25" customHeight="1" x14ac:dyDescent="0.25">
      <c r="A1558" s="3" t="s">
        <v>27</v>
      </c>
      <c r="B1558" s="3" t="s">
        <v>44</v>
      </c>
      <c r="C1558" s="3" t="s">
        <v>23</v>
      </c>
      <c r="D1558" s="3" t="s">
        <v>45</v>
      </c>
      <c r="E1558" s="3" t="s">
        <v>53</v>
      </c>
      <c r="F1558" s="3" t="s">
        <v>55</v>
      </c>
      <c r="G1558" s="3" t="s">
        <v>25</v>
      </c>
      <c r="H1558" s="3" t="s">
        <v>25</v>
      </c>
      <c r="I1558" s="6">
        <v>44409</v>
      </c>
      <c r="J1558" s="4">
        <v>0</v>
      </c>
      <c r="K1558" s="4">
        <v>0</v>
      </c>
      <c r="L1558" s="4">
        <v>-2.5870000000000002</v>
      </c>
      <c r="M1558" s="4">
        <v>-0.69849000000000006</v>
      </c>
      <c r="N1558" s="4">
        <v>-2.5870000000000002</v>
      </c>
      <c r="O1558" s="4">
        <v>-0.69849000000000006</v>
      </c>
      <c r="P1558" s="4">
        <v>0</v>
      </c>
      <c r="Q1558" s="3" t="s">
        <v>26</v>
      </c>
      <c r="R1558" s="3">
        <v>0</v>
      </c>
      <c r="S1558" s="4">
        <v>0</v>
      </c>
      <c r="T1558" s="4">
        <v>24</v>
      </c>
      <c r="U1558" s="4">
        <v>78</v>
      </c>
      <c r="V1558" s="4">
        <f>IF(ISERROR(VLOOKUP($S$1558,'TAR FIN'!$A$1:$O$99,15,0)),0,VLOOKUP($S$1558,'TAR FIN'!$A$1:$O$99,15,0))</f>
        <v>0</v>
      </c>
      <c r="W1558" s="4">
        <f>IF(ISERROR(VLOOKUP($T$1558,'TAR FIN'!$A$1:$O$99,15,0)),0,VLOOKUP($T$1558,'TAR FIN'!$A$1:$O$99,15,0))</f>
        <v>348.11</v>
      </c>
      <c r="X1558" s="4">
        <f>IF(ISERROR(VLOOKUP($U$1558,'TAR FIN'!$A$1:$O$99,15,0)),0,VLOOKUP($U$1558,'TAR FIN'!$A$1:$O$99,15,0))</f>
        <v>202.86</v>
      </c>
      <c r="Y1558" s="4"/>
      <c r="Z1558" s="4">
        <f ca="1">('TUSD BE'!$AM$44+'TUSD BF'!$AM$44+'TUSD CVA'!$AM$44)*(1-CUSTOS!$M$38)</f>
        <v>438.62226072739548</v>
      </c>
      <c r="AA1558" s="4">
        <f>('TE BE'!$AA$26+'TE BF'!$AA$26+'TE CVA'!$AA$26)*(1-CUSTOS!$M$38)</f>
        <v>266.83676082414206</v>
      </c>
      <c r="AB1558" s="4">
        <f>$K$1558*$V$1558</f>
        <v>0</v>
      </c>
      <c r="AC1558" s="4">
        <f>$M$1558*$W$1558</f>
        <v>-243.15135390000003</v>
      </c>
      <c r="AD1558" s="4">
        <f>$O$1558*$X$1558</f>
        <v>-141.69568140000001</v>
      </c>
      <c r="AE1558" s="4">
        <f>$K$1558*$Y$1558</f>
        <v>0</v>
      </c>
      <c r="AF1558" s="4">
        <f ca="1">$M$1558*$Z$1558</f>
        <v>-306.37326289547849</v>
      </c>
      <c r="AG1558" s="4">
        <f>$O$1558*$AA$1558</f>
        <v>-186.382809068055</v>
      </c>
    </row>
    <row r="1559" spans="1:33" ht="11.25" customHeight="1" x14ac:dyDescent="0.25">
      <c r="A1559" s="3" t="s">
        <v>21</v>
      </c>
      <c r="B1559" s="3" t="s">
        <v>44</v>
      </c>
      <c r="C1559" s="3" t="s">
        <v>23</v>
      </c>
      <c r="D1559" s="3" t="s">
        <v>45</v>
      </c>
      <c r="E1559" s="3" t="s">
        <v>53</v>
      </c>
      <c r="F1559" s="3" t="s">
        <v>55</v>
      </c>
      <c r="G1559" s="3" t="s">
        <v>25</v>
      </c>
      <c r="H1559" s="3" t="s">
        <v>25</v>
      </c>
      <c r="I1559" s="6">
        <v>44440</v>
      </c>
      <c r="J1559" s="4">
        <v>0</v>
      </c>
      <c r="K1559" s="4">
        <v>0</v>
      </c>
      <c r="L1559" s="4">
        <v>65.122</v>
      </c>
      <c r="M1559" s="4">
        <v>17.582940000000001</v>
      </c>
      <c r="N1559" s="4">
        <v>65.122</v>
      </c>
      <c r="O1559" s="4">
        <v>17.582940000000001</v>
      </c>
      <c r="P1559" s="4">
        <v>0</v>
      </c>
      <c r="Q1559" s="3" t="s">
        <v>26</v>
      </c>
      <c r="R1559" s="3">
        <v>0</v>
      </c>
      <c r="S1559" s="4">
        <v>0</v>
      </c>
      <c r="T1559" s="4">
        <v>24</v>
      </c>
      <c r="U1559" s="4">
        <v>78</v>
      </c>
      <c r="V1559" s="4">
        <f>IF(ISERROR(VLOOKUP($S$1559,'TAR FIN'!$A$1:$O$99,15,0)),0,VLOOKUP($S$1559,'TAR FIN'!$A$1:$O$99,15,0))</f>
        <v>0</v>
      </c>
      <c r="W1559" s="4">
        <f>IF(ISERROR(VLOOKUP($T$1559,'TAR FIN'!$A$1:$O$99,15,0)),0,VLOOKUP($T$1559,'TAR FIN'!$A$1:$O$99,15,0))</f>
        <v>348.11</v>
      </c>
      <c r="X1559" s="4">
        <f>IF(ISERROR(VLOOKUP($U$1559,'TAR FIN'!$A$1:$O$99,15,0)),0,VLOOKUP($U$1559,'TAR FIN'!$A$1:$O$99,15,0))</f>
        <v>202.86</v>
      </c>
      <c r="Y1559" s="4"/>
      <c r="Z1559" s="4">
        <f ca="1">('TUSD BE'!$AM$44+'TUSD BF'!$AM$44+'TUSD CVA'!$AM$44)*(1-CUSTOS!$M$38)</f>
        <v>438.62226072739548</v>
      </c>
      <c r="AA1559" s="4">
        <f>('TE BE'!$AA$26+'TE BF'!$AA$26+'TE CVA'!$AA$26)*(1-CUSTOS!$M$38)</f>
        <v>266.83676082414206</v>
      </c>
      <c r="AB1559" s="4">
        <f>$K$1559*$V$1559</f>
        <v>0</v>
      </c>
      <c r="AC1559" s="4">
        <f>$M$1559*$W$1559</f>
        <v>6120.7972434000003</v>
      </c>
      <c r="AD1559" s="4">
        <f>$O$1559*$X$1559</f>
        <v>3566.8752084000002</v>
      </c>
      <c r="AE1559" s="4">
        <f>$K$1559*$Y$1559</f>
        <v>0</v>
      </c>
      <c r="AF1559" s="4">
        <f ca="1">$M$1559*$Z$1559</f>
        <v>7712.2688930341519</v>
      </c>
      <c r="AG1559" s="4">
        <f>$O$1559*$AA$1559</f>
        <v>4691.7747553652407</v>
      </c>
    </row>
    <row r="1560" spans="1:33" ht="11.25" customHeight="1" x14ac:dyDescent="0.25">
      <c r="A1560" s="3" t="s">
        <v>27</v>
      </c>
      <c r="B1560" s="3" t="s">
        <v>44</v>
      </c>
      <c r="C1560" s="3" t="s">
        <v>23</v>
      </c>
      <c r="D1560" s="3" t="s">
        <v>45</v>
      </c>
      <c r="E1560" s="3" t="s">
        <v>53</v>
      </c>
      <c r="F1560" s="3" t="s">
        <v>55</v>
      </c>
      <c r="G1560" s="3" t="s">
        <v>25</v>
      </c>
      <c r="H1560" s="3" t="s">
        <v>25</v>
      </c>
      <c r="I1560" s="6">
        <v>44440</v>
      </c>
      <c r="J1560" s="4">
        <v>0</v>
      </c>
      <c r="K1560" s="4">
        <v>0</v>
      </c>
      <c r="L1560" s="4">
        <v>-7.5190000000000001</v>
      </c>
      <c r="M1560" s="4">
        <v>-2.0301300000000002</v>
      </c>
      <c r="N1560" s="4">
        <v>-7.5190000000000001</v>
      </c>
      <c r="O1560" s="4">
        <v>-2.0301300000000002</v>
      </c>
      <c r="P1560" s="4">
        <v>0</v>
      </c>
      <c r="Q1560" s="3" t="s">
        <v>26</v>
      </c>
      <c r="R1560" s="3">
        <v>0</v>
      </c>
      <c r="S1560" s="4">
        <v>0</v>
      </c>
      <c r="T1560" s="4">
        <v>24</v>
      </c>
      <c r="U1560" s="4">
        <v>78</v>
      </c>
      <c r="V1560" s="4">
        <f>IF(ISERROR(VLOOKUP($S$1560,'TAR FIN'!$A$1:$O$99,15,0)),0,VLOOKUP($S$1560,'TAR FIN'!$A$1:$O$99,15,0))</f>
        <v>0</v>
      </c>
      <c r="W1560" s="4">
        <f>IF(ISERROR(VLOOKUP($T$1560,'TAR FIN'!$A$1:$O$99,15,0)),0,VLOOKUP($T$1560,'TAR FIN'!$A$1:$O$99,15,0))</f>
        <v>348.11</v>
      </c>
      <c r="X1560" s="4">
        <f>IF(ISERROR(VLOOKUP($U$1560,'TAR FIN'!$A$1:$O$99,15,0)),0,VLOOKUP($U$1560,'TAR FIN'!$A$1:$O$99,15,0))</f>
        <v>202.86</v>
      </c>
      <c r="Y1560" s="4"/>
      <c r="Z1560" s="4">
        <f ca="1">('TUSD BE'!$AM$44+'TUSD BF'!$AM$44+'TUSD CVA'!$AM$44)*(1-CUSTOS!$M$38)</f>
        <v>438.62226072739548</v>
      </c>
      <c r="AA1560" s="4">
        <f>('TE BE'!$AA$26+'TE BF'!$AA$26+'TE CVA'!$AA$26)*(1-CUSTOS!$M$38)</f>
        <v>266.83676082414206</v>
      </c>
      <c r="AB1560" s="4">
        <f>$K$1560*$V$1560</f>
        <v>0</v>
      </c>
      <c r="AC1560" s="4">
        <f>$M$1560*$W$1560</f>
        <v>-706.70855430000006</v>
      </c>
      <c r="AD1560" s="4">
        <f>$O$1560*$X$1560</f>
        <v>-411.83217180000008</v>
      </c>
      <c r="AE1560" s="4">
        <f>$K$1560*$Y$1560</f>
        <v>0</v>
      </c>
      <c r="AF1560" s="4">
        <f ca="1">$M$1560*$Z$1560</f>
        <v>-890.46021017050748</v>
      </c>
      <c r="AG1560" s="4">
        <f>$O$1560*$AA$1560</f>
        <v>-541.71331325191557</v>
      </c>
    </row>
    <row r="1561" spans="1:33" ht="11.25" customHeight="1" x14ac:dyDescent="0.25">
      <c r="A1561" s="3" t="s">
        <v>21</v>
      </c>
      <c r="B1561" s="3" t="s">
        <v>44</v>
      </c>
      <c r="C1561" s="3" t="s">
        <v>23</v>
      </c>
      <c r="D1561" s="3" t="s">
        <v>45</v>
      </c>
      <c r="E1561" s="3" t="s">
        <v>53</v>
      </c>
      <c r="F1561" s="3" t="s">
        <v>55</v>
      </c>
      <c r="G1561" s="3" t="s">
        <v>25</v>
      </c>
      <c r="H1561" s="3" t="s">
        <v>25</v>
      </c>
      <c r="I1561" s="6">
        <v>44470</v>
      </c>
      <c r="J1561" s="4">
        <v>0</v>
      </c>
      <c r="K1561" s="4">
        <v>0</v>
      </c>
      <c r="L1561" s="4">
        <v>79.238</v>
      </c>
      <c r="M1561" s="4">
        <v>21.394259999999999</v>
      </c>
      <c r="N1561" s="4">
        <v>79.238</v>
      </c>
      <c r="O1561" s="4">
        <v>21.394259999999999</v>
      </c>
      <c r="P1561" s="4">
        <v>0</v>
      </c>
      <c r="Q1561" s="3" t="s">
        <v>26</v>
      </c>
      <c r="R1561" s="3">
        <v>0</v>
      </c>
      <c r="S1561" s="4">
        <v>0</v>
      </c>
      <c r="T1561" s="4">
        <v>24</v>
      </c>
      <c r="U1561" s="4">
        <v>78</v>
      </c>
      <c r="V1561" s="4">
        <f>IF(ISERROR(VLOOKUP($S$1561,'TAR FIN'!$A$1:$O$99,15,0)),0,VLOOKUP($S$1561,'TAR FIN'!$A$1:$O$99,15,0))</f>
        <v>0</v>
      </c>
      <c r="W1561" s="4">
        <f>IF(ISERROR(VLOOKUP($T$1561,'TAR FIN'!$A$1:$O$99,15,0)),0,VLOOKUP($T$1561,'TAR FIN'!$A$1:$O$99,15,0))</f>
        <v>348.11</v>
      </c>
      <c r="X1561" s="4">
        <f>IF(ISERROR(VLOOKUP($U$1561,'TAR FIN'!$A$1:$O$99,15,0)),0,VLOOKUP($U$1561,'TAR FIN'!$A$1:$O$99,15,0))</f>
        <v>202.86</v>
      </c>
      <c r="Y1561" s="4"/>
      <c r="Z1561" s="4">
        <f ca="1">('TUSD BE'!$AM$44+'TUSD BF'!$AM$44+'TUSD CVA'!$AM$44)*(1-CUSTOS!$M$38)</f>
        <v>438.62226072739548</v>
      </c>
      <c r="AA1561" s="4">
        <f>('TE BE'!$AA$26+'TE BF'!$AA$26+'TE CVA'!$AA$26)*(1-CUSTOS!$M$38)</f>
        <v>266.83676082414206</v>
      </c>
      <c r="AB1561" s="4">
        <f>$K$1561*$V$1561</f>
        <v>0</v>
      </c>
      <c r="AC1561" s="4">
        <f>$M$1561*$W$1561</f>
        <v>7447.5558486</v>
      </c>
      <c r="AD1561" s="4">
        <f>$O$1561*$X$1561</f>
        <v>4340.0395835999998</v>
      </c>
      <c r="AE1561" s="4">
        <f>$K$1561*$Y$1561</f>
        <v>0</v>
      </c>
      <c r="AF1561" s="4">
        <f ca="1">$M$1561*$Z$1561</f>
        <v>9383.9986877896881</v>
      </c>
      <c r="AG1561" s="4">
        <f>$O$1561*$AA$1561</f>
        <v>5708.7750386295093</v>
      </c>
    </row>
    <row r="1562" spans="1:33" ht="11.25" customHeight="1" x14ac:dyDescent="0.25">
      <c r="A1562" s="3" t="s">
        <v>27</v>
      </c>
      <c r="B1562" s="3" t="s">
        <v>44</v>
      </c>
      <c r="C1562" s="3" t="s">
        <v>23</v>
      </c>
      <c r="D1562" s="3" t="s">
        <v>45</v>
      </c>
      <c r="E1562" s="3" t="s">
        <v>53</v>
      </c>
      <c r="F1562" s="3" t="s">
        <v>55</v>
      </c>
      <c r="G1562" s="3" t="s">
        <v>25</v>
      </c>
      <c r="H1562" s="3" t="s">
        <v>25</v>
      </c>
      <c r="I1562" s="6">
        <v>44470</v>
      </c>
      <c r="J1562" s="4">
        <v>0</v>
      </c>
      <c r="K1562" s="4">
        <v>0</v>
      </c>
      <c r="L1562" s="4">
        <v>-0.97299999999999998</v>
      </c>
      <c r="M1562" s="4">
        <v>-0.26271</v>
      </c>
      <c r="N1562" s="4">
        <v>-0.97299999999999998</v>
      </c>
      <c r="O1562" s="4">
        <v>-0.26271</v>
      </c>
      <c r="P1562" s="4">
        <v>0</v>
      </c>
      <c r="Q1562" s="3" t="s">
        <v>26</v>
      </c>
      <c r="R1562" s="3">
        <v>0</v>
      </c>
      <c r="S1562" s="4">
        <v>0</v>
      </c>
      <c r="T1562" s="4">
        <v>24</v>
      </c>
      <c r="U1562" s="4">
        <v>78</v>
      </c>
      <c r="V1562" s="4">
        <f>IF(ISERROR(VLOOKUP($S$1562,'TAR FIN'!$A$1:$O$99,15,0)),0,VLOOKUP($S$1562,'TAR FIN'!$A$1:$O$99,15,0))</f>
        <v>0</v>
      </c>
      <c r="W1562" s="4">
        <f>IF(ISERROR(VLOOKUP($T$1562,'TAR FIN'!$A$1:$O$99,15,0)),0,VLOOKUP($T$1562,'TAR FIN'!$A$1:$O$99,15,0))</f>
        <v>348.11</v>
      </c>
      <c r="X1562" s="4">
        <f>IF(ISERROR(VLOOKUP($U$1562,'TAR FIN'!$A$1:$O$99,15,0)),0,VLOOKUP($U$1562,'TAR FIN'!$A$1:$O$99,15,0))</f>
        <v>202.86</v>
      </c>
      <c r="Y1562" s="4"/>
      <c r="Z1562" s="4">
        <f ca="1">('TUSD BE'!$AM$44+'TUSD BF'!$AM$44+'TUSD CVA'!$AM$44)*(1-CUSTOS!$M$38)</f>
        <v>438.62226072739548</v>
      </c>
      <c r="AA1562" s="4">
        <f>('TE BE'!$AA$26+'TE BF'!$AA$26+'TE CVA'!$AA$26)*(1-CUSTOS!$M$38)</f>
        <v>266.83676082414206</v>
      </c>
      <c r="AB1562" s="4">
        <f>$K$1562*$V$1562</f>
        <v>0</v>
      </c>
      <c r="AC1562" s="4">
        <f>$M$1562*$W$1562</f>
        <v>-91.451978100000005</v>
      </c>
      <c r="AD1562" s="4">
        <f>$O$1562*$X$1562</f>
        <v>-53.293350600000004</v>
      </c>
      <c r="AE1562" s="4">
        <f>$K$1562*$Y$1562</f>
        <v>0</v>
      </c>
      <c r="AF1562" s="4">
        <f ca="1">$M$1562*$Z$1562</f>
        <v>-115.23045411569407</v>
      </c>
      <c r="AG1562" s="4">
        <f>$O$1562*$AA$1562</f>
        <v>-70.100685436110368</v>
      </c>
    </row>
    <row r="1563" spans="1:33" ht="11.25" customHeight="1" x14ac:dyDescent="0.25">
      <c r="A1563" s="3" t="s">
        <v>21</v>
      </c>
      <c r="B1563" s="3" t="s">
        <v>44</v>
      </c>
      <c r="C1563" s="3" t="s">
        <v>23</v>
      </c>
      <c r="D1563" s="3" t="s">
        <v>45</v>
      </c>
      <c r="E1563" s="3" t="s">
        <v>53</v>
      </c>
      <c r="F1563" s="3" t="s">
        <v>55</v>
      </c>
      <c r="G1563" s="3" t="s">
        <v>25</v>
      </c>
      <c r="H1563" s="3" t="s">
        <v>25</v>
      </c>
      <c r="I1563" s="6">
        <v>44501</v>
      </c>
      <c r="J1563" s="4">
        <v>0</v>
      </c>
      <c r="K1563" s="4">
        <v>0</v>
      </c>
      <c r="L1563" s="4">
        <v>123.11499999999999</v>
      </c>
      <c r="M1563" s="4">
        <v>33.241050000000001</v>
      </c>
      <c r="N1563" s="4">
        <v>123.11499999999999</v>
      </c>
      <c r="O1563" s="4">
        <v>33.241050000000001</v>
      </c>
      <c r="P1563" s="4">
        <v>0</v>
      </c>
      <c r="Q1563" s="3" t="s">
        <v>26</v>
      </c>
      <c r="R1563" s="3">
        <v>0</v>
      </c>
      <c r="S1563" s="4">
        <v>0</v>
      </c>
      <c r="T1563" s="4">
        <v>24</v>
      </c>
      <c r="U1563" s="4">
        <v>78</v>
      </c>
      <c r="V1563" s="4">
        <f>IF(ISERROR(VLOOKUP($S$1563,'TAR FIN'!$A$1:$O$99,15,0)),0,VLOOKUP($S$1563,'TAR FIN'!$A$1:$O$99,15,0))</f>
        <v>0</v>
      </c>
      <c r="W1563" s="4">
        <f>IF(ISERROR(VLOOKUP($T$1563,'TAR FIN'!$A$1:$O$99,15,0)),0,VLOOKUP($T$1563,'TAR FIN'!$A$1:$O$99,15,0))</f>
        <v>348.11</v>
      </c>
      <c r="X1563" s="4">
        <f>IF(ISERROR(VLOOKUP($U$1563,'TAR FIN'!$A$1:$O$99,15,0)),0,VLOOKUP($U$1563,'TAR FIN'!$A$1:$O$99,15,0))</f>
        <v>202.86</v>
      </c>
      <c r="Y1563" s="4"/>
      <c r="Z1563" s="4">
        <f ca="1">('TUSD BE'!$AM$44+'TUSD BF'!$AM$44+'TUSD CVA'!$AM$44)*(1-CUSTOS!$M$38)</f>
        <v>438.62226072739548</v>
      </c>
      <c r="AA1563" s="4">
        <f>('TE BE'!$AA$26+'TE BF'!$AA$26+'TE CVA'!$AA$26)*(1-CUSTOS!$M$38)</f>
        <v>266.83676082414206</v>
      </c>
      <c r="AB1563" s="4">
        <f>$K$1563*$V$1563</f>
        <v>0</v>
      </c>
      <c r="AC1563" s="4">
        <f>$M$1563*$W$1563</f>
        <v>11571.541915500002</v>
      </c>
      <c r="AD1563" s="4">
        <f>$O$1563*$X$1563</f>
        <v>6743.2794030000005</v>
      </c>
      <c r="AE1563" s="4">
        <f>$K$1563*$Y$1563</f>
        <v>0</v>
      </c>
      <c r="AF1563" s="4">
        <f ca="1">$M$1563*$Z$1563</f>
        <v>14580.264499952391</v>
      </c>
      <c r="AG1563" s="4">
        <f>$O$1563*$AA$1563</f>
        <v>8869.9341083933487</v>
      </c>
    </row>
    <row r="1564" spans="1:33" ht="11.25" customHeight="1" x14ac:dyDescent="0.25">
      <c r="A1564" s="3" t="s">
        <v>27</v>
      </c>
      <c r="B1564" s="3" t="s">
        <v>44</v>
      </c>
      <c r="C1564" s="3" t="s">
        <v>23</v>
      </c>
      <c r="D1564" s="3" t="s">
        <v>45</v>
      </c>
      <c r="E1564" s="3" t="s">
        <v>53</v>
      </c>
      <c r="F1564" s="3" t="s">
        <v>55</v>
      </c>
      <c r="G1564" s="3" t="s">
        <v>25</v>
      </c>
      <c r="H1564" s="3" t="s">
        <v>25</v>
      </c>
      <c r="I1564" s="6">
        <v>44501</v>
      </c>
      <c r="J1564" s="4">
        <v>0</v>
      </c>
      <c r="K1564" s="4">
        <v>0</v>
      </c>
      <c r="L1564" s="4">
        <v>-0.2</v>
      </c>
      <c r="M1564" s="4">
        <v>-5.3999999999999999E-2</v>
      </c>
      <c r="N1564" s="4">
        <v>-0.2</v>
      </c>
      <c r="O1564" s="4">
        <v>-5.3999999999999999E-2</v>
      </c>
      <c r="P1564" s="4">
        <v>0</v>
      </c>
      <c r="Q1564" s="3" t="s">
        <v>26</v>
      </c>
      <c r="R1564" s="3">
        <v>0</v>
      </c>
      <c r="S1564" s="4">
        <v>0</v>
      </c>
      <c r="T1564" s="4">
        <v>24</v>
      </c>
      <c r="U1564" s="4">
        <v>78</v>
      </c>
      <c r="V1564" s="4">
        <f>IF(ISERROR(VLOOKUP($S$1564,'TAR FIN'!$A$1:$O$99,15,0)),0,VLOOKUP($S$1564,'TAR FIN'!$A$1:$O$99,15,0))</f>
        <v>0</v>
      </c>
      <c r="W1564" s="4">
        <f>IF(ISERROR(VLOOKUP($T$1564,'TAR FIN'!$A$1:$O$99,15,0)),0,VLOOKUP($T$1564,'TAR FIN'!$A$1:$O$99,15,0))</f>
        <v>348.11</v>
      </c>
      <c r="X1564" s="4">
        <f>IF(ISERROR(VLOOKUP($U$1564,'TAR FIN'!$A$1:$O$99,15,0)),0,VLOOKUP($U$1564,'TAR FIN'!$A$1:$O$99,15,0))</f>
        <v>202.86</v>
      </c>
      <c r="Y1564" s="4"/>
      <c r="Z1564" s="4">
        <f ca="1">('TUSD BE'!$AM$44+'TUSD BF'!$AM$44+'TUSD CVA'!$AM$44)*(1-CUSTOS!$M$38)</f>
        <v>438.62226072739548</v>
      </c>
      <c r="AA1564" s="4">
        <f>('TE BE'!$AA$26+'TE BF'!$AA$26+'TE CVA'!$AA$26)*(1-CUSTOS!$M$38)</f>
        <v>266.83676082414206</v>
      </c>
      <c r="AB1564" s="4">
        <f>$K$1564*$V$1564</f>
        <v>0</v>
      </c>
      <c r="AC1564" s="4">
        <f>$M$1564*$W$1564</f>
        <v>-18.797940000000001</v>
      </c>
      <c r="AD1564" s="4">
        <f>$O$1564*$X$1564</f>
        <v>-10.95444</v>
      </c>
      <c r="AE1564" s="4">
        <f>$K$1564*$Y$1564</f>
        <v>0</v>
      </c>
      <c r="AF1564" s="4">
        <f ca="1">$M$1564*$Z$1564</f>
        <v>-23.685602079279356</v>
      </c>
      <c r="AG1564" s="4">
        <f>$O$1564*$AA$1564</f>
        <v>-14.409185084503671</v>
      </c>
    </row>
    <row r="1565" spans="1:33" ht="11.25" customHeight="1" x14ac:dyDescent="0.25">
      <c r="A1565" s="3" t="s">
        <v>21</v>
      </c>
      <c r="B1565" s="3" t="s">
        <v>44</v>
      </c>
      <c r="C1565" s="3" t="s">
        <v>23</v>
      </c>
      <c r="D1565" s="3" t="s">
        <v>45</v>
      </c>
      <c r="E1565" s="3" t="s">
        <v>53</v>
      </c>
      <c r="F1565" s="3" t="s">
        <v>55</v>
      </c>
      <c r="G1565" s="3" t="s">
        <v>25</v>
      </c>
      <c r="H1565" s="3" t="s">
        <v>25</v>
      </c>
      <c r="I1565" s="6">
        <v>44531</v>
      </c>
      <c r="J1565" s="4">
        <v>0</v>
      </c>
      <c r="K1565" s="4">
        <v>0</v>
      </c>
      <c r="L1565" s="4">
        <v>125.746</v>
      </c>
      <c r="M1565" s="4">
        <v>33.951419999999999</v>
      </c>
      <c r="N1565" s="4">
        <v>125.746</v>
      </c>
      <c r="O1565" s="4">
        <v>33.951419999999999</v>
      </c>
      <c r="P1565" s="4">
        <v>0</v>
      </c>
      <c r="Q1565" s="3" t="s">
        <v>26</v>
      </c>
      <c r="R1565" s="3">
        <v>0</v>
      </c>
      <c r="S1565" s="4">
        <v>0</v>
      </c>
      <c r="T1565" s="4">
        <v>24</v>
      </c>
      <c r="U1565" s="4">
        <v>78</v>
      </c>
      <c r="V1565" s="4">
        <f>IF(ISERROR(VLOOKUP($S$1565,'TAR FIN'!$A$1:$O$99,15,0)),0,VLOOKUP($S$1565,'TAR FIN'!$A$1:$O$99,15,0))</f>
        <v>0</v>
      </c>
      <c r="W1565" s="4">
        <f>IF(ISERROR(VLOOKUP($T$1565,'TAR FIN'!$A$1:$O$99,15,0)),0,VLOOKUP($T$1565,'TAR FIN'!$A$1:$O$99,15,0))</f>
        <v>348.11</v>
      </c>
      <c r="X1565" s="4">
        <f>IF(ISERROR(VLOOKUP($U$1565,'TAR FIN'!$A$1:$O$99,15,0)),0,VLOOKUP($U$1565,'TAR FIN'!$A$1:$O$99,15,0))</f>
        <v>202.86</v>
      </c>
      <c r="Y1565" s="4"/>
      <c r="Z1565" s="4">
        <f ca="1">('TUSD BE'!$AM$44+'TUSD BF'!$AM$44+'TUSD CVA'!$AM$44)*(1-CUSTOS!$M$38)</f>
        <v>438.62226072739548</v>
      </c>
      <c r="AA1565" s="4">
        <f>('TE BE'!$AA$26+'TE BF'!$AA$26+'TE CVA'!$AA$26)*(1-CUSTOS!$M$38)</f>
        <v>266.83676082414206</v>
      </c>
      <c r="AB1565" s="4">
        <f>$K$1565*$V$1565</f>
        <v>0</v>
      </c>
      <c r="AC1565" s="4">
        <f>$M$1565*$W$1565</f>
        <v>11818.828816200001</v>
      </c>
      <c r="AD1565" s="4">
        <f>$O$1565*$X$1565</f>
        <v>6887.3850612000006</v>
      </c>
      <c r="AE1565" s="4">
        <f>$K$1565*$Y$1565</f>
        <v>0</v>
      </c>
      <c r="AF1565" s="4">
        <f ca="1">$M$1565*$Z$1565</f>
        <v>14891.84859530531</v>
      </c>
      <c r="AG1565" s="4">
        <f>$O$1565*$AA$1565</f>
        <v>9059.4869381799926</v>
      </c>
    </row>
    <row r="1566" spans="1:33" ht="11.25" customHeight="1" x14ac:dyDescent="0.25">
      <c r="A1566" s="3" t="s">
        <v>21</v>
      </c>
      <c r="B1566" s="3" t="s">
        <v>44</v>
      </c>
      <c r="C1566" s="3" t="s">
        <v>23</v>
      </c>
      <c r="D1566" s="3" t="s">
        <v>45</v>
      </c>
      <c r="E1566" s="3" t="s">
        <v>53</v>
      </c>
      <c r="F1566" s="3" t="s">
        <v>55</v>
      </c>
      <c r="G1566" s="3" t="s">
        <v>25</v>
      </c>
      <c r="H1566" s="3" t="s">
        <v>25</v>
      </c>
      <c r="I1566" s="6">
        <v>44562</v>
      </c>
      <c r="J1566" s="4">
        <v>0</v>
      </c>
      <c r="K1566" s="4">
        <v>0</v>
      </c>
      <c r="L1566" s="4">
        <v>89.790999999999997</v>
      </c>
      <c r="M1566" s="4">
        <v>24.243569999999998</v>
      </c>
      <c r="N1566" s="4">
        <v>89.790999999999997</v>
      </c>
      <c r="O1566" s="4">
        <v>24.243569999999998</v>
      </c>
      <c r="P1566" s="4">
        <v>0</v>
      </c>
      <c r="Q1566" s="3" t="s">
        <v>26</v>
      </c>
      <c r="R1566" s="3">
        <v>0</v>
      </c>
      <c r="S1566" s="4">
        <v>0</v>
      </c>
      <c r="T1566" s="4">
        <v>24</v>
      </c>
      <c r="U1566" s="4">
        <v>78</v>
      </c>
      <c r="V1566" s="4">
        <f>IF(ISERROR(VLOOKUP($S$1566,'TAR FIN'!$A$1:$O$99,15,0)),0,VLOOKUP($S$1566,'TAR FIN'!$A$1:$O$99,15,0))</f>
        <v>0</v>
      </c>
      <c r="W1566" s="4">
        <f>IF(ISERROR(VLOOKUP($T$1566,'TAR FIN'!$A$1:$O$99,15,0)),0,VLOOKUP($T$1566,'TAR FIN'!$A$1:$O$99,15,0))</f>
        <v>348.11</v>
      </c>
      <c r="X1566" s="4">
        <f>IF(ISERROR(VLOOKUP($U$1566,'TAR FIN'!$A$1:$O$99,15,0)),0,VLOOKUP($U$1566,'TAR FIN'!$A$1:$O$99,15,0))</f>
        <v>202.86</v>
      </c>
      <c r="Y1566" s="4"/>
      <c r="Z1566" s="4">
        <f ca="1">('TUSD BE'!$AM$44+'TUSD BF'!$AM$44+'TUSD CVA'!$AM$44)*(1-CUSTOS!$M$38)</f>
        <v>438.62226072739548</v>
      </c>
      <c r="AA1566" s="4">
        <f>('TE BE'!$AA$26+'TE BF'!$AA$26+'TE CVA'!$AA$26)*(1-CUSTOS!$M$38)</f>
        <v>266.83676082414206</v>
      </c>
      <c r="AB1566" s="4">
        <f>$K$1566*$V$1566</f>
        <v>0</v>
      </c>
      <c r="AC1566" s="4">
        <f>$M$1566*$W$1566</f>
        <v>8439.4291527000005</v>
      </c>
      <c r="AD1566" s="4">
        <f>$O$1566*$X$1566</f>
        <v>4918.0506101999999</v>
      </c>
      <c r="AE1566" s="4">
        <f>$K$1566*$Y$1566</f>
        <v>0</v>
      </c>
      <c r="AF1566" s="4">
        <f ca="1">$M$1566*$Z$1566</f>
        <v>10633.769481502863</v>
      </c>
      <c r="AG1566" s="4">
        <f>$O$1566*$AA$1566</f>
        <v>6469.0756896133453</v>
      </c>
    </row>
    <row r="1567" spans="1:33" ht="11.25" customHeight="1" x14ac:dyDescent="0.25">
      <c r="A1567" s="3" t="s">
        <v>21</v>
      </c>
      <c r="B1567" s="3" t="s">
        <v>44</v>
      </c>
      <c r="C1567" s="3" t="s">
        <v>23</v>
      </c>
      <c r="D1567" s="3" t="s">
        <v>45</v>
      </c>
      <c r="E1567" s="3" t="s">
        <v>53</v>
      </c>
      <c r="F1567" s="3" t="s">
        <v>55</v>
      </c>
      <c r="G1567" s="3" t="s">
        <v>25</v>
      </c>
      <c r="H1567" s="3" t="s">
        <v>25</v>
      </c>
      <c r="I1567" s="6">
        <v>44593</v>
      </c>
      <c r="J1567" s="4">
        <v>0</v>
      </c>
      <c r="K1567" s="4">
        <v>0</v>
      </c>
      <c r="L1567" s="4">
        <v>103.61199999999999</v>
      </c>
      <c r="M1567" s="4">
        <v>27.975239999999999</v>
      </c>
      <c r="N1567" s="4">
        <v>103.61199999999999</v>
      </c>
      <c r="O1567" s="4">
        <v>27.975239999999999</v>
      </c>
      <c r="P1567" s="4">
        <v>0</v>
      </c>
      <c r="Q1567" s="3" t="s">
        <v>26</v>
      </c>
      <c r="R1567" s="3">
        <v>0</v>
      </c>
      <c r="S1567" s="4">
        <v>0</v>
      </c>
      <c r="T1567" s="4">
        <v>24</v>
      </c>
      <c r="U1567" s="4">
        <v>78</v>
      </c>
      <c r="V1567" s="4">
        <f>IF(ISERROR(VLOOKUP($S$1567,'TAR FIN'!$A$1:$O$99,15,0)),0,VLOOKUP($S$1567,'TAR FIN'!$A$1:$O$99,15,0))</f>
        <v>0</v>
      </c>
      <c r="W1567" s="4">
        <f>IF(ISERROR(VLOOKUP($T$1567,'TAR FIN'!$A$1:$O$99,15,0)),0,VLOOKUP($T$1567,'TAR FIN'!$A$1:$O$99,15,0))</f>
        <v>348.11</v>
      </c>
      <c r="X1567" s="4">
        <f>IF(ISERROR(VLOOKUP($U$1567,'TAR FIN'!$A$1:$O$99,15,0)),0,VLOOKUP($U$1567,'TAR FIN'!$A$1:$O$99,15,0))</f>
        <v>202.86</v>
      </c>
      <c r="Y1567" s="4"/>
      <c r="Z1567" s="4">
        <f ca="1">('TUSD BE'!$AM$44+'TUSD BF'!$AM$44+'TUSD CVA'!$AM$44)*(1-CUSTOS!$M$38)</f>
        <v>438.62226072739548</v>
      </c>
      <c r="AA1567" s="4">
        <f>('TE BE'!$AA$26+'TE BF'!$AA$26+'TE CVA'!$AA$26)*(1-CUSTOS!$M$38)</f>
        <v>266.83676082414206</v>
      </c>
      <c r="AB1567" s="4">
        <f>$K$1567*$V$1567</f>
        <v>0</v>
      </c>
      <c r="AC1567" s="4">
        <f>$M$1567*$W$1567</f>
        <v>9738.4607964000006</v>
      </c>
      <c r="AD1567" s="4">
        <f>$O$1567*$X$1567</f>
        <v>5675.0571864000003</v>
      </c>
      <c r="AE1567" s="4">
        <f>$K$1567*$Y$1567</f>
        <v>0</v>
      </c>
      <c r="AF1567" s="4">
        <f ca="1">$M$1567*$Z$1567</f>
        <v>12270.563013191462</v>
      </c>
      <c r="AG1567" s="4">
        <f>$O$1567*$AA$1567</f>
        <v>7464.8224248779716</v>
      </c>
    </row>
    <row r="1568" spans="1:33" ht="11.25" customHeight="1" x14ac:dyDescent="0.25">
      <c r="A1568" s="3" t="s">
        <v>27</v>
      </c>
      <c r="B1568" s="3" t="s">
        <v>44</v>
      </c>
      <c r="C1568" s="3" t="s">
        <v>23</v>
      </c>
      <c r="D1568" s="3" t="s">
        <v>45</v>
      </c>
      <c r="E1568" s="3" t="s">
        <v>53</v>
      </c>
      <c r="F1568" s="3" t="s">
        <v>55</v>
      </c>
      <c r="G1568" s="3" t="s">
        <v>25</v>
      </c>
      <c r="H1568" s="3" t="s">
        <v>25</v>
      </c>
      <c r="I1568" s="6">
        <v>44593</v>
      </c>
      <c r="J1568" s="4">
        <v>0</v>
      </c>
      <c r="K1568" s="4">
        <v>0</v>
      </c>
      <c r="L1568" s="4">
        <v>0.1</v>
      </c>
      <c r="M1568" s="4">
        <v>2.7E-2</v>
      </c>
      <c r="N1568" s="4">
        <v>0.1</v>
      </c>
      <c r="O1568" s="4">
        <v>2.7E-2</v>
      </c>
      <c r="P1568" s="4">
        <v>0</v>
      </c>
      <c r="Q1568" s="3" t="s">
        <v>26</v>
      </c>
      <c r="R1568" s="3">
        <v>0</v>
      </c>
      <c r="S1568" s="4">
        <v>0</v>
      </c>
      <c r="T1568" s="4">
        <v>24</v>
      </c>
      <c r="U1568" s="4">
        <v>78</v>
      </c>
      <c r="V1568" s="4">
        <f>IF(ISERROR(VLOOKUP($S$1568,'TAR FIN'!$A$1:$O$99,15,0)),0,VLOOKUP($S$1568,'TAR FIN'!$A$1:$O$99,15,0))</f>
        <v>0</v>
      </c>
      <c r="W1568" s="4">
        <f>IF(ISERROR(VLOOKUP($T$1568,'TAR FIN'!$A$1:$O$99,15,0)),0,VLOOKUP($T$1568,'TAR FIN'!$A$1:$O$99,15,0))</f>
        <v>348.11</v>
      </c>
      <c r="X1568" s="4">
        <f>IF(ISERROR(VLOOKUP($U$1568,'TAR FIN'!$A$1:$O$99,15,0)),0,VLOOKUP($U$1568,'TAR FIN'!$A$1:$O$99,15,0))</f>
        <v>202.86</v>
      </c>
      <c r="Y1568" s="4"/>
      <c r="Z1568" s="4">
        <f ca="1">('TUSD BE'!$AM$44+'TUSD BF'!$AM$44+'TUSD CVA'!$AM$44)*(1-CUSTOS!$M$38)</f>
        <v>438.62226072739548</v>
      </c>
      <c r="AA1568" s="4">
        <f>('TE BE'!$AA$26+'TE BF'!$AA$26+'TE CVA'!$AA$26)*(1-CUSTOS!$M$38)</f>
        <v>266.83676082414206</v>
      </c>
      <c r="AB1568" s="4">
        <f>$K$1568*$V$1568</f>
        <v>0</v>
      </c>
      <c r="AC1568" s="4">
        <f>$M$1568*$W$1568</f>
        <v>9.3989700000000003</v>
      </c>
      <c r="AD1568" s="4">
        <f>$O$1568*$X$1568</f>
        <v>5.47722</v>
      </c>
      <c r="AE1568" s="4">
        <f>$K$1568*$Y$1568</f>
        <v>0</v>
      </c>
      <c r="AF1568" s="4">
        <f ca="1">$M$1568*$Z$1568</f>
        <v>11.842801039639678</v>
      </c>
      <c r="AG1568" s="4">
        <f>$O$1568*$AA$1568</f>
        <v>7.2045925422518353</v>
      </c>
    </row>
    <row r="1569" spans="1:33" ht="11.25" customHeight="1" x14ac:dyDescent="0.25">
      <c r="A1569" s="3" t="s">
        <v>21</v>
      </c>
      <c r="B1569" s="3" t="s">
        <v>44</v>
      </c>
      <c r="C1569" s="3" t="s">
        <v>23</v>
      </c>
      <c r="D1569" s="3" t="s">
        <v>45</v>
      </c>
      <c r="E1569" s="3" t="s">
        <v>53</v>
      </c>
      <c r="F1569" s="3" t="s">
        <v>55</v>
      </c>
      <c r="G1569" s="3" t="s">
        <v>25</v>
      </c>
      <c r="H1569" s="3" t="s">
        <v>25</v>
      </c>
      <c r="I1569" s="6">
        <v>44621</v>
      </c>
      <c r="J1569" s="4">
        <v>0</v>
      </c>
      <c r="K1569" s="4">
        <v>0</v>
      </c>
      <c r="L1569" s="4">
        <v>85.393000000000001</v>
      </c>
      <c r="M1569" s="4">
        <v>23.05611</v>
      </c>
      <c r="N1569" s="4">
        <v>85.393000000000001</v>
      </c>
      <c r="O1569" s="4">
        <v>23.05611</v>
      </c>
      <c r="P1569" s="4">
        <v>0</v>
      </c>
      <c r="Q1569" s="3" t="s">
        <v>26</v>
      </c>
      <c r="R1569" s="3">
        <v>0</v>
      </c>
      <c r="S1569" s="4">
        <v>0</v>
      </c>
      <c r="T1569" s="4">
        <v>24</v>
      </c>
      <c r="U1569" s="4">
        <v>78</v>
      </c>
      <c r="V1569" s="4">
        <f>IF(ISERROR(VLOOKUP($S$1569,'TAR FIN'!$A$1:$O$99,15,0)),0,VLOOKUP($S$1569,'TAR FIN'!$A$1:$O$99,15,0))</f>
        <v>0</v>
      </c>
      <c r="W1569" s="4">
        <f>IF(ISERROR(VLOOKUP($T$1569,'TAR FIN'!$A$1:$O$99,15,0)),0,VLOOKUP($T$1569,'TAR FIN'!$A$1:$O$99,15,0))</f>
        <v>348.11</v>
      </c>
      <c r="X1569" s="4">
        <f>IF(ISERROR(VLOOKUP($U$1569,'TAR FIN'!$A$1:$O$99,15,0)),0,VLOOKUP($U$1569,'TAR FIN'!$A$1:$O$99,15,0))</f>
        <v>202.86</v>
      </c>
      <c r="Y1569" s="4"/>
      <c r="Z1569" s="4">
        <f ca="1">('TUSD BE'!$AM$44+'TUSD BF'!$AM$44+'TUSD CVA'!$AM$44)*(1-CUSTOS!$M$38)</f>
        <v>438.62226072739548</v>
      </c>
      <c r="AA1569" s="4">
        <f>('TE BE'!$AA$26+'TE BF'!$AA$26+'TE CVA'!$AA$26)*(1-CUSTOS!$M$38)</f>
        <v>266.83676082414206</v>
      </c>
      <c r="AB1569" s="4">
        <f>$K$1569*$V$1569</f>
        <v>0</v>
      </c>
      <c r="AC1569" s="4">
        <f>$M$1569*$W$1569</f>
        <v>8026.0624521000009</v>
      </c>
      <c r="AD1569" s="4">
        <f>$O$1569*$X$1569</f>
        <v>4677.1624746000007</v>
      </c>
      <c r="AE1569" s="4">
        <f>$K$1569*$Y$1569</f>
        <v>0</v>
      </c>
      <c r="AF1569" s="4">
        <f ca="1">$M$1569*$Z$1569</f>
        <v>10112.92309177951</v>
      </c>
      <c r="AG1569" s="4">
        <f>$O$1569*$AA$1569</f>
        <v>6152.21770960511</v>
      </c>
    </row>
    <row r="1570" spans="1:33" ht="11.25" customHeight="1" x14ac:dyDescent="0.25">
      <c r="A1570" s="3" t="s">
        <v>56</v>
      </c>
      <c r="B1570" s="3" t="s">
        <v>44</v>
      </c>
      <c r="C1570" s="3" t="s">
        <v>23</v>
      </c>
      <c r="D1570" s="3" t="s">
        <v>45</v>
      </c>
      <c r="E1570" s="3" t="s">
        <v>53</v>
      </c>
      <c r="F1570" s="3" t="s">
        <v>55</v>
      </c>
      <c r="G1570" s="3" t="s">
        <v>25</v>
      </c>
      <c r="H1570" s="3" t="s">
        <v>25</v>
      </c>
      <c r="I1570" s="6">
        <v>44652</v>
      </c>
      <c r="J1570" s="4">
        <v>0</v>
      </c>
      <c r="K1570" s="4">
        <v>0</v>
      </c>
      <c r="L1570" s="4">
        <v>85.393000000000001</v>
      </c>
      <c r="M1570" s="4">
        <v>23.05611</v>
      </c>
      <c r="N1570" s="4">
        <v>85.393000000000001</v>
      </c>
      <c r="O1570" s="4">
        <v>23.05611</v>
      </c>
      <c r="P1570" s="4">
        <v>0</v>
      </c>
      <c r="Q1570" s="3" t="s">
        <v>26</v>
      </c>
      <c r="R1570" s="3">
        <v>0</v>
      </c>
      <c r="S1570" s="4">
        <v>0</v>
      </c>
      <c r="T1570" s="4">
        <v>24</v>
      </c>
      <c r="U1570" s="4">
        <v>78</v>
      </c>
      <c r="V1570" s="4">
        <f>IF(ISERROR(VLOOKUP($S$1570,'TAR FIN'!$A$1:$O$99,15,0)),0,VLOOKUP($S$1570,'TAR FIN'!$A$1:$O$99,15,0))</f>
        <v>0</v>
      </c>
      <c r="W1570" s="4">
        <f>IF(ISERROR(VLOOKUP($T$1570,'TAR FIN'!$A$1:$O$99,15,0)),0,VLOOKUP($T$1570,'TAR FIN'!$A$1:$O$99,15,0))</f>
        <v>348.11</v>
      </c>
      <c r="X1570" s="4">
        <f>IF(ISERROR(VLOOKUP($U$1570,'TAR FIN'!$A$1:$O$99,15,0)),0,VLOOKUP($U$1570,'TAR FIN'!$A$1:$O$99,15,0))</f>
        <v>202.86</v>
      </c>
      <c r="Y1570" s="4"/>
      <c r="Z1570" s="4">
        <f ca="1">('TUSD BE'!$AM$44+'TUSD BF'!$AM$44+'TUSD CVA'!$AM$44)*(1-CUSTOS!$M$38)</f>
        <v>438.62226072739548</v>
      </c>
      <c r="AA1570" s="4">
        <f>('TE BE'!$AA$26+'TE BF'!$AA$26+'TE CVA'!$AA$26)*(1-CUSTOS!$M$38)</f>
        <v>266.83676082414206</v>
      </c>
      <c r="AB1570" s="4">
        <f>$K$1570*$V$1570</f>
        <v>0</v>
      </c>
      <c r="AC1570" s="4">
        <f>$M$1570*$W$1570</f>
        <v>8026.0624521000009</v>
      </c>
      <c r="AD1570" s="4">
        <f>$O$1570*$X$1570</f>
        <v>4677.1624746000007</v>
      </c>
      <c r="AE1570" s="4">
        <f>$K$1570*$Y$1570</f>
        <v>0</v>
      </c>
      <c r="AF1570" s="4">
        <f ca="1">$M$1570*$Z$1570</f>
        <v>10112.92309177951</v>
      </c>
      <c r="AG1570" s="4">
        <f>$O$1570*$AA$1570</f>
        <v>6152.21770960511</v>
      </c>
    </row>
    <row r="1571" spans="1:33" ht="11.25" customHeight="1" x14ac:dyDescent="0.25">
      <c r="A1571" s="3" t="s">
        <v>21</v>
      </c>
      <c r="B1571" s="3" t="s">
        <v>44</v>
      </c>
      <c r="C1571" s="3" t="s">
        <v>23</v>
      </c>
      <c r="D1571" s="3" t="s">
        <v>45</v>
      </c>
      <c r="E1571" s="3" t="s">
        <v>25</v>
      </c>
      <c r="F1571" s="3" t="s">
        <v>25</v>
      </c>
      <c r="G1571" s="3" t="s">
        <v>25</v>
      </c>
      <c r="H1571" s="3" t="s">
        <v>25</v>
      </c>
      <c r="I1571" s="6">
        <v>44317</v>
      </c>
      <c r="J1571" s="4">
        <v>0</v>
      </c>
      <c r="K1571" s="4">
        <v>0</v>
      </c>
      <c r="L1571" s="4">
        <v>5510.0290000000005</v>
      </c>
      <c r="M1571" s="4">
        <v>5510.0290000000005</v>
      </c>
      <c r="N1571" s="4">
        <v>5510.0290000000005</v>
      </c>
      <c r="O1571" s="4">
        <v>5510.0290000000005</v>
      </c>
      <c r="P1571" s="4">
        <v>33405</v>
      </c>
      <c r="Q1571" s="3" t="s">
        <v>26</v>
      </c>
      <c r="R1571" s="3">
        <v>0</v>
      </c>
      <c r="S1571" s="4">
        <v>0</v>
      </c>
      <c r="T1571" s="4">
        <v>37</v>
      </c>
      <c r="U1571" s="4">
        <v>78</v>
      </c>
      <c r="V1571" s="4">
        <f>IF(ISERROR(VLOOKUP($S$1571,'TAR FIN'!$A$1:$O$99,15,0)),0,VLOOKUP($S$1571,'TAR FIN'!$A$1:$O$99,15,0))</f>
        <v>0</v>
      </c>
      <c r="W1571" s="4">
        <f>IF(ISERROR(VLOOKUP($T$1571,'TAR FIN'!$A$1:$O$99,15,0)),0,VLOOKUP($T$1571,'TAR FIN'!$A$1:$O$99,15,0))</f>
        <v>348.11</v>
      </c>
      <c r="X1571" s="4">
        <f>IF(ISERROR(VLOOKUP($U$1571,'TAR FIN'!$A$1:$O$99,15,0)),0,VLOOKUP($U$1571,'TAR FIN'!$A$1:$O$99,15,0))</f>
        <v>202.86</v>
      </c>
      <c r="Y1571" s="4"/>
      <c r="Z1571" s="4">
        <f ca="1">('TUSD BE'!$AM$44+'TUSD BF'!$AM$44+'TUSD CVA'!$AM$44)*(1-CUSTOS!$M$38)</f>
        <v>438.62226072739548</v>
      </c>
      <c r="AA1571" s="4">
        <f>('TE BE'!$AA$26+'TE BF'!$AA$26+'TE CVA'!$AA$26)*(1-CUSTOS!$M$38)</f>
        <v>266.83676082414206</v>
      </c>
      <c r="AB1571" s="4">
        <f>$K$1571*$V$1571</f>
        <v>0</v>
      </c>
      <c r="AC1571" s="4">
        <f>$M$1571*$W$1571</f>
        <v>1918096.1951900003</v>
      </c>
      <c r="AD1571" s="4">
        <f>$O$1571*$X$1571</f>
        <v>1117764.4829400002</v>
      </c>
      <c r="AE1571" s="4">
        <f>$K$1571*$Y$1571</f>
        <v>0</v>
      </c>
      <c r="AF1571" s="4">
        <f ca="1">$M$1571*$Z$1571</f>
        <v>2416821.3766535106</v>
      </c>
      <c r="AG1571" s="4">
        <f>$O$1571*$AA$1571</f>
        <v>1470278.2904070867</v>
      </c>
    </row>
    <row r="1572" spans="1:33" ht="11.25" customHeight="1" x14ac:dyDescent="0.25">
      <c r="A1572" s="3" t="s">
        <v>27</v>
      </c>
      <c r="B1572" s="3" t="s">
        <v>44</v>
      </c>
      <c r="C1572" s="3" t="s">
        <v>23</v>
      </c>
      <c r="D1572" s="3" t="s">
        <v>45</v>
      </c>
      <c r="E1572" s="3" t="s">
        <v>25</v>
      </c>
      <c r="F1572" s="3" t="s">
        <v>25</v>
      </c>
      <c r="G1572" s="3" t="s">
        <v>25</v>
      </c>
      <c r="H1572" s="3" t="s">
        <v>25</v>
      </c>
      <c r="I1572" s="6">
        <v>44317</v>
      </c>
      <c r="J1572" s="4">
        <v>0</v>
      </c>
      <c r="K1572" s="4">
        <v>0</v>
      </c>
      <c r="L1572" s="4">
        <v>147.43600000000001</v>
      </c>
      <c r="M1572" s="4">
        <v>147.43600000000001</v>
      </c>
      <c r="N1572" s="4">
        <v>147.43600000000001</v>
      </c>
      <c r="O1572" s="4">
        <v>147.43600000000001</v>
      </c>
      <c r="P1572" s="4">
        <v>-141</v>
      </c>
      <c r="Q1572" s="3" t="s">
        <v>26</v>
      </c>
      <c r="R1572" s="3">
        <v>0</v>
      </c>
      <c r="S1572" s="4">
        <v>0</v>
      </c>
      <c r="T1572" s="4">
        <v>37</v>
      </c>
      <c r="U1572" s="4">
        <v>78</v>
      </c>
      <c r="V1572" s="4">
        <f>IF(ISERROR(VLOOKUP($S$1572,'TAR FIN'!$A$1:$O$99,15,0)),0,VLOOKUP($S$1572,'TAR FIN'!$A$1:$O$99,15,0))</f>
        <v>0</v>
      </c>
      <c r="W1572" s="4">
        <f>IF(ISERROR(VLOOKUP($T$1572,'TAR FIN'!$A$1:$O$99,15,0)),0,VLOOKUP($T$1572,'TAR FIN'!$A$1:$O$99,15,0))</f>
        <v>348.11</v>
      </c>
      <c r="X1572" s="4">
        <f>IF(ISERROR(VLOOKUP($U$1572,'TAR FIN'!$A$1:$O$99,15,0)),0,VLOOKUP($U$1572,'TAR FIN'!$A$1:$O$99,15,0))</f>
        <v>202.86</v>
      </c>
      <c r="Y1572" s="4"/>
      <c r="Z1572" s="4">
        <f ca="1">('TUSD BE'!$AM$44+'TUSD BF'!$AM$44+'TUSD CVA'!$AM$44)*(1-CUSTOS!$M$38)</f>
        <v>438.62226072739548</v>
      </c>
      <c r="AA1572" s="4">
        <f>('TE BE'!$AA$26+'TE BF'!$AA$26+'TE CVA'!$AA$26)*(1-CUSTOS!$M$38)</f>
        <v>266.83676082414206</v>
      </c>
      <c r="AB1572" s="4">
        <f>$K$1572*$V$1572</f>
        <v>0</v>
      </c>
      <c r="AC1572" s="4">
        <f>$M$1572*$W$1572</f>
        <v>51323.945960000005</v>
      </c>
      <c r="AD1572" s="4">
        <f>$O$1572*$X$1572</f>
        <v>29908.866960000003</v>
      </c>
      <c r="AE1572" s="4">
        <f>$K$1572*$Y$1572</f>
        <v>0</v>
      </c>
      <c r="AF1572" s="4">
        <f ca="1">$M$1572*$Z$1572</f>
        <v>64668.711632604281</v>
      </c>
      <c r="AG1572" s="4">
        <f>$O$1572*$AA$1572</f>
        <v>39341.344668868209</v>
      </c>
    </row>
    <row r="1573" spans="1:33" ht="11.25" customHeight="1" x14ac:dyDescent="0.25">
      <c r="A1573" s="3" t="s">
        <v>28</v>
      </c>
      <c r="B1573" s="3" t="s">
        <v>44</v>
      </c>
      <c r="C1573" s="3" t="s">
        <v>23</v>
      </c>
      <c r="D1573" s="3" t="s">
        <v>45</v>
      </c>
      <c r="E1573" s="3" t="s">
        <v>25</v>
      </c>
      <c r="F1573" s="3" t="s">
        <v>25</v>
      </c>
      <c r="G1573" s="3" t="s">
        <v>25</v>
      </c>
      <c r="H1573" s="3" t="s">
        <v>25</v>
      </c>
      <c r="I1573" s="6">
        <v>44317</v>
      </c>
      <c r="J1573" s="4">
        <v>0</v>
      </c>
      <c r="K1573" s="4">
        <v>0</v>
      </c>
      <c r="L1573" s="4">
        <v>65.212999999999994</v>
      </c>
      <c r="M1573" s="4">
        <v>65.212999999999994</v>
      </c>
      <c r="N1573" s="4">
        <v>65.212999999999994</v>
      </c>
      <c r="O1573" s="4">
        <v>65.212999999999994</v>
      </c>
      <c r="P1573" s="4">
        <v>145</v>
      </c>
      <c r="Q1573" s="3" t="s">
        <v>26</v>
      </c>
      <c r="R1573" s="3">
        <v>0</v>
      </c>
      <c r="S1573" s="4">
        <v>0</v>
      </c>
      <c r="T1573" s="4">
        <v>37</v>
      </c>
      <c r="U1573" s="4">
        <v>78</v>
      </c>
      <c r="V1573" s="4">
        <f>IF(ISERROR(VLOOKUP($S$1573,'TAR FIN'!$A$1:$O$99,15,0)),0,VLOOKUP($S$1573,'TAR FIN'!$A$1:$O$99,15,0))</f>
        <v>0</v>
      </c>
      <c r="W1573" s="4">
        <f>IF(ISERROR(VLOOKUP($T$1573,'TAR FIN'!$A$1:$O$99,15,0)),0,VLOOKUP($T$1573,'TAR FIN'!$A$1:$O$99,15,0))</f>
        <v>348.11</v>
      </c>
      <c r="X1573" s="4">
        <f>IF(ISERROR(VLOOKUP($U$1573,'TAR FIN'!$A$1:$O$99,15,0)),0,VLOOKUP($U$1573,'TAR FIN'!$A$1:$O$99,15,0))</f>
        <v>202.86</v>
      </c>
      <c r="Y1573" s="4"/>
      <c r="Z1573" s="4">
        <f ca="1">('TUSD BE'!$AM$44+'TUSD BF'!$AM$44+'TUSD CVA'!$AM$44)*(1-CUSTOS!$M$38)</f>
        <v>438.62226072739548</v>
      </c>
      <c r="AA1573" s="4">
        <f>('TE BE'!$AA$26+'TE BF'!$AA$26+'TE CVA'!$AA$26)*(1-CUSTOS!$M$38)</f>
        <v>266.83676082414206</v>
      </c>
      <c r="AB1573" s="4">
        <f>$K$1573*$V$1573</f>
        <v>0</v>
      </c>
      <c r="AC1573" s="4">
        <f>$M$1573*$W$1573</f>
        <v>22701.297429999999</v>
      </c>
      <c r="AD1573" s="4">
        <f>$O$1573*$X$1573</f>
        <v>13229.109179999999</v>
      </c>
      <c r="AE1573" s="4">
        <f>$K$1573*$Y$1573</f>
        <v>0</v>
      </c>
      <c r="AF1573" s="4">
        <f ca="1">$M$1573*$Z$1573</f>
        <v>28603.87348881564</v>
      </c>
      <c r="AG1573" s="4">
        <f>$O$1573*$AA$1573</f>
        <v>17401.225683624776</v>
      </c>
    </row>
    <row r="1574" spans="1:33" ht="11.25" customHeight="1" x14ac:dyDescent="0.25">
      <c r="A1574" s="3" t="s">
        <v>21</v>
      </c>
      <c r="B1574" s="3" t="s">
        <v>44</v>
      </c>
      <c r="C1574" s="3" t="s">
        <v>23</v>
      </c>
      <c r="D1574" s="3" t="s">
        <v>45</v>
      </c>
      <c r="E1574" s="3" t="s">
        <v>25</v>
      </c>
      <c r="F1574" s="3" t="s">
        <v>25</v>
      </c>
      <c r="G1574" s="3" t="s">
        <v>25</v>
      </c>
      <c r="H1574" s="3" t="s">
        <v>25</v>
      </c>
      <c r="I1574" s="6">
        <v>44348</v>
      </c>
      <c r="J1574" s="4">
        <v>0</v>
      </c>
      <c r="K1574" s="4">
        <v>0</v>
      </c>
      <c r="L1574" s="4">
        <v>4772.8140000000003</v>
      </c>
      <c r="M1574" s="4">
        <v>4772.8140000000003</v>
      </c>
      <c r="N1574" s="4">
        <v>4772.8140000000003</v>
      </c>
      <c r="O1574" s="4">
        <v>4772.8140000000003</v>
      </c>
      <c r="P1574" s="4">
        <v>34326</v>
      </c>
      <c r="Q1574" s="3" t="s">
        <v>26</v>
      </c>
      <c r="R1574" s="3">
        <v>0</v>
      </c>
      <c r="S1574" s="4">
        <v>0</v>
      </c>
      <c r="T1574" s="4">
        <v>37</v>
      </c>
      <c r="U1574" s="4">
        <v>78</v>
      </c>
      <c r="V1574" s="4">
        <f>IF(ISERROR(VLOOKUP($S$1574,'TAR FIN'!$A$1:$O$99,15,0)),0,VLOOKUP($S$1574,'TAR FIN'!$A$1:$O$99,15,0))</f>
        <v>0</v>
      </c>
      <c r="W1574" s="4">
        <f>IF(ISERROR(VLOOKUP($T$1574,'TAR FIN'!$A$1:$O$99,15,0)),0,VLOOKUP($T$1574,'TAR FIN'!$A$1:$O$99,15,0))</f>
        <v>348.11</v>
      </c>
      <c r="X1574" s="4">
        <f>IF(ISERROR(VLOOKUP($U$1574,'TAR FIN'!$A$1:$O$99,15,0)),0,VLOOKUP($U$1574,'TAR FIN'!$A$1:$O$99,15,0))</f>
        <v>202.86</v>
      </c>
      <c r="Y1574" s="4"/>
      <c r="Z1574" s="4">
        <f ca="1">('TUSD BE'!$AM$44+'TUSD BF'!$AM$44+'TUSD CVA'!$AM$44)*(1-CUSTOS!$M$38)</f>
        <v>438.62226072739548</v>
      </c>
      <c r="AA1574" s="4">
        <f>('TE BE'!$AA$26+'TE BF'!$AA$26+'TE CVA'!$AA$26)*(1-CUSTOS!$M$38)</f>
        <v>266.83676082414206</v>
      </c>
      <c r="AB1574" s="4">
        <f>$K$1574*$V$1574</f>
        <v>0</v>
      </c>
      <c r="AC1574" s="4">
        <f>$M$1574*$W$1574</f>
        <v>1661464.2815400001</v>
      </c>
      <c r="AD1574" s="4">
        <f>$O$1574*$X$1574</f>
        <v>968213.04804000014</v>
      </c>
      <c r="AE1574" s="4">
        <f>$K$1574*$Y$1574</f>
        <v>0</v>
      </c>
      <c r="AF1574" s="4">
        <f ca="1">$M$1574*$Z$1574</f>
        <v>2093462.4667113635</v>
      </c>
      <c r="AG1574" s="4">
        <f>$O$1574*$AA$1574</f>
        <v>1273562.2277761169</v>
      </c>
    </row>
    <row r="1575" spans="1:33" ht="11.25" customHeight="1" x14ac:dyDescent="0.25">
      <c r="A1575" s="3" t="s">
        <v>27</v>
      </c>
      <c r="B1575" s="3" t="s">
        <v>44</v>
      </c>
      <c r="C1575" s="3" t="s">
        <v>23</v>
      </c>
      <c r="D1575" s="3" t="s">
        <v>45</v>
      </c>
      <c r="E1575" s="3" t="s">
        <v>25</v>
      </c>
      <c r="F1575" s="3" t="s">
        <v>25</v>
      </c>
      <c r="G1575" s="3" t="s">
        <v>25</v>
      </c>
      <c r="H1575" s="3" t="s">
        <v>25</v>
      </c>
      <c r="I1575" s="6">
        <v>44348</v>
      </c>
      <c r="J1575" s="4">
        <v>0</v>
      </c>
      <c r="K1575" s="4">
        <v>0</v>
      </c>
      <c r="L1575" s="4">
        <v>-671.23400000000004</v>
      </c>
      <c r="M1575" s="4">
        <v>-671.23400000000004</v>
      </c>
      <c r="N1575" s="4">
        <v>-671.23400000000004</v>
      </c>
      <c r="O1575" s="4">
        <v>-671.23400000000004</v>
      </c>
      <c r="P1575" s="4">
        <v>-265</v>
      </c>
      <c r="Q1575" s="3" t="s">
        <v>26</v>
      </c>
      <c r="R1575" s="3">
        <v>0</v>
      </c>
      <c r="S1575" s="4">
        <v>0</v>
      </c>
      <c r="T1575" s="4">
        <v>37</v>
      </c>
      <c r="U1575" s="4">
        <v>78</v>
      </c>
      <c r="V1575" s="4">
        <f>IF(ISERROR(VLOOKUP($S$1575,'TAR FIN'!$A$1:$O$99,15,0)),0,VLOOKUP($S$1575,'TAR FIN'!$A$1:$O$99,15,0))</f>
        <v>0</v>
      </c>
      <c r="W1575" s="4">
        <f>IF(ISERROR(VLOOKUP($T$1575,'TAR FIN'!$A$1:$O$99,15,0)),0,VLOOKUP($T$1575,'TAR FIN'!$A$1:$O$99,15,0))</f>
        <v>348.11</v>
      </c>
      <c r="X1575" s="4">
        <f>IF(ISERROR(VLOOKUP($U$1575,'TAR FIN'!$A$1:$O$99,15,0)),0,VLOOKUP($U$1575,'TAR FIN'!$A$1:$O$99,15,0))</f>
        <v>202.86</v>
      </c>
      <c r="Y1575" s="4"/>
      <c r="Z1575" s="4">
        <f ca="1">('TUSD BE'!$AM$44+'TUSD BF'!$AM$44+'TUSD CVA'!$AM$44)*(1-CUSTOS!$M$38)</f>
        <v>438.62226072739548</v>
      </c>
      <c r="AA1575" s="4">
        <f>('TE BE'!$AA$26+'TE BF'!$AA$26+'TE CVA'!$AA$26)*(1-CUSTOS!$M$38)</f>
        <v>266.83676082414206</v>
      </c>
      <c r="AB1575" s="4">
        <f>$K$1575*$V$1575</f>
        <v>0</v>
      </c>
      <c r="AC1575" s="4">
        <f>$M$1575*$W$1575</f>
        <v>-233663.26774000001</v>
      </c>
      <c r="AD1575" s="4">
        <f>$O$1575*$X$1575</f>
        <v>-136166.52924</v>
      </c>
      <c r="AE1575" s="4">
        <f>$K$1575*$Y$1575</f>
        <v>0</v>
      </c>
      <c r="AF1575" s="4">
        <f ca="1">$M$1575*$Z$1575</f>
        <v>-294418.1745570926</v>
      </c>
      <c r="AG1575" s="4">
        <f>$O$1575*$AA$1575</f>
        <v>-179109.90631503219</v>
      </c>
    </row>
    <row r="1576" spans="1:33" ht="11.25" customHeight="1" x14ac:dyDescent="0.25">
      <c r="A1576" s="3" t="s">
        <v>28</v>
      </c>
      <c r="B1576" s="3" t="s">
        <v>44</v>
      </c>
      <c r="C1576" s="3" t="s">
        <v>23</v>
      </c>
      <c r="D1576" s="3" t="s">
        <v>45</v>
      </c>
      <c r="E1576" s="3" t="s">
        <v>25</v>
      </c>
      <c r="F1576" s="3" t="s">
        <v>25</v>
      </c>
      <c r="G1576" s="3" t="s">
        <v>25</v>
      </c>
      <c r="H1576" s="3" t="s">
        <v>25</v>
      </c>
      <c r="I1576" s="6">
        <v>44348</v>
      </c>
      <c r="J1576" s="4">
        <v>0</v>
      </c>
      <c r="K1576" s="4">
        <v>0</v>
      </c>
      <c r="L1576" s="4">
        <v>66.16</v>
      </c>
      <c r="M1576" s="4">
        <v>66.16</v>
      </c>
      <c r="N1576" s="4">
        <v>66.16</v>
      </c>
      <c r="O1576" s="4">
        <v>66.16</v>
      </c>
      <c r="P1576" s="4">
        <v>153</v>
      </c>
      <c r="Q1576" s="3" t="s">
        <v>26</v>
      </c>
      <c r="R1576" s="3">
        <v>0</v>
      </c>
      <c r="S1576" s="4">
        <v>0</v>
      </c>
      <c r="T1576" s="4">
        <v>37</v>
      </c>
      <c r="U1576" s="4">
        <v>78</v>
      </c>
      <c r="V1576" s="4">
        <f>IF(ISERROR(VLOOKUP($S$1576,'TAR FIN'!$A$1:$O$99,15,0)),0,VLOOKUP($S$1576,'TAR FIN'!$A$1:$O$99,15,0))</f>
        <v>0</v>
      </c>
      <c r="W1576" s="4">
        <f>IF(ISERROR(VLOOKUP($T$1576,'TAR FIN'!$A$1:$O$99,15,0)),0,VLOOKUP($T$1576,'TAR FIN'!$A$1:$O$99,15,0))</f>
        <v>348.11</v>
      </c>
      <c r="X1576" s="4">
        <f>IF(ISERROR(VLOOKUP($U$1576,'TAR FIN'!$A$1:$O$99,15,0)),0,VLOOKUP($U$1576,'TAR FIN'!$A$1:$O$99,15,0))</f>
        <v>202.86</v>
      </c>
      <c r="Y1576" s="4"/>
      <c r="Z1576" s="4">
        <f ca="1">('TUSD BE'!$AM$44+'TUSD BF'!$AM$44+'TUSD CVA'!$AM$44)*(1-CUSTOS!$M$38)</f>
        <v>438.62226072739548</v>
      </c>
      <c r="AA1576" s="4">
        <f>('TE BE'!$AA$26+'TE BF'!$AA$26+'TE CVA'!$AA$26)*(1-CUSTOS!$M$38)</f>
        <v>266.83676082414206</v>
      </c>
      <c r="AB1576" s="4">
        <f>$K$1576*$V$1576</f>
        <v>0</v>
      </c>
      <c r="AC1576" s="4">
        <f>$M$1576*$W$1576</f>
        <v>23030.957599999998</v>
      </c>
      <c r="AD1576" s="4">
        <f>$O$1576*$X$1576</f>
        <v>13421.2176</v>
      </c>
      <c r="AE1576" s="4">
        <f>$K$1576*$Y$1576</f>
        <v>0</v>
      </c>
      <c r="AF1576" s="4">
        <f ca="1">$M$1576*$Z$1576</f>
        <v>29019.248769724483</v>
      </c>
      <c r="AG1576" s="4">
        <f>$O$1576*$AA$1576</f>
        <v>17653.920096125239</v>
      </c>
    </row>
    <row r="1577" spans="1:33" ht="11.25" customHeight="1" x14ac:dyDescent="0.25">
      <c r="A1577" s="3" t="s">
        <v>21</v>
      </c>
      <c r="B1577" s="3" t="s">
        <v>44</v>
      </c>
      <c r="C1577" s="3" t="s">
        <v>23</v>
      </c>
      <c r="D1577" s="3" t="s">
        <v>45</v>
      </c>
      <c r="E1577" s="3" t="s">
        <v>25</v>
      </c>
      <c r="F1577" s="3" t="s">
        <v>25</v>
      </c>
      <c r="G1577" s="3" t="s">
        <v>25</v>
      </c>
      <c r="H1577" s="3" t="s">
        <v>25</v>
      </c>
      <c r="I1577" s="6">
        <v>44378</v>
      </c>
      <c r="J1577" s="4">
        <v>0</v>
      </c>
      <c r="K1577" s="4">
        <v>0</v>
      </c>
      <c r="L1577" s="4">
        <v>4605.8450000000003</v>
      </c>
      <c r="M1577" s="4">
        <v>4605.8450000000003</v>
      </c>
      <c r="N1577" s="4">
        <v>4605.8450000000003</v>
      </c>
      <c r="O1577" s="4">
        <v>4605.8450000000003</v>
      </c>
      <c r="P1577" s="4">
        <v>34905</v>
      </c>
      <c r="Q1577" s="3" t="s">
        <v>26</v>
      </c>
      <c r="R1577" s="3">
        <v>0</v>
      </c>
      <c r="S1577" s="4">
        <v>0</v>
      </c>
      <c r="T1577" s="4">
        <v>37</v>
      </c>
      <c r="U1577" s="4">
        <v>78</v>
      </c>
      <c r="V1577" s="4">
        <f>IF(ISERROR(VLOOKUP($S$1577,'TAR FIN'!$A$1:$O$99,15,0)),0,VLOOKUP($S$1577,'TAR FIN'!$A$1:$O$99,15,0))</f>
        <v>0</v>
      </c>
      <c r="W1577" s="4">
        <f>IF(ISERROR(VLOOKUP($T$1577,'TAR FIN'!$A$1:$O$99,15,0)),0,VLOOKUP($T$1577,'TAR FIN'!$A$1:$O$99,15,0))</f>
        <v>348.11</v>
      </c>
      <c r="X1577" s="4">
        <f>IF(ISERROR(VLOOKUP($U$1577,'TAR FIN'!$A$1:$O$99,15,0)),0,VLOOKUP($U$1577,'TAR FIN'!$A$1:$O$99,15,0))</f>
        <v>202.86</v>
      </c>
      <c r="Y1577" s="4"/>
      <c r="Z1577" s="4">
        <f ca="1">('TUSD BE'!$AM$44+'TUSD BF'!$AM$44+'TUSD CVA'!$AM$44)*(1-CUSTOS!$M$38)</f>
        <v>438.62226072739548</v>
      </c>
      <c r="AA1577" s="4">
        <f>('TE BE'!$AA$26+'TE BF'!$AA$26+'TE CVA'!$AA$26)*(1-CUSTOS!$M$38)</f>
        <v>266.83676082414206</v>
      </c>
      <c r="AB1577" s="4">
        <f>$K$1577*$V$1577</f>
        <v>0</v>
      </c>
      <c r="AC1577" s="4">
        <f>$M$1577*$W$1577</f>
        <v>1603340.7029500001</v>
      </c>
      <c r="AD1577" s="4">
        <f>$O$1577*$X$1577</f>
        <v>934341.71670000011</v>
      </c>
      <c r="AE1577" s="4">
        <f>$K$1577*$Y$1577</f>
        <v>0</v>
      </c>
      <c r="AF1577" s="4">
        <f ca="1">$M$1577*$Z$1577</f>
        <v>2020226.1464599709</v>
      </c>
      <c r="AG1577" s="4">
        <f>$O$1577*$AA$1577</f>
        <v>1229008.7606580707</v>
      </c>
    </row>
    <row r="1578" spans="1:33" ht="11.25" customHeight="1" x14ac:dyDescent="0.25">
      <c r="A1578" s="3" t="s">
        <v>27</v>
      </c>
      <c r="B1578" s="3" t="s">
        <v>44</v>
      </c>
      <c r="C1578" s="3" t="s">
        <v>23</v>
      </c>
      <c r="D1578" s="3" t="s">
        <v>45</v>
      </c>
      <c r="E1578" s="3" t="s">
        <v>25</v>
      </c>
      <c r="F1578" s="3" t="s">
        <v>25</v>
      </c>
      <c r="G1578" s="3" t="s">
        <v>25</v>
      </c>
      <c r="H1578" s="3" t="s">
        <v>25</v>
      </c>
      <c r="I1578" s="6">
        <v>44378</v>
      </c>
      <c r="J1578" s="4">
        <v>0</v>
      </c>
      <c r="K1578" s="4">
        <v>0</v>
      </c>
      <c r="L1578" s="4">
        <v>-78.144000000000005</v>
      </c>
      <c r="M1578" s="4">
        <v>-78.144000000000005</v>
      </c>
      <c r="N1578" s="4">
        <v>-78.144000000000005</v>
      </c>
      <c r="O1578" s="4">
        <v>-78.144000000000005</v>
      </c>
      <c r="P1578" s="4">
        <v>-106</v>
      </c>
      <c r="Q1578" s="3" t="s">
        <v>26</v>
      </c>
      <c r="R1578" s="3">
        <v>0</v>
      </c>
      <c r="S1578" s="4">
        <v>0</v>
      </c>
      <c r="T1578" s="4">
        <v>37</v>
      </c>
      <c r="U1578" s="4">
        <v>78</v>
      </c>
      <c r="V1578" s="4">
        <f>IF(ISERROR(VLOOKUP($S$1578,'TAR FIN'!$A$1:$O$99,15,0)),0,VLOOKUP($S$1578,'TAR FIN'!$A$1:$O$99,15,0))</f>
        <v>0</v>
      </c>
      <c r="W1578" s="4">
        <f>IF(ISERROR(VLOOKUP($T$1578,'TAR FIN'!$A$1:$O$99,15,0)),0,VLOOKUP($T$1578,'TAR FIN'!$A$1:$O$99,15,0))</f>
        <v>348.11</v>
      </c>
      <c r="X1578" s="4">
        <f>IF(ISERROR(VLOOKUP($U$1578,'TAR FIN'!$A$1:$O$99,15,0)),0,VLOOKUP($U$1578,'TAR FIN'!$A$1:$O$99,15,0))</f>
        <v>202.86</v>
      </c>
      <c r="Y1578" s="4"/>
      <c r="Z1578" s="4">
        <f ca="1">('TUSD BE'!$AM$44+'TUSD BF'!$AM$44+'TUSD CVA'!$AM$44)*(1-CUSTOS!$M$38)</f>
        <v>438.62226072739548</v>
      </c>
      <c r="AA1578" s="4">
        <f>('TE BE'!$AA$26+'TE BF'!$AA$26+'TE CVA'!$AA$26)*(1-CUSTOS!$M$38)</f>
        <v>266.83676082414206</v>
      </c>
      <c r="AB1578" s="4">
        <f>$K$1578*$V$1578</f>
        <v>0</v>
      </c>
      <c r="AC1578" s="4">
        <f>$M$1578*$W$1578</f>
        <v>-27202.707840000003</v>
      </c>
      <c r="AD1578" s="4">
        <f>$O$1578*$X$1578</f>
        <v>-15852.291840000002</v>
      </c>
      <c r="AE1578" s="4">
        <f>$K$1578*$Y$1578</f>
        <v>0</v>
      </c>
      <c r="AF1578" s="4">
        <f ca="1">$M$1578*$Z$1578</f>
        <v>-34275.697942281593</v>
      </c>
      <c r="AG1578" s="4">
        <f>$O$1578*$AA$1578</f>
        <v>-20851.691837841758</v>
      </c>
    </row>
    <row r="1579" spans="1:33" ht="11.25" customHeight="1" x14ac:dyDescent="0.25">
      <c r="A1579" s="3" t="s">
        <v>28</v>
      </c>
      <c r="B1579" s="3" t="s">
        <v>44</v>
      </c>
      <c r="C1579" s="3" t="s">
        <v>23</v>
      </c>
      <c r="D1579" s="3" t="s">
        <v>45</v>
      </c>
      <c r="E1579" s="3" t="s">
        <v>25</v>
      </c>
      <c r="F1579" s="3" t="s">
        <v>25</v>
      </c>
      <c r="G1579" s="3" t="s">
        <v>25</v>
      </c>
      <c r="H1579" s="3" t="s">
        <v>25</v>
      </c>
      <c r="I1579" s="6">
        <v>44378</v>
      </c>
      <c r="J1579" s="4">
        <v>0</v>
      </c>
      <c r="K1579" s="4">
        <v>0</v>
      </c>
      <c r="L1579" s="4">
        <v>59.048999999999999</v>
      </c>
      <c r="M1579" s="4">
        <v>59.048999999999999</v>
      </c>
      <c r="N1579" s="4">
        <v>59.048999999999999</v>
      </c>
      <c r="O1579" s="4">
        <v>59.048999999999999</v>
      </c>
      <c r="P1579" s="4">
        <v>163</v>
      </c>
      <c r="Q1579" s="3" t="s">
        <v>26</v>
      </c>
      <c r="R1579" s="3">
        <v>0</v>
      </c>
      <c r="S1579" s="4">
        <v>0</v>
      </c>
      <c r="T1579" s="4">
        <v>37</v>
      </c>
      <c r="U1579" s="4">
        <v>78</v>
      </c>
      <c r="V1579" s="4">
        <f>IF(ISERROR(VLOOKUP($S$1579,'TAR FIN'!$A$1:$O$99,15,0)),0,VLOOKUP($S$1579,'TAR FIN'!$A$1:$O$99,15,0))</f>
        <v>0</v>
      </c>
      <c r="W1579" s="4">
        <f>IF(ISERROR(VLOOKUP($T$1579,'TAR FIN'!$A$1:$O$99,15,0)),0,VLOOKUP($T$1579,'TAR FIN'!$A$1:$O$99,15,0))</f>
        <v>348.11</v>
      </c>
      <c r="X1579" s="4">
        <f>IF(ISERROR(VLOOKUP($U$1579,'TAR FIN'!$A$1:$O$99,15,0)),0,VLOOKUP($U$1579,'TAR FIN'!$A$1:$O$99,15,0))</f>
        <v>202.86</v>
      </c>
      <c r="Y1579" s="4"/>
      <c r="Z1579" s="4">
        <f ca="1">('TUSD BE'!$AM$44+'TUSD BF'!$AM$44+'TUSD CVA'!$AM$44)*(1-CUSTOS!$M$38)</f>
        <v>438.62226072739548</v>
      </c>
      <c r="AA1579" s="4">
        <f>('TE BE'!$AA$26+'TE BF'!$AA$26+'TE CVA'!$AA$26)*(1-CUSTOS!$M$38)</f>
        <v>266.83676082414206</v>
      </c>
      <c r="AB1579" s="4">
        <f>$K$1579*$V$1579</f>
        <v>0</v>
      </c>
      <c r="AC1579" s="4">
        <f>$M$1579*$W$1579</f>
        <v>20555.54739</v>
      </c>
      <c r="AD1579" s="4">
        <f>$O$1579*$X$1579</f>
        <v>11978.68014</v>
      </c>
      <c r="AE1579" s="4">
        <f>$K$1579*$Y$1579</f>
        <v>0</v>
      </c>
      <c r="AF1579" s="4">
        <f ca="1">$M$1579*$Z$1579</f>
        <v>25900.205873691975</v>
      </c>
      <c r="AG1579" s="4">
        <f>$O$1579*$AA$1579</f>
        <v>15756.443889904764</v>
      </c>
    </row>
    <row r="1580" spans="1:33" ht="11.25" customHeight="1" x14ac:dyDescent="0.25">
      <c r="A1580" s="3" t="s">
        <v>28</v>
      </c>
      <c r="B1580" s="3" t="s">
        <v>44</v>
      </c>
      <c r="C1580" s="3" t="s">
        <v>23</v>
      </c>
      <c r="D1580" s="3" t="s">
        <v>45</v>
      </c>
      <c r="E1580" s="3" t="s">
        <v>25</v>
      </c>
      <c r="F1580" s="3" t="s">
        <v>25</v>
      </c>
      <c r="G1580" s="3" t="s">
        <v>25</v>
      </c>
      <c r="H1580" s="3" t="s">
        <v>25</v>
      </c>
      <c r="I1580" s="6">
        <v>44378</v>
      </c>
      <c r="J1580" s="4">
        <v>0</v>
      </c>
      <c r="K1580" s="4">
        <v>0</v>
      </c>
      <c r="L1580" s="4">
        <v>1.486</v>
      </c>
      <c r="M1580" s="4">
        <v>1.486</v>
      </c>
      <c r="N1580" s="4">
        <v>1.486</v>
      </c>
      <c r="O1580" s="4">
        <v>1.486</v>
      </c>
      <c r="P1580" s="4">
        <v>4</v>
      </c>
      <c r="Q1580" s="3" t="s">
        <v>26</v>
      </c>
      <c r="R1580" s="3">
        <v>0</v>
      </c>
      <c r="S1580" s="4">
        <v>0</v>
      </c>
      <c r="T1580" s="4">
        <v>37</v>
      </c>
      <c r="U1580" s="4">
        <v>78</v>
      </c>
      <c r="V1580" s="4">
        <f>IF(ISERROR(VLOOKUP($S$1580,'TAR FIN'!$A$1:$O$99,15,0)),0,VLOOKUP($S$1580,'TAR FIN'!$A$1:$O$99,15,0))</f>
        <v>0</v>
      </c>
      <c r="W1580" s="4">
        <f>IF(ISERROR(VLOOKUP($T$1580,'TAR FIN'!$A$1:$O$99,15,0)),0,VLOOKUP($T$1580,'TAR FIN'!$A$1:$O$99,15,0))</f>
        <v>348.11</v>
      </c>
      <c r="X1580" s="4">
        <f>IF(ISERROR(VLOOKUP($U$1580,'TAR FIN'!$A$1:$O$99,15,0)),0,VLOOKUP($U$1580,'TAR FIN'!$A$1:$O$99,15,0))</f>
        <v>202.86</v>
      </c>
      <c r="Y1580" s="4"/>
      <c r="Z1580" s="4">
        <f ca="1">('TUSD BE'!$AM$44+'TUSD BF'!$AM$44+'TUSD CVA'!$AM$44)*(1-CUSTOS!$M$38)</f>
        <v>438.62226072739548</v>
      </c>
      <c r="AA1580" s="4">
        <f>('TE BE'!$AA$26+'TE BF'!$AA$26+'TE CVA'!$AA$26)*(1-CUSTOS!$M$38)</f>
        <v>266.83676082414206</v>
      </c>
      <c r="AB1580" s="4">
        <f>$K$1580*$V$1580</f>
        <v>0</v>
      </c>
      <c r="AC1580" s="4">
        <f>$M$1580*$W$1580</f>
        <v>517.29146000000003</v>
      </c>
      <c r="AD1580" s="4">
        <f>$O$1580*$X$1580</f>
        <v>301.44996000000003</v>
      </c>
      <c r="AE1580" s="4">
        <f>$K$1580*$Y$1580</f>
        <v>0</v>
      </c>
      <c r="AF1580" s="4">
        <f ca="1">$M$1580*$Z$1580</f>
        <v>651.79267944090964</v>
      </c>
      <c r="AG1580" s="4">
        <f>$O$1580*$AA$1580</f>
        <v>396.5194265846751</v>
      </c>
    </row>
    <row r="1581" spans="1:33" ht="11.25" customHeight="1" x14ac:dyDescent="0.25">
      <c r="A1581" s="3" t="s">
        <v>21</v>
      </c>
      <c r="B1581" s="3" t="s">
        <v>44</v>
      </c>
      <c r="C1581" s="3" t="s">
        <v>23</v>
      </c>
      <c r="D1581" s="3" t="s">
        <v>45</v>
      </c>
      <c r="E1581" s="3" t="s">
        <v>25</v>
      </c>
      <c r="F1581" s="3" t="s">
        <v>25</v>
      </c>
      <c r="G1581" s="3" t="s">
        <v>25</v>
      </c>
      <c r="H1581" s="3" t="s">
        <v>25</v>
      </c>
      <c r="I1581" s="6">
        <v>44409</v>
      </c>
      <c r="J1581" s="4">
        <v>0</v>
      </c>
      <c r="K1581" s="4">
        <v>0</v>
      </c>
      <c r="L1581" s="4">
        <v>4522.3689999999997</v>
      </c>
      <c r="M1581" s="4">
        <v>4522.3689999999997</v>
      </c>
      <c r="N1581" s="4">
        <v>4522.3689999999997</v>
      </c>
      <c r="O1581" s="4">
        <v>4522.3689999999997</v>
      </c>
      <c r="P1581" s="4">
        <v>35161</v>
      </c>
      <c r="Q1581" s="3" t="s">
        <v>26</v>
      </c>
      <c r="R1581" s="3">
        <v>0</v>
      </c>
      <c r="S1581" s="4">
        <v>0</v>
      </c>
      <c r="T1581" s="4">
        <v>37</v>
      </c>
      <c r="U1581" s="4">
        <v>78</v>
      </c>
      <c r="V1581" s="4">
        <f>IF(ISERROR(VLOOKUP($S$1581,'TAR FIN'!$A$1:$O$99,15,0)),0,VLOOKUP($S$1581,'TAR FIN'!$A$1:$O$99,15,0))</f>
        <v>0</v>
      </c>
      <c r="W1581" s="4">
        <f>IF(ISERROR(VLOOKUP($T$1581,'TAR FIN'!$A$1:$O$99,15,0)),0,VLOOKUP($T$1581,'TAR FIN'!$A$1:$O$99,15,0))</f>
        <v>348.11</v>
      </c>
      <c r="X1581" s="4">
        <f>IF(ISERROR(VLOOKUP($U$1581,'TAR FIN'!$A$1:$O$99,15,0)),0,VLOOKUP($U$1581,'TAR FIN'!$A$1:$O$99,15,0))</f>
        <v>202.86</v>
      </c>
      <c r="Y1581" s="4"/>
      <c r="Z1581" s="4">
        <f ca="1">('TUSD BE'!$AM$44+'TUSD BF'!$AM$44+'TUSD CVA'!$AM$44)*(1-CUSTOS!$M$38)</f>
        <v>438.62226072739548</v>
      </c>
      <c r="AA1581" s="4">
        <f>('TE BE'!$AA$26+'TE BF'!$AA$26+'TE CVA'!$AA$26)*(1-CUSTOS!$M$38)</f>
        <v>266.83676082414206</v>
      </c>
      <c r="AB1581" s="4">
        <f>$K$1581*$V$1581</f>
        <v>0</v>
      </c>
      <c r="AC1581" s="4">
        <f>$M$1581*$W$1581</f>
        <v>1574281.87259</v>
      </c>
      <c r="AD1581" s="4">
        <f>$O$1581*$X$1581</f>
        <v>917407.77534000005</v>
      </c>
      <c r="AE1581" s="4">
        <f>$K$1581*$Y$1581</f>
        <v>0</v>
      </c>
      <c r="AF1581" s="4">
        <f ca="1">$M$1581*$Z$1581</f>
        <v>1983611.7146234906</v>
      </c>
      <c r="AG1581" s="4">
        <f>$O$1581*$AA$1581</f>
        <v>1206734.2952115145</v>
      </c>
    </row>
    <row r="1582" spans="1:33" ht="11.25" customHeight="1" x14ac:dyDescent="0.25">
      <c r="A1582" s="3" t="s">
        <v>27</v>
      </c>
      <c r="B1582" s="3" t="s">
        <v>44</v>
      </c>
      <c r="C1582" s="3" t="s">
        <v>23</v>
      </c>
      <c r="D1582" s="3" t="s">
        <v>45</v>
      </c>
      <c r="E1582" s="3" t="s">
        <v>25</v>
      </c>
      <c r="F1582" s="3" t="s">
        <v>25</v>
      </c>
      <c r="G1582" s="3" t="s">
        <v>25</v>
      </c>
      <c r="H1582" s="3" t="s">
        <v>25</v>
      </c>
      <c r="I1582" s="6">
        <v>44409</v>
      </c>
      <c r="J1582" s="4">
        <v>0</v>
      </c>
      <c r="K1582" s="4">
        <v>0</v>
      </c>
      <c r="L1582" s="4">
        <v>-36.036000000000001</v>
      </c>
      <c r="M1582" s="4">
        <v>-36.036000000000001</v>
      </c>
      <c r="N1582" s="4">
        <v>-36.036000000000001</v>
      </c>
      <c r="O1582" s="4">
        <v>-36.036000000000001</v>
      </c>
      <c r="P1582" s="4">
        <v>-171</v>
      </c>
      <c r="Q1582" s="3" t="s">
        <v>26</v>
      </c>
      <c r="R1582" s="3">
        <v>0</v>
      </c>
      <c r="S1582" s="4">
        <v>0</v>
      </c>
      <c r="T1582" s="4">
        <v>37</v>
      </c>
      <c r="U1582" s="4">
        <v>78</v>
      </c>
      <c r="V1582" s="4">
        <f>IF(ISERROR(VLOOKUP($S$1582,'TAR FIN'!$A$1:$O$99,15,0)),0,VLOOKUP($S$1582,'TAR FIN'!$A$1:$O$99,15,0))</f>
        <v>0</v>
      </c>
      <c r="W1582" s="4">
        <f>IF(ISERROR(VLOOKUP($T$1582,'TAR FIN'!$A$1:$O$99,15,0)),0,VLOOKUP($T$1582,'TAR FIN'!$A$1:$O$99,15,0))</f>
        <v>348.11</v>
      </c>
      <c r="X1582" s="4">
        <f>IF(ISERROR(VLOOKUP($U$1582,'TAR FIN'!$A$1:$O$99,15,0)),0,VLOOKUP($U$1582,'TAR FIN'!$A$1:$O$99,15,0))</f>
        <v>202.86</v>
      </c>
      <c r="Y1582" s="4"/>
      <c r="Z1582" s="4">
        <f ca="1">('TUSD BE'!$AM$44+'TUSD BF'!$AM$44+'TUSD CVA'!$AM$44)*(1-CUSTOS!$M$38)</f>
        <v>438.62226072739548</v>
      </c>
      <c r="AA1582" s="4">
        <f>('TE BE'!$AA$26+'TE BF'!$AA$26+'TE CVA'!$AA$26)*(1-CUSTOS!$M$38)</f>
        <v>266.83676082414206</v>
      </c>
      <c r="AB1582" s="4">
        <f>$K$1582*$V$1582</f>
        <v>0</v>
      </c>
      <c r="AC1582" s="4">
        <f>$M$1582*$W$1582</f>
        <v>-12544.491960000001</v>
      </c>
      <c r="AD1582" s="4">
        <f>$O$1582*$X$1582</f>
        <v>-7310.2629600000009</v>
      </c>
      <c r="AE1582" s="4">
        <f>$K$1582*$Y$1582</f>
        <v>0</v>
      </c>
      <c r="AF1582" s="4">
        <f ca="1">$M$1582*$Z$1582</f>
        <v>-15806.191787572425</v>
      </c>
      <c r="AG1582" s="4">
        <f>$O$1582*$AA$1582</f>
        <v>-9615.7295130587845</v>
      </c>
    </row>
    <row r="1583" spans="1:33" ht="11.25" customHeight="1" x14ac:dyDescent="0.25">
      <c r="A1583" s="3" t="s">
        <v>28</v>
      </c>
      <c r="B1583" s="3" t="s">
        <v>44</v>
      </c>
      <c r="C1583" s="3" t="s">
        <v>23</v>
      </c>
      <c r="D1583" s="3" t="s">
        <v>45</v>
      </c>
      <c r="E1583" s="3" t="s">
        <v>25</v>
      </c>
      <c r="F1583" s="3" t="s">
        <v>25</v>
      </c>
      <c r="G1583" s="3" t="s">
        <v>25</v>
      </c>
      <c r="H1583" s="3" t="s">
        <v>25</v>
      </c>
      <c r="I1583" s="6">
        <v>44409</v>
      </c>
      <c r="J1583" s="4">
        <v>0</v>
      </c>
      <c r="K1583" s="4">
        <v>0</v>
      </c>
      <c r="L1583" s="4">
        <v>56.956000000000003</v>
      </c>
      <c r="M1583" s="4">
        <v>56.956000000000003</v>
      </c>
      <c r="N1583" s="4">
        <v>56.956000000000003</v>
      </c>
      <c r="O1583" s="4">
        <v>56.956000000000003</v>
      </c>
      <c r="P1583" s="4">
        <v>176</v>
      </c>
      <c r="Q1583" s="3" t="s">
        <v>26</v>
      </c>
      <c r="R1583" s="3">
        <v>0</v>
      </c>
      <c r="S1583" s="4">
        <v>0</v>
      </c>
      <c r="T1583" s="4">
        <v>37</v>
      </c>
      <c r="U1583" s="4">
        <v>78</v>
      </c>
      <c r="V1583" s="4">
        <f>IF(ISERROR(VLOOKUP($S$1583,'TAR FIN'!$A$1:$O$99,15,0)),0,VLOOKUP($S$1583,'TAR FIN'!$A$1:$O$99,15,0))</f>
        <v>0</v>
      </c>
      <c r="W1583" s="4">
        <f>IF(ISERROR(VLOOKUP($T$1583,'TAR FIN'!$A$1:$O$99,15,0)),0,VLOOKUP($T$1583,'TAR FIN'!$A$1:$O$99,15,0))</f>
        <v>348.11</v>
      </c>
      <c r="X1583" s="4">
        <f>IF(ISERROR(VLOOKUP($U$1583,'TAR FIN'!$A$1:$O$99,15,0)),0,VLOOKUP($U$1583,'TAR FIN'!$A$1:$O$99,15,0))</f>
        <v>202.86</v>
      </c>
      <c r="Y1583" s="4"/>
      <c r="Z1583" s="4">
        <f ca="1">('TUSD BE'!$AM$44+'TUSD BF'!$AM$44+'TUSD CVA'!$AM$44)*(1-CUSTOS!$M$38)</f>
        <v>438.62226072739548</v>
      </c>
      <c r="AA1583" s="4">
        <f>('TE BE'!$AA$26+'TE BF'!$AA$26+'TE CVA'!$AA$26)*(1-CUSTOS!$M$38)</f>
        <v>266.83676082414206</v>
      </c>
      <c r="AB1583" s="4">
        <f>$K$1583*$V$1583</f>
        <v>0</v>
      </c>
      <c r="AC1583" s="4">
        <f>$M$1583*$W$1583</f>
        <v>19826.953160000001</v>
      </c>
      <c r="AD1583" s="4">
        <f>$O$1583*$X$1583</f>
        <v>11554.094160000001</v>
      </c>
      <c r="AE1583" s="4">
        <f>$K$1583*$Y$1583</f>
        <v>0</v>
      </c>
      <c r="AF1583" s="4">
        <f ca="1">$M$1583*$Z$1583</f>
        <v>24982.169481989538</v>
      </c>
      <c r="AG1583" s="4">
        <f>$O$1583*$AA$1583</f>
        <v>15197.954549499837</v>
      </c>
    </row>
    <row r="1584" spans="1:33" ht="11.25" customHeight="1" x14ac:dyDescent="0.25">
      <c r="A1584" s="3" t="s">
        <v>21</v>
      </c>
      <c r="B1584" s="3" t="s">
        <v>44</v>
      </c>
      <c r="C1584" s="3" t="s">
        <v>23</v>
      </c>
      <c r="D1584" s="3" t="s">
        <v>45</v>
      </c>
      <c r="E1584" s="3" t="s">
        <v>25</v>
      </c>
      <c r="F1584" s="3" t="s">
        <v>25</v>
      </c>
      <c r="G1584" s="3" t="s">
        <v>25</v>
      </c>
      <c r="H1584" s="3" t="s">
        <v>25</v>
      </c>
      <c r="I1584" s="6">
        <v>44440</v>
      </c>
      <c r="J1584" s="4">
        <v>0</v>
      </c>
      <c r="K1584" s="4">
        <v>0</v>
      </c>
      <c r="L1584" s="4">
        <v>4763.1229999999996</v>
      </c>
      <c r="M1584" s="4">
        <v>4763.1229999999996</v>
      </c>
      <c r="N1584" s="4">
        <v>4763.1229999999996</v>
      </c>
      <c r="O1584" s="4">
        <v>4763.1229999999996</v>
      </c>
      <c r="P1584" s="4">
        <v>34970</v>
      </c>
      <c r="Q1584" s="3" t="s">
        <v>26</v>
      </c>
      <c r="R1584" s="3">
        <v>0</v>
      </c>
      <c r="S1584" s="4">
        <v>0</v>
      </c>
      <c r="T1584" s="4">
        <v>37</v>
      </c>
      <c r="U1584" s="4">
        <v>78</v>
      </c>
      <c r="V1584" s="4">
        <f>IF(ISERROR(VLOOKUP($S$1584,'TAR FIN'!$A$1:$O$99,15,0)),0,VLOOKUP($S$1584,'TAR FIN'!$A$1:$O$99,15,0))</f>
        <v>0</v>
      </c>
      <c r="W1584" s="4">
        <f>IF(ISERROR(VLOOKUP($T$1584,'TAR FIN'!$A$1:$O$99,15,0)),0,VLOOKUP($T$1584,'TAR FIN'!$A$1:$O$99,15,0))</f>
        <v>348.11</v>
      </c>
      <c r="X1584" s="4">
        <f>IF(ISERROR(VLOOKUP($U$1584,'TAR FIN'!$A$1:$O$99,15,0)),0,VLOOKUP($U$1584,'TAR FIN'!$A$1:$O$99,15,0))</f>
        <v>202.86</v>
      </c>
      <c r="Y1584" s="4"/>
      <c r="Z1584" s="4">
        <f ca="1">('TUSD BE'!$AM$44+'TUSD BF'!$AM$44+'TUSD CVA'!$AM$44)*(1-CUSTOS!$M$38)</f>
        <v>438.62226072739548</v>
      </c>
      <c r="AA1584" s="4">
        <f>('TE BE'!$AA$26+'TE BF'!$AA$26+'TE CVA'!$AA$26)*(1-CUSTOS!$M$38)</f>
        <v>266.83676082414206</v>
      </c>
      <c r="AB1584" s="4">
        <f>$K$1584*$V$1584</f>
        <v>0</v>
      </c>
      <c r="AC1584" s="4">
        <f>$M$1584*$W$1584</f>
        <v>1658090.7475299998</v>
      </c>
      <c r="AD1584" s="4">
        <f>$O$1584*$X$1584</f>
        <v>966247.13177999994</v>
      </c>
      <c r="AE1584" s="4">
        <f>$K$1584*$Y$1584</f>
        <v>0</v>
      </c>
      <c r="AF1584" s="4">
        <f ca="1">$M$1584*$Z$1584</f>
        <v>2089211.7783826541</v>
      </c>
      <c r="AG1584" s="4">
        <f>$O$1584*$AA$1584</f>
        <v>1270976.3127269698</v>
      </c>
    </row>
    <row r="1585" spans="1:33" ht="11.25" customHeight="1" x14ac:dyDescent="0.25">
      <c r="A1585" s="3" t="s">
        <v>27</v>
      </c>
      <c r="B1585" s="3" t="s">
        <v>44</v>
      </c>
      <c r="C1585" s="3" t="s">
        <v>23</v>
      </c>
      <c r="D1585" s="3" t="s">
        <v>45</v>
      </c>
      <c r="E1585" s="3" t="s">
        <v>25</v>
      </c>
      <c r="F1585" s="3" t="s">
        <v>25</v>
      </c>
      <c r="G1585" s="3" t="s">
        <v>25</v>
      </c>
      <c r="H1585" s="3" t="s">
        <v>25</v>
      </c>
      <c r="I1585" s="6">
        <v>44440</v>
      </c>
      <c r="J1585" s="4">
        <v>0</v>
      </c>
      <c r="K1585" s="4">
        <v>0</v>
      </c>
      <c r="L1585" s="4">
        <v>-9.7279999999999998</v>
      </c>
      <c r="M1585" s="4">
        <v>-9.7279999999999998</v>
      </c>
      <c r="N1585" s="4">
        <v>-9.7279999999999998</v>
      </c>
      <c r="O1585" s="4">
        <v>-9.7279999999999998</v>
      </c>
      <c r="P1585" s="4">
        <v>-113</v>
      </c>
      <c r="Q1585" s="3" t="s">
        <v>26</v>
      </c>
      <c r="R1585" s="3">
        <v>0</v>
      </c>
      <c r="S1585" s="4">
        <v>0</v>
      </c>
      <c r="T1585" s="4">
        <v>37</v>
      </c>
      <c r="U1585" s="4">
        <v>78</v>
      </c>
      <c r="V1585" s="4">
        <f>IF(ISERROR(VLOOKUP($S$1585,'TAR FIN'!$A$1:$O$99,15,0)),0,VLOOKUP($S$1585,'TAR FIN'!$A$1:$O$99,15,0))</f>
        <v>0</v>
      </c>
      <c r="W1585" s="4">
        <f>IF(ISERROR(VLOOKUP($T$1585,'TAR FIN'!$A$1:$O$99,15,0)),0,VLOOKUP($T$1585,'TAR FIN'!$A$1:$O$99,15,0))</f>
        <v>348.11</v>
      </c>
      <c r="X1585" s="4">
        <f>IF(ISERROR(VLOOKUP($U$1585,'TAR FIN'!$A$1:$O$99,15,0)),0,VLOOKUP($U$1585,'TAR FIN'!$A$1:$O$99,15,0))</f>
        <v>202.86</v>
      </c>
      <c r="Y1585" s="4"/>
      <c r="Z1585" s="4">
        <f ca="1">('TUSD BE'!$AM$44+'TUSD BF'!$AM$44+'TUSD CVA'!$AM$44)*(1-CUSTOS!$M$38)</f>
        <v>438.62226072739548</v>
      </c>
      <c r="AA1585" s="4">
        <f>('TE BE'!$AA$26+'TE BF'!$AA$26+'TE CVA'!$AA$26)*(1-CUSTOS!$M$38)</f>
        <v>266.83676082414206</v>
      </c>
      <c r="AB1585" s="4">
        <f>$K$1585*$V$1585</f>
        <v>0</v>
      </c>
      <c r="AC1585" s="4">
        <f>$M$1585*$W$1585</f>
        <v>-3386.41408</v>
      </c>
      <c r="AD1585" s="4">
        <f>$O$1585*$X$1585</f>
        <v>-1973.4220800000001</v>
      </c>
      <c r="AE1585" s="4">
        <f>$K$1585*$Y$1585</f>
        <v>0</v>
      </c>
      <c r="AF1585" s="4">
        <f ca="1">$M$1585*$Z$1585</f>
        <v>-4266.917352356103</v>
      </c>
      <c r="AG1585" s="4">
        <f>$O$1585*$AA$1585</f>
        <v>-2595.7880092972541</v>
      </c>
    </row>
    <row r="1586" spans="1:33" ht="11.25" customHeight="1" x14ac:dyDescent="0.25">
      <c r="A1586" s="3" t="s">
        <v>28</v>
      </c>
      <c r="B1586" s="3" t="s">
        <v>44</v>
      </c>
      <c r="C1586" s="3" t="s">
        <v>23</v>
      </c>
      <c r="D1586" s="3" t="s">
        <v>45</v>
      </c>
      <c r="E1586" s="3" t="s">
        <v>25</v>
      </c>
      <c r="F1586" s="3" t="s">
        <v>25</v>
      </c>
      <c r="G1586" s="3" t="s">
        <v>25</v>
      </c>
      <c r="H1586" s="3" t="s">
        <v>25</v>
      </c>
      <c r="I1586" s="6">
        <v>44440</v>
      </c>
      <c r="J1586" s="4">
        <v>0</v>
      </c>
      <c r="K1586" s="4">
        <v>0</v>
      </c>
      <c r="L1586" s="4">
        <v>98.608000000000004</v>
      </c>
      <c r="M1586" s="4">
        <v>98.608000000000004</v>
      </c>
      <c r="N1586" s="4">
        <v>98.608000000000004</v>
      </c>
      <c r="O1586" s="4">
        <v>98.608000000000004</v>
      </c>
      <c r="P1586" s="4">
        <v>189</v>
      </c>
      <c r="Q1586" s="3" t="s">
        <v>26</v>
      </c>
      <c r="R1586" s="3">
        <v>0</v>
      </c>
      <c r="S1586" s="4">
        <v>0</v>
      </c>
      <c r="T1586" s="4">
        <v>37</v>
      </c>
      <c r="U1586" s="4">
        <v>78</v>
      </c>
      <c r="V1586" s="4">
        <f>IF(ISERROR(VLOOKUP($S$1586,'TAR FIN'!$A$1:$O$99,15,0)),0,VLOOKUP($S$1586,'TAR FIN'!$A$1:$O$99,15,0))</f>
        <v>0</v>
      </c>
      <c r="W1586" s="4">
        <f>IF(ISERROR(VLOOKUP($T$1586,'TAR FIN'!$A$1:$O$99,15,0)),0,VLOOKUP($T$1586,'TAR FIN'!$A$1:$O$99,15,0))</f>
        <v>348.11</v>
      </c>
      <c r="X1586" s="4">
        <f>IF(ISERROR(VLOOKUP($U$1586,'TAR FIN'!$A$1:$O$99,15,0)),0,VLOOKUP($U$1586,'TAR FIN'!$A$1:$O$99,15,0))</f>
        <v>202.86</v>
      </c>
      <c r="Y1586" s="4"/>
      <c r="Z1586" s="4">
        <f ca="1">('TUSD BE'!$AM$44+'TUSD BF'!$AM$44+'TUSD CVA'!$AM$44)*(1-CUSTOS!$M$38)</f>
        <v>438.62226072739548</v>
      </c>
      <c r="AA1586" s="4">
        <f>('TE BE'!$AA$26+'TE BF'!$AA$26+'TE CVA'!$AA$26)*(1-CUSTOS!$M$38)</f>
        <v>266.83676082414206</v>
      </c>
      <c r="AB1586" s="4">
        <f>$K$1586*$V$1586</f>
        <v>0</v>
      </c>
      <c r="AC1586" s="4">
        <f>$M$1586*$W$1586</f>
        <v>34326.43088</v>
      </c>
      <c r="AD1586" s="4">
        <f>$O$1586*$X$1586</f>
        <v>20003.618880000002</v>
      </c>
      <c r="AE1586" s="4">
        <f>$K$1586*$Y$1586</f>
        <v>0</v>
      </c>
      <c r="AF1586" s="4">
        <f ca="1">$M$1586*$Z$1586</f>
        <v>43251.663885807015</v>
      </c>
      <c r="AG1586" s="4">
        <f>$O$1586*$AA$1586</f>
        <v>26312.239311347003</v>
      </c>
    </row>
    <row r="1587" spans="1:33" ht="11.25" customHeight="1" x14ac:dyDescent="0.25">
      <c r="A1587" s="3" t="s">
        <v>28</v>
      </c>
      <c r="B1587" s="3" t="s">
        <v>44</v>
      </c>
      <c r="C1587" s="3" t="s">
        <v>23</v>
      </c>
      <c r="D1587" s="3" t="s">
        <v>45</v>
      </c>
      <c r="E1587" s="3" t="s">
        <v>25</v>
      </c>
      <c r="F1587" s="3" t="s">
        <v>25</v>
      </c>
      <c r="G1587" s="3" t="s">
        <v>25</v>
      </c>
      <c r="H1587" s="3" t="s">
        <v>25</v>
      </c>
      <c r="I1587" s="6">
        <v>44440</v>
      </c>
      <c r="J1587" s="4">
        <v>0</v>
      </c>
      <c r="K1587" s="4">
        <v>0</v>
      </c>
      <c r="L1587" s="4">
        <v>1.9890000000000001</v>
      </c>
      <c r="M1587" s="4">
        <v>1.9890000000000001</v>
      </c>
      <c r="N1587" s="4">
        <v>1.9890000000000001</v>
      </c>
      <c r="O1587" s="4">
        <v>1.9890000000000001</v>
      </c>
      <c r="P1587" s="4">
        <v>0</v>
      </c>
      <c r="Q1587" s="3" t="s">
        <v>26</v>
      </c>
      <c r="R1587" s="3">
        <v>0</v>
      </c>
      <c r="S1587" s="4">
        <v>0</v>
      </c>
      <c r="T1587" s="4">
        <v>37</v>
      </c>
      <c r="U1587" s="4">
        <v>78</v>
      </c>
      <c r="V1587" s="4">
        <f>IF(ISERROR(VLOOKUP($S$1587,'TAR FIN'!$A$1:$O$99,15,0)),0,VLOOKUP($S$1587,'TAR FIN'!$A$1:$O$99,15,0))</f>
        <v>0</v>
      </c>
      <c r="W1587" s="4">
        <f>IF(ISERROR(VLOOKUP($T$1587,'TAR FIN'!$A$1:$O$99,15,0)),0,VLOOKUP($T$1587,'TAR FIN'!$A$1:$O$99,15,0))</f>
        <v>348.11</v>
      </c>
      <c r="X1587" s="4">
        <f>IF(ISERROR(VLOOKUP($U$1587,'TAR FIN'!$A$1:$O$99,15,0)),0,VLOOKUP($U$1587,'TAR FIN'!$A$1:$O$99,15,0))</f>
        <v>202.86</v>
      </c>
      <c r="Y1587" s="4"/>
      <c r="Z1587" s="4">
        <f ca="1">('TUSD BE'!$AM$44+'TUSD BF'!$AM$44+'TUSD CVA'!$AM$44)*(1-CUSTOS!$M$38)</f>
        <v>438.62226072739548</v>
      </c>
      <c r="AA1587" s="4">
        <f>('TE BE'!$AA$26+'TE BF'!$AA$26+'TE CVA'!$AA$26)*(1-CUSTOS!$M$38)</f>
        <v>266.83676082414206</v>
      </c>
      <c r="AB1587" s="4">
        <f>$K$1587*$V$1587</f>
        <v>0</v>
      </c>
      <c r="AC1587" s="4">
        <f>$M$1587*$W$1587</f>
        <v>692.39079000000004</v>
      </c>
      <c r="AD1587" s="4">
        <f>$O$1587*$X$1587</f>
        <v>403.48854000000006</v>
      </c>
      <c r="AE1587" s="4">
        <f>$K$1587*$Y$1587</f>
        <v>0</v>
      </c>
      <c r="AF1587" s="4">
        <f ca="1">$M$1587*$Z$1587</f>
        <v>872.41967658678971</v>
      </c>
      <c r="AG1587" s="4">
        <f>$O$1587*$AA$1587</f>
        <v>530.73831727921856</v>
      </c>
    </row>
    <row r="1588" spans="1:33" ht="11.25" customHeight="1" x14ac:dyDescent="0.25">
      <c r="A1588" s="3" t="s">
        <v>21</v>
      </c>
      <c r="B1588" s="3" t="s">
        <v>44</v>
      </c>
      <c r="C1588" s="3" t="s">
        <v>23</v>
      </c>
      <c r="D1588" s="3" t="s">
        <v>45</v>
      </c>
      <c r="E1588" s="3" t="s">
        <v>25</v>
      </c>
      <c r="F1588" s="3" t="s">
        <v>25</v>
      </c>
      <c r="G1588" s="3" t="s">
        <v>25</v>
      </c>
      <c r="H1588" s="3" t="s">
        <v>25</v>
      </c>
      <c r="I1588" s="6">
        <v>44470</v>
      </c>
      <c r="J1588" s="4">
        <v>0</v>
      </c>
      <c r="K1588" s="4">
        <v>0</v>
      </c>
      <c r="L1588" s="4">
        <v>5162.3419999999996</v>
      </c>
      <c r="M1588" s="4">
        <v>5162.3419999999996</v>
      </c>
      <c r="N1588" s="4">
        <v>5162.3419999999996</v>
      </c>
      <c r="O1588" s="4">
        <v>5162.3419999999996</v>
      </c>
      <c r="P1588" s="4">
        <v>35908</v>
      </c>
      <c r="Q1588" s="3" t="s">
        <v>26</v>
      </c>
      <c r="R1588" s="3">
        <v>0</v>
      </c>
      <c r="S1588" s="4">
        <v>0</v>
      </c>
      <c r="T1588" s="4">
        <v>37</v>
      </c>
      <c r="U1588" s="4">
        <v>78</v>
      </c>
      <c r="V1588" s="4">
        <f>IF(ISERROR(VLOOKUP($S$1588,'TAR FIN'!$A$1:$O$99,15,0)),0,VLOOKUP($S$1588,'TAR FIN'!$A$1:$O$99,15,0))</f>
        <v>0</v>
      </c>
      <c r="W1588" s="4">
        <f>IF(ISERROR(VLOOKUP($T$1588,'TAR FIN'!$A$1:$O$99,15,0)),0,VLOOKUP($T$1588,'TAR FIN'!$A$1:$O$99,15,0))</f>
        <v>348.11</v>
      </c>
      <c r="X1588" s="4">
        <f>IF(ISERROR(VLOOKUP($U$1588,'TAR FIN'!$A$1:$O$99,15,0)),0,VLOOKUP($U$1588,'TAR FIN'!$A$1:$O$99,15,0))</f>
        <v>202.86</v>
      </c>
      <c r="Y1588" s="4"/>
      <c r="Z1588" s="4">
        <f ca="1">('TUSD BE'!$AM$44+'TUSD BF'!$AM$44+'TUSD CVA'!$AM$44)*(1-CUSTOS!$M$38)</f>
        <v>438.62226072739548</v>
      </c>
      <c r="AA1588" s="4">
        <f>('TE BE'!$AA$26+'TE BF'!$AA$26+'TE CVA'!$AA$26)*(1-CUSTOS!$M$38)</f>
        <v>266.83676082414206</v>
      </c>
      <c r="AB1588" s="4">
        <f>$K$1588*$V$1588</f>
        <v>0</v>
      </c>
      <c r="AC1588" s="4">
        <f>$M$1588*$W$1588</f>
        <v>1797062.87362</v>
      </c>
      <c r="AD1588" s="4">
        <f>$O$1588*$X$1588</f>
        <v>1047232.69812</v>
      </c>
      <c r="AE1588" s="4">
        <f>$K$1588*$Y$1588</f>
        <v>0</v>
      </c>
      <c r="AF1588" s="4">
        <f ca="1">$M$1588*$Z$1588</f>
        <v>2264318.1186879841</v>
      </c>
      <c r="AG1588" s="4">
        <f>$O$1588*$AA$1588</f>
        <v>1377502.6175464231</v>
      </c>
    </row>
    <row r="1589" spans="1:33" ht="11.25" customHeight="1" x14ac:dyDescent="0.25">
      <c r="A1589" s="3" t="s">
        <v>27</v>
      </c>
      <c r="B1589" s="3" t="s">
        <v>44</v>
      </c>
      <c r="C1589" s="3" t="s">
        <v>23</v>
      </c>
      <c r="D1589" s="3" t="s">
        <v>45</v>
      </c>
      <c r="E1589" s="3" t="s">
        <v>25</v>
      </c>
      <c r="F1589" s="3" t="s">
        <v>25</v>
      </c>
      <c r="G1589" s="3" t="s">
        <v>25</v>
      </c>
      <c r="H1589" s="3" t="s">
        <v>25</v>
      </c>
      <c r="I1589" s="6">
        <v>44470</v>
      </c>
      <c r="J1589" s="4">
        <v>0</v>
      </c>
      <c r="K1589" s="4">
        <v>0</v>
      </c>
      <c r="L1589" s="4">
        <v>-13.669</v>
      </c>
      <c r="M1589" s="4">
        <v>-13.669</v>
      </c>
      <c r="N1589" s="4">
        <v>-13.669</v>
      </c>
      <c r="O1589" s="4">
        <v>-13.669</v>
      </c>
      <c r="P1589" s="4">
        <v>-133</v>
      </c>
      <c r="Q1589" s="3" t="s">
        <v>26</v>
      </c>
      <c r="R1589" s="3">
        <v>0</v>
      </c>
      <c r="S1589" s="4">
        <v>0</v>
      </c>
      <c r="T1589" s="4">
        <v>37</v>
      </c>
      <c r="U1589" s="4">
        <v>78</v>
      </c>
      <c r="V1589" s="4">
        <f>IF(ISERROR(VLOOKUP($S$1589,'TAR FIN'!$A$1:$O$99,15,0)),0,VLOOKUP($S$1589,'TAR FIN'!$A$1:$O$99,15,0))</f>
        <v>0</v>
      </c>
      <c r="W1589" s="4">
        <f>IF(ISERROR(VLOOKUP($T$1589,'TAR FIN'!$A$1:$O$99,15,0)),0,VLOOKUP($T$1589,'TAR FIN'!$A$1:$O$99,15,0))</f>
        <v>348.11</v>
      </c>
      <c r="X1589" s="4">
        <f>IF(ISERROR(VLOOKUP($U$1589,'TAR FIN'!$A$1:$O$99,15,0)),0,VLOOKUP($U$1589,'TAR FIN'!$A$1:$O$99,15,0))</f>
        <v>202.86</v>
      </c>
      <c r="Y1589" s="4"/>
      <c r="Z1589" s="4">
        <f ca="1">('TUSD BE'!$AM$44+'TUSD BF'!$AM$44+'TUSD CVA'!$AM$44)*(1-CUSTOS!$M$38)</f>
        <v>438.62226072739548</v>
      </c>
      <c r="AA1589" s="4">
        <f>('TE BE'!$AA$26+'TE BF'!$AA$26+'TE CVA'!$AA$26)*(1-CUSTOS!$M$38)</f>
        <v>266.83676082414206</v>
      </c>
      <c r="AB1589" s="4">
        <f>$K$1589*$V$1589</f>
        <v>0</v>
      </c>
      <c r="AC1589" s="4">
        <f>$M$1589*$W$1589</f>
        <v>-4758.3155900000002</v>
      </c>
      <c r="AD1589" s="4">
        <f>$O$1589*$X$1589</f>
        <v>-2772.8933400000001</v>
      </c>
      <c r="AE1589" s="4">
        <f>$K$1589*$Y$1589</f>
        <v>0</v>
      </c>
      <c r="AF1589" s="4">
        <f ca="1">$M$1589*$Z$1589</f>
        <v>-5995.5276818827688</v>
      </c>
      <c r="AG1589" s="4">
        <f>$O$1589*$AA$1589</f>
        <v>-3647.3916837051979</v>
      </c>
    </row>
    <row r="1590" spans="1:33" ht="11.25" customHeight="1" x14ac:dyDescent="0.25">
      <c r="A1590" s="3" t="s">
        <v>28</v>
      </c>
      <c r="B1590" s="3" t="s">
        <v>44</v>
      </c>
      <c r="C1590" s="3" t="s">
        <v>23</v>
      </c>
      <c r="D1590" s="3" t="s">
        <v>45</v>
      </c>
      <c r="E1590" s="3" t="s">
        <v>25</v>
      </c>
      <c r="F1590" s="3" t="s">
        <v>25</v>
      </c>
      <c r="G1590" s="3" t="s">
        <v>25</v>
      </c>
      <c r="H1590" s="3" t="s">
        <v>25</v>
      </c>
      <c r="I1590" s="6">
        <v>44470</v>
      </c>
      <c r="J1590" s="4">
        <v>0</v>
      </c>
      <c r="K1590" s="4">
        <v>0</v>
      </c>
      <c r="L1590" s="4">
        <v>118</v>
      </c>
      <c r="M1590" s="4">
        <v>118</v>
      </c>
      <c r="N1590" s="4">
        <v>118</v>
      </c>
      <c r="O1590" s="4">
        <v>118</v>
      </c>
      <c r="P1590" s="4">
        <v>206</v>
      </c>
      <c r="Q1590" s="3" t="s">
        <v>26</v>
      </c>
      <c r="R1590" s="3">
        <v>0</v>
      </c>
      <c r="S1590" s="4">
        <v>0</v>
      </c>
      <c r="T1590" s="4">
        <v>37</v>
      </c>
      <c r="U1590" s="4">
        <v>78</v>
      </c>
      <c r="V1590" s="4">
        <f>IF(ISERROR(VLOOKUP($S$1590,'TAR FIN'!$A$1:$O$99,15,0)),0,VLOOKUP($S$1590,'TAR FIN'!$A$1:$O$99,15,0))</f>
        <v>0</v>
      </c>
      <c r="W1590" s="4">
        <f>IF(ISERROR(VLOOKUP($T$1590,'TAR FIN'!$A$1:$O$99,15,0)),0,VLOOKUP($T$1590,'TAR FIN'!$A$1:$O$99,15,0))</f>
        <v>348.11</v>
      </c>
      <c r="X1590" s="4">
        <f>IF(ISERROR(VLOOKUP($U$1590,'TAR FIN'!$A$1:$O$99,15,0)),0,VLOOKUP($U$1590,'TAR FIN'!$A$1:$O$99,15,0))</f>
        <v>202.86</v>
      </c>
      <c r="Y1590" s="4"/>
      <c r="Z1590" s="4">
        <f ca="1">('TUSD BE'!$AM$44+'TUSD BF'!$AM$44+'TUSD CVA'!$AM$44)*(1-CUSTOS!$M$38)</f>
        <v>438.62226072739548</v>
      </c>
      <c r="AA1590" s="4">
        <f>('TE BE'!$AA$26+'TE BF'!$AA$26+'TE CVA'!$AA$26)*(1-CUSTOS!$M$38)</f>
        <v>266.83676082414206</v>
      </c>
      <c r="AB1590" s="4">
        <f>$K$1590*$V$1590</f>
        <v>0</v>
      </c>
      <c r="AC1590" s="4">
        <f>$M$1590*$W$1590</f>
        <v>41076.980000000003</v>
      </c>
      <c r="AD1590" s="4">
        <f>$O$1590*$X$1590</f>
        <v>23937.480000000003</v>
      </c>
      <c r="AE1590" s="4">
        <f>$K$1590*$Y$1590</f>
        <v>0</v>
      </c>
      <c r="AF1590" s="4">
        <f ca="1">$M$1590*$Z$1590</f>
        <v>51757.426765832664</v>
      </c>
      <c r="AG1590" s="4">
        <f>$O$1590*$AA$1590</f>
        <v>31486.737777248763</v>
      </c>
    </row>
    <row r="1591" spans="1:33" ht="11.25" customHeight="1" x14ac:dyDescent="0.25">
      <c r="A1591" s="3" t="s">
        <v>28</v>
      </c>
      <c r="B1591" s="3" t="s">
        <v>44</v>
      </c>
      <c r="C1591" s="3" t="s">
        <v>23</v>
      </c>
      <c r="D1591" s="3" t="s">
        <v>45</v>
      </c>
      <c r="E1591" s="3" t="s">
        <v>25</v>
      </c>
      <c r="F1591" s="3" t="s">
        <v>25</v>
      </c>
      <c r="G1591" s="3" t="s">
        <v>25</v>
      </c>
      <c r="H1591" s="3" t="s">
        <v>25</v>
      </c>
      <c r="I1591" s="6">
        <v>44470</v>
      </c>
      <c r="J1591" s="4">
        <v>0</v>
      </c>
      <c r="K1591" s="4">
        <v>0</v>
      </c>
      <c r="L1591" s="4">
        <v>-1.65</v>
      </c>
      <c r="M1591" s="4">
        <v>-1.65</v>
      </c>
      <c r="N1591" s="4">
        <v>-1.65</v>
      </c>
      <c r="O1591" s="4">
        <v>-1.65</v>
      </c>
      <c r="P1591" s="4">
        <v>-9</v>
      </c>
      <c r="Q1591" s="3" t="s">
        <v>26</v>
      </c>
      <c r="R1591" s="3">
        <v>0</v>
      </c>
      <c r="S1591" s="4">
        <v>0</v>
      </c>
      <c r="T1591" s="4">
        <v>37</v>
      </c>
      <c r="U1591" s="4">
        <v>78</v>
      </c>
      <c r="V1591" s="4">
        <f>IF(ISERROR(VLOOKUP($S$1591,'TAR FIN'!$A$1:$O$99,15,0)),0,VLOOKUP($S$1591,'TAR FIN'!$A$1:$O$99,15,0))</f>
        <v>0</v>
      </c>
      <c r="W1591" s="4">
        <f>IF(ISERROR(VLOOKUP($T$1591,'TAR FIN'!$A$1:$O$99,15,0)),0,VLOOKUP($T$1591,'TAR FIN'!$A$1:$O$99,15,0))</f>
        <v>348.11</v>
      </c>
      <c r="X1591" s="4">
        <f>IF(ISERROR(VLOOKUP($U$1591,'TAR FIN'!$A$1:$O$99,15,0)),0,VLOOKUP($U$1591,'TAR FIN'!$A$1:$O$99,15,0))</f>
        <v>202.86</v>
      </c>
      <c r="Y1591" s="4"/>
      <c r="Z1591" s="4">
        <f ca="1">('TUSD BE'!$AM$44+'TUSD BF'!$AM$44+'TUSD CVA'!$AM$44)*(1-CUSTOS!$M$38)</f>
        <v>438.62226072739548</v>
      </c>
      <c r="AA1591" s="4">
        <f>('TE BE'!$AA$26+'TE BF'!$AA$26+'TE CVA'!$AA$26)*(1-CUSTOS!$M$38)</f>
        <v>266.83676082414206</v>
      </c>
      <c r="AB1591" s="4">
        <f>$K$1591*$V$1591</f>
        <v>0</v>
      </c>
      <c r="AC1591" s="4">
        <f>$M$1591*$W$1591</f>
        <v>-574.38149999999996</v>
      </c>
      <c r="AD1591" s="4">
        <f>$O$1591*$X$1591</f>
        <v>-334.71899999999999</v>
      </c>
      <c r="AE1591" s="4">
        <f>$K$1591*$Y$1591</f>
        <v>0</v>
      </c>
      <c r="AF1591" s="4">
        <f ca="1">$M$1591*$Z$1591</f>
        <v>-723.7267302002025</v>
      </c>
      <c r="AG1591" s="4">
        <f>$O$1591*$AA$1591</f>
        <v>-440.28065535983438</v>
      </c>
    </row>
    <row r="1592" spans="1:33" ht="11.25" customHeight="1" x14ac:dyDescent="0.25">
      <c r="A1592" s="3" t="s">
        <v>21</v>
      </c>
      <c r="B1592" s="3" t="s">
        <v>44</v>
      </c>
      <c r="C1592" s="3" t="s">
        <v>23</v>
      </c>
      <c r="D1592" s="3" t="s">
        <v>45</v>
      </c>
      <c r="E1592" s="3" t="s">
        <v>25</v>
      </c>
      <c r="F1592" s="3" t="s">
        <v>25</v>
      </c>
      <c r="G1592" s="3" t="s">
        <v>25</v>
      </c>
      <c r="H1592" s="3" t="s">
        <v>25</v>
      </c>
      <c r="I1592" s="6">
        <v>44501</v>
      </c>
      <c r="J1592" s="4">
        <v>0</v>
      </c>
      <c r="K1592" s="4">
        <v>0</v>
      </c>
      <c r="L1592" s="4">
        <v>5692.7060000000001</v>
      </c>
      <c r="M1592" s="4">
        <v>5692.7060000000001</v>
      </c>
      <c r="N1592" s="4">
        <v>5692.7060000000001</v>
      </c>
      <c r="O1592" s="4">
        <v>5692.7060000000001</v>
      </c>
      <c r="P1592" s="4">
        <v>36116</v>
      </c>
      <c r="Q1592" s="3" t="s">
        <v>26</v>
      </c>
      <c r="R1592" s="3">
        <v>0</v>
      </c>
      <c r="S1592" s="4">
        <v>0</v>
      </c>
      <c r="T1592" s="4">
        <v>37</v>
      </c>
      <c r="U1592" s="4">
        <v>78</v>
      </c>
      <c r="V1592" s="4">
        <f>IF(ISERROR(VLOOKUP($S$1592,'TAR FIN'!$A$1:$O$99,15,0)),0,VLOOKUP($S$1592,'TAR FIN'!$A$1:$O$99,15,0))</f>
        <v>0</v>
      </c>
      <c r="W1592" s="4">
        <f>IF(ISERROR(VLOOKUP($T$1592,'TAR FIN'!$A$1:$O$99,15,0)),0,VLOOKUP($T$1592,'TAR FIN'!$A$1:$O$99,15,0))</f>
        <v>348.11</v>
      </c>
      <c r="X1592" s="4">
        <f>IF(ISERROR(VLOOKUP($U$1592,'TAR FIN'!$A$1:$O$99,15,0)),0,VLOOKUP($U$1592,'TAR FIN'!$A$1:$O$99,15,0))</f>
        <v>202.86</v>
      </c>
      <c r="Y1592" s="4"/>
      <c r="Z1592" s="4">
        <f ca="1">('TUSD BE'!$AM$44+'TUSD BF'!$AM$44+'TUSD CVA'!$AM$44)*(1-CUSTOS!$M$38)</f>
        <v>438.62226072739548</v>
      </c>
      <c r="AA1592" s="4">
        <f>('TE BE'!$AA$26+'TE BF'!$AA$26+'TE CVA'!$AA$26)*(1-CUSTOS!$M$38)</f>
        <v>266.83676082414206</v>
      </c>
      <c r="AB1592" s="4">
        <f>$K$1592*$V$1592</f>
        <v>0</v>
      </c>
      <c r="AC1592" s="4">
        <f>$M$1592*$W$1592</f>
        <v>1981687.8856600001</v>
      </c>
      <c r="AD1592" s="4">
        <f>$O$1592*$X$1592</f>
        <v>1154822.3391600002</v>
      </c>
      <c r="AE1592" s="4">
        <f>$K$1592*$Y$1592</f>
        <v>0</v>
      </c>
      <c r="AF1592" s="4">
        <f ca="1">$M$1592*$Z$1592</f>
        <v>2496947.5753764086</v>
      </c>
      <c r="AG1592" s="4">
        <f>$O$1592*$AA$1592</f>
        <v>1519023.2293641586</v>
      </c>
    </row>
    <row r="1593" spans="1:33" ht="11.25" customHeight="1" x14ac:dyDescent="0.25">
      <c r="A1593" s="3" t="s">
        <v>27</v>
      </c>
      <c r="B1593" s="3" t="s">
        <v>44</v>
      </c>
      <c r="C1593" s="3" t="s">
        <v>23</v>
      </c>
      <c r="D1593" s="3" t="s">
        <v>45</v>
      </c>
      <c r="E1593" s="3" t="s">
        <v>25</v>
      </c>
      <c r="F1593" s="3" t="s">
        <v>25</v>
      </c>
      <c r="G1593" s="3" t="s">
        <v>25</v>
      </c>
      <c r="H1593" s="3" t="s">
        <v>25</v>
      </c>
      <c r="I1593" s="6">
        <v>44501</v>
      </c>
      <c r="J1593" s="4">
        <v>0</v>
      </c>
      <c r="K1593" s="4">
        <v>0</v>
      </c>
      <c r="L1593" s="4">
        <v>-17.8</v>
      </c>
      <c r="M1593" s="4">
        <v>-17.8</v>
      </c>
      <c r="N1593" s="4">
        <v>-17.8</v>
      </c>
      <c r="O1593" s="4">
        <v>-17.8</v>
      </c>
      <c r="P1593" s="4">
        <v>-176</v>
      </c>
      <c r="Q1593" s="3" t="s">
        <v>26</v>
      </c>
      <c r="R1593" s="3">
        <v>0</v>
      </c>
      <c r="S1593" s="4">
        <v>0</v>
      </c>
      <c r="T1593" s="4">
        <v>37</v>
      </c>
      <c r="U1593" s="4">
        <v>78</v>
      </c>
      <c r="V1593" s="4">
        <f>IF(ISERROR(VLOOKUP($S$1593,'TAR FIN'!$A$1:$O$99,15,0)),0,VLOOKUP($S$1593,'TAR FIN'!$A$1:$O$99,15,0))</f>
        <v>0</v>
      </c>
      <c r="W1593" s="4">
        <f>IF(ISERROR(VLOOKUP($T$1593,'TAR FIN'!$A$1:$O$99,15,0)),0,VLOOKUP($T$1593,'TAR FIN'!$A$1:$O$99,15,0))</f>
        <v>348.11</v>
      </c>
      <c r="X1593" s="4">
        <f>IF(ISERROR(VLOOKUP($U$1593,'TAR FIN'!$A$1:$O$99,15,0)),0,VLOOKUP($U$1593,'TAR FIN'!$A$1:$O$99,15,0))</f>
        <v>202.86</v>
      </c>
      <c r="Y1593" s="4"/>
      <c r="Z1593" s="4">
        <f ca="1">('TUSD BE'!$AM$44+'TUSD BF'!$AM$44+'TUSD CVA'!$AM$44)*(1-CUSTOS!$M$38)</f>
        <v>438.62226072739548</v>
      </c>
      <c r="AA1593" s="4">
        <f>('TE BE'!$AA$26+'TE BF'!$AA$26+'TE CVA'!$AA$26)*(1-CUSTOS!$M$38)</f>
        <v>266.83676082414206</v>
      </c>
      <c r="AB1593" s="4">
        <f>$K$1593*$V$1593</f>
        <v>0</v>
      </c>
      <c r="AC1593" s="4">
        <f>$M$1593*$W$1593</f>
        <v>-6196.3580000000002</v>
      </c>
      <c r="AD1593" s="4">
        <f>$O$1593*$X$1593</f>
        <v>-3610.9080000000004</v>
      </c>
      <c r="AE1593" s="4">
        <f>$K$1593*$Y$1593</f>
        <v>0</v>
      </c>
      <c r="AF1593" s="4">
        <f ca="1">$M$1593*$Z$1593</f>
        <v>-7807.4762409476398</v>
      </c>
      <c r="AG1593" s="4">
        <f>$O$1593*$AA$1593</f>
        <v>-4749.6943426697289</v>
      </c>
    </row>
    <row r="1594" spans="1:33" ht="11.25" customHeight="1" x14ac:dyDescent="0.25">
      <c r="A1594" s="3" t="s">
        <v>28</v>
      </c>
      <c r="B1594" s="3" t="s">
        <v>44</v>
      </c>
      <c r="C1594" s="3" t="s">
        <v>23</v>
      </c>
      <c r="D1594" s="3" t="s">
        <v>45</v>
      </c>
      <c r="E1594" s="3" t="s">
        <v>25</v>
      </c>
      <c r="F1594" s="3" t="s">
        <v>25</v>
      </c>
      <c r="G1594" s="3" t="s">
        <v>25</v>
      </c>
      <c r="H1594" s="3" t="s">
        <v>25</v>
      </c>
      <c r="I1594" s="6">
        <v>44501</v>
      </c>
      <c r="J1594" s="4">
        <v>0</v>
      </c>
      <c r="K1594" s="4">
        <v>0</v>
      </c>
      <c r="L1594" s="4">
        <v>110.271</v>
      </c>
      <c r="M1594" s="4">
        <v>110.271</v>
      </c>
      <c r="N1594" s="4">
        <v>110.271</v>
      </c>
      <c r="O1594" s="4">
        <v>110.271</v>
      </c>
      <c r="P1594" s="4">
        <v>212</v>
      </c>
      <c r="Q1594" s="3" t="s">
        <v>26</v>
      </c>
      <c r="R1594" s="3">
        <v>0</v>
      </c>
      <c r="S1594" s="4">
        <v>0</v>
      </c>
      <c r="T1594" s="4">
        <v>37</v>
      </c>
      <c r="U1594" s="4">
        <v>78</v>
      </c>
      <c r="V1594" s="4">
        <f>IF(ISERROR(VLOOKUP($S$1594,'TAR FIN'!$A$1:$O$99,15,0)),0,VLOOKUP($S$1594,'TAR FIN'!$A$1:$O$99,15,0))</f>
        <v>0</v>
      </c>
      <c r="W1594" s="4">
        <f>IF(ISERROR(VLOOKUP($T$1594,'TAR FIN'!$A$1:$O$99,15,0)),0,VLOOKUP($T$1594,'TAR FIN'!$A$1:$O$99,15,0))</f>
        <v>348.11</v>
      </c>
      <c r="X1594" s="4">
        <f>IF(ISERROR(VLOOKUP($U$1594,'TAR FIN'!$A$1:$O$99,15,0)),0,VLOOKUP($U$1594,'TAR FIN'!$A$1:$O$99,15,0))</f>
        <v>202.86</v>
      </c>
      <c r="Y1594" s="4"/>
      <c r="Z1594" s="4">
        <f ca="1">('TUSD BE'!$AM$44+'TUSD BF'!$AM$44+'TUSD CVA'!$AM$44)*(1-CUSTOS!$M$38)</f>
        <v>438.62226072739548</v>
      </c>
      <c r="AA1594" s="4">
        <f>('TE BE'!$AA$26+'TE BF'!$AA$26+'TE CVA'!$AA$26)*(1-CUSTOS!$M$38)</f>
        <v>266.83676082414206</v>
      </c>
      <c r="AB1594" s="4">
        <f>$K$1594*$V$1594</f>
        <v>0</v>
      </c>
      <c r="AC1594" s="4">
        <f>$M$1594*$W$1594</f>
        <v>38386.437810000003</v>
      </c>
      <c r="AD1594" s="4">
        <f>$O$1594*$X$1594</f>
        <v>22369.575060000003</v>
      </c>
      <c r="AE1594" s="4">
        <f>$K$1594*$Y$1594</f>
        <v>0</v>
      </c>
      <c r="AF1594" s="4">
        <f ca="1">$M$1594*$Z$1594</f>
        <v>48367.315312670631</v>
      </c>
      <c r="AG1594" s="4">
        <f>$O$1594*$AA$1594</f>
        <v>29424.356452838969</v>
      </c>
    </row>
    <row r="1595" spans="1:33" ht="11.25" customHeight="1" x14ac:dyDescent="0.25">
      <c r="A1595" s="3" t="s">
        <v>28</v>
      </c>
      <c r="B1595" s="3" t="s">
        <v>44</v>
      </c>
      <c r="C1595" s="3" t="s">
        <v>23</v>
      </c>
      <c r="D1595" s="3" t="s">
        <v>45</v>
      </c>
      <c r="E1595" s="3" t="s">
        <v>25</v>
      </c>
      <c r="F1595" s="3" t="s">
        <v>25</v>
      </c>
      <c r="G1595" s="3" t="s">
        <v>25</v>
      </c>
      <c r="H1595" s="3" t="s">
        <v>25</v>
      </c>
      <c r="I1595" s="6">
        <v>44501</v>
      </c>
      <c r="J1595" s="4">
        <v>0</v>
      </c>
      <c r="K1595" s="4">
        <v>0</v>
      </c>
      <c r="L1595" s="4">
        <v>0.49</v>
      </c>
      <c r="M1595" s="4">
        <v>0.49</v>
      </c>
      <c r="N1595" s="4">
        <v>0.49</v>
      </c>
      <c r="O1595" s="4">
        <v>0.49</v>
      </c>
      <c r="P1595" s="4">
        <v>0</v>
      </c>
      <c r="Q1595" s="3" t="s">
        <v>26</v>
      </c>
      <c r="R1595" s="3">
        <v>0</v>
      </c>
      <c r="S1595" s="4">
        <v>0</v>
      </c>
      <c r="T1595" s="4">
        <v>37</v>
      </c>
      <c r="U1595" s="4">
        <v>78</v>
      </c>
      <c r="V1595" s="4">
        <f>IF(ISERROR(VLOOKUP($S$1595,'TAR FIN'!$A$1:$O$99,15,0)),0,VLOOKUP($S$1595,'TAR FIN'!$A$1:$O$99,15,0))</f>
        <v>0</v>
      </c>
      <c r="W1595" s="4">
        <f>IF(ISERROR(VLOOKUP($T$1595,'TAR FIN'!$A$1:$O$99,15,0)),0,VLOOKUP($T$1595,'TAR FIN'!$A$1:$O$99,15,0))</f>
        <v>348.11</v>
      </c>
      <c r="X1595" s="4">
        <f>IF(ISERROR(VLOOKUP($U$1595,'TAR FIN'!$A$1:$O$99,15,0)),0,VLOOKUP($U$1595,'TAR FIN'!$A$1:$O$99,15,0))</f>
        <v>202.86</v>
      </c>
      <c r="Y1595" s="4"/>
      <c r="Z1595" s="4">
        <f ca="1">('TUSD BE'!$AM$44+'TUSD BF'!$AM$44+'TUSD CVA'!$AM$44)*(1-CUSTOS!$M$38)</f>
        <v>438.62226072739548</v>
      </c>
      <c r="AA1595" s="4">
        <f>('TE BE'!$AA$26+'TE BF'!$AA$26+'TE CVA'!$AA$26)*(1-CUSTOS!$M$38)</f>
        <v>266.83676082414206</v>
      </c>
      <c r="AB1595" s="4">
        <f>$K$1595*$V$1595</f>
        <v>0</v>
      </c>
      <c r="AC1595" s="4">
        <f>$M$1595*$W$1595</f>
        <v>170.57390000000001</v>
      </c>
      <c r="AD1595" s="4">
        <f>$O$1595*$X$1595</f>
        <v>99.40140000000001</v>
      </c>
      <c r="AE1595" s="4">
        <f>$K$1595*$Y$1595</f>
        <v>0</v>
      </c>
      <c r="AF1595" s="4">
        <f ca="1">$M$1595*$Z$1595</f>
        <v>214.92490775642378</v>
      </c>
      <c r="AG1595" s="4">
        <f>$O$1595*$AA$1595</f>
        <v>130.75001280382961</v>
      </c>
    </row>
    <row r="1596" spans="1:33" ht="11.25" customHeight="1" x14ac:dyDescent="0.25">
      <c r="A1596" s="3" t="s">
        <v>21</v>
      </c>
      <c r="B1596" s="3" t="s">
        <v>44</v>
      </c>
      <c r="C1596" s="3" t="s">
        <v>23</v>
      </c>
      <c r="D1596" s="3" t="s">
        <v>45</v>
      </c>
      <c r="E1596" s="3" t="s">
        <v>25</v>
      </c>
      <c r="F1596" s="3" t="s">
        <v>25</v>
      </c>
      <c r="G1596" s="3" t="s">
        <v>25</v>
      </c>
      <c r="H1596" s="3" t="s">
        <v>25</v>
      </c>
      <c r="I1596" s="6">
        <v>44531</v>
      </c>
      <c r="J1596" s="4">
        <v>0</v>
      </c>
      <c r="K1596" s="4">
        <v>0</v>
      </c>
      <c r="L1596" s="4">
        <v>5372.299</v>
      </c>
      <c r="M1596" s="4">
        <v>5372.299</v>
      </c>
      <c r="N1596" s="4">
        <v>5372.299</v>
      </c>
      <c r="O1596" s="4">
        <v>5372.299</v>
      </c>
      <c r="P1596" s="4">
        <v>33159</v>
      </c>
      <c r="Q1596" s="3" t="s">
        <v>26</v>
      </c>
      <c r="R1596" s="3">
        <v>0</v>
      </c>
      <c r="S1596" s="4">
        <v>0</v>
      </c>
      <c r="T1596" s="4">
        <v>37</v>
      </c>
      <c r="U1596" s="4">
        <v>78</v>
      </c>
      <c r="V1596" s="4">
        <f>IF(ISERROR(VLOOKUP($S$1596,'TAR FIN'!$A$1:$O$99,15,0)),0,VLOOKUP($S$1596,'TAR FIN'!$A$1:$O$99,15,0))</f>
        <v>0</v>
      </c>
      <c r="W1596" s="4">
        <f>IF(ISERROR(VLOOKUP($T$1596,'TAR FIN'!$A$1:$O$99,15,0)),0,VLOOKUP($T$1596,'TAR FIN'!$A$1:$O$99,15,0))</f>
        <v>348.11</v>
      </c>
      <c r="X1596" s="4">
        <f>IF(ISERROR(VLOOKUP($U$1596,'TAR FIN'!$A$1:$O$99,15,0)),0,VLOOKUP($U$1596,'TAR FIN'!$A$1:$O$99,15,0))</f>
        <v>202.86</v>
      </c>
      <c r="Y1596" s="4"/>
      <c r="Z1596" s="4">
        <f ca="1">('TUSD BE'!$AM$44+'TUSD BF'!$AM$44+'TUSD CVA'!$AM$44)*(1-CUSTOS!$M$38)</f>
        <v>438.62226072739548</v>
      </c>
      <c r="AA1596" s="4">
        <f>('TE BE'!$AA$26+'TE BF'!$AA$26+'TE CVA'!$AA$26)*(1-CUSTOS!$M$38)</f>
        <v>266.83676082414206</v>
      </c>
      <c r="AB1596" s="4">
        <f>$K$1596*$V$1596</f>
        <v>0</v>
      </c>
      <c r="AC1596" s="4">
        <f>$M$1596*$W$1596</f>
        <v>1870151.00489</v>
      </c>
      <c r="AD1596" s="4">
        <f>$O$1596*$X$1596</f>
        <v>1089824.5751400001</v>
      </c>
      <c r="AE1596" s="4">
        <f>$K$1596*$Y$1596</f>
        <v>0</v>
      </c>
      <c r="AF1596" s="4">
        <f ca="1">$M$1596*$Z$1596</f>
        <v>2356409.9326835261</v>
      </c>
      <c r="AG1596" s="4">
        <f>$O$1596*$AA$1596</f>
        <v>1433526.8633387776</v>
      </c>
    </row>
    <row r="1597" spans="1:33" ht="11.25" customHeight="1" x14ac:dyDescent="0.25">
      <c r="A1597" s="3" t="s">
        <v>27</v>
      </c>
      <c r="B1597" s="3" t="s">
        <v>44</v>
      </c>
      <c r="C1597" s="3" t="s">
        <v>23</v>
      </c>
      <c r="D1597" s="3" t="s">
        <v>45</v>
      </c>
      <c r="E1597" s="3" t="s">
        <v>25</v>
      </c>
      <c r="F1597" s="3" t="s">
        <v>25</v>
      </c>
      <c r="G1597" s="3" t="s">
        <v>25</v>
      </c>
      <c r="H1597" s="3" t="s">
        <v>25</v>
      </c>
      <c r="I1597" s="6">
        <v>44531</v>
      </c>
      <c r="J1597" s="4">
        <v>0</v>
      </c>
      <c r="K1597" s="4">
        <v>0</v>
      </c>
      <c r="L1597" s="4">
        <v>-19.481000000000002</v>
      </c>
      <c r="M1597" s="4">
        <v>-19.481000000000002</v>
      </c>
      <c r="N1597" s="4">
        <v>-19.481000000000002</v>
      </c>
      <c r="O1597" s="4">
        <v>-19.481000000000002</v>
      </c>
      <c r="P1597" s="4">
        <v>-106</v>
      </c>
      <c r="Q1597" s="3" t="s">
        <v>26</v>
      </c>
      <c r="R1597" s="3">
        <v>0</v>
      </c>
      <c r="S1597" s="4">
        <v>0</v>
      </c>
      <c r="T1597" s="4">
        <v>37</v>
      </c>
      <c r="U1597" s="4">
        <v>78</v>
      </c>
      <c r="V1597" s="4">
        <f>IF(ISERROR(VLOOKUP($S$1597,'TAR FIN'!$A$1:$O$99,15,0)),0,VLOOKUP($S$1597,'TAR FIN'!$A$1:$O$99,15,0))</f>
        <v>0</v>
      </c>
      <c r="W1597" s="4">
        <f>IF(ISERROR(VLOOKUP($T$1597,'TAR FIN'!$A$1:$O$99,15,0)),0,VLOOKUP($T$1597,'TAR FIN'!$A$1:$O$99,15,0))</f>
        <v>348.11</v>
      </c>
      <c r="X1597" s="4">
        <f>IF(ISERROR(VLOOKUP($U$1597,'TAR FIN'!$A$1:$O$99,15,0)),0,VLOOKUP($U$1597,'TAR FIN'!$A$1:$O$99,15,0))</f>
        <v>202.86</v>
      </c>
      <c r="Y1597" s="4"/>
      <c r="Z1597" s="4">
        <f ca="1">('TUSD BE'!$AM$44+'TUSD BF'!$AM$44+'TUSD CVA'!$AM$44)*(1-CUSTOS!$M$38)</f>
        <v>438.62226072739548</v>
      </c>
      <c r="AA1597" s="4">
        <f>('TE BE'!$AA$26+'TE BF'!$AA$26+'TE CVA'!$AA$26)*(1-CUSTOS!$M$38)</f>
        <v>266.83676082414206</v>
      </c>
      <c r="AB1597" s="4">
        <f>$K$1597*$V$1597</f>
        <v>0</v>
      </c>
      <c r="AC1597" s="4">
        <f>$M$1597*$W$1597</f>
        <v>-6781.5309100000004</v>
      </c>
      <c r="AD1597" s="4">
        <f>$O$1597*$X$1597</f>
        <v>-3951.9156600000006</v>
      </c>
      <c r="AE1597" s="4">
        <f>$K$1597*$Y$1597</f>
        <v>0</v>
      </c>
      <c r="AF1597" s="4">
        <f ca="1">$M$1597*$Z$1597</f>
        <v>-8544.8002612303917</v>
      </c>
      <c r="AG1597" s="4">
        <f>$O$1597*$AA$1597</f>
        <v>-5198.2469376151121</v>
      </c>
    </row>
    <row r="1598" spans="1:33" ht="11.25" customHeight="1" x14ac:dyDescent="0.25">
      <c r="A1598" s="3" t="s">
        <v>28</v>
      </c>
      <c r="B1598" s="3" t="s">
        <v>44</v>
      </c>
      <c r="C1598" s="3" t="s">
        <v>23</v>
      </c>
      <c r="D1598" s="3" t="s">
        <v>45</v>
      </c>
      <c r="E1598" s="3" t="s">
        <v>25</v>
      </c>
      <c r="F1598" s="3" t="s">
        <v>25</v>
      </c>
      <c r="G1598" s="3" t="s">
        <v>25</v>
      </c>
      <c r="H1598" s="3" t="s">
        <v>25</v>
      </c>
      <c r="I1598" s="6">
        <v>44531</v>
      </c>
      <c r="J1598" s="4">
        <v>0</v>
      </c>
      <c r="K1598" s="4">
        <v>0</v>
      </c>
      <c r="L1598" s="4">
        <v>118.617</v>
      </c>
      <c r="M1598" s="4">
        <v>118.617</v>
      </c>
      <c r="N1598" s="4">
        <v>118.617</v>
      </c>
      <c r="O1598" s="4">
        <v>118.617</v>
      </c>
      <c r="P1598" s="4">
        <v>226</v>
      </c>
      <c r="Q1598" s="3" t="s">
        <v>26</v>
      </c>
      <c r="R1598" s="3">
        <v>0</v>
      </c>
      <c r="S1598" s="4">
        <v>0</v>
      </c>
      <c r="T1598" s="4">
        <v>37</v>
      </c>
      <c r="U1598" s="4">
        <v>78</v>
      </c>
      <c r="V1598" s="4">
        <f>IF(ISERROR(VLOOKUP($S$1598,'TAR FIN'!$A$1:$O$99,15,0)),0,VLOOKUP($S$1598,'TAR FIN'!$A$1:$O$99,15,0))</f>
        <v>0</v>
      </c>
      <c r="W1598" s="4">
        <f>IF(ISERROR(VLOOKUP($T$1598,'TAR FIN'!$A$1:$O$99,15,0)),0,VLOOKUP($T$1598,'TAR FIN'!$A$1:$O$99,15,0))</f>
        <v>348.11</v>
      </c>
      <c r="X1598" s="4">
        <f>IF(ISERROR(VLOOKUP($U$1598,'TAR FIN'!$A$1:$O$99,15,0)),0,VLOOKUP($U$1598,'TAR FIN'!$A$1:$O$99,15,0))</f>
        <v>202.86</v>
      </c>
      <c r="Y1598" s="4"/>
      <c r="Z1598" s="4">
        <f ca="1">('TUSD BE'!$AM$44+'TUSD BF'!$AM$44+'TUSD CVA'!$AM$44)*(1-CUSTOS!$M$38)</f>
        <v>438.62226072739548</v>
      </c>
      <c r="AA1598" s="4">
        <f>('TE BE'!$AA$26+'TE BF'!$AA$26+'TE CVA'!$AA$26)*(1-CUSTOS!$M$38)</f>
        <v>266.83676082414206</v>
      </c>
      <c r="AB1598" s="4">
        <f>$K$1598*$V$1598</f>
        <v>0</v>
      </c>
      <c r="AC1598" s="4">
        <f>$M$1598*$W$1598</f>
        <v>41291.763870000002</v>
      </c>
      <c r="AD1598" s="4">
        <f>$O$1598*$X$1598</f>
        <v>24062.644620000003</v>
      </c>
      <c r="AE1598" s="4">
        <f>$K$1598*$Y$1598</f>
        <v>0</v>
      </c>
      <c r="AF1598" s="4">
        <f ca="1">$M$1598*$Z$1598</f>
        <v>52028.056700701469</v>
      </c>
      <c r="AG1598" s="4">
        <f>$O$1598*$AA$1598</f>
        <v>31651.376058677259</v>
      </c>
    </row>
    <row r="1599" spans="1:33" ht="11.25" customHeight="1" x14ac:dyDescent="0.25">
      <c r="A1599" s="3" t="s">
        <v>21</v>
      </c>
      <c r="B1599" s="3" t="s">
        <v>44</v>
      </c>
      <c r="C1599" s="3" t="s">
        <v>23</v>
      </c>
      <c r="D1599" s="3" t="s">
        <v>45</v>
      </c>
      <c r="E1599" s="3" t="s">
        <v>25</v>
      </c>
      <c r="F1599" s="3" t="s">
        <v>25</v>
      </c>
      <c r="G1599" s="3" t="s">
        <v>25</v>
      </c>
      <c r="H1599" s="3" t="s">
        <v>25</v>
      </c>
      <c r="I1599" s="6">
        <v>44562</v>
      </c>
      <c r="J1599" s="4">
        <v>0</v>
      </c>
      <c r="K1599" s="4">
        <v>0</v>
      </c>
      <c r="L1599" s="4">
        <v>4777.3860000000004</v>
      </c>
      <c r="M1599" s="4">
        <v>4777.3860000000004</v>
      </c>
      <c r="N1599" s="4">
        <v>4777.3860000000004</v>
      </c>
      <c r="O1599" s="4">
        <v>4777.3860000000004</v>
      </c>
      <c r="P1599" s="4">
        <v>30763</v>
      </c>
      <c r="Q1599" s="3" t="s">
        <v>26</v>
      </c>
      <c r="R1599" s="3">
        <v>0</v>
      </c>
      <c r="S1599" s="4">
        <v>0</v>
      </c>
      <c r="T1599" s="4">
        <v>37</v>
      </c>
      <c r="U1599" s="4">
        <v>78</v>
      </c>
      <c r="V1599" s="4">
        <f>IF(ISERROR(VLOOKUP($S$1599,'TAR FIN'!$A$1:$O$99,15,0)),0,VLOOKUP($S$1599,'TAR FIN'!$A$1:$O$99,15,0))</f>
        <v>0</v>
      </c>
      <c r="W1599" s="4">
        <f>IF(ISERROR(VLOOKUP($T$1599,'TAR FIN'!$A$1:$O$99,15,0)),0,VLOOKUP($T$1599,'TAR FIN'!$A$1:$O$99,15,0))</f>
        <v>348.11</v>
      </c>
      <c r="X1599" s="4">
        <f>IF(ISERROR(VLOOKUP($U$1599,'TAR FIN'!$A$1:$O$99,15,0)),0,VLOOKUP($U$1599,'TAR FIN'!$A$1:$O$99,15,0))</f>
        <v>202.86</v>
      </c>
      <c r="Y1599" s="4"/>
      <c r="Z1599" s="4">
        <f ca="1">('TUSD BE'!$AM$44+'TUSD BF'!$AM$44+'TUSD CVA'!$AM$44)*(1-CUSTOS!$M$38)</f>
        <v>438.62226072739548</v>
      </c>
      <c r="AA1599" s="4">
        <f>('TE BE'!$AA$26+'TE BF'!$AA$26+'TE CVA'!$AA$26)*(1-CUSTOS!$M$38)</f>
        <v>266.83676082414206</v>
      </c>
      <c r="AB1599" s="4">
        <f>$K$1599*$V$1599</f>
        <v>0</v>
      </c>
      <c r="AC1599" s="4">
        <f>$M$1599*$W$1599</f>
        <v>1663055.8404600003</v>
      </c>
      <c r="AD1599" s="4">
        <f>$O$1599*$X$1599</f>
        <v>969140.52396000014</v>
      </c>
      <c r="AE1599" s="4">
        <f>$K$1599*$Y$1599</f>
        <v>0</v>
      </c>
      <c r="AF1599" s="4">
        <f ca="1">$M$1599*$Z$1599</f>
        <v>2095467.8476874093</v>
      </c>
      <c r="AG1599" s="4">
        <f>$O$1599*$AA$1599</f>
        <v>1274782.2054466049</v>
      </c>
    </row>
    <row r="1600" spans="1:33" ht="11.25" customHeight="1" x14ac:dyDescent="0.25">
      <c r="A1600" s="3" t="s">
        <v>27</v>
      </c>
      <c r="B1600" s="3" t="s">
        <v>44</v>
      </c>
      <c r="C1600" s="3" t="s">
        <v>23</v>
      </c>
      <c r="D1600" s="3" t="s">
        <v>45</v>
      </c>
      <c r="E1600" s="3" t="s">
        <v>25</v>
      </c>
      <c r="F1600" s="3" t="s">
        <v>25</v>
      </c>
      <c r="G1600" s="3" t="s">
        <v>25</v>
      </c>
      <c r="H1600" s="3" t="s">
        <v>25</v>
      </c>
      <c r="I1600" s="6">
        <v>44562</v>
      </c>
      <c r="J1600" s="4">
        <v>0</v>
      </c>
      <c r="K1600" s="4">
        <v>0</v>
      </c>
      <c r="L1600" s="4">
        <v>-21.193999999999999</v>
      </c>
      <c r="M1600" s="4">
        <v>-21.193999999999999</v>
      </c>
      <c r="N1600" s="4">
        <v>-21.193999999999999</v>
      </c>
      <c r="O1600" s="4">
        <v>-21.193999999999999</v>
      </c>
      <c r="P1600" s="4">
        <v>-179</v>
      </c>
      <c r="Q1600" s="3" t="s">
        <v>26</v>
      </c>
      <c r="R1600" s="3">
        <v>0</v>
      </c>
      <c r="S1600" s="4">
        <v>0</v>
      </c>
      <c r="T1600" s="4">
        <v>37</v>
      </c>
      <c r="U1600" s="4">
        <v>78</v>
      </c>
      <c r="V1600" s="4">
        <f>IF(ISERROR(VLOOKUP($S$1600,'TAR FIN'!$A$1:$O$99,15,0)),0,VLOOKUP($S$1600,'TAR FIN'!$A$1:$O$99,15,0))</f>
        <v>0</v>
      </c>
      <c r="W1600" s="4">
        <f>IF(ISERROR(VLOOKUP($T$1600,'TAR FIN'!$A$1:$O$99,15,0)),0,VLOOKUP($T$1600,'TAR FIN'!$A$1:$O$99,15,0))</f>
        <v>348.11</v>
      </c>
      <c r="X1600" s="4">
        <f>IF(ISERROR(VLOOKUP($U$1600,'TAR FIN'!$A$1:$O$99,15,0)),0,VLOOKUP($U$1600,'TAR FIN'!$A$1:$O$99,15,0))</f>
        <v>202.86</v>
      </c>
      <c r="Y1600" s="4"/>
      <c r="Z1600" s="4">
        <f ca="1">('TUSD BE'!$AM$44+'TUSD BF'!$AM$44+'TUSD CVA'!$AM$44)*(1-CUSTOS!$M$38)</f>
        <v>438.62226072739548</v>
      </c>
      <c r="AA1600" s="4">
        <f>('TE BE'!$AA$26+'TE BF'!$AA$26+'TE CVA'!$AA$26)*(1-CUSTOS!$M$38)</f>
        <v>266.83676082414206</v>
      </c>
      <c r="AB1600" s="4">
        <f>$K$1600*$V$1600</f>
        <v>0</v>
      </c>
      <c r="AC1600" s="4">
        <f>$M$1600*$W$1600</f>
        <v>-7377.8433400000004</v>
      </c>
      <c r="AD1600" s="4">
        <f>$O$1600*$X$1600</f>
        <v>-4299.4148400000004</v>
      </c>
      <c r="AE1600" s="4">
        <f>$K$1600*$Y$1600</f>
        <v>0</v>
      </c>
      <c r="AF1600" s="4">
        <f ca="1">$M$1600*$Z$1600</f>
        <v>-9296.1601938564199</v>
      </c>
      <c r="AG1600" s="4">
        <f>$O$1600*$AA$1600</f>
        <v>-5655.3383089068666</v>
      </c>
    </row>
    <row r="1601" spans="1:33" ht="11.25" customHeight="1" x14ac:dyDescent="0.25">
      <c r="A1601" s="3" t="s">
        <v>28</v>
      </c>
      <c r="B1601" s="3" t="s">
        <v>44</v>
      </c>
      <c r="C1601" s="3" t="s">
        <v>23</v>
      </c>
      <c r="D1601" s="3" t="s">
        <v>45</v>
      </c>
      <c r="E1601" s="3" t="s">
        <v>25</v>
      </c>
      <c r="F1601" s="3" t="s">
        <v>25</v>
      </c>
      <c r="G1601" s="3" t="s">
        <v>25</v>
      </c>
      <c r="H1601" s="3" t="s">
        <v>25</v>
      </c>
      <c r="I1601" s="6">
        <v>44562</v>
      </c>
      <c r="J1601" s="4">
        <v>0</v>
      </c>
      <c r="K1601" s="4">
        <v>0</v>
      </c>
      <c r="L1601" s="4">
        <v>107.86</v>
      </c>
      <c r="M1601" s="4">
        <v>107.86</v>
      </c>
      <c r="N1601" s="4">
        <v>107.86</v>
      </c>
      <c r="O1601" s="4">
        <v>107.86</v>
      </c>
      <c r="P1601" s="4">
        <v>241</v>
      </c>
      <c r="Q1601" s="3" t="s">
        <v>26</v>
      </c>
      <c r="R1601" s="3">
        <v>0</v>
      </c>
      <c r="S1601" s="4">
        <v>0</v>
      </c>
      <c r="T1601" s="4">
        <v>37</v>
      </c>
      <c r="U1601" s="4">
        <v>78</v>
      </c>
      <c r="V1601" s="4">
        <f>IF(ISERROR(VLOOKUP($S$1601,'TAR FIN'!$A$1:$O$99,15,0)),0,VLOOKUP($S$1601,'TAR FIN'!$A$1:$O$99,15,0))</f>
        <v>0</v>
      </c>
      <c r="W1601" s="4">
        <f>IF(ISERROR(VLOOKUP($T$1601,'TAR FIN'!$A$1:$O$99,15,0)),0,VLOOKUP($T$1601,'TAR FIN'!$A$1:$O$99,15,0))</f>
        <v>348.11</v>
      </c>
      <c r="X1601" s="4">
        <f>IF(ISERROR(VLOOKUP($U$1601,'TAR FIN'!$A$1:$O$99,15,0)),0,VLOOKUP($U$1601,'TAR FIN'!$A$1:$O$99,15,0))</f>
        <v>202.86</v>
      </c>
      <c r="Y1601" s="4"/>
      <c r="Z1601" s="4">
        <f ca="1">('TUSD BE'!$AM$44+'TUSD BF'!$AM$44+'TUSD CVA'!$AM$44)*(1-CUSTOS!$M$38)</f>
        <v>438.62226072739548</v>
      </c>
      <c r="AA1601" s="4">
        <f>('TE BE'!$AA$26+'TE BF'!$AA$26+'TE CVA'!$AA$26)*(1-CUSTOS!$M$38)</f>
        <v>266.83676082414206</v>
      </c>
      <c r="AB1601" s="4">
        <f>$K$1601*$V$1601</f>
        <v>0</v>
      </c>
      <c r="AC1601" s="4">
        <f>$M$1601*$W$1601</f>
        <v>37547.1446</v>
      </c>
      <c r="AD1601" s="4">
        <f>$O$1601*$X$1601</f>
        <v>21880.479600000002</v>
      </c>
      <c r="AE1601" s="4">
        <f>$K$1601*$Y$1601</f>
        <v>0</v>
      </c>
      <c r="AF1601" s="4">
        <f ca="1">$M$1601*$Z$1601</f>
        <v>47309.797042056874</v>
      </c>
      <c r="AG1601" s="4">
        <f>$O$1601*$AA$1601</f>
        <v>28781.013022491963</v>
      </c>
    </row>
    <row r="1602" spans="1:33" ht="11.25" customHeight="1" x14ac:dyDescent="0.25">
      <c r="A1602" s="3" t="s">
        <v>21</v>
      </c>
      <c r="B1602" s="3" t="s">
        <v>44</v>
      </c>
      <c r="C1602" s="3" t="s">
        <v>23</v>
      </c>
      <c r="D1602" s="3" t="s">
        <v>45</v>
      </c>
      <c r="E1602" s="3" t="s">
        <v>25</v>
      </c>
      <c r="F1602" s="3" t="s">
        <v>25</v>
      </c>
      <c r="G1602" s="3" t="s">
        <v>25</v>
      </c>
      <c r="H1602" s="3" t="s">
        <v>25</v>
      </c>
      <c r="I1602" s="6">
        <v>44593</v>
      </c>
      <c r="J1602" s="4">
        <v>0</v>
      </c>
      <c r="K1602" s="4">
        <v>0</v>
      </c>
      <c r="L1602" s="4">
        <v>4650.3680000000004</v>
      </c>
      <c r="M1602" s="4">
        <v>4650.3680000000004</v>
      </c>
      <c r="N1602" s="4">
        <v>4650.3680000000004</v>
      </c>
      <c r="O1602" s="4">
        <v>4650.3680000000004</v>
      </c>
      <c r="P1602" s="4">
        <v>30365</v>
      </c>
      <c r="Q1602" s="3" t="s">
        <v>26</v>
      </c>
      <c r="R1602" s="3">
        <v>0</v>
      </c>
      <c r="S1602" s="4">
        <v>0</v>
      </c>
      <c r="T1602" s="4">
        <v>37</v>
      </c>
      <c r="U1602" s="4">
        <v>78</v>
      </c>
      <c r="V1602" s="4">
        <f>IF(ISERROR(VLOOKUP($S$1602,'TAR FIN'!$A$1:$O$99,15,0)),0,VLOOKUP($S$1602,'TAR FIN'!$A$1:$O$99,15,0))</f>
        <v>0</v>
      </c>
      <c r="W1602" s="4">
        <f>IF(ISERROR(VLOOKUP($T$1602,'TAR FIN'!$A$1:$O$99,15,0)),0,VLOOKUP($T$1602,'TAR FIN'!$A$1:$O$99,15,0))</f>
        <v>348.11</v>
      </c>
      <c r="X1602" s="4">
        <f>IF(ISERROR(VLOOKUP($U$1602,'TAR FIN'!$A$1:$O$99,15,0)),0,VLOOKUP($U$1602,'TAR FIN'!$A$1:$O$99,15,0))</f>
        <v>202.86</v>
      </c>
      <c r="Y1602" s="4"/>
      <c r="Z1602" s="4">
        <f ca="1">('TUSD BE'!$AM$44+'TUSD BF'!$AM$44+'TUSD CVA'!$AM$44)*(1-CUSTOS!$M$38)</f>
        <v>438.62226072739548</v>
      </c>
      <c r="AA1602" s="4">
        <f>('TE BE'!$AA$26+'TE BF'!$AA$26+'TE CVA'!$AA$26)*(1-CUSTOS!$M$38)</f>
        <v>266.83676082414206</v>
      </c>
      <c r="AB1602" s="4">
        <f>$K$1602*$V$1602</f>
        <v>0</v>
      </c>
      <c r="AC1602" s="4">
        <f>$M$1602*$W$1602</f>
        <v>1618839.6044800002</v>
      </c>
      <c r="AD1602" s="4">
        <f>$O$1602*$X$1602</f>
        <v>943373.65248000016</v>
      </c>
      <c r="AE1602" s="4">
        <f>$K$1602*$Y$1602</f>
        <v>0</v>
      </c>
      <c r="AF1602" s="4">
        <f ca="1">$M$1602*$Z$1602</f>
        <v>2039754.9253743368</v>
      </c>
      <c r="AG1602" s="4">
        <f>$O$1602*$AA$1602</f>
        <v>1240889.1337602439</v>
      </c>
    </row>
    <row r="1603" spans="1:33" ht="11.25" customHeight="1" x14ac:dyDescent="0.25">
      <c r="A1603" s="3" t="s">
        <v>27</v>
      </c>
      <c r="B1603" s="3" t="s">
        <v>44</v>
      </c>
      <c r="C1603" s="3" t="s">
        <v>23</v>
      </c>
      <c r="D1603" s="3" t="s">
        <v>45</v>
      </c>
      <c r="E1603" s="3" t="s">
        <v>25</v>
      </c>
      <c r="F1603" s="3" t="s">
        <v>25</v>
      </c>
      <c r="G1603" s="3" t="s">
        <v>25</v>
      </c>
      <c r="H1603" s="3" t="s">
        <v>25</v>
      </c>
      <c r="I1603" s="6">
        <v>44593</v>
      </c>
      <c r="J1603" s="4">
        <v>0</v>
      </c>
      <c r="K1603" s="4">
        <v>0</v>
      </c>
      <c r="L1603" s="4">
        <v>-13.035</v>
      </c>
      <c r="M1603" s="4">
        <v>-13.035</v>
      </c>
      <c r="N1603" s="4">
        <v>-13.035</v>
      </c>
      <c r="O1603" s="4">
        <v>-13.035</v>
      </c>
      <c r="P1603" s="4">
        <v>-129</v>
      </c>
      <c r="Q1603" s="3" t="s">
        <v>26</v>
      </c>
      <c r="R1603" s="3">
        <v>0</v>
      </c>
      <c r="S1603" s="4">
        <v>0</v>
      </c>
      <c r="T1603" s="4">
        <v>37</v>
      </c>
      <c r="U1603" s="4">
        <v>78</v>
      </c>
      <c r="V1603" s="4">
        <f>IF(ISERROR(VLOOKUP($S$1603,'TAR FIN'!$A$1:$O$99,15,0)),0,VLOOKUP($S$1603,'TAR FIN'!$A$1:$O$99,15,0))</f>
        <v>0</v>
      </c>
      <c r="W1603" s="4">
        <f>IF(ISERROR(VLOOKUP($T$1603,'TAR FIN'!$A$1:$O$99,15,0)),0,VLOOKUP($T$1603,'TAR FIN'!$A$1:$O$99,15,0))</f>
        <v>348.11</v>
      </c>
      <c r="X1603" s="4">
        <f>IF(ISERROR(VLOOKUP($U$1603,'TAR FIN'!$A$1:$O$99,15,0)),0,VLOOKUP($U$1603,'TAR FIN'!$A$1:$O$99,15,0))</f>
        <v>202.86</v>
      </c>
      <c r="Y1603" s="4"/>
      <c r="Z1603" s="4">
        <f ca="1">('TUSD BE'!$AM$44+'TUSD BF'!$AM$44+'TUSD CVA'!$AM$44)*(1-CUSTOS!$M$38)</f>
        <v>438.62226072739548</v>
      </c>
      <c r="AA1603" s="4">
        <f>('TE BE'!$AA$26+'TE BF'!$AA$26+'TE CVA'!$AA$26)*(1-CUSTOS!$M$38)</f>
        <v>266.83676082414206</v>
      </c>
      <c r="AB1603" s="4">
        <f>$K$1603*$V$1603</f>
        <v>0</v>
      </c>
      <c r="AC1603" s="4">
        <f>$M$1603*$W$1603</f>
        <v>-4537.6138500000006</v>
      </c>
      <c r="AD1603" s="4">
        <f>$O$1603*$X$1603</f>
        <v>-2644.2801000000004</v>
      </c>
      <c r="AE1603" s="4">
        <f>$K$1603*$Y$1603</f>
        <v>0</v>
      </c>
      <c r="AF1603" s="4">
        <f ca="1">$M$1603*$Z$1603</f>
        <v>-5717.4411685816003</v>
      </c>
      <c r="AG1603" s="4">
        <f>$O$1603*$AA$1603</f>
        <v>-3478.2171773426917</v>
      </c>
    </row>
    <row r="1604" spans="1:33" ht="11.25" customHeight="1" x14ac:dyDescent="0.25">
      <c r="A1604" s="3" t="s">
        <v>28</v>
      </c>
      <c r="B1604" s="3" t="s">
        <v>44</v>
      </c>
      <c r="C1604" s="3" t="s">
        <v>23</v>
      </c>
      <c r="D1604" s="3" t="s">
        <v>45</v>
      </c>
      <c r="E1604" s="3" t="s">
        <v>25</v>
      </c>
      <c r="F1604" s="3" t="s">
        <v>25</v>
      </c>
      <c r="G1604" s="3" t="s">
        <v>25</v>
      </c>
      <c r="H1604" s="3" t="s">
        <v>25</v>
      </c>
      <c r="I1604" s="6">
        <v>44593</v>
      </c>
      <c r="J1604" s="4">
        <v>0</v>
      </c>
      <c r="K1604" s="4">
        <v>0</v>
      </c>
      <c r="L1604" s="4">
        <v>105.203</v>
      </c>
      <c r="M1604" s="4">
        <v>105.203</v>
      </c>
      <c r="N1604" s="4">
        <v>105.203</v>
      </c>
      <c r="O1604" s="4">
        <v>105.203</v>
      </c>
      <c r="P1604" s="4">
        <v>256</v>
      </c>
      <c r="Q1604" s="3" t="s">
        <v>26</v>
      </c>
      <c r="R1604" s="3">
        <v>0</v>
      </c>
      <c r="S1604" s="4">
        <v>0</v>
      </c>
      <c r="T1604" s="4">
        <v>37</v>
      </c>
      <c r="U1604" s="4">
        <v>78</v>
      </c>
      <c r="V1604" s="4">
        <f>IF(ISERROR(VLOOKUP($S$1604,'TAR FIN'!$A$1:$O$99,15,0)),0,VLOOKUP($S$1604,'TAR FIN'!$A$1:$O$99,15,0))</f>
        <v>0</v>
      </c>
      <c r="W1604" s="4">
        <f>IF(ISERROR(VLOOKUP($T$1604,'TAR FIN'!$A$1:$O$99,15,0)),0,VLOOKUP($T$1604,'TAR FIN'!$A$1:$O$99,15,0))</f>
        <v>348.11</v>
      </c>
      <c r="X1604" s="4">
        <f>IF(ISERROR(VLOOKUP($U$1604,'TAR FIN'!$A$1:$O$99,15,0)),0,VLOOKUP($U$1604,'TAR FIN'!$A$1:$O$99,15,0))</f>
        <v>202.86</v>
      </c>
      <c r="Y1604" s="4"/>
      <c r="Z1604" s="4">
        <f ca="1">('TUSD BE'!$AM$44+'TUSD BF'!$AM$44+'TUSD CVA'!$AM$44)*(1-CUSTOS!$M$38)</f>
        <v>438.62226072739548</v>
      </c>
      <c r="AA1604" s="4">
        <f>('TE BE'!$AA$26+'TE BF'!$AA$26+'TE CVA'!$AA$26)*(1-CUSTOS!$M$38)</f>
        <v>266.83676082414206</v>
      </c>
      <c r="AB1604" s="4">
        <f>$K$1604*$V$1604</f>
        <v>0</v>
      </c>
      <c r="AC1604" s="4">
        <f>$M$1604*$W$1604</f>
        <v>36622.216330000003</v>
      </c>
      <c r="AD1604" s="4">
        <f>$O$1604*$X$1604</f>
        <v>21341.480580000003</v>
      </c>
      <c r="AE1604" s="4">
        <f>$K$1604*$Y$1604</f>
        <v>0</v>
      </c>
      <c r="AF1604" s="4">
        <f ca="1">$M$1604*$Z$1604</f>
        <v>46144.377695304189</v>
      </c>
      <c r="AG1604" s="4">
        <f>$O$1604*$AA$1604</f>
        <v>28072.027748982218</v>
      </c>
    </row>
    <row r="1605" spans="1:33" ht="11.25" customHeight="1" x14ac:dyDescent="0.25">
      <c r="A1605" s="3" t="s">
        <v>21</v>
      </c>
      <c r="B1605" s="3" t="s">
        <v>44</v>
      </c>
      <c r="C1605" s="3" t="s">
        <v>23</v>
      </c>
      <c r="D1605" s="3" t="s">
        <v>45</v>
      </c>
      <c r="E1605" s="3" t="s">
        <v>25</v>
      </c>
      <c r="F1605" s="3" t="s">
        <v>25</v>
      </c>
      <c r="G1605" s="3" t="s">
        <v>25</v>
      </c>
      <c r="H1605" s="3" t="s">
        <v>25</v>
      </c>
      <c r="I1605" s="6">
        <v>44621</v>
      </c>
      <c r="J1605" s="4">
        <v>0</v>
      </c>
      <c r="K1605" s="4">
        <v>0</v>
      </c>
      <c r="L1605" s="4">
        <v>4715.38</v>
      </c>
      <c r="M1605" s="4">
        <v>4715.38</v>
      </c>
      <c r="N1605" s="4">
        <v>4715.38</v>
      </c>
      <c r="O1605" s="4">
        <v>4715.38</v>
      </c>
      <c r="P1605" s="4">
        <v>29947</v>
      </c>
      <c r="Q1605" s="3" t="s">
        <v>26</v>
      </c>
      <c r="R1605" s="3">
        <v>0</v>
      </c>
      <c r="S1605" s="4">
        <v>0</v>
      </c>
      <c r="T1605" s="4">
        <v>37</v>
      </c>
      <c r="U1605" s="4">
        <v>78</v>
      </c>
      <c r="V1605" s="4">
        <f>IF(ISERROR(VLOOKUP($S$1605,'TAR FIN'!$A$1:$O$99,15,0)),0,VLOOKUP($S$1605,'TAR FIN'!$A$1:$O$99,15,0))</f>
        <v>0</v>
      </c>
      <c r="W1605" s="4">
        <f>IF(ISERROR(VLOOKUP($T$1605,'TAR FIN'!$A$1:$O$99,15,0)),0,VLOOKUP($T$1605,'TAR FIN'!$A$1:$O$99,15,0))</f>
        <v>348.11</v>
      </c>
      <c r="X1605" s="4">
        <f>IF(ISERROR(VLOOKUP($U$1605,'TAR FIN'!$A$1:$O$99,15,0)),0,VLOOKUP($U$1605,'TAR FIN'!$A$1:$O$99,15,0))</f>
        <v>202.86</v>
      </c>
      <c r="Y1605" s="4"/>
      <c r="Z1605" s="4">
        <f ca="1">('TUSD BE'!$AM$44+'TUSD BF'!$AM$44+'TUSD CVA'!$AM$44)*(1-CUSTOS!$M$38)</f>
        <v>438.62226072739548</v>
      </c>
      <c r="AA1605" s="4">
        <f>('TE BE'!$AA$26+'TE BF'!$AA$26+'TE CVA'!$AA$26)*(1-CUSTOS!$M$38)</f>
        <v>266.83676082414206</v>
      </c>
      <c r="AB1605" s="4">
        <f>$K$1605*$V$1605</f>
        <v>0</v>
      </c>
      <c r="AC1605" s="4">
        <f>$M$1605*$W$1605</f>
        <v>1641470.9318000001</v>
      </c>
      <c r="AD1605" s="4">
        <f>$O$1605*$X$1605</f>
        <v>956561.98680000007</v>
      </c>
      <c r="AE1605" s="4">
        <f>$K$1605*$Y$1605</f>
        <v>0</v>
      </c>
      <c r="AF1605" s="4">
        <f ca="1">$M$1605*$Z$1605</f>
        <v>2068270.6357887462</v>
      </c>
      <c r="AG1605" s="4">
        <f>$O$1605*$AA$1605</f>
        <v>1258236.7252549431</v>
      </c>
    </row>
    <row r="1606" spans="1:33" ht="11.25" customHeight="1" x14ac:dyDescent="0.25">
      <c r="A1606" s="3" t="s">
        <v>27</v>
      </c>
      <c r="B1606" s="3" t="s">
        <v>44</v>
      </c>
      <c r="C1606" s="3" t="s">
        <v>23</v>
      </c>
      <c r="D1606" s="3" t="s">
        <v>45</v>
      </c>
      <c r="E1606" s="3" t="s">
        <v>25</v>
      </c>
      <c r="F1606" s="3" t="s">
        <v>25</v>
      </c>
      <c r="G1606" s="3" t="s">
        <v>25</v>
      </c>
      <c r="H1606" s="3" t="s">
        <v>25</v>
      </c>
      <c r="I1606" s="6">
        <v>44621</v>
      </c>
      <c r="J1606" s="4">
        <v>0</v>
      </c>
      <c r="K1606" s="4">
        <v>0</v>
      </c>
      <c r="L1606" s="4">
        <v>-43.738</v>
      </c>
      <c r="M1606" s="4">
        <v>-43.738</v>
      </c>
      <c r="N1606" s="4">
        <v>-43.738</v>
      </c>
      <c r="O1606" s="4">
        <v>-43.738</v>
      </c>
      <c r="P1606" s="4">
        <v>-8</v>
      </c>
      <c r="Q1606" s="3" t="s">
        <v>26</v>
      </c>
      <c r="R1606" s="3">
        <v>0</v>
      </c>
      <c r="S1606" s="4">
        <v>0</v>
      </c>
      <c r="T1606" s="4">
        <v>37</v>
      </c>
      <c r="U1606" s="4">
        <v>78</v>
      </c>
      <c r="V1606" s="4">
        <f>IF(ISERROR(VLOOKUP($S$1606,'TAR FIN'!$A$1:$O$99,15,0)),0,VLOOKUP($S$1606,'TAR FIN'!$A$1:$O$99,15,0))</f>
        <v>0</v>
      </c>
      <c r="W1606" s="4">
        <f>IF(ISERROR(VLOOKUP($T$1606,'TAR FIN'!$A$1:$O$99,15,0)),0,VLOOKUP($T$1606,'TAR FIN'!$A$1:$O$99,15,0))</f>
        <v>348.11</v>
      </c>
      <c r="X1606" s="4">
        <f>IF(ISERROR(VLOOKUP($U$1606,'TAR FIN'!$A$1:$O$99,15,0)),0,VLOOKUP($U$1606,'TAR FIN'!$A$1:$O$99,15,0))</f>
        <v>202.86</v>
      </c>
      <c r="Y1606" s="4"/>
      <c r="Z1606" s="4">
        <f ca="1">('TUSD BE'!$AM$44+'TUSD BF'!$AM$44+'TUSD CVA'!$AM$44)*(1-CUSTOS!$M$38)</f>
        <v>438.62226072739548</v>
      </c>
      <c r="AA1606" s="4">
        <f>('TE BE'!$AA$26+'TE BF'!$AA$26+'TE CVA'!$AA$26)*(1-CUSTOS!$M$38)</f>
        <v>266.83676082414206</v>
      </c>
      <c r="AB1606" s="4">
        <f>$K$1606*$V$1606</f>
        <v>0</v>
      </c>
      <c r="AC1606" s="4">
        <f>$M$1606*$W$1606</f>
        <v>-15225.635180000001</v>
      </c>
      <c r="AD1606" s="4">
        <f>$O$1606*$X$1606</f>
        <v>-8872.6906799999997</v>
      </c>
      <c r="AE1606" s="4">
        <f>$K$1606*$Y$1606</f>
        <v>0</v>
      </c>
      <c r="AF1606" s="4">
        <f ca="1">$M$1606*$Z$1606</f>
        <v>-19184.460439694823</v>
      </c>
      <c r="AG1606" s="4">
        <f>$O$1606*$AA$1606</f>
        <v>-11670.906244926326</v>
      </c>
    </row>
    <row r="1607" spans="1:33" ht="11.25" customHeight="1" x14ac:dyDescent="0.25">
      <c r="A1607" s="3" t="s">
        <v>28</v>
      </c>
      <c r="B1607" s="3" t="s">
        <v>44</v>
      </c>
      <c r="C1607" s="3" t="s">
        <v>23</v>
      </c>
      <c r="D1607" s="3" t="s">
        <v>45</v>
      </c>
      <c r="E1607" s="3" t="s">
        <v>25</v>
      </c>
      <c r="F1607" s="3" t="s">
        <v>25</v>
      </c>
      <c r="G1607" s="3" t="s">
        <v>25</v>
      </c>
      <c r="H1607" s="3" t="s">
        <v>25</v>
      </c>
      <c r="I1607" s="6">
        <v>44621</v>
      </c>
      <c r="J1607" s="4">
        <v>0</v>
      </c>
      <c r="K1607" s="4">
        <v>0</v>
      </c>
      <c r="L1607" s="4">
        <v>113.006</v>
      </c>
      <c r="M1607" s="4">
        <v>113.006</v>
      </c>
      <c r="N1607" s="4">
        <v>113.006</v>
      </c>
      <c r="O1607" s="4">
        <v>113.006</v>
      </c>
      <c r="P1607" s="4">
        <v>282</v>
      </c>
      <c r="Q1607" s="3" t="s">
        <v>26</v>
      </c>
      <c r="R1607" s="3">
        <v>0</v>
      </c>
      <c r="S1607" s="4">
        <v>0</v>
      </c>
      <c r="T1607" s="4">
        <v>37</v>
      </c>
      <c r="U1607" s="4">
        <v>78</v>
      </c>
      <c r="V1607" s="4">
        <f>IF(ISERROR(VLOOKUP($S$1607,'TAR FIN'!$A$1:$O$99,15,0)),0,VLOOKUP($S$1607,'TAR FIN'!$A$1:$O$99,15,0))</f>
        <v>0</v>
      </c>
      <c r="W1607" s="4">
        <f>IF(ISERROR(VLOOKUP($T$1607,'TAR FIN'!$A$1:$O$99,15,0)),0,VLOOKUP($T$1607,'TAR FIN'!$A$1:$O$99,15,0))</f>
        <v>348.11</v>
      </c>
      <c r="X1607" s="4">
        <f>IF(ISERROR(VLOOKUP($U$1607,'TAR FIN'!$A$1:$O$99,15,0)),0,VLOOKUP($U$1607,'TAR FIN'!$A$1:$O$99,15,0))</f>
        <v>202.86</v>
      </c>
      <c r="Y1607" s="4"/>
      <c r="Z1607" s="4">
        <f ca="1">('TUSD BE'!$AM$44+'TUSD BF'!$AM$44+'TUSD CVA'!$AM$44)*(1-CUSTOS!$M$38)</f>
        <v>438.62226072739548</v>
      </c>
      <c r="AA1607" s="4">
        <f>('TE BE'!$AA$26+'TE BF'!$AA$26+'TE CVA'!$AA$26)*(1-CUSTOS!$M$38)</f>
        <v>266.83676082414206</v>
      </c>
      <c r="AB1607" s="4">
        <f>$K$1607*$V$1607</f>
        <v>0</v>
      </c>
      <c r="AC1607" s="4">
        <f>$M$1607*$W$1607</f>
        <v>39338.518660000002</v>
      </c>
      <c r="AD1607" s="4">
        <f>$O$1607*$X$1607</f>
        <v>22924.39716</v>
      </c>
      <c r="AE1607" s="4">
        <f>$K$1607*$Y$1607</f>
        <v>0</v>
      </c>
      <c r="AF1607" s="4">
        <f ca="1">$M$1607*$Z$1607</f>
        <v>49566.947195760054</v>
      </c>
      <c r="AG1607" s="4">
        <f>$O$1607*$AA$1607</f>
        <v>30154.154993692999</v>
      </c>
    </row>
    <row r="1608" spans="1:33" ht="11.25" customHeight="1" x14ac:dyDescent="0.25">
      <c r="A1608" s="3" t="s">
        <v>28</v>
      </c>
      <c r="B1608" s="3" t="s">
        <v>44</v>
      </c>
      <c r="C1608" s="3" t="s">
        <v>23</v>
      </c>
      <c r="D1608" s="3" t="s">
        <v>45</v>
      </c>
      <c r="E1608" s="3" t="s">
        <v>25</v>
      </c>
      <c r="F1608" s="3" t="s">
        <v>25</v>
      </c>
      <c r="G1608" s="3" t="s">
        <v>25</v>
      </c>
      <c r="H1608" s="3" t="s">
        <v>25</v>
      </c>
      <c r="I1608" s="6">
        <v>44621</v>
      </c>
      <c r="J1608" s="4">
        <v>0</v>
      </c>
      <c r="K1608" s="4">
        <v>0</v>
      </c>
      <c r="L1608" s="4">
        <v>7.0640000000000001</v>
      </c>
      <c r="M1608" s="4">
        <v>7.0640000000000001</v>
      </c>
      <c r="N1608" s="4">
        <v>7.0640000000000001</v>
      </c>
      <c r="O1608" s="4">
        <v>7.0640000000000001</v>
      </c>
      <c r="P1608" s="4">
        <v>2</v>
      </c>
      <c r="Q1608" s="3" t="s">
        <v>26</v>
      </c>
      <c r="R1608" s="3">
        <v>0</v>
      </c>
      <c r="S1608" s="4">
        <v>0</v>
      </c>
      <c r="T1608" s="4">
        <v>37</v>
      </c>
      <c r="U1608" s="4">
        <v>78</v>
      </c>
      <c r="V1608" s="4">
        <f>IF(ISERROR(VLOOKUP($S$1608,'TAR FIN'!$A$1:$O$99,15,0)),0,VLOOKUP($S$1608,'TAR FIN'!$A$1:$O$99,15,0))</f>
        <v>0</v>
      </c>
      <c r="W1608" s="4">
        <f>IF(ISERROR(VLOOKUP($T$1608,'TAR FIN'!$A$1:$O$99,15,0)),0,VLOOKUP($T$1608,'TAR FIN'!$A$1:$O$99,15,0))</f>
        <v>348.11</v>
      </c>
      <c r="X1608" s="4">
        <f>IF(ISERROR(VLOOKUP($U$1608,'TAR FIN'!$A$1:$O$99,15,0)),0,VLOOKUP($U$1608,'TAR FIN'!$A$1:$O$99,15,0))</f>
        <v>202.86</v>
      </c>
      <c r="Y1608" s="4"/>
      <c r="Z1608" s="4">
        <f ca="1">('TUSD BE'!$AM$44+'TUSD BF'!$AM$44+'TUSD CVA'!$AM$44)*(1-CUSTOS!$M$38)</f>
        <v>438.62226072739548</v>
      </c>
      <c r="AA1608" s="4">
        <f>('TE BE'!$AA$26+'TE BF'!$AA$26+'TE CVA'!$AA$26)*(1-CUSTOS!$M$38)</f>
        <v>266.83676082414206</v>
      </c>
      <c r="AB1608" s="4">
        <f>$K$1608*$V$1608</f>
        <v>0</v>
      </c>
      <c r="AC1608" s="4">
        <f>$M$1608*$W$1608</f>
        <v>2459.0490400000003</v>
      </c>
      <c r="AD1608" s="4">
        <f>$O$1608*$X$1608</f>
        <v>1433.0030400000001</v>
      </c>
      <c r="AE1608" s="4">
        <f>$K$1608*$Y$1608</f>
        <v>0</v>
      </c>
      <c r="AF1608" s="4">
        <f ca="1">$M$1608*$Z$1608</f>
        <v>3098.4276497783217</v>
      </c>
      <c r="AG1608" s="4">
        <f>$O$1608*$AA$1608</f>
        <v>1884.9348784617396</v>
      </c>
    </row>
    <row r="1609" spans="1:33" ht="11.25" customHeight="1" x14ac:dyDescent="0.25">
      <c r="A1609" s="3" t="s">
        <v>56</v>
      </c>
      <c r="B1609" s="3" t="s">
        <v>44</v>
      </c>
      <c r="C1609" s="3" t="s">
        <v>23</v>
      </c>
      <c r="D1609" s="3" t="s">
        <v>45</v>
      </c>
      <c r="E1609" s="3" t="s">
        <v>25</v>
      </c>
      <c r="F1609" s="3" t="s">
        <v>25</v>
      </c>
      <c r="G1609" s="3" t="s">
        <v>25</v>
      </c>
      <c r="H1609" s="3" t="s">
        <v>25</v>
      </c>
      <c r="I1609" s="6">
        <v>44652</v>
      </c>
      <c r="J1609" s="4">
        <v>0</v>
      </c>
      <c r="K1609" s="4">
        <v>0</v>
      </c>
      <c r="L1609" s="4">
        <v>4715.38</v>
      </c>
      <c r="M1609" s="4">
        <v>4715.38</v>
      </c>
      <c r="N1609" s="4">
        <v>4715.38</v>
      </c>
      <c r="O1609" s="4">
        <v>4715.38</v>
      </c>
      <c r="P1609" s="4">
        <v>29947</v>
      </c>
      <c r="Q1609" s="3" t="s">
        <v>26</v>
      </c>
      <c r="R1609" s="3">
        <v>0</v>
      </c>
      <c r="S1609" s="4">
        <v>0</v>
      </c>
      <c r="T1609" s="4">
        <v>37</v>
      </c>
      <c r="U1609" s="4">
        <v>78</v>
      </c>
      <c r="V1609" s="4">
        <f>IF(ISERROR(VLOOKUP($S$1609,'TAR FIN'!$A$1:$O$99,15,0)),0,VLOOKUP($S$1609,'TAR FIN'!$A$1:$O$99,15,0))</f>
        <v>0</v>
      </c>
      <c r="W1609" s="4">
        <f>IF(ISERROR(VLOOKUP($T$1609,'TAR FIN'!$A$1:$O$99,15,0)),0,VLOOKUP($T$1609,'TAR FIN'!$A$1:$O$99,15,0))</f>
        <v>348.11</v>
      </c>
      <c r="X1609" s="4">
        <f>IF(ISERROR(VLOOKUP($U$1609,'TAR FIN'!$A$1:$O$99,15,0)),0,VLOOKUP($U$1609,'TAR FIN'!$A$1:$O$99,15,0))</f>
        <v>202.86</v>
      </c>
      <c r="Y1609" s="4"/>
      <c r="Z1609" s="4">
        <f ca="1">('TUSD BE'!$AM$44+'TUSD BF'!$AM$44+'TUSD CVA'!$AM$44)*(1-CUSTOS!$M$38)</f>
        <v>438.62226072739548</v>
      </c>
      <c r="AA1609" s="4">
        <f>('TE BE'!$AA$26+'TE BF'!$AA$26+'TE CVA'!$AA$26)*(1-CUSTOS!$M$38)</f>
        <v>266.83676082414206</v>
      </c>
      <c r="AB1609" s="4">
        <f>$K$1609*$V$1609</f>
        <v>0</v>
      </c>
      <c r="AC1609" s="4">
        <f>$M$1609*$W$1609</f>
        <v>1641470.9318000001</v>
      </c>
      <c r="AD1609" s="4">
        <f>$O$1609*$X$1609</f>
        <v>956561.98680000007</v>
      </c>
      <c r="AE1609" s="4">
        <f>$K$1609*$Y$1609</f>
        <v>0</v>
      </c>
      <c r="AF1609" s="4">
        <f ca="1">$M$1609*$Z$1609</f>
        <v>2068270.6357887462</v>
      </c>
      <c r="AG1609" s="4">
        <f>$O$1609*$AA$1609</f>
        <v>1258236.7252549431</v>
      </c>
    </row>
    <row r="1610" spans="1:33" ht="11.25" customHeight="1" x14ac:dyDescent="0.25">
      <c r="A1610" s="3" t="s">
        <v>56</v>
      </c>
      <c r="B1610" s="3" t="s">
        <v>44</v>
      </c>
      <c r="C1610" s="3" t="s">
        <v>23</v>
      </c>
      <c r="D1610" s="3" t="s">
        <v>45</v>
      </c>
      <c r="E1610" s="3" t="s">
        <v>25</v>
      </c>
      <c r="F1610" s="3" t="s">
        <v>25</v>
      </c>
      <c r="G1610" s="3" t="s">
        <v>25</v>
      </c>
      <c r="H1610" s="3" t="s">
        <v>25</v>
      </c>
      <c r="I1610" s="6">
        <v>44652</v>
      </c>
      <c r="J1610" s="4">
        <v>0</v>
      </c>
      <c r="K1610" s="4">
        <v>0</v>
      </c>
      <c r="L1610" s="4">
        <v>-43.738</v>
      </c>
      <c r="M1610" s="4">
        <v>-43.738</v>
      </c>
      <c r="N1610" s="4">
        <v>-43.738</v>
      </c>
      <c r="O1610" s="4">
        <v>-43.738</v>
      </c>
      <c r="P1610" s="4">
        <v>-8</v>
      </c>
      <c r="Q1610" s="3" t="s">
        <v>26</v>
      </c>
      <c r="R1610" s="3">
        <v>0</v>
      </c>
      <c r="S1610" s="4">
        <v>0</v>
      </c>
      <c r="T1610" s="4">
        <v>37</v>
      </c>
      <c r="U1610" s="4">
        <v>78</v>
      </c>
      <c r="V1610" s="4">
        <f>IF(ISERROR(VLOOKUP($S$1610,'TAR FIN'!$A$1:$O$99,15,0)),0,VLOOKUP($S$1610,'TAR FIN'!$A$1:$O$99,15,0))</f>
        <v>0</v>
      </c>
      <c r="W1610" s="4">
        <f>IF(ISERROR(VLOOKUP($T$1610,'TAR FIN'!$A$1:$O$99,15,0)),0,VLOOKUP($T$1610,'TAR FIN'!$A$1:$O$99,15,0))</f>
        <v>348.11</v>
      </c>
      <c r="X1610" s="4">
        <f>IF(ISERROR(VLOOKUP($U$1610,'TAR FIN'!$A$1:$O$99,15,0)),0,VLOOKUP($U$1610,'TAR FIN'!$A$1:$O$99,15,0))</f>
        <v>202.86</v>
      </c>
      <c r="Y1610" s="4"/>
      <c r="Z1610" s="4">
        <f ca="1">('TUSD BE'!$AM$44+'TUSD BF'!$AM$44+'TUSD CVA'!$AM$44)*(1-CUSTOS!$M$38)</f>
        <v>438.62226072739548</v>
      </c>
      <c r="AA1610" s="4">
        <f>('TE BE'!$AA$26+'TE BF'!$AA$26+'TE CVA'!$AA$26)*(1-CUSTOS!$M$38)</f>
        <v>266.83676082414206</v>
      </c>
      <c r="AB1610" s="4">
        <f>$K$1610*$V$1610</f>
        <v>0</v>
      </c>
      <c r="AC1610" s="4">
        <f>$M$1610*$W$1610</f>
        <v>-15225.635180000001</v>
      </c>
      <c r="AD1610" s="4">
        <f>$O$1610*$X$1610</f>
        <v>-8872.6906799999997</v>
      </c>
      <c r="AE1610" s="4">
        <f>$K$1610*$Y$1610</f>
        <v>0</v>
      </c>
      <c r="AF1610" s="4">
        <f ca="1">$M$1610*$Z$1610</f>
        <v>-19184.460439694823</v>
      </c>
      <c r="AG1610" s="4">
        <f>$O$1610*$AA$1610</f>
        <v>-11670.906244926326</v>
      </c>
    </row>
    <row r="1611" spans="1:33" ht="11.25" customHeight="1" x14ac:dyDescent="0.25">
      <c r="A1611" s="3" t="s">
        <v>56</v>
      </c>
      <c r="B1611" s="3" t="s">
        <v>44</v>
      </c>
      <c r="C1611" s="3" t="s">
        <v>23</v>
      </c>
      <c r="D1611" s="3" t="s">
        <v>45</v>
      </c>
      <c r="E1611" s="3" t="s">
        <v>25</v>
      </c>
      <c r="F1611" s="3" t="s">
        <v>25</v>
      </c>
      <c r="G1611" s="3" t="s">
        <v>25</v>
      </c>
      <c r="H1611" s="3" t="s">
        <v>25</v>
      </c>
      <c r="I1611" s="6">
        <v>44652</v>
      </c>
      <c r="J1611" s="4">
        <v>0</v>
      </c>
      <c r="K1611" s="4">
        <v>0</v>
      </c>
      <c r="L1611" s="4">
        <v>113.006</v>
      </c>
      <c r="M1611" s="4">
        <v>113.006</v>
      </c>
      <c r="N1611" s="4">
        <v>113.006</v>
      </c>
      <c r="O1611" s="4">
        <v>113.006</v>
      </c>
      <c r="P1611" s="4">
        <v>282</v>
      </c>
      <c r="Q1611" s="3" t="s">
        <v>26</v>
      </c>
      <c r="R1611" s="3">
        <v>0</v>
      </c>
      <c r="S1611" s="4">
        <v>0</v>
      </c>
      <c r="T1611" s="4">
        <v>37</v>
      </c>
      <c r="U1611" s="4">
        <v>78</v>
      </c>
      <c r="V1611" s="4">
        <f>IF(ISERROR(VLOOKUP($S$1611,'TAR FIN'!$A$1:$O$99,15,0)),0,VLOOKUP($S$1611,'TAR FIN'!$A$1:$O$99,15,0))</f>
        <v>0</v>
      </c>
      <c r="W1611" s="4">
        <f>IF(ISERROR(VLOOKUP($T$1611,'TAR FIN'!$A$1:$O$99,15,0)),0,VLOOKUP($T$1611,'TAR FIN'!$A$1:$O$99,15,0))</f>
        <v>348.11</v>
      </c>
      <c r="X1611" s="4">
        <f>IF(ISERROR(VLOOKUP($U$1611,'TAR FIN'!$A$1:$O$99,15,0)),0,VLOOKUP($U$1611,'TAR FIN'!$A$1:$O$99,15,0))</f>
        <v>202.86</v>
      </c>
      <c r="Y1611" s="4"/>
      <c r="Z1611" s="4">
        <f ca="1">('TUSD BE'!$AM$44+'TUSD BF'!$AM$44+'TUSD CVA'!$AM$44)*(1-CUSTOS!$M$38)</f>
        <v>438.62226072739548</v>
      </c>
      <c r="AA1611" s="4">
        <f>('TE BE'!$AA$26+'TE BF'!$AA$26+'TE CVA'!$AA$26)*(1-CUSTOS!$M$38)</f>
        <v>266.83676082414206</v>
      </c>
      <c r="AB1611" s="4">
        <f>$K$1611*$V$1611</f>
        <v>0</v>
      </c>
      <c r="AC1611" s="4">
        <f>$M$1611*$W$1611</f>
        <v>39338.518660000002</v>
      </c>
      <c r="AD1611" s="4">
        <f>$O$1611*$X$1611</f>
        <v>22924.39716</v>
      </c>
      <c r="AE1611" s="4">
        <f>$K$1611*$Y$1611</f>
        <v>0</v>
      </c>
      <c r="AF1611" s="4">
        <f ca="1">$M$1611*$Z$1611</f>
        <v>49566.947195760054</v>
      </c>
      <c r="AG1611" s="4">
        <f>$O$1611*$AA$1611</f>
        <v>30154.154993692999</v>
      </c>
    </row>
    <row r="1612" spans="1:33" ht="11.25" customHeight="1" x14ac:dyDescent="0.25">
      <c r="A1612" s="3" t="s">
        <v>56</v>
      </c>
      <c r="B1612" s="3" t="s">
        <v>44</v>
      </c>
      <c r="C1612" s="3" t="s">
        <v>23</v>
      </c>
      <c r="D1612" s="3" t="s">
        <v>45</v>
      </c>
      <c r="E1612" s="3" t="s">
        <v>25</v>
      </c>
      <c r="F1612" s="3" t="s">
        <v>25</v>
      </c>
      <c r="G1612" s="3" t="s">
        <v>25</v>
      </c>
      <c r="H1612" s="3" t="s">
        <v>25</v>
      </c>
      <c r="I1612" s="6">
        <v>44652</v>
      </c>
      <c r="J1612" s="4">
        <v>0</v>
      </c>
      <c r="K1612" s="4">
        <v>0</v>
      </c>
      <c r="L1612" s="4">
        <v>7.0640000000000001</v>
      </c>
      <c r="M1612" s="4">
        <v>7.0640000000000001</v>
      </c>
      <c r="N1612" s="4">
        <v>7.0640000000000001</v>
      </c>
      <c r="O1612" s="4">
        <v>7.0640000000000001</v>
      </c>
      <c r="P1612" s="4">
        <v>2</v>
      </c>
      <c r="Q1612" s="3" t="s">
        <v>26</v>
      </c>
      <c r="R1612" s="3">
        <v>0</v>
      </c>
      <c r="S1612" s="4">
        <v>0</v>
      </c>
      <c r="T1612" s="4">
        <v>37</v>
      </c>
      <c r="U1612" s="4">
        <v>78</v>
      </c>
      <c r="V1612" s="4">
        <f>IF(ISERROR(VLOOKUP($S$1612,'TAR FIN'!$A$1:$O$99,15,0)),0,VLOOKUP($S$1612,'TAR FIN'!$A$1:$O$99,15,0))</f>
        <v>0</v>
      </c>
      <c r="W1612" s="4">
        <f>IF(ISERROR(VLOOKUP($T$1612,'TAR FIN'!$A$1:$O$99,15,0)),0,VLOOKUP($T$1612,'TAR FIN'!$A$1:$O$99,15,0))</f>
        <v>348.11</v>
      </c>
      <c r="X1612" s="4">
        <f>IF(ISERROR(VLOOKUP($U$1612,'TAR FIN'!$A$1:$O$99,15,0)),0,VLOOKUP($U$1612,'TAR FIN'!$A$1:$O$99,15,0))</f>
        <v>202.86</v>
      </c>
      <c r="Y1612" s="4"/>
      <c r="Z1612" s="4">
        <f ca="1">('TUSD BE'!$AM$44+'TUSD BF'!$AM$44+'TUSD CVA'!$AM$44)*(1-CUSTOS!$M$38)</f>
        <v>438.62226072739548</v>
      </c>
      <c r="AA1612" s="4">
        <f>('TE BE'!$AA$26+'TE BF'!$AA$26+'TE CVA'!$AA$26)*(1-CUSTOS!$M$38)</f>
        <v>266.83676082414206</v>
      </c>
      <c r="AB1612" s="4">
        <f>$K$1612*$V$1612</f>
        <v>0</v>
      </c>
      <c r="AC1612" s="4">
        <f>$M$1612*$W$1612</f>
        <v>2459.0490400000003</v>
      </c>
      <c r="AD1612" s="4">
        <f>$O$1612*$X$1612</f>
        <v>1433.0030400000001</v>
      </c>
      <c r="AE1612" s="4">
        <f>$K$1612*$Y$1612</f>
        <v>0</v>
      </c>
      <c r="AF1612" s="4">
        <f ca="1">$M$1612*$Z$1612</f>
        <v>3098.4276497783217</v>
      </c>
      <c r="AG1612" s="4">
        <f>$O$1612*$AA$1612</f>
        <v>1884.9348784617396</v>
      </c>
    </row>
    <row r="1613" spans="1:33" ht="11.25" customHeight="1" x14ac:dyDescent="0.25">
      <c r="A1613" s="3" t="s">
        <v>21</v>
      </c>
      <c r="B1613" s="3" t="s">
        <v>39</v>
      </c>
      <c r="C1613" s="3" t="s">
        <v>37</v>
      </c>
      <c r="D1613" s="3" t="s">
        <v>43</v>
      </c>
      <c r="E1613" s="3" t="s">
        <v>25</v>
      </c>
      <c r="F1613" s="3" t="s">
        <v>25</v>
      </c>
      <c r="G1613" s="3" t="s">
        <v>25</v>
      </c>
      <c r="H1613" s="3" t="s">
        <v>36</v>
      </c>
      <c r="I1613" s="6">
        <v>44317</v>
      </c>
      <c r="J1613" s="4">
        <v>0</v>
      </c>
      <c r="K1613" s="4">
        <v>0</v>
      </c>
      <c r="L1613" s="4">
        <v>152.58199999999999</v>
      </c>
      <c r="M1613" s="4">
        <v>152.58199999999999</v>
      </c>
      <c r="N1613" s="4">
        <v>152.58199999999999</v>
      </c>
      <c r="O1613" s="4">
        <v>152.58199999999999</v>
      </c>
      <c r="P1613" s="4">
        <v>0</v>
      </c>
      <c r="Q1613" s="3" t="s">
        <v>26</v>
      </c>
      <c r="R1613" s="3">
        <v>0</v>
      </c>
      <c r="S1613" s="4">
        <v>0</v>
      </c>
      <c r="T1613" s="4">
        <v>44</v>
      </c>
      <c r="U1613" s="4">
        <v>84</v>
      </c>
      <c r="V1613" s="4">
        <f>IF(ISERROR(VLOOKUP($S$1613,'TAR FIN'!$A$1:$O$99,15,0)),0,VLOOKUP($S$1613,'TAR FIN'!$A$1:$O$99,15,0))</f>
        <v>0</v>
      </c>
      <c r="W1613" s="4">
        <f>IF(ISERROR(VLOOKUP($T$1613,'TAR FIN'!$A$1:$O$99,15,0)),0,VLOOKUP($T$1613,'TAR FIN'!$A$1:$O$99,15,0))</f>
        <v>304.7</v>
      </c>
      <c r="X1613" s="4">
        <f>IF(ISERROR(VLOOKUP($U$1613,'TAR FIN'!$A$1:$O$99,15,0)),0,VLOOKUP($U$1613,'TAR FIN'!$A$1:$O$99,15,0))</f>
        <v>219.97</v>
      </c>
      <c r="Y1613" s="4"/>
      <c r="Z1613" s="4">
        <f ca="1">('TUSD BE'!$AM$58+'TUSD BF'!$AM$58+'TUSD CVA'!$AM$58)*1</f>
        <v>361.43108304877717</v>
      </c>
      <c r="AA1613" s="4">
        <f>('TE BE'!$AA$40+'TE BF'!$AA$40+'TE CVA'!$AA$40)*1</f>
        <v>271.13910989737087</v>
      </c>
      <c r="AB1613" s="4">
        <f>$K$1613*$V$1613</f>
        <v>0</v>
      </c>
      <c r="AC1613" s="4">
        <f>$M$1613*$W$1613</f>
        <v>46491.735399999998</v>
      </c>
      <c r="AD1613" s="4">
        <f>$O$1613*$X$1613</f>
        <v>33563.46254</v>
      </c>
      <c r="AE1613" s="4">
        <f>$K$1613*$Y$1613</f>
        <v>0</v>
      </c>
      <c r="AF1613" s="4">
        <f ca="1">$M$1613*$Z$1613</f>
        <v>55147.877513748514</v>
      </c>
      <c r="AG1613" s="4">
        <f>$O$1613*$AA$1613</f>
        <v>41370.94766636064</v>
      </c>
    </row>
    <row r="1614" spans="1:33" ht="11.25" customHeight="1" x14ac:dyDescent="0.25">
      <c r="A1614" s="3" t="s">
        <v>27</v>
      </c>
      <c r="B1614" s="3" t="s">
        <v>39</v>
      </c>
      <c r="C1614" s="3" t="s">
        <v>37</v>
      </c>
      <c r="D1614" s="3" t="s">
        <v>43</v>
      </c>
      <c r="E1614" s="3" t="s">
        <v>25</v>
      </c>
      <c r="F1614" s="3" t="s">
        <v>25</v>
      </c>
      <c r="G1614" s="3" t="s">
        <v>25</v>
      </c>
      <c r="H1614" s="3" t="s">
        <v>36</v>
      </c>
      <c r="I1614" s="6">
        <v>44317</v>
      </c>
      <c r="J1614" s="4">
        <v>0</v>
      </c>
      <c r="K1614" s="4">
        <v>0</v>
      </c>
      <c r="L1614" s="4">
        <v>8.5489999999999995</v>
      </c>
      <c r="M1614" s="4">
        <v>8.5489999999999995</v>
      </c>
      <c r="N1614" s="4">
        <v>8.5489999999999995</v>
      </c>
      <c r="O1614" s="4">
        <v>8.5489999999999995</v>
      </c>
      <c r="P1614" s="4">
        <v>0</v>
      </c>
      <c r="Q1614" s="3" t="s">
        <v>26</v>
      </c>
      <c r="R1614" s="3">
        <v>0</v>
      </c>
      <c r="S1614" s="4">
        <v>0</v>
      </c>
      <c r="T1614" s="4">
        <v>44</v>
      </c>
      <c r="U1614" s="4">
        <v>84</v>
      </c>
      <c r="V1614" s="4">
        <f>IF(ISERROR(VLOOKUP($S$1614,'TAR FIN'!$A$1:$O$99,15,0)),0,VLOOKUP($S$1614,'TAR FIN'!$A$1:$O$99,15,0))</f>
        <v>0</v>
      </c>
      <c r="W1614" s="4">
        <f>IF(ISERROR(VLOOKUP($T$1614,'TAR FIN'!$A$1:$O$99,15,0)),0,VLOOKUP($T$1614,'TAR FIN'!$A$1:$O$99,15,0))</f>
        <v>304.7</v>
      </c>
      <c r="X1614" s="4">
        <f>IF(ISERROR(VLOOKUP($U$1614,'TAR FIN'!$A$1:$O$99,15,0)),0,VLOOKUP($U$1614,'TAR FIN'!$A$1:$O$99,15,0))</f>
        <v>219.97</v>
      </c>
      <c r="Y1614" s="4"/>
      <c r="Z1614" s="4">
        <f ca="1">('TUSD BE'!$AM$58+'TUSD BF'!$AM$58+'TUSD CVA'!$AM$58)*1</f>
        <v>361.43108304877717</v>
      </c>
      <c r="AA1614" s="4">
        <f>('TE BE'!$AA$40+'TE BF'!$AA$40+'TE CVA'!$AA$40)*1</f>
        <v>271.13910989737087</v>
      </c>
      <c r="AB1614" s="4">
        <f>$K$1614*$V$1614</f>
        <v>0</v>
      </c>
      <c r="AC1614" s="4">
        <f>$M$1614*$W$1614</f>
        <v>2604.8802999999998</v>
      </c>
      <c r="AD1614" s="4">
        <f>$O$1614*$X$1614</f>
        <v>1880.5235299999999</v>
      </c>
      <c r="AE1614" s="4">
        <f>$K$1614*$Y$1614</f>
        <v>0</v>
      </c>
      <c r="AF1614" s="4">
        <f ca="1">$M$1614*$Z$1614</f>
        <v>3089.8743289839958</v>
      </c>
      <c r="AG1614" s="4">
        <f>$O$1614*$AA$1614</f>
        <v>2317.9682505126234</v>
      </c>
    </row>
    <row r="1615" spans="1:33" ht="11.25" customHeight="1" x14ac:dyDescent="0.25">
      <c r="A1615" s="3" t="s">
        <v>28</v>
      </c>
      <c r="B1615" s="3" t="s">
        <v>39</v>
      </c>
      <c r="C1615" s="3" t="s">
        <v>37</v>
      </c>
      <c r="D1615" s="3" t="s">
        <v>43</v>
      </c>
      <c r="E1615" s="3" t="s">
        <v>25</v>
      </c>
      <c r="F1615" s="3" t="s">
        <v>25</v>
      </c>
      <c r="G1615" s="3" t="s">
        <v>25</v>
      </c>
      <c r="H1615" s="3" t="s">
        <v>36</v>
      </c>
      <c r="I1615" s="6">
        <v>44317</v>
      </c>
      <c r="J1615" s="4">
        <v>0</v>
      </c>
      <c r="K1615" s="4">
        <v>0</v>
      </c>
      <c r="L1615" s="4">
        <v>0.26400000000000001</v>
      </c>
      <c r="M1615" s="4">
        <v>0.26400000000000001</v>
      </c>
      <c r="N1615" s="4">
        <v>0.26400000000000001</v>
      </c>
      <c r="O1615" s="4">
        <v>0.26400000000000001</v>
      </c>
      <c r="P1615" s="4">
        <v>0</v>
      </c>
      <c r="Q1615" s="3" t="s">
        <v>26</v>
      </c>
      <c r="R1615" s="3">
        <v>0</v>
      </c>
      <c r="S1615" s="4">
        <v>0</v>
      </c>
      <c r="T1615" s="4">
        <v>44</v>
      </c>
      <c r="U1615" s="4">
        <v>84</v>
      </c>
      <c r="V1615" s="4">
        <f>IF(ISERROR(VLOOKUP($S$1615,'TAR FIN'!$A$1:$O$99,15,0)),0,VLOOKUP($S$1615,'TAR FIN'!$A$1:$O$99,15,0))</f>
        <v>0</v>
      </c>
      <c r="W1615" s="4">
        <f>IF(ISERROR(VLOOKUP($T$1615,'TAR FIN'!$A$1:$O$99,15,0)),0,VLOOKUP($T$1615,'TAR FIN'!$A$1:$O$99,15,0))</f>
        <v>304.7</v>
      </c>
      <c r="X1615" s="4">
        <f>IF(ISERROR(VLOOKUP($U$1615,'TAR FIN'!$A$1:$O$99,15,0)),0,VLOOKUP($U$1615,'TAR FIN'!$A$1:$O$99,15,0))</f>
        <v>219.97</v>
      </c>
      <c r="Y1615" s="4"/>
      <c r="Z1615" s="4">
        <f ca="1">('TUSD BE'!$AM$58+'TUSD BF'!$AM$58+'TUSD CVA'!$AM$58)*1</f>
        <v>361.43108304877717</v>
      </c>
      <c r="AA1615" s="4">
        <f>('TE BE'!$AA$40+'TE BF'!$AA$40+'TE CVA'!$AA$40)*1</f>
        <v>271.13910989737087</v>
      </c>
      <c r="AB1615" s="4">
        <f>$K$1615*$V$1615</f>
        <v>0</v>
      </c>
      <c r="AC1615" s="4">
        <f>$M$1615*$W$1615</f>
        <v>80.440799999999996</v>
      </c>
      <c r="AD1615" s="4">
        <f>$O$1615*$X$1615</f>
        <v>58.07208</v>
      </c>
      <c r="AE1615" s="4">
        <f>$K$1615*$Y$1615</f>
        <v>0</v>
      </c>
      <c r="AF1615" s="4">
        <f ca="1">$M$1615*$Z$1615</f>
        <v>95.417805924877172</v>
      </c>
      <c r="AG1615" s="4">
        <f>$O$1615*$AA$1615</f>
        <v>71.580725012905916</v>
      </c>
    </row>
    <row r="1616" spans="1:33" ht="11.25" customHeight="1" x14ac:dyDescent="0.25">
      <c r="A1616" s="3" t="s">
        <v>21</v>
      </c>
      <c r="B1616" s="3" t="s">
        <v>39</v>
      </c>
      <c r="C1616" s="3" t="s">
        <v>37</v>
      </c>
      <c r="D1616" s="3" t="s">
        <v>43</v>
      </c>
      <c r="E1616" s="3" t="s">
        <v>25</v>
      </c>
      <c r="F1616" s="3" t="s">
        <v>25</v>
      </c>
      <c r="G1616" s="3" t="s">
        <v>25</v>
      </c>
      <c r="H1616" s="3" t="s">
        <v>36</v>
      </c>
      <c r="I1616" s="6">
        <v>44348</v>
      </c>
      <c r="J1616" s="4">
        <v>0</v>
      </c>
      <c r="K1616" s="4">
        <v>0</v>
      </c>
      <c r="L1616" s="4">
        <v>147.941</v>
      </c>
      <c r="M1616" s="4">
        <v>147.941</v>
      </c>
      <c r="N1616" s="4">
        <v>147.941</v>
      </c>
      <c r="O1616" s="4">
        <v>147.941</v>
      </c>
      <c r="P1616" s="4">
        <v>0</v>
      </c>
      <c r="Q1616" s="3" t="s">
        <v>26</v>
      </c>
      <c r="R1616" s="3">
        <v>0</v>
      </c>
      <c r="S1616" s="4">
        <v>0</v>
      </c>
      <c r="T1616" s="4">
        <v>44</v>
      </c>
      <c r="U1616" s="4">
        <v>84</v>
      </c>
      <c r="V1616" s="4">
        <f>IF(ISERROR(VLOOKUP($S$1616,'TAR FIN'!$A$1:$O$99,15,0)),0,VLOOKUP($S$1616,'TAR FIN'!$A$1:$O$99,15,0))</f>
        <v>0</v>
      </c>
      <c r="W1616" s="4">
        <f>IF(ISERROR(VLOOKUP($T$1616,'TAR FIN'!$A$1:$O$99,15,0)),0,VLOOKUP($T$1616,'TAR FIN'!$A$1:$O$99,15,0))</f>
        <v>304.7</v>
      </c>
      <c r="X1616" s="4">
        <f>IF(ISERROR(VLOOKUP($U$1616,'TAR FIN'!$A$1:$O$99,15,0)),0,VLOOKUP($U$1616,'TAR FIN'!$A$1:$O$99,15,0))</f>
        <v>219.97</v>
      </c>
      <c r="Y1616" s="4"/>
      <c r="Z1616" s="4">
        <f ca="1">('TUSD BE'!$AM$58+'TUSD BF'!$AM$58+'TUSD CVA'!$AM$58)*1</f>
        <v>361.43108304877717</v>
      </c>
      <c r="AA1616" s="4">
        <f>('TE BE'!$AA$40+'TE BF'!$AA$40+'TE CVA'!$AA$40)*1</f>
        <v>271.13910989737087</v>
      </c>
      <c r="AB1616" s="4">
        <f>$K$1616*$V$1616</f>
        <v>0</v>
      </c>
      <c r="AC1616" s="4">
        <f>$M$1616*$W$1616</f>
        <v>45077.6227</v>
      </c>
      <c r="AD1616" s="4">
        <f>$O$1616*$X$1616</f>
        <v>32542.581770000001</v>
      </c>
      <c r="AE1616" s="4">
        <f>$K$1616*$Y$1616</f>
        <v>0</v>
      </c>
      <c r="AF1616" s="4">
        <f ca="1">$M$1616*$Z$1616</f>
        <v>53470.475857319143</v>
      </c>
      <c r="AG1616" s="4">
        <f>$O$1616*$AA$1616</f>
        <v>40112.591057326943</v>
      </c>
    </row>
    <row r="1617" spans="1:33" ht="11.25" customHeight="1" x14ac:dyDescent="0.25">
      <c r="A1617" s="3" t="s">
        <v>27</v>
      </c>
      <c r="B1617" s="3" t="s">
        <v>39</v>
      </c>
      <c r="C1617" s="3" t="s">
        <v>37</v>
      </c>
      <c r="D1617" s="3" t="s">
        <v>43</v>
      </c>
      <c r="E1617" s="3" t="s">
        <v>25</v>
      </c>
      <c r="F1617" s="3" t="s">
        <v>25</v>
      </c>
      <c r="G1617" s="3" t="s">
        <v>25</v>
      </c>
      <c r="H1617" s="3" t="s">
        <v>36</v>
      </c>
      <c r="I1617" s="6">
        <v>44348</v>
      </c>
      <c r="J1617" s="4">
        <v>0</v>
      </c>
      <c r="K1617" s="4">
        <v>0</v>
      </c>
      <c r="L1617" s="4">
        <v>-3.448</v>
      </c>
      <c r="M1617" s="4">
        <v>-3.448</v>
      </c>
      <c r="N1617" s="4">
        <v>-3.448</v>
      </c>
      <c r="O1617" s="4">
        <v>-3.448</v>
      </c>
      <c r="P1617" s="4">
        <v>0</v>
      </c>
      <c r="Q1617" s="3" t="s">
        <v>26</v>
      </c>
      <c r="R1617" s="3">
        <v>0</v>
      </c>
      <c r="S1617" s="4">
        <v>0</v>
      </c>
      <c r="T1617" s="4">
        <v>44</v>
      </c>
      <c r="U1617" s="4">
        <v>84</v>
      </c>
      <c r="V1617" s="4">
        <f>IF(ISERROR(VLOOKUP($S$1617,'TAR FIN'!$A$1:$O$99,15,0)),0,VLOOKUP($S$1617,'TAR FIN'!$A$1:$O$99,15,0))</f>
        <v>0</v>
      </c>
      <c r="W1617" s="4">
        <f>IF(ISERROR(VLOOKUP($T$1617,'TAR FIN'!$A$1:$O$99,15,0)),0,VLOOKUP($T$1617,'TAR FIN'!$A$1:$O$99,15,0))</f>
        <v>304.7</v>
      </c>
      <c r="X1617" s="4">
        <f>IF(ISERROR(VLOOKUP($U$1617,'TAR FIN'!$A$1:$O$99,15,0)),0,VLOOKUP($U$1617,'TAR FIN'!$A$1:$O$99,15,0))</f>
        <v>219.97</v>
      </c>
      <c r="Y1617" s="4"/>
      <c r="Z1617" s="4">
        <f ca="1">('TUSD BE'!$AM$58+'TUSD BF'!$AM$58+'TUSD CVA'!$AM$58)*1</f>
        <v>361.43108304877717</v>
      </c>
      <c r="AA1617" s="4">
        <f>('TE BE'!$AA$40+'TE BF'!$AA$40+'TE CVA'!$AA$40)*1</f>
        <v>271.13910989737087</v>
      </c>
      <c r="AB1617" s="4">
        <f>$K$1617*$V$1617</f>
        <v>0</v>
      </c>
      <c r="AC1617" s="4">
        <f>$M$1617*$W$1617</f>
        <v>-1050.6055999999999</v>
      </c>
      <c r="AD1617" s="4">
        <f>$O$1617*$X$1617</f>
        <v>-758.45655999999997</v>
      </c>
      <c r="AE1617" s="4">
        <f>$K$1617*$Y$1617</f>
        <v>0</v>
      </c>
      <c r="AF1617" s="4">
        <f ca="1">$M$1617*$Z$1617</f>
        <v>-1246.2143743521838</v>
      </c>
      <c r="AG1617" s="4">
        <f>$O$1617*$AA$1617</f>
        <v>-934.88765092613471</v>
      </c>
    </row>
    <row r="1618" spans="1:33" ht="11.25" customHeight="1" x14ac:dyDescent="0.25">
      <c r="A1618" s="3" t="s">
        <v>28</v>
      </c>
      <c r="B1618" s="3" t="s">
        <v>39</v>
      </c>
      <c r="C1618" s="3" t="s">
        <v>37</v>
      </c>
      <c r="D1618" s="3" t="s">
        <v>43</v>
      </c>
      <c r="E1618" s="3" t="s">
        <v>25</v>
      </c>
      <c r="F1618" s="3" t="s">
        <v>25</v>
      </c>
      <c r="G1618" s="3" t="s">
        <v>25</v>
      </c>
      <c r="H1618" s="3" t="s">
        <v>36</v>
      </c>
      <c r="I1618" s="6">
        <v>44348</v>
      </c>
      <c r="J1618" s="4">
        <v>0</v>
      </c>
      <c r="K1618" s="4">
        <v>0</v>
      </c>
      <c r="L1618" s="4">
        <v>0.245</v>
      </c>
      <c r="M1618" s="4">
        <v>0.245</v>
      </c>
      <c r="N1618" s="4">
        <v>0.245</v>
      </c>
      <c r="O1618" s="4">
        <v>0.245</v>
      </c>
      <c r="P1618" s="4">
        <v>0</v>
      </c>
      <c r="Q1618" s="3" t="s">
        <v>26</v>
      </c>
      <c r="R1618" s="3">
        <v>0</v>
      </c>
      <c r="S1618" s="4">
        <v>0</v>
      </c>
      <c r="T1618" s="4">
        <v>44</v>
      </c>
      <c r="U1618" s="4">
        <v>84</v>
      </c>
      <c r="V1618" s="4">
        <f>IF(ISERROR(VLOOKUP($S$1618,'TAR FIN'!$A$1:$O$99,15,0)),0,VLOOKUP($S$1618,'TAR FIN'!$A$1:$O$99,15,0))</f>
        <v>0</v>
      </c>
      <c r="W1618" s="4">
        <f>IF(ISERROR(VLOOKUP($T$1618,'TAR FIN'!$A$1:$O$99,15,0)),0,VLOOKUP($T$1618,'TAR FIN'!$A$1:$O$99,15,0))</f>
        <v>304.7</v>
      </c>
      <c r="X1618" s="4">
        <f>IF(ISERROR(VLOOKUP($U$1618,'TAR FIN'!$A$1:$O$99,15,0)),0,VLOOKUP($U$1618,'TAR FIN'!$A$1:$O$99,15,0))</f>
        <v>219.97</v>
      </c>
      <c r="Y1618" s="4"/>
      <c r="Z1618" s="4">
        <f ca="1">('TUSD BE'!$AM$58+'TUSD BF'!$AM$58+'TUSD CVA'!$AM$58)*1</f>
        <v>361.43108304877717</v>
      </c>
      <c r="AA1618" s="4">
        <f>('TE BE'!$AA$40+'TE BF'!$AA$40+'TE CVA'!$AA$40)*1</f>
        <v>271.13910989737087</v>
      </c>
      <c r="AB1618" s="4">
        <f>$K$1618*$V$1618</f>
        <v>0</v>
      </c>
      <c r="AC1618" s="4">
        <f>$M$1618*$W$1618</f>
        <v>74.651499999999999</v>
      </c>
      <c r="AD1618" s="4">
        <f>$O$1618*$X$1618</f>
        <v>53.892649999999996</v>
      </c>
      <c r="AE1618" s="4">
        <f>$K$1618*$Y$1618</f>
        <v>0</v>
      </c>
      <c r="AF1618" s="4">
        <f ca="1">$M$1618*$Z$1618</f>
        <v>88.550615346950408</v>
      </c>
      <c r="AG1618" s="4">
        <f>$O$1618*$AA$1618</f>
        <v>66.429081924855865</v>
      </c>
    </row>
    <row r="1619" spans="1:33" ht="11.25" customHeight="1" x14ac:dyDescent="0.25">
      <c r="A1619" s="3" t="s">
        <v>21</v>
      </c>
      <c r="B1619" s="3" t="s">
        <v>39</v>
      </c>
      <c r="C1619" s="3" t="s">
        <v>37</v>
      </c>
      <c r="D1619" s="3" t="s">
        <v>43</v>
      </c>
      <c r="E1619" s="3" t="s">
        <v>25</v>
      </c>
      <c r="F1619" s="3" t="s">
        <v>25</v>
      </c>
      <c r="G1619" s="3" t="s">
        <v>25</v>
      </c>
      <c r="H1619" s="3" t="s">
        <v>36</v>
      </c>
      <c r="I1619" s="6">
        <v>44378</v>
      </c>
      <c r="J1619" s="4">
        <v>0</v>
      </c>
      <c r="K1619" s="4">
        <v>0</v>
      </c>
      <c r="L1619" s="4">
        <v>128.26400000000001</v>
      </c>
      <c r="M1619" s="4">
        <v>128.26400000000001</v>
      </c>
      <c r="N1619" s="4">
        <v>128.26400000000001</v>
      </c>
      <c r="O1619" s="4">
        <v>128.26400000000001</v>
      </c>
      <c r="P1619" s="4">
        <v>0</v>
      </c>
      <c r="Q1619" s="3" t="s">
        <v>26</v>
      </c>
      <c r="R1619" s="3">
        <v>0</v>
      </c>
      <c r="S1619" s="4">
        <v>0</v>
      </c>
      <c r="T1619" s="4">
        <v>44</v>
      </c>
      <c r="U1619" s="4">
        <v>84</v>
      </c>
      <c r="V1619" s="4">
        <f>IF(ISERROR(VLOOKUP($S$1619,'TAR FIN'!$A$1:$O$99,15,0)),0,VLOOKUP($S$1619,'TAR FIN'!$A$1:$O$99,15,0))</f>
        <v>0</v>
      </c>
      <c r="W1619" s="4">
        <f>IF(ISERROR(VLOOKUP($T$1619,'TAR FIN'!$A$1:$O$99,15,0)),0,VLOOKUP($T$1619,'TAR FIN'!$A$1:$O$99,15,0))</f>
        <v>304.7</v>
      </c>
      <c r="X1619" s="4">
        <f>IF(ISERROR(VLOOKUP($U$1619,'TAR FIN'!$A$1:$O$99,15,0)),0,VLOOKUP($U$1619,'TAR FIN'!$A$1:$O$99,15,0))</f>
        <v>219.97</v>
      </c>
      <c r="Y1619" s="4"/>
      <c r="Z1619" s="4">
        <f ca="1">('TUSD BE'!$AM$58+'TUSD BF'!$AM$58+'TUSD CVA'!$AM$58)*1</f>
        <v>361.43108304877717</v>
      </c>
      <c r="AA1619" s="4">
        <f>('TE BE'!$AA$40+'TE BF'!$AA$40+'TE CVA'!$AA$40)*1</f>
        <v>271.13910989737087</v>
      </c>
      <c r="AB1619" s="4">
        <f>$K$1619*$V$1619</f>
        <v>0</v>
      </c>
      <c r="AC1619" s="4">
        <f>$M$1619*$W$1619</f>
        <v>39082.040800000002</v>
      </c>
      <c r="AD1619" s="4">
        <f>$O$1619*$X$1619</f>
        <v>28214.232080000002</v>
      </c>
      <c r="AE1619" s="4">
        <f>$K$1619*$Y$1619</f>
        <v>0</v>
      </c>
      <c r="AF1619" s="4">
        <f ca="1">$M$1619*$Z$1619</f>
        <v>46358.596436168358</v>
      </c>
      <c r="AG1619" s="4">
        <f>$O$1619*$AA$1619</f>
        <v>34777.386791876379</v>
      </c>
    </row>
    <row r="1620" spans="1:33" ht="11.25" customHeight="1" x14ac:dyDescent="0.25">
      <c r="A1620" s="3" t="s">
        <v>27</v>
      </c>
      <c r="B1620" s="3" t="s">
        <v>39</v>
      </c>
      <c r="C1620" s="3" t="s">
        <v>37</v>
      </c>
      <c r="D1620" s="3" t="s">
        <v>43</v>
      </c>
      <c r="E1620" s="3" t="s">
        <v>25</v>
      </c>
      <c r="F1620" s="3" t="s">
        <v>25</v>
      </c>
      <c r="G1620" s="3" t="s">
        <v>25</v>
      </c>
      <c r="H1620" s="3" t="s">
        <v>36</v>
      </c>
      <c r="I1620" s="6">
        <v>44378</v>
      </c>
      <c r="J1620" s="4">
        <v>0</v>
      </c>
      <c r="K1620" s="4">
        <v>0</v>
      </c>
      <c r="L1620" s="4">
        <v>-2.36</v>
      </c>
      <c r="M1620" s="4">
        <v>-2.36</v>
      </c>
      <c r="N1620" s="4">
        <v>-2.36</v>
      </c>
      <c r="O1620" s="4">
        <v>-2.36</v>
      </c>
      <c r="P1620" s="4">
        <v>0</v>
      </c>
      <c r="Q1620" s="3" t="s">
        <v>26</v>
      </c>
      <c r="R1620" s="3">
        <v>0</v>
      </c>
      <c r="S1620" s="4">
        <v>0</v>
      </c>
      <c r="T1620" s="4">
        <v>44</v>
      </c>
      <c r="U1620" s="4">
        <v>84</v>
      </c>
      <c r="V1620" s="4">
        <f>IF(ISERROR(VLOOKUP($S$1620,'TAR FIN'!$A$1:$O$99,15,0)),0,VLOOKUP($S$1620,'TAR FIN'!$A$1:$O$99,15,0))</f>
        <v>0</v>
      </c>
      <c r="W1620" s="4">
        <f>IF(ISERROR(VLOOKUP($T$1620,'TAR FIN'!$A$1:$O$99,15,0)),0,VLOOKUP($T$1620,'TAR FIN'!$A$1:$O$99,15,0))</f>
        <v>304.7</v>
      </c>
      <c r="X1620" s="4">
        <f>IF(ISERROR(VLOOKUP($U$1620,'TAR FIN'!$A$1:$O$99,15,0)),0,VLOOKUP($U$1620,'TAR FIN'!$A$1:$O$99,15,0))</f>
        <v>219.97</v>
      </c>
      <c r="Y1620" s="4"/>
      <c r="Z1620" s="4">
        <f ca="1">('TUSD BE'!$AM$58+'TUSD BF'!$AM$58+'TUSD CVA'!$AM$58)*1</f>
        <v>361.43108304877717</v>
      </c>
      <c r="AA1620" s="4">
        <f>('TE BE'!$AA$40+'TE BF'!$AA$40+'TE CVA'!$AA$40)*1</f>
        <v>271.13910989737087</v>
      </c>
      <c r="AB1620" s="4">
        <f>$K$1620*$V$1620</f>
        <v>0</v>
      </c>
      <c r="AC1620" s="4">
        <f>$M$1620*$W$1620</f>
        <v>-719.09199999999998</v>
      </c>
      <c r="AD1620" s="4">
        <f>$O$1620*$X$1620</f>
        <v>-519.12919999999997</v>
      </c>
      <c r="AE1620" s="4">
        <f>$K$1620*$Y$1620</f>
        <v>0</v>
      </c>
      <c r="AF1620" s="4">
        <f ca="1">$M$1620*$Z$1620</f>
        <v>-852.97735599511407</v>
      </c>
      <c r="AG1620" s="4">
        <f>$O$1620*$AA$1620</f>
        <v>-639.88829935779518</v>
      </c>
    </row>
    <row r="1621" spans="1:33" ht="11.25" customHeight="1" x14ac:dyDescent="0.25">
      <c r="A1621" s="3" t="s">
        <v>28</v>
      </c>
      <c r="B1621" s="3" t="s">
        <v>39</v>
      </c>
      <c r="C1621" s="3" t="s">
        <v>37</v>
      </c>
      <c r="D1621" s="3" t="s">
        <v>43</v>
      </c>
      <c r="E1621" s="3" t="s">
        <v>25</v>
      </c>
      <c r="F1621" s="3" t="s">
        <v>25</v>
      </c>
      <c r="G1621" s="3" t="s">
        <v>25</v>
      </c>
      <c r="H1621" s="3" t="s">
        <v>36</v>
      </c>
      <c r="I1621" s="6">
        <v>44378</v>
      </c>
      <c r="J1621" s="4">
        <v>0</v>
      </c>
      <c r="K1621" s="4">
        <v>0</v>
      </c>
      <c r="L1621" s="4">
        <v>0.26800000000000002</v>
      </c>
      <c r="M1621" s="4">
        <v>0.26800000000000002</v>
      </c>
      <c r="N1621" s="4">
        <v>0.26800000000000002</v>
      </c>
      <c r="O1621" s="4">
        <v>0.26800000000000002</v>
      </c>
      <c r="P1621" s="4">
        <v>0</v>
      </c>
      <c r="Q1621" s="3" t="s">
        <v>26</v>
      </c>
      <c r="R1621" s="3">
        <v>0</v>
      </c>
      <c r="S1621" s="4">
        <v>0</v>
      </c>
      <c r="T1621" s="4">
        <v>44</v>
      </c>
      <c r="U1621" s="4">
        <v>84</v>
      </c>
      <c r="V1621" s="4">
        <f>IF(ISERROR(VLOOKUP($S$1621,'TAR FIN'!$A$1:$O$99,15,0)),0,VLOOKUP($S$1621,'TAR FIN'!$A$1:$O$99,15,0))</f>
        <v>0</v>
      </c>
      <c r="W1621" s="4">
        <f>IF(ISERROR(VLOOKUP($T$1621,'TAR FIN'!$A$1:$O$99,15,0)),0,VLOOKUP($T$1621,'TAR FIN'!$A$1:$O$99,15,0))</f>
        <v>304.7</v>
      </c>
      <c r="X1621" s="4">
        <f>IF(ISERROR(VLOOKUP($U$1621,'TAR FIN'!$A$1:$O$99,15,0)),0,VLOOKUP($U$1621,'TAR FIN'!$A$1:$O$99,15,0))</f>
        <v>219.97</v>
      </c>
      <c r="Y1621" s="4"/>
      <c r="Z1621" s="4">
        <f ca="1">('TUSD BE'!$AM$58+'TUSD BF'!$AM$58+'TUSD CVA'!$AM$58)*1</f>
        <v>361.43108304877717</v>
      </c>
      <c r="AA1621" s="4">
        <f>('TE BE'!$AA$40+'TE BF'!$AA$40+'TE CVA'!$AA$40)*1</f>
        <v>271.13910989737087</v>
      </c>
      <c r="AB1621" s="4">
        <f>$K$1621*$V$1621</f>
        <v>0</v>
      </c>
      <c r="AC1621" s="4">
        <f>$M$1621*$W$1621</f>
        <v>81.659599999999998</v>
      </c>
      <c r="AD1621" s="4">
        <f>$O$1621*$X$1621</f>
        <v>58.95196</v>
      </c>
      <c r="AE1621" s="4">
        <f>$K$1621*$Y$1621</f>
        <v>0</v>
      </c>
      <c r="AF1621" s="4">
        <f ca="1">$M$1621*$Z$1621</f>
        <v>96.863530257072284</v>
      </c>
      <c r="AG1621" s="4">
        <f>$O$1621*$AA$1621</f>
        <v>72.665281452495393</v>
      </c>
    </row>
    <row r="1622" spans="1:33" ht="11.25" customHeight="1" x14ac:dyDescent="0.25">
      <c r="A1622" s="3" t="s">
        <v>21</v>
      </c>
      <c r="B1622" s="3" t="s">
        <v>39</v>
      </c>
      <c r="C1622" s="3" t="s">
        <v>37</v>
      </c>
      <c r="D1622" s="3" t="s">
        <v>43</v>
      </c>
      <c r="E1622" s="3" t="s">
        <v>25</v>
      </c>
      <c r="F1622" s="3" t="s">
        <v>25</v>
      </c>
      <c r="G1622" s="3" t="s">
        <v>25</v>
      </c>
      <c r="H1622" s="3" t="s">
        <v>36</v>
      </c>
      <c r="I1622" s="6">
        <v>44409</v>
      </c>
      <c r="J1622" s="4">
        <v>0</v>
      </c>
      <c r="K1622" s="4">
        <v>0</v>
      </c>
      <c r="L1622" s="4">
        <v>134.69</v>
      </c>
      <c r="M1622" s="4">
        <v>134.69</v>
      </c>
      <c r="N1622" s="4">
        <v>134.69</v>
      </c>
      <c r="O1622" s="4">
        <v>134.69</v>
      </c>
      <c r="P1622" s="4">
        <v>0</v>
      </c>
      <c r="Q1622" s="3" t="s">
        <v>26</v>
      </c>
      <c r="R1622" s="3">
        <v>0</v>
      </c>
      <c r="S1622" s="4">
        <v>0</v>
      </c>
      <c r="T1622" s="4">
        <v>44</v>
      </c>
      <c r="U1622" s="4">
        <v>84</v>
      </c>
      <c r="V1622" s="4">
        <f>IF(ISERROR(VLOOKUP($S$1622,'TAR FIN'!$A$1:$O$99,15,0)),0,VLOOKUP($S$1622,'TAR FIN'!$A$1:$O$99,15,0))</f>
        <v>0</v>
      </c>
      <c r="W1622" s="4">
        <f>IF(ISERROR(VLOOKUP($T$1622,'TAR FIN'!$A$1:$O$99,15,0)),0,VLOOKUP($T$1622,'TAR FIN'!$A$1:$O$99,15,0))</f>
        <v>304.7</v>
      </c>
      <c r="X1622" s="4">
        <f>IF(ISERROR(VLOOKUP($U$1622,'TAR FIN'!$A$1:$O$99,15,0)),0,VLOOKUP($U$1622,'TAR FIN'!$A$1:$O$99,15,0))</f>
        <v>219.97</v>
      </c>
      <c r="Y1622" s="4"/>
      <c r="Z1622" s="4">
        <f ca="1">('TUSD BE'!$AM$58+'TUSD BF'!$AM$58+'TUSD CVA'!$AM$58)*1</f>
        <v>361.43108304877717</v>
      </c>
      <c r="AA1622" s="4">
        <f>('TE BE'!$AA$40+'TE BF'!$AA$40+'TE CVA'!$AA$40)*1</f>
        <v>271.13910989737087</v>
      </c>
      <c r="AB1622" s="4">
        <f>$K$1622*$V$1622</f>
        <v>0</v>
      </c>
      <c r="AC1622" s="4">
        <f>$M$1622*$W$1622</f>
        <v>41040.042999999998</v>
      </c>
      <c r="AD1622" s="4">
        <f>$O$1622*$X$1622</f>
        <v>29627.759299999998</v>
      </c>
      <c r="AE1622" s="4">
        <f>$K$1622*$Y$1622</f>
        <v>0</v>
      </c>
      <c r="AF1622" s="4">
        <f ca="1">$M$1622*$Z$1622</f>
        <v>48681.152575839798</v>
      </c>
      <c r="AG1622" s="4">
        <f>$O$1622*$AA$1622</f>
        <v>36519.726712076881</v>
      </c>
    </row>
    <row r="1623" spans="1:33" ht="11.25" customHeight="1" x14ac:dyDescent="0.25">
      <c r="A1623" s="3" t="s">
        <v>27</v>
      </c>
      <c r="B1623" s="3" t="s">
        <v>39</v>
      </c>
      <c r="C1623" s="3" t="s">
        <v>37</v>
      </c>
      <c r="D1623" s="3" t="s">
        <v>43</v>
      </c>
      <c r="E1623" s="3" t="s">
        <v>25</v>
      </c>
      <c r="F1623" s="3" t="s">
        <v>25</v>
      </c>
      <c r="G1623" s="3" t="s">
        <v>25</v>
      </c>
      <c r="H1623" s="3" t="s">
        <v>36</v>
      </c>
      <c r="I1623" s="6">
        <v>44409</v>
      </c>
      <c r="J1623" s="4">
        <v>0</v>
      </c>
      <c r="K1623" s="4">
        <v>0</v>
      </c>
      <c r="L1623" s="4">
        <v>0.33800000000000002</v>
      </c>
      <c r="M1623" s="4">
        <v>0.33800000000000002</v>
      </c>
      <c r="N1623" s="4">
        <v>0.33800000000000002</v>
      </c>
      <c r="O1623" s="4">
        <v>0.33800000000000002</v>
      </c>
      <c r="P1623" s="4">
        <v>0</v>
      </c>
      <c r="Q1623" s="3" t="s">
        <v>26</v>
      </c>
      <c r="R1623" s="3">
        <v>0</v>
      </c>
      <c r="S1623" s="4">
        <v>0</v>
      </c>
      <c r="T1623" s="4">
        <v>44</v>
      </c>
      <c r="U1623" s="4">
        <v>84</v>
      </c>
      <c r="V1623" s="4">
        <f>IF(ISERROR(VLOOKUP($S$1623,'TAR FIN'!$A$1:$O$99,15,0)),0,VLOOKUP($S$1623,'TAR FIN'!$A$1:$O$99,15,0))</f>
        <v>0</v>
      </c>
      <c r="W1623" s="4">
        <f>IF(ISERROR(VLOOKUP($T$1623,'TAR FIN'!$A$1:$O$99,15,0)),0,VLOOKUP($T$1623,'TAR FIN'!$A$1:$O$99,15,0))</f>
        <v>304.7</v>
      </c>
      <c r="X1623" s="4">
        <f>IF(ISERROR(VLOOKUP($U$1623,'TAR FIN'!$A$1:$O$99,15,0)),0,VLOOKUP($U$1623,'TAR FIN'!$A$1:$O$99,15,0))</f>
        <v>219.97</v>
      </c>
      <c r="Y1623" s="4"/>
      <c r="Z1623" s="4">
        <f ca="1">('TUSD BE'!$AM$58+'TUSD BF'!$AM$58+'TUSD CVA'!$AM$58)*1</f>
        <v>361.43108304877717</v>
      </c>
      <c r="AA1623" s="4">
        <f>('TE BE'!$AA$40+'TE BF'!$AA$40+'TE CVA'!$AA$40)*1</f>
        <v>271.13910989737087</v>
      </c>
      <c r="AB1623" s="4">
        <f>$K$1623*$V$1623</f>
        <v>0</v>
      </c>
      <c r="AC1623" s="4">
        <f>$M$1623*$W$1623</f>
        <v>102.98860000000001</v>
      </c>
      <c r="AD1623" s="4">
        <f>$O$1623*$X$1623</f>
        <v>74.349860000000007</v>
      </c>
      <c r="AE1623" s="4">
        <f>$K$1623*$Y$1623</f>
        <v>0</v>
      </c>
      <c r="AF1623" s="4">
        <f ca="1">$M$1623*$Z$1623</f>
        <v>122.1637060704867</v>
      </c>
      <c r="AG1623" s="4">
        <f>$O$1623*$AA$1623</f>
        <v>91.645019145311366</v>
      </c>
    </row>
    <row r="1624" spans="1:33" ht="11.25" customHeight="1" x14ac:dyDescent="0.25">
      <c r="A1624" s="3" t="s">
        <v>28</v>
      </c>
      <c r="B1624" s="3" t="s">
        <v>39</v>
      </c>
      <c r="C1624" s="3" t="s">
        <v>37</v>
      </c>
      <c r="D1624" s="3" t="s">
        <v>43</v>
      </c>
      <c r="E1624" s="3" t="s">
        <v>25</v>
      </c>
      <c r="F1624" s="3" t="s">
        <v>25</v>
      </c>
      <c r="G1624" s="3" t="s">
        <v>25</v>
      </c>
      <c r="H1624" s="3" t="s">
        <v>36</v>
      </c>
      <c r="I1624" s="6">
        <v>44409</v>
      </c>
      <c r="J1624" s="4">
        <v>0</v>
      </c>
      <c r="K1624" s="4">
        <v>0</v>
      </c>
      <c r="L1624" s="4">
        <v>0.69799999999999995</v>
      </c>
      <c r="M1624" s="4">
        <v>0.69799999999999995</v>
      </c>
      <c r="N1624" s="4">
        <v>0.69799999999999995</v>
      </c>
      <c r="O1624" s="4">
        <v>0.69799999999999995</v>
      </c>
      <c r="P1624" s="4">
        <v>0</v>
      </c>
      <c r="Q1624" s="3" t="s">
        <v>26</v>
      </c>
      <c r="R1624" s="3">
        <v>0</v>
      </c>
      <c r="S1624" s="4">
        <v>0</v>
      </c>
      <c r="T1624" s="4">
        <v>44</v>
      </c>
      <c r="U1624" s="4">
        <v>84</v>
      </c>
      <c r="V1624" s="4">
        <f>IF(ISERROR(VLOOKUP($S$1624,'TAR FIN'!$A$1:$O$99,15,0)),0,VLOOKUP($S$1624,'TAR FIN'!$A$1:$O$99,15,0))</f>
        <v>0</v>
      </c>
      <c r="W1624" s="4">
        <f>IF(ISERROR(VLOOKUP($T$1624,'TAR FIN'!$A$1:$O$99,15,0)),0,VLOOKUP($T$1624,'TAR FIN'!$A$1:$O$99,15,0))</f>
        <v>304.7</v>
      </c>
      <c r="X1624" s="4">
        <f>IF(ISERROR(VLOOKUP($U$1624,'TAR FIN'!$A$1:$O$99,15,0)),0,VLOOKUP($U$1624,'TAR FIN'!$A$1:$O$99,15,0))</f>
        <v>219.97</v>
      </c>
      <c r="Y1624" s="4"/>
      <c r="Z1624" s="4">
        <f ca="1">('TUSD BE'!$AM$58+'TUSD BF'!$AM$58+'TUSD CVA'!$AM$58)*1</f>
        <v>361.43108304877717</v>
      </c>
      <c r="AA1624" s="4">
        <f>('TE BE'!$AA$40+'TE BF'!$AA$40+'TE CVA'!$AA$40)*1</f>
        <v>271.13910989737087</v>
      </c>
      <c r="AB1624" s="4">
        <f>$K$1624*$V$1624</f>
        <v>0</v>
      </c>
      <c r="AC1624" s="4">
        <f>$M$1624*$W$1624</f>
        <v>212.68059999999997</v>
      </c>
      <c r="AD1624" s="4">
        <f>$O$1624*$X$1624</f>
        <v>153.53905999999998</v>
      </c>
      <c r="AE1624" s="4">
        <f>$K$1624*$Y$1624</f>
        <v>0</v>
      </c>
      <c r="AF1624" s="4">
        <f ca="1">$M$1624*$Z$1624</f>
        <v>252.27889596804644</v>
      </c>
      <c r="AG1624" s="4">
        <f>$O$1624*$AA$1624</f>
        <v>189.25509870836487</v>
      </c>
    </row>
    <row r="1625" spans="1:33" ht="11.25" customHeight="1" x14ac:dyDescent="0.25">
      <c r="A1625" s="3" t="s">
        <v>21</v>
      </c>
      <c r="B1625" s="3" t="s">
        <v>39</v>
      </c>
      <c r="C1625" s="3" t="s">
        <v>37</v>
      </c>
      <c r="D1625" s="3" t="s">
        <v>43</v>
      </c>
      <c r="E1625" s="3" t="s">
        <v>25</v>
      </c>
      <c r="F1625" s="3" t="s">
        <v>25</v>
      </c>
      <c r="G1625" s="3" t="s">
        <v>25</v>
      </c>
      <c r="H1625" s="3" t="s">
        <v>36</v>
      </c>
      <c r="I1625" s="6">
        <v>44440</v>
      </c>
      <c r="J1625" s="4">
        <v>0</v>
      </c>
      <c r="K1625" s="4">
        <v>0</v>
      </c>
      <c r="L1625" s="4">
        <v>142.40100000000001</v>
      </c>
      <c r="M1625" s="4">
        <v>142.40100000000001</v>
      </c>
      <c r="N1625" s="4">
        <v>142.40100000000001</v>
      </c>
      <c r="O1625" s="4">
        <v>142.40100000000001</v>
      </c>
      <c r="P1625" s="4">
        <v>0</v>
      </c>
      <c r="Q1625" s="3" t="s">
        <v>26</v>
      </c>
      <c r="R1625" s="3">
        <v>0</v>
      </c>
      <c r="S1625" s="4">
        <v>0</v>
      </c>
      <c r="T1625" s="4">
        <v>44</v>
      </c>
      <c r="U1625" s="4">
        <v>84</v>
      </c>
      <c r="V1625" s="4">
        <f>IF(ISERROR(VLOOKUP($S$1625,'TAR FIN'!$A$1:$O$99,15,0)),0,VLOOKUP($S$1625,'TAR FIN'!$A$1:$O$99,15,0))</f>
        <v>0</v>
      </c>
      <c r="W1625" s="4">
        <f>IF(ISERROR(VLOOKUP($T$1625,'TAR FIN'!$A$1:$O$99,15,0)),0,VLOOKUP($T$1625,'TAR FIN'!$A$1:$O$99,15,0))</f>
        <v>304.7</v>
      </c>
      <c r="X1625" s="4">
        <f>IF(ISERROR(VLOOKUP($U$1625,'TAR FIN'!$A$1:$O$99,15,0)),0,VLOOKUP($U$1625,'TAR FIN'!$A$1:$O$99,15,0))</f>
        <v>219.97</v>
      </c>
      <c r="Y1625" s="4"/>
      <c r="Z1625" s="4">
        <f ca="1">('TUSD BE'!$AM$58+'TUSD BF'!$AM$58+'TUSD CVA'!$AM$58)*1</f>
        <v>361.43108304877717</v>
      </c>
      <c r="AA1625" s="4">
        <f>('TE BE'!$AA$40+'TE BF'!$AA$40+'TE CVA'!$AA$40)*1</f>
        <v>271.13910989737087</v>
      </c>
      <c r="AB1625" s="4">
        <f>$K$1625*$V$1625</f>
        <v>0</v>
      </c>
      <c r="AC1625" s="4">
        <f>$M$1625*$W$1625</f>
        <v>43389.584699999999</v>
      </c>
      <c r="AD1625" s="4">
        <f>$O$1625*$X$1625</f>
        <v>31323.947970000001</v>
      </c>
      <c r="AE1625" s="4">
        <f>$K$1625*$Y$1625</f>
        <v>0</v>
      </c>
      <c r="AF1625" s="4">
        <f ca="1">$M$1625*$Z$1625</f>
        <v>51468.147657228925</v>
      </c>
      <c r="AG1625" s="4">
        <f>$O$1625*$AA$1625</f>
        <v>38610.480388495511</v>
      </c>
    </row>
    <row r="1626" spans="1:33" ht="11.25" customHeight="1" x14ac:dyDescent="0.25">
      <c r="A1626" s="3" t="s">
        <v>28</v>
      </c>
      <c r="B1626" s="3" t="s">
        <v>39</v>
      </c>
      <c r="C1626" s="3" t="s">
        <v>37</v>
      </c>
      <c r="D1626" s="3" t="s">
        <v>43</v>
      </c>
      <c r="E1626" s="3" t="s">
        <v>25</v>
      </c>
      <c r="F1626" s="3" t="s">
        <v>25</v>
      </c>
      <c r="G1626" s="3" t="s">
        <v>25</v>
      </c>
      <c r="H1626" s="3" t="s">
        <v>36</v>
      </c>
      <c r="I1626" s="6">
        <v>44440</v>
      </c>
      <c r="J1626" s="4">
        <v>0</v>
      </c>
      <c r="K1626" s="4">
        <v>0</v>
      </c>
      <c r="L1626" s="4">
        <v>0.42899999999999999</v>
      </c>
      <c r="M1626" s="4">
        <v>0.42899999999999999</v>
      </c>
      <c r="N1626" s="4">
        <v>0.42899999999999999</v>
      </c>
      <c r="O1626" s="4">
        <v>0.42899999999999999</v>
      </c>
      <c r="P1626" s="4">
        <v>0</v>
      </c>
      <c r="Q1626" s="3" t="s">
        <v>26</v>
      </c>
      <c r="R1626" s="3">
        <v>0</v>
      </c>
      <c r="S1626" s="4">
        <v>0</v>
      </c>
      <c r="T1626" s="4">
        <v>44</v>
      </c>
      <c r="U1626" s="4">
        <v>84</v>
      </c>
      <c r="V1626" s="4">
        <f>IF(ISERROR(VLOOKUP($S$1626,'TAR FIN'!$A$1:$O$99,15,0)),0,VLOOKUP($S$1626,'TAR FIN'!$A$1:$O$99,15,0))</f>
        <v>0</v>
      </c>
      <c r="W1626" s="4">
        <f>IF(ISERROR(VLOOKUP($T$1626,'TAR FIN'!$A$1:$O$99,15,0)),0,VLOOKUP($T$1626,'TAR FIN'!$A$1:$O$99,15,0))</f>
        <v>304.7</v>
      </c>
      <c r="X1626" s="4">
        <f>IF(ISERROR(VLOOKUP($U$1626,'TAR FIN'!$A$1:$O$99,15,0)),0,VLOOKUP($U$1626,'TAR FIN'!$A$1:$O$99,15,0))</f>
        <v>219.97</v>
      </c>
      <c r="Y1626" s="4"/>
      <c r="Z1626" s="4">
        <f ca="1">('TUSD BE'!$AM$58+'TUSD BF'!$AM$58+'TUSD CVA'!$AM$58)*1</f>
        <v>361.43108304877717</v>
      </c>
      <c r="AA1626" s="4">
        <f>('TE BE'!$AA$40+'TE BF'!$AA$40+'TE CVA'!$AA$40)*1</f>
        <v>271.13910989737087</v>
      </c>
      <c r="AB1626" s="4">
        <f>$K$1626*$V$1626</f>
        <v>0</v>
      </c>
      <c r="AC1626" s="4">
        <f>$M$1626*$W$1626</f>
        <v>130.71629999999999</v>
      </c>
      <c r="AD1626" s="4">
        <f>$O$1626*$X$1626</f>
        <v>94.367130000000003</v>
      </c>
      <c r="AE1626" s="4">
        <f>$K$1626*$Y$1626</f>
        <v>0</v>
      </c>
      <c r="AF1626" s="4">
        <f ca="1">$M$1626*$Z$1626</f>
        <v>155.0539346279254</v>
      </c>
      <c r="AG1626" s="4">
        <f>$O$1626*$AA$1626</f>
        <v>116.3186781459721</v>
      </c>
    </row>
    <row r="1627" spans="1:33" ht="11.25" customHeight="1" x14ac:dyDescent="0.25">
      <c r="A1627" s="3" t="s">
        <v>21</v>
      </c>
      <c r="B1627" s="3" t="s">
        <v>39</v>
      </c>
      <c r="C1627" s="3" t="s">
        <v>37</v>
      </c>
      <c r="D1627" s="3" t="s">
        <v>43</v>
      </c>
      <c r="E1627" s="3" t="s">
        <v>25</v>
      </c>
      <c r="F1627" s="3" t="s">
        <v>25</v>
      </c>
      <c r="G1627" s="3" t="s">
        <v>25</v>
      </c>
      <c r="H1627" s="3" t="s">
        <v>36</v>
      </c>
      <c r="I1627" s="6">
        <v>44470</v>
      </c>
      <c r="J1627" s="4">
        <v>0</v>
      </c>
      <c r="K1627" s="4">
        <v>0</v>
      </c>
      <c r="L1627" s="4">
        <v>158.839</v>
      </c>
      <c r="M1627" s="4">
        <v>158.839</v>
      </c>
      <c r="N1627" s="4">
        <v>158.839</v>
      </c>
      <c r="O1627" s="4">
        <v>158.839</v>
      </c>
      <c r="P1627" s="4">
        <v>0</v>
      </c>
      <c r="Q1627" s="3" t="s">
        <v>26</v>
      </c>
      <c r="R1627" s="3">
        <v>0</v>
      </c>
      <c r="S1627" s="4">
        <v>0</v>
      </c>
      <c r="T1627" s="4">
        <v>44</v>
      </c>
      <c r="U1627" s="4">
        <v>84</v>
      </c>
      <c r="V1627" s="4">
        <f>IF(ISERROR(VLOOKUP($S$1627,'TAR FIN'!$A$1:$O$99,15,0)),0,VLOOKUP($S$1627,'TAR FIN'!$A$1:$O$99,15,0))</f>
        <v>0</v>
      </c>
      <c r="W1627" s="4">
        <f>IF(ISERROR(VLOOKUP($T$1627,'TAR FIN'!$A$1:$O$99,15,0)),0,VLOOKUP($T$1627,'TAR FIN'!$A$1:$O$99,15,0))</f>
        <v>304.7</v>
      </c>
      <c r="X1627" s="4">
        <f>IF(ISERROR(VLOOKUP($U$1627,'TAR FIN'!$A$1:$O$99,15,0)),0,VLOOKUP($U$1627,'TAR FIN'!$A$1:$O$99,15,0))</f>
        <v>219.97</v>
      </c>
      <c r="Y1627" s="4"/>
      <c r="Z1627" s="4">
        <f ca="1">('TUSD BE'!$AM$58+'TUSD BF'!$AM$58+'TUSD CVA'!$AM$58)*1</f>
        <v>361.43108304877717</v>
      </c>
      <c r="AA1627" s="4">
        <f>('TE BE'!$AA$40+'TE BF'!$AA$40+'TE CVA'!$AA$40)*1</f>
        <v>271.13910989737087</v>
      </c>
      <c r="AB1627" s="4">
        <f>$K$1627*$V$1627</f>
        <v>0</v>
      </c>
      <c r="AC1627" s="4">
        <f>$M$1627*$W$1627</f>
        <v>48398.243299999995</v>
      </c>
      <c r="AD1627" s="4">
        <f>$O$1627*$X$1627</f>
        <v>34939.814830000003</v>
      </c>
      <c r="AE1627" s="4">
        <f>$K$1627*$Y$1627</f>
        <v>0</v>
      </c>
      <c r="AF1627" s="4">
        <f ca="1">$M$1627*$Z$1627</f>
        <v>57409.351800384713</v>
      </c>
      <c r="AG1627" s="4">
        <f>$O$1627*$AA$1627</f>
        <v>43067.46507698849</v>
      </c>
    </row>
    <row r="1628" spans="1:33" ht="11.25" customHeight="1" x14ac:dyDescent="0.25">
      <c r="A1628" s="3" t="s">
        <v>28</v>
      </c>
      <c r="B1628" s="3" t="s">
        <v>39</v>
      </c>
      <c r="C1628" s="3" t="s">
        <v>37</v>
      </c>
      <c r="D1628" s="3" t="s">
        <v>43</v>
      </c>
      <c r="E1628" s="3" t="s">
        <v>25</v>
      </c>
      <c r="F1628" s="3" t="s">
        <v>25</v>
      </c>
      <c r="G1628" s="3" t="s">
        <v>25</v>
      </c>
      <c r="H1628" s="3" t="s">
        <v>36</v>
      </c>
      <c r="I1628" s="6">
        <v>44470</v>
      </c>
      <c r="J1628" s="4">
        <v>0</v>
      </c>
      <c r="K1628" s="4">
        <v>0</v>
      </c>
      <c r="L1628" s="4">
        <v>0.72399999999999998</v>
      </c>
      <c r="M1628" s="4">
        <v>0.72399999999999998</v>
      </c>
      <c r="N1628" s="4">
        <v>0.72399999999999998</v>
      </c>
      <c r="O1628" s="4">
        <v>0.72399999999999998</v>
      </c>
      <c r="P1628" s="4">
        <v>0</v>
      </c>
      <c r="Q1628" s="3" t="s">
        <v>26</v>
      </c>
      <c r="R1628" s="3">
        <v>0</v>
      </c>
      <c r="S1628" s="4">
        <v>0</v>
      </c>
      <c r="T1628" s="4">
        <v>44</v>
      </c>
      <c r="U1628" s="4">
        <v>84</v>
      </c>
      <c r="V1628" s="4">
        <f>IF(ISERROR(VLOOKUP($S$1628,'TAR FIN'!$A$1:$O$99,15,0)),0,VLOOKUP($S$1628,'TAR FIN'!$A$1:$O$99,15,0))</f>
        <v>0</v>
      </c>
      <c r="W1628" s="4">
        <f>IF(ISERROR(VLOOKUP($T$1628,'TAR FIN'!$A$1:$O$99,15,0)),0,VLOOKUP($T$1628,'TAR FIN'!$A$1:$O$99,15,0))</f>
        <v>304.7</v>
      </c>
      <c r="X1628" s="4">
        <f>IF(ISERROR(VLOOKUP($U$1628,'TAR FIN'!$A$1:$O$99,15,0)),0,VLOOKUP($U$1628,'TAR FIN'!$A$1:$O$99,15,0))</f>
        <v>219.97</v>
      </c>
      <c r="Y1628" s="4"/>
      <c r="Z1628" s="4">
        <f ca="1">('TUSD BE'!$AM$58+'TUSD BF'!$AM$58+'TUSD CVA'!$AM$58)*1</f>
        <v>361.43108304877717</v>
      </c>
      <c r="AA1628" s="4">
        <f>('TE BE'!$AA$40+'TE BF'!$AA$40+'TE CVA'!$AA$40)*1</f>
        <v>271.13910989737087</v>
      </c>
      <c r="AB1628" s="4">
        <f>$K$1628*$V$1628</f>
        <v>0</v>
      </c>
      <c r="AC1628" s="4">
        <f>$M$1628*$W$1628</f>
        <v>220.60279999999997</v>
      </c>
      <c r="AD1628" s="4">
        <f>$O$1628*$X$1628</f>
        <v>159.25827999999998</v>
      </c>
      <c r="AE1628" s="4">
        <f>$K$1628*$Y$1628</f>
        <v>0</v>
      </c>
      <c r="AF1628" s="4">
        <f ca="1">$M$1628*$Z$1628</f>
        <v>261.67610412731466</v>
      </c>
      <c r="AG1628" s="4">
        <f>$O$1628*$AA$1628</f>
        <v>196.30471556569651</v>
      </c>
    </row>
    <row r="1629" spans="1:33" ht="11.25" customHeight="1" x14ac:dyDescent="0.25">
      <c r="A1629" s="3" t="s">
        <v>21</v>
      </c>
      <c r="B1629" s="3" t="s">
        <v>39</v>
      </c>
      <c r="C1629" s="3" t="s">
        <v>37</v>
      </c>
      <c r="D1629" s="3" t="s">
        <v>43</v>
      </c>
      <c r="E1629" s="3" t="s">
        <v>25</v>
      </c>
      <c r="F1629" s="3" t="s">
        <v>25</v>
      </c>
      <c r="G1629" s="3" t="s">
        <v>25</v>
      </c>
      <c r="H1629" s="3" t="s">
        <v>36</v>
      </c>
      <c r="I1629" s="6">
        <v>44501</v>
      </c>
      <c r="J1629" s="4">
        <v>0</v>
      </c>
      <c r="K1629" s="4">
        <v>0</v>
      </c>
      <c r="L1629" s="4">
        <v>166.381</v>
      </c>
      <c r="M1629" s="4">
        <v>166.381</v>
      </c>
      <c r="N1629" s="4">
        <v>166.381</v>
      </c>
      <c r="O1629" s="4">
        <v>166.381</v>
      </c>
      <c r="P1629" s="4">
        <v>0</v>
      </c>
      <c r="Q1629" s="3" t="s">
        <v>26</v>
      </c>
      <c r="R1629" s="3">
        <v>0</v>
      </c>
      <c r="S1629" s="4">
        <v>0</v>
      </c>
      <c r="T1629" s="4">
        <v>44</v>
      </c>
      <c r="U1629" s="4">
        <v>84</v>
      </c>
      <c r="V1629" s="4">
        <f>IF(ISERROR(VLOOKUP($S$1629,'TAR FIN'!$A$1:$O$99,15,0)),0,VLOOKUP($S$1629,'TAR FIN'!$A$1:$O$99,15,0))</f>
        <v>0</v>
      </c>
      <c r="W1629" s="4">
        <f>IF(ISERROR(VLOOKUP($T$1629,'TAR FIN'!$A$1:$O$99,15,0)),0,VLOOKUP($T$1629,'TAR FIN'!$A$1:$O$99,15,0))</f>
        <v>304.7</v>
      </c>
      <c r="X1629" s="4">
        <f>IF(ISERROR(VLOOKUP($U$1629,'TAR FIN'!$A$1:$O$99,15,0)),0,VLOOKUP($U$1629,'TAR FIN'!$A$1:$O$99,15,0))</f>
        <v>219.97</v>
      </c>
      <c r="Y1629" s="4"/>
      <c r="Z1629" s="4">
        <f ca="1">('TUSD BE'!$AM$58+'TUSD BF'!$AM$58+'TUSD CVA'!$AM$58)*1</f>
        <v>361.43108304877717</v>
      </c>
      <c r="AA1629" s="4">
        <f>('TE BE'!$AA$40+'TE BF'!$AA$40+'TE CVA'!$AA$40)*1</f>
        <v>271.13910989737087</v>
      </c>
      <c r="AB1629" s="4">
        <f>$K$1629*$V$1629</f>
        <v>0</v>
      </c>
      <c r="AC1629" s="4">
        <f>$M$1629*$W$1629</f>
        <v>50696.290699999998</v>
      </c>
      <c r="AD1629" s="4">
        <f>$O$1629*$X$1629</f>
        <v>36598.828569999998</v>
      </c>
      <c r="AE1629" s="4">
        <f>$K$1629*$Y$1629</f>
        <v>0</v>
      </c>
      <c r="AF1629" s="4">
        <f ca="1">$M$1629*$Z$1629</f>
        <v>60135.265028738591</v>
      </c>
      <c r="AG1629" s="4">
        <f>$O$1629*$AA$1629</f>
        <v>45112.396243834461</v>
      </c>
    </row>
    <row r="1630" spans="1:33" ht="11.25" customHeight="1" x14ac:dyDescent="0.25">
      <c r="A1630" s="3" t="s">
        <v>27</v>
      </c>
      <c r="B1630" s="3" t="s">
        <v>39</v>
      </c>
      <c r="C1630" s="3" t="s">
        <v>37</v>
      </c>
      <c r="D1630" s="3" t="s">
        <v>43</v>
      </c>
      <c r="E1630" s="3" t="s">
        <v>25</v>
      </c>
      <c r="F1630" s="3" t="s">
        <v>25</v>
      </c>
      <c r="G1630" s="3" t="s">
        <v>25</v>
      </c>
      <c r="H1630" s="3" t="s">
        <v>36</v>
      </c>
      <c r="I1630" s="6">
        <v>44501</v>
      </c>
      <c r="J1630" s="4">
        <v>0</v>
      </c>
      <c r="K1630" s="4">
        <v>0</v>
      </c>
      <c r="L1630" s="4">
        <v>-0.47499999999999998</v>
      </c>
      <c r="M1630" s="4">
        <v>-0.47499999999999998</v>
      </c>
      <c r="N1630" s="4">
        <v>-0.47499999999999998</v>
      </c>
      <c r="O1630" s="4">
        <v>-0.47499999999999998</v>
      </c>
      <c r="P1630" s="4">
        <v>0</v>
      </c>
      <c r="Q1630" s="3" t="s">
        <v>26</v>
      </c>
      <c r="R1630" s="3">
        <v>0</v>
      </c>
      <c r="S1630" s="4">
        <v>0</v>
      </c>
      <c r="T1630" s="4">
        <v>44</v>
      </c>
      <c r="U1630" s="4">
        <v>84</v>
      </c>
      <c r="V1630" s="4">
        <f>IF(ISERROR(VLOOKUP($S$1630,'TAR FIN'!$A$1:$O$99,15,0)),0,VLOOKUP($S$1630,'TAR FIN'!$A$1:$O$99,15,0))</f>
        <v>0</v>
      </c>
      <c r="W1630" s="4">
        <f>IF(ISERROR(VLOOKUP($T$1630,'TAR FIN'!$A$1:$O$99,15,0)),0,VLOOKUP($T$1630,'TAR FIN'!$A$1:$O$99,15,0))</f>
        <v>304.7</v>
      </c>
      <c r="X1630" s="4">
        <f>IF(ISERROR(VLOOKUP($U$1630,'TAR FIN'!$A$1:$O$99,15,0)),0,VLOOKUP($U$1630,'TAR FIN'!$A$1:$O$99,15,0))</f>
        <v>219.97</v>
      </c>
      <c r="Y1630" s="4"/>
      <c r="Z1630" s="4">
        <f ca="1">('TUSD BE'!$AM$58+'TUSD BF'!$AM$58+'TUSD CVA'!$AM$58)*1</f>
        <v>361.43108304877717</v>
      </c>
      <c r="AA1630" s="4">
        <f>('TE BE'!$AA$40+'TE BF'!$AA$40+'TE CVA'!$AA$40)*1</f>
        <v>271.13910989737087</v>
      </c>
      <c r="AB1630" s="4">
        <f>$K$1630*$V$1630</f>
        <v>0</v>
      </c>
      <c r="AC1630" s="4">
        <f>$M$1630*$W$1630</f>
        <v>-144.73249999999999</v>
      </c>
      <c r="AD1630" s="4">
        <f>$O$1630*$X$1630</f>
        <v>-104.48575</v>
      </c>
      <c r="AE1630" s="4">
        <f>$K$1630*$Y$1630</f>
        <v>0</v>
      </c>
      <c r="AF1630" s="4">
        <f ca="1">$M$1630*$Z$1630</f>
        <v>-171.67976444816915</v>
      </c>
      <c r="AG1630" s="4">
        <f>$O$1630*$AA$1630</f>
        <v>-128.79107720125117</v>
      </c>
    </row>
    <row r="1631" spans="1:33" ht="11.25" customHeight="1" x14ac:dyDescent="0.25">
      <c r="A1631" s="3" t="s">
        <v>28</v>
      </c>
      <c r="B1631" s="3" t="s">
        <v>39</v>
      </c>
      <c r="C1631" s="3" t="s">
        <v>37</v>
      </c>
      <c r="D1631" s="3" t="s">
        <v>43</v>
      </c>
      <c r="E1631" s="3" t="s">
        <v>25</v>
      </c>
      <c r="F1631" s="3" t="s">
        <v>25</v>
      </c>
      <c r="G1631" s="3" t="s">
        <v>25</v>
      </c>
      <c r="H1631" s="3" t="s">
        <v>36</v>
      </c>
      <c r="I1631" s="6">
        <v>44501</v>
      </c>
      <c r="J1631" s="4">
        <v>0</v>
      </c>
      <c r="K1631" s="4">
        <v>0</v>
      </c>
      <c r="L1631" s="4">
        <v>0.55200000000000005</v>
      </c>
      <c r="M1631" s="4">
        <v>0.55200000000000005</v>
      </c>
      <c r="N1631" s="4">
        <v>0.55200000000000005</v>
      </c>
      <c r="O1631" s="4">
        <v>0.55200000000000005</v>
      </c>
      <c r="P1631" s="4">
        <v>0</v>
      </c>
      <c r="Q1631" s="3" t="s">
        <v>26</v>
      </c>
      <c r="R1631" s="3">
        <v>0</v>
      </c>
      <c r="S1631" s="4">
        <v>0</v>
      </c>
      <c r="T1631" s="4">
        <v>44</v>
      </c>
      <c r="U1631" s="4">
        <v>84</v>
      </c>
      <c r="V1631" s="4">
        <f>IF(ISERROR(VLOOKUP($S$1631,'TAR FIN'!$A$1:$O$99,15,0)),0,VLOOKUP($S$1631,'TAR FIN'!$A$1:$O$99,15,0))</f>
        <v>0</v>
      </c>
      <c r="W1631" s="4">
        <f>IF(ISERROR(VLOOKUP($T$1631,'TAR FIN'!$A$1:$O$99,15,0)),0,VLOOKUP($T$1631,'TAR FIN'!$A$1:$O$99,15,0))</f>
        <v>304.7</v>
      </c>
      <c r="X1631" s="4">
        <f>IF(ISERROR(VLOOKUP($U$1631,'TAR FIN'!$A$1:$O$99,15,0)),0,VLOOKUP($U$1631,'TAR FIN'!$A$1:$O$99,15,0))</f>
        <v>219.97</v>
      </c>
      <c r="Y1631" s="4"/>
      <c r="Z1631" s="4">
        <f ca="1">('TUSD BE'!$AM$58+'TUSD BF'!$AM$58+'TUSD CVA'!$AM$58)*1</f>
        <v>361.43108304877717</v>
      </c>
      <c r="AA1631" s="4">
        <f>('TE BE'!$AA$40+'TE BF'!$AA$40+'TE CVA'!$AA$40)*1</f>
        <v>271.13910989737087</v>
      </c>
      <c r="AB1631" s="4">
        <f>$K$1631*$V$1631</f>
        <v>0</v>
      </c>
      <c r="AC1631" s="4">
        <f>$M$1631*$W$1631</f>
        <v>168.1944</v>
      </c>
      <c r="AD1631" s="4">
        <f>$O$1631*$X$1631</f>
        <v>121.42344000000001</v>
      </c>
      <c r="AE1631" s="4">
        <f>$K$1631*$Y$1631</f>
        <v>0</v>
      </c>
      <c r="AF1631" s="4">
        <f ca="1">$M$1631*$Z$1631</f>
        <v>199.50995784292502</v>
      </c>
      <c r="AG1631" s="4">
        <f>$O$1631*$AA$1631</f>
        <v>149.66878866334872</v>
      </c>
    </row>
    <row r="1632" spans="1:33" ht="11.25" customHeight="1" x14ac:dyDescent="0.25">
      <c r="A1632" s="3" t="s">
        <v>21</v>
      </c>
      <c r="B1632" s="3" t="s">
        <v>39</v>
      </c>
      <c r="C1632" s="3" t="s">
        <v>37</v>
      </c>
      <c r="D1632" s="3" t="s">
        <v>43</v>
      </c>
      <c r="E1632" s="3" t="s">
        <v>25</v>
      </c>
      <c r="F1632" s="3" t="s">
        <v>25</v>
      </c>
      <c r="G1632" s="3" t="s">
        <v>25</v>
      </c>
      <c r="H1632" s="3" t="s">
        <v>36</v>
      </c>
      <c r="I1632" s="6">
        <v>44531</v>
      </c>
      <c r="J1632" s="4">
        <v>0</v>
      </c>
      <c r="K1632" s="4">
        <v>0</v>
      </c>
      <c r="L1632" s="4">
        <v>154.74199999999999</v>
      </c>
      <c r="M1632" s="4">
        <v>154.74199999999999</v>
      </c>
      <c r="N1632" s="4">
        <v>154.74199999999999</v>
      </c>
      <c r="O1632" s="4">
        <v>154.74199999999999</v>
      </c>
      <c r="P1632" s="4">
        <v>0</v>
      </c>
      <c r="Q1632" s="3" t="s">
        <v>26</v>
      </c>
      <c r="R1632" s="3">
        <v>0</v>
      </c>
      <c r="S1632" s="4">
        <v>0</v>
      </c>
      <c r="T1632" s="4">
        <v>44</v>
      </c>
      <c r="U1632" s="4">
        <v>84</v>
      </c>
      <c r="V1632" s="4">
        <f>IF(ISERROR(VLOOKUP($S$1632,'TAR FIN'!$A$1:$O$99,15,0)),0,VLOOKUP($S$1632,'TAR FIN'!$A$1:$O$99,15,0))</f>
        <v>0</v>
      </c>
      <c r="W1632" s="4">
        <f>IF(ISERROR(VLOOKUP($T$1632,'TAR FIN'!$A$1:$O$99,15,0)),0,VLOOKUP($T$1632,'TAR FIN'!$A$1:$O$99,15,0))</f>
        <v>304.7</v>
      </c>
      <c r="X1632" s="4">
        <f>IF(ISERROR(VLOOKUP($U$1632,'TAR FIN'!$A$1:$O$99,15,0)),0,VLOOKUP($U$1632,'TAR FIN'!$A$1:$O$99,15,0))</f>
        <v>219.97</v>
      </c>
      <c r="Y1632" s="4"/>
      <c r="Z1632" s="4">
        <f ca="1">('TUSD BE'!$AM$58+'TUSD BF'!$AM$58+'TUSD CVA'!$AM$58)*1</f>
        <v>361.43108304877717</v>
      </c>
      <c r="AA1632" s="4">
        <f>('TE BE'!$AA$40+'TE BF'!$AA$40+'TE CVA'!$AA$40)*1</f>
        <v>271.13910989737087</v>
      </c>
      <c r="AB1632" s="4">
        <f>$K$1632*$V$1632</f>
        <v>0</v>
      </c>
      <c r="AC1632" s="4">
        <f>$M$1632*$W$1632</f>
        <v>47149.887399999992</v>
      </c>
      <c r="AD1632" s="4">
        <f>$O$1632*$X$1632</f>
        <v>34038.597739999997</v>
      </c>
      <c r="AE1632" s="4">
        <f>$K$1632*$Y$1632</f>
        <v>0</v>
      </c>
      <c r="AF1632" s="4">
        <f ca="1">$M$1632*$Z$1632</f>
        <v>55928.568653133872</v>
      </c>
      <c r="AG1632" s="4">
        <f>$O$1632*$AA$1632</f>
        <v>41956.608143738958</v>
      </c>
    </row>
    <row r="1633" spans="1:33" ht="11.25" customHeight="1" x14ac:dyDescent="0.25">
      <c r="A1633" s="3" t="s">
        <v>27</v>
      </c>
      <c r="B1633" s="3" t="s">
        <v>39</v>
      </c>
      <c r="C1633" s="3" t="s">
        <v>37</v>
      </c>
      <c r="D1633" s="3" t="s">
        <v>43</v>
      </c>
      <c r="E1633" s="3" t="s">
        <v>25</v>
      </c>
      <c r="F1633" s="3" t="s">
        <v>25</v>
      </c>
      <c r="G1633" s="3" t="s">
        <v>25</v>
      </c>
      <c r="H1633" s="3" t="s">
        <v>36</v>
      </c>
      <c r="I1633" s="6">
        <v>44531</v>
      </c>
      <c r="J1633" s="4">
        <v>0</v>
      </c>
      <c r="K1633" s="4">
        <v>0</v>
      </c>
      <c r="L1633" s="4">
        <v>-0.2</v>
      </c>
      <c r="M1633" s="4">
        <v>-0.2</v>
      </c>
      <c r="N1633" s="4">
        <v>-0.2</v>
      </c>
      <c r="O1633" s="4">
        <v>-0.2</v>
      </c>
      <c r="P1633" s="4">
        <v>0</v>
      </c>
      <c r="Q1633" s="3" t="s">
        <v>26</v>
      </c>
      <c r="R1633" s="3">
        <v>0</v>
      </c>
      <c r="S1633" s="4">
        <v>0</v>
      </c>
      <c r="T1633" s="4">
        <v>44</v>
      </c>
      <c r="U1633" s="4">
        <v>84</v>
      </c>
      <c r="V1633" s="4">
        <f>IF(ISERROR(VLOOKUP($S$1633,'TAR FIN'!$A$1:$O$99,15,0)),0,VLOOKUP($S$1633,'TAR FIN'!$A$1:$O$99,15,0))</f>
        <v>0</v>
      </c>
      <c r="W1633" s="4">
        <f>IF(ISERROR(VLOOKUP($T$1633,'TAR FIN'!$A$1:$O$99,15,0)),0,VLOOKUP($T$1633,'TAR FIN'!$A$1:$O$99,15,0))</f>
        <v>304.7</v>
      </c>
      <c r="X1633" s="4">
        <f>IF(ISERROR(VLOOKUP($U$1633,'TAR FIN'!$A$1:$O$99,15,0)),0,VLOOKUP($U$1633,'TAR FIN'!$A$1:$O$99,15,0))</f>
        <v>219.97</v>
      </c>
      <c r="Y1633" s="4"/>
      <c r="Z1633" s="4">
        <f ca="1">('TUSD BE'!$AM$58+'TUSD BF'!$AM$58+'TUSD CVA'!$AM$58)*1</f>
        <v>361.43108304877717</v>
      </c>
      <c r="AA1633" s="4">
        <f>('TE BE'!$AA$40+'TE BF'!$AA$40+'TE CVA'!$AA$40)*1</f>
        <v>271.13910989737087</v>
      </c>
      <c r="AB1633" s="4">
        <f>$K$1633*$V$1633</f>
        <v>0</v>
      </c>
      <c r="AC1633" s="4">
        <f>$M$1633*$W$1633</f>
        <v>-60.94</v>
      </c>
      <c r="AD1633" s="4">
        <f>$O$1633*$X$1633</f>
        <v>-43.994</v>
      </c>
      <c r="AE1633" s="4">
        <f>$K$1633*$Y$1633</f>
        <v>0</v>
      </c>
      <c r="AF1633" s="4">
        <f ca="1">$M$1633*$Z$1633</f>
        <v>-72.286216609755442</v>
      </c>
      <c r="AG1633" s="4">
        <f>$O$1633*$AA$1633</f>
        <v>-54.227821979474179</v>
      </c>
    </row>
    <row r="1634" spans="1:33" ht="11.25" customHeight="1" x14ac:dyDescent="0.25">
      <c r="A1634" s="3" t="s">
        <v>28</v>
      </c>
      <c r="B1634" s="3" t="s">
        <v>39</v>
      </c>
      <c r="C1634" s="3" t="s">
        <v>37</v>
      </c>
      <c r="D1634" s="3" t="s">
        <v>43</v>
      </c>
      <c r="E1634" s="3" t="s">
        <v>25</v>
      </c>
      <c r="F1634" s="3" t="s">
        <v>25</v>
      </c>
      <c r="G1634" s="3" t="s">
        <v>25</v>
      </c>
      <c r="H1634" s="3" t="s">
        <v>36</v>
      </c>
      <c r="I1634" s="6">
        <v>44531</v>
      </c>
      <c r="J1634" s="4">
        <v>0</v>
      </c>
      <c r="K1634" s="4">
        <v>0</v>
      </c>
      <c r="L1634" s="4">
        <v>0.48299999999999998</v>
      </c>
      <c r="M1634" s="4">
        <v>0.48299999999999998</v>
      </c>
      <c r="N1634" s="4">
        <v>0.48299999999999998</v>
      </c>
      <c r="O1634" s="4">
        <v>0.48299999999999998</v>
      </c>
      <c r="P1634" s="4">
        <v>0</v>
      </c>
      <c r="Q1634" s="3" t="s">
        <v>26</v>
      </c>
      <c r="R1634" s="3">
        <v>0</v>
      </c>
      <c r="S1634" s="4">
        <v>0</v>
      </c>
      <c r="T1634" s="4">
        <v>44</v>
      </c>
      <c r="U1634" s="4">
        <v>84</v>
      </c>
      <c r="V1634" s="4">
        <f>IF(ISERROR(VLOOKUP($S$1634,'TAR FIN'!$A$1:$O$99,15,0)),0,VLOOKUP($S$1634,'TAR FIN'!$A$1:$O$99,15,0))</f>
        <v>0</v>
      </c>
      <c r="W1634" s="4">
        <f>IF(ISERROR(VLOOKUP($T$1634,'TAR FIN'!$A$1:$O$99,15,0)),0,VLOOKUP($T$1634,'TAR FIN'!$A$1:$O$99,15,0))</f>
        <v>304.7</v>
      </c>
      <c r="X1634" s="4">
        <f>IF(ISERROR(VLOOKUP($U$1634,'TAR FIN'!$A$1:$O$99,15,0)),0,VLOOKUP($U$1634,'TAR FIN'!$A$1:$O$99,15,0))</f>
        <v>219.97</v>
      </c>
      <c r="Y1634" s="4"/>
      <c r="Z1634" s="4">
        <f ca="1">('TUSD BE'!$AM$58+'TUSD BF'!$AM$58+'TUSD CVA'!$AM$58)*1</f>
        <v>361.43108304877717</v>
      </c>
      <c r="AA1634" s="4">
        <f>('TE BE'!$AA$40+'TE BF'!$AA$40+'TE CVA'!$AA$40)*1</f>
        <v>271.13910989737087</v>
      </c>
      <c r="AB1634" s="4">
        <f>$K$1634*$V$1634</f>
        <v>0</v>
      </c>
      <c r="AC1634" s="4">
        <f>$M$1634*$W$1634</f>
        <v>147.17009999999999</v>
      </c>
      <c r="AD1634" s="4">
        <f>$O$1634*$X$1634</f>
        <v>106.24551</v>
      </c>
      <c r="AE1634" s="4">
        <f>$K$1634*$Y$1634</f>
        <v>0</v>
      </c>
      <c r="AF1634" s="4">
        <f ca="1">$M$1634*$Z$1634</f>
        <v>174.57121311255938</v>
      </c>
      <c r="AG1634" s="4">
        <f>$O$1634*$AA$1634</f>
        <v>130.96019008043012</v>
      </c>
    </row>
    <row r="1635" spans="1:33" ht="11.25" customHeight="1" x14ac:dyDescent="0.25">
      <c r="A1635" s="3" t="s">
        <v>21</v>
      </c>
      <c r="B1635" s="3" t="s">
        <v>39</v>
      </c>
      <c r="C1635" s="3" t="s">
        <v>37</v>
      </c>
      <c r="D1635" s="3" t="s">
        <v>43</v>
      </c>
      <c r="E1635" s="3" t="s">
        <v>25</v>
      </c>
      <c r="F1635" s="3" t="s">
        <v>25</v>
      </c>
      <c r="G1635" s="3" t="s">
        <v>25</v>
      </c>
      <c r="H1635" s="3" t="s">
        <v>36</v>
      </c>
      <c r="I1635" s="6">
        <v>44562</v>
      </c>
      <c r="J1635" s="4">
        <v>0</v>
      </c>
      <c r="K1635" s="4">
        <v>0</v>
      </c>
      <c r="L1635" s="4">
        <v>178.86799999999999</v>
      </c>
      <c r="M1635" s="4">
        <v>178.86799999999999</v>
      </c>
      <c r="N1635" s="4">
        <v>178.86799999999999</v>
      </c>
      <c r="O1635" s="4">
        <v>178.86799999999999</v>
      </c>
      <c r="P1635" s="4">
        <v>0</v>
      </c>
      <c r="Q1635" s="3" t="s">
        <v>26</v>
      </c>
      <c r="R1635" s="3">
        <v>0</v>
      </c>
      <c r="S1635" s="4">
        <v>0</v>
      </c>
      <c r="T1635" s="4">
        <v>44</v>
      </c>
      <c r="U1635" s="4">
        <v>84</v>
      </c>
      <c r="V1635" s="4">
        <f>IF(ISERROR(VLOOKUP($S$1635,'TAR FIN'!$A$1:$O$99,15,0)),0,VLOOKUP($S$1635,'TAR FIN'!$A$1:$O$99,15,0))</f>
        <v>0</v>
      </c>
      <c r="W1635" s="4">
        <f>IF(ISERROR(VLOOKUP($T$1635,'TAR FIN'!$A$1:$O$99,15,0)),0,VLOOKUP($T$1635,'TAR FIN'!$A$1:$O$99,15,0))</f>
        <v>304.7</v>
      </c>
      <c r="X1635" s="4">
        <f>IF(ISERROR(VLOOKUP($U$1635,'TAR FIN'!$A$1:$O$99,15,0)),0,VLOOKUP($U$1635,'TAR FIN'!$A$1:$O$99,15,0))</f>
        <v>219.97</v>
      </c>
      <c r="Y1635" s="4"/>
      <c r="Z1635" s="4">
        <f ca="1">('TUSD BE'!$AM$58+'TUSD BF'!$AM$58+'TUSD CVA'!$AM$58)*1</f>
        <v>361.43108304877717</v>
      </c>
      <c r="AA1635" s="4">
        <f>('TE BE'!$AA$40+'TE BF'!$AA$40+'TE CVA'!$AA$40)*1</f>
        <v>271.13910989737087</v>
      </c>
      <c r="AB1635" s="4">
        <f>$K$1635*$V$1635</f>
        <v>0</v>
      </c>
      <c r="AC1635" s="4">
        <f>$M$1635*$W$1635</f>
        <v>54501.079599999997</v>
      </c>
      <c r="AD1635" s="4">
        <f>$O$1635*$X$1635</f>
        <v>39345.593959999998</v>
      </c>
      <c r="AE1635" s="4">
        <f>$K$1635*$Y$1635</f>
        <v>0</v>
      </c>
      <c r="AF1635" s="4">
        <f ca="1">$M$1635*$Z$1635</f>
        <v>64648.454962768672</v>
      </c>
      <c r="AG1635" s="4">
        <f>$O$1635*$AA$1635</f>
        <v>48498.110309122931</v>
      </c>
    </row>
    <row r="1636" spans="1:33" ht="11.25" customHeight="1" x14ac:dyDescent="0.25">
      <c r="A1636" s="3" t="s">
        <v>28</v>
      </c>
      <c r="B1636" s="3" t="s">
        <v>39</v>
      </c>
      <c r="C1636" s="3" t="s">
        <v>37</v>
      </c>
      <c r="D1636" s="3" t="s">
        <v>43</v>
      </c>
      <c r="E1636" s="3" t="s">
        <v>25</v>
      </c>
      <c r="F1636" s="3" t="s">
        <v>25</v>
      </c>
      <c r="G1636" s="3" t="s">
        <v>25</v>
      </c>
      <c r="H1636" s="3" t="s">
        <v>36</v>
      </c>
      <c r="I1636" s="6">
        <v>44562</v>
      </c>
      <c r="J1636" s="4">
        <v>0</v>
      </c>
      <c r="K1636" s="4">
        <v>0</v>
      </c>
      <c r="L1636" s="4">
        <v>0.16900000000000001</v>
      </c>
      <c r="M1636" s="4">
        <v>0.16900000000000001</v>
      </c>
      <c r="N1636" s="4">
        <v>0.16900000000000001</v>
      </c>
      <c r="O1636" s="4">
        <v>0.16900000000000001</v>
      </c>
      <c r="P1636" s="4">
        <v>0</v>
      </c>
      <c r="Q1636" s="3" t="s">
        <v>26</v>
      </c>
      <c r="R1636" s="3">
        <v>0</v>
      </c>
      <c r="S1636" s="4">
        <v>0</v>
      </c>
      <c r="T1636" s="4">
        <v>44</v>
      </c>
      <c r="U1636" s="4">
        <v>84</v>
      </c>
      <c r="V1636" s="4">
        <f>IF(ISERROR(VLOOKUP($S$1636,'TAR FIN'!$A$1:$O$99,15,0)),0,VLOOKUP($S$1636,'TAR FIN'!$A$1:$O$99,15,0))</f>
        <v>0</v>
      </c>
      <c r="W1636" s="4">
        <f>IF(ISERROR(VLOOKUP($T$1636,'TAR FIN'!$A$1:$O$99,15,0)),0,VLOOKUP($T$1636,'TAR FIN'!$A$1:$O$99,15,0))</f>
        <v>304.7</v>
      </c>
      <c r="X1636" s="4">
        <f>IF(ISERROR(VLOOKUP($U$1636,'TAR FIN'!$A$1:$O$99,15,0)),0,VLOOKUP($U$1636,'TAR FIN'!$A$1:$O$99,15,0))</f>
        <v>219.97</v>
      </c>
      <c r="Y1636" s="4"/>
      <c r="Z1636" s="4">
        <f ca="1">('TUSD BE'!$AM$58+'TUSD BF'!$AM$58+'TUSD CVA'!$AM$58)*1</f>
        <v>361.43108304877717</v>
      </c>
      <c r="AA1636" s="4">
        <f>('TE BE'!$AA$40+'TE BF'!$AA$40+'TE CVA'!$AA$40)*1</f>
        <v>271.13910989737087</v>
      </c>
      <c r="AB1636" s="4">
        <f>$K$1636*$V$1636</f>
        <v>0</v>
      </c>
      <c r="AC1636" s="4">
        <f>$M$1636*$W$1636</f>
        <v>51.494300000000003</v>
      </c>
      <c r="AD1636" s="4">
        <f>$O$1636*$X$1636</f>
        <v>37.174930000000003</v>
      </c>
      <c r="AE1636" s="4">
        <f>$K$1636*$Y$1636</f>
        <v>0</v>
      </c>
      <c r="AF1636" s="4">
        <f ca="1">$M$1636*$Z$1636</f>
        <v>61.081853035243348</v>
      </c>
      <c r="AG1636" s="4">
        <f>$O$1636*$AA$1636</f>
        <v>45.822509572655683</v>
      </c>
    </row>
    <row r="1637" spans="1:33" ht="11.25" customHeight="1" x14ac:dyDescent="0.25">
      <c r="A1637" s="3" t="s">
        <v>21</v>
      </c>
      <c r="B1637" s="3" t="s">
        <v>39</v>
      </c>
      <c r="C1637" s="3" t="s">
        <v>37</v>
      </c>
      <c r="D1637" s="3" t="s">
        <v>43</v>
      </c>
      <c r="E1637" s="3" t="s">
        <v>25</v>
      </c>
      <c r="F1637" s="3" t="s">
        <v>25</v>
      </c>
      <c r="G1637" s="3" t="s">
        <v>25</v>
      </c>
      <c r="H1637" s="3" t="s">
        <v>36</v>
      </c>
      <c r="I1637" s="6">
        <v>44593</v>
      </c>
      <c r="J1637" s="4">
        <v>0</v>
      </c>
      <c r="K1637" s="4">
        <v>0</v>
      </c>
      <c r="L1637" s="4">
        <v>143.70099999999999</v>
      </c>
      <c r="M1637" s="4">
        <v>143.70099999999999</v>
      </c>
      <c r="N1637" s="4">
        <v>143.70099999999999</v>
      </c>
      <c r="O1637" s="4">
        <v>143.70099999999999</v>
      </c>
      <c r="P1637" s="4">
        <v>0</v>
      </c>
      <c r="Q1637" s="3" t="s">
        <v>26</v>
      </c>
      <c r="R1637" s="3">
        <v>0</v>
      </c>
      <c r="S1637" s="4">
        <v>0</v>
      </c>
      <c r="T1637" s="4">
        <v>44</v>
      </c>
      <c r="U1637" s="4">
        <v>84</v>
      </c>
      <c r="V1637" s="4">
        <f>IF(ISERROR(VLOOKUP($S$1637,'TAR FIN'!$A$1:$O$99,15,0)),0,VLOOKUP($S$1637,'TAR FIN'!$A$1:$O$99,15,0))</f>
        <v>0</v>
      </c>
      <c r="W1637" s="4">
        <f>IF(ISERROR(VLOOKUP($T$1637,'TAR FIN'!$A$1:$O$99,15,0)),0,VLOOKUP($T$1637,'TAR FIN'!$A$1:$O$99,15,0))</f>
        <v>304.7</v>
      </c>
      <c r="X1637" s="4">
        <f>IF(ISERROR(VLOOKUP($U$1637,'TAR FIN'!$A$1:$O$99,15,0)),0,VLOOKUP($U$1637,'TAR FIN'!$A$1:$O$99,15,0))</f>
        <v>219.97</v>
      </c>
      <c r="Y1637" s="4"/>
      <c r="Z1637" s="4">
        <f ca="1">('TUSD BE'!$AM$58+'TUSD BF'!$AM$58+'TUSD CVA'!$AM$58)*1</f>
        <v>361.43108304877717</v>
      </c>
      <c r="AA1637" s="4">
        <f>('TE BE'!$AA$40+'TE BF'!$AA$40+'TE CVA'!$AA$40)*1</f>
        <v>271.13910989737087</v>
      </c>
      <c r="AB1637" s="4">
        <f>$K$1637*$V$1637</f>
        <v>0</v>
      </c>
      <c r="AC1637" s="4">
        <f>$M$1637*$W$1637</f>
        <v>43785.694699999993</v>
      </c>
      <c r="AD1637" s="4">
        <f>$O$1637*$X$1637</f>
        <v>31609.908969999997</v>
      </c>
      <c r="AE1637" s="4">
        <f>$K$1637*$Y$1637</f>
        <v>0</v>
      </c>
      <c r="AF1637" s="4">
        <f ca="1">$M$1637*$Z$1637</f>
        <v>51938.008065192327</v>
      </c>
      <c r="AG1637" s="4">
        <f>$O$1637*$AA$1637</f>
        <v>38962.961231362089</v>
      </c>
    </row>
    <row r="1638" spans="1:33" ht="11.25" customHeight="1" x14ac:dyDescent="0.25">
      <c r="A1638" s="3" t="s">
        <v>27</v>
      </c>
      <c r="B1638" s="3" t="s">
        <v>39</v>
      </c>
      <c r="C1638" s="3" t="s">
        <v>37</v>
      </c>
      <c r="D1638" s="3" t="s">
        <v>43</v>
      </c>
      <c r="E1638" s="3" t="s">
        <v>25</v>
      </c>
      <c r="F1638" s="3" t="s">
        <v>25</v>
      </c>
      <c r="G1638" s="3" t="s">
        <v>25</v>
      </c>
      <c r="H1638" s="3" t="s">
        <v>36</v>
      </c>
      <c r="I1638" s="6">
        <v>44593</v>
      </c>
      <c r="J1638" s="4">
        <v>0</v>
      </c>
      <c r="K1638" s="4">
        <v>0</v>
      </c>
      <c r="L1638" s="4">
        <v>-40.08</v>
      </c>
      <c r="M1638" s="4">
        <v>-40.08</v>
      </c>
      <c r="N1638" s="4">
        <v>-40.08</v>
      </c>
      <c r="O1638" s="4">
        <v>-40.08</v>
      </c>
      <c r="P1638" s="4">
        <v>0</v>
      </c>
      <c r="Q1638" s="3" t="s">
        <v>26</v>
      </c>
      <c r="R1638" s="3">
        <v>0</v>
      </c>
      <c r="S1638" s="4">
        <v>0</v>
      </c>
      <c r="T1638" s="4">
        <v>44</v>
      </c>
      <c r="U1638" s="4">
        <v>84</v>
      </c>
      <c r="V1638" s="4">
        <f>IF(ISERROR(VLOOKUP($S$1638,'TAR FIN'!$A$1:$O$99,15,0)),0,VLOOKUP($S$1638,'TAR FIN'!$A$1:$O$99,15,0))</f>
        <v>0</v>
      </c>
      <c r="W1638" s="4">
        <f>IF(ISERROR(VLOOKUP($T$1638,'TAR FIN'!$A$1:$O$99,15,0)),0,VLOOKUP($T$1638,'TAR FIN'!$A$1:$O$99,15,0))</f>
        <v>304.7</v>
      </c>
      <c r="X1638" s="4">
        <f>IF(ISERROR(VLOOKUP($U$1638,'TAR FIN'!$A$1:$O$99,15,0)),0,VLOOKUP($U$1638,'TAR FIN'!$A$1:$O$99,15,0))</f>
        <v>219.97</v>
      </c>
      <c r="Y1638" s="4"/>
      <c r="Z1638" s="4">
        <f ca="1">('TUSD BE'!$AM$58+'TUSD BF'!$AM$58+'TUSD CVA'!$AM$58)*1</f>
        <v>361.43108304877717</v>
      </c>
      <c r="AA1638" s="4">
        <f>('TE BE'!$AA$40+'TE BF'!$AA$40+'TE CVA'!$AA$40)*1</f>
        <v>271.13910989737087</v>
      </c>
      <c r="AB1638" s="4">
        <f>$K$1638*$V$1638</f>
        <v>0</v>
      </c>
      <c r="AC1638" s="4">
        <f>$M$1638*$W$1638</f>
        <v>-12212.375999999998</v>
      </c>
      <c r="AD1638" s="4">
        <f>$O$1638*$X$1638</f>
        <v>-8816.3976000000002</v>
      </c>
      <c r="AE1638" s="4">
        <f>$K$1638*$Y$1638</f>
        <v>0</v>
      </c>
      <c r="AF1638" s="4">
        <f ca="1">$M$1638*$Z$1638</f>
        <v>-14486.157808594988</v>
      </c>
      <c r="AG1638" s="4">
        <f>$O$1638*$AA$1638</f>
        <v>-10867.255524686625</v>
      </c>
    </row>
    <row r="1639" spans="1:33" ht="11.25" customHeight="1" x14ac:dyDescent="0.25">
      <c r="A1639" s="3" t="s">
        <v>28</v>
      </c>
      <c r="B1639" s="3" t="s">
        <v>39</v>
      </c>
      <c r="C1639" s="3" t="s">
        <v>37</v>
      </c>
      <c r="D1639" s="3" t="s">
        <v>43</v>
      </c>
      <c r="E1639" s="3" t="s">
        <v>25</v>
      </c>
      <c r="F1639" s="3" t="s">
        <v>25</v>
      </c>
      <c r="G1639" s="3" t="s">
        <v>25</v>
      </c>
      <c r="H1639" s="3" t="s">
        <v>36</v>
      </c>
      <c r="I1639" s="6">
        <v>44593</v>
      </c>
      <c r="J1639" s="4">
        <v>0</v>
      </c>
      <c r="K1639" s="4">
        <v>0</v>
      </c>
      <c r="L1639" s="4">
        <v>0.13700000000000001</v>
      </c>
      <c r="M1639" s="4">
        <v>0.13700000000000001</v>
      </c>
      <c r="N1639" s="4">
        <v>0.13700000000000001</v>
      </c>
      <c r="O1639" s="4">
        <v>0.13700000000000001</v>
      </c>
      <c r="P1639" s="4">
        <v>0</v>
      </c>
      <c r="Q1639" s="3" t="s">
        <v>26</v>
      </c>
      <c r="R1639" s="3">
        <v>0</v>
      </c>
      <c r="S1639" s="4">
        <v>0</v>
      </c>
      <c r="T1639" s="4">
        <v>44</v>
      </c>
      <c r="U1639" s="4">
        <v>84</v>
      </c>
      <c r="V1639" s="4">
        <f>IF(ISERROR(VLOOKUP($S$1639,'TAR FIN'!$A$1:$O$99,15,0)),0,VLOOKUP($S$1639,'TAR FIN'!$A$1:$O$99,15,0))</f>
        <v>0</v>
      </c>
      <c r="W1639" s="4">
        <f>IF(ISERROR(VLOOKUP($T$1639,'TAR FIN'!$A$1:$O$99,15,0)),0,VLOOKUP($T$1639,'TAR FIN'!$A$1:$O$99,15,0))</f>
        <v>304.7</v>
      </c>
      <c r="X1639" s="4">
        <f>IF(ISERROR(VLOOKUP($U$1639,'TAR FIN'!$A$1:$O$99,15,0)),0,VLOOKUP($U$1639,'TAR FIN'!$A$1:$O$99,15,0))</f>
        <v>219.97</v>
      </c>
      <c r="Y1639" s="4"/>
      <c r="Z1639" s="4">
        <f ca="1">('TUSD BE'!$AM$58+'TUSD BF'!$AM$58+'TUSD CVA'!$AM$58)*1</f>
        <v>361.43108304877717</v>
      </c>
      <c r="AA1639" s="4">
        <f>('TE BE'!$AA$40+'TE BF'!$AA$40+'TE CVA'!$AA$40)*1</f>
        <v>271.13910989737087</v>
      </c>
      <c r="AB1639" s="4">
        <f>$K$1639*$V$1639</f>
        <v>0</v>
      </c>
      <c r="AC1639" s="4">
        <f>$M$1639*$W$1639</f>
        <v>41.743900000000004</v>
      </c>
      <c r="AD1639" s="4">
        <f>$O$1639*$X$1639</f>
        <v>30.135890000000003</v>
      </c>
      <c r="AE1639" s="4">
        <f>$K$1639*$Y$1639</f>
        <v>0</v>
      </c>
      <c r="AF1639" s="4">
        <f ca="1">$M$1639*$Z$1639</f>
        <v>49.516058377682477</v>
      </c>
      <c r="AG1639" s="4">
        <f>$O$1639*$AA$1639</f>
        <v>37.146058055939811</v>
      </c>
    </row>
    <row r="1640" spans="1:33" ht="11.25" customHeight="1" x14ac:dyDescent="0.25">
      <c r="A1640" s="3" t="s">
        <v>21</v>
      </c>
      <c r="B1640" s="3" t="s">
        <v>39</v>
      </c>
      <c r="C1640" s="3" t="s">
        <v>37</v>
      </c>
      <c r="D1640" s="3" t="s">
        <v>43</v>
      </c>
      <c r="E1640" s="3" t="s">
        <v>25</v>
      </c>
      <c r="F1640" s="3" t="s">
        <v>25</v>
      </c>
      <c r="G1640" s="3" t="s">
        <v>25</v>
      </c>
      <c r="H1640" s="3" t="s">
        <v>36</v>
      </c>
      <c r="I1640" s="6">
        <v>44621</v>
      </c>
      <c r="J1640" s="4">
        <v>0</v>
      </c>
      <c r="K1640" s="4">
        <v>0</v>
      </c>
      <c r="L1640" s="4">
        <v>149.50800000000001</v>
      </c>
      <c r="M1640" s="4">
        <v>149.50800000000001</v>
      </c>
      <c r="N1640" s="4">
        <v>149.50800000000001</v>
      </c>
      <c r="O1640" s="4">
        <v>149.50800000000001</v>
      </c>
      <c r="P1640" s="4">
        <v>0</v>
      </c>
      <c r="Q1640" s="3" t="s">
        <v>26</v>
      </c>
      <c r="R1640" s="3">
        <v>0</v>
      </c>
      <c r="S1640" s="4">
        <v>0</v>
      </c>
      <c r="T1640" s="4">
        <v>44</v>
      </c>
      <c r="U1640" s="4">
        <v>84</v>
      </c>
      <c r="V1640" s="4">
        <f>IF(ISERROR(VLOOKUP($S$1640,'TAR FIN'!$A$1:$O$99,15,0)),0,VLOOKUP($S$1640,'TAR FIN'!$A$1:$O$99,15,0))</f>
        <v>0</v>
      </c>
      <c r="W1640" s="4">
        <f>IF(ISERROR(VLOOKUP($T$1640,'TAR FIN'!$A$1:$O$99,15,0)),0,VLOOKUP($T$1640,'TAR FIN'!$A$1:$O$99,15,0))</f>
        <v>304.7</v>
      </c>
      <c r="X1640" s="4">
        <f>IF(ISERROR(VLOOKUP($U$1640,'TAR FIN'!$A$1:$O$99,15,0)),0,VLOOKUP($U$1640,'TAR FIN'!$A$1:$O$99,15,0))</f>
        <v>219.97</v>
      </c>
      <c r="Y1640" s="4"/>
      <c r="Z1640" s="4">
        <f ca="1">('TUSD BE'!$AM$58+'TUSD BF'!$AM$58+'TUSD CVA'!$AM$58)*1</f>
        <v>361.43108304877717</v>
      </c>
      <c r="AA1640" s="4">
        <f>('TE BE'!$AA$40+'TE BF'!$AA$40+'TE CVA'!$AA$40)*1</f>
        <v>271.13910989737087</v>
      </c>
      <c r="AB1640" s="4">
        <f>$K$1640*$V$1640</f>
        <v>0</v>
      </c>
      <c r="AC1640" s="4">
        <f>$M$1640*$W$1640</f>
        <v>45555.087599999999</v>
      </c>
      <c r="AD1640" s="4">
        <f>$O$1640*$X$1640</f>
        <v>32887.27476</v>
      </c>
      <c r="AE1640" s="4">
        <f>$K$1640*$Y$1640</f>
        <v>0</v>
      </c>
      <c r="AF1640" s="4">
        <f ca="1">$M$1640*$Z$1640</f>
        <v>54036.838364456584</v>
      </c>
      <c r="AG1640" s="4">
        <f>$O$1640*$AA$1640</f>
        <v>40537.466042536129</v>
      </c>
    </row>
    <row r="1641" spans="1:33" ht="11.25" customHeight="1" x14ac:dyDescent="0.25">
      <c r="A1641" s="3" t="s">
        <v>28</v>
      </c>
      <c r="B1641" s="3" t="s">
        <v>39</v>
      </c>
      <c r="C1641" s="3" t="s">
        <v>37</v>
      </c>
      <c r="D1641" s="3" t="s">
        <v>43</v>
      </c>
      <c r="E1641" s="3" t="s">
        <v>25</v>
      </c>
      <c r="F1641" s="3" t="s">
        <v>25</v>
      </c>
      <c r="G1641" s="3" t="s">
        <v>25</v>
      </c>
      <c r="H1641" s="3" t="s">
        <v>36</v>
      </c>
      <c r="I1641" s="6">
        <v>44621</v>
      </c>
      <c r="J1641" s="4">
        <v>0</v>
      </c>
      <c r="K1641" s="4">
        <v>0</v>
      </c>
      <c r="L1641" s="4">
        <v>0.14799999999999999</v>
      </c>
      <c r="M1641" s="4">
        <v>0.14799999999999999</v>
      </c>
      <c r="N1641" s="4">
        <v>0.14799999999999999</v>
      </c>
      <c r="O1641" s="4">
        <v>0.14799999999999999</v>
      </c>
      <c r="P1641" s="4">
        <v>0</v>
      </c>
      <c r="Q1641" s="3" t="s">
        <v>26</v>
      </c>
      <c r="R1641" s="3">
        <v>0</v>
      </c>
      <c r="S1641" s="4">
        <v>0</v>
      </c>
      <c r="T1641" s="4">
        <v>44</v>
      </c>
      <c r="U1641" s="4">
        <v>84</v>
      </c>
      <c r="V1641" s="4">
        <f>IF(ISERROR(VLOOKUP($S$1641,'TAR FIN'!$A$1:$O$99,15,0)),0,VLOOKUP($S$1641,'TAR FIN'!$A$1:$O$99,15,0))</f>
        <v>0</v>
      </c>
      <c r="W1641" s="4">
        <f>IF(ISERROR(VLOOKUP($T$1641,'TAR FIN'!$A$1:$O$99,15,0)),0,VLOOKUP($T$1641,'TAR FIN'!$A$1:$O$99,15,0))</f>
        <v>304.7</v>
      </c>
      <c r="X1641" s="4">
        <f>IF(ISERROR(VLOOKUP($U$1641,'TAR FIN'!$A$1:$O$99,15,0)),0,VLOOKUP($U$1641,'TAR FIN'!$A$1:$O$99,15,0))</f>
        <v>219.97</v>
      </c>
      <c r="Y1641" s="4"/>
      <c r="Z1641" s="4">
        <f ca="1">('TUSD BE'!$AM$58+'TUSD BF'!$AM$58+'TUSD CVA'!$AM$58)*1</f>
        <v>361.43108304877717</v>
      </c>
      <c r="AA1641" s="4">
        <f>('TE BE'!$AA$40+'TE BF'!$AA$40+'TE CVA'!$AA$40)*1</f>
        <v>271.13910989737087</v>
      </c>
      <c r="AB1641" s="4">
        <f>$K$1641*$V$1641</f>
        <v>0</v>
      </c>
      <c r="AC1641" s="4">
        <f>$M$1641*$W$1641</f>
        <v>45.095599999999997</v>
      </c>
      <c r="AD1641" s="4">
        <f>$O$1641*$X$1641</f>
        <v>32.55556</v>
      </c>
      <c r="AE1641" s="4">
        <f>$K$1641*$Y$1641</f>
        <v>0</v>
      </c>
      <c r="AF1641" s="4">
        <f ca="1">$M$1641*$Z$1641</f>
        <v>53.491800291219015</v>
      </c>
      <c r="AG1641" s="4">
        <f>$O$1641*$AA$1641</f>
        <v>40.128588264810887</v>
      </c>
    </row>
    <row r="1642" spans="1:33" ht="11.25" customHeight="1" x14ac:dyDescent="0.25">
      <c r="A1642" s="3" t="s">
        <v>56</v>
      </c>
      <c r="B1642" s="3" t="s">
        <v>39</v>
      </c>
      <c r="C1642" s="3" t="s">
        <v>37</v>
      </c>
      <c r="D1642" s="3" t="s">
        <v>43</v>
      </c>
      <c r="E1642" s="3" t="s">
        <v>25</v>
      </c>
      <c r="F1642" s="3" t="s">
        <v>25</v>
      </c>
      <c r="G1642" s="3" t="s">
        <v>25</v>
      </c>
      <c r="H1642" s="3" t="s">
        <v>36</v>
      </c>
      <c r="I1642" s="6">
        <v>44652</v>
      </c>
      <c r="J1642" s="4">
        <v>0</v>
      </c>
      <c r="K1642" s="4">
        <v>0</v>
      </c>
      <c r="L1642" s="4">
        <v>149.50800000000001</v>
      </c>
      <c r="M1642" s="4">
        <v>149.50800000000001</v>
      </c>
      <c r="N1642" s="4">
        <v>149.50800000000001</v>
      </c>
      <c r="O1642" s="4">
        <v>149.50800000000001</v>
      </c>
      <c r="P1642" s="4">
        <v>0</v>
      </c>
      <c r="Q1642" s="3" t="s">
        <v>26</v>
      </c>
      <c r="R1642" s="3">
        <v>0</v>
      </c>
      <c r="S1642" s="4">
        <v>0</v>
      </c>
      <c r="T1642" s="4">
        <v>44</v>
      </c>
      <c r="U1642" s="4">
        <v>84</v>
      </c>
      <c r="V1642" s="4">
        <f>IF(ISERROR(VLOOKUP($S$1642,'TAR FIN'!$A$1:$O$99,15,0)),0,VLOOKUP($S$1642,'TAR FIN'!$A$1:$O$99,15,0))</f>
        <v>0</v>
      </c>
      <c r="W1642" s="4">
        <f>IF(ISERROR(VLOOKUP($T$1642,'TAR FIN'!$A$1:$O$99,15,0)),0,VLOOKUP($T$1642,'TAR FIN'!$A$1:$O$99,15,0))</f>
        <v>304.7</v>
      </c>
      <c r="X1642" s="4">
        <f>IF(ISERROR(VLOOKUP($U$1642,'TAR FIN'!$A$1:$O$99,15,0)),0,VLOOKUP($U$1642,'TAR FIN'!$A$1:$O$99,15,0))</f>
        <v>219.97</v>
      </c>
      <c r="Y1642" s="4"/>
      <c r="Z1642" s="4">
        <f ca="1">('TUSD BE'!$AM$58+'TUSD BF'!$AM$58+'TUSD CVA'!$AM$58)*1</f>
        <v>361.43108304877717</v>
      </c>
      <c r="AA1642" s="4">
        <f>('TE BE'!$AA$40+'TE BF'!$AA$40+'TE CVA'!$AA$40)*1</f>
        <v>271.13910989737087</v>
      </c>
      <c r="AB1642" s="4">
        <f>$K$1642*$V$1642</f>
        <v>0</v>
      </c>
      <c r="AC1642" s="4">
        <f>$M$1642*$W$1642</f>
        <v>45555.087599999999</v>
      </c>
      <c r="AD1642" s="4">
        <f>$O$1642*$X$1642</f>
        <v>32887.27476</v>
      </c>
      <c r="AE1642" s="4">
        <f>$K$1642*$Y$1642</f>
        <v>0</v>
      </c>
      <c r="AF1642" s="4">
        <f ca="1">$M$1642*$Z$1642</f>
        <v>54036.838364456584</v>
      </c>
      <c r="AG1642" s="4">
        <f>$O$1642*$AA$1642</f>
        <v>40537.466042536129</v>
      </c>
    </row>
    <row r="1643" spans="1:33" ht="11.25" customHeight="1" x14ac:dyDescent="0.25">
      <c r="A1643" s="3" t="s">
        <v>56</v>
      </c>
      <c r="B1643" s="3" t="s">
        <v>39</v>
      </c>
      <c r="C1643" s="3" t="s">
        <v>37</v>
      </c>
      <c r="D1643" s="3" t="s">
        <v>43</v>
      </c>
      <c r="E1643" s="3" t="s">
        <v>25</v>
      </c>
      <c r="F1643" s="3" t="s">
        <v>25</v>
      </c>
      <c r="G1643" s="3" t="s">
        <v>25</v>
      </c>
      <c r="H1643" s="3" t="s">
        <v>36</v>
      </c>
      <c r="I1643" s="6">
        <v>44652</v>
      </c>
      <c r="J1643" s="4">
        <v>0</v>
      </c>
      <c r="K1643" s="4">
        <v>0</v>
      </c>
      <c r="L1643" s="4">
        <v>0.14799999999999999</v>
      </c>
      <c r="M1643" s="4">
        <v>0.14799999999999999</v>
      </c>
      <c r="N1643" s="4">
        <v>0.14799999999999999</v>
      </c>
      <c r="O1643" s="4">
        <v>0.14799999999999999</v>
      </c>
      <c r="P1643" s="4">
        <v>0</v>
      </c>
      <c r="Q1643" s="3" t="s">
        <v>26</v>
      </c>
      <c r="R1643" s="3">
        <v>0</v>
      </c>
      <c r="S1643" s="4">
        <v>0</v>
      </c>
      <c r="T1643" s="4">
        <v>44</v>
      </c>
      <c r="U1643" s="4">
        <v>84</v>
      </c>
      <c r="V1643" s="4">
        <f>IF(ISERROR(VLOOKUP($S$1643,'TAR FIN'!$A$1:$O$99,15,0)),0,VLOOKUP($S$1643,'TAR FIN'!$A$1:$O$99,15,0))</f>
        <v>0</v>
      </c>
      <c r="W1643" s="4">
        <f>IF(ISERROR(VLOOKUP($T$1643,'TAR FIN'!$A$1:$O$99,15,0)),0,VLOOKUP($T$1643,'TAR FIN'!$A$1:$O$99,15,0))</f>
        <v>304.7</v>
      </c>
      <c r="X1643" s="4">
        <f>IF(ISERROR(VLOOKUP($U$1643,'TAR FIN'!$A$1:$O$99,15,0)),0,VLOOKUP($U$1643,'TAR FIN'!$A$1:$O$99,15,0))</f>
        <v>219.97</v>
      </c>
      <c r="Y1643" s="4"/>
      <c r="Z1643" s="4">
        <f ca="1">('TUSD BE'!$AM$58+'TUSD BF'!$AM$58+'TUSD CVA'!$AM$58)*1</f>
        <v>361.43108304877717</v>
      </c>
      <c r="AA1643" s="4">
        <f>('TE BE'!$AA$40+'TE BF'!$AA$40+'TE CVA'!$AA$40)*1</f>
        <v>271.13910989737087</v>
      </c>
      <c r="AB1643" s="4">
        <f>$K$1643*$V$1643</f>
        <v>0</v>
      </c>
      <c r="AC1643" s="4">
        <f>$M$1643*$W$1643</f>
        <v>45.095599999999997</v>
      </c>
      <c r="AD1643" s="4">
        <f>$O$1643*$X$1643</f>
        <v>32.55556</v>
      </c>
      <c r="AE1643" s="4">
        <f>$K$1643*$Y$1643</f>
        <v>0</v>
      </c>
      <c r="AF1643" s="4">
        <f ca="1">$M$1643*$Z$1643</f>
        <v>53.491800291219015</v>
      </c>
      <c r="AG1643" s="4">
        <f>$O$1643*$AA$1643</f>
        <v>40.128588264810887</v>
      </c>
    </row>
    <row r="1644" spans="1:33" ht="11.25" customHeight="1" x14ac:dyDescent="0.25">
      <c r="A1644" s="3" t="s">
        <v>21</v>
      </c>
      <c r="B1644" s="3" t="s">
        <v>39</v>
      </c>
      <c r="C1644" s="3" t="s">
        <v>37</v>
      </c>
      <c r="D1644" s="3" t="s">
        <v>43</v>
      </c>
      <c r="E1644" s="3" t="s">
        <v>25</v>
      </c>
      <c r="F1644" s="3" t="s">
        <v>25</v>
      </c>
      <c r="G1644" s="3" t="s">
        <v>25</v>
      </c>
      <c r="H1644" s="3" t="s">
        <v>38</v>
      </c>
      <c r="I1644" s="6">
        <v>44317</v>
      </c>
      <c r="J1644" s="4">
        <v>0</v>
      </c>
      <c r="K1644" s="4">
        <v>0</v>
      </c>
      <c r="L1644" s="4">
        <v>9.5060000000000002</v>
      </c>
      <c r="M1644" s="4">
        <v>9.5060000000000002</v>
      </c>
      <c r="N1644" s="4">
        <v>9.5060000000000002</v>
      </c>
      <c r="O1644" s="4">
        <v>9.5060000000000002</v>
      </c>
      <c r="P1644" s="4">
        <v>0</v>
      </c>
      <c r="Q1644" s="3" t="s">
        <v>26</v>
      </c>
      <c r="R1644" s="3">
        <v>0</v>
      </c>
      <c r="S1644" s="4">
        <v>0</v>
      </c>
      <c r="T1644" s="4">
        <v>43</v>
      </c>
      <c r="U1644" s="4">
        <v>83</v>
      </c>
      <c r="V1644" s="4">
        <f>IF(ISERROR(VLOOKUP($S$1644,'TAR FIN'!$A$1:$O$99,15,0)),0,VLOOKUP($S$1644,'TAR FIN'!$A$1:$O$99,15,0))</f>
        <v>0</v>
      </c>
      <c r="W1644" s="4">
        <f>IF(ISERROR(VLOOKUP($T$1644,'TAR FIN'!$A$1:$O$99,15,0)),0,VLOOKUP($T$1644,'TAR FIN'!$A$1:$O$99,15,0))</f>
        <v>657.51</v>
      </c>
      <c r="X1644" s="4">
        <f>IF(ISERROR(VLOOKUP($U$1644,'TAR FIN'!$A$1:$O$99,15,0)),0,VLOOKUP($U$1644,'TAR FIN'!$A$1:$O$99,15,0))</f>
        <v>219.97</v>
      </c>
      <c r="Y1644" s="4"/>
      <c r="Z1644" s="4">
        <f ca="1">('TUSD BE'!$AM$57+'TUSD BF'!$AM$57+'TUSD CVA'!$AM$57)*1</f>
        <v>769.81008209782362</v>
      </c>
      <c r="AA1644" s="4">
        <f>('TE BE'!$AA$39+'TE BF'!$AA$39+'TE CVA'!$AA$39)*1</f>
        <v>271.13910989737087</v>
      </c>
      <c r="AB1644" s="4">
        <f>$K$1644*$V$1644</f>
        <v>0</v>
      </c>
      <c r="AC1644" s="4">
        <f>$M$1644*$W$1644</f>
        <v>6250.2900600000003</v>
      </c>
      <c r="AD1644" s="4">
        <f>$O$1644*$X$1644</f>
        <v>2091.0348199999999</v>
      </c>
      <c r="AE1644" s="4">
        <f>$K$1644*$Y$1644</f>
        <v>0</v>
      </c>
      <c r="AF1644" s="4">
        <f ca="1">$M$1644*$Z$1644</f>
        <v>7317.8146404219115</v>
      </c>
      <c r="AG1644" s="4">
        <f>$O$1644*$AA$1644</f>
        <v>2577.4483786844075</v>
      </c>
    </row>
    <row r="1645" spans="1:33" ht="11.25" customHeight="1" x14ac:dyDescent="0.25">
      <c r="A1645" s="3" t="s">
        <v>27</v>
      </c>
      <c r="B1645" s="3" t="s">
        <v>39</v>
      </c>
      <c r="C1645" s="3" t="s">
        <v>37</v>
      </c>
      <c r="D1645" s="3" t="s">
        <v>43</v>
      </c>
      <c r="E1645" s="3" t="s">
        <v>25</v>
      </c>
      <c r="F1645" s="3" t="s">
        <v>25</v>
      </c>
      <c r="G1645" s="3" t="s">
        <v>25</v>
      </c>
      <c r="H1645" s="3" t="s">
        <v>38</v>
      </c>
      <c r="I1645" s="6">
        <v>44317</v>
      </c>
      <c r="J1645" s="4">
        <v>0</v>
      </c>
      <c r="K1645" s="4">
        <v>0</v>
      </c>
      <c r="L1645" s="4">
        <v>0.85599999999999998</v>
      </c>
      <c r="M1645" s="4">
        <v>0.85599999999999998</v>
      </c>
      <c r="N1645" s="4">
        <v>0.85599999999999998</v>
      </c>
      <c r="O1645" s="4">
        <v>0.85599999999999998</v>
      </c>
      <c r="P1645" s="4">
        <v>0</v>
      </c>
      <c r="Q1645" s="3" t="s">
        <v>26</v>
      </c>
      <c r="R1645" s="3">
        <v>0</v>
      </c>
      <c r="S1645" s="4">
        <v>0</v>
      </c>
      <c r="T1645" s="4">
        <v>43</v>
      </c>
      <c r="U1645" s="4">
        <v>83</v>
      </c>
      <c r="V1645" s="4">
        <f>IF(ISERROR(VLOOKUP($S$1645,'TAR FIN'!$A$1:$O$99,15,0)),0,VLOOKUP($S$1645,'TAR FIN'!$A$1:$O$99,15,0))</f>
        <v>0</v>
      </c>
      <c r="W1645" s="4">
        <f>IF(ISERROR(VLOOKUP($T$1645,'TAR FIN'!$A$1:$O$99,15,0)),0,VLOOKUP($T$1645,'TAR FIN'!$A$1:$O$99,15,0))</f>
        <v>657.51</v>
      </c>
      <c r="X1645" s="4">
        <f>IF(ISERROR(VLOOKUP($U$1645,'TAR FIN'!$A$1:$O$99,15,0)),0,VLOOKUP($U$1645,'TAR FIN'!$A$1:$O$99,15,0))</f>
        <v>219.97</v>
      </c>
      <c r="Y1645" s="4"/>
      <c r="Z1645" s="4">
        <f ca="1">('TUSD BE'!$AM$57+'TUSD BF'!$AM$57+'TUSD CVA'!$AM$57)*1</f>
        <v>769.81008209782362</v>
      </c>
      <c r="AA1645" s="4">
        <f>('TE BE'!$AA$39+'TE BF'!$AA$39+'TE CVA'!$AA$39)*1</f>
        <v>271.13910989737087</v>
      </c>
      <c r="AB1645" s="4">
        <f>$K$1645*$V$1645</f>
        <v>0</v>
      </c>
      <c r="AC1645" s="4">
        <f>$M$1645*$W$1645</f>
        <v>562.82855999999992</v>
      </c>
      <c r="AD1645" s="4">
        <f>$O$1645*$X$1645</f>
        <v>188.29432</v>
      </c>
      <c r="AE1645" s="4">
        <f>$K$1645*$Y$1645</f>
        <v>0</v>
      </c>
      <c r="AF1645" s="4">
        <f ca="1">$M$1645*$Z$1645</f>
        <v>658.95743027573701</v>
      </c>
      <c r="AG1645" s="4">
        <f>$O$1645*$AA$1645</f>
        <v>232.09507807214945</v>
      </c>
    </row>
    <row r="1646" spans="1:33" ht="11.25" customHeight="1" x14ac:dyDescent="0.25">
      <c r="A1646" s="3" t="s">
        <v>28</v>
      </c>
      <c r="B1646" s="3" t="s">
        <v>39</v>
      </c>
      <c r="C1646" s="3" t="s">
        <v>37</v>
      </c>
      <c r="D1646" s="3" t="s">
        <v>43</v>
      </c>
      <c r="E1646" s="3" t="s">
        <v>25</v>
      </c>
      <c r="F1646" s="3" t="s">
        <v>25</v>
      </c>
      <c r="G1646" s="3" t="s">
        <v>25</v>
      </c>
      <c r="H1646" s="3" t="s">
        <v>38</v>
      </c>
      <c r="I1646" s="6">
        <v>44317</v>
      </c>
      <c r="J1646" s="4">
        <v>0</v>
      </c>
      <c r="K1646" s="4">
        <v>0</v>
      </c>
      <c r="L1646" s="4">
        <v>2.3E-2</v>
      </c>
      <c r="M1646" s="4">
        <v>2.3E-2</v>
      </c>
      <c r="N1646" s="4">
        <v>2.3E-2</v>
      </c>
      <c r="O1646" s="4">
        <v>2.3E-2</v>
      </c>
      <c r="P1646" s="4">
        <v>0</v>
      </c>
      <c r="Q1646" s="3" t="s">
        <v>26</v>
      </c>
      <c r="R1646" s="3">
        <v>0</v>
      </c>
      <c r="S1646" s="4">
        <v>0</v>
      </c>
      <c r="T1646" s="4">
        <v>43</v>
      </c>
      <c r="U1646" s="4">
        <v>83</v>
      </c>
      <c r="V1646" s="4">
        <f>IF(ISERROR(VLOOKUP($S$1646,'TAR FIN'!$A$1:$O$99,15,0)),0,VLOOKUP($S$1646,'TAR FIN'!$A$1:$O$99,15,0))</f>
        <v>0</v>
      </c>
      <c r="W1646" s="4">
        <f>IF(ISERROR(VLOOKUP($T$1646,'TAR FIN'!$A$1:$O$99,15,0)),0,VLOOKUP($T$1646,'TAR FIN'!$A$1:$O$99,15,0))</f>
        <v>657.51</v>
      </c>
      <c r="X1646" s="4">
        <f>IF(ISERROR(VLOOKUP($U$1646,'TAR FIN'!$A$1:$O$99,15,0)),0,VLOOKUP($U$1646,'TAR FIN'!$A$1:$O$99,15,0))</f>
        <v>219.97</v>
      </c>
      <c r="Y1646" s="4"/>
      <c r="Z1646" s="4">
        <f ca="1">('TUSD BE'!$AM$57+'TUSD BF'!$AM$57+'TUSD CVA'!$AM$57)*1</f>
        <v>769.81008209782362</v>
      </c>
      <c r="AA1646" s="4">
        <f>('TE BE'!$AA$39+'TE BF'!$AA$39+'TE CVA'!$AA$39)*1</f>
        <v>271.13910989737087</v>
      </c>
      <c r="AB1646" s="4">
        <f>$K$1646*$V$1646</f>
        <v>0</v>
      </c>
      <c r="AC1646" s="4">
        <f>$M$1646*$W$1646</f>
        <v>15.122729999999999</v>
      </c>
      <c r="AD1646" s="4">
        <f>$O$1646*$X$1646</f>
        <v>5.05931</v>
      </c>
      <c r="AE1646" s="4">
        <f>$K$1646*$Y$1646</f>
        <v>0</v>
      </c>
      <c r="AF1646" s="4">
        <f ca="1">$M$1646*$Z$1646</f>
        <v>17.705631888249943</v>
      </c>
      <c r="AG1646" s="4">
        <f>$O$1646*$AA$1646</f>
        <v>6.2361995276395303</v>
      </c>
    </row>
    <row r="1647" spans="1:33" ht="11.25" customHeight="1" x14ac:dyDescent="0.25">
      <c r="A1647" s="3" t="s">
        <v>21</v>
      </c>
      <c r="B1647" s="3" t="s">
        <v>39</v>
      </c>
      <c r="C1647" s="3" t="s">
        <v>37</v>
      </c>
      <c r="D1647" s="3" t="s">
        <v>43</v>
      </c>
      <c r="E1647" s="3" t="s">
        <v>25</v>
      </c>
      <c r="F1647" s="3" t="s">
        <v>25</v>
      </c>
      <c r="G1647" s="3" t="s">
        <v>25</v>
      </c>
      <c r="H1647" s="3" t="s">
        <v>38</v>
      </c>
      <c r="I1647" s="6">
        <v>44348</v>
      </c>
      <c r="J1647" s="4">
        <v>0</v>
      </c>
      <c r="K1647" s="4">
        <v>0</v>
      </c>
      <c r="L1647" s="4">
        <v>8.7210000000000001</v>
      </c>
      <c r="M1647" s="4">
        <v>8.7210000000000001</v>
      </c>
      <c r="N1647" s="4">
        <v>8.7210000000000001</v>
      </c>
      <c r="O1647" s="4">
        <v>8.7210000000000001</v>
      </c>
      <c r="P1647" s="4">
        <v>0</v>
      </c>
      <c r="Q1647" s="3" t="s">
        <v>26</v>
      </c>
      <c r="R1647" s="3">
        <v>0</v>
      </c>
      <c r="S1647" s="4">
        <v>0</v>
      </c>
      <c r="T1647" s="4">
        <v>43</v>
      </c>
      <c r="U1647" s="4">
        <v>83</v>
      </c>
      <c r="V1647" s="4">
        <f>IF(ISERROR(VLOOKUP($S$1647,'TAR FIN'!$A$1:$O$99,15,0)),0,VLOOKUP($S$1647,'TAR FIN'!$A$1:$O$99,15,0))</f>
        <v>0</v>
      </c>
      <c r="W1647" s="4">
        <f>IF(ISERROR(VLOOKUP($T$1647,'TAR FIN'!$A$1:$O$99,15,0)),0,VLOOKUP($T$1647,'TAR FIN'!$A$1:$O$99,15,0))</f>
        <v>657.51</v>
      </c>
      <c r="X1647" s="4">
        <f>IF(ISERROR(VLOOKUP($U$1647,'TAR FIN'!$A$1:$O$99,15,0)),0,VLOOKUP($U$1647,'TAR FIN'!$A$1:$O$99,15,0))</f>
        <v>219.97</v>
      </c>
      <c r="Y1647" s="4"/>
      <c r="Z1647" s="4">
        <f ca="1">('TUSD BE'!$AM$57+'TUSD BF'!$AM$57+'TUSD CVA'!$AM$57)*1</f>
        <v>769.81008209782362</v>
      </c>
      <c r="AA1647" s="4">
        <f>('TE BE'!$AA$39+'TE BF'!$AA$39+'TE CVA'!$AA$39)*1</f>
        <v>271.13910989737087</v>
      </c>
      <c r="AB1647" s="4">
        <f>$K$1647*$V$1647</f>
        <v>0</v>
      </c>
      <c r="AC1647" s="4">
        <f>$M$1647*$W$1647</f>
        <v>5734.1447099999996</v>
      </c>
      <c r="AD1647" s="4">
        <f>$O$1647*$X$1647</f>
        <v>1918.3583699999999</v>
      </c>
      <c r="AE1647" s="4">
        <f>$K$1647*$Y$1647</f>
        <v>0</v>
      </c>
      <c r="AF1647" s="4">
        <f ca="1">$M$1647*$Z$1647</f>
        <v>6713.51372597512</v>
      </c>
      <c r="AG1647" s="4">
        <f>$O$1647*$AA$1647</f>
        <v>2364.6041774149712</v>
      </c>
    </row>
    <row r="1648" spans="1:33" ht="11.25" customHeight="1" x14ac:dyDescent="0.25">
      <c r="A1648" s="3" t="s">
        <v>27</v>
      </c>
      <c r="B1648" s="3" t="s">
        <v>39</v>
      </c>
      <c r="C1648" s="3" t="s">
        <v>37</v>
      </c>
      <c r="D1648" s="3" t="s">
        <v>43</v>
      </c>
      <c r="E1648" s="3" t="s">
        <v>25</v>
      </c>
      <c r="F1648" s="3" t="s">
        <v>25</v>
      </c>
      <c r="G1648" s="3" t="s">
        <v>25</v>
      </c>
      <c r="H1648" s="3" t="s">
        <v>38</v>
      </c>
      <c r="I1648" s="6">
        <v>44348</v>
      </c>
      <c r="J1648" s="4">
        <v>0</v>
      </c>
      <c r="K1648" s="4">
        <v>0</v>
      </c>
      <c r="L1648" s="4">
        <v>-0.25900000000000001</v>
      </c>
      <c r="M1648" s="4">
        <v>-0.25900000000000001</v>
      </c>
      <c r="N1648" s="4">
        <v>-0.25900000000000001</v>
      </c>
      <c r="O1648" s="4">
        <v>-0.25900000000000001</v>
      </c>
      <c r="P1648" s="4">
        <v>0</v>
      </c>
      <c r="Q1648" s="3" t="s">
        <v>26</v>
      </c>
      <c r="R1648" s="3">
        <v>0</v>
      </c>
      <c r="S1648" s="4">
        <v>0</v>
      </c>
      <c r="T1648" s="4">
        <v>43</v>
      </c>
      <c r="U1648" s="4">
        <v>83</v>
      </c>
      <c r="V1648" s="4">
        <f>IF(ISERROR(VLOOKUP($S$1648,'TAR FIN'!$A$1:$O$99,15,0)),0,VLOOKUP($S$1648,'TAR FIN'!$A$1:$O$99,15,0))</f>
        <v>0</v>
      </c>
      <c r="W1648" s="4">
        <f>IF(ISERROR(VLOOKUP($T$1648,'TAR FIN'!$A$1:$O$99,15,0)),0,VLOOKUP($T$1648,'TAR FIN'!$A$1:$O$99,15,0))</f>
        <v>657.51</v>
      </c>
      <c r="X1648" s="4">
        <f>IF(ISERROR(VLOOKUP($U$1648,'TAR FIN'!$A$1:$O$99,15,0)),0,VLOOKUP($U$1648,'TAR FIN'!$A$1:$O$99,15,0))</f>
        <v>219.97</v>
      </c>
      <c r="Y1648" s="4"/>
      <c r="Z1648" s="4">
        <f ca="1">('TUSD BE'!$AM$57+'TUSD BF'!$AM$57+'TUSD CVA'!$AM$57)*1</f>
        <v>769.81008209782362</v>
      </c>
      <c r="AA1648" s="4">
        <f>('TE BE'!$AA$39+'TE BF'!$AA$39+'TE CVA'!$AA$39)*1</f>
        <v>271.13910989737087</v>
      </c>
      <c r="AB1648" s="4">
        <f>$K$1648*$V$1648</f>
        <v>0</v>
      </c>
      <c r="AC1648" s="4">
        <f>$M$1648*$W$1648</f>
        <v>-170.29509000000002</v>
      </c>
      <c r="AD1648" s="4">
        <f>$O$1648*$X$1648</f>
        <v>-56.972230000000003</v>
      </c>
      <c r="AE1648" s="4">
        <f>$K$1648*$Y$1648</f>
        <v>0</v>
      </c>
      <c r="AF1648" s="4">
        <f ca="1">$M$1648*$Z$1648</f>
        <v>-199.38081126333631</v>
      </c>
      <c r="AG1648" s="4">
        <f>$O$1648*$AA$1648</f>
        <v>-70.225029463419062</v>
      </c>
    </row>
    <row r="1649" spans="1:33" ht="11.25" customHeight="1" x14ac:dyDescent="0.25">
      <c r="A1649" s="3" t="s">
        <v>28</v>
      </c>
      <c r="B1649" s="3" t="s">
        <v>39</v>
      </c>
      <c r="C1649" s="3" t="s">
        <v>37</v>
      </c>
      <c r="D1649" s="3" t="s">
        <v>43</v>
      </c>
      <c r="E1649" s="3" t="s">
        <v>25</v>
      </c>
      <c r="F1649" s="3" t="s">
        <v>25</v>
      </c>
      <c r="G1649" s="3" t="s">
        <v>25</v>
      </c>
      <c r="H1649" s="3" t="s">
        <v>38</v>
      </c>
      <c r="I1649" s="6">
        <v>44348</v>
      </c>
      <c r="J1649" s="4">
        <v>0</v>
      </c>
      <c r="K1649" s="4">
        <v>0</v>
      </c>
      <c r="L1649" s="4">
        <v>2.1999999999999999E-2</v>
      </c>
      <c r="M1649" s="4">
        <v>2.1999999999999999E-2</v>
      </c>
      <c r="N1649" s="4">
        <v>2.1999999999999999E-2</v>
      </c>
      <c r="O1649" s="4">
        <v>2.1999999999999999E-2</v>
      </c>
      <c r="P1649" s="4">
        <v>0</v>
      </c>
      <c r="Q1649" s="3" t="s">
        <v>26</v>
      </c>
      <c r="R1649" s="3">
        <v>0</v>
      </c>
      <c r="S1649" s="4">
        <v>0</v>
      </c>
      <c r="T1649" s="4">
        <v>43</v>
      </c>
      <c r="U1649" s="4">
        <v>83</v>
      </c>
      <c r="V1649" s="4">
        <f>IF(ISERROR(VLOOKUP($S$1649,'TAR FIN'!$A$1:$O$99,15,0)),0,VLOOKUP($S$1649,'TAR FIN'!$A$1:$O$99,15,0))</f>
        <v>0</v>
      </c>
      <c r="W1649" s="4">
        <f>IF(ISERROR(VLOOKUP($T$1649,'TAR FIN'!$A$1:$O$99,15,0)),0,VLOOKUP($T$1649,'TAR FIN'!$A$1:$O$99,15,0))</f>
        <v>657.51</v>
      </c>
      <c r="X1649" s="4">
        <f>IF(ISERROR(VLOOKUP($U$1649,'TAR FIN'!$A$1:$O$99,15,0)),0,VLOOKUP($U$1649,'TAR FIN'!$A$1:$O$99,15,0))</f>
        <v>219.97</v>
      </c>
      <c r="Y1649" s="4"/>
      <c r="Z1649" s="4">
        <f ca="1">('TUSD BE'!$AM$57+'TUSD BF'!$AM$57+'TUSD CVA'!$AM$57)*1</f>
        <v>769.81008209782362</v>
      </c>
      <c r="AA1649" s="4">
        <f>('TE BE'!$AA$39+'TE BF'!$AA$39+'TE CVA'!$AA$39)*1</f>
        <v>271.13910989737087</v>
      </c>
      <c r="AB1649" s="4">
        <f>$K$1649*$V$1649</f>
        <v>0</v>
      </c>
      <c r="AC1649" s="4">
        <f>$M$1649*$W$1649</f>
        <v>14.465219999999999</v>
      </c>
      <c r="AD1649" s="4">
        <f>$O$1649*$X$1649</f>
        <v>4.83934</v>
      </c>
      <c r="AE1649" s="4">
        <f>$K$1649*$Y$1649</f>
        <v>0</v>
      </c>
      <c r="AF1649" s="4">
        <f ca="1">$M$1649*$Z$1649</f>
        <v>16.93582180615212</v>
      </c>
      <c r="AG1649" s="4">
        <f>$O$1649*$AA$1649</f>
        <v>5.9650604177421584</v>
      </c>
    </row>
    <row r="1650" spans="1:33" ht="11.25" customHeight="1" x14ac:dyDescent="0.25">
      <c r="A1650" s="3" t="s">
        <v>21</v>
      </c>
      <c r="B1650" s="3" t="s">
        <v>39</v>
      </c>
      <c r="C1650" s="3" t="s">
        <v>37</v>
      </c>
      <c r="D1650" s="3" t="s">
        <v>43</v>
      </c>
      <c r="E1650" s="3" t="s">
        <v>25</v>
      </c>
      <c r="F1650" s="3" t="s">
        <v>25</v>
      </c>
      <c r="G1650" s="3" t="s">
        <v>25</v>
      </c>
      <c r="H1650" s="3" t="s">
        <v>38</v>
      </c>
      <c r="I1650" s="6">
        <v>44378</v>
      </c>
      <c r="J1650" s="4">
        <v>0</v>
      </c>
      <c r="K1650" s="4">
        <v>0</v>
      </c>
      <c r="L1650" s="4">
        <v>9.41</v>
      </c>
      <c r="M1650" s="4">
        <v>9.41</v>
      </c>
      <c r="N1650" s="4">
        <v>9.41</v>
      </c>
      <c r="O1650" s="4">
        <v>9.41</v>
      </c>
      <c r="P1650" s="4">
        <v>0</v>
      </c>
      <c r="Q1650" s="3" t="s">
        <v>26</v>
      </c>
      <c r="R1650" s="3">
        <v>0</v>
      </c>
      <c r="S1650" s="4">
        <v>0</v>
      </c>
      <c r="T1650" s="4">
        <v>43</v>
      </c>
      <c r="U1650" s="4">
        <v>83</v>
      </c>
      <c r="V1650" s="4">
        <f>IF(ISERROR(VLOOKUP($S$1650,'TAR FIN'!$A$1:$O$99,15,0)),0,VLOOKUP($S$1650,'TAR FIN'!$A$1:$O$99,15,0))</f>
        <v>0</v>
      </c>
      <c r="W1650" s="4">
        <f>IF(ISERROR(VLOOKUP($T$1650,'TAR FIN'!$A$1:$O$99,15,0)),0,VLOOKUP($T$1650,'TAR FIN'!$A$1:$O$99,15,0))</f>
        <v>657.51</v>
      </c>
      <c r="X1650" s="4">
        <f>IF(ISERROR(VLOOKUP($U$1650,'TAR FIN'!$A$1:$O$99,15,0)),0,VLOOKUP($U$1650,'TAR FIN'!$A$1:$O$99,15,0))</f>
        <v>219.97</v>
      </c>
      <c r="Y1650" s="4"/>
      <c r="Z1650" s="4">
        <f ca="1">('TUSD BE'!$AM$57+'TUSD BF'!$AM$57+'TUSD CVA'!$AM$57)*1</f>
        <v>769.81008209782362</v>
      </c>
      <c r="AA1650" s="4">
        <f>('TE BE'!$AA$39+'TE BF'!$AA$39+'TE CVA'!$AA$39)*1</f>
        <v>271.13910989737087</v>
      </c>
      <c r="AB1650" s="4">
        <f>$K$1650*$V$1650</f>
        <v>0</v>
      </c>
      <c r="AC1650" s="4">
        <f>$M$1650*$W$1650</f>
        <v>6187.1691000000001</v>
      </c>
      <c r="AD1650" s="4">
        <f>$O$1650*$X$1650</f>
        <v>2069.9177</v>
      </c>
      <c r="AE1650" s="4">
        <f>$K$1650*$Y$1650</f>
        <v>0</v>
      </c>
      <c r="AF1650" s="4">
        <f ca="1">$M$1650*$Z$1650</f>
        <v>7243.9128725405208</v>
      </c>
      <c r="AG1650" s="4">
        <f>$O$1650*$AA$1650</f>
        <v>2551.4190241342599</v>
      </c>
    </row>
    <row r="1651" spans="1:33" ht="11.25" customHeight="1" x14ac:dyDescent="0.25">
      <c r="A1651" s="3" t="s">
        <v>27</v>
      </c>
      <c r="B1651" s="3" t="s">
        <v>39</v>
      </c>
      <c r="C1651" s="3" t="s">
        <v>37</v>
      </c>
      <c r="D1651" s="3" t="s">
        <v>43</v>
      </c>
      <c r="E1651" s="3" t="s">
        <v>25</v>
      </c>
      <c r="F1651" s="3" t="s">
        <v>25</v>
      </c>
      <c r="G1651" s="3" t="s">
        <v>25</v>
      </c>
      <c r="H1651" s="3" t="s">
        <v>38</v>
      </c>
      <c r="I1651" s="6">
        <v>44378</v>
      </c>
      <c r="J1651" s="4">
        <v>0</v>
      </c>
      <c r="K1651" s="4">
        <v>0</v>
      </c>
      <c r="L1651" s="4">
        <v>1.9E-2</v>
      </c>
      <c r="M1651" s="4">
        <v>1.9E-2</v>
      </c>
      <c r="N1651" s="4">
        <v>1.9E-2</v>
      </c>
      <c r="O1651" s="4">
        <v>1.9E-2</v>
      </c>
      <c r="P1651" s="4">
        <v>0</v>
      </c>
      <c r="Q1651" s="3" t="s">
        <v>26</v>
      </c>
      <c r="R1651" s="3">
        <v>0</v>
      </c>
      <c r="S1651" s="4">
        <v>0</v>
      </c>
      <c r="T1651" s="4">
        <v>43</v>
      </c>
      <c r="U1651" s="4">
        <v>83</v>
      </c>
      <c r="V1651" s="4">
        <f>IF(ISERROR(VLOOKUP($S$1651,'TAR FIN'!$A$1:$O$99,15,0)),0,VLOOKUP($S$1651,'TAR FIN'!$A$1:$O$99,15,0))</f>
        <v>0</v>
      </c>
      <c r="W1651" s="4">
        <f>IF(ISERROR(VLOOKUP($T$1651,'TAR FIN'!$A$1:$O$99,15,0)),0,VLOOKUP($T$1651,'TAR FIN'!$A$1:$O$99,15,0))</f>
        <v>657.51</v>
      </c>
      <c r="X1651" s="4">
        <f>IF(ISERROR(VLOOKUP($U$1651,'TAR FIN'!$A$1:$O$99,15,0)),0,VLOOKUP($U$1651,'TAR FIN'!$A$1:$O$99,15,0))</f>
        <v>219.97</v>
      </c>
      <c r="Y1651" s="4"/>
      <c r="Z1651" s="4">
        <f ca="1">('TUSD BE'!$AM$57+'TUSD BF'!$AM$57+'TUSD CVA'!$AM$57)*1</f>
        <v>769.81008209782362</v>
      </c>
      <c r="AA1651" s="4">
        <f>('TE BE'!$AA$39+'TE BF'!$AA$39+'TE CVA'!$AA$39)*1</f>
        <v>271.13910989737087</v>
      </c>
      <c r="AB1651" s="4">
        <f>$K$1651*$V$1651</f>
        <v>0</v>
      </c>
      <c r="AC1651" s="4">
        <f>$M$1651*$W$1651</f>
        <v>12.49269</v>
      </c>
      <c r="AD1651" s="4">
        <f>$O$1651*$X$1651</f>
        <v>4.17943</v>
      </c>
      <c r="AE1651" s="4">
        <f>$K$1651*$Y$1651</f>
        <v>0</v>
      </c>
      <c r="AF1651" s="4">
        <f ca="1">$M$1651*$Z$1651</f>
        <v>14.626391559858648</v>
      </c>
      <c r="AG1651" s="4">
        <f>$O$1651*$AA$1651</f>
        <v>5.1516430880500463</v>
      </c>
    </row>
    <row r="1652" spans="1:33" ht="11.25" customHeight="1" x14ac:dyDescent="0.25">
      <c r="A1652" s="3" t="s">
        <v>28</v>
      </c>
      <c r="B1652" s="3" t="s">
        <v>39</v>
      </c>
      <c r="C1652" s="3" t="s">
        <v>37</v>
      </c>
      <c r="D1652" s="3" t="s">
        <v>43</v>
      </c>
      <c r="E1652" s="3" t="s">
        <v>25</v>
      </c>
      <c r="F1652" s="3" t="s">
        <v>25</v>
      </c>
      <c r="G1652" s="3" t="s">
        <v>25</v>
      </c>
      <c r="H1652" s="3" t="s">
        <v>38</v>
      </c>
      <c r="I1652" s="6">
        <v>44378</v>
      </c>
      <c r="J1652" s="4">
        <v>0</v>
      </c>
      <c r="K1652" s="4">
        <v>0</v>
      </c>
      <c r="L1652" s="4">
        <v>2.5000000000000001E-2</v>
      </c>
      <c r="M1652" s="4">
        <v>2.5000000000000001E-2</v>
      </c>
      <c r="N1652" s="4">
        <v>2.5000000000000001E-2</v>
      </c>
      <c r="O1652" s="4">
        <v>2.5000000000000001E-2</v>
      </c>
      <c r="P1652" s="4">
        <v>0</v>
      </c>
      <c r="Q1652" s="3" t="s">
        <v>26</v>
      </c>
      <c r="R1652" s="3">
        <v>0</v>
      </c>
      <c r="S1652" s="4">
        <v>0</v>
      </c>
      <c r="T1652" s="4">
        <v>43</v>
      </c>
      <c r="U1652" s="4">
        <v>83</v>
      </c>
      <c r="V1652" s="4">
        <f>IF(ISERROR(VLOOKUP($S$1652,'TAR FIN'!$A$1:$O$99,15,0)),0,VLOOKUP($S$1652,'TAR FIN'!$A$1:$O$99,15,0))</f>
        <v>0</v>
      </c>
      <c r="W1652" s="4">
        <f>IF(ISERROR(VLOOKUP($T$1652,'TAR FIN'!$A$1:$O$99,15,0)),0,VLOOKUP($T$1652,'TAR FIN'!$A$1:$O$99,15,0))</f>
        <v>657.51</v>
      </c>
      <c r="X1652" s="4">
        <f>IF(ISERROR(VLOOKUP($U$1652,'TAR FIN'!$A$1:$O$99,15,0)),0,VLOOKUP($U$1652,'TAR FIN'!$A$1:$O$99,15,0))</f>
        <v>219.97</v>
      </c>
      <c r="Y1652" s="4"/>
      <c r="Z1652" s="4">
        <f ca="1">('TUSD BE'!$AM$57+'TUSD BF'!$AM$57+'TUSD CVA'!$AM$57)*1</f>
        <v>769.81008209782362</v>
      </c>
      <c r="AA1652" s="4">
        <f>('TE BE'!$AA$39+'TE BF'!$AA$39+'TE CVA'!$AA$39)*1</f>
        <v>271.13910989737087</v>
      </c>
      <c r="AB1652" s="4">
        <f>$K$1652*$V$1652</f>
        <v>0</v>
      </c>
      <c r="AC1652" s="4">
        <f>$M$1652*$W$1652</f>
        <v>16.437750000000001</v>
      </c>
      <c r="AD1652" s="4">
        <f>$O$1652*$X$1652</f>
        <v>5.49925</v>
      </c>
      <c r="AE1652" s="4">
        <f>$K$1652*$Y$1652</f>
        <v>0</v>
      </c>
      <c r="AF1652" s="4">
        <f ca="1">$M$1652*$Z$1652</f>
        <v>19.245252052445593</v>
      </c>
      <c r="AG1652" s="4">
        <f>$O$1652*$AA$1652</f>
        <v>6.7784777474342723</v>
      </c>
    </row>
    <row r="1653" spans="1:33" ht="11.25" customHeight="1" x14ac:dyDescent="0.25">
      <c r="A1653" s="3" t="s">
        <v>21</v>
      </c>
      <c r="B1653" s="3" t="s">
        <v>39</v>
      </c>
      <c r="C1653" s="3" t="s">
        <v>37</v>
      </c>
      <c r="D1653" s="3" t="s">
        <v>43</v>
      </c>
      <c r="E1653" s="3" t="s">
        <v>25</v>
      </c>
      <c r="F1653" s="3" t="s">
        <v>25</v>
      </c>
      <c r="G1653" s="3" t="s">
        <v>25</v>
      </c>
      <c r="H1653" s="3" t="s">
        <v>38</v>
      </c>
      <c r="I1653" s="6">
        <v>44409</v>
      </c>
      <c r="J1653" s="4">
        <v>0</v>
      </c>
      <c r="K1653" s="4">
        <v>0</v>
      </c>
      <c r="L1653" s="4">
        <v>8.5809999999999995</v>
      </c>
      <c r="M1653" s="4">
        <v>8.5809999999999995</v>
      </c>
      <c r="N1653" s="4">
        <v>8.5809999999999995</v>
      </c>
      <c r="O1653" s="4">
        <v>8.5809999999999995</v>
      </c>
      <c r="P1653" s="4">
        <v>0</v>
      </c>
      <c r="Q1653" s="3" t="s">
        <v>26</v>
      </c>
      <c r="R1653" s="3">
        <v>0</v>
      </c>
      <c r="S1653" s="4">
        <v>0</v>
      </c>
      <c r="T1653" s="4">
        <v>43</v>
      </c>
      <c r="U1653" s="4">
        <v>83</v>
      </c>
      <c r="V1653" s="4">
        <f>IF(ISERROR(VLOOKUP($S$1653,'TAR FIN'!$A$1:$O$99,15,0)),0,VLOOKUP($S$1653,'TAR FIN'!$A$1:$O$99,15,0))</f>
        <v>0</v>
      </c>
      <c r="W1653" s="4">
        <f>IF(ISERROR(VLOOKUP($T$1653,'TAR FIN'!$A$1:$O$99,15,0)),0,VLOOKUP($T$1653,'TAR FIN'!$A$1:$O$99,15,0))</f>
        <v>657.51</v>
      </c>
      <c r="X1653" s="4">
        <f>IF(ISERROR(VLOOKUP($U$1653,'TAR FIN'!$A$1:$O$99,15,0)),0,VLOOKUP($U$1653,'TAR FIN'!$A$1:$O$99,15,0))</f>
        <v>219.97</v>
      </c>
      <c r="Y1653" s="4"/>
      <c r="Z1653" s="4">
        <f ca="1">('TUSD BE'!$AM$57+'TUSD BF'!$AM$57+'TUSD CVA'!$AM$57)*1</f>
        <v>769.81008209782362</v>
      </c>
      <c r="AA1653" s="4">
        <f>('TE BE'!$AA$39+'TE BF'!$AA$39+'TE CVA'!$AA$39)*1</f>
        <v>271.13910989737087</v>
      </c>
      <c r="AB1653" s="4">
        <f>$K$1653*$V$1653</f>
        <v>0</v>
      </c>
      <c r="AC1653" s="4">
        <f>$M$1653*$W$1653</f>
        <v>5642.0933099999993</v>
      </c>
      <c r="AD1653" s="4">
        <f>$O$1653*$X$1653</f>
        <v>1887.5625699999998</v>
      </c>
      <c r="AE1653" s="4">
        <f>$K$1653*$Y$1653</f>
        <v>0</v>
      </c>
      <c r="AF1653" s="4">
        <f ca="1">$M$1653*$Z$1653</f>
        <v>6605.7403144814243</v>
      </c>
      <c r="AG1653" s="4">
        <f>$O$1653*$AA$1653</f>
        <v>2326.6447020293394</v>
      </c>
    </row>
    <row r="1654" spans="1:33" ht="11.25" customHeight="1" x14ac:dyDescent="0.25">
      <c r="A1654" s="3" t="s">
        <v>27</v>
      </c>
      <c r="B1654" s="3" t="s">
        <v>39</v>
      </c>
      <c r="C1654" s="3" t="s">
        <v>37</v>
      </c>
      <c r="D1654" s="3" t="s">
        <v>43</v>
      </c>
      <c r="E1654" s="3" t="s">
        <v>25</v>
      </c>
      <c r="F1654" s="3" t="s">
        <v>25</v>
      </c>
      <c r="G1654" s="3" t="s">
        <v>25</v>
      </c>
      <c r="H1654" s="3" t="s">
        <v>38</v>
      </c>
      <c r="I1654" s="6">
        <v>44409</v>
      </c>
      <c r="J1654" s="4">
        <v>0</v>
      </c>
      <c r="K1654" s="4">
        <v>0</v>
      </c>
      <c r="L1654" s="4">
        <v>2.4E-2</v>
      </c>
      <c r="M1654" s="4">
        <v>2.4E-2</v>
      </c>
      <c r="N1654" s="4">
        <v>2.4E-2</v>
      </c>
      <c r="O1654" s="4">
        <v>2.4E-2</v>
      </c>
      <c r="P1654" s="4">
        <v>0</v>
      </c>
      <c r="Q1654" s="3" t="s">
        <v>26</v>
      </c>
      <c r="R1654" s="3">
        <v>0</v>
      </c>
      <c r="S1654" s="4">
        <v>0</v>
      </c>
      <c r="T1654" s="4">
        <v>43</v>
      </c>
      <c r="U1654" s="4">
        <v>83</v>
      </c>
      <c r="V1654" s="4">
        <f>IF(ISERROR(VLOOKUP($S$1654,'TAR FIN'!$A$1:$O$99,15,0)),0,VLOOKUP($S$1654,'TAR FIN'!$A$1:$O$99,15,0))</f>
        <v>0</v>
      </c>
      <c r="W1654" s="4">
        <f>IF(ISERROR(VLOOKUP($T$1654,'TAR FIN'!$A$1:$O$99,15,0)),0,VLOOKUP($T$1654,'TAR FIN'!$A$1:$O$99,15,0))</f>
        <v>657.51</v>
      </c>
      <c r="X1654" s="4">
        <f>IF(ISERROR(VLOOKUP($U$1654,'TAR FIN'!$A$1:$O$99,15,0)),0,VLOOKUP($U$1654,'TAR FIN'!$A$1:$O$99,15,0))</f>
        <v>219.97</v>
      </c>
      <c r="Y1654" s="4"/>
      <c r="Z1654" s="4">
        <f ca="1">('TUSD BE'!$AM$57+'TUSD BF'!$AM$57+'TUSD CVA'!$AM$57)*1</f>
        <v>769.81008209782362</v>
      </c>
      <c r="AA1654" s="4">
        <f>('TE BE'!$AA$39+'TE BF'!$AA$39+'TE CVA'!$AA$39)*1</f>
        <v>271.13910989737087</v>
      </c>
      <c r="AB1654" s="4">
        <f>$K$1654*$V$1654</f>
        <v>0</v>
      </c>
      <c r="AC1654" s="4">
        <f>$M$1654*$W$1654</f>
        <v>15.780240000000001</v>
      </c>
      <c r="AD1654" s="4">
        <f>$O$1654*$X$1654</f>
        <v>5.27928</v>
      </c>
      <c r="AE1654" s="4">
        <f>$K$1654*$Y$1654</f>
        <v>0</v>
      </c>
      <c r="AF1654" s="4">
        <f ca="1">$M$1654*$Z$1654</f>
        <v>18.475441970347767</v>
      </c>
      <c r="AG1654" s="4">
        <f>$O$1654*$AA$1654</f>
        <v>6.5073386375369013</v>
      </c>
    </row>
    <row r="1655" spans="1:33" ht="11.25" customHeight="1" x14ac:dyDescent="0.25">
      <c r="A1655" s="3" t="s">
        <v>28</v>
      </c>
      <c r="B1655" s="3" t="s">
        <v>39</v>
      </c>
      <c r="C1655" s="3" t="s">
        <v>37</v>
      </c>
      <c r="D1655" s="3" t="s">
        <v>43</v>
      </c>
      <c r="E1655" s="3" t="s">
        <v>25</v>
      </c>
      <c r="F1655" s="3" t="s">
        <v>25</v>
      </c>
      <c r="G1655" s="3" t="s">
        <v>25</v>
      </c>
      <c r="H1655" s="3" t="s">
        <v>38</v>
      </c>
      <c r="I1655" s="6">
        <v>44409</v>
      </c>
      <c r="J1655" s="4">
        <v>0</v>
      </c>
      <c r="K1655" s="4">
        <v>0</v>
      </c>
      <c r="L1655" s="4">
        <v>3.6999999999999998E-2</v>
      </c>
      <c r="M1655" s="4">
        <v>3.6999999999999998E-2</v>
      </c>
      <c r="N1655" s="4">
        <v>3.6999999999999998E-2</v>
      </c>
      <c r="O1655" s="4">
        <v>3.6999999999999998E-2</v>
      </c>
      <c r="P1655" s="4">
        <v>0</v>
      </c>
      <c r="Q1655" s="3" t="s">
        <v>26</v>
      </c>
      <c r="R1655" s="3">
        <v>0</v>
      </c>
      <c r="S1655" s="4">
        <v>0</v>
      </c>
      <c r="T1655" s="4">
        <v>43</v>
      </c>
      <c r="U1655" s="4">
        <v>83</v>
      </c>
      <c r="V1655" s="4">
        <f>IF(ISERROR(VLOOKUP($S$1655,'TAR FIN'!$A$1:$O$99,15,0)),0,VLOOKUP($S$1655,'TAR FIN'!$A$1:$O$99,15,0))</f>
        <v>0</v>
      </c>
      <c r="W1655" s="4">
        <f>IF(ISERROR(VLOOKUP($T$1655,'TAR FIN'!$A$1:$O$99,15,0)),0,VLOOKUP($T$1655,'TAR FIN'!$A$1:$O$99,15,0))</f>
        <v>657.51</v>
      </c>
      <c r="X1655" s="4">
        <f>IF(ISERROR(VLOOKUP($U$1655,'TAR FIN'!$A$1:$O$99,15,0)),0,VLOOKUP($U$1655,'TAR FIN'!$A$1:$O$99,15,0))</f>
        <v>219.97</v>
      </c>
      <c r="Y1655" s="4"/>
      <c r="Z1655" s="4">
        <f ca="1">('TUSD BE'!$AM$57+'TUSD BF'!$AM$57+'TUSD CVA'!$AM$57)*1</f>
        <v>769.81008209782362</v>
      </c>
      <c r="AA1655" s="4">
        <f>('TE BE'!$AA$39+'TE BF'!$AA$39+'TE CVA'!$AA$39)*1</f>
        <v>271.13910989737087</v>
      </c>
      <c r="AB1655" s="4">
        <f>$K$1655*$V$1655</f>
        <v>0</v>
      </c>
      <c r="AC1655" s="4">
        <f>$M$1655*$W$1655</f>
        <v>24.327869999999997</v>
      </c>
      <c r="AD1655" s="4">
        <f>$O$1655*$X$1655</f>
        <v>8.13889</v>
      </c>
      <c r="AE1655" s="4">
        <f>$K$1655*$Y$1655</f>
        <v>0</v>
      </c>
      <c r="AF1655" s="4">
        <f ca="1">$M$1655*$Z$1655</f>
        <v>28.482973037619473</v>
      </c>
      <c r="AG1655" s="4">
        <f>$O$1655*$AA$1655</f>
        <v>10.032147066202722</v>
      </c>
    </row>
    <row r="1656" spans="1:33" ht="11.25" customHeight="1" x14ac:dyDescent="0.25">
      <c r="A1656" s="3" t="s">
        <v>21</v>
      </c>
      <c r="B1656" s="3" t="s">
        <v>39</v>
      </c>
      <c r="C1656" s="3" t="s">
        <v>37</v>
      </c>
      <c r="D1656" s="3" t="s">
        <v>43</v>
      </c>
      <c r="E1656" s="3" t="s">
        <v>25</v>
      </c>
      <c r="F1656" s="3" t="s">
        <v>25</v>
      </c>
      <c r="G1656" s="3" t="s">
        <v>25</v>
      </c>
      <c r="H1656" s="3" t="s">
        <v>38</v>
      </c>
      <c r="I1656" s="6">
        <v>44440</v>
      </c>
      <c r="J1656" s="4">
        <v>0</v>
      </c>
      <c r="K1656" s="4">
        <v>0</v>
      </c>
      <c r="L1656" s="4">
        <v>8.4809999999999999</v>
      </c>
      <c r="M1656" s="4">
        <v>8.4809999999999999</v>
      </c>
      <c r="N1656" s="4">
        <v>8.4809999999999999</v>
      </c>
      <c r="O1656" s="4">
        <v>8.4809999999999999</v>
      </c>
      <c r="P1656" s="4">
        <v>0</v>
      </c>
      <c r="Q1656" s="3" t="s">
        <v>26</v>
      </c>
      <c r="R1656" s="3">
        <v>0</v>
      </c>
      <c r="S1656" s="4">
        <v>0</v>
      </c>
      <c r="T1656" s="4">
        <v>43</v>
      </c>
      <c r="U1656" s="4">
        <v>83</v>
      </c>
      <c r="V1656" s="4">
        <f>IF(ISERROR(VLOOKUP($S$1656,'TAR FIN'!$A$1:$O$99,15,0)),0,VLOOKUP($S$1656,'TAR FIN'!$A$1:$O$99,15,0))</f>
        <v>0</v>
      </c>
      <c r="W1656" s="4">
        <f>IF(ISERROR(VLOOKUP($T$1656,'TAR FIN'!$A$1:$O$99,15,0)),0,VLOOKUP($T$1656,'TAR FIN'!$A$1:$O$99,15,0))</f>
        <v>657.51</v>
      </c>
      <c r="X1656" s="4">
        <f>IF(ISERROR(VLOOKUP($U$1656,'TAR FIN'!$A$1:$O$99,15,0)),0,VLOOKUP($U$1656,'TAR FIN'!$A$1:$O$99,15,0))</f>
        <v>219.97</v>
      </c>
      <c r="Y1656" s="4"/>
      <c r="Z1656" s="4">
        <f ca="1">('TUSD BE'!$AM$57+'TUSD BF'!$AM$57+'TUSD CVA'!$AM$57)*1</f>
        <v>769.81008209782362</v>
      </c>
      <c r="AA1656" s="4">
        <f>('TE BE'!$AA$39+'TE BF'!$AA$39+'TE CVA'!$AA$39)*1</f>
        <v>271.13910989737087</v>
      </c>
      <c r="AB1656" s="4">
        <f>$K$1656*$V$1656</f>
        <v>0</v>
      </c>
      <c r="AC1656" s="4">
        <f>$M$1656*$W$1656</f>
        <v>5576.34231</v>
      </c>
      <c r="AD1656" s="4">
        <f>$O$1656*$X$1656</f>
        <v>1865.56557</v>
      </c>
      <c r="AE1656" s="4">
        <f>$K$1656*$Y$1656</f>
        <v>0</v>
      </c>
      <c r="AF1656" s="4">
        <f ca="1">$M$1656*$Z$1656</f>
        <v>6528.7593062716423</v>
      </c>
      <c r="AG1656" s="4">
        <f>$O$1656*$AA$1656</f>
        <v>2299.5307910396023</v>
      </c>
    </row>
    <row r="1657" spans="1:33" ht="11.25" customHeight="1" x14ac:dyDescent="0.25">
      <c r="A1657" s="3" t="s">
        <v>28</v>
      </c>
      <c r="B1657" s="3" t="s">
        <v>39</v>
      </c>
      <c r="C1657" s="3" t="s">
        <v>37</v>
      </c>
      <c r="D1657" s="3" t="s">
        <v>43</v>
      </c>
      <c r="E1657" s="3" t="s">
        <v>25</v>
      </c>
      <c r="F1657" s="3" t="s">
        <v>25</v>
      </c>
      <c r="G1657" s="3" t="s">
        <v>25</v>
      </c>
      <c r="H1657" s="3" t="s">
        <v>38</v>
      </c>
      <c r="I1657" s="6">
        <v>44440</v>
      </c>
      <c r="J1657" s="4">
        <v>0</v>
      </c>
      <c r="K1657" s="4">
        <v>0</v>
      </c>
      <c r="L1657" s="4">
        <v>2.5999999999999999E-2</v>
      </c>
      <c r="M1657" s="4">
        <v>2.5999999999999999E-2</v>
      </c>
      <c r="N1657" s="4">
        <v>2.5999999999999999E-2</v>
      </c>
      <c r="O1657" s="4">
        <v>2.5999999999999999E-2</v>
      </c>
      <c r="P1657" s="4">
        <v>0</v>
      </c>
      <c r="Q1657" s="3" t="s">
        <v>26</v>
      </c>
      <c r="R1657" s="3">
        <v>0</v>
      </c>
      <c r="S1657" s="4">
        <v>0</v>
      </c>
      <c r="T1657" s="4">
        <v>43</v>
      </c>
      <c r="U1657" s="4">
        <v>83</v>
      </c>
      <c r="V1657" s="4">
        <f>IF(ISERROR(VLOOKUP($S$1657,'TAR FIN'!$A$1:$O$99,15,0)),0,VLOOKUP($S$1657,'TAR FIN'!$A$1:$O$99,15,0))</f>
        <v>0</v>
      </c>
      <c r="W1657" s="4">
        <f>IF(ISERROR(VLOOKUP($T$1657,'TAR FIN'!$A$1:$O$99,15,0)),0,VLOOKUP($T$1657,'TAR FIN'!$A$1:$O$99,15,0))</f>
        <v>657.51</v>
      </c>
      <c r="X1657" s="4">
        <f>IF(ISERROR(VLOOKUP($U$1657,'TAR FIN'!$A$1:$O$99,15,0)),0,VLOOKUP($U$1657,'TAR FIN'!$A$1:$O$99,15,0))</f>
        <v>219.97</v>
      </c>
      <c r="Y1657" s="4"/>
      <c r="Z1657" s="4">
        <f ca="1">('TUSD BE'!$AM$57+'TUSD BF'!$AM$57+'TUSD CVA'!$AM$57)*1</f>
        <v>769.81008209782362</v>
      </c>
      <c r="AA1657" s="4">
        <f>('TE BE'!$AA$39+'TE BF'!$AA$39+'TE CVA'!$AA$39)*1</f>
        <v>271.13910989737087</v>
      </c>
      <c r="AB1657" s="4">
        <f>$K$1657*$V$1657</f>
        <v>0</v>
      </c>
      <c r="AC1657" s="4">
        <f>$M$1657*$W$1657</f>
        <v>17.09526</v>
      </c>
      <c r="AD1657" s="4">
        <f>$O$1657*$X$1657</f>
        <v>5.71922</v>
      </c>
      <c r="AE1657" s="4">
        <f>$K$1657*$Y$1657</f>
        <v>0</v>
      </c>
      <c r="AF1657" s="4">
        <f ca="1">$M$1657*$Z$1657</f>
        <v>20.015062134543413</v>
      </c>
      <c r="AG1657" s="4">
        <f>$O$1657*$AA$1657</f>
        <v>7.0496168573316424</v>
      </c>
    </row>
    <row r="1658" spans="1:33" ht="11.25" customHeight="1" x14ac:dyDescent="0.25">
      <c r="A1658" s="3" t="s">
        <v>21</v>
      </c>
      <c r="B1658" s="3" t="s">
        <v>39</v>
      </c>
      <c r="C1658" s="3" t="s">
        <v>37</v>
      </c>
      <c r="D1658" s="3" t="s">
        <v>43</v>
      </c>
      <c r="E1658" s="3" t="s">
        <v>25</v>
      </c>
      <c r="F1658" s="3" t="s">
        <v>25</v>
      </c>
      <c r="G1658" s="3" t="s">
        <v>25</v>
      </c>
      <c r="H1658" s="3" t="s">
        <v>38</v>
      </c>
      <c r="I1658" s="6">
        <v>44470</v>
      </c>
      <c r="J1658" s="4">
        <v>0</v>
      </c>
      <c r="K1658" s="4">
        <v>0</v>
      </c>
      <c r="L1658" s="4">
        <v>9.77</v>
      </c>
      <c r="M1658" s="4">
        <v>9.77</v>
      </c>
      <c r="N1658" s="4">
        <v>9.77</v>
      </c>
      <c r="O1658" s="4">
        <v>9.77</v>
      </c>
      <c r="P1658" s="4">
        <v>0</v>
      </c>
      <c r="Q1658" s="3" t="s">
        <v>26</v>
      </c>
      <c r="R1658" s="3">
        <v>0</v>
      </c>
      <c r="S1658" s="4">
        <v>0</v>
      </c>
      <c r="T1658" s="4">
        <v>43</v>
      </c>
      <c r="U1658" s="4">
        <v>83</v>
      </c>
      <c r="V1658" s="4">
        <f>IF(ISERROR(VLOOKUP($S$1658,'TAR FIN'!$A$1:$O$99,15,0)),0,VLOOKUP($S$1658,'TAR FIN'!$A$1:$O$99,15,0))</f>
        <v>0</v>
      </c>
      <c r="W1658" s="4">
        <f>IF(ISERROR(VLOOKUP($T$1658,'TAR FIN'!$A$1:$O$99,15,0)),0,VLOOKUP($T$1658,'TAR FIN'!$A$1:$O$99,15,0))</f>
        <v>657.51</v>
      </c>
      <c r="X1658" s="4">
        <f>IF(ISERROR(VLOOKUP($U$1658,'TAR FIN'!$A$1:$O$99,15,0)),0,VLOOKUP($U$1658,'TAR FIN'!$A$1:$O$99,15,0))</f>
        <v>219.97</v>
      </c>
      <c r="Y1658" s="4"/>
      <c r="Z1658" s="4">
        <f ca="1">('TUSD BE'!$AM$57+'TUSD BF'!$AM$57+'TUSD CVA'!$AM$57)*1</f>
        <v>769.81008209782362</v>
      </c>
      <c r="AA1658" s="4">
        <f>('TE BE'!$AA$39+'TE BF'!$AA$39+'TE CVA'!$AA$39)*1</f>
        <v>271.13910989737087</v>
      </c>
      <c r="AB1658" s="4">
        <f>$K$1658*$V$1658</f>
        <v>0</v>
      </c>
      <c r="AC1658" s="4">
        <f>$M$1658*$W$1658</f>
        <v>6423.8726999999999</v>
      </c>
      <c r="AD1658" s="4">
        <f>$O$1658*$X$1658</f>
        <v>2149.1068999999998</v>
      </c>
      <c r="AE1658" s="4">
        <f>$K$1658*$Y$1658</f>
        <v>0</v>
      </c>
      <c r="AF1658" s="4">
        <f ca="1">$M$1658*$Z$1658</f>
        <v>7521.0445020957368</v>
      </c>
      <c r="AG1658" s="4">
        <f>$O$1658*$AA$1658</f>
        <v>2649.0291036973135</v>
      </c>
    </row>
    <row r="1659" spans="1:33" ht="11.25" customHeight="1" x14ac:dyDescent="0.25">
      <c r="A1659" s="3" t="s">
        <v>28</v>
      </c>
      <c r="B1659" s="3" t="s">
        <v>39</v>
      </c>
      <c r="C1659" s="3" t="s">
        <v>37</v>
      </c>
      <c r="D1659" s="3" t="s">
        <v>43</v>
      </c>
      <c r="E1659" s="3" t="s">
        <v>25</v>
      </c>
      <c r="F1659" s="3" t="s">
        <v>25</v>
      </c>
      <c r="G1659" s="3" t="s">
        <v>25</v>
      </c>
      <c r="H1659" s="3" t="s">
        <v>38</v>
      </c>
      <c r="I1659" s="6">
        <v>44470</v>
      </c>
      <c r="J1659" s="4">
        <v>0</v>
      </c>
      <c r="K1659" s="4">
        <v>0</v>
      </c>
      <c r="L1659" s="4">
        <v>7.0000000000000007E-2</v>
      </c>
      <c r="M1659" s="4">
        <v>7.0000000000000007E-2</v>
      </c>
      <c r="N1659" s="4">
        <v>7.0000000000000007E-2</v>
      </c>
      <c r="O1659" s="4">
        <v>7.0000000000000007E-2</v>
      </c>
      <c r="P1659" s="4">
        <v>0</v>
      </c>
      <c r="Q1659" s="3" t="s">
        <v>26</v>
      </c>
      <c r="R1659" s="3">
        <v>0</v>
      </c>
      <c r="S1659" s="4">
        <v>0</v>
      </c>
      <c r="T1659" s="4">
        <v>43</v>
      </c>
      <c r="U1659" s="4">
        <v>83</v>
      </c>
      <c r="V1659" s="4">
        <f>IF(ISERROR(VLOOKUP($S$1659,'TAR FIN'!$A$1:$O$99,15,0)),0,VLOOKUP($S$1659,'TAR FIN'!$A$1:$O$99,15,0))</f>
        <v>0</v>
      </c>
      <c r="W1659" s="4">
        <f>IF(ISERROR(VLOOKUP($T$1659,'TAR FIN'!$A$1:$O$99,15,0)),0,VLOOKUP($T$1659,'TAR FIN'!$A$1:$O$99,15,0))</f>
        <v>657.51</v>
      </c>
      <c r="X1659" s="4">
        <f>IF(ISERROR(VLOOKUP($U$1659,'TAR FIN'!$A$1:$O$99,15,0)),0,VLOOKUP($U$1659,'TAR FIN'!$A$1:$O$99,15,0))</f>
        <v>219.97</v>
      </c>
      <c r="Y1659" s="4"/>
      <c r="Z1659" s="4">
        <f ca="1">('TUSD BE'!$AM$57+'TUSD BF'!$AM$57+'TUSD CVA'!$AM$57)*1</f>
        <v>769.81008209782362</v>
      </c>
      <c r="AA1659" s="4">
        <f>('TE BE'!$AA$39+'TE BF'!$AA$39+'TE CVA'!$AA$39)*1</f>
        <v>271.13910989737087</v>
      </c>
      <c r="AB1659" s="4">
        <f>$K$1659*$V$1659</f>
        <v>0</v>
      </c>
      <c r="AC1659" s="4">
        <f>$M$1659*$W$1659</f>
        <v>46.025700000000001</v>
      </c>
      <c r="AD1659" s="4">
        <f>$O$1659*$X$1659</f>
        <v>15.397900000000002</v>
      </c>
      <c r="AE1659" s="4">
        <f>$K$1659*$Y$1659</f>
        <v>0</v>
      </c>
      <c r="AF1659" s="4">
        <f ca="1">$M$1659*$Z$1659</f>
        <v>53.88670574684766</v>
      </c>
      <c r="AG1659" s="4">
        <f>$O$1659*$AA$1659</f>
        <v>18.979737692815963</v>
      </c>
    </row>
    <row r="1660" spans="1:33" ht="11.25" customHeight="1" x14ac:dyDescent="0.25">
      <c r="A1660" s="3" t="s">
        <v>21</v>
      </c>
      <c r="B1660" s="3" t="s">
        <v>39</v>
      </c>
      <c r="C1660" s="3" t="s">
        <v>37</v>
      </c>
      <c r="D1660" s="3" t="s">
        <v>43</v>
      </c>
      <c r="E1660" s="3" t="s">
        <v>25</v>
      </c>
      <c r="F1660" s="3" t="s">
        <v>25</v>
      </c>
      <c r="G1660" s="3" t="s">
        <v>25</v>
      </c>
      <c r="H1660" s="3" t="s">
        <v>38</v>
      </c>
      <c r="I1660" s="6">
        <v>44501</v>
      </c>
      <c r="J1660" s="4">
        <v>0</v>
      </c>
      <c r="K1660" s="4">
        <v>0</v>
      </c>
      <c r="L1660" s="4">
        <v>9.8170000000000002</v>
      </c>
      <c r="M1660" s="4">
        <v>9.8170000000000002</v>
      </c>
      <c r="N1660" s="4">
        <v>9.8170000000000002</v>
      </c>
      <c r="O1660" s="4">
        <v>9.8170000000000002</v>
      </c>
      <c r="P1660" s="4">
        <v>0</v>
      </c>
      <c r="Q1660" s="3" t="s">
        <v>26</v>
      </c>
      <c r="R1660" s="3">
        <v>0</v>
      </c>
      <c r="S1660" s="4">
        <v>0</v>
      </c>
      <c r="T1660" s="4">
        <v>43</v>
      </c>
      <c r="U1660" s="4">
        <v>83</v>
      </c>
      <c r="V1660" s="4">
        <f>IF(ISERROR(VLOOKUP($S$1660,'TAR FIN'!$A$1:$O$99,15,0)),0,VLOOKUP($S$1660,'TAR FIN'!$A$1:$O$99,15,0))</f>
        <v>0</v>
      </c>
      <c r="W1660" s="4">
        <f>IF(ISERROR(VLOOKUP($T$1660,'TAR FIN'!$A$1:$O$99,15,0)),0,VLOOKUP($T$1660,'TAR FIN'!$A$1:$O$99,15,0))</f>
        <v>657.51</v>
      </c>
      <c r="X1660" s="4">
        <f>IF(ISERROR(VLOOKUP($U$1660,'TAR FIN'!$A$1:$O$99,15,0)),0,VLOOKUP($U$1660,'TAR FIN'!$A$1:$O$99,15,0))</f>
        <v>219.97</v>
      </c>
      <c r="Y1660" s="4"/>
      <c r="Z1660" s="4">
        <f ca="1">('TUSD BE'!$AM$57+'TUSD BF'!$AM$57+'TUSD CVA'!$AM$57)*1</f>
        <v>769.81008209782362</v>
      </c>
      <c r="AA1660" s="4">
        <f>('TE BE'!$AA$39+'TE BF'!$AA$39+'TE CVA'!$AA$39)*1</f>
        <v>271.13910989737087</v>
      </c>
      <c r="AB1660" s="4">
        <f>$K$1660*$V$1660</f>
        <v>0</v>
      </c>
      <c r="AC1660" s="4">
        <f>$M$1660*$W$1660</f>
        <v>6454.77567</v>
      </c>
      <c r="AD1660" s="4">
        <f>$O$1660*$X$1660</f>
        <v>2159.4454900000001</v>
      </c>
      <c r="AE1660" s="4">
        <f>$K$1660*$Y$1660</f>
        <v>0</v>
      </c>
      <c r="AF1660" s="4">
        <f ca="1">$M$1660*$Z$1660</f>
        <v>7557.225575954335</v>
      </c>
      <c r="AG1660" s="4">
        <f>$O$1660*$AA$1660</f>
        <v>2661.7726418624898</v>
      </c>
    </row>
    <row r="1661" spans="1:33" ht="11.25" customHeight="1" x14ac:dyDescent="0.25">
      <c r="A1661" s="3" t="s">
        <v>27</v>
      </c>
      <c r="B1661" s="3" t="s">
        <v>39</v>
      </c>
      <c r="C1661" s="3" t="s">
        <v>37</v>
      </c>
      <c r="D1661" s="3" t="s">
        <v>43</v>
      </c>
      <c r="E1661" s="3" t="s">
        <v>25</v>
      </c>
      <c r="F1661" s="3" t="s">
        <v>25</v>
      </c>
      <c r="G1661" s="3" t="s">
        <v>25</v>
      </c>
      <c r="H1661" s="3" t="s">
        <v>38</v>
      </c>
      <c r="I1661" s="6">
        <v>44501</v>
      </c>
      <c r="J1661" s="4">
        <v>0</v>
      </c>
      <c r="K1661" s="4">
        <v>0</v>
      </c>
      <c r="L1661" s="4">
        <v>-3.9E-2</v>
      </c>
      <c r="M1661" s="4">
        <v>-3.9E-2</v>
      </c>
      <c r="N1661" s="4">
        <v>-3.9E-2</v>
      </c>
      <c r="O1661" s="4">
        <v>-3.9E-2</v>
      </c>
      <c r="P1661" s="4">
        <v>0</v>
      </c>
      <c r="Q1661" s="3" t="s">
        <v>26</v>
      </c>
      <c r="R1661" s="3">
        <v>0</v>
      </c>
      <c r="S1661" s="4">
        <v>0</v>
      </c>
      <c r="T1661" s="4">
        <v>43</v>
      </c>
      <c r="U1661" s="4">
        <v>83</v>
      </c>
      <c r="V1661" s="4">
        <f>IF(ISERROR(VLOOKUP($S$1661,'TAR FIN'!$A$1:$O$99,15,0)),0,VLOOKUP($S$1661,'TAR FIN'!$A$1:$O$99,15,0))</f>
        <v>0</v>
      </c>
      <c r="W1661" s="4">
        <f>IF(ISERROR(VLOOKUP($T$1661,'TAR FIN'!$A$1:$O$99,15,0)),0,VLOOKUP($T$1661,'TAR FIN'!$A$1:$O$99,15,0))</f>
        <v>657.51</v>
      </c>
      <c r="X1661" s="4">
        <f>IF(ISERROR(VLOOKUP($U$1661,'TAR FIN'!$A$1:$O$99,15,0)),0,VLOOKUP($U$1661,'TAR FIN'!$A$1:$O$99,15,0))</f>
        <v>219.97</v>
      </c>
      <c r="Y1661" s="4"/>
      <c r="Z1661" s="4">
        <f ca="1">('TUSD BE'!$AM$57+'TUSD BF'!$AM$57+'TUSD CVA'!$AM$57)*1</f>
        <v>769.81008209782362</v>
      </c>
      <c r="AA1661" s="4">
        <f>('TE BE'!$AA$39+'TE BF'!$AA$39+'TE CVA'!$AA$39)*1</f>
        <v>271.13910989737087</v>
      </c>
      <c r="AB1661" s="4">
        <f>$K$1661*$V$1661</f>
        <v>0</v>
      </c>
      <c r="AC1661" s="4">
        <f>$M$1661*$W$1661</f>
        <v>-25.642890000000001</v>
      </c>
      <c r="AD1661" s="4">
        <f>$O$1661*$X$1661</f>
        <v>-8.57883</v>
      </c>
      <c r="AE1661" s="4">
        <f>$K$1661*$Y$1661</f>
        <v>0</v>
      </c>
      <c r="AF1661" s="4">
        <f ca="1">$M$1661*$Z$1661</f>
        <v>-30.02259320181512</v>
      </c>
      <c r="AG1661" s="4">
        <f>$O$1661*$AA$1661</f>
        <v>-10.574425285997464</v>
      </c>
    </row>
    <row r="1662" spans="1:33" ht="11.25" customHeight="1" x14ac:dyDescent="0.25">
      <c r="A1662" s="3" t="s">
        <v>28</v>
      </c>
      <c r="B1662" s="3" t="s">
        <v>39</v>
      </c>
      <c r="C1662" s="3" t="s">
        <v>37</v>
      </c>
      <c r="D1662" s="3" t="s">
        <v>43</v>
      </c>
      <c r="E1662" s="3" t="s">
        <v>25</v>
      </c>
      <c r="F1662" s="3" t="s">
        <v>25</v>
      </c>
      <c r="G1662" s="3" t="s">
        <v>25</v>
      </c>
      <c r="H1662" s="3" t="s">
        <v>38</v>
      </c>
      <c r="I1662" s="6">
        <v>44501</v>
      </c>
      <c r="J1662" s="4">
        <v>0</v>
      </c>
      <c r="K1662" s="4">
        <v>0</v>
      </c>
      <c r="L1662" s="4">
        <v>3.4000000000000002E-2</v>
      </c>
      <c r="M1662" s="4">
        <v>3.4000000000000002E-2</v>
      </c>
      <c r="N1662" s="4">
        <v>3.4000000000000002E-2</v>
      </c>
      <c r="O1662" s="4">
        <v>3.4000000000000002E-2</v>
      </c>
      <c r="P1662" s="4">
        <v>0</v>
      </c>
      <c r="Q1662" s="3" t="s">
        <v>26</v>
      </c>
      <c r="R1662" s="3">
        <v>0</v>
      </c>
      <c r="S1662" s="4">
        <v>0</v>
      </c>
      <c r="T1662" s="4">
        <v>43</v>
      </c>
      <c r="U1662" s="4">
        <v>83</v>
      </c>
      <c r="V1662" s="4">
        <f>IF(ISERROR(VLOOKUP($S$1662,'TAR FIN'!$A$1:$O$99,15,0)),0,VLOOKUP($S$1662,'TAR FIN'!$A$1:$O$99,15,0))</f>
        <v>0</v>
      </c>
      <c r="W1662" s="4">
        <f>IF(ISERROR(VLOOKUP($T$1662,'TAR FIN'!$A$1:$O$99,15,0)),0,VLOOKUP($T$1662,'TAR FIN'!$A$1:$O$99,15,0))</f>
        <v>657.51</v>
      </c>
      <c r="X1662" s="4">
        <f>IF(ISERROR(VLOOKUP($U$1662,'TAR FIN'!$A$1:$O$99,15,0)),0,VLOOKUP($U$1662,'TAR FIN'!$A$1:$O$99,15,0))</f>
        <v>219.97</v>
      </c>
      <c r="Y1662" s="4"/>
      <c r="Z1662" s="4">
        <f ca="1">('TUSD BE'!$AM$57+'TUSD BF'!$AM$57+'TUSD CVA'!$AM$57)*1</f>
        <v>769.81008209782362</v>
      </c>
      <c r="AA1662" s="4">
        <f>('TE BE'!$AA$39+'TE BF'!$AA$39+'TE CVA'!$AA$39)*1</f>
        <v>271.13910989737087</v>
      </c>
      <c r="AB1662" s="4">
        <f>$K$1662*$V$1662</f>
        <v>0</v>
      </c>
      <c r="AC1662" s="4">
        <f>$M$1662*$W$1662</f>
        <v>22.355340000000002</v>
      </c>
      <c r="AD1662" s="4">
        <f>$O$1662*$X$1662</f>
        <v>7.4789800000000008</v>
      </c>
      <c r="AE1662" s="4">
        <f>$K$1662*$Y$1662</f>
        <v>0</v>
      </c>
      <c r="AF1662" s="4">
        <f ca="1">$M$1662*$Z$1662</f>
        <v>26.173542791326007</v>
      </c>
      <c r="AG1662" s="4">
        <f>$O$1662*$AA$1662</f>
        <v>9.2187297365106105</v>
      </c>
    </row>
    <row r="1663" spans="1:33" ht="11.25" customHeight="1" x14ac:dyDescent="0.25">
      <c r="A1663" s="3" t="s">
        <v>21</v>
      </c>
      <c r="B1663" s="3" t="s">
        <v>39</v>
      </c>
      <c r="C1663" s="3" t="s">
        <v>37</v>
      </c>
      <c r="D1663" s="3" t="s">
        <v>43</v>
      </c>
      <c r="E1663" s="3" t="s">
        <v>25</v>
      </c>
      <c r="F1663" s="3" t="s">
        <v>25</v>
      </c>
      <c r="G1663" s="3" t="s">
        <v>25</v>
      </c>
      <c r="H1663" s="3" t="s">
        <v>38</v>
      </c>
      <c r="I1663" s="6">
        <v>44531</v>
      </c>
      <c r="J1663" s="4">
        <v>0</v>
      </c>
      <c r="K1663" s="4">
        <v>0</v>
      </c>
      <c r="L1663" s="4">
        <v>10.035</v>
      </c>
      <c r="M1663" s="4">
        <v>10.035</v>
      </c>
      <c r="N1663" s="4">
        <v>10.035</v>
      </c>
      <c r="O1663" s="4">
        <v>10.035</v>
      </c>
      <c r="P1663" s="4">
        <v>0</v>
      </c>
      <c r="Q1663" s="3" t="s">
        <v>26</v>
      </c>
      <c r="R1663" s="3">
        <v>0</v>
      </c>
      <c r="S1663" s="4">
        <v>0</v>
      </c>
      <c r="T1663" s="4">
        <v>43</v>
      </c>
      <c r="U1663" s="4">
        <v>83</v>
      </c>
      <c r="V1663" s="4">
        <f>IF(ISERROR(VLOOKUP($S$1663,'TAR FIN'!$A$1:$O$99,15,0)),0,VLOOKUP($S$1663,'TAR FIN'!$A$1:$O$99,15,0))</f>
        <v>0</v>
      </c>
      <c r="W1663" s="4">
        <f>IF(ISERROR(VLOOKUP($T$1663,'TAR FIN'!$A$1:$O$99,15,0)),0,VLOOKUP($T$1663,'TAR FIN'!$A$1:$O$99,15,0))</f>
        <v>657.51</v>
      </c>
      <c r="X1663" s="4">
        <f>IF(ISERROR(VLOOKUP($U$1663,'TAR FIN'!$A$1:$O$99,15,0)),0,VLOOKUP($U$1663,'TAR FIN'!$A$1:$O$99,15,0))</f>
        <v>219.97</v>
      </c>
      <c r="Y1663" s="4"/>
      <c r="Z1663" s="4">
        <f ca="1">('TUSD BE'!$AM$57+'TUSD BF'!$AM$57+'TUSD CVA'!$AM$57)*1</f>
        <v>769.81008209782362</v>
      </c>
      <c r="AA1663" s="4">
        <f>('TE BE'!$AA$39+'TE BF'!$AA$39+'TE CVA'!$AA$39)*1</f>
        <v>271.13910989737087</v>
      </c>
      <c r="AB1663" s="4">
        <f>$K$1663*$V$1663</f>
        <v>0</v>
      </c>
      <c r="AC1663" s="4">
        <f>$M$1663*$W$1663</f>
        <v>6598.1128500000004</v>
      </c>
      <c r="AD1663" s="4">
        <f>$O$1663*$X$1663</f>
        <v>2207.3989500000002</v>
      </c>
      <c r="AE1663" s="4">
        <f>$K$1663*$Y$1663</f>
        <v>0</v>
      </c>
      <c r="AF1663" s="4">
        <f ca="1">$M$1663*$Z$1663</f>
        <v>7725.0441738516602</v>
      </c>
      <c r="AG1663" s="4">
        <f>$O$1663*$AA$1663</f>
        <v>2720.8809678201169</v>
      </c>
    </row>
    <row r="1664" spans="1:33" ht="11.25" customHeight="1" x14ac:dyDescent="0.25">
      <c r="A1664" s="3" t="s">
        <v>28</v>
      </c>
      <c r="B1664" s="3" t="s">
        <v>39</v>
      </c>
      <c r="C1664" s="3" t="s">
        <v>37</v>
      </c>
      <c r="D1664" s="3" t="s">
        <v>43</v>
      </c>
      <c r="E1664" s="3" t="s">
        <v>25</v>
      </c>
      <c r="F1664" s="3" t="s">
        <v>25</v>
      </c>
      <c r="G1664" s="3" t="s">
        <v>25</v>
      </c>
      <c r="H1664" s="3" t="s">
        <v>38</v>
      </c>
      <c r="I1664" s="6">
        <v>44531</v>
      </c>
      <c r="J1664" s="4">
        <v>0</v>
      </c>
      <c r="K1664" s="4">
        <v>0</v>
      </c>
      <c r="L1664" s="4">
        <v>2.5000000000000001E-2</v>
      </c>
      <c r="M1664" s="4">
        <v>2.5000000000000001E-2</v>
      </c>
      <c r="N1664" s="4">
        <v>2.5000000000000001E-2</v>
      </c>
      <c r="O1664" s="4">
        <v>2.5000000000000001E-2</v>
      </c>
      <c r="P1664" s="4">
        <v>0</v>
      </c>
      <c r="Q1664" s="3" t="s">
        <v>26</v>
      </c>
      <c r="R1664" s="3">
        <v>0</v>
      </c>
      <c r="S1664" s="4">
        <v>0</v>
      </c>
      <c r="T1664" s="4">
        <v>43</v>
      </c>
      <c r="U1664" s="4">
        <v>83</v>
      </c>
      <c r="V1664" s="4">
        <f>IF(ISERROR(VLOOKUP($S$1664,'TAR FIN'!$A$1:$O$99,15,0)),0,VLOOKUP($S$1664,'TAR FIN'!$A$1:$O$99,15,0))</f>
        <v>0</v>
      </c>
      <c r="W1664" s="4">
        <f>IF(ISERROR(VLOOKUP($T$1664,'TAR FIN'!$A$1:$O$99,15,0)),0,VLOOKUP($T$1664,'TAR FIN'!$A$1:$O$99,15,0))</f>
        <v>657.51</v>
      </c>
      <c r="X1664" s="4">
        <f>IF(ISERROR(VLOOKUP($U$1664,'TAR FIN'!$A$1:$O$99,15,0)),0,VLOOKUP($U$1664,'TAR FIN'!$A$1:$O$99,15,0))</f>
        <v>219.97</v>
      </c>
      <c r="Y1664" s="4"/>
      <c r="Z1664" s="4">
        <f ca="1">('TUSD BE'!$AM$57+'TUSD BF'!$AM$57+'TUSD CVA'!$AM$57)*1</f>
        <v>769.81008209782362</v>
      </c>
      <c r="AA1664" s="4">
        <f>('TE BE'!$AA$39+'TE BF'!$AA$39+'TE CVA'!$AA$39)*1</f>
        <v>271.13910989737087</v>
      </c>
      <c r="AB1664" s="4">
        <f>$K$1664*$V$1664</f>
        <v>0</v>
      </c>
      <c r="AC1664" s="4">
        <f>$M$1664*$W$1664</f>
        <v>16.437750000000001</v>
      </c>
      <c r="AD1664" s="4">
        <f>$O$1664*$X$1664</f>
        <v>5.49925</v>
      </c>
      <c r="AE1664" s="4">
        <f>$K$1664*$Y$1664</f>
        <v>0</v>
      </c>
      <c r="AF1664" s="4">
        <f ca="1">$M$1664*$Z$1664</f>
        <v>19.245252052445593</v>
      </c>
      <c r="AG1664" s="4">
        <f>$O$1664*$AA$1664</f>
        <v>6.7784777474342723</v>
      </c>
    </row>
    <row r="1665" spans="1:33" ht="11.25" customHeight="1" x14ac:dyDescent="0.25">
      <c r="A1665" s="3" t="s">
        <v>21</v>
      </c>
      <c r="B1665" s="3" t="s">
        <v>39</v>
      </c>
      <c r="C1665" s="3" t="s">
        <v>37</v>
      </c>
      <c r="D1665" s="3" t="s">
        <v>43</v>
      </c>
      <c r="E1665" s="3" t="s">
        <v>25</v>
      </c>
      <c r="F1665" s="3" t="s">
        <v>25</v>
      </c>
      <c r="G1665" s="3" t="s">
        <v>25</v>
      </c>
      <c r="H1665" s="3" t="s">
        <v>38</v>
      </c>
      <c r="I1665" s="6">
        <v>44562</v>
      </c>
      <c r="J1665" s="4">
        <v>0</v>
      </c>
      <c r="K1665" s="4">
        <v>0</v>
      </c>
      <c r="L1665" s="4">
        <v>9.1539999999999999</v>
      </c>
      <c r="M1665" s="4">
        <v>9.1539999999999999</v>
      </c>
      <c r="N1665" s="4">
        <v>9.1539999999999999</v>
      </c>
      <c r="O1665" s="4">
        <v>9.1539999999999999</v>
      </c>
      <c r="P1665" s="4">
        <v>0</v>
      </c>
      <c r="Q1665" s="3" t="s">
        <v>26</v>
      </c>
      <c r="R1665" s="3">
        <v>0</v>
      </c>
      <c r="S1665" s="4">
        <v>0</v>
      </c>
      <c r="T1665" s="4">
        <v>43</v>
      </c>
      <c r="U1665" s="4">
        <v>83</v>
      </c>
      <c r="V1665" s="4">
        <f>IF(ISERROR(VLOOKUP($S$1665,'TAR FIN'!$A$1:$O$99,15,0)),0,VLOOKUP($S$1665,'TAR FIN'!$A$1:$O$99,15,0))</f>
        <v>0</v>
      </c>
      <c r="W1665" s="4">
        <f>IF(ISERROR(VLOOKUP($T$1665,'TAR FIN'!$A$1:$O$99,15,0)),0,VLOOKUP($T$1665,'TAR FIN'!$A$1:$O$99,15,0))</f>
        <v>657.51</v>
      </c>
      <c r="X1665" s="4">
        <f>IF(ISERROR(VLOOKUP($U$1665,'TAR FIN'!$A$1:$O$99,15,0)),0,VLOOKUP($U$1665,'TAR FIN'!$A$1:$O$99,15,0))</f>
        <v>219.97</v>
      </c>
      <c r="Y1665" s="4"/>
      <c r="Z1665" s="4">
        <f ca="1">('TUSD BE'!$AM$57+'TUSD BF'!$AM$57+'TUSD CVA'!$AM$57)*1</f>
        <v>769.81008209782362</v>
      </c>
      <c r="AA1665" s="4">
        <f>('TE BE'!$AA$39+'TE BF'!$AA$39+'TE CVA'!$AA$39)*1</f>
        <v>271.13910989737087</v>
      </c>
      <c r="AB1665" s="4">
        <f>$K$1665*$V$1665</f>
        <v>0</v>
      </c>
      <c r="AC1665" s="4">
        <f>$M$1665*$W$1665</f>
        <v>6018.8465399999995</v>
      </c>
      <c r="AD1665" s="4">
        <f>$O$1665*$X$1665</f>
        <v>2013.60538</v>
      </c>
      <c r="AE1665" s="4">
        <f>$K$1665*$Y$1665</f>
        <v>0</v>
      </c>
      <c r="AF1665" s="4">
        <f ca="1">$M$1665*$Z$1665</f>
        <v>7046.8414915234771</v>
      </c>
      <c r="AG1665" s="4">
        <f>$O$1665*$AA$1665</f>
        <v>2482.0074120005329</v>
      </c>
    </row>
    <row r="1666" spans="1:33" ht="11.25" customHeight="1" x14ac:dyDescent="0.25">
      <c r="A1666" s="3" t="s">
        <v>28</v>
      </c>
      <c r="B1666" s="3" t="s">
        <v>39</v>
      </c>
      <c r="C1666" s="3" t="s">
        <v>37</v>
      </c>
      <c r="D1666" s="3" t="s">
        <v>43</v>
      </c>
      <c r="E1666" s="3" t="s">
        <v>25</v>
      </c>
      <c r="F1666" s="3" t="s">
        <v>25</v>
      </c>
      <c r="G1666" s="3" t="s">
        <v>25</v>
      </c>
      <c r="H1666" s="3" t="s">
        <v>38</v>
      </c>
      <c r="I1666" s="6">
        <v>44562</v>
      </c>
      <c r="J1666" s="4">
        <v>0</v>
      </c>
      <c r="K1666" s="4">
        <v>0</v>
      </c>
      <c r="L1666" s="4">
        <v>1.2E-2</v>
      </c>
      <c r="M1666" s="4">
        <v>1.2E-2</v>
      </c>
      <c r="N1666" s="4">
        <v>1.2E-2</v>
      </c>
      <c r="O1666" s="4">
        <v>1.2E-2</v>
      </c>
      <c r="P1666" s="4">
        <v>0</v>
      </c>
      <c r="Q1666" s="3" t="s">
        <v>26</v>
      </c>
      <c r="R1666" s="3">
        <v>0</v>
      </c>
      <c r="S1666" s="4">
        <v>0</v>
      </c>
      <c r="T1666" s="4">
        <v>43</v>
      </c>
      <c r="U1666" s="4">
        <v>83</v>
      </c>
      <c r="V1666" s="4">
        <f>IF(ISERROR(VLOOKUP($S$1666,'TAR FIN'!$A$1:$O$99,15,0)),0,VLOOKUP($S$1666,'TAR FIN'!$A$1:$O$99,15,0))</f>
        <v>0</v>
      </c>
      <c r="W1666" s="4">
        <f>IF(ISERROR(VLOOKUP($T$1666,'TAR FIN'!$A$1:$O$99,15,0)),0,VLOOKUP($T$1666,'TAR FIN'!$A$1:$O$99,15,0))</f>
        <v>657.51</v>
      </c>
      <c r="X1666" s="4">
        <f>IF(ISERROR(VLOOKUP($U$1666,'TAR FIN'!$A$1:$O$99,15,0)),0,VLOOKUP($U$1666,'TAR FIN'!$A$1:$O$99,15,0))</f>
        <v>219.97</v>
      </c>
      <c r="Y1666" s="4"/>
      <c r="Z1666" s="4">
        <f ca="1">('TUSD BE'!$AM$57+'TUSD BF'!$AM$57+'TUSD CVA'!$AM$57)*1</f>
        <v>769.81008209782362</v>
      </c>
      <c r="AA1666" s="4">
        <f>('TE BE'!$AA$39+'TE BF'!$AA$39+'TE CVA'!$AA$39)*1</f>
        <v>271.13910989737087</v>
      </c>
      <c r="AB1666" s="4">
        <f>$K$1666*$V$1666</f>
        <v>0</v>
      </c>
      <c r="AC1666" s="4">
        <f>$M$1666*$W$1666</f>
        <v>7.8901200000000005</v>
      </c>
      <c r="AD1666" s="4">
        <f>$O$1666*$X$1666</f>
        <v>2.63964</v>
      </c>
      <c r="AE1666" s="4">
        <f>$K$1666*$Y$1666</f>
        <v>0</v>
      </c>
      <c r="AF1666" s="4">
        <f ca="1">$M$1666*$Z$1666</f>
        <v>9.2377209851738833</v>
      </c>
      <c r="AG1666" s="4">
        <f>$O$1666*$AA$1666</f>
        <v>3.2536693187684507</v>
      </c>
    </row>
    <row r="1667" spans="1:33" ht="11.25" customHeight="1" x14ac:dyDescent="0.25">
      <c r="A1667" s="3" t="s">
        <v>21</v>
      </c>
      <c r="B1667" s="3" t="s">
        <v>39</v>
      </c>
      <c r="C1667" s="3" t="s">
        <v>37</v>
      </c>
      <c r="D1667" s="3" t="s">
        <v>43</v>
      </c>
      <c r="E1667" s="3" t="s">
        <v>25</v>
      </c>
      <c r="F1667" s="3" t="s">
        <v>25</v>
      </c>
      <c r="G1667" s="3" t="s">
        <v>25</v>
      </c>
      <c r="H1667" s="3" t="s">
        <v>38</v>
      </c>
      <c r="I1667" s="6">
        <v>44593</v>
      </c>
      <c r="J1667" s="4">
        <v>0</v>
      </c>
      <c r="K1667" s="4">
        <v>0</v>
      </c>
      <c r="L1667" s="4">
        <v>9.6010000000000009</v>
      </c>
      <c r="M1667" s="4">
        <v>9.6010000000000009</v>
      </c>
      <c r="N1667" s="4">
        <v>9.6010000000000009</v>
      </c>
      <c r="O1667" s="4">
        <v>9.6010000000000009</v>
      </c>
      <c r="P1667" s="4">
        <v>0</v>
      </c>
      <c r="Q1667" s="3" t="s">
        <v>26</v>
      </c>
      <c r="R1667" s="3">
        <v>0</v>
      </c>
      <c r="S1667" s="4">
        <v>0</v>
      </c>
      <c r="T1667" s="4">
        <v>43</v>
      </c>
      <c r="U1667" s="4">
        <v>83</v>
      </c>
      <c r="V1667" s="4">
        <f>IF(ISERROR(VLOOKUP($S$1667,'TAR FIN'!$A$1:$O$99,15,0)),0,VLOOKUP($S$1667,'TAR FIN'!$A$1:$O$99,15,0))</f>
        <v>0</v>
      </c>
      <c r="W1667" s="4">
        <f>IF(ISERROR(VLOOKUP($T$1667,'TAR FIN'!$A$1:$O$99,15,0)),0,VLOOKUP($T$1667,'TAR FIN'!$A$1:$O$99,15,0))</f>
        <v>657.51</v>
      </c>
      <c r="X1667" s="4">
        <f>IF(ISERROR(VLOOKUP($U$1667,'TAR FIN'!$A$1:$O$99,15,0)),0,VLOOKUP($U$1667,'TAR FIN'!$A$1:$O$99,15,0))</f>
        <v>219.97</v>
      </c>
      <c r="Y1667" s="4"/>
      <c r="Z1667" s="4">
        <f ca="1">('TUSD BE'!$AM$57+'TUSD BF'!$AM$57+'TUSD CVA'!$AM$57)*1</f>
        <v>769.81008209782362</v>
      </c>
      <c r="AA1667" s="4">
        <f>('TE BE'!$AA$39+'TE BF'!$AA$39+'TE CVA'!$AA$39)*1</f>
        <v>271.13910989737087</v>
      </c>
      <c r="AB1667" s="4">
        <f>$K$1667*$V$1667</f>
        <v>0</v>
      </c>
      <c r="AC1667" s="4">
        <f>$M$1667*$W$1667</f>
        <v>6312.7535100000005</v>
      </c>
      <c r="AD1667" s="4">
        <f>$O$1667*$X$1667</f>
        <v>2111.9319700000001</v>
      </c>
      <c r="AE1667" s="4">
        <f>$K$1667*$Y$1667</f>
        <v>0</v>
      </c>
      <c r="AF1667" s="4">
        <f ca="1">$M$1667*$Z$1667</f>
        <v>7390.946598221205</v>
      </c>
      <c r="AG1667" s="4">
        <f>$O$1667*$AA$1667</f>
        <v>2603.2065941246578</v>
      </c>
    </row>
    <row r="1668" spans="1:33" ht="11.25" customHeight="1" x14ac:dyDescent="0.25">
      <c r="A1668" s="3" t="s">
        <v>27</v>
      </c>
      <c r="B1668" s="3" t="s">
        <v>39</v>
      </c>
      <c r="C1668" s="3" t="s">
        <v>37</v>
      </c>
      <c r="D1668" s="3" t="s">
        <v>43</v>
      </c>
      <c r="E1668" s="3" t="s">
        <v>25</v>
      </c>
      <c r="F1668" s="3" t="s">
        <v>25</v>
      </c>
      <c r="G1668" s="3" t="s">
        <v>25</v>
      </c>
      <c r="H1668" s="3" t="s">
        <v>38</v>
      </c>
      <c r="I1668" s="6">
        <v>44593</v>
      </c>
      <c r="J1668" s="4">
        <v>0</v>
      </c>
      <c r="K1668" s="4">
        <v>0</v>
      </c>
      <c r="L1668" s="4">
        <v>-0.20200000000000001</v>
      </c>
      <c r="M1668" s="4">
        <v>-0.20200000000000001</v>
      </c>
      <c r="N1668" s="4">
        <v>-0.20200000000000001</v>
      </c>
      <c r="O1668" s="4">
        <v>-0.20200000000000001</v>
      </c>
      <c r="P1668" s="4">
        <v>0</v>
      </c>
      <c r="Q1668" s="3" t="s">
        <v>26</v>
      </c>
      <c r="R1668" s="3">
        <v>0</v>
      </c>
      <c r="S1668" s="4">
        <v>0</v>
      </c>
      <c r="T1668" s="4">
        <v>43</v>
      </c>
      <c r="U1668" s="4">
        <v>83</v>
      </c>
      <c r="V1668" s="4">
        <f>IF(ISERROR(VLOOKUP($S$1668,'TAR FIN'!$A$1:$O$99,15,0)),0,VLOOKUP($S$1668,'TAR FIN'!$A$1:$O$99,15,0))</f>
        <v>0</v>
      </c>
      <c r="W1668" s="4">
        <f>IF(ISERROR(VLOOKUP($T$1668,'TAR FIN'!$A$1:$O$99,15,0)),0,VLOOKUP($T$1668,'TAR FIN'!$A$1:$O$99,15,0))</f>
        <v>657.51</v>
      </c>
      <c r="X1668" s="4">
        <f>IF(ISERROR(VLOOKUP($U$1668,'TAR FIN'!$A$1:$O$99,15,0)),0,VLOOKUP($U$1668,'TAR FIN'!$A$1:$O$99,15,0))</f>
        <v>219.97</v>
      </c>
      <c r="Y1668" s="4"/>
      <c r="Z1668" s="4">
        <f ca="1">('TUSD BE'!$AM$57+'TUSD BF'!$AM$57+'TUSD CVA'!$AM$57)*1</f>
        <v>769.81008209782362</v>
      </c>
      <c r="AA1668" s="4">
        <f>('TE BE'!$AA$39+'TE BF'!$AA$39+'TE CVA'!$AA$39)*1</f>
        <v>271.13910989737087</v>
      </c>
      <c r="AB1668" s="4">
        <f>$K$1668*$V$1668</f>
        <v>0</v>
      </c>
      <c r="AC1668" s="4">
        <f>$M$1668*$W$1668</f>
        <v>-132.81702000000001</v>
      </c>
      <c r="AD1668" s="4">
        <f>$O$1668*$X$1668</f>
        <v>-44.43394</v>
      </c>
      <c r="AE1668" s="4">
        <f>$K$1668*$Y$1668</f>
        <v>0</v>
      </c>
      <c r="AF1668" s="4">
        <f ca="1">$M$1668*$Z$1668</f>
        <v>-155.50163658376039</v>
      </c>
      <c r="AG1668" s="4">
        <f>$O$1668*$AA$1668</f>
        <v>-54.770100199268917</v>
      </c>
    </row>
    <row r="1669" spans="1:33" ht="11.25" customHeight="1" x14ac:dyDescent="0.25">
      <c r="A1669" s="3" t="s">
        <v>28</v>
      </c>
      <c r="B1669" s="3" t="s">
        <v>39</v>
      </c>
      <c r="C1669" s="3" t="s">
        <v>37</v>
      </c>
      <c r="D1669" s="3" t="s">
        <v>43</v>
      </c>
      <c r="E1669" s="3" t="s">
        <v>25</v>
      </c>
      <c r="F1669" s="3" t="s">
        <v>25</v>
      </c>
      <c r="G1669" s="3" t="s">
        <v>25</v>
      </c>
      <c r="H1669" s="3" t="s">
        <v>38</v>
      </c>
      <c r="I1669" s="6">
        <v>44593</v>
      </c>
      <c r="J1669" s="4">
        <v>0</v>
      </c>
      <c r="K1669" s="4">
        <v>0</v>
      </c>
      <c r="L1669" s="4">
        <v>8.9999999999999993E-3</v>
      </c>
      <c r="M1669" s="4">
        <v>8.9999999999999993E-3</v>
      </c>
      <c r="N1669" s="4">
        <v>8.9999999999999993E-3</v>
      </c>
      <c r="O1669" s="4">
        <v>8.9999999999999993E-3</v>
      </c>
      <c r="P1669" s="4">
        <v>0</v>
      </c>
      <c r="Q1669" s="3" t="s">
        <v>26</v>
      </c>
      <c r="R1669" s="3">
        <v>0</v>
      </c>
      <c r="S1669" s="4">
        <v>0</v>
      </c>
      <c r="T1669" s="4">
        <v>43</v>
      </c>
      <c r="U1669" s="4">
        <v>83</v>
      </c>
      <c r="V1669" s="4">
        <f>IF(ISERROR(VLOOKUP($S$1669,'TAR FIN'!$A$1:$O$99,15,0)),0,VLOOKUP($S$1669,'TAR FIN'!$A$1:$O$99,15,0))</f>
        <v>0</v>
      </c>
      <c r="W1669" s="4">
        <f>IF(ISERROR(VLOOKUP($T$1669,'TAR FIN'!$A$1:$O$99,15,0)),0,VLOOKUP($T$1669,'TAR FIN'!$A$1:$O$99,15,0))</f>
        <v>657.51</v>
      </c>
      <c r="X1669" s="4">
        <f>IF(ISERROR(VLOOKUP($U$1669,'TAR FIN'!$A$1:$O$99,15,0)),0,VLOOKUP($U$1669,'TAR FIN'!$A$1:$O$99,15,0))</f>
        <v>219.97</v>
      </c>
      <c r="Y1669" s="4"/>
      <c r="Z1669" s="4">
        <f ca="1">('TUSD BE'!$AM$57+'TUSD BF'!$AM$57+'TUSD CVA'!$AM$57)*1</f>
        <v>769.81008209782362</v>
      </c>
      <c r="AA1669" s="4">
        <f>('TE BE'!$AA$39+'TE BF'!$AA$39+'TE CVA'!$AA$39)*1</f>
        <v>271.13910989737087</v>
      </c>
      <c r="AB1669" s="4">
        <f>$K$1669*$V$1669</f>
        <v>0</v>
      </c>
      <c r="AC1669" s="4">
        <f>$M$1669*$W$1669</f>
        <v>5.9175899999999997</v>
      </c>
      <c r="AD1669" s="4">
        <f>$O$1669*$X$1669</f>
        <v>1.9797299999999998</v>
      </c>
      <c r="AE1669" s="4">
        <f>$K$1669*$Y$1669</f>
        <v>0</v>
      </c>
      <c r="AF1669" s="4">
        <f ca="1">$M$1669*$Z$1669</f>
        <v>6.9282907388804125</v>
      </c>
      <c r="AG1669" s="4">
        <f>$O$1669*$AA$1669</f>
        <v>2.4402519890763377</v>
      </c>
    </row>
    <row r="1670" spans="1:33" ht="11.25" customHeight="1" x14ac:dyDescent="0.25">
      <c r="A1670" s="3" t="s">
        <v>21</v>
      </c>
      <c r="B1670" s="3" t="s">
        <v>39</v>
      </c>
      <c r="C1670" s="3" t="s">
        <v>37</v>
      </c>
      <c r="D1670" s="3" t="s">
        <v>43</v>
      </c>
      <c r="E1670" s="3" t="s">
        <v>25</v>
      </c>
      <c r="F1670" s="3" t="s">
        <v>25</v>
      </c>
      <c r="G1670" s="3" t="s">
        <v>25</v>
      </c>
      <c r="H1670" s="3" t="s">
        <v>38</v>
      </c>
      <c r="I1670" s="6">
        <v>44621</v>
      </c>
      <c r="J1670" s="4">
        <v>0</v>
      </c>
      <c r="K1670" s="4">
        <v>0</v>
      </c>
      <c r="L1670" s="4">
        <v>9.8010000000000002</v>
      </c>
      <c r="M1670" s="4">
        <v>9.8010000000000002</v>
      </c>
      <c r="N1670" s="4">
        <v>9.8010000000000002</v>
      </c>
      <c r="O1670" s="4">
        <v>9.8010000000000002</v>
      </c>
      <c r="P1670" s="4">
        <v>0</v>
      </c>
      <c r="Q1670" s="3" t="s">
        <v>26</v>
      </c>
      <c r="R1670" s="3">
        <v>0</v>
      </c>
      <c r="S1670" s="4">
        <v>0</v>
      </c>
      <c r="T1670" s="4">
        <v>43</v>
      </c>
      <c r="U1670" s="4">
        <v>83</v>
      </c>
      <c r="V1670" s="4">
        <f>IF(ISERROR(VLOOKUP($S$1670,'TAR FIN'!$A$1:$O$99,15,0)),0,VLOOKUP($S$1670,'TAR FIN'!$A$1:$O$99,15,0))</f>
        <v>0</v>
      </c>
      <c r="W1670" s="4">
        <f>IF(ISERROR(VLOOKUP($T$1670,'TAR FIN'!$A$1:$O$99,15,0)),0,VLOOKUP($T$1670,'TAR FIN'!$A$1:$O$99,15,0))</f>
        <v>657.51</v>
      </c>
      <c r="X1670" s="4">
        <f>IF(ISERROR(VLOOKUP($U$1670,'TAR FIN'!$A$1:$O$99,15,0)),0,VLOOKUP($U$1670,'TAR FIN'!$A$1:$O$99,15,0))</f>
        <v>219.97</v>
      </c>
      <c r="Y1670" s="4"/>
      <c r="Z1670" s="4">
        <f ca="1">('TUSD BE'!$AM$57+'TUSD BF'!$AM$57+'TUSD CVA'!$AM$57)*1</f>
        <v>769.81008209782362</v>
      </c>
      <c r="AA1670" s="4">
        <f>('TE BE'!$AA$39+'TE BF'!$AA$39+'TE CVA'!$AA$39)*1</f>
        <v>271.13910989737087</v>
      </c>
      <c r="AB1670" s="4">
        <f>$K$1670*$V$1670</f>
        <v>0</v>
      </c>
      <c r="AC1670" s="4">
        <f>$M$1670*$W$1670</f>
        <v>6444.25551</v>
      </c>
      <c r="AD1670" s="4">
        <f>$O$1670*$X$1670</f>
        <v>2155.9259700000002</v>
      </c>
      <c r="AE1670" s="4">
        <f>$K$1670*$Y$1670</f>
        <v>0</v>
      </c>
      <c r="AF1670" s="4">
        <f ca="1">$M$1670*$Z$1670</f>
        <v>7544.9086146407699</v>
      </c>
      <c r="AG1670" s="4">
        <f>$O$1670*$AA$1670</f>
        <v>2657.4344161041317</v>
      </c>
    </row>
    <row r="1671" spans="1:33" ht="11.25" customHeight="1" x14ac:dyDescent="0.25">
      <c r="A1671" s="3" t="s">
        <v>28</v>
      </c>
      <c r="B1671" s="3" t="s">
        <v>39</v>
      </c>
      <c r="C1671" s="3" t="s">
        <v>37</v>
      </c>
      <c r="D1671" s="3" t="s">
        <v>43</v>
      </c>
      <c r="E1671" s="3" t="s">
        <v>25</v>
      </c>
      <c r="F1671" s="3" t="s">
        <v>25</v>
      </c>
      <c r="G1671" s="3" t="s">
        <v>25</v>
      </c>
      <c r="H1671" s="3" t="s">
        <v>38</v>
      </c>
      <c r="I1671" s="6">
        <v>44621</v>
      </c>
      <c r="J1671" s="4">
        <v>0</v>
      </c>
      <c r="K1671" s="4">
        <v>0</v>
      </c>
      <c r="L1671" s="4">
        <v>8.0000000000000002E-3</v>
      </c>
      <c r="M1671" s="4">
        <v>8.0000000000000002E-3</v>
      </c>
      <c r="N1671" s="4">
        <v>8.0000000000000002E-3</v>
      </c>
      <c r="O1671" s="4">
        <v>8.0000000000000002E-3</v>
      </c>
      <c r="P1671" s="4">
        <v>0</v>
      </c>
      <c r="Q1671" s="3" t="s">
        <v>26</v>
      </c>
      <c r="R1671" s="3">
        <v>0</v>
      </c>
      <c r="S1671" s="4">
        <v>0</v>
      </c>
      <c r="T1671" s="4">
        <v>43</v>
      </c>
      <c r="U1671" s="4">
        <v>83</v>
      </c>
      <c r="V1671" s="4">
        <f>IF(ISERROR(VLOOKUP($S$1671,'TAR FIN'!$A$1:$O$99,15,0)),0,VLOOKUP($S$1671,'TAR FIN'!$A$1:$O$99,15,0))</f>
        <v>0</v>
      </c>
      <c r="W1671" s="4">
        <f>IF(ISERROR(VLOOKUP($T$1671,'TAR FIN'!$A$1:$O$99,15,0)),0,VLOOKUP($T$1671,'TAR FIN'!$A$1:$O$99,15,0))</f>
        <v>657.51</v>
      </c>
      <c r="X1671" s="4">
        <f>IF(ISERROR(VLOOKUP($U$1671,'TAR FIN'!$A$1:$O$99,15,0)),0,VLOOKUP($U$1671,'TAR FIN'!$A$1:$O$99,15,0))</f>
        <v>219.97</v>
      </c>
      <c r="Y1671" s="4"/>
      <c r="Z1671" s="4">
        <f ca="1">('TUSD BE'!$AM$57+'TUSD BF'!$AM$57+'TUSD CVA'!$AM$57)*1</f>
        <v>769.81008209782362</v>
      </c>
      <c r="AA1671" s="4">
        <f>('TE BE'!$AA$39+'TE BF'!$AA$39+'TE CVA'!$AA$39)*1</f>
        <v>271.13910989737087</v>
      </c>
      <c r="AB1671" s="4">
        <f>$K$1671*$V$1671</f>
        <v>0</v>
      </c>
      <c r="AC1671" s="4">
        <f>$M$1671*$W$1671</f>
        <v>5.2600800000000003</v>
      </c>
      <c r="AD1671" s="4">
        <f>$O$1671*$X$1671</f>
        <v>1.75976</v>
      </c>
      <c r="AE1671" s="4">
        <f>$K$1671*$Y$1671</f>
        <v>0</v>
      </c>
      <c r="AF1671" s="4">
        <f ca="1">$M$1671*$Z$1671</f>
        <v>6.1584806567825892</v>
      </c>
      <c r="AG1671" s="4">
        <f>$O$1671*$AA$1671</f>
        <v>2.1691128791789671</v>
      </c>
    </row>
    <row r="1672" spans="1:33" ht="11.25" customHeight="1" x14ac:dyDescent="0.25">
      <c r="A1672" s="3" t="s">
        <v>56</v>
      </c>
      <c r="B1672" s="3" t="s">
        <v>39</v>
      </c>
      <c r="C1672" s="3" t="s">
        <v>37</v>
      </c>
      <c r="D1672" s="3" t="s">
        <v>43</v>
      </c>
      <c r="E1672" s="3" t="s">
        <v>25</v>
      </c>
      <c r="F1672" s="3" t="s">
        <v>25</v>
      </c>
      <c r="G1672" s="3" t="s">
        <v>25</v>
      </c>
      <c r="H1672" s="3" t="s">
        <v>38</v>
      </c>
      <c r="I1672" s="6">
        <v>44652</v>
      </c>
      <c r="J1672" s="4">
        <v>0</v>
      </c>
      <c r="K1672" s="4">
        <v>0</v>
      </c>
      <c r="L1672" s="4">
        <v>9.8010000000000002</v>
      </c>
      <c r="M1672" s="4">
        <v>9.8010000000000002</v>
      </c>
      <c r="N1672" s="4">
        <v>9.8010000000000002</v>
      </c>
      <c r="O1672" s="4">
        <v>9.8010000000000002</v>
      </c>
      <c r="P1672" s="4">
        <v>0</v>
      </c>
      <c r="Q1672" s="3" t="s">
        <v>26</v>
      </c>
      <c r="R1672" s="3">
        <v>0</v>
      </c>
      <c r="S1672" s="4">
        <v>0</v>
      </c>
      <c r="T1672" s="4">
        <v>43</v>
      </c>
      <c r="U1672" s="4">
        <v>83</v>
      </c>
      <c r="V1672" s="4">
        <f>IF(ISERROR(VLOOKUP($S$1672,'TAR FIN'!$A$1:$O$99,15,0)),0,VLOOKUP($S$1672,'TAR FIN'!$A$1:$O$99,15,0))</f>
        <v>0</v>
      </c>
      <c r="W1672" s="4">
        <f>IF(ISERROR(VLOOKUP($T$1672,'TAR FIN'!$A$1:$O$99,15,0)),0,VLOOKUP($T$1672,'TAR FIN'!$A$1:$O$99,15,0))</f>
        <v>657.51</v>
      </c>
      <c r="X1672" s="4">
        <f>IF(ISERROR(VLOOKUP($U$1672,'TAR FIN'!$A$1:$O$99,15,0)),0,VLOOKUP($U$1672,'TAR FIN'!$A$1:$O$99,15,0))</f>
        <v>219.97</v>
      </c>
      <c r="Y1672" s="4"/>
      <c r="Z1672" s="4">
        <f ca="1">('TUSD BE'!$AM$57+'TUSD BF'!$AM$57+'TUSD CVA'!$AM$57)*1</f>
        <v>769.81008209782362</v>
      </c>
      <c r="AA1672" s="4">
        <f>('TE BE'!$AA$39+'TE BF'!$AA$39+'TE CVA'!$AA$39)*1</f>
        <v>271.13910989737087</v>
      </c>
      <c r="AB1672" s="4">
        <f>$K$1672*$V$1672</f>
        <v>0</v>
      </c>
      <c r="AC1672" s="4">
        <f>$M$1672*$W$1672</f>
        <v>6444.25551</v>
      </c>
      <c r="AD1672" s="4">
        <f>$O$1672*$X$1672</f>
        <v>2155.9259700000002</v>
      </c>
      <c r="AE1672" s="4">
        <f>$K$1672*$Y$1672</f>
        <v>0</v>
      </c>
      <c r="AF1672" s="4">
        <f ca="1">$M$1672*$Z$1672</f>
        <v>7544.9086146407699</v>
      </c>
      <c r="AG1672" s="4">
        <f>$O$1672*$AA$1672</f>
        <v>2657.4344161041317</v>
      </c>
    </row>
    <row r="1673" spans="1:33" ht="11.25" customHeight="1" x14ac:dyDescent="0.25">
      <c r="A1673" s="3" t="s">
        <v>56</v>
      </c>
      <c r="B1673" s="3" t="s">
        <v>39</v>
      </c>
      <c r="C1673" s="3" t="s">
        <v>37</v>
      </c>
      <c r="D1673" s="3" t="s">
        <v>43</v>
      </c>
      <c r="E1673" s="3" t="s">
        <v>25</v>
      </c>
      <c r="F1673" s="3" t="s">
        <v>25</v>
      </c>
      <c r="G1673" s="3" t="s">
        <v>25</v>
      </c>
      <c r="H1673" s="3" t="s">
        <v>38</v>
      </c>
      <c r="I1673" s="6">
        <v>44652</v>
      </c>
      <c r="J1673" s="4">
        <v>0</v>
      </c>
      <c r="K1673" s="4">
        <v>0</v>
      </c>
      <c r="L1673" s="4">
        <v>8.0000000000000002E-3</v>
      </c>
      <c r="M1673" s="4">
        <v>8.0000000000000002E-3</v>
      </c>
      <c r="N1673" s="4">
        <v>8.0000000000000002E-3</v>
      </c>
      <c r="O1673" s="4">
        <v>8.0000000000000002E-3</v>
      </c>
      <c r="P1673" s="4">
        <v>0</v>
      </c>
      <c r="Q1673" s="3" t="s">
        <v>26</v>
      </c>
      <c r="R1673" s="3">
        <v>0</v>
      </c>
      <c r="S1673" s="4">
        <v>0</v>
      </c>
      <c r="T1673" s="4">
        <v>43</v>
      </c>
      <c r="U1673" s="4">
        <v>83</v>
      </c>
      <c r="V1673" s="4">
        <f>IF(ISERROR(VLOOKUP($S$1673,'TAR FIN'!$A$1:$O$99,15,0)),0,VLOOKUP($S$1673,'TAR FIN'!$A$1:$O$99,15,0))</f>
        <v>0</v>
      </c>
      <c r="W1673" s="4">
        <f>IF(ISERROR(VLOOKUP($T$1673,'TAR FIN'!$A$1:$O$99,15,0)),0,VLOOKUP($T$1673,'TAR FIN'!$A$1:$O$99,15,0))</f>
        <v>657.51</v>
      </c>
      <c r="X1673" s="4">
        <f>IF(ISERROR(VLOOKUP($U$1673,'TAR FIN'!$A$1:$O$99,15,0)),0,VLOOKUP($U$1673,'TAR FIN'!$A$1:$O$99,15,0))</f>
        <v>219.97</v>
      </c>
      <c r="Y1673" s="4"/>
      <c r="Z1673" s="4">
        <f ca="1">('TUSD BE'!$AM$57+'TUSD BF'!$AM$57+'TUSD CVA'!$AM$57)*1</f>
        <v>769.81008209782362</v>
      </c>
      <c r="AA1673" s="4">
        <f>('TE BE'!$AA$39+'TE BF'!$AA$39+'TE CVA'!$AA$39)*1</f>
        <v>271.13910989737087</v>
      </c>
      <c r="AB1673" s="4">
        <f>$K$1673*$V$1673</f>
        <v>0</v>
      </c>
      <c r="AC1673" s="4">
        <f>$M$1673*$W$1673</f>
        <v>5.2600800000000003</v>
      </c>
      <c r="AD1673" s="4">
        <f>$O$1673*$X$1673</f>
        <v>1.75976</v>
      </c>
      <c r="AE1673" s="4">
        <f>$K$1673*$Y$1673</f>
        <v>0</v>
      </c>
      <c r="AF1673" s="4">
        <f ca="1">$M$1673*$Z$1673</f>
        <v>6.1584806567825892</v>
      </c>
      <c r="AG1673" s="4">
        <f>$O$1673*$AA$1673</f>
        <v>2.1691128791789671</v>
      </c>
    </row>
    <row r="1674" spans="1:33" ht="11.25" customHeight="1" x14ac:dyDescent="0.25">
      <c r="A1674" s="3" t="s">
        <v>21</v>
      </c>
      <c r="B1674" s="3" t="s">
        <v>39</v>
      </c>
      <c r="C1674" s="3" t="s">
        <v>37</v>
      </c>
      <c r="D1674" s="3" t="s">
        <v>43</v>
      </c>
      <c r="E1674" s="3" t="s">
        <v>25</v>
      </c>
      <c r="F1674" s="3" t="s">
        <v>25</v>
      </c>
      <c r="G1674" s="3" t="s">
        <v>25</v>
      </c>
      <c r="H1674" s="3" t="s">
        <v>35</v>
      </c>
      <c r="I1674" s="6">
        <v>44317</v>
      </c>
      <c r="J1674" s="4">
        <v>0</v>
      </c>
      <c r="K1674" s="4">
        <v>0</v>
      </c>
      <c r="L1674" s="4">
        <v>10.586</v>
      </c>
      <c r="M1674" s="4">
        <v>10.586</v>
      </c>
      <c r="N1674" s="4">
        <v>10.586</v>
      </c>
      <c r="O1674" s="4">
        <v>10.586</v>
      </c>
      <c r="P1674" s="4">
        <v>0</v>
      </c>
      <c r="Q1674" s="3" t="s">
        <v>26</v>
      </c>
      <c r="R1674" s="3">
        <v>0</v>
      </c>
      <c r="S1674" s="4">
        <v>0</v>
      </c>
      <c r="T1674" s="4">
        <v>42</v>
      </c>
      <c r="U1674" s="4">
        <v>82</v>
      </c>
      <c r="V1674" s="4">
        <f>IF(ISERROR(VLOOKUP($S$1674,'TAR FIN'!$A$1:$O$99,15,0)),0,VLOOKUP($S$1674,'TAR FIN'!$A$1:$O$99,15,0))</f>
        <v>0</v>
      </c>
      <c r="W1674" s="4">
        <f>IF(ISERROR(VLOOKUP($T$1674,'TAR FIN'!$A$1:$O$99,15,0)),0,VLOOKUP($T$1674,'TAR FIN'!$A$1:$O$99,15,0))</f>
        <v>1010.32</v>
      </c>
      <c r="X1674" s="4">
        <f>IF(ISERROR(VLOOKUP($U$1674,'TAR FIN'!$A$1:$O$99,15,0)),0,VLOOKUP($U$1674,'TAR FIN'!$A$1:$O$99,15,0))</f>
        <v>346.61</v>
      </c>
      <c r="Y1674" s="4"/>
      <c r="Z1674" s="4">
        <f ca="1">('TUSD BE'!$AM$56+'TUSD BF'!$AM$56+'TUSD CVA'!$AM$56)*1</f>
        <v>1178.1887517861644</v>
      </c>
      <c r="AA1674" s="4">
        <f>('TE BE'!$AA$38+'TE BF'!$AA$38+'TE CVA'!$AA$38)*1</f>
        <v>423.89652505413846</v>
      </c>
      <c r="AB1674" s="4">
        <f>$K$1674*$V$1674</f>
        <v>0</v>
      </c>
      <c r="AC1674" s="4">
        <f>$M$1674*$W$1674</f>
        <v>10695.247520000001</v>
      </c>
      <c r="AD1674" s="4">
        <f>$O$1674*$X$1674</f>
        <v>3669.2134600000004</v>
      </c>
      <c r="AE1674" s="4">
        <f>$K$1674*$Y$1674</f>
        <v>0</v>
      </c>
      <c r="AF1674" s="4">
        <f ca="1">$M$1674*$Z$1674</f>
        <v>12472.306126408337</v>
      </c>
      <c r="AG1674" s="4">
        <f>$O$1674*$AA$1674</f>
        <v>4487.3686142231099</v>
      </c>
    </row>
    <row r="1675" spans="1:33" ht="11.25" customHeight="1" x14ac:dyDescent="0.25">
      <c r="A1675" s="3" t="s">
        <v>27</v>
      </c>
      <c r="B1675" s="3" t="s">
        <v>39</v>
      </c>
      <c r="C1675" s="3" t="s">
        <v>37</v>
      </c>
      <c r="D1675" s="3" t="s">
        <v>43</v>
      </c>
      <c r="E1675" s="3" t="s">
        <v>25</v>
      </c>
      <c r="F1675" s="3" t="s">
        <v>25</v>
      </c>
      <c r="G1675" s="3" t="s">
        <v>25</v>
      </c>
      <c r="H1675" s="3" t="s">
        <v>35</v>
      </c>
      <c r="I1675" s="6">
        <v>44317</v>
      </c>
      <c r="J1675" s="4">
        <v>0</v>
      </c>
      <c r="K1675" s="4">
        <v>0</v>
      </c>
      <c r="L1675" s="4">
        <v>0.61799999999999999</v>
      </c>
      <c r="M1675" s="4">
        <v>0.61799999999999999</v>
      </c>
      <c r="N1675" s="4">
        <v>0.61799999999999999</v>
      </c>
      <c r="O1675" s="4">
        <v>0.61799999999999999</v>
      </c>
      <c r="P1675" s="4">
        <v>0</v>
      </c>
      <c r="Q1675" s="3" t="s">
        <v>26</v>
      </c>
      <c r="R1675" s="3">
        <v>0</v>
      </c>
      <c r="S1675" s="4">
        <v>0</v>
      </c>
      <c r="T1675" s="4">
        <v>42</v>
      </c>
      <c r="U1675" s="4">
        <v>82</v>
      </c>
      <c r="V1675" s="4">
        <f>IF(ISERROR(VLOOKUP($S$1675,'TAR FIN'!$A$1:$O$99,15,0)),0,VLOOKUP($S$1675,'TAR FIN'!$A$1:$O$99,15,0))</f>
        <v>0</v>
      </c>
      <c r="W1675" s="4">
        <f>IF(ISERROR(VLOOKUP($T$1675,'TAR FIN'!$A$1:$O$99,15,0)),0,VLOOKUP($T$1675,'TAR FIN'!$A$1:$O$99,15,0))</f>
        <v>1010.32</v>
      </c>
      <c r="X1675" s="4">
        <f>IF(ISERROR(VLOOKUP($U$1675,'TAR FIN'!$A$1:$O$99,15,0)),0,VLOOKUP($U$1675,'TAR FIN'!$A$1:$O$99,15,0))</f>
        <v>346.61</v>
      </c>
      <c r="Y1675" s="4"/>
      <c r="Z1675" s="4">
        <f ca="1">('TUSD BE'!$AM$56+'TUSD BF'!$AM$56+'TUSD CVA'!$AM$56)*1</f>
        <v>1178.1887517861644</v>
      </c>
      <c r="AA1675" s="4">
        <f>('TE BE'!$AA$38+'TE BF'!$AA$38+'TE CVA'!$AA$38)*1</f>
        <v>423.89652505413846</v>
      </c>
      <c r="AB1675" s="4">
        <f>$K$1675*$V$1675</f>
        <v>0</v>
      </c>
      <c r="AC1675" s="4">
        <f>$M$1675*$W$1675</f>
        <v>624.37776000000008</v>
      </c>
      <c r="AD1675" s="4">
        <f>$O$1675*$X$1675</f>
        <v>214.20498000000001</v>
      </c>
      <c r="AE1675" s="4">
        <f>$K$1675*$Y$1675</f>
        <v>0</v>
      </c>
      <c r="AF1675" s="4">
        <f ca="1">$M$1675*$Z$1675</f>
        <v>728.12064860384965</v>
      </c>
      <c r="AG1675" s="4">
        <f>$O$1675*$AA$1675</f>
        <v>261.96805248345754</v>
      </c>
    </row>
    <row r="1676" spans="1:33" ht="11.25" customHeight="1" x14ac:dyDescent="0.25">
      <c r="A1676" s="3" t="s">
        <v>28</v>
      </c>
      <c r="B1676" s="3" t="s">
        <v>39</v>
      </c>
      <c r="C1676" s="3" t="s">
        <v>37</v>
      </c>
      <c r="D1676" s="3" t="s">
        <v>43</v>
      </c>
      <c r="E1676" s="3" t="s">
        <v>25</v>
      </c>
      <c r="F1676" s="3" t="s">
        <v>25</v>
      </c>
      <c r="G1676" s="3" t="s">
        <v>25</v>
      </c>
      <c r="H1676" s="3" t="s">
        <v>35</v>
      </c>
      <c r="I1676" s="6">
        <v>44317</v>
      </c>
      <c r="J1676" s="4">
        <v>0</v>
      </c>
      <c r="K1676" s="4">
        <v>0</v>
      </c>
      <c r="L1676" s="4">
        <v>2.1999999999999999E-2</v>
      </c>
      <c r="M1676" s="4">
        <v>2.1999999999999999E-2</v>
      </c>
      <c r="N1676" s="4">
        <v>2.1999999999999999E-2</v>
      </c>
      <c r="O1676" s="4">
        <v>2.1999999999999999E-2</v>
      </c>
      <c r="P1676" s="4">
        <v>0</v>
      </c>
      <c r="Q1676" s="3" t="s">
        <v>26</v>
      </c>
      <c r="R1676" s="3">
        <v>0</v>
      </c>
      <c r="S1676" s="4">
        <v>0</v>
      </c>
      <c r="T1676" s="4">
        <v>42</v>
      </c>
      <c r="U1676" s="4">
        <v>82</v>
      </c>
      <c r="V1676" s="4">
        <f>IF(ISERROR(VLOOKUP($S$1676,'TAR FIN'!$A$1:$O$99,15,0)),0,VLOOKUP($S$1676,'TAR FIN'!$A$1:$O$99,15,0))</f>
        <v>0</v>
      </c>
      <c r="W1676" s="4">
        <f>IF(ISERROR(VLOOKUP($T$1676,'TAR FIN'!$A$1:$O$99,15,0)),0,VLOOKUP($T$1676,'TAR FIN'!$A$1:$O$99,15,0))</f>
        <v>1010.32</v>
      </c>
      <c r="X1676" s="4">
        <f>IF(ISERROR(VLOOKUP($U$1676,'TAR FIN'!$A$1:$O$99,15,0)),0,VLOOKUP($U$1676,'TAR FIN'!$A$1:$O$99,15,0))</f>
        <v>346.61</v>
      </c>
      <c r="Y1676" s="4"/>
      <c r="Z1676" s="4">
        <f ca="1">('TUSD BE'!$AM$56+'TUSD BF'!$AM$56+'TUSD CVA'!$AM$56)*1</f>
        <v>1178.1887517861644</v>
      </c>
      <c r="AA1676" s="4">
        <f>('TE BE'!$AA$38+'TE BF'!$AA$38+'TE CVA'!$AA$38)*1</f>
        <v>423.89652505413846</v>
      </c>
      <c r="AB1676" s="4">
        <f>$K$1676*$V$1676</f>
        <v>0</v>
      </c>
      <c r="AC1676" s="4">
        <f>$M$1676*$W$1676</f>
        <v>22.227039999999999</v>
      </c>
      <c r="AD1676" s="4">
        <f>$O$1676*$X$1676</f>
        <v>7.6254200000000001</v>
      </c>
      <c r="AE1676" s="4">
        <f>$K$1676*$Y$1676</f>
        <v>0</v>
      </c>
      <c r="AF1676" s="4">
        <f ca="1">$M$1676*$Z$1676</f>
        <v>25.920152539295614</v>
      </c>
      <c r="AG1676" s="4">
        <f>$O$1676*$AA$1676</f>
        <v>9.3257235511910466</v>
      </c>
    </row>
    <row r="1677" spans="1:33" ht="11.25" customHeight="1" x14ac:dyDescent="0.25">
      <c r="A1677" s="3" t="s">
        <v>21</v>
      </c>
      <c r="B1677" s="3" t="s">
        <v>39</v>
      </c>
      <c r="C1677" s="3" t="s">
        <v>37</v>
      </c>
      <c r="D1677" s="3" t="s">
        <v>43</v>
      </c>
      <c r="E1677" s="3" t="s">
        <v>25</v>
      </c>
      <c r="F1677" s="3" t="s">
        <v>25</v>
      </c>
      <c r="G1677" s="3" t="s">
        <v>25</v>
      </c>
      <c r="H1677" s="3" t="s">
        <v>35</v>
      </c>
      <c r="I1677" s="6">
        <v>44348</v>
      </c>
      <c r="J1677" s="4">
        <v>0</v>
      </c>
      <c r="K1677" s="4">
        <v>0</v>
      </c>
      <c r="L1677" s="4">
        <v>9.3480000000000008</v>
      </c>
      <c r="M1677" s="4">
        <v>9.3480000000000008</v>
      </c>
      <c r="N1677" s="4">
        <v>9.3480000000000008</v>
      </c>
      <c r="O1677" s="4">
        <v>9.3480000000000008</v>
      </c>
      <c r="P1677" s="4">
        <v>0</v>
      </c>
      <c r="Q1677" s="3" t="s">
        <v>26</v>
      </c>
      <c r="R1677" s="3">
        <v>0</v>
      </c>
      <c r="S1677" s="4">
        <v>0</v>
      </c>
      <c r="T1677" s="4">
        <v>42</v>
      </c>
      <c r="U1677" s="4">
        <v>82</v>
      </c>
      <c r="V1677" s="4">
        <f>IF(ISERROR(VLOOKUP($S$1677,'TAR FIN'!$A$1:$O$99,15,0)),0,VLOOKUP($S$1677,'TAR FIN'!$A$1:$O$99,15,0))</f>
        <v>0</v>
      </c>
      <c r="W1677" s="4">
        <f>IF(ISERROR(VLOOKUP($T$1677,'TAR FIN'!$A$1:$O$99,15,0)),0,VLOOKUP($T$1677,'TAR FIN'!$A$1:$O$99,15,0))</f>
        <v>1010.32</v>
      </c>
      <c r="X1677" s="4">
        <f>IF(ISERROR(VLOOKUP($U$1677,'TAR FIN'!$A$1:$O$99,15,0)),0,VLOOKUP($U$1677,'TAR FIN'!$A$1:$O$99,15,0))</f>
        <v>346.61</v>
      </c>
      <c r="Y1677" s="4"/>
      <c r="Z1677" s="4">
        <f ca="1">('TUSD BE'!$AM$56+'TUSD BF'!$AM$56+'TUSD CVA'!$AM$56)*1</f>
        <v>1178.1887517861644</v>
      </c>
      <c r="AA1677" s="4">
        <f>('TE BE'!$AA$38+'TE BF'!$AA$38+'TE CVA'!$AA$38)*1</f>
        <v>423.89652505413846</v>
      </c>
      <c r="AB1677" s="4">
        <f>$K$1677*$V$1677</f>
        <v>0</v>
      </c>
      <c r="AC1677" s="4">
        <f>$M$1677*$W$1677</f>
        <v>9444.4713600000014</v>
      </c>
      <c r="AD1677" s="4">
        <f>$O$1677*$X$1677</f>
        <v>3240.1102800000003</v>
      </c>
      <c r="AE1677" s="4">
        <f>$K$1677*$Y$1677</f>
        <v>0</v>
      </c>
      <c r="AF1677" s="4">
        <f ca="1">$M$1677*$Z$1677</f>
        <v>11013.708451697066</v>
      </c>
      <c r="AG1677" s="4">
        <f>$O$1677*$AA$1677</f>
        <v>3962.5847162060868</v>
      </c>
    </row>
    <row r="1678" spans="1:33" ht="11.25" customHeight="1" x14ac:dyDescent="0.25">
      <c r="A1678" s="3" t="s">
        <v>27</v>
      </c>
      <c r="B1678" s="3" t="s">
        <v>39</v>
      </c>
      <c r="C1678" s="3" t="s">
        <v>37</v>
      </c>
      <c r="D1678" s="3" t="s">
        <v>43</v>
      </c>
      <c r="E1678" s="3" t="s">
        <v>25</v>
      </c>
      <c r="F1678" s="3" t="s">
        <v>25</v>
      </c>
      <c r="G1678" s="3" t="s">
        <v>25</v>
      </c>
      <c r="H1678" s="3" t="s">
        <v>35</v>
      </c>
      <c r="I1678" s="6">
        <v>44348</v>
      </c>
      <c r="J1678" s="4">
        <v>0</v>
      </c>
      <c r="K1678" s="4">
        <v>0</v>
      </c>
      <c r="L1678" s="4">
        <v>-0.11700000000000001</v>
      </c>
      <c r="M1678" s="4">
        <v>-0.11700000000000001</v>
      </c>
      <c r="N1678" s="4">
        <v>-0.11700000000000001</v>
      </c>
      <c r="O1678" s="4">
        <v>-0.11700000000000001</v>
      </c>
      <c r="P1678" s="4">
        <v>0</v>
      </c>
      <c r="Q1678" s="3" t="s">
        <v>26</v>
      </c>
      <c r="R1678" s="3">
        <v>0</v>
      </c>
      <c r="S1678" s="4">
        <v>0</v>
      </c>
      <c r="T1678" s="4">
        <v>42</v>
      </c>
      <c r="U1678" s="4">
        <v>82</v>
      </c>
      <c r="V1678" s="4">
        <f>IF(ISERROR(VLOOKUP($S$1678,'TAR FIN'!$A$1:$O$99,15,0)),0,VLOOKUP($S$1678,'TAR FIN'!$A$1:$O$99,15,0))</f>
        <v>0</v>
      </c>
      <c r="W1678" s="4">
        <f>IF(ISERROR(VLOOKUP($T$1678,'TAR FIN'!$A$1:$O$99,15,0)),0,VLOOKUP($T$1678,'TAR FIN'!$A$1:$O$99,15,0))</f>
        <v>1010.32</v>
      </c>
      <c r="X1678" s="4">
        <f>IF(ISERROR(VLOOKUP($U$1678,'TAR FIN'!$A$1:$O$99,15,0)),0,VLOOKUP($U$1678,'TAR FIN'!$A$1:$O$99,15,0))</f>
        <v>346.61</v>
      </c>
      <c r="Y1678" s="4"/>
      <c r="Z1678" s="4">
        <f ca="1">('TUSD BE'!$AM$56+'TUSD BF'!$AM$56+'TUSD CVA'!$AM$56)*1</f>
        <v>1178.1887517861644</v>
      </c>
      <c r="AA1678" s="4">
        <f>('TE BE'!$AA$38+'TE BF'!$AA$38+'TE CVA'!$AA$38)*1</f>
        <v>423.89652505413846</v>
      </c>
      <c r="AB1678" s="4">
        <f>$K$1678*$V$1678</f>
        <v>0</v>
      </c>
      <c r="AC1678" s="4">
        <f>$M$1678*$W$1678</f>
        <v>-118.20744000000002</v>
      </c>
      <c r="AD1678" s="4">
        <f>$O$1678*$X$1678</f>
        <v>-40.553370000000001</v>
      </c>
      <c r="AE1678" s="4">
        <f>$K$1678*$Y$1678</f>
        <v>0</v>
      </c>
      <c r="AF1678" s="4">
        <f ca="1">$M$1678*$Z$1678</f>
        <v>-137.84808395898125</v>
      </c>
      <c r="AG1678" s="4">
        <f>$O$1678*$AA$1678</f>
        <v>-49.595893431334204</v>
      </c>
    </row>
    <row r="1679" spans="1:33" ht="11.25" customHeight="1" x14ac:dyDescent="0.25">
      <c r="A1679" s="3" t="s">
        <v>28</v>
      </c>
      <c r="B1679" s="3" t="s">
        <v>39</v>
      </c>
      <c r="C1679" s="3" t="s">
        <v>37</v>
      </c>
      <c r="D1679" s="3" t="s">
        <v>43</v>
      </c>
      <c r="E1679" s="3" t="s">
        <v>25</v>
      </c>
      <c r="F1679" s="3" t="s">
        <v>25</v>
      </c>
      <c r="G1679" s="3" t="s">
        <v>25</v>
      </c>
      <c r="H1679" s="3" t="s">
        <v>35</v>
      </c>
      <c r="I1679" s="6">
        <v>44348</v>
      </c>
      <c r="J1679" s="4">
        <v>0</v>
      </c>
      <c r="K1679" s="4">
        <v>0</v>
      </c>
      <c r="L1679" s="4">
        <v>2.1000000000000001E-2</v>
      </c>
      <c r="M1679" s="4">
        <v>2.1000000000000001E-2</v>
      </c>
      <c r="N1679" s="4">
        <v>2.1000000000000001E-2</v>
      </c>
      <c r="O1679" s="4">
        <v>2.1000000000000001E-2</v>
      </c>
      <c r="P1679" s="4">
        <v>0</v>
      </c>
      <c r="Q1679" s="3" t="s">
        <v>26</v>
      </c>
      <c r="R1679" s="3">
        <v>0</v>
      </c>
      <c r="S1679" s="4">
        <v>0</v>
      </c>
      <c r="T1679" s="4">
        <v>42</v>
      </c>
      <c r="U1679" s="4">
        <v>82</v>
      </c>
      <c r="V1679" s="4">
        <f>IF(ISERROR(VLOOKUP($S$1679,'TAR FIN'!$A$1:$O$99,15,0)),0,VLOOKUP($S$1679,'TAR FIN'!$A$1:$O$99,15,0))</f>
        <v>0</v>
      </c>
      <c r="W1679" s="4">
        <f>IF(ISERROR(VLOOKUP($T$1679,'TAR FIN'!$A$1:$O$99,15,0)),0,VLOOKUP($T$1679,'TAR FIN'!$A$1:$O$99,15,0))</f>
        <v>1010.32</v>
      </c>
      <c r="X1679" s="4">
        <f>IF(ISERROR(VLOOKUP($U$1679,'TAR FIN'!$A$1:$O$99,15,0)),0,VLOOKUP($U$1679,'TAR FIN'!$A$1:$O$99,15,0))</f>
        <v>346.61</v>
      </c>
      <c r="Y1679" s="4"/>
      <c r="Z1679" s="4">
        <f ca="1">('TUSD BE'!$AM$56+'TUSD BF'!$AM$56+'TUSD CVA'!$AM$56)*1</f>
        <v>1178.1887517861644</v>
      </c>
      <c r="AA1679" s="4">
        <f>('TE BE'!$AA$38+'TE BF'!$AA$38+'TE CVA'!$AA$38)*1</f>
        <v>423.89652505413846</v>
      </c>
      <c r="AB1679" s="4">
        <f>$K$1679*$V$1679</f>
        <v>0</v>
      </c>
      <c r="AC1679" s="4">
        <f>$M$1679*$W$1679</f>
        <v>21.216720000000002</v>
      </c>
      <c r="AD1679" s="4">
        <f>$O$1679*$X$1679</f>
        <v>7.2788100000000009</v>
      </c>
      <c r="AE1679" s="4">
        <f>$K$1679*$Y$1679</f>
        <v>0</v>
      </c>
      <c r="AF1679" s="4">
        <f ca="1">$M$1679*$Z$1679</f>
        <v>24.741963787509455</v>
      </c>
      <c r="AG1679" s="4">
        <f>$O$1679*$AA$1679</f>
        <v>8.9018270261369086</v>
      </c>
    </row>
    <row r="1680" spans="1:33" ht="11.25" customHeight="1" x14ac:dyDescent="0.25">
      <c r="A1680" s="3" t="s">
        <v>21</v>
      </c>
      <c r="B1680" s="3" t="s">
        <v>39</v>
      </c>
      <c r="C1680" s="3" t="s">
        <v>37</v>
      </c>
      <c r="D1680" s="3" t="s">
        <v>43</v>
      </c>
      <c r="E1680" s="3" t="s">
        <v>25</v>
      </c>
      <c r="F1680" s="3" t="s">
        <v>25</v>
      </c>
      <c r="G1680" s="3" t="s">
        <v>25</v>
      </c>
      <c r="H1680" s="3" t="s">
        <v>35</v>
      </c>
      <c r="I1680" s="6">
        <v>44378</v>
      </c>
      <c r="J1680" s="4">
        <v>0</v>
      </c>
      <c r="K1680" s="4">
        <v>0</v>
      </c>
      <c r="L1680" s="4">
        <v>8.8529999999999998</v>
      </c>
      <c r="M1680" s="4">
        <v>8.8529999999999998</v>
      </c>
      <c r="N1680" s="4">
        <v>8.8529999999999998</v>
      </c>
      <c r="O1680" s="4">
        <v>8.8529999999999998</v>
      </c>
      <c r="P1680" s="4">
        <v>0</v>
      </c>
      <c r="Q1680" s="3" t="s">
        <v>26</v>
      </c>
      <c r="R1680" s="3">
        <v>0</v>
      </c>
      <c r="S1680" s="4">
        <v>0</v>
      </c>
      <c r="T1680" s="4">
        <v>42</v>
      </c>
      <c r="U1680" s="4">
        <v>82</v>
      </c>
      <c r="V1680" s="4">
        <f>IF(ISERROR(VLOOKUP($S$1680,'TAR FIN'!$A$1:$O$99,15,0)),0,VLOOKUP($S$1680,'TAR FIN'!$A$1:$O$99,15,0))</f>
        <v>0</v>
      </c>
      <c r="W1680" s="4">
        <f>IF(ISERROR(VLOOKUP($T$1680,'TAR FIN'!$A$1:$O$99,15,0)),0,VLOOKUP($T$1680,'TAR FIN'!$A$1:$O$99,15,0))</f>
        <v>1010.32</v>
      </c>
      <c r="X1680" s="4">
        <f>IF(ISERROR(VLOOKUP($U$1680,'TAR FIN'!$A$1:$O$99,15,0)),0,VLOOKUP($U$1680,'TAR FIN'!$A$1:$O$99,15,0))</f>
        <v>346.61</v>
      </c>
      <c r="Y1680" s="4"/>
      <c r="Z1680" s="4">
        <f ca="1">('TUSD BE'!$AM$56+'TUSD BF'!$AM$56+'TUSD CVA'!$AM$56)*1</f>
        <v>1178.1887517861644</v>
      </c>
      <c r="AA1680" s="4">
        <f>('TE BE'!$AA$38+'TE BF'!$AA$38+'TE CVA'!$AA$38)*1</f>
        <v>423.89652505413846</v>
      </c>
      <c r="AB1680" s="4">
        <f>$K$1680*$V$1680</f>
        <v>0</v>
      </c>
      <c r="AC1680" s="4">
        <f>$M$1680*$W$1680</f>
        <v>8944.3629600000004</v>
      </c>
      <c r="AD1680" s="4">
        <f>$O$1680*$X$1680</f>
        <v>3068.5383299999999</v>
      </c>
      <c r="AE1680" s="4">
        <f>$K$1680*$Y$1680</f>
        <v>0</v>
      </c>
      <c r="AF1680" s="4">
        <f ca="1">$M$1680*$Z$1680</f>
        <v>10430.505019562914</v>
      </c>
      <c r="AG1680" s="4">
        <f>$O$1680*$AA$1680</f>
        <v>3752.7559363042878</v>
      </c>
    </row>
    <row r="1681" spans="1:33" ht="11.25" customHeight="1" x14ac:dyDescent="0.25">
      <c r="A1681" s="3" t="s">
        <v>27</v>
      </c>
      <c r="B1681" s="3" t="s">
        <v>39</v>
      </c>
      <c r="C1681" s="3" t="s">
        <v>37</v>
      </c>
      <c r="D1681" s="3" t="s">
        <v>43</v>
      </c>
      <c r="E1681" s="3" t="s">
        <v>25</v>
      </c>
      <c r="F1681" s="3" t="s">
        <v>25</v>
      </c>
      <c r="G1681" s="3" t="s">
        <v>25</v>
      </c>
      <c r="H1681" s="3" t="s">
        <v>35</v>
      </c>
      <c r="I1681" s="6">
        <v>44378</v>
      </c>
      <c r="J1681" s="4">
        <v>0</v>
      </c>
      <c r="K1681" s="4">
        <v>0</v>
      </c>
      <c r="L1681" s="4">
        <v>0.01</v>
      </c>
      <c r="M1681" s="4">
        <v>0.01</v>
      </c>
      <c r="N1681" s="4">
        <v>0.01</v>
      </c>
      <c r="O1681" s="4">
        <v>0.01</v>
      </c>
      <c r="P1681" s="4">
        <v>0</v>
      </c>
      <c r="Q1681" s="3" t="s">
        <v>26</v>
      </c>
      <c r="R1681" s="3">
        <v>0</v>
      </c>
      <c r="S1681" s="4">
        <v>0</v>
      </c>
      <c r="T1681" s="4">
        <v>42</v>
      </c>
      <c r="U1681" s="4">
        <v>82</v>
      </c>
      <c r="V1681" s="4">
        <f>IF(ISERROR(VLOOKUP($S$1681,'TAR FIN'!$A$1:$O$99,15,0)),0,VLOOKUP($S$1681,'TAR FIN'!$A$1:$O$99,15,0))</f>
        <v>0</v>
      </c>
      <c r="W1681" s="4">
        <f>IF(ISERROR(VLOOKUP($T$1681,'TAR FIN'!$A$1:$O$99,15,0)),0,VLOOKUP($T$1681,'TAR FIN'!$A$1:$O$99,15,0))</f>
        <v>1010.32</v>
      </c>
      <c r="X1681" s="4">
        <f>IF(ISERROR(VLOOKUP($U$1681,'TAR FIN'!$A$1:$O$99,15,0)),0,VLOOKUP($U$1681,'TAR FIN'!$A$1:$O$99,15,0))</f>
        <v>346.61</v>
      </c>
      <c r="Y1681" s="4"/>
      <c r="Z1681" s="4">
        <f ca="1">('TUSD BE'!$AM$56+'TUSD BF'!$AM$56+'TUSD CVA'!$AM$56)*1</f>
        <v>1178.1887517861644</v>
      </c>
      <c r="AA1681" s="4">
        <f>('TE BE'!$AA$38+'TE BF'!$AA$38+'TE CVA'!$AA$38)*1</f>
        <v>423.89652505413846</v>
      </c>
      <c r="AB1681" s="4">
        <f>$K$1681*$V$1681</f>
        <v>0</v>
      </c>
      <c r="AC1681" s="4">
        <f>$M$1681*$W$1681</f>
        <v>10.103200000000001</v>
      </c>
      <c r="AD1681" s="4">
        <f>$O$1681*$X$1681</f>
        <v>3.4661000000000004</v>
      </c>
      <c r="AE1681" s="4">
        <f>$K$1681*$Y$1681</f>
        <v>0</v>
      </c>
      <c r="AF1681" s="4">
        <f ca="1">$M$1681*$Z$1681</f>
        <v>11.781887517861644</v>
      </c>
      <c r="AG1681" s="4">
        <f>$O$1681*$AA$1681</f>
        <v>4.2389652505413844</v>
      </c>
    </row>
    <row r="1682" spans="1:33" ht="11.25" customHeight="1" x14ac:dyDescent="0.25">
      <c r="A1682" s="3" t="s">
        <v>28</v>
      </c>
      <c r="B1682" s="3" t="s">
        <v>39</v>
      </c>
      <c r="C1682" s="3" t="s">
        <v>37</v>
      </c>
      <c r="D1682" s="3" t="s">
        <v>43</v>
      </c>
      <c r="E1682" s="3" t="s">
        <v>25</v>
      </c>
      <c r="F1682" s="3" t="s">
        <v>25</v>
      </c>
      <c r="G1682" s="3" t="s">
        <v>25</v>
      </c>
      <c r="H1682" s="3" t="s">
        <v>35</v>
      </c>
      <c r="I1682" s="6">
        <v>44378</v>
      </c>
      <c r="J1682" s="4">
        <v>0</v>
      </c>
      <c r="K1682" s="4">
        <v>0</v>
      </c>
      <c r="L1682" s="4">
        <v>2.5000000000000001E-2</v>
      </c>
      <c r="M1682" s="4">
        <v>2.5000000000000001E-2</v>
      </c>
      <c r="N1682" s="4">
        <v>2.5000000000000001E-2</v>
      </c>
      <c r="O1682" s="4">
        <v>2.5000000000000001E-2</v>
      </c>
      <c r="P1682" s="4">
        <v>0</v>
      </c>
      <c r="Q1682" s="3" t="s">
        <v>26</v>
      </c>
      <c r="R1682" s="3">
        <v>0</v>
      </c>
      <c r="S1682" s="4">
        <v>0</v>
      </c>
      <c r="T1682" s="4">
        <v>42</v>
      </c>
      <c r="U1682" s="4">
        <v>82</v>
      </c>
      <c r="V1682" s="4">
        <f>IF(ISERROR(VLOOKUP($S$1682,'TAR FIN'!$A$1:$O$99,15,0)),0,VLOOKUP($S$1682,'TAR FIN'!$A$1:$O$99,15,0))</f>
        <v>0</v>
      </c>
      <c r="W1682" s="4">
        <f>IF(ISERROR(VLOOKUP($T$1682,'TAR FIN'!$A$1:$O$99,15,0)),0,VLOOKUP($T$1682,'TAR FIN'!$A$1:$O$99,15,0))</f>
        <v>1010.32</v>
      </c>
      <c r="X1682" s="4">
        <f>IF(ISERROR(VLOOKUP($U$1682,'TAR FIN'!$A$1:$O$99,15,0)),0,VLOOKUP($U$1682,'TAR FIN'!$A$1:$O$99,15,0))</f>
        <v>346.61</v>
      </c>
      <c r="Y1682" s="4"/>
      <c r="Z1682" s="4">
        <f ca="1">('TUSD BE'!$AM$56+'TUSD BF'!$AM$56+'TUSD CVA'!$AM$56)*1</f>
        <v>1178.1887517861644</v>
      </c>
      <c r="AA1682" s="4">
        <f>('TE BE'!$AA$38+'TE BF'!$AA$38+'TE CVA'!$AA$38)*1</f>
        <v>423.89652505413846</v>
      </c>
      <c r="AB1682" s="4">
        <f>$K$1682*$V$1682</f>
        <v>0</v>
      </c>
      <c r="AC1682" s="4">
        <f>$M$1682*$W$1682</f>
        <v>25.258000000000003</v>
      </c>
      <c r="AD1682" s="4">
        <f>$O$1682*$X$1682</f>
        <v>8.6652500000000003</v>
      </c>
      <c r="AE1682" s="4">
        <f>$K$1682*$Y$1682</f>
        <v>0</v>
      </c>
      <c r="AF1682" s="4">
        <f ca="1">$M$1682*$Z$1682</f>
        <v>29.454718794654113</v>
      </c>
      <c r="AG1682" s="4">
        <f>$O$1682*$AA$1682</f>
        <v>10.597413126353462</v>
      </c>
    </row>
    <row r="1683" spans="1:33" ht="11.25" customHeight="1" x14ac:dyDescent="0.25">
      <c r="A1683" s="3" t="s">
        <v>21</v>
      </c>
      <c r="B1683" s="3" t="s">
        <v>39</v>
      </c>
      <c r="C1683" s="3" t="s">
        <v>37</v>
      </c>
      <c r="D1683" s="3" t="s">
        <v>43</v>
      </c>
      <c r="E1683" s="3" t="s">
        <v>25</v>
      </c>
      <c r="F1683" s="3" t="s">
        <v>25</v>
      </c>
      <c r="G1683" s="3" t="s">
        <v>25</v>
      </c>
      <c r="H1683" s="3" t="s">
        <v>35</v>
      </c>
      <c r="I1683" s="6">
        <v>44409</v>
      </c>
      <c r="J1683" s="4">
        <v>0</v>
      </c>
      <c r="K1683" s="4">
        <v>0</v>
      </c>
      <c r="L1683" s="4">
        <v>9.3680000000000003</v>
      </c>
      <c r="M1683" s="4">
        <v>9.3680000000000003</v>
      </c>
      <c r="N1683" s="4">
        <v>9.3680000000000003</v>
      </c>
      <c r="O1683" s="4">
        <v>9.3680000000000003</v>
      </c>
      <c r="P1683" s="4">
        <v>0</v>
      </c>
      <c r="Q1683" s="3" t="s">
        <v>26</v>
      </c>
      <c r="R1683" s="3">
        <v>0</v>
      </c>
      <c r="S1683" s="4">
        <v>0</v>
      </c>
      <c r="T1683" s="4">
        <v>42</v>
      </c>
      <c r="U1683" s="4">
        <v>82</v>
      </c>
      <c r="V1683" s="4">
        <f>IF(ISERROR(VLOOKUP($S$1683,'TAR FIN'!$A$1:$O$99,15,0)),0,VLOOKUP($S$1683,'TAR FIN'!$A$1:$O$99,15,0))</f>
        <v>0</v>
      </c>
      <c r="W1683" s="4">
        <f>IF(ISERROR(VLOOKUP($T$1683,'TAR FIN'!$A$1:$O$99,15,0)),0,VLOOKUP($T$1683,'TAR FIN'!$A$1:$O$99,15,0))</f>
        <v>1010.32</v>
      </c>
      <c r="X1683" s="4">
        <f>IF(ISERROR(VLOOKUP($U$1683,'TAR FIN'!$A$1:$O$99,15,0)),0,VLOOKUP($U$1683,'TAR FIN'!$A$1:$O$99,15,0))</f>
        <v>346.61</v>
      </c>
      <c r="Y1683" s="4"/>
      <c r="Z1683" s="4">
        <f ca="1">('TUSD BE'!$AM$56+'TUSD BF'!$AM$56+'TUSD CVA'!$AM$56)*1</f>
        <v>1178.1887517861644</v>
      </c>
      <c r="AA1683" s="4">
        <f>('TE BE'!$AA$38+'TE BF'!$AA$38+'TE CVA'!$AA$38)*1</f>
        <v>423.89652505413846</v>
      </c>
      <c r="AB1683" s="4">
        <f>$K$1683*$V$1683</f>
        <v>0</v>
      </c>
      <c r="AC1683" s="4">
        <f>$M$1683*$W$1683</f>
        <v>9464.6777600000005</v>
      </c>
      <c r="AD1683" s="4">
        <f>$O$1683*$X$1683</f>
        <v>3247.0424800000001</v>
      </c>
      <c r="AE1683" s="4">
        <f>$K$1683*$Y$1683</f>
        <v>0</v>
      </c>
      <c r="AF1683" s="4">
        <f ca="1">$M$1683*$Z$1683</f>
        <v>11037.272226732788</v>
      </c>
      <c r="AG1683" s="4">
        <f>$O$1683*$AA$1683</f>
        <v>3971.0626467071693</v>
      </c>
    </row>
    <row r="1684" spans="1:33" ht="11.25" customHeight="1" x14ac:dyDescent="0.25">
      <c r="A1684" s="3" t="s">
        <v>27</v>
      </c>
      <c r="B1684" s="3" t="s">
        <v>39</v>
      </c>
      <c r="C1684" s="3" t="s">
        <v>37</v>
      </c>
      <c r="D1684" s="3" t="s">
        <v>43</v>
      </c>
      <c r="E1684" s="3" t="s">
        <v>25</v>
      </c>
      <c r="F1684" s="3" t="s">
        <v>25</v>
      </c>
      <c r="G1684" s="3" t="s">
        <v>25</v>
      </c>
      <c r="H1684" s="3" t="s">
        <v>35</v>
      </c>
      <c r="I1684" s="6">
        <v>44409</v>
      </c>
      <c r="J1684" s="4">
        <v>0</v>
      </c>
      <c r="K1684" s="4">
        <v>0</v>
      </c>
      <c r="L1684" s="4">
        <v>2.1000000000000001E-2</v>
      </c>
      <c r="M1684" s="4">
        <v>2.1000000000000001E-2</v>
      </c>
      <c r="N1684" s="4">
        <v>2.1000000000000001E-2</v>
      </c>
      <c r="O1684" s="4">
        <v>2.1000000000000001E-2</v>
      </c>
      <c r="P1684" s="4">
        <v>0</v>
      </c>
      <c r="Q1684" s="3" t="s">
        <v>26</v>
      </c>
      <c r="R1684" s="3">
        <v>0</v>
      </c>
      <c r="S1684" s="4">
        <v>0</v>
      </c>
      <c r="T1684" s="4">
        <v>42</v>
      </c>
      <c r="U1684" s="4">
        <v>82</v>
      </c>
      <c r="V1684" s="4">
        <f>IF(ISERROR(VLOOKUP($S$1684,'TAR FIN'!$A$1:$O$99,15,0)),0,VLOOKUP($S$1684,'TAR FIN'!$A$1:$O$99,15,0))</f>
        <v>0</v>
      </c>
      <c r="W1684" s="4">
        <f>IF(ISERROR(VLOOKUP($T$1684,'TAR FIN'!$A$1:$O$99,15,0)),0,VLOOKUP($T$1684,'TAR FIN'!$A$1:$O$99,15,0))</f>
        <v>1010.32</v>
      </c>
      <c r="X1684" s="4">
        <f>IF(ISERROR(VLOOKUP($U$1684,'TAR FIN'!$A$1:$O$99,15,0)),0,VLOOKUP($U$1684,'TAR FIN'!$A$1:$O$99,15,0))</f>
        <v>346.61</v>
      </c>
      <c r="Y1684" s="4"/>
      <c r="Z1684" s="4">
        <f ca="1">('TUSD BE'!$AM$56+'TUSD BF'!$AM$56+'TUSD CVA'!$AM$56)*1</f>
        <v>1178.1887517861644</v>
      </c>
      <c r="AA1684" s="4">
        <f>('TE BE'!$AA$38+'TE BF'!$AA$38+'TE CVA'!$AA$38)*1</f>
        <v>423.89652505413846</v>
      </c>
      <c r="AB1684" s="4">
        <f>$K$1684*$V$1684</f>
        <v>0</v>
      </c>
      <c r="AC1684" s="4">
        <f>$M$1684*$W$1684</f>
        <v>21.216720000000002</v>
      </c>
      <c r="AD1684" s="4">
        <f>$O$1684*$X$1684</f>
        <v>7.2788100000000009</v>
      </c>
      <c r="AE1684" s="4">
        <f>$K$1684*$Y$1684</f>
        <v>0</v>
      </c>
      <c r="AF1684" s="4">
        <f ca="1">$M$1684*$Z$1684</f>
        <v>24.741963787509455</v>
      </c>
      <c r="AG1684" s="4">
        <f>$O$1684*$AA$1684</f>
        <v>8.9018270261369086</v>
      </c>
    </row>
    <row r="1685" spans="1:33" ht="11.25" customHeight="1" x14ac:dyDescent="0.25">
      <c r="A1685" s="3" t="s">
        <v>28</v>
      </c>
      <c r="B1685" s="3" t="s">
        <v>39</v>
      </c>
      <c r="C1685" s="3" t="s">
        <v>37</v>
      </c>
      <c r="D1685" s="3" t="s">
        <v>43</v>
      </c>
      <c r="E1685" s="3" t="s">
        <v>25</v>
      </c>
      <c r="F1685" s="3" t="s">
        <v>25</v>
      </c>
      <c r="G1685" s="3" t="s">
        <v>25</v>
      </c>
      <c r="H1685" s="3" t="s">
        <v>35</v>
      </c>
      <c r="I1685" s="6">
        <v>44409</v>
      </c>
      <c r="J1685" s="4">
        <v>0</v>
      </c>
      <c r="K1685" s="4">
        <v>0</v>
      </c>
      <c r="L1685" s="4">
        <v>5.7000000000000002E-2</v>
      </c>
      <c r="M1685" s="4">
        <v>5.7000000000000002E-2</v>
      </c>
      <c r="N1685" s="4">
        <v>5.7000000000000002E-2</v>
      </c>
      <c r="O1685" s="4">
        <v>5.7000000000000002E-2</v>
      </c>
      <c r="P1685" s="4">
        <v>0</v>
      </c>
      <c r="Q1685" s="3" t="s">
        <v>26</v>
      </c>
      <c r="R1685" s="3">
        <v>0</v>
      </c>
      <c r="S1685" s="4">
        <v>0</v>
      </c>
      <c r="T1685" s="4">
        <v>42</v>
      </c>
      <c r="U1685" s="4">
        <v>82</v>
      </c>
      <c r="V1685" s="4">
        <f>IF(ISERROR(VLOOKUP($S$1685,'TAR FIN'!$A$1:$O$99,15,0)),0,VLOOKUP($S$1685,'TAR FIN'!$A$1:$O$99,15,0))</f>
        <v>0</v>
      </c>
      <c r="W1685" s="4">
        <f>IF(ISERROR(VLOOKUP($T$1685,'TAR FIN'!$A$1:$O$99,15,0)),0,VLOOKUP($T$1685,'TAR FIN'!$A$1:$O$99,15,0))</f>
        <v>1010.32</v>
      </c>
      <c r="X1685" s="4">
        <f>IF(ISERROR(VLOOKUP($U$1685,'TAR FIN'!$A$1:$O$99,15,0)),0,VLOOKUP($U$1685,'TAR FIN'!$A$1:$O$99,15,0))</f>
        <v>346.61</v>
      </c>
      <c r="Y1685" s="4"/>
      <c r="Z1685" s="4">
        <f ca="1">('TUSD BE'!$AM$56+'TUSD BF'!$AM$56+'TUSD CVA'!$AM$56)*1</f>
        <v>1178.1887517861644</v>
      </c>
      <c r="AA1685" s="4">
        <f>('TE BE'!$AA$38+'TE BF'!$AA$38+'TE CVA'!$AA$38)*1</f>
        <v>423.89652505413846</v>
      </c>
      <c r="AB1685" s="4">
        <f>$K$1685*$V$1685</f>
        <v>0</v>
      </c>
      <c r="AC1685" s="4">
        <f>$M$1685*$W$1685</f>
        <v>57.588240000000006</v>
      </c>
      <c r="AD1685" s="4">
        <f>$O$1685*$X$1685</f>
        <v>19.756770000000003</v>
      </c>
      <c r="AE1685" s="4">
        <f>$K$1685*$Y$1685</f>
        <v>0</v>
      </c>
      <c r="AF1685" s="4">
        <f ca="1">$M$1685*$Z$1685</f>
        <v>67.156758851811375</v>
      </c>
      <c r="AG1685" s="4">
        <f>$O$1685*$AA$1685</f>
        <v>24.162101928085892</v>
      </c>
    </row>
    <row r="1686" spans="1:33" ht="11.25" customHeight="1" x14ac:dyDescent="0.25">
      <c r="A1686" s="3" t="s">
        <v>21</v>
      </c>
      <c r="B1686" s="3" t="s">
        <v>39</v>
      </c>
      <c r="C1686" s="3" t="s">
        <v>37</v>
      </c>
      <c r="D1686" s="3" t="s">
        <v>43</v>
      </c>
      <c r="E1686" s="3" t="s">
        <v>25</v>
      </c>
      <c r="F1686" s="3" t="s">
        <v>25</v>
      </c>
      <c r="G1686" s="3" t="s">
        <v>25</v>
      </c>
      <c r="H1686" s="3" t="s">
        <v>35</v>
      </c>
      <c r="I1686" s="6">
        <v>44440</v>
      </c>
      <c r="J1686" s="4">
        <v>0</v>
      </c>
      <c r="K1686" s="4">
        <v>0</v>
      </c>
      <c r="L1686" s="4">
        <v>8.5449999999999999</v>
      </c>
      <c r="M1686" s="4">
        <v>8.5449999999999999</v>
      </c>
      <c r="N1686" s="4">
        <v>8.5449999999999999</v>
      </c>
      <c r="O1686" s="4">
        <v>8.5449999999999999</v>
      </c>
      <c r="P1686" s="4">
        <v>0</v>
      </c>
      <c r="Q1686" s="3" t="s">
        <v>26</v>
      </c>
      <c r="R1686" s="3">
        <v>0</v>
      </c>
      <c r="S1686" s="4">
        <v>0</v>
      </c>
      <c r="T1686" s="4">
        <v>42</v>
      </c>
      <c r="U1686" s="4">
        <v>82</v>
      </c>
      <c r="V1686" s="4">
        <f>IF(ISERROR(VLOOKUP($S$1686,'TAR FIN'!$A$1:$O$99,15,0)),0,VLOOKUP($S$1686,'TAR FIN'!$A$1:$O$99,15,0))</f>
        <v>0</v>
      </c>
      <c r="W1686" s="4">
        <f>IF(ISERROR(VLOOKUP($T$1686,'TAR FIN'!$A$1:$O$99,15,0)),0,VLOOKUP($T$1686,'TAR FIN'!$A$1:$O$99,15,0))</f>
        <v>1010.32</v>
      </c>
      <c r="X1686" s="4">
        <f>IF(ISERROR(VLOOKUP($U$1686,'TAR FIN'!$A$1:$O$99,15,0)),0,VLOOKUP($U$1686,'TAR FIN'!$A$1:$O$99,15,0))</f>
        <v>346.61</v>
      </c>
      <c r="Y1686" s="4"/>
      <c r="Z1686" s="4">
        <f ca="1">('TUSD BE'!$AM$56+'TUSD BF'!$AM$56+'TUSD CVA'!$AM$56)*1</f>
        <v>1178.1887517861644</v>
      </c>
      <c r="AA1686" s="4">
        <f>('TE BE'!$AA$38+'TE BF'!$AA$38+'TE CVA'!$AA$38)*1</f>
        <v>423.89652505413846</v>
      </c>
      <c r="AB1686" s="4">
        <f>$K$1686*$V$1686</f>
        <v>0</v>
      </c>
      <c r="AC1686" s="4">
        <f>$M$1686*$W$1686</f>
        <v>8633.1844000000001</v>
      </c>
      <c r="AD1686" s="4">
        <f>$O$1686*$X$1686</f>
        <v>2961.7824500000002</v>
      </c>
      <c r="AE1686" s="4">
        <f>$K$1686*$Y$1686</f>
        <v>0</v>
      </c>
      <c r="AF1686" s="4">
        <f ca="1">$M$1686*$Z$1686</f>
        <v>10067.622884012775</v>
      </c>
      <c r="AG1686" s="4">
        <f>$O$1686*$AA$1686</f>
        <v>3622.1958065876133</v>
      </c>
    </row>
    <row r="1687" spans="1:33" ht="11.25" customHeight="1" x14ac:dyDescent="0.25">
      <c r="A1687" s="3" t="s">
        <v>28</v>
      </c>
      <c r="B1687" s="3" t="s">
        <v>39</v>
      </c>
      <c r="C1687" s="3" t="s">
        <v>37</v>
      </c>
      <c r="D1687" s="3" t="s">
        <v>43</v>
      </c>
      <c r="E1687" s="3" t="s">
        <v>25</v>
      </c>
      <c r="F1687" s="3" t="s">
        <v>25</v>
      </c>
      <c r="G1687" s="3" t="s">
        <v>25</v>
      </c>
      <c r="H1687" s="3" t="s">
        <v>35</v>
      </c>
      <c r="I1687" s="6">
        <v>44440</v>
      </c>
      <c r="J1687" s="4">
        <v>0</v>
      </c>
      <c r="K1687" s="4">
        <v>0</v>
      </c>
      <c r="L1687" s="4">
        <v>0.03</v>
      </c>
      <c r="M1687" s="4">
        <v>0.03</v>
      </c>
      <c r="N1687" s="4">
        <v>0.03</v>
      </c>
      <c r="O1687" s="4">
        <v>0.03</v>
      </c>
      <c r="P1687" s="4">
        <v>0</v>
      </c>
      <c r="Q1687" s="3" t="s">
        <v>26</v>
      </c>
      <c r="R1687" s="3">
        <v>0</v>
      </c>
      <c r="S1687" s="4">
        <v>0</v>
      </c>
      <c r="T1687" s="4">
        <v>42</v>
      </c>
      <c r="U1687" s="4">
        <v>82</v>
      </c>
      <c r="V1687" s="4">
        <f>IF(ISERROR(VLOOKUP($S$1687,'TAR FIN'!$A$1:$O$99,15,0)),0,VLOOKUP($S$1687,'TAR FIN'!$A$1:$O$99,15,0))</f>
        <v>0</v>
      </c>
      <c r="W1687" s="4">
        <f>IF(ISERROR(VLOOKUP($T$1687,'TAR FIN'!$A$1:$O$99,15,0)),0,VLOOKUP($T$1687,'TAR FIN'!$A$1:$O$99,15,0))</f>
        <v>1010.32</v>
      </c>
      <c r="X1687" s="4">
        <f>IF(ISERROR(VLOOKUP($U$1687,'TAR FIN'!$A$1:$O$99,15,0)),0,VLOOKUP($U$1687,'TAR FIN'!$A$1:$O$99,15,0))</f>
        <v>346.61</v>
      </c>
      <c r="Y1687" s="4"/>
      <c r="Z1687" s="4">
        <f ca="1">('TUSD BE'!$AM$56+'TUSD BF'!$AM$56+'TUSD CVA'!$AM$56)*1</f>
        <v>1178.1887517861644</v>
      </c>
      <c r="AA1687" s="4">
        <f>('TE BE'!$AA$38+'TE BF'!$AA$38+'TE CVA'!$AA$38)*1</f>
        <v>423.89652505413846</v>
      </c>
      <c r="AB1687" s="4">
        <f>$K$1687*$V$1687</f>
        <v>0</v>
      </c>
      <c r="AC1687" s="4">
        <f>$M$1687*$W$1687</f>
        <v>30.3096</v>
      </c>
      <c r="AD1687" s="4">
        <f>$O$1687*$X$1687</f>
        <v>10.398300000000001</v>
      </c>
      <c r="AE1687" s="4">
        <f>$K$1687*$Y$1687</f>
        <v>0</v>
      </c>
      <c r="AF1687" s="4">
        <f ca="1">$M$1687*$Z$1687</f>
        <v>35.34566255358493</v>
      </c>
      <c r="AG1687" s="4">
        <f>$O$1687*$AA$1687</f>
        <v>12.716895751624154</v>
      </c>
    </row>
    <row r="1688" spans="1:33" ht="11.25" customHeight="1" x14ac:dyDescent="0.25">
      <c r="A1688" s="3" t="s">
        <v>21</v>
      </c>
      <c r="B1688" s="3" t="s">
        <v>39</v>
      </c>
      <c r="C1688" s="3" t="s">
        <v>37</v>
      </c>
      <c r="D1688" s="3" t="s">
        <v>43</v>
      </c>
      <c r="E1688" s="3" t="s">
        <v>25</v>
      </c>
      <c r="F1688" s="3" t="s">
        <v>25</v>
      </c>
      <c r="G1688" s="3" t="s">
        <v>25</v>
      </c>
      <c r="H1688" s="3" t="s">
        <v>35</v>
      </c>
      <c r="I1688" s="6">
        <v>44470</v>
      </c>
      <c r="J1688" s="4">
        <v>0</v>
      </c>
      <c r="K1688" s="4">
        <v>0</v>
      </c>
      <c r="L1688" s="4">
        <v>10.036</v>
      </c>
      <c r="M1688" s="4">
        <v>10.036</v>
      </c>
      <c r="N1688" s="4">
        <v>10.036</v>
      </c>
      <c r="O1688" s="4">
        <v>10.036</v>
      </c>
      <c r="P1688" s="4">
        <v>0</v>
      </c>
      <c r="Q1688" s="3" t="s">
        <v>26</v>
      </c>
      <c r="R1688" s="3">
        <v>0</v>
      </c>
      <c r="S1688" s="4">
        <v>0</v>
      </c>
      <c r="T1688" s="4">
        <v>42</v>
      </c>
      <c r="U1688" s="4">
        <v>82</v>
      </c>
      <c r="V1688" s="4">
        <f>IF(ISERROR(VLOOKUP($S$1688,'TAR FIN'!$A$1:$O$99,15,0)),0,VLOOKUP($S$1688,'TAR FIN'!$A$1:$O$99,15,0))</f>
        <v>0</v>
      </c>
      <c r="W1688" s="4">
        <f>IF(ISERROR(VLOOKUP($T$1688,'TAR FIN'!$A$1:$O$99,15,0)),0,VLOOKUP($T$1688,'TAR FIN'!$A$1:$O$99,15,0))</f>
        <v>1010.32</v>
      </c>
      <c r="X1688" s="4">
        <f>IF(ISERROR(VLOOKUP($U$1688,'TAR FIN'!$A$1:$O$99,15,0)),0,VLOOKUP($U$1688,'TAR FIN'!$A$1:$O$99,15,0))</f>
        <v>346.61</v>
      </c>
      <c r="Y1688" s="4"/>
      <c r="Z1688" s="4">
        <f ca="1">('TUSD BE'!$AM$56+'TUSD BF'!$AM$56+'TUSD CVA'!$AM$56)*1</f>
        <v>1178.1887517861644</v>
      </c>
      <c r="AA1688" s="4">
        <f>('TE BE'!$AA$38+'TE BF'!$AA$38+'TE CVA'!$AA$38)*1</f>
        <v>423.89652505413846</v>
      </c>
      <c r="AB1688" s="4">
        <f>$K$1688*$V$1688</f>
        <v>0</v>
      </c>
      <c r="AC1688" s="4">
        <f>$M$1688*$W$1688</f>
        <v>10139.57152</v>
      </c>
      <c r="AD1688" s="4">
        <f>$O$1688*$X$1688</f>
        <v>3478.5779600000001</v>
      </c>
      <c r="AE1688" s="4">
        <f>$K$1688*$Y$1688</f>
        <v>0</v>
      </c>
      <c r="AF1688" s="4">
        <f ca="1">$M$1688*$Z$1688</f>
        <v>11824.302312925945</v>
      </c>
      <c r="AG1688" s="4">
        <f>$O$1688*$AA$1688</f>
        <v>4254.225525443333</v>
      </c>
    </row>
    <row r="1689" spans="1:33" ht="11.25" customHeight="1" x14ac:dyDescent="0.25">
      <c r="A1689" s="3" t="s">
        <v>28</v>
      </c>
      <c r="B1689" s="3" t="s">
        <v>39</v>
      </c>
      <c r="C1689" s="3" t="s">
        <v>37</v>
      </c>
      <c r="D1689" s="3" t="s">
        <v>43</v>
      </c>
      <c r="E1689" s="3" t="s">
        <v>25</v>
      </c>
      <c r="F1689" s="3" t="s">
        <v>25</v>
      </c>
      <c r="G1689" s="3" t="s">
        <v>25</v>
      </c>
      <c r="H1689" s="3" t="s">
        <v>35</v>
      </c>
      <c r="I1689" s="6">
        <v>44470</v>
      </c>
      <c r="J1689" s="4">
        <v>0</v>
      </c>
      <c r="K1689" s="4">
        <v>0</v>
      </c>
      <c r="L1689" s="4">
        <v>4.8000000000000001E-2</v>
      </c>
      <c r="M1689" s="4">
        <v>4.8000000000000001E-2</v>
      </c>
      <c r="N1689" s="4">
        <v>4.8000000000000001E-2</v>
      </c>
      <c r="O1689" s="4">
        <v>4.8000000000000001E-2</v>
      </c>
      <c r="P1689" s="4">
        <v>0</v>
      </c>
      <c r="Q1689" s="3" t="s">
        <v>26</v>
      </c>
      <c r="R1689" s="3">
        <v>0</v>
      </c>
      <c r="S1689" s="4">
        <v>0</v>
      </c>
      <c r="T1689" s="4">
        <v>42</v>
      </c>
      <c r="U1689" s="4">
        <v>82</v>
      </c>
      <c r="V1689" s="4">
        <f>IF(ISERROR(VLOOKUP($S$1689,'TAR FIN'!$A$1:$O$99,15,0)),0,VLOOKUP($S$1689,'TAR FIN'!$A$1:$O$99,15,0))</f>
        <v>0</v>
      </c>
      <c r="W1689" s="4">
        <f>IF(ISERROR(VLOOKUP($T$1689,'TAR FIN'!$A$1:$O$99,15,0)),0,VLOOKUP($T$1689,'TAR FIN'!$A$1:$O$99,15,0))</f>
        <v>1010.32</v>
      </c>
      <c r="X1689" s="4">
        <f>IF(ISERROR(VLOOKUP($U$1689,'TAR FIN'!$A$1:$O$99,15,0)),0,VLOOKUP($U$1689,'TAR FIN'!$A$1:$O$99,15,0))</f>
        <v>346.61</v>
      </c>
      <c r="Y1689" s="4"/>
      <c r="Z1689" s="4">
        <f ca="1">('TUSD BE'!$AM$56+'TUSD BF'!$AM$56+'TUSD CVA'!$AM$56)*1</f>
        <v>1178.1887517861644</v>
      </c>
      <c r="AA1689" s="4">
        <f>('TE BE'!$AA$38+'TE BF'!$AA$38+'TE CVA'!$AA$38)*1</f>
        <v>423.89652505413846</v>
      </c>
      <c r="AB1689" s="4">
        <f>$K$1689*$V$1689</f>
        <v>0</v>
      </c>
      <c r="AC1689" s="4">
        <f>$M$1689*$W$1689</f>
        <v>48.495360000000005</v>
      </c>
      <c r="AD1689" s="4">
        <f>$O$1689*$X$1689</f>
        <v>16.637280000000001</v>
      </c>
      <c r="AE1689" s="4">
        <f>$K$1689*$Y$1689</f>
        <v>0</v>
      </c>
      <c r="AF1689" s="4">
        <f ca="1">$M$1689*$Z$1689</f>
        <v>56.553060085735893</v>
      </c>
      <c r="AG1689" s="4">
        <f>$O$1689*$AA$1689</f>
        <v>20.347033202598645</v>
      </c>
    </row>
    <row r="1690" spans="1:33" ht="11.25" customHeight="1" x14ac:dyDescent="0.25">
      <c r="A1690" s="3" t="s">
        <v>21</v>
      </c>
      <c r="B1690" s="3" t="s">
        <v>39</v>
      </c>
      <c r="C1690" s="3" t="s">
        <v>37</v>
      </c>
      <c r="D1690" s="3" t="s">
        <v>43</v>
      </c>
      <c r="E1690" s="3" t="s">
        <v>25</v>
      </c>
      <c r="F1690" s="3" t="s">
        <v>25</v>
      </c>
      <c r="G1690" s="3" t="s">
        <v>25</v>
      </c>
      <c r="H1690" s="3" t="s">
        <v>35</v>
      </c>
      <c r="I1690" s="6">
        <v>44501</v>
      </c>
      <c r="J1690" s="4">
        <v>0</v>
      </c>
      <c r="K1690" s="4">
        <v>0</v>
      </c>
      <c r="L1690" s="4">
        <v>9.1769999999999996</v>
      </c>
      <c r="M1690" s="4">
        <v>9.1769999999999996</v>
      </c>
      <c r="N1690" s="4">
        <v>9.1769999999999996</v>
      </c>
      <c r="O1690" s="4">
        <v>9.1769999999999996</v>
      </c>
      <c r="P1690" s="4">
        <v>0</v>
      </c>
      <c r="Q1690" s="3" t="s">
        <v>26</v>
      </c>
      <c r="R1690" s="3">
        <v>0</v>
      </c>
      <c r="S1690" s="4">
        <v>0</v>
      </c>
      <c r="T1690" s="4">
        <v>42</v>
      </c>
      <c r="U1690" s="4">
        <v>82</v>
      </c>
      <c r="V1690" s="4">
        <f>IF(ISERROR(VLOOKUP($S$1690,'TAR FIN'!$A$1:$O$99,15,0)),0,VLOOKUP($S$1690,'TAR FIN'!$A$1:$O$99,15,0))</f>
        <v>0</v>
      </c>
      <c r="W1690" s="4">
        <f>IF(ISERROR(VLOOKUP($T$1690,'TAR FIN'!$A$1:$O$99,15,0)),0,VLOOKUP($T$1690,'TAR FIN'!$A$1:$O$99,15,0))</f>
        <v>1010.32</v>
      </c>
      <c r="X1690" s="4">
        <f>IF(ISERROR(VLOOKUP($U$1690,'TAR FIN'!$A$1:$O$99,15,0)),0,VLOOKUP($U$1690,'TAR FIN'!$A$1:$O$99,15,0))</f>
        <v>346.61</v>
      </c>
      <c r="Y1690" s="4"/>
      <c r="Z1690" s="4">
        <f ca="1">('TUSD BE'!$AM$56+'TUSD BF'!$AM$56+'TUSD CVA'!$AM$56)*1</f>
        <v>1178.1887517861644</v>
      </c>
      <c r="AA1690" s="4">
        <f>('TE BE'!$AA$38+'TE BF'!$AA$38+'TE CVA'!$AA$38)*1</f>
        <v>423.89652505413846</v>
      </c>
      <c r="AB1690" s="4">
        <f>$K$1690*$V$1690</f>
        <v>0</v>
      </c>
      <c r="AC1690" s="4">
        <f>$M$1690*$W$1690</f>
        <v>9271.7066400000003</v>
      </c>
      <c r="AD1690" s="4">
        <f>$O$1690*$X$1690</f>
        <v>3180.83997</v>
      </c>
      <c r="AE1690" s="4">
        <f>$K$1690*$Y$1690</f>
        <v>0</v>
      </c>
      <c r="AF1690" s="4">
        <f ca="1">$M$1690*$Z$1690</f>
        <v>10812.238175141631</v>
      </c>
      <c r="AG1690" s="4">
        <f>$O$1690*$AA$1690</f>
        <v>3890.0984104218287</v>
      </c>
    </row>
    <row r="1691" spans="1:33" ht="11.25" customHeight="1" x14ac:dyDescent="0.25">
      <c r="A1691" s="3" t="s">
        <v>27</v>
      </c>
      <c r="B1691" s="3" t="s">
        <v>39</v>
      </c>
      <c r="C1691" s="3" t="s">
        <v>37</v>
      </c>
      <c r="D1691" s="3" t="s">
        <v>43</v>
      </c>
      <c r="E1691" s="3" t="s">
        <v>25</v>
      </c>
      <c r="F1691" s="3" t="s">
        <v>25</v>
      </c>
      <c r="G1691" s="3" t="s">
        <v>25</v>
      </c>
      <c r="H1691" s="3" t="s">
        <v>35</v>
      </c>
      <c r="I1691" s="6">
        <v>44501</v>
      </c>
      <c r="J1691" s="4">
        <v>0</v>
      </c>
      <c r="K1691" s="4">
        <v>0</v>
      </c>
      <c r="L1691" s="4">
        <v>-7.0999999999999994E-2</v>
      </c>
      <c r="M1691" s="4">
        <v>-7.0999999999999994E-2</v>
      </c>
      <c r="N1691" s="4">
        <v>-7.0999999999999994E-2</v>
      </c>
      <c r="O1691" s="4">
        <v>-7.0999999999999994E-2</v>
      </c>
      <c r="P1691" s="4">
        <v>0</v>
      </c>
      <c r="Q1691" s="3" t="s">
        <v>26</v>
      </c>
      <c r="R1691" s="3">
        <v>0</v>
      </c>
      <c r="S1691" s="4">
        <v>0</v>
      </c>
      <c r="T1691" s="4">
        <v>42</v>
      </c>
      <c r="U1691" s="4">
        <v>82</v>
      </c>
      <c r="V1691" s="4">
        <f>IF(ISERROR(VLOOKUP($S$1691,'TAR FIN'!$A$1:$O$99,15,0)),0,VLOOKUP($S$1691,'TAR FIN'!$A$1:$O$99,15,0))</f>
        <v>0</v>
      </c>
      <c r="W1691" s="4">
        <f>IF(ISERROR(VLOOKUP($T$1691,'TAR FIN'!$A$1:$O$99,15,0)),0,VLOOKUP($T$1691,'TAR FIN'!$A$1:$O$99,15,0))</f>
        <v>1010.32</v>
      </c>
      <c r="X1691" s="4">
        <f>IF(ISERROR(VLOOKUP($U$1691,'TAR FIN'!$A$1:$O$99,15,0)),0,VLOOKUP($U$1691,'TAR FIN'!$A$1:$O$99,15,0))</f>
        <v>346.61</v>
      </c>
      <c r="Y1691" s="4"/>
      <c r="Z1691" s="4">
        <f ca="1">('TUSD BE'!$AM$56+'TUSD BF'!$AM$56+'TUSD CVA'!$AM$56)*1</f>
        <v>1178.1887517861644</v>
      </c>
      <c r="AA1691" s="4">
        <f>('TE BE'!$AA$38+'TE BF'!$AA$38+'TE CVA'!$AA$38)*1</f>
        <v>423.89652505413846</v>
      </c>
      <c r="AB1691" s="4">
        <f>$K$1691*$V$1691</f>
        <v>0</v>
      </c>
      <c r="AC1691" s="4">
        <f>$M$1691*$W$1691</f>
        <v>-71.73272</v>
      </c>
      <c r="AD1691" s="4">
        <f>$O$1691*$X$1691</f>
        <v>-24.609309999999997</v>
      </c>
      <c r="AE1691" s="4">
        <f>$K$1691*$Y$1691</f>
        <v>0</v>
      </c>
      <c r="AF1691" s="4">
        <f ca="1">$M$1691*$Z$1691</f>
        <v>-83.65140137681766</v>
      </c>
      <c r="AG1691" s="4">
        <f>$O$1691*$AA$1691</f>
        <v>-30.096653278843828</v>
      </c>
    </row>
    <row r="1692" spans="1:33" ht="11.25" customHeight="1" x14ac:dyDescent="0.25">
      <c r="A1692" s="3" t="s">
        <v>28</v>
      </c>
      <c r="B1692" s="3" t="s">
        <v>39</v>
      </c>
      <c r="C1692" s="3" t="s">
        <v>37</v>
      </c>
      <c r="D1692" s="3" t="s">
        <v>43</v>
      </c>
      <c r="E1692" s="3" t="s">
        <v>25</v>
      </c>
      <c r="F1692" s="3" t="s">
        <v>25</v>
      </c>
      <c r="G1692" s="3" t="s">
        <v>25</v>
      </c>
      <c r="H1692" s="3" t="s">
        <v>35</v>
      </c>
      <c r="I1692" s="6">
        <v>44501</v>
      </c>
      <c r="J1692" s="4">
        <v>0</v>
      </c>
      <c r="K1692" s="4">
        <v>0</v>
      </c>
      <c r="L1692" s="4">
        <v>3.5000000000000003E-2</v>
      </c>
      <c r="M1692" s="4">
        <v>3.5000000000000003E-2</v>
      </c>
      <c r="N1692" s="4">
        <v>3.5000000000000003E-2</v>
      </c>
      <c r="O1692" s="4">
        <v>3.5000000000000003E-2</v>
      </c>
      <c r="P1692" s="4">
        <v>0</v>
      </c>
      <c r="Q1692" s="3" t="s">
        <v>26</v>
      </c>
      <c r="R1692" s="3">
        <v>0</v>
      </c>
      <c r="S1692" s="4">
        <v>0</v>
      </c>
      <c r="T1692" s="4">
        <v>42</v>
      </c>
      <c r="U1692" s="4">
        <v>82</v>
      </c>
      <c r="V1692" s="4">
        <f>IF(ISERROR(VLOOKUP($S$1692,'TAR FIN'!$A$1:$O$99,15,0)),0,VLOOKUP($S$1692,'TAR FIN'!$A$1:$O$99,15,0))</f>
        <v>0</v>
      </c>
      <c r="W1692" s="4">
        <f>IF(ISERROR(VLOOKUP($T$1692,'TAR FIN'!$A$1:$O$99,15,0)),0,VLOOKUP($T$1692,'TAR FIN'!$A$1:$O$99,15,0))</f>
        <v>1010.32</v>
      </c>
      <c r="X1692" s="4">
        <f>IF(ISERROR(VLOOKUP($U$1692,'TAR FIN'!$A$1:$O$99,15,0)),0,VLOOKUP($U$1692,'TAR FIN'!$A$1:$O$99,15,0))</f>
        <v>346.61</v>
      </c>
      <c r="Y1692" s="4"/>
      <c r="Z1692" s="4">
        <f ca="1">('TUSD BE'!$AM$56+'TUSD BF'!$AM$56+'TUSD CVA'!$AM$56)*1</f>
        <v>1178.1887517861644</v>
      </c>
      <c r="AA1692" s="4">
        <f>('TE BE'!$AA$38+'TE BF'!$AA$38+'TE CVA'!$AA$38)*1</f>
        <v>423.89652505413846</v>
      </c>
      <c r="AB1692" s="4">
        <f>$K$1692*$V$1692</f>
        <v>0</v>
      </c>
      <c r="AC1692" s="4">
        <f>$M$1692*$W$1692</f>
        <v>35.361200000000004</v>
      </c>
      <c r="AD1692" s="4">
        <f>$O$1692*$X$1692</f>
        <v>12.131350000000001</v>
      </c>
      <c r="AE1692" s="4">
        <f>$K$1692*$Y$1692</f>
        <v>0</v>
      </c>
      <c r="AF1692" s="4">
        <f ca="1">$M$1692*$Z$1692</f>
        <v>41.236606312515761</v>
      </c>
      <c r="AG1692" s="4">
        <f>$O$1692*$AA$1692</f>
        <v>14.836378376894848</v>
      </c>
    </row>
    <row r="1693" spans="1:33" ht="11.25" customHeight="1" x14ac:dyDescent="0.25">
      <c r="A1693" s="3" t="s">
        <v>21</v>
      </c>
      <c r="B1693" s="3" t="s">
        <v>39</v>
      </c>
      <c r="C1693" s="3" t="s">
        <v>37</v>
      </c>
      <c r="D1693" s="3" t="s">
        <v>43</v>
      </c>
      <c r="E1693" s="3" t="s">
        <v>25</v>
      </c>
      <c r="F1693" s="3" t="s">
        <v>25</v>
      </c>
      <c r="G1693" s="3" t="s">
        <v>25</v>
      </c>
      <c r="H1693" s="3" t="s">
        <v>35</v>
      </c>
      <c r="I1693" s="6">
        <v>44531</v>
      </c>
      <c r="J1693" s="4">
        <v>0</v>
      </c>
      <c r="K1693" s="4">
        <v>0</v>
      </c>
      <c r="L1693" s="4">
        <v>10.515000000000001</v>
      </c>
      <c r="M1693" s="4">
        <v>10.515000000000001</v>
      </c>
      <c r="N1693" s="4">
        <v>10.515000000000001</v>
      </c>
      <c r="O1693" s="4">
        <v>10.515000000000001</v>
      </c>
      <c r="P1693" s="4">
        <v>0</v>
      </c>
      <c r="Q1693" s="3" t="s">
        <v>26</v>
      </c>
      <c r="R1693" s="3">
        <v>0</v>
      </c>
      <c r="S1693" s="4">
        <v>0</v>
      </c>
      <c r="T1693" s="4">
        <v>42</v>
      </c>
      <c r="U1693" s="4">
        <v>82</v>
      </c>
      <c r="V1693" s="4">
        <f>IF(ISERROR(VLOOKUP($S$1693,'TAR FIN'!$A$1:$O$99,15,0)),0,VLOOKUP($S$1693,'TAR FIN'!$A$1:$O$99,15,0))</f>
        <v>0</v>
      </c>
      <c r="W1693" s="4">
        <f>IF(ISERROR(VLOOKUP($T$1693,'TAR FIN'!$A$1:$O$99,15,0)),0,VLOOKUP($T$1693,'TAR FIN'!$A$1:$O$99,15,0))</f>
        <v>1010.32</v>
      </c>
      <c r="X1693" s="4">
        <f>IF(ISERROR(VLOOKUP($U$1693,'TAR FIN'!$A$1:$O$99,15,0)),0,VLOOKUP($U$1693,'TAR FIN'!$A$1:$O$99,15,0))</f>
        <v>346.61</v>
      </c>
      <c r="Y1693" s="4"/>
      <c r="Z1693" s="4">
        <f ca="1">('TUSD BE'!$AM$56+'TUSD BF'!$AM$56+'TUSD CVA'!$AM$56)*1</f>
        <v>1178.1887517861644</v>
      </c>
      <c r="AA1693" s="4">
        <f>('TE BE'!$AA$38+'TE BF'!$AA$38+'TE CVA'!$AA$38)*1</f>
        <v>423.89652505413846</v>
      </c>
      <c r="AB1693" s="4">
        <f>$K$1693*$V$1693</f>
        <v>0</v>
      </c>
      <c r="AC1693" s="4">
        <f>$M$1693*$W$1693</f>
        <v>10623.514800000001</v>
      </c>
      <c r="AD1693" s="4">
        <f>$O$1693*$X$1693</f>
        <v>3644.6041500000001</v>
      </c>
      <c r="AE1693" s="4">
        <f>$K$1693*$Y$1693</f>
        <v>0</v>
      </c>
      <c r="AF1693" s="4">
        <f ca="1">$M$1693*$Z$1693</f>
        <v>12388.65472503152</v>
      </c>
      <c r="AG1693" s="4">
        <f>$O$1693*$AA$1693</f>
        <v>4457.2719609442665</v>
      </c>
    </row>
    <row r="1694" spans="1:33" ht="11.25" customHeight="1" x14ac:dyDescent="0.25">
      <c r="A1694" s="3" t="s">
        <v>28</v>
      </c>
      <c r="B1694" s="3" t="s">
        <v>39</v>
      </c>
      <c r="C1694" s="3" t="s">
        <v>37</v>
      </c>
      <c r="D1694" s="3" t="s">
        <v>43</v>
      </c>
      <c r="E1694" s="3" t="s">
        <v>25</v>
      </c>
      <c r="F1694" s="3" t="s">
        <v>25</v>
      </c>
      <c r="G1694" s="3" t="s">
        <v>25</v>
      </c>
      <c r="H1694" s="3" t="s">
        <v>35</v>
      </c>
      <c r="I1694" s="6">
        <v>44531</v>
      </c>
      <c r="J1694" s="4">
        <v>0</v>
      </c>
      <c r="K1694" s="4">
        <v>0</v>
      </c>
      <c r="L1694" s="4">
        <v>1.6E-2</v>
      </c>
      <c r="M1694" s="4">
        <v>1.6E-2</v>
      </c>
      <c r="N1694" s="4">
        <v>1.6E-2</v>
      </c>
      <c r="O1694" s="4">
        <v>1.6E-2</v>
      </c>
      <c r="P1694" s="4">
        <v>0</v>
      </c>
      <c r="Q1694" s="3" t="s">
        <v>26</v>
      </c>
      <c r="R1694" s="3">
        <v>0</v>
      </c>
      <c r="S1694" s="4">
        <v>0</v>
      </c>
      <c r="T1694" s="4">
        <v>42</v>
      </c>
      <c r="U1694" s="4">
        <v>82</v>
      </c>
      <c r="V1694" s="4">
        <f>IF(ISERROR(VLOOKUP($S$1694,'TAR FIN'!$A$1:$O$99,15,0)),0,VLOOKUP($S$1694,'TAR FIN'!$A$1:$O$99,15,0))</f>
        <v>0</v>
      </c>
      <c r="W1694" s="4">
        <f>IF(ISERROR(VLOOKUP($T$1694,'TAR FIN'!$A$1:$O$99,15,0)),0,VLOOKUP($T$1694,'TAR FIN'!$A$1:$O$99,15,0))</f>
        <v>1010.32</v>
      </c>
      <c r="X1694" s="4">
        <f>IF(ISERROR(VLOOKUP($U$1694,'TAR FIN'!$A$1:$O$99,15,0)),0,VLOOKUP($U$1694,'TAR FIN'!$A$1:$O$99,15,0))</f>
        <v>346.61</v>
      </c>
      <c r="Y1694" s="4"/>
      <c r="Z1694" s="4">
        <f ca="1">('TUSD BE'!$AM$56+'TUSD BF'!$AM$56+'TUSD CVA'!$AM$56)*1</f>
        <v>1178.1887517861644</v>
      </c>
      <c r="AA1694" s="4">
        <f>('TE BE'!$AA$38+'TE BF'!$AA$38+'TE CVA'!$AA$38)*1</f>
        <v>423.89652505413846</v>
      </c>
      <c r="AB1694" s="4">
        <f>$K$1694*$V$1694</f>
        <v>0</v>
      </c>
      <c r="AC1694" s="4">
        <f>$M$1694*$W$1694</f>
        <v>16.165120000000002</v>
      </c>
      <c r="AD1694" s="4">
        <f>$O$1694*$X$1694</f>
        <v>5.5457600000000005</v>
      </c>
      <c r="AE1694" s="4">
        <f>$K$1694*$Y$1694</f>
        <v>0</v>
      </c>
      <c r="AF1694" s="4">
        <f ca="1">$M$1694*$Z$1694</f>
        <v>18.851020028578631</v>
      </c>
      <c r="AG1694" s="4">
        <f>$O$1694*$AA$1694</f>
        <v>6.7823444008662159</v>
      </c>
    </row>
    <row r="1695" spans="1:33" ht="11.25" customHeight="1" x14ac:dyDescent="0.25">
      <c r="A1695" s="3" t="s">
        <v>21</v>
      </c>
      <c r="B1695" s="3" t="s">
        <v>39</v>
      </c>
      <c r="C1695" s="3" t="s">
        <v>37</v>
      </c>
      <c r="D1695" s="3" t="s">
        <v>43</v>
      </c>
      <c r="E1695" s="3" t="s">
        <v>25</v>
      </c>
      <c r="F1695" s="3" t="s">
        <v>25</v>
      </c>
      <c r="G1695" s="3" t="s">
        <v>25</v>
      </c>
      <c r="H1695" s="3" t="s">
        <v>35</v>
      </c>
      <c r="I1695" s="6">
        <v>44562</v>
      </c>
      <c r="J1695" s="4">
        <v>0</v>
      </c>
      <c r="K1695" s="4">
        <v>0</v>
      </c>
      <c r="L1695" s="4">
        <v>9.4600000000000009</v>
      </c>
      <c r="M1695" s="4">
        <v>9.4600000000000009</v>
      </c>
      <c r="N1695" s="4">
        <v>9.4600000000000009</v>
      </c>
      <c r="O1695" s="4">
        <v>9.4600000000000009</v>
      </c>
      <c r="P1695" s="4">
        <v>0</v>
      </c>
      <c r="Q1695" s="3" t="s">
        <v>26</v>
      </c>
      <c r="R1695" s="3">
        <v>0</v>
      </c>
      <c r="S1695" s="4">
        <v>0</v>
      </c>
      <c r="T1695" s="4">
        <v>42</v>
      </c>
      <c r="U1695" s="4">
        <v>82</v>
      </c>
      <c r="V1695" s="4">
        <f>IF(ISERROR(VLOOKUP($S$1695,'TAR FIN'!$A$1:$O$99,15,0)),0,VLOOKUP($S$1695,'TAR FIN'!$A$1:$O$99,15,0))</f>
        <v>0</v>
      </c>
      <c r="W1695" s="4">
        <f>IF(ISERROR(VLOOKUP($T$1695,'TAR FIN'!$A$1:$O$99,15,0)),0,VLOOKUP($T$1695,'TAR FIN'!$A$1:$O$99,15,0))</f>
        <v>1010.32</v>
      </c>
      <c r="X1695" s="4">
        <f>IF(ISERROR(VLOOKUP($U$1695,'TAR FIN'!$A$1:$O$99,15,0)),0,VLOOKUP($U$1695,'TAR FIN'!$A$1:$O$99,15,0))</f>
        <v>346.61</v>
      </c>
      <c r="Y1695" s="4"/>
      <c r="Z1695" s="4">
        <f ca="1">('TUSD BE'!$AM$56+'TUSD BF'!$AM$56+'TUSD CVA'!$AM$56)*1</f>
        <v>1178.1887517861644</v>
      </c>
      <c r="AA1695" s="4">
        <f>('TE BE'!$AA$38+'TE BF'!$AA$38+'TE CVA'!$AA$38)*1</f>
        <v>423.89652505413846</v>
      </c>
      <c r="AB1695" s="4">
        <f>$K$1695*$V$1695</f>
        <v>0</v>
      </c>
      <c r="AC1695" s="4">
        <f>$M$1695*$W$1695</f>
        <v>9557.6272000000008</v>
      </c>
      <c r="AD1695" s="4">
        <f>$O$1695*$X$1695</f>
        <v>3278.9306000000006</v>
      </c>
      <c r="AE1695" s="4">
        <f>$K$1695*$Y$1695</f>
        <v>0</v>
      </c>
      <c r="AF1695" s="4">
        <f ca="1">$M$1695*$Z$1695</f>
        <v>11145.665591897116</v>
      </c>
      <c r="AG1695" s="4">
        <f>$O$1695*$AA$1695</f>
        <v>4010.0611270121503</v>
      </c>
    </row>
    <row r="1696" spans="1:33" ht="11.25" customHeight="1" x14ac:dyDescent="0.25">
      <c r="A1696" s="3" t="s">
        <v>28</v>
      </c>
      <c r="B1696" s="3" t="s">
        <v>39</v>
      </c>
      <c r="C1696" s="3" t="s">
        <v>37</v>
      </c>
      <c r="D1696" s="3" t="s">
        <v>43</v>
      </c>
      <c r="E1696" s="3" t="s">
        <v>25</v>
      </c>
      <c r="F1696" s="3" t="s">
        <v>25</v>
      </c>
      <c r="G1696" s="3" t="s">
        <v>25</v>
      </c>
      <c r="H1696" s="3" t="s">
        <v>35</v>
      </c>
      <c r="I1696" s="6">
        <v>44562</v>
      </c>
      <c r="J1696" s="4">
        <v>0</v>
      </c>
      <c r="K1696" s="4">
        <v>0</v>
      </c>
      <c r="L1696" s="4">
        <v>1.0999999999999999E-2</v>
      </c>
      <c r="M1696" s="4">
        <v>1.0999999999999999E-2</v>
      </c>
      <c r="N1696" s="4">
        <v>1.0999999999999999E-2</v>
      </c>
      <c r="O1696" s="4">
        <v>1.0999999999999999E-2</v>
      </c>
      <c r="P1696" s="4">
        <v>0</v>
      </c>
      <c r="Q1696" s="3" t="s">
        <v>26</v>
      </c>
      <c r="R1696" s="3">
        <v>0</v>
      </c>
      <c r="S1696" s="4">
        <v>0</v>
      </c>
      <c r="T1696" s="4">
        <v>42</v>
      </c>
      <c r="U1696" s="4">
        <v>82</v>
      </c>
      <c r="V1696" s="4">
        <f>IF(ISERROR(VLOOKUP($S$1696,'TAR FIN'!$A$1:$O$99,15,0)),0,VLOOKUP($S$1696,'TAR FIN'!$A$1:$O$99,15,0))</f>
        <v>0</v>
      </c>
      <c r="W1696" s="4">
        <f>IF(ISERROR(VLOOKUP($T$1696,'TAR FIN'!$A$1:$O$99,15,0)),0,VLOOKUP($T$1696,'TAR FIN'!$A$1:$O$99,15,0))</f>
        <v>1010.32</v>
      </c>
      <c r="X1696" s="4">
        <f>IF(ISERROR(VLOOKUP($U$1696,'TAR FIN'!$A$1:$O$99,15,0)),0,VLOOKUP($U$1696,'TAR FIN'!$A$1:$O$99,15,0))</f>
        <v>346.61</v>
      </c>
      <c r="Y1696" s="4"/>
      <c r="Z1696" s="4">
        <f ca="1">('TUSD BE'!$AM$56+'TUSD BF'!$AM$56+'TUSD CVA'!$AM$56)*1</f>
        <v>1178.1887517861644</v>
      </c>
      <c r="AA1696" s="4">
        <f>('TE BE'!$AA$38+'TE BF'!$AA$38+'TE CVA'!$AA$38)*1</f>
        <v>423.89652505413846</v>
      </c>
      <c r="AB1696" s="4">
        <f>$K$1696*$V$1696</f>
        <v>0</v>
      </c>
      <c r="AC1696" s="4">
        <f>$M$1696*$W$1696</f>
        <v>11.113519999999999</v>
      </c>
      <c r="AD1696" s="4">
        <f>$O$1696*$X$1696</f>
        <v>3.81271</v>
      </c>
      <c r="AE1696" s="4">
        <f>$K$1696*$Y$1696</f>
        <v>0</v>
      </c>
      <c r="AF1696" s="4">
        <f ca="1">$M$1696*$Z$1696</f>
        <v>12.960076269647807</v>
      </c>
      <c r="AG1696" s="4">
        <f>$O$1696*$AA$1696</f>
        <v>4.6628617755955233</v>
      </c>
    </row>
    <row r="1697" spans="1:33" ht="11.25" customHeight="1" x14ac:dyDescent="0.25">
      <c r="A1697" s="3" t="s">
        <v>21</v>
      </c>
      <c r="B1697" s="3" t="s">
        <v>39</v>
      </c>
      <c r="C1697" s="3" t="s">
        <v>37</v>
      </c>
      <c r="D1697" s="3" t="s">
        <v>43</v>
      </c>
      <c r="E1697" s="3" t="s">
        <v>25</v>
      </c>
      <c r="F1697" s="3" t="s">
        <v>25</v>
      </c>
      <c r="G1697" s="3" t="s">
        <v>25</v>
      </c>
      <c r="H1697" s="3" t="s">
        <v>35</v>
      </c>
      <c r="I1697" s="6">
        <v>44593</v>
      </c>
      <c r="J1697" s="4">
        <v>0</v>
      </c>
      <c r="K1697" s="4">
        <v>0</v>
      </c>
      <c r="L1697" s="4">
        <v>10.082000000000001</v>
      </c>
      <c r="M1697" s="4">
        <v>10.082000000000001</v>
      </c>
      <c r="N1697" s="4">
        <v>10.082000000000001</v>
      </c>
      <c r="O1697" s="4">
        <v>10.082000000000001</v>
      </c>
      <c r="P1697" s="4">
        <v>0</v>
      </c>
      <c r="Q1697" s="3" t="s">
        <v>26</v>
      </c>
      <c r="R1697" s="3">
        <v>0</v>
      </c>
      <c r="S1697" s="4">
        <v>0</v>
      </c>
      <c r="T1697" s="4">
        <v>42</v>
      </c>
      <c r="U1697" s="4">
        <v>82</v>
      </c>
      <c r="V1697" s="4">
        <f>IF(ISERROR(VLOOKUP($S$1697,'TAR FIN'!$A$1:$O$99,15,0)),0,VLOOKUP($S$1697,'TAR FIN'!$A$1:$O$99,15,0))</f>
        <v>0</v>
      </c>
      <c r="W1697" s="4">
        <f>IF(ISERROR(VLOOKUP($T$1697,'TAR FIN'!$A$1:$O$99,15,0)),0,VLOOKUP($T$1697,'TAR FIN'!$A$1:$O$99,15,0))</f>
        <v>1010.32</v>
      </c>
      <c r="X1697" s="4">
        <f>IF(ISERROR(VLOOKUP($U$1697,'TAR FIN'!$A$1:$O$99,15,0)),0,VLOOKUP($U$1697,'TAR FIN'!$A$1:$O$99,15,0))</f>
        <v>346.61</v>
      </c>
      <c r="Y1697" s="4"/>
      <c r="Z1697" s="4">
        <f ca="1">('TUSD BE'!$AM$56+'TUSD BF'!$AM$56+'TUSD CVA'!$AM$56)*1</f>
        <v>1178.1887517861644</v>
      </c>
      <c r="AA1697" s="4">
        <f>('TE BE'!$AA$38+'TE BF'!$AA$38+'TE CVA'!$AA$38)*1</f>
        <v>423.89652505413846</v>
      </c>
      <c r="AB1697" s="4">
        <f>$K$1697*$V$1697</f>
        <v>0</v>
      </c>
      <c r="AC1697" s="4">
        <f>$M$1697*$W$1697</f>
        <v>10186.046240000001</v>
      </c>
      <c r="AD1697" s="4">
        <f>$O$1697*$X$1697</f>
        <v>3494.5220200000003</v>
      </c>
      <c r="AE1697" s="4">
        <f>$K$1697*$Y$1697</f>
        <v>0</v>
      </c>
      <c r="AF1697" s="4">
        <f ca="1">$M$1697*$Z$1697</f>
        <v>11878.498995508111</v>
      </c>
      <c r="AG1697" s="4">
        <f>$O$1697*$AA$1697</f>
        <v>4273.7247655958245</v>
      </c>
    </row>
    <row r="1698" spans="1:33" ht="11.25" customHeight="1" x14ac:dyDescent="0.25">
      <c r="A1698" s="3" t="s">
        <v>28</v>
      </c>
      <c r="B1698" s="3" t="s">
        <v>39</v>
      </c>
      <c r="C1698" s="3" t="s">
        <v>37</v>
      </c>
      <c r="D1698" s="3" t="s">
        <v>43</v>
      </c>
      <c r="E1698" s="3" t="s">
        <v>25</v>
      </c>
      <c r="F1698" s="3" t="s">
        <v>25</v>
      </c>
      <c r="G1698" s="3" t="s">
        <v>25</v>
      </c>
      <c r="H1698" s="3" t="s">
        <v>35</v>
      </c>
      <c r="I1698" s="6">
        <v>44593</v>
      </c>
      <c r="J1698" s="4">
        <v>0</v>
      </c>
      <c r="K1698" s="4">
        <v>0</v>
      </c>
      <c r="L1698" s="4">
        <v>8.9999999999999993E-3</v>
      </c>
      <c r="M1698" s="4">
        <v>8.9999999999999993E-3</v>
      </c>
      <c r="N1698" s="4">
        <v>8.9999999999999993E-3</v>
      </c>
      <c r="O1698" s="4">
        <v>8.9999999999999993E-3</v>
      </c>
      <c r="P1698" s="4">
        <v>0</v>
      </c>
      <c r="Q1698" s="3" t="s">
        <v>26</v>
      </c>
      <c r="R1698" s="3">
        <v>0</v>
      </c>
      <c r="S1698" s="4">
        <v>0</v>
      </c>
      <c r="T1698" s="4">
        <v>42</v>
      </c>
      <c r="U1698" s="4">
        <v>82</v>
      </c>
      <c r="V1698" s="4">
        <f>IF(ISERROR(VLOOKUP($S$1698,'TAR FIN'!$A$1:$O$99,15,0)),0,VLOOKUP($S$1698,'TAR FIN'!$A$1:$O$99,15,0))</f>
        <v>0</v>
      </c>
      <c r="W1698" s="4">
        <f>IF(ISERROR(VLOOKUP($T$1698,'TAR FIN'!$A$1:$O$99,15,0)),0,VLOOKUP($T$1698,'TAR FIN'!$A$1:$O$99,15,0))</f>
        <v>1010.32</v>
      </c>
      <c r="X1698" s="4">
        <f>IF(ISERROR(VLOOKUP($U$1698,'TAR FIN'!$A$1:$O$99,15,0)),0,VLOOKUP($U$1698,'TAR FIN'!$A$1:$O$99,15,0))</f>
        <v>346.61</v>
      </c>
      <c r="Y1698" s="4"/>
      <c r="Z1698" s="4">
        <f ca="1">('TUSD BE'!$AM$56+'TUSD BF'!$AM$56+'TUSD CVA'!$AM$56)*1</f>
        <v>1178.1887517861644</v>
      </c>
      <c r="AA1698" s="4">
        <f>('TE BE'!$AA$38+'TE BF'!$AA$38+'TE CVA'!$AA$38)*1</f>
        <v>423.89652505413846</v>
      </c>
      <c r="AB1698" s="4">
        <f>$K$1698*$V$1698</f>
        <v>0</v>
      </c>
      <c r="AC1698" s="4">
        <f>$M$1698*$W$1698</f>
        <v>9.0928799999999992</v>
      </c>
      <c r="AD1698" s="4">
        <f>$O$1698*$X$1698</f>
        <v>3.1194899999999999</v>
      </c>
      <c r="AE1698" s="4">
        <f>$K$1698*$Y$1698</f>
        <v>0</v>
      </c>
      <c r="AF1698" s="4">
        <f ca="1">$M$1698*$Z$1698</f>
        <v>10.603698766075478</v>
      </c>
      <c r="AG1698" s="4">
        <f>$O$1698*$AA$1698</f>
        <v>3.815068725487246</v>
      </c>
    </row>
    <row r="1699" spans="1:33" ht="11.25" customHeight="1" x14ac:dyDescent="0.25">
      <c r="A1699" s="3" t="s">
        <v>21</v>
      </c>
      <c r="B1699" s="3" t="s">
        <v>39</v>
      </c>
      <c r="C1699" s="3" t="s">
        <v>37</v>
      </c>
      <c r="D1699" s="3" t="s">
        <v>43</v>
      </c>
      <c r="E1699" s="3" t="s">
        <v>25</v>
      </c>
      <c r="F1699" s="3" t="s">
        <v>25</v>
      </c>
      <c r="G1699" s="3" t="s">
        <v>25</v>
      </c>
      <c r="H1699" s="3" t="s">
        <v>35</v>
      </c>
      <c r="I1699" s="6">
        <v>44621</v>
      </c>
      <c r="J1699" s="4">
        <v>0</v>
      </c>
      <c r="K1699" s="4">
        <v>0</v>
      </c>
      <c r="L1699" s="4">
        <v>11.125</v>
      </c>
      <c r="M1699" s="4">
        <v>11.125</v>
      </c>
      <c r="N1699" s="4">
        <v>11.125</v>
      </c>
      <c r="O1699" s="4">
        <v>11.125</v>
      </c>
      <c r="P1699" s="4">
        <v>0</v>
      </c>
      <c r="Q1699" s="3" t="s">
        <v>26</v>
      </c>
      <c r="R1699" s="3">
        <v>0</v>
      </c>
      <c r="S1699" s="4">
        <v>0</v>
      </c>
      <c r="T1699" s="4">
        <v>42</v>
      </c>
      <c r="U1699" s="4">
        <v>82</v>
      </c>
      <c r="V1699" s="4">
        <f>IF(ISERROR(VLOOKUP($S$1699,'TAR FIN'!$A$1:$O$99,15,0)),0,VLOOKUP($S$1699,'TAR FIN'!$A$1:$O$99,15,0))</f>
        <v>0</v>
      </c>
      <c r="W1699" s="4">
        <f>IF(ISERROR(VLOOKUP($T$1699,'TAR FIN'!$A$1:$O$99,15,0)),0,VLOOKUP($T$1699,'TAR FIN'!$A$1:$O$99,15,0))</f>
        <v>1010.32</v>
      </c>
      <c r="X1699" s="4">
        <f>IF(ISERROR(VLOOKUP($U$1699,'TAR FIN'!$A$1:$O$99,15,0)),0,VLOOKUP($U$1699,'TAR FIN'!$A$1:$O$99,15,0))</f>
        <v>346.61</v>
      </c>
      <c r="Y1699" s="4"/>
      <c r="Z1699" s="4">
        <f ca="1">('TUSD BE'!$AM$56+'TUSD BF'!$AM$56+'TUSD CVA'!$AM$56)*1</f>
        <v>1178.1887517861644</v>
      </c>
      <c r="AA1699" s="4">
        <f>('TE BE'!$AA$38+'TE BF'!$AA$38+'TE CVA'!$AA$38)*1</f>
        <v>423.89652505413846</v>
      </c>
      <c r="AB1699" s="4">
        <f>$K$1699*$V$1699</f>
        <v>0</v>
      </c>
      <c r="AC1699" s="4">
        <f>$M$1699*$W$1699</f>
        <v>11239.810000000001</v>
      </c>
      <c r="AD1699" s="4">
        <f>$O$1699*$X$1699</f>
        <v>3856.0362500000001</v>
      </c>
      <c r="AE1699" s="4">
        <f>$K$1699*$Y$1699</f>
        <v>0</v>
      </c>
      <c r="AF1699" s="4">
        <f ca="1">$M$1699*$Z$1699</f>
        <v>13107.349863621079</v>
      </c>
      <c r="AG1699" s="4">
        <f>$O$1699*$AA$1699</f>
        <v>4715.84884122729</v>
      </c>
    </row>
    <row r="1700" spans="1:33" ht="11.25" customHeight="1" x14ac:dyDescent="0.25">
      <c r="A1700" s="3" t="s">
        <v>28</v>
      </c>
      <c r="B1700" s="3" t="s">
        <v>39</v>
      </c>
      <c r="C1700" s="3" t="s">
        <v>37</v>
      </c>
      <c r="D1700" s="3" t="s">
        <v>43</v>
      </c>
      <c r="E1700" s="3" t="s">
        <v>25</v>
      </c>
      <c r="F1700" s="3" t="s">
        <v>25</v>
      </c>
      <c r="G1700" s="3" t="s">
        <v>25</v>
      </c>
      <c r="H1700" s="3" t="s">
        <v>35</v>
      </c>
      <c r="I1700" s="6">
        <v>44621</v>
      </c>
      <c r="J1700" s="4">
        <v>0</v>
      </c>
      <c r="K1700" s="4">
        <v>0</v>
      </c>
      <c r="L1700" s="4">
        <v>8.0000000000000002E-3</v>
      </c>
      <c r="M1700" s="4">
        <v>8.0000000000000002E-3</v>
      </c>
      <c r="N1700" s="4">
        <v>8.0000000000000002E-3</v>
      </c>
      <c r="O1700" s="4">
        <v>8.0000000000000002E-3</v>
      </c>
      <c r="P1700" s="4">
        <v>0</v>
      </c>
      <c r="Q1700" s="3" t="s">
        <v>26</v>
      </c>
      <c r="R1700" s="3">
        <v>0</v>
      </c>
      <c r="S1700" s="4">
        <v>0</v>
      </c>
      <c r="T1700" s="4">
        <v>42</v>
      </c>
      <c r="U1700" s="4">
        <v>82</v>
      </c>
      <c r="V1700" s="4">
        <f>IF(ISERROR(VLOOKUP($S$1700,'TAR FIN'!$A$1:$O$99,15,0)),0,VLOOKUP($S$1700,'TAR FIN'!$A$1:$O$99,15,0))</f>
        <v>0</v>
      </c>
      <c r="W1700" s="4">
        <f>IF(ISERROR(VLOOKUP($T$1700,'TAR FIN'!$A$1:$O$99,15,0)),0,VLOOKUP($T$1700,'TAR FIN'!$A$1:$O$99,15,0))</f>
        <v>1010.32</v>
      </c>
      <c r="X1700" s="4">
        <f>IF(ISERROR(VLOOKUP($U$1700,'TAR FIN'!$A$1:$O$99,15,0)),0,VLOOKUP($U$1700,'TAR FIN'!$A$1:$O$99,15,0))</f>
        <v>346.61</v>
      </c>
      <c r="Y1700" s="4"/>
      <c r="Z1700" s="4">
        <f ca="1">('TUSD BE'!$AM$56+'TUSD BF'!$AM$56+'TUSD CVA'!$AM$56)*1</f>
        <v>1178.1887517861644</v>
      </c>
      <c r="AA1700" s="4">
        <f>('TE BE'!$AA$38+'TE BF'!$AA$38+'TE CVA'!$AA$38)*1</f>
        <v>423.89652505413846</v>
      </c>
      <c r="AB1700" s="4">
        <f>$K$1700*$V$1700</f>
        <v>0</v>
      </c>
      <c r="AC1700" s="4">
        <f>$M$1700*$W$1700</f>
        <v>8.0825600000000009</v>
      </c>
      <c r="AD1700" s="4">
        <f>$O$1700*$X$1700</f>
        <v>2.7728800000000002</v>
      </c>
      <c r="AE1700" s="4">
        <f>$K$1700*$Y$1700</f>
        <v>0</v>
      </c>
      <c r="AF1700" s="4">
        <f ca="1">$M$1700*$Z$1700</f>
        <v>9.4255100142893156</v>
      </c>
      <c r="AG1700" s="4">
        <f>$O$1700*$AA$1700</f>
        <v>3.391172200433108</v>
      </c>
    </row>
    <row r="1701" spans="1:33" ht="11.25" customHeight="1" x14ac:dyDescent="0.25">
      <c r="A1701" s="3" t="s">
        <v>56</v>
      </c>
      <c r="B1701" s="3" t="s">
        <v>39</v>
      </c>
      <c r="C1701" s="3" t="s">
        <v>37</v>
      </c>
      <c r="D1701" s="3" t="s">
        <v>43</v>
      </c>
      <c r="E1701" s="3" t="s">
        <v>25</v>
      </c>
      <c r="F1701" s="3" t="s">
        <v>25</v>
      </c>
      <c r="G1701" s="3" t="s">
        <v>25</v>
      </c>
      <c r="H1701" s="3" t="s">
        <v>35</v>
      </c>
      <c r="I1701" s="6">
        <v>44652</v>
      </c>
      <c r="J1701" s="4">
        <v>0</v>
      </c>
      <c r="K1701" s="4">
        <v>0</v>
      </c>
      <c r="L1701" s="4">
        <v>11.125</v>
      </c>
      <c r="M1701" s="4">
        <v>11.125</v>
      </c>
      <c r="N1701" s="4">
        <v>11.125</v>
      </c>
      <c r="O1701" s="4">
        <v>11.125</v>
      </c>
      <c r="P1701" s="4">
        <v>0</v>
      </c>
      <c r="Q1701" s="3" t="s">
        <v>26</v>
      </c>
      <c r="R1701" s="3">
        <v>0</v>
      </c>
      <c r="S1701" s="4">
        <v>0</v>
      </c>
      <c r="T1701" s="4">
        <v>42</v>
      </c>
      <c r="U1701" s="4">
        <v>82</v>
      </c>
      <c r="V1701" s="4">
        <f>IF(ISERROR(VLOOKUP($S$1701,'TAR FIN'!$A$1:$O$99,15,0)),0,VLOOKUP($S$1701,'TAR FIN'!$A$1:$O$99,15,0))</f>
        <v>0</v>
      </c>
      <c r="W1701" s="4">
        <f>IF(ISERROR(VLOOKUP($T$1701,'TAR FIN'!$A$1:$O$99,15,0)),0,VLOOKUP($T$1701,'TAR FIN'!$A$1:$O$99,15,0))</f>
        <v>1010.32</v>
      </c>
      <c r="X1701" s="4">
        <f>IF(ISERROR(VLOOKUP($U$1701,'TAR FIN'!$A$1:$O$99,15,0)),0,VLOOKUP($U$1701,'TAR FIN'!$A$1:$O$99,15,0))</f>
        <v>346.61</v>
      </c>
      <c r="Y1701" s="4"/>
      <c r="Z1701" s="4">
        <f ca="1">('TUSD BE'!$AM$56+'TUSD BF'!$AM$56+'TUSD CVA'!$AM$56)*1</f>
        <v>1178.1887517861644</v>
      </c>
      <c r="AA1701" s="4">
        <f>('TE BE'!$AA$38+'TE BF'!$AA$38+'TE CVA'!$AA$38)*1</f>
        <v>423.89652505413846</v>
      </c>
      <c r="AB1701" s="4">
        <f>$K$1701*$V$1701</f>
        <v>0</v>
      </c>
      <c r="AC1701" s="4">
        <f>$M$1701*$W$1701</f>
        <v>11239.810000000001</v>
      </c>
      <c r="AD1701" s="4">
        <f>$O$1701*$X$1701</f>
        <v>3856.0362500000001</v>
      </c>
      <c r="AE1701" s="4">
        <f>$K$1701*$Y$1701</f>
        <v>0</v>
      </c>
      <c r="AF1701" s="4">
        <f ca="1">$M$1701*$Z$1701</f>
        <v>13107.349863621079</v>
      </c>
      <c r="AG1701" s="4">
        <f>$O$1701*$AA$1701</f>
        <v>4715.84884122729</v>
      </c>
    </row>
    <row r="1702" spans="1:33" ht="11.25" customHeight="1" x14ac:dyDescent="0.25">
      <c r="A1702" s="3" t="s">
        <v>56</v>
      </c>
      <c r="B1702" s="3" t="s">
        <v>39</v>
      </c>
      <c r="C1702" s="3" t="s">
        <v>37</v>
      </c>
      <c r="D1702" s="3" t="s">
        <v>43</v>
      </c>
      <c r="E1702" s="3" t="s">
        <v>25</v>
      </c>
      <c r="F1702" s="3" t="s">
        <v>25</v>
      </c>
      <c r="G1702" s="3" t="s">
        <v>25</v>
      </c>
      <c r="H1702" s="3" t="s">
        <v>35</v>
      </c>
      <c r="I1702" s="6">
        <v>44652</v>
      </c>
      <c r="J1702" s="4">
        <v>0</v>
      </c>
      <c r="K1702" s="4">
        <v>0</v>
      </c>
      <c r="L1702" s="4">
        <v>8.0000000000000002E-3</v>
      </c>
      <c r="M1702" s="4">
        <v>8.0000000000000002E-3</v>
      </c>
      <c r="N1702" s="4">
        <v>8.0000000000000002E-3</v>
      </c>
      <c r="O1702" s="4">
        <v>8.0000000000000002E-3</v>
      </c>
      <c r="P1702" s="4">
        <v>0</v>
      </c>
      <c r="Q1702" s="3" t="s">
        <v>26</v>
      </c>
      <c r="R1702" s="3">
        <v>0</v>
      </c>
      <c r="S1702" s="4">
        <v>0</v>
      </c>
      <c r="T1702" s="4">
        <v>42</v>
      </c>
      <c r="U1702" s="4">
        <v>82</v>
      </c>
      <c r="V1702" s="4">
        <f>IF(ISERROR(VLOOKUP($S$1702,'TAR FIN'!$A$1:$O$99,15,0)),0,VLOOKUP($S$1702,'TAR FIN'!$A$1:$O$99,15,0))</f>
        <v>0</v>
      </c>
      <c r="W1702" s="4">
        <f>IF(ISERROR(VLOOKUP($T$1702,'TAR FIN'!$A$1:$O$99,15,0)),0,VLOOKUP($T$1702,'TAR FIN'!$A$1:$O$99,15,0))</f>
        <v>1010.32</v>
      </c>
      <c r="X1702" s="4">
        <f>IF(ISERROR(VLOOKUP($U$1702,'TAR FIN'!$A$1:$O$99,15,0)),0,VLOOKUP($U$1702,'TAR FIN'!$A$1:$O$99,15,0))</f>
        <v>346.61</v>
      </c>
      <c r="Y1702" s="4"/>
      <c r="Z1702" s="4">
        <f ca="1">('TUSD BE'!$AM$56+'TUSD BF'!$AM$56+'TUSD CVA'!$AM$56)*1</f>
        <v>1178.1887517861644</v>
      </c>
      <c r="AA1702" s="4">
        <f>('TE BE'!$AA$38+'TE BF'!$AA$38+'TE CVA'!$AA$38)*1</f>
        <v>423.89652505413846</v>
      </c>
      <c r="AB1702" s="4">
        <f>$K$1702*$V$1702</f>
        <v>0</v>
      </c>
      <c r="AC1702" s="4">
        <f>$M$1702*$W$1702</f>
        <v>8.0825600000000009</v>
      </c>
      <c r="AD1702" s="4">
        <f>$O$1702*$X$1702</f>
        <v>2.7728800000000002</v>
      </c>
      <c r="AE1702" s="4">
        <f>$K$1702*$Y$1702</f>
        <v>0</v>
      </c>
      <c r="AF1702" s="4">
        <f ca="1">$M$1702*$Z$1702</f>
        <v>9.4255100142893156</v>
      </c>
      <c r="AG1702" s="4">
        <f>$O$1702*$AA$1702</f>
        <v>3.391172200433108</v>
      </c>
    </row>
    <row r="1703" spans="1:33" ht="11.25" customHeight="1" x14ac:dyDescent="0.25">
      <c r="A1703" s="3" t="s">
        <v>21</v>
      </c>
      <c r="B1703" s="3" t="s">
        <v>39</v>
      </c>
      <c r="C1703" s="3" t="s">
        <v>37</v>
      </c>
      <c r="D1703" s="3" t="s">
        <v>52</v>
      </c>
      <c r="E1703" s="3" t="s">
        <v>25</v>
      </c>
      <c r="F1703" s="3" t="s">
        <v>25</v>
      </c>
      <c r="G1703" s="3" t="s">
        <v>25</v>
      </c>
      <c r="H1703" s="3" t="s">
        <v>36</v>
      </c>
      <c r="I1703" s="6">
        <v>44317</v>
      </c>
      <c r="J1703" s="4">
        <v>0</v>
      </c>
      <c r="K1703" s="4">
        <v>0</v>
      </c>
      <c r="L1703" s="4">
        <v>9.4350000000000005</v>
      </c>
      <c r="M1703" s="4">
        <v>9.4350000000000005</v>
      </c>
      <c r="N1703" s="4">
        <v>9.4350000000000005</v>
      </c>
      <c r="O1703" s="4">
        <v>9.4350000000000005</v>
      </c>
      <c r="P1703" s="4">
        <v>0</v>
      </c>
      <c r="Q1703" s="3" t="s">
        <v>26</v>
      </c>
      <c r="R1703" s="3">
        <v>0</v>
      </c>
      <c r="S1703" s="4">
        <v>0</v>
      </c>
      <c r="T1703" s="4">
        <v>44</v>
      </c>
      <c r="U1703" s="4">
        <v>84</v>
      </c>
      <c r="V1703" s="4">
        <f>IF(ISERROR(VLOOKUP($S$1703,'TAR FIN'!$A$1:$O$99,15,0)),0,VLOOKUP($S$1703,'TAR FIN'!$A$1:$O$99,15,0))</f>
        <v>0</v>
      </c>
      <c r="W1703" s="4">
        <f>IF(ISERROR(VLOOKUP($T$1703,'TAR FIN'!$A$1:$O$99,15,0)),0,VLOOKUP($T$1703,'TAR FIN'!$A$1:$O$99,15,0))</f>
        <v>304.7</v>
      </c>
      <c r="X1703" s="4">
        <f>IF(ISERROR(VLOOKUP($U$1703,'TAR FIN'!$A$1:$O$99,15,0)),0,VLOOKUP($U$1703,'TAR FIN'!$A$1:$O$99,15,0))</f>
        <v>219.97</v>
      </c>
      <c r="Y1703" s="4"/>
      <c r="Z1703" s="4">
        <f ca="1">('TUSD BE'!$AM$58+'TUSD BF'!$AM$58+'TUSD CVA'!$AM$58)*1</f>
        <v>361.43108304877717</v>
      </c>
      <c r="AA1703" s="4">
        <f>('TE BE'!$AA$40+'TE BF'!$AA$40+'TE CVA'!$AA$40)*1</f>
        <v>271.13910989737087</v>
      </c>
      <c r="AB1703" s="4">
        <f>$K$1703*$V$1703</f>
        <v>0</v>
      </c>
      <c r="AC1703" s="4">
        <f>$M$1703*$W$1703</f>
        <v>2874.8445000000002</v>
      </c>
      <c r="AD1703" s="4">
        <f>$O$1703*$X$1703</f>
        <v>2075.4169500000003</v>
      </c>
      <c r="AE1703" s="4">
        <f>$K$1703*$Y$1703</f>
        <v>0</v>
      </c>
      <c r="AF1703" s="4">
        <f ca="1">$M$1703*$Z$1703</f>
        <v>3410.1022685652129</v>
      </c>
      <c r="AG1703" s="4">
        <f>$O$1703*$AA$1703</f>
        <v>2558.1975018816943</v>
      </c>
    </row>
    <row r="1704" spans="1:33" ht="11.25" customHeight="1" x14ac:dyDescent="0.25">
      <c r="A1704" s="3" t="s">
        <v>21</v>
      </c>
      <c r="B1704" s="3" t="s">
        <v>39</v>
      </c>
      <c r="C1704" s="3" t="s">
        <v>37</v>
      </c>
      <c r="D1704" s="3" t="s">
        <v>52</v>
      </c>
      <c r="E1704" s="3" t="s">
        <v>25</v>
      </c>
      <c r="F1704" s="3" t="s">
        <v>25</v>
      </c>
      <c r="G1704" s="3" t="s">
        <v>25</v>
      </c>
      <c r="H1704" s="3" t="s">
        <v>36</v>
      </c>
      <c r="I1704" s="6">
        <v>44348</v>
      </c>
      <c r="J1704" s="4">
        <v>0</v>
      </c>
      <c r="K1704" s="4">
        <v>0</v>
      </c>
      <c r="L1704" s="4">
        <v>7.9790000000000001</v>
      </c>
      <c r="M1704" s="4">
        <v>7.9790000000000001</v>
      </c>
      <c r="N1704" s="4">
        <v>7.9790000000000001</v>
      </c>
      <c r="O1704" s="4">
        <v>7.9790000000000001</v>
      </c>
      <c r="P1704" s="4">
        <v>0</v>
      </c>
      <c r="Q1704" s="3" t="s">
        <v>26</v>
      </c>
      <c r="R1704" s="3">
        <v>0</v>
      </c>
      <c r="S1704" s="4">
        <v>0</v>
      </c>
      <c r="T1704" s="4">
        <v>44</v>
      </c>
      <c r="U1704" s="4">
        <v>84</v>
      </c>
      <c r="V1704" s="4">
        <f>IF(ISERROR(VLOOKUP($S$1704,'TAR FIN'!$A$1:$O$99,15,0)),0,VLOOKUP($S$1704,'TAR FIN'!$A$1:$O$99,15,0))</f>
        <v>0</v>
      </c>
      <c r="W1704" s="4">
        <f>IF(ISERROR(VLOOKUP($T$1704,'TAR FIN'!$A$1:$O$99,15,0)),0,VLOOKUP($T$1704,'TAR FIN'!$A$1:$O$99,15,0))</f>
        <v>304.7</v>
      </c>
      <c r="X1704" s="4">
        <f>IF(ISERROR(VLOOKUP($U$1704,'TAR FIN'!$A$1:$O$99,15,0)),0,VLOOKUP($U$1704,'TAR FIN'!$A$1:$O$99,15,0))</f>
        <v>219.97</v>
      </c>
      <c r="Y1704" s="4"/>
      <c r="Z1704" s="4">
        <f ca="1">('TUSD BE'!$AM$58+'TUSD BF'!$AM$58+'TUSD CVA'!$AM$58)*1</f>
        <v>361.43108304877717</v>
      </c>
      <c r="AA1704" s="4">
        <f>('TE BE'!$AA$40+'TE BF'!$AA$40+'TE CVA'!$AA$40)*1</f>
        <v>271.13910989737087</v>
      </c>
      <c r="AB1704" s="4">
        <f>$K$1704*$V$1704</f>
        <v>0</v>
      </c>
      <c r="AC1704" s="4">
        <f>$M$1704*$W$1704</f>
        <v>2431.2012999999997</v>
      </c>
      <c r="AD1704" s="4">
        <f>$O$1704*$X$1704</f>
        <v>1755.1406300000001</v>
      </c>
      <c r="AE1704" s="4">
        <f>$K$1704*$Y$1704</f>
        <v>0</v>
      </c>
      <c r="AF1704" s="4">
        <f ca="1">$M$1704*$Z$1704</f>
        <v>2883.8586116461929</v>
      </c>
      <c r="AG1704" s="4">
        <f>$O$1704*$AA$1704</f>
        <v>2163.4189578711221</v>
      </c>
    </row>
    <row r="1705" spans="1:33" ht="11.25" customHeight="1" x14ac:dyDescent="0.25">
      <c r="A1705" s="3" t="s">
        <v>21</v>
      </c>
      <c r="B1705" s="3" t="s">
        <v>39</v>
      </c>
      <c r="C1705" s="3" t="s">
        <v>37</v>
      </c>
      <c r="D1705" s="3" t="s">
        <v>52</v>
      </c>
      <c r="E1705" s="3" t="s">
        <v>25</v>
      </c>
      <c r="F1705" s="3" t="s">
        <v>25</v>
      </c>
      <c r="G1705" s="3" t="s">
        <v>25</v>
      </c>
      <c r="H1705" s="3" t="s">
        <v>36</v>
      </c>
      <c r="I1705" s="6">
        <v>44378</v>
      </c>
      <c r="J1705" s="4">
        <v>0</v>
      </c>
      <c r="K1705" s="4">
        <v>0</v>
      </c>
      <c r="L1705" s="4">
        <v>6.8819999999999997</v>
      </c>
      <c r="M1705" s="4">
        <v>6.8819999999999997</v>
      </c>
      <c r="N1705" s="4">
        <v>6.8819999999999997</v>
      </c>
      <c r="O1705" s="4">
        <v>6.8819999999999997</v>
      </c>
      <c r="P1705" s="4">
        <v>0</v>
      </c>
      <c r="Q1705" s="3" t="s">
        <v>26</v>
      </c>
      <c r="R1705" s="3">
        <v>0</v>
      </c>
      <c r="S1705" s="4">
        <v>0</v>
      </c>
      <c r="T1705" s="4">
        <v>44</v>
      </c>
      <c r="U1705" s="4">
        <v>84</v>
      </c>
      <c r="V1705" s="4">
        <f>IF(ISERROR(VLOOKUP($S$1705,'TAR FIN'!$A$1:$O$99,15,0)),0,VLOOKUP($S$1705,'TAR FIN'!$A$1:$O$99,15,0))</f>
        <v>0</v>
      </c>
      <c r="W1705" s="4">
        <f>IF(ISERROR(VLOOKUP($T$1705,'TAR FIN'!$A$1:$O$99,15,0)),0,VLOOKUP($T$1705,'TAR FIN'!$A$1:$O$99,15,0))</f>
        <v>304.7</v>
      </c>
      <c r="X1705" s="4">
        <f>IF(ISERROR(VLOOKUP($U$1705,'TAR FIN'!$A$1:$O$99,15,0)),0,VLOOKUP($U$1705,'TAR FIN'!$A$1:$O$99,15,0))</f>
        <v>219.97</v>
      </c>
      <c r="Y1705" s="4"/>
      <c r="Z1705" s="4">
        <f ca="1">('TUSD BE'!$AM$58+'TUSD BF'!$AM$58+'TUSD CVA'!$AM$58)*1</f>
        <v>361.43108304877717</v>
      </c>
      <c r="AA1705" s="4">
        <f>('TE BE'!$AA$40+'TE BF'!$AA$40+'TE CVA'!$AA$40)*1</f>
        <v>271.13910989737087</v>
      </c>
      <c r="AB1705" s="4">
        <f>$K$1705*$V$1705</f>
        <v>0</v>
      </c>
      <c r="AC1705" s="4">
        <f>$M$1705*$W$1705</f>
        <v>2096.9453999999996</v>
      </c>
      <c r="AD1705" s="4">
        <f>$O$1705*$X$1705</f>
        <v>1513.8335399999999</v>
      </c>
      <c r="AE1705" s="4">
        <f>$K$1705*$Y$1705</f>
        <v>0</v>
      </c>
      <c r="AF1705" s="4">
        <f ca="1">$M$1705*$Z$1705</f>
        <v>2487.3687135416844</v>
      </c>
      <c r="AG1705" s="4">
        <f>$O$1705*$AA$1705</f>
        <v>1865.9793543137062</v>
      </c>
    </row>
    <row r="1706" spans="1:33" ht="11.25" customHeight="1" x14ac:dyDescent="0.25">
      <c r="A1706" s="3" t="s">
        <v>21</v>
      </c>
      <c r="B1706" s="3" t="s">
        <v>39</v>
      </c>
      <c r="C1706" s="3" t="s">
        <v>37</v>
      </c>
      <c r="D1706" s="3" t="s">
        <v>52</v>
      </c>
      <c r="E1706" s="3" t="s">
        <v>25</v>
      </c>
      <c r="F1706" s="3" t="s">
        <v>25</v>
      </c>
      <c r="G1706" s="3" t="s">
        <v>25</v>
      </c>
      <c r="H1706" s="3" t="s">
        <v>36</v>
      </c>
      <c r="I1706" s="6">
        <v>44409</v>
      </c>
      <c r="J1706" s="4">
        <v>0</v>
      </c>
      <c r="K1706" s="4">
        <v>0</v>
      </c>
      <c r="L1706" s="4">
        <v>7.0830000000000002</v>
      </c>
      <c r="M1706" s="4">
        <v>7.0830000000000002</v>
      </c>
      <c r="N1706" s="4">
        <v>7.0830000000000002</v>
      </c>
      <c r="O1706" s="4">
        <v>7.0830000000000002</v>
      </c>
      <c r="P1706" s="4">
        <v>0</v>
      </c>
      <c r="Q1706" s="3" t="s">
        <v>26</v>
      </c>
      <c r="R1706" s="3">
        <v>0</v>
      </c>
      <c r="S1706" s="4">
        <v>0</v>
      </c>
      <c r="T1706" s="4">
        <v>44</v>
      </c>
      <c r="U1706" s="4">
        <v>84</v>
      </c>
      <c r="V1706" s="4">
        <f>IF(ISERROR(VLOOKUP($S$1706,'TAR FIN'!$A$1:$O$99,15,0)),0,VLOOKUP($S$1706,'TAR FIN'!$A$1:$O$99,15,0))</f>
        <v>0</v>
      </c>
      <c r="W1706" s="4">
        <f>IF(ISERROR(VLOOKUP($T$1706,'TAR FIN'!$A$1:$O$99,15,0)),0,VLOOKUP($T$1706,'TAR FIN'!$A$1:$O$99,15,0))</f>
        <v>304.7</v>
      </c>
      <c r="X1706" s="4">
        <f>IF(ISERROR(VLOOKUP($U$1706,'TAR FIN'!$A$1:$O$99,15,0)),0,VLOOKUP($U$1706,'TAR FIN'!$A$1:$O$99,15,0))</f>
        <v>219.97</v>
      </c>
      <c r="Y1706" s="4"/>
      <c r="Z1706" s="4">
        <f ca="1">('TUSD BE'!$AM$58+'TUSD BF'!$AM$58+'TUSD CVA'!$AM$58)*1</f>
        <v>361.43108304877717</v>
      </c>
      <c r="AA1706" s="4">
        <f>('TE BE'!$AA$40+'TE BF'!$AA$40+'TE CVA'!$AA$40)*1</f>
        <v>271.13910989737087</v>
      </c>
      <c r="AB1706" s="4">
        <f>$K$1706*$V$1706</f>
        <v>0</v>
      </c>
      <c r="AC1706" s="4">
        <f>$M$1706*$W$1706</f>
        <v>2158.1900999999998</v>
      </c>
      <c r="AD1706" s="4">
        <f>$O$1706*$X$1706</f>
        <v>1558.0475100000001</v>
      </c>
      <c r="AE1706" s="4">
        <f>$K$1706*$Y$1706</f>
        <v>0</v>
      </c>
      <c r="AF1706" s="4">
        <f ca="1">$M$1706*$Z$1706</f>
        <v>2560.0163612344886</v>
      </c>
      <c r="AG1706" s="4">
        <f>$O$1706*$AA$1706</f>
        <v>1920.4783154030779</v>
      </c>
    </row>
    <row r="1707" spans="1:33" ht="11.25" customHeight="1" x14ac:dyDescent="0.25">
      <c r="A1707" s="3" t="s">
        <v>21</v>
      </c>
      <c r="B1707" s="3" t="s">
        <v>39</v>
      </c>
      <c r="C1707" s="3" t="s">
        <v>37</v>
      </c>
      <c r="D1707" s="3" t="s">
        <v>52</v>
      </c>
      <c r="E1707" s="3" t="s">
        <v>25</v>
      </c>
      <c r="F1707" s="3" t="s">
        <v>25</v>
      </c>
      <c r="G1707" s="3" t="s">
        <v>25</v>
      </c>
      <c r="H1707" s="3" t="s">
        <v>36</v>
      </c>
      <c r="I1707" s="6">
        <v>44440</v>
      </c>
      <c r="J1707" s="4">
        <v>0</v>
      </c>
      <c r="K1707" s="4">
        <v>0</v>
      </c>
      <c r="L1707" s="4">
        <v>8.4890000000000008</v>
      </c>
      <c r="M1707" s="4">
        <v>8.4890000000000008</v>
      </c>
      <c r="N1707" s="4">
        <v>8.4890000000000008</v>
      </c>
      <c r="O1707" s="4">
        <v>8.4890000000000008</v>
      </c>
      <c r="P1707" s="4">
        <v>0</v>
      </c>
      <c r="Q1707" s="3" t="s">
        <v>26</v>
      </c>
      <c r="R1707" s="3">
        <v>0</v>
      </c>
      <c r="S1707" s="4">
        <v>0</v>
      </c>
      <c r="T1707" s="4">
        <v>44</v>
      </c>
      <c r="U1707" s="4">
        <v>84</v>
      </c>
      <c r="V1707" s="4">
        <f>IF(ISERROR(VLOOKUP($S$1707,'TAR FIN'!$A$1:$O$99,15,0)),0,VLOOKUP($S$1707,'TAR FIN'!$A$1:$O$99,15,0))</f>
        <v>0</v>
      </c>
      <c r="W1707" s="4">
        <f>IF(ISERROR(VLOOKUP($T$1707,'TAR FIN'!$A$1:$O$99,15,0)),0,VLOOKUP($T$1707,'TAR FIN'!$A$1:$O$99,15,0))</f>
        <v>304.7</v>
      </c>
      <c r="X1707" s="4">
        <f>IF(ISERROR(VLOOKUP($U$1707,'TAR FIN'!$A$1:$O$99,15,0)),0,VLOOKUP($U$1707,'TAR FIN'!$A$1:$O$99,15,0))</f>
        <v>219.97</v>
      </c>
      <c r="Y1707" s="4"/>
      <c r="Z1707" s="4">
        <f ca="1">('TUSD BE'!$AM$58+'TUSD BF'!$AM$58+'TUSD CVA'!$AM$58)*1</f>
        <v>361.43108304877717</v>
      </c>
      <c r="AA1707" s="4">
        <f>('TE BE'!$AA$40+'TE BF'!$AA$40+'TE CVA'!$AA$40)*1</f>
        <v>271.13910989737087</v>
      </c>
      <c r="AB1707" s="4">
        <f>$K$1707*$V$1707</f>
        <v>0</v>
      </c>
      <c r="AC1707" s="4">
        <f>$M$1707*$W$1707</f>
        <v>2586.5983000000001</v>
      </c>
      <c r="AD1707" s="4">
        <f>$O$1707*$X$1707</f>
        <v>1867.3253300000001</v>
      </c>
      <c r="AE1707" s="4">
        <f>$K$1707*$Y$1707</f>
        <v>0</v>
      </c>
      <c r="AF1707" s="4">
        <f ca="1">$M$1707*$Z$1707</f>
        <v>3068.1884640010699</v>
      </c>
      <c r="AG1707" s="4">
        <f>$O$1707*$AA$1707</f>
        <v>2301.6999039187817</v>
      </c>
    </row>
    <row r="1708" spans="1:33" ht="11.25" customHeight="1" x14ac:dyDescent="0.25">
      <c r="A1708" s="3" t="s">
        <v>21</v>
      </c>
      <c r="B1708" s="3" t="s">
        <v>39</v>
      </c>
      <c r="C1708" s="3" t="s">
        <v>37</v>
      </c>
      <c r="D1708" s="3" t="s">
        <v>52</v>
      </c>
      <c r="E1708" s="3" t="s">
        <v>25</v>
      </c>
      <c r="F1708" s="3" t="s">
        <v>25</v>
      </c>
      <c r="G1708" s="3" t="s">
        <v>25</v>
      </c>
      <c r="H1708" s="3" t="s">
        <v>36</v>
      </c>
      <c r="I1708" s="6">
        <v>44470</v>
      </c>
      <c r="J1708" s="4">
        <v>0</v>
      </c>
      <c r="K1708" s="4">
        <v>0</v>
      </c>
      <c r="L1708" s="4">
        <v>10.281000000000001</v>
      </c>
      <c r="M1708" s="4">
        <v>10.281000000000001</v>
      </c>
      <c r="N1708" s="4">
        <v>10.281000000000001</v>
      </c>
      <c r="O1708" s="4">
        <v>10.281000000000001</v>
      </c>
      <c r="P1708" s="4">
        <v>0</v>
      </c>
      <c r="Q1708" s="3" t="s">
        <v>26</v>
      </c>
      <c r="R1708" s="3">
        <v>0</v>
      </c>
      <c r="S1708" s="4">
        <v>0</v>
      </c>
      <c r="T1708" s="4">
        <v>44</v>
      </c>
      <c r="U1708" s="4">
        <v>84</v>
      </c>
      <c r="V1708" s="4">
        <f>IF(ISERROR(VLOOKUP($S$1708,'TAR FIN'!$A$1:$O$99,15,0)),0,VLOOKUP($S$1708,'TAR FIN'!$A$1:$O$99,15,0))</f>
        <v>0</v>
      </c>
      <c r="W1708" s="4">
        <f>IF(ISERROR(VLOOKUP($T$1708,'TAR FIN'!$A$1:$O$99,15,0)),0,VLOOKUP($T$1708,'TAR FIN'!$A$1:$O$99,15,0))</f>
        <v>304.7</v>
      </c>
      <c r="X1708" s="4">
        <f>IF(ISERROR(VLOOKUP($U$1708,'TAR FIN'!$A$1:$O$99,15,0)),0,VLOOKUP($U$1708,'TAR FIN'!$A$1:$O$99,15,0))</f>
        <v>219.97</v>
      </c>
      <c r="Y1708" s="4"/>
      <c r="Z1708" s="4">
        <f ca="1">('TUSD BE'!$AM$58+'TUSD BF'!$AM$58+'TUSD CVA'!$AM$58)*1</f>
        <v>361.43108304877717</v>
      </c>
      <c r="AA1708" s="4">
        <f>('TE BE'!$AA$40+'TE BF'!$AA$40+'TE CVA'!$AA$40)*1</f>
        <v>271.13910989737087</v>
      </c>
      <c r="AB1708" s="4">
        <f>$K$1708*$V$1708</f>
        <v>0</v>
      </c>
      <c r="AC1708" s="4">
        <f>$M$1708*$W$1708</f>
        <v>3132.6206999999999</v>
      </c>
      <c r="AD1708" s="4">
        <f>$O$1708*$X$1708</f>
        <v>2261.5115700000001</v>
      </c>
      <c r="AE1708" s="4">
        <f>$K$1708*$Y$1708</f>
        <v>0</v>
      </c>
      <c r="AF1708" s="4">
        <f ca="1">$M$1708*$Z$1708</f>
        <v>3715.8729648244785</v>
      </c>
      <c r="AG1708" s="4">
        <f>$O$1708*$AA$1708</f>
        <v>2787.5811888548701</v>
      </c>
    </row>
    <row r="1709" spans="1:33" ht="11.25" customHeight="1" x14ac:dyDescent="0.25">
      <c r="A1709" s="3" t="s">
        <v>21</v>
      </c>
      <c r="B1709" s="3" t="s">
        <v>39</v>
      </c>
      <c r="C1709" s="3" t="s">
        <v>37</v>
      </c>
      <c r="D1709" s="3" t="s">
        <v>52</v>
      </c>
      <c r="E1709" s="3" t="s">
        <v>25</v>
      </c>
      <c r="F1709" s="3" t="s">
        <v>25</v>
      </c>
      <c r="G1709" s="3" t="s">
        <v>25</v>
      </c>
      <c r="H1709" s="3" t="s">
        <v>36</v>
      </c>
      <c r="I1709" s="6">
        <v>44501</v>
      </c>
      <c r="J1709" s="4">
        <v>0</v>
      </c>
      <c r="K1709" s="4">
        <v>0</v>
      </c>
      <c r="L1709" s="4">
        <v>10.707000000000001</v>
      </c>
      <c r="M1709" s="4">
        <v>10.707000000000001</v>
      </c>
      <c r="N1709" s="4">
        <v>10.707000000000001</v>
      </c>
      <c r="O1709" s="4">
        <v>10.707000000000001</v>
      </c>
      <c r="P1709" s="4">
        <v>0</v>
      </c>
      <c r="Q1709" s="3" t="s">
        <v>26</v>
      </c>
      <c r="R1709" s="3">
        <v>0</v>
      </c>
      <c r="S1709" s="4">
        <v>0</v>
      </c>
      <c r="T1709" s="4">
        <v>44</v>
      </c>
      <c r="U1709" s="4">
        <v>84</v>
      </c>
      <c r="V1709" s="4">
        <f>IF(ISERROR(VLOOKUP($S$1709,'TAR FIN'!$A$1:$O$99,15,0)),0,VLOOKUP($S$1709,'TAR FIN'!$A$1:$O$99,15,0))</f>
        <v>0</v>
      </c>
      <c r="W1709" s="4">
        <f>IF(ISERROR(VLOOKUP($T$1709,'TAR FIN'!$A$1:$O$99,15,0)),0,VLOOKUP($T$1709,'TAR FIN'!$A$1:$O$99,15,0))</f>
        <v>304.7</v>
      </c>
      <c r="X1709" s="4">
        <f>IF(ISERROR(VLOOKUP($U$1709,'TAR FIN'!$A$1:$O$99,15,0)),0,VLOOKUP($U$1709,'TAR FIN'!$A$1:$O$99,15,0))</f>
        <v>219.97</v>
      </c>
      <c r="Y1709" s="4"/>
      <c r="Z1709" s="4">
        <f ca="1">('TUSD BE'!$AM$58+'TUSD BF'!$AM$58+'TUSD CVA'!$AM$58)*1</f>
        <v>361.43108304877717</v>
      </c>
      <c r="AA1709" s="4">
        <f>('TE BE'!$AA$40+'TE BF'!$AA$40+'TE CVA'!$AA$40)*1</f>
        <v>271.13910989737087</v>
      </c>
      <c r="AB1709" s="4">
        <f>$K$1709*$V$1709</f>
        <v>0</v>
      </c>
      <c r="AC1709" s="4">
        <f>$M$1709*$W$1709</f>
        <v>3262.4229</v>
      </c>
      <c r="AD1709" s="4">
        <f>$O$1709*$X$1709</f>
        <v>2355.2187900000004</v>
      </c>
      <c r="AE1709" s="4">
        <f>$K$1709*$Y$1709</f>
        <v>0</v>
      </c>
      <c r="AF1709" s="4">
        <f ca="1">$M$1709*$Z$1709</f>
        <v>3869.8426062032572</v>
      </c>
      <c r="AG1709" s="4">
        <f>$O$1709*$AA$1709</f>
        <v>2903.0864496711501</v>
      </c>
    </row>
    <row r="1710" spans="1:33" ht="11.25" customHeight="1" x14ac:dyDescent="0.25">
      <c r="A1710" s="3" t="s">
        <v>21</v>
      </c>
      <c r="B1710" s="3" t="s">
        <v>39</v>
      </c>
      <c r="C1710" s="3" t="s">
        <v>37</v>
      </c>
      <c r="D1710" s="3" t="s">
        <v>52</v>
      </c>
      <c r="E1710" s="3" t="s">
        <v>25</v>
      </c>
      <c r="F1710" s="3" t="s">
        <v>25</v>
      </c>
      <c r="G1710" s="3" t="s">
        <v>25</v>
      </c>
      <c r="H1710" s="3" t="s">
        <v>36</v>
      </c>
      <c r="I1710" s="6">
        <v>44531</v>
      </c>
      <c r="J1710" s="4">
        <v>0</v>
      </c>
      <c r="K1710" s="4">
        <v>0</v>
      </c>
      <c r="L1710" s="4">
        <v>12.432</v>
      </c>
      <c r="M1710" s="4">
        <v>12.432</v>
      </c>
      <c r="N1710" s="4">
        <v>12.432</v>
      </c>
      <c r="O1710" s="4">
        <v>12.432</v>
      </c>
      <c r="P1710" s="4">
        <v>0</v>
      </c>
      <c r="Q1710" s="3" t="s">
        <v>26</v>
      </c>
      <c r="R1710" s="3">
        <v>0</v>
      </c>
      <c r="S1710" s="4">
        <v>0</v>
      </c>
      <c r="T1710" s="4">
        <v>44</v>
      </c>
      <c r="U1710" s="4">
        <v>84</v>
      </c>
      <c r="V1710" s="4">
        <f>IF(ISERROR(VLOOKUP($S$1710,'TAR FIN'!$A$1:$O$99,15,0)),0,VLOOKUP($S$1710,'TAR FIN'!$A$1:$O$99,15,0))</f>
        <v>0</v>
      </c>
      <c r="W1710" s="4">
        <f>IF(ISERROR(VLOOKUP($T$1710,'TAR FIN'!$A$1:$O$99,15,0)),0,VLOOKUP($T$1710,'TAR FIN'!$A$1:$O$99,15,0))</f>
        <v>304.7</v>
      </c>
      <c r="X1710" s="4">
        <f>IF(ISERROR(VLOOKUP($U$1710,'TAR FIN'!$A$1:$O$99,15,0)),0,VLOOKUP($U$1710,'TAR FIN'!$A$1:$O$99,15,0))</f>
        <v>219.97</v>
      </c>
      <c r="Y1710" s="4"/>
      <c r="Z1710" s="4">
        <f ca="1">('TUSD BE'!$AM$58+'TUSD BF'!$AM$58+'TUSD CVA'!$AM$58)*1</f>
        <v>361.43108304877717</v>
      </c>
      <c r="AA1710" s="4">
        <f>('TE BE'!$AA$40+'TE BF'!$AA$40+'TE CVA'!$AA$40)*1</f>
        <v>271.13910989737087</v>
      </c>
      <c r="AB1710" s="4">
        <f>$K$1710*$V$1710</f>
        <v>0</v>
      </c>
      <c r="AC1710" s="4">
        <f>$M$1710*$W$1710</f>
        <v>3788.0304000000001</v>
      </c>
      <c r="AD1710" s="4">
        <f>$O$1710*$X$1710</f>
        <v>2734.6670400000003</v>
      </c>
      <c r="AE1710" s="4">
        <f>$K$1710*$Y$1710</f>
        <v>0</v>
      </c>
      <c r="AF1710" s="4">
        <f ca="1">$M$1710*$Z$1710</f>
        <v>4493.3112244623981</v>
      </c>
      <c r="AG1710" s="4">
        <f>$O$1710*$AA$1710</f>
        <v>3370.8014142441148</v>
      </c>
    </row>
    <row r="1711" spans="1:33" ht="11.25" customHeight="1" x14ac:dyDescent="0.25">
      <c r="A1711" s="3" t="s">
        <v>21</v>
      </c>
      <c r="B1711" s="3" t="s">
        <v>39</v>
      </c>
      <c r="C1711" s="3" t="s">
        <v>37</v>
      </c>
      <c r="D1711" s="3" t="s">
        <v>52</v>
      </c>
      <c r="E1711" s="3" t="s">
        <v>25</v>
      </c>
      <c r="F1711" s="3" t="s">
        <v>25</v>
      </c>
      <c r="G1711" s="3" t="s">
        <v>25</v>
      </c>
      <c r="H1711" s="3" t="s">
        <v>36</v>
      </c>
      <c r="I1711" s="6">
        <v>44562</v>
      </c>
      <c r="J1711" s="4">
        <v>0</v>
      </c>
      <c r="K1711" s="4">
        <v>0</v>
      </c>
      <c r="L1711" s="4">
        <v>9.625</v>
      </c>
      <c r="M1711" s="4">
        <v>9.625</v>
      </c>
      <c r="N1711" s="4">
        <v>9.625</v>
      </c>
      <c r="O1711" s="4">
        <v>9.625</v>
      </c>
      <c r="P1711" s="4">
        <v>0</v>
      </c>
      <c r="Q1711" s="3" t="s">
        <v>26</v>
      </c>
      <c r="R1711" s="3">
        <v>0</v>
      </c>
      <c r="S1711" s="4">
        <v>0</v>
      </c>
      <c r="T1711" s="4">
        <v>44</v>
      </c>
      <c r="U1711" s="4">
        <v>84</v>
      </c>
      <c r="V1711" s="4">
        <f>IF(ISERROR(VLOOKUP($S$1711,'TAR FIN'!$A$1:$O$99,15,0)),0,VLOOKUP($S$1711,'TAR FIN'!$A$1:$O$99,15,0))</f>
        <v>0</v>
      </c>
      <c r="W1711" s="4">
        <f>IF(ISERROR(VLOOKUP($T$1711,'TAR FIN'!$A$1:$O$99,15,0)),0,VLOOKUP($T$1711,'TAR FIN'!$A$1:$O$99,15,0))</f>
        <v>304.7</v>
      </c>
      <c r="X1711" s="4">
        <f>IF(ISERROR(VLOOKUP($U$1711,'TAR FIN'!$A$1:$O$99,15,0)),0,VLOOKUP($U$1711,'TAR FIN'!$A$1:$O$99,15,0))</f>
        <v>219.97</v>
      </c>
      <c r="Y1711" s="4"/>
      <c r="Z1711" s="4">
        <f ca="1">('TUSD BE'!$AM$58+'TUSD BF'!$AM$58+'TUSD CVA'!$AM$58)*1</f>
        <v>361.43108304877717</v>
      </c>
      <c r="AA1711" s="4">
        <f>('TE BE'!$AA$40+'TE BF'!$AA$40+'TE CVA'!$AA$40)*1</f>
        <v>271.13910989737087</v>
      </c>
      <c r="AB1711" s="4">
        <f>$K$1711*$V$1711</f>
        <v>0</v>
      </c>
      <c r="AC1711" s="4">
        <f>$M$1711*$W$1711</f>
        <v>2932.7374999999997</v>
      </c>
      <c r="AD1711" s="4">
        <f>$O$1711*$X$1711</f>
        <v>2117.2112499999998</v>
      </c>
      <c r="AE1711" s="4">
        <f>$K$1711*$Y$1711</f>
        <v>0</v>
      </c>
      <c r="AF1711" s="4">
        <f ca="1">$M$1711*$Z$1711</f>
        <v>3478.7741743444803</v>
      </c>
      <c r="AG1711" s="4">
        <f>$O$1711*$AA$1711</f>
        <v>2609.7139327621944</v>
      </c>
    </row>
    <row r="1712" spans="1:33" ht="11.25" customHeight="1" x14ac:dyDescent="0.25">
      <c r="A1712" s="3" t="s">
        <v>21</v>
      </c>
      <c r="B1712" s="3" t="s">
        <v>39</v>
      </c>
      <c r="C1712" s="3" t="s">
        <v>37</v>
      </c>
      <c r="D1712" s="3" t="s">
        <v>52</v>
      </c>
      <c r="E1712" s="3" t="s">
        <v>25</v>
      </c>
      <c r="F1712" s="3" t="s">
        <v>25</v>
      </c>
      <c r="G1712" s="3" t="s">
        <v>25</v>
      </c>
      <c r="H1712" s="3" t="s">
        <v>36</v>
      </c>
      <c r="I1712" s="6">
        <v>44593</v>
      </c>
      <c r="J1712" s="4">
        <v>0</v>
      </c>
      <c r="K1712" s="4">
        <v>0</v>
      </c>
      <c r="L1712" s="4">
        <v>9.8699999999999992</v>
      </c>
      <c r="M1712" s="4">
        <v>9.8699999999999992</v>
      </c>
      <c r="N1712" s="4">
        <v>9.8699999999999992</v>
      </c>
      <c r="O1712" s="4">
        <v>9.8699999999999992</v>
      </c>
      <c r="P1712" s="4">
        <v>0</v>
      </c>
      <c r="Q1712" s="3" t="s">
        <v>26</v>
      </c>
      <c r="R1712" s="3">
        <v>0</v>
      </c>
      <c r="S1712" s="4">
        <v>0</v>
      </c>
      <c r="T1712" s="4">
        <v>44</v>
      </c>
      <c r="U1712" s="4">
        <v>84</v>
      </c>
      <c r="V1712" s="4">
        <f>IF(ISERROR(VLOOKUP($S$1712,'TAR FIN'!$A$1:$O$99,15,0)),0,VLOOKUP($S$1712,'TAR FIN'!$A$1:$O$99,15,0))</f>
        <v>0</v>
      </c>
      <c r="W1712" s="4">
        <f>IF(ISERROR(VLOOKUP($T$1712,'TAR FIN'!$A$1:$O$99,15,0)),0,VLOOKUP($T$1712,'TAR FIN'!$A$1:$O$99,15,0))</f>
        <v>304.7</v>
      </c>
      <c r="X1712" s="4">
        <f>IF(ISERROR(VLOOKUP($U$1712,'TAR FIN'!$A$1:$O$99,15,0)),0,VLOOKUP($U$1712,'TAR FIN'!$A$1:$O$99,15,0))</f>
        <v>219.97</v>
      </c>
      <c r="Y1712" s="4"/>
      <c r="Z1712" s="4">
        <f ca="1">('TUSD BE'!$AM$58+'TUSD BF'!$AM$58+'TUSD CVA'!$AM$58)*1</f>
        <v>361.43108304877717</v>
      </c>
      <c r="AA1712" s="4">
        <f>('TE BE'!$AA$40+'TE BF'!$AA$40+'TE CVA'!$AA$40)*1</f>
        <v>271.13910989737087</v>
      </c>
      <c r="AB1712" s="4">
        <f>$K$1712*$V$1712</f>
        <v>0</v>
      </c>
      <c r="AC1712" s="4">
        <f>$M$1712*$W$1712</f>
        <v>3007.3889999999997</v>
      </c>
      <c r="AD1712" s="4">
        <f>$O$1712*$X$1712</f>
        <v>2171.1038999999996</v>
      </c>
      <c r="AE1712" s="4">
        <f>$K$1712*$Y$1712</f>
        <v>0</v>
      </c>
      <c r="AF1712" s="4">
        <f ca="1">$M$1712*$Z$1712</f>
        <v>3567.3247896914304</v>
      </c>
      <c r="AG1712" s="4">
        <f>$O$1712*$AA$1712</f>
        <v>2676.1430146870503</v>
      </c>
    </row>
    <row r="1713" spans="1:33" ht="11.25" customHeight="1" x14ac:dyDescent="0.25">
      <c r="A1713" s="3" t="s">
        <v>21</v>
      </c>
      <c r="B1713" s="3" t="s">
        <v>39</v>
      </c>
      <c r="C1713" s="3" t="s">
        <v>37</v>
      </c>
      <c r="D1713" s="3" t="s">
        <v>52</v>
      </c>
      <c r="E1713" s="3" t="s">
        <v>25</v>
      </c>
      <c r="F1713" s="3" t="s">
        <v>25</v>
      </c>
      <c r="G1713" s="3" t="s">
        <v>25</v>
      </c>
      <c r="H1713" s="3" t="s">
        <v>36</v>
      </c>
      <c r="I1713" s="6">
        <v>44621</v>
      </c>
      <c r="J1713" s="4">
        <v>0</v>
      </c>
      <c r="K1713" s="4">
        <v>0</v>
      </c>
      <c r="L1713" s="4">
        <v>9.7780000000000005</v>
      </c>
      <c r="M1713" s="4">
        <v>9.7780000000000005</v>
      </c>
      <c r="N1713" s="4">
        <v>9.7780000000000005</v>
      </c>
      <c r="O1713" s="4">
        <v>9.7780000000000005</v>
      </c>
      <c r="P1713" s="4">
        <v>0</v>
      </c>
      <c r="Q1713" s="3" t="s">
        <v>26</v>
      </c>
      <c r="R1713" s="3">
        <v>0</v>
      </c>
      <c r="S1713" s="4">
        <v>0</v>
      </c>
      <c r="T1713" s="4">
        <v>44</v>
      </c>
      <c r="U1713" s="4">
        <v>84</v>
      </c>
      <c r="V1713" s="4">
        <f>IF(ISERROR(VLOOKUP($S$1713,'TAR FIN'!$A$1:$O$99,15,0)),0,VLOOKUP($S$1713,'TAR FIN'!$A$1:$O$99,15,0))</f>
        <v>0</v>
      </c>
      <c r="W1713" s="4">
        <f>IF(ISERROR(VLOOKUP($T$1713,'TAR FIN'!$A$1:$O$99,15,0)),0,VLOOKUP($T$1713,'TAR FIN'!$A$1:$O$99,15,0))</f>
        <v>304.7</v>
      </c>
      <c r="X1713" s="4">
        <f>IF(ISERROR(VLOOKUP($U$1713,'TAR FIN'!$A$1:$O$99,15,0)),0,VLOOKUP($U$1713,'TAR FIN'!$A$1:$O$99,15,0))</f>
        <v>219.97</v>
      </c>
      <c r="Y1713" s="4"/>
      <c r="Z1713" s="4">
        <f ca="1">('TUSD BE'!$AM$58+'TUSD BF'!$AM$58+'TUSD CVA'!$AM$58)*1</f>
        <v>361.43108304877717</v>
      </c>
      <c r="AA1713" s="4">
        <f>('TE BE'!$AA$40+'TE BF'!$AA$40+'TE CVA'!$AA$40)*1</f>
        <v>271.13910989737087</v>
      </c>
      <c r="AB1713" s="4">
        <f>$K$1713*$V$1713</f>
        <v>0</v>
      </c>
      <c r="AC1713" s="4">
        <f>$M$1713*$W$1713</f>
        <v>2979.3566000000001</v>
      </c>
      <c r="AD1713" s="4">
        <f>$O$1713*$X$1713</f>
        <v>2150.8666600000001</v>
      </c>
      <c r="AE1713" s="4">
        <f>$K$1713*$Y$1713</f>
        <v>0</v>
      </c>
      <c r="AF1713" s="4">
        <f ca="1">$M$1713*$Z$1713</f>
        <v>3534.0731300509433</v>
      </c>
      <c r="AG1713" s="4">
        <f>$O$1713*$AA$1713</f>
        <v>2651.1982165764925</v>
      </c>
    </row>
    <row r="1714" spans="1:33" ht="11.25" customHeight="1" x14ac:dyDescent="0.25">
      <c r="A1714" s="3" t="s">
        <v>56</v>
      </c>
      <c r="B1714" s="3" t="s">
        <v>39</v>
      </c>
      <c r="C1714" s="3" t="s">
        <v>37</v>
      </c>
      <c r="D1714" s="3" t="s">
        <v>52</v>
      </c>
      <c r="E1714" s="3" t="s">
        <v>25</v>
      </c>
      <c r="F1714" s="3" t="s">
        <v>25</v>
      </c>
      <c r="G1714" s="3" t="s">
        <v>25</v>
      </c>
      <c r="H1714" s="3" t="s">
        <v>36</v>
      </c>
      <c r="I1714" s="6">
        <v>44652</v>
      </c>
      <c r="J1714" s="4">
        <v>0</v>
      </c>
      <c r="K1714" s="4">
        <v>0</v>
      </c>
      <c r="L1714" s="4">
        <v>9.7780000000000005</v>
      </c>
      <c r="M1714" s="4">
        <v>9.7780000000000005</v>
      </c>
      <c r="N1714" s="4">
        <v>9.7780000000000005</v>
      </c>
      <c r="O1714" s="4">
        <v>9.7780000000000005</v>
      </c>
      <c r="P1714" s="4">
        <v>0</v>
      </c>
      <c r="Q1714" s="3" t="s">
        <v>26</v>
      </c>
      <c r="R1714" s="3">
        <v>0</v>
      </c>
      <c r="S1714" s="4">
        <v>0</v>
      </c>
      <c r="T1714" s="4">
        <v>44</v>
      </c>
      <c r="U1714" s="4">
        <v>84</v>
      </c>
      <c r="V1714" s="4">
        <f>IF(ISERROR(VLOOKUP($S$1714,'TAR FIN'!$A$1:$O$99,15,0)),0,VLOOKUP($S$1714,'TAR FIN'!$A$1:$O$99,15,0))</f>
        <v>0</v>
      </c>
      <c r="W1714" s="4">
        <f>IF(ISERROR(VLOOKUP($T$1714,'TAR FIN'!$A$1:$O$99,15,0)),0,VLOOKUP($T$1714,'TAR FIN'!$A$1:$O$99,15,0))</f>
        <v>304.7</v>
      </c>
      <c r="X1714" s="4">
        <f>IF(ISERROR(VLOOKUP($U$1714,'TAR FIN'!$A$1:$O$99,15,0)),0,VLOOKUP($U$1714,'TAR FIN'!$A$1:$O$99,15,0))</f>
        <v>219.97</v>
      </c>
      <c r="Y1714" s="4"/>
      <c r="Z1714" s="4">
        <f ca="1">('TUSD BE'!$AM$58+'TUSD BF'!$AM$58+'TUSD CVA'!$AM$58)*1</f>
        <v>361.43108304877717</v>
      </c>
      <c r="AA1714" s="4">
        <f>('TE BE'!$AA$40+'TE BF'!$AA$40+'TE CVA'!$AA$40)*1</f>
        <v>271.13910989737087</v>
      </c>
      <c r="AB1714" s="4">
        <f>$K$1714*$V$1714</f>
        <v>0</v>
      </c>
      <c r="AC1714" s="4">
        <f>$M$1714*$W$1714</f>
        <v>2979.3566000000001</v>
      </c>
      <c r="AD1714" s="4">
        <f>$O$1714*$X$1714</f>
        <v>2150.8666600000001</v>
      </c>
      <c r="AE1714" s="4">
        <f>$K$1714*$Y$1714</f>
        <v>0</v>
      </c>
      <c r="AF1714" s="4">
        <f ca="1">$M$1714*$Z$1714</f>
        <v>3534.0731300509433</v>
      </c>
      <c r="AG1714" s="4">
        <f>$O$1714*$AA$1714</f>
        <v>2651.1982165764925</v>
      </c>
    </row>
    <row r="1715" spans="1:33" ht="11.25" customHeight="1" x14ac:dyDescent="0.25">
      <c r="A1715" s="3" t="s">
        <v>21</v>
      </c>
      <c r="B1715" s="3" t="s">
        <v>39</v>
      </c>
      <c r="C1715" s="3" t="s">
        <v>37</v>
      </c>
      <c r="D1715" s="3" t="s">
        <v>52</v>
      </c>
      <c r="E1715" s="3" t="s">
        <v>25</v>
      </c>
      <c r="F1715" s="3" t="s">
        <v>25</v>
      </c>
      <c r="G1715" s="3" t="s">
        <v>25</v>
      </c>
      <c r="H1715" s="3" t="s">
        <v>38</v>
      </c>
      <c r="I1715" s="6">
        <v>44317</v>
      </c>
      <c r="J1715" s="4">
        <v>0</v>
      </c>
      <c r="K1715" s="4">
        <v>0</v>
      </c>
      <c r="L1715" s="4">
        <v>0.66400000000000003</v>
      </c>
      <c r="M1715" s="4">
        <v>0.66400000000000003</v>
      </c>
      <c r="N1715" s="4">
        <v>0.66400000000000003</v>
      </c>
      <c r="O1715" s="4">
        <v>0.66400000000000003</v>
      </c>
      <c r="P1715" s="4">
        <v>0</v>
      </c>
      <c r="Q1715" s="3" t="s">
        <v>26</v>
      </c>
      <c r="R1715" s="3">
        <v>0</v>
      </c>
      <c r="S1715" s="4">
        <v>0</v>
      </c>
      <c r="T1715" s="4">
        <v>43</v>
      </c>
      <c r="U1715" s="4">
        <v>83</v>
      </c>
      <c r="V1715" s="4">
        <f>IF(ISERROR(VLOOKUP($S$1715,'TAR FIN'!$A$1:$O$99,15,0)),0,VLOOKUP($S$1715,'TAR FIN'!$A$1:$O$99,15,0))</f>
        <v>0</v>
      </c>
      <c r="W1715" s="4">
        <f>IF(ISERROR(VLOOKUP($T$1715,'TAR FIN'!$A$1:$O$99,15,0)),0,VLOOKUP($T$1715,'TAR FIN'!$A$1:$O$99,15,0))</f>
        <v>657.51</v>
      </c>
      <c r="X1715" s="4">
        <f>IF(ISERROR(VLOOKUP($U$1715,'TAR FIN'!$A$1:$O$99,15,0)),0,VLOOKUP($U$1715,'TAR FIN'!$A$1:$O$99,15,0))</f>
        <v>219.97</v>
      </c>
      <c r="Y1715" s="4"/>
      <c r="Z1715" s="4">
        <f ca="1">('TUSD BE'!$AM$57+'TUSD BF'!$AM$57+'TUSD CVA'!$AM$57)*1</f>
        <v>769.81008209782362</v>
      </c>
      <c r="AA1715" s="4">
        <f>('TE BE'!$AA$39+'TE BF'!$AA$39+'TE CVA'!$AA$39)*1</f>
        <v>271.13910989737087</v>
      </c>
      <c r="AB1715" s="4">
        <f>$K$1715*$V$1715</f>
        <v>0</v>
      </c>
      <c r="AC1715" s="4">
        <f>$M$1715*$W$1715</f>
        <v>436.58663999999999</v>
      </c>
      <c r="AD1715" s="4">
        <f>$O$1715*$X$1715</f>
        <v>146.06008</v>
      </c>
      <c r="AE1715" s="4">
        <f>$K$1715*$Y$1715</f>
        <v>0</v>
      </c>
      <c r="AF1715" s="4">
        <f ca="1">$M$1715*$Z$1715</f>
        <v>511.15389451295493</v>
      </c>
      <c r="AG1715" s="4">
        <f>$O$1715*$AA$1715</f>
        <v>180.03636897185427</v>
      </c>
    </row>
    <row r="1716" spans="1:33" ht="11.25" customHeight="1" x14ac:dyDescent="0.25">
      <c r="A1716" s="3" t="s">
        <v>21</v>
      </c>
      <c r="B1716" s="3" t="s">
        <v>39</v>
      </c>
      <c r="C1716" s="3" t="s">
        <v>37</v>
      </c>
      <c r="D1716" s="3" t="s">
        <v>52</v>
      </c>
      <c r="E1716" s="3" t="s">
        <v>25</v>
      </c>
      <c r="F1716" s="3" t="s">
        <v>25</v>
      </c>
      <c r="G1716" s="3" t="s">
        <v>25</v>
      </c>
      <c r="H1716" s="3" t="s">
        <v>38</v>
      </c>
      <c r="I1716" s="6">
        <v>44348</v>
      </c>
      <c r="J1716" s="4">
        <v>0</v>
      </c>
      <c r="K1716" s="4">
        <v>0</v>
      </c>
      <c r="L1716" s="4">
        <v>0.51300000000000001</v>
      </c>
      <c r="M1716" s="4">
        <v>0.51300000000000001</v>
      </c>
      <c r="N1716" s="4">
        <v>0.51300000000000001</v>
      </c>
      <c r="O1716" s="4">
        <v>0.51300000000000001</v>
      </c>
      <c r="P1716" s="4">
        <v>0</v>
      </c>
      <c r="Q1716" s="3" t="s">
        <v>26</v>
      </c>
      <c r="R1716" s="3">
        <v>0</v>
      </c>
      <c r="S1716" s="4">
        <v>0</v>
      </c>
      <c r="T1716" s="4">
        <v>43</v>
      </c>
      <c r="U1716" s="4">
        <v>83</v>
      </c>
      <c r="V1716" s="4">
        <f>IF(ISERROR(VLOOKUP($S$1716,'TAR FIN'!$A$1:$O$99,15,0)),0,VLOOKUP($S$1716,'TAR FIN'!$A$1:$O$99,15,0))</f>
        <v>0</v>
      </c>
      <c r="W1716" s="4">
        <f>IF(ISERROR(VLOOKUP($T$1716,'TAR FIN'!$A$1:$O$99,15,0)),0,VLOOKUP($T$1716,'TAR FIN'!$A$1:$O$99,15,0))</f>
        <v>657.51</v>
      </c>
      <c r="X1716" s="4">
        <f>IF(ISERROR(VLOOKUP($U$1716,'TAR FIN'!$A$1:$O$99,15,0)),0,VLOOKUP($U$1716,'TAR FIN'!$A$1:$O$99,15,0))</f>
        <v>219.97</v>
      </c>
      <c r="Y1716" s="4"/>
      <c r="Z1716" s="4">
        <f ca="1">('TUSD BE'!$AM$57+'TUSD BF'!$AM$57+'TUSD CVA'!$AM$57)*1</f>
        <v>769.81008209782362</v>
      </c>
      <c r="AA1716" s="4">
        <f>('TE BE'!$AA$39+'TE BF'!$AA$39+'TE CVA'!$AA$39)*1</f>
        <v>271.13910989737087</v>
      </c>
      <c r="AB1716" s="4">
        <f>$K$1716*$V$1716</f>
        <v>0</v>
      </c>
      <c r="AC1716" s="4">
        <f>$M$1716*$W$1716</f>
        <v>337.30263000000002</v>
      </c>
      <c r="AD1716" s="4">
        <f>$O$1716*$X$1716</f>
        <v>112.84461</v>
      </c>
      <c r="AE1716" s="4">
        <f>$K$1716*$Y$1716</f>
        <v>0</v>
      </c>
      <c r="AF1716" s="4">
        <f ca="1">$M$1716*$Z$1716</f>
        <v>394.91257211618353</v>
      </c>
      <c r="AG1716" s="4">
        <f>$O$1716*$AA$1716</f>
        <v>139.09436337735127</v>
      </c>
    </row>
    <row r="1717" spans="1:33" ht="11.25" customHeight="1" x14ac:dyDescent="0.25">
      <c r="A1717" s="3" t="s">
        <v>21</v>
      </c>
      <c r="B1717" s="3" t="s">
        <v>39</v>
      </c>
      <c r="C1717" s="3" t="s">
        <v>37</v>
      </c>
      <c r="D1717" s="3" t="s">
        <v>52</v>
      </c>
      <c r="E1717" s="3" t="s">
        <v>25</v>
      </c>
      <c r="F1717" s="3" t="s">
        <v>25</v>
      </c>
      <c r="G1717" s="3" t="s">
        <v>25</v>
      </c>
      <c r="H1717" s="3" t="s">
        <v>38</v>
      </c>
      <c r="I1717" s="6">
        <v>44378</v>
      </c>
      <c r="J1717" s="4">
        <v>0</v>
      </c>
      <c r="K1717" s="4">
        <v>0</v>
      </c>
      <c r="L1717" s="4">
        <v>0.42799999999999999</v>
      </c>
      <c r="M1717" s="4">
        <v>0.42799999999999999</v>
      </c>
      <c r="N1717" s="4">
        <v>0.42799999999999999</v>
      </c>
      <c r="O1717" s="4">
        <v>0.42799999999999999</v>
      </c>
      <c r="P1717" s="4">
        <v>0</v>
      </c>
      <c r="Q1717" s="3" t="s">
        <v>26</v>
      </c>
      <c r="R1717" s="3">
        <v>0</v>
      </c>
      <c r="S1717" s="4">
        <v>0</v>
      </c>
      <c r="T1717" s="4">
        <v>43</v>
      </c>
      <c r="U1717" s="4">
        <v>83</v>
      </c>
      <c r="V1717" s="4">
        <f>IF(ISERROR(VLOOKUP($S$1717,'TAR FIN'!$A$1:$O$99,15,0)),0,VLOOKUP($S$1717,'TAR FIN'!$A$1:$O$99,15,0))</f>
        <v>0</v>
      </c>
      <c r="W1717" s="4">
        <f>IF(ISERROR(VLOOKUP($T$1717,'TAR FIN'!$A$1:$O$99,15,0)),0,VLOOKUP($T$1717,'TAR FIN'!$A$1:$O$99,15,0))</f>
        <v>657.51</v>
      </c>
      <c r="X1717" s="4">
        <f>IF(ISERROR(VLOOKUP($U$1717,'TAR FIN'!$A$1:$O$99,15,0)),0,VLOOKUP($U$1717,'TAR FIN'!$A$1:$O$99,15,0))</f>
        <v>219.97</v>
      </c>
      <c r="Y1717" s="4"/>
      <c r="Z1717" s="4">
        <f ca="1">('TUSD BE'!$AM$57+'TUSD BF'!$AM$57+'TUSD CVA'!$AM$57)*1</f>
        <v>769.81008209782362</v>
      </c>
      <c r="AA1717" s="4">
        <f>('TE BE'!$AA$39+'TE BF'!$AA$39+'TE CVA'!$AA$39)*1</f>
        <v>271.13910989737087</v>
      </c>
      <c r="AB1717" s="4">
        <f>$K$1717*$V$1717</f>
        <v>0</v>
      </c>
      <c r="AC1717" s="4">
        <f>$M$1717*$W$1717</f>
        <v>281.41427999999996</v>
      </c>
      <c r="AD1717" s="4">
        <f>$O$1717*$X$1717</f>
        <v>94.14716</v>
      </c>
      <c r="AE1717" s="4">
        <f>$K$1717*$Y$1717</f>
        <v>0</v>
      </c>
      <c r="AF1717" s="4">
        <f ca="1">$M$1717*$Z$1717</f>
        <v>329.47871513786851</v>
      </c>
      <c r="AG1717" s="4">
        <f>$O$1717*$AA$1717</f>
        <v>116.04753903607472</v>
      </c>
    </row>
    <row r="1718" spans="1:33" ht="11.25" customHeight="1" x14ac:dyDescent="0.25">
      <c r="A1718" s="3" t="s">
        <v>21</v>
      </c>
      <c r="B1718" s="3" t="s">
        <v>39</v>
      </c>
      <c r="C1718" s="3" t="s">
        <v>37</v>
      </c>
      <c r="D1718" s="3" t="s">
        <v>52</v>
      </c>
      <c r="E1718" s="3" t="s">
        <v>25</v>
      </c>
      <c r="F1718" s="3" t="s">
        <v>25</v>
      </c>
      <c r="G1718" s="3" t="s">
        <v>25</v>
      </c>
      <c r="H1718" s="3" t="s">
        <v>38</v>
      </c>
      <c r="I1718" s="6">
        <v>44409</v>
      </c>
      <c r="J1718" s="4">
        <v>0</v>
      </c>
      <c r="K1718" s="4">
        <v>0</v>
      </c>
      <c r="L1718" s="4">
        <v>0.49299999999999999</v>
      </c>
      <c r="M1718" s="4">
        <v>0.49299999999999999</v>
      </c>
      <c r="N1718" s="4">
        <v>0.49299999999999999</v>
      </c>
      <c r="O1718" s="4">
        <v>0.49299999999999999</v>
      </c>
      <c r="P1718" s="4">
        <v>0</v>
      </c>
      <c r="Q1718" s="3" t="s">
        <v>26</v>
      </c>
      <c r="R1718" s="3">
        <v>0</v>
      </c>
      <c r="S1718" s="4">
        <v>0</v>
      </c>
      <c r="T1718" s="4">
        <v>43</v>
      </c>
      <c r="U1718" s="4">
        <v>83</v>
      </c>
      <c r="V1718" s="4">
        <f>IF(ISERROR(VLOOKUP($S$1718,'TAR FIN'!$A$1:$O$99,15,0)),0,VLOOKUP($S$1718,'TAR FIN'!$A$1:$O$99,15,0))</f>
        <v>0</v>
      </c>
      <c r="W1718" s="4">
        <f>IF(ISERROR(VLOOKUP($T$1718,'TAR FIN'!$A$1:$O$99,15,0)),0,VLOOKUP($T$1718,'TAR FIN'!$A$1:$O$99,15,0))</f>
        <v>657.51</v>
      </c>
      <c r="X1718" s="4">
        <f>IF(ISERROR(VLOOKUP($U$1718,'TAR FIN'!$A$1:$O$99,15,0)),0,VLOOKUP($U$1718,'TAR FIN'!$A$1:$O$99,15,0))</f>
        <v>219.97</v>
      </c>
      <c r="Y1718" s="4"/>
      <c r="Z1718" s="4">
        <f ca="1">('TUSD BE'!$AM$57+'TUSD BF'!$AM$57+'TUSD CVA'!$AM$57)*1</f>
        <v>769.81008209782362</v>
      </c>
      <c r="AA1718" s="4">
        <f>('TE BE'!$AA$39+'TE BF'!$AA$39+'TE CVA'!$AA$39)*1</f>
        <v>271.13910989737087</v>
      </c>
      <c r="AB1718" s="4">
        <f>$K$1718*$V$1718</f>
        <v>0</v>
      </c>
      <c r="AC1718" s="4">
        <f>$M$1718*$W$1718</f>
        <v>324.15242999999998</v>
      </c>
      <c r="AD1718" s="4">
        <f>$O$1718*$X$1718</f>
        <v>108.44521</v>
      </c>
      <c r="AE1718" s="4">
        <f>$K$1718*$Y$1718</f>
        <v>0</v>
      </c>
      <c r="AF1718" s="4">
        <f ca="1">$M$1718*$Z$1718</f>
        <v>379.51637047422702</v>
      </c>
      <c r="AG1718" s="4">
        <f>$O$1718*$AA$1718</f>
        <v>133.67158117940383</v>
      </c>
    </row>
    <row r="1719" spans="1:33" ht="11.25" customHeight="1" x14ac:dyDescent="0.25">
      <c r="A1719" s="3" t="s">
        <v>21</v>
      </c>
      <c r="B1719" s="3" t="s">
        <v>39</v>
      </c>
      <c r="C1719" s="3" t="s">
        <v>37</v>
      </c>
      <c r="D1719" s="3" t="s">
        <v>52</v>
      </c>
      <c r="E1719" s="3" t="s">
        <v>25</v>
      </c>
      <c r="F1719" s="3" t="s">
        <v>25</v>
      </c>
      <c r="G1719" s="3" t="s">
        <v>25</v>
      </c>
      <c r="H1719" s="3" t="s">
        <v>38</v>
      </c>
      <c r="I1719" s="6">
        <v>44440</v>
      </c>
      <c r="J1719" s="4">
        <v>0</v>
      </c>
      <c r="K1719" s="4">
        <v>0</v>
      </c>
      <c r="L1719" s="4">
        <v>0.58199999999999996</v>
      </c>
      <c r="M1719" s="4">
        <v>0.58199999999999996</v>
      </c>
      <c r="N1719" s="4">
        <v>0.58199999999999996</v>
      </c>
      <c r="O1719" s="4">
        <v>0.58199999999999996</v>
      </c>
      <c r="P1719" s="4">
        <v>0</v>
      </c>
      <c r="Q1719" s="3" t="s">
        <v>26</v>
      </c>
      <c r="R1719" s="3">
        <v>0</v>
      </c>
      <c r="S1719" s="4">
        <v>0</v>
      </c>
      <c r="T1719" s="4">
        <v>43</v>
      </c>
      <c r="U1719" s="4">
        <v>83</v>
      </c>
      <c r="V1719" s="4">
        <f>IF(ISERROR(VLOOKUP($S$1719,'TAR FIN'!$A$1:$O$99,15,0)),0,VLOOKUP($S$1719,'TAR FIN'!$A$1:$O$99,15,0))</f>
        <v>0</v>
      </c>
      <c r="W1719" s="4">
        <f>IF(ISERROR(VLOOKUP($T$1719,'TAR FIN'!$A$1:$O$99,15,0)),0,VLOOKUP($T$1719,'TAR FIN'!$A$1:$O$99,15,0))</f>
        <v>657.51</v>
      </c>
      <c r="X1719" s="4">
        <f>IF(ISERROR(VLOOKUP($U$1719,'TAR FIN'!$A$1:$O$99,15,0)),0,VLOOKUP($U$1719,'TAR FIN'!$A$1:$O$99,15,0))</f>
        <v>219.97</v>
      </c>
      <c r="Y1719" s="4"/>
      <c r="Z1719" s="4">
        <f ca="1">('TUSD BE'!$AM$57+'TUSD BF'!$AM$57+'TUSD CVA'!$AM$57)*1</f>
        <v>769.81008209782362</v>
      </c>
      <c r="AA1719" s="4">
        <f>('TE BE'!$AA$39+'TE BF'!$AA$39+'TE CVA'!$AA$39)*1</f>
        <v>271.13910989737087</v>
      </c>
      <c r="AB1719" s="4">
        <f>$K$1719*$V$1719</f>
        <v>0</v>
      </c>
      <c r="AC1719" s="4">
        <f>$M$1719*$W$1719</f>
        <v>382.67081999999999</v>
      </c>
      <c r="AD1719" s="4">
        <f>$O$1719*$X$1719</f>
        <v>128.02253999999999</v>
      </c>
      <c r="AE1719" s="4">
        <f>$K$1719*$Y$1719</f>
        <v>0</v>
      </c>
      <c r="AF1719" s="4">
        <f ca="1">$M$1719*$Z$1719</f>
        <v>448.02946778093332</v>
      </c>
      <c r="AG1719" s="4">
        <f>$O$1719*$AA$1719</f>
        <v>157.80296196026984</v>
      </c>
    </row>
    <row r="1720" spans="1:33" ht="11.25" customHeight="1" x14ac:dyDescent="0.25">
      <c r="A1720" s="3" t="s">
        <v>21</v>
      </c>
      <c r="B1720" s="3" t="s">
        <v>39</v>
      </c>
      <c r="C1720" s="3" t="s">
        <v>37</v>
      </c>
      <c r="D1720" s="3" t="s">
        <v>52</v>
      </c>
      <c r="E1720" s="3" t="s">
        <v>25</v>
      </c>
      <c r="F1720" s="3" t="s">
        <v>25</v>
      </c>
      <c r="G1720" s="3" t="s">
        <v>25</v>
      </c>
      <c r="H1720" s="3" t="s">
        <v>38</v>
      </c>
      <c r="I1720" s="6">
        <v>44470</v>
      </c>
      <c r="J1720" s="4">
        <v>0</v>
      </c>
      <c r="K1720" s="4">
        <v>0</v>
      </c>
      <c r="L1720" s="4">
        <v>0.73899999999999999</v>
      </c>
      <c r="M1720" s="4">
        <v>0.73899999999999999</v>
      </c>
      <c r="N1720" s="4">
        <v>0.73899999999999999</v>
      </c>
      <c r="O1720" s="4">
        <v>0.73899999999999999</v>
      </c>
      <c r="P1720" s="4">
        <v>0</v>
      </c>
      <c r="Q1720" s="3" t="s">
        <v>26</v>
      </c>
      <c r="R1720" s="3">
        <v>0</v>
      </c>
      <c r="S1720" s="4">
        <v>0</v>
      </c>
      <c r="T1720" s="4">
        <v>43</v>
      </c>
      <c r="U1720" s="4">
        <v>83</v>
      </c>
      <c r="V1720" s="4">
        <f>IF(ISERROR(VLOOKUP($S$1720,'TAR FIN'!$A$1:$O$99,15,0)),0,VLOOKUP($S$1720,'TAR FIN'!$A$1:$O$99,15,0))</f>
        <v>0</v>
      </c>
      <c r="W1720" s="4">
        <f>IF(ISERROR(VLOOKUP($T$1720,'TAR FIN'!$A$1:$O$99,15,0)),0,VLOOKUP($T$1720,'TAR FIN'!$A$1:$O$99,15,0))</f>
        <v>657.51</v>
      </c>
      <c r="X1720" s="4">
        <f>IF(ISERROR(VLOOKUP($U$1720,'TAR FIN'!$A$1:$O$99,15,0)),0,VLOOKUP($U$1720,'TAR FIN'!$A$1:$O$99,15,0))</f>
        <v>219.97</v>
      </c>
      <c r="Y1720" s="4"/>
      <c r="Z1720" s="4">
        <f ca="1">('TUSD BE'!$AM$57+'TUSD BF'!$AM$57+'TUSD CVA'!$AM$57)*1</f>
        <v>769.81008209782362</v>
      </c>
      <c r="AA1720" s="4">
        <f>('TE BE'!$AA$39+'TE BF'!$AA$39+'TE CVA'!$AA$39)*1</f>
        <v>271.13910989737087</v>
      </c>
      <c r="AB1720" s="4">
        <f>$K$1720*$V$1720</f>
        <v>0</v>
      </c>
      <c r="AC1720" s="4">
        <f>$M$1720*$W$1720</f>
        <v>485.89988999999997</v>
      </c>
      <c r="AD1720" s="4">
        <f>$O$1720*$X$1720</f>
        <v>162.55783</v>
      </c>
      <c r="AE1720" s="4">
        <f>$K$1720*$Y$1720</f>
        <v>0</v>
      </c>
      <c r="AF1720" s="4">
        <f ca="1">$M$1720*$Z$1720</f>
        <v>568.88965067029164</v>
      </c>
      <c r="AG1720" s="4">
        <f>$O$1720*$AA$1720</f>
        <v>200.37180221415707</v>
      </c>
    </row>
    <row r="1721" spans="1:33" ht="11.25" customHeight="1" x14ac:dyDescent="0.25">
      <c r="A1721" s="3" t="s">
        <v>21</v>
      </c>
      <c r="B1721" s="3" t="s">
        <v>39</v>
      </c>
      <c r="C1721" s="3" t="s">
        <v>37</v>
      </c>
      <c r="D1721" s="3" t="s">
        <v>52</v>
      </c>
      <c r="E1721" s="3" t="s">
        <v>25</v>
      </c>
      <c r="F1721" s="3" t="s">
        <v>25</v>
      </c>
      <c r="G1721" s="3" t="s">
        <v>25</v>
      </c>
      <c r="H1721" s="3" t="s">
        <v>38</v>
      </c>
      <c r="I1721" s="6">
        <v>44501</v>
      </c>
      <c r="J1721" s="4">
        <v>0</v>
      </c>
      <c r="K1721" s="4">
        <v>0</v>
      </c>
      <c r="L1721" s="4">
        <v>0.78600000000000003</v>
      </c>
      <c r="M1721" s="4">
        <v>0.78600000000000003</v>
      </c>
      <c r="N1721" s="4">
        <v>0.78600000000000003</v>
      </c>
      <c r="O1721" s="4">
        <v>0.78600000000000003</v>
      </c>
      <c r="P1721" s="4">
        <v>0</v>
      </c>
      <c r="Q1721" s="3" t="s">
        <v>26</v>
      </c>
      <c r="R1721" s="3">
        <v>0</v>
      </c>
      <c r="S1721" s="4">
        <v>0</v>
      </c>
      <c r="T1721" s="4">
        <v>43</v>
      </c>
      <c r="U1721" s="4">
        <v>83</v>
      </c>
      <c r="V1721" s="4">
        <f>IF(ISERROR(VLOOKUP($S$1721,'TAR FIN'!$A$1:$O$99,15,0)),0,VLOOKUP($S$1721,'TAR FIN'!$A$1:$O$99,15,0))</f>
        <v>0</v>
      </c>
      <c r="W1721" s="4">
        <f>IF(ISERROR(VLOOKUP($T$1721,'TAR FIN'!$A$1:$O$99,15,0)),0,VLOOKUP($T$1721,'TAR FIN'!$A$1:$O$99,15,0))</f>
        <v>657.51</v>
      </c>
      <c r="X1721" s="4">
        <f>IF(ISERROR(VLOOKUP($U$1721,'TAR FIN'!$A$1:$O$99,15,0)),0,VLOOKUP($U$1721,'TAR FIN'!$A$1:$O$99,15,0))</f>
        <v>219.97</v>
      </c>
      <c r="Y1721" s="4"/>
      <c r="Z1721" s="4">
        <f ca="1">('TUSD BE'!$AM$57+'TUSD BF'!$AM$57+'TUSD CVA'!$AM$57)*1</f>
        <v>769.81008209782362</v>
      </c>
      <c r="AA1721" s="4">
        <f>('TE BE'!$AA$39+'TE BF'!$AA$39+'TE CVA'!$AA$39)*1</f>
        <v>271.13910989737087</v>
      </c>
      <c r="AB1721" s="4">
        <f>$K$1721*$V$1721</f>
        <v>0</v>
      </c>
      <c r="AC1721" s="4">
        <f>$M$1721*$W$1721</f>
        <v>516.80286000000001</v>
      </c>
      <c r="AD1721" s="4">
        <f>$O$1721*$X$1721</f>
        <v>172.89642000000001</v>
      </c>
      <c r="AE1721" s="4">
        <f>$K$1721*$Y$1721</f>
        <v>0</v>
      </c>
      <c r="AF1721" s="4">
        <f ca="1">$M$1721*$Z$1721</f>
        <v>605.0707245288894</v>
      </c>
      <c r="AG1721" s="4">
        <f>$O$1721*$AA$1721</f>
        <v>213.1153403793335</v>
      </c>
    </row>
    <row r="1722" spans="1:33" ht="11.25" customHeight="1" x14ac:dyDescent="0.25">
      <c r="A1722" s="3" t="s">
        <v>21</v>
      </c>
      <c r="B1722" s="3" t="s">
        <v>39</v>
      </c>
      <c r="C1722" s="3" t="s">
        <v>37</v>
      </c>
      <c r="D1722" s="3" t="s">
        <v>52</v>
      </c>
      <c r="E1722" s="3" t="s">
        <v>25</v>
      </c>
      <c r="F1722" s="3" t="s">
        <v>25</v>
      </c>
      <c r="G1722" s="3" t="s">
        <v>25</v>
      </c>
      <c r="H1722" s="3" t="s">
        <v>38</v>
      </c>
      <c r="I1722" s="6">
        <v>44531</v>
      </c>
      <c r="J1722" s="4">
        <v>0</v>
      </c>
      <c r="K1722" s="4">
        <v>0</v>
      </c>
      <c r="L1722" s="4">
        <v>0.82899999999999996</v>
      </c>
      <c r="M1722" s="4">
        <v>0.82899999999999996</v>
      </c>
      <c r="N1722" s="4">
        <v>0.82899999999999996</v>
      </c>
      <c r="O1722" s="4">
        <v>0.82899999999999996</v>
      </c>
      <c r="P1722" s="4">
        <v>0</v>
      </c>
      <c r="Q1722" s="3" t="s">
        <v>26</v>
      </c>
      <c r="R1722" s="3">
        <v>0</v>
      </c>
      <c r="S1722" s="4">
        <v>0</v>
      </c>
      <c r="T1722" s="4">
        <v>43</v>
      </c>
      <c r="U1722" s="4">
        <v>83</v>
      </c>
      <c r="V1722" s="4">
        <f>IF(ISERROR(VLOOKUP($S$1722,'TAR FIN'!$A$1:$O$99,15,0)),0,VLOOKUP($S$1722,'TAR FIN'!$A$1:$O$99,15,0))</f>
        <v>0</v>
      </c>
      <c r="W1722" s="4">
        <f>IF(ISERROR(VLOOKUP($T$1722,'TAR FIN'!$A$1:$O$99,15,0)),0,VLOOKUP($T$1722,'TAR FIN'!$A$1:$O$99,15,0))</f>
        <v>657.51</v>
      </c>
      <c r="X1722" s="4">
        <f>IF(ISERROR(VLOOKUP($U$1722,'TAR FIN'!$A$1:$O$99,15,0)),0,VLOOKUP($U$1722,'TAR FIN'!$A$1:$O$99,15,0))</f>
        <v>219.97</v>
      </c>
      <c r="Y1722" s="4"/>
      <c r="Z1722" s="4">
        <f ca="1">('TUSD BE'!$AM$57+'TUSD BF'!$AM$57+'TUSD CVA'!$AM$57)*1</f>
        <v>769.81008209782362</v>
      </c>
      <c r="AA1722" s="4">
        <f>('TE BE'!$AA$39+'TE BF'!$AA$39+'TE CVA'!$AA$39)*1</f>
        <v>271.13910989737087</v>
      </c>
      <c r="AB1722" s="4">
        <f>$K$1722*$V$1722</f>
        <v>0</v>
      </c>
      <c r="AC1722" s="4">
        <f>$M$1722*$W$1722</f>
        <v>545.07578999999998</v>
      </c>
      <c r="AD1722" s="4">
        <f>$O$1722*$X$1722</f>
        <v>182.35513</v>
      </c>
      <c r="AE1722" s="4">
        <f>$K$1722*$Y$1722</f>
        <v>0</v>
      </c>
      <c r="AF1722" s="4">
        <f ca="1">$M$1722*$Z$1722</f>
        <v>638.17255805909576</v>
      </c>
      <c r="AG1722" s="4">
        <f>$O$1722*$AA$1722</f>
        <v>224.77432210492043</v>
      </c>
    </row>
    <row r="1723" spans="1:33" ht="11.25" customHeight="1" x14ac:dyDescent="0.25">
      <c r="A1723" s="3" t="s">
        <v>21</v>
      </c>
      <c r="B1723" s="3" t="s">
        <v>39</v>
      </c>
      <c r="C1723" s="3" t="s">
        <v>37</v>
      </c>
      <c r="D1723" s="3" t="s">
        <v>52</v>
      </c>
      <c r="E1723" s="3" t="s">
        <v>25</v>
      </c>
      <c r="F1723" s="3" t="s">
        <v>25</v>
      </c>
      <c r="G1723" s="3" t="s">
        <v>25</v>
      </c>
      <c r="H1723" s="3" t="s">
        <v>38</v>
      </c>
      <c r="I1723" s="6">
        <v>44562</v>
      </c>
      <c r="J1723" s="4">
        <v>0</v>
      </c>
      <c r="K1723" s="4">
        <v>0</v>
      </c>
      <c r="L1723" s="4">
        <v>0.68600000000000005</v>
      </c>
      <c r="M1723" s="4">
        <v>0.68600000000000005</v>
      </c>
      <c r="N1723" s="4">
        <v>0.68600000000000005</v>
      </c>
      <c r="O1723" s="4">
        <v>0.68600000000000005</v>
      </c>
      <c r="P1723" s="4">
        <v>0</v>
      </c>
      <c r="Q1723" s="3" t="s">
        <v>26</v>
      </c>
      <c r="R1723" s="3">
        <v>0</v>
      </c>
      <c r="S1723" s="4">
        <v>0</v>
      </c>
      <c r="T1723" s="4">
        <v>43</v>
      </c>
      <c r="U1723" s="4">
        <v>83</v>
      </c>
      <c r="V1723" s="4">
        <f>IF(ISERROR(VLOOKUP($S$1723,'TAR FIN'!$A$1:$O$99,15,0)),0,VLOOKUP($S$1723,'TAR FIN'!$A$1:$O$99,15,0))</f>
        <v>0</v>
      </c>
      <c r="W1723" s="4">
        <f>IF(ISERROR(VLOOKUP($T$1723,'TAR FIN'!$A$1:$O$99,15,0)),0,VLOOKUP($T$1723,'TAR FIN'!$A$1:$O$99,15,0))</f>
        <v>657.51</v>
      </c>
      <c r="X1723" s="4">
        <f>IF(ISERROR(VLOOKUP($U$1723,'TAR FIN'!$A$1:$O$99,15,0)),0,VLOOKUP($U$1723,'TAR FIN'!$A$1:$O$99,15,0))</f>
        <v>219.97</v>
      </c>
      <c r="Y1723" s="4"/>
      <c r="Z1723" s="4">
        <f ca="1">('TUSD BE'!$AM$57+'TUSD BF'!$AM$57+'TUSD CVA'!$AM$57)*1</f>
        <v>769.81008209782362</v>
      </c>
      <c r="AA1723" s="4">
        <f>('TE BE'!$AA$39+'TE BF'!$AA$39+'TE CVA'!$AA$39)*1</f>
        <v>271.13910989737087</v>
      </c>
      <c r="AB1723" s="4">
        <f>$K$1723*$V$1723</f>
        <v>0</v>
      </c>
      <c r="AC1723" s="4">
        <f>$M$1723*$W$1723</f>
        <v>451.05186000000003</v>
      </c>
      <c r="AD1723" s="4">
        <f>$O$1723*$X$1723</f>
        <v>150.89942000000002</v>
      </c>
      <c r="AE1723" s="4">
        <f>$K$1723*$Y$1723</f>
        <v>0</v>
      </c>
      <c r="AF1723" s="4">
        <f ca="1">$M$1723*$Z$1723</f>
        <v>528.08971631910708</v>
      </c>
      <c r="AG1723" s="4">
        <f>$O$1723*$AA$1723</f>
        <v>186.00142938959644</v>
      </c>
    </row>
    <row r="1724" spans="1:33" ht="11.25" customHeight="1" x14ac:dyDescent="0.25">
      <c r="A1724" s="3" t="s">
        <v>21</v>
      </c>
      <c r="B1724" s="3" t="s">
        <v>39</v>
      </c>
      <c r="C1724" s="3" t="s">
        <v>37</v>
      </c>
      <c r="D1724" s="3" t="s">
        <v>52</v>
      </c>
      <c r="E1724" s="3" t="s">
        <v>25</v>
      </c>
      <c r="F1724" s="3" t="s">
        <v>25</v>
      </c>
      <c r="G1724" s="3" t="s">
        <v>25</v>
      </c>
      <c r="H1724" s="3" t="s">
        <v>38</v>
      </c>
      <c r="I1724" s="6">
        <v>44593</v>
      </c>
      <c r="J1724" s="4">
        <v>0</v>
      </c>
      <c r="K1724" s="4">
        <v>0</v>
      </c>
      <c r="L1724" s="4">
        <v>0.69</v>
      </c>
      <c r="M1724" s="4">
        <v>0.69</v>
      </c>
      <c r="N1724" s="4">
        <v>0.69</v>
      </c>
      <c r="O1724" s="4">
        <v>0.69</v>
      </c>
      <c r="P1724" s="4">
        <v>0</v>
      </c>
      <c r="Q1724" s="3" t="s">
        <v>26</v>
      </c>
      <c r="R1724" s="3">
        <v>0</v>
      </c>
      <c r="S1724" s="4">
        <v>0</v>
      </c>
      <c r="T1724" s="4">
        <v>43</v>
      </c>
      <c r="U1724" s="4">
        <v>83</v>
      </c>
      <c r="V1724" s="4">
        <f>IF(ISERROR(VLOOKUP($S$1724,'TAR FIN'!$A$1:$O$99,15,0)),0,VLOOKUP($S$1724,'TAR FIN'!$A$1:$O$99,15,0))</f>
        <v>0</v>
      </c>
      <c r="W1724" s="4">
        <f>IF(ISERROR(VLOOKUP($T$1724,'TAR FIN'!$A$1:$O$99,15,0)),0,VLOOKUP($T$1724,'TAR FIN'!$A$1:$O$99,15,0))</f>
        <v>657.51</v>
      </c>
      <c r="X1724" s="4">
        <f>IF(ISERROR(VLOOKUP($U$1724,'TAR FIN'!$A$1:$O$99,15,0)),0,VLOOKUP($U$1724,'TAR FIN'!$A$1:$O$99,15,0))</f>
        <v>219.97</v>
      </c>
      <c r="Y1724" s="4"/>
      <c r="Z1724" s="4">
        <f ca="1">('TUSD BE'!$AM$57+'TUSD BF'!$AM$57+'TUSD CVA'!$AM$57)*1</f>
        <v>769.81008209782362</v>
      </c>
      <c r="AA1724" s="4">
        <f>('TE BE'!$AA$39+'TE BF'!$AA$39+'TE CVA'!$AA$39)*1</f>
        <v>271.13910989737087</v>
      </c>
      <c r="AB1724" s="4">
        <f>$K$1724*$V$1724</f>
        <v>0</v>
      </c>
      <c r="AC1724" s="4">
        <f>$M$1724*$W$1724</f>
        <v>453.68189999999998</v>
      </c>
      <c r="AD1724" s="4">
        <f>$O$1724*$X$1724</f>
        <v>151.77929999999998</v>
      </c>
      <c r="AE1724" s="4">
        <f>$K$1724*$Y$1724</f>
        <v>0</v>
      </c>
      <c r="AF1724" s="4">
        <f ca="1">$M$1724*$Z$1724</f>
        <v>531.16895664749825</v>
      </c>
      <c r="AG1724" s="4">
        <f>$O$1724*$AA$1724</f>
        <v>187.08598582918589</v>
      </c>
    </row>
    <row r="1725" spans="1:33" ht="11.25" customHeight="1" x14ac:dyDescent="0.25">
      <c r="A1725" s="3" t="s">
        <v>21</v>
      </c>
      <c r="B1725" s="3" t="s">
        <v>39</v>
      </c>
      <c r="C1725" s="3" t="s">
        <v>37</v>
      </c>
      <c r="D1725" s="3" t="s">
        <v>52</v>
      </c>
      <c r="E1725" s="3" t="s">
        <v>25</v>
      </c>
      <c r="F1725" s="3" t="s">
        <v>25</v>
      </c>
      <c r="G1725" s="3" t="s">
        <v>25</v>
      </c>
      <c r="H1725" s="3" t="s">
        <v>38</v>
      </c>
      <c r="I1725" s="6">
        <v>44621</v>
      </c>
      <c r="J1725" s="4">
        <v>0</v>
      </c>
      <c r="K1725" s="4">
        <v>0</v>
      </c>
      <c r="L1725" s="4">
        <v>0.68400000000000005</v>
      </c>
      <c r="M1725" s="4">
        <v>0.68400000000000005</v>
      </c>
      <c r="N1725" s="4">
        <v>0.68400000000000005</v>
      </c>
      <c r="O1725" s="4">
        <v>0.68400000000000005</v>
      </c>
      <c r="P1725" s="4">
        <v>0</v>
      </c>
      <c r="Q1725" s="3" t="s">
        <v>26</v>
      </c>
      <c r="R1725" s="3">
        <v>0</v>
      </c>
      <c r="S1725" s="4">
        <v>0</v>
      </c>
      <c r="T1725" s="4">
        <v>43</v>
      </c>
      <c r="U1725" s="4">
        <v>83</v>
      </c>
      <c r="V1725" s="4">
        <f>IF(ISERROR(VLOOKUP($S$1725,'TAR FIN'!$A$1:$O$99,15,0)),0,VLOOKUP($S$1725,'TAR FIN'!$A$1:$O$99,15,0))</f>
        <v>0</v>
      </c>
      <c r="W1725" s="4">
        <f>IF(ISERROR(VLOOKUP($T$1725,'TAR FIN'!$A$1:$O$99,15,0)),0,VLOOKUP($T$1725,'TAR FIN'!$A$1:$O$99,15,0))</f>
        <v>657.51</v>
      </c>
      <c r="X1725" s="4">
        <f>IF(ISERROR(VLOOKUP($U$1725,'TAR FIN'!$A$1:$O$99,15,0)),0,VLOOKUP($U$1725,'TAR FIN'!$A$1:$O$99,15,0))</f>
        <v>219.97</v>
      </c>
      <c r="Y1725" s="4"/>
      <c r="Z1725" s="4">
        <f ca="1">('TUSD BE'!$AM$57+'TUSD BF'!$AM$57+'TUSD CVA'!$AM$57)*1</f>
        <v>769.81008209782362</v>
      </c>
      <c r="AA1725" s="4">
        <f>('TE BE'!$AA$39+'TE BF'!$AA$39+'TE CVA'!$AA$39)*1</f>
        <v>271.13910989737087</v>
      </c>
      <c r="AB1725" s="4">
        <f>$K$1725*$V$1725</f>
        <v>0</v>
      </c>
      <c r="AC1725" s="4">
        <f>$M$1725*$W$1725</f>
        <v>449.73684000000003</v>
      </c>
      <c r="AD1725" s="4">
        <f>$O$1725*$X$1725</f>
        <v>150.45948000000001</v>
      </c>
      <c r="AE1725" s="4">
        <f>$K$1725*$Y$1725</f>
        <v>0</v>
      </c>
      <c r="AF1725" s="4">
        <f ca="1">$M$1725*$Z$1725</f>
        <v>526.55009615491144</v>
      </c>
      <c r="AG1725" s="4">
        <f>$O$1725*$AA$1725</f>
        <v>185.45915116980169</v>
      </c>
    </row>
    <row r="1726" spans="1:33" ht="11.25" customHeight="1" x14ac:dyDescent="0.25">
      <c r="A1726" s="3" t="s">
        <v>56</v>
      </c>
      <c r="B1726" s="3" t="s">
        <v>39</v>
      </c>
      <c r="C1726" s="3" t="s">
        <v>37</v>
      </c>
      <c r="D1726" s="3" t="s">
        <v>52</v>
      </c>
      <c r="E1726" s="3" t="s">
        <v>25</v>
      </c>
      <c r="F1726" s="3" t="s">
        <v>25</v>
      </c>
      <c r="G1726" s="3" t="s">
        <v>25</v>
      </c>
      <c r="H1726" s="3" t="s">
        <v>38</v>
      </c>
      <c r="I1726" s="6">
        <v>44652</v>
      </c>
      <c r="J1726" s="4">
        <v>0</v>
      </c>
      <c r="K1726" s="4">
        <v>0</v>
      </c>
      <c r="L1726" s="4">
        <v>0.68400000000000005</v>
      </c>
      <c r="M1726" s="4">
        <v>0.68400000000000005</v>
      </c>
      <c r="N1726" s="4">
        <v>0.68400000000000005</v>
      </c>
      <c r="O1726" s="4">
        <v>0.68400000000000005</v>
      </c>
      <c r="P1726" s="4">
        <v>0</v>
      </c>
      <c r="Q1726" s="3" t="s">
        <v>26</v>
      </c>
      <c r="R1726" s="3">
        <v>0</v>
      </c>
      <c r="S1726" s="4">
        <v>0</v>
      </c>
      <c r="T1726" s="4">
        <v>43</v>
      </c>
      <c r="U1726" s="4">
        <v>83</v>
      </c>
      <c r="V1726" s="4">
        <f>IF(ISERROR(VLOOKUP($S$1726,'TAR FIN'!$A$1:$O$99,15,0)),0,VLOOKUP($S$1726,'TAR FIN'!$A$1:$O$99,15,0))</f>
        <v>0</v>
      </c>
      <c r="W1726" s="4">
        <f>IF(ISERROR(VLOOKUP($T$1726,'TAR FIN'!$A$1:$O$99,15,0)),0,VLOOKUP($T$1726,'TAR FIN'!$A$1:$O$99,15,0))</f>
        <v>657.51</v>
      </c>
      <c r="X1726" s="4">
        <f>IF(ISERROR(VLOOKUP($U$1726,'TAR FIN'!$A$1:$O$99,15,0)),0,VLOOKUP($U$1726,'TAR FIN'!$A$1:$O$99,15,0))</f>
        <v>219.97</v>
      </c>
      <c r="Y1726" s="4"/>
      <c r="Z1726" s="4">
        <f ca="1">('TUSD BE'!$AM$57+'TUSD BF'!$AM$57+'TUSD CVA'!$AM$57)*1</f>
        <v>769.81008209782362</v>
      </c>
      <c r="AA1726" s="4">
        <f>('TE BE'!$AA$39+'TE BF'!$AA$39+'TE CVA'!$AA$39)*1</f>
        <v>271.13910989737087</v>
      </c>
      <c r="AB1726" s="4">
        <f>$K$1726*$V$1726</f>
        <v>0</v>
      </c>
      <c r="AC1726" s="4">
        <f>$M$1726*$W$1726</f>
        <v>449.73684000000003</v>
      </c>
      <c r="AD1726" s="4">
        <f>$O$1726*$X$1726</f>
        <v>150.45948000000001</v>
      </c>
      <c r="AE1726" s="4">
        <f>$K$1726*$Y$1726</f>
        <v>0</v>
      </c>
      <c r="AF1726" s="4">
        <f ca="1">$M$1726*$Z$1726</f>
        <v>526.55009615491144</v>
      </c>
      <c r="AG1726" s="4">
        <f>$O$1726*$AA$1726</f>
        <v>185.45915116980169</v>
      </c>
    </row>
    <row r="1727" spans="1:33" ht="11.25" customHeight="1" x14ac:dyDescent="0.25">
      <c r="A1727" s="3" t="s">
        <v>21</v>
      </c>
      <c r="B1727" s="3" t="s">
        <v>39</v>
      </c>
      <c r="C1727" s="3" t="s">
        <v>37</v>
      </c>
      <c r="D1727" s="3" t="s">
        <v>52</v>
      </c>
      <c r="E1727" s="3" t="s">
        <v>25</v>
      </c>
      <c r="F1727" s="3" t="s">
        <v>25</v>
      </c>
      <c r="G1727" s="3" t="s">
        <v>25</v>
      </c>
      <c r="H1727" s="3" t="s">
        <v>35</v>
      </c>
      <c r="I1727" s="6">
        <v>44317</v>
      </c>
      <c r="J1727" s="4">
        <v>0</v>
      </c>
      <c r="K1727" s="4">
        <v>0</v>
      </c>
      <c r="L1727" s="4">
        <v>0.27700000000000002</v>
      </c>
      <c r="M1727" s="4">
        <v>0.27700000000000002</v>
      </c>
      <c r="N1727" s="4">
        <v>0.27700000000000002</v>
      </c>
      <c r="O1727" s="4">
        <v>0.27700000000000002</v>
      </c>
      <c r="P1727" s="4">
        <v>0</v>
      </c>
      <c r="Q1727" s="3" t="s">
        <v>26</v>
      </c>
      <c r="R1727" s="3">
        <v>0</v>
      </c>
      <c r="S1727" s="4">
        <v>0</v>
      </c>
      <c r="T1727" s="4">
        <v>42</v>
      </c>
      <c r="U1727" s="4">
        <v>82</v>
      </c>
      <c r="V1727" s="4">
        <f>IF(ISERROR(VLOOKUP($S$1727,'TAR FIN'!$A$1:$O$99,15,0)),0,VLOOKUP($S$1727,'TAR FIN'!$A$1:$O$99,15,0))</f>
        <v>0</v>
      </c>
      <c r="W1727" s="4">
        <f>IF(ISERROR(VLOOKUP($T$1727,'TAR FIN'!$A$1:$O$99,15,0)),0,VLOOKUP($T$1727,'TAR FIN'!$A$1:$O$99,15,0))</f>
        <v>1010.32</v>
      </c>
      <c r="X1727" s="4">
        <f>IF(ISERROR(VLOOKUP($U$1727,'TAR FIN'!$A$1:$O$99,15,0)),0,VLOOKUP($U$1727,'TAR FIN'!$A$1:$O$99,15,0))</f>
        <v>346.61</v>
      </c>
      <c r="Y1727" s="4"/>
      <c r="Z1727" s="4">
        <f ca="1">('TUSD BE'!$AM$56+'TUSD BF'!$AM$56+'TUSD CVA'!$AM$56)*1</f>
        <v>1178.1887517861644</v>
      </c>
      <c r="AA1727" s="4">
        <f>('TE BE'!$AA$38+'TE BF'!$AA$38+'TE CVA'!$AA$38)*1</f>
        <v>423.89652505413846</v>
      </c>
      <c r="AB1727" s="4">
        <f>$K$1727*$V$1727</f>
        <v>0</v>
      </c>
      <c r="AC1727" s="4">
        <f>$M$1727*$W$1727</f>
        <v>279.85864000000004</v>
      </c>
      <c r="AD1727" s="4">
        <f>$O$1727*$X$1727</f>
        <v>96.010970000000015</v>
      </c>
      <c r="AE1727" s="4">
        <f>$K$1727*$Y$1727</f>
        <v>0</v>
      </c>
      <c r="AF1727" s="4">
        <f ca="1">$M$1727*$Z$1727</f>
        <v>326.35828424476756</v>
      </c>
      <c r="AG1727" s="4">
        <f>$O$1727*$AA$1727</f>
        <v>117.41933743999637</v>
      </c>
    </row>
    <row r="1728" spans="1:33" ht="11.25" customHeight="1" x14ac:dyDescent="0.25">
      <c r="A1728" s="3" t="s">
        <v>21</v>
      </c>
      <c r="B1728" s="3" t="s">
        <v>39</v>
      </c>
      <c r="C1728" s="3" t="s">
        <v>37</v>
      </c>
      <c r="D1728" s="3" t="s">
        <v>52</v>
      </c>
      <c r="E1728" s="3" t="s">
        <v>25</v>
      </c>
      <c r="F1728" s="3" t="s">
        <v>25</v>
      </c>
      <c r="G1728" s="3" t="s">
        <v>25</v>
      </c>
      <c r="H1728" s="3" t="s">
        <v>35</v>
      </c>
      <c r="I1728" s="6">
        <v>44348</v>
      </c>
      <c r="J1728" s="4">
        <v>0</v>
      </c>
      <c r="K1728" s="4">
        <v>0</v>
      </c>
      <c r="L1728" s="4">
        <v>0.25800000000000001</v>
      </c>
      <c r="M1728" s="4">
        <v>0.25800000000000001</v>
      </c>
      <c r="N1728" s="4">
        <v>0.25800000000000001</v>
      </c>
      <c r="O1728" s="4">
        <v>0.25800000000000001</v>
      </c>
      <c r="P1728" s="4">
        <v>0</v>
      </c>
      <c r="Q1728" s="3" t="s">
        <v>26</v>
      </c>
      <c r="R1728" s="3">
        <v>0</v>
      </c>
      <c r="S1728" s="4">
        <v>0</v>
      </c>
      <c r="T1728" s="4">
        <v>42</v>
      </c>
      <c r="U1728" s="4">
        <v>82</v>
      </c>
      <c r="V1728" s="4">
        <f>IF(ISERROR(VLOOKUP($S$1728,'TAR FIN'!$A$1:$O$99,15,0)),0,VLOOKUP($S$1728,'TAR FIN'!$A$1:$O$99,15,0))</f>
        <v>0</v>
      </c>
      <c r="W1728" s="4">
        <f>IF(ISERROR(VLOOKUP($T$1728,'TAR FIN'!$A$1:$O$99,15,0)),0,VLOOKUP($T$1728,'TAR FIN'!$A$1:$O$99,15,0))</f>
        <v>1010.32</v>
      </c>
      <c r="X1728" s="4">
        <f>IF(ISERROR(VLOOKUP($U$1728,'TAR FIN'!$A$1:$O$99,15,0)),0,VLOOKUP($U$1728,'TAR FIN'!$A$1:$O$99,15,0))</f>
        <v>346.61</v>
      </c>
      <c r="Y1728" s="4"/>
      <c r="Z1728" s="4">
        <f ca="1">('TUSD BE'!$AM$56+'TUSD BF'!$AM$56+'TUSD CVA'!$AM$56)*1</f>
        <v>1178.1887517861644</v>
      </c>
      <c r="AA1728" s="4">
        <f>('TE BE'!$AA$38+'TE BF'!$AA$38+'TE CVA'!$AA$38)*1</f>
        <v>423.89652505413846</v>
      </c>
      <c r="AB1728" s="4">
        <f>$K$1728*$V$1728</f>
        <v>0</v>
      </c>
      <c r="AC1728" s="4">
        <f>$M$1728*$W$1728</f>
        <v>260.66256000000004</v>
      </c>
      <c r="AD1728" s="4">
        <f>$O$1728*$X$1728</f>
        <v>89.425380000000004</v>
      </c>
      <c r="AE1728" s="4">
        <f>$K$1728*$Y$1728</f>
        <v>0</v>
      </c>
      <c r="AF1728" s="4">
        <f ca="1">$M$1728*$Z$1728</f>
        <v>303.97269796083043</v>
      </c>
      <c r="AG1728" s="4">
        <f>$O$1728*$AA$1728</f>
        <v>109.36530346396772</v>
      </c>
    </row>
    <row r="1729" spans="1:33" ht="11.25" customHeight="1" x14ac:dyDescent="0.25">
      <c r="A1729" s="3" t="s">
        <v>21</v>
      </c>
      <c r="B1729" s="3" t="s">
        <v>39</v>
      </c>
      <c r="C1729" s="3" t="s">
        <v>37</v>
      </c>
      <c r="D1729" s="3" t="s">
        <v>52</v>
      </c>
      <c r="E1729" s="3" t="s">
        <v>25</v>
      </c>
      <c r="F1729" s="3" t="s">
        <v>25</v>
      </c>
      <c r="G1729" s="3" t="s">
        <v>25</v>
      </c>
      <c r="H1729" s="3" t="s">
        <v>35</v>
      </c>
      <c r="I1729" s="6">
        <v>44378</v>
      </c>
      <c r="J1729" s="4">
        <v>0</v>
      </c>
      <c r="K1729" s="4">
        <v>0</v>
      </c>
      <c r="L1729" s="4">
        <v>0.25700000000000001</v>
      </c>
      <c r="M1729" s="4">
        <v>0.25700000000000001</v>
      </c>
      <c r="N1729" s="4">
        <v>0.25700000000000001</v>
      </c>
      <c r="O1729" s="4">
        <v>0.25700000000000001</v>
      </c>
      <c r="P1729" s="4">
        <v>0</v>
      </c>
      <c r="Q1729" s="3" t="s">
        <v>26</v>
      </c>
      <c r="R1729" s="3">
        <v>0</v>
      </c>
      <c r="S1729" s="4">
        <v>0</v>
      </c>
      <c r="T1729" s="4">
        <v>42</v>
      </c>
      <c r="U1729" s="4">
        <v>82</v>
      </c>
      <c r="V1729" s="4">
        <f>IF(ISERROR(VLOOKUP($S$1729,'TAR FIN'!$A$1:$O$99,15,0)),0,VLOOKUP($S$1729,'TAR FIN'!$A$1:$O$99,15,0))</f>
        <v>0</v>
      </c>
      <c r="W1729" s="4">
        <f>IF(ISERROR(VLOOKUP($T$1729,'TAR FIN'!$A$1:$O$99,15,0)),0,VLOOKUP($T$1729,'TAR FIN'!$A$1:$O$99,15,0))</f>
        <v>1010.32</v>
      </c>
      <c r="X1729" s="4">
        <f>IF(ISERROR(VLOOKUP($U$1729,'TAR FIN'!$A$1:$O$99,15,0)),0,VLOOKUP($U$1729,'TAR FIN'!$A$1:$O$99,15,0))</f>
        <v>346.61</v>
      </c>
      <c r="Y1729" s="4"/>
      <c r="Z1729" s="4">
        <f ca="1">('TUSD BE'!$AM$56+'TUSD BF'!$AM$56+'TUSD CVA'!$AM$56)*1</f>
        <v>1178.1887517861644</v>
      </c>
      <c r="AA1729" s="4">
        <f>('TE BE'!$AA$38+'TE BF'!$AA$38+'TE CVA'!$AA$38)*1</f>
        <v>423.89652505413846</v>
      </c>
      <c r="AB1729" s="4">
        <f>$K$1729*$V$1729</f>
        <v>0</v>
      </c>
      <c r="AC1729" s="4">
        <f>$M$1729*$W$1729</f>
        <v>259.65224000000001</v>
      </c>
      <c r="AD1729" s="4">
        <f>$O$1729*$X$1729</f>
        <v>89.078770000000006</v>
      </c>
      <c r="AE1729" s="4">
        <f>$K$1729*$Y$1729</f>
        <v>0</v>
      </c>
      <c r="AF1729" s="4">
        <f ca="1">$M$1729*$Z$1729</f>
        <v>302.79450920904424</v>
      </c>
      <c r="AG1729" s="4">
        <f>$O$1729*$AA$1729</f>
        <v>108.94140693891359</v>
      </c>
    </row>
    <row r="1730" spans="1:33" ht="11.25" customHeight="1" x14ac:dyDescent="0.25">
      <c r="A1730" s="3" t="s">
        <v>21</v>
      </c>
      <c r="B1730" s="3" t="s">
        <v>39</v>
      </c>
      <c r="C1730" s="3" t="s">
        <v>37</v>
      </c>
      <c r="D1730" s="3" t="s">
        <v>52</v>
      </c>
      <c r="E1730" s="3" t="s">
        <v>25</v>
      </c>
      <c r="F1730" s="3" t="s">
        <v>25</v>
      </c>
      <c r="G1730" s="3" t="s">
        <v>25</v>
      </c>
      <c r="H1730" s="3" t="s">
        <v>35</v>
      </c>
      <c r="I1730" s="6">
        <v>44409</v>
      </c>
      <c r="J1730" s="4">
        <v>0</v>
      </c>
      <c r="K1730" s="4">
        <v>0</v>
      </c>
      <c r="L1730" s="4">
        <v>0.312</v>
      </c>
      <c r="M1730" s="4">
        <v>0.312</v>
      </c>
      <c r="N1730" s="4">
        <v>0.312</v>
      </c>
      <c r="O1730" s="4">
        <v>0.312</v>
      </c>
      <c r="P1730" s="4">
        <v>0</v>
      </c>
      <c r="Q1730" s="3" t="s">
        <v>26</v>
      </c>
      <c r="R1730" s="3">
        <v>0</v>
      </c>
      <c r="S1730" s="4">
        <v>0</v>
      </c>
      <c r="T1730" s="4">
        <v>42</v>
      </c>
      <c r="U1730" s="4">
        <v>82</v>
      </c>
      <c r="V1730" s="4">
        <f>IF(ISERROR(VLOOKUP($S$1730,'TAR FIN'!$A$1:$O$99,15,0)),0,VLOOKUP($S$1730,'TAR FIN'!$A$1:$O$99,15,0))</f>
        <v>0</v>
      </c>
      <c r="W1730" s="4">
        <f>IF(ISERROR(VLOOKUP($T$1730,'TAR FIN'!$A$1:$O$99,15,0)),0,VLOOKUP($T$1730,'TAR FIN'!$A$1:$O$99,15,0))</f>
        <v>1010.32</v>
      </c>
      <c r="X1730" s="4">
        <f>IF(ISERROR(VLOOKUP($U$1730,'TAR FIN'!$A$1:$O$99,15,0)),0,VLOOKUP($U$1730,'TAR FIN'!$A$1:$O$99,15,0))</f>
        <v>346.61</v>
      </c>
      <c r="Y1730" s="4"/>
      <c r="Z1730" s="4">
        <f ca="1">('TUSD BE'!$AM$56+'TUSD BF'!$AM$56+'TUSD CVA'!$AM$56)*1</f>
        <v>1178.1887517861644</v>
      </c>
      <c r="AA1730" s="4">
        <f>('TE BE'!$AA$38+'TE BF'!$AA$38+'TE CVA'!$AA$38)*1</f>
        <v>423.89652505413846</v>
      </c>
      <c r="AB1730" s="4">
        <f>$K$1730*$V$1730</f>
        <v>0</v>
      </c>
      <c r="AC1730" s="4">
        <f>$M$1730*$W$1730</f>
        <v>315.21984000000003</v>
      </c>
      <c r="AD1730" s="4">
        <f>$O$1730*$X$1730</f>
        <v>108.14232</v>
      </c>
      <c r="AE1730" s="4">
        <f>$K$1730*$Y$1730</f>
        <v>0</v>
      </c>
      <c r="AF1730" s="4">
        <f ca="1">$M$1730*$Z$1730</f>
        <v>367.59489055728329</v>
      </c>
      <c r="AG1730" s="4">
        <f>$O$1730*$AA$1730</f>
        <v>132.25571581689121</v>
      </c>
    </row>
    <row r="1731" spans="1:33" ht="11.25" customHeight="1" x14ac:dyDescent="0.25">
      <c r="A1731" s="3" t="s">
        <v>21</v>
      </c>
      <c r="B1731" s="3" t="s">
        <v>39</v>
      </c>
      <c r="C1731" s="3" t="s">
        <v>37</v>
      </c>
      <c r="D1731" s="3" t="s">
        <v>52</v>
      </c>
      <c r="E1731" s="3" t="s">
        <v>25</v>
      </c>
      <c r="F1731" s="3" t="s">
        <v>25</v>
      </c>
      <c r="G1731" s="3" t="s">
        <v>25</v>
      </c>
      <c r="H1731" s="3" t="s">
        <v>35</v>
      </c>
      <c r="I1731" s="6">
        <v>44440</v>
      </c>
      <c r="J1731" s="4">
        <v>0</v>
      </c>
      <c r="K1731" s="4">
        <v>0</v>
      </c>
      <c r="L1731" s="4">
        <v>0.41199999999999998</v>
      </c>
      <c r="M1731" s="4">
        <v>0.41199999999999998</v>
      </c>
      <c r="N1731" s="4">
        <v>0.41199999999999998</v>
      </c>
      <c r="O1731" s="4">
        <v>0.41199999999999998</v>
      </c>
      <c r="P1731" s="4">
        <v>0</v>
      </c>
      <c r="Q1731" s="3" t="s">
        <v>26</v>
      </c>
      <c r="R1731" s="3">
        <v>0</v>
      </c>
      <c r="S1731" s="4">
        <v>0</v>
      </c>
      <c r="T1731" s="4">
        <v>42</v>
      </c>
      <c r="U1731" s="4">
        <v>82</v>
      </c>
      <c r="V1731" s="4">
        <f>IF(ISERROR(VLOOKUP($S$1731,'TAR FIN'!$A$1:$O$99,15,0)),0,VLOOKUP($S$1731,'TAR FIN'!$A$1:$O$99,15,0))</f>
        <v>0</v>
      </c>
      <c r="W1731" s="4">
        <f>IF(ISERROR(VLOOKUP($T$1731,'TAR FIN'!$A$1:$O$99,15,0)),0,VLOOKUP($T$1731,'TAR FIN'!$A$1:$O$99,15,0))</f>
        <v>1010.32</v>
      </c>
      <c r="X1731" s="4">
        <f>IF(ISERROR(VLOOKUP($U$1731,'TAR FIN'!$A$1:$O$99,15,0)),0,VLOOKUP($U$1731,'TAR FIN'!$A$1:$O$99,15,0))</f>
        <v>346.61</v>
      </c>
      <c r="Y1731" s="4"/>
      <c r="Z1731" s="4">
        <f ca="1">('TUSD BE'!$AM$56+'TUSD BF'!$AM$56+'TUSD CVA'!$AM$56)*1</f>
        <v>1178.1887517861644</v>
      </c>
      <c r="AA1731" s="4">
        <f>('TE BE'!$AA$38+'TE BF'!$AA$38+'TE CVA'!$AA$38)*1</f>
        <v>423.89652505413846</v>
      </c>
      <c r="AB1731" s="4">
        <f>$K$1731*$V$1731</f>
        <v>0</v>
      </c>
      <c r="AC1731" s="4">
        <f>$M$1731*$W$1731</f>
        <v>416.25184000000002</v>
      </c>
      <c r="AD1731" s="4">
        <f>$O$1731*$X$1731</f>
        <v>142.80331999999999</v>
      </c>
      <c r="AE1731" s="4">
        <f>$K$1731*$Y$1731</f>
        <v>0</v>
      </c>
      <c r="AF1731" s="4">
        <f ca="1">$M$1731*$Z$1731</f>
        <v>485.41376573589969</v>
      </c>
      <c r="AG1731" s="4">
        <f>$O$1731*$AA$1731</f>
        <v>174.64536832230505</v>
      </c>
    </row>
    <row r="1732" spans="1:33" ht="11.25" customHeight="1" x14ac:dyDescent="0.25">
      <c r="A1732" s="3" t="s">
        <v>21</v>
      </c>
      <c r="B1732" s="3" t="s">
        <v>39</v>
      </c>
      <c r="C1732" s="3" t="s">
        <v>37</v>
      </c>
      <c r="D1732" s="3" t="s">
        <v>52</v>
      </c>
      <c r="E1732" s="3" t="s">
        <v>25</v>
      </c>
      <c r="F1732" s="3" t="s">
        <v>25</v>
      </c>
      <c r="G1732" s="3" t="s">
        <v>25</v>
      </c>
      <c r="H1732" s="3" t="s">
        <v>35</v>
      </c>
      <c r="I1732" s="6">
        <v>44470</v>
      </c>
      <c r="J1732" s="4">
        <v>0</v>
      </c>
      <c r="K1732" s="4">
        <v>0</v>
      </c>
      <c r="L1732" s="4">
        <v>0.57199999999999995</v>
      </c>
      <c r="M1732" s="4">
        <v>0.57199999999999995</v>
      </c>
      <c r="N1732" s="4">
        <v>0.57199999999999995</v>
      </c>
      <c r="O1732" s="4">
        <v>0.57199999999999995</v>
      </c>
      <c r="P1732" s="4">
        <v>0</v>
      </c>
      <c r="Q1732" s="3" t="s">
        <v>26</v>
      </c>
      <c r="R1732" s="3">
        <v>0</v>
      </c>
      <c r="S1732" s="4">
        <v>0</v>
      </c>
      <c r="T1732" s="4">
        <v>42</v>
      </c>
      <c r="U1732" s="4">
        <v>82</v>
      </c>
      <c r="V1732" s="4">
        <f>IF(ISERROR(VLOOKUP($S$1732,'TAR FIN'!$A$1:$O$99,15,0)),0,VLOOKUP($S$1732,'TAR FIN'!$A$1:$O$99,15,0))</f>
        <v>0</v>
      </c>
      <c r="W1732" s="4">
        <f>IF(ISERROR(VLOOKUP($T$1732,'TAR FIN'!$A$1:$O$99,15,0)),0,VLOOKUP($T$1732,'TAR FIN'!$A$1:$O$99,15,0))</f>
        <v>1010.32</v>
      </c>
      <c r="X1732" s="4">
        <f>IF(ISERROR(VLOOKUP($U$1732,'TAR FIN'!$A$1:$O$99,15,0)),0,VLOOKUP($U$1732,'TAR FIN'!$A$1:$O$99,15,0))</f>
        <v>346.61</v>
      </c>
      <c r="Y1732" s="4"/>
      <c r="Z1732" s="4">
        <f ca="1">('TUSD BE'!$AM$56+'TUSD BF'!$AM$56+'TUSD CVA'!$AM$56)*1</f>
        <v>1178.1887517861644</v>
      </c>
      <c r="AA1732" s="4">
        <f>('TE BE'!$AA$38+'TE BF'!$AA$38+'TE CVA'!$AA$38)*1</f>
        <v>423.89652505413846</v>
      </c>
      <c r="AB1732" s="4">
        <f>$K$1732*$V$1732</f>
        <v>0</v>
      </c>
      <c r="AC1732" s="4">
        <f>$M$1732*$W$1732</f>
        <v>577.90304000000003</v>
      </c>
      <c r="AD1732" s="4">
        <f>$O$1732*$X$1732</f>
        <v>198.26092</v>
      </c>
      <c r="AE1732" s="4">
        <f>$K$1732*$Y$1732</f>
        <v>0</v>
      </c>
      <c r="AF1732" s="4">
        <f ca="1">$M$1732*$Z$1732</f>
        <v>673.92396602168594</v>
      </c>
      <c r="AG1732" s="4">
        <f>$O$1732*$AA$1732</f>
        <v>242.46881233096718</v>
      </c>
    </row>
    <row r="1733" spans="1:33" ht="11.25" customHeight="1" x14ac:dyDescent="0.25">
      <c r="A1733" s="3" t="s">
        <v>21</v>
      </c>
      <c r="B1733" s="3" t="s">
        <v>39</v>
      </c>
      <c r="C1733" s="3" t="s">
        <v>37</v>
      </c>
      <c r="D1733" s="3" t="s">
        <v>52</v>
      </c>
      <c r="E1733" s="3" t="s">
        <v>25</v>
      </c>
      <c r="F1733" s="3" t="s">
        <v>25</v>
      </c>
      <c r="G1733" s="3" t="s">
        <v>25</v>
      </c>
      <c r="H1733" s="3" t="s">
        <v>35</v>
      </c>
      <c r="I1733" s="6">
        <v>44501</v>
      </c>
      <c r="J1733" s="4">
        <v>0</v>
      </c>
      <c r="K1733" s="4">
        <v>0</v>
      </c>
      <c r="L1733" s="4">
        <v>0.58699999999999997</v>
      </c>
      <c r="M1733" s="4">
        <v>0.58699999999999997</v>
      </c>
      <c r="N1733" s="4">
        <v>0.58699999999999997</v>
      </c>
      <c r="O1733" s="4">
        <v>0.58699999999999997</v>
      </c>
      <c r="P1733" s="4">
        <v>0</v>
      </c>
      <c r="Q1733" s="3" t="s">
        <v>26</v>
      </c>
      <c r="R1733" s="3">
        <v>0</v>
      </c>
      <c r="S1733" s="4">
        <v>0</v>
      </c>
      <c r="T1733" s="4">
        <v>42</v>
      </c>
      <c r="U1733" s="4">
        <v>82</v>
      </c>
      <c r="V1733" s="4">
        <f>IF(ISERROR(VLOOKUP($S$1733,'TAR FIN'!$A$1:$O$99,15,0)),0,VLOOKUP($S$1733,'TAR FIN'!$A$1:$O$99,15,0))</f>
        <v>0</v>
      </c>
      <c r="W1733" s="4">
        <f>IF(ISERROR(VLOOKUP($T$1733,'TAR FIN'!$A$1:$O$99,15,0)),0,VLOOKUP($T$1733,'TAR FIN'!$A$1:$O$99,15,0))</f>
        <v>1010.32</v>
      </c>
      <c r="X1733" s="4">
        <f>IF(ISERROR(VLOOKUP($U$1733,'TAR FIN'!$A$1:$O$99,15,0)),0,VLOOKUP($U$1733,'TAR FIN'!$A$1:$O$99,15,0))</f>
        <v>346.61</v>
      </c>
      <c r="Y1733" s="4"/>
      <c r="Z1733" s="4">
        <f ca="1">('TUSD BE'!$AM$56+'TUSD BF'!$AM$56+'TUSD CVA'!$AM$56)*1</f>
        <v>1178.1887517861644</v>
      </c>
      <c r="AA1733" s="4">
        <f>('TE BE'!$AA$38+'TE BF'!$AA$38+'TE CVA'!$AA$38)*1</f>
        <v>423.89652505413846</v>
      </c>
      <c r="AB1733" s="4">
        <f>$K$1733*$V$1733</f>
        <v>0</v>
      </c>
      <c r="AC1733" s="4">
        <f>$M$1733*$W$1733</f>
        <v>593.05783999999994</v>
      </c>
      <c r="AD1733" s="4">
        <f>$O$1733*$X$1733</f>
        <v>203.46007</v>
      </c>
      <c r="AE1733" s="4">
        <f>$K$1733*$Y$1733</f>
        <v>0</v>
      </c>
      <c r="AF1733" s="4">
        <f ca="1">$M$1733*$Z$1733</f>
        <v>691.59679729847846</v>
      </c>
      <c r="AG1733" s="4">
        <f>$O$1733*$AA$1733</f>
        <v>248.82726020677927</v>
      </c>
    </row>
    <row r="1734" spans="1:33" ht="11.25" customHeight="1" x14ac:dyDescent="0.25">
      <c r="A1734" s="3" t="s">
        <v>21</v>
      </c>
      <c r="B1734" s="3" t="s">
        <v>39</v>
      </c>
      <c r="C1734" s="3" t="s">
        <v>37</v>
      </c>
      <c r="D1734" s="3" t="s">
        <v>52</v>
      </c>
      <c r="E1734" s="3" t="s">
        <v>25</v>
      </c>
      <c r="F1734" s="3" t="s">
        <v>25</v>
      </c>
      <c r="G1734" s="3" t="s">
        <v>25</v>
      </c>
      <c r="H1734" s="3" t="s">
        <v>35</v>
      </c>
      <c r="I1734" s="6">
        <v>44531</v>
      </c>
      <c r="J1734" s="4">
        <v>0</v>
      </c>
      <c r="K1734" s="4">
        <v>0</v>
      </c>
      <c r="L1734" s="4">
        <v>0.52800000000000002</v>
      </c>
      <c r="M1734" s="4">
        <v>0.52800000000000002</v>
      </c>
      <c r="N1734" s="4">
        <v>0.52800000000000002</v>
      </c>
      <c r="O1734" s="4">
        <v>0.52800000000000002</v>
      </c>
      <c r="P1734" s="4">
        <v>0</v>
      </c>
      <c r="Q1734" s="3" t="s">
        <v>26</v>
      </c>
      <c r="R1734" s="3">
        <v>0</v>
      </c>
      <c r="S1734" s="4">
        <v>0</v>
      </c>
      <c r="T1734" s="4">
        <v>42</v>
      </c>
      <c r="U1734" s="4">
        <v>82</v>
      </c>
      <c r="V1734" s="4">
        <f>IF(ISERROR(VLOOKUP($S$1734,'TAR FIN'!$A$1:$O$99,15,0)),0,VLOOKUP($S$1734,'TAR FIN'!$A$1:$O$99,15,0))</f>
        <v>0</v>
      </c>
      <c r="W1734" s="4">
        <f>IF(ISERROR(VLOOKUP($T$1734,'TAR FIN'!$A$1:$O$99,15,0)),0,VLOOKUP($T$1734,'TAR FIN'!$A$1:$O$99,15,0))</f>
        <v>1010.32</v>
      </c>
      <c r="X1734" s="4">
        <f>IF(ISERROR(VLOOKUP($U$1734,'TAR FIN'!$A$1:$O$99,15,0)),0,VLOOKUP($U$1734,'TAR FIN'!$A$1:$O$99,15,0))</f>
        <v>346.61</v>
      </c>
      <c r="Y1734" s="4"/>
      <c r="Z1734" s="4">
        <f ca="1">('TUSD BE'!$AM$56+'TUSD BF'!$AM$56+'TUSD CVA'!$AM$56)*1</f>
        <v>1178.1887517861644</v>
      </c>
      <c r="AA1734" s="4">
        <f>('TE BE'!$AA$38+'TE BF'!$AA$38+'TE CVA'!$AA$38)*1</f>
        <v>423.89652505413846</v>
      </c>
      <c r="AB1734" s="4">
        <f>$K$1734*$V$1734</f>
        <v>0</v>
      </c>
      <c r="AC1734" s="4">
        <f>$M$1734*$W$1734</f>
        <v>533.44896000000006</v>
      </c>
      <c r="AD1734" s="4">
        <f>$O$1734*$X$1734</f>
        <v>183.01008000000002</v>
      </c>
      <c r="AE1734" s="4">
        <f>$K$1734*$Y$1734</f>
        <v>0</v>
      </c>
      <c r="AF1734" s="4">
        <f ca="1">$M$1734*$Z$1734</f>
        <v>622.08366094309486</v>
      </c>
      <c r="AG1734" s="4">
        <f>$O$1734*$AA$1734</f>
        <v>223.81736522858512</v>
      </c>
    </row>
    <row r="1735" spans="1:33" ht="11.25" customHeight="1" x14ac:dyDescent="0.25">
      <c r="A1735" s="3" t="s">
        <v>21</v>
      </c>
      <c r="B1735" s="3" t="s">
        <v>39</v>
      </c>
      <c r="C1735" s="3" t="s">
        <v>37</v>
      </c>
      <c r="D1735" s="3" t="s">
        <v>52</v>
      </c>
      <c r="E1735" s="3" t="s">
        <v>25</v>
      </c>
      <c r="F1735" s="3" t="s">
        <v>25</v>
      </c>
      <c r="G1735" s="3" t="s">
        <v>25</v>
      </c>
      <c r="H1735" s="3" t="s">
        <v>35</v>
      </c>
      <c r="I1735" s="6">
        <v>44562</v>
      </c>
      <c r="J1735" s="4">
        <v>0</v>
      </c>
      <c r="K1735" s="4">
        <v>0</v>
      </c>
      <c r="L1735" s="4">
        <v>0.38400000000000001</v>
      </c>
      <c r="M1735" s="4">
        <v>0.38400000000000001</v>
      </c>
      <c r="N1735" s="4">
        <v>0.38400000000000001</v>
      </c>
      <c r="O1735" s="4">
        <v>0.38400000000000001</v>
      </c>
      <c r="P1735" s="4">
        <v>0</v>
      </c>
      <c r="Q1735" s="3" t="s">
        <v>26</v>
      </c>
      <c r="R1735" s="3">
        <v>0</v>
      </c>
      <c r="S1735" s="4">
        <v>0</v>
      </c>
      <c r="T1735" s="4">
        <v>42</v>
      </c>
      <c r="U1735" s="4">
        <v>82</v>
      </c>
      <c r="V1735" s="4">
        <f>IF(ISERROR(VLOOKUP($S$1735,'TAR FIN'!$A$1:$O$99,15,0)),0,VLOOKUP($S$1735,'TAR FIN'!$A$1:$O$99,15,0))</f>
        <v>0</v>
      </c>
      <c r="W1735" s="4">
        <f>IF(ISERROR(VLOOKUP($T$1735,'TAR FIN'!$A$1:$O$99,15,0)),0,VLOOKUP($T$1735,'TAR FIN'!$A$1:$O$99,15,0))</f>
        <v>1010.32</v>
      </c>
      <c r="X1735" s="4">
        <f>IF(ISERROR(VLOOKUP($U$1735,'TAR FIN'!$A$1:$O$99,15,0)),0,VLOOKUP($U$1735,'TAR FIN'!$A$1:$O$99,15,0))</f>
        <v>346.61</v>
      </c>
      <c r="Y1735" s="4"/>
      <c r="Z1735" s="4">
        <f ca="1">('TUSD BE'!$AM$56+'TUSD BF'!$AM$56+'TUSD CVA'!$AM$56)*1</f>
        <v>1178.1887517861644</v>
      </c>
      <c r="AA1735" s="4">
        <f>('TE BE'!$AA$38+'TE BF'!$AA$38+'TE CVA'!$AA$38)*1</f>
        <v>423.89652505413846</v>
      </c>
      <c r="AB1735" s="4">
        <f>$K$1735*$V$1735</f>
        <v>0</v>
      </c>
      <c r="AC1735" s="4">
        <f>$M$1735*$W$1735</f>
        <v>387.96288000000004</v>
      </c>
      <c r="AD1735" s="4">
        <f>$O$1735*$X$1735</f>
        <v>133.09824</v>
      </c>
      <c r="AE1735" s="4">
        <f>$K$1735*$Y$1735</f>
        <v>0</v>
      </c>
      <c r="AF1735" s="4">
        <f ca="1">$M$1735*$Z$1735</f>
        <v>452.42448068588715</v>
      </c>
      <c r="AG1735" s="4">
        <f>$O$1735*$AA$1735</f>
        <v>162.77626562078916</v>
      </c>
    </row>
    <row r="1736" spans="1:33" ht="11.25" customHeight="1" x14ac:dyDescent="0.25">
      <c r="A1736" s="3" t="s">
        <v>21</v>
      </c>
      <c r="B1736" s="3" t="s">
        <v>39</v>
      </c>
      <c r="C1736" s="3" t="s">
        <v>37</v>
      </c>
      <c r="D1736" s="3" t="s">
        <v>52</v>
      </c>
      <c r="E1736" s="3" t="s">
        <v>25</v>
      </c>
      <c r="F1736" s="3" t="s">
        <v>25</v>
      </c>
      <c r="G1736" s="3" t="s">
        <v>25</v>
      </c>
      <c r="H1736" s="3" t="s">
        <v>35</v>
      </c>
      <c r="I1736" s="6">
        <v>44593</v>
      </c>
      <c r="J1736" s="4">
        <v>0</v>
      </c>
      <c r="K1736" s="4">
        <v>0</v>
      </c>
      <c r="L1736" s="4">
        <v>0.43099999999999999</v>
      </c>
      <c r="M1736" s="4">
        <v>0.43099999999999999</v>
      </c>
      <c r="N1736" s="4">
        <v>0.43099999999999999</v>
      </c>
      <c r="O1736" s="4">
        <v>0.43099999999999999</v>
      </c>
      <c r="P1736" s="4">
        <v>0</v>
      </c>
      <c r="Q1736" s="3" t="s">
        <v>26</v>
      </c>
      <c r="R1736" s="3">
        <v>0</v>
      </c>
      <c r="S1736" s="4">
        <v>0</v>
      </c>
      <c r="T1736" s="4">
        <v>42</v>
      </c>
      <c r="U1736" s="4">
        <v>82</v>
      </c>
      <c r="V1736" s="4">
        <f>IF(ISERROR(VLOOKUP($S$1736,'TAR FIN'!$A$1:$O$99,15,0)),0,VLOOKUP($S$1736,'TAR FIN'!$A$1:$O$99,15,0))</f>
        <v>0</v>
      </c>
      <c r="W1736" s="4">
        <f>IF(ISERROR(VLOOKUP($T$1736,'TAR FIN'!$A$1:$O$99,15,0)),0,VLOOKUP($T$1736,'TAR FIN'!$A$1:$O$99,15,0))</f>
        <v>1010.32</v>
      </c>
      <c r="X1736" s="4">
        <f>IF(ISERROR(VLOOKUP($U$1736,'TAR FIN'!$A$1:$O$99,15,0)),0,VLOOKUP($U$1736,'TAR FIN'!$A$1:$O$99,15,0))</f>
        <v>346.61</v>
      </c>
      <c r="Y1736" s="4"/>
      <c r="Z1736" s="4">
        <f ca="1">('TUSD BE'!$AM$56+'TUSD BF'!$AM$56+'TUSD CVA'!$AM$56)*1</f>
        <v>1178.1887517861644</v>
      </c>
      <c r="AA1736" s="4">
        <f>('TE BE'!$AA$38+'TE BF'!$AA$38+'TE CVA'!$AA$38)*1</f>
        <v>423.89652505413846</v>
      </c>
      <c r="AB1736" s="4">
        <f>$K$1736*$V$1736</f>
        <v>0</v>
      </c>
      <c r="AC1736" s="4">
        <f>$M$1736*$W$1736</f>
        <v>435.44792000000001</v>
      </c>
      <c r="AD1736" s="4">
        <f>$O$1736*$X$1736</f>
        <v>149.38891000000001</v>
      </c>
      <c r="AE1736" s="4">
        <f>$K$1736*$Y$1736</f>
        <v>0</v>
      </c>
      <c r="AF1736" s="4">
        <f ca="1">$M$1736*$Z$1736</f>
        <v>507.79935201983687</v>
      </c>
      <c r="AG1736" s="4">
        <f>$O$1736*$AA$1736</f>
        <v>182.69940229833367</v>
      </c>
    </row>
    <row r="1737" spans="1:33" ht="11.25" customHeight="1" x14ac:dyDescent="0.25">
      <c r="A1737" s="3" t="s">
        <v>21</v>
      </c>
      <c r="B1737" s="3" t="s">
        <v>39</v>
      </c>
      <c r="C1737" s="3" t="s">
        <v>37</v>
      </c>
      <c r="D1737" s="3" t="s">
        <v>52</v>
      </c>
      <c r="E1737" s="3" t="s">
        <v>25</v>
      </c>
      <c r="F1737" s="3" t="s">
        <v>25</v>
      </c>
      <c r="G1737" s="3" t="s">
        <v>25</v>
      </c>
      <c r="H1737" s="3" t="s">
        <v>35</v>
      </c>
      <c r="I1737" s="6">
        <v>44621</v>
      </c>
      <c r="J1737" s="4">
        <v>0</v>
      </c>
      <c r="K1737" s="4">
        <v>0</v>
      </c>
      <c r="L1737" s="4">
        <v>0.46899999999999997</v>
      </c>
      <c r="M1737" s="4">
        <v>0.46899999999999997</v>
      </c>
      <c r="N1737" s="4">
        <v>0.46899999999999997</v>
      </c>
      <c r="O1737" s="4">
        <v>0.46899999999999997</v>
      </c>
      <c r="P1737" s="4">
        <v>0</v>
      </c>
      <c r="Q1737" s="3" t="s">
        <v>26</v>
      </c>
      <c r="R1737" s="3">
        <v>0</v>
      </c>
      <c r="S1737" s="4">
        <v>0</v>
      </c>
      <c r="T1737" s="4">
        <v>42</v>
      </c>
      <c r="U1737" s="4">
        <v>82</v>
      </c>
      <c r="V1737" s="4">
        <f>IF(ISERROR(VLOOKUP($S$1737,'TAR FIN'!$A$1:$O$99,15,0)),0,VLOOKUP($S$1737,'TAR FIN'!$A$1:$O$99,15,0))</f>
        <v>0</v>
      </c>
      <c r="W1737" s="4">
        <f>IF(ISERROR(VLOOKUP($T$1737,'TAR FIN'!$A$1:$O$99,15,0)),0,VLOOKUP($T$1737,'TAR FIN'!$A$1:$O$99,15,0))</f>
        <v>1010.32</v>
      </c>
      <c r="X1737" s="4">
        <f>IF(ISERROR(VLOOKUP($U$1737,'TAR FIN'!$A$1:$O$99,15,0)),0,VLOOKUP($U$1737,'TAR FIN'!$A$1:$O$99,15,0))</f>
        <v>346.61</v>
      </c>
      <c r="Y1737" s="4"/>
      <c r="Z1737" s="4">
        <f ca="1">('TUSD BE'!$AM$56+'TUSD BF'!$AM$56+'TUSD CVA'!$AM$56)*1</f>
        <v>1178.1887517861644</v>
      </c>
      <c r="AA1737" s="4">
        <f>('TE BE'!$AA$38+'TE BF'!$AA$38+'TE CVA'!$AA$38)*1</f>
        <v>423.89652505413846</v>
      </c>
      <c r="AB1737" s="4">
        <f>$K$1737*$V$1737</f>
        <v>0</v>
      </c>
      <c r="AC1737" s="4">
        <f>$M$1737*$W$1737</f>
        <v>473.84008</v>
      </c>
      <c r="AD1737" s="4">
        <f>$O$1737*$X$1737</f>
        <v>162.56009</v>
      </c>
      <c r="AE1737" s="4">
        <f>$K$1737*$Y$1737</f>
        <v>0</v>
      </c>
      <c r="AF1737" s="4">
        <f ca="1">$M$1737*$Z$1737</f>
        <v>552.57052458771102</v>
      </c>
      <c r="AG1737" s="4">
        <f>$O$1737*$AA$1737</f>
        <v>198.80747025039094</v>
      </c>
    </row>
    <row r="1738" spans="1:33" ht="11.25" customHeight="1" x14ac:dyDescent="0.25">
      <c r="A1738" s="3" t="s">
        <v>56</v>
      </c>
      <c r="B1738" s="3" t="s">
        <v>39</v>
      </c>
      <c r="C1738" s="3" t="s">
        <v>37</v>
      </c>
      <c r="D1738" s="3" t="s">
        <v>52</v>
      </c>
      <c r="E1738" s="3" t="s">
        <v>25</v>
      </c>
      <c r="F1738" s="3" t="s">
        <v>25</v>
      </c>
      <c r="G1738" s="3" t="s">
        <v>25</v>
      </c>
      <c r="H1738" s="3" t="s">
        <v>35</v>
      </c>
      <c r="I1738" s="6">
        <v>44652</v>
      </c>
      <c r="J1738" s="4">
        <v>0</v>
      </c>
      <c r="K1738" s="4">
        <v>0</v>
      </c>
      <c r="L1738" s="4">
        <v>0.46899999999999997</v>
      </c>
      <c r="M1738" s="4">
        <v>0.46899999999999997</v>
      </c>
      <c r="N1738" s="4">
        <v>0.46899999999999997</v>
      </c>
      <c r="O1738" s="4">
        <v>0.46899999999999997</v>
      </c>
      <c r="P1738" s="4">
        <v>0</v>
      </c>
      <c r="Q1738" s="3" t="s">
        <v>26</v>
      </c>
      <c r="R1738" s="3">
        <v>0</v>
      </c>
      <c r="S1738" s="4">
        <v>0</v>
      </c>
      <c r="T1738" s="4">
        <v>42</v>
      </c>
      <c r="U1738" s="4">
        <v>82</v>
      </c>
      <c r="V1738" s="4">
        <f>IF(ISERROR(VLOOKUP($S$1738,'TAR FIN'!$A$1:$O$99,15,0)),0,VLOOKUP($S$1738,'TAR FIN'!$A$1:$O$99,15,0))</f>
        <v>0</v>
      </c>
      <c r="W1738" s="4">
        <f>IF(ISERROR(VLOOKUP($T$1738,'TAR FIN'!$A$1:$O$99,15,0)),0,VLOOKUP($T$1738,'TAR FIN'!$A$1:$O$99,15,0))</f>
        <v>1010.32</v>
      </c>
      <c r="X1738" s="4">
        <f>IF(ISERROR(VLOOKUP($U$1738,'TAR FIN'!$A$1:$O$99,15,0)),0,VLOOKUP($U$1738,'TAR FIN'!$A$1:$O$99,15,0))</f>
        <v>346.61</v>
      </c>
      <c r="Y1738" s="4"/>
      <c r="Z1738" s="4">
        <f ca="1">('TUSD BE'!$AM$56+'TUSD BF'!$AM$56+'TUSD CVA'!$AM$56)*1</f>
        <v>1178.1887517861644</v>
      </c>
      <c r="AA1738" s="4">
        <f>('TE BE'!$AA$38+'TE BF'!$AA$38+'TE CVA'!$AA$38)*1</f>
        <v>423.89652505413846</v>
      </c>
      <c r="AB1738" s="4">
        <f>$K$1738*$V$1738</f>
        <v>0</v>
      </c>
      <c r="AC1738" s="4">
        <f>$M$1738*$W$1738</f>
        <v>473.84008</v>
      </c>
      <c r="AD1738" s="4">
        <f>$O$1738*$X$1738</f>
        <v>162.56009</v>
      </c>
      <c r="AE1738" s="4">
        <f>$K$1738*$Y$1738</f>
        <v>0</v>
      </c>
      <c r="AF1738" s="4">
        <f ca="1">$M$1738*$Z$1738</f>
        <v>552.57052458771102</v>
      </c>
      <c r="AG1738" s="4">
        <f>$O$1738*$AA$1738</f>
        <v>198.80747025039094</v>
      </c>
    </row>
    <row r="1739" spans="1:33" ht="11.25" customHeight="1" x14ac:dyDescent="0.25">
      <c r="A1739" s="3" t="s">
        <v>21</v>
      </c>
      <c r="B1739" s="3" t="s">
        <v>39</v>
      </c>
      <c r="C1739" s="3" t="s">
        <v>37</v>
      </c>
      <c r="D1739" s="3" t="s">
        <v>40</v>
      </c>
      <c r="E1739" s="3" t="s">
        <v>25</v>
      </c>
      <c r="F1739" s="3" t="s">
        <v>25</v>
      </c>
      <c r="G1739" s="3" t="s">
        <v>25</v>
      </c>
      <c r="H1739" s="3" t="s">
        <v>36</v>
      </c>
      <c r="I1739" s="6">
        <v>44317</v>
      </c>
      <c r="J1739" s="4">
        <v>0</v>
      </c>
      <c r="K1739" s="4">
        <v>0</v>
      </c>
      <c r="L1739" s="4">
        <v>4.7960000000000003</v>
      </c>
      <c r="M1739" s="4">
        <v>4.7960000000000003</v>
      </c>
      <c r="N1739" s="4">
        <v>4.7960000000000003</v>
      </c>
      <c r="O1739" s="4">
        <v>4.7960000000000003</v>
      </c>
      <c r="P1739" s="4">
        <v>0</v>
      </c>
      <c r="Q1739" s="3" t="s">
        <v>26</v>
      </c>
      <c r="R1739" s="3">
        <v>0</v>
      </c>
      <c r="S1739" s="4">
        <v>0</v>
      </c>
      <c r="T1739" s="4">
        <v>44</v>
      </c>
      <c r="U1739" s="4">
        <v>84</v>
      </c>
      <c r="V1739" s="4">
        <f>IF(ISERROR(VLOOKUP($S$1739,'TAR FIN'!$A$1:$O$99,15,0)),0,VLOOKUP($S$1739,'TAR FIN'!$A$1:$O$99,15,0))</f>
        <v>0</v>
      </c>
      <c r="W1739" s="4">
        <f>IF(ISERROR(VLOOKUP($T$1739,'TAR FIN'!$A$1:$O$99,15,0)),0,VLOOKUP($T$1739,'TAR FIN'!$A$1:$O$99,15,0))</f>
        <v>304.7</v>
      </c>
      <c r="X1739" s="4">
        <f>IF(ISERROR(VLOOKUP($U$1739,'TAR FIN'!$A$1:$O$99,15,0)),0,VLOOKUP($U$1739,'TAR FIN'!$A$1:$O$99,15,0))</f>
        <v>219.97</v>
      </c>
      <c r="Y1739" s="4"/>
      <c r="Z1739" s="4">
        <f ca="1">('TUSD BE'!$AM$58+'TUSD BF'!$AM$58+'TUSD CVA'!$AM$58)*1</f>
        <v>361.43108304877717</v>
      </c>
      <c r="AA1739" s="4">
        <f>('TE BE'!$AA$40+'TE BF'!$AA$40+'TE CVA'!$AA$40)*1</f>
        <v>271.13910989737087</v>
      </c>
      <c r="AB1739" s="4">
        <f>$K$1739*$V$1739</f>
        <v>0</v>
      </c>
      <c r="AC1739" s="4">
        <f>$M$1739*$W$1739</f>
        <v>1461.3412000000001</v>
      </c>
      <c r="AD1739" s="4">
        <f>$O$1739*$X$1739</f>
        <v>1054.97612</v>
      </c>
      <c r="AE1739" s="4">
        <f>$K$1739*$Y$1739</f>
        <v>0</v>
      </c>
      <c r="AF1739" s="4">
        <f ca="1">$M$1739*$Z$1739</f>
        <v>1733.4234743019354</v>
      </c>
      <c r="AG1739" s="4">
        <f>$O$1739*$AA$1739</f>
        <v>1300.3831710677907</v>
      </c>
    </row>
    <row r="1740" spans="1:33" ht="11.25" customHeight="1" x14ac:dyDescent="0.25">
      <c r="A1740" s="3" t="s">
        <v>21</v>
      </c>
      <c r="B1740" s="3" t="s">
        <v>39</v>
      </c>
      <c r="C1740" s="3" t="s">
        <v>37</v>
      </c>
      <c r="D1740" s="3" t="s">
        <v>40</v>
      </c>
      <c r="E1740" s="3" t="s">
        <v>25</v>
      </c>
      <c r="F1740" s="3" t="s">
        <v>25</v>
      </c>
      <c r="G1740" s="3" t="s">
        <v>25</v>
      </c>
      <c r="H1740" s="3" t="s">
        <v>36</v>
      </c>
      <c r="I1740" s="6">
        <v>44348</v>
      </c>
      <c r="J1740" s="4">
        <v>0</v>
      </c>
      <c r="K1740" s="4">
        <v>0</v>
      </c>
      <c r="L1740" s="4">
        <v>5.032</v>
      </c>
      <c r="M1740" s="4">
        <v>5.032</v>
      </c>
      <c r="N1740" s="4">
        <v>5.032</v>
      </c>
      <c r="O1740" s="4">
        <v>5.032</v>
      </c>
      <c r="P1740" s="4">
        <v>0</v>
      </c>
      <c r="Q1740" s="3" t="s">
        <v>26</v>
      </c>
      <c r="R1740" s="3">
        <v>0</v>
      </c>
      <c r="S1740" s="4">
        <v>0</v>
      </c>
      <c r="T1740" s="4">
        <v>44</v>
      </c>
      <c r="U1740" s="4">
        <v>84</v>
      </c>
      <c r="V1740" s="4">
        <f>IF(ISERROR(VLOOKUP($S$1740,'TAR FIN'!$A$1:$O$99,15,0)),0,VLOOKUP($S$1740,'TAR FIN'!$A$1:$O$99,15,0))</f>
        <v>0</v>
      </c>
      <c r="W1740" s="4">
        <f>IF(ISERROR(VLOOKUP($T$1740,'TAR FIN'!$A$1:$O$99,15,0)),0,VLOOKUP($T$1740,'TAR FIN'!$A$1:$O$99,15,0))</f>
        <v>304.7</v>
      </c>
      <c r="X1740" s="4">
        <f>IF(ISERROR(VLOOKUP($U$1740,'TAR FIN'!$A$1:$O$99,15,0)),0,VLOOKUP($U$1740,'TAR FIN'!$A$1:$O$99,15,0))</f>
        <v>219.97</v>
      </c>
      <c r="Y1740" s="4"/>
      <c r="Z1740" s="4">
        <f ca="1">('TUSD BE'!$AM$58+'TUSD BF'!$AM$58+'TUSD CVA'!$AM$58)*1</f>
        <v>361.43108304877717</v>
      </c>
      <c r="AA1740" s="4">
        <f>('TE BE'!$AA$40+'TE BF'!$AA$40+'TE CVA'!$AA$40)*1</f>
        <v>271.13910989737087</v>
      </c>
      <c r="AB1740" s="4">
        <f>$K$1740*$V$1740</f>
        <v>0</v>
      </c>
      <c r="AC1740" s="4">
        <f>$M$1740*$W$1740</f>
        <v>1533.2503999999999</v>
      </c>
      <c r="AD1740" s="4">
        <f>$O$1740*$X$1740</f>
        <v>1106.88904</v>
      </c>
      <c r="AE1740" s="4">
        <f>$K$1740*$Y$1740</f>
        <v>0</v>
      </c>
      <c r="AF1740" s="4">
        <f ca="1">$M$1740*$Z$1740</f>
        <v>1818.7212099014466</v>
      </c>
      <c r="AG1740" s="4">
        <f>$O$1740*$AA$1740</f>
        <v>1364.3720010035702</v>
      </c>
    </row>
    <row r="1741" spans="1:33" ht="11.25" customHeight="1" x14ac:dyDescent="0.25">
      <c r="A1741" s="3" t="s">
        <v>21</v>
      </c>
      <c r="B1741" s="3" t="s">
        <v>39</v>
      </c>
      <c r="C1741" s="3" t="s">
        <v>37</v>
      </c>
      <c r="D1741" s="3" t="s">
        <v>40</v>
      </c>
      <c r="E1741" s="3" t="s">
        <v>25</v>
      </c>
      <c r="F1741" s="3" t="s">
        <v>25</v>
      </c>
      <c r="G1741" s="3" t="s">
        <v>25</v>
      </c>
      <c r="H1741" s="3" t="s">
        <v>36</v>
      </c>
      <c r="I1741" s="6">
        <v>44378</v>
      </c>
      <c r="J1741" s="4">
        <v>0</v>
      </c>
      <c r="K1741" s="4">
        <v>0</v>
      </c>
      <c r="L1741" s="4">
        <v>4.6959999999999997</v>
      </c>
      <c r="M1741" s="4">
        <v>4.6959999999999997</v>
      </c>
      <c r="N1741" s="4">
        <v>4.6959999999999997</v>
      </c>
      <c r="O1741" s="4">
        <v>4.6959999999999997</v>
      </c>
      <c r="P1741" s="4">
        <v>0</v>
      </c>
      <c r="Q1741" s="3" t="s">
        <v>26</v>
      </c>
      <c r="R1741" s="3">
        <v>0</v>
      </c>
      <c r="S1741" s="4">
        <v>0</v>
      </c>
      <c r="T1741" s="4">
        <v>44</v>
      </c>
      <c r="U1741" s="4">
        <v>84</v>
      </c>
      <c r="V1741" s="4">
        <f>IF(ISERROR(VLOOKUP($S$1741,'TAR FIN'!$A$1:$O$99,15,0)),0,VLOOKUP($S$1741,'TAR FIN'!$A$1:$O$99,15,0))</f>
        <v>0</v>
      </c>
      <c r="W1741" s="4">
        <f>IF(ISERROR(VLOOKUP($T$1741,'TAR FIN'!$A$1:$O$99,15,0)),0,VLOOKUP($T$1741,'TAR FIN'!$A$1:$O$99,15,0))</f>
        <v>304.7</v>
      </c>
      <c r="X1741" s="4">
        <f>IF(ISERROR(VLOOKUP($U$1741,'TAR FIN'!$A$1:$O$99,15,0)),0,VLOOKUP($U$1741,'TAR FIN'!$A$1:$O$99,15,0))</f>
        <v>219.97</v>
      </c>
      <c r="Y1741" s="4"/>
      <c r="Z1741" s="4">
        <f ca="1">('TUSD BE'!$AM$58+'TUSD BF'!$AM$58+'TUSD CVA'!$AM$58)*1</f>
        <v>361.43108304877717</v>
      </c>
      <c r="AA1741" s="4">
        <f>('TE BE'!$AA$40+'TE BF'!$AA$40+'TE CVA'!$AA$40)*1</f>
        <v>271.13910989737087</v>
      </c>
      <c r="AB1741" s="4">
        <f>$K$1741*$V$1741</f>
        <v>0</v>
      </c>
      <c r="AC1741" s="4">
        <f>$M$1741*$W$1741</f>
        <v>1430.8711999999998</v>
      </c>
      <c r="AD1741" s="4">
        <f>$O$1741*$X$1741</f>
        <v>1032.97912</v>
      </c>
      <c r="AE1741" s="4">
        <f>$K$1741*$Y$1741</f>
        <v>0</v>
      </c>
      <c r="AF1741" s="4">
        <f ca="1">$M$1741*$Z$1741</f>
        <v>1697.2803659970575</v>
      </c>
      <c r="AG1741" s="4">
        <f>$O$1741*$AA$1741</f>
        <v>1273.2692600780535</v>
      </c>
    </row>
    <row r="1742" spans="1:33" ht="11.25" customHeight="1" x14ac:dyDescent="0.25">
      <c r="A1742" s="3" t="s">
        <v>21</v>
      </c>
      <c r="B1742" s="3" t="s">
        <v>39</v>
      </c>
      <c r="C1742" s="3" t="s">
        <v>37</v>
      </c>
      <c r="D1742" s="3" t="s">
        <v>40</v>
      </c>
      <c r="E1742" s="3" t="s">
        <v>25</v>
      </c>
      <c r="F1742" s="3" t="s">
        <v>25</v>
      </c>
      <c r="G1742" s="3" t="s">
        <v>25</v>
      </c>
      <c r="H1742" s="3" t="s">
        <v>36</v>
      </c>
      <c r="I1742" s="6">
        <v>44409</v>
      </c>
      <c r="J1742" s="4">
        <v>0</v>
      </c>
      <c r="K1742" s="4">
        <v>0</v>
      </c>
      <c r="L1742" s="4">
        <v>4.7809999999999997</v>
      </c>
      <c r="M1742" s="4">
        <v>4.7809999999999997</v>
      </c>
      <c r="N1742" s="4">
        <v>4.7809999999999997</v>
      </c>
      <c r="O1742" s="4">
        <v>4.7809999999999997</v>
      </c>
      <c r="P1742" s="4">
        <v>0</v>
      </c>
      <c r="Q1742" s="3" t="s">
        <v>26</v>
      </c>
      <c r="R1742" s="3">
        <v>0</v>
      </c>
      <c r="S1742" s="4">
        <v>0</v>
      </c>
      <c r="T1742" s="4">
        <v>44</v>
      </c>
      <c r="U1742" s="4">
        <v>84</v>
      </c>
      <c r="V1742" s="4">
        <f>IF(ISERROR(VLOOKUP($S$1742,'TAR FIN'!$A$1:$O$99,15,0)),0,VLOOKUP($S$1742,'TAR FIN'!$A$1:$O$99,15,0))</f>
        <v>0</v>
      </c>
      <c r="W1742" s="4">
        <f>IF(ISERROR(VLOOKUP($T$1742,'TAR FIN'!$A$1:$O$99,15,0)),0,VLOOKUP($T$1742,'TAR FIN'!$A$1:$O$99,15,0))</f>
        <v>304.7</v>
      </c>
      <c r="X1742" s="4">
        <f>IF(ISERROR(VLOOKUP($U$1742,'TAR FIN'!$A$1:$O$99,15,0)),0,VLOOKUP($U$1742,'TAR FIN'!$A$1:$O$99,15,0))</f>
        <v>219.97</v>
      </c>
      <c r="Y1742" s="4"/>
      <c r="Z1742" s="4">
        <f ca="1">('TUSD BE'!$AM$58+'TUSD BF'!$AM$58+'TUSD CVA'!$AM$58)*1</f>
        <v>361.43108304877717</v>
      </c>
      <c r="AA1742" s="4">
        <f>('TE BE'!$AA$40+'TE BF'!$AA$40+'TE CVA'!$AA$40)*1</f>
        <v>271.13910989737087</v>
      </c>
      <c r="AB1742" s="4">
        <f>$K$1742*$V$1742</f>
        <v>0</v>
      </c>
      <c r="AC1742" s="4">
        <f>$M$1742*$W$1742</f>
        <v>1456.7706999999998</v>
      </c>
      <c r="AD1742" s="4">
        <f>$O$1742*$X$1742</f>
        <v>1051.6765699999999</v>
      </c>
      <c r="AE1742" s="4">
        <f>$K$1742*$Y$1742</f>
        <v>0</v>
      </c>
      <c r="AF1742" s="4">
        <f ca="1">$M$1742*$Z$1742</f>
        <v>1728.0020080562035</v>
      </c>
      <c r="AG1742" s="4">
        <f>$O$1742*$AA$1742</f>
        <v>1296.3160844193301</v>
      </c>
    </row>
    <row r="1743" spans="1:33" ht="11.25" customHeight="1" x14ac:dyDescent="0.25">
      <c r="A1743" s="3" t="s">
        <v>21</v>
      </c>
      <c r="B1743" s="3" t="s">
        <v>39</v>
      </c>
      <c r="C1743" s="3" t="s">
        <v>37</v>
      </c>
      <c r="D1743" s="3" t="s">
        <v>40</v>
      </c>
      <c r="E1743" s="3" t="s">
        <v>25</v>
      </c>
      <c r="F1743" s="3" t="s">
        <v>25</v>
      </c>
      <c r="G1743" s="3" t="s">
        <v>25</v>
      </c>
      <c r="H1743" s="3" t="s">
        <v>36</v>
      </c>
      <c r="I1743" s="6">
        <v>44440</v>
      </c>
      <c r="J1743" s="4">
        <v>0</v>
      </c>
      <c r="K1743" s="4">
        <v>0</v>
      </c>
      <c r="L1743" s="4">
        <v>5.1029999999999998</v>
      </c>
      <c r="M1743" s="4">
        <v>5.1029999999999998</v>
      </c>
      <c r="N1743" s="4">
        <v>5.1029999999999998</v>
      </c>
      <c r="O1743" s="4">
        <v>5.1029999999999998</v>
      </c>
      <c r="P1743" s="4">
        <v>0</v>
      </c>
      <c r="Q1743" s="3" t="s">
        <v>26</v>
      </c>
      <c r="R1743" s="3">
        <v>0</v>
      </c>
      <c r="S1743" s="4">
        <v>0</v>
      </c>
      <c r="T1743" s="4">
        <v>44</v>
      </c>
      <c r="U1743" s="4">
        <v>84</v>
      </c>
      <c r="V1743" s="4">
        <f>IF(ISERROR(VLOOKUP($S$1743,'TAR FIN'!$A$1:$O$99,15,0)),0,VLOOKUP($S$1743,'TAR FIN'!$A$1:$O$99,15,0))</f>
        <v>0</v>
      </c>
      <c r="W1743" s="4">
        <f>IF(ISERROR(VLOOKUP($T$1743,'TAR FIN'!$A$1:$O$99,15,0)),0,VLOOKUP($T$1743,'TAR FIN'!$A$1:$O$99,15,0))</f>
        <v>304.7</v>
      </c>
      <c r="X1743" s="4">
        <f>IF(ISERROR(VLOOKUP($U$1743,'TAR FIN'!$A$1:$O$99,15,0)),0,VLOOKUP($U$1743,'TAR FIN'!$A$1:$O$99,15,0))</f>
        <v>219.97</v>
      </c>
      <c r="Y1743" s="4"/>
      <c r="Z1743" s="4">
        <f ca="1">('TUSD BE'!$AM$58+'TUSD BF'!$AM$58+'TUSD CVA'!$AM$58)*1</f>
        <v>361.43108304877717</v>
      </c>
      <c r="AA1743" s="4">
        <f>('TE BE'!$AA$40+'TE BF'!$AA$40+'TE CVA'!$AA$40)*1</f>
        <v>271.13910989737087</v>
      </c>
      <c r="AB1743" s="4">
        <f>$K$1743*$V$1743</f>
        <v>0</v>
      </c>
      <c r="AC1743" s="4">
        <f>$M$1743*$W$1743</f>
        <v>1554.8840999999998</v>
      </c>
      <c r="AD1743" s="4">
        <f>$O$1743*$X$1743</f>
        <v>1122.5069099999998</v>
      </c>
      <c r="AE1743" s="4">
        <f>$K$1743*$Y$1743</f>
        <v>0</v>
      </c>
      <c r="AF1743" s="4">
        <f ca="1">$M$1743*$Z$1743</f>
        <v>1844.3828167979098</v>
      </c>
      <c r="AG1743" s="4">
        <f>$O$1743*$AA$1743</f>
        <v>1383.6228778062834</v>
      </c>
    </row>
    <row r="1744" spans="1:33" ht="11.25" customHeight="1" x14ac:dyDescent="0.25">
      <c r="A1744" s="3" t="s">
        <v>21</v>
      </c>
      <c r="B1744" s="3" t="s">
        <v>39</v>
      </c>
      <c r="C1744" s="3" t="s">
        <v>37</v>
      </c>
      <c r="D1744" s="3" t="s">
        <v>40</v>
      </c>
      <c r="E1744" s="3" t="s">
        <v>25</v>
      </c>
      <c r="F1744" s="3" t="s">
        <v>25</v>
      </c>
      <c r="G1744" s="3" t="s">
        <v>25</v>
      </c>
      <c r="H1744" s="3" t="s">
        <v>36</v>
      </c>
      <c r="I1744" s="6">
        <v>44470</v>
      </c>
      <c r="J1744" s="4">
        <v>0</v>
      </c>
      <c r="K1744" s="4">
        <v>0</v>
      </c>
      <c r="L1744" s="4">
        <v>5.16</v>
      </c>
      <c r="M1744" s="4">
        <v>5.16</v>
      </c>
      <c r="N1744" s="4">
        <v>5.16</v>
      </c>
      <c r="O1744" s="4">
        <v>5.16</v>
      </c>
      <c r="P1744" s="4">
        <v>0</v>
      </c>
      <c r="Q1744" s="3" t="s">
        <v>26</v>
      </c>
      <c r="R1744" s="3">
        <v>0</v>
      </c>
      <c r="S1744" s="4">
        <v>0</v>
      </c>
      <c r="T1744" s="4">
        <v>44</v>
      </c>
      <c r="U1744" s="4">
        <v>84</v>
      </c>
      <c r="V1744" s="4">
        <f>IF(ISERROR(VLOOKUP($S$1744,'TAR FIN'!$A$1:$O$99,15,0)),0,VLOOKUP($S$1744,'TAR FIN'!$A$1:$O$99,15,0))</f>
        <v>0</v>
      </c>
      <c r="W1744" s="4">
        <f>IF(ISERROR(VLOOKUP($T$1744,'TAR FIN'!$A$1:$O$99,15,0)),0,VLOOKUP($T$1744,'TAR FIN'!$A$1:$O$99,15,0))</f>
        <v>304.7</v>
      </c>
      <c r="X1744" s="4">
        <f>IF(ISERROR(VLOOKUP($U$1744,'TAR FIN'!$A$1:$O$99,15,0)),0,VLOOKUP($U$1744,'TAR FIN'!$A$1:$O$99,15,0))</f>
        <v>219.97</v>
      </c>
      <c r="Y1744" s="4"/>
      <c r="Z1744" s="4">
        <f ca="1">('TUSD BE'!$AM$58+'TUSD BF'!$AM$58+'TUSD CVA'!$AM$58)*1</f>
        <v>361.43108304877717</v>
      </c>
      <c r="AA1744" s="4">
        <f>('TE BE'!$AA$40+'TE BF'!$AA$40+'TE CVA'!$AA$40)*1</f>
        <v>271.13910989737087</v>
      </c>
      <c r="AB1744" s="4">
        <f>$K$1744*$V$1744</f>
        <v>0</v>
      </c>
      <c r="AC1744" s="4">
        <f>$M$1744*$W$1744</f>
        <v>1572.252</v>
      </c>
      <c r="AD1744" s="4">
        <f>$O$1744*$X$1744</f>
        <v>1135.0452</v>
      </c>
      <c r="AE1744" s="4">
        <f>$K$1744*$Y$1744</f>
        <v>0</v>
      </c>
      <c r="AF1744" s="4">
        <f ca="1">$M$1744*$Z$1744</f>
        <v>1864.9843885316902</v>
      </c>
      <c r="AG1744" s="4">
        <f>$O$1744*$AA$1744</f>
        <v>1399.0778070704337</v>
      </c>
    </row>
    <row r="1745" spans="1:33" ht="11.25" customHeight="1" x14ac:dyDescent="0.25">
      <c r="A1745" s="3" t="s">
        <v>21</v>
      </c>
      <c r="B1745" s="3" t="s">
        <v>39</v>
      </c>
      <c r="C1745" s="3" t="s">
        <v>37</v>
      </c>
      <c r="D1745" s="3" t="s">
        <v>40</v>
      </c>
      <c r="E1745" s="3" t="s">
        <v>25</v>
      </c>
      <c r="F1745" s="3" t="s">
        <v>25</v>
      </c>
      <c r="G1745" s="3" t="s">
        <v>25</v>
      </c>
      <c r="H1745" s="3" t="s">
        <v>36</v>
      </c>
      <c r="I1745" s="6">
        <v>44501</v>
      </c>
      <c r="J1745" s="4">
        <v>0</v>
      </c>
      <c r="K1745" s="4">
        <v>0</v>
      </c>
      <c r="L1745" s="4">
        <v>5.3239999999999998</v>
      </c>
      <c r="M1745" s="4">
        <v>5.3239999999999998</v>
      </c>
      <c r="N1745" s="4">
        <v>5.3239999999999998</v>
      </c>
      <c r="O1745" s="4">
        <v>5.3239999999999998</v>
      </c>
      <c r="P1745" s="4">
        <v>0</v>
      </c>
      <c r="Q1745" s="3" t="s">
        <v>26</v>
      </c>
      <c r="R1745" s="3">
        <v>0</v>
      </c>
      <c r="S1745" s="4">
        <v>0</v>
      </c>
      <c r="T1745" s="4">
        <v>44</v>
      </c>
      <c r="U1745" s="4">
        <v>84</v>
      </c>
      <c r="V1745" s="4">
        <f>IF(ISERROR(VLOOKUP($S$1745,'TAR FIN'!$A$1:$O$99,15,0)),0,VLOOKUP($S$1745,'TAR FIN'!$A$1:$O$99,15,0))</f>
        <v>0</v>
      </c>
      <c r="W1745" s="4">
        <f>IF(ISERROR(VLOOKUP($T$1745,'TAR FIN'!$A$1:$O$99,15,0)),0,VLOOKUP($T$1745,'TAR FIN'!$A$1:$O$99,15,0))</f>
        <v>304.7</v>
      </c>
      <c r="X1745" s="4">
        <f>IF(ISERROR(VLOOKUP($U$1745,'TAR FIN'!$A$1:$O$99,15,0)),0,VLOOKUP($U$1745,'TAR FIN'!$A$1:$O$99,15,0))</f>
        <v>219.97</v>
      </c>
      <c r="Y1745" s="4"/>
      <c r="Z1745" s="4">
        <f ca="1">('TUSD BE'!$AM$58+'TUSD BF'!$AM$58+'TUSD CVA'!$AM$58)*1</f>
        <v>361.43108304877717</v>
      </c>
      <c r="AA1745" s="4">
        <f>('TE BE'!$AA$40+'TE BF'!$AA$40+'TE CVA'!$AA$40)*1</f>
        <v>271.13910989737087</v>
      </c>
      <c r="AB1745" s="4">
        <f>$K$1745*$V$1745</f>
        <v>0</v>
      </c>
      <c r="AC1745" s="4">
        <f>$M$1745*$W$1745</f>
        <v>1622.2227999999998</v>
      </c>
      <c r="AD1745" s="4">
        <f>$O$1745*$X$1745</f>
        <v>1171.1202799999999</v>
      </c>
      <c r="AE1745" s="4">
        <f>$K$1745*$Y$1745</f>
        <v>0</v>
      </c>
      <c r="AF1745" s="4">
        <f ca="1">$M$1745*$Z$1745</f>
        <v>1924.2590861516896</v>
      </c>
      <c r="AG1745" s="4">
        <f>$O$1745*$AA$1745</f>
        <v>1443.5446210936025</v>
      </c>
    </row>
    <row r="1746" spans="1:33" ht="11.25" customHeight="1" x14ac:dyDescent="0.25">
      <c r="A1746" s="3" t="s">
        <v>21</v>
      </c>
      <c r="B1746" s="3" t="s">
        <v>39</v>
      </c>
      <c r="C1746" s="3" t="s">
        <v>37</v>
      </c>
      <c r="D1746" s="3" t="s">
        <v>40</v>
      </c>
      <c r="E1746" s="3" t="s">
        <v>25</v>
      </c>
      <c r="F1746" s="3" t="s">
        <v>25</v>
      </c>
      <c r="G1746" s="3" t="s">
        <v>25</v>
      </c>
      <c r="H1746" s="3" t="s">
        <v>36</v>
      </c>
      <c r="I1746" s="6">
        <v>44531</v>
      </c>
      <c r="J1746" s="4">
        <v>0</v>
      </c>
      <c r="K1746" s="4">
        <v>0</v>
      </c>
      <c r="L1746" s="4">
        <v>5.0250000000000004</v>
      </c>
      <c r="M1746" s="4">
        <v>5.0250000000000004</v>
      </c>
      <c r="N1746" s="4">
        <v>5.0250000000000004</v>
      </c>
      <c r="O1746" s="4">
        <v>5.0250000000000004</v>
      </c>
      <c r="P1746" s="4">
        <v>0</v>
      </c>
      <c r="Q1746" s="3" t="s">
        <v>26</v>
      </c>
      <c r="R1746" s="3">
        <v>0</v>
      </c>
      <c r="S1746" s="4">
        <v>0</v>
      </c>
      <c r="T1746" s="4">
        <v>44</v>
      </c>
      <c r="U1746" s="4">
        <v>84</v>
      </c>
      <c r="V1746" s="4">
        <f>IF(ISERROR(VLOOKUP($S$1746,'TAR FIN'!$A$1:$O$99,15,0)),0,VLOOKUP($S$1746,'TAR FIN'!$A$1:$O$99,15,0))</f>
        <v>0</v>
      </c>
      <c r="W1746" s="4">
        <f>IF(ISERROR(VLOOKUP($T$1746,'TAR FIN'!$A$1:$O$99,15,0)),0,VLOOKUP($T$1746,'TAR FIN'!$A$1:$O$99,15,0))</f>
        <v>304.7</v>
      </c>
      <c r="X1746" s="4">
        <f>IF(ISERROR(VLOOKUP($U$1746,'TAR FIN'!$A$1:$O$99,15,0)),0,VLOOKUP($U$1746,'TAR FIN'!$A$1:$O$99,15,0))</f>
        <v>219.97</v>
      </c>
      <c r="Y1746" s="4"/>
      <c r="Z1746" s="4">
        <f ca="1">('TUSD BE'!$AM$58+'TUSD BF'!$AM$58+'TUSD CVA'!$AM$58)*1</f>
        <v>361.43108304877717</v>
      </c>
      <c r="AA1746" s="4">
        <f>('TE BE'!$AA$40+'TE BF'!$AA$40+'TE CVA'!$AA$40)*1</f>
        <v>271.13910989737087</v>
      </c>
      <c r="AB1746" s="4">
        <f>$K$1746*$V$1746</f>
        <v>0</v>
      </c>
      <c r="AC1746" s="4">
        <f>$M$1746*$W$1746</f>
        <v>1531.1175000000001</v>
      </c>
      <c r="AD1746" s="4">
        <f>$O$1746*$X$1746</f>
        <v>1105.34925</v>
      </c>
      <c r="AE1746" s="4">
        <f>$K$1746*$Y$1746</f>
        <v>0</v>
      </c>
      <c r="AF1746" s="4">
        <f ca="1">$M$1746*$Z$1746</f>
        <v>1816.1911923201053</v>
      </c>
      <c r="AG1746" s="4">
        <f>$O$1746*$AA$1746</f>
        <v>1362.4740272342888</v>
      </c>
    </row>
    <row r="1747" spans="1:33" ht="11.25" customHeight="1" x14ac:dyDescent="0.25">
      <c r="A1747" s="3" t="s">
        <v>21</v>
      </c>
      <c r="B1747" s="3" t="s">
        <v>39</v>
      </c>
      <c r="C1747" s="3" t="s">
        <v>37</v>
      </c>
      <c r="D1747" s="3" t="s">
        <v>40</v>
      </c>
      <c r="E1747" s="3" t="s">
        <v>25</v>
      </c>
      <c r="F1747" s="3" t="s">
        <v>25</v>
      </c>
      <c r="G1747" s="3" t="s">
        <v>25</v>
      </c>
      <c r="H1747" s="3" t="s">
        <v>36</v>
      </c>
      <c r="I1747" s="6">
        <v>44562</v>
      </c>
      <c r="J1747" s="4">
        <v>0</v>
      </c>
      <c r="K1747" s="4">
        <v>0</v>
      </c>
      <c r="L1747" s="4">
        <v>4.7859999999999996</v>
      </c>
      <c r="M1747" s="4">
        <v>4.7859999999999996</v>
      </c>
      <c r="N1747" s="4">
        <v>4.7859999999999996</v>
      </c>
      <c r="O1747" s="4">
        <v>4.7859999999999996</v>
      </c>
      <c r="P1747" s="4">
        <v>0</v>
      </c>
      <c r="Q1747" s="3" t="s">
        <v>26</v>
      </c>
      <c r="R1747" s="3">
        <v>0</v>
      </c>
      <c r="S1747" s="4">
        <v>0</v>
      </c>
      <c r="T1747" s="4">
        <v>44</v>
      </c>
      <c r="U1747" s="4">
        <v>84</v>
      </c>
      <c r="V1747" s="4">
        <f>IF(ISERROR(VLOOKUP($S$1747,'TAR FIN'!$A$1:$O$99,15,0)),0,VLOOKUP($S$1747,'TAR FIN'!$A$1:$O$99,15,0))</f>
        <v>0</v>
      </c>
      <c r="W1747" s="4">
        <f>IF(ISERROR(VLOOKUP($T$1747,'TAR FIN'!$A$1:$O$99,15,0)),0,VLOOKUP($T$1747,'TAR FIN'!$A$1:$O$99,15,0))</f>
        <v>304.7</v>
      </c>
      <c r="X1747" s="4">
        <f>IF(ISERROR(VLOOKUP($U$1747,'TAR FIN'!$A$1:$O$99,15,0)),0,VLOOKUP($U$1747,'TAR FIN'!$A$1:$O$99,15,0))</f>
        <v>219.97</v>
      </c>
      <c r="Y1747" s="4"/>
      <c r="Z1747" s="4">
        <f ca="1">('TUSD BE'!$AM$58+'TUSD BF'!$AM$58+'TUSD CVA'!$AM$58)*1</f>
        <v>361.43108304877717</v>
      </c>
      <c r="AA1747" s="4">
        <f>('TE BE'!$AA$40+'TE BF'!$AA$40+'TE CVA'!$AA$40)*1</f>
        <v>271.13910989737087</v>
      </c>
      <c r="AB1747" s="4">
        <f>$K$1747*$V$1747</f>
        <v>0</v>
      </c>
      <c r="AC1747" s="4">
        <f>$M$1747*$W$1747</f>
        <v>1458.2941999999998</v>
      </c>
      <c r="AD1747" s="4">
        <f>$O$1747*$X$1747</f>
        <v>1052.7764199999999</v>
      </c>
      <c r="AE1747" s="4">
        <f>$K$1747*$Y$1747</f>
        <v>0</v>
      </c>
      <c r="AF1747" s="4">
        <f ca="1">$M$1747*$Z$1747</f>
        <v>1729.8091634714474</v>
      </c>
      <c r="AG1747" s="4">
        <f>$O$1747*$AA$1747</f>
        <v>1297.671779968817</v>
      </c>
    </row>
    <row r="1748" spans="1:33" ht="11.25" customHeight="1" x14ac:dyDescent="0.25">
      <c r="A1748" s="3" t="s">
        <v>21</v>
      </c>
      <c r="B1748" s="3" t="s">
        <v>39</v>
      </c>
      <c r="C1748" s="3" t="s">
        <v>37</v>
      </c>
      <c r="D1748" s="3" t="s">
        <v>40</v>
      </c>
      <c r="E1748" s="3" t="s">
        <v>25</v>
      </c>
      <c r="F1748" s="3" t="s">
        <v>25</v>
      </c>
      <c r="G1748" s="3" t="s">
        <v>25</v>
      </c>
      <c r="H1748" s="3" t="s">
        <v>36</v>
      </c>
      <c r="I1748" s="6">
        <v>44593</v>
      </c>
      <c r="J1748" s="4">
        <v>0</v>
      </c>
      <c r="K1748" s="4">
        <v>0</v>
      </c>
      <c r="L1748" s="4">
        <v>4.6509999999999998</v>
      </c>
      <c r="M1748" s="4">
        <v>4.6509999999999998</v>
      </c>
      <c r="N1748" s="4">
        <v>4.6509999999999998</v>
      </c>
      <c r="O1748" s="4">
        <v>4.6509999999999998</v>
      </c>
      <c r="P1748" s="4">
        <v>0</v>
      </c>
      <c r="Q1748" s="3" t="s">
        <v>26</v>
      </c>
      <c r="R1748" s="3">
        <v>0</v>
      </c>
      <c r="S1748" s="4">
        <v>0</v>
      </c>
      <c r="T1748" s="4">
        <v>44</v>
      </c>
      <c r="U1748" s="4">
        <v>84</v>
      </c>
      <c r="V1748" s="4">
        <f>IF(ISERROR(VLOOKUP($S$1748,'TAR FIN'!$A$1:$O$99,15,0)),0,VLOOKUP($S$1748,'TAR FIN'!$A$1:$O$99,15,0))</f>
        <v>0</v>
      </c>
      <c r="W1748" s="4">
        <f>IF(ISERROR(VLOOKUP($T$1748,'TAR FIN'!$A$1:$O$99,15,0)),0,VLOOKUP($T$1748,'TAR FIN'!$A$1:$O$99,15,0))</f>
        <v>304.7</v>
      </c>
      <c r="X1748" s="4">
        <f>IF(ISERROR(VLOOKUP($U$1748,'TAR FIN'!$A$1:$O$99,15,0)),0,VLOOKUP($U$1748,'TAR FIN'!$A$1:$O$99,15,0))</f>
        <v>219.97</v>
      </c>
      <c r="Y1748" s="4"/>
      <c r="Z1748" s="4">
        <f ca="1">('TUSD BE'!$AM$58+'TUSD BF'!$AM$58+'TUSD CVA'!$AM$58)*1</f>
        <v>361.43108304877717</v>
      </c>
      <c r="AA1748" s="4">
        <f>('TE BE'!$AA$40+'TE BF'!$AA$40+'TE CVA'!$AA$40)*1</f>
        <v>271.13910989737087</v>
      </c>
      <c r="AB1748" s="4">
        <f>$K$1748*$V$1748</f>
        <v>0</v>
      </c>
      <c r="AC1748" s="4">
        <f>$M$1748*$W$1748</f>
        <v>1417.1596999999999</v>
      </c>
      <c r="AD1748" s="4">
        <f>$O$1748*$X$1748</f>
        <v>1023.08047</v>
      </c>
      <c r="AE1748" s="4">
        <f>$K$1748*$Y$1748</f>
        <v>0</v>
      </c>
      <c r="AF1748" s="4">
        <f ca="1">$M$1748*$Z$1748</f>
        <v>1681.0159672598625</v>
      </c>
      <c r="AG1748" s="4">
        <f>$O$1748*$AA$1748</f>
        <v>1261.0680001326718</v>
      </c>
    </row>
    <row r="1749" spans="1:33" ht="11.25" customHeight="1" x14ac:dyDescent="0.25">
      <c r="A1749" s="3" t="s">
        <v>21</v>
      </c>
      <c r="B1749" s="3" t="s">
        <v>39</v>
      </c>
      <c r="C1749" s="3" t="s">
        <v>37</v>
      </c>
      <c r="D1749" s="3" t="s">
        <v>40</v>
      </c>
      <c r="E1749" s="3" t="s">
        <v>25</v>
      </c>
      <c r="F1749" s="3" t="s">
        <v>25</v>
      </c>
      <c r="G1749" s="3" t="s">
        <v>25</v>
      </c>
      <c r="H1749" s="3" t="s">
        <v>36</v>
      </c>
      <c r="I1749" s="6">
        <v>44621</v>
      </c>
      <c r="J1749" s="4">
        <v>0</v>
      </c>
      <c r="K1749" s="4">
        <v>0</v>
      </c>
      <c r="L1749" s="4">
        <v>5.101</v>
      </c>
      <c r="M1749" s="4">
        <v>5.101</v>
      </c>
      <c r="N1749" s="4">
        <v>5.101</v>
      </c>
      <c r="O1749" s="4">
        <v>5.101</v>
      </c>
      <c r="P1749" s="4">
        <v>0</v>
      </c>
      <c r="Q1749" s="3" t="s">
        <v>26</v>
      </c>
      <c r="R1749" s="3">
        <v>0</v>
      </c>
      <c r="S1749" s="4">
        <v>0</v>
      </c>
      <c r="T1749" s="4">
        <v>44</v>
      </c>
      <c r="U1749" s="4">
        <v>84</v>
      </c>
      <c r="V1749" s="4">
        <f>IF(ISERROR(VLOOKUP($S$1749,'TAR FIN'!$A$1:$O$99,15,0)),0,VLOOKUP($S$1749,'TAR FIN'!$A$1:$O$99,15,0))</f>
        <v>0</v>
      </c>
      <c r="W1749" s="4">
        <f>IF(ISERROR(VLOOKUP($T$1749,'TAR FIN'!$A$1:$O$99,15,0)),0,VLOOKUP($T$1749,'TAR FIN'!$A$1:$O$99,15,0))</f>
        <v>304.7</v>
      </c>
      <c r="X1749" s="4">
        <f>IF(ISERROR(VLOOKUP($U$1749,'TAR FIN'!$A$1:$O$99,15,0)),0,VLOOKUP($U$1749,'TAR FIN'!$A$1:$O$99,15,0))</f>
        <v>219.97</v>
      </c>
      <c r="Y1749" s="4"/>
      <c r="Z1749" s="4">
        <f ca="1">('TUSD BE'!$AM$58+'TUSD BF'!$AM$58+'TUSD CVA'!$AM$58)*1</f>
        <v>361.43108304877717</v>
      </c>
      <c r="AA1749" s="4">
        <f>('TE BE'!$AA$40+'TE BF'!$AA$40+'TE CVA'!$AA$40)*1</f>
        <v>271.13910989737087</v>
      </c>
      <c r="AB1749" s="4">
        <f>$K$1749*$V$1749</f>
        <v>0</v>
      </c>
      <c r="AC1749" s="4">
        <f>$M$1749*$W$1749</f>
        <v>1554.2746999999999</v>
      </c>
      <c r="AD1749" s="4">
        <f>$O$1749*$X$1749</f>
        <v>1122.0669700000001</v>
      </c>
      <c r="AE1749" s="4">
        <f>$K$1749*$Y$1749</f>
        <v>0</v>
      </c>
      <c r="AF1749" s="4">
        <f ca="1">$M$1749*$Z$1749</f>
        <v>1843.6599546318123</v>
      </c>
      <c r="AG1749" s="4">
        <f>$O$1749*$AA$1749</f>
        <v>1383.0805995864889</v>
      </c>
    </row>
    <row r="1750" spans="1:33" ht="11.25" customHeight="1" x14ac:dyDescent="0.25">
      <c r="A1750" s="3" t="s">
        <v>56</v>
      </c>
      <c r="B1750" s="3" t="s">
        <v>39</v>
      </c>
      <c r="C1750" s="3" t="s">
        <v>37</v>
      </c>
      <c r="D1750" s="3" t="s">
        <v>40</v>
      </c>
      <c r="E1750" s="3" t="s">
        <v>25</v>
      </c>
      <c r="F1750" s="3" t="s">
        <v>25</v>
      </c>
      <c r="G1750" s="3" t="s">
        <v>25</v>
      </c>
      <c r="H1750" s="3" t="s">
        <v>36</v>
      </c>
      <c r="I1750" s="6">
        <v>44652</v>
      </c>
      <c r="J1750" s="4">
        <v>0</v>
      </c>
      <c r="K1750" s="4">
        <v>0</v>
      </c>
      <c r="L1750" s="4">
        <v>5.101</v>
      </c>
      <c r="M1750" s="4">
        <v>5.101</v>
      </c>
      <c r="N1750" s="4">
        <v>5.101</v>
      </c>
      <c r="O1750" s="4">
        <v>5.101</v>
      </c>
      <c r="P1750" s="4">
        <v>0</v>
      </c>
      <c r="Q1750" s="3" t="s">
        <v>26</v>
      </c>
      <c r="R1750" s="3">
        <v>0</v>
      </c>
      <c r="S1750" s="4">
        <v>0</v>
      </c>
      <c r="T1750" s="4">
        <v>44</v>
      </c>
      <c r="U1750" s="4">
        <v>84</v>
      </c>
      <c r="V1750" s="4">
        <f>IF(ISERROR(VLOOKUP($S$1750,'TAR FIN'!$A$1:$O$99,15,0)),0,VLOOKUP($S$1750,'TAR FIN'!$A$1:$O$99,15,0))</f>
        <v>0</v>
      </c>
      <c r="W1750" s="4">
        <f>IF(ISERROR(VLOOKUP($T$1750,'TAR FIN'!$A$1:$O$99,15,0)),0,VLOOKUP($T$1750,'TAR FIN'!$A$1:$O$99,15,0))</f>
        <v>304.7</v>
      </c>
      <c r="X1750" s="4">
        <f>IF(ISERROR(VLOOKUP($U$1750,'TAR FIN'!$A$1:$O$99,15,0)),0,VLOOKUP($U$1750,'TAR FIN'!$A$1:$O$99,15,0))</f>
        <v>219.97</v>
      </c>
      <c r="Y1750" s="4"/>
      <c r="Z1750" s="4">
        <f ca="1">('TUSD BE'!$AM$58+'TUSD BF'!$AM$58+'TUSD CVA'!$AM$58)*1</f>
        <v>361.43108304877717</v>
      </c>
      <c r="AA1750" s="4">
        <f>('TE BE'!$AA$40+'TE BF'!$AA$40+'TE CVA'!$AA$40)*1</f>
        <v>271.13910989737087</v>
      </c>
      <c r="AB1750" s="4">
        <f>$K$1750*$V$1750</f>
        <v>0</v>
      </c>
      <c r="AC1750" s="4">
        <f>$M$1750*$W$1750</f>
        <v>1554.2746999999999</v>
      </c>
      <c r="AD1750" s="4">
        <f>$O$1750*$X$1750</f>
        <v>1122.0669700000001</v>
      </c>
      <c r="AE1750" s="4">
        <f>$K$1750*$Y$1750</f>
        <v>0</v>
      </c>
      <c r="AF1750" s="4">
        <f ca="1">$M$1750*$Z$1750</f>
        <v>1843.6599546318123</v>
      </c>
      <c r="AG1750" s="4">
        <f>$O$1750*$AA$1750</f>
        <v>1383.0805995864889</v>
      </c>
    </row>
    <row r="1751" spans="1:33" ht="11.25" customHeight="1" x14ac:dyDescent="0.25">
      <c r="A1751" s="3" t="s">
        <v>21</v>
      </c>
      <c r="B1751" s="3" t="s">
        <v>39</v>
      </c>
      <c r="C1751" s="3" t="s">
        <v>37</v>
      </c>
      <c r="D1751" s="3" t="s">
        <v>40</v>
      </c>
      <c r="E1751" s="3" t="s">
        <v>25</v>
      </c>
      <c r="F1751" s="3" t="s">
        <v>25</v>
      </c>
      <c r="G1751" s="3" t="s">
        <v>25</v>
      </c>
      <c r="H1751" s="3" t="s">
        <v>38</v>
      </c>
      <c r="I1751" s="6">
        <v>44317</v>
      </c>
      <c r="J1751" s="4">
        <v>0</v>
      </c>
      <c r="K1751" s="4">
        <v>0</v>
      </c>
      <c r="L1751" s="4">
        <v>9.8000000000000004E-2</v>
      </c>
      <c r="M1751" s="4">
        <v>9.8000000000000004E-2</v>
      </c>
      <c r="N1751" s="4">
        <v>9.8000000000000004E-2</v>
      </c>
      <c r="O1751" s="4">
        <v>9.8000000000000004E-2</v>
      </c>
      <c r="P1751" s="4">
        <v>0</v>
      </c>
      <c r="Q1751" s="3" t="s">
        <v>26</v>
      </c>
      <c r="R1751" s="3">
        <v>0</v>
      </c>
      <c r="S1751" s="4">
        <v>0</v>
      </c>
      <c r="T1751" s="4">
        <v>43</v>
      </c>
      <c r="U1751" s="4">
        <v>83</v>
      </c>
      <c r="V1751" s="4">
        <f>IF(ISERROR(VLOOKUP($S$1751,'TAR FIN'!$A$1:$O$99,15,0)),0,VLOOKUP($S$1751,'TAR FIN'!$A$1:$O$99,15,0))</f>
        <v>0</v>
      </c>
      <c r="W1751" s="4">
        <f>IF(ISERROR(VLOOKUP($T$1751,'TAR FIN'!$A$1:$O$99,15,0)),0,VLOOKUP($T$1751,'TAR FIN'!$A$1:$O$99,15,0))</f>
        <v>657.51</v>
      </c>
      <c r="X1751" s="4">
        <f>IF(ISERROR(VLOOKUP($U$1751,'TAR FIN'!$A$1:$O$99,15,0)),0,VLOOKUP($U$1751,'TAR FIN'!$A$1:$O$99,15,0))</f>
        <v>219.97</v>
      </c>
      <c r="Y1751" s="4"/>
      <c r="Z1751" s="4">
        <f ca="1">('TUSD BE'!$AM$57+'TUSD BF'!$AM$57+'TUSD CVA'!$AM$57)*1</f>
        <v>769.81008209782362</v>
      </c>
      <c r="AA1751" s="4">
        <f>('TE BE'!$AA$39+'TE BF'!$AA$39+'TE CVA'!$AA$39)*1</f>
        <v>271.13910989737087</v>
      </c>
      <c r="AB1751" s="4">
        <f>$K$1751*$V$1751</f>
        <v>0</v>
      </c>
      <c r="AC1751" s="4">
        <f>$M$1751*$W$1751</f>
        <v>64.435980000000001</v>
      </c>
      <c r="AD1751" s="4">
        <f>$O$1751*$X$1751</f>
        <v>21.55706</v>
      </c>
      <c r="AE1751" s="4">
        <f>$K$1751*$Y$1751</f>
        <v>0</v>
      </c>
      <c r="AF1751" s="4">
        <f ca="1">$M$1751*$Z$1751</f>
        <v>75.44138804558672</v>
      </c>
      <c r="AG1751" s="4">
        <f>$O$1751*$AA$1751</f>
        <v>26.571632769942347</v>
      </c>
    </row>
    <row r="1752" spans="1:33" ht="11.25" customHeight="1" x14ac:dyDescent="0.25">
      <c r="A1752" s="3" t="s">
        <v>21</v>
      </c>
      <c r="B1752" s="3" t="s">
        <v>39</v>
      </c>
      <c r="C1752" s="3" t="s">
        <v>37</v>
      </c>
      <c r="D1752" s="3" t="s">
        <v>40</v>
      </c>
      <c r="E1752" s="3" t="s">
        <v>25</v>
      </c>
      <c r="F1752" s="3" t="s">
        <v>25</v>
      </c>
      <c r="G1752" s="3" t="s">
        <v>25</v>
      </c>
      <c r="H1752" s="3" t="s">
        <v>38</v>
      </c>
      <c r="I1752" s="6">
        <v>44348</v>
      </c>
      <c r="J1752" s="4">
        <v>0</v>
      </c>
      <c r="K1752" s="4">
        <v>0</v>
      </c>
      <c r="L1752" s="4">
        <v>9.2999999999999999E-2</v>
      </c>
      <c r="M1752" s="4">
        <v>9.2999999999999999E-2</v>
      </c>
      <c r="N1752" s="4">
        <v>9.2999999999999999E-2</v>
      </c>
      <c r="O1752" s="4">
        <v>9.2999999999999999E-2</v>
      </c>
      <c r="P1752" s="4">
        <v>0</v>
      </c>
      <c r="Q1752" s="3" t="s">
        <v>26</v>
      </c>
      <c r="R1752" s="3">
        <v>0</v>
      </c>
      <c r="S1752" s="4">
        <v>0</v>
      </c>
      <c r="T1752" s="4">
        <v>43</v>
      </c>
      <c r="U1752" s="4">
        <v>83</v>
      </c>
      <c r="V1752" s="4">
        <f>IF(ISERROR(VLOOKUP($S$1752,'TAR FIN'!$A$1:$O$99,15,0)),0,VLOOKUP($S$1752,'TAR FIN'!$A$1:$O$99,15,0))</f>
        <v>0</v>
      </c>
      <c r="W1752" s="4">
        <f>IF(ISERROR(VLOOKUP($T$1752,'TAR FIN'!$A$1:$O$99,15,0)),0,VLOOKUP($T$1752,'TAR FIN'!$A$1:$O$99,15,0))</f>
        <v>657.51</v>
      </c>
      <c r="X1752" s="4">
        <f>IF(ISERROR(VLOOKUP($U$1752,'TAR FIN'!$A$1:$O$99,15,0)),0,VLOOKUP($U$1752,'TAR FIN'!$A$1:$O$99,15,0))</f>
        <v>219.97</v>
      </c>
      <c r="Y1752" s="4"/>
      <c r="Z1752" s="4">
        <f ca="1">('TUSD BE'!$AM$57+'TUSD BF'!$AM$57+'TUSD CVA'!$AM$57)*1</f>
        <v>769.81008209782362</v>
      </c>
      <c r="AA1752" s="4">
        <f>('TE BE'!$AA$39+'TE BF'!$AA$39+'TE CVA'!$AA$39)*1</f>
        <v>271.13910989737087</v>
      </c>
      <c r="AB1752" s="4">
        <f>$K$1752*$V$1752</f>
        <v>0</v>
      </c>
      <c r="AC1752" s="4">
        <f>$M$1752*$W$1752</f>
        <v>61.148429999999998</v>
      </c>
      <c r="AD1752" s="4">
        <f>$O$1752*$X$1752</f>
        <v>20.45721</v>
      </c>
      <c r="AE1752" s="4">
        <f>$K$1752*$Y$1752</f>
        <v>0</v>
      </c>
      <c r="AF1752" s="4">
        <f ca="1">$M$1752*$Z$1752</f>
        <v>71.592337635097593</v>
      </c>
      <c r="AG1752" s="4">
        <f>$O$1752*$AA$1752</f>
        <v>25.215937220455491</v>
      </c>
    </row>
    <row r="1753" spans="1:33" ht="11.25" customHeight="1" x14ac:dyDescent="0.25">
      <c r="A1753" s="3" t="s">
        <v>21</v>
      </c>
      <c r="B1753" s="3" t="s">
        <v>39</v>
      </c>
      <c r="C1753" s="3" t="s">
        <v>37</v>
      </c>
      <c r="D1753" s="3" t="s">
        <v>40</v>
      </c>
      <c r="E1753" s="3" t="s">
        <v>25</v>
      </c>
      <c r="F1753" s="3" t="s">
        <v>25</v>
      </c>
      <c r="G1753" s="3" t="s">
        <v>25</v>
      </c>
      <c r="H1753" s="3" t="s">
        <v>38</v>
      </c>
      <c r="I1753" s="6">
        <v>44378</v>
      </c>
      <c r="J1753" s="4">
        <v>0</v>
      </c>
      <c r="K1753" s="4">
        <v>0</v>
      </c>
      <c r="L1753" s="4">
        <v>9.8000000000000004E-2</v>
      </c>
      <c r="M1753" s="4">
        <v>9.8000000000000004E-2</v>
      </c>
      <c r="N1753" s="4">
        <v>9.8000000000000004E-2</v>
      </c>
      <c r="O1753" s="4">
        <v>9.8000000000000004E-2</v>
      </c>
      <c r="P1753" s="4">
        <v>0</v>
      </c>
      <c r="Q1753" s="3" t="s">
        <v>26</v>
      </c>
      <c r="R1753" s="3">
        <v>0</v>
      </c>
      <c r="S1753" s="4">
        <v>0</v>
      </c>
      <c r="T1753" s="4">
        <v>43</v>
      </c>
      <c r="U1753" s="4">
        <v>83</v>
      </c>
      <c r="V1753" s="4">
        <f>IF(ISERROR(VLOOKUP($S$1753,'TAR FIN'!$A$1:$O$99,15,0)),0,VLOOKUP($S$1753,'TAR FIN'!$A$1:$O$99,15,0))</f>
        <v>0</v>
      </c>
      <c r="W1753" s="4">
        <f>IF(ISERROR(VLOOKUP($T$1753,'TAR FIN'!$A$1:$O$99,15,0)),0,VLOOKUP($T$1753,'TAR FIN'!$A$1:$O$99,15,0))</f>
        <v>657.51</v>
      </c>
      <c r="X1753" s="4">
        <f>IF(ISERROR(VLOOKUP($U$1753,'TAR FIN'!$A$1:$O$99,15,0)),0,VLOOKUP($U$1753,'TAR FIN'!$A$1:$O$99,15,0))</f>
        <v>219.97</v>
      </c>
      <c r="Y1753" s="4"/>
      <c r="Z1753" s="4">
        <f ca="1">('TUSD BE'!$AM$57+'TUSD BF'!$AM$57+'TUSD CVA'!$AM$57)*1</f>
        <v>769.81008209782362</v>
      </c>
      <c r="AA1753" s="4">
        <f>('TE BE'!$AA$39+'TE BF'!$AA$39+'TE CVA'!$AA$39)*1</f>
        <v>271.13910989737087</v>
      </c>
      <c r="AB1753" s="4">
        <f>$K$1753*$V$1753</f>
        <v>0</v>
      </c>
      <c r="AC1753" s="4">
        <f>$M$1753*$W$1753</f>
        <v>64.435980000000001</v>
      </c>
      <c r="AD1753" s="4">
        <f>$O$1753*$X$1753</f>
        <v>21.55706</v>
      </c>
      <c r="AE1753" s="4">
        <f>$K$1753*$Y$1753</f>
        <v>0</v>
      </c>
      <c r="AF1753" s="4">
        <f ca="1">$M$1753*$Z$1753</f>
        <v>75.44138804558672</v>
      </c>
      <c r="AG1753" s="4">
        <f>$O$1753*$AA$1753</f>
        <v>26.571632769942347</v>
      </c>
    </row>
    <row r="1754" spans="1:33" ht="11.25" customHeight="1" x14ac:dyDescent="0.25">
      <c r="A1754" s="3" t="s">
        <v>21</v>
      </c>
      <c r="B1754" s="3" t="s">
        <v>39</v>
      </c>
      <c r="C1754" s="3" t="s">
        <v>37</v>
      </c>
      <c r="D1754" s="3" t="s">
        <v>40</v>
      </c>
      <c r="E1754" s="3" t="s">
        <v>25</v>
      </c>
      <c r="F1754" s="3" t="s">
        <v>25</v>
      </c>
      <c r="G1754" s="3" t="s">
        <v>25</v>
      </c>
      <c r="H1754" s="3" t="s">
        <v>38</v>
      </c>
      <c r="I1754" s="6">
        <v>44409</v>
      </c>
      <c r="J1754" s="4">
        <v>0</v>
      </c>
      <c r="K1754" s="4">
        <v>0</v>
      </c>
      <c r="L1754" s="4">
        <v>0.105</v>
      </c>
      <c r="M1754" s="4">
        <v>0.105</v>
      </c>
      <c r="N1754" s="4">
        <v>0.105</v>
      </c>
      <c r="O1754" s="4">
        <v>0.105</v>
      </c>
      <c r="P1754" s="4">
        <v>0</v>
      </c>
      <c r="Q1754" s="3" t="s">
        <v>26</v>
      </c>
      <c r="R1754" s="3">
        <v>0</v>
      </c>
      <c r="S1754" s="4">
        <v>0</v>
      </c>
      <c r="T1754" s="4">
        <v>43</v>
      </c>
      <c r="U1754" s="4">
        <v>83</v>
      </c>
      <c r="V1754" s="4">
        <f>IF(ISERROR(VLOOKUP($S$1754,'TAR FIN'!$A$1:$O$99,15,0)),0,VLOOKUP($S$1754,'TAR FIN'!$A$1:$O$99,15,0))</f>
        <v>0</v>
      </c>
      <c r="W1754" s="4">
        <f>IF(ISERROR(VLOOKUP($T$1754,'TAR FIN'!$A$1:$O$99,15,0)),0,VLOOKUP($T$1754,'TAR FIN'!$A$1:$O$99,15,0))</f>
        <v>657.51</v>
      </c>
      <c r="X1754" s="4">
        <f>IF(ISERROR(VLOOKUP($U$1754,'TAR FIN'!$A$1:$O$99,15,0)),0,VLOOKUP($U$1754,'TAR FIN'!$A$1:$O$99,15,0))</f>
        <v>219.97</v>
      </c>
      <c r="Y1754" s="4"/>
      <c r="Z1754" s="4">
        <f ca="1">('TUSD BE'!$AM$57+'TUSD BF'!$AM$57+'TUSD CVA'!$AM$57)*1</f>
        <v>769.81008209782362</v>
      </c>
      <c r="AA1754" s="4">
        <f>('TE BE'!$AA$39+'TE BF'!$AA$39+'TE CVA'!$AA$39)*1</f>
        <v>271.13910989737087</v>
      </c>
      <c r="AB1754" s="4">
        <f>$K$1754*$V$1754</f>
        <v>0</v>
      </c>
      <c r="AC1754" s="4">
        <f>$M$1754*$W$1754</f>
        <v>69.038550000000001</v>
      </c>
      <c r="AD1754" s="4">
        <f>$O$1754*$X$1754</f>
        <v>23.09685</v>
      </c>
      <c r="AE1754" s="4">
        <f>$K$1754*$Y$1754</f>
        <v>0</v>
      </c>
      <c r="AF1754" s="4">
        <f ca="1">$M$1754*$Z$1754</f>
        <v>80.830058620271473</v>
      </c>
      <c r="AG1754" s="4">
        <f>$O$1754*$AA$1754</f>
        <v>28.469606539223939</v>
      </c>
    </row>
    <row r="1755" spans="1:33" ht="11.25" customHeight="1" x14ac:dyDescent="0.25">
      <c r="A1755" s="3" t="s">
        <v>21</v>
      </c>
      <c r="B1755" s="3" t="s">
        <v>39</v>
      </c>
      <c r="C1755" s="3" t="s">
        <v>37</v>
      </c>
      <c r="D1755" s="3" t="s">
        <v>40</v>
      </c>
      <c r="E1755" s="3" t="s">
        <v>25</v>
      </c>
      <c r="F1755" s="3" t="s">
        <v>25</v>
      </c>
      <c r="G1755" s="3" t="s">
        <v>25</v>
      </c>
      <c r="H1755" s="3" t="s">
        <v>38</v>
      </c>
      <c r="I1755" s="6">
        <v>44440</v>
      </c>
      <c r="J1755" s="4">
        <v>0</v>
      </c>
      <c r="K1755" s="4">
        <v>0</v>
      </c>
      <c r="L1755" s="4">
        <v>0.125</v>
      </c>
      <c r="M1755" s="4">
        <v>0.125</v>
      </c>
      <c r="N1755" s="4">
        <v>0.125</v>
      </c>
      <c r="O1755" s="4">
        <v>0.125</v>
      </c>
      <c r="P1755" s="4">
        <v>0</v>
      </c>
      <c r="Q1755" s="3" t="s">
        <v>26</v>
      </c>
      <c r="R1755" s="3">
        <v>0</v>
      </c>
      <c r="S1755" s="4">
        <v>0</v>
      </c>
      <c r="T1755" s="4">
        <v>43</v>
      </c>
      <c r="U1755" s="4">
        <v>83</v>
      </c>
      <c r="V1755" s="4">
        <f>IF(ISERROR(VLOOKUP($S$1755,'TAR FIN'!$A$1:$O$99,15,0)),0,VLOOKUP($S$1755,'TAR FIN'!$A$1:$O$99,15,0))</f>
        <v>0</v>
      </c>
      <c r="W1755" s="4">
        <f>IF(ISERROR(VLOOKUP($T$1755,'TAR FIN'!$A$1:$O$99,15,0)),0,VLOOKUP($T$1755,'TAR FIN'!$A$1:$O$99,15,0))</f>
        <v>657.51</v>
      </c>
      <c r="X1755" s="4">
        <f>IF(ISERROR(VLOOKUP($U$1755,'TAR FIN'!$A$1:$O$99,15,0)),0,VLOOKUP($U$1755,'TAR FIN'!$A$1:$O$99,15,0))</f>
        <v>219.97</v>
      </c>
      <c r="Y1755" s="4"/>
      <c r="Z1755" s="4">
        <f ca="1">('TUSD BE'!$AM$57+'TUSD BF'!$AM$57+'TUSD CVA'!$AM$57)*1</f>
        <v>769.81008209782362</v>
      </c>
      <c r="AA1755" s="4">
        <f>('TE BE'!$AA$39+'TE BF'!$AA$39+'TE CVA'!$AA$39)*1</f>
        <v>271.13910989737087</v>
      </c>
      <c r="AB1755" s="4">
        <f>$K$1755*$V$1755</f>
        <v>0</v>
      </c>
      <c r="AC1755" s="4">
        <f>$M$1755*$W$1755</f>
        <v>82.188749999999999</v>
      </c>
      <c r="AD1755" s="4">
        <f>$O$1755*$X$1755</f>
        <v>27.49625</v>
      </c>
      <c r="AE1755" s="4">
        <f>$K$1755*$Y$1755</f>
        <v>0</v>
      </c>
      <c r="AF1755" s="4">
        <f ca="1">$M$1755*$Z$1755</f>
        <v>96.226260262227953</v>
      </c>
      <c r="AG1755" s="4">
        <f>$O$1755*$AA$1755</f>
        <v>33.892388737171359</v>
      </c>
    </row>
    <row r="1756" spans="1:33" ht="11.25" customHeight="1" x14ac:dyDescent="0.25">
      <c r="A1756" s="3" t="s">
        <v>21</v>
      </c>
      <c r="B1756" s="3" t="s">
        <v>39</v>
      </c>
      <c r="C1756" s="3" t="s">
        <v>37</v>
      </c>
      <c r="D1756" s="3" t="s">
        <v>40</v>
      </c>
      <c r="E1756" s="3" t="s">
        <v>25</v>
      </c>
      <c r="F1756" s="3" t="s">
        <v>25</v>
      </c>
      <c r="G1756" s="3" t="s">
        <v>25</v>
      </c>
      <c r="H1756" s="3" t="s">
        <v>38</v>
      </c>
      <c r="I1756" s="6">
        <v>44470</v>
      </c>
      <c r="J1756" s="4">
        <v>0</v>
      </c>
      <c r="K1756" s="4">
        <v>0</v>
      </c>
      <c r="L1756" s="4">
        <v>0.11700000000000001</v>
      </c>
      <c r="M1756" s="4">
        <v>0.11700000000000001</v>
      </c>
      <c r="N1756" s="4">
        <v>0.11700000000000001</v>
      </c>
      <c r="O1756" s="4">
        <v>0.11700000000000001</v>
      </c>
      <c r="P1756" s="4">
        <v>0</v>
      </c>
      <c r="Q1756" s="3" t="s">
        <v>26</v>
      </c>
      <c r="R1756" s="3">
        <v>0</v>
      </c>
      <c r="S1756" s="4">
        <v>0</v>
      </c>
      <c r="T1756" s="4">
        <v>43</v>
      </c>
      <c r="U1756" s="4">
        <v>83</v>
      </c>
      <c r="V1756" s="4">
        <f>IF(ISERROR(VLOOKUP($S$1756,'TAR FIN'!$A$1:$O$99,15,0)),0,VLOOKUP($S$1756,'TAR FIN'!$A$1:$O$99,15,0))</f>
        <v>0</v>
      </c>
      <c r="W1756" s="4">
        <f>IF(ISERROR(VLOOKUP($T$1756,'TAR FIN'!$A$1:$O$99,15,0)),0,VLOOKUP($T$1756,'TAR FIN'!$A$1:$O$99,15,0))</f>
        <v>657.51</v>
      </c>
      <c r="X1756" s="4">
        <f>IF(ISERROR(VLOOKUP($U$1756,'TAR FIN'!$A$1:$O$99,15,0)),0,VLOOKUP($U$1756,'TAR FIN'!$A$1:$O$99,15,0))</f>
        <v>219.97</v>
      </c>
      <c r="Y1756" s="4"/>
      <c r="Z1756" s="4">
        <f ca="1">('TUSD BE'!$AM$57+'TUSD BF'!$AM$57+'TUSD CVA'!$AM$57)*1</f>
        <v>769.81008209782362</v>
      </c>
      <c r="AA1756" s="4">
        <f>('TE BE'!$AA$39+'TE BF'!$AA$39+'TE CVA'!$AA$39)*1</f>
        <v>271.13910989737087</v>
      </c>
      <c r="AB1756" s="4">
        <f>$K$1756*$V$1756</f>
        <v>0</v>
      </c>
      <c r="AC1756" s="4">
        <f>$M$1756*$W$1756</f>
        <v>76.928669999999997</v>
      </c>
      <c r="AD1756" s="4">
        <f>$O$1756*$X$1756</f>
        <v>25.73649</v>
      </c>
      <c r="AE1756" s="4">
        <f>$K$1756*$Y$1756</f>
        <v>0</v>
      </c>
      <c r="AF1756" s="4">
        <f ca="1">$M$1756*$Z$1756</f>
        <v>90.067779605445367</v>
      </c>
      <c r="AG1756" s="4">
        <f>$O$1756*$AA$1756</f>
        <v>31.723275857992395</v>
      </c>
    </row>
    <row r="1757" spans="1:33" ht="11.25" customHeight="1" x14ac:dyDescent="0.25">
      <c r="A1757" s="3" t="s">
        <v>21</v>
      </c>
      <c r="B1757" s="3" t="s">
        <v>39</v>
      </c>
      <c r="C1757" s="3" t="s">
        <v>37</v>
      </c>
      <c r="D1757" s="3" t="s">
        <v>40</v>
      </c>
      <c r="E1757" s="3" t="s">
        <v>25</v>
      </c>
      <c r="F1757" s="3" t="s">
        <v>25</v>
      </c>
      <c r="G1757" s="3" t="s">
        <v>25</v>
      </c>
      <c r="H1757" s="3" t="s">
        <v>38</v>
      </c>
      <c r="I1757" s="6">
        <v>44501</v>
      </c>
      <c r="J1757" s="4">
        <v>0</v>
      </c>
      <c r="K1757" s="4">
        <v>0</v>
      </c>
      <c r="L1757" s="4">
        <v>0.121</v>
      </c>
      <c r="M1757" s="4">
        <v>0.121</v>
      </c>
      <c r="N1757" s="4">
        <v>0.121</v>
      </c>
      <c r="O1757" s="4">
        <v>0.121</v>
      </c>
      <c r="P1757" s="4">
        <v>0</v>
      </c>
      <c r="Q1757" s="3" t="s">
        <v>26</v>
      </c>
      <c r="R1757" s="3">
        <v>0</v>
      </c>
      <c r="S1757" s="4">
        <v>0</v>
      </c>
      <c r="T1757" s="4">
        <v>43</v>
      </c>
      <c r="U1757" s="4">
        <v>83</v>
      </c>
      <c r="V1757" s="4">
        <f>IF(ISERROR(VLOOKUP($S$1757,'TAR FIN'!$A$1:$O$99,15,0)),0,VLOOKUP($S$1757,'TAR FIN'!$A$1:$O$99,15,0))</f>
        <v>0</v>
      </c>
      <c r="W1757" s="4">
        <f>IF(ISERROR(VLOOKUP($T$1757,'TAR FIN'!$A$1:$O$99,15,0)),0,VLOOKUP($T$1757,'TAR FIN'!$A$1:$O$99,15,0))</f>
        <v>657.51</v>
      </c>
      <c r="X1757" s="4">
        <f>IF(ISERROR(VLOOKUP($U$1757,'TAR FIN'!$A$1:$O$99,15,0)),0,VLOOKUP($U$1757,'TAR FIN'!$A$1:$O$99,15,0))</f>
        <v>219.97</v>
      </c>
      <c r="Y1757" s="4"/>
      <c r="Z1757" s="4">
        <f ca="1">('TUSD BE'!$AM$57+'TUSD BF'!$AM$57+'TUSD CVA'!$AM$57)*1</f>
        <v>769.81008209782362</v>
      </c>
      <c r="AA1757" s="4">
        <f>('TE BE'!$AA$39+'TE BF'!$AA$39+'TE CVA'!$AA$39)*1</f>
        <v>271.13910989737087</v>
      </c>
      <c r="AB1757" s="4">
        <f>$K$1757*$V$1757</f>
        <v>0</v>
      </c>
      <c r="AC1757" s="4">
        <f>$M$1757*$W$1757</f>
        <v>79.558709999999991</v>
      </c>
      <c r="AD1757" s="4">
        <f>$O$1757*$X$1757</f>
        <v>26.61637</v>
      </c>
      <c r="AE1757" s="4">
        <f>$K$1757*$Y$1757</f>
        <v>0</v>
      </c>
      <c r="AF1757" s="4">
        <f ca="1">$M$1757*$Z$1757</f>
        <v>93.14701993383666</v>
      </c>
      <c r="AG1757" s="4">
        <f>$O$1757*$AA$1757</f>
        <v>32.807832297581875</v>
      </c>
    </row>
    <row r="1758" spans="1:33" ht="11.25" customHeight="1" x14ac:dyDescent="0.25">
      <c r="A1758" s="3" t="s">
        <v>21</v>
      </c>
      <c r="B1758" s="3" t="s">
        <v>39</v>
      </c>
      <c r="C1758" s="3" t="s">
        <v>37</v>
      </c>
      <c r="D1758" s="3" t="s">
        <v>40</v>
      </c>
      <c r="E1758" s="3" t="s">
        <v>25</v>
      </c>
      <c r="F1758" s="3" t="s">
        <v>25</v>
      </c>
      <c r="G1758" s="3" t="s">
        <v>25</v>
      </c>
      <c r="H1758" s="3" t="s">
        <v>38</v>
      </c>
      <c r="I1758" s="6">
        <v>44531</v>
      </c>
      <c r="J1758" s="4">
        <v>0</v>
      </c>
      <c r="K1758" s="4">
        <v>0</v>
      </c>
      <c r="L1758" s="4">
        <v>0.125</v>
      </c>
      <c r="M1758" s="4">
        <v>0.125</v>
      </c>
      <c r="N1758" s="4">
        <v>0.125</v>
      </c>
      <c r="O1758" s="4">
        <v>0.125</v>
      </c>
      <c r="P1758" s="4">
        <v>0</v>
      </c>
      <c r="Q1758" s="3" t="s">
        <v>26</v>
      </c>
      <c r="R1758" s="3">
        <v>0</v>
      </c>
      <c r="S1758" s="4">
        <v>0</v>
      </c>
      <c r="T1758" s="4">
        <v>43</v>
      </c>
      <c r="U1758" s="4">
        <v>83</v>
      </c>
      <c r="V1758" s="4">
        <f>IF(ISERROR(VLOOKUP($S$1758,'TAR FIN'!$A$1:$O$99,15,0)),0,VLOOKUP($S$1758,'TAR FIN'!$A$1:$O$99,15,0))</f>
        <v>0</v>
      </c>
      <c r="W1758" s="4">
        <f>IF(ISERROR(VLOOKUP($T$1758,'TAR FIN'!$A$1:$O$99,15,0)),0,VLOOKUP($T$1758,'TAR FIN'!$A$1:$O$99,15,0))</f>
        <v>657.51</v>
      </c>
      <c r="X1758" s="4">
        <f>IF(ISERROR(VLOOKUP($U$1758,'TAR FIN'!$A$1:$O$99,15,0)),0,VLOOKUP($U$1758,'TAR FIN'!$A$1:$O$99,15,0))</f>
        <v>219.97</v>
      </c>
      <c r="Y1758" s="4"/>
      <c r="Z1758" s="4">
        <f ca="1">('TUSD BE'!$AM$57+'TUSD BF'!$AM$57+'TUSD CVA'!$AM$57)*1</f>
        <v>769.81008209782362</v>
      </c>
      <c r="AA1758" s="4">
        <f>('TE BE'!$AA$39+'TE BF'!$AA$39+'TE CVA'!$AA$39)*1</f>
        <v>271.13910989737087</v>
      </c>
      <c r="AB1758" s="4">
        <f>$K$1758*$V$1758</f>
        <v>0</v>
      </c>
      <c r="AC1758" s="4">
        <f>$M$1758*$W$1758</f>
        <v>82.188749999999999</v>
      </c>
      <c r="AD1758" s="4">
        <f>$O$1758*$X$1758</f>
        <v>27.49625</v>
      </c>
      <c r="AE1758" s="4">
        <f>$K$1758*$Y$1758</f>
        <v>0</v>
      </c>
      <c r="AF1758" s="4">
        <f ca="1">$M$1758*$Z$1758</f>
        <v>96.226260262227953</v>
      </c>
      <c r="AG1758" s="4">
        <f>$O$1758*$AA$1758</f>
        <v>33.892388737171359</v>
      </c>
    </row>
    <row r="1759" spans="1:33" ht="11.25" customHeight="1" x14ac:dyDescent="0.25">
      <c r="A1759" s="3" t="s">
        <v>21</v>
      </c>
      <c r="B1759" s="3" t="s">
        <v>39</v>
      </c>
      <c r="C1759" s="3" t="s">
        <v>37</v>
      </c>
      <c r="D1759" s="3" t="s">
        <v>40</v>
      </c>
      <c r="E1759" s="3" t="s">
        <v>25</v>
      </c>
      <c r="F1759" s="3" t="s">
        <v>25</v>
      </c>
      <c r="G1759" s="3" t="s">
        <v>25</v>
      </c>
      <c r="H1759" s="3" t="s">
        <v>38</v>
      </c>
      <c r="I1759" s="6">
        <v>44562</v>
      </c>
      <c r="J1759" s="4">
        <v>0</v>
      </c>
      <c r="K1759" s="4">
        <v>0</v>
      </c>
      <c r="L1759" s="4">
        <v>0.14099999999999999</v>
      </c>
      <c r="M1759" s="4">
        <v>0.14099999999999999</v>
      </c>
      <c r="N1759" s="4">
        <v>0.14099999999999999</v>
      </c>
      <c r="O1759" s="4">
        <v>0.14099999999999999</v>
      </c>
      <c r="P1759" s="4">
        <v>0</v>
      </c>
      <c r="Q1759" s="3" t="s">
        <v>26</v>
      </c>
      <c r="R1759" s="3">
        <v>0</v>
      </c>
      <c r="S1759" s="4">
        <v>0</v>
      </c>
      <c r="T1759" s="4">
        <v>43</v>
      </c>
      <c r="U1759" s="4">
        <v>83</v>
      </c>
      <c r="V1759" s="4">
        <f>IF(ISERROR(VLOOKUP($S$1759,'TAR FIN'!$A$1:$O$99,15,0)),0,VLOOKUP($S$1759,'TAR FIN'!$A$1:$O$99,15,0))</f>
        <v>0</v>
      </c>
      <c r="W1759" s="4">
        <f>IF(ISERROR(VLOOKUP($T$1759,'TAR FIN'!$A$1:$O$99,15,0)),0,VLOOKUP($T$1759,'TAR FIN'!$A$1:$O$99,15,0))</f>
        <v>657.51</v>
      </c>
      <c r="X1759" s="4">
        <f>IF(ISERROR(VLOOKUP($U$1759,'TAR FIN'!$A$1:$O$99,15,0)),0,VLOOKUP($U$1759,'TAR FIN'!$A$1:$O$99,15,0))</f>
        <v>219.97</v>
      </c>
      <c r="Y1759" s="4"/>
      <c r="Z1759" s="4">
        <f ca="1">('TUSD BE'!$AM$57+'TUSD BF'!$AM$57+'TUSD CVA'!$AM$57)*1</f>
        <v>769.81008209782362</v>
      </c>
      <c r="AA1759" s="4">
        <f>('TE BE'!$AA$39+'TE BF'!$AA$39+'TE CVA'!$AA$39)*1</f>
        <v>271.13910989737087</v>
      </c>
      <c r="AB1759" s="4">
        <f>$K$1759*$V$1759</f>
        <v>0</v>
      </c>
      <c r="AC1759" s="4">
        <f>$M$1759*$W$1759</f>
        <v>92.708909999999989</v>
      </c>
      <c r="AD1759" s="4">
        <f>$O$1759*$X$1759</f>
        <v>31.015769999999996</v>
      </c>
      <c r="AE1759" s="4">
        <f>$K$1759*$Y$1759</f>
        <v>0</v>
      </c>
      <c r="AF1759" s="4">
        <f ca="1">$M$1759*$Z$1759</f>
        <v>108.54322157579313</v>
      </c>
      <c r="AG1759" s="4">
        <f>$O$1759*$AA$1759</f>
        <v>38.230614495529288</v>
      </c>
    </row>
    <row r="1760" spans="1:33" ht="11.25" customHeight="1" x14ac:dyDescent="0.25">
      <c r="A1760" s="3" t="s">
        <v>21</v>
      </c>
      <c r="B1760" s="3" t="s">
        <v>39</v>
      </c>
      <c r="C1760" s="3" t="s">
        <v>37</v>
      </c>
      <c r="D1760" s="3" t="s">
        <v>40</v>
      </c>
      <c r="E1760" s="3" t="s">
        <v>25</v>
      </c>
      <c r="F1760" s="3" t="s">
        <v>25</v>
      </c>
      <c r="G1760" s="3" t="s">
        <v>25</v>
      </c>
      <c r="H1760" s="3" t="s">
        <v>38</v>
      </c>
      <c r="I1760" s="6">
        <v>44593</v>
      </c>
      <c r="J1760" s="4">
        <v>0</v>
      </c>
      <c r="K1760" s="4">
        <v>0</v>
      </c>
      <c r="L1760" s="4">
        <v>0.121</v>
      </c>
      <c r="M1760" s="4">
        <v>0.121</v>
      </c>
      <c r="N1760" s="4">
        <v>0.121</v>
      </c>
      <c r="O1760" s="4">
        <v>0.121</v>
      </c>
      <c r="P1760" s="4">
        <v>0</v>
      </c>
      <c r="Q1760" s="3" t="s">
        <v>26</v>
      </c>
      <c r="R1760" s="3">
        <v>0</v>
      </c>
      <c r="S1760" s="4">
        <v>0</v>
      </c>
      <c r="T1760" s="4">
        <v>43</v>
      </c>
      <c r="U1760" s="4">
        <v>83</v>
      </c>
      <c r="V1760" s="4">
        <f>IF(ISERROR(VLOOKUP($S$1760,'TAR FIN'!$A$1:$O$99,15,0)),0,VLOOKUP($S$1760,'TAR FIN'!$A$1:$O$99,15,0))</f>
        <v>0</v>
      </c>
      <c r="W1760" s="4">
        <f>IF(ISERROR(VLOOKUP($T$1760,'TAR FIN'!$A$1:$O$99,15,0)),0,VLOOKUP($T$1760,'TAR FIN'!$A$1:$O$99,15,0))</f>
        <v>657.51</v>
      </c>
      <c r="X1760" s="4">
        <f>IF(ISERROR(VLOOKUP($U$1760,'TAR FIN'!$A$1:$O$99,15,0)),0,VLOOKUP($U$1760,'TAR FIN'!$A$1:$O$99,15,0))</f>
        <v>219.97</v>
      </c>
      <c r="Y1760" s="4"/>
      <c r="Z1760" s="4">
        <f ca="1">('TUSD BE'!$AM$57+'TUSD BF'!$AM$57+'TUSD CVA'!$AM$57)*1</f>
        <v>769.81008209782362</v>
      </c>
      <c r="AA1760" s="4">
        <f>('TE BE'!$AA$39+'TE BF'!$AA$39+'TE CVA'!$AA$39)*1</f>
        <v>271.13910989737087</v>
      </c>
      <c r="AB1760" s="4">
        <f>$K$1760*$V$1760</f>
        <v>0</v>
      </c>
      <c r="AC1760" s="4">
        <f>$M$1760*$W$1760</f>
        <v>79.558709999999991</v>
      </c>
      <c r="AD1760" s="4">
        <f>$O$1760*$X$1760</f>
        <v>26.61637</v>
      </c>
      <c r="AE1760" s="4">
        <f>$K$1760*$Y$1760</f>
        <v>0</v>
      </c>
      <c r="AF1760" s="4">
        <f ca="1">$M$1760*$Z$1760</f>
        <v>93.14701993383666</v>
      </c>
      <c r="AG1760" s="4">
        <f>$O$1760*$AA$1760</f>
        <v>32.807832297581875</v>
      </c>
    </row>
    <row r="1761" spans="1:33" ht="11.25" customHeight="1" x14ac:dyDescent="0.25">
      <c r="A1761" s="3" t="s">
        <v>21</v>
      </c>
      <c r="B1761" s="3" t="s">
        <v>39</v>
      </c>
      <c r="C1761" s="3" t="s">
        <v>37</v>
      </c>
      <c r="D1761" s="3" t="s">
        <v>40</v>
      </c>
      <c r="E1761" s="3" t="s">
        <v>25</v>
      </c>
      <c r="F1761" s="3" t="s">
        <v>25</v>
      </c>
      <c r="G1761" s="3" t="s">
        <v>25</v>
      </c>
      <c r="H1761" s="3" t="s">
        <v>38</v>
      </c>
      <c r="I1761" s="6">
        <v>44621</v>
      </c>
      <c r="J1761" s="4">
        <v>0</v>
      </c>
      <c r="K1761" s="4">
        <v>0</v>
      </c>
      <c r="L1761" s="4">
        <v>0.13300000000000001</v>
      </c>
      <c r="M1761" s="4">
        <v>0.13300000000000001</v>
      </c>
      <c r="N1761" s="4">
        <v>0.13300000000000001</v>
      </c>
      <c r="O1761" s="4">
        <v>0.13300000000000001</v>
      </c>
      <c r="P1761" s="4">
        <v>0</v>
      </c>
      <c r="Q1761" s="3" t="s">
        <v>26</v>
      </c>
      <c r="R1761" s="3">
        <v>0</v>
      </c>
      <c r="S1761" s="4">
        <v>0</v>
      </c>
      <c r="T1761" s="4">
        <v>43</v>
      </c>
      <c r="U1761" s="4">
        <v>83</v>
      </c>
      <c r="V1761" s="4">
        <f>IF(ISERROR(VLOOKUP($S$1761,'TAR FIN'!$A$1:$O$99,15,0)),0,VLOOKUP($S$1761,'TAR FIN'!$A$1:$O$99,15,0))</f>
        <v>0</v>
      </c>
      <c r="W1761" s="4">
        <f>IF(ISERROR(VLOOKUP($T$1761,'TAR FIN'!$A$1:$O$99,15,0)),0,VLOOKUP($T$1761,'TAR FIN'!$A$1:$O$99,15,0))</f>
        <v>657.51</v>
      </c>
      <c r="X1761" s="4">
        <f>IF(ISERROR(VLOOKUP($U$1761,'TAR FIN'!$A$1:$O$99,15,0)),0,VLOOKUP($U$1761,'TAR FIN'!$A$1:$O$99,15,0))</f>
        <v>219.97</v>
      </c>
      <c r="Y1761" s="4"/>
      <c r="Z1761" s="4">
        <f ca="1">('TUSD BE'!$AM$57+'TUSD BF'!$AM$57+'TUSD CVA'!$AM$57)*1</f>
        <v>769.81008209782362</v>
      </c>
      <c r="AA1761" s="4">
        <f>('TE BE'!$AA$39+'TE BF'!$AA$39+'TE CVA'!$AA$39)*1</f>
        <v>271.13910989737087</v>
      </c>
      <c r="AB1761" s="4">
        <f>$K$1761*$V$1761</f>
        <v>0</v>
      </c>
      <c r="AC1761" s="4">
        <f>$M$1761*$W$1761</f>
        <v>87.448830000000001</v>
      </c>
      <c r="AD1761" s="4">
        <f>$O$1761*$X$1761</f>
        <v>29.25601</v>
      </c>
      <c r="AE1761" s="4">
        <f>$K$1761*$Y$1761</f>
        <v>0</v>
      </c>
      <c r="AF1761" s="4">
        <f ca="1">$M$1761*$Z$1761</f>
        <v>102.38474091901055</v>
      </c>
      <c r="AG1761" s="4">
        <f>$O$1761*$AA$1761</f>
        <v>36.061501616350327</v>
      </c>
    </row>
    <row r="1762" spans="1:33" ht="11.25" customHeight="1" x14ac:dyDescent="0.25">
      <c r="A1762" s="3" t="s">
        <v>56</v>
      </c>
      <c r="B1762" s="3" t="s">
        <v>39</v>
      </c>
      <c r="C1762" s="3" t="s">
        <v>37</v>
      </c>
      <c r="D1762" s="3" t="s">
        <v>40</v>
      </c>
      <c r="E1762" s="3" t="s">
        <v>25</v>
      </c>
      <c r="F1762" s="3" t="s">
        <v>25</v>
      </c>
      <c r="G1762" s="3" t="s">
        <v>25</v>
      </c>
      <c r="H1762" s="3" t="s">
        <v>38</v>
      </c>
      <c r="I1762" s="6">
        <v>44652</v>
      </c>
      <c r="J1762" s="4">
        <v>0</v>
      </c>
      <c r="K1762" s="4">
        <v>0</v>
      </c>
      <c r="L1762" s="4">
        <v>0.13300000000000001</v>
      </c>
      <c r="M1762" s="4">
        <v>0.13300000000000001</v>
      </c>
      <c r="N1762" s="4">
        <v>0.13300000000000001</v>
      </c>
      <c r="O1762" s="4">
        <v>0.13300000000000001</v>
      </c>
      <c r="P1762" s="4">
        <v>0</v>
      </c>
      <c r="Q1762" s="3" t="s">
        <v>26</v>
      </c>
      <c r="R1762" s="3">
        <v>0</v>
      </c>
      <c r="S1762" s="4">
        <v>0</v>
      </c>
      <c r="T1762" s="4">
        <v>43</v>
      </c>
      <c r="U1762" s="4">
        <v>83</v>
      </c>
      <c r="V1762" s="4">
        <f>IF(ISERROR(VLOOKUP($S$1762,'TAR FIN'!$A$1:$O$99,15,0)),0,VLOOKUP($S$1762,'TAR FIN'!$A$1:$O$99,15,0))</f>
        <v>0</v>
      </c>
      <c r="W1762" s="4">
        <f>IF(ISERROR(VLOOKUP($T$1762,'TAR FIN'!$A$1:$O$99,15,0)),0,VLOOKUP($T$1762,'TAR FIN'!$A$1:$O$99,15,0))</f>
        <v>657.51</v>
      </c>
      <c r="X1762" s="4">
        <f>IF(ISERROR(VLOOKUP($U$1762,'TAR FIN'!$A$1:$O$99,15,0)),0,VLOOKUP($U$1762,'TAR FIN'!$A$1:$O$99,15,0))</f>
        <v>219.97</v>
      </c>
      <c r="Y1762" s="4"/>
      <c r="Z1762" s="4">
        <f ca="1">('TUSD BE'!$AM$57+'TUSD BF'!$AM$57+'TUSD CVA'!$AM$57)*1</f>
        <v>769.81008209782362</v>
      </c>
      <c r="AA1762" s="4">
        <f>('TE BE'!$AA$39+'TE BF'!$AA$39+'TE CVA'!$AA$39)*1</f>
        <v>271.13910989737087</v>
      </c>
      <c r="AB1762" s="4">
        <f>$K$1762*$V$1762</f>
        <v>0</v>
      </c>
      <c r="AC1762" s="4">
        <f>$M$1762*$W$1762</f>
        <v>87.448830000000001</v>
      </c>
      <c r="AD1762" s="4">
        <f>$O$1762*$X$1762</f>
        <v>29.25601</v>
      </c>
      <c r="AE1762" s="4">
        <f>$K$1762*$Y$1762</f>
        <v>0</v>
      </c>
      <c r="AF1762" s="4">
        <f ca="1">$M$1762*$Z$1762</f>
        <v>102.38474091901055</v>
      </c>
      <c r="AG1762" s="4">
        <f>$O$1762*$AA$1762</f>
        <v>36.061501616350327</v>
      </c>
    </row>
    <row r="1763" spans="1:33" ht="11.25" customHeight="1" x14ac:dyDescent="0.25">
      <c r="A1763" s="3" t="s">
        <v>21</v>
      </c>
      <c r="B1763" s="3" t="s">
        <v>39</v>
      </c>
      <c r="C1763" s="3" t="s">
        <v>37</v>
      </c>
      <c r="D1763" s="3" t="s">
        <v>40</v>
      </c>
      <c r="E1763" s="3" t="s">
        <v>25</v>
      </c>
      <c r="F1763" s="3" t="s">
        <v>25</v>
      </c>
      <c r="G1763" s="3" t="s">
        <v>25</v>
      </c>
      <c r="H1763" s="3" t="s">
        <v>35</v>
      </c>
      <c r="I1763" s="6">
        <v>44317</v>
      </c>
      <c r="J1763" s="4">
        <v>0</v>
      </c>
      <c r="K1763" s="4">
        <v>0</v>
      </c>
      <c r="L1763" s="4">
        <v>0.14199999999999999</v>
      </c>
      <c r="M1763" s="4">
        <v>0.14199999999999999</v>
      </c>
      <c r="N1763" s="4">
        <v>0.14199999999999999</v>
      </c>
      <c r="O1763" s="4">
        <v>0.14199999999999999</v>
      </c>
      <c r="P1763" s="4">
        <v>0</v>
      </c>
      <c r="Q1763" s="3" t="s">
        <v>26</v>
      </c>
      <c r="R1763" s="3">
        <v>0</v>
      </c>
      <c r="S1763" s="4">
        <v>0</v>
      </c>
      <c r="T1763" s="4">
        <v>42</v>
      </c>
      <c r="U1763" s="4">
        <v>82</v>
      </c>
      <c r="V1763" s="4">
        <f>IF(ISERROR(VLOOKUP($S$1763,'TAR FIN'!$A$1:$O$99,15,0)),0,VLOOKUP($S$1763,'TAR FIN'!$A$1:$O$99,15,0))</f>
        <v>0</v>
      </c>
      <c r="W1763" s="4">
        <f>IF(ISERROR(VLOOKUP($T$1763,'TAR FIN'!$A$1:$O$99,15,0)),0,VLOOKUP($T$1763,'TAR FIN'!$A$1:$O$99,15,0))</f>
        <v>1010.32</v>
      </c>
      <c r="X1763" s="4">
        <f>IF(ISERROR(VLOOKUP($U$1763,'TAR FIN'!$A$1:$O$99,15,0)),0,VLOOKUP($U$1763,'TAR FIN'!$A$1:$O$99,15,0))</f>
        <v>346.61</v>
      </c>
      <c r="Y1763" s="4"/>
      <c r="Z1763" s="4">
        <f ca="1">('TUSD BE'!$AM$56+'TUSD BF'!$AM$56+'TUSD CVA'!$AM$56)*1</f>
        <v>1178.1887517861644</v>
      </c>
      <c r="AA1763" s="4">
        <f>('TE BE'!$AA$38+'TE BF'!$AA$38+'TE CVA'!$AA$38)*1</f>
        <v>423.89652505413846</v>
      </c>
      <c r="AB1763" s="4">
        <f>$K$1763*$V$1763</f>
        <v>0</v>
      </c>
      <c r="AC1763" s="4">
        <f>$M$1763*$W$1763</f>
        <v>143.46544</v>
      </c>
      <c r="AD1763" s="4">
        <f>$O$1763*$X$1763</f>
        <v>49.218619999999994</v>
      </c>
      <c r="AE1763" s="4">
        <f>$K$1763*$Y$1763</f>
        <v>0</v>
      </c>
      <c r="AF1763" s="4">
        <f ca="1">$M$1763*$Z$1763</f>
        <v>167.30280275363532</v>
      </c>
      <c r="AG1763" s="4">
        <f>$O$1763*$AA$1763</f>
        <v>60.193306557687656</v>
      </c>
    </row>
    <row r="1764" spans="1:33" ht="11.25" customHeight="1" x14ac:dyDescent="0.25">
      <c r="A1764" s="3" t="s">
        <v>21</v>
      </c>
      <c r="B1764" s="3" t="s">
        <v>39</v>
      </c>
      <c r="C1764" s="3" t="s">
        <v>37</v>
      </c>
      <c r="D1764" s="3" t="s">
        <v>40</v>
      </c>
      <c r="E1764" s="3" t="s">
        <v>25</v>
      </c>
      <c r="F1764" s="3" t="s">
        <v>25</v>
      </c>
      <c r="G1764" s="3" t="s">
        <v>25</v>
      </c>
      <c r="H1764" s="3" t="s">
        <v>35</v>
      </c>
      <c r="I1764" s="6">
        <v>44348</v>
      </c>
      <c r="J1764" s="4">
        <v>0</v>
      </c>
      <c r="K1764" s="4">
        <v>0</v>
      </c>
      <c r="L1764" s="4">
        <v>0.124</v>
      </c>
      <c r="M1764" s="4">
        <v>0.124</v>
      </c>
      <c r="N1764" s="4">
        <v>0.124</v>
      </c>
      <c r="O1764" s="4">
        <v>0.124</v>
      </c>
      <c r="P1764" s="4">
        <v>0</v>
      </c>
      <c r="Q1764" s="3" t="s">
        <v>26</v>
      </c>
      <c r="R1764" s="3">
        <v>0</v>
      </c>
      <c r="S1764" s="4">
        <v>0</v>
      </c>
      <c r="T1764" s="4">
        <v>42</v>
      </c>
      <c r="U1764" s="4">
        <v>82</v>
      </c>
      <c r="V1764" s="4">
        <f>IF(ISERROR(VLOOKUP($S$1764,'TAR FIN'!$A$1:$O$99,15,0)),0,VLOOKUP($S$1764,'TAR FIN'!$A$1:$O$99,15,0))</f>
        <v>0</v>
      </c>
      <c r="W1764" s="4">
        <f>IF(ISERROR(VLOOKUP($T$1764,'TAR FIN'!$A$1:$O$99,15,0)),0,VLOOKUP($T$1764,'TAR FIN'!$A$1:$O$99,15,0))</f>
        <v>1010.32</v>
      </c>
      <c r="X1764" s="4">
        <f>IF(ISERROR(VLOOKUP($U$1764,'TAR FIN'!$A$1:$O$99,15,0)),0,VLOOKUP($U$1764,'TAR FIN'!$A$1:$O$99,15,0))</f>
        <v>346.61</v>
      </c>
      <c r="Y1764" s="4"/>
      <c r="Z1764" s="4">
        <f ca="1">('TUSD BE'!$AM$56+'TUSD BF'!$AM$56+'TUSD CVA'!$AM$56)*1</f>
        <v>1178.1887517861644</v>
      </c>
      <c r="AA1764" s="4">
        <f>('TE BE'!$AA$38+'TE BF'!$AA$38+'TE CVA'!$AA$38)*1</f>
        <v>423.89652505413846</v>
      </c>
      <c r="AB1764" s="4">
        <f>$K$1764*$V$1764</f>
        <v>0</v>
      </c>
      <c r="AC1764" s="4">
        <f>$M$1764*$W$1764</f>
        <v>125.27968</v>
      </c>
      <c r="AD1764" s="4">
        <f>$O$1764*$X$1764</f>
        <v>42.979640000000003</v>
      </c>
      <c r="AE1764" s="4">
        <f>$K$1764*$Y$1764</f>
        <v>0</v>
      </c>
      <c r="AF1764" s="4">
        <f ca="1">$M$1764*$Z$1764</f>
        <v>146.09540522148438</v>
      </c>
      <c r="AG1764" s="4">
        <f>$O$1764*$AA$1764</f>
        <v>52.563169106713168</v>
      </c>
    </row>
    <row r="1765" spans="1:33" ht="11.25" customHeight="1" x14ac:dyDescent="0.25">
      <c r="A1765" s="3" t="s">
        <v>21</v>
      </c>
      <c r="B1765" s="3" t="s">
        <v>39</v>
      </c>
      <c r="C1765" s="3" t="s">
        <v>37</v>
      </c>
      <c r="D1765" s="3" t="s">
        <v>40</v>
      </c>
      <c r="E1765" s="3" t="s">
        <v>25</v>
      </c>
      <c r="F1765" s="3" t="s">
        <v>25</v>
      </c>
      <c r="G1765" s="3" t="s">
        <v>25</v>
      </c>
      <c r="H1765" s="3" t="s">
        <v>35</v>
      </c>
      <c r="I1765" s="6">
        <v>44378</v>
      </c>
      <c r="J1765" s="4">
        <v>0</v>
      </c>
      <c r="K1765" s="4">
        <v>0</v>
      </c>
      <c r="L1765" s="4">
        <v>0.17199999999999999</v>
      </c>
      <c r="M1765" s="4">
        <v>0.17199999999999999</v>
      </c>
      <c r="N1765" s="4">
        <v>0.17199999999999999</v>
      </c>
      <c r="O1765" s="4">
        <v>0.17199999999999999</v>
      </c>
      <c r="P1765" s="4">
        <v>0</v>
      </c>
      <c r="Q1765" s="3" t="s">
        <v>26</v>
      </c>
      <c r="R1765" s="3">
        <v>0</v>
      </c>
      <c r="S1765" s="4">
        <v>0</v>
      </c>
      <c r="T1765" s="4">
        <v>42</v>
      </c>
      <c r="U1765" s="4">
        <v>82</v>
      </c>
      <c r="V1765" s="4">
        <f>IF(ISERROR(VLOOKUP($S$1765,'TAR FIN'!$A$1:$O$99,15,0)),0,VLOOKUP($S$1765,'TAR FIN'!$A$1:$O$99,15,0))</f>
        <v>0</v>
      </c>
      <c r="W1765" s="4">
        <f>IF(ISERROR(VLOOKUP($T$1765,'TAR FIN'!$A$1:$O$99,15,0)),0,VLOOKUP($T$1765,'TAR FIN'!$A$1:$O$99,15,0))</f>
        <v>1010.32</v>
      </c>
      <c r="X1765" s="4">
        <f>IF(ISERROR(VLOOKUP($U$1765,'TAR FIN'!$A$1:$O$99,15,0)),0,VLOOKUP($U$1765,'TAR FIN'!$A$1:$O$99,15,0))</f>
        <v>346.61</v>
      </c>
      <c r="Y1765" s="4"/>
      <c r="Z1765" s="4">
        <f ca="1">('TUSD BE'!$AM$56+'TUSD BF'!$AM$56+'TUSD CVA'!$AM$56)*1</f>
        <v>1178.1887517861644</v>
      </c>
      <c r="AA1765" s="4">
        <f>('TE BE'!$AA$38+'TE BF'!$AA$38+'TE CVA'!$AA$38)*1</f>
        <v>423.89652505413846</v>
      </c>
      <c r="AB1765" s="4">
        <f>$K$1765*$V$1765</f>
        <v>0</v>
      </c>
      <c r="AC1765" s="4">
        <f>$M$1765*$W$1765</f>
        <v>173.77503999999999</v>
      </c>
      <c r="AD1765" s="4">
        <f>$O$1765*$X$1765</f>
        <v>59.61692</v>
      </c>
      <c r="AE1765" s="4">
        <f>$K$1765*$Y$1765</f>
        <v>0</v>
      </c>
      <c r="AF1765" s="4">
        <f ca="1">$M$1765*$Z$1765</f>
        <v>202.64846530722025</v>
      </c>
      <c r="AG1765" s="4">
        <f>$O$1765*$AA$1765</f>
        <v>72.910202309311813</v>
      </c>
    </row>
    <row r="1766" spans="1:33" ht="11.25" customHeight="1" x14ac:dyDescent="0.25">
      <c r="A1766" s="3" t="s">
        <v>21</v>
      </c>
      <c r="B1766" s="3" t="s">
        <v>39</v>
      </c>
      <c r="C1766" s="3" t="s">
        <v>37</v>
      </c>
      <c r="D1766" s="3" t="s">
        <v>40</v>
      </c>
      <c r="E1766" s="3" t="s">
        <v>25</v>
      </c>
      <c r="F1766" s="3" t="s">
        <v>25</v>
      </c>
      <c r="G1766" s="3" t="s">
        <v>25</v>
      </c>
      <c r="H1766" s="3" t="s">
        <v>35</v>
      </c>
      <c r="I1766" s="6">
        <v>44409</v>
      </c>
      <c r="J1766" s="4">
        <v>0</v>
      </c>
      <c r="K1766" s="4">
        <v>0</v>
      </c>
      <c r="L1766" s="4">
        <v>0.13300000000000001</v>
      </c>
      <c r="M1766" s="4">
        <v>0.13300000000000001</v>
      </c>
      <c r="N1766" s="4">
        <v>0.13300000000000001</v>
      </c>
      <c r="O1766" s="4">
        <v>0.13300000000000001</v>
      </c>
      <c r="P1766" s="4">
        <v>0</v>
      </c>
      <c r="Q1766" s="3" t="s">
        <v>26</v>
      </c>
      <c r="R1766" s="3">
        <v>0</v>
      </c>
      <c r="S1766" s="4">
        <v>0</v>
      </c>
      <c r="T1766" s="4">
        <v>42</v>
      </c>
      <c r="U1766" s="4">
        <v>82</v>
      </c>
      <c r="V1766" s="4">
        <f>IF(ISERROR(VLOOKUP($S$1766,'TAR FIN'!$A$1:$O$99,15,0)),0,VLOOKUP($S$1766,'TAR FIN'!$A$1:$O$99,15,0))</f>
        <v>0</v>
      </c>
      <c r="W1766" s="4">
        <f>IF(ISERROR(VLOOKUP($T$1766,'TAR FIN'!$A$1:$O$99,15,0)),0,VLOOKUP($T$1766,'TAR FIN'!$A$1:$O$99,15,0))</f>
        <v>1010.32</v>
      </c>
      <c r="X1766" s="4">
        <f>IF(ISERROR(VLOOKUP($U$1766,'TAR FIN'!$A$1:$O$99,15,0)),0,VLOOKUP($U$1766,'TAR FIN'!$A$1:$O$99,15,0))</f>
        <v>346.61</v>
      </c>
      <c r="Y1766" s="4"/>
      <c r="Z1766" s="4">
        <f ca="1">('TUSD BE'!$AM$56+'TUSD BF'!$AM$56+'TUSD CVA'!$AM$56)*1</f>
        <v>1178.1887517861644</v>
      </c>
      <c r="AA1766" s="4">
        <f>('TE BE'!$AA$38+'TE BF'!$AA$38+'TE CVA'!$AA$38)*1</f>
        <v>423.89652505413846</v>
      </c>
      <c r="AB1766" s="4">
        <f>$K$1766*$V$1766</f>
        <v>0</v>
      </c>
      <c r="AC1766" s="4">
        <f>$M$1766*$W$1766</f>
        <v>134.37256000000002</v>
      </c>
      <c r="AD1766" s="4">
        <f>$O$1766*$X$1766</f>
        <v>46.099130000000002</v>
      </c>
      <c r="AE1766" s="4">
        <f>$K$1766*$Y$1766</f>
        <v>0</v>
      </c>
      <c r="AF1766" s="4">
        <f ca="1">$M$1766*$Z$1766</f>
        <v>156.69910398755988</v>
      </c>
      <c r="AG1766" s="4">
        <f>$O$1766*$AA$1766</f>
        <v>56.378237832200419</v>
      </c>
    </row>
    <row r="1767" spans="1:33" ht="11.25" customHeight="1" x14ac:dyDescent="0.25">
      <c r="A1767" s="3" t="s">
        <v>21</v>
      </c>
      <c r="B1767" s="3" t="s">
        <v>39</v>
      </c>
      <c r="C1767" s="3" t="s">
        <v>37</v>
      </c>
      <c r="D1767" s="3" t="s">
        <v>40</v>
      </c>
      <c r="E1767" s="3" t="s">
        <v>25</v>
      </c>
      <c r="F1767" s="3" t="s">
        <v>25</v>
      </c>
      <c r="G1767" s="3" t="s">
        <v>25</v>
      </c>
      <c r="H1767" s="3" t="s">
        <v>35</v>
      </c>
      <c r="I1767" s="6">
        <v>44440</v>
      </c>
      <c r="J1767" s="4">
        <v>0</v>
      </c>
      <c r="K1767" s="4">
        <v>0</v>
      </c>
      <c r="L1767" s="4">
        <v>0.12</v>
      </c>
      <c r="M1767" s="4">
        <v>0.12</v>
      </c>
      <c r="N1767" s="4">
        <v>0.12</v>
      </c>
      <c r="O1767" s="4">
        <v>0.12</v>
      </c>
      <c r="P1767" s="4">
        <v>0</v>
      </c>
      <c r="Q1767" s="3" t="s">
        <v>26</v>
      </c>
      <c r="R1767" s="3">
        <v>0</v>
      </c>
      <c r="S1767" s="4">
        <v>0</v>
      </c>
      <c r="T1767" s="4">
        <v>42</v>
      </c>
      <c r="U1767" s="4">
        <v>82</v>
      </c>
      <c r="V1767" s="4">
        <f>IF(ISERROR(VLOOKUP($S$1767,'TAR FIN'!$A$1:$O$99,15,0)),0,VLOOKUP($S$1767,'TAR FIN'!$A$1:$O$99,15,0))</f>
        <v>0</v>
      </c>
      <c r="W1767" s="4">
        <f>IF(ISERROR(VLOOKUP($T$1767,'TAR FIN'!$A$1:$O$99,15,0)),0,VLOOKUP($T$1767,'TAR FIN'!$A$1:$O$99,15,0))</f>
        <v>1010.32</v>
      </c>
      <c r="X1767" s="4">
        <f>IF(ISERROR(VLOOKUP($U$1767,'TAR FIN'!$A$1:$O$99,15,0)),0,VLOOKUP($U$1767,'TAR FIN'!$A$1:$O$99,15,0))</f>
        <v>346.61</v>
      </c>
      <c r="Y1767" s="4"/>
      <c r="Z1767" s="4">
        <f ca="1">('TUSD BE'!$AM$56+'TUSD BF'!$AM$56+'TUSD CVA'!$AM$56)*1</f>
        <v>1178.1887517861644</v>
      </c>
      <c r="AA1767" s="4">
        <f>('TE BE'!$AA$38+'TE BF'!$AA$38+'TE CVA'!$AA$38)*1</f>
        <v>423.89652505413846</v>
      </c>
      <c r="AB1767" s="4">
        <f>$K$1767*$V$1767</f>
        <v>0</v>
      </c>
      <c r="AC1767" s="4">
        <f>$M$1767*$W$1767</f>
        <v>121.2384</v>
      </c>
      <c r="AD1767" s="4">
        <f>$O$1767*$X$1767</f>
        <v>41.593200000000003</v>
      </c>
      <c r="AE1767" s="4">
        <f>$K$1767*$Y$1767</f>
        <v>0</v>
      </c>
      <c r="AF1767" s="4">
        <f ca="1">$M$1767*$Z$1767</f>
        <v>141.38265021433972</v>
      </c>
      <c r="AG1767" s="4">
        <f>$O$1767*$AA$1767</f>
        <v>50.867583006496616</v>
      </c>
    </row>
    <row r="1768" spans="1:33" ht="11.25" customHeight="1" x14ac:dyDescent="0.25">
      <c r="A1768" s="3" t="s">
        <v>21</v>
      </c>
      <c r="B1768" s="3" t="s">
        <v>39</v>
      </c>
      <c r="C1768" s="3" t="s">
        <v>37</v>
      </c>
      <c r="D1768" s="3" t="s">
        <v>40</v>
      </c>
      <c r="E1768" s="3" t="s">
        <v>25</v>
      </c>
      <c r="F1768" s="3" t="s">
        <v>25</v>
      </c>
      <c r="G1768" s="3" t="s">
        <v>25</v>
      </c>
      <c r="H1768" s="3" t="s">
        <v>35</v>
      </c>
      <c r="I1768" s="6">
        <v>44470</v>
      </c>
      <c r="J1768" s="4">
        <v>0</v>
      </c>
      <c r="K1768" s="4">
        <v>0</v>
      </c>
      <c r="L1768" s="4">
        <v>0.14399999999999999</v>
      </c>
      <c r="M1768" s="4">
        <v>0.14399999999999999</v>
      </c>
      <c r="N1768" s="4">
        <v>0.14399999999999999</v>
      </c>
      <c r="O1768" s="4">
        <v>0.14399999999999999</v>
      </c>
      <c r="P1768" s="4">
        <v>0</v>
      </c>
      <c r="Q1768" s="3" t="s">
        <v>26</v>
      </c>
      <c r="R1768" s="3">
        <v>0</v>
      </c>
      <c r="S1768" s="4">
        <v>0</v>
      </c>
      <c r="T1768" s="4">
        <v>42</v>
      </c>
      <c r="U1768" s="4">
        <v>82</v>
      </c>
      <c r="V1768" s="4">
        <f>IF(ISERROR(VLOOKUP($S$1768,'TAR FIN'!$A$1:$O$99,15,0)),0,VLOOKUP($S$1768,'TAR FIN'!$A$1:$O$99,15,0))</f>
        <v>0</v>
      </c>
      <c r="W1768" s="4">
        <f>IF(ISERROR(VLOOKUP($T$1768,'TAR FIN'!$A$1:$O$99,15,0)),0,VLOOKUP($T$1768,'TAR FIN'!$A$1:$O$99,15,0))</f>
        <v>1010.32</v>
      </c>
      <c r="X1768" s="4">
        <f>IF(ISERROR(VLOOKUP($U$1768,'TAR FIN'!$A$1:$O$99,15,0)),0,VLOOKUP($U$1768,'TAR FIN'!$A$1:$O$99,15,0))</f>
        <v>346.61</v>
      </c>
      <c r="Y1768" s="4"/>
      <c r="Z1768" s="4">
        <f ca="1">('TUSD BE'!$AM$56+'TUSD BF'!$AM$56+'TUSD CVA'!$AM$56)*1</f>
        <v>1178.1887517861644</v>
      </c>
      <c r="AA1768" s="4">
        <f>('TE BE'!$AA$38+'TE BF'!$AA$38+'TE CVA'!$AA$38)*1</f>
        <v>423.89652505413846</v>
      </c>
      <c r="AB1768" s="4">
        <f>$K$1768*$V$1768</f>
        <v>0</v>
      </c>
      <c r="AC1768" s="4">
        <f>$M$1768*$W$1768</f>
        <v>145.48607999999999</v>
      </c>
      <c r="AD1768" s="4">
        <f>$O$1768*$X$1768</f>
        <v>49.911839999999998</v>
      </c>
      <c r="AE1768" s="4">
        <f>$K$1768*$Y$1768</f>
        <v>0</v>
      </c>
      <c r="AF1768" s="4">
        <f ca="1">$M$1768*$Z$1768</f>
        <v>169.65918025720765</v>
      </c>
      <c r="AG1768" s="4">
        <f>$O$1768*$AA$1768</f>
        <v>61.041099607795935</v>
      </c>
    </row>
    <row r="1769" spans="1:33" ht="11.25" customHeight="1" x14ac:dyDescent="0.25">
      <c r="A1769" s="3" t="s">
        <v>21</v>
      </c>
      <c r="B1769" s="3" t="s">
        <v>39</v>
      </c>
      <c r="C1769" s="3" t="s">
        <v>37</v>
      </c>
      <c r="D1769" s="3" t="s">
        <v>40</v>
      </c>
      <c r="E1769" s="3" t="s">
        <v>25</v>
      </c>
      <c r="F1769" s="3" t="s">
        <v>25</v>
      </c>
      <c r="G1769" s="3" t="s">
        <v>25</v>
      </c>
      <c r="H1769" s="3" t="s">
        <v>35</v>
      </c>
      <c r="I1769" s="6">
        <v>44501</v>
      </c>
      <c r="J1769" s="4">
        <v>0</v>
      </c>
      <c r="K1769" s="4">
        <v>0</v>
      </c>
      <c r="L1769" s="4">
        <v>0.13700000000000001</v>
      </c>
      <c r="M1769" s="4">
        <v>0.13700000000000001</v>
      </c>
      <c r="N1769" s="4">
        <v>0.13700000000000001</v>
      </c>
      <c r="O1769" s="4">
        <v>0.13700000000000001</v>
      </c>
      <c r="P1769" s="4">
        <v>0</v>
      </c>
      <c r="Q1769" s="3" t="s">
        <v>26</v>
      </c>
      <c r="R1769" s="3">
        <v>0</v>
      </c>
      <c r="S1769" s="4">
        <v>0</v>
      </c>
      <c r="T1769" s="4">
        <v>42</v>
      </c>
      <c r="U1769" s="4">
        <v>82</v>
      </c>
      <c r="V1769" s="4">
        <f>IF(ISERROR(VLOOKUP($S$1769,'TAR FIN'!$A$1:$O$99,15,0)),0,VLOOKUP($S$1769,'TAR FIN'!$A$1:$O$99,15,0))</f>
        <v>0</v>
      </c>
      <c r="W1769" s="4">
        <f>IF(ISERROR(VLOOKUP($T$1769,'TAR FIN'!$A$1:$O$99,15,0)),0,VLOOKUP($T$1769,'TAR FIN'!$A$1:$O$99,15,0))</f>
        <v>1010.32</v>
      </c>
      <c r="X1769" s="4">
        <f>IF(ISERROR(VLOOKUP($U$1769,'TAR FIN'!$A$1:$O$99,15,0)),0,VLOOKUP($U$1769,'TAR FIN'!$A$1:$O$99,15,0))</f>
        <v>346.61</v>
      </c>
      <c r="Y1769" s="4"/>
      <c r="Z1769" s="4">
        <f ca="1">('TUSD BE'!$AM$56+'TUSD BF'!$AM$56+'TUSD CVA'!$AM$56)*1</f>
        <v>1178.1887517861644</v>
      </c>
      <c r="AA1769" s="4">
        <f>('TE BE'!$AA$38+'TE BF'!$AA$38+'TE CVA'!$AA$38)*1</f>
        <v>423.89652505413846</v>
      </c>
      <c r="AB1769" s="4">
        <f>$K$1769*$V$1769</f>
        <v>0</v>
      </c>
      <c r="AC1769" s="4">
        <f>$M$1769*$W$1769</f>
        <v>138.41384000000002</v>
      </c>
      <c r="AD1769" s="4">
        <f>$O$1769*$X$1769</f>
        <v>47.485570000000003</v>
      </c>
      <c r="AE1769" s="4">
        <f>$K$1769*$Y$1769</f>
        <v>0</v>
      </c>
      <c r="AF1769" s="4">
        <f ca="1">$M$1769*$Z$1769</f>
        <v>161.41185899470455</v>
      </c>
      <c r="AG1769" s="4">
        <f>$O$1769*$AA$1769</f>
        <v>58.073823932416971</v>
      </c>
    </row>
    <row r="1770" spans="1:33" ht="11.25" customHeight="1" x14ac:dyDescent="0.25">
      <c r="A1770" s="3" t="s">
        <v>21</v>
      </c>
      <c r="B1770" s="3" t="s">
        <v>39</v>
      </c>
      <c r="C1770" s="3" t="s">
        <v>37</v>
      </c>
      <c r="D1770" s="3" t="s">
        <v>40</v>
      </c>
      <c r="E1770" s="3" t="s">
        <v>25</v>
      </c>
      <c r="F1770" s="3" t="s">
        <v>25</v>
      </c>
      <c r="G1770" s="3" t="s">
        <v>25</v>
      </c>
      <c r="H1770" s="3" t="s">
        <v>35</v>
      </c>
      <c r="I1770" s="6">
        <v>44531</v>
      </c>
      <c r="J1770" s="4">
        <v>0</v>
      </c>
      <c r="K1770" s="4">
        <v>0</v>
      </c>
      <c r="L1770" s="4">
        <v>0.155</v>
      </c>
      <c r="M1770" s="4">
        <v>0.155</v>
      </c>
      <c r="N1770" s="4">
        <v>0.155</v>
      </c>
      <c r="O1770" s="4">
        <v>0.155</v>
      </c>
      <c r="P1770" s="4">
        <v>0</v>
      </c>
      <c r="Q1770" s="3" t="s">
        <v>26</v>
      </c>
      <c r="R1770" s="3">
        <v>0</v>
      </c>
      <c r="S1770" s="4">
        <v>0</v>
      </c>
      <c r="T1770" s="4">
        <v>42</v>
      </c>
      <c r="U1770" s="4">
        <v>82</v>
      </c>
      <c r="V1770" s="4">
        <f>IF(ISERROR(VLOOKUP($S$1770,'TAR FIN'!$A$1:$O$99,15,0)),0,VLOOKUP($S$1770,'TAR FIN'!$A$1:$O$99,15,0))</f>
        <v>0</v>
      </c>
      <c r="W1770" s="4">
        <f>IF(ISERROR(VLOOKUP($T$1770,'TAR FIN'!$A$1:$O$99,15,0)),0,VLOOKUP($T$1770,'TAR FIN'!$A$1:$O$99,15,0))</f>
        <v>1010.32</v>
      </c>
      <c r="X1770" s="4">
        <f>IF(ISERROR(VLOOKUP($U$1770,'TAR FIN'!$A$1:$O$99,15,0)),0,VLOOKUP($U$1770,'TAR FIN'!$A$1:$O$99,15,0))</f>
        <v>346.61</v>
      </c>
      <c r="Y1770" s="4"/>
      <c r="Z1770" s="4">
        <f ca="1">('TUSD BE'!$AM$56+'TUSD BF'!$AM$56+'TUSD CVA'!$AM$56)*1</f>
        <v>1178.1887517861644</v>
      </c>
      <c r="AA1770" s="4">
        <f>('TE BE'!$AA$38+'TE BF'!$AA$38+'TE CVA'!$AA$38)*1</f>
        <v>423.89652505413846</v>
      </c>
      <c r="AB1770" s="4">
        <f>$K$1770*$V$1770</f>
        <v>0</v>
      </c>
      <c r="AC1770" s="4">
        <f>$M$1770*$W$1770</f>
        <v>156.59960000000001</v>
      </c>
      <c r="AD1770" s="4">
        <f>$O$1770*$X$1770</f>
        <v>53.724550000000001</v>
      </c>
      <c r="AE1770" s="4">
        <f>$K$1770*$Y$1770</f>
        <v>0</v>
      </c>
      <c r="AF1770" s="4">
        <f ca="1">$M$1770*$Z$1770</f>
        <v>182.61925652685548</v>
      </c>
      <c r="AG1770" s="4">
        <f>$O$1770*$AA$1770</f>
        <v>65.703961383391459</v>
      </c>
    </row>
    <row r="1771" spans="1:33" ht="11.25" customHeight="1" x14ac:dyDescent="0.25">
      <c r="A1771" s="3" t="s">
        <v>21</v>
      </c>
      <c r="B1771" s="3" t="s">
        <v>39</v>
      </c>
      <c r="C1771" s="3" t="s">
        <v>37</v>
      </c>
      <c r="D1771" s="3" t="s">
        <v>40</v>
      </c>
      <c r="E1771" s="3" t="s">
        <v>25</v>
      </c>
      <c r="F1771" s="3" t="s">
        <v>25</v>
      </c>
      <c r="G1771" s="3" t="s">
        <v>25</v>
      </c>
      <c r="H1771" s="3" t="s">
        <v>35</v>
      </c>
      <c r="I1771" s="6">
        <v>44562</v>
      </c>
      <c r="J1771" s="4">
        <v>0</v>
      </c>
      <c r="K1771" s="4">
        <v>0</v>
      </c>
      <c r="L1771" s="4">
        <v>0.186</v>
      </c>
      <c r="M1771" s="4">
        <v>0.186</v>
      </c>
      <c r="N1771" s="4">
        <v>0.186</v>
      </c>
      <c r="O1771" s="4">
        <v>0.186</v>
      </c>
      <c r="P1771" s="4">
        <v>0</v>
      </c>
      <c r="Q1771" s="3" t="s">
        <v>26</v>
      </c>
      <c r="R1771" s="3">
        <v>0</v>
      </c>
      <c r="S1771" s="4">
        <v>0</v>
      </c>
      <c r="T1771" s="4">
        <v>42</v>
      </c>
      <c r="U1771" s="4">
        <v>82</v>
      </c>
      <c r="V1771" s="4">
        <f>IF(ISERROR(VLOOKUP($S$1771,'TAR FIN'!$A$1:$O$99,15,0)),0,VLOOKUP($S$1771,'TAR FIN'!$A$1:$O$99,15,0))</f>
        <v>0</v>
      </c>
      <c r="W1771" s="4">
        <f>IF(ISERROR(VLOOKUP($T$1771,'TAR FIN'!$A$1:$O$99,15,0)),0,VLOOKUP($T$1771,'TAR FIN'!$A$1:$O$99,15,0))</f>
        <v>1010.32</v>
      </c>
      <c r="X1771" s="4">
        <f>IF(ISERROR(VLOOKUP($U$1771,'TAR FIN'!$A$1:$O$99,15,0)),0,VLOOKUP($U$1771,'TAR FIN'!$A$1:$O$99,15,0))</f>
        <v>346.61</v>
      </c>
      <c r="Y1771" s="4"/>
      <c r="Z1771" s="4">
        <f ca="1">('TUSD BE'!$AM$56+'TUSD BF'!$AM$56+'TUSD CVA'!$AM$56)*1</f>
        <v>1178.1887517861644</v>
      </c>
      <c r="AA1771" s="4">
        <f>('TE BE'!$AA$38+'TE BF'!$AA$38+'TE CVA'!$AA$38)*1</f>
        <v>423.89652505413846</v>
      </c>
      <c r="AB1771" s="4">
        <f>$K$1771*$V$1771</f>
        <v>0</v>
      </c>
      <c r="AC1771" s="4">
        <f>$M$1771*$W$1771</f>
        <v>187.91952000000001</v>
      </c>
      <c r="AD1771" s="4">
        <f>$O$1771*$X$1771</f>
        <v>64.469459999999998</v>
      </c>
      <c r="AE1771" s="4">
        <f>$K$1771*$Y$1771</f>
        <v>0</v>
      </c>
      <c r="AF1771" s="4">
        <f ca="1">$M$1771*$Z$1771</f>
        <v>219.14310783222658</v>
      </c>
      <c r="AG1771" s="4">
        <f>$O$1771*$AA$1771</f>
        <v>78.844753660069756</v>
      </c>
    </row>
    <row r="1772" spans="1:33" ht="11.25" customHeight="1" x14ac:dyDescent="0.25">
      <c r="A1772" s="3" t="s">
        <v>21</v>
      </c>
      <c r="B1772" s="3" t="s">
        <v>39</v>
      </c>
      <c r="C1772" s="3" t="s">
        <v>37</v>
      </c>
      <c r="D1772" s="3" t="s">
        <v>40</v>
      </c>
      <c r="E1772" s="3" t="s">
        <v>25</v>
      </c>
      <c r="F1772" s="3" t="s">
        <v>25</v>
      </c>
      <c r="G1772" s="3" t="s">
        <v>25</v>
      </c>
      <c r="H1772" s="3" t="s">
        <v>35</v>
      </c>
      <c r="I1772" s="6">
        <v>44593</v>
      </c>
      <c r="J1772" s="4">
        <v>0</v>
      </c>
      <c r="K1772" s="4">
        <v>0</v>
      </c>
      <c r="L1772" s="4">
        <v>0.151</v>
      </c>
      <c r="M1772" s="4">
        <v>0.151</v>
      </c>
      <c r="N1772" s="4">
        <v>0.151</v>
      </c>
      <c r="O1772" s="4">
        <v>0.151</v>
      </c>
      <c r="P1772" s="4">
        <v>0</v>
      </c>
      <c r="Q1772" s="3" t="s">
        <v>26</v>
      </c>
      <c r="R1772" s="3">
        <v>0</v>
      </c>
      <c r="S1772" s="4">
        <v>0</v>
      </c>
      <c r="T1772" s="4">
        <v>42</v>
      </c>
      <c r="U1772" s="4">
        <v>82</v>
      </c>
      <c r="V1772" s="4">
        <f>IF(ISERROR(VLOOKUP($S$1772,'TAR FIN'!$A$1:$O$99,15,0)),0,VLOOKUP($S$1772,'TAR FIN'!$A$1:$O$99,15,0))</f>
        <v>0</v>
      </c>
      <c r="W1772" s="4">
        <f>IF(ISERROR(VLOOKUP($T$1772,'TAR FIN'!$A$1:$O$99,15,0)),0,VLOOKUP($T$1772,'TAR FIN'!$A$1:$O$99,15,0))</f>
        <v>1010.32</v>
      </c>
      <c r="X1772" s="4">
        <f>IF(ISERROR(VLOOKUP($U$1772,'TAR FIN'!$A$1:$O$99,15,0)),0,VLOOKUP($U$1772,'TAR FIN'!$A$1:$O$99,15,0))</f>
        <v>346.61</v>
      </c>
      <c r="Y1772" s="4"/>
      <c r="Z1772" s="4">
        <f ca="1">('TUSD BE'!$AM$56+'TUSD BF'!$AM$56+'TUSD CVA'!$AM$56)*1</f>
        <v>1178.1887517861644</v>
      </c>
      <c r="AA1772" s="4">
        <f>('TE BE'!$AA$38+'TE BF'!$AA$38+'TE CVA'!$AA$38)*1</f>
        <v>423.89652505413846</v>
      </c>
      <c r="AB1772" s="4">
        <f>$K$1772*$V$1772</f>
        <v>0</v>
      </c>
      <c r="AC1772" s="4">
        <f>$M$1772*$W$1772</f>
        <v>152.55832000000001</v>
      </c>
      <c r="AD1772" s="4">
        <f>$O$1772*$X$1772</f>
        <v>52.33811</v>
      </c>
      <c r="AE1772" s="4">
        <f>$K$1772*$Y$1772</f>
        <v>0</v>
      </c>
      <c r="AF1772" s="4">
        <f ca="1">$M$1772*$Z$1772</f>
        <v>177.90650151971082</v>
      </c>
      <c r="AG1772" s="4">
        <f>$O$1772*$AA$1772</f>
        <v>64.0083752831749</v>
      </c>
    </row>
    <row r="1773" spans="1:33" ht="11.25" customHeight="1" x14ac:dyDescent="0.25">
      <c r="A1773" s="3" t="s">
        <v>21</v>
      </c>
      <c r="B1773" s="3" t="s">
        <v>39</v>
      </c>
      <c r="C1773" s="3" t="s">
        <v>37</v>
      </c>
      <c r="D1773" s="3" t="s">
        <v>40</v>
      </c>
      <c r="E1773" s="3" t="s">
        <v>25</v>
      </c>
      <c r="F1773" s="3" t="s">
        <v>25</v>
      </c>
      <c r="G1773" s="3" t="s">
        <v>25</v>
      </c>
      <c r="H1773" s="3" t="s">
        <v>35</v>
      </c>
      <c r="I1773" s="6">
        <v>44621</v>
      </c>
      <c r="J1773" s="4">
        <v>0</v>
      </c>
      <c r="K1773" s="4">
        <v>0</v>
      </c>
      <c r="L1773" s="4">
        <v>0.19600000000000001</v>
      </c>
      <c r="M1773" s="4">
        <v>0.19600000000000001</v>
      </c>
      <c r="N1773" s="4">
        <v>0.19600000000000001</v>
      </c>
      <c r="O1773" s="4">
        <v>0.19600000000000001</v>
      </c>
      <c r="P1773" s="4">
        <v>0</v>
      </c>
      <c r="Q1773" s="3" t="s">
        <v>26</v>
      </c>
      <c r="R1773" s="3">
        <v>0</v>
      </c>
      <c r="S1773" s="4">
        <v>0</v>
      </c>
      <c r="T1773" s="4">
        <v>42</v>
      </c>
      <c r="U1773" s="4">
        <v>82</v>
      </c>
      <c r="V1773" s="4">
        <f>IF(ISERROR(VLOOKUP($S$1773,'TAR FIN'!$A$1:$O$99,15,0)),0,VLOOKUP($S$1773,'TAR FIN'!$A$1:$O$99,15,0))</f>
        <v>0</v>
      </c>
      <c r="W1773" s="4">
        <f>IF(ISERROR(VLOOKUP($T$1773,'TAR FIN'!$A$1:$O$99,15,0)),0,VLOOKUP($T$1773,'TAR FIN'!$A$1:$O$99,15,0))</f>
        <v>1010.32</v>
      </c>
      <c r="X1773" s="4">
        <f>IF(ISERROR(VLOOKUP($U$1773,'TAR FIN'!$A$1:$O$99,15,0)),0,VLOOKUP($U$1773,'TAR FIN'!$A$1:$O$99,15,0))</f>
        <v>346.61</v>
      </c>
      <c r="Y1773" s="4"/>
      <c r="Z1773" s="4">
        <f ca="1">('TUSD BE'!$AM$56+'TUSD BF'!$AM$56+'TUSD CVA'!$AM$56)*1</f>
        <v>1178.1887517861644</v>
      </c>
      <c r="AA1773" s="4">
        <f>('TE BE'!$AA$38+'TE BF'!$AA$38+'TE CVA'!$AA$38)*1</f>
        <v>423.89652505413846</v>
      </c>
      <c r="AB1773" s="4">
        <f>$K$1773*$V$1773</f>
        <v>0</v>
      </c>
      <c r="AC1773" s="4">
        <f>$M$1773*$W$1773</f>
        <v>198.02272000000002</v>
      </c>
      <c r="AD1773" s="4">
        <f>$O$1773*$X$1773</f>
        <v>67.935560000000009</v>
      </c>
      <c r="AE1773" s="4">
        <f>$K$1773*$Y$1773</f>
        <v>0</v>
      </c>
      <c r="AF1773" s="4">
        <f ca="1">$M$1773*$Z$1773</f>
        <v>230.92499535008824</v>
      </c>
      <c r="AG1773" s="4">
        <f>$O$1773*$AA$1773</f>
        <v>83.08371891061114</v>
      </c>
    </row>
    <row r="1774" spans="1:33" ht="11.25" customHeight="1" x14ac:dyDescent="0.25">
      <c r="A1774" s="3" t="s">
        <v>56</v>
      </c>
      <c r="B1774" s="3" t="s">
        <v>39</v>
      </c>
      <c r="C1774" s="3" t="s">
        <v>37</v>
      </c>
      <c r="D1774" s="3" t="s">
        <v>40</v>
      </c>
      <c r="E1774" s="3" t="s">
        <v>25</v>
      </c>
      <c r="F1774" s="3" t="s">
        <v>25</v>
      </c>
      <c r="G1774" s="3" t="s">
        <v>25</v>
      </c>
      <c r="H1774" s="3" t="s">
        <v>35</v>
      </c>
      <c r="I1774" s="6">
        <v>44652</v>
      </c>
      <c r="J1774" s="4">
        <v>0</v>
      </c>
      <c r="K1774" s="4">
        <v>0</v>
      </c>
      <c r="L1774" s="4">
        <v>0.19600000000000001</v>
      </c>
      <c r="M1774" s="4">
        <v>0.19600000000000001</v>
      </c>
      <c r="N1774" s="4">
        <v>0.19600000000000001</v>
      </c>
      <c r="O1774" s="4">
        <v>0.19600000000000001</v>
      </c>
      <c r="P1774" s="4">
        <v>0</v>
      </c>
      <c r="Q1774" s="3" t="s">
        <v>26</v>
      </c>
      <c r="R1774" s="3">
        <v>0</v>
      </c>
      <c r="S1774" s="4">
        <v>0</v>
      </c>
      <c r="T1774" s="4">
        <v>42</v>
      </c>
      <c r="U1774" s="4">
        <v>82</v>
      </c>
      <c r="V1774" s="4">
        <f>IF(ISERROR(VLOOKUP($S$1774,'TAR FIN'!$A$1:$O$99,15,0)),0,VLOOKUP($S$1774,'TAR FIN'!$A$1:$O$99,15,0))</f>
        <v>0</v>
      </c>
      <c r="W1774" s="4">
        <f>IF(ISERROR(VLOOKUP($T$1774,'TAR FIN'!$A$1:$O$99,15,0)),0,VLOOKUP($T$1774,'TAR FIN'!$A$1:$O$99,15,0))</f>
        <v>1010.32</v>
      </c>
      <c r="X1774" s="4">
        <f>IF(ISERROR(VLOOKUP($U$1774,'TAR FIN'!$A$1:$O$99,15,0)),0,VLOOKUP($U$1774,'TAR FIN'!$A$1:$O$99,15,0))</f>
        <v>346.61</v>
      </c>
      <c r="Y1774" s="4"/>
      <c r="Z1774" s="4">
        <f ca="1">('TUSD BE'!$AM$56+'TUSD BF'!$AM$56+'TUSD CVA'!$AM$56)*1</f>
        <v>1178.1887517861644</v>
      </c>
      <c r="AA1774" s="4">
        <f>('TE BE'!$AA$38+'TE BF'!$AA$38+'TE CVA'!$AA$38)*1</f>
        <v>423.89652505413846</v>
      </c>
      <c r="AB1774" s="4">
        <f>$K$1774*$V$1774</f>
        <v>0</v>
      </c>
      <c r="AC1774" s="4">
        <f>$M$1774*$W$1774</f>
        <v>198.02272000000002</v>
      </c>
      <c r="AD1774" s="4">
        <f>$O$1774*$X$1774</f>
        <v>67.935560000000009</v>
      </c>
      <c r="AE1774" s="4">
        <f>$K$1774*$Y$1774</f>
        <v>0</v>
      </c>
      <c r="AF1774" s="4">
        <f ca="1">$M$1774*$Z$1774</f>
        <v>230.92499535008824</v>
      </c>
      <c r="AG1774" s="4">
        <f>$O$1774*$AA$1774</f>
        <v>83.08371891061114</v>
      </c>
    </row>
    <row r="1775" spans="1:33" ht="11.25" customHeight="1" x14ac:dyDescent="0.25">
      <c r="A1775" s="3" t="s">
        <v>21</v>
      </c>
      <c r="B1775" s="3" t="s">
        <v>39</v>
      </c>
      <c r="C1775" s="3" t="s">
        <v>37</v>
      </c>
      <c r="D1775" s="3" t="s">
        <v>46</v>
      </c>
      <c r="E1775" s="3" t="s">
        <v>25</v>
      </c>
      <c r="F1775" s="3" t="s">
        <v>25</v>
      </c>
      <c r="G1775" s="3" t="s">
        <v>25</v>
      </c>
      <c r="H1775" s="3" t="s">
        <v>36</v>
      </c>
      <c r="I1775" s="6">
        <v>44317</v>
      </c>
      <c r="J1775" s="4">
        <v>0</v>
      </c>
      <c r="K1775" s="4">
        <v>0</v>
      </c>
      <c r="L1775" s="4">
        <v>2.0630000000000002</v>
      </c>
      <c r="M1775" s="4">
        <v>2.0630000000000002</v>
      </c>
      <c r="N1775" s="4">
        <v>2.0630000000000002</v>
      </c>
      <c r="O1775" s="4">
        <v>2.0630000000000002</v>
      </c>
      <c r="P1775" s="4">
        <v>0</v>
      </c>
      <c r="Q1775" s="3" t="s">
        <v>26</v>
      </c>
      <c r="R1775" s="3">
        <v>0</v>
      </c>
      <c r="S1775" s="4">
        <v>0</v>
      </c>
      <c r="T1775" s="4">
        <v>44</v>
      </c>
      <c r="U1775" s="4">
        <v>84</v>
      </c>
      <c r="V1775" s="4">
        <f>IF(ISERROR(VLOOKUP($S$1775,'TAR FIN'!$A$1:$O$99,15,0)),0,VLOOKUP($S$1775,'TAR FIN'!$A$1:$O$99,15,0))</f>
        <v>0</v>
      </c>
      <c r="W1775" s="4">
        <f>IF(ISERROR(VLOOKUP($T$1775,'TAR FIN'!$A$1:$O$99,15,0)),0,VLOOKUP($T$1775,'TAR FIN'!$A$1:$O$99,15,0))</f>
        <v>304.7</v>
      </c>
      <c r="X1775" s="4">
        <f>IF(ISERROR(VLOOKUP($U$1775,'TAR FIN'!$A$1:$O$99,15,0)),0,VLOOKUP($U$1775,'TAR FIN'!$A$1:$O$99,15,0))</f>
        <v>219.97</v>
      </c>
      <c r="Y1775" s="4"/>
      <c r="Z1775" s="4">
        <f ca="1">('TUSD BE'!$AM$58+'TUSD BF'!$AM$58+'TUSD CVA'!$AM$58)*1</f>
        <v>361.43108304877717</v>
      </c>
      <c r="AA1775" s="4">
        <f>('TE BE'!$AA$40+'TE BF'!$AA$40+'TE CVA'!$AA$40)*1</f>
        <v>271.13910989737087</v>
      </c>
      <c r="AB1775" s="4">
        <f>$K$1775*$V$1775</f>
        <v>0</v>
      </c>
      <c r="AC1775" s="4">
        <f>$M$1775*$W$1775</f>
        <v>628.59609999999998</v>
      </c>
      <c r="AD1775" s="4">
        <f>$O$1775*$X$1775</f>
        <v>453.79811000000001</v>
      </c>
      <c r="AE1775" s="4">
        <f>$K$1775*$Y$1775</f>
        <v>0</v>
      </c>
      <c r="AF1775" s="4">
        <f ca="1">$M$1775*$Z$1775</f>
        <v>745.63232432962741</v>
      </c>
      <c r="AG1775" s="4">
        <f>$O$1775*$AA$1775</f>
        <v>559.35998371827611</v>
      </c>
    </row>
    <row r="1776" spans="1:33" ht="11.25" customHeight="1" x14ac:dyDescent="0.25">
      <c r="A1776" s="3" t="s">
        <v>21</v>
      </c>
      <c r="B1776" s="3" t="s">
        <v>39</v>
      </c>
      <c r="C1776" s="3" t="s">
        <v>37</v>
      </c>
      <c r="D1776" s="3" t="s">
        <v>46</v>
      </c>
      <c r="E1776" s="3" t="s">
        <v>25</v>
      </c>
      <c r="F1776" s="3" t="s">
        <v>25</v>
      </c>
      <c r="G1776" s="3" t="s">
        <v>25</v>
      </c>
      <c r="H1776" s="3" t="s">
        <v>36</v>
      </c>
      <c r="I1776" s="6">
        <v>44348</v>
      </c>
      <c r="J1776" s="4">
        <v>0</v>
      </c>
      <c r="K1776" s="4">
        <v>0</v>
      </c>
      <c r="L1776" s="4">
        <v>1.911</v>
      </c>
      <c r="M1776" s="4">
        <v>1.911</v>
      </c>
      <c r="N1776" s="4">
        <v>1.911</v>
      </c>
      <c r="O1776" s="4">
        <v>1.911</v>
      </c>
      <c r="P1776" s="4">
        <v>0</v>
      </c>
      <c r="Q1776" s="3" t="s">
        <v>26</v>
      </c>
      <c r="R1776" s="3">
        <v>0</v>
      </c>
      <c r="S1776" s="4">
        <v>0</v>
      </c>
      <c r="T1776" s="4">
        <v>44</v>
      </c>
      <c r="U1776" s="4">
        <v>84</v>
      </c>
      <c r="V1776" s="4">
        <f>IF(ISERROR(VLOOKUP($S$1776,'TAR FIN'!$A$1:$O$99,15,0)),0,VLOOKUP($S$1776,'TAR FIN'!$A$1:$O$99,15,0))</f>
        <v>0</v>
      </c>
      <c r="W1776" s="4">
        <f>IF(ISERROR(VLOOKUP($T$1776,'TAR FIN'!$A$1:$O$99,15,0)),0,VLOOKUP($T$1776,'TAR FIN'!$A$1:$O$99,15,0))</f>
        <v>304.7</v>
      </c>
      <c r="X1776" s="4">
        <f>IF(ISERROR(VLOOKUP($U$1776,'TAR FIN'!$A$1:$O$99,15,0)),0,VLOOKUP($U$1776,'TAR FIN'!$A$1:$O$99,15,0))</f>
        <v>219.97</v>
      </c>
      <c r="Y1776" s="4"/>
      <c r="Z1776" s="4">
        <f ca="1">('TUSD BE'!$AM$58+'TUSD BF'!$AM$58+'TUSD CVA'!$AM$58)*1</f>
        <v>361.43108304877717</v>
      </c>
      <c r="AA1776" s="4">
        <f>('TE BE'!$AA$40+'TE BF'!$AA$40+'TE CVA'!$AA$40)*1</f>
        <v>271.13910989737087</v>
      </c>
      <c r="AB1776" s="4">
        <f>$K$1776*$V$1776</f>
        <v>0</v>
      </c>
      <c r="AC1776" s="4">
        <f>$M$1776*$W$1776</f>
        <v>582.2817</v>
      </c>
      <c r="AD1776" s="4">
        <f>$O$1776*$X$1776</f>
        <v>420.36266999999998</v>
      </c>
      <c r="AE1776" s="4">
        <f>$K$1776*$Y$1776</f>
        <v>0</v>
      </c>
      <c r="AF1776" s="4">
        <f ca="1">$M$1776*$Z$1776</f>
        <v>690.69479970621319</v>
      </c>
      <c r="AG1776" s="4">
        <f>$O$1776*$AA$1776</f>
        <v>518.14683901387571</v>
      </c>
    </row>
    <row r="1777" spans="1:33" ht="11.25" customHeight="1" x14ac:dyDescent="0.25">
      <c r="A1777" s="3" t="s">
        <v>21</v>
      </c>
      <c r="B1777" s="3" t="s">
        <v>39</v>
      </c>
      <c r="C1777" s="3" t="s">
        <v>37</v>
      </c>
      <c r="D1777" s="3" t="s">
        <v>46</v>
      </c>
      <c r="E1777" s="3" t="s">
        <v>25</v>
      </c>
      <c r="F1777" s="3" t="s">
        <v>25</v>
      </c>
      <c r="G1777" s="3" t="s">
        <v>25</v>
      </c>
      <c r="H1777" s="3" t="s">
        <v>36</v>
      </c>
      <c r="I1777" s="6">
        <v>44378</v>
      </c>
      <c r="J1777" s="4">
        <v>0</v>
      </c>
      <c r="K1777" s="4">
        <v>0</v>
      </c>
      <c r="L1777" s="4">
        <v>1.7889999999999999</v>
      </c>
      <c r="M1777" s="4">
        <v>1.7889999999999999</v>
      </c>
      <c r="N1777" s="4">
        <v>1.7889999999999999</v>
      </c>
      <c r="O1777" s="4">
        <v>1.7889999999999999</v>
      </c>
      <c r="P1777" s="4">
        <v>0</v>
      </c>
      <c r="Q1777" s="3" t="s">
        <v>26</v>
      </c>
      <c r="R1777" s="3">
        <v>0</v>
      </c>
      <c r="S1777" s="4">
        <v>0</v>
      </c>
      <c r="T1777" s="4">
        <v>44</v>
      </c>
      <c r="U1777" s="4">
        <v>84</v>
      </c>
      <c r="V1777" s="4">
        <f>IF(ISERROR(VLOOKUP($S$1777,'TAR FIN'!$A$1:$O$99,15,0)),0,VLOOKUP($S$1777,'TAR FIN'!$A$1:$O$99,15,0))</f>
        <v>0</v>
      </c>
      <c r="W1777" s="4">
        <f>IF(ISERROR(VLOOKUP($T$1777,'TAR FIN'!$A$1:$O$99,15,0)),0,VLOOKUP($T$1777,'TAR FIN'!$A$1:$O$99,15,0))</f>
        <v>304.7</v>
      </c>
      <c r="X1777" s="4">
        <f>IF(ISERROR(VLOOKUP($U$1777,'TAR FIN'!$A$1:$O$99,15,0)),0,VLOOKUP($U$1777,'TAR FIN'!$A$1:$O$99,15,0))</f>
        <v>219.97</v>
      </c>
      <c r="Y1777" s="4"/>
      <c r="Z1777" s="4">
        <f ca="1">('TUSD BE'!$AM$58+'TUSD BF'!$AM$58+'TUSD CVA'!$AM$58)*1</f>
        <v>361.43108304877717</v>
      </c>
      <c r="AA1777" s="4">
        <f>('TE BE'!$AA$40+'TE BF'!$AA$40+'TE CVA'!$AA$40)*1</f>
        <v>271.13910989737087</v>
      </c>
      <c r="AB1777" s="4">
        <f>$K$1777*$V$1777</f>
        <v>0</v>
      </c>
      <c r="AC1777" s="4">
        <f>$M$1777*$W$1777</f>
        <v>545.10829999999999</v>
      </c>
      <c r="AD1777" s="4">
        <f>$O$1777*$X$1777</f>
        <v>393.52632999999997</v>
      </c>
      <c r="AE1777" s="4">
        <f>$K$1777*$Y$1777</f>
        <v>0</v>
      </c>
      <c r="AF1777" s="4">
        <f ca="1">$M$1777*$Z$1777</f>
        <v>646.6002075742623</v>
      </c>
      <c r="AG1777" s="4">
        <f>$O$1777*$AA$1777</f>
        <v>485.06786760639648</v>
      </c>
    </row>
    <row r="1778" spans="1:33" ht="11.25" customHeight="1" x14ac:dyDescent="0.25">
      <c r="A1778" s="3" t="s">
        <v>21</v>
      </c>
      <c r="B1778" s="3" t="s">
        <v>39</v>
      </c>
      <c r="C1778" s="3" t="s">
        <v>37</v>
      </c>
      <c r="D1778" s="3" t="s">
        <v>46</v>
      </c>
      <c r="E1778" s="3" t="s">
        <v>25</v>
      </c>
      <c r="F1778" s="3" t="s">
        <v>25</v>
      </c>
      <c r="G1778" s="3" t="s">
        <v>25</v>
      </c>
      <c r="H1778" s="3" t="s">
        <v>36</v>
      </c>
      <c r="I1778" s="6">
        <v>44409</v>
      </c>
      <c r="J1778" s="4">
        <v>0</v>
      </c>
      <c r="K1778" s="4">
        <v>0</v>
      </c>
      <c r="L1778" s="4">
        <v>4.1749999999999998</v>
      </c>
      <c r="M1778" s="4">
        <v>4.1749999999999998</v>
      </c>
      <c r="N1778" s="4">
        <v>4.1749999999999998</v>
      </c>
      <c r="O1778" s="4">
        <v>4.1749999999999998</v>
      </c>
      <c r="P1778" s="4">
        <v>0</v>
      </c>
      <c r="Q1778" s="3" t="s">
        <v>26</v>
      </c>
      <c r="R1778" s="3">
        <v>0</v>
      </c>
      <c r="S1778" s="4">
        <v>0</v>
      </c>
      <c r="T1778" s="4">
        <v>44</v>
      </c>
      <c r="U1778" s="4">
        <v>84</v>
      </c>
      <c r="V1778" s="4">
        <f>IF(ISERROR(VLOOKUP($S$1778,'TAR FIN'!$A$1:$O$99,15,0)),0,VLOOKUP($S$1778,'TAR FIN'!$A$1:$O$99,15,0))</f>
        <v>0</v>
      </c>
      <c r="W1778" s="4">
        <f>IF(ISERROR(VLOOKUP($T$1778,'TAR FIN'!$A$1:$O$99,15,0)),0,VLOOKUP($T$1778,'TAR FIN'!$A$1:$O$99,15,0))</f>
        <v>304.7</v>
      </c>
      <c r="X1778" s="4">
        <f>IF(ISERROR(VLOOKUP($U$1778,'TAR FIN'!$A$1:$O$99,15,0)),0,VLOOKUP($U$1778,'TAR FIN'!$A$1:$O$99,15,0))</f>
        <v>219.97</v>
      </c>
      <c r="Y1778" s="4"/>
      <c r="Z1778" s="4">
        <f ca="1">('TUSD BE'!$AM$58+'TUSD BF'!$AM$58+'TUSD CVA'!$AM$58)*1</f>
        <v>361.43108304877717</v>
      </c>
      <c r="AA1778" s="4">
        <f>('TE BE'!$AA$40+'TE BF'!$AA$40+'TE CVA'!$AA$40)*1</f>
        <v>271.13910989737087</v>
      </c>
      <c r="AB1778" s="4">
        <f>$K$1778*$V$1778</f>
        <v>0</v>
      </c>
      <c r="AC1778" s="4">
        <f>$M$1778*$W$1778</f>
        <v>1272.1224999999999</v>
      </c>
      <c r="AD1778" s="4">
        <f>$O$1778*$X$1778</f>
        <v>918.37474999999995</v>
      </c>
      <c r="AE1778" s="4">
        <f>$K$1778*$Y$1778</f>
        <v>0</v>
      </c>
      <c r="AF1778" s="4">
        <f ca="1">$M$1778*$Z$1778</f>
        <v>1508.9747717286446</v>
      </c>
      <c r="AG1778" s="4">
        <f>$O$1778*$AA$1778</f>
        <v>1132.0057838215234</v>
      </c>
    </row>
    <row r="1779" spans="1:33" ht="11.25" customHeight="1" x14ac:dyDescent="0.25">
      <c r="A1779" s="3" t="s">
        <v>21</v>
      </c>
      <c r="B1779" s="3" t="s">
        <v>39</v>
      </c>
      <c r="C1779" s="3" t="s">
        <v>37</v>
      </c>
      <c r="D1779" s="3" t="s">
        <v>46</v>
      </c>
      <c r="E1779" s="3" t="s">
        <v>25</v>
      </c>
      <c r="F1779" s="3" t="s">
        <v>25</v>
      </c>
      <c r="G1779" s="3" t="s">
        <v>25</v>
      </c>
      <c r="H1779" s="3" t="s">
        <v>36</v>
      </c>
      <c r="I1779" s="6">
        <v>44440</v>
      </c>
      <c r="J1779" s="4">
        <v>0</v>
      </c>
      <c r="K1779" s="4">
        <v>0</v>
      </c>
      <c r="L1779" s="4">
        <v>4.4509999999999996</v>
      </c>
      <c r="M1779" s="4">
        <v>4.4509999999999996</v>
      </c>
      <c r="N1779" s="4">
        <v>4.4509999999999996</v>
      </c>
      <c r="O1779" s="4">
        <v>4.4509999999999996</v>
      </c>
      <c r="P1779" s="4">
        <v>0</v>
      </c>
      <c r="Q1779" s="3" t="s">
        <v>26</v>
      </c>
      <c r="R1779" s="3">
        <v>0</v>
      </c>
      <c r="S1779" s="4">
        <v>0</v>
      </c>
      <c r="T1779" s="4">
        <v>44</v>
      </c>
      <c r="U1779" s="4">
        <v>84</v>
      </c>
      <c r="V1779" s="4">
        <f>IF(ISERROR(VLOOKUP($S$1779,'TAR FIN'!$A$1:$O$99,15,0)),0,VLOOKUP($S$1779,'TAR FIN'!$A$1:$O$99,15,0))</f>
        <v>0</v>
      </c>
      <c r="W1779" s="4">
        <f>IF(ISERROR(VLOOKUP($T$1779,'TAR FIN'!$A$1:$O$99,15,0)),0,VLOOKUP($T$1779,'TAR FIN'!$A$1:$O$99,15,0))</f>
        <v>304.7</v>
      </c>
      <c r="X1779" s="4">
        <f>IF(ISERROR(VLOOKUP($U$1779,'TAR FIN'!$A$1:$O$99,15,0)),0,VLOOKUP($U$1779,'TAR FIN'!$A$1:$O$99,15,0))</f>
        <v>219.97</v>
      </c>
      <c r="Y1779" s="4"/>
      <c r="Z1779" s="4">
        <f ca="1">('TUSD BE'!$AM$58+'TUSD BF'!$AM$58+'TUSD CVA'!$AM$58)*1</f>
        <v>361.43108304877717</v>
      </c>
      <c r="AA1779" s="4">
        <f>('TE BE'!$AA$40+'TE BF'!$AA$40+'TE CVA'!$AA$40)*1</f>
        <v>271.13910989737087</v>
      </c>
      <c r="AB1779" s="4">
        <f>$K$1779*$V$1779</f>
        <v>0</v>
      </c>
      <c r="AC1779" s="4">
        <f>$M$1779*$W$1779</f>
        <v>1356.2196999999999</v>
      </c>
      <c r="AD1779" s="4">
        <f>$O$1779*$X$1779</f>
        <v>979.08646999999996</v>
      </c>
      <c r="AE1779" s="4">
        <f>$K$1779*$Y$1779</f>
        <v>0</v>
      </c>
      <c r="AF1779" s="4">
        <f ca="1">$M$1779*$Z$1779</f>
        <v>1608.729750650107</v>
      </c>
      <c r="AG1779" s="4">
        <f>$O$1779*$AA$1779</f>
        <v>1206.8401781531977</v>
      </c>
    </row>
    <row r="1780" spans="1:33" ht="11.25" customHeight="1" x14ac:dyDescent="0.25">
      <c r="A1780" s="3" t="s">
        <v>21</v>
      </c>
      <c r="B1780" s="3" t="s">
        <v>39</v>
      </c>
      <c r="C1780" s="3" t="s">
        <v>37</v>
      </c>
      <c r="D1780" s="3" t="s">
        <v>46</v>
      </c>
      <c r="E1780" s="3" t="s">
        <v>25</v>
      </c>
      <c r="F1780" s="3" t="s">
        <v>25</v>
      </c>
      <c r="G1780" s="3" t="s">
        <v>25</v>
      </c>
      <c r="H1780" s="3" t="s">
        <v>36</v>
      </c>
      <c r="I1780" s="6">
        <v>44470</v>
      </c>
      <c r="J1780" s="4">
        <v>0</v>
      </c>
      <c r="K1780" s="4">
        <v>0</v>
      </c>
      <c r="L1780" s="4">
        <v>8.8800000000000008</v>
      </c>
      <c r="M1780" s="4">
        <v>8.8800000000000008</v>
      </c>
      <c r="N1780" s="4">
        <v>8.8800000000000008</v>
      </c>
      <c r="O1780" s="4">
        <v>8.8800000000000008</v>
      </c>
      <c r="P1780" s="4">
        <v>0</v>
      </c>
      <c r="Q1780" s="3" t="s">
        <v>26</v>
      </c>
      <c r="R1780" s="3">
        <v>0</v>
      </c>
      <c r="S1780" s="4">
        <v>0</v>
      </c>
      <c r="T1780" s="4">
        <v>44</v>
      </c>
      <c r="U1780" s="4">
        <v>84</v>
      </c>
      <c r="V1780" s="4">
        <f>IF(ISERROR(VLOOKUP($S$1780,'TAR FIN'!$A$1:$O$99,15,0)),0,VLOOKUP($S$1780,'TAR FIN'!$A$1:$O$99,15,0))</f>
        <v>0</v>
      </c>
      <c r="W1780" s="4">
        <f>IF(ISERROR(VLOOKUP($T$1780,'TAR FIN'!$A$1:$O$99,15,0)),0,VLOOKUP($T$1780,'TAR FIN'!$A$1:$O$99,15,0))</f>
        <v>304.7</v>
      </c>
      <c r="X1780" s="4">
        <f>IF(ISERROR(VLOOKUP($U$1780,'TAR FIN'!$A$1:$O$99,15,0)),0,VLOOKUP($U$1780,'TAR FIN'!$A$1:$O$99,15,0))</f>
        <v>219.97</v>
      </c>
      <c r="Y1780" s="4"/>
      <c r="Z1780" s="4">
        <f ca="1">('TUSD BE'!$AM$58+'TUSD BF'!$AM$58+'TUSD CVA'!$AM$58)*1</f>
        <v>361.43108304877717</v>
      </c>
      <c r="AA1780" s="4">
        <f>('TE BE'!$AA$40+'TE BF'!$AA$40+'TE CVA'!$AA$40)*1</f>
        <v>271.13910989737087</v>
      </c>
      <c r="AB1780" s="4">
        <f>$K$1780*$V$1780</f>
        <v>0</v>
      </c>
      <c r="AC1780" s="4">
        <f>$M$1780*$W$1780</f>
        <v>2705.7360000000003</v>
      </c>
      <c r="AD1780" s="4">
        <f>$O$1780*$X$1780</f>
        <v>1953.3336000000002</v>
      </c>
      <c r="AE1780" s="4">
        <f>$K$1780*$Y$1780</f>
        <v>0</v>
      </c>
      <c r="AF1780" s="4">
        <f ca="1">$M$1780*$Z$1780</f>
        <v>3209.5080174731415</v>
      </c>
      <c r="AG1780" s="4">
        <f>$O$1780*$AA$1780</f>
        <v>2407.7152958886536</v>
      </c>
    </row>
    <row r="1781" spans="1:33" ht="11.25" customHeight="1" x14ac:dyDescent="0.25">
      <c r="A1781" s="3" t="s">
        <v>21</v>
      </c>
      <c r="B1781" s="3" t="s">
        <v>39</v>
      </c>
      <c r="C1781" s="3" t="s">
        <v>37</v>
      </c>
      <c r="D1781" s="3" t="s">
        <v>46</v>
      </c>
      <c r="E1781" s="3" t="s">
        <v>25</v>
      </c>
      <c r="F1781" s="3" t="s">
        <v>25</v>
      </c>
      <c r="G1781" s="3" t="s">
        <v>25</v>
      </c>
      <c r="H1781" s="3" t="s">
        <v>36</v>
      </c>
      <c r="I1781" s="6">
        <v>44501</v>
      </c>
      <c r="J1781" s="4">
        <v>0</v>
      </c>
      <c r="K1781" s="4">
        <v>0</v>
      </c>
      <c r="L1781" s="4">
        <v>7.8230000000000004</v>
      </c>
      <c r="M1781" s="4">
        <v>7.8230000000000004</v>
      </c>
      <c r="N1781" s="4">
        <v>7.8230000000000004</v>
      </c>
      <c r="O1781" s="4">
        <v>7.8230000000000004</v>
      </c>
      <c r="P1781" s="4">
        <v>0</v>
      </c>
      <c r="Q1781" s="3" t="s">
        <v>26</v>
      </c>
      <c r="R1781" s="3">
        <v>0</v>
      </c>
      <c r="S1781" s="4">
        <v>0</v>
      </c>
      <c r="T1781" s="4">
        <v>44</v>
      </c>
      <c r="U1781" s="4">
        <v>84</v>
      </c>
      <c r="V1781" s="4">
        <f>IF(ISERROR(VLOOKUP($S$1781,'TAR FIN'!$A$1:$O$99,15,0)),0,VLOOKUP($S$1781,'TAR FIN'!$A$1:$O$99,15,0))</f>
        <v>0</v>
      </c>
      <c r="W1781" s="4">
        <f>IF(ISERROR(VLOOKUP($T$1781,'TAR FIN'!$A$1:$O$99,15,0)),0,VLOOKUP($T$1781,'TAR FIN'!$A$1:$O$99,15,0))</f>
        <v>304.7</v>
      </c>
      <c r="X1781" s="4">
        <f>IF(ISERROR(VLOOKUP($U$1781,'TAR FIN'!$A$1:$O$99,15,0)),0,VLOOKUP($U$1781,'TAR FIN'!$A$1:$O$99,15,0))</f>
        <v>219.97</v>
      </c>
      <c r="Y1781" s="4"/>
      <c r="Z1781" s="4">
        <f ca="1">('TUSD BE'!$AM$58+'TUSD BF'!$AM$58+'TUSD CVA'!$AM$58)*1</f>
        <v>361.43108304877717</v>
      </c>
      <c r="AA1781" s="4">
        <f>('TE BE'!$AA$40+'TE BF'!$AA$40+'TE CVA'!$AA$40)*1</f>
        <v>271.13910989737087</v>
      </c>
      <c r="AB1781" s="4">
        <f>$K$1781*$V$1781</f>
        <v>0</v>
      </c>
      <c r="AC1781" s="4">
        <f>$M$1781*$W$1781</f>
        <v>2383.6680999999999</v>
      </c>
      <c r="AD1781" s="4">
        <f>$O$1781*$X$1781</f>
        <v>1720.8253100000002</v>
      </c>
      <c r="AE1781" s="4">
        <f>$K$1781*$Y$1781</f>
        <v>0</v>
      </c>
      <c r="AF1781" s="4">
        <f ca="1">$M$1781*$Z$1781</f>
        <v>2827.475362690584</v>
      </c>
      <c r="AG1781" s="4">
        <f>$O$1781*$AA$1781</f>
        <v>2121.1212567271323</v>
      </c>
    </row>
    <row r="1782" spans="1:33" ht="11.25" customHeight="1" x14ac:dyDescent="0.25">
      <c r="A1782" s="3" t="s">
        <v>21</v>
      </c>
      <c r="B1782" s="3" t="s">
        <v>39</v>
      </c>
      <c r="C1782" s="3" t="s">
        <v>37</v>
      </c>
      <c r="D1782" s="3" t="s">
        <v>46</v>
      </c>
      <c r="E1782" s="3" t="s">
        <v>25</v>
      </c>
      <c r="F1782" s="3" t="s">
        <v>25</v>
      </c>
      <c r="G1782" s="3" t="s">
        <v>25</v>
      </c>
      <c r="H1782" s="3" t="s">
        <v>36</v>
      </c>
      <c r="I1782" s="6">
        <v>44531</v>
      </c>
      <c r="J1782" s="4">
        <v>0</v>
      </c>
      <c r="K1782" s="4">
        <v>0</v>
      </c>
      <c r="L1782" s="4">
        <v>17.111000000000001</v>
      </c>
      <c r="M1782" s="4">
        <v>17.111000000000001</v>
      </c>
      <c r="N1782" s="4">
        <v>17.111000000000001</v>
      </c>
      <c r="O1782" s="4">
        <v>17.111000000000001</v>
      </c>
      <c r="P1782" s="4">
        <v>0</v>
      </c>
      <c r="Q1782" s="3" t="s">
        <v>26</v>
      </c>
      <c r="R1782" s="3">
        <v>0</v>
      </c>
      <c r="S1782" s="4">
        <v>0</v>
      </c>
      <c r="T1782" s="4">
        <v>44</v>
      </c>
      <c r="U1782" s="4">
        <v>84</v>
      </c>
      <c r="V1782" s="4">
        <f>IF(ISERROR(VLOOKUP($S$1782,'TAR FIN'!$A$1:$O$99,15,0)),0,VLOOKUP($S$1782,'TAR FIN'!$A$1:$O$99,15,0))</f>
        <v>0</v>
      </c>
      <c r="W1782" s="4">
        <f>IF(ISERROR(VLOOKUP($T$1782,'TAR FIN'!$A$1:$O$99,15,0)),0,VLOOKUP($T$1782,'TAR FIN'!$A$1:$O$99,15,0))</f>
        <v>304.7</v>
      </c>
      <c r="X1782" s="4">
        <f>IF(ISERROR(VLOOKUP($U$1782,'TAR FIN'!$A$1:$O$99,15,0)),0,VLOOKUP($U$1782,'TAR FIN'!$A$1:$O$99,15,0))</f>
        <v>219.97</v>
      </c>
      <c r="Y1782" s="4"/>
      <c r="Z1782" s="4">
        <f ca="1">('TUSD BE'!$AM$58+'TUSD BF'!$AM$58+'TUSD CVA'!$AM$58)*1</f>
        <v>361.43108304877717</v>
      </c>
      <c r="AA1782" s="4">
        <f>('TE BE'!$AA$40+'TE BF'!$AA$40+'TE CVA'!$AA$40)*1</f>
        <v>271.13910989737087</v>
      </c>
      <c r="AB1782" s="4">
        <f>$K$1782*$V$1782</f>
        <v>0</v>
      </c>
      <c r="AC1782" s="4">
        <f>$M$1782*$W$1782</f>
        <v>5213.7217000000001</v>
      </c>
      <c r="AD1782" s="4">
        <f>$O$1782*$X$1782</f>
        <v>3763.9066700000003</v>
      </c>
      <c r="AE1782" s="4">
        <f>$K$1782*$Y$1782</f>
        <v>0</v>
      </c>
      <c r="AF1782" s="4">
        <f ca="1">$M$1782*$Z$1782</f>
        <v>6184.4472620476263</v>
      </c>
      <c r="AG1782" s="4">
        <f>$O$1782*$AA$1782</f>
        <v>4639.4613094539136</v>
      </c>
    </row>
    <row r="1783" spans="1:33" ht="11.25" customHeight="1" x14ac:dyDescent="0.25">
      <c r="A1783" s="3" t="s">
        <v>21</v>
      </c>
      <c r="B1783" s="3" t="s">
        <v>39</v>
      </c>
      <c r="C1783" s="3" t="s">
        <v>37</v>
      </c>
      <c r="D1783" s="3" t="s">
        <v>46</v>
      </c>
      <c r="E1783" s="3" t="s">
        <v>25</v>
      </c>
      <c r="F1783" s="3" t="s">
        <v>25</v>
      </c>
      <c r="G1783" s="3" t="s">
        <v>25</v>
      </c>
      <c r="H1783" s="3" t="s">
        <v>36</v>
      </c>
      <c r="I1783" s="6">
        <v>44562</v>
      </c>
      <c r="J1783" s="4">
        <v>0</v>
      </c>
      <c r="K1783" s="4">
        <v>0</v>
      </c>
      <c r="L1783" s="4">
        <v>24.946999999999999</v>
      </c>
      <c r="M1783" s="4">
        <v>24.946999999999999</v>
      </c>
      <c r="N1783" s="4">
        <v>24.946999999999999</v>
      </c>
      <c r="O1783" s="4">
        <v>24.946999999999999</v>
      </c>
      <c r="P1783" s="4">
        <v>0</v>
      </c>
      <c r="Q1783" s="3" t="s">
        <v>26</v>
      </c>
      <c r="R1783" s="3">
        <v>0</v>
      </c>
      <c r="S1783" s="4">
        <v>0</v>
      </c>
      <c r="T1783" s="4">
        <v>44</v>
      </c>
      <c r="U1783" s="4">
        <v>84</v>
      </c>
      <c r="V1783" s="4">
        <f>IF(ISERROR(VLOOKUP($S$1783,'TAR FIN'!$A$1:$O$99,15,0)),0,VLOOKUP($S$1783,'TAR FIN'!$A$1:$O$99,15,0))</f>
        <v>0</v>
      </c>
      <c r="W1783" s="4">
        <f>IF(ISERROR(VLOOKUP($T$1783,'TAR FIN'!$A$1:$O$99,15,0)),0,VLOOKUP($T$1783,'TAR FIN'!$A$1:$O$99,15,0))</f>
        <v>304.7</v>
      </c>
      <c r="X1783" s="4">
        <f>IF(ISERROR(VLOOKUP($U$1783,'TAR FIN'!$A$1:$O$99,15,0)),0,VLOOKUP($U$1783,'TAR FIN'!$A$1:$O$99,15,0))</f>
        <v>219.97</v>
      </c>
      <c r="Y1783" s="4"/>
      <c r="Z1783" s="4">
        <f ca="1">('TUSD BE'!$AM$58+'TUSD BF'!$AM$58+'TUSD CVA'!$AM$58)*1</f>
        <v>361.43108304877717</v>
      </c>
      <c r="AA1783" s="4">
        <f>('TE BE'!$AA$40+'TE BF'!$AA$40+'TE CVA'!$AA$40)*1</f>
        <v>271.13910989737087</v>
      </c>
      <c r="AB1783" s="4">
        <f>$K$1783*$V$1783</f>
        <v>0</v>
      </c>
      <c r="AC1783" s="4">
        <f>$M$1783*$W$1783</f>
        <v>7601.3508999999995</v>
      </c>
      <c r="AD1783" s="4">
        <f>$O$1783*$X$1783</f>
        <v>5487.59159</v>
      </c>
      <c r="AE1783" s="4">
        <f>$K$1783*$Y$1783</f>
        <v>0</v>
      </c>
      <c r="AF1783" s="4">
        <f ca="1">$M$1783*$Z$1783</f>
        <v>9016.6212288178431</v>
      </c>
      <c r="AG1783" s="4">
        <f>$O$1783*$AA$1783</f>
        <v>6764.1073746097109</v>
      </c>
    </row>
    <row r="1784" spans="1:33" ht="11.25" customHeight="1" x14ac:dyDescent="0.25">
      <c r="A1784" s="3" t="s">
        <v>27</v>
      </c>
      <c r="B1784" s="3" t="s">
        <v>39</v>
      </c>
      <c r="C1784" s="3" t="s">
        <v>37</v>
      </c>
      <c r="D1784" s="3" t="s">
        <v>46</v>
      </c>
      <c r="E1784" s="3" t="s">
        <v>25</v>
      </c>
      <c r="F1784" s="3" t="s">
        <v>25</v>
      </c>
      <c r="G1784" s="3" t="s">
        <v>25</v>
      </c>
      <c r="H1784" s="3" t="s">
        <v>36</v>
      </c>
      <c r="I1784" s="6">
        <v>44562</v>
      </c>
      <c r="J1784" s="4">
        <v>0</v>
      </c>
      <c r="K1784" s="4">
        <v>0</v>
      </c>
      <c r="L1784" s="4">
        <v>2.657</v>
      </c>
      <c r="M1784" s="4">
        <v>2.657</v>
      </c>
      <c r="N1784" s="4">
        <v>2.657</v>
      </c>
      <c r="O1784" s="4">
        <v>2.657</v>
      </c>
      <c r="P1784" s="4">
        <v>0</v>
      </c>
      <c r="Q1784" s="3" t="s">
        <v>26</v>
      </c>
      <c r="R1784" s="3">
        <v>0</v>
      </c>
      <c r="S1784" s="4">
        <v>0</v>
      </c>
      <c r="T1784" s="4">
        <v>44</v>
      </c>
      <c r="U1784" s="4">
        <v>84</v>
      </c>
      <c r="V1784" s="4">
        <f>IF(ISERROR(VLOOKUP($S$1784,'TAR FIN'!$A$1:$O$99,15,0)),0,VLOOKUP($S$1784,'TAR FIN'!$A$1:$O$99,15,0))</f>
        <v>0</v>
      </c>
      <c r="W1784" s="4">
        <f>IF(ISERROR(VLOOKUP($T$1784,'TAR FIN'!$A$1:$O$99,15,0)),0,VLOOKUP($T$1784,'TAR FIN'!$A$1:$O$99,15,0))</f>
        <v>304.7</v>
      </c>
      <c r="X1784" s="4">
        <f>IF(ISERROR(VLOOKUP($U$1784,'TAR FIN'!$A$1:$O$99,15,0)),0,VLOOKUP($U$1784,'TAR FIN'!$A$1:$O$99,15,0))</f>
        <v>219.97</v>
      </c>
      <c r="Y1784" s="4"/>
      <c r="Z1784" s="4">
        <f ca="1">('TUSD BE'!$AM$58+'TUSD BF'!$AM$58+'TUSD CVA'!$AM$58)*1</f>
        <v>361.43108304877717</v>
      </c>
      <c r="AA1784" s="4">
        <f>('TE BE'!$AA$40+'TE BF'!$AA$40+'TE CVA'!$AA$40)*1</f>
        <v>271.13910989737087</v>
      </c>
      <c r="AB1784" s="4">
        <f>$K$1784*$V$1784</f>
        <v>0</v>
      </c>
      <c r="AC1784" s="4">
        <f>$M$1784*$W$1784</f>
        <v>809.58789999999999</v>
      </c>
      <c r="AD1784" s="4">
        <f>$O$1784*$X$1784</f>
        <v>584.46028999999999</v>
      </c>
      <c r="AE1784" s="4">
        <f>$K$1784*$Y$1784</f>
        <v>0</v>
      </c>
      <c r="AF1784" s="4">
        <f ca="1">$M$1784*$Z$1784</f>
        <v>960.32238766060095</v>
      </c>
      <c r="AG1784" s="4">
        <f>$O$1784*$AA$1784</f>
        <v>720.41661499731447</v>
      </c>
    </row>
    <row r="1785" spans="1:33" ht="11.25" customHeight="1" x14ac:dyDescent="0.25">
      <c r="A1785" s="3" t="s">
        <v>21</v>
      </c>
      <c r="B1785" s="3" t="s">
        <v>39</v>
      </c>
      <c r="C1785" s="3" t="s">
        <v>37</v>
      </c>
      <c r="D1785" s="3" t="s">
        <v>46</v>
      </c>
      <c r="E1785" s="3" t="s">
        <v>25</v>
      </c>
      <c r="F1785" s="3" t="s">
        <v>25</v>
      </c>
      <c r="G1785" s="3" t="s">
        <v>25</v>
      </c>
      <c r="H1785" s="3" t="s">
        <v>36</v>
      </c>
      <c r="I1785" s="6">
        <v>44593</v>
      </c>
      <c r="J1785" s="4">
        <v>0</v>
      </c>
      <c r="K1785" s="4">
        <v>0</v>
      </c>
      <c r="L1785" s="4">
        <v>31.097000000000001</v>
      </c>
      <c r="M1785" s="4">
        <v>31.097000000000001</v>
      </c>
      <c r="N1785" s="4">
        <v>31.097000000000001</v>
      </c>
      <c r="O1785" s="4">
        <v>31.097000000000001</v>
      </c>
      <c r="P1785" s="4">
        <v>0</v>
      </c>
      <c r="Q1785" s="3" t="s">
        <v>26</v>
      </c>
      <c r="R1785" s="3">
        <v>0</v>
      </c>
      <c r="S1785" s="4">
        <v>0</v>
      </c>
      <c r="T1785" s="4">
        <v>44</v>
      </c>
      <c r="U1785" s="4">
        <v>84</v>
      </c>
      <c r="V1785" s="4">
        <f>IF(ISERROR(VLOOKUP($S$1785,'TAR FIN'!$A$1:$O$99,15,0)),0,VLOOKUP($S$1785,'TAR FIN'!$A$1:$O$99,15,0))</f>
        <v>0</v>
      </c>
      <c r="W1785" s="4">
        <f>IF(ISERROR(VLOOKUP($T$1785,'TAR FIN'!$A$1:$O$99,15,0)),0,VLOOKUP($T$1785,'TAR FIN'!$A$1:$O$99,15,0))</f>
        <v>304.7</v>
      </c>
      <c r="X1785" s="4">
        <f>IF(ISERROR(VLOOKUP($U$1785,'TAR FIN'!$A$1:$O$99,15,0)),0,VLOOKUP($U$1785,'TAR FIN'!$A$1:$O$99,15,0))</f>
        <v>219.97</v>
      </c>
      <c r="Y1785" s="4"/>
      <c r="Z1785" s="4">
        <f ca="1">('TUSD BE'!$AM$58+'TUSD BF'!$AM$58+'TUSD CVA'!$AM$58)*1</f>
        <v>361.43108304877717</v>
      </c>
      <c r="AA1785" s="4">
        <f>('TE BE'!$AA$40+'TE BF'!$AA$40+'TE CVA'!$AA$40)*1</f>
        <v>271.13910989737087</v>
      </c>
      <c r="AB1785" s="4">
        <f>$K$1785*$V$1785</f>
        <v>0</v>
      </c>
      <c r="AC1785" s="4">
        <f>$M$1785*$W$1785</f>
        <v>9475.2559000000001</v>
      </c>
      <c r="AD1785" s="4">
        <f>$O$1785*$X$1785</f>
        <v>6840.4070900000006</v>
      </c>
      <c r="AE1785" s="4">
        <f>$K$1785*$Y$1785</f>
        <v>0</v>
      </c>
      <c r="AF1785" s="4">
        <f ca="1">$M$1785*$Z$1785</f>
        <v>11239.422389567824</v>
      </c>
      <c r="AG1785" s="4">
        <f>$O$1785*$AA$1785</f>
        <v>8431.6129004785416</v>
      </c>
    </row>
    <row r="1786" spans="1:33" ht="11.25" customHeight="1" x14ac:dyDescent="0.25">
      <c r="A1786" s="3" t="s">
        <v>21</v>
      </c>
      <c r="B1786" s="3" t="s">
        <v>39</v>
      </c>
      <c r="C1786" s="3" t="s">
        <v>37</v>
      </c>
      <c r="D1786" s="3" t="s">
        <v>46</v>
      </c>
      <c r="E1786" s="3" t="s">
        <v>25</v>
      </c>
      <c r="F1786" s="3" t="s">
        <v>25</v>
      </c>
      <c r="G1786" s="3" t="s">
        <v>25</v>
      </c>
      <c r="H1786" s="3" t="s">
        <v>36</v>
      </c>
      <c r="I1786" s="6">
        <v>44621</v>
      </c>
      <c r="J1786" s="4">
        <v>0</v>
      </c>
      <c r="K1786" s="4">
        <v>0</v>
      </c>
      <c r="L1786" s="4">
        <v>32.451000000000001</v>
      </c>
      <c r="M1786" s="4">
        <v>32.451000000000001</v>
      </c>
      <c r="N1786" s="4">
        <v>32.451000000000001</v>
      </c>
      <c r="O1786" s="4">
        <v>32.451000000000001</v>
      </c>
      <c r="P1786" s="4">
        <v>0</v>
      </c>
      <c r="Q1786" s="3" t="s">
        <v>26</v>
      </c>
      <c r="R1786" s="3">
        <v>0</v>
      </c>
      <c r="S1786" s="4">
        <v>0</v>
      </c>
      <c r="T1786" s="4">
        <v>44</v>
      </c>
      <c r="U1786" s="4">
        <v>84</v>
      </c>
      <c r="V1786" s="4">
        <f>IF(ISERROR(VLOOKUP($S$1786,'TAR FIN'!$A$1:$O$99,15,0)),0,VLOOKUP($S$1786,'TAR FIN'!$A$1:$O$99,15,0))</f>
        <v>0</v>
      </c>
      <c r="W1786" s="4">
        <f>IF(ISERROR(VLOOKUP($T$1786,'TAR FIN'!$A$1:$O$99,15,0)),0,VLOOKUP($T$1786,'TAR FIN'!$A$1:$O$99,15,0))</f>
        <v>304.7</v>
      </c>
      <c r="X1786" s="4">
        <f>IF(ISERROR(VLOOKUP($U$1786,'TAR FIN'!$A$1:$O$99,15,0)),0,VLOOKUP($U$1786,'TAR FIN'!$A$1:$O$99,15,0))</f>
        <v>219.97</v>
      </c>
      <c r="Y1786" s="4"/>
      <c r="Z1786" s="4">
        <f ca="1">('TUSD BE'!$AM$58+'TUSD BF'!$AM$58+'TUSD CVA'!$AM$58)*1</f>
        <v>361.43108304877717</v>
      </c>
      <c r="AA1786" s="4">
        <f>('TE BE'!$AA$40+'TE BF'!$AA$40+'TE CVA'!$AA$40)*1</f>
        <v>271.13910989737087</v>
      </c>
      <c r="AB1786" s="4">
        <f>$K$1786*$V$1786</f>
        <v>0</v>
      </c>
      <c r="AC1786" s="4">
        <f>$M$1786*$W$1786</f>
        <v>9887.8197</v>
      </c>
      <c r="AD1786" s="4">
        <f>$O$1786*$X$1786</f>
        <v>7138.24647</v>
      </c>
      <c r="AE1786" s="4">
        <f>$K$1786*$Y$1786</f>
        <v>0</v>
      </c>
      <c r="AF1786" s="4">
        <f ca="1">$M$1786*$Z$1786</f>
        <v>11728.800076015868</v>
      </c>
      <c r="AG1786" s="4">
        <f>$O$1786*$AA$1786</f>
        <v>8798.7352552795819</v>
      </c>
    </row>
    <row r="1787" spans="1:33" ht="11.25" customHeight="1" x14ac:dyDescent="0.25">
      <c r="A1787" s="3" t="s">
        <v>56</v>
      </c>
      <c r="B1787" s="3" t="s">
        <v>39</v>
      </c>
      <c r="C1787" s="3" t="s">
        <v>37</v>
      </c>
      <c r="D1787" s="3" t="s">
        <v>46</v>
      </c>
      <c r="E1787" s="3" t="s">
        <v>25</v>
      </c>
      <c r="F1787" s="3" t="s">
        <v>25</v>
      </c>
      <c r="G1787" s="3" t="s">
        <v>25</v>
      </c>
      <c r="H1787" s="3" t="s">
        <v>36</v>
      </c>
      <c r="I1787" s="6">
        <v>44652</v>
      </c>
      <c r="J1787" s="4">
        <v>0</v>
      </c>
      <c r="K1787" s="4">
        <v>0</v>
      </c>
      <c r="L1787" s="4">
        <v>32.451000000000001</v>
      </c>
      <c r="M1787" s="4">
        <v>32.451000000000001</v>
      </c>
      <c r="N1787" s="4">
        <v>32.451000000000001</v>
      </c>
      <c r="O1787" s="4">
        <v>32.451000000000001</v>
      </c>
      <c r="P1787" s="4">
        <v>0</v>
      </c>
      <c r="Q1787" s="3" t="s">
        <v>26</v>
      </c>
      <c r="R1787" s="3">
        <v>0</v>
      </c>
      <c r="S1787" s="4">
        <v>0</v>
      </c>
      <c r="T1787" s="4">
        <v>44</v>
      </c>
      <c r="U1787" s="4">
        <v>84</v>
      </c>
      <c r="V1787" s="4">
        <f>IF(ISERROR(VLOOKUP($S$1787,'TAR FIN'!$A$1:$O$99,15,0)),0,VLOOKUP($S$1787,'TAR FIN'!$A$1:$O$99,15,0))</f>
        <v>0</v>
      </c>
      <c r="W1787" s="4">
        <f>IF(ISERROR(VLOOKUP($T$1787,'TAR FIN'!$A$1:$O$99,15,0)),0,VLOOKUP($T$1787,'TAR FIN'!$A$1:$O$99,15,0))</f>
        <v>304.7</v>
      </c>
      <c r="X1787" s="4">
        <f>IF(ISERROR(VLOOKUP($U$1787,'TAR FIN'!$A$1:$O$99,15,0)),0,VLOOKUP($U$1787,'TAR FIN'!$A$1:$O$99,15,0))</f>
        <v>219.97</v>
      </c>
      <c r="Y1787" s="4"/>
      <c r="Z1787" s="4">
        <f ca="1">('TUSD BE'!$AM$58+'TUSD BF'!$AM$58+'TUSD CVA'!$AM$58)*1</f>
        <v>361.43108304877717</v>
      </c>
      <c r="AA1787" s="4">
        <f>('TE BE'!$AA$40+'TE BF'!$AA$40+'TE CVA'!$AA$40)*1</f>
        <v>271.13910989737087</v>
      </c>
      <c r="AB1787" s="4">
        <f>$K$1787*$V$1787</f>
        <v>0</v>
      </c>
      <c r="AC1787" s="4">
        <f>$M$1787*$W$1787</f>
        <v>9887.8197</v>
      </c>
      <c r="AD1787" s="4">
        <f>$O$1787*$X$1787</f>
        <v>7138.24647</v>
      </c>
      <c r="AE1787" s="4">
        <f>$K$1787*$Y$1787</f>
        <v>0</v>
      </c>
      <c r="AF1787" s="4">
        <f ca="1">$M$1787*$Z$1787</f>
        <v>11728.800076015868</v>
      </c>
      <c r="AG1787" s="4">
        <f>$O$1787*$AA$1787</f>
        <v>8798.7352552795819</v>
      </c>
    </row>
    <row r="1788" spans="1:33" ht="11.25" customHeight="1" x14ac:dyDescent="0.25">
      <c r="A1788" s="3" t="s">
        <v>21</v>
      </c>
      <c r="B1788" s="3" t="s">
        <v>39</v>
      </c>
      <c r="C1788" s="3" t="s">
        <v>37</v>
      </c>
      <c r="D1788" s="3" t="s">
        <v>46</v>
      </c>
      <c r="E1788" s="3" t="s">
        <v>25</v>
      </c>
      <c r="F1788" s="3" t="s">
        <v>25</v>
      </c>
      <c r="G1788" s="3" t="s">
        <v>25</v>
      </c>
      <c r="H1788" s="3" t="s">
        <v>38</v>
      </c>
      <c r="I1788" s="6">
        <v>44317</v>
      </c>
      <c r="J1788" s="4">
        <v>0</v>
      </c>
      <c r="K1788" s="4">
        <v>0</v>
      </c>
      <c r="L1788" s="4">
        <v>2.4E-2</v>
      </c>
      <c r="M1788" s="4">
        <v>2.4E-2</v>
      </c>
      <c r="N1788" s="4">
        <v>2.4E-2</v>
      </c>
      <c r="O1788" s="4">
        <v>2.4E-2</v>
      </c>
      <c r="P1788" s="4">
        <v>0</v>
      </c>
      <c r="Q1788" s="3" t="s">
        <v>26</v>
      </c>
      <c r="R1788" s="3">
        <v>0</v>
      </c>
      <c r="S1788" s="4">
        <v>0</v>
      </c>
      <c r="T1788" s="4">
        <v>43</v>
      </c>
      <c r="U1788" s="4">
        <v>83</v>
      </c>
      <c r="V1788" s="4">
        <f>IF(ISERROR(VLOOKUP($S$1788,'TAR FIN'!$A$1:$O$99,15,0)),0,VLOOKUP($S$1788,'TAR FIN'!$A$1:$O$99,15,0))</f>
        <v>0</v>
      </c>
      <c r="W1788" s="4">
        <f>IF(ISERROR(VLOOKUP($T$1788,'TAR FIN'!$A$1:$O$99,15,0)),0,VLOOKUP($T$1788,'TAR FIN'!$A$1:$O$99,15,0))</f>
        <v>657.51</v>
      </c>
      <c r="X1788" s="4">
        <f>IF(ISERROR(VLOOKUP($U$1788,'TAR FIN'!$A$1:$O$99,15,0)),0,VLOOKUP($U$1788,'TAR FIN'!$A$1:$O$99,15,0))</f>
        <v>219.97</v>
      </c>
      <c r="Y1788" s="4"/>
      <c r="Z1788" s="4">
        <f ca="1">('TUSD BE'!$AM$57+'TUSD BF'!$AM$57+'TUSD CVA'!$AM$57)*1</f>
        <v>769.81008209782362</v>
      </c>
      <c r="AA1788" s="4">
        <f>('TE BE'!$AA$39+'TE BF'!$AA$39+'TE CVA'!$AA$39)*1</f>
        <v>271.13910989737087</v>
      </c>
      <c r="AB1788" s="4">
        <f>$K$1788*$V$1788</f>
        <v>0</v>
      </c>
      <c r="AC1788" s="4">
        <f>$M$1788*$W$1788</f>
        <v>15.780240000000001</v>
      </c>
      <c r="AD1788" s="4">
        <f>$O$1788*$X$1788</f>
        <v>5.27928</v>
      </c>
      <c r="AE1788" s="4">
        <f>$K$1788*$Y$1788</f>
        <v>0</v>
      </c>
      <c r="AF1788" s="4">
        <f ca="1">$M$1788*$Z$1788</f>
        <v>18.475441970347767</v>
      </c>
      <c r="AG1788" s="4">
        <f>$O$1788*$AA$1788</f>
        <v>6.5073386375369013</v>
      </c>
    </row>
    <row r="1789" spans="1:33" ht="11.25" customHeight="1" x14ac:dyDescent="0.25">
      <c r="A1789" s="3" t="s">
        <v>21</v>
      </c>
      <c r="B1789" s="3" t="s">
        <v>39</v>
      </c>
      <c r="C1789" s="3" t="s">
        <v>37</v>
      </c>
      <c r="D1789" s="3" t="s">
        <v>46</v>
      </c>
      <c r="E1789" s="3" t="s">
        <v>25</v>
      </c>
      <c r="F1789" s="3" t="s">
        <v>25</v>
      </c>
      <c r="G1789" s="3" t="s">
        <v>25</v>
      </c>
      <c r="H1789" s="3" t="s">
        <v>38</v>
      </c>
      <c r="I1789" s="6">
        <v>44348</v>
      </c>
      <c r="J1789" s="4">
        <v>0</v>
      </c>
      <c r="K1789" s="4">
        <v>0</v>
      </c>
      <c r="L1789" s="4">
        <v>2.4E-2</v>
      </c>
      <c r="M1789" s="4">
        <v>2.4E-2</v>
      </c>
      <c r="N1789" s="4">
        <v>2.4E-2</v>
      </c>
      <c r="O1789" s="4">
        <v>2.4E-2</v>
      </c>
      <c r="P1789" s="4">
        <v>0</v>
      </c>
      <c r="Q1789" s="3" t="s">
        <v>26</v>
      </c>
      <c r="R1789" s="3">
        <v>0</v>
      </c>
      <c r="S1789" s="4">
        <v>0</v>
      </c>
      <c r="T1789" s="4">
        <v>43</v>
      </c>
      <c r="U1789" s="4">
        <v>83</v>
      </c>
      <c r="V1789" s="4">
        <f>IF(ISERROR(VLOOKUP($S$1789,'TAR FIN'!$A$1:$O$99,15,0)),0,VLOOKUP($S$1789,'TAR FIN'!$A$1:$O$99,15,0))</f>
        <v>0</v>
      </c>
      <c r="W1789" s="4">
        <f>IF(ISERROR(VLOOKUP($T$1789,'TAR FIN'!$A$1:$O$99,15,0)),0,VLOOKUP($T$1789,'TAR FIN'!$A$1:$O$99,15,0))</f>
        <v>657.51</v>
      </c>
      <c r="X1789" s="4">
        <f>IF(ISERROR(VLOOKUP($U$1789,'TAR FIN'!$A$1:$O$99,15,0)),0,VLOOKUP($U$1789,'TAR FIN'!$A$1:$O$99,15,0))</f>
        <v>219.97</v>
      </c>
      <c r="Y1789" s="4"/>
      <c r="Z1789" s="4">
        <f ca="1">('TUSD BE'!$AM$57+'TUSD BF'!$AM$57+'TUSD CVA'!$AM$57)*1</f>
        <v>769.81008209782362</v>
      </c>
      <c r="AA1789" s="4">
        <f>('TE BE'!$AA$39+'TE BF'!$AA$39+'TE CVA'!$AA$39)*1</f>
        <v>271.13910989737087</v>
      </c>
      <c r="AB1789" s="4">
        <f>$K$1789*$V$1789</f>
        <v>0</v>
      </c>
      <c r="AC1789" s="4">
        <f>$M$1789*$W$1789</f>
        <v>15.780240000000001</v>
      </c>
      <c r="AD1789" s="4">
        <f>$O$1789*$X$1789</f>
        <v>5.27928</v>
      </c>
      <c r="AE1789" s="4">
        <f>$K$1789*$Y$1789</f>
        <v>0</v>
      </c>
      <c r="AF1789" s="4">
        <f ca="1">$M$1789*$Z$1789</f>
        <v>18.475441970347767</v>
      </c>
      <c r="AG1789" s="4">
        <f>$O$1789*$AA$1789</f>
        <v>6.5073386375369013</v>
      </c>
    </row>
    <row r="1790" spans="1:33" ht="11.25" customHeight="1" x14ac:dyDescent="0.25">
      <c r="A1790" s="3" t="s">
        <v>21</v>
      </c>
      <c r="B1790" s="3" t="s">
        <v>39</v>
      </c>
      <c r="C1790" s="3" t="s">
        <v>37</v>
      </c>
      <c r="D1790" s="3" t="s">
        <v>46</v>
      </c>
      <c r="E1790" s="3" t="s">
        <v>25</v>
      </c>
      <c r="F1790" s="3" t="s">
        <v>25</v>
      </c>
      <c r="G1790" s="3" t="s">
        <v>25</v>
      </c>
      <c r="H1790" s="3" t="s">
        <v>38</v>
      </c>
      <c r="I1790" s="6">
        <v>44378</v>
      </c>
      <c r="J1790" s="4">
        <v>0</v>
      </c>
      <c r="K1790" s="4">
        <v>0</v>
      </c>
      <c r="L1790" s="4">
        <v>2.7149999999999999</v>
      </c>
      <c r="M1790" s="4">
        <v>2.7149999999999999</v>
      </c>
      <c r="N1790" s="4">
        <v>2.7149999999999999</v>
      </c>
      <c r="O1790" s="4">
        <v>2.7149999999999999</v>
      </c>
      <c r="P1790" s="4">
        <v>0</v>
      </c>
      <c r="Q1790" s="3" t="s">
        <v>26</v>
      </c>
      <c r="R1790" s="3">
        <v>0</v>
      </c>
      <c r="S1790" s="4">
        <v>0</v>
      </c>
      <c r="T1790" s="4">
        <v>43</v>
      </c>
      <c r="U1790" s="4">
        <v>83</v>
      </c>
      <c r="V1790" s="4">
        <f>IF(ISERROR(VLOOKUP($S$1790,'TAR FIN'!$A$1:$O$99,15,0)),0,VLOOKUP($S$1790,'TAR FIN'!$A$1:$O$99,15,0))</f>
        <v>0</v>
      </c>
      <c r="W1790" s="4">
        <f>IF(ISERROR(VLOOKUP($T$1790,'TAR FIN'!$A$1:$O$99,15,0)),0,VLOOKUP($T$1790,'TAR FIN'!$A$1:$O$99,15,0))</f>
        <v>657.51</v>
      </c>
      <c r="X1790" s="4">
        <f>IF(ISERROR(VLOOKUP($U$1790,'TAR FIN'!$A$1:$O$99,15,0)),0,VLOOKUP($U$1790,'TAR FIN'!$A$1:$O$99,15,0))</f>
        <v>219.97</v>
      </c>
      <c r="Y1790" s="4"/>
      <c r="Z1790" s="4">
        <f ca="1">('TUSD BE'!$AM$57+'TUSD BF'!$AM$57+'TUSD CVA'!$AM$57)*1</f>
        <v>769.81008209782362</v>
      </c>
      <c r="AA1790" s="4">
        <f>('TE BE'!$AA$39+'TE BF'!$AA$39+'TE CVA'!$AA$39)*1</f>
        <v>271.13910989737087</v>
      </c>
      <c r="AB1790" s="4">
        <f>$K$1790*$V$1790</f>
        <v>0</v>
      </c>
      <c r="AC1790" s="4">
        <f>$M$1790*$W$1790</f>
        <v>1785.1396499999998</v>
      </c>
      <c r="AD1790" s="4">
        <f>$O$1790*$X$1790</f>
        <v>597.21854999999994</v>
      </c>
      <c r="AE1790" s="4">
        <f>$K$1790*$Y$1790</f>
        <v>0</v>
      </c>
      <c r="AF1790" s="4">
        <f ca="1">$M$1790*$Z$1790</f>
        <v>2090.0343728955909</v>
      </c>
      <c r="AG1790" s="4">
        <f>$O$1790*$AA$1790</f>
        <v>736.14268337136184</v>
      </c>
    </row>
    <row r="1791" spans="1:33" ht="11.25" customHeight="1" x14ac:dyDescent="0.25">
      <c r="A1791" s="3" t="s">
        <v>21</v>
      </c>
      <c r="B1791" s="3" t="s">
        <v>39</v>
      </c>
      <c r="C1791" s="3" t="s">
        <v>37</v>
      </c>
      <c r="D1791" s="3" t="s">
        <v>46</v>
      </c>
      <c r="E1791" s="3" t="s">
        <v>25</v>
      </c>
      <c r="F1791" s="3" t="s">
        <v>25</v>
      </c>
      <c r="G1791" s="3" t="s">
        <v>25</v>
      </c>
      <c r="H1791" s="3" t="s">
        <v>38</v>
      </c>
      <c r="I1791" s="6">
        <v>44409</v>
      </c>
      <c r="J1791" s="4">
        <v>0</v>
      </c>
      <c r="K1791" s="4">
        <v>0</v>
      </c>
      <c r="L1791" s="4">
        <v>0.22600000000000001</v>
      </c>
      <c r="M1791" s="4">
        <v>0.22600000000000001</v>
      </c>
      <c r="N1791" s="4">
        <v>0.22600000000000001</v>
      </c>
      <c r="O1791" s="4">
        <v>0.22600000000000001</v>
      </c>
      <c r="P1791" s="4">
        <v>0</v>
      </c>
      <c r="Q1791" s="3" t="s">
        <v>26</v>
      </c>
      <c r="R1791" s="3">
        <v>0</v>
      </c>
      <c r="S1791" s="4">
        <v>0</v>
      </c>
      <c r="T1791" s="4">
        <v>43</v>
      </c>
      <c r="U1791" s="4">
        <v>83</v>
      </c>
      <c r="V1791" s="4">
        <f>IF(ISERROR(VLOOKUP($S$1791,'TAR FIN'!$A$1:$O$99,15,0)),0,VLOOKUP($S$1791,'TAR FIN'!$A$1:$O$99,15,0))</f>
        <v>0</v>
      </c>
      <c r="W1791" s="4">
        <f>IF(ISERROR(VLOOKUP($T$1791,'TAR FIN'!$A$1:$O$99,15,0)),0,VLOOKUP($T$1791,'TAR FIN'!$A$1:$O$99,15,0))</f>
        <v>657.51</v>
      </c>
      <c r="X1791" s="4">
        <f>IF(ISERROR(VLOOKUP($U$1791,'TAR FIN'!$A$1:$O$99,15,0)),0,VLOOKUP($U$1791,'TAR FIN'!$A$1:$O$99,15,0))</f>
        <v>219.97</v>
      </c>
      <c r="Y1791" s="4"/>
      <c r="Z1791" s="4">
        <f ca="1">('TUSD BE'!$AM$57+'TUSD BF'!$AM$57+'TUSD CVA'!$AM$57)*1</f>
        <v>769.81008209782362</v>
      </c>
      <c r="AA1791" s="4">
        <f>('TE BE'!$AA$39+'TE BF'!$AA$39+'TE CVA'!$AA$39)*1</f>
        <v>271.13910989737087</v>
      </c>
      <c r="AB1791" s="4">
        <f>$K$1791*$V$1791</f>
        <v>0</v>
      </c>
      <c r="AC1791" s="4">
        <f>$M$1791*$W$1791</f>
        <v>148.59726000000001</v>
      </c>
      <c r="AD1791" s="4">
        <f>$O$1791*$X$1791</f>
        <v>49.71322</v>
      </c>
      <c r="AE1791" s="4">
        <f>$K$1791*$Y$1791</f>
        <v>0</v>
      </c>
      <c r="AF1791" s="4">
        <f ca="1">$M$1791*$Z$1791</f>
        <v>173.97707855410815</v>
      </c>
      <c r="AG1791" s="4">
        <f>$O$1791*$AA$1791</f>
        <v>61.277438836805821</v>
      </c>
    </row>
    <row r="1792" spans="1:33" ht="11.25" customHeight="1" x14ac:dyDescent="0.25">
      <c r="A1792" s="3" t="s">
        <v>21</v>
      </c>
      <c r="B1792" s="3" t="s">
        <v>39</v>
      </c>
      <c r="C1792" s="3" t="s">
        <v>37</v>
      </c>
      <c r="D1792" s="3" t="s">
        <v>46</v>
      </c>
      <c r="E1792" s="3" t="s">
        <v>25</v>
      </c>
      <c r="F1792" s="3" t="s">
        <v>25</v>
      </c>
      <c r="G1792" s="3" t="s">
        <v>25</v>
      </c>
      <c r="H1792" s="3" t="s">
        <v>38</v>
      </c>
      <c r="I1792" s="6">
        <v>44440</v>
      </c>
      <c r="J1792" s="4">
        <v>0</v>
      </c>
      <c r="K1792" s="4">
        <v>0</v>
      </c>
      <c r="L1792" s="4">
        <v>0.252</v>
      </c>
      <c r="M1792" s="4">
        <v>0.252</v>
      </c>
      <c r="N1792" s="4">
        <v>0.252</v>
      </c>
      <c r="O1792" s="4">
        <v>0.252</v>
      </c>
      <c r="P1792" s="4">
        <v>0</v>
      </c>
      <c r="Q1792" s="3" t="s">
        <v>26</v>
      </c>
      <c r="R1792" s="3">
        <v>0</v>
      </c>
      <c r="S1792" s="4">
        <v>0</v>
      </c>
      <c r="T1792" s="4">
        <v>43</v>
      </c>
      <c r="U1792" s="4">
        <v>83</v>
      </c>
      <c r="V1792" s="4">
        <f>IF(ISERROR(VLOOKUP($S$1792,'TAR FIN'!$A$1:$O$99,15,0)),0,VLOOKUP($S$1792,'TAR FIN'!$A$1:$O$99,15,0))</f>
        <v>0</v>
      </c>
      <c r="W1792" s="4">
        <f>IF(ISERROR(VLOOKUP($T$1792,'TAR FIN'!$A$1:$O$99,15,0)),0,VLOOKUP($T$1792,'TAR FIN'!$A$1:$O$99,15,0))</f>
        <v>657.51</v>
      </c>
      <c r="X1792" s="4">
        <f>IF(ISERROR(VLOOKUP($U$1792,'TAR FIN'!$A$1:$O$99,15,0)),0,VLOOKUP($U$1792,'TAR FIN'!$A$1:$O$99,15,0))</f>
        <v>219.97</v>
      </c>
      <c r="Y1792" s="4"/>
      <c r="Z1792" s="4">
        <f ca="1">('TUSD BE'!$AM$57+'TUSD BF'!$AM$57+'TUSD CVA'!$AM$57)*1</f>
        <v>769.81008209782362</v>
      </c>
      <c r="AA1792" s="4">
        <f>('TE BE'!$AA$39+'TE BF'!$AA$39+'TE CVA'!$AA$39)*1</f>
        <v>271.13910989737087</v>
      </c>
      <c r="AB1792" s="4">
        <f>$K$1792*$V$1792</f>
        <v>0</v>
      </c>
      <c r="AC1792" s="4">
        <f>$M$1792*$W$1792</f>
        <v>165.69252</v>
      </c>
      <c r="AD1792" s="4">
        <f>$O$1792*$X$1792</f>
        <v>55.43244</v>
      </c>
      <c r="AE1792" s="4">
        <f>$K$1792*$Y$1792</f>
        <v>0</v>
      </c>
      <c r="AF1792" s="4">
        <f ca="1">$M$1792*$Z$1792</f>
        <v>193.99214068865155</v>
      </c>
      <c r="AG1792" s="4">
        <f>$O$1792*$AA$1792</f>
        <v>68.327055694137456</v>
      </c>
    </row>
    <row r="1793" spans="1:33" ht="11.25" customHeight="1" x14ac:dyDescent="0.25">
      <c r="A1793" s="3" t="s">
        <v>21</v>
      </c>
      <c r="B1793" s="3" t="s">
        <v>39</v>
      </c>
      <c r="C1793" s="3" t="s">
        <v>37</v>
      </c>
      <c r="D1793" s="3" t="s">
        <v>46</v>
      </c>
      <c r="E1793" s="3" t="s">
        <v>25</v>
      </c>
      <c r="F1793" s="3" t="s">
        <v>25</v>
      </c>
      <c r="G1793" s="3" t="s">
        <v>25</v>
      </c>
      <c r="H1793" s="3" t="s">
        <v>38</v>
      </c>
      <c r="I1793" s="6">
        <v>44470</v>
      </c>
      <c r="J1793" s="4">
        <v>0</v>
      </c>
      <c r="K1793" s="4">
        <v>0</v>
      </c>
      <c r="L1793" s="4">
        <v>0.57099999999999995</v>
      </c>
      <c r="M1793" s="4">
        <v>0.57099999999999995</v>
      </c>
      <c r="N1793" s="4">
        <v>0.57099999999999995</v>
      </c>
      <c r="O1793" s="4">
        <v>0.57099999999999995</v>
      </c>
      <c r="P1793" s="4">
        <v>0</v>
      </c>
      <c r="Q1793" s="3" t="s">
        <v>26</v>
      </c>
      <c r="R1793" s="3">
        <v>0</v>
      </c>
      <c r="S1793" s="4">
        <v>0</v>
      </c>
      <c r="T1793" s="4">
        <v>43</v>
      </c>
      <c r="U1793" s="4">
        <v>83</v>
      </c>
      <c r="V1793" s="4">
        <f>IF(ISERROR(VLOOKUP($S$1793,'TAR FIN'!$A$1:$O$99,15,0)),0,VLOOKUP($S$1793,'TAR FIN'!$A$1:$O$99,15,0))</f>
        <v>0</v>
      </c>
      <c r="W1793" s="4">
        <f>IF(ISERROR(VLOOKUP($T$1793,'TAR FIN'!$A$1:$O$99,15,0)),0,VLOOKUP($T$1793,'TAR FIN'!$A$1:$O$99,15,0))</f>
        <v>657.51</v>
      </c>
      <c r="X1793" s="4">
        <f>IF(ISERROR(VLOOKUP($U$1793,'TAR FIN'!$A$1:$O$99,15,0)),0,VLOOKUP($U$1793,'TAR FIN'!$A$1:$O$99,15,0))</f>
        <v>219.97</v>
      </c>
      <c r="Y1793" s="4"/>
      <c r="Z1793" s="4">
        <f ca="1">('TUSD BE'!$AM$57+'TUSD BF'!$AM$57+'TUSD CVA'!$AM$57)*1</f>
        <v>769.81008209782362</v>
      </c>
      <c r="AA1793" s="4">
        <f>('TE BE'!$AA$39+'TE BF'!$AA$39+'TE CVA'!$AA$39)*1</f>
        <v>271.13910989737087</v>
      </c>
      <c r="AB1793" s="4">
        <f>$K$1793*$V$1793</f>
        <v>0</v>
      </c>
      <c r="AC1793" s="4">
        <f>$M$1793*$W$1793</f>
        <v>375.43820999999997</v>
      </c>
      <c r="AD1793" s="4">
        <f>$O$1793*$X$1793</f>
        <v>125.60287</v>
      </c>
      <c r="AE1793" s="4">
        <f>$K$1793*$Y$1793</f>
        <v>0</v>
      </c>
      <c r="AF1793" s="4">
        <f ca="1">$M$1793*$Z$1793</f>
        <v>439.56155687785724</v>
      </c>
      <c r="AG1793" s="4">
        <f>$O$1793*$AA$1793</f>
        <v>154.82043175139876</v>
      </c>
    </row>
    <row r="1794" spans="1:33" ht="11.25" customHeight="1" x14ac:dyDescent="0.25">
      <c r="A1794" s="3" t="s">
        <v>21</v>
      </c>
      <c r="B1794" s="3" t="s">
        <v>39</v>
      </c>
      <c r="C1794" s="3" t="s">
        <v>37</v>
      </c>
      <c r="D1794" s="3" t="s">
        <v>46</v>
      </c>
      <c r="E1794" s="3" t="s">
        <v>25</v>
      </c>
      <c r="F1794" s="3" t="s">
        <v>25</v>
      </c>
      <c r="G1794" s="3" t="s">
        <v>25</v>
      </c>
      <c r="H1794" s="3" t="s">
        <v>38</v>
      </c>
      <c r="I1794" s="6">
        <v>44501</v>
      </c>
      <c r="J1794" s="4">
        <v>0</v>
      </c>
      <c r="K1794" s="4">
        <v>0</v>
      </c>
      <c r="L1794" s="4">
        <v>0.46100000000000002</v>
      </c>
      <c r="M1794" s="4">
        <v>0.46100000000000002</v>
      </c>
      <c r="N1794" s="4">
        <v>0.46100000000000002</v>
      </c>
      <c r="O1794" s="4">
        <v>0.46100000000000002</v>
      </c>
      <c r="P1794" s="4">
        <v>0</v>
      </c>
      <c r="Q1794" s="3" t="s">
        <v>26</v>
      </c>
      <c r="R1794" s="3">
        <v>0</v>
      </c>
      <c r="S1794" s="4">
        <v>0</v>
      </c>
      <c r="T1794" s="4">
        <v>43</v>
      </c>
      <c r="U1794" s="4">
        <v>83</v>
      </c>
      <c r="V1794" s="4">
        <f>IF(ISERROR(VLOOKUP($S$1794,'TAR FIN'!$A$1:$O$99,15,0)),0,VLOOKUP($S$1794,'TAR FIN'!$A$1:$O$99,15,0))</f>
        <v>0</v>
      </c>
      <c r="W1794" s="4">
        <f>IF(ISERROR(VLOOKUP($T$1794,'TAR FIN'!$A$1:$O$99,15,0)),0,VLOOKUP($T$1794,'TAR FIN'!$A$1:$O$99,15,0))</f>
        <v>657.51</v>
      </c>
      <c r="X1794" s="4">
        <f>IF(ISERROR(VLOOKUP($U$1794,'TAR FIN'!$A$1:$O$99,15,0)),0,VLOOKUP($U$1794,'TAR FIN'!$A$1:$O$99,15,0))</f>
        <v>219.97</v>
      </c>
      <c r="Y1794" s="4"/>
      <c r="Z1794" s="4">
        <f ca="1">('TUSD BE'!$AM$57+'TUSD BF'!$AM$57+'TUSD CVA'!$AM$57)*1</f>
        <v>769.81008209782362</v>
      </c>
      <c r="AA1794" s="4">
        <f>('TE BE'!$AA$39+'TE BF'!$AA$39+'TE CVA'!$AA$39)*1</f>
        <v>271.13910989737087</v>
      </c>
      <c r="AB1794" s="4">
        <f>$K$1794*$V$1794</f>
        <v>0</v>
      </c>
      <c r="AC1794" s="4">
        <f>$M$1794*$W$1794</f>
        <v>303.11211000000003</v>
      </c>
      <c r="AD1794" s="4">
        <f>$O$1794*$X$1794</f>
        <v>101.40617</v>
      </c>
      <c r="AE1794" s="4">
        <f>$K$1794*$Y$1794</f>
        <v>0</v>
      </c>
      <c r="AF1794" s="4">
        <f ca="1">$M$1794*$Z$1794</f>
        <v>354.88244784709673</v>
      </c>
      <c r="AG1794" s="4">
        <f>$O$1794*$AA$1794</f>
        <v>124.99512966268797</v>
      </c>
    </row>
    <row r="1795" spans="1:33" ht="11.25" customHeight="1" x14ac:dyDescent="0.25">
      <c r="A1795" s="3" t="s">
        <v>21</v>
      </c>
      <c r="B1795" s="3" t="s">
        <v>39</v>
      </c>
      <c r="C1795" s="3" t="s">
        <v>37</v>
      </c>
      <c r="D1795" s="3" t="s">
        <v>46</v>
      </c>
      <c r="E1795" s="3" t="s">
        <v>25</v>
      </c>
      <c r="F1795" s="3" t="s">
        <v>25</v>
      </c>
      <c r="G1795" s="3" t="s">
        <v>25</v>
      </c>
      <c r="H1795" s="3" t="s">
        <v>38</v>
      </c>
      <c r="I1795" s="6">
        <v>44531</v>
      </c>
      <c r="J1795" s="4">
        <v>0</v>
      </c>
      <c r="K1795" s="4">
        <v>0</v>
      </c>
      <c r="L1795" s="4">
        <v>1.484</v>
      </c>
      <c r="M1795" s="4">
        <v>1.484</v>
      </c>
      <c r="N1795" s="4">
        <v>1.484</v>
      </c>
      <c r="O1795" s="4">
        <v>1.484</v>
      </c>
      <c r="P1795" s="4">
        <v>0</v>
      </c>
      <c r="Q1795" s="3" t="s">
        <v>26</v>
      </c>
      <c r="R1795" s="3">
        <v>0</v>
      </c>
      <c r="S1795" s="4">
        <v>0</v>
      </c>
      <c r="T1795" s="4">
        <v>43</v>
      </c>
      <c r="U1795" s="4">
        <v>83</v>
      </c>
      <c r="V1795" s="4">
        <f>IF(ISERROR(VLOOKUP($S$1795,'TAR FIN'!$A$1:$O$99,15,0)),0,VLOOKUP($S$1795,'TAR FIN'!$A$1:$O$99,15,0))</f>
        <v>0</v>
      </c>
      <c r="W1795" s="4">
        <f>IF(ISERROR(VLOOKUP($T$1795,'TAR FIN'!$A$1:$O$99,15,0)),0,VLOOKUP($T$1795,'TAR FIN'!$A$1:$O$99,15,0))</f>
        <v>657.51</v>
      </c>
      <c r="X1795" s="4">
        <f>IF(ISERROR(VLOOKUP($U$1795,'TAR FIN'!$A$1:$O$99,15,0)),0,VLOOKUP($U$1795,'TAR FIN'!$A$1:$O$99,15,0))</f>
        <v>219.97</v>
      </c>
      <c r="Y1795" s="4"/>
      <c r="Z1795" s="4">
        <f ca="1">('TUSD BE'!$AM$57+'TUSD BF'!$AM$57+'TUSD CVA'!$AM$57)*1</f>
        <v>769.81008209782362</v>
      </c>
      <c r="AA1795" s="4">
        <f>('TE BE'!$AA$39+'TE BF'!$AA$39+'TE CVA'!$AA$39)*1</f>
        <v>271.13910989737087</v>
      </c>
      <c r="AB1795" s="4">
        <f>$K$1795*$V$1795</f>
        <v>0</v>
      </c>
      <c r="AC1795" s="4">
        <f>$M$1795*$W$1795</f>
        <v>975.74483999999995</v>
      </c>
      <c r="AD1795" s="4">
        <f>$O$1795*$X$1795</f>
        <v>326.43547999999998</v>
      </c>
      <c r="AE1795" s="4">
        <f>$K$1795*$Y$1795</f>
        <v>0</v>
      </c>
      <c r="AF1795" s="4">
        <f ca="1">$M$1795*$Z$1795</f>
        <v>1142.3981618331702</v>
      </c>
      <c r="AG1795" s="4">
        <f>$O$1795*$AA$1795</f>
        <v>402.37043908769834</v>
      </c>
    </row>
    <row r="1796" spans="1:33" ht="11.25" customHeight="1" x14ac:dyDescent="0.25">
      <c r="A1796" s="3" t="s">
        <v>21</v>
      </c>
      <c r="B1796" s="3" t="s">
        <v>39</v>
      </c>
      <c r="C1796" s="3" t="s">
        <v>37</v>
      </c>
      <c r="D1796" s="3" t="s">
        <v>46</v>
      </c>
      <c r="E1796" s="3" t="s">
        <v>25</v>
      </c>
      <c r="F1796" s="3" t="s">
        <v>25</v>
      </c>
      <c r="G1796" s="3" t="s">
        <v>25</v>
      </c>
      <c r="H1796" s="3" t="s">
        <v>38</v>
      </c>
      <c r="I1796" s="6">
        <v>44562</v>
      </c>
      <c r="J1796" s="4">
        <v>0</v>
      </c>
      <c r="K1796" s="4">
        <v>0</v>
      </c>
      <c r="L1796" s="4">
        <v>1.099</v>
      </c>
      <c r="M1796" s="4">
        <v>1.099</v>
      </c>
      <c r="N1796" s="4">
        <v>1.099</v>
      </c>
      <c r="O1796" s="4">
        <v>1.099</v>
      </c>
      <c r="P1796" s="4">
        <v>0</v>
      </c>
      <c r="Q1796" s="3" t="s">
        <v>26</v>
      </c>
      <c r="R1796" s="3">
        <v>0</v>
      </c>
      <c r="S1796" s="4">
        <v>0</v>
      </c>
      <c r="T1796" s="4">
        <v>43</v>
      </c>
      <c r="U1796" s="4">
        <v>83</v>
      </c>
      <c r="V1796" s="4">
        <f>IF(ISERROR(VLOOKUP($S$1796,'TAR FIN'!$A$1:$O$99,15,0)),0,VLOOKUP($S$1796,'TAR FIN'!$A$1:$O$99,15,0))</f>
        <v>0</v>
      </c>
      <c r="W1796" s="4">
        <f>IF(ISERROR(VLOOKUP($T$1796,'TAR FIN'!$A$1:$O$99,15,0)),0,VLOOKUP($T$1796,'TAR FIN'!$A$1:$O$99,15,0))</f>
        <v>657.51</v>
      </c>
      <c r="X1796" s="4">
        <f>IF(ISERROR(VLOOKUP($U$1796,'TAR FIN'!$A$1:$O$99,15,0)),0,VLOOKUP($U$1796,'TAR FIN'!$A$1:$O$99,15,0))</f>
        <v>219.97</v>
      </c>
      <c r="Y1796" s="4"/>
      <c r="Z1796" s="4">
        <f ca="1">('TUSD BE'!$AM$57+'TUSD BF'!$AM$57+'TUSD CVA'!$AM$57)*1</f>
        <v>769.81008209782362</v>
      </c>
      <c r="AA1796" s="4">
        <f>('TE BE'!$AA$39+'TE BF'!$AA$39+'TE CVA'!$AA$39)*1</f>
        <v>271.13910989737087</v>
      </c>
      <c r="AB1796" s="4">
        <f>$K$1796*$V$1796</f>
        <v>0</v>
      </c>
      <c r="AC1796" s="4">
        <f>$M$1796*$W$1796</f>
        <v>722.60348999999997</v>
      </c>
      <c r="AD1796" s="4">
        <f>$O$1796*$X$1796</f>
        <v>241.74703</v>
      </c>
      <c r="AE1796" s="4">
        <f>$K$1796*$Y$1796</f>
        <v>0</v>
      </c>
      <c r="AF1796" s="4">
        <f ca="1">$M$1796*$Z$1796</f>
        <v>846.02128022550812</v>
      </c>
      <c r="AG1796" s="4">
        <f>$O$1796*$AA$1796</f>
        <v>297.98188177721056</v>
      </c>
    </row>
    <row r="1797" spans="1:33" ht="11.25" customHeight="1" x14ac:dyDescent="0.25">
      <c r="A1797" s="3" t="s">
        <v>27</v>
      </c>
      <c r="B1797" s="3" t="s">
        <v>39</v>
      </c>
      <c r="C1797" s="3" t="s">
        <v>37</v>
      </c>
      <c r="D1797" s="3" t="s">
        <v>46</v>
      </c>
      <c r="E1797" s="3" t="s">
        <v>25</v>
      </c>
      <c r="F1797" s="3" t="s">
        <v>25</v>
      </c>
      <c r="G1797" s="3" t="s">
        <v>25</v>
      </c>
      <c r="H1797" s="3" t="s">
        <v>38</v>
      </c>
      <c r="I1797" s="6">
        <v>44562</v>
      </c>
      <c r="J1797" s="4">
        <v>0</v>
      </c>
      <c r="K1797" s="4">
        <v>0</v>
      </c>
      <c r="L1797" s="4">
        <v>-2.657</v>
      </c>
      <c r="M1797" s="4">
        <v>-2.657</v>
      </c>
      <c r="N1797" s="4">
        <v>-2.657</v>
      </c>
      <c r="O1797" s="4">
        <v>-2.657</v>
      </c>
      <c r="P1797" s="4">
        <v>0</v>
      </c>
      <c r="Q1797" s="3" t="s">
        <v>26</v>
      </c>
      <c r="R1797" s="3">
        <v>0</v>
      </c>
      <c r="S1797" s="4">
        <v>0</v>
      </c>
      <c r="T1797" s="4">
        <v>43</v>
      </c>
      <c r="U1797" s="4">
        <v>83</v>
      </c>
      <c r="V1797" s="4">
        <f>IF(ISERROR(VLOOKUP($S$1797,'TAR FIN'!$A$1:$O$99,15,0)),0,VLOOKUP($S$1797,'TAR FIN'!$A$1:$O$99,15,0))</f>
        <v>0</v>
      </c>
      <c r="W1797" s="4">
        <f>IF(ISERROR(VLOOKUP($T$1797,'TAR FIN'!$A$1:$O$99,15,0)),0,VLOOKUP($T$1797,'TAR FIN'!$A$1:$O$99,15,0))</f>
        <v>657.51</v>
      </c>
      <c r="X1797" s="4">
        <f>IF(ISERROR(VLOOKUP($U$1797,'TAR FIN'!$A$1:$O$99,15,0)),0,VLOOKUP($U$1797,'TAR FIN'!$A$1:$O$99,15,0))</f>
        <v>219.97</v>
      </c>
      <c r="Y1797" s="4"/>
      <c r="Z1797" s="4">
        <f ca="1">('TUSD BE'!$AM$57+'TUSD BF'!$AM$57+'TUSD CVA'!$AM$57)*1</f>
        <v>769.81008209782362</v>
      </c>
      <c r="AA1797" s="4">
        <f>('TE BE'!$AA$39+'TE BF'!$AA$39+'TE CVA'!$AA$39)*1</f>
        <v>271.13910989737087</v>
      </c>
      <c r="AB1797" s="4">
        <f>$K$1797*$V$1797</f>
        <v>0</v>
      </c>
      <c r="AC1797" s="4">
        <f>$M$1797*$W$1797</f>
        <v>-1747.00407</v>
      </c>
      <c r="AD1797" s="4">
        <f>$O$1797*$X$1797</f>
        <v>-584.46028999999999</v>
      </c>
      <c r="AE1797" s="4">
        <f>$K$1797*$Y$1797</f>
        <v>0</v>
      </c>
      <c r="AF1797" s="4">
        <f ca="1">$M$1797*$Z$1797</f>
        <v>-2045.3853881339173</v>
      </c>
      <c r="AG1797" s="4">
        <f>$O$1797*$AA$1797</f>
        <v>-720.41661499731447</v>
      </c>
    </row>
    <row r="1798" spans="1:33" ht="11.25" customHeight="1" x14ac:dyDescent="0.25">
      <c r="A1798" s="3" t="s">
        <v>21</v>
      </c>
      <c r="B1798" s="3" t="s">
        <v>39</v>
      </c>
      <c r="C1798" s="3" t="s">
        <v>37</v>
      </c>
      <c r="D1798" s="3" t="s">
        <v>46</v>
      </c>
      <c r="E1798" s="3" t="s">
        <v>25</v>
      </c>
      <c r="F1798" s="3" t="s">
        <v>25</v>
      </c>
      <c r="G1798" s="3" t="s">
        <v>25</v>
      </c>
      <c r="H1798" s="3" t="s">
        <v>38</v>
      </c>
      <c r="I1798" s="6">
        <v>44593</v>
      </c>
      <c r="J1798" s="4">
        <v>0</v>
      </c>
      <c r="K1798" s="4">
        <v>0</v>
      </c>
      <c r="L1798" s="4">
        <v>1.9079999999999999</v>
      </c>
      <c r="M1798" s="4">
        <v>1.9079999999999999</v>
      </c>
      <c r="N1798" s="4">
        <v>1.9079999999999999</v>
      </c>
      <c r="O1798" s="4">
        <v>1.9079999999999999</v>
      </c>
      <c r="P1798" s="4">
        <v>0</v>
      </c>
      <c r="Q1798" s="3" t="s">
        <v>26</v>
      </c>
      <c r="R1798" s="3">
        <v>0</v>
      </c>
      <c r="S1798" s="4">
        <v>0</v>
      </c>
      <c r="T1798" s="4">
        <v>43</v>
      </c>
      <c r="U1798" s="4">
        <v>83</v>
      </c>
      <c r="V1798" s="4">
        <f>IF(ISERROR(VLOOKUP($S$1798,'TAR FIN'!$A$1:$O$99,15,0)),0,VLOOKUP($S$1798,'TAR FIN'!$A$1:$O$99,15,0))</f>
        <v>0</v>
      </c>
      <c r="W1798" s="4">
        <f>IF(ISERROR(VLOOKUP($T$1798,'TAR FIN'!$A$1:$O$99,15,0)),0,VLOOKUP($T$1798,'TAR FIN'!$A$1:$O$99,15,0))</f>
        <v>657.51</v>
      </c>
      <c r="X1798" s="4">
        <f>IF(ISERROR(VLOOKUP($U$1798,'TAR FIN'!$A$1:$O$99,15,0)),0,VLOOKUP($U$1798,'TAR FIN'!$A$1:$O$99,15,0))</f>
        <v>219.97</v>
      </c>
      <c r="Y1798" s="4"/>
      <c r="Z1798" s="4">
        <f ca="1">('TUSD BE'!$AM$57+'TUSD BF'!$AM$57+'TUSD CVA'!$AM$57)*1</f>
        <v>769.81008209782362</v>
      </c>
      <c r="AA1798" s="4">
        <f>('TE BE'!$AA$39+'TE BF'!$AA$39+'TE CVA'!$AA$39)*1</f>
        <v>271.13910989737087</v>
      </c>
      <c r="AB1798" s="4">
        <f>$K$1798*$V$1798</f>
        <v>0</v>
      </c>
      <c r="AC1798" s="4">
        <f>$M$1798*$W$1798</f>
        <v>1254.52908</v>
      </c>
      <c r="AD1798" s="4">
        <f>$O$1798*$X$1798</f>
        <v>419.70275999999996</v>
      </c>
      <c r="AE1798" s="4">
        <f>$K$1798*$Y$1798</f>
        <v>0</v>
      </c>
      <c r="AF1798" s="4">
        <f ca="1">$M$1798*$Z$1798</f>
        <v>1468.7976366426474</v>
      </c>
      <c r="AG1798" s="4">
        <f>$O$1798*$AA$1798</f>
        <v>517.33342168418358</v>
      </c>
    </row>
    <row r="1799" spans="1:33" ht="11.25" customHeight="1" x14ac:dyDescent="0.25">
      <c r="A1799" s="3" t="s">
        <v>21</v>
      </c>
      <c r="B1799" s="3" t="s">
        <v>39</v>
      </c>
      <c r="C1799" s="3" t="s">
        <v>37</v>
      </c>
      <c r="D1799" s="3" t="s">
        <v>46</v>
      </c>
      <c r="E1799" s="3" t="s">
        <v>25</v>
      </c>
      <c r="F1799" s="3" t="s">
        <v>25</v>
      </c>
      <c r="G1799" s="3" t="s">
        <v>25</v>
      </c>
      <c r="H1799" s="3" t="s">
        <v>38</v>
      </c>
      <c r="I1799" s="6">
        <v>44621</v>
      </c>
      <c r="J1799" s="4">
        <v>0</v>
      </c>
      <c r="K1799" s="4">
        <v>0</v>
      </c>
      <c r="L1799" s="4">
        <v>2.0619999999999998</v>
      </c>
      <c r="M1799" s="4">
        <v>2.0619999999999998</v>
      </c>
      <c r="N1799" s="4">
        <v>2.0619999999999998</v>
      </c>
      <c r="O1799" s="4">
        <v>2.0619999999999998</v>
      </c>
      <c r="P1799" s="4">
        <v>0</v>
      </c>
      <c r="Q1799" s="3" t="s">
        <v>26</v>
      </c>
      <c r="R1799" s="3">
        <v>0</v>
      </c>
      <c r="S1799" s="4">
        <v>0</v>
      </c>
      <c r="T1799" s="4">
        <v>43</v>
      </c>
      <c r="U1799" s="4">
        <v>83</v>
      </c>
      <c r="V1799" s="4">
        <f>IF(ISERROR(VLOOKUP($S$1799,'TAR FIN'!$A$1:$O$99,15,0)),0,VLOOKUP($S$1799,'TAR FIN'!$A$1:$O$99,15,0))</f>
        <v>0</v>
      </c>
      <c r="W1799" s="4">
        <f>IF(ISERROR(VLOOKUP($T$1799,'TAR FIN'!$A$1:$O$99,15,0)),0,VLOOKUP($T$1799,'TAR FIN'!$A$1:$O$99,15,0))</f>
        <v>657.51</v>
      </c>
      <c r="X1799" s="4">
        <f>IF(ISERROR(VLOOKUP($U$1799,'TAR FIN'!$A$1:$O$99,15,0)),0,VLOOKUP($U$1799,'TAR FIN'!$A$1:$O$99,15,0))</f>
        <v>219.97</v>
      </c>
      <c r="Y1799" s="4"/>
      <c r="Z1799" s="4">
        <f ca="1">('TUSD BE'!$AM$57+'TUSD BF'!$AM$57+'TUSD CVA'!$AM$57)*1</f>
        <v>769.81008209782362</v>
      </c>
      <c r="AA1799" s="4">
        <f>('TE BE'!$AA$39+'TE BF'!$AA$39+'TE CVA'!$AA$39)*1</f>
        <v>271.13910989737087</v>
      </c>
      <c r="AB1799" s="4">
        <f>$K$1799*$V$1799</f>
        <v>0</v>
      </c>
      <c r="AC1799" s="4">
        <f>$M$1799*$W$1799</f>
        <v>1355.7856199999999</v>
      </c>
      <c r="AD1799" s="4">
        <f>$O$1799*$X$1799</f>
        <v>453.57813999999996</v>
      </c>
      <c r="AE1799" s="4">
        <f>$K$1799*$Y$1799</f>
        <v>0</v>
      </c>
      <c r="AF1799" s="4">
        <f ca="1">$M$1799*$Z$1799</f>
        <v>1587.3483892857121</v>
      </c>
      <c r="AG1799" s="4">
        <f>$O$1799*$AA$1799</f>
        <v>559.08884460837874</v>
      </c>
    </row>
    <row r="1800" spans="1:33" ht="11.25" customHeight="1" x14ac:dyDescent="0.25">
      <c r="A1800" s="3" t="s">
        <v>56</v>
      </c>
      <c r="B1800" s="3" t="s">
        <v>39</v>
      </c>
      <c r="C1800" s="3" t="s">
        <v>37</v>
      </c>
      <c r="D1800" s="3" t="s">
        <v>46</v>
      </c>
      <c r="E1800" s="3" t="s">
        <v>25</v>
      </c>
      <c r="F1800" s="3" t="s">
        <v>25</v>
      </c>
      <c r="G1800" s="3" t="s">
        <v>25</v>
      </c>
      <c r="H1800" s="3" t="s">
        <v>38</v>
      </c>
      <c r="I1800" s="6">
        <v>44652</v>
      </c>
      <c r="J1800" s="4">
        <v>0</v>
      </c>
      <c r="K1800" s="4">
        <v>0</v>
      </c>
      <c r="L1800" s="4">
        <v>2.0619999999999998</v>
      </c>
      <c r="M1800" s="4">
        <v>2.0619999999999998</v>
      </c>
      <c r="N1800" s="4">
        <v>2.0619999999999998</v>
      </c>
      <c r="O1800" s="4">
        <v>2.0619999999999998</v>
      </c>
      <c r="P1800" s="4">
        <v>0</v>
      </c>
      <c r="Q1800" s="3" t="s">
        <v>26</v>
      </c>
      <c r="R1800" s="3">
        <v>0</v>
      </c>
      <c r="S1800" s="4">
        <v>0</v>
      </c>
      <c r="T1800" s="4">
        <v>43</v>
      </c>
      <c r="U1800" s="4">
        <v>83</v>
      </c>
      <c r="V1800" s="4">
        <f>IF(ISERROR(VLOOKUP($S$1800,'TAR FIN'!$A$1:$O$99,15,0)),0,VLOOKUP($S$1800,'TAR FIN'!$A$1:$O$99,15,0))</f>
        <v>0</v>
      </c>
      <c r="W1800" s="4">
        <f>IF(ISERROR(VLOOKUP($T$1800,'TAR FIN'!$A$1:$O$99,15,0)),0,VLOOKUP($T$1800,'TAR FIN'!$A$1:$O$99,15,0))</f>
        <v>657.51</v>
      </c>
      <c r="X1800" s="4">
        <f>IF(ISERROR(VLOOKUP($U$1800,'TAR FIN'!$A$1:$O$99,15,0)),0,VLOOKUP($U$1800,'TAR FIN'!$A$1:$O$99,15,0))</f>
        <v>219.97</v>
      </c>
      <c r="Y1800" s="4"/>
      <c r="Z1800" s="4">
        <f ca="1">('TUSD BE'!$AM$57+'TUSD BF'!$AM$57+'TUSD CVA'!$AM$57)*1</f>
        <v>769.81008209782362</v>
      </c>
      <c r="AA1800" s="4">
        <f>('TE BE'!$AA$39+'TE BF'!$AA$39+'TE CVA'!$AA$39)*1</f>
        <v>271.13910989737087</v>
      </c>
      <c r="AB1800" s="4">
        <f>$K$1800*$V$1800</f>
        <v>0</v>
      </c>
      <c r="AC1800" s="4">
        <f>$M$1800*$W$1800</f>
        <v>1355.7856199999999</v>
      </c>
      <c r="AD1800" s="4">
        <f>$O$1800*$X$1800</f>
        <v>453.57813999999996</v>
      </c>
      <c r="AE1800" s="4">
        <f>$K$1800*$Y$1800</f>
        <v>0</v>
      </c>
      <c r="AF1800" s="4">
        <f ca="1">$M$1800*$Z$1800</f>
        <v>1587.3483892857121</v>
      </c>
      <c r="AG1800" s="4">
        <f>$O$1800*$AA$1800</f>
        <v>559.08884460837874</v>
      </c>
    </row>
    <row r="1801" spans="1:33" ht="11.25" customHeight="1" x14ac:dyDescent="0.25">
      <c r="A1801" s="3" t="s">
        <v>21</v>
      </c>
      <c r="B1801" s="3" t="s">
        <v>39</v>
      </c>
      <c r="C1801" s="3" t="s">
        <v>37</v>
      </c>
      <c r="D1801" s="3" t="s">
        <v>46</v>
      </c>
      <c r="E1801" s="3" t="s">
        <v>25</v>
      </c>
      <c r="F1801" s="3" t="s">
        <v>25</v>
      </c>
      <c r="G1801" s="3" t="s">
        <v>25</v>
      </c>
      <c r="H1801" s="3" t="s">
        <v>35</v>
      </c>
      <c r="I1801" s="6">
        <v>44317</v>
      </c>
      <c r="J1801" s="4">
        <v>0</v>
      </c>
      <c r="K1801" s="4">
        <v>0</v>
      </c>
      <c r="L1801" s="4">
        <v>3.5000000000000003E-2</v>
      </c>
      <c r="M1801" s="4">
        <v>3.5000000000000003E-2</v>
      </c>
      <c r="N1801" s="4">
        <v>3.5000000000000003E-2</v>
      </c>
      <c r="O1801" s="4">
        <v>3.5000000000000003E-2</v>
      </c>
      <c r="P1801" s="4">
        <v>0</v>
      </c>
      <c r="Q1801" s="3" t="s">
        <v>26</v>
      </c>
      <c r="R1801" s="3">
        <v>0</v>
      </c>
      <c r="S1801" s="4">
        <v>0</v>
      </c>
      <c r="T1801" s="4">
        <v>42</v>
      </c>
      <c r="U1801" s="4">
        <v>82</v>
      </c>
      <c r="V1801" s="4">
        <f>IF(ISERROR(VLOOKUP($S$1801,'TAR FIN'!$A$1:$O$99,15,0)),0,VLOOKUP($S$1801,'TAR FIN'!$A$1:$O$99,15,0))</f>
        <v>0</v>
      </c>
      <c r="W1801" s="4">
        <f>IF(ISERROR(VLOOKUP($T$1801,'TAR FIN'!$A$1:$O$99,15,0)),0,VLOOKUP($T$1801,'TAR FIN'!$A$1:$O$99,15,0))</f>
        <v>1010.32</v>
      </c>
      <c r="X1801" s="4">
        <f>IF(ISERROR(VLOOKUP($U$1801,'TAR FIN'!$A$1:$O$99,15,0)),0,VLOOKUP($U$1801,'TAR FIN'!$A$1:$O$99,15,0))</f>
        <v>346.61</v>
      </c>
      <c r="Y1801" s="4"/>
      <c r="Z1801" s="4">
        <f ca="1">('TUSD BE'!$AM$56+'TUSD BF'!$AM$56+'TUSD CVA'!$AM$56)*1</f>
        <v>1178.1887517861644</v>
      </c>
      <c r="AA1801" s="4">
        <f>('TE BE'!$AA$38+'TE BF'!$AA$38+'TE CVA'!$AA$38)*1</f>
        <v>423.89652505413846</v>
      </c>
      <c r="AB1801" s="4">
        <f>$K$1801*$V$1801</f>
        <v>0</v>
      </c>
      <c r="AC1801" s="4">
        <f>$M$1801*$W$1801</f>
        <v>35.361200000000004</v>
      </c>
      <c r="AD1801" s="4">
        <f>$O$1801*$X$1801</f>
        <v>12.131350000000001</v>
      </c>
      <c r="AE1801" s="4">
        <f>$K$1801*$Y$1801</f>
        <v>0</v>
      </c>
      <c r="AF1801" s="4">
        <f ca="1">$M$1801*$Z$1801</f>
        <v>41.236606312515761</v>
      </c>
      <c r="AG1801" s="4">
        <f>$O$1801*$AA$1801</f>
        <v>14.836378376894848</v>
      </c>
    </row>
    <row r="1802" spans="1:33" ht="11.25" customHeight="1" x14ac:dyDescent="0.25">
      <c r="A1802" s="3" t="s">
        <v>21</v>
      </c>
      <c r="B1802" s="3" t="s">
        <v>39</v>
      </c>
      <c r="C1802" s="3" t="s">
        <v>37</v>
      </c>
      <c r="D1802" s="3" t="s">
        <v>46</v>
      </c>
      <c r="E1802" s="3" t="s">
        <v>25</v>
      </c>
      <c r="F1802" s="3" t="s">
        <v>25</v>
      </c>
      <c r="G1802" s="3" t="s">
        <v>25</v>
      </c>
      <c r="H1802" s="3" t="s">
        <v>35</v>
      </c>
      <c r="I1802" s="6">
        <v>44348</v>
      </c>
      <c r="J1802" s="4">
        <v>0</v>
      </c>
      <c r="K1802" s="4">
        <v>0</v>
      </c>
      <c r="L1802" s="4">
        <v>3.7999999999999999E-2</v>
      </c>
      <c r="M1802" s="4">
        <v>3.7999999999999999E-2</v>
      </c>
      <c r="N1802" s="4">
        <v>3.7999999999999999E-2</v>
      </c>
      <c r="O1802" s="4">
        <v>3.7999999999999999E-2</v>
      </c>
      <c r="P1802" s="4">
        <v>0</v>
      </c>
      <c r="Q1802" s="3" t="s">
        <v>26</v>
      </c>
      <c r="R1802" s="3">
        <v>0</v>
      </c>
      <c r="S1802" s="4">
        <v>0</v>
      </c>
      <c r="T1802" s="4">
        <v>42</v>
      </c>
      <c r="U1802" s="4">
        <v>82</v>
      </c>
      <c r="V1802" s="4">
        <f>IF(ISERROR(VLOOKUP($S$1802,'TAR FIN'!$A$1:$O$99,15,0)),0,VLOOKUP($S$1802,'TAR FIN'!$A$1:$O$99,15,0))</f>
        <v>0</v>
      </c>
      <c r="W1802" s="4">
        <f>IF(ISERROR(VLOOKUP($T$1802,'TAR FIN'!$A$1:$O$99,15,0)),0,VLOOKUP($T$1802,'TAR FIN'!$A$1:$O$99,15,0))</f>
        <v>1010.32</v>
      </c>
      <c r="X1802" s="4">
        <f>IF(ISERROR(VLOOKUP($U$1802,'TAR FIN'!$A$1:$O$99,15,0)),0,VLOOKUP($U$1802,'TAR FIN'!$A$1:$O$99,15,0))</f>
        <v>346.61</v>
      </c>
      <c r="Y1802" s="4"/>
      <c r="Z1802" s="4">
        <f ca="1">('TUSD BE'!$AM$56+'TUSD BF'!$AM$56+'TUSD CVA'!$AM$56)*1</f>
        <v>1178.1887517861644</v>
      </c>
      <c r="AA1802" s="4">
        <f>('TE BE'!$AA$38+'TE BF'!$AA$38+'TE CVA'!$AA$38)*1</f>
        <v>423.89652505413846</v>
      </c>
      <c r="AB1802" s="4">
        <f>$K$1802*$V$1802</f>
        <v>0</v>
      </c>
      <c r="AC1802" s="4">
        <f>$M$1802*$W$1802</f>
        <v>38.392160000000004</v>
      </c>
      <c r="AD1802" s="4">
        <f>$O$1802*$X$1802</f>
        <v>13.17118</v>
      </c>
      <c r="AE1802" s="4">
        <f>$K$1802*$Y$1802</f>
        <v>0</v>
      </c>
      <c r="AF1802" s="4">
        <f ca="1">$M$1802*$Z$1802</f>
        <v>44.771172567874245</v>
      </c>
      <c r="AG1802" s="4">
        <f>$O$1802*$AA$1802</f>
        <v>16.108067952057262</v>
      </c>
    </row>
    <row r="1803" spans="1:33" ht="11.25" customHeight="1" x14ac:dyDescent="0.25">
      <c r="A1803" s="3" t="s">
        <v>21</v>
      </c>
      <c r="B1803" s="3" t="s">
        <v>39</v>
      </c>
      <c r="C1803" s="3" t="s">
        <v>37</v>
      </c>
      <c r="D1803" s="3" t="s">
        <v>46</v>
      </c>
      <c r="E1803" s="3" t="s">
        <v>25</v>
      </c>
      <c r="F1803" s="3" t="s">
        <v>25</v>
      </c>
      <c r="G1803" s="3" t="s">
        <v>25</v>
      </c>
      <c r="H1803" s="3" t="s">
        <v>35</v>
      </c>
      <c r="I1803" s="6">
        <v>44378</v>
      </c>
      <c r="J1803" s="4">
        <v>0</v>
      </c>
      <c r="K1803" s="4">
        <v>0</v>
      </c>
      <c r="L1803" s="4">
        <v>5.6000000000000001E-2</v>
      </c>
      <c r="M1803" s="4">
        <v>5.6000000000000001E-2</v>
      </c>
      <c r="N1803" s="4">
        <v>5.6000000000000001E-2</v>
      </c>
      <c r="O1803" s="4">
        <v>5.6000000000000001E-2</v>
      </c>
      <c r="P1803" s="4">
        <v>0</v>
      </c>
      <c r="Q1803" s="3" t="s">
        <v>26</v>
      </c>
      <c r="R1803" s="3">
        <v>0</v>
      </c>
      <c r="S1803" s="4">
        <v>0</v>
      </c>
      <c r="T1803" s="4">
        <v>42</v>
      </c>
      <c r="U1803" s="4">
        <v>82</v>
      </c>
      <c r="V1803" s="4">
        <f>IF(ISERROR(VLOOKUP($S$1803,'TAR FIN'!$A$1:$O$99,15,0)),0,VLOOKUP($S$1803,'TAR FIN'!$A$1:$O$99,15,0))</f>
        <v>0</v>
      </c>
      <c r="W1803" s="4">
        <f>IF(ISERROR(VLOOKUP($T$1803,'TAR FIN'!$A$1:$O$99,15,0)),0,VLOOKUP($T$1803,'TAR FIN'!$A$1:$O$99,15,0))</f>
        <v>1010.32</v>
      </c>
      <c r="X1803" s="4">
        <f>IF(ISERROR(VLOOKUP($U$1803,'TAR FIN'!$A$1:$O$99,15,0)),0,VLOOKUP($U$1803,'TAR FIN'!$A$1:$O$99,15,0))</f>
        <v>346.61</v>
      </c>
      <c r="Y1803" s="4"/>
      <c r="Z1803" s="4">
        <f ca="1">('TUSD BE'!$AM$56+'TUSD BF'!$AM$56+'TUSD CVA'!$AM$56)*1</f>
        <v>1178.1887517861644</v>
      </c>
      <c r="AA1803" s="4">
        <f>('TE BE'!$AA$38+'TE BF'!$AA$38+'TE CVA'!$AA$38)*1</f>
        <v>423.89652505413846</v>
      </c>
      <c r="AB1803" s="4">
        <f>$K$1803*$V$1803</f>
        <v>0</v>
      </c>
      <c r="AC1803" s="4">
        <f>$M$1803*$W$1803</f>
        <v>56.577920000000006</v>
      </c>
      <c r="AD1803" s="4">
        <f>$O$1803*$X$1803</f>
        <v>19.410160000000001</v>
      </c>
      <c r="AE1803" s="4">
        <f>$K$1803*$Y$1803</f>
        <v>0</v>
      </c>
      <c r="AF1803" s="4">
        <f ca="1">$M$1803*$Z$1803</f>
        <v>65.978570100025209</v>
      </c>
      <c r="AG1803" s="4">
        <f>$O$1803*$AA$1803</f>
        <v>23.738205403031756</v>
      </c>
    </row>
    <row r="1804" spans="1:33" ht="11.25" customHeight="1" x14ac:dyDescent="0.25">
      <c r="A1804" s="3" t="s">
        <v>21</v>
      </c>
      <c r="B1804" s="3" t="s">
        <v>39</v>
      </c>
      <c r="C1804" s="3" t="s">
        <v>37</v>
      </c>
      <c r="D1804" s="3" t="s">
        <v>46</v>
      </c>
      <c r="E1804" s="3" t="s">
        <v>25</v>
      </c>
      <c r="F1804" s="3" t="s">
        <v>25</v>
      </c>
      <c r="G1804" s="3" t="s">
        <v>25</v>
      </c>
      <c r="H1804" s="3" t="s">
        <v>35</v>
      </c>
      <c r="I1804" s="6">
        <v>44409</v>
      </c>
      <c r="J1804" s="4">
        <v>0</v>
      </c>
      <c r="K1804" s="4">
        <v>0</v>
      </c>
      <c r="L1804" s="4">
        <v>0.152</v>
      </c>
      <c r="M1804" s="4">
        <v>0.152</v>
      </c>
      <c r="N1804" s="4">
        <v>0.152</v>
      </c>
      <c r="O1804" s="4">
        <v>0.152</v>
      </c>
      <c r="P1804" s="4">
        <v>0</v>
      </c>
      <c r="Q1804" s="3" t="s">
        <v>26</v>
      </c>
      <c r="R1804" s="3">
        <v>0</v>
      </c>
      <c r="S1804" s="4">
        <v>0</v>
      </c>
      <c r="T1804" s="4">
        <v>42</v>
      </c>
      <c r="U1804" s="4">
        <v>82</v>
      </c>
      <c r="V1804" s="4">
        <f>IF(ISERROR(VLOOKUP($S$1804,'TAR FIN'!$A$1:$O$99,15,0)),0,VLOOKUP($S$1804,'TAR FIN'!$A$1:$O$99,15,0))</f>
        <v>0</v>
      </c>
      <c r="W1804" s="4">
        <f>IF(ISERROR(VLOOKUP($T$1804,'TAR FIN'!$A$1:$O$99,15,0)),0,VLOOKUP($T$1804,'TAR FIN'!$A$1:$O$99,15,0))</f>
        <v>1010.32</v>
      </c>
      <c r="X1804" s="4">
        <f>IF(ISERROR(VLOOKUP($U$1804,'TAR FIN'!$A$1:$O$99,15,0)),0,VLOOKUP($U$1804,'TAR FIN'!$A$1:$O$99,15,0))</f>
        <v>346.61</v>
      </c>
      <c r="Y1804" s="4"/>
      <c r="Z1804" s="4">
        <f ca="1">('TUSD BE'!$AM$56+'TUSD BF'!$AM$56+'TUSD CVA'!$AM$56)*1</f>
        <v>1178.1887517861644</v>
      </c>
      <c r="AA1804" s="4">
        <f>('TE BE'!$AA$38+'TE BF'!$AA$38+'TE CVA'!$AA$38)*1</f>
        <v>423.89652505413846</v>
      </c>
      <c r="AB1804" s="4">
        <f>$K$1804*$V$1804</f>
        <v>0</v>
      </c>
      <c r="AC1804" s="4">
        <f>$M$1804*$W$1804</f>
        <v>153.56864000000002</v>
      </c>
      <c r="AD1804" s="4">
        <f>$O$1804*$X$1804</f>
        <v>52.684719999999999</v>
      </c>
      <c r="AE1804" s="4">
        <f>$K$1804*$Y$1804</f>
        <v>0</v>
      </c>
      <c r="AF1804" s="4">
        <f ca="1">$M$1804*$Z$1804</f>
        <v>179.08469027149698</v>
      </c>
      <c r="AG1804" s="4">
        <f>$O$1804*$AA$1804</f>
        <v>64.432271808229046</v>
      </c>
    </row>
    <row r="1805" spans="1:33" ht="11.25" customHeight="1" x14ac:dyDescent="0.25">
      <c r="A1805" s="3" t="s">
        <v>21</v>
      </c>
      <c r="B1805" s="3" t="s">
        <v>39</v>
      </c>
      <c r="C1805" s="3" t="s">
        <v>37</v>
      </c>
      <c r="D1805" s="3" t="s">
        <v>46</v>
      </c>
      <c r="E1805" s="3" t="s">
        <v>25</v>
      </c>
      <c r="F1805" s="3" t="s">
        <v>25</v>
      </c>
      <c r="G1805" s="3" t="s">
        <v>25</v>
      </c>
      <c r="H1805" s="3" t="s">
        <v>35</v>
      </c>
      <c r="I1805" s="6">
        <v>44440</v>
      </c>
      <c r="J1805" s="4">
        <v>0</v>
      </c>
      <c r="K1805" s="4">
        <v>0</v>
      </c>
      <c r="L1805" s="4">
        <v>0.184</v>
      </c>
      <c r="M1805" s="4">
        <v>0.184</v>
      </c>
      <c r="N1805" s="4">
        <v>0.184</v>
      </c>
      <c r="O1805" s="4">
        <v>0.184</v>
      </c>
      <c r="P1805" s="4">
        <v>0</v>
      </c>
      <c r="Q1805" s="3" t="s">
        <v>26</v>
      </c>
      <c r="R1805" s="3">
        <v>0</v>
      </c>
      <c r="S1805" s="4">
        <v>0</v>
      </c>
      <c r="T1805" s="4">
        <v>42</v>
      </c>
      <c r="U1805" s="4">
        <v>82</v>
      </c>
      <c r="V1805" s="4">
        <f>IF(ISERROR(VLOOKUP($S$1805,'TAR FIN'!$A$1:$O$99,15,0)),0,VLOOKUP($S$1805,'TAR FIN'!$A$1:$O$99,15,0))</f>
        <v>0</v>
      </c>
      <c r="W1805" s="4">
        <f>IF(ISERROR(VLOOKUP($T$1805,'TAR FIN'!$A$1:$O$99,15,0)),0,VLOOKUP($T$1805,'TAR FIN'!$A$1:$O$99,15,0))</f>
        <v>1010.32</v>
      </c>
      <c r="X1805" s="4">
        <f>IF(ISERROR(VLOOKUP($U$1805,'TAR FIN'!$A$1:$O$99,15,0)),0,VLOOKUP($U$1805,'TAR FIN'!$A$1:$O$99,15,0))</f>
        <v>346.61</v>
      </c>
      <c r="Y1805" s="4"/>
      <c r="Z1805" s="4">
        <f ca="1">('TUSD BE'!$AM$56+'TUSD BF'!$AM$56+'TUSD CVA'!$AM$56)*1</f>
        <v>1178.1887517861644</v>
      </c>
      <c r="AA1805" s="4">
        <f>('TE BE'!$AA$38+'TE BF'!$AA$38+'TE CVA'!$AA$38)*1</f>
        <v>423.89652505413846</v>
      </c>
      <c r="AB1805" s="4">
        <f>$K$1805*$V$1805</f>
        <v>0</v>
      </c>
      <c r="AC1805" s="4">
        <f>$M$1805*$W$1805</f>
        <v>185.89888000000002</v>
      </c>
      <c r="AD1805" s="4">
        <f>$O$1805*$X$1805</f>
        <v>63.776240000000001</v>
      </c>
      <c r="AE1805" s="4">
        <f>$K$1805*$Y$1805</f>
        <v>0</v>
      </c>
      <c r="AF1805" s="4">
        <f ca="1">$M$1805*$Z$1805</f>
        <v>216.78673032865424</v>
      </c>
      <c r="AG1805" s="4">
        <f>$O$1805*$AA$1805</f>
        <v>77.996960609961477</v>
      </c>
    </row>
    <row r="1806" spans="1:33" ht="11.25" customHeight="1" x14ac:dyDescent="0.25">
      <c r="A1806" s="3" t="s">
        <v>21</v>
      </c>
      <c r="B1806" s="3" t="s">
        <v>39</v>
      </c>
      <c r="C1806" s="3" t="s">
        <v>37</v>
      </c>
      <c r="D1806" s="3" t="s">
        <v>46</v>
      </c>
      <c r="E1806" s="3" t="s">
        <v>25</v>
      </c>
      <c r="F1806" s="3" t="s">
        <v>25</v>
      </c>
      <c r="G1806" s="3" t="s">
        <v>25</v>
      </c>
      <c r="H1806" s="3" t="s">
        <v>35</v>
      </c>
      <c r="I1806" s="6">
        <v>44470</v>
      </c>
      <c r="J1806" s="4">
        <v>0</v>
      </c>
      <c r="K1806" s="4">
        <v>0</v>
      </c>
      <c r="L1806" s="4">
        <v>0.28699999999999998</v>
      </c>
      <c r="M1806" s="4">
        <v>0.28699999999999998</v>
      </c>
      <c r="N1806" s="4">
        <v>0.28699999999999998</v>
      </c>
      <c r="O1806" s="4">
        <v>0.28699999999999998</v>
      </c>
      <c r="P1806" s="4">
        <v>0</v>
      </c>
      <c r="Q1806" s="3" t="s">
        <v>26</v>
      </c>
      <c r="R1806" s="3">
        <v>0</v>
      </c>
      <c r="S1806" s="4">
        <v>0</v>
      </c>
      <c r="T1806" s="4">
        <v>42</v>
      </c>
      <c r="U1806" s="4">
        <v>82</v>
      </c>
      <c r="V1806" s="4">
        <f>IF(ISERROR(VLOOKUP($S$1806,'TAR FIN'!$A$1:$O$99,15,0)),0,VLOOKUP($S$1806,'TAR FIN'!$A$1:$O$99,15,0))</f>
        <v>0</v>
      </c>
      <c r="W1806" s="4">
        <f>IF(ISERROR(VLOOKUP($T$1806,'TAR FIN'!$A$1:$O$99,15,0)),0,VLOOKUP($T$1806,'TAR FIN'!$A$1:$O$99,15,0))</f>
        <v>1010.32</v>
      </c>
      <c r="X1806" s="4">
        <f>IF(ISERROR(VLOOKUP($U$1806,'TAR FIN'!$A$1:$O$99,15,0)),0,VLOOKUP($U$1806,'TAR FIN'!$A$1:$O$99,15,0))</f>
        <v>346.61</v>
      </c>
      <c r="Y1806" s="4"/>
      <c r="Z1806" s="4">
        <f ca="1">('TUSD BE'!$AM$56+'TUSD BF'!$AM$56+'TUSD CVA'!$AM$56)*1</f>
        <v>1178.1887517861644</v>
      </c>
      <c r="AA1806" s="4">
        <f>('TE BE'!$AA$38+'TE BF'!$AA$38+'TE CVA'!$AA$38)*1</f>
        <v>423.89652505413846</v>
      </c>
      <c r="AB1806" s="4">
        <f>$K$1806*$V$1806</f>
        <v>0</v>
      </c>
      <c r="AC1806" s="4">
        <f>$M$1806*$W$1806</f>
        <v>289.96184</v>
      </c>
      <c r="AD1806" s="4">
        <f>$O$1806*$X$1806</f>
        <v>99.477069999999998</v>
      </c>
      <c r="AE1806" s="4">
        <f>$K$1806*$Y$1806</f>
        <v>0</v>
      </c>
      <c r="AF1806" s="4">
        <f ca="1">$M$1806*$Z$1806</f>
        <v>338.14017176262917</v>
      </c>
      <c r="AG1806" s="4">
        <f>$O$1806*$AA$1806</f>
        <v>121.65830269053772</v>
      </c>
    </row>
    <row r="1807" spans="1:33" ht="11.25" customHeight="1" x14ac:dyDescent="0.25">
      <c r="A1807" s="3" t="s">
        <v>21</v>
      </c>
      <c r="B1807" s="3" t="s">
        <v>39</v>
      </c>
      <c r="C1807" s="3" t="s">
        <v>37</v>
      </c>
      <c r="D1807" s="3" t="s">
        <v>46</v>
      </c>
      <c r="E1807" s="3" t="s">
        <v>25</v>
      </c>
      <c r="F1807" s="3" t="s">
        <v>25</v>
      </c>
      <c r="G1807" s="3" t="s">
        <v>25</v>
      </c>
      <c r="H1807" s="3" t="s">
        <v>35</v>
      </c>
      <c r="I1807" s="6">
        <v>44501</v>
      </c>
      <c r="J1807" s="4">
        <v>0</v>
      </c>
      <c r="K1807" s="4">
        <v>0</v>
      </c>
      <c r="L1807" s="4">
        <v>0.23899999999999999</v>
      </c>
      <c r="M1807" s="4">
        <v>0.23899999999999999</v>
      </c>
      <c r="N1807" s="4">
        <v>0.23899999999999999</v>
      </c>
      <c r="O1807" s="4">
        <v>0.23899999999999999</v>
      </c>
      <c r="P1807" s="4">
        <v>0</v>
      </c>
      <c r="Q1807" s="3" t="s">
        <v>26</v>
      </c>
      <c r="R1807" s="3">
        <v>0</v>
      </c>
      <c r="S1807" s="4">
        <v>0</v>
      </c>
      <c r="T1807" s="4">
        <v>42</v>
      </c>
      <c r="U1807" s="4">
        <v>82</v>
      </c>
      <c r="V1807" s="4">
        <f>IF(ISERROR(VLOOKUP($S$1807,'TAR FIN'!$A$1:$O$99,15,0)),0,VLOOKUP($S$1807,'TAR FIN'!$A$1:$O$99,15,0))</f>
        <v>0</v>
      </c>
      <c r="W1807" s="4">
        <f>IF(ISERROR(VLOOKUP($T$1807,'TAR FIN'!$A$1:$O$99,15,0)),0,VLOOKUP($T$1807,'TAR FIN'!$A$1:$O$99,15,0))</f>
        <v>1010.32</v>
      </c>
      <c r="X1807" s="4">
        <f>IF(ISERROR(VLOOKUP($U$1807,'TAR FIN'!$A$1:$O$99,15,0)),0,VLOOKUP($U$1807,'TAR FIN'!$A$1:$O$99,15,0))</f>
        <v>346.61</v>
      </c>
      <c r="Y1807" s="4"/>
      <c r="Z1807" s="4">
        <f ca="1">('TUSD BE'!$AM$56+'TUSD BF'!$AM$56+'TUSD CVA'!$AM$56)*1</f>
        <v>1178.1887517861644</v>
      </c>
      <c r="AA1807" s="4">
        <f>('TE BE'!$AA$38+'TE BF'!$AA$38+'TE CVA'!$AA$38)*1</f>
        <v>423.89652505413846</v>
      </c>
      <c r="AB1807" s="4">
        <f>$K$1807*$V$1807</f>
        <v>0</v>
      </c>
      <c r="AC1807" s="4">
        <f>$M$1807*$W$1807</f>
        <v>241.46647999999999</v>
      </c>
      <c r="AD1807" s="4">
        <f>$O$1807*$X$1807</f>
        <v>82.839789999999994</v>
      </c>
      <c r="AE1807" s="4">
        <f>$K$1807*$Y$1807</f>
        <v>0</v>
      </c>
      <c r="AF1807" s="4">
        <f ca="1">$M$1807*$Z$1807</f>
        <v>281.5871116768933</v>
      </c>
      <c r="AG1807" s="4">
        <f>$O$1807*$AA$1807</f>
        <v>101.31126948793909</v>
      </c>
    </row>
    <row r="1808" spans="1:33" ht="11.25" customHeight="1" x14ac:dyDescent="0.25">
      <c r="A1808" s="3" t="s">
        <v>21</v>
      </c>
      <c r="B1808" s="3" t="s">
        <v>39</v>
      </c>
      <c r="C1808" s="3" t="s">
        <v>37</v>
      </c>
      <c r="D1808" s="3" t="s">
        <v>46</v>
      </c>
      <c r="E1808" s="3" t="s">
        <v>25</v>
      </c>
      <c r="F1808" s="3" t="s">
        <v>25</v>
      </c>
      <c r="G1808" s="3" t="s">
        <v>25</v>
      </c>
      <c r="H1808" s="3" t="s">
        <v>35</v>
      </c>
      <c r="I1808" s="6">
        <v>44531</v>
      </c>
      <c r="J1808" s="4">
        <v>0</v>
      </c>
      <c r="K1808" s="4">
        <v>0</v>
      </c>
      <c r="L1808" s="4">
        <v>1.25</v>
      </c>
      <c r="M1808" s="4">
        <v>1.25</v>
      </c>
      <c r="N1808" s="4">
        <v>1.25</v>
      </c>
      <c r="O1808" s="4">
        <v>1.25</v>
      </c>
      <c r="P1808" s="4">
        <v>0</v>
      </c>
      <c r="Q1808" s="3" t="s">
        <v>26</v>
      </c>
      <c r="R1808" s="3">
        <v>0</v>
      </c>
      <c r="S1808" s="4">
        <v>0</v>
      </c>
      <c r="T1808" s="4">
        <v>42</v>
      </c>
      <c r="U1808" s="4">
        <v>82</v>
      </c>
      <c r="V1808" s="4">
        <f>IF(ISERROR(VLOOKUP($S$1808,'TAR FIN'!$A$1:$O$99,15,0)),0,VLOOKUP($S$1808,'TAR FIN'!$A$1:$O$99,15,0))</f>
        <v>0</v>
      </c>
      <c r="W1808" s="4">
        <f>IF(ISERROR(VLOOKUP($T$1808,'TAR FIN'!$A$1:$O$99,15,0)),0,VLOOKUP($T$1808,'TAR FIN'!$A$1:$O$99,15,0))</f>
        <v>1010.32</v>
      </c>
      <c r="X1808" s="4">
        <f>IF(ISERROR(VLOOKUP($U$1808,'TAR FIN'!$A$1:$O$99,15,0)),0,VLOOKUP($U$1808,'TAR FIN'!$A$1:$O$99,15,0))</f>
        <v>346.61</v>
      </c>
      <c r="Y1808" s="4"/>
      <c r="Z1808" s="4">
        <f ca="1">('TUSD BE'!$AM$56+'TUSD BF'!$AM$56+'TUSD CVA'!$AM$56)*1</f>
        <v>1178.1887517861644</v>
      </c>
      <c r="AA1808" s="4">
        <f>('TE BE'!$AA$38+'TE BF'!$AA$38+'TE CVA'!$AA$38)*1</f>
        <v>423.89652505413846</v>
      </c>
      <c r="AB1808" s="4">
        <f>$K$1808*$V$1808</f>
        <v>0</v>
      </c>
      <c r="AC1808" s="4">
        <f>$M$1808*$W$1808</f>
        <v>1262.9000000000001</v>
      </c>
      <c r="AD1808" s="4">
        <f>$O$1808*$X$1808</f>
        <v>433.26250000000005</v>
      </c>
      <c r="AE1808" s="4">
        <f>$K$1808*$Y$1808</f>
        <v>0</v>
      </c>
      <c r="AF1808" s="4">
        <f ca="1">$M$1808*$Z$1808</f>
        <v>1472.7359397327054</v>
      </c>
      <c r="AG1808" s="4">
        <f>$O$1808*$AA$1808</f>
        <v>529.87065631767314</v>
      </c>
    </row>
    <row r="1809" spans="1:33" ht="11.25" customHeight="1" x14ac:dyDescent="0.25">
      <c r="A1809" s="3" t="s">
        <v>21</v>
      </c>
      <c r="B1809" s="3" t="s">
        <v>39</v>
      </c>
      <c r="C1809" s="3" t="s">
        <v>37</v>
      </c>
      <c r="D1809" s="3" t="s">
        <v>46</v>
      </c>
      <c r="E1809" s="3" t="s">
        <v>25</v>
      </c>
      <c r="F1809" s="3" t="s">
        <v>25</v>
      </c>
      <c r="G1809" s="3" t="s">
        <v>25</v>
      </c>
      <c r="H1809" s="3" t="s">
        <v>35</v>
      </c>
      <c r="I1809" s="6">
        <v>44562</v>
      </c>
      <c r="J1809" s="4">
        <v>0</v>
      </c>
      <c r="K1809" s="4">
        <v>0</v>
      </c>
      <c r="L1809" s="4">
        <v>1.9</v>
      </c>
      <c r="M1809" s="4">
        <v>1.9</v>
      </c>
      <c r="N1809" s="4">
        <v>1.9</v>
      </c>
      <c r="O1809" s="4">
        <v>1.9</v>
      </c>
      <c r="P1809" s="4">
        <v>0</v>
      </c>
      <c r="Q1809" s="3" t="s">
        <v>26</v>
      </c>
      <c r="R1809" s="3">
        <v>0</v>
      </c>
      <c r="S1809" s="4">
        <v>0</v>
      </c>
      <c r="T1809" s="4">
        <v>42</v>
      </c>
      <c r="U1809" s="4">
        <v>82</v>
      </c>
      <c r="V1809" s="4">
        <f>IF(ISERROR(VLOOKUP($S$1809,'TAR FIN'!$A$1:$O$99,15,0)),0,VLOOKUP($S$1809,'TAR FIN'!$A$1:$O$99,15,0))</f>
        <v>0</v>
      </c>
      <c r="W1809" s="4">
        <f>IF(ISERROR(VLOOKUP($T$1809,'TAR FIN'!$A$1:$O$99,15,0)),0,VLOOKUP($T$1809,'TAR FIN'!$A$1:$O$99,15,0))</f>
        <v>1010.32</v>
      </c>
      <c r="X1809" s="4">
        <f>IF(ISERROR(VLOOKUP($U$1809,'TAR FIN'!$A$1:$O$99,15,0)),0,VLOOKUP($U$1809,'TAR FIN'!$A$1:$O$99,15,0))</f>
        <v>346.61</v>
      </c>
      <c r="Y1809" s="4"/>
      <c r="Z1809" s="4">
        <f ca="1">('TUSD BE'!$AM$56+'TUSD BF'!$AM$56+'TUSD CVA'!$AM$56)*1</f>
        <v>1178.1887517861644</v>
      </c>
      <c r="AA1809" s="4">
        <f>('TE BE'!$AA$38+'TE BF'!$AA$38+'TE CVA'!$AA$38)*1</f>
        <v>423.89652505413846</v>
      </c>
      <c r="AB1809" s="4">
        <f>$K$1809*$V$1809</f>
        <v>0</v>
      </c>
      <c r="AC1809" s="4">
        <f>$M$1809*$W$1809</f>
        <v>1919.6079999999999</v>
      </c>
      <c r="AD1809" s="4">
        <f>$O$1809*$X$1809</f>
        <v>658.55899999999997</v>
      </c>
      <c r="AE1809" s="4">
        <f>$K$1809*$Y$1809</f>
        <v>0</v>
      </c>
      <c r="AF1809" s="4">
        <f ca="1">$M$1809*$Z$1809</f>
        <v>2238.5586283937123</v>
      </c>
      <c r="AG1809" s="4">
        <f>$O$1809*$AA$1809</f>
        <v>805.40339760286304</v>
      </c>
    </row>
    <row r="1810" spans="1:33" ht="11.25" customHeight="1" x14ac:dyDescent="0.25">
      <c r="A1810" s="3" t="s">
        <v>21</v>
      </c>
      <c r="B1810" s="3" t="s">
        <v>39</v>
      </c>
      <c r="C1810" s="3" t="s">
        <v>37</v>
      </c>
      <c r="D1810" s="3" t="s">
        <v>46</v>
      </c>
      <c r="E1810" s="3" t="s">
        <v>25</v>
      </c>
      <c r="F1810" s="3" t="s">
        <v>25</v>
      </c>
      <c r="G1810" s="3" t="s">
        <v>25</v>
      </c>
      <c r="H1810" s="3" t="s">
        <v>35</v>
      </c>
      <c r="I1810" s="6">
        <v>44593</v>
      </c>
      <c r="J1810" s="4">
        <v>0</v>
      </c>
      <c r="K1810" s="4">
        <v>0</v>
      </c>
      <c r="L1810" s="4">
        <v>1.2270000000000001</v>
      </c>
      <c r="M1810" s="4">
        <v>1.2270000000000001</v>
      </c>
      <c r="N1810" s="4">
        <v>1.2270000000000001</v>
      </c>
      <c r="O1810" s="4">
        <v>1.2270000000000001</v>
      </c>
      <c r="P1810" s="4">
        <v>0</v>
      </c>
      <c r="Q1810" s="3" t="s">
        <v>26</v>
      </c>
      <c r="R1810" s="3">
        <v>0</v>
      </c>
      <c r="S1810" s="4">
        <v>0</v>
      </c>
      <c r="T1810" s="4">
        <v>42</v>
      </c>
      <c r="U1810" s="4">
        <v>82</v>
      </c>
      <c r="V1810" s="4">
        <f>IF(ISERROR(VLOOKUP($S$1810,'TAR FIN'!$A$1:$O$99,15,0)),0,VLOOKUP($S$1810,'TAR FIN'!$A$1:$O$99,15,0))</f>
        <v>0</v>
      </c>
      <c r="W1810" s="4">
        <f>IF(ISERROR(VLOOKUP($T$1810,'TAR FIN'!$A$1:$O$99,15,0)),0,VLOOKUP($T$1810,'TAR FIN'!$A$1:$O$99,15,0))</f>
        <v>1010.32</v>
      </c>
      <c r="X1810" s="4">
        <f>IF(ISERROR(VLOOKUP($U$1810,'TAR FIN'!$A$1:$O$99,15,0)),0,VLOOKUP($U$1810,'TAR FIN'!$A$1:$O$99,15,0))</f>
        <v>346.61</v>
      </c>
      <c r="Y1810" s="4"/>
      <c r="Z1810" s="4">
        <f ca="1">('TUSD BE'!$AM$56+'TUSD BF'!$AM$56+'TUSD CVA'!$AM$56)*1</f>
        <v>1178.1887517861644</v>
      </c>
      <c r="AA1810" s="4">
        <f>('TE BE'!$AA$38+'TE BF'!$AA$38+'TE CVA'!$AA$38)*1</f>
        <v>423.89652505413846</v>
      </c>
      <c r="AB1810" s="4">
        <f>$K$1810*$V$1810</f>
        <v>0</v>
      </c>
      <c r="AC1810" s="4">
        <f>$M$1810*$W$1810</f>
        <v>1239.6626400000002</v>
      </c>
      <c r="AD1810" s="4">
        <f>$O$1810*$X$1810</f>
        <v>425.29047000000003</v>
      </c>
      <c r="AE1810" s="4">
        <f>$K$1810*$Y$1810</f>
        <v>0</v>
      </c>
      <c r="AF1810" s="4">
        <f ca="1">$M$1810*$Z$1810</f>
        <v>1445.6375984416238</v>
      </c>
      <c r="AG1810" s="4">
        <f>$O$1810*$AA$1810</f>
        <v>520.12103624142799</v>
      </c>
    </row>
    <row r="1811" spans="1:33" ht="11.25" customHeight="1" x14ac:dyDescent="0.25">
      <c r="A1811" s="3" t="s">
        <v>21</v>
      </c>
      <c r="B1811" s="3" t="s">
        <v>39</v>
      </c>
      <c r="C1811" s="3" t="s">
        <v>37</v>
      </c>
      <c r="D1811" s="3" t="s">
        <v>46</v>
      </c>
      <c r="E1811" s="3" t="s">
        <v>25</v>
      </c>
      <c r="F1811" s="3" t="s">
        <v>25</v>
      </c>
      <c r="G1811" s="3" t="s">
        <v>25</v>
      </c>
      <c r="H1811" s="3" t="s">
        <v>35</v>
      </c>
      <c r="I1811" s="6">
        <v>44621</v>
      </c>
      <c r="J1811" s="4">
        <v>0</v>
      </c>
      <c r="K1811" s="4">
        <v>0</v>
      </c>
      <c r="L1811" s="4">
        <v>1.341</v>
      </c>
      <c r="M1811" s="4">
        <v>1.341</v>
      </c>
      <c r="N1811" s="4">
        <v>1.341</v>
      </c>
      <c r="O1811" s="4">
        <v>1.341</v>
      </c>
      <c r="P1811" s="4">
        <v>0</v>
      </c>
      <c r="Q1811" s="3" t="s">
        <v>26</v>
      </c>
      <c r="R1811" s="3">
        <v>0</v>
      </c>
      <c r="S1811" s="4">
        <v>0</v>
      </c>
      <c r="T1811" s="4">
        <v>42</v>
      </c>
      <c r="U1811" s="4">
        <v>82</v>
      </c>
      <c r="V1811" s="4">
        <f>IF(ISERROR(VLOOKUP($S$1811,'TAR FIN'!$A$1:$O$99,15,0)),0,VLOOKUP($S$1811,'TAR FIN'!$A$1:$O$99,15,0))</f>
        <v>0</v>
      </c>
      <c r="W1811" s="4">
        <f>IF(ISERROR(VLOOKUP($T$1811,'TAR FIN'!$A$1:$O$99,15,0)),0,VLOOKUP($T$1811,'TAR FIN'!$A$1:$O$99,15,0))</f>
        <v>1010.32</v>
      </c>
      <c r="X1811" s="4">
        <f>IF(ISERROR(VLOOKUP($U$1811,'TAR FIN'!$A$1:$O$99,15,0)),0,VLOOKUP($U$1811,'TAR FIN'!$A$1:$O$99,15,0))</f>
        <v>346.61</v>
      </c>
      <c r="Y1811" s="4"/>
      <c r="Z1811" s="4">
        <f ca="1">('TUSD BE'!$AM$56+'TUSD BF'!$AM$56+'TUSD CVA'!$AM$56)*1</f>
        <v>1178.1887517861644</v>
      </c>
      <c r="AA1811" s="4">
        <f>('TE BE'!$AA$38+'TE BF'!$AA$38+'TE CVA'!$AA$38)*1</f>
        <v>423.89652505413846</v>
      </c>
      <c r="AB1811" s="4">
        <f>$K$1811*$V$1811</f>
        <v>0</v>
      </c>
      <c r="AC1811" s="4">
        <f>$M$1811*$W$1811</f>
        <v>1354.8391200000001</v>
      </c>
      <c r="AD1811" s="4">
        <f>$O$1811*$X$1811</f>
        <v>464.80401000000001</v>
      </c>
      <c r="AE1811" s="4">
        <f>$K$1811*$Y$1811</f>
        <v>0</v>
      </c>
      <c r="AF1811" s="4">
        <f ca="1">$M$1811*$Z$1811</f>
        <v>1579.9511161452465</v>
      </c>
      <c r="AG1811" s="4">
        <f>$O$1811*$AA$1811</f>
        <v>568.44524009759971</v>
      </c>
    </row>
    <row r="1812" spans="1:33" ht="11.25" customHeight="1" x14ac:dyDescent="0.25">
      <c r="A1812" s="3" t="s">
        <v>56</v>
      </c>
      <c r="B1812" s="3" t="s">
        <v>39</v>
      </c>
      <c r="C1812" s="3" t="s">
        <v>37</v>
      </c>
      <c r="D1812" s="3" t="s">
        <v>46</v>
      </c>
      <c r="E1812" s="3" t="s">
        <v>25</v>
      </c>
      <c r="F1812" s="3" t="s">
        <v>25</v>
      </c>
      <c r="G1812" s="3" t="s">
        <v>25</v>
      </c>
      <c r="H1812" s="3" t="s">
        <v>35</v>
      </c>
      <c r="I1812" s="6">
        <v>44652</v>
      </c>
      <c r="J1812" s="4">
        <v>0</v>
      </c>
      <c r="K1812" s="4">
        <v>0</v>
      </c>
      <c r="L1812" s="4">
        <v>1.341</v>
      </c>
      <c r="M1812" s="4">
        <v>1.341</v>
      </c>
      <c r="N1812" s="4">
        <v>1.341</v>
      </c>
      <c r="O1812" s="4">
        <v>1.341</v>
      </c>
      <c r="P1812" s="4">
        <v>0</v>
      </c>
      <c r="Q1812" s="3" t="s">
        <v>26</v>
      </c>
      <c r="R1812" s="3">
        <v>0</v>
      </c>
      <c r="S1812" s="4">
        <v>0</v>
      </c>
      <c r="T1812" s="4">
        <v>42</v>
      </c>
      <c r="U1812" s="4">
        <v>82</v>
      </c>
      <c r="V1812" s="4">
        <f>IF(ISERROR(VLOOKUP($S$1812,'TAR FIN'!$A$1:$O$99,15,0)),0,VLOOKUP($S$1812,'TAR FIN'!$A$1:$O$99,15,0))</f>
        <v>0</v>
      </c>
      <c r="W1812" s="4">
        <f>IF(ISERROR(VLOOKUP($T$1812,'TAR FIN'!$A$1:$O$99,15,0)),0,VLOOKUP($T$1812,'TAR FIN'!$A$1:$O$99,15,0))</f>
        <v>1010.32</v>
      </c>
      <c r="X1812" s="4">
        <f>IF(ISERROR(VLOOKUP($U$1812,'TAR FIN'!$A$1:$O$99,15,0)),0,VLOOKUP($U$1812,'TAR FIN'!$A$1:$O$99,15,0))</f>
        <v>346.61</v>
      </c>
      <c r="Y1812" s="4"/>
      <c r="Z1812" s="4">
        <f ca="1">('TUSD BE'!$AM$56+'TUSD BF'!$AM$56+'TUSD CVA'!$AM$56)*1</f>
        <v>1178.1887517861644</v>
      </c>
      <c r="AA1812" s="4">
        <f>('TE BE'!$AA$38+'TE BF'!$AA$38+'TE CVA'!$AA$38)*1</f>
        <v>423.89652505413846</v>
      </c>
      <c r="AB1812" s="4">
        <f>$K$1812*$V$1812</f>
        <v>0</v>
      </c>
      <c r="AC1812" s="4">
        <f>$M$1812*$W$1812</f>
        <v>1354.8391200000001</v>
      </c>
      <c r="AD1812" s="4">
        <f>$O$1812*$X$1812</f>
        <v>464.80401000000001</v>
      </c>
      <c r="AE1812" s="4">
        <f>$K$1812*$Y$1812</f>
        <v>0</v>
      </c>
      <c r="AF1812" s="4">
        <f ca="1">$M$1812*$Z$1812</f>
        <v>1579.9511161452465</v>
      </c>
      <c r="AG1812" s="4">
        <f>$O$1812*$AA$1812</f>
        <v>568.44524009759971</v>
      </c>
    </row>
    <row r="1813" spans="1:33" ht="11.25" customHeight="1" x14ac:dyDescent="0.25">
      <c r="A1813" s="3" t="s">
        <v>21</v>
      </c>
      <c r="B1813" s="3" t="s">
        <v>39</v>
      </c>
      <c r="C1813" s="3" t="s">
        <v>23</v>
      </c>
      <c r="D1813" s="3" t="s">
        <v>43</v>
      </c>
      <c r="E1813" s="3" t="s">
        <v>25</v>
      </c>
      <c r="F1813" s="3" t="s">
        <v>25</v>
      </c>
      <c r="G1813" s="3" t="s">
        <v>25</v>
      </c>
      <c r="H1813" s="3" t="s">
        <v>25</v>
      </c>
      <c r="I1813" s="6">
        <v>44317</v>
      </c>
      <c r="J1813" s="4">
        <v>0</v>
      </c>
      <c r="K1813" s="4">
        <v>0</v>
      </c>
      <c r="L1813" s="4">
        <v>28544</v>
      </c>
      <c r="M1813" s="4">
        <v>28544</v>
      </c>
      <c r="N1813" s="4">
        <v>28544</v>
      </c>
      <c r="O1813" s="4">
        <v>28544</v>
      </c>
      <c r="P1813" s="4">
        <v>64136</v>
      </c>
      <c r="Q1813" s="3" t="s">
        <v>26</v>
      </c>
      <c r="R1813" s="3">
        <v>0</v>
      </c>
      <c r="S1813" s="4">
        <v>0</v>
      </c>
      <c r="T1813" s="4">
        <v>45</v>
      </c>
      <c r="U1813" s="4">
        <v>85</v>
      </c>
      <c r="V1813" s="4">
        <f>IF(ISERROR(VLOOKUP($S$1813,'TAR FIN'!$A$1:$O$99,15,0)),0,VLOOKUP($S$1813,'TAR FIN'!$A$1:$O$99,15,0))</f>
        <v>0</v>
      </c>
      <c r="W1813" s="4">
        <f>IF(ISERROR(VLOOKUP($T$1813,'TAR FIN'!$A$1:$O$99,15,0)),0,VLOOKUP($T$1813,'TAR FIN'!$A$1:$O$99,15,0))</f>
        <v>395.58</v>
      </c>
      <c r="X1813" s="4">
        <f>IF(ISERROR(VLOOKUP($U$1813,'TAR FIN'!$A$1:$O$99,15,0)),0,VLOOKUP($U$1813,'TAR FIN'!$A$1:$O$99,15,0))</f>
        <v>230.53</v>
      </c>
      <c r="Y1813" s="4"/>
      <c r="Z1813" s="4">
        <f ca="1">('TUSD BE'!$AM$59+'TUSD BF'!$AM$59+'TUSD CVA'!$AM$59)*1</f>
        <v>466.61942630573992</v>
      </c>
      <c r="AA1813" s="4">
        <f>('TE BE'!$AA$41+'TE BF'!$AA$41+'TE CVA'!$AA$41)*1</f>
        <v>283.86889449376815</v>
      </c>
      <c r="AB1813" s="4">
        <f>$K$1813*$V$1813</f>
        <v>0</v>
      </c>
      <c r="AC1813" s="4">
        <f>$M$1813*$W$1813</f>
        <v>11291435.52</v>
      </c>
      <c r="AD1813" s="4">
        <f>$O$1813*$X$1813</f>
        <v>6580248.3200000003</v>
      </c>
      <c r="AE1813" s="4">
        <f>$K$1813*$Y$1813</f>
        <v>0</v>
      </c>
      <c r="AF1813" s="4">
        <f ca="1">$M$1813*$Z$1813</f>
        <v>13319184.90447104</v>
      </c>
      <c r="AG1813" s="4">
        <f>$O$1813*$AA$1813</f>
        <v>8102753.7244301178</v>
      </c>
    </row>
    <row r="1814" spans="1:33" ht="11.25" customHeight="1" x14ac:dyDescent="0.25">
      <c r="A1814" s="3" t="s">
        <v>27</v>
      </c>
      <c r="B1814" s="3" t="s">
        <v>39</v>
      </c>
      <c r="C1814" s="3" t="s">
        <v>23</v>
      </c>
      <c r="D1814" s="3" t="s">
        <v>43</v>
      </c>
      <c r="E1814" s="3" t="s">
        <v>25</v>
      </c>
      <c r="F1814" s="3" t="s">
        <v>25</v>
      </c>
      <c r="G1814" s="3" t="s">
        <v>25</v>
      </c>
      <c r="H1814" s="3" t="s">
        <v>25</v>
      </c>
      <c r="I1814" s="6">
        <v>44317</v>
      </c>
      <c r="J1814" s="4">
        <v>0</v>
      </c>
      <c r="K1814" s="4">
        <v>0</v>
      </c>
      <c r="L1814" s="4">
        <v>-258.91899999999998</v>
      </c>
      <c r="M1814" s="4">
        <v>-258.91899999999998</v>
      </c>
      <c r="N1814" s="4">
        <v>-258.91899999999998</v>
      </c>
      <c r="O1814" s="4">
        <v>-258.91899999999998</v>
      </c>
      <c r="P1814" s="4">
        <v>-489</v>
      </c>
      <c r="Q1814" s="3" t="s">
        <v>26</v>
      </c>
      <c r="R1814" s="3">
        <v>0</v>
      </c>
      <c r="S1814" s="4">
        <v>0</v>
      </c>
      <c r="T1814" s="4">
        <v>45</v>
      </c>
      <c r="U1814" s="4">
        <v>85</v>
      </c>
      <c r="V1814" s="4">
        <f>IF(ISERROR(VLOOKUP($S$1814,'TAR FIN'!$A$1:$O$99,15,0)),0,VLOOKUP($S$1814,'TAR FIN'!$A$1:$O$99,15,0))</f>
        <v>0</v>
      </c>
      <c r="W1814" s="4">
        <f>IF(ISERROR(VLOOKUP($T$1814,'TAR FIN'!$A$1:$O$99,15,0)),0,VLOOKUP($T$1814,'TAR FIN'!$A$1:$O$99,15,0))</f>
        <v>395.58</v>
      </c>
      <c r="X1814" s="4">
        <f>IF(ISERROR(VLOOKUP($U$1814,'TAR FIN'!$A$1:$O$99,15,0)),0,VLOOKUP($U$1814,'TAR FIN'!$A$1:$O$99,15,0))</f>
        <v>230.53</v>
      </c>
      <c r="Y1814" s="4"/>
      <c r="Z1814" s="4">
        <f ca="1">('TUSD BE'!$AM$59+'TUSD BF'!$AM$59+'TUSD CVA'!$AM$59)*1</f>
        <v>466.61942630573992</v>
      </c>
      <c r="AA1814" s="4">
        <f>('TE BE'!$AA$41+'TE BF'!$AA$41+'TE CVA'!$AA$41)*1</f>
        <v>283.86889449376815</v>
      </c>
      <c r="AB1814" s="4">
        <f>$K$1814*$V$1814</f>
        <v>0</v>
      </c>
      <c r="AC1814" s="4">
        <f>$M$1814*$W$1814</f>
        <v>-102423.17801999999</v>
      </c>
      <c r="AD1814" s="4">
        <f>$O$1814*$X$1814</f>
        <v>-59688.597069999996</v>
      </c>
      <c r="AE1814" s="4">
        <f>$K$1814*$Y$1814</f>
        <v>0</v>
      </c>
      <c r="AF1814" s="4">
        <f ca="1">$M$1814*$Z$1814</f>
        <v>-120816.63523965587</v>
      </c>
      <c r="AG1814" s="4">
        <f>$O$1814*$AA$1814</f>
        <v>-73499.050293431952</v>
      </c>
    </row>
    <row r="1815" spans="1:33" ht="11.25" customHeight="1" x14ac:dyDescent="0.25">
      <c r="A1815" s="3" t="s">
        <v>28</v>
      </c>
      <c r="B1815" s="3" t="s">
        <v>39</v>
      </c>
      <c r="C1815" s="3" t="s">
        <v>23</v>
      </c>
      <c r="D1815" s="3" t="s">
        <v>43</v>
      </c>
      <c r="E1815" s="3" t="s">
        <v>25</v>
      </c>
      <c r="F1815" s="3" t="s">
        <v>25</v>
      </c>
      <c r="G1815" s="3" t="s">
        <v>25</v>
      </c>
      <c r="H1815" s="3" t="s">
        <v>25</v>
      </c>
      <c r="I1815" s="6">
        <v>44317</v>
      </c>
      <c r="J1815" s="4">
        <v>0</v>
      </c>
      <c r="K1815" s="4">
        <v>0</v>
      </c>
      <c r="L1815" s="4">
        <v>1269.1379999999999</v>
      </c>
      <c r="M1815" s="4">
        <v>1269.1379999999999</v>
      </c>
      <c r="N1815" s="4">
        <v>1269.1379999999999</v>
      </c>
      <c r="O1815" s="4">
        <v>1269.1379999999999</v>
      </c>
      <c r="P1815" s="4">
        <v>1423</v>
      </c>
      <c r="Q1815" s="3" t="s">
        <v>26</v>
      </c>
      <c r="R1815" s="3">
        <v>0</v>
      </c>
      <c r="S1815" s="4">
        <v>0</v>
      </c>
      <c r="T1815" s="4">
        <v>45</v>
      </c>
      <c r="U1815" s="4">
        <v>85</v>
      </c>
      <c r="V1815" s="4">
        <f>IF(ISERROR(VLOOKUP($S$1815,'TAR FIN'!$A$1:$O$99,15,0)),0,VLOOKUP($S$1815,'TAR FIN'!$A$1:$O$99,15,0))</f>
        <v>0</v>
      </c>
      <c r="W1815" s="4">
        <f>IF(ISERROR(VLOOKUP($T$1815,'TAR FIN'!$A$1:$O$99,15,0)),0,VLOOKUP($T$1815,'TAR FIN'!$A$1:$O$99,15,0))</f>
        <v>395.58</v>
      </c>
      <c r="X1815" s="4">
        <f>IF(ISERROR(VLOOKUP($U$1815,'TAR FIN'!$A$1:$O$99,15,0)),0,VLOOKUP($U$1815,'TAR FIN'!$A$1:$O$99,15,0))</f>
        <v>230.53</v>
      </c>
      <c r="Y1815" s="4"/>
      <c r="Z1815" s="4">
        <f ca="1">('TUSD BE'!$AM$59+'TUSD BF'!$AM$59+'TUSD CVA'!$AM$59)*1</f>
        <v>466.61942630573992</v>
      </c>
      <c r="AA1815" s="4">
        <f>('TE BE'!$AA$41+'TE BF'!$AA$41+'TE CVA'!$AA$41)*1</f>
        <v>283.86889449376815</v>
      </c>
      <c r="AB1815" s="4">
        <f>$K$1815*$V$1815</f>
        <v>0</v>
      </c>
      <c r="AC1815" s="4">
        <f>$M$1815*$W$1815</f>
        <v>502045.61003999994</v>
      </c>
      <c r="AD1815" s="4">
        <f>$O$1815*$X$1815</f>
        <v>292574.38313999999</v>
      </c>
      <c r="AE1815" s="4">
        <f>$K$1815*$Y$1815</f>
        <v>0</v>
      </c>
      <c r="AF1815" s="4">
        <f ca="1">$M$1815*$Z$1815</f>
        <v>592204.44546281407</v>
      </c>
      <c r="AG1815" s="4">
        <f>$O$1815*$AA$1815</f>
        <v>360268.80102003191</v>
      </c>
    </row>
    <row r="1816" spans="1:33" ht="11.25" customHeight="1" x14ac:dyDescent="0.25">
      <c r="A1816" s="3" t="s">
        <v>28</v>
      </c>
      <c r="B1816" s="3" t="s">
        <v>39</v>
      </c>
      <c r="C1816" s="3" t="s">
        <v>23</v>
      </c>
      <c r="D1816" s="3" t="s">
        <v>43</v>
      </c>
      <c r="E1816" s="3" t="s">
        <v>25</v>
      </c>
      <c r="F1816" s="3" t="s">
        <v>25</v>
      </c>
      <c r="G1816" s="3" t="s">
        <v>25</v>
      </c>
      <c r="H1816" s="3" t="s">
        <v>25</v>
      </c>
      <c r="I1816" s="6">
        <v>44317</v>
      </c>
      <c r="J1816" s="4">
        <v>0</v>
      </c>
      <c r="K1816" s="4">
        <v>0</v>
      </c>
      <c r="L1816" s="4">
        <v>36.396999999999998</v>
      </c>
      <c r="M1816" s="4">
        <v>36.396999999999998</v>
      </c>
      <c r="N1816" s="4">
        <v>36.396999999999998</v>
      </c>
      <c r="O1816" s="4">
        <v>36.396999999999998</v>
      </c>
      <c r="P1816" s="4">
        <v>9</v>
      </c>
      <c r="Q1816" s="3" t="s">
        <v>26</v>
      </c>
      <c r="R1816" s="3">
        <v>0</v>
      </c>
      <c r="S1816" s="4">
        <v>0</v>
      </c>
      <c r="T1816" s="4">
        <v>45</v>
      </c>
      <c r="U1816" s="4">
        <v>85</v>
      </c>
      <c r="V1816" s="4">
        <f>IF(ISERROR(VLOOKUP($S$1816,'TAR FIN'!$A$1:$O$99,15,0)),0,VLOOKUP($S$1816,'TAR FIN'!$A$1:$O$99,15,0))</f>
        <v>0</v>
      </c>
      <c r="W1816" s="4">
        <f>IF(ISERROR(VLOOKUP($T$1816,'TAR FIN'!$A$1:$O$99,15,0)),0,VLOOKUP($T$1816,'TAR FIN'!$A$1:$O$99,15,0))</f>
        <v>395.58</v>
      </c>
      <c r="X1816" s="4">
        <f>IF(ISERROR(VLOOKUP($U$1816,'TAR FIN'!$A$1:$O$99,15,0)),0,VLOOKUP($U$1816,'TAR FIN'!$A$1:$O$99,15,0))</f>
        <v>230.53</v>
      </c>
      <c r="Y1816" s="4"/>
      <c r="Z1816" s="4">
        <f ca="1">('TUSD BE'!$AM$59+'TUSD BF'!$AM$59+'TUSD CVA'!$AM$59)*1</f>
        <v>466.61942630573992</v>
      </c>
      <c r="AA1816" s="4">
        <f>('TE BE'!$AA$41+'TE BF'!$AA$41+'TE CVA'!$AA$41)*1</f>
        <v>283.86889449376815</v>
      </c>
      <c r="AB1816" s="4">
        <f>$K$1816*$V$1816</f>
        <v>0</v>
      </c>
      <c r="AC1816" s="4">
        <f>$M$1816*$W$1816</f>
        <v>14397.925259999998</v>
      </c>
      <c r="AD1816" s="4">
        <f>$O$1816*$X$1816</f>
        <v>8390.6004099999991</v>
      </c>
      <c r="AE1816" s="4">
        <f>$K$1816*$Y$1816</f>
        <v>0</v>
      </c>
      <c r="AF1816" s="4">
        <f ca="1">$M$1816*$Z$1816</f>
        <v>16983.547259250015</v>
      </c>
      <c r="AG1816" s="4">
        <f>$O$1816*$AA$1816</f>
        <v>10331.97615288968</v>
      </c>
    </row>
    <row r="1817" spans="1:33" ht="11.25" customHeight="1" x14ac:dyDescent="0.25">
      <c r="A1817" s="3" t="s">
        <v>21</v>
      </c>
      <c r="B1817" s="3" t="s">
        <v>39</v>
      </c>
      <c r="C1817" s="3" t="s">
        <v>23</v>
      </c>
      <c r="D1817" s="3" t="s">
        <v>43</v>
      </c>
      <c r="E1817" s="3" t="s">
        <v>25</v>
      </c>
      <c r="F1817" s="3" t="s">
        <v>25</v>
      </c>
      <c r="G1817" s="3" t="s">
        <v>25</v>
      </c>
      <c r="H1817" s="3" t="s">
        <v>25</v>
      </c>
      <c r="I1817" s="6">
        <v>44348</v>
      </c>
      <c r="J1817" s="4">
        <v>0</v>
      </c>
      <c r="K1817" s="4">
        <v>0</v>
      </c>
      <c r="L1817" s="4">
        <v>26741.223999999998</v>
      </c>
      <c r="M1817" s="4">
        <v>26741.223999999998</v>
      </c>
      <c r="N1817" s="4">
        <v>26741.223999999998</v>
      </c>
      <c r="O1817" s="4">
        <v>26741.223999999998</v>
      </c>
      <c r="P1817" s="4">
        <v>63593</v>
      </c>
      <c r="Q1817" s="3" t="s">
        <v>26</v>
      </c>
      <c r="R1817" s="3">
        <v>0</v>
      </c>
      <c r="S1817" s="4">
        <v>0</v>
      </c>
      <c r="T1817" s="4">
        <v>45</v>
      </c>
      <c r="U1817" s="4">
        <v>85</v>
      </c>
      <c r="V1817" s="4">
        <f>IF(ISERROR(VLOOKUP($S$1817,'TAR FIN'!$A$1:$O$99,15,0)),0,VLOOKUP($S$1817,'TAR FIN'!$A$1:$O$99,15,0))</f>
        <v>0</v>
      </c>
      <c r="W1817" s="4">
        <f>IF(ISERROR(VLOOKUP($T$1817,'TAR FIN'!$A$1:$O$99,15,0)),0,VLOOKUP($T$1817,'TAR FIN'!$A$1:$O$99,15,0))</f>
        <v>395.58</v>
      </c>
      <c r="X1817" s="4">
        <f>IF(ISERROR(VLOOKUP($U$1817,'TAR FIN'!$A$1:$O$99,15,0)),0,VLOOKUP($U$1817,'TAR FIN'!$A$1:$O$99,15,0))</f>
        <v>230.53</v>
      </c>
      <c r="Y1817" s="4"/>
      <c r="Z1817" s="4">
        <f ca="1">('TUSD BE'!$AM$59+'TUSD BF'!$AM$59+'TUSD CVA'!$AM$59)*1</f>
        <v>466.61942630573992</v>
      </c>
      <c r="AA1817" s="4">
        <f>('TE BE'!$AA$41+'TE BF'!$AA$41+'TE CVA'!$AA$41)*1</f>
        <v>283.86889449376815</v>
      </c>
      <c r="AB1817" s="4">
        <f>$K$1817*$V$1817</f>
        <v>0</v>
      </c>
      <c r="AC1817" s="4">
        <f>$M$1817*$W$1817</f>
        <v>10578293.389919998</v>
      </c>
      <c r="AD1817" s="4">
        <f>$O$1817*$X$1817</f>
        <v>6164654.3687199997</v>
      </c>
      <c r="AE1817" s="4">
        <f>$K$1817*$Y$1817</f>
        <v>0</v>
      </c>
      <c r="AF1817" s="4">
        <f ca="1">$M$1817*$Z$1817</f>
        <v>12477974.601593282</v>
      </c>
      <c r="AG1817" s="4">
        <f>$O$1817*$AA$1817</f>
        <v>7591001.6942902207</v>
      </c>
    </row>
    <row r="1818" spans="1:33" ht="11.25" customHeight="1" x14ac:dyDescent="0.25">
      <c r="A1818" s="3" t="s">
        <v>27</v>
      </c>
      <c r="B1818" s="3" t="s">
        <v>39</v>
      </c>
      <c r="C1818" s="3" t="s">
        <v>23</v>
      </c>
      <c r="D1818" s="3" t="s">
        <v>43</v>
      </c>
      <c r="E1818" s="3" t="s">
        <v>25</v>
      </c>
      <c r="F1818" s="3" t="s">
        <v>25</v>
      </c>
      <c r="G1818" s="3" t="s">
        <v>25</v>
      </c>
      <c r="H1818" s="3" t="s">
        <v>25</v>
      </c>
      <c r="I1818" s="6">
        <v>44348</v>
      </c>
      <c r="J1818" s="4">
        <v>0</v>
      </c>
      <c r="K1818" s="4">
        <v>0</v>
      </c>
      <c r="L1818" s="4">
        <v>-198.053</v>
      </c>
      <c r="M1818" s="4">
        <v>-198.053</v>
      </c>
      <c r="N1818" s="4">
        <v>-198.053</v>
      </c>
      <c r="O1818" s="4">
        <v>-198.053</v>
      </c>
      <c r="P1818" s="4">
        <v>-1060</v>
      </c>
      <c r="Q1818" s="3" t="s">
        <v>26</v>
      </c>
      <c r="R1818" s="3">
        <v>0</v>
      </c>
      <c r="S1818" s="4">
        <v>0</v>
      </c>
      <c r="T1818" s="4">
        <v>45</v>
      </c>
      <c r="U1818" s="4">
        <v>85</v>
      </c>
      <c r="V1818" s="4">
        <f>IF(ISERROR(VLOOKUP($S$1818,'TAR FIN'!$A$1:$O$99,15,0)),0,VLOOKUP($S$1818,'TAR FIN'!$A$1:$O$99,15,0))</f>
        <v>0</v>
      </c>
      <c r="W1818" s="4">
        <f>IF(ISERROR(VLOOKUP($T$1818,'TAR FIN'!$A$1:$O$99,15,0)),0,VLOOKUP($T$1818,'TAR FIN'!$A$1:$O$99,15,0))</f>
        <v>395.58</v>
      </c>
      <c r="X1818" s="4">
        <f>IF(ISERROR(VLOOKUP($U$1818,'TAR FIN'!$A$1:$O$99,15,0)),0,VLOOKUP($U$1818,'TAR FIN'!$A$1:$O$99,15,0))</f>
        <v>230.53</v>
      </c>
      <c r="Y1818" s="4"/>
      <c r="Z1818" s="4">
        <f ca="1">('TUSD BE'!$AM$59+'TUSD BF'!$AM$59+'TUSD CVA'!$AM$59)*1</f>
        <v>466.61942630573992</v>
      </c>
      <c r="AA1818" s="4">
        <f>('TE BE'!$AA$41+'TE BF'!$AA$41+'TE CVA'!$AA$41)*1</f>
        <v>283.86889449376815</v>
      </c>
      <c r="AB1818" s="4">
        <f>$K$1818*$V$1818</f>
        <v>0</v>
      </c>
      <c r="AC1818" s="4">
        <f>$M$1818*$W$1818</f>
        <v>-78345.805739999996</v>
      </c>
      <c r="AD1818" s="4">
        <f>$O$1818*$X$1818</f>
        <v>-45657.158089999997</v>
      </c>
      <c r="AE1818" s="4">
        <f>$K$1818*$Y$1818</f>
        <v>0</v>
      </c>
      <c r="AF1818" s="4">
        <f ca="1">$M$1818*$Z$1818</f>
        <v>-92415.377238130706</v>
      </c>
      <c r="AG1818" s="4">
        <f>$O$1818*$AA$1818</f>
        <v>-56221.086161174266</v>
      </c>
    </row>
    <row r="1819" spans="1:33" ht="11.25" customHeight="1" x14ac:dyDescent="0.25">
      <c r="A1819" s="3" t="s">
        <v>28</v>
      </c>
      <c r="B1819" s="3" t="s">
        <v>39</v>
      </c>
      <c r="C1819" s="3" t="s">
        <v>23</v>
      </c>
      <c r="D1819" s="3" t="s">
        <v>43</v>
      </c>
      <c r="E1819" s="3" t="s">
        <v>25</v>
      </c>
      <c r="F1819" s="3" t="s">
        <v>25</v>
      </c>
      <c r="G1819" s="3" t="s">
        <v>25</v>
      </c>
      <c r="H1819" s="3" t="s">
        <v>25</v>
      </c>
      <c r="I1819" s="6">
        <v>44348</v>
      </c>
      <c r="J1819" s="4">
        <v>0</v>
      </c>
      <c r="K1819" s="4">
        <v>0</v>
      </c>
      <c r="L1819" s="4">
        <v>1735.873</v>
      </c>
      <c r="M1819" s="4">
        <v>1735.873</v>
      </c>
      <c r="N1819" s="4">
        <v>1735.873</v>
      </c>
      <c r="O1819" s="4">
        <v>1735.873</v>
      </c>
      <c r="P1819" s="4">
        <v>1699</v>
      </c>
      <c r="Q1819" s="3" t="s">
        <v>26</v>
      </c>
      <c r="R1819" s="3">
        <v>0</v>
      </c>
      <c r="S1819" s="4">
        <v>0</v>
      </c>
      <c r="T1819" s="4">
        <v>45</v>
      </c>
      <c r="U1819" s="4">
        <v>85</v>
      </c>
      <c r="V1819" s="4">
        <f>IF(ISERROR(VLOOKUP($S$1819,'TAR FIN'!$A$1:$O$99,15,0)),0,VLOOKUP($S$1819,'TAR FIN'!$A$1:$O$99,15,0))</f>
        <v>0</v>
      </c>
      <c r="W1819" s="4">
        <f>IF(ISERROR(VLOOKUP($T$1819,'TAR FIN'!$A$1:$O$99,15,0)),0,VLOOKUP($T$1819,'TAR FIN'!$A$1:$O$99,15,0))</f>
        <v>395.58</v>
      </c>
      <c r="X1819" s="4">
        <f>IF(ISERROR(VLOOKUP($U$1819,'TAR FIN'!$A$1:$O$99,15,0)),0,VLOOKUP($U$1819,'TAR FIN'!$A$1:$O$99,15,0))</f>
        <v>230.53</v>
      </c>
      <c r="Y1819" s="4"/>
      <c r="Z1819" s="4">
        <f ca="1">('TUSD BE'!$AM$59+'TUSD BF'!$AM$59+'TUSD CVA'!$AM$59)*1</f>
        <v>466.61942630573992</v>
      </c>
      <c r="AA1819" s="4">
        <f>('TE BE'!$AA$41+'TE BF'!$AA$41+'TE CVA'!$AA$41)*1</f>
        <v>283.86889449376815</v>
      </c>
      <c r="AB1819" s="4">
        <f>$K$1819*$V$1819</f>
        <v>0</v>
      </c>
      <c r="AC1819" s="4">
        <f>$M$1819*$W$1819</f>
        <v>686676.64133999997</v>
      </c>
      <c r="AD1819" s="4">
        <f>$O$1819*$X$1819</f>
        <v>400170.80269000004</v>
      </c>
      <c r="AE1819" s="4">
        <f>$K$1819*$Y$1819</f>
        <v>0</v>
      </c>
      <c r="AF1819" s="4">
        <f ca="1">$M$1819*$Z$1819</f>
        <v>809992.06339962373</v>
      </c>
      <c r="AG1819" s="4">
        <f>$O$1819*$AA$1819</f>
        <v>492760.3494915808</v>
      </c>
    </row>
    <row r="1820" spans="1:33" ht="11.25" customHeight="1" x14ac:dyDescent="0.25">
      <c r="A1820" s="3" t="s">
        <v>28</v>
      </c>
      <c r="B1820" s="3" t="s">
        <v>39</v>
      </c>
      <c r="C1820" s="3" t="s">
        <v>23</v>
      </c>
      <c r="D1820" s="3" t="s">
        <v>43</v>
      </c>
      <c r="E1820" s="3" t="s">
        <v>25</v>
      </c>
      <c r="F1820" s="3" t="s">
        <v>25</v>
      </c>
      <c r="G1820" s="3" t="s">
        <v>25</v>
      </c>
      <c r="H1820" s="3" t="s">
        <v>25</v>
      </c>
      <c r="I1820" s="6">
        <v>44348</v>
      </c>
      <c r="J1820" s="4">
        <v>0</v>
      </c>
      <c r="K1820" s="4">
        <v>0</v>
      </c>
      <c r="L1820" s="4">
        <v>-20</v>
      </c>
      <c r="M1820" s="4">
        <v>-20</v>
      </c>
      <c r="N1820" s="4">
        <v>-20</v>
      </c>
      <c r="O1820" s="4">
        <v>-20</v>
      </c>
      <c r="P1820" s="4">
        <v>0</v>
      </c>
      <c r="Q1820" s="3" t="s">
        <v>26</v>
      </c>
      <c r="R1820" s="3">
        <v>0</v>
      </c>
      <c r="S1820" s="4">
        <v>0</v>
      </c>
      <c r="T1820" s="4">
        <v>45</v>
      </c>
      <c r="U1820" s="4">
        <v>85</v>
      </c>
      <c r="V1820" s="4">
        <f>IF(ISERROR(VLOOKUP($S$1820,'TAR FIN'!$A$1:$O$99,15,0)),0,VLOOKUP($S$1820,'TAR FIN'!$A$1:$O$99,15,0))</f>
        <v>0</v>
      </c>
      <c r="W1820" s="4">
        <f>IF(ISERROR(VLOOKUP($T$1820,'TAR FIN'!$A$1:$O$99,15,0)),0,VLOOKUP($T$1820,'TAR FIN'!$A$1:$O$99,15,0))</f>
        <v>395.58</v>
      </c>
      <c r="X1820" s="4">
        <f>IF(ISERROR(VLOOKUP($U$1820,'TAR FIN'!$A$1:$O$99,15,0)),0,VLOOKUP($U$1820,'TAR FIN'!$A$1:$O$99,15,0))</f>
        <v>230.53</v>
      </c>
      <c r="Y1820" s="4"/>
      <c r="Z1820" s="4">
        <f ca="1">('TUSD BE'!$AM$59+'TUSD BF'!$AM$59+'TUSD CVA'!$AM$59)*1</f>
        <v>466.61942630573992</v>
      </c>
      <c r="AA1820" s="4">
        <f>('TE BE'!$AA$41+'TE BF'!$AA$41+'TE CVA'!$AA$41)*1</f>
        <v>283.86889449376815</v>
      </c>
      <c r="AB1820" s="4">
        <f>$K$1820*$V$1820</f>
        <v>0</v>
      </c>
      <c r="AC1820" s="4">
        <f>$M$1820*$W$1820</f>
        <v>-7911.5999999999995</v>
      </c>
      <c r="AD1820" s="4">
        <f>$O$1820*$X$1820</f>
        <v>-4610.6000000000004</v>
      </c>
      <c r="AE1820" s="4">
        <f>$K$1820*$Y$1820</f>
        <v>0</v>
      </c>
      <c r="AF1820" s="4">
        <f ca="1">$M$1820*$Z$1820</f>
        <v>-9332.3885261147989</v>
      </c>
      <c r="AG1820" s="4">
        <f>$O$1820*$AA$1820</f>
        <v>-5677.3778898753626</v>
      </c>
    </row>
    <row r="1821" spans="1:33" ht="11.25" customHeight="1" x14ac:dyDescent="0.25">
      <c r="A1821" s="3" t="s">
        <v>21</v>
      </c>
      <c r="B1821" s="3" t="s">
        <v>39</v>
      </c>
      <c r="C1821" s="3" t="s">
        <v>23</v>
      </c>
      <c r="D1821" s="3" t="s">
        <v>43</v>
      </c>
      <c r="E1821" s="3" t="s">
        <v>25</v>
      </c>
      <c r="F1821" s="3" t="s">
        <v>25</v>
      </c>
      <c r="G1821" s="3" t="s">
        <v>25</v>
      </c>
      <c r="H1821" s="3" t="s">
        <v>25</v>
      </c>
      <c r="I1821" s="6">
        <v>44378</v>
      </c>
      <c r="J1821" s="4">
        <v>0</v>
      </c>
      <c r="K1821" s="4">
        <v>0</v>
      </c>
      <c r="L1821" s="4">
        <v>25549.922999999999</v>
      </c>
      <c r="M1821" s="4">
        <v>25549.922999999999</v>
      </c>
      <c r="N1821" s="4">
        <v>25549.922999999999</v>
      </c>
      <c r="O1821" s="4">
        <v>25549.922999999999</v>
      </c>
      <c r="P1821" s="4">
        <v>63481</v>
      </c>
      <c r="Q1821" s="3" t="s">
        <v>26</v>
      </c>
      <c r="R1821" s="3">
        <v>0</v>
      </c>
      <c r="S1821" s="4">
        <v>0</v>
      </c>
      <c r="T1821" s="4">
        <v>45</v>
      </c>
      <c r="U1821" s="4">
        <v>85</v>
      </c>
      <c r="V1821" s="4">
        <f>IF(ISERROR(VLOOKUP($S$1821,'TAR FIN'!$A$1:$O$99,15,0)),0,VLOOKUP($S$1821,'TAR FIN'!$A$1:$O$99,15,0))</f>
        <v>0</v>
      </c>
      <c r="W1821" s="4">
        <f>IF(ISERROR(VLOOKUP($T$1821,'TAR FIN'!$A$1:$O$99,15,0)),0,VLOOKUP($T$1821,'TAR FIN'!$A$1:$O$99,15,0))</f>
        <v>395.58</v>
      </c>
      <c r="X1821" s="4">
        <f>IF(ISERROR(VLOOKUP($U$1821,'TAR FIN'!$A$1:$O$99,15,0)),0,VLOOKUP($U$1821,'TAR FIN'!$A$1:$O$99,15,0))</f>
        <v>230.53</v>
      </c>
      <c r="Y1821" s="4"/>
      <c r="Z1821" s="4">
        <f ca="1">('TUSD BE'!$AM$59+'TUSD BF'!$AM$59+'TUSD CVA'!$AM$59)*1</f>
        <v>466.61942630573992</v>
      </c>
      <c r="AA1821" s="4">
        <f>('TE BE'!$AA$41+'TE BF'!$AA$41+'TE CVA'!$AA$41)*1</f>
        <v>283.86889449376815</v>
      </c>
      <c r="AB1821" s="4">
        <f>$K$1821*$V$1821</f>
        <v>0</v>
      </c>
      <c r="AC1821" s="4">
        <f>$M$1821*$W$1821</f>
        <v>10107038.540339999</v>
      </c>
      <c r="AD1821" s="4">
        <f>$O$1821*$X$1821</f>
        <v>5890023.7491899999</v>
      </c>
      <c r="AE1821" s="4">
        <f>$K$1821*$Y$1821</f>
        <v>0</v>
      </c>
      <c r="AF1821" s="4">
        <f ca="1">$M$1821*$Z$1821</f>
        <v>11922090.412415829</v>
      </c>
      <c r="AG1821" s="4">
        <f>$O$1821*$AA$1821</f>
        <v>7252828.3964109002</v>
      </c>
    </row>
    <row r="1822" spans="1:33" ht="11.25" customHeight="1" x14ac:dyDescent="0.25">
      <c r="A1822" s="3" t="s">
        <v>27</v>
      </c>
      <c r="B1822" s="3" t="s">
        <v>39</v>
      </c>
      <c r="C1822" s="3" t="s">
        <v>23</v>
      </c>
      <c r="D1822" s="3" t="s">
        <v>43</v>
      </c>
      <c r="E1822" s="3" t="s">
        <v>25</v>
      </c>
      <c r="F1822" s="3" t="s">
        <v>25</v>
      </c>
      <c r="G1822" s="3" t="s">
        <v>25</v>
      </c>
      <c r="H1822" s="3" t="s">
        <v>25</v>
      </c>
      <c r="I1822" s="6">
        <v>44378</v>
      </c>
      <c r="J1822" s="4">
        <v>0</v>
      </c>
      <c r="K1822" s="4">
        <v>0</v>
      </c>
      <c r="L1822" s="4">
        <v>-273.99200000000002</v>
      </c>
      <c r="M1822" s="4">
        <v>-273.99200000000002</v>
      </c>
      <c r="N1822" s="4">
        <v>-273.99200000000002</v>
      </c>
      <c r="O1822" s="4">
        <v>-273.99200000000002</v>
      </c>
      <c r="P1822" s="4">
        <v>-870</v>
      </c>
      <c r="Q1822" s="3" t="s">
        <v>26</v>
      </c>
      <c r="R1822" s="3">
        <v>0</v>
      </c>
      <c r="S1822" s="4">
        <v>0</v>
      </c>
      <c r="T1822" s="4">
        <v>45</v>
      </c>
      <c r="U1822" s="4">
        <v>85</v>
      </c>
      <c r="V1822" s="4">
        <f>IF(ISERROR(VLOOKUP($S$1822,'TAR FIN'!$A$1:$O$99,15,0)),0,VLOOKUP($S$1822,'TAR FIN'!$A$1:$O$99,15,0))</f>
        <v>0</v>
      </c>
      <c r="W1822" s="4">
        <f>IF(ISERROR(VLOOKUP($T$1822,'TAR FIN'!$A$1:$O$99,15,0)),0,VLOOKUP($T$1822,'TAR FIN'!$A$1:$O$99,15,0))</f>
        <v>395.58</v>
      </c>
      <c r="X1822" s="4">
        <f>IF(ISERROR(VLOOKUP($U$1822,'TAR FIN'!$A$1:$O$99,15,0)),0,VLOOKUP($U$1822,'TAR FIN'!$A$1:$O$99,15,0))</f>
        <v>230.53</v>
      </c>
      <c r="Y1822" s="4"/>
      <c r="Z1822" s="4">
        <f ca="1">('TUSD BE'!$AM$59+'TUSD BF'!$AM$59+'TUSD CVA'!$AM$59)*1</f>
        <v>466.61942630573992</v>
      </c>
      <c r="AA1822" s="4">
        <f>('TE BE'!$AA$41+'TE BF'!$AA$41+'TE CVA'!$AA$41)*1</f>
        <v>283.86889449376815</v>
      </c>
      <c r="AB1822" s="4">
        <f>$K$1822*$V$1822</f>
        <v>0</v>
      </c>
      <c r="AC1822" s="4">
        <f>$M$1822*$W$1822</f>
        <v>-108385.75536000001</v>
      </c>
      <c r="AD1822" s="4">
        <f>$O$1822*$X$1822</f>
        <v>-63163.375760000003</v>
      </c>
      <c r="AE1822" s="4">
        <f>$K$1822*$Y$1822</f>
        <v>0</v>
      </c>
      <c r="AF1822" s="4">
        <f ca="1">$M$1822*$Z$1822</f>
        <v>-127849.9898523623</v>
      </c>
      <c r="AG1822" s="4">
        <f>$O$1822*$AA$1822</f>
        <v>-77777.806140136527</v>
      </c>
    </row>
    <row r="1823" spans="1:33" ht="11.25" customHeight="1" x14ac:dyDescent="0.25">
      <c r="A1823" s="3" t="s">
        <v>28</v>
      </c>
      <c r="B1823" s="3" t="s">
        <v>39</v>
      </c>
      <c r="C1823" s="3" t="s">
        <v>23</v>
      </c>
      <c r="D1823" s="3" t="s">
        <v>43</v>
      </c>
      <c r="E1823" s="3" t="s">
        <v>25</v>
      </c>
      <c r="F1823" s="3" t="s">
        <v>25</v>
      </c>
      <c r="G1823" s="3" t="s">
        <v>25</v>
      </c>
      <c r="H1823" s="3" t="s">
        <v>25</v>
      </c>
      <c r="I1823" s="6">
        <v>44378</v>
      </c>
      <c r="J1823" s="4">
        <v>0</v>
      </c>
      <c r="K1823" s="4">
        <v>0</v>
      </c>
      <c r="L1823" s="4">
        <v>1779.4159999999999</v>
      </c>
      <c r="M1823" s="4">
        <v>1779.4159999999999</v>
      </c>
      <c r="N1823" s="4">
        <v>1779.4159999999999</v>
      </c>
      <c r="O1823" s="4">
        <v>1779.4159999999999</v>
      </c>
      <c r="P1823" s="4">
        <v>1879</v>
      </c>
      <c r="Q1823" s="3" t="s">
        <v>26</v>
      </c>
      <c r="R1823" s="3">
        <v>0</v>
      </c>
      <c r="S1823" s="4">
        <v>0</v>
      </c>
      <c r="T1823" s="4">
        <v>45</v>
      </c>
      <c r="U1823" s="4">
        <v>85</v>
      </c>
      <c r="V1823" s="4">
        <f>IF(ISERROR(VLOOKUP($S$1823,'TAR FIN'!$A$1:$O$99,15,0)),0,VLOOKUP($S$1823,'TAR FIN'!$A$1:$O$99,15,0))</f>
        <v>0</v>
      </c>
      <c r="W1823" s="4">
        <f>IF(ISERROR(VLOOKUP($T$1823,'TAR FIN'!$A$1:$O$99,15,0)),0,VLOOKUP($T$1823,'TAR FIN'!$A$1:$O$99,15,0))</f>
        <v>395.58</v>
      </c>
      <c r="X1823" s="4">
        <f>IF(ISERROR(VLOOKUP($U$1823,'TAR FIN'!$A$1:$O$99,15,0)),0,VLOOKUP($U$1823,'TAR FIN'!$A$1:$O$99,15,0))</f>
        <v>230.53</v>
      </c>
      <c r="Y1823" s="4"/>
      <c r="Z1823" s="4">
        <f ca="1">('TUSD BE'!$AM$59+'TUSD BF'!$AM$59+'TUSD CVA'!$AM$59)*1</f>
        <v>466.61942630573992</v>
      </c>
      <c r="AA1823" s="4">
        <f>('TE BE'!$AA$41+'TE BF'!$AA$41+'TE CVA'!$AA$41)*1</f>
        <v>283.86889449376815</v>
      </c>
      <c r="AB1823" s="4">
        <f>$K$1823*$V$1823</f>
        <v>0</v>
      </c>
      <c r="AC1823" s="4">
        <f>$M$1823*$W$1823</f>
        <v>703901.38127999997</v>
      </c>
      <c r="AD1823" s="4">
        <f>$O$1823*$X$1823</f>
        <v>410208.77048000001</v>
      </c>
      <c r="AE1823" s="4">
        <f>$K$1823*$Y$1823</f>
        <v>0</v>
      </c>
      <c r="AF1823" s="4">
        <f ca="1">$M$1823*$Z$1823</f>
        <v>830310.07307925448</v>
      </c>
      <c r="AG1823" s="4">
        <f>$O$1823*$AA$1823</f>
        <v>505120.85276452295</v>
      </c>
    </row>
    <row r="1824" spans="1:33" ht="11.25" customHeight="1" x14ac:dyDescent="0.25">
      <c r="A1824" s="3" t="s">
        <v>28</v>
      </c>
      <c r="B1824" s="3" t="s">
        <v>39</v>
      </c>
      <c r="C1824" s="3" t="s">
        <v>23</v>
      </c>
      <c r="D1824" s="3" t="s">
        <v>43</v>
      </c>
      <c r="E1824" s="3" t="s">
        <v>25</v>
      </c>
      <c r="F1824" s="3" t="s">
        <v>25</v>
      </c>
      <c r="G1824" s="3" t="s">
        <v>25</v>
      </c>
      <c r="H1824" s="3" t="s">
        <v>25</v>
      </c>
      <c r="I1824" s="6">
        <v>44378</v>
      </c>
      <c r="J1824" s="4">
        <v>0</v>
      </c>
      <c r="K1824" s="4">
        <v>0</v>
      </c>
      <c r="L1824" s="4">
        <v>-22.675000000000001</v>
      </c>
      <c r="M1824" s="4">
        <v>-22.675000000000001</v>
      </c>
      <c r="N1824" s="4">
        <v>-22.675000000000001</v>
      </c>
      <c r="O1824" s="4">
        <v>-22.675000000000001</v>
      </c>
      <c r="P1824" s="4">
        <v>0</v>
      </c>
      <c r="Q1824" s="3" t="s">
        <v>26</v>
      </c>
      <c r="R1824" s="3">
        <v>0</v>
      </c>
      <c r="S1824" s="4">
        <v>0</v>
      </c>
      <c r="T1824" s="4">
        <v>45</v>
      </c>
      <c r="U1824" s="4">
        <v>85</v>
      </c>
      <c r="V1824" s="4">
        <f>IF(ISERROR(VLOOKUP($S$1824,'TAR FIN'!$A$1:$O$99,15,0)),0,VLOOKUP($S$1824,'TAR FIN'!$A$1:$O$99,15,0))</f>
        <v>0</v>
      </c>
      <c r="W1824" s="4">
        <f>IF(ISERROR(VLOOKUP($T$1824,'TAR FIN'!$A$1:$O$99,15,0)),0,VLOOKUP($T$1824,'TAR FIN'!$A$1:$O$99,15,0))</f>
        <v>395.58</v>
      </c>
      <c r="X1824" s="4">
        <f>IF(ISERROR(VLOOKUP($U$1824,'TAR FIN'!$A$1:$O$99,15,0)),0,VLOOKUP($U$1824,'TAR FIN'!$A$1:$O$99,15,0))</f>
        <v>230.53</v>
      </c>
      <c r="Y1824" s="4"/>
      <c r="Z1824" s="4">
        <f ca="1">('TUSD BE'!$AM$59+'TUSD BF'!$AM$59+'TUSD CVA'!$AM$59)*1</f>
        <v>466.61942630573992</v>
      </c>
      <c r="AA1824" s="4">
        <f>('TE BE'!$AA$41+'TE BF'!$AA$41+'TE CVA'!$AA$41)*1</f>
        <v>283.86889449376815</v>
      </c>
      <c r="AB1824" s="4">
        <f>$K$1824*$V$1824</f>
        <v>0</v>
      </c>
      <c r="AC1824" s="4">
        <f>$M$1824*$W$1824</f>
        <v>-8969.7764999999999</v>
      </c>
      <c r="AD1824" s="4">
        <f>$O$1824*$X$1824</f>
        <v>-5227.26775</v>
      </c>
      <c r="AE1824" s="4">
        <f>$K$1824*$Y$1824</f>
        <v>0</v>
      </c>
      <c r="AF1824" s="4">
        <f ca="1">$M$1824*$Z$1824</f>
        <v>-10580.595491482653</v>
      </c>
      <c r="AG1824" s="4">
        <f>$O$1824*$AA$1824</f>
        <v>-6436.7271826461929</v>
      </c>
    </row>
    <row r="1825" spans="1:33" ht="11.25" customHeight="1" x14ac:dyDescent="0.25">
      <c r="A1825" s="3" t="s">
        <v>21</v>
      </c>
      <c r="B1825" s="3" t="s">
        <v>39</v>
      </c>
      <c r="C1825" s="3" t="s">
        <v>23</v>
      </c>
      <c r="D1825" s="3" t="s">
        <v>43</v>
      </c>
      <c r="E1825" s="3" t="s">
        <v>25</v>
      </c>
      <c r="F1825" s="3" t="s">
        <v>25</v>
      </c>
      <c r="G1825" s="3" t="s">
        <v>25</v>
      </c>
      <c r="H1825" s="3" t="s">
        <v>25</v>
      </c>
      <c r="I1825" s="6">
        <v>44409</v>
      </c>
      <c r="J1825" s="4">
        <v>0</v>
      </c>
      <c r="K1825" s="4">
        <v>0</v>
      </c>
      <c r="L1825" s="4">
        <v>26188.084999999999</v>
      </c>
      <c r="M1825" s="4">
        <v>26188.084999999999</v>
      </c>
      <c r="N1825" s="4">
        <v>26188.084999999999</v>
      </c>
      <c r="O1825" s="4">
        <v>26188.084999999999</v>
      </c>
      <c r="P1825" s="4">
        <v>63270</v>
      </c>
      <c r="Q1825" s="3" t="s">
        <v>26</v>
      </c>
      <c r="R1825" s="3">
        <v>0</v>
      </c>
      <c r="S1825" s="4">
        <v>0</v>
      </c>
      <c r="T1825" s="4">
        <v>45</v>
      </c>
      <c r="U1825" s="4">
        <v>85</v>
      </c>
      <c r="V1825" s="4">
        <f>IF(ISERROR(VLOOKUP($S$1825,'TAR FIN'!$A$1:$O$99,15,0)),0,VLOOKUP($S$1825,'TAR FIN'!$A$1:$O$99,15,0))</f>
        <v>0</v>
      </c>
      <c r="W1825" s="4">
        <f>IF(ISERROR(VLOOKUP($T$1825,'TAR FIN'!$A$1:$O$99,15,0)),0,VLOOKUP($T$1825,'TAR FIN'!$A$1:$O$99,15,0))</f>
        <v>395.58</v>
      </c>
      <c r="X1825" s="4">
        <f>IF(ISERROR(VLOOKUP($U$1825,'TAR FIN'!$A$1:$O$99,15,0)),0,VLOOKUP($U$1825,'TAR FIN'!$A$1:$O$99,15,0))</f>
        <v>230.53</v>
      </c>
      <c r="Y1825" s="4"/>
      <c r="Z1825" s="4">
        <f ca="1">('TUSD BE'!$AM$59+'TUSD BF'!$AM$59+'TUSD CVA'!$AM$59)*1</f>
        <v>466.61942630573992</v>
      </c>
      <c r="AA1825" s="4">
        <f>('TE BE'!$AA$41+'TE BF'!$AA$41+'TE CVA'!$AA$41)*1</f>
        <v>283.86889449376815</v>
      </c>
      <c r="AB1825" s="4">
        <f>$K$1825*$V$1825</f>
        <v>0</v>
      </c>
      <c r="AC1825" s="4">
        <f>$M$1825*$W$1825</f>
        <v>10359482.664299998</v>
      </c>
      <c r="AD1825" s="4">
        <f>$O$1825*$X$1825</f>
        <v>6037139.2350500003</v>
      </c>
      <c r="AE1825" s="4">
        <f>$K$1825*$Y$1825</f>
        <v>0</v>
      </c>
      <c r="AF1825" s="4">
        <f ca="1">$M$1825*$Z$1825</f>
        <v>12219869.198745953</v>
      </c>
      <c r="AG1825" s="4">
        <f>$O$1825*$AA$1825</f>
        <v>7433982.7378588319</v>
      </c>
    </row>
    <row r="1826" spans="1:33" ht="11.25" customHeight="1" x14ac:dyDescent="0.25">
      <c r="A1826" s="3" t="s">
        <v>27</v>
      </c>
      <c r="B1826" s="3" t="s">
        <v>39</v>
      </c>
      <c r="C1826" s="3" t="s">
        <v>23</v>
      </c>
      <c r="D1826" s="3" t="s">
        <v>43</v>
      </c>
      <c r="E1826" s="3" t="s">
        <v>25</v>
      </c>
      <c r="F1826" s="3" t="s">
        <v>25</v>
      </c>
      <c r="G1826" s="3" t="s">
        <v>25</v>
      </c>
      <c r="H1826" s="3" t="s">
        <v>25</v>
      </c>
      <c r="I1826" s="6">
        <v>44409</v>
      </c>
      <c r="J1826" s="4">
        <v>0</v>
      </c>
      <c r="K1826" s="4">
        <v>0</v>
      </c>
      <c r="L1826" s="4">
        <v>-191.34299999999999</v>
      </c>
      <c r="M1826" s="4">
        <v>-191.34299999999999</v>
      </c>
      <c r="N1826" s="4">
        <v>-191.34299999999999</v>
      </c>
      <c r="O1826" s="4">
        <v>-191.34299999999999</v>
      </c>
      <c r="P1826" s="4">
        <v>-601</v>
      </c>
      <c r="Q1826" s="3" t="s">
        <v>26</v>
      </c>
      <c r="R1826" s="3">
        <v>0</v>
      </c>
      <c r="S1826" s="4">
        <v>0</v>
      </c>
      <c r="T1826" s="4">
        <v>45</v>
      </c>
      <c r="U1826" s="4">
        <v>85</v>
      </c>
      <c r="V1826" s="4">
        <f>IF(ISERROR(VLOOKUP($S$1826,'TAR FIN'!$A$1:$O$99,15,0)),0,VLOOKUP($S$1826,'TAR FIN'!$A$1:$O$99,15,0))</f>
        <v>0</v>
      </c>
      <c r="W1826" s="4">
        <f>IF(ISERROR(VLOOKUP($T$1826,'TAR FIN'!$A$1:$O$99,15,0)),0,VLOOKUP($T$1826,'TAR FIN'!$A$1:$O$99,15,0))</f>
        <v>395.58</v>
      </c>
      <c r="X1826" s="4">
        <f>IF(ISERROR(VLOOKUP($U$1826,'TAR FIN'!$A$1:$O$99,15,0)),0,VLOOKUP($U$1826,'TAR FIN'!$A$1:$O$99,15,0))</f>
        <v>230.53</v>
      </c>
      <c r="Y1826" s="4"/>
      <c r="Z1826" s="4">
        <f ca="1">('TUSD BE'!$AM$59+'TUSD BF'!$AM$59+'TUSD CVA'!$AM$59)*1</f>
        <v>466.61942630573992</v>
      </c>
      <c r="AA1826" s="4">
        <f>('TE BE'!$AA$41+'TE BF'!$AA$41+'TE CVA'!$AA$41)*1</f>
        <v>283.86889449376815</v>
      </c>
      <c r="AB1826" s="4">
        <f>$K$1826*$V$1826</f>
        <v>0</v>
      </c>
      <c r="AC1826" s="4">
        <f>$M$1826*$W$1826</f>
        <v>-75691.463939999987</v>
      </c>
      <c r="AD1826" s="4">
        <f>$O$1826*$X$1826</f>
        <v>-44110.301789999998</v>
      </c>
      <c r="AE1826" s="4">
        <f>$K$1826*$Y$1826</f>
        <v>0</v>
      </c>
      <c r="AF1826" s="4">
        <f ca="1">$M$1826*$Z$1826</f>
        <v>-89284.360887619187</v>
      </c>
      <c r="AG1826" s="4">
        <f>$O$1826*$AA$1826</f>
        <v>-54316.325879121076</v>
      </c>
    </row>
    <row r="1827" spans="1:33" ht="11.25" customHeight="1" x14ac:dyDescent="0.25">
      <c r="A1827" s="3" t="s">
        <v>28</v>
      </c>
      <c r="B1827" s="3" t="s">
        <v>39</v>
      </c>
      <c r="C1827" s="3" t="s">
        <v>23</v>
      </c>
      <c r="D1827" s="3" t="s">
        <v>43</v>
      </c>
      <c r="E1827" s="3" t="s">
        <v>25</v>
      </c>
      <c r="F1827" s="3" t="s">
        <v>25</v>
      </c>
      <c r="G1827" s="3" t="s">
        <v>25</v>
      </c>
      <c r="H1827" s="3" t="s">
        <v>25</v>
      </c>
      <c r="I1827" s="6">
        <v>44409</v>
      </c>
      <c r="J1827" s="4">
        <v>0</v>
      </c>
      <c r="K1827" s="4">
        <v>0</v>
      </c>
      <c r="L1827" s="4">
        <v>1732.671</v>
      </c>
      <c r="M1827" s="4">
        <v>1732.671</v>
      </c>
      <c r="N1827" s="4">
        <v>1732.671</v>
      </c>
      <c r="O1827" s="4">
        <v>1732.671</v>
      </c>
      <c r="P1827" s="4">
        <v>2039</v>
      </c>
      <c r="Q1827" s="3" t="s">
        <v>26</v>
      </c>
      <c r="R1827" s="3">
        <v>0</v>
      </c>
      <c r="S1827" s="4">
        <v>0</v>
      </c>
      <c r="T1827" s="4">
        <v>45</v>
      </c>
      <c r="U1827" s="4">
        <v>85</v>
      </c>
      <c r="V1827" s="4">
        <f>IF(ISERROR(VLOOKUP($S$1827,'TAR FIN'!$A$1:$O$99,15,0)),0,VLOOKUP($S$1827,'TAR FIN'!$A$1:$O$99,15,0))</f>
        <v>0</v>
      </c>
      <c r="W1827" s="4">
        <f>IF(ISERROR(VLOOKUP($T$1827,'TAR FIN'!$A$1:$O$99,15,0)),0,VLOOKUP($T$1827,'TAR FIN'!$A$1:$O$99,15,0))</f>
        <v>395.58</v>
      </c>
      <c r="X1827" s="4">
        <f>IF(ISERROR(VLOOKUP($U$1827,'TAR FIN'!$A$1:$O$99,15,0)),0,VLOOKUP($U$1827,'TAR FIN'!$A$1:$O$99,15,0))</f>
        <v>230.53</v>
      </c>
      <c r="Y1827" s="4"/>
      <c r="Z1827" s="4">
        <f ca="1">('TUSD BE'!$AM$59+'TUSD BF'!$AM$59+'TUSD CVA'!$AM$59)*1</f>
        <v>466.61942630573992</v>
      </c>
      <c r="AA1827" s="4">
        <f>('TE BE'!$AA$41+'TE BF'!$AA$41+'TE CVA'!$AA$41)*1</f>
        <v>283.86889449376815</v>
      </c>
      <c r="AB1827" s="4">
        <f>$K$1827*$V$1827</f>
        <v>0</v>
      </c>
      <c r="AC1827" s="4">
        <f>$M$1827*$W$1827</f>
        <v>685409.99418000004</v>
      </c>
      <c r="AD1827" s="4">
        <f>$O$1827*$X$1827</f>
        <v>399432.64562999998</v>
      </c>
      <c r="AE1827" s="4">
        <f>$K$1827*$Y$1827</f>
        <v>0</v>
      </c>
      <c r="AF1827" s="4">
        <f ca="1">$M$1827*$Z$1827</f>
        <v>808497.94799659273</v>
      </c>
      <c r="AG1827" s="4">
        <f>$O$1827*$AA$1827</f>
        <v>491851.40129141178</v>
      </c>
    </row>
    <row r="1828" spans="1:33" ht="11.25" customHeight="1" x14ac:dyDescent="0.25">
      <c r="A1828" s="3" t="s">
        <v>28</v>
      </c>
      <c r="B1828" s="3" t="s">
        <v>39</v>
      </c>
      <c r="C1828" s="3" t="s">
        <v>23</v>
      </c>
      <c r="D1828" s="3" t="s">
        <v>43</v>
      </c>
      <c r="E1828" s="3" t="s">
        <v>25</v>
      </c>
      <c r="F1828" s="3" t="s">
        <v>25</v>
      </c>
      <c r="G1828" s="3" t="s">
        <v>25</v>
      </c>
      <c r="H1828" s="3" t="s">
        <v>25</v>
      </c>
      <c r="I1828" s="6">
        <v>44409</v>
      </c>
      <c r="J1828" s="4">
        <v>0</v>
      </c>
      <c r="K1828" s="4">
        <v>0</v>
      </c>
      <c r="L1828" s="4">
        <v>16.030999999999999</v>
      </c>
      <c r="M1828" s="4">
        <v>16.030999999999999</v>
      </c>
      <c r="N1828" s="4">
        <v>16.030999999999999</v>
      </c>
      <c r="O1828" s="4">
        <v>16.030999999999999</v>
      </c>
      <c r="P1828" s="4">
        <v>2</v>
      </c>
      <c r="Q1828" s="3" t="s">
        <v>26</v>
      </c>
      <c r="R1828" s="3">
        <v>0</v>
      </c>
      <c r="S1828" s="4">
        <v>0</v>
      </c>
      <c r="T1828" s="4">
        <v>45</v>
      </c>
      <c r="U1828" s="4">
        <v>85</v>
      </c>
      <c r="V1828" s="4">
        <f>IF(ISERROR(VLOOKUP($S$1828,'TAR FIN'!$A$1:$O$99,15,0)),0,VLOOKUP($S$1828,'TAR FIN'!$A$1:$O$99,15,0))</f>
        <v>0</v>
      </c>
      <c r="W1828" s="4">
        <f>IF(ISERROR(VLOOKUP($T$1828,'TAR FIN'!$A$1:$O$99,15,0)),0,VLOOKUP($T$1828,'TAR FIN'!$A$1:$O$99,15,0))</f>
        <v>395.58</v>
      </c>
      <c r="X1828" s="4">
        <f>IF(ISERROR(VLOOKUP($U$1828,'TAR FIN'!$A$1:$O$99,15,0)),0,VLOOKUP($U$1828,'TAR FIN'!$A$1:$O$99,15,0))</f>
        <v>230.53</v>
      </c>
      <c r="Y1828" s="4"/>
      <c r="Z1828" s="4">
        <f ca="1">('TUSD BE'!$AM$59+'TUSD BF'!$AM$59+'TUSD CVA'!$AM$59)*1</f>
        <v>466.61942630573992</v>
      </c>
      <c r="AA1828" s="4">
        <f>('TE BE'!$AA$41+'TE BF'!$AA$41+'TE CVA'!$AA$41)*1</f>
        <v>283.86889449376815</v>
      </c>
      <c r="AB1828" s="4">
        <f>$K$1828*$V$1828</f>
        <v>0</v>
      </c>
      <c r="AC1828" s="4">
        <f>$M$1828*$W$1828</f>
        <v>6341.5429799999993</v>
      </c>
      <c r="AD1828" s="4">
        <f>$O$1828*$X$1828</f>
        <v>3695.6264299999998</v>
      </c>
      <c r="AE1828" s="4">
        <f>$K$1828*$Y$1828</f>
        <v>0</v>
      </c>
      <c r="AF1828" s="4">
        <f ca="1">$M$1828*$Z$1828</f>
        <v>7480.3760231073165</v>
      </c>
      <c r="AG1828" s="4">
        <f>$O$1828*$AA$1828</f>
        <v>4550.702247629597</v>
      </c>
    </row>
    <row r="1829" spans="1:33" ht="11.25" customHeight="1" x14ac:dyDescent="0.25">
      <c r="A1829" s="3" t="s">
        <v>21</v>
      </c>
      <c r="B1829" s="3" t="s">
        <v>39</v>
      </c>
      <c r="C1829" s="3" t="s">
        <v>23</v>
      </c>
      <c r="D1829" s="3" t="s">
        <v>43</v>
      </c>
      <c r="E1829" s="3" t="s">
        <v>25</v>
      </c>
      <c r="F1829" s="3" t="s">
        <v>25</v>
      </c>
      <c r="G1829" s="3" t="s">
        <v>25</v>
      </c>
      <c r="H1829" s="3" t="s">
        <v>25</v>
      </c>
      <c r="I1829" s="6">
        <v>44440</v>
      </c>
      <c r="J1829" s="4">
        <v>0</v>
      </c>
      <c r="K1829" s="4">
        <v>0</v>
      </c>
      <c r="L1829" s="4">
        <v>27928.151000000002</v>
      </c>
      <c r="M1829" s="4">
        <v>27928.151000000002</v>
      </c>
      <c r="N1829" s="4">
        <v>27928.151000000002</v>
      </c>
      <c r="O1829" s="4">
        <v>27928.151000000002</v>
      </c>
      <c r="P1829" s="4">
        <v>63213</v>
      </c>
      <c r="Q1829" s="3" t="s">
        <v>26</v>
      </c>
      <c r="R1829" s="3">
        <v>0</v>
      </c>
      <c r="S1829" s="4">
        <v>0</v>
      </c>
      <c r="T1829" s="4">
        <v>45</v>
      </c>
      <c r="U1829" s="4">
        <v>85</v>
      </c>
      <c r="V1829" s="4">
        <f>IF(ISERROR(VLOOKUP($S$1829,'TAR FIN'!$A$1:$O$99,15,0)),0,VLOOKUP($S$1829,'TAR FIN'!$A$1:$O$99,15,0))</f>
        <v>0</v>
      </c>
      <c r="W1829" s="4">
        <f>IF(ISERROR(VLOOKUP($T$1829,'TAR FIN'!$A$1:$O$99,15,0)),0,VLOOKUP($T$1829,'TAR FIN'!$A$1:$O$99,15,0))</f>
        <v>395.58</v>
      </c>
      <c r="X1829" s="4">
        <f>IF(ISERROR(VLOOKUP($U$1829,'TAR FIN'!$A$1:$O$99,15,0)),0,VLOOKUP($U$1829,'TAR FIN'!$A$1:$O$99,15,0))</f>
        <v>230.53</v>
      </c>
      <c r="Y1829" s="4"/>
      <c r="Z1829" s="4">
        <f ca="1">('TUSD BE'!$AM$59+'TUSD BF'!$AM$59+'TUSD CVA'!$AM$59)*1</f>
        <v>466.61942630573992</v>
      </c>
      <c r="AA1829" s="4">
        <f>('TE BE'!$AA$41+'TE BF'!$AA$41+'TE CVA'!$AA$41)*1</f>
        <v>283.86889449376815</v>
      </c>
      <c r="AB1829" s="4">
        <f>$K$1829*$V$1829</f>
        <v>0</v>
      </c>
      <c r="AC1829" s="4">
        <f>$M$1829*$W$1829</f>
        <v>11047817.972580001</v>
      </c>
      <c r="AD1829" s="4">
        <f>$O$1829*$X$1829</f>
        <v>6438276.6500300001</v>
      </c>
      <c r="AE1829" s="4">
        <f>$K$1829*$Y$1829</f>
        <v>0</v>
      </c>
      <c r="AF1829" s="4">
        <f ca="1">$M$1829*$Z$1829</f>
        <v>13031817.797400078</v>
      </c>
      <c r="AG1829" s="4">
        <f>$O$1829*$AA$1829</f>
        <v>7927933.3496250259</v>
      </c>
    </row>
    <row r="1830" spans="1:33" ht="11.25" customHeight="1" x14ac:dyDescent="0.25">
      <c r="A1830" s="3" t="s">
        <v>27</v>
      </c>
      <c r="B1830" s="3" t="s">
        <v>39</v>
      </c>
      <c r="C1830" s="3" t="s">
        <v>23</v>
      </c>
      <c r="D1830" s="3" t="s">
        <v>43</v>
      </c>
      <c r="E1830" s="3" t="s">
        <v>25</v>
      </c>
      <c r="F1830" s="3" t="s">
        <v>25</v>
      </c>
      <c r="G1830" s="3" t="s">
        <v>25</v>
      </c>
      <c r="H1830" s="3" t="s">
        <v>25</v>
      </c>
      <c r="I1830" s="6">
        <v>44440</v>
      </c>
      <c r="J1830" s="4">
        <v>0</v>
      </c>
      <c r="K1830" s="4">
        <v>0</v>
      </c>
      <c r="L1830" s="4">
        <v>-104.52800000000001</v>
      </c>
      <c r="M1830" s="4">
        <v>-104.52800000000001</v>
      </c>
      <c r="N1830" s="4">
        <v>-104.52800000000001</v>
      </c>
      <c r="O1830" s="4">
        <v>-104.52800000000001</v>
      </c>
      <c r="P1830" s="4">
        <v>-725</v>
      </c>
      <c r="Q1830" s="3" t="s">
        <v>26</v>
      </c>
      <c r="R1830" s="3">
        <v>0</v>
      </c>
      <c r="S1830" s="4">
        <v>0</v>
      </c>
      <c r="T1830" s="4">
        <v>45</v>
      </c>
      <c r="U1830" s="4">
        <v>85</v>
      </c>
      <c r="V1830" s="4">
        <f>IF(ISERROR(VLOOKUP($S$1830,'TAR FIN'!$A$1:$O$99,15,0)),0,VLOOKUP($S$1830,'TAR FIN'!$A$1:$O$99,15,0))</f>
        <v>0</v>
      </c>
      <c r="W1830" s="4">
        <f>IF(ISERROR(VLOOKUP($T$1830,'TAR FIN'!$A$1:$O$99,15,0)),0,VLOOKUP($T$1830,'TAR FIN'!$A$1:$O$99,15,0))</f>
        <v>395.58</v>
      </c>
      <c r="X1830" s="4">
        <f>IF(ISERROR(VLOOKUP($U$1830,'TAR FIN'!$A$1:$O$99,15,0)),0,VLOOKUP($U$1830,'TAR FIN'!$A$1:$O$99,15,0))</f>
        <v>230.53</v>
      </c>
      <c r="Y1830" s="4"/>
      <c r="Z1830" s="4">
        <f ca="1">('TUSD BE'!$AM$59+'TUSD BF'!$AM$59+'TUSD CVA'!$AM$59)*1</f>
        <v>466.61942630573992</v>
      </c>
      <c r="AA1830" s="4">
        <f>('TE BE'!$AA$41+'TE BF'!$AA$41+'TE CVA'!$AA$41)*1</f>
        <v>283.86889449376815</v>
      </c>
      <c r="AB1830" s="4">
        <f>$K$1830*$V$1830</f>
        <v>0</v>
      </c>
      <c r="AC1830" s="4">
        <f>$M$1830*$W$1830</f>
        <v>-41349.186240000003</v>
      </c>
      <c r="AD1830" s="4">
        <f>$O$1830*$X$1830</f>
        <v>-24096.839840000001</v>
      </c>
      <c r="AE1830" s="4">
        <f>$K$1830*$Y$1830</f>
        <v>0</v>
      </c>
      <c r="AF1830" s="4">
        <f ca="1">$M$1830*$Z$1830</f>
        <v>-48774.795392886386</v>
      </c>
      <c r="AG1830" s="4">
        <f>$O$1830*$AA$1830</f>
        <v>-29672.247803644597</v>
      </c>
    </row>
    <row r="1831" spans="1:33" ht="11.25" customHeight="1" x14ac:dyDescent="0.25">
      <c r="A1831" s="3" t="s">
        <v>28</v>
      </c>
      <c r="B1831" s="3" t="s">
        <v>39</v>
      </c>
      <c r="C1831" s="3" t="s">
        <v>23</v>
      </c>
      <c r="D1831" s="3" t="s">
        <v>43</v>
      </c>
      <c r="E1831" s="3" t="s">
        <v>25</v>
      </c>
      <c r="F1831" s="3" t="s">
        <v>25</v>
      </c>
      <c r="G1831" s="3" t="s">
        <v>25</v>
      </c>
      <c r="H1831" s="3" t="s">
        <v>25</v>
      </c>
      <c r="I1831" s="6">
        <v>44440</v>
      </c>
      <c r="J1831" s="4">
        <v>0</v>
      </c>
      <c r="K1831" s="4">
        <v>0</v>
      </c>
      <c r="L1831" s="4">
        <v>1545.4639999999999</v>
      </c>
      <c r="M1831" s="4">
        <v>1545.4639999999999</v>
      </c>
      <c r="N1831" s="4">
        <v>1545.4639999999999</v>
      </c>
      <c r="O1831" s="4">
        <v>1545.4639999999999</v>
      </c>
      <c r="P1831" s="4">
        <v>2228</v>
      </c>
      <c r="Q1831" s="3" t="s">
        <v>26</v>
      </c>
      <c r="R1831" s="3">
        <v>0</v>
      </c>
      <c r="S1831" s="4">
        <v>0</v>
      </c>
      <c r="T1831" s="4">
        <v>45</v>
      </c>
      <c r="U1831" s="4">
        <v>85</v>
      </c>
      <c r="V1831" s="4">
        <f>IF(ISERROR(VLOOKUP($S$1831,'TAR FIN'!$A$1:$O$99,15,0)),0,VLOOKUP($S$1831,'TAR FIN'!$A$1:$O$99,15,0))</f>
        <v>0</v>
      </c>
      <c r="W1831" s="4">
        <f>IF(ISERROR(VLOOKUP($T$1831,'TAR FIN'!$A$1:$O$99,15,0)),0,VLOOKUP($T$1831,'TAR FIN'!$A$1:$O$99,15,0))</f>
        <v>395.58</v>
      </c>
      <c r="X1831" s="4">
        <f>IF(ISERROR(VLOOKUP($U$1831,'TAR FIN'!$A$1:$O$99,15,0)),0,VLOOKUP($U$1831,'TAR FIN'!$A$1:$O$99,15,0))</f>
        <v>230.53</v>
      </c>
      <c r="Y1831" s="4"/>
      <c r="Z1831" s="4">
        <f ca="1">('TUSD BE'!$AM$59+'TUSD BF'!$AM$59+'TUSD CVA'!$AM$59)*1</f>
        <v>466.61942630573992</v>
      </c>
      <c r="AA1831" s="4">
        <f>('TE BE'!$AA$41+'TE BF'!$AA$41+'TE CVA'!$AA$41)*1</f>
        <v>283.86889449376815</v>
      </c>
      <c r="AB1831" s="4">
        <f>$K$1831*$V$1831</f>
        <v>0</v>
      </c>
      <c r="AC1831" s="4">
        <f>$M$1831*$W$1831</f>
        <v>611354.64911999996</v>
      </c>
      <c r="AD1831" s="4">
        <f>$O$1831*$X$1831</f>
        <v>356275.81591999996</v>
      </c>
      <c r="AE1831" s="4">
        <f>$K$1831*$Y$1831</f>
        <v>0</v>
      </c>
      <c r="AF1831" s="4">
        <f ca="1">$M$1831*$Z$1831</f>
        <v>721143.52505617402</v>
      </c>
      <c r="AG1831" s="4">
        <f>$O$1831*$AA$1831</f>
        <v>438709.15715991688</v>
      </c>
    </row>
    <row r="1832" spans="1:33" ht="11.25" customHeight="1" x14ac:dyDescent="0.25">
      <c r="A1832" s="3" t="s">
        <v>28</v>
      </c>
      <c r="B1832" s="3" t="s">
        <v>39</v>
      </c>
      <c r="C1832" s="3" t="s">
        <v>23</v>
      </c>
      <c r="D1832" s="3" t="s">
        <v>43</v>
      </c>
      <c r="E1832" s="3" t="s">
        <v>25</v>
      </c>
      <c r="F1832" s="3" t="s">
        <v>25</v>
      </c>
      <c r="G1832" s="3" t="s">
        <v>25</v>
      </c>
      <c r="H1832" s="3" t="s">
        <v>25</v>
      </c>
      <c r="I1832" s="6">
        <v>44440</v>
      </c>
      <c r="J1832" s="4">
        <v>0</v>
      </c>
      <c r="K1832" s="4">
        <v>0</v>
      </c>
      <c r="L1832" s="4">
        <v>67.804000000000002</v>
      </c>
      <c r="M1832" s="4">
        <v>67.804000000000002</v>
      </c>
      <c r="N1832" s="4">
        <v>67.804000000000002</v>
      </c>
      <c r="O1832" s="4">
        <v>67.804000000000002</v>
      </c>
      <c r="P1832" s="4">
        <v>12</v>
      </c>
      <c r="Q1832" s="3" t="s">
        <v>26</v>
      </c>
      <c r="R1832" s="3">
        <v>0</v>
      </c>
      <c r="S1832" s="4">
        <v>0</v>
      </c>
      <c r="T1832" s="4">
        <v>45</v>
      </c>
      <c r="U1832" s="4">
        <v>85</v>
      </c>
      <c r="V1832" s="4">
        <f>IF(ISERROR(VLOOKUP($S$1832,'TAR FIN'!$A$1:$O$99,15,0)),0,VLOOKUP($S$1832,'TAR FIN'!$A$1:$O$99,15,0))</f>
        <v>0</v>
      </c>
      <c r="W1832" s="4">
        <f>IF(ISERROR(VLOOKUP($T$1832,'TAR FIN'!$A$1:$O$99,15,0)),0,VLOOKUP($T$1832,'TAR FIN'!$A$1:$O$99,15,0))</f>
        <v>395.58</v>
      </c>
      <c r="X1832" s="4">
        <f>IF(ISERROR(VLOOKUP($U$1832,'TAR FIN'!$A$1:$O$99,15,0)),0,VLOOKUP($U$1832,'TAR FIN'!$A$1:$O$99,15,0))</f>
        <v>230.53</v>
      </c>
      <c r="Y1832" s="4"/>
      <c r="Z1832" s="4">
        <f ca="1">('TUSD BE'!$AM$59+'TUSD BF'!$AM$59+'TUSD CVA'!$AM$59)*1</f>
        <v>466.61942630573992</v>
      </c>
      <c r="AA1832" s="4">
        <f>('TE BE'!$AA$41+'TE BF'!$AA$41+'TE CVA'!$AA$41)*1</f>
        <v>283.86889449376815</v>
      </c>
      <c r="AB1832" s="4">
        <f>$K$1832*$V$1832</f>
        <v>0</v>
      </c>
      <c r="AC1832" s="4">
        <f>$M$1832*$W$1832</f>
        <v>26821.906319999998</v>
      </c>
      <c r="AD1832" s="4">
        <f>$O$1832*$X$1832</f>
        <v>15630.85612</v>
      </c>
      <c r="AE1832" s="4">
        <f>$K$1832*$Y$1832</f>
        <v>0</v>
      </c>
      <c r="AF1832" s="4">
        <f ca="1">$M$1832*$Z$1832</f>
        <v>31638.663581234392</v>
      </c>
      <c r="AG1832" s="4">
        <f>$O$1832*$AA$1832</f>
        <v>19247.446522255457</v>
      </c>
    </row>
    <row r="1833" spans="1:33" ht="11.25" customHeight="1" x14ac:dyDescent="0.25">
      <c r="A1833" s="3" t="s">
        <v>21</v>
      </c>
      <c r="B1833" s="3" t="s">
        <v>39</v>
      </c>
      <c r="C1833" s="3" t="s">
        <v>23</v>
      </c>
      <c r="D1833" s="3" t="s">
        <v>43</v>
      </c>
      <c r="E1833" s="3" t="s">
        <v>25</v>
      </c>
      <c r="F1833" s="3" t="s">
        <v>25</v>
      </c>
      <c r="G1833" s="3" t="s">
        <v>25</v>
      </c>
      <c r="H1833" s="3" t="s">
        <v>25</v>
      </c>
      <c r="I1833" s="6">
        <v>44470</v>
      </c>
      <c r="J1833" s="4">
        <v>0</v>
      </c>
      <c r="K1833" s="4">
        <v>0</v>
      </c>
      <c r="L1833" s="4">
        <v>30093.437999999998</v>
      </c>
      <c r="M1833" s="4">
        <v>30093.437999999998</v>
      </c>
      <c r="N1833" s="4">
        <v>30093.437999999998</v>
      </c>
      <c r="O1833" s="4">
        <v>30093.437999999998</v>
      </c>
      <c r="P1833" s="4">
        <v>63314</v>
      </c>
      <c r="Q1833" s="3" t="s">
        <v>26</v>
      </c>
      <c r="R1833" s="3">
        <v>0</v>
      </c>
      <c r="S1833" s="4">
        <v>0</v>
      </c>
      <c r="T1833" s="4">
        <v>45</v>
      </c>
      <c r="U1833" s="4">
        <v>85</v>
      </c>
      <c r="V1833" s="4">
        <f>IF(ISERROR(VLOOKUP($S$1833,'TAR FIN'!$A$1:$O$99,15,0)),0,VLOOKUP($S$1833,'TAR FIN'!$A$1:$O$99,15,0))</f>
        <v>0</v>
      </c>
      <c r="W1833" s="4">
        <f>IF(ISERROR(VLOOKUP($T$1833,'TAR FIN'!$A$1:$O$99,15,0)),0,VLOOKUP($T$1833,'TAR FIN'!$A$1:$O$99,15,0))</f>
        <v>395.58</v>
      </c>
      <c r="X1833" s="4">
        <f>IF(ISERROR(VLOOKUP($U$1833,'TAR FIN'!$A$1:$O$99,15,0)),0,VLOOKUP($U$1833,'TAR FIN'!$A$1:$O$99,15,0))</f>
        <v>230.53</v>
      </c>
      <c r="Y1833" s="4"/>
      <c r="Z1833" s="4">
        <f ca="1">('TUSD BE'!$AM$59+'TUSD BF'!$AM$59+'TUSD CVA'!$AM$59)*1</f>
        <v>466.61942630573992</v>
      </c>
      <c r="AA1833" s="4">
        <f>('TE BE'!$AA$41+'TE BF'!$AA$41+'TE CVA'!$AA$41)*1</f>
        <v>283.86889449376815</v>
      </c>
      <c r="AB1833" s="4">
        <f>$K$1833*$V$1833</f>
        <v>0</v>
      </c>
      <c r="AC1833" s="4">
        <f>$M$1833*$W$1833</f>
        <v>11904362.204039998</v>
      </c>
      <c r="AD1833" s="4">
        <f>$O$1833*$X$1833</f>
        <v>6937440.2621399993</v>
      </c>
      <c r="AE1833" s="4">
        <f>$K$1833*$Y$1833</f>
        <v>0</v>
      </c>
      <c r="AF1833" s="4">
        <f ca="1">$M$1833*$Z$1833</f>
        <v>14042182.775127353</v>
      </c>
      <c r="AG1833" s="4">
        <f>$O$1833*$AA$1833</f>
        <v>8542590.976576753</v>
      </c>
    </row>
    <row r="1834" spans="1:33" ht="11.25" customHeight="1" x14ac:dyDescent="0.25">
      <c r="A1834" s="3" t="s">
        <v>27</v>
      </c>
      <c r="B1834" s="3" t="s">
        <v>39</v>
      </c>
      <c r="C1834" s="3" t="s">
        <v>23</v>
      </c>
      <c r="D1834" s="3" t="s">
        <v>43</v>
      </c>
      <c r="E1834" s="3" t="s">
        <v>25</v>
      </c>
      <c r="F1834" s="3" t="s">
        <v>25</v>
      </c>
      <c r="G1834" s="3" t="s">
        <v>25</v>
      </c>
      <c r="H1834" s="3" t="s">
        <v>25</v>
      </c>
      <c r="I1834" s="6">
        <v>44470</v>
      </c>
      <c r="J1834" s="4">
        <v>0</v>
      </c>
      <c r="K1834" s="4">
        <v>0</v>
      </c>
      <c r="L1834" s="4">
        <v>-112.68600000000001</v>
      </c>
      <c r="M1834" s="4">
        <v>-112.68600000000001</v>
      </c>
      <c r="N1834" s="4">
        <v>-112.68600000000001</v>
      </c>
      <c r="O1834" s="4">
        <v>-112.68600000000001</v>
      </c>
      <c r="P1834" s="4">
        <v>-394</v>
      </c>
      <c r="Q1834" s="3" t="s">
        <v>26</v>
      </c>
      <c r="R1834" s="3">
        <v>0</v>
      </c>
      <c r="S1834" s="4">
        <v>0</v>
      </c>
      <c r="T1834" s="4">
        <v>45</v>
      </c>
      <c r="U1834" s="4">
        <v>85</v>
      </c>
      <c r="V1834" s="4">
        <f>IF(ISERROR(VLOOKUP($S$1834,'TAR FIN'!$A$1:$O$99,15,0)),0,VLOOKUP($S$1834,'TAR FIN'!$A$1:$O$99,15,0))</f>
        <v>0</v>
      </c>
      <c r="W1834" s="4">
        <f>IF(ISERROR(VLOOKUP($T$1834,'TAR FIN'!$A$1:$O$99,15,0)),0,VLOOKUP($T$1834,'TAR FIN'!$A$1:$O$99,15,0))</f>
        <v>395.58</v>
      </c>
      <c r="X1834" s="4">
        <f>IF(ISERROR(VLOOKUP($U$1834,'TAR FIN'!$A$1:$O$99,15,0)),0,VLOOKUP($U$1834,'TAR FIN'!$A$1:$O$99,15,0))</f>
        <v>230.53</v>
      </c>
      <c r="Y1834" s="4"/>
      <c r="Z1834" s="4">
        <f ca="1">('TUSD BE'!$AM$59+'TUSD BF'!$AM$59+'TUSD CVA'!$AM$59)*1</f>
        <v>466.61942630573992</v>
      </c>
      <c r="AA1834" s="4">
        <f>('TE BE'!$AA$41+'TE BF'!$AA$41+'TE CVA'!$AA$41)*1</f>
        <v>283.86889449376815</v>
      </c>
      <c r="AB1834" s="4">
        <f>$K$1834*$V$1834</f>
        <v>0</v>
      </c>
      <c r="AC1834" s="4">
        <f>$M$1834*$W$1834</f>
        <v>-44576.327880000004</v>
      </c>
      <c r="AD1834" s="4">
        <f>$O$1834*$X$1834</f>
        <v>-25977.503580000001</v>
      </c>
      <c r="AE1834" s="4">
        <f>$K$1834*$Y$1834</f>
        <v>0</v>
      </c>
      <c r="AF1834" s="4">
        <f ca="1">$M$1834*$Z$1834</f>
        <v>-52581.476672688616</v>
      </c>
      <c r="AG1834" s="4">
        <f>$O$1834*$AA$1834</f>
        <v>-31988.050244924762</v>
      </c>
    </row>
    <row r="1835" spans="1:33" ht="11.25" customHeight="1" x14ac:dyDescent="0.25">
      <c r="A1835" s="3" t="s">
        <v>28</v>
      </c>
      <c r="B1835" s="3" t="s">
        <v>39</v>
      </c>
      <c r="C1835" s="3" t="s">
        <v>23</v>
      </c>
      <c r="D1835" s="3" t="s">
        <v>43</v>
      </c>
      <c r="E1835" s="3" t="s">
        <v>25</v>
      </c>
      <c r="F1835" s="3" t="s">
        <v>25</v>
      </c>
      <c r="G1835" s="3" t="s">
        <v>25</v>
      </c>
      <c r="H1835" s="3" t="s">
        <v>25</v>
      </c>
      <c r="I1835" s="6">
        <v>44470</v>
      </c>
      <c r="J1835" s="4">
        <v>0</v>
      </c>
      <c r="K1835" s="4">
        <v>0</v>
      </c>
      <c r="L1835" s="4">
        <v>1630.78</v>
      </c>
      <c r="M1835" s="4">
        <v>1630.78</v>
      </c>
      <c r="N1835" s="4">
        <v>1630.78</v>
      </c>
      <c r="O1835" s="4">
        <v>1630.78</v>
      </c>
      <c r="P1835" s="4">
        <v>2368</v>
      </c>
      <c r="Q1835" s="3" t="s">
        <v>26</v>
      </c>
      <c r="R1835" s="3">
        <v>0</v>
      </c>
      <c r="S1835" s="4">
        <v>0</v>
      </c>
      <c r="T1835" s="4">
        <v>45</v>
      </c>
      <c r="U1835" s="4">
        <v>85</v>
      </c>
      <c r="V1835" s="4">
        <f>IF(ISERROR(VLOOKUP($S$1835,'TAR FIN'!$A$1:$O$99,15,0)),0,VLOOKUP($S$1835,'TAR FIN'!$A$1:$O$99,15,0))</f>
        <v>0</v>
      </c>
      <c r="W1835" s="4">
        <f>IF(ISERROR(VLOOKUP($T$1835,'TAR FIN'!$A$1:$O$99,15,0)),0,VLOOKUP($T$1835,'TAR FIN'!$A$1:$O$99,15,0))</f>
        <v>395.58</v>
      </c>
      <c r="X1835" s="4">
        <f>IF(ISERROR(VLOOKUP($U$1835,'TAR FIN'!$A$1:$O$99,15,0)),0,VLOOKUP($U$1835,'TAR FIN'!$A$1:$O$99,15,0))</f>
        <v>230.53</v>
      </c>
      <c r="Y1835" s="4"/>
      <c r="Z1835" s="4">
        <f ca="1">('TUSD BE'!$AM$59+'TUSD BF'!$AM$59+'TUSD CVA'!$AM$59)*1</f>
        <v>466.61942630573992</v>
      </c>
      <c r="AA1835" s="4">
        <f>('TE BE'!$AA$41+'TE BF'!$AA$41+'TE CVA'!$AA$41)*1</f>
        <v>283.86889449376815</v>
      </c>
      <c r="AB1835" s="4">
        <f>$K$1835*$V$1835</f>
        <v>0</v>
      </c>
      <c r="AC1835" s="4">
        <f>$M$1835*$W$1835</f>
        <v>645103.95239999995</v>
      </c>
      <c r="AD1835" s="4">
        <f>$O$1835*$X$1835</f>
        <v>375943.71340000001</v>
      </c>
      <c r="AE1835" s="4">
        <f>$K$1835*$Y$1835</f>
        <v>0</v>
      </c>
      <c r="AF1835" s="4">
        <f ca="1">$M$1835*$Z$1835</f>
        <v>760953.62803087453</v>
      </c>
      <c r="AG1835" s="4">
        <f>$O$1835*$AA$1835</f>
        <v>462927.71576254722</v>
      </c>
    </row>
    <row r="1836" spans="1:33" ht="11.25" customHeight="1" x14ac:dyDescent="0.25">
      <c r="A1836" s="3" t="s">
        <v>28</v>
      </c>
      <c r="B1836" s="3" t="s">
        <v>39</v>
      </c>
      <c r="C1836" s="3" t="s">
        <v>23</v>
      </c>
      <c r="D1836" s="3" t="s">
        <v>43</v>
      </c>
      <c r="E1836" s="3" t="s">
        <v>25</v>
      </c>
      <c r="F1836" s="3" t="s">
        <v>25</v>
      </c>
      <c r="G1836" s="3" t="s">
        <v>25</v>
      </c>
      <c r="H1836" s="3" t="s">
        <v>25</v>
      </c>
      <c r="I1836" s="6">
        <v>44470</v>
      </c>
      <c r="J1836" s="4">
        <v>0</v>
      </c>
      <c r="K1836" s="4">
        <v>0</v>
      </c>
      <c r="L1836" s="4">
        <v>76.355000000000004</v>
      </c>
      <c r="M1836" s="4">
        <v>76.355000000000004</v>
      </c>
      <c r="N1836" s="4">
        <v>76.355000000000004</v>
      </c>
      <c r="O1836" s="4">
        <v>76.355000000000004</v>
      </c>
      <c r="P1836" s="4">
        <v>69</v>
      </c>
      <c r="Q1836" s="3" t="s">
        <v>26</v>
      </c>
      <c r="R1836" s="3">
        <v>0</v>
      </c>
      <c r="S1836" s="4">
        <v>0</v>
      </c>
      <c r="T1836" s="4">
        <v>45</v>
      </c>
      <c r="U1836" s="4">
        <v>85</v>
      </c>
      <c r="V1836" s="4">
        <f>IF(ISERROR(VLOOKUP($S$1836,'TAR FIN'!$A$1:$O$99,15,0)),0,VLOOKUP($S$1836,'TAR FIN'!$A$1:$O$99,15,0))</f>
        <v>0</v>
      </c>
      <c r="W1836" s="4">
        <f>IF(ISERROR(VLOOKUP($T$1836,'TAR FIN'!$A$1:$O$99,15,0)),0,VLOOKUP($T$1836,'TAR FIN'!$A$1:$O$99,15,0))</f>
        <v>395.58</v>
      </c>
      <c r="X1836" s="4">
        <f>IF(ISERROR(VLOOKUP($U$1836,'TAR FIN'!$A$1:$O$99,15,0)),0,VLOOKUP($U$1836,'TAR FIN'!$A$1:$O$99,15,0))</f>
        <v>230.53</v>
      </c>
      <c r="Y1836" s="4"/>
      <c r="Z1836" s="4">
        <f ca="1">('TUSD BE'!$AM$59+'TUSD BF'!$AM$59+'TUSD CVA'!$AM$59)*1</f>
        <v>466.61942630573992</v>
      </c>
      <c r="AA1836" s="4">
        <f>('TE BE'!$AA$41+'TE BF'!$AA$41+'TE CVA'!$AA$41)*1</f>
        <v>283.86889449376815</v>
      </c>
      <c r="AB1836" s="4">
        <f>$K$1836*$V$1836</f>
        <v>0</v>
      </c>
      <c r="AC1836" s="4">
        <f>$M$1836*$W$1836</f>
        <v>30204.510900000001</v>
      </c>
      <c r="AD1836" s="4">
        <f>$O$1836*$X$1836</f>
        <v>17602.118150000002</v>
      </c>
      <c r="AE1836" s="4">
        <f>$K$1836*$Y$1836</f>
        <v>0</v>
      </c>
      <c r="AF1836" s="4">
        <f ca="1">$M$1836*$Z$1836</f>
        <v>35628.726295574772</v>
      </c>
      <c r="AG1836" s="4">
        <f>$O$1836*$AA$1836</f>
        <v>21674.809439071669</v>
      </c>
    </row>
    <row r="1837" spans="1:33" ht="11.25" customHeight="1" x14ac:dyDescent="0.25">
      <c r="A1837" s="3" t="s">
        <v>21</v>
      </c>
      <c r="B1837" s="3" t="s">
        <v>39</v>
      </c>
      <c r="C1837" s="3" t="s">
        <v>23</v>
      </c>
      <c r="D1837" s="3" t="s">
        <v>43</v>
      </c>
      <c r="E1837" s="3" t="s">
        <v>25</v>
      </c>
      <c r="F1837" s="3" t="s">
        <v>25</v>
      </c>
      <c r="G1837" s="3" t="s">
        <v>25</v>
      </c>
      <c r="H1837" s="3" t="s">
        <v>25</v>
      </c>
      <c r="I1837" s="6">
        <v>44501</v>
      </c>
      <c r="J1837" s="4">
        <v>0</v>
      </c>
      <c r="K1837" s="4">
        <v>0</v>
      </c>
      <c r="L1837" s="4">
        <v>31624.109</v>
      </c>
      <c r="M1837" s="4">
        <v>31624.109</v>
      </c>
      <c r="N1837" s="4">
        <v>31624.109</v>
      </c>
      <c r="O1837" s="4">
        <v>31624.109</v>
      </c>
      <c r="P1837" s="4">
        <v>63306</v>
      </c>
      <c r="Q1837" s="3" t="s">
        <v>26</v>
      </c>
      <c r="R1837" s="3">
        <v>0</v>
      </c>
      <c r="S1837" s="4">
        <v>0</v>
      </c>
      <c r="T1837" s="4">
        <v>45</v>
      </c>
      <c r="U1837" s="4">
        <v>85</v>
      </c>
      <c r="V1837" s="4">
        <f>IF(ISERROR(VLOOKUP($S$1837,'TAR FIN'!$A$1:$O$99,15,0)),0,VLOOKUP($S$1837,'TAR FIN'!$A$1:$O$99,15,0))</f>
        <v>0</v>
      </c>
      <c r="W1837" s="4">
        <f>IF(ISERROR(VLOOKUP($T$1837,'TAR FIN'!$A$1:$O$99,15,0)),0,VLOOKUP($T$1837,'TAR FIN'!$A$1:$O$99,15,0))</f>
        <v>395.58</v>
      </c>
      <c r="X1837" s="4">
        <f>IF(ISERROR(VLOOKUP($U$1837,'TAR FIN'!$A$1:$O$99,15,0)),0,VLOOKUP($U$1837,'TAR FIN'!$A$1:$O$99,15,0))</f>
        <v>230.53</v>
      </c>
      <c r="Y1837" s="4"/>
      <c r="Z1837" s="4">
        <f ca="1">('TUSD BE'!$AM$59+'TUSD BF'!$AM$59+'TUSD CVA'!$AM$59)*1</f>
        <v>466.61942630573992</v>
      </c>
      <c r="AA1837" s="4">
        <f>('TE BE'!$AA$41+'TE BF'!$AA$41+'TE CVA'!$AA$41)*1</f>
        <v>283.86889449376815</v>
      </c>
      <c r="AB1837" s="4">
        <f>$K$1837*$V$1837</f>
        <v>0</v>
      </c>
      <c r="AC1837" s="4">
        <f>$M$1837*$W$1837</f>
        <v>12509865.03822</v>
      </c>
      <c r="AD1837" s="4">
        <f>$O$1837*$X$1837</f>
        <v>7290305.8477699999</v>
      </c>
      <c r="AE1837" s="4">
        <f>$K$1837*$Y$1837</f>
        <v>0</v>
      </c>
      <c r="AF1837" s="4">
        <f ca="1">$M$1837*$Z$1837</f>
        <v>14756423.599010186</v>
      </c>
      <c r="AG1837" s="4">
        <f>$O$1837*$AA$1837</f>
        <v>8977100.8611804247</v>
      </c>
    </row>
    <row r="1838" spans="1:33" ht="11.25" customHeight="1" x14ac:dyDescent="0.25">
      <c r="A1838" s="3" t="s">
        <v>27</v>
      </c>
      <c r="B1838" s="3" t="s">
        <v>39</v>
      </c>
      <c r="C1838" s="3" t="s">
        <v>23</v>
      </c>
      <c r="D1838" s="3" t="s">
        <v>43</v>
      </c>
      <c r="E1838" s="3" t="s">
        <v>25</v>
      </c>
      <c r="F1838" s="3" t="s">
        <v>25</v>
      </c>
      <c r="G1838" s="3" t="s">
        <v>25</v>
      </c>
      <c r="H1838" s="3" t="s">
        <v>25</v>
      </c>
      <c r="I1838" s="6">
        <v>44501</v>
      </c>
      <c r="J1838" s="4">
        <v>0</v>
      </c>
      <c r="K1838" s="4">
        <v>0</v>
      </c>
      <c r="L1838" s="4">
        <v>20.347000000000001</v>
      </c>
      <c r="M1838" s="4">
        <v>20.347000000000001</v>
      </c>
      <c r="N1838" s="4">
        <v>20.347000000000001</v>
      </c>
      <c r="O1838" s="4">
        <v>20.347000000000001</v>
      </c>
      <c r="P1838" s="4">
        <v>-275</v>
      </c>
      <c r="Q1838" s="3" t="s">
        <v>26</v>
      </c>
      <c r="R1838" s="3">
        <v>0</v>
      </c>
      <c r="S1838" s="4">
        <v>0</v>
      </c>
      <c r="T1838" s="4">
        <v>45</v>
      </c>
      <c r="U1838" s="4">
        <v>85</v>
      </c>
      <c r="V1838" s="4">
        <f>IF(ISERROR(VLOOKUP($S$1838,'TAR FIN'!$A$1:$O$99,15,0)),0,VLOOKUP($S$1838,'TAR FIN'!$A$1:$O$99,15,0))</f>
        <v>0</v>
      </c>
      <c r="W1838" s="4">
        <f>IF(ISERROR(VLOOKUP($T$1838,'TAR FIN'!$A$1:$O$99,15,0)),0,VLOOKUP($T$1838,'TAR FIN'!$A$1:$O$99,15,0))</f>
        <v>395.58</v>
      </c>
      <c r="X1838" s="4">
        <f>IF(ISERROR(VLOOKUP($U$1838,'TAR FIN'!$A$1:$O$99,15,0)),0,VLOOKUP($U$1838,'TAR FIN'!$A$1:$O$99,15,0))</f>
        <v>230.53</v>
      </c>
      <c r="Y1838" s="4"/>
      <c r="Z1838" s="4">
        <f ca="1">('TUSD BE'!$AM$59+'TUSD BF'!$AM$59+'TUSD CVA'!$AM$59)*1</f>
        <v>466.61942630573992</v>
      </c>
      <c r="AA1838" s="4">
        <f>('TE BE'!$AA$41+'TE BF'!$AA$41+'TE CVA'!$AA$41)*1</f>
        <v>283.86889449376815</v>
      </c>
      <c r="AB1838" s="4">
        <f>$K$1838*$V$1838</f>
        <v>0</v>
      </c>
      <c r="AC1838" s="4">
        <f>$M$1838*$W$1838</f>
        <v>8048.8662599999998</v>
      </c>
      <c r="AD1838" s="4">
        <f>$O$1838*$X$1838</f>
        <v>4690.5939100000005</v>
      </c>
      <c r="AE1838" s="4">
        <f>$K$1838*$Y$1838</f>
        <v>0</v>
      </c>
      <c r="AF1838" s="4">
        <f ca="1">$M$1838*$Z$1838</f>
        <v>9494.3054670428901</v>
      </c>
      <c r="AG1838" s="4">
        <f>$O$1838*$AA$1838</f>
        <v>5775.8803962647007</v>
      </c>
    </row>
    <row r="1839" spans="1:33" ht="11.25" customHeight="1" x14ac:dyDescent="0.25">
      <c r="A1839" s="3" t="s">
        <v>28</v>
      </c>
      <c r="B1839" s="3" t="s">
        <v>39</v>
      </c>
      <c r="C1839" s="3" t="s">
        <v>23</v>
      </c>
      <c r="D1839" s="3" t="s">
        <v>43</v>
      </c>
      <c r="E1839" s="3" t="s">
        <v>25</v>
      </c>
      <c r="F1839" s="3" t="s">
        <v>25</v>
      </c>
      <c r="G1839" s="3" t="s">
        <v>25</v>
      </c>
      <c r="H1839" s="3" t="s">
        <v>25</v>
      </c>
      <c r="I1839" s="6">
        <v>44501</v>
      </c>
      <c r="J1839" s="4">
        <v>0</v>
      </c>
      <c r="K1839" s="4">
        <v>0</v>
      </c>
      <c r="L1839" s="4">
        <v>1566.777</v>
      </c>
      <c r="M1839" s="4">
        <v>1566.777</v>
      </c>
      <c r="N1839" s="4">
        <v>1566.777</v>
      </c>
      <c r="O1839" s="4">
        <v>1566.777</v>
      </c>
      <c r="P1839" s="4">
        <v>2524</v>
      </c>
      <c r="Q1839" s="3" t="s">
        <v>26</v>
      </c>
      <c r="R1839" s="3">
        <v>0</v>
      </c>
      <c r="S1839" s="4">
        <v>0</v>
      </c>
      <c r="T1839" s="4">
        <v>45</v>
      </c>
      <c r="U1839" s="4">
        <v>85</v>
      </c>
      <c r="V1839" s="4">
        <f>IF(ISERROR(VLOOKUP($S$1839,'TAR FIN'!$A$1:$O$99,15,0)),0,VLOOKUP($S$1839,'TAR FIN'!$A$1:$O$99,15,0))</f>
        <v>0</v>
      </c>
      <c r="W1839" s="4">
        <f>IF(ISERROR(VLOOKUP($T$1839,'TAR FIN'!$A$1:$O$99,15,0)),0,VLOOKUP($T$1839,'TAR FIN'!$A$1:$O$99,15,0))</f>
        <v>395.58</v>
      </c>
      <c r="X1839" s="4">
        <f>IF(ISERROR(VLOOKUP($U$1839,'TAR FIN'!$A$1:$O$99,15,0)),0,VLOOKUP($U$1839,'TAR FIN'!$A$1:$O$99,15,0))</f>
        <v>230.53</v>
      </c>
      <c r="Y1839" s="4"/>
      <c r="Z1839" s="4">
        <f ca="1">('TUSD BE'!$AM$59+'TUSD BF'!$AM$59+'TUSD CVA'!$AM$59)*1</f>
        <v>466.61942630573992</v>
      </c>
      <c r="AA1839" s="4">
        <f>('TE BE'!$AA$41+'TE BF'!$AA$41+'TE CVA'!$AA$41)*1</f>
        <v>283.86889449376815</v>
      </c>
      <c r="AB1839" s="4">
        <f>$K$1839*$V$1839</f>
        <v>0</v>
      </c>
      <c r="AC1839" s="4">
        <f>$M$1839*$W$1839</f>
        <v>619785.64566000004</v>
      </c>
      <c r="AD1839" s="4">
        <f>$O$1839*$X$1839</f>
        <v>361189.10181000002</v>
      </c>
      <c r="AE1839" s="4">
        <f>$K$1839*$Y$1839</f>
        <v>0</v>
      </c>
      <c r="AF1839" s="4">
        <f ca="1">$M$1839*$Z$1839</f>
        <v>731088.58488902834</v>
      </c>
      <c r="AG1839" s="4">
        <f>$O$1839*$AA$1839</f>
        <v>444759.25490826258</v>
      </c>
    </row>
    <row r="1840" spans="1:33" ht="11.25" customHeight="1" x14ac:dyDescent="0.25">
      <c r="A1840" s="3" t="s">
        <v>28</v>
      </c>
      <c r="B1840" s="3" t="s">
        <v>39</v>
      </c>
      <c r="C1840" s="3" t="s">
        <v>23</v>
      </c>
      <c r="D1840" s="3" t="s">
        <v>43</v>
      </c>
      <c r="E1840" s="3" t="s">
        <v>25</v>
      </c>
      <c r="F1840" s="3" t="s">
        <v>25</v>
      </c>
      <c r="G1840" s="3" t="s">
        <v>25</v>
      </c>
      <c r="H1840" s="3" t="s">
        <v>25</v>
      </c>
      <c r="I1840" s="6">
        <v>44501</v>
      </c>
      <c r="J1840" s="4">
        <v>0</v>
      </c>
      <c r="K1840" s="4">
        <v>0</v>
      </c>
      <c r="L1840" s="4">
        <v>-5.94</v>
      </c>
      <c r="M1840" s="4">
        <v>-5.94</v>
      </c>
      <c r="N1840" s="4">
        <v>-5.94</v>
      </c>
      <c r="O1840" s="4">
        <v>-5.94</v>
      </c>
      <c r="P1840" s="4">
        <v>-3</v>
      </c>
      <c r="Q1840" s="3" t="s">
        <v>26</v>
      </c>
      <c r="R1840" s="3">
        <v>0</v>
      </c>
      <c r="S1840" s="4">
        <v>0</v>
      </c>
      <c r="T1840" s="4">
        <v>45</v>
      </c>
      <c r="U1840" s="4">
        <v>85</v>
      </c>
      <c r="V1840" s="4">
        <f>IF(ISERROR(VLOOKUP($S$1840,'TAR FIN'!$A$1:$O$99,15,0)),0,VLOOKUP($S$1840,'TAR FIN'!$A$1:$O$99,15,0))</f>
        <v>0</v>
      </c>
      <c r="W1840" s="4">
        <f>IF(ISERROR(VLOOKUP($T$1840,'TAR FIN'!$A$1:$O$99,15,0)),0,VLOOKUP($T$1840,'TAR FIN'!$A$1:$O$99,15,0))</f>
        <v>395.58</v>
      </c>
      <c r="X1840" s="4">
        <f>IF(ISERROR(VLOOKUP($U$1840,'TAR FIN'!$A$1:$O$99,15,0)),0,VLOOKUP($U$1840,'TAR FIN'!$A$1:$O$99,15,0))</f>
        <v>230.53</v>
      </c>
      <c r="Y1840" s="4"/>
      <c r="Z1840" s="4">
        <f ca="1">('TUSD BE'!$AM$59+'TUSD BF'!$AM$59+'TUSD CVA'!$AM$59)*1</f>
        <v>466.61942630573992</v>
      </c>
      <c r="AA1840" s="4">
        <f>('TE BE'!$AA$41+'TE BF'!$AA$41+'TE CVA'!$AA$41)*1</f>
        <v>283.86889449376815</v>
      </c>
      <c r="AB1840" s="4">
        <f>$K$1840*$V$1840</f>
        <v>0</v>
      </c>
      <c r="AC1840" s="4">
        <f>$M$1840*$W$1840</f>
        <v>-2349.7451999999998</v>
      </c>
      <c r="AD1840" s="4">
        <f>$O$1840*$X$1840</f>
        <v>-1369.3482000000001</v>
      </c>
      <c r="AE1840" s="4">
        <f>$K$1840*$Y$1840</f>
        <v>0</v>
      </c>
      <c r="AF1840" s="4">
        <f ca="1">$M$1840*$Z$1840</f>
        <v>-2771.7193922560955</v>
      </c>
      <c r="AG1840" s="4">
        <f>$O$1840*$AA$1840</f>
        <v>-1686.1812332929828</v>
      </c>
    </row>
    <row r="1841" spans="1:33" ht="11.25" customHeight="1" x14ac:dyDescent="0.25">
      <c r="A1841" s="3" t="s">
        <v>21</v>
      </c>
      <c r="B1841" s="3" t="s">
        <v>39</v>
      </c>
      <c r="C1841" s="3" t="s">
        <v>23</v>
      </c>
      <c r="D1841" s="3" t="s">
        <v>43</v>
      </c>
      <c r="E1841" s="3" t="s">
        <v>25</v>
      </c>
      <c r="F1841" s="3" t="s">
        <v>25</v>
      </c>
      <c r="G1841" s="3" t="s">
        <v>25</v>
      </c>
      <c r="H1841" s="3" t="s">
        <v>25</v>
      </c>
      <c r="I1841" s="6">
        <v>44531</v>
      </c>
      <c r="J1841" s="4">
        <v>0</v>
      </c>
      <c r="K1841" s="4">
        <v>0</v>
      </c>
      <c r="L1841" s="4">
        <v>32229.486000000001</v>
      </c>
      <c r="M1841" s="4">
        <v>32229.486000000001</v>
      </c>
      <c r="N1841" s="4">
        <v>32229.486000000001</v>
      </c>
      <c r="O1841" s="4">
        <v>32229.486000000001</v>
      </c>
      <c r="P1841" s="4">
        <v>62196</v>
      </c>
      <c r="Q1841" s="3" t="s">
        <v>26</v>
      </c>
      <c r="R1841" s="3">
        <v>0</v>
      </c>
      <c r="S1841" s="4">
        <v>0</v>
      </c>
      <c r="T1841" s="4">
        <v>45</v>
      </c>
      <c r="U1841" s="4">
        <v>85</v>
      </c>
      <c r="V1841" s="4">
        <f>IF(ISERROR(VLOOKUP($S$1841,'TAR FIN'!$A$1:$O$99,15,0)),0,VLOOKUP($S$1841,'TAR FIN'!$A$1:$O$99,15,0))</f>
        <v>0</v>
      </c>
      <c r="W1841" s="4">
        <f>IF(ISERROR(VLOOKUP($T$1841,'TAR FIN'!$A$1:$O$99,15,0)),0,VLOOKUP($T$1841,'TAR FIN'!$A$1:$O$99,15,0))</f>
        <v>395.58</v>
      </c>
      <c r="X1841" s="4">
        <f>IF(ISERROR(VLOOKUP($U$1841,'TAR FIN'!$A$1:$O$99,15,0)),0,VLOOKUP($U$1841,'TAR FIN'!$A$1:$O$99,15,0))</f>
        <v>230.53</v>
      </c>
      <c r="Y1841" s="4"/>
      <c r="Z1841" s="4">
        <f ca="1">('TUSD BE'!$AM$59+'TUSD BF'!$AM$59+'TUSD CVA'!$AM$59)*1</f>
        <v>466.61942630573992</v>
      </c>
      <c r="AA1841" s="4">
        <f>('TE BE'!$AA$41+'TE BF'!$AA$41+'TE CVA'!$AA$41)*1</f>
        <v>283.86889449376815</v>
      </c>
      <c r="AB1841" s="4">
        <f>$K$1841*$V$1841</f>
        <v>0</v>
      </c>
      <c r="AC1841" s="4">
        <f>$M$1841*$W$1841</f>
        <v>12749340.07188</v>
      </c>
      <c r="AD1841" s="4">
        <f>$O$1841*$X$1841</f>
        <v>7429863.4075800003</v>
      </c>
      <c r="AE1841" s="4">
        <f>$K$1841*$Y$1841</f>
        <v>0</v>
      </c>
      <c r="AF1841" s="4">
        <f ca="1">$M$1841*$Z$1841</f>
        <v>15038904.267448876</v>
      </c>
      <c r="AG1841" s="4">
        <f>$O$1841*$AA$1841</f>
        <v>9148948.5609223787</v>
      </c>
    </row>
    <row r="1842" spans="1:33" ht="11.25" customHeight="1" x14ac:dyDescent="0.25">
      <c r="A1842" s="3" t="s">
        <v>27</v>
      </c>
      <c r="B1842" s="3" t="s">
        <v>39</v>
      </c>
      <c r="C1842" s="3" t="s">
        <v>23</v>
      </c>
      <c r="D1842" s="3" t="s">
        <v>43</v>
      </c>
      <c r="E1842" s="3" t="s">
        <v>25</v>
      </c>
      <c r="F1842" s="3" t="s">
        <v>25</v>
      </c>
      <c r="G1842" s="3" t="s">
        <v>25</v>
      </c>
      <c r="H1842" s="3" t="s">
        <v>25</v>
      </c>
      <c r="I1842" s="6">
        <v>44531</v>
      </c>
      <c r="J1842" s="4">
        <v>0</v>
      </c>
      <c r="K1842" s="4">
        <v>0</v>
      </c>
      <c r="L1842" s="4">
        <v>-116.292</v>
      </c>
      <c r="M1842" s="4">
        <v>-116.292</v>
      </c>
      <c r="N1842" s="4">
        <v>-116.292</v>
      </c>
      <c r="O1842" s="4">
        <v>-116.292</v>
      </c>
      <c r="P1842" s="4">
        <v>-370</v>
      </c>
      <c r="Q1842" s="3" t="s">
        <v>26</v>
      </c>
      <c r="R1842" s="3">
        <v>0</v>
      </c>
      <c r="S1842" s="4">
        <v>0</v>
      </c>
      <c r="T1842" s="4">
        <v>45</v>
      </c>
      <c r="U1842" s="4">
        <v>85</v>
      </c>
      <c r="V1842" s="4">
        <f>IF(ISERROR(VLOOKUP($S$1842,'TAR FIN'!$A$1:$O$99,15,0)),0,VLOOKUP($S$1842,'TAR FIN'!$A$1:$O$99,15,0))</f>
        <v>0</v>
      </c>
      <c r="W1842" s="4">
        <f>IF(ISERROR(VLOOKUP($T$1842,'TAR FIN'!$A$1:$O$99,15,0)),0,VLOOKUP($T$1842,'TAR FIN'!$A$1:$O$99,15,0))</f>
        <v>395.58</v>
      </c>
      <c r="X1842" s="4">
        <f>IF(ISERROR(VLOOKUP($U$1842,'TAR FIN'!$A$1:$O$99,15,0)),0,VLOOKUP($U$1842,'TAR FIN'!$A$1:$O$99,15,0))</f>
        <v>230.53</v>
      </c>
      <c r="Y1842" s="4"/>
      <c r="Z1842" s="4">
        <f ca="1">('TUSD BE'!$AM$59+'TUSD BF'!$AM$59+'TUSD CVA'!$AM$59)*1</f>
        <v>466.61942630573992</v>
      </c>
      <c r="AA1842" s="4">
        <f>('TE BE'!$AA$41+'TE BF'!$AA$41+'TE CVA'!$AA$41)*1</f>
        <v>283.86889449376815</v>
      </c>
      <c r="AB1842" s="4">
        <f>$K$1842*$V$1842</f>
        <v>0</v>
      </c>
      <c r="AC1842" s="4">
        <f>$M$1842*$W$1842</f>
        <v>-46002.789359999995</v>
      </c>
      <c r="AD1842" s="4">
        <f>$O$1842*$X$1842</f>
        <v>-26808.794760000001</v>
      </c>
      <c r="AE1842" s="4">
        <f>$K$1842*$Y$1842</f>
        <v>0</v>
      </c>
      <c r="AF1842" s="4">
        <f ca="1">$M$1842*$Z$1842</f>
        <v>-54264.106323947104</v>
      </c>
      <c r="AG1842" s="4">
        <f>$O$1842*$AA$1842</f>
        <v>-33011.681478469283</v>
      </c>
    </row>
    <row r="1843" spans="1:33" ht="11.25" customHeight="1" x14ac:dyDescent="0.25">
      <c r="A1843" s="3" t="s">
        <v>28</v>
      </c>
      <c r="B1843" s="3" t="s">
        <v>39</v>
      </c>
      <c r="C1843" s="3" t="s">
        <v>23</v>
      </c>
      <c r="D1843" s="3" t="s">
        <v>43</v>
      </c>
      <c r="E1843" s="3" t="s">
        <v>25</v>
      </c>
      <c r="F1843" s="3" t="s">
        <v>25</v>
      </c>
      <c r="G1843" s="3" t="s">
        <v>25</v>
      </c>
      <c r="H1843" s="3" t="s">
        <v>25</v>
      </c>
      <c r="I1843" s="6">
        <v>44531</v>
      </c>
      <c r="J1843" s="4">
        <v>0</v>
      </c>
      <c r="K1843" s="4">
        <v>0</v>
      </c>
      <c r="L1843" s="4">
        <v>1973.788</v>
      </c>
      <c r="M1843" s="4">
        <v>1973.788</v>
      </c>
      <c r="N1843" s="4">
        <v>1973.788</v>
      </c>
      <c r="O1843" s="4">
        <v>1973.788</v>
      </c>
      <c r="P1843" s="4">
        <v>2712</v>
      </c>
      <c r="Q1843" s="3" t="s">
        <v>26</v>
      </c>
      <c r="R1843" s="3">
        <v>0</v>
      </c>
      <c r="S1843" s="4">
        <v>0</v>
      </c>
      <c r="T1843" s="4">
        <v>45</v>
      </c>
      <c r="U1843" s="4">
        <v>85</v>
      </c>
      <c r="V1843" s="4">
        <f>IF(ISERROR(VLOOKUP($S$1843,'TAR FIN'!$A$1:$O$99,15,0)),0,VLOOKUP($S$1843,'TAR FIN'!$A$1:$O$99,15,0))</f>
        <v>0</v>
      </c>
      <c r="W1843" s="4">
        <f>IF(ISERROR(VLOOKUP($T$1843,'TAR FIN'!$A$1:$O$99,15,0)),0,VLOOKUP($T$1843,'TAR FIN'!$A$1:$O$99,15,0))</f>
        <v>395.58</v>
      </c>
      <c r="X1843" s="4">
        <f>IF(ISERROR(VLOOKUP($U$1843,'TAR FIN'!$A$1:$O$99,15,0)),0,VLOOKUP($U$1843,'TAR FIN'!$A$1:$O$99,15,0))</f>
        <v>230.53</v>
      </c>
      <c r="Y1843" s="4"/>
      <c r="Z1843" s="4">
        <f ca="1">('TUSD BE'!$AM$59+'TUSD BF'!$AM$59+'TUSD CVA'!$AM$59)*1</f>
        <v>466.61942630573992</v>
      </c>
      <c r="AA1843" s="4">
        <f>('TE BE'!$AA$41+'TE BF'!$AA$41+'TE CVA'!$AA$41)*1</f>
        <v>283.86889449376815</v>
      </c>
      <c r="AB1843" s="4">
        <f>$K$1843*$V$1843</f>
        <v>0</v>
      </c>
      <c r="AC1843" s="4">
        <f>$M$1843*$W$1843</f>
        <v>780791.05703999999</v>
      </c>
      <c r="AD1843" s="4">
        <f>$O$1843*$X$1843</f>
        <v>455017.34763999999</v>
      </c>
      <c r="AE1843" s="4">
        <f>$K$1843*$Y$1843</f>
        <v>0</v>
      </c>
      <c r="AF1843" s="4">
        <f ca="1">$M$1843*$Z$1843</f>
        <v>921007.82420915377</v>
      </c>
      <c r="AG1843" s="4">
        <f>$O$1843*$AA$1843</f>
        <v>560297.01752506569</v>
      </c>
    </row>
    <row r="1844" spans="1:33" ht="11.25" customHeight="1" x14ac:dyDescent="0.25">
      <c r="A1844" s="3" t="s">
        <v>28</v>
      </c>
      <c r="B1844" s="3" t="s">
        <v>39</v>
      </c>
      <c r="C1844" s="3" t="s">
        <v>23</v>
      </c>
      <c r="D1844" s="3" t="s">
        <v>43</v>
      </c>
      <c r="E1844" s="3" t="s">
        <v>25</v>
      </c>
      <c r="F1844" s="3" t="s">
        <v>25</v>
      </c>
      <c r="G1844" s="3" t="s">
        <v>25</v>
      </c>
      <c r="H1844" s="3" t="s">
        <v>25</v>
      </c>
      <c r="I1844" s="6">
        <v>44531</v>
      </c>
      <c r="J1844" s="4">
        <v>0</v>
      </c>
      <c r="K1844" s="4">
        <v>0</v>
      </c>
      <c r="L1844" s="4">
        <v>-24.870999999999999</v>
      </c>
      <c r="M1844" s="4">
        <v>-24.870999999999999</v>
      </c>
      <c r="N1844" s="4">
        <v>-24.870999999999999</v>
      </c>
      <c r="O1844" s="4">
        <v>-24.870999999999999</v>
      </c>
      <c r="P1844" s="4">
        <v>0</v>
      </c>
      <c r="Q1844" s="3" t="s">
        <v>26</v>
      </c>
      <c r="R1844" s="3">
        <v>0</v>
      </c>
      <c r="S1844" s="4">
        <v>0</v>
      </c>
      <c r="T1844" s="4">
        <v>45</v>
      </c>
      <c r="U1844" s="4">
        <v>85</v>
      </c>
      <c r="V1844" s="4">
        <f>IF(ISERROR(VLOOKUP($S$1844,'TAR FIN'!$A$1:$O$99,15,0)),0,VLOOKUP($S$1844,'TAR FIN'!$A$1:$O$99,15,0))</f>
        <v>0</v>
      </c>
      <c r="W1844" s="4">
        <f>IF(ISERROR(VLOOKUP($T$1844,'TAR FIN'!$A$1:$O$99,15,0)),0,VLOOKUP($T$1844,'TAR FIN'!$A$1:$O$99,15,0))</f>
        <v>395.58</v>
      </c>
      <c r="X1844" s="4">
        <f>IF(ISERROR(VLOOKUP($U$1844,'TAR FIN'!$A$1:$O$99,15,0)),0,VLOOKUP($U$1844,'TAR FIN'!$A$1:$O$99,15,0))</f>
        <v>230.53</v>
      </c>
      <c r="Y1844" s="4"/>
      <c r="Z1844" s="4">
        <f ca="1">('TUSD BE'!$AM$59+'TUSD BF'!$AM$59+'TUSD CVA'!$AM$59)*1</f>
        <v>466.61942630573992</v>
      </c>
      <c r="AA1844" s="4">
        <f>('TE BE'!$AA$41+'TE BF'!$AA$41+'TE CVA'!$AA$41)*1</f>
        <v>283.86889449376815</v>
      </c>
      <c r="AB1844" s="4">
        <f>$K$1844*$V$1844</f>
        <v>0</v>
      </c>
      <c r="AC1844" s="4">
        <f>$M$1844*$W$1844</f>
        <v>-9838.4701799999984</v>
      </c>
      <c r="AD1844" s="4">
        <f>$O$1844*$X$1844</f>
        <v>-5733.51163</v>
      </c>
      <c r="AE1844" s="4">
        <f>$K$1844*$Y$1844</f>
        <v>0</v>
      </c>
      <c r="AF1844" s="4">
        <f ca="1">$M$1844*$Z$1844</f>
        <v>-11605.291751650057</v>
      </c>
      <c r="AG1844" s="4">
        <f>$O$1844*$AA$1844</f>
        <v>-7060.1032749545075</v>
      </c>
    </row>
    <row r="1845" spans="1:33" ht="11.25" customHeight="1" x14ac:dyDescent="0.25">
      <c r="A1845" s="3" t="s">
        <v>21</v>
      </c>
      <c r="B1845" s="3" t="s">
        <v>39</v>
      </c>
      <c r="C1845" s="3" t="s">
        <v>23</v>
      </c>
      <c r="D1845" s="3" t="s">
        <v>43</v>
      </c>
      <c r="E1845" s="3" t="s">
        <v>25</v>
      </c>
      <c r="F1845" s="3" t="s">
        <v>25</v>
      </c>
      <c r="G1845" s="3" t="s">
        <v>25</v>
      </c>
      <c r="H1845" s="3" t="s">
        <v>25</v>
      </c>
      <c r="I1845" s="6">
        <v>44562</v>
      </c>
      <c r="J1845" s="4">
        <v>0</v>
      </c>
      <c r="K1845" s="4">
        <v>0</v>
      </c>
      <c r="L1845" s="4">
        <v>29042.809000000001</v>
      </c>
      <c r="M1845" s="4">
        <v>29042.809000000001</v>
      </c>
      <c r="N1845" s="4">
        <v>29042.809000000001</v>
      </c>
      <c r="O1845" s="4">
        <v>29042.809000000001</v>
      </c>
      <c r="P1845" s="4">
        <v>61530</v>
      </c>
      <c r="Q1845" s="3" t="s">
        <v>26</v>
      </c>
      <c r="R1845" s="3">
        <v>0</v>
      </c>
      <c r="S1845" s="4">
        <v>0</v>
      </c>
      <c r="T1845" s="4">
        <v>45</v>
      </c>
      <c r="U1845" s="4">
        <v>85</v>
      </c>
      <c r="V1845" s="4">
        <f>IF(ISERROR(VLOOKUP($S$1845,'TAR FIN'!$A$1:$O$99,15,0)),0,VLOOKUP($S$1845,'TAR FIN'!$A$1:$O$99,15,0))</f>
        <v>0</v>
      </c>
      <c r="W1845" s="4">
        <f>IF(ISERROR(VLOOKUP($T$1845,'TAR FIN'!$A$1:$O$99,15,0)),0,VLOOKUP($T$1845,'TAR FIN'!$A$1:$O$99,15,0))</f>
        <v>395.58</v>
      </c>
      <c r="X1845" s="4">
        <f>IF(ISERROR(VLOOKUP($U$1845,'TAR FIN'!$A$1:$O$99,15,0)),0,VLOOKUP($U$1845,'TAR FIN'!$A$1:$O$99,15,0))</f>
        <v>230.53</v>
      </c>
      <c r="Y1845" s="4"/>
      <c r="Z1845" s="4">
        <f ca="1">('TUSD BE'!$AM$59+'TUSD BF'!$AM$59+'TUSD CVA'!$AM$59)*1</f>
        <v>466.61942630573992</v>
      </c>
      <c r="AA1845" s="4">
        <f>('TE BE'!$AA$41+'TE BF'!$AA$41+'TE CVA'!$AA$41)*1</f>
        <v>283.86889449376815</v>
      </c>
      <c r="AB1845" s="4">
        <f>$K$1845*$V$1845</f>
        <v>0</v>
      </c>
      <c r="AC1845" s="4">
        <f>$M$1845*$W$1845</f>
        <v>11488754.38422</v>
      </c>
      <c r="AD1845" s="4">
        <f>$O$1845*$X$1845</f>
        <v>6695238.7587700002</v>
      </c>
      <c r="AE1845" s="4">
        <f>$K$1845*$Y$1845</f>
        <v>0</v>
      </c>
      <c r="AF1845" s="4">
        <f ca="1">$M$1845*$Z$1845</f>
        <v>13551938.873887181</v>
      </c>
      <c r="AG1845" s="4">
        <f>$O$1845*$AA$1845</f>
        <v>8244350.0838236604</v>
      </c>
    </row>
    <row r="1846" spans="1:33" ht="11.25" customHeight="1" x14ac:dyDescent="0.25">
      <c r="A1846" s="3" t="s">
        <v>27</v>
      </c>
      <c r="B1846" s="3" t="s">
        <v>39</v>
      </c>
      <c r="C1846" s="3" t="s">
        <v>23</v>
      </c>
      <c r="D1846" s="3" t="s">
        <v>43</v>
      </c>
      <c r="E1846" s="3" t="s">
        <v>25</v>
      </c>
      <c r="F1846" s="3" t="s">
        <v>25</v>
      </c>
      <c r="G1846" s="3" t="s">
        <v>25</v>
      </c>
      <c r="H1846" s="3" t="s">
        <v>25</v>
      </c>
      <c r="I1846" s="6">
        <v>44562</v>
      </c>
      <c r="J1846" s="4">
        <v>0</v>
      </c>
      <c r="K1846" s="4">
        <v>0</v>
      </c>
      <c r="L1846" s="4">
        <v>-78.17</v>
      </c>
      <c r="M1846" s="4">
        <v>-78.17</v>
      </c>
      <c r="N1846" s="4">
        <v>-78.17</v>
      </c>
      <c r="O1846" s="4">
        <v>-78.17</v>
      </c>
      <c r="P1846" s="4">
        <v>-682</v>
      </c>
      <c r="Q1846" s="3" t="s">
        <v>26</v>
      </c>
      <c r="R1846" s="3">
        <v>0</v>
      </c>
      <c r="S1846" s="4">
        <v>0</v>
      </c>
      <c r="T1846" s="4">
        <v>45</v>
      </c>
      <c r="U1846" s="4">
        <v>85</v>
      </c>
      <c r="V1846" s="4">
        <f>IF(ISERROR(VLOOKUP($S$1846,'TAR FIN'!$A$1:$O$99,15,0)),0,VLOOKUP($S$1846,'TAR FIN'!$A$1:$O$99,15,0))</f>
        <v>0</v>
      </c>
      <c r="W1846" s="4">
        <f>IF(ISERROR(VLOOKUP($T$1846,'TAR FIN'!$A$1:$O$99,15,0)),0,VLOOKUP($T$1846,'TAR FIN'!$A$1:$O$99,15,0))</f>
        <v>395.58</v>
      </c>
      <c r="X1846" s="4">
        <f>IF(ISERROR(VLOOKUP($U$1846,'TAR FIN'!$A$1:$O$99,15,0)),0,VLOOKUP($U$1846,'TAR FIN'!$A$1:$O$99,15,0))</f>
        <v>230.53</v>
      </c>
      <c r="Y1846" s="4"/>
      <c r="Z1846" s="4">
        <f ca="1">('TUSD BE'!$AM$59+'TUSD BF'!$AM$59+'TUSD CVA'!$AM$59)*1</f>
        <v>466.61942630573992</v>
      </c>
      <c r="AA1846" s="4">
        <f>('TE BE'!$AA$41+'TE BF'!$AA$41+'TE CVA'!$AA$41)*1</f>
        <v>283.86889449376815</v>
      </c>
      <c r="AB1846" s="4">
        <f>$K$1846*$V$1846</f>
        <v>0</v>
      </c>
      <c r="AC1846" s="4">
        <f>$M$1846*$W$1846</f>
        <v>-30922.488600000001</v>
      </c>
      <c r="AD1846" s="4">
        <f>$O$1846*$X$1846</f>
        <v>-18020.5301</v>
      </c>
      <c r="AE1846" s="4">
        <f>$K$1846*$Y$1846</f>
        <v>0</v>
      </c>
      <c r="AF1846" s="4">
        <f ca="1">$M$1846*$Z$1846</f>
        <v>-36475.640554319689</v>
      </c>
      <c r="AG1846" s="4">
        <f>$O$1846*$AA$1846</f>
        <v>-22190.031482577859</v>
      </c>
    </row>
    <row r="1847" spans="1:33" ht="11.25" customHeight="1" x14ac:dyDescent="0.25">
      <c r="A1847" s="3" t="s">
        <v>28</v>
      </c>
      <c r="B1847" s="3" t="s">
        <v>39</v>
      </c>
      <c r="C1847" s="3" t="s">
        <v>23</v>
      </c>
      <c r="D1847" s="3" t="s">
        <v>43</v>
      </c>
      <c r="E1847" s="3" t="s">
        <v>25</v>
      </c>
      <c r="F1847" s="3" t="s">
        <v>25</v>
      </c>
      <c r="G1847" s="3" t="s">
        <v>25</v>
      </c>
      <c r="H1847" s="3" t="s">
        <v>25</v>
      </c>
      <c r="I1847" s="6">
        <v>44562</v>
      </c>
      <c r="J1847" s="4">
        <v>0</v>
      </c>
      <c r="K1847" s="4">
        <v>0</v>
      </c>
      <c r="L1847" s="4">
        <v>1887.521</v>
      </c>
      <c r="M1847" s="4">
        <v>1887.521</v>
      </c>
      <c r="N1847" s="4">
        <v>1887.521</v>
      </c>
      <c r="O1847" s="4">
        <v>1887.521</v>
      </c>
      <c r="P1847" s="4">
        <v>2919</v>
      </c>
      <c r="Q1847" s="3" t="s">
        <v>26</v>
      </c>
      <c r="R1847" s="3">
        <v>0</v>
      </c>
      <c r="S1847" s="4">
        <v>0</v>
      </c>
      <c r="T1847" s="4">
        <v>45</v>
      </c>
      <c r="U1847" s="4">
        <v>85</v>
      </c>
      <c r="V1847" s="4">
        <f>IF(ISERROR(VLOOKUP($S$1847,'TAR FIN'!$A$1:$O$99,15,0)),0,VLOOKUP($S$1847,'TAR FIN'!$A$1:$O$99,15,0))</f>
        <v>0</v>
      </c>
      <c r="W1847" s="4">
        <f>IF(ISERROR(VLOOKUP($T$1847,'TAR FIN'!$A$1:$O$99,15,0)),0,VLOOKUP($T$1847,'TAR FIN'!$A$1:$O$99,15,0))</f>
        <v>395.58</v>
      </c>
      <c r="X1847" s="4">
        <f>IF(ISERROR(VLOOKUP($U$1847,'TAR FIN'!$A$1:$O$99,15,0)),0,VLOOKUP($U$1847,'TAR FIN'!$A$1:$O$99,15,0))</f>
        <v>230.53</v>
      </c>
      <c r="Y1847" s="4"/>
      <c r="Z1847" s="4">
        <f ca="1">('TUSD BE'!$AM$59+'TUSD BF'!$AM$59+'TUSD CVA'!$AM$59)*1</f>
        <v>466.61942630573992</v>
      </c>
      <c r="AA1847" s="4">
        <f>('TE BE'!$AA$41+'TE BF'!$AA$41+'TE CVA'!$AA$41)*1</f>
        <v>283.86889449376815</v>
      </c>
      <c r="AB1847" s="4">
        <f>$K$1847*$V$1847</f>
        <v>0</v>
      </c>
      <c r="AC1847" s="4">
        <f>$M$1847*$W$1847</f>
        <v>746665.55718</v>
      </c>
      <c r="AD1847" s="4">
        <f>$O$1847*$X$1847</f>
        <v>435130.21613000002</v>
      </c>
      <c r="AE1847" s="4">
        <f>$K$1847*$Y$1847</f>
        <v>0</v>
      </c>
      <c r="AF1847" s="4">
        <f ca="1">$M$1847*$Z$1847</f>
        <v>880753.96616003651</v>
      </c>
      <c r="AG1847" s="4">
        <f>$O$1847*$AA$1847</f>
        <v>535808.49960377172</v>
      </c>
    </row>
    <row r="1848" spans="1:33" ht="11.25" customHeight="1" x14ac:dyDescent="0.25">
      <c r="A1848" s="3" t="s">
        <v>28</v>
      </c>
      <c r="B1848" s="3" t="s">
        <v>39</v>
      </c>
      <c r="C1848" s="3" t="s">
        <v>23</v>
      </c>
      <c r="D1848" s="3" t="s">
        <v>43</v>
      </c>
      <c r="E1848" s="3" t="s">
        <v>25</v>
      </c>
      <c r="F1848" s="3" t="s">
        <v>25</v>
      </c>
      <c r="G1848" s="3" t="s">
        <v>25</v>
      </c>
      <c r="H1848" s="3" t="s">
        <v>25</v>
      </c>
      <c r="I1848" s="6">
        <v>44562</v>
      </c>
      <c r="J1848" s="4">
        <v>0</v>
      </c>
      <c r="K1848" s="4">
        <v>0</v>
      </c>
      <c r="L1848" s="4">
        <v>-8.5299999999999994</v>
      </c>
      <c r="M1848" s="4">
        <v>-8.5299999999999994</v>
      </c>
      <c r="N1848" s="4">
        <v>-8.5299999999999994</v>
      </c>
      <c r="O1848" s="4">
        <v>-8.5299999999999994</v>
      </c>
      <c r="P1848" s="4">
        <v>1</v>
      </c>
      <c r="Q1848" s="3" t="s">
        <v>26</v>
      </c>
      <c r="R1848" s="3">
        <v>0</v>
      </c>
      <c r="S1848" s="4">
        <v>0</v>
      </c>
      <c r="T1848" s="4">
        <v>45</v>
      </c>
      <c r="U1848" s="4">
        <v>85</v>
      </c>
      <c r="V1848" s="4">
        <f>IF(ISERROR(VLOOKUP($S$1848,'TAR FIN'!$A$1:$O$99,15,0)),0,VLOOKUP($S$1848,'TAR FIN'!$A$1:$O$99,15,0))</f>
        <v>0</v>
      </c>
      <c r="W1848" s="4">
        <f>IF(ISERROR(VLOOKUP($T$1848,'TAR FIN'!$A$1:$O$99,15,0)),0,VLOOKUP($T$1848,'TAR FIN'!$A$1:$O$99,15,0))</f>
        <v>395.58</v>
      </c>
      <c r="X1848" s="4">
        <f>IF(ISERROR(VLOOKUP($U$1848,'TAR FIN'!$A$1:$O$99,15,0)),0,VLOOKUP($U$1848,'TAR FIN'!$A$1:$O$99,15,0))</f>
        <v>230.53</v>
      </c>
      <c r="Y1848" s="4"/>
      <c r="Z1848" s="4">
        <f ca="1">('TUSD BE'!$AM$59+'TUSD BF'!$AM$59+'TUSD CVA'!$AM$59)*1</f>
        <v>466.61942630573992</v>
      </c>
      <c r="AA1848" s="4">
        <f>('TE BE'!$AA$41+'TE BF'!$AA$41+'TE CVA'!$AA$41)*1</f>
        <v>283.86889449376815</v>
      </c>
      <c r="AB1848" s="4">
        <f>$K$1848*$V$1848</f>
        <v>0</v>
      </c>
      <c r="AC1848" s="4">
        <f>$M$1848*$W$1848</f>
        <v>-3374.2973999999995</v>
      </c>
      <c r="AD1848" s="4">
        <f>$O$1848*$X$1848</f>
        <v>-1966.4208999999998</v>
      </c>
      <c r="AE1848" s="4">
        <f>$K$1848*$Y$1848</f>
        <v>0</v>
      </c>
      <c r="AF1848" s="4">
        <f ca="1">$M$1848*$Z$1848</f>
        <v>-3980.2637063879611</v>
      </c>
      <c r="AG1848" s="4">
        <f>$O$1848*$AA$1848</f>
        <v>-2421.4016700318421</v>
      </c>
    </row>
    <row r="1849" spans="1:33" ht="11.25" customHeight="1" x14ac:dyDescent="0.25">
      <c r="A1849" s="3" t="s">
        <v>21</v>
      </c>
      <c r="B1849" s="3" t="s">
        <v>39</v>
      </c>
      <c r="C1849" s="3" t="s">
        <v>23</v>
      </c>
      <c r="D1849" s="3" t="s">
        <v>43</v>
      </c>
      <c r="E1849" s="3" t="s">
        <v>25</v>
      </c>
      <c r="F1849" s="3" t="s">
        <v>25</v>
      </c>
      <c r="G1849" s="3" t="s">
        <v>25</v>
      </c>
      <c r="H1849" s="3" t="s">
        <v>25</v>
      </c>
      <c r="I1849" s="6">
        <v>44593</v>
      </c>
      <c r="J1849" s="4">
        <v>0</v>
      </c>
      <c r="K1849" s="4">
        <v>0</v>
      </c>
      <c r="L1849" s="4">
        <v>29179.13</v>
      </c>
      <c r="M1849" s="4">
        <v>29179.13</v>
      </c>
      <c r="N1849" s="4">
        <v>29179.13</v>
      </c>
      <c r="O1849" s="4">
        <v>29179.13</v>
      </c>
      <c r="P1849" s="4">
        <v>61244</v>
      </c>
      <c r="Q1849" s="3" t="s">
        <v>26</v>
      </c>
      <c r="R1849" s="3">
        <v>0</v>
      </c>
      <c r="S1849" s="4">
        <v>0</v>
      </c>
      <c r="T1849" s="4">
        <v>45</v>
      </c>
      <c r="U1849" s="4">
        <v>85</v>
      </c>
      <c r="V1849" s="4">
        <f>IF(ISERROR(VLOOKUP($S$1849,'TAR FIN'!$A$1:$O$99,15,0)),0,VLOOKUP($S$1849,'TAR FIN'!$A$1:$O$99,15,0))</f>
        <v>0</v>
      </c>
      <c r="W1849" s="4">
        <f>IF(ISERROR(VLOOKUP($T$1849,'TAR FIN'!$A$1:$O$99,15,0)),0,VLOOKUP($T$1849,'TAR FIN'!$A$1:$O$99,15,0))</f>
        <v>395.58</v>
      </c>
      <c r="X1849" s="4">
        <f>IF(ISERROR(VLOOKUP($U$1849,'TAR FIN'!$A$1:$O$99,15,0)),0,VLOOKUP($U$1849,'TAR FIN'!$A$1:$O$99,15,0))</f>
        <v>230.53</v>
      </c>
      <c r="Y1849" s="4"/>
      <c r="Z1849" s="4">
        <f ca="1">('TUSD BE'!$AM$59+'TUSD BF'!$AM$59+'TUSD CVA'!$AM$59)*1</f>
        <v>466.61942630573992</v>
      </c>
      <c r="AA1849" s="4">
        <f>('TE BE'!$AA$41+'TE BF'!$AA$41+'TE CVA'!$AA$41)*1</f>
        <v>283.86889449376815</v>
      </c>
      <c r="AB1849" s="4">
        <f>$K$1849*$V$1849</f>
        <v>0</v>
      </c>
      <c r="AC1849" s="4">
        <f>$M$1849*$W$1849</f>
        <v>11542680.2454</v>
      </c>
      <c r="AD1849" s="4">
        <f>$O$1849*$X$1849</f>
        <v>6726664.8388999999</v>
      </c>
      <c r="AE1849" s="4">
        <f>$K$1849*$Y$1849</f>
        <v>0</v>
      </c>
      <c r="AF1849" s="4">
        <f ca="1">$M$1849*$Z$1849</f>
        <v>13615548.900700605</v>
      </c>
      <c r="AG1849" s="4">
        <f>$O$1849*$AA$1849</f>
        <v>8283047.3753899457</v>
      </c>
    </row>
    <row r="1850" spans="1:33" ht="11.25" customHeight="1" x14ac:dyDescent="0.25">
      <c r="A1850" s="3" t="s">
        <v>27</v>
      </c>
      <c r="B1850" s="3" t="s">
        <v>39</v>
      </c>
      <c r="C1850" s="3" t="s">
        <v>23</v>
      </c>
      <c r="D1850" s="3" t="s">
        <v>43</v>
      </c>
      <c r="E1850" s="3" t="s">
        <v>25</v>
      </c>
      <c r="F1850" s="3" t="s">
        <v>25</v>
      </c>
      <c r="G1850" s="3" t="s">
        <v>25</v>
      </c>
      <c r="H1850" s="3" t="s">
        <v>25</v>
      </c>
      <c r="I1850" s="6">
        <v>44593</v>
      </c>
      <c r="J1850" s="4">
        <v>0</v>
      </c>
      <c r="K1850" s="4">
        <v>0</v>
      </c>
      <c r="L1850" s="4">
        <v>-119.01900000000001</v>
      </c>
      <c r="M1850" s="4">
        <v>-119.01900000000001</v>
      </c>
      <c r="N1850" s="4">
        <v>-119.01900000000001</v>
      </c>
      <c r="O1850" s="4">
        <v>-119.01900000000001</v>
      </c>
      <c r="P1850" s="4">
        <v>-553</v>
      </c>
      <c r="Q1850" s="3" t="s">
        <v>26</v>
      </c>
      <c r="R1850" s="3">
        <v>0</v>
      </c>
      <c r="S1850" s="4">
        <v>0</v>
      </c>
      <c r="T1850" s="4">
        <v>45</v>
      </c>
      <c r="U1850" s="4">
        <v>85</v>
      </c>
      <c r="V1850" s="4">
        <f>IF(ISERROR(VLOOKUP($S$1850,'TAR FIN'!$A$1:$O$99,15,0)),0,VLOOKUP($S$1850,'TAR FIN'!$A$1:$O$99,15,0))</f>
        <v>0</v>
      </c>
      <c r="W1850" s="4">
        <f>IF(ISERROR(VLOOKUP($T$1850,'TAR FIN'!$A$1:$O$99,15,0)),0,VLOOKUP($T$1850,'TAR FIN'!$A$1:$O$99,15,0))</f>
        <v>395.58</v>
      </c>
      <c r="X1850" s="4">
        <f>IF(ISERROR(VLOOKUP($U$1850,'TAR FIN'!$A$1:$O$99,15,0)),0,VLOOKUP($U$1850,'TAR FIN'!$A$1:$O$99,15,0))</f>
        <v>230.53</v>
      </c>
      <c r="Y1850" s="4"/>
      <c r="Z1850" s="4">
        <f ca="1">('TUSD BE'!$AM$59+'TUSD BF'!$AM$59+'TUSD CVA'!$AM$59)*1</f>
        <v>466.61942630573992</v>
      </c>
      <c r="AA1850" s="4">
        <f>('TE BE'!$AA$41+'TE BF'!$AA$41+'TE CVA'!$AA$41)*1</f>
        <v>283.86889449376815</v>
      </c>
      <c r="AB1850" s="4">
        <f>$K$1850*$V$1850</f>
        <v>0</v>
      </c>
      <c r="AC1850" s="4">
        <f>$M$1850*$W$1850</f>
        <v>-47081.53602</v>
      </c>
      <c r="AD1850" s="4">
        <f>$O$1850*$X$1850</f>
        <v>-27437.450070000003</v>
      </c>
      <c r="AE1850" s="4">
        <f>$K$1850*$Y$1850</f>
        <v>0</v>
      </c>
      <c r="AF1850" s="4">
        <f ca="1">$M$1850*$Z$1850</f>
        <v>-55536.577499482861</v>
      </c>
      <c r="AG1850" s="4">
        <f>$O$1850*$AA$1850</f>
        <v>-33785.791953753796</v>
      </c>
    </row>
    <row r="1851" spans="1:33" ht="11.25" customHeight="1" x14ac:dyDescent="0.25">
      <c r="A1851" s="3" t="s">
        <v>28</v>
      </c>
      <c r="B1851" s="3" t="s">
        <v>39</v>
      </c>
      <c r="C1851" s="3" t="s">
        <v>23</v>
      </c>
      <c r="D1851" s="3" t="s">
        <v>43</v>
      </c>
      <c r="E1851" s="3" t="s">
        <v>25</v>
      </c>
      <c r="F1851" s="3" t="s">
        <v>25</v>
      </c>
      <c r="G1851" s="3" t="s">
        <v>25</v>
      </c>
      <c r="H1851" s="3" t="s">
        <v>25</v>
      </c>
      <c r="I1851" s="6">
        <v>44593</v>
      </c>
      <c r="J1851" s="4">
        <v>0</v>
      </c>
      <c r="K1851" s="4">
        <v>0</v>
      </c>
      <c r="L1851" s="4">
        <v>1669.3969999999999</v>
      </c>
      <c r="M1851" s="4">
        <v>1669.3969999999999</v>
      </c>
      <c r="N1851" s="4">
        <v>1669.3969999999999</v>
      </c>
      <c r="O1851" s="4">
        <v>1669.3969999999999</v>
      </c>
      <c r="P1851" s="4">
        <v>3115</v>
      </c>
      <c r="Q1851" s="3" t="s">
        <v>26</v>
      </c>
      <c r="R1851" s="3">
        <v>0</v>
      </c>
      <c r="S1851" s="4">
        <v>0</v>
      </c>
      <c r="T1851" s="4">
        <v>45</v>
      </c>
      <c r="U1851" s="4">
        <v>85</v>
      </c>
      <c r="V1851" s="4">
        <f>IF(ISERROR(VLOOKUP($S$1851,'TAR FIN'!$A$1:$O$99,15,0)),0,VLOOKUP($S$1851,'TAR FIN'!$A$1:$O$99,15,0))</f>
        <v>0</v>
      </c>
      <c r="W1851" s="4">
        <f>IF(ISERROR(VLOOKUP($T$1851,'TAR FIN'!$A$1:$O$99,15,0)),0,VLOOKUP($T$1851,'TAR FIN'!$A$1:$O$99,15,0))</f>
        <v>395.58</v>
      </c>
      <c r="X1851" s="4">
        <f>IF(ISERROR(VLOOKUP($U$1851,'TAR FIN'!$A$1:$O$99,15,0)),0,VLOOKUP($U$1851,'TAR FIN'!$A$1:$O$99,15,0))</f>
        <v>230.53</v>
      </c>
      <c r="Y1851" s="4"/>
      <c r="Z1851" s="4">
        <f ca="1">('TUSD BE'!$AM$59+'TUSD BF'!$AM$59+'TUSD CVA'!$AM$59)*1</f>
        <v>466.61942630573992</v>
      </c>
      <c r="AA1851" s="4">
        <f>('TE BE'!$AA$41+'TE BF'!$AA$41+'TE CVA'!$AA$41)*1</f>
        <v>283.86889449376815</v>
      </c>
      <c r="AB1851" s="4">
        <f>$K$1851*$V$1851</f>
        <v>0</v>
      </c>
      <c r="AC1851" s="4">
        <f>$M$1851*$W$1851</f>
        <v>660380.06525999994</v>
      </c>
      <c r="AD1851" s="4">
        <f>$O$1851*$X$1851</f>
        <v>384846.09041</v>
      </c>
      <c r="AE1851" s="4">
        <f>$K$1851*$Y$1851</f>
        <v>0</v>
      </c>
      <c r="AF1851" s="4">
        <f ca="1">$M$1851*$Z$1851</f>
        <v>778973.07041652326</v>
      </c>
      <c r="AG1851" s="4">
        <f>$O$1851*$AA$1851</f>
        <v>473889.88086121308</v>
      </c>
    </row>
    <row r="1852" spans="1:33" ht="11.25" customHeight="1" x14ac:dyDescent="0.25">
      <c r="A1852" s="3" t="s">
        <v>28</v>
      </c>
      <c r="B1852" s="3" t="s">
        <v>39</v>
      </c>
      <c r="C1852" s="3" t="s">
        <v>23</v>
      </c>
      <c r="D1852" s="3" t="s">
        <v>43</v>
      </c>
      <c r="E1852" s="3" t="s">
        <v>25</v>
      </c>
      <c r="F1852" s="3" t="s">
        <v>25</v>
      </c>
      <c r="G1852" s="3" t="s">
        <v>25</v>
      </c>
      <c r="H1852" s="3" t="s">
        <v>25</v>
      </c>
      <c r="I1852" s="6">
        <v>44593</v>
      </c>
      <c r="J1852" s="4">
        <v>0</v>
      </c>
      <c r="K1852" s="4">
        <v>0</v>
      </c>
      <c r="L1852" s="4">
        <v>-5.3559999999999999</v>
      </c>
      <c r="M1852" s="4">
        <v>-5.3559999999999999</v>
      </c>
      <c r="N1852" s="4">
        <v>-5.3559999999999999</v>
      </c>
      <c r="O1852" s="4">
        <v>-5.3559999999999999</v>
      </c>
      <c r="P1852" s="4">
        <v>6</v>
      </c>
      <c r="Q1852" s="3" t="s">
        <v>26</v>
      </c>
      <c r="R1852" s="3">
        <v>0</v>
      </c>
      <c r="S1852" s="4">
        <v>0</v>
      </c>
      <c r="T1852" s="4">
        <v>45</v>
      </c>
      <c r="U1852" s="4">
        <v>85</v>
      </c>
      <c r="V1852" s="4">
        <f>IF(ISERROR(VLOOKUP($S$1852,'TAR FIN'!$A$1:$O$99,15,0)),0,VLOOKUP($S$1852,'TAR FIN'!$A$1:$O$99,15,0))</f>
        <v>0</v>
      </c>
      <c r="W1852" s="4">
        <f>IF(ISERROR(VLOOKUP($T$1852,'TAR FIN'!$A$1:$O$99,15,0)),0,VLOOKUP($T$1852,'TAR FIN'!$A$1:$O$99,15,0))</f>
        <v>395.58</v>
      </c>
      <c r="X1852" s="4">
        <f>IF(ISERROR(VLOOKUP($U$1852,'TAR FIN'!$A$1:$O$99,15,0)),0,VLOOKUP($U$1852,'TAR FIN'!$A$1:$O$99,15,0))</f>
        <v>230.53</v>
      </c>
      <c r="Y1852" s="4"/>
      <c r="Z1852" s="4">
        <f ca="1">('TUSD BE'!$AM$59+'TUSD BF'!$AM$59+'TUSD CVA'!$AM$59)*1</f>
        <v>466.61942630573992</v>
      </c>
      <c r="AA1852" s="4">
        <f>('TE BE'!$AA$41+'TE BF'!$AA$41+'TE CVA'!$AA$41)*1</f>
        <v>283.86889449376815</v>
      </c>
      <c r="AB1852" s="4">
        <f>$K$1852*$V$1852</f>
        <v>0</v>
      </c>
      <c r="AC1852" s="4">
        <f>$M$1852*$W$1852</f>
        <v>-2118.7264799999998</v>
      </c>
      <c r="AD1852" s="4">
        <f>$O$1852*$X$1852</f>
        <v>-1234.7186799999999</v>
      </c>
      <c r="AE1852" s="4">
        <f>$K$1852*$Y$1852</f>
        <v>0</v>
      </c>
      <c r="AF1852" s="4">
        <f ca="1">$M$1852*$Z$1852</f>
        <v>-2499.2136472935431</v>
      </c>
      <c r="AG1852" s="4">
        <f>$O$1852*$AA$1852</f>
        <v>-1520.4017989086221</v>
      </c>
    </row>
    <row r="1853" spans="1:33" ht="11.25" customHeight="1" x14ac:dyDescent="0.25">
      <c r="A1853" s="3" t="s">
        <v>21</v>
      </c>
      <c r="B1853" s="3" t="s">
        <v>39</v>
      </c>
      <c r="C1853" s="3" t="s">
        <v>23</v>
      </c>
      <c r="D1853" s="3" t="s">
        <v>43</v>
      </c>
      <c r="E1853" s="3" t="s">
        <v>25</v>
      </c>
      <c r="F1853" s="3" t="s">
        <v>25</v>
      </c>
      <c r="G1853" s="3" t="s">
        <v>25</v>
      </c>
      <c r="H1853" s="3" t="s">
        <v>25</v>
      </c>
      <c r="I1853" s="6">
        <v>44621</v>
      </c>
      <c r="J1853" s="4">
        <v>0</v>
      </c>
      <c r="K1853" s="4">
        <v>0</v>
      </c>
      <c r="L1853" s="4">
        <v>30904.699000000001</v>
      </c>
      <c r="M1853" s="4">
        <v>30904.699000000001</v>
      </c>
      <c r="N1853" s="4">
        <v>30904.699000000001</v>
      </c>
      <c r="O1853" s="4">
        <v>30904.699000000001</v>
      </c>
      <c r="P1853" s="4">
        <v>61091</v>
      </c>
      <c r="Q1853" s="3" t="s">
        <v>26</v>
      </c>
      <c r="R1853" s="3">
        <v>0</v>
      </c>
      <c r="S1853" s="4">
        <v>0</v>
      </c>
      <c r="T1853" s="4">
        <v>45</v>
      </c>
      <c r="U1853" s="4">
        <v>85</v>
      </c>
      <c r="V1853" s="4">
        <f>IF(ISERROR(VLOOKUP($S$1853,'TAR FIN'!$A$1:$O$99,15,0)),0,VLOOKUP($S$1853,'TAR FIN'!$A$1:$O$99,15,0))</f>
        <v>0</v>
      </c>
      <c r="W1853" s="4">
        <f>IF(ISERROR(VLOOKUP($T$1853,'TAR FIN'!$A$1:$O$99,15,0)),0,VLOOKUP($T$1853,'TAR FIN'!$A$1:$O$99,15,0))</f>
        <v>395.58</v>
      </c>
      <c r="X1853" s="4">
        <f>IF(ISERROR(VLOOKUP($U$1853,'TAR FIN'!$A$1:$O$99,15,0)),0,VLOOKUP($U$1853,'TAR FIN'!$A$1:$O$99,15,0))</f>
        <v>230.53</v>
      </c>
      <c r="Y1853" s="4"/>
      <c r="Z1853" s="4">
        <f ca="1">('TUSD BE'!$AM$59+'TUSD BF'!$AM$59+'TUSD CVA'!$AM$59)*1</f>
        <v>466.61942630573992</v>
      </c>
      <c r="AA1853" s="4">
        <f>('TE BE'!$AA$41+'TE BF'!$AA$41+'TE CVA'!$AA$41)*1</f>
        <v>283.86889449376815</v>
      </c>
      <c r="AB1853" s="4">
        <f>$K$1853*$V$1853</f>
        <v>0</v>
      </c>
      <c r="AC1853" s="4">
        <f>$M$1853*$W$1853</f>
        <v>12225280.83042</v>
      </c>
      <c r="AD1853" s="4">
        <f>$O$1853*$X$1853</f>
        <v>7124460.2604700001</v>
      </c>
      <c r="AE1853" s="4">
        <f>$K$1853*$Y$1853</f>
        <v>0</v>
      </c>
      <c r="AF1853" s="4">
        <f ca="1">$M$1853*$Z$1853</f>
        <v>14420732.917531574</v>
      </c>
      <c r="AG1853" s="4">
        <f>$O$1853*$AA$1853</f>
        <v>8772882.7397926617</v>
      </c>
    </row>
    <row r="1854" spans="1:33" ht="11.25" customHeight="1" x14ac:dyDescent="0.25">
      <c r="A1854" s="3" t="s">
        <v>27</v>
      </c>
      <c r="B1854" s="3" t="s">
        <v>39</v>
      </c>
      <c r="C1854" s="3" t="s">
        <v>23</v>
      </c>
      <c r="D1854" s="3" t="s">
        <v>43</v>
      </c>
      <c r="E1854" s="3" t="s">
        <v>25</v>
      </c>
      <c r="F1854" s="3" t="s">
        <v>25</v>
      </c>
      <c r="G1854" s="3" t="s">
        <v>25</v>
      </c>
      <c r="H1854" s="3" t="s">
        <v>25</v>
      </c>
      <c r="I1854" s="6">
        <v>44621</v>
      </c>
      <c r="J1854" s="4">
        <v>0</v>
      </c>
      <c r="K1854" s="4">
        <v>0</v>
      </c>
      <c r="L1854" s="4">
        <v>-296.94200000000001</v>
      </c>
      <c r="M1854" s="4">
        <v>-296.94200000000001</v>
      </c>
      <c r="N1854" s="4">
        <v>-296.94200000000001</v>
      </c>
      <c r="O1854" s="4">
        <v>-296.94200000000001</v>
      </c>
      <c r="P1854" s="4">
        <v>-276</v>
      </c>
      <c r="Q1854" s="3" t="s">
        <v>26</v>
      </c>
      <c r="R1854" s="3">
        <v>0</v>
      </c>
      <c r="S1854" s="4">
        <v>0</v>
      </c>
      <c r="T1854" s="4">
        <v>45</v>
      </c>
      <c r="U1854" s="4">
        <v>85</v>
      </c>
      <c r="V1854" s="4">
        <f>IF(ISERROR(VLOOKUP($S$1854,'TAR FIN'!$A$1:$O$99,15,0)),0,VLOOKUP($S$1854,'TAR FIN'!$A$1:$O$99,15,0))</f>
        <v>0</v>
      </c>
      <c r="W1854" s="4">
        <f>IF(ISERROR(VLOOKUP($T$1854,'TAR FIN'!$A$1:$O$99,15,0)),0,VLOOKUP($T$1854,'TAR FIN'!$A$1:$O$99,15,0))</f>
        <v>395.58</v>
      </c>
      <c r="X1854" s="4">
        <f>IF(ISERROR(VLOOKUP($U$1854,'TAR FIN'!$A$1:$O$99,15,0)),0,VLOOKUP($U$1854,'TAR FIN'!$A$1:$O$99,15,0))</f>
        <v>230.53</v>
      </c>
      <c r="Y1854" s="4"/>
      <c r="Z1854" s="4">
        <f ca="1">('TUSD BE'!$AM$59+'TUSD BF'!$AM$59+'TUSD CVA'!$AM$59)*1</f>
        <v>466.61942630573992</v>
      </c>
      <c r="AA1854" s="4">
        <f>('TE BE'!$AA$41+'TE BF'!$AA$41+'TE CVA'!$AA$41)*1</f>
        <v>283.86889449376815</v>
      </c>
      <c r="AB1854" s="4">
        <f>$K$1854*$V$1854</f>
        <v>0</v>
      </c>
      <c r="AC1854" s="4">
        <f>$M$1854*$W$1854</f>
        <v>-117464.31636</v>
      </c>
      <c r="AD1854" s="4">
        <f>$O$1854*$X$1854</f>
        <v>-68454.039260000005</v>
      </c>
      <c r="AE1854" s="4">
        <f>$K$1854*$Y$1854</f>
        <v>0</v>
      </c>
      <c r="AF1854" s="4">
        <f ca="1">$M$1854*$Z$1854</f>
        <v>-138558.90568607903</v>
      </c>
      <c r="AG1854" s="4">
        <f>$O$1854*$AA$1854</f>
        <v>-84292.597268768499</v>
      </c>
    </row>
    <row r="1855" spans="1:33" ht="11.25" customHeight="1" x14ac:dyDescent="0.25">
      <c r="A1855" s="3" t="s">
        <v>28</v>
      </c>
      <c r="B1855" s="3" t="s">
        <v>39</v>
      </c>
      <c r="C1855" s="3" t="s">
        <v>23</v>
      </c>
      <c r="D1855" s="3" t="s">
        <v>43</v>
      </c>
      <c r="E1855" s="3" t="s">
        <v>25</v>
      </c>
      <c r="F1855" s="3" t="s">
        <v>25</v>
      </c>
      <c r="G1855" s="3" t="s">
        <v>25</v>
      </c>
      <c r="H1855" s="3" t="s">
        <v>25</v>
      </c>
      <c r="I1855" s="6">
        <v>44621</v>
      </c>
      <c r="J1855" s="4">
        <v>0</v>
      </c>
      <c r="K1855" s="4">
        <v>0</v>
      </c>
      <c r="L1855" s="4">
        <v>2199.0100000000002</v>
      </c>
      <c r="M1855" s="4">
        <v>2199.0100000000002</v>
      </c>
      <c r="N1855" s="4">
        <v>2199.0100000000002</v>
      </c>
      <c r="O1855" s="4">
        <v>2199.0100000000002</v>
      </c>
      <c r="P1855" s="4">
        <v>3306</v>
      </c>
      <c r="Q1855" s="3" t="s">
        <v>26</v>
      </c>
      <c r="R1855" s="3">
        <v>0</v>
      </c>
      <c r="S1855" s="4">
        <v>0</v>
      </c>
      <c r="T1855" s="4">
        <v>45</v>
      </c>
      <c r="U1855" s="4">
        <v>85</v>
      </c>
      <c r="V1855" s="4">
        <f>IF(ISERROR(VLOOKUP($S$1855,'TAR FIN'!$A$1:$O$99,15,0)),0,VLOOKUP($S$1855,'TAR FIN'!$A$1:$O$99,15,0))</f>
        <v>0</v>
      </c>
      <c r="W1855" s="4">
        <f>IF(ISERROR(VLOOKUP($T$1855,'TAR FIN'!$A$1:$O$99,15,0)),0,VLOOKUP($T$1855,'TAR FIN'!$A$1:$O$99,15,0))</f>
        <v>395.58</v>
      </c>
      <c r="X1855" s="4">
        <f>IF(ISERROR(VLOOKUP($U$1855,'TAR FIN'!$A$1:$O$99,15,0)),0,VLOOKUP($U$1855,'TAR FIN'!$A$1:$O$99,15,0))</f>
        <v>230.53</v>
      </c>
      <c r="Y1855" s="4"/>
      <c r="Z1855" s="4">
        <f ca="1">('TUSD BE'!$AM$59+'TUSD BF'!$AM$59+'TUSD CVA'!$AM$59)*1</f>
        <v>466.61942630573992</v>
      </c>
      <c r="AA1855" s="4">
        <f>('TE BE'!$AA$41+'TE BF'!$AA$41+'TE CVA'!$AA$41)*1</f>
        <v>283.86889449376815</v>
      </c>
      <c r="AB1855" s="4">
        <f>$K$1855*$V$1855</f>
        <v>0</v>
      </c>
      <c r="AC1855" s="4">
        <f>$M$1855*$W$1855</f>
        <v>869884.37580000004</v>
      </c>
      <c r="AD1855" s="4">
        <f>$O$1855*$X$1855</f>
        <v>506937.77530000004</v>
      </c>
      <c r="AE1855" s="4">
        <f>$K$1855*$Y$1855</f>
        <v>0</v>
      </c>
      <c r="AF1855" s="4">
        <f ca="1">$M$1855*$Z$1855</f>
        <v>1026100.7846405852</v>
      </c>
      <c r="AG1855" s="4">
        <f>$O$1855*$AA$1855</f>
        <v>624230.53768074117</v>
      </c>
    </row>
    <row r="1856" spans="1:33" ht="11.25" customHeight="1" x14ac:dyDescent="0.25">
      <c r="A1856" s="3" t="s">
        <v>28</v>
      </c>
      <c r="B1856" s="3" t="s">
        <v>39</v>
      </c>
      <c r="C1856" s="3" t="s">
        <v>23</v>
      </c>
      <c r="D1856" s="3" t="s">
        <v>43</v>
      </c>
      <c r="E1856" s="3" t="s">
        <v>25</v>
      </c>
      <c r="F1856" s="3" t="s">
        <v>25</v>
      </c>
      <c r="G1856" s="3" t="s">
        <v>25</v>
      </c>
      <c r="H1856" s="3" t="s">
        <v>25</v>
      </c>
      <c r="I1856" s="6">
        <v>44621</v>
      </c>
      <c r="J1856" s="4">
        <v>0</v>
      </c>
      <c r="K1856" s="4">
        <v>0</v>
      </c>
      <c r="L1856" s="4">
        <v>-5.585</v>
      </c>
      <c r="M1856" s="4">
        <v>-5.585</v>
      </c>
      <c r="N1856" s="4">
        <v>-5.585</v>
      </c>
      <c r="O1856" s="4">
        <v>-5.585</v>
      </c>
      <c r="P1856" s="4">
        <v>0</v>
      </c>
      <c r="Q1856" s="3" t="s">
        <v>26</v>
      </c>
      <c r="R1856" s="3">
        <v>0</v>
      </c>
      <c r="S1856" s="4">
        <v>0</v>
      </c>
      <c r="T1856" s="4">
        <v>45</v>
      </c>
      <c r="U1856" s="4">
        <v>85</v>
      </c>
      <c r="V1856" s="4">
        <f>IF(ISERROR(VLOOKUP($S$1856,'TAR FIN'!$A$1:$O$99,15,0)),0,VLOOKUP($S$1856,'TAR FIN'!$A$1:$O$99,15,0))</f>
        <v>0</v>
      </c>
      <c r="W1856" s="4">
        <f>IF(ISERROR(VLOOKUP($T$1856,'TAR FIN'!$A$1:$O$99,15,0)),0,VLOOKUP($T$1856,'TAR FIN'!$A$1:$O$99,15,0))</f>
        <v>395.58</v>
      </c>
      <c r="X1856" s="4">
        <f>IF(ISERROR(VLOOKUP($U$1856,'TAR FIN'!$A$1:$O$99,15,0)),0,VLOOKUP($U$1856,'TAR FIN'!$A$1:$O$99,15,0))</f>
        <v>230.53</v>
      </c>
      <c r="Y1856" s="4"/>
      <c r="Z1856" s="4">
        <f ca="1">('TUSD BE'!$AM$59+'TUSD BF'!$AM$59+'TUSD CVA'!$AM$59)*1</f>
        <v>466.61942630573992</v>
      </c>
      <c r="AA1856" s="4">
        <f>('TE BE'!$AA$41+'TE BF'!$AA$41+'TE CVA'!$AA$41)*1</f>
        <v>283.86889449376815</v>
      </c>
      <c r="AB1856" s="4">
        <f>$K$1856*$V$1856</f>
        <v>0</v>
      </c>
      <c r="AC1856" s="4">
        <f>$M$1856*$W$1856</f>
        <v>-2209.3143</v>
      </c>
      <c r="AD1856" s="4">
        <f>$O$1856*$X$1856</f>
        <v>-1287.5100500000001</v>
      </c>
      <c r="AE1856" s="4">
        <f>$K$1856*$Y$1856</f>
        <v>0</v>
      </c>
      <c r="AF1856" s="4">
        <f ca="1">$M$1856*$Z$1856</f>
        <v>-2606.0694959175576</v>
      </c>
      <c r="AG1856" s="4">
        <f>$O$1856*$AA$1856</f>
        <v>-1585.407775747695</v>
      </c>
    </row>
    <row r="1857" spans="1:33" ht="11.25" customHeight="1" x14ac:dyDescent="0.25">
      <c r="A1857" s="3" t="s">
        <v>56</v>
      </c>
      <c r="B1857" s="3" t="s">
        <v>39</v>
      </c>
      <c r="C1857" s="3" t="s">
        <v>23</v>
      </c>
      <c r="D1857" s="3" t="s">
        <v>43</v>
      </c>
      <c r="E1857" s="3" t="s">
        <v>25</v>
      </c>
      <c r="F1857" s="3" t="s">
        <v>25</v>
      </c>
      <c r="G1857" s="3" t="s">
        <v>25</v>
      </c>
      <c r="H1857" s="3" t="s">
        <v>25</v>
      </c>
      <c r="I1857" s="6">
        <v>44652</v>
      </c>
      <c r="J1857" s="4">
        <v>0</v>
      </c>
      <c r="K1857" s="4">
        <v>0</v>
      </c>
      <c r="L1857" s="4">
        <v>30904.699000000001</v>
      </c>
      <c r="M1857" s="4">
        <v>30904.699000000001</v>
      </c>
      <c r="N1857" s="4">
        <v>30904.699000000001</v>
      </c>
      <c r="O1857" s="4">
        <v>30904.699000000001</v>
      </c>
      <c r="P1857" s="4">
        <v>61091</v>
      </c>
      <c r="Q1857" s="3" t="s">
        <v>26</v>
      </c>
      <c r="R1857" s="3">
        <v>0</v>
      </c>
      <c r="S1857" s="4">
        <v>0</v>
      </c>
      <c r="T1857" s="4">
        <v>45</v>
      </c>
      <c r="U1857" s="4">
        <v>85</v>
      </c>
      <c r="V1857" s="4">
        <f>IF(ISERROR(VLOOKUP($S$1857,'TAR FIN'!$A$1:$O$99,15,0)),0,VLOOKUP($S$1857,'TAR FIN'!$A$1:$O$99,15,0))</f>
        <v>0</v>
      </c>
      <c r="W1857" s="4">
        <f>IF(ISERROR(VLOOKUP($T$1857,'TAR FIN'!$A$1:$O$99,15,0)),0,VLOOKUP($T$1857,'TAR FIN'!$A$1:$O$99,15,0))</f>
        <v>395.58</v>
      </c>
      <c r="X1857" s="4">
        <f>IF(ISERROR(VLOOKUP($U$1857,'TAR FIN'!$A$1:$O$99,15,0)),0,VLOOKUP($U$1857,'TAR FIN'!$A$1:$O$99,15,0))</f>
        <v>230.53</v>
      </c>
      <c r="Y1857" s="4"/>
      <c r="Z1857" s="4">
        <f ca="1">('TUSD BE'!$AM$59+'TUSD BF'!$AM$59+'TUSD CVA'!$AM$59)*1</f>
        <v>466.61942630573992</v>
      </c>
      <c r="AA1857" s="4">
        <f>('TE BE'!$AA$41+'TE BF'!$AA$41+'TE CVA'!$AA$41)*1</f>
        <v>283.86889449376815</v>
      </c>
      <c r="AB1857" s="4">
        <f>$K$1857*$V$1857</f>
        <v>0</v>
      </c>
      <c r="AC1857" s="4">
        <f>$M$1857*$W$1857</f>
        <v>12225280.83042</v>
      </c>
      <c r="AD1857" s="4">
        <f>$O$1857*$X$1857</f>
        <v>7124460.2604700001</v>
      </c>
      <c r="AE1857" s="4">
        <f>$K$1857*$Y$1857</f>
        <v>0</v>
      </c>
      <c r="AF1857" s="4">
        <f ca="1">$M$1857*$Z$1857</f>
        <v>14420732.917531574</v>
      </c>
      <c r="AG1857" s="4">
        <f>$O$1857*$AA$1857</f>
        <v>8772882.7397926617</v>
      </c>
    </row>
    <row r="1858" spans="1:33" ht="11.25" customHeight="1" x14ac:dyDescent="0.25">
      <c r="A1858" s="3" t="s">
        <v>56</v>
      </c>
      <c r="B1858" s="3" t="s">
        <v>39</v>
      </c>
      <c r="C1858" s="3" t="s">
        <v>23</v>
      </c>
      <c r="D1858" s="3" t="s">
        <v>43</v>
      </c>
      <c r="E1858" s="3" t="s">
        <v>25</v>
      </c>
      <c r="F1858" s="3" t="s">
        <v>25</v>
      </c>
      <c r="G1858" s="3" t="s">
        <v>25</v>
      </c>
      <c r="H1858" s="3" t="s">
        <v>25</v>
      </c>
      <c r="I1858" s="6">
        <v>44652</v>
      </c>
      <c r="J1858" s="4">
        <v>0</v>
      </c>
      <c r="K1858" s="4">
        <v>0</v>
      </c>
      <c r="L1858" s="4">
        <v>-296.94200000000001</v>
      </c>
      <c r="M1858" s="4">
        <v>-296.94200000000001</v>
      </c>
      <c r="N1858" s="4">
        <v>-296.94200000000001</v>
      </c>
      <c r="O1858" s="4">
        <v>-296.94200000000001</v>
      </c>
      <c r="P1858" s="4">
        <v>-276</v>
      </c>
      <c r="Q1858" s="3" t="s">
        <v>26</v>
      </c>
      <c r="R1858" s="3">
        <v>0</v>
      </c>
      <c r="S1858" s="4">
        <v>0</v>
      </c>
      <c r="T1858" s="4">
        <v>45</v>
      </c>
      <c r="U1858" s="4">
        <v>85</v>
      </c>
      <c r="V1858" s="4">
        <f>IF(ISERROR(VLOOKUP($S$1858,'TAR FIN'!$A$1:$O$99,15,0)),0,VLOOKUP($S$1858,'TAR FIN'!$A$1:$O$99,15,0))</f>
        <v>0</v>
      </c>
      <c r="W1858" s="4">
        <f>IF(ISERROR(VLOOKUP($T$1858,'TAR FIN'!$A$1:$O$99,15,0)),0,VLOOKUP($T$1858,'TAR FIN'!$A$1:$O$99,15,0))</f>
        <v>395.58</v>
      </c>
      <c r="X1858" s="4">
        <f>IF(ISERROR(VLOOKUP($U$1858,'TAR FIN'!$A$1:$O$99,15,0)),0,VLOOKUP($U$1858,'TAR FIN'!$A$1:$O$99,15,0))</f>
        <v>230.53</v>
      </c>
      <c r="Y1858" s="4"/>
      <c r="Z1858" s="4">
        <f ca="1">('TUSD BE'!$AM$59+'TUSD BF'!$AM$59+'TUSD CVA'!$AM$59)*1</f>
        <v>466.61942630573992</v>
      </c>
      <c r="AA1858" s="4">
        <f>('TE BE'!$AA$41+'TE BF'!$AA$41+'TE CVA'!$AA$41)*1</f>
        <v>283.86889449376815</v>
      </c>
      <c r="AB1858" s="4">
        <f>$K$1858*$V$1858</f>
        <v>0</v>
      </c>
      <c r="AC1858" s="4">
        <f>$M$1858*$W$1858</f>
        <v>-117464.31636</v>
      </c>
      <c r="AD1858" s="4">
        <f>$O$1858*$X$1858</f>
        <v>-68454.039260000005</v>
      </c>
      <c r="AE1858" s="4">
        <f>$K$1858*$Y$1858</f>
        <v>0</v>
      </c>
      <c r="AF1858" s="4">
        <f ca="1">$M$1858*$Z$1858</f>
        <v>-138558.90568607903</v>
      </c>
      <c r="AG1858" s="4">
        <f>$O$1858*$AA$1858</f>
        <v>-84292.597268768499</v>
      </c>
    </row>
    <row r="1859" spans="1:33" ht="11.25" customHeight="1" x14ac:dyDescent="0.25">
      <c r="A1859" s="3" t="s">
        <v>56</v>
      </c>
      <c r="B1859" s="3" t="s">
        <v>39</v>
      </c>
      <c r="C1859" s="3" t="s">
        <v>23</v>
      </c>
      <c r="D1859" s="3" t="s">
        <v>43</v>
      </c>
      <c r="E1859" s="3" t="s">
        <v>25</v>
      </c>
      <c r="F1859" s="3" t="s">
        <v>25</v>
      </c>
      <c r="G1859" s="3" t="s">
        <v>25</v>
      </c>
      <c r="H1859" s="3" t="s">
        <v>25</v>
      </c>
      <c r="I1859" s="6">
        <v>44652</v>
      </c>
      <c r="J1859" s="4">
        <v>0</v>
      </c>
      <c r="K1859" s="4">
        <v>0</v>
      </c>
      <c r="L1859" s="4">
        <v>2199.0100000000002</v>
      </c>
      <c r="M1859" s="4">
        <v>2199.0100000000002</v>
      </c>
      <c r="N1859" s="4">
        <v>2199.0100000000002</v>
      </c>
      <c r="O1859" s="4">
        <v>2199.0100000000002</v>
      </c>
      <c r="P1859" s="4">
        <v>3306</v>
      </c>
      <c r="Q1859" s="3" t="s">
        <v>26</v>
      </c>
      <c r="R1859" s="3">
        <v>0</v>
      </c>
      <c r="S1859" s="4">
        <v>0</v>
      </c>
      <c r="T1859" s="4">
        <v>45</v>
      </c>
      <c r="U1859" s="4">
        <v>85</v>
      </c>
      <c r="V1859" s="4">
        <f>IF(ISERROR(VLOOKUP($S$1859,'TAR FIN'!$A$1:$O$99,15,0)),0,VLOOKUP($S$1859,'TAR FIN'!$A$1:$O$99,15,0))</f>
        <v>0</v>
      </c>
      <c r="W1859" s="4">
        <f>IF(ISERROR(VLOOKUP($T$1859,'TAR FIN'!$A$1:$O$99,15,0)),0,VLOOKUP($T$1859,'TAR FIN'!$A$1:$O$99,15,0))</f>
        <v>395.58</v>
      </c>
      <c r="X1859" s="4">
        <f>IF(ISERROR(VLOOKUP($U$1859,'TAR FIN'!$A$1:$O$99,15,0)),0,VLOOKUP($U$1859,'TAR FIN'!$A$1:$O$99,15,0))</f>
        <v>230.53</v>
      </c>
      <c r="Y1859" s="4"/>
      <c r="Z1859" s="4">
        <f ca="1">('TUSD BE'!$AM$59+'TUSD BF'!$AM$59+'TUSD CVA'!$AM$59)*1</f>
        <v>466.61942630573992</v>
      </c>
      <c r="AA1859" s="4">
        <f>('TE BE'!$AA$41+'TE BF'!$AA$41+'TE CVA'!$AA$41)*1</f>
        <v>283.86889449376815</v>
      </c>
      <c r="AB1859" s="4">
        <f>$K$1859*$V$1859</f>
        <v>0</v>
      </c>
      <c r="AC1859" s="4">
        <f>$M$1859*$W$1859</f>
        <v>869884.37580000004</v>
      </c>
      <c r="AD1859" s="4">
        <f>$O$1859*$X$1859</f>
        <v>506937.77530000004</v>
      </c>
      <c r="AE1859" s="4">
        <f>$K$1859*$Y$1859</f>
        <v>0</v>
      </c>
      <c r="AF1859" s="4">
        <f ca="1">$M$1859*$Z$1859</f>
        <v>1026100.7846405852</v>
      </c>
      <c r="AG1859" s="4">
        <f>$O$1859*$AA$1859</f>
        <v>624230.53768074117</v>
      </c>
    </row>
    <row r="1860" spans="1:33" ht="11.25" customHeight="1" x14ac:dyDescent="0.25">
      <c r="A1860" s="3" t="s">
        <v>56</v>
      </c>
      <c r="B1860" s="3" t="s">
        <v>39</v>
      </c>
      <c r="C1860" s="3" t="s">
        <v>23</v>
      </c>
      <c r="D1860" s="3" t="s">
        <v>43</v>
      </c>
      <c r="E1860" s="3" t="s">
        <v>25</v>
      </c>
      <c r="F1860" s="3" t="s">
        <v>25</v>
      </c>
      <c r="G1860" s="3" t="s">
        <v>25</v>
      </c>
      <c r="H1860" s="3" t="s">
        <v>25</v>
      </c>
      <c r="I1860" s="6">
        <v>44652</v>
      </c>
      <c r="J1860" s="4">
        <v>0</v>
      </c>
      <c r="K1860" s="4">
        <v>0</v>
      </c>
      <c r="L1860" s="4">
        <v>-5.585</v>
      </c>
      <c r="M1860" s="4">
        <v>-5.585</v>
      </c>
      <c r="N1860" s="4">
        <v>-5.585</v>
      </c>
      <c r="O1860" s="4">
        <v>-5.585</v>
      </c>
      <c r="P1860" s="4">
        <v>0</v>
      </c>
      <c r="Q1860" s="3" t="s">
        <v>26</v>
      </c>
      <c r="R1860" s="3">
        <v>0</v>
      </c>
      <c r="S1860" s="4">
        <v>0</v>
      </c>
      <c r="T1860" s="4">
        <v>45</v>
      </c>
      <c r="U1860" s="4">
        <v>85</v>
      </c>
      <c r="V1860" s="4">
        <f>IF(ISERROR(VLOOKUP($S$1860,'TAR FIN'!$A$1:$O$99,15,0)),0,VLOOKUP($S$1860,'TAR FIN'!$A$1:$O$99,15,0))</f>
        <v>0</v>
      </c>
      <c r="W1860" s="4">
        <f>IF(ISERROR(VLOOKUP($T$1860,'TAR FIN'!$A$1:$O$99,15,0)),0,VLOOKUP($T$1860,'TAR FIN'!$A$1:$O$99,15,0))</f>
        <v>395.58</v>
      </c>
      <c r="X1860" s="4">
        <f>IF(ISERROR(VLOOKUP($U$1860,'TAR FIN'!$A$1:$O$99,15,0)),0,VLOOKUP($U$1860,'TAR FIN'!$A$1:$O$99,15,0))</f>
        <v>230.53</v>
      </c>
      <c r="Y1860" s="4"/>
      <c r="Z1860" s="4">
        <f ca="1">('TUSD BE'!$AM$59+'TUSD BF'!$AM$59+'TUSD CVA'!$AM$59)*1</f>
        <v>466.61942630573992</v>
      </c>
      <c r="AA1860" s="4">
        <f>('TE BE'!$AA$41+'TE BF'!$AA$41+'TE CVA'!$AA$41)*1</f>
        <v>283.86889449376815</v>
      </c>
      <c r="AB1860" s="4">
        <f>$K$1860*$V$1860</f>
        <v>0</v>
      </c>
      <c r="AC1860" s="4">
        <f>$M$1860*$W$1860</f>
        <v>-2209.3143</v>
      </c>
      <c r="AD1860" s="4">
        <f>$O$1860*$X$1860</f>
        <v>-1287.5100500000001</v>
      </c>
      <c r="AE1860" s="4">
        <f>$K$1860*$Y$1860</f>
        <v>0</v>
      </c>
      <c r="AF1860" s="4">
        <f ca="1">$M$1860*$Z$1860</f>
        <v>-2606.0694959175576</v>
      </c>
      <c r="AG1860" s="4">
        <f>$O$1860*$AA$1860</f>
        <v>-1585.407775747695</v>
      </c>
    </row>
    <row r="1861" spans="1:33" ht="11.25" customHeight="1" x14ac:dyDescent="0.25">
      <c r="A1861" s="3" t="s">
        <v>21</v>
      </c>
      <c r="B1861" s="3" t="s">
        <v>39</v>
      </c>
      <c r="C1861" s="3" t="s">
        <v>23</v>
      </c>
      <c r="D1861" s="3" t="s">
        <v>52</v>
      </c>
      <c r="E1861" s="3" t="s">
        <v>25</v>
      </c>
      <c r="F1861" s="3" t="s">
        <v>25</v>
      </c>
      <c r="G1861" s="3" t="s">
        <v>25</v>
      </c>
      <c r="H1861" s="3" t="s">
        <v>25</v>
      </c>
      <c r="I1861" s="6">
        <v>44317</v>
      </c>
      <c r="J1861" s="4">
        <v>0</v>
      </c>
      <c r="K1861" s="4">
        <v>0</v>
      </c>
      <c r="L1861" s="4">
        <v>168.625</v>
      </c>
      <c r="M1861" s="4">
        <v>168.625</v>
      </c>
      <c r="N1861" s="4">
        <v>168.625</v>
      </c>
      <c r="O1861" s="4">
        <v>168.625</v>
      </c>
      <c r="P1861" s="4">
        <v>73</v>
      </c>
      <c r="Q1861" s="3" t="s">
        <v>26</v>
      </c>
      <c r="R1861" s="3">
        <v>0</v>
      </c>
      <c r="S1861" s="4">
        <v>0</v>
      </c>
      <c r="T1861" s="4">
        <v>45</v>
      </c>
      <c r="U1861" s="4">
        <v>85</v>
      </c>
      <c r="V1861" s="4">
        <f>IF(ISERROR(VLOOKUP($S$1861,'TAR FIN'!$A$1:$O$99,15,0)),0,VLOOKUP($S$1861,'TAR FIN'!$A$1:$O$99,15,0))</f>
        <v>0</v>
      </c>
      <c r="W1861" s="4">
        <f>IF(ISERROR(VLOOKUP($T$1861,'TAR FIN'!$A$1:$O$99,15,0)),0,VLOOKUP($T$1861,'TAR FIN'!$A$1:$O$99,15,0))</f>
        <v>395.58</v>
      </c>
      <c r="X1861" s="4">
        <f>IF(ISERROR(VLOOKUP($U$1861,'TAR FIN'!$A$1:$O$99,15,0)),0,VLOOKUP($U$1861,'TAR FIN'!$A$1:$O$99,15,0))</f>
        <v>230.53</v>
      </c>
      <c r="Y1861" s="4"/>
      <c r="Z1861" s="4">
        <f ca="1">('TUSD BE'!$AM$59+'TUSD BF'!$AM$59+'TUSD CVA'!$AM$59)*1</f>
        <v>466.61942630573992</v>
      </c>
      <c r="AA1861" s="4">
        <f>('TE BE'!$AA$41+'TE BF'!$AA$41+'TE CVA'!$AA$41)*1</f>
        <v>283.86889449376815</v>
      </c>
      <c r="AB1861" s="4">
        <f>$K$1861*$V$1861</f>
        <v>0</v>
      </c>
      <c r="AC1861" s="4">
        <f>$M$1861*$W$1861</f>
        <v>66704.677499999991</v>
      </c>
      <c r="AD1861" s="4">
        <f>$O$1861*$X$1861</f>
        <v>38873.121250000004</v>
      </c>
      <c r="AE1861" s="4">
        <f>$K$1861*$Y$1861</f>
        <v>0</v>
      </c>
      <c r="AF1861" s="4">
        <f ca="1">$M$1861*$Z$1861</f>
        <v>78683.700760805397</v>
      </c>
      <c r="AG1861" s="4">
        <f>$O$1861*$AA$1861</f>
        <v>47867.392334011653</v>
      </c>
    </row>
    <row r="1862" spans="1:33" ht="11.25" customHeight="1" x14ac:dyDescent="0.25">
      <c r="A1862" s="3" t="s">
        <v>21</v>
      </c>
      <c r="B1862" s="3" t="s">
        <v>39</v>
      </c>
      <c r="C1862" s="3" t="s">
        <v>23</v>
      </c>
      <c r="D1862" s="3" t="s">
        <v>52</v>
      </c>
      <c r="E1862" s="3" t="s">
        <v>25</v>
      </c>
      <c r="F1862" s="3" t="s">
        <v>25</v>
      </c>
      <c r="G1862" s="3" t="s">
        <v>25</v>
      </c>
      <c r="H1862" s="3" t="s">
        <v>25</v>
      </c>
      <c r="I1862" s="6">
        <v>44348</v>
      </c>
      <c r="J1862" s="4">
        <v>0</v>
      </c>
      <c r="K1862" s="4">
        <v>0</v>
      </c>
      <c r="L1862" s="4">
        <v>148.601</v>
      </c>
      <c r="M1862" s="4">
        <v>148.601</v>
      </c>
      <c r="N1862" s="4">
        <v>148.601</v>
      </c>
      <c r="O1862" s="4">
        <v>148.601</v>
      </c>
      <c r="P1862" s="4">
        <v>72</v>
      </c>
      <c r="Q1862" s="3" t="s">
        <v>26</v>
      </c>
      <c r="R1862" s="3">
        <v>0</v>
      </c>
      <c r="S1862" s="4">
        <v>0</v>
      </c>
      <c r="T1862" s="4">
        <v>45</v>
      </c>
      <c r="U1862" s="4">
        <v>85</v>
      </c>
      <c r="V1862" s="4">
        <f>IF(ISERROR(VLOOKUP($S$1862,'TAR FIN'!$A$1:$O$99,15,0)),0,VLOOKUP($S$1862,'TAR FIN'!$A$1:$O$99,15,0))</f>
        <v>0</v>
      </c>
      <c r="W1862" s="4">
        <f>IF(ISERROR(VLOOKUP($T$1862,'TAR FIN'!$A$1:$O$99,15,0)),0,VLOOKUP($T$1862,'TAR FIN'!$A$1:$O$99,15,0))</f>
        <v>395.58</v>
      </c>
      <c r="X1862" s="4">
        <f>IF(ISERROR(VLOOKUP($U$1862,'TAR FIN'!$A$1:$O$99,15,0)),0,VLOOKUP($U$1862,'TAR FIN'!$A$1:$O$99,15,0))</f>
        <v>230.53</v>
      </c>
      <c r="Y1862" s="4"/>
      <c r="Z1862" s="4">
        <f ca="1">('TUSD BE'!$AM$59+'TUSD BF'!$AM$59+'TUSD CVA'!$AM$59)*1</f>
        <v>466.61942630573992</v>
      </c>
      <c r="AA1862" s="4">
        <f>('TE BE'!$AA$41+'TE BF'!$AA$41+'TE CVA'!$AA$41)*1</f>
        <v>283.86889449376815</v>
      </c>
      <c r="AB1862" s="4">
        <f>$K$1862*$V$1862</f>
        <v>0</v>
      </c>
      <c r="AC1862" s="4">
        <f>$M$1862*$W$1862</f>
        <v>58783.583579999999</v>
      </c>
      <c r="AD1862" s="4">
        <f>$O$1862*$X$1862</f>
        <v>34256.988530000002</v>
      </c>
      <c r="AE1862" s="4">
        <f>$K$1862*$Y$1862</f>
        <v>0</v>
      </c>
      <c r="AF1862" s="4">
        <f ca="1">$M$1862*$Z$1862</f>
        <v>69340.113368459264</v>
      </c>
      <c r="AG1862" s="4">
        <f>$O$1862*$AA$1862</f>
        <v>42183.201590668439</v>
      </c>
    </row>
    <row r="1863" spans="1:33" ht="11.25" customHeight="1" x14ac:dyDescent="0.25">
      <c r="A1863" s="3" t="s">
        <v>27</v>
      </c>
      <c r="B1863" s="3" t="s">
        <v>39</v>
      </c>
      <c r="C1863" s="3" t="s">
        <v>23</v>
      </c>
      <c r="D1863" s="3" t="s">
        <v>52</v>
      </c>
      <c r="E1863" s="3" t="s">
        <v>25</v>
      </c>
      <c r="F1863" s="3" t="s">
        <v>25</v>
      </c>
      <c r="G1863" s="3" t="s">
        <v>25</v>
      </c>
      <c r="H1863" s="3" t="s">
        <v>25</v>
      </c>
      <c r="I1863" s="6">
        <v>44348</v>
      </c>
      <c r="J1863" s="4">
        <v>0</v>
      </c>
      <c r="K1863" s="4">
        <v>0</v>
      </c>
      <c r="L1863" s="4">
        <v>-2.19</v>
      </c>
      <c r="M1863" s="4">
        <v>-2.19</v>
      </c>
      <c r="N1863" s="4">
        <v>-2.19</v>
      </c>
      <c r="O1863" s="4">
        <v>-2.19</v>
      </c>
      <c r="P1863" s="4">
        <v>-1</v>
      </c>
      <c r="Q1863" s="3" t="s">
        <v>26</v>
      </c>
      <c r="R1863" s="3">
        <v>0</v>
      </c>
      <c r="S1863" s="4">
        <v>0</v>
      </c>
      <c r="T1863" s="4">
        <v>45</v>
      </c>
      <c r="U1863" s="4">
        <v>85</v>
      </c>
      <c r="V1863" s="4">
        <f>IF(ISERROR(VLOOKUP($S$1863,'TAR FIN'!$A$1:$O$99,15,0)),0,VLOOKUP($S$1863,'TAR FIN'!$A$1:$O$99,15,0))</f>
        <v>0</v>
      </c>
      <c r="W1863" s="4">
        <f>IF(ISERROR(VLOOKUP($T$1863,'TAR FIN'!$A$1:$O$99,15,0)),0,VLOOKUP($T$1863,'TAR FIN'!$A$1:$O$99,15,0))</f>
        <v>395.58</v>
      </c>
      <c r="X1863" s="4">
        <f>IF(ISERROR(VLOOKUP($U$1863,'TAR FIN'!$A$1:$O$99,15,0)),0,VLOOKUP($U$1863,'TAR FIN'!$A$1:$O$99,15,0))</f>
        <v>230.53</v>
      </c>
      <c r="Y1863" s="4"/>
      <c r="Z1863" s="4">
        <f ca="1">('TUSD BE'!$AM$59+'TUSD BF'!$AM$59+'TUSD CVA'!$AM$59)*1</f>
        <v>466.61942630573992</v>
      </c>
      <c r="AA1863" s="4">
        <f>('TE BE'!$AA$41+'TE BF'!$AA$41+'TE CVA'!$AA$41)*1</f>
        <v>283.86889449376815</v>
      </c>
      <c r="AB1863" s="4">
        <f>$K$1863*$V$1863</f>
        <v>0</v>
      </c>
      <c r="AC1863" s="4">
        <f>$M$1863*$W$1863</f>
        <v>-866.3202</v>
      </c>
      <c r="AD1863" s="4">
        <f>$O$1863*$X$1863</f>
        <v>-504.86070000000001</v>
      </c>
      <c r="AE1863" s="4">
        <f>$K$1863*$Y$1863</f>
        <v>0</v>
      </c>
      <c r="AF1863" s="4">
        <f ca="1">$M$1863*$Z$1863</f>
        <v>-1021.8965436095704</v>
      </c>
      <c r="AG1863" s="4">
        <f>$O$1863*$AA$1863</f>
        <v>-621.67287894135222</v>
      </c>
    </row>
    <row r="1864" spans="1:33" ht="11.25" customHeight="1" x14ac:dyDescent="0.25">
      <c r="A1864" s="3" t="s">
        <v>21</v>
      </c>
      <c r="B1864" s="3" t="s">
        <v>39</v>
      </c>
      <c r="C1864" s="3" t="s">
        <v>23</v>
      </c>
      <c r="D1864" s="3" t="s">
        <v>52</v>
      </c>
      <c r="E1864" s="3" t="s">
        <v>25</v>
      </c>
      <c r="F1864" s="3" t="s">
        <v>25</v>
      </c>
      <c r="G1864" s="3" t="s">
        <v>25</v>
      </c>
      <c r="H1864" s="3" t="s">
        <v>25</v>
      </c>
      <c r="I1864" s="6">
        <v>44378</v>
      </c>
      <c r="J1864" s="4">
        <v>0</v>
      </c>
      <c r="K1864" s="4">
        <v>0</v>
      </c>
      <c r="L1864" s="4">
        <v>137.315</v>
      </c>
      <c r="M1864" s="4">
        <v>137.315</v>
      </c>
      <c r="N1864" s="4">
        <v>137.315</v>
      </c>
      <c r="O1864" s="4">
        <v>137.315</v>
      </c>
      <c r="P1864" s="4">
        <v>72</v>
      </c>
      <c r="Q1864" s="3" t="s">
        <v>26</v>
      </c>
      <c r="R1864" s="3">
        <v>0</v>
      </c>
      <c r="S1864" s="4">
        <v>0</v>
      </c>
      <c r="T1864" s="4">
        <v>45</v>
      </c>
      <c r="U1864" s="4">
        <v>85</v>
      </c>
      <c r="V1864" s="4">
        <f>IF(ISERROR(VLOOKUP($S$1864,'TAR FIN'!$A$1:$O$99,15,0)),0,VLOOKUP($S$1864,'TAR FIN'!$A$1:$O$99,15,0))</f>
        <v>0</v>
      </c>
      <c r="W1864" s="4">
        <f>IF(ISERROR(VLOOKUP($T$1864,'TAR FIN'!$A$1:$O$99,15,0)),0,VLOOKUP($T$1864,'TAR FIN'!$A$1:$O$99,15,0))</f>
        <v>395.58</v>
      </c>
      <c r="X1864" s="4">
        <f>IF(ISERROR(VLOOKUP($U$1864,'TAR FIN'!$A$1:$O$99,15,0)),0,VLOOKUP($U$1864,'TAR FIN'!$A$1:$O$99,15,0))</f>
        <v>230.53</v>
      </c>
      <c r="Y1864" s="4"/>
      <c r="Z1864" s="4">
        <f ca="1">('TUSD BE'!$AM$59+'TUSD BF'!$AM$59+'TUSD CVA'!$AM$59)*1</f>
        <v>466.61942630573992</v>
      </c>
      <c r="AA1864" s="4">
        <f>('TE BE'!$AA$41+'TE BF'!$AA$41+'TE CVA'!$AA$41)*1</f>
        <v>283.86889449376815</v>
      </c>
      <c r="AB1864" s="4">
        <f>$K$1864*$V$1864</f>
        <v>0</v>
      </c>
      <c r="AC1864" s="4">
        <f>$M$1864*$W$1864</f>
        <v>54319.0677</v>
      </c>
      <c r="AD1864" s="4">
        <f>$O$1864*$X$1864</f>
        <v>31655.22695</v>
      </c>
      <c r="AE1864" s="4">
        <f>$K$1864*$Y$1864</f>
        <v>0</v>
      </c>
      <c r="AF1864" s="4">
        <f ca="1">$M$1864*$Z$1864</f>
        <v>64073.846523172673</v>
      </c>
      <c r="AG1864" s="4">
        <f>$O$1864*$AA$1864</f>
        <v>38979.457247411774</v>
      </c>
    </row>
    <row r="1865" spans="1:33" ht="11.25" customHeight="1" x14ac:dyDescent="0.25">
      <c r="A1865" s="3" t="s">
        <v>21</v>
      </c>
      <c r="B1865" s="3" t="s">
        <v>39</v>
      </c>
      <c r="C1865" s="3" t="s">
        <v>23</v>
      </c>
      <c r="D1865" s="3" t="s">
        <v>52</v>
      </c>
      <c r="E1865" s="3" t="s">
        <v>25</v>
      </c>
      <c r="F1865" s="3" t="s">
        <v>25</v>
      </c>
      <c r="G1865" s="3" t="s">
        <v>25</v>
      </c>
      <c r="H1865" s="3" t="s">
        <v>25</v>
      </c>
      <c r="I1865" s="6">
        <v>44409</v>
      </c>
      <c r="J1865" s="4">
        <v>0</v>
      </c>
      <c r="K1865" s="4">
        <v>0</v>
      </c>
      <c r="L1865" s="4">
        <v>149.45599999999999</v>
      </c>
      <c r="M1865" s="4">
        <v>149.45599999999999</v>
      </c>
      <c r="N1865" s="4">
        <v>149.45599999999999</v>
      </c>
      <c r="O1865" s="4">
        <v>149.45599999999999</v>
      </c>
      <c r="P1865" s="4">
        <v>77</v>
      </c>
      <c r="Q1865" s="3" t="s">
        <v>26</v>
      </c>
      <c r="R1865" s="3">
        <v>0</v>
      </c>
      <c r="S1865" s="4">
        <v>0</v>
      </c>
      <c r="T1865" s="4">
        <v>45</v>
      </c>
      <c r="U1865" s="4">
        <v>85</v>
      </c>
      <c r="V1865" s="4">
        <f>IF(ISERROR(VLOOKUP($S$1865,'TAR FIN'!$A$1:$O$99,15,0)),0,VLOOKUP($S$1865,'TAR FIN'!$A$1:$O$99,15,0))</f>
        <v>0</v>
      </c>
      <c r="W1865" s="4">
        <f>IF(ISERROR(VLOOKUP($T$1865,'TAR FIN'!$A$1:$O$99,15,0)),0,VLOOKUP($T$1865,'TAR FIN'!$A$1:$O$99,15,0))</f>
        <v>395.58</v>
      </c>
      <c r="X1865" s="4">
        <f>IF(ISERROR(VLOOKUP($U$1865,'TAR FIN'!$A$1:$O$99,15,0)),0,VLOOKUP($U$1865,'TAR FIN'!$A$1:$O$99,15,0))</f>
        <v>230.53</v>
      </c>
      <c r="Y1865" s="4"/>
      <c r="Z1865" s="4">
        <f ca="1">('TUSD BE'!$AM$59+'TUSD BF'!$AM$59+'TUSD CVA'!$AM$59)*1</f>
        <v>466.61942630573992</v>
      </c>
      <c r="AA1865" s="4">
        <f>('TE BE'!$AA$41+'TE BF'!$AA$41+'TE CVA'!$AA$41)*1</f>
        <v>283.86889449376815</v>
      </c>
      <c r="AB1865" s="4">
        <f>$K$1865*$V$1865</f>
        <v>0</v>
      </c>
      <c r="AC1865" s="4">
        <f>$M$1865*$W$1865</f>
        <v>59121.804479999992</v>
      </c>
      <c r="AD1865" s="4">
        <f>$O$1865*$X$1865</f>
        <v>34454.091679999998</v>
      </c>
      <c r="AE1865" s="4">
        <f>$K$1865*$Y$1865</f>
        <v>0</v>
      </c>
      <c r="AF1865" s="4">
        <f ca="1">$M$1865*$Z$1865</f>
        <v>69739.072977950666</v>
      </c>
      <c r="AG1865" s="4">
        <f>$O$1865*$AA$1865</f>
        <v>42425.909495460612</v>
      </c>
    </row>
    <row r="1866" spans="1:33" ht="11.25" customHeight="1" x14ac:dyDescent="0.25">
      <c r="A1866" s="3" t="s">
        <v>27</v>
      </c>
      <c r="B1866" s="3" t="s">
        <v>39</v>
      </c>
      <c r="C1866" s="3" t="s">
        <v>23</v>
      </c>
      <c r="D1866" s="3" t="s">
        <v>52</v>
      </c>
      <c r="E1866" s="3" t="s">
        <v>25</v>
      </c>
      <c r="F1866" s="3" t="s">
        <v>25</v>
      </c>
      <c r="G1866" s="3" t="s">
        <v>25</v>
      </c>
      <c r="H1866" s="3" t="s">
        <v>25</v>
      </c>
      <c r="I1866" s="6">
        <v>44409</v>
      </c>
      <c r="J1866" s="4">
        <v>0</v>
      </c>
      <c r="K1866" s="4">
        <v>0</v>
      </c>
      <c r="L1866" s="4">
        <v>5.3869999999999996</v>
      </c>
      <c r="M1866" s="4">
        <v>5.3869999999999996</v>
      </c>
      <c r="N1866" s="4">
        <v>5.3869999999999996</v>
      </c>
      <c r="O1866" s="4">
        <v>5.3869999999999996</v>
      </c>
      <c r="P1866" s="4">
        <v>1</v>
      </c>
      <c r="Q1866" s="3" t="s">
        <v>26</v>
      </c>
      <c r="R1866" s="3">
        <v>0</v>
      </c>
      <c r="S1866" s="4">
        <v>0</v>
      </c>
      <c r="T1866" s="4">
        <v>45</v>
      </c>
      <c r="U1866" s="4">
        <v>85</v>
      </c>
      <c r="V1866" s="4">
        <f>IF(ISERROR(VLOOKUP($S$1866,'TAR FIN'!$A$1:$O$99,15,0)),0,VLOOKUP($S$1866,'TAR FIN'!$A$1:$O$99,15,0))</f>
        <v>0</v>
      </c>
      <c r="W1866" s="4">
        <f>IF(ISERROR(VLOOKUP($T$1866,'TAR FIN'!$A$1:$O$99,15,0)),0,VLOOKUP($T$1866,'TAR FIN'!$A$1:$O$99,15,0))</f>
        <v>395.58</v>
      </c>
      <c r="X1866" s="4">
        <f>IF(ISERROR(VLOOKUP($U$1866,'TAR FIN'!$A$1:$O$99,15,0)),0,VLOOKUP($U$1866,'TAR FIN'!$A$1:$O$99,15,0))</f>
        <v>230.53</v>
      </c>
      <c r="Y1866" s="4"/>
      <c r="Z1866" s="4">
        <f ca="1">('TUSD BE'!$AM$59+'TUSD BF'!$AM$59+'TUSD CVA'!$AM$59)*1</f>
        <v>466.61942630573992</v>
      </c>
      <c r="AA1866" s="4">
        <f>('TE BE'!$AA$41+'TE BF'!$AA$41+'TE CVA'!$AA$41)*1</f>
        <v>283.86889449376815</v>
      </c>
      <c r="AB1866" s="4">
        <f>$K$1866*$V$1866</f>
        <v>0</v>
      </c>
      <c r="AC1866" s="4">
        <f>$M$1866*$W$1866</f>
        <v>2130.9894599999998</v>
      </c>
      <c r="AD1866" s="4">
        <f>$O$1866*$X$1866</f>
        <v>1241.86511</v>
      </c>
      <c r="AE1866" s="4">
        <f>$K$1866*$Y$1866</f>
        <v>0</v>
      </c>
      <c r="AF1866" s="4">
        <f ca="1">$M$1866*$Z$1866</f>
        <v>2513.6788495090209</v>
      </c>
      <c r="AG1866" s="4">
        <f>$O$1866*$AA$1866</f>
        <v>1529.2017346379289</v>
      </c>
    </row>
    <row r="1867" spans="1:33" ht="11.25" customHeight="1" x14ac:dyDescent="0.25">
      <c r="A1867" s="3" t="s">
        <v>21</v>
      </c>
      <c r="B1867" s="3" t="s">
        <v>39</v>
      </c>
      <c r="C1867" s="3" t="s">
        <v>23</v>
      </c>
      <c r="D1867" s="3" t="s">
        <v>52</v>
      </c>
      <c r="E1867" s="3" t="s">
        <v>25</v>
      </c>
      <c r="F1867" s="3" t="s">
        <v>25</v>
      </c>
      <c r="G1867" s="3" t="s">
        <v>25</v>
      </c>
      <c r="H1867" s="3" t="s">
        <v>25</v>
      </c>
      <c r="I1867" s="6">
        <v>44440</v>
      </c>
      <c r="J1867" s="4">
        <v>0</v>
      </c>
      <c r="K1867" s="4">
        <v>0</v>
      </c>
      <c r="L1867" s="4">
        <v>172.93899999999999</v>
      </c>
      <c r="M1867" s="4">
        <v>172.93899999999999</v>
      </c>
      <c r="N1867" s="4">
        <v>172.93899999999999</v>
      </c>
      <c r="O1867" s="4">
        <v>172.93899999999999</v>
      </c>
      <c r="P1867" s="4">
        <v>80</v>
      </c>
      <c r="Q1867" s="3" t="s">
        <v>26</v>
      </c>
      <c r="R1867" s="3">
        <v>0</v>
      </c>
      <c r="S1867" s="4">
        <v>0</v>
      </c>
      <c r="T1867" s="4">
        <v>45</v>
      </c>
      <c r="U1867" s="4">
        <v>85</v>
      </c>
      <c r="V1867" s="4">
        <f>IF(ISERROR(VLOOKUP($S$1867,'TAR FIN'!$A$1:$O$99,15,0)),0,VLOOKUP($S$1867,'TAR FIN'!$A$1:$O$99,15,0))</f>
        <v>0</v>
      </c>
      <c r="W1867" s="4">
        <f>IF(ISERROR(VLOOKUP($T$1867,'TAR FIN'!$A$1:$O$99,15,0)),0,VLOOKUP($T$1867,'TAR FIN'!$A$1:$O$99,15,0))</f>
        <v>395.58</v>
      </c>
      <c r="X1867" s="4">
        <f>IF(ISERROR(VLOOKUP($U$1867,'TAR FIN'!$A$1:$O$99,15,0)),0,VLOOKUP($U$1867,'TAR FIN'!$A$1:$O$99,15,0))</f>
        <v>230.53</v>
      </c>
      <c r="Y1867" s="4"/>
      <c r="Z1867" s="4">
        <f ca="1">('TUSD BE'!$AM$59+'TUSD BF'!$AM$59+'TUSD CVA'!$AM$59)*1</f>
        <v>466.61942630573992</v>
      </c>
      <c r="AA1867" s="4">
        <f>('TE BE'!$AA$41+'TE BF'!$AA$41+'TE CVA'!$AA$41)*1</f>
        <v>283.86889449376815</v>
      </c>
      <c r="AB1867" s="4">
        <f>$K$1867*$V$1867</f>
        <v>0</v>
      </c>
      <c r="AC1867" s="4">
        <f>$M$1867*$W$1867</f>
        <v>68411.209619999994</v>
      </c>
      <c r="AD1867" s="4">
        <f>$O$1867*$X$1867</f>
        <v>39867.627670000002</v>
      </c>
      <c r="AE1867" s="4">
        <f>$K$1867*$Y$1867</f>
        <v>0</v>
      </c>
      <c r="AF1867" s="4">
        <f ca="1">$M$1867*$Z$1867</f>
        <v>80696.696965888346</v>
      </c>
      <c r="AG1867" s="4">
        <f>$O$1867*$AA$1867</f>
        <v>49092.002744857768</v>
      </c>
    </row>
    <row r="1868" spans="1:33" ht="11.25" customHeight="1" x14ac:dyDescent="0.25">
      <c r="A1868" s="3" t="s">
        <v>27</v>
      </c>
      <c r="B1868" s="3" t="s">
        <v>39</v>
      </c>
      <c r="C1868" s="3" t="s">
        <v>23</v>
      </c>
      <c r="D1868" s="3" t="s">
        <v>52</v>
      </c>
      <c r="E1868" s="3" t="s">
        <v>25</v>
      </c>
      <c r="F1868" s="3" t="s">
        <v>25</v>
      </c>
      <c r="G1868" s="3" t="s">
        <v>25</v>
      </c>
      <c r="H1868" s="3" t="s">
        <v>25</v>
      </c>
      <c r="I1868" s="6">
        <v>44440</v>
      </c>
      <c r="J1868" s="4">
        <v>0</v>
      </c>
      <c r="K1868" s="4">
        <v>0</v>
      </c>
      <c r="L1868" s="4">
        <v>2.1259999999999999</v>
      </c>
      <c r="M1868" s="4">
        <v>2.1259999999999999</v>
      </c>
      <c r="N1868" s="4">
        <v>2.1259999999999999</v>
      </c>
      <c r="O1868" s="4">
        <v>2.1259999999999999</v>
      </c>
      <c r="P1868" s="4">
        <v>0</v>
      </c>
      <c r="Q1868" s="3" t="s">
        <v>26</v>
      </c>
      <c r="R1868" s="3">
        <v>0</v>
      </c>
      <c r="S1868" s="4">
        <v>0</v>
      </c>
      <c r="T1868" s="4">
        <v>45</v>
      </c>
      <c r="U1868" s="4">
        <v>85</v>
      </c>
      <c r="V1868" s="4">
        <f>IF(ISERROR(VLOOKUP($S$1868,'TAR FIN'!$A$1:$O$99,15,0)),0,VLOOKUP($S$1868,'TAR FIN'!$A$1:$O$99,15,0))</f>
        <v>0</v>
      </c>
      <c r="W1868" s="4">
        <f>IF(ISERROR(VLOOKUP($T$1868,'TAR FIN'!$A$1:$O$99,15,0)),0,VLOOKUP($T$1868,'TAR FIN'!$A$1:$O$99,15,0))</f>
        <v>395.58</v>
      </c>
      <c r="X1868" s="4">
        <f>IF(ISERROR(VLOOKUP($U$1868,'TAR FIN'!$A$1:$O$99,15,0)),0,VLOOKUP($U$1868,'TAR FIN'!$A$1:$O$99,15,0))</f>
        <v>230.53</v>
      </c>
      <c r="Y1868" s="4"/>
      <c r="Z1868" s="4">
        <f ca="1">('TUSD BE'!$AM$59+'TUSD BF'!$AM$59+'TUSD CVA'!$AM$59)*1</f>
        <v>466.61942630573992</v>
      </c>
      <c r="AA1868" s="4">
        <f>('TE BE'!$AA$41+'TE BF'!$AA$41+'TE CVA'!$AA$41)*1</f>
        <v>283.86889449376815</v>
      </c>
      <c r="AB1868" s="4">
        <f>$K$1868*$V$1868</f>
        <v>0</v>
      </c>
      <c r="AC1868" s="4">
        <f>$M$1868*$W$1868</f>
        <v>841.00307999999995</v>
      </c>
      <c r="AD1868" s="4">
        <f>$O$1868*$X$1868</f>
        <v>490.10677999999996</v>
      </c>
      <c r="AE1868" s="4">
        <f>$K$1868*$Y$1868</f>
        <v>0</v>
      </c>
      <c r="AF1868" s="4">
        <f ca="1">$M$1868*$Z$1868</f>
        <v>992.03290032600307</v>
      </c>
      <c r="AG1868" s="4">
        <f>$O$1868*$AA$1868</f>
        <v>603.50526969375107</v>
      </c>
    </row>
    <row r="1869" spans="1:33" ht="11.25" customHeight="1" x14ac:dyDescent="0.25">
      <c r="A1869" s="3" t="s">
        <v>21</v>
      </c>
      <c r="B1869" s="3" t="s">
        <v>39</v>
      </c>
      <c r="C1869" s="3" t="s">
        <v>23</v>
      </c>
      <c r="D1869" s="3" t="s">
        <v>52</v>
      </c>
      <c r="E1869" s="3" t="s">
        <v>25</v>
      </c>
      <c r="F1869" s="3" t="s">
        <v>25</v>
      </c>
      <c r="G1869" s="3" t="s">
        <v>25</v>
      </c>
      <c r="H1869" s="3" t="s">
        <v>25</v>
      </c>
      <c r="I1869" s="6">
        <v>44470</v>
      </c>
      <c r="J1869" s="4">
        <v>0</v>
      </c>
      <c r="K1869" s="4">
        <v>0</v>
      </c>
      <c r="L1869" s="4">
        <v>182.76599999999999</v>
      </c>
      <c r="M1869" s="4">
        <v>182.76599999999999</v>
      </c>
      <c r="N1869" s="4">
        <v>182.76599999999999</v>
      </c>
      <c r="O1869" s="4">
        <v>182.76599999999999</v>
      </c>
      <c r="P1869" s="4">
        <v>77</v>
      </c>
      <c r="Q1869" s="3" t="s">
        <v>26</v>
      </c>
      <c r="R1869" s="3">
        <v>0</v>
      </c>
      <c r="S1869" s="4">
        <v>0</v>
      </c>
      <c r="T1869" s="4">
        <v>45</v>
      </c>
      <c r="U1869" s="4">
        <v>85</v>
      </c>
      <c r="V1869" s="4">
        <f>IF(ISERROR(VLOOKUP($S$1869,'TAR FIN'!$A$1:$O$99,15,0)),0,VLOOKUP($S$1869,'TAR FIN'!$A$1:$O$99,15,0))</f>
        <v>0</v>
      </c>
      <c r="W1869" s="4">
        <f>IF(ISERROR(VLOOKUP($T$1869,'TAR FIN'!$A$1:$O$99,15,0)),0,VLOOKUP($T$1869,'TAR FIN'!$A$1:$O$99,15,0))</f>
        <v>395.58</v>
      </c>
      <c r="X1869" s="4">
        <f>IF(ISERROR(VLOOKUP($U$1869,'TAR FIN'!$A$1:$O$99,15,0)),0,VLOOKUP($U$1869,'TAR FIN'!$A$1:$O$99,15,0))</f>
        <v>230.53</v>
      </c>
      <c r="Y1869" s="4"/>
      <c r="Z1869" s="4">
        <f ca="1">('TUSD BE'!$AM$59+'TUSD BF'!$AM$59+'TUSD CVA'!$AM$59)*1</f>
        <v>466.61942630573992</v>
      </c>
      <c r="AA1869" s="4">
        <f>('TE BE'!$AA$41+'TE BF'!$AA$41+'TE CVA'!$AA$41)*1</f>
        <v>283.86889449376815</v>
      </c>
      <c r="AB1869" s="4">
        <f>$K$1869*$V$1869</f>
        <v>0</v>
      </c>
      <c r="AC1869" s="4">
        <f>$M$1869*$W$1869</f>
        <v>72298.574280000001</v>
      </c>
      <c r="AD1869" s="4">
        <f>$O$1869*$X$1869</f>
        <v>42133.045979999995</v>
      </c>
      <c r="AE1869" s="4">
        <f>$K$1869*$Y$1869</f>
        <v>0</v>
      </c>
      <c r="AF1869" s="4">
        <f ca="1">$M$1869*$Z$1869</f>
        <v>85282.166068194856</v>
      </c>
      <c r="AG1869" s="4">
        <f>$O$1869*$AA$1869</f>
        <v>51881.582371048025</v>
      </c>
    </row>
    <row r="1870" spans="1:33" ht="11.25" customHeight="1" x14ac:dyDescent="0.25">
      <c r="A1870" s="3" t="s">
        <v>27</v>
      </c>
      <c r="B1870" s="3" t="s">
        <v>39</v>
      </c>
      <c r="C1870" s="3" t="s">
        <v>23</v>
      </c>
      <c r="D1870" s="3" t="s">
        <v>52</v>
      </c>
      <c r="E1870" s="3" t="s">
        <v>25</v>
      </c>
      <c r="F1870" s="3" t="s">
        <v>25</v>
      </c>
      <c r="G1870" s="3" t="s">
        <v>25</v>
      </c>
      <c r="H1870" s="3" t="s">
        <v>25</v>
      </c>
      <c r="I1870" s="6">
        <v>44470</v>
      </c>
      <c r="J1870" s="4">
        <v>0</v>
      </c>
      <c r="K1870" s="4">
        <v>0</v>
      </c>
      <c r="L1870" s="4">
        <v>-1.242</v>
      </c>
      <c r="M1870" s="4">
        <v>-1.242</v>
      </c>
      <c r="N1870" s="4">
        <v>-1.242</v>
      </c>
      <c r="O1870" s="4">
        <v>-1.242</v>
      </c>
      <c r="P1870" s="4">
        <v>0</v>
      </c>
      <c r="Q1870" s="3" t="s">
        <v>26</v>
      </c>
      <c r="R1870" s="3">
        <v>0</v>
      </c>
      <c r="S1870" s="4">
        <v>0</v>
      </c>
      <c r="T1870" s="4">
        <v>45</v>
      </c>
      <c r="U1870" s="4">
        <v>85</v>
      </c>
      <c r="V1870" s="4">
        <f>IF(ISERROR(VLOOKUP($S$1870,'TAR FIN'!$A$1:$O$99,15,0)),0,VLOOKUP($S$1870,'TAR FIN'!$A$1:$O$99,15,0))</f>
        <v>0</v>
      </c>
      <c r="W1870" s="4">
        <f>IF(ISERROR(VLOOKUP($T$1870,'TAR FIN'!$A$1:$O$99,15,0)),0,VLOOKUP($T$1870,'TAR FIN'!$A$1:$O$99,15,0))</f>
        <v>395.58</v>
      </c>
      <c r="X1870" s="4">
        <f>IF(ISERROR(VLOOKUP($U$1870,'TAR FIN'!$A$1:$O$99,15,0)),0,VLOOKUP($U$1870,'TAR FIN'!$A$1:$O$99,15,0))</f>
        <v>230.53</v>
      </c>
      <c r="Y1870" s="4"/>
      <c r="Z1870" s="4">
        <f ca="1">('TUSD BE'!$AM$59+'TUSD BF'!$AM$59+'TUSD CVA'!$AM$59)*1</f>
        <v>466.61942630573992</v>
      </c>
      <c r="AA1870" s="4">
        <f>('TE BE'!$AA$41+'TE BF'!$AA$41+'TE CVA'!$AA$41)*1</f>
        <v>283.86889449376815</v>
      </c>
      <c r="AB1870" s="4">
        <f>$K$1870*$V$1870</f>
        <v>0</v>
      </c>
      <c r="AC1870" s="4">
        <f>$M$1870*$W$1870</f>
        <v>-491.31036</v>
      </c>
      <c r="AD1870" s="4">
        <f>$O$1870*$X$1870</f>
        <v>-286.31826000000001</v>
      </c>
      <c r="AE1870" s="4">
        <f>$K$1870*$Y$1870</f>
        <v>0</v>
      </c>
      <c r="AF1870" s="4">
        <f ca="1">$M$1870*$Z$1870</f>
        <v>-579.54132747172901</v>
      </c>
      <c r="AG1870" s="4">
        <f>$O$1870*$AA$1870</f>
        <v>-352.56516696126005</v>
      </c>
    </row>
    <row r="1871" spans="1:33" ht="11.25" customHeight="1" x14ac:dyDescent="0.25">
      <c r="A1871" s="3" t="s">
        <v>21</v>
      </c>
      <c r="B1871" s="3" t="s">
        <v>39</v>
      </c>
      <c r="C1871" s="3" t="s">
        <v>23</v>
      </c>
      <c r="D1871" s="3" t="s">
        <v>52</v>
      </c>
      <c r="E1871" s="3" t="s">
        <v>25</v>
      </c>
      <c r="F1871" s="3" t="s">
        <v>25</v>
      </c>
      <c r="G1871" s="3" t="s">
        <v>25</v>
      </c>
      <c r="H1871" s="3" t="s">
        <v>25</v>
      </c>
      <c r="I1871" s="6">
        <v>44501</v>
      </c>
      <c r="J1871" s="4">
        <v>0</v>
      </c>
      <c r="K1871" s="4">
        <v>0</v>
      </c>
      <c r="L1871" s="4">
        <v>199.899</v>
      </c>
      <c r="M1871" s="4">
        <v>199.899</v>
      </c>
      <c r="N1871" s="4">
        <v>199.899</v>
      </c>
      <c r="O1871" s="4">
        <v>199.899</v>
      </c>
      <c r="P1871" s="4">
        <v>78</v>
      </c>
      <c r="Q1871" s="3" t="s">
        <v>26</v>
      </c>
      <c r="R1871" s="3">
        <v>0</v>
      </c>
      <c r="S1871" s="4">
        <v>0</v>
      </c>
      <c r="T1871" s="4">
        <v>45</v>
      </c>
      <c r="U1871" s="4">
        <v>85</v>
      </c>
      <c r="V1871" s="4">
        <f>IF(ISERROR(VLOOKUP($S$1871,'TAR FIN'!$A$1:$O$99,15,0)),0,VLOOKUP($S$1871,'TAR FIN'!$A$1:$O$99,15,0))</f>
        <v>0</v>
      </c>
      <c r="W1871" s="4">
        <f>IF(ISERROR(VLOOKUP($T$1871,'TAR FIN'!$A$1:$O$99,15,0)),0,VLOOKUP($T$1871,'TAR FIN'!$A$1:$O$99,15,0))</f>
        <v>395.58</v>
      </c>
      <c r="X1871" s="4">
        <f>IF(ISERROR(VLOOKUP($U$1871,'TAR FIN'!$A$1:$O$99,15,0)),0,VLOOKUP($U$1871,'TAR FIN'!$A$1:$O$99,15,0))</f>
        <v>230.53</v>
      </c>
      <c r="Y1871" s="4"/>
      <c r="Z1871" s="4">
        <f ca="1">('TUSD BE'!$AM$59+'TUSD BF'!$AM$59+'TUSD CVA'!$AM$59)*1</f>
        <v>466.61942630573992</v>
      </c>
      <c r="AA1871" s="4">
        <f>('TE BE'!$AA$41+'TE BF'!$AA$41+'TE CVA'!$AA$41)*1</f>
        <v>283.86889449376815</v>
      </c>
      <c r="AB1871" s="4">
        <f>$K$1871*$V$1871</f>
        <v>0</v>
      </c>
      <c r="AC1871" s="4">
        <f>$M$1871*$W$1871</f>
        <v>79076.046419999999</v>
      </c>
      <c r="AD1871" s="4">
        <f>$O$1871*$X$1871</f>
        <v>46082.716469999999</v>
      </c>
      <c r="AE1871" s="4">
        <f>$K$1871*$Y$1871</f>
        <v>0</v>
      </c>
      <c r="AF1871" s="4">
        <f ca="1">$M$1871*$Z$1871</f>
        <v>93276.7566990911</v>
      </c>
      <c r="AG1871" s="4">
        <f>$O$1871*$AA$1871</f>
        <v>56745.108140409757</v>
      </c>
    </row>
    <row r="1872" spans="1:33" ht="11.25" customHeight="1" x14ac:dyDescent="0.25">
      <c r="A1872" s="3" t="s">
        <v>27</v>
      </c>
      <c r="B1872" s="3" t="s">
        <v>39</v>
      </c>
      <c r="C1872" s="3" t="s">
        <v>23</v>
      </c>
      <c r="D1872" s="3" t="s">
        <v>52</v>
      </c>
      <c r="E1872" s="3" t="s">
        <v>25</v>
      </c>
      <c r="F1872" s="3" t="s">
        <v>25</v>
      </c>
      <c r="G1872" s="3" t="s">
        <v>25</v>
      </c>
      <c r="H1872" s="3" t="s">
        <v>25</v>
      </c>
      <c r="I1872" s="6">
        <v>44501</v>
      </c>
      <c r="J1872" s="4">
        <v>0</v>
      </c>
      <c r="K1872" s="4">
        <v>0</v>
      </c>
      <c r="L1872" s="4">
        <v>2.06</v>
      </c>
      <c r="M1872" s="4">
        <v>2.06</v>
      </c>
      <c r="N1872" s="4">
        <v>2.06</v>
      </c>
      <c r="O1872" s="4">
        <v>2.06</v>
      </c>
      <c r="P1872" s="4">
        <v>0</v>
      </c>
      <c r="Q1872" s="3" t="s">
        <v>26</v>
      </c>
      <c r="R1872" s="3">
        <v>0</v>
      </c>
      <c r="S1872" s="4">
        <v>0</v>
      </c>
      <c r="T1872" s="4">
        <v>45</v>
      </c>
      <c r="U1872" s="4">
        <v>85</v>
      </c>
      <c r="V1872" s="4">
        <f>IF(ISERROR(VLOOKUP($S$1872,'TAR FIN'!$A$1:$O$99,15,0)),0,VLOOKUP($S$1872,'TAR FIN'!$A$1:$O$99,15,0))</f>
        <v>0</v>
      </c>
      <c r="W1872" s="4">
        <f>IF(ISERROR(VLOOKUP($T$1872,'TAR FIN'!$A$1:$O$99,15,0)),0,VLOOKUP($T$1872,'TAR FIN'!$A$1:$O$99,15,0))</f>
        <v>395.58</v>
      </c>
      <c r="X1872" s="4">
        <f>IF(ISERROR(VLOOKUP($U$1872,'TAR FIN'!$A$1:$O$99,15,0)),0,VLOOKUP($U$1872,'TAR FIN'!$A$1:$O$99,15,0))</f>
        <v>230.53</v>
      </c>
      <c r="Y1872" s="4"/>
      <c r="Z1872" s="4">
        <f ca="1">('TUSD BE'!$AM$59+'TUSD BF'!$AM$59+'TUSD CVA'!$AM$59)*1</f>
        <v>466.61942630573992</v>
      </c>
      <c r="AA1872" s="4">
        <f>('TE BE'!$AA$41+'TE BF'!$AA$41+'TE CVA'!$AA$41)*1</f>
        <v>283.86889449376815</v>
      </c>
      <c r="AB1872" s="4">
        <f>$K$1872*$V$1872</f>
        <v>0</v>
      </c>
      <c r="AC1872" s="4">
        <f>$M$1872*$W$1872</f>
        <v>814.89480000000003</v>
      </c>
      <c r="AD1872" s="4">
        <f>$O$1872*$X$1872</f>
        <v>474.89179999999999</v>
      </c>
      <c r="AE1872" s="4">
        <f>$K$1872*$Y$1872</f>
        <v>0</v>
      </c>
      <c r="AF1872" s="4">
        <f ca="1">$M$1872*$Z$1872</f>
        <v>961.23601818982422</v>
      </c>
      <c r="AG1872" s="4">
        <f>$O$1872*$AA$1872</f>
        <v>584.7699226571624</v>
      </c>
    </row>
    <row r="1873" spans="1:33" ht="11.25" customHeight="1" x14ac:dyDescent="0.25">
      <c r="A1873" s="3" t="s">
        <v>21</v>
      </c>
      <c r="B1873" s="3" t="s">
        <v>39</v>
      </c>
      <c r="C1873" s="3" t="s">
        <v>23</v>
      </c>
      <c r="D1873" s="3" t="s">
        <v>52</v>
      </c>
      <c r="E1873" s="3" t="s">
        <v>25</v>
      </c>
      <c r="F1873" s="3" t="s">
        <v>25</v>
      </c>
      <c r="G1873" s="3" t="s">
        <v>25</v>
      </c>
      <c r="H1873" s="3" t="s">
        <v>25</v>
      </c>
      <c r="I1873" s="6">
        <v>44531</v>
      </c>
      <c r="J1873" s="4">
        <v>0</v>
      </c>
      <c r="K1873" s="4">
        <v>0</v>
      </c>
      <c r="L1873" s="4">
        <v>2481.085</v>
      </c>
      <c r="M1873" s="4">
        <v>2481.085</v>
      </c>
      <c r="N1873" s="4">
        <v>2481.085</v>
      </c>
      <c r="O1873" s="4">
        <v>2481.085</v>
      </c>
      <c r="P1873" s="4">
        <v>93</v>
      </c>
      <c r="Q1873" s="3" t="s">
        <v>26</v>
      </c>
      <c r="R1873" s="3">
        <v>0</v>
      </c>
      <c r="S1873" s="4">
        <v>0</v>
      </c>
      <c r="T1873" s="4">
        <v>45</v>
      </c>
      <c r="U1873" s="4">
        <v>85</v>
      </c>
      <c r="V1873" s="4">
        <f>IF(ISERROR(VLOOKUP($S$1873,'TAR FIN'!$A$1:$O$99,15,0)),0,VLOOKUP($S$1873,'TAR FIN'!$A$1:$O$99,15,0))</f>
        <v>0</v>
      </c>
      <c r="W1873" s="4">
        <f>IF(ISERROR(VLOOKUP($T$1873,'TAR FIN'!$A$1:$O$99,15,0)),0,VLOOKUP($T$1873,'TAR FIN'!$A$1:$O$99,15,0))</f>
        <v>395.58</v>
      </c>
      <c r="X1873" s="4">
        <f>IF(ISERROR(VLOOKUP($U$1873,'TAR FIN'!$A$1:$O$99,15,0)),0,VLOOKUP($U$1873,'TAR FIN'!$A$1:$O$99,15,0))</f>
        <v>230.53</v>
      </c>
      <c r="Y1873" s="4"/>
      <c r="Z1873" s="4">
        <f ca="1">('TUSD BE'!$AM$59+'TUSD BF'!$AM$59+'TUSD CVA'!$AM$59)*1</f>
        <v>466.61942630573992</v>
      </c>
      <c r="AA1873" s="4">
        <f>('TE BE'!$AA$41+'TE BF'!$AA$41+'TE CVA'!$AA$41)*1</f>
        <v>283.86889449376815</v>
      </c>
      <c r="AB1873" s="4">
        <f>$K$1873*$V$1873</f>
        <v>0</v>
      </c>
      <c r="AC1873" s="4">
        <f>$M$1873*$W$1873</f>
        <v>981467.60430000001</v>
      </c>
      <c r="AD1873" s="4">
        <f>$O$1873*$X$1873</f>
        <v>571964.52505000005</v>
      </c>
      <c r="AE1873" s="4">
        <f>$K$1873*$Y$1873</f>
        <v>0</v>
      </c>
      <c r="AF1873" s="4">
        <f ca="1">$M$1873*$Z$1873</f>
        <v>1157722.4593157768</v>
      </c>
      <c r="AG1873" s="4">
        <f>$O$1873*$AA$1873</f>
        <v>704302.85609507072</v>
      </c>
    </row>
    <row r="1874" spans="1:33" ht="11.25" customHeight="1" x14ac:dyDescent="0.25">
      <c r="A1874" s="3" t="s">
        <v>21</v>
      </c>
      <c r="B1874" s="3" t="s">
        <v>39</v>
      </c>
      <c r="C1874" s="3" t="s">
        <v>23</v>
      </c>
      <c r="D1874" s="3" t="s">
        <v>52</v>
      </c>
      <c r="E1874" s="3" t="s">
        <v>25</v>
      </c>
      <c r="F1874" s="3" t="s">
        <v>25</v>
      </c>
      <c r="G1874" s="3" t="s">
        <v>25</v>
      </c>
      <c r="H1874" s="3" t="s">
        <v>25</v>
      </c>
      <c r="I1874" s="6">
        <v>44562</v>
      </c>
      <c r="J1874" s="4">
        <v>0</v>
      </c>
      <c r="K1874" s="4">
        <v>0</v>
      </c>
      <c r="L1874" s="4">
        <v>237.035</v>
      </c>
      <c r="M1874" s="4">
        <v>237.035</v>
      </c>
      <c r="N1874" s="4">
        <v>237.035</v>
      </c>
      <c r="O1874" s="4">
        <v>237.035</v>
      </c>
      <c r="P1874" s="4">
        <v>82</v>
      </c>
      <c r="Q1874" s="3" t="s">
        <v>26</v>
      </c>
      <c r="R1874" s="3">
        <v>0</v>
      </c>
      <c r="S1874" s="4">
        <v>0</v>
      </c>
      <c r="T1874" s="4">
        <v>45</v>
      </c>
      <c r="U1874" s="4">
        <v>85</v>
      </c>
      <c r="V1874" s="4">
        <f>IF(ISERROR(VLOOKUP($S$1874,'TAR FIN'!$A$1:$O$99,15,0)),0,VLOOKUP($S$1874,'TAR FIN'!$A$1:$O$99,15,0))</f>
        <v>0</v>
      </c>
      <c r="W1874" s="4">
        <f>IF(ISERROR(VLOOKUP($T$1874,'TAR FIN'!$A$1:$O$99,15,0)),0,VLOOKUP($T$1874,'TAR FIN'!$A$1:$O$99,15,0))</f>
        <v>395.58</v>
      </c>
      <c r="X1874" s="4">
        <f>IF(ISERROR(VLOOKUP($U$1874,'TAR FIN'!$A$1:$O$99,15,0)),0,VLOOKUP($U$1874,'TAR FIN'!$A$1:$O$99,15,0))</f>
        <v>230.53</v>
      </c>
      <c r="Y1874" s="4"/>
      <c r="Z1874" s="4">
        <f ca="1">('TUSD BE'!$AM$59+'TUSD BF'!$AM$59+'TUSD CVA'!$AM$59)*1</f>
        <v>466.61942630573992</v>
      </c>
      <c r="AA1874" s="4">
        <f>('TE BE'!$AA$41+'TE BF'!$AA$41+'TE CVA'!$AA$41)*1</f>
        <v>283.86889449376815</v>
      </c>
      <c r="AB1874" s="4">
        <f>$K$1874*$V$1874</f>
        <v>0</v>
      </c>
      <c r="AC1874" s="4">
        <f>$M$1874*$W$1874</f>
        <v>93766.305299999993</v>
      </c>
      <c r="AD1874" s="4">
        <f>$O$1874*$X$1874</f>
        <v>54643.678549999997</v>
      </c>
      <c r="AE1874" s="4">
        <f>$K$1874*$Y$1874</f>
        <v>0</v>
      </c>
      <c r="AF1874" s="4">
        <f ca="1">$M$1874*$Z$1874</f>
        <v>110605.13571438106</v>
      </c>
      <c r="AG1874" s="4">
        <f>$O$1874*$AA$1874</f>
        <v>67286.863406330333</v>
      </c>
    </row>
    <row r="1875" spans="1:33" ht="11.25" customHeight="1" x14ac:dyDescent="0.25">
      <c r="A1875" s="3" t="s">
        <v>21</v>
      </c>
      <c r="B1875" s="3" t="s">
        <v>39</v>
      </c>
      <c r="C1875" s="3" t="s">
        <v>23</v>
      </c>
      <c r="D1875" s="3" t="s">
        <v>52</v>
      </c>
      <c r="E1875" s="3" t="s">
        <v>25</v>
      </c>
      <c r="F1875" s="3" t="s">
        <v>25</v>
      </c>
      <c r="G1875" s="3" t="s">
        <v>25</v>
      </c>
      <c r="H1875" s="3" t="s">
        <v>25</v>
      </c>
      <c r="I1875" s="6">
        <v>44593</v>
      </c>
      <c r="J1875" s="4">
        <v>0</v>
      </c>
      <c r="K1875" s="4">
        <v>0</v>
      </c>
      <c r="L1875" s="4">
        <v>233.012</v>
      </c>
      <c r="M1875" s="4">
        <v>233.012</v>
      </c>
      <c r="N1875" s="4">
        <v>233.012</v>
      </c>
      <c r="O1875" s="4">
        <v>233.012</v>
      </c>
      <c r="P1875" s="4">
        <v>85</v>
      </c>
      <c r="Q1875" s="3" t="s">
        <v>26</v>
      </c>
      <c r="R1875" s="3">
        <v>0</v>
      </c>
      <c r="S1875" s="4">
        <v>0</v>
      </c>
      <c r="T1875" s="4">
        <v>45</v>
      </c>
      <c r="U1875" s="4">
        <v>85</v>
      </c>
      <c r="V1875" s="4">
        <f>IF(ISERROR(VLOOKUP($S$1875,'TAR FIN'!$A$1:$O$99,15,0)),0,VLOOKUP($S$1875,'TAR FIN'!$A$1:$O$99,15,0))</f>
        <v>0</v>
      </c>
      <c r="W1875" s="4">
        <f>IF(ISERROR(VLOOKUP($T$1875,'TAR FIN'!$A$1:$O$99,15,0)),0,VLOOKUP($T$1875,'TAR FIN'!$A$1:$O$99,15,0))</f>
        <v>395.58</v>
      </c>
      <c r="X1875" s="4">
        <f>IF(ISERROR(VLOOKUP($U$1875,'TAR FIN'!$A$1:$O$99,15,0)),0,VLOOKUP($U$1875,'TAR FIN'!$A$1:$O$99,15,0))</f>
        <v>230.53</v>
      </c>
      <c r="Y1875" s="4"/>
      <c r="Z1875" s="4">
        <f ca="1">('TUSD BE'!$AM$59+'TUSD BF'!$AM$59+'TUSD CVA'!$AM$59)*1</f>
        <v>466.61942630573992</v>
      </c>
      <c r="AA1875" s="4">
        <f>('TE BE'!$AA$41+'TE BF'!$AA$41+'TE CVA'!$AA$41)*1</f>
        <v>283.86889449376815</v>
      </c>
      <c r="AB1875" s="4">
        <f>$K$1875*$V$1875</f>
        <v>0</v>
      </c>
      <c r="AC1875" s="4">
        <f>$M$1875*$W$1875</f>
        <v>92174.886960000003</v>
      </c>
      <c r="AD1875" s="4">
        <f>$O$1875*$X$1875</f>
        <v>53716.256359999999</v>
      </c>
      <c r="AE1875" s="4">
        <f>$K$1875*$Y$1875</f>
        <v>0</v>
      </c>
      <c r="AF1875" s="4">
        <f ca="1">$M$1875*$Z$1875</f>
        <v>108727.92576235307</v>
      </c>
      <c r="AG1875" s="4">
        <f>$O$1875*$AA$1875</f>
        <v>66144.858843781898</v>
      </c>
    </row>
    <row r="1876" spans="1:33" ht="11.25" customHeight="1" x14ac:dyDescent="0.25">
      <c r="A1876" s="3" t="s">
        <v>27</v>
      </c>
      <c r="B1876" s="3" t="s">
        <v>39</v>
      </c>
      <c r="C1876" s="3" t="s">
        <v>23</v>
      </c>
      <c r="D1876" s="3" t="s">
        <v>52</v>
      </c>
      <c r="E1876" s="3" t="s">
        <v>25</v>
      </c>
      <c r="F1876" s="3" t="s">
        <v>25</v>
      </c>
      <c r="G1876" s="3" t="s">
        <v>25</v>
      </c>
      <c r="H1876" s="3" t="s">
        <v>25</v>
      </c>
      <c r="I1876" s="6">
        <v>44593</v>
      </c>
      <c r="J1876" s="4">
        <v>0</v>
      </c>
      <c r="K1876" s="4">
        <v>0</v>
      </c>
      <c r="L1876" s="4">
        <v>4.1280000000000001</v>
      </c>
      <c r="M1876" s="4">
        <v>4.1280000000000001</v>
      </c>
      <c r="N1876" s="4">
        <v>4.1280000000000001</v>
      </c>
      <c r="O1876" s="4">
        <v>4.1280000000000001</v>
      </c>
      <c r="P1876" s="4">
        <v>0</v>
      </c>
      <c r="Q1876" s="3" t="s">
        <v>26</v>
      </c>
      <c r="R1876" s="3">
        <v>0</v>
      </c>
      <c r="S1876" s="4">
        <v>0</v>
      </c>
      <c r="T1876" s="4">
        <v>45</v>
      </c>
      <c r="U1876" s="4">
        <v>85</v>
      </c>
      <c r="V1876" s="4">
        <f>IF(ISERROR(VLOOKUP($S$1876,'TAR FIN'!$A$1:$O$99,15,0)),0,VLOOKUP($S$1876,'TAR FIN'!$A$1:$O$99,15,0))</f>
        <v>0</v>
      </c>
      <c r="W1876" s="4">
        <f>IF(ISERROR(VLOOKUP($T$1876,'TAR FIN'!$A$1:$O$99,15,0)),0,VLOOKUP($T$1876,'TAR FIN'!$A$1:$O$99,15,0))</f>
        <v>395.58</v>
      </c>
      <c r="X1876" s="4">
        <f>IF(ISERROR(VLOOKUP($U$1876,'TAR FIN'!$A$1:$O$99,15,0)),0,VLOOKUP($U$1876,'TAR FIN'!$A$1:$O$99,15,0))</f>
        <v>230.53</v>
      </c>
      <c r="Y1876" s="4"/>
      <c r="Z1876" s="4">
        <f ca="1">('TUSD BE'!$AM$59+'TUSD BF'!$AM$59+'TUSD CVA'!$AM$59)*1</f>
        <v>466.61942630573992</v>
      </c>
      <c r="AA1876" s="4">
        <f>('TE BE'!$AA$41+'TE BF'!$AA$41+'TE CVA'!$AA$41)*1</f>
        <v>283.86889449376815</v>
      </c>
      <c r="AB1876" s="4">
        <f>$K$1876*$V$1876</f>
        <v>0</v>
      </c>
      <c r="AC1876" s="4">
        <f>$M$1876*$W$1876</f>
        <v>1632.95424</v>
      </c>
      <c r="AD1876" s="4">
        <f>$O$1876*$X$1876</f>
        <v>951.62783999999999</v>
      </c>
      <c r="AE1876" s="4">
        <f>$K$1876*$Y$1876</f>
        <v>0</v>
      </c>
      <c r="AF1876" s="4">
        <f ca="1">$M$1876*$Z$1876</f>
        <v>1926.2049917900945</v>
      </c>
      <c r="AG1876" s="4">
        <f>$O$1876*$AA$1876</f>
        <v>1171.8107964702749</v>
      </c>
    </row>
    <row r="1877" spans="1:33" ht="11.25" customHeight="1" x14ac:dyDescent="0.25">
      <c r="A1877" s="3" t="s">
        <v>21</v>
      </c>
      <c r="B1877" s="3" t="s">
        <v>39</v>
      </c>
      <c r="C1877" s="3" t="s">
        <v>23</v>
      </c>
      <c r="D1877" s="3" t="s">
        <v>52</v>
      </c>
      <c r="E1877" s="3" t="s">
        <v>25</v>
      </c>
      <c r="F1877" s="3" t="s">
        <v>25</v>
      </c>
      <c r="G1877" s="3" t="s">
        <v>25</v>
      </c>
      <c r="H1877" s="3" t="s">
        <v>25</v>
      </c>
      <c r="I1877" s="6">
        <v>44621</v>
      </c>
      <c r="J1877" s="4">
        <v>0</v>
      </c>
      <c r="K1877" s="4">
        <v>0</v>
      </c>
      <c r="L1877" s="4">
        <v>230.875</v>
      </c>
      <c r="M1877" s="4">
        <v>230.875</v>
      </c>
      <c r="N1877" s="4">
        <v>230.875</v>
      </c>
      <c r="O1877" s="4">
        <v>230.875</v>
      </c>
      <c r="P1877" s="4">
        <v>83</v>
      </c>
      <c r="Q1877" s="3" t="s">
        <v>26</v>
      </c>
      <c r="R1877" s="3">
        <v>0</v>
      </c>
      <c r="S1877" s="4">
        <v>0</v>
      </c>
      <c r="T1877" s="4">
        <v>45</v>
      </c>
      <c r="U1877" s="4">
        <v>85</v>
      </c>
      <c r="V1877" s="4">
        <f>IF(ISERROR(VLOOKUP($S$1877,'TAR FIN'!$A$1:$O$99,15,0)),0,VLOOKUP($S$1877,'TAR FIN'!$A$1:$O$99,15,0))</f>
        <v>0</v>
      </c>
      <c r="W1877" s="4">
        <f>IF(ISERROR(VLOOKUP($T$1877,'TAR FIN'!$A$1:$O$99,15,0)),0,VLOOKUP($T$1877,'TAR FIN'!$A$1:$O$99,15,0))</f>
        <v>395.58</v>
      </c>
      <c r="X1877" s="4">
        <f>IF(ISERROR(VLOOKUP($U$1877,'TAR FIN'!$A$1:$O$99,15,0)),0,VLOOKUP($U$1877,'TAR FIN'!$A$1:$O$99,15,0))</f>
        <v>230.53</v>
      </c>
      <c r="Y1877" s="4"/>
      <c r="Z1877" s="4">
        <f ca="1">('TUSD BE'!$AM$59+'TUSD BF'!$AM$59+'TUSD CVA'!$AM$59)*1</f>
        <v>466.61942630573992</v>
      </c>
      <c r="AA1877" s="4">
        <f>('TE BE'!$AA$41+'TE BF'!$AA$41+'TE CVA'!$AA$41)*1</f>
        <v>283.86889449376815</v>
      </c>
      <c r="AB1877" s="4">
        <f>$K$1877*$V$1877</f>
        <v>0</v>
      </c>
      <c r="AC1877" s="4">
        <f>$M$1877*$W$1877</f>
        <v>91329.532500000001</v>
      </c>
      <c r="AD1877" s="4">
        <f>$O$1877*$X$1877</f>
        <v>53223.613749999997</v>
      </c>
      <c r="AE1877" s="4">
        <f>$K$1877*$Y$1877</f>
        <v>0</v>
      </c>
      <c r="AF1877" s="4">
        <f ca="1">$M$1877*$Z$1877</f>
        <v>107730.7600483377</v>
      </c>
      <c r="AG1877" s="4">
        <f>$O$1877*$AA$1877</f>
        <v>65538.231016248727</v>
      </c>
    </row>
    <row r="1878" spans="1:33" ht="11.25" customHeight="1" x14ac:dyDescent="0.25">
      <c r="A1878" s="3" t="s">
        <v>27</v>
      </c>
      <c r="B1878" s="3" t="s">
        <v>39</v>
      </c>
      <c r="C1878" s="3" t="s">
        <v>23</v>
      </c>
      <c r="D1878" s="3" t="s">
        <v>52</v>
      </c>
      <c r="E1878" s="3" t="s">
        <v>25</v>
      </c>
      <c r="F1878" s="3" t="s">
        <v>25</v>
      </c>
      <c r="G1878" s="3" t="s">
        <v>25</v>
      </c>
      <c r="H1878" s="3" t="s">
        <v>25</v>
      </c>
      <c r="I1878" s="6">
        <v>44621</v>
      </c>
      <c r="J1878" s="4">
        <v>0</v>
      </c>
      <c r="K1878" s="4">
        <v>0</v>
      </c>
      <c r="L1878" s="4">
        <v>137.595</v>
      </c>
      <c r="M1878" s="4">
        <v>137.595</v>
      </c>
      <c r="N1878" s="4">
        <v>137.595</v>
      </c>
      <c r="O1878" s="4">
        <v>137.595</v>
      </c>
      <c r="P1878" s="4">
        <v>1</v>
      </c>
      <c r="Q1878" s="3" t="s">
        <v>26</v>
      </c>
      <c r="R1878" s="3">
        <v>0</v>
      </c>
      <c r="S1878" s="4">
        <v>0</v>
      </c>
      <c r="T1878" s="4">
        <v>45</v>
      </c>
      <c r="U1878" s="4">
        <v>85</v>
      </c>
      <c r="V1878" s="4">
        <f>IF(ISERROR(VLOOKUP($S$1878,'TAR FIN'!$A$1:$O$99,15,0)),0,VLOOKUP($S$1878,'TAR FIN'!$A$1:$O$99,15,0))</f>
        <v>0</v>
      </c>
      <c r="W1878" s="4">
        <f>IF(ISERROR(VLOOKUP($T$1878,'TAR FIN'!$A$1:$O$99,15,0)),0,VLOOKUP($T$1878,'TAR FIN'!$A$1:$O$99,15,0))</f>
        <v>395.58</v>
      </c>
      <c r="X1878" s="4">
        <f>IF(ISERROR(VLOOKUP($U$1878,'TAR FIN'!$A$1:$O$99,15,0)),0,VLOOKUP($U$1878,'TAR FIN'!$A$1:$O$99,15,0))</f>
        <v>230.53</v>
      </c>
      <c r="Y1878" s="4"/>
      <c r="Z1878" s="4">
        <f ca="1">('TUSD BE'!$AM$59+'TUSD BF'!$AM$59+'TUSD CVA'!$AM$59)*1</f>
        <v>466.61942630573992</v>
      </c>
      <c r="AA1878" s="4">
        <f>('TE BE'!$AA$41+'TE BF'!$AA$41+'TE CVA'!$AA$41)*1</f>
        <v>283.86889449376815</v>
      </c>
      <c r="AB1878" s="4">
        <f>$K$1878*$V$1878</f>
        <v>0</v>
      </c>
      <c r="AC1878" s="4">
        <f>$M$1878*$W$1878</f>
        <v>54429.830099999999</v>
      </c>
      <c r="AD1878" s="4">
        <f>$O$1878*$X$1878</f>
        <v>31719.77535</v>
      </c>
      <c r="AE1878" s="4">
        <f>$K$1878*$Y$1878</f>
        <v>0</v>
      </c>
      <c r="AF1878" s="4">
        <f ca="1">$M$1878*$Z$1878</f>
        <v>64204.499962538284</v>
      </c>
      <c r="AG1878" s="4">
        <f>$O$1878*$AA$1878</f>
        <v>39058.940537870032</v>
      </c>
    </row>
    <row r="1879" spans="1:33" ht="11.25" customHeight="1" x14ac:dyDescent="0.25">
      <c r="A1879" s="3" t="s">
        <v>56</v>
      </c>
      <c r="B1879" s="3" t="s">
        <v>39</v>
      </c>
      <c r="C1879" s="3" t="s">
        <v>23</v>
      </c>
      <c r="D1879" s="3" t="s">
        <v>52</v>
      </c>
      <c r="E1879" s="3" t="s">
        <v>25</v>
      </c>
      <c r="F1879" s="3" t="s">
        <v>25</v>
      </c>
      <c r="G1879" s="3" t="s">
        <v>25</v>
      </c>
      <c r="H1879" s="3" t="s">
        <v>25</v>
      </c>
      <c r="I1879" s="6">
        <v>44652</v>
      </c>
      <c r="J1879" s="4">
        <v>0</v>
      </c>
      <c r="K1879" s="4">
        <v>0</v>
      </c>
      <c r="L1879" s="4">
        <v>230.875</v>
      </c>
      <c r="M1879" s="4">
        <v>230.875</v>
      </c>
      <c r="N1879" s="4">
        <v>230.875</v>
      </c>
      <c r="O1879" s="4">
        <v>230.875</v>
      </c>
      <c r="P1879" s="4">
        <v>83</v>
      </c>
      <c r="Q1879" s="3" t="s">
        <v>26</v>
      </c>
      <c r="R1879" s="3">
        <v>0</v>
      </c>
      <c r="S1879" s="4">
        <v>0</v>
      </c>
      <c r="T1879" s="4">
        <v>45</v>
      </c>
      <c r="U1879" s="4">
        <v>85</v>
      </c>
      <c r="V1879" s="4">
        <f>IF(ISERROR(VLOOKUP($S$1879,'TAR FIN'!$A$1:$O$99,15,0)),0,VLOOKUP($S$1879,'TAR FIN'!$A$1:$O$99,15,0))</f>
        <v>0</v>
      </c>
      <c r="W1879" s="4">
        <f>IF(ISERROR(VLOOKUP($T$1879,'TAR FIN'!$A$1:$O$99,15,0)),0,VLOOKUP($T$1879,'TAR FIN'!$A$1:$O$99,15,0))</f>
        <v>395.58</v>
      </c>
      <c r="X1879" s="4">
        <f>IF(ISERROR(VLOOKUP($U$1879,'TAR FIN'!$A$1:$O$99,15,0)),0,VLOOKUP($U$1879,'TAR FIN'!$A$1:$O$99,15,0))</f>
        <v>230.53</v>
      </c>
      <c r="Y1879" s="4"/>
      <c r="Z1879" s="4">
        <f ca="1">('TUSD BE'!$AM$59+'TUSD BF'!$AM$59+'TUSD CVA'!$AM$59)*1</f>
        <v>466.61942630573992</v>
      </c>
      <c r="AA1879" s="4">
        <f>('TE BE'!$AA$41+'TE BF'!$AA$41+'TE CVA'!$AA$41)*1</f>
        <v>283.86889449376815</v>
      </c>
      <c r="AB1879" s="4">
        <f>$K$1879*$V$1879</f>
        <v>0</v>
      </c>
      <c r="AC1879" s="4">
        <f>$M$1879*$W$1879</f>
        <v>91329.532500000001</v>
      </c>
      <c r="AD1879" s="4">
        <f>$O$1879*$X$1879</f>
        <v>53223.613749999997</v>
      </c>
      <c r="AE1879" s="4">
        <f>$K$1879*$Y$1879</f>
        <v>0</v>
      </c>
      <c r="AF1879" s="4">
        <f ca="1">$M$1879*$Z$1879</f>
        <v>107730.7600483377</v>
      </c>
      <c r="AG1879" s="4">
        <f>$O$1879*$AA$1879</f>
        <v>65538.231016248727</v>
      </c>
    </row>
    <row r="1880" spans="1:33" ht="11.25" customHeight="1" x14ac:dyDescent="0.25">
      <c r="A1880" s="3" t="s">
        <v>56</v>
      </c>
      <c r="B1880" s="3" t="s">
        <v>39</v>
      </c>
      <c r="C1880" s="3" t="s">
        <v>23</v>
      </c>
      <c r="D1880" s="3" t="s">
        <v>52</v>
      </c>
      <c r="E1880" s="3" t="s">
        <v>25</v>
      </c>
      <c r="F1880" s="3" t="s">
        <v>25</v>
      </c>
      <c r="G1880" s="3" t="s">
        <v>25</v>
      </c>
      <c r="H1880" s="3" t="s">
        <v>25</v>
      </c>
      <c r="I1880" s="6">
        <v>44652</v>
      </c>
      <c r="J1880" s="4">
        <v>0</v>
      </c>
      <c r="K1880" s="4">
        <v>0</v>
      </c>
      <c r="L1880" s="4">
        <v>137.595</v>
      </c>
      <c r="M1880" s="4">
        <v>137.595</v>
      </c>
      <c r="N1880" s="4">
        <v>137.595</v>
      </c>
      <c r="O1880" s="4">
        <v>137.595</v>
      </c>
      <c r="P1880" s="4">
        <v>1</v>
      </c>
      <c r="Q1880" s="3" t="s">
        <v>26</v>
      </c>
      <c r="R1880" s="3">
        <v>0</v>
      </c>
      <c r="S1880" s="4">
        <v>0</v>
      </c>
      <c r="T1880" s="4">
        <v>45</v>
      </c>
      <c r="U1880" s="4">
        <v>85</v>
      </c>
      <c r="V1880" s="4">
        <f>IF(ISERROR(VLOOKUP($S$1880,'TAR FIN'!$A$1:$O$99,15,0)),0,VLOOKUP($S$1880,'TAR FIN'!$A$1:$O$99,15,0))</f>
        <v>0</v>
      </c>
      <c r="W1880" s="4">
        <f>IF(ISERROR(VLOOKUP($T$1880,'TAR FIN'!$A$1:$O$99,15,0)),0,VLOOKUP($T$1880,'TAR FIN'!$A$1:$O$99,15,0))</f>
        <v>395.58</v>
      </c>
      <c r="X1880" s="4">
        <f>IF(ISERROR(VLOOKUP($U$1880,'TAR FIN'!$A$1:$O$99,15,0)),0,VLOOKUP($U$1880,'TAR FIN'!$A$1:$O$99,15,0))</f>
        <v>230.53</v>
      </c>
      <c r="Y1880" s="4"/>
      <c r="Z1880" s="4">
        <f ca="1">('TUSD BE'!$AM$59+'TUSD BF'!$AM$59+'TUSD CVA'!$AM$59)*1</f>
        <v>466.61942630573992</v>
      </c>
      <c r="AA1880" s="4">
        <f>('TE BE'!$AA$41+'TE BF'!$AA$41+'TE CVA'!$AA$41)*1</f>
        <v>283.86889449376815</v>
      </c>
      <c r="AB1880" s="4">
        <f>$K$1880*$V$1880</f>
        <v>0</v>
      </c>
      <c r="AC1880" s="4">
        <f>$M$1880*$W$1880</f>
        <v>54429.830099999999</v>
      </c>
      <c r="AD1880" s="4">
        <f>$O$1880*$X$1880</f>
        <v>31719.77535</v>
      </c>
      <c r="AE1880" s="4">
        <f>$K$1880*$Y$1880</f>
        <v>0</v>
      </c>
      <c r="AF1880" s="4">
        <f ca="1">$M$1880*$Z$1880</f>
        <v>64204.499962538284</v>
      </c>
      <c r="AG1880" s="4">
        <f>$O$1880*$AA$1880</f>
        <v>39058.940537870032</v>
      </c>
    </row>
    <row r="1881" spans="1:33" ht="11.25" customHeight="1" x14ac:dyDescent="0.25">
      <c r="A1881" s="3" t="s">
        <v>21</v>
      </c>
      <c r="B1881" s="3" t="s">
        <v>39</v>
      </c>
      <c r="C1881" s="3" t="s">
        <v>23</v>
      </c>
      <c r="D1881" s="3" t="s">
        <v>40</v>
      </c>
      <c r="E1881" s="3" t="s">
        <v>25</v>
      </c>
      <c r="F1881" s="3" t="s">
        <v>25</v>
      </c>
      <c r="G1881" s="3" t="s">
        <v>25</v>
      </c>
      <c r="H1881" s="3" t="s">
        <v>25</v>
      </c>
      <c r="I1881" s="6">
        <v>44317</v>
      </c>
      <c r="J1881" s="4">
        <v>0</v>
      </c>
      <c r="K1881" s="4">
        <v>0</v>
      </c>
      <c r="L1881" s="4">
        <v>1505.6759999999999</v>
      </c>
      <c r="M1881" s="4">
        <v>1505.6759999999999</v>
      </c>
      <c r="N1881" s="4">
        <v>1505.6759999999999</v>
      </c>
      <c r="O1881" s="4">
        <v>1505.6759999999999</v>
      </c>
      <c r="P1881" s="4">
        <v>1692</v>
      </c>
      <c r="Q1881" s="3" t="s">
        <v>26</v>
      </c>
      <c r="R1881" s="3">
        <v>0</v>
      </c>
      <c r="S1881" s="4">
        <v>0</v>
      </c>
      <c r="T1881" s="4">
        <v>45</v>
      </c>
      <c r="U1881" s="4">
        <v>85</v>
      </c>
      <c r="V1881" s="4">
        <f>IF(ISERROR(VLOOKUP($S$1881,'TAR FIN'!$A$1:$O$99,15,0)),0,VLOOKUP($S$1881,'TAR FIN'!$A$1:$O$99,15,0))</f>
        <v>0</v>
      </c>
      <c r="W1881" s="4">
        <f>IF(ISERROR(VLOOKUP($T$1881,'TAR FIN'!$A$1:$O$99,15,0)),0,VLOOKUP($T$1881,'TAR FIN'!$A$1:$O$99,15,0))</f>
        <v>395.58</v>
      </c>
      <c r="X1881" s="4">
        <f>IF(ISERROR(VLOOKUP($U$1881,'TAR FIN'!$A$1:$O$99,15,0)),0,VLOOKUP($U$1881,'TAR FIN'!$A$1:$O$99,15,0))</f>
        <v>230.53</v>
      </c>
      <c r="Y1881" s="4"/>
      <c r="Z1881" s="4">
        <f ca="1">('TUSD BE'!$AM$59+'TUSD BF'!$AM$59+'TUSD CVA'!$AM$59)*1</f>
        <v>466.61942630573992</v>
      </c>
      <c r="AA1881" s="4">
        <f>('TE BE'!$AA$41+'TE BF'!$AA$41+'TE CVA'!$AA$41)*1</f>
        <v>283.86889449376815</v>
      </c>
      <c r="AB1881" s="4">
        <f>$K$1881*$V$1881</f>
        <v>0</v>
      </c>
      <c r="AC1881" s="4">
        <f>$M$1881*$W$1881</f>
        <v>595615.31207999995</v>
      </c>
      <c r="AD1881" s="4">
        <f>$O$1881*$X$1881</f>
        <v>347103.48827999999</v>
      </c>
      <c r="AE1881" s="4">
        <f>$K$1881*$Y$1881</f>
        <v>0</v>
      </c>
      <c r="AF1881" s="4">
        <f ca="1">$M$1881*$Z$1881</f>
        <v>702577.67132232129</v>
      </c>
      <c r="AG1881" s="4">
        <f>$O$1881*$AA$1881</f>
        <v>427414.58158579882</v>
      </c>
    </row>
    <row r="1882" spans="1:33" ht="11.25" customHeight="1" x14ac:dyDescent="0.25">
      <c r="A1882" s="3" t="s">
        <v>27</v>
      </c>
      <c r="B1882" s="3" t="s">
        <v>39</v>
      </c>
      <c r="C1882" s="3" t="s">
        <v>23</v>
      </c>
      <c r="D1882" s="3" t="s">
        <v>40</v>
      </c>
      <c r="E1882" s="3" t="s">
        <v>25</v>
      </c>
      <c r="F1882" s="3" t="s">
        <v>25</v>
      </c>
      <c r="G1882" s="3" t="s">
        <v>25</v>
      </c>
      <c r="H1882" s="3" t="s">
        <v>25</v>
      </c>
      <c r="I1882" s="6">
        <v>44317</v>
      </c>
      <c r="J1882" s="4">
        <v>0</v>
      </c>
      <c r="K1882" s="4">
        <v>0</v>
      </c>
      <c r="L1882" s="4">
        <v>-172.834</v>
      </c>
      <c r="M1882" s="4">
        <v>-172.834</v>
      </c>
      <c r="N1882" s="4">
        <v>-172.834</v>
      </c>
      <c r="O1882" s="4">
        <v>-172.834</v>
      </c>
      <c r="P1882" s="4">
        <v>-105</v>
      </c>
      <c r="Q1882" s="3" t="s">
        <v>26</v>
      </c>
      <c r="R1882" s="3">
        <v>0</v>
      </c>
      <c r="S1882" s="4">
        <v>0</v>
      </c>
      <c r="T1882" s="4">
        <v>45</v>
      </c>
      <c r="U1882" s="4">
        <v>85</v>
      </c>
      <c r="V1882" s="4">
        <f>IF(ISERROR(VLOOKUP($S$1882,'TAR FIN'!$A$1:$O$99,15,0)),0,VLOOKUP($S$1882,'TAR FIN'!$A$1:$O$99,15,0))</f>
        <v>0</v>
      </c>
      <c r="W1882" s="4">
        <f>IF(ISERROR(VLOOKUP($T$1882,'TAR FIN'!$A$1:$O$99,15,0)),0,VLOOKUP($T$1882,'TAR FIN'!$A$1:$O$99,15,0))</f>
        <v>395.58</v>
      </c>
      <c r="X1882" s="4">
        <f>IF(ISERROR(VLOOKUP($U$1882,'TAR FIN'!$A$1:$O$99,15,0)),0,VLOOKUP($U$1882,'TAR FIN'!$A$1:$O$99,15,0))</f>
        <v>230.53</v>
      </c>
      <c r="Y1882" s="4"/>
      <c r="Z1882" s="4">
        <f ca="1">('TUSD BE'!$AM$59+'TUSD BF'!$AM$59+'TUSD CVA'!$AM$59)*1</f>
        <v>466.61942630573992</v>
      </c>
      <c r="AA1882" s="4">
        <f>('TE BE'!$AA$41+'TE BF'!$AA$41+'TE CVA'!$AA$41)*1</f>
        <v>283.86889449376815</v>
      </c>
      <c r="AB1882" s="4">
        <f>$K$1882*$V$1882</f>
        <v>0</v>
      </c>
      <c r="AC1882" s="4">
        <f>$M$1882*$W$1882</f>
        <v>-68369.673719999992</v>
      </c>
      <c r="AD1882" s="4">
        <f>$O$1882*$X$1882</f>
        <v>-39843.422019999998</v>
      </c>
      <c r="AE1882" s="4">
        <f>$K$1882*$Y$1882</f>
        <v>0</v>
      </c>
      <c r="AF1882" s="4">
        <f ca="1">$M$1882*$Z$1882</f>
        <v>-80647.701926126261</v>
      </c>
      <c r="AG1882" s="4">
        <f>$O$1882*$AA$1882</f>
        <v>-49062.196510935923</v>
      </c>
    </row>
    <row r="1883" spans="1:33" ht="11.25" customHeight="1" x14ac:dyDescent="0.25">
      <c r="A1883" s="3" t="s">
        <v>28</v>
      </c>
      <c r="B1883" s="3" t="s">
        <v>39</v>
      </c>
      <c r="C1883" s="3" t="s">
        <v>23</v>
      </c>
      <c r="D1883" s="3" t="s">
        <v>40</v>
      </c>
      <c r="E1883" s="3" t="s">
        <v>25</v>
      </c>
      <c r="F1883" s="3" t="s">
        <v>25</v>
      </c>
      <c r="G1883" s="3" t="s">
        <v>25</v>
      </c>
      <c r="H1883" s="3" t="s">
        <v>25</v>
      </c>
      <c r="I1883" s="6">
        <v>44317</v>
      </c>
      <c r="J1883" s="4">
        <v>0</v>
      </c>
      <c r="K1883" s="4">
        <v>0</v>
      </c>
      <c r="L1883" s="4">
        <v>62.817999999999998</v>
      </c>
      <c r="M1883" s="4">
        <v>62.817999999999998</v>
      </c>
      <c r="N1883" s="4">
        <v>62.817999999999998</v>
      </c>
      <c r="O1883" s="4">
        <v>62.817999999999998</v>
      </c>
      <c r="P1883" s="4">
        <v>44</v>
      </c>
      <c r="Q1883" s="3" t="s">
        <v>26</v>
      </c>
      <c r="R1883" s="3">
        <v>0</v>
      </c>
      <c r="S1883" s="4">
        <v>0</v>
      </c>
      <c r="T1883" s="4">
        <v>45</v>
      </c>
      <c r="U1883" s="4">
        <v>85</v>
      </c>
      <c r="V1883" s="4">
        <f>IF(ISERROR(VLOOKUP($S$1883,'TAR FIN'!$A$1:$O$99,15,0)),0,VLOOKUP($S$1883,'TAR FIN'!$A$1:$O$99,15,0))</f>
        <v>0</v>
      </c>
      <c r="W1883" s="4">
        <f>IF(ISERROR(VLOOKUP($T$1883,'TAR FIN'!$A$1:$O$99,15,0)),0,VLOOKUP($T$1883,'TAR FIN'!$A$1:$O$99,15,0))</f>
        <v>395.58</v>
      </c>
      <c r="X1883" s="4">
        <f>IF(ISERROR(VLOOKUP($U$1883,'TAR FIN'!$A$1:$O$99,15,0)),0,VLOOKUP($U$1883,'TAR FIN'!$A$1:$O$99,15,0))</f>
        <v>230.53</v>
      </c>
      <c r="Y1883" s="4"/>
      <c r="Z1883" s="4">
        <f ca="1">('TUSD BE'!$AM$59+'TUSD BF'!$AM$59+'TUSD CVA'!$AM$59)*1</f>
        <v>466.61942630573992</v>
      </c>
      <c r="AA1883" s="4">
        <f>('TE BE'!$AA$41+'TE BF'!$AA$41+'TE CVA'!$AA$41)*1</f>
        <v>283.86889449376815</v>
      </c>
      <c r="AB1883" s="4">
        <f>$K$1883*$V$1883</f>
        <v>0</v>
      </c>
      <c r="AC1883" s="4">
        <f>$M$1883*$W$1883</f>
        <v>24849.544439999998</v>
      </c>
      <c r="AD1883" s="4">
        <f>$O$1883*$X$1883</f>
        <v>14481.43354</v>
      </c>
      <c r="AE1883" s="4">
        <f>$K$1883*$Y$1883</f>
        <v>0</v>
      </c>
      <c r="AF1883" s="4">
        <f ca="1">$M$1883*$Z$1883</f>
        <v>29312.099121673968</v>
      </c>
      <c r="AG1883" s="4">
        <f>$O$1883*$AA$1883</f>
        <v>17832.076214309527</v>
      </c>
    </row>
    <row r="1884" spans="1:33" ht="11.25" customHeight="1" x14ac:dyDescent="0.25">
      <c r="A1884" s="3" t="s">
        <v>21</v>
      </c>
      <c r="B1884" s="3" t="s">
        <v>39</v>
      </c>
      <c r="C1884" s="3" t="s">
        <v>23</v>
      </c>
      <c r="D1884" s="3" t="s">
        <v>40</v>
      </c>
      <c r="E1884" s="3" t="s">
        <v>25</v>
      </c>
      <c r="F1884" s="3" t="s">
        <v>25</v>
      </c>
      <c r="G1884" s="3" t="s">
        <v>25</v>
      </c>
      <c r="H1884" s="3" t="s">
        <v>25</v>
      </c>
      <c r="I1884" s="6">
        <v>44348</v>
      </c>
      <c r="J1884" s="4">
        <v>0</v>
      </c>
      <c r="K1884" s="4">
        <v>0</v>
      </c>
      <c r="L1884" s="4">
        <v>1501.28</v>
      </c>
      <c r="M1884" s="4">
        <v>1501.28</v>
      </c>
      <c r="N1884" s="4">
        <v>1501.28</v>
      </c>
      <c r="O1884" s="4">
        <v>1501.28</v>
      </c>
      <c r="P1884" s="4">
        <v>1684</v>
      </c>
      <c r="Q1884" s="3" t="s">
        <v>26</v>
      </c>
      <c r="R1884" s="3">
        <v>0</v>
      </c>
      <c r="S1884" s="4">
        <v>0</v>
      </c>
      <c r="T1884" s="4">
        <v>45</v>
      </c>
      <c r="U1884" s="4">
        <v>85</v>
      </c>
      <c r="V1884" s="4">
        <f>IF(ISERROR(VLOOKUP($S$1884,'TAR FIN'!$A$1:$O$99,15,0)),0,VLOOKUP($S$1884,'TAR FIN'!$A$1:$O$99,15,0))</f>
        <v>0</v>
      </c>
      <c r="W1884" s="4">
        <f>IF(ISERROR(VLOOKUP($T$1884,'TAR FIN'!$A$1:$O$99,15,0)),0,VLOOKUP($T$1884,'TAR FIN'!$A$1:$O$99,15,0))</f>
        <v>395.58</v>
      </c>
      <c r="X1884" s="4">
        <f>IF(ISERROR(VLOOKUP($U$1884,'TAR FIN'!$A$1:$O$99,15,0)),0,VLOOKUP($U$1884,'TAR FIN'!$A$1:$O$99,15,0))</f>
        <v>230.53</v>
      </c>
      <c r="Y1884" s="4"/>
      <c r="Z1884" s="4">
        <f ca="1">('TUSD BE'!$AM$59+'TUSD BF'!$AM$59+'TUSD CVA'!$AM$59)*1</f>
        <v>466.61942630573992</v>
      </c>
      <c r="AA1884" s="4">
        <f>('TE BE'!$AA$41+'TE BF'!$AA$41+'TE CVA'!$AA$41)*1</f>
        <v>283.86889449376815</v>
      </c>
      <c r="AB1884" s="4">
        <f>$K$1884*$V$1884</f>
        <v>0</v>
      </c>
      <c r="AC1884" s="4">
        <f>$M$1884*$W$1884</f>
        <v>593876.34239999996</v>
      </c>
      <c r="AD1884" s="4">
        <f>$O$1884*$X$1884</f>
        <v>346090.0784</v>
      </c>
      <c r="AE1884" s="4">
        <f>$K$1884*$Y$1884</f>
        <v>0</v>
      </c>
      <c r="AF1884" s="4">
        <f ca="1">$M$1884*$Z$1884</f>
        <v>700526.41232428118</v>
      </c>
      <c r="AG1884" s="4">
        <f>$O$1884*$AA$1884</f>
        <v>426166.69392560422</v>
      </c>
    </row>
    <row r="1885" spans="1:33" ht="11.25" customHeight="1" x14ac:dyDescent="0.25">
      <c r="A1885" s="3" t="s">
        <v>27</v>
      </c>
      <c r="B1885" s="3" t="s">
        <v>39</v>
      </c>
      <c r="C1885" s="3" t="s">
        <v>23</v>
      </c>
      <c r="D1885" s="3" t="s">
        <v>40</v>
      </c>
      <c r="E1885" s="3" t="s">
        <v>25</v>
      </c>
      <c r="F1885" s="3" t="s">
        <v>25</v>
      </c>
      <c r="G1885" s="3" t="s">
        <v>25</v>
      </c>
      <c r="H1885" s="3" t="s">
        <v>25</v>
      </c>
      <c r="I1885" s="6">
        <v>44348</v>
      </c>
      <c r="J1885" s="4">
        <v>0</v>
      </c>
      <c r="K1885" s="4">
        <v>0</v>
      </c>
      <c r="L1885" s="4">
        <v>-8.2620000000000005</v>
      </c>
      <c r="M1885" s="4">
        <v>-8.2620000000000005</v>
      </c>
      <c r="N1885" s="4">
        <v>-8.2620000000000005</v>
      </c>
      <c r="O1885" s="4">
        <v>-8.2620000000000005</v>
      </c>
      <c r="P1885" s="4">
        <v>-44</v>
      </c>
      <c r="Q1885" s="3" t="s">
        <v>26</v>
      </c>
      <c r="R1885" s="3">
        <v>0</v>
      </c>
      <c r="S1885" s="4">
        <v>0</v>
      </c>
      <c r="T1885" s="4">
        <v>45</v>
      </c>
      <c r="U1885" s="4">
        <v>85</v>
      </c>
      <c r="V1885" s="4">
        <f>IF(ISERROR(VLOOKUP($S$1885,'TAR FIN'!$A$1:$O$99,15,0)),0,VLOOKUP($S$1885,'TAR FIN'!$A$1:$O$99,15,0))</f>
        <v>0</v>
      </c>
      <c r="W1885" s="4">
        <f>IF(ISERROR(VLOOKUP($T$1885,'TAR FIN'!$A$1:$O$99,15,0)),0,VLOOKUP($T$1885,'TAR FIN'!$A$1:$O$99,15,0))</f>
        <v>395.58</v>
      </c>
      <c r="X1885" s="4">
        <f>IF(ISERROR(VLOOKUP($U$1885,'TAR FIN'!$A$1:$O$99,15,0)),0,VLOOKUP($U$1885,'TAR FIN'!$A$1:$O$99,15,0))</f>
        <v>230.53</v>
      </c>
      <c r="Y1885" s="4"/>
      <c r="Z1885" s="4">
        <f ca="1">('TUSD BE'!$AM$59+'TUSD BF'!$AM$59+'TUSD CVA'!$AM$59)*1</f>
        <v>466.61942630573992</v>
      </c>
      <c r="AA1885" s="4">
        <f>('TE BE'!$AA$41+'TE BF'!$AA$41+'TE CVA'!$AA$41)*1</f>
        <v>283.86889449376815</v>
      </c>
      <c r="AB1885" s="4">
        <f>$K$1885*$V$1885</f>
        <v>0</v>
      </c>
      <c r="AC1885" s="4">
        <f>$M$1885*$W$1885</f>
        <v>-3268.2819600000003</v>
      </c>
      <c r="AD1885" s="4">
        <f>$O$1885*$X$1885</f>
        <v>-1904.63886</v>
      </c>
      <c r="AE1885" s="4">
        <f>$K$1885*$Y$1885</f>
        <v>0</v>
      </c>
      <c r="AF1885" s="4">
        <f ca="1">$M$1885*$Z$1885</f>
        <v>-3855.2097001380234</v>
      </c>
      <c r="AG1885" s="4">
        <f>$O$1885*$AA$1885</f>
        <v>-2345.3248063075125</v>
      </c>
    </row>
    <row r="1886" spans="1:33" ht="11.25" customHeight="1" x14ac:dyDescent="0.25">
      <c r="A1886" s="3" t="s">
        <v>28</v>
      </c>
      <c r="B1886" s="3" t="s">
        <v>39</v>
      </c>
      <c r="C1886" s="3" t="s">
        <v>23</v>
      </c>
      <c r="D1886" s="3" t="s">
        <v>40</v>
      </c>
      <c r="E1886" s="3" t="s">
        <v>25</v>
      </c>
      <c r="F1886" s="3" t="s">
        <v>25</v>
      </c>
      <c r="G1886" s="3" t="s">
        <v>25</v>
      </c>
      <c r="H1886" s="3" t="s">
        <v>25</v>
      </c>
      <c r="I1886" s="6">
        <v>44348</v>
      </c>
      <c r="J1886" s="4">
        <v>0</v>
      </c>
      <c r="K1886" s="4">
        <v>0</v>
      </c>
      <c r="L1886" s="4">
        <v>62.762999999999998</v>
      </c>
      <c r="M1886" s="4">
        <v>62.762999999999998</v>
      </c>
      <c r="N1886" s="4">
        <v>62.762999999999998</v>
      </c>
      <c r="O1886" s="4">
        <v>62.762999999999998</v>
      </c>
      <c r="P1886" s="4">
        <v>47</v>
      </c>
      <c r="Q1886" s="3" t="s">
        <v>26</v>
      </c>
      <c r="R1886" s="3">
        <v>0</v>
      </c>
      <c r="S1886" s="4">
        <v>0</v>
      </c>
      <c r="T1886" s="4">
        <v>45</v>
      </c>
      <c r="U1886" s="4">
        <v>85</v>
      </c>
      <c r="V1886" s="4">
        <f>IF(ISERROR(VLOOKUP($S$1886,'TAR FIN'!$A$1:$O$99,15,0)),0,VLOOKUP($S$1886,'TAR FIN'!$A$1:$O$99,15,0))</f>
        <v>0</v>
      </c>
      <c r="W1886" s="4">
        <f>IF(ISERROR(VLOOKUP($T$1886,'TAR FIN'!$A$1:$O$99,15,0)),0,VLOOKUP($T$1886,'TAR FIN'!$A$1:$O$99,15,0))</f>
        <v>395.58</v>
      </c>
      <c r="X1886" s="4">
        <f>IF(ISERROR(VLOOKUP($U$1886,'TAR FIN'!$A$1:$O$99,15,0)),0,VLOOKUP($U$1886,'TAR FIN'!$A$1:$O$99,15,0))</f>
        <v>230.53</v>
      </c>
      <c r="Y1886" s="4"/>
      <c r="Z1886" s="4">
        <f ca="1">('TUSD BE'!$AM$59+'TUSD BF'!$AM$59+'TUSD CVA'!$AM$59)*1</f>
        <v>466.61942630573992</v>
      </c>
      <c r="AA1886" s="4">
        <f>('TE BE'!$AA$41+'TE BF'!$AA$41+'TE CVA'!$AA$41)*1</f>
        <v>283.86889449376815</v>
      </c>
      <c r="AB1886" s="4">
        <f>$K$1886*$V$1886</f>
        <v>0</v>
      </c>
      <c r="AC1886" s="4">
        <f>$M$1886*$W$1886</f>
        <v>24827.787539999998</v>
      </c>
      <c r="AD1886" s="4">
        <f>$O$1886*$X$1886</f>
        <v>14468.75439</v>
      </c>
      <c r="AE1886" s="4">
        <f>$K$1886*$Y$1886</f>
        <v>0</v>
      </c>
      <c r="AF1886" s="4">
        <f ca="1">$M$1886*$Z$1886</f>
        <v>29286.435053227153</v>
      </c>
      <c r="AG1886" s="4">
        <f>$O$1886*$AA$1886</f>
        <v>17816.463425112372</v>
      </c>
    </row>
    <row r="1887" spans="1:33" ht="11.25" customHeight="1" x14ac:dyDescent="0.25">
      <c r="A1887" s="3" t="s">
        <v>21</v>
      </c>
      <c r="B1887" s="3" t="s">
        <v>39</v>
      </c>
      <c r="C1887" s="3" t="s">
        <v>23</v>
      </c>
      <c r="D1887" s="3" t="s">
        <v>40</v>
      </c>
      <c r="E1887" s="3" t="s">
        <v>25</v>
      </c>
      <c r="F1887" s="3" t="s">
        <v>25</v>
      </c>
      <c r="G1887" s="3" t="s">
        <v>25</v>
      </c>
      <c r="H1887" s="3" t="s">
        <v>25</v>
      </c>
      <c r="I1887" s="6">
        <v>44378</v>
      </c>
      <c r="J1887" s="4">
        <v>0</v>
      </c>
      <c r="K1887" s="4">
        <v>0</v>
      </c>
      <c r="L1887" s="4">
        <v>1432.605</v>
      </c>
      <c r="M1887" s="4">
        <v>1432.605</v>
      </c>
      <c r="N1887" s="4">
        <v>1432.605</v>
      </c>
      <c r="O1887" s="4">
        <v>1432.605</v>
      </c>
      <c r="P1887" s="4">
        <v>1661</v>
      </c>
      <c r="Q1887" s="3" t="s">
        <v>26</v>
      </c>
      <c r="R1887" s="3">
        <v>0</v>
      </c>
      <c r="S1887" s="4">
        <v>0</v>
      </c>
      <c r="T1887" s="4">
        <v>45</v>
      </c>
      <c r="U1887" s="4">
        <v>85</v>
      </c>
      <c r="V1887" s="4">
        <f>IF(ISERROR(VLOOKUP($S$1887,'TAR FIN'!$A$1:$O$99,15,0)),0,VLOOKUP($S$1887,'TAR FIN'!$A$1:$O$99,15,0))</f>
        <v>0</v>
      </c>
      <c r="W1887" s="4">
        <f>IF(ISERROR(VLOOKUP($T$1887,'TAR FIN'!$A$1:$O$99,15,0)),0,VLOOKUP($T$1887,'TAR FIN'!$A$1:$O$99,15,0))</f>
        <v>395.58</v>
      </c>
      <c r="X1887" s="4">
        <f>IF(ISERROR(VLOOKUP($U$1887,'TAR FIN'!$A$1:$O$99,15,0)),0,VLOOKUP($U$1887,'TAR FIN'!$A$1:$O$99,15,0))</f>
        <v>230.53</v>
      </c>
      <c r="Y1887" s="4"/>
      <c r="Z1887" s="4">
        <f ca="1">('TUSD BE'!$AM$59+'TUSD BF'!$AM$59+'TUSD CVA'!$AM$59)*1</f>
        <v>466.61942630573992</v>
      </c>
      <c r="AA1887" s="4">
        <f>('TE BE'!$AA$41+'TE BF'!$AA$41+'TE CVA'!$AA$41)*1</f>
        <v>283.86889449376815</v>
      </c>
      <c r="AB1887" s="4">
        <f>$K$1887*$V$1887</f>
        <v>0</v>
      </c>
      <c r="AC1887" s="4">
        <f>$M$1887*$W$1887</f>
        <v>566709.88589999999</v>
      </c>
      <c r="AD1887" s="4">
        <f>$O$1887*$X$1887</f>
        <v>330258.43064999999</v>
      </c>
      <c r="AE1887" s="4">
        <f>$K$1887*$Y$1887</f>
        <v>0</v>
      </c>
      <c r="AF1887" s="4">
        <f ca="1">$M$1887*$Z$1887</f>
        <v>668481.3232227345</v>
      </c>
      <c r="AG1887" s="4">
        <f>$O$1887*$AA$1887</f>
        <v>406671.99759624474</v>
      </c>
    </row>
    <row r="1888" spans="1:33" ht="11.25" customHeight="1" x14ac:dyDescent="0.25">
      <c r="A1888" s="3" t="s">
        <v>27</v>
      </c>
      <c r="B1888" s="3" t="s">
        <v>39</v>
      </c>
      <c r="C1888" s="3" t="s">
        <v>23</v>
      </c>
      <c r="D1888" s="3" t="s">
        <v>40</v>
      </c>
      <c r="E1888" s="3" t="s">
        <v>25</v>
      </c>
      <c r="F1888" s="3" t="s">
        <v>25</v>
      </c>
      <c r="G1888" s="3" t="s">
        <v>25</v>
      </c>
      <c r="H1888" s="3" t="s">
        <v>25</v>
      </c>
      <c r="I1888" s="6">
        <v>44378</v>
      </c>
      <c r="J1888" s="4">
        <v>0</v>
      </c>
      <c r="K1888" s="4">
        <v>0</v>
      </c>
      <c r="L1888" s="4">
        <v>3.9969999999999999</v>
      </c>
      <c r="M1888" s="4">
        <v>3.9969999999999999</v>
      </c>
      <c r="N1888" s="4">
        <v>3.9969999999999999</v>
      </c>
      <c r="O1888" s="4">
        <v>3.9969999999999999</v>
      </c>
      <c r="P1888" s="4">
        <v>1</v>
      </c>
      <c r="Q1888" s="3" t="s">
        <v>26</v>
      </c>
      <c r="R1888" s="3">
        <v>0</v>
      </c>
      <c r="S1888" s="4">
        <v>0</v>
      </c>
      <c r="T1888" s="4">
        <v>45</v>
      </c>
      <c r="U1888" s="4">
        <v>85</v>
      </c>
      <c r="V1888" s="4">
        <f>IF(ISERROR(VLOOKUP($S$1888,'TAR FIN'!$A$1:$O$99,15,0)),0,VLOOKUP($S$1888,'TAR FIN'!$A$1:$O$99,15,0))</f>
        <v>0</v>
      </c>
      <c r="W1888" s="4">
        <f>IF(ISERROR(VLOOKUP($T$1888,'TAR FIN'!$A$1:$O$99,15,0)),0,VLOOKUP($T$1888,'TAR FIN'!$A$1:$O$99,15,0))</f>
        <v>395.58</v>
      </c>
      <c r="X1888" s="4">
        <f>IF(ISERROR(VLOOKUP($U$1888,'TAR FIN'!$A$1:$O$99,15,0)),0,VLOOKUP($U$1888,'TAR FIN'!$A$1:$O$99,15,0))</f>
        <v>230.53</v>
      </c>
      <c r="Y1888" s="4"/>
      <c r="Z1888" s="4">
        <f ca="1">('TUSD BE'!$AM$59+'TUSD BF'!$AM$59+'TUSD CVA'!$AM$59)*1</f>
        <v>466.61942630573992</v>
      </c>
      <c r="AA1888" s="4">
        <f>('TE BE'!$AA$41+'TE BF'!$AA$41+'TE CVA'!$AA$41)*1</f>
        <v>283.86889449376815</v>
      </c>
      <c r="AB1888" s="4">
        <f>$K$1888*$V$1888</f>
        <v>0</v>
      </c>
      <c r="AC1888" s="4">
        <f>$M$1888*$W$1888</f>
        <v>1581.1332599999998</v>
      </c>
      <c r="AD1888" s="4">
        <f>$O$1888*$X$1888</f>
        <v>921.42840999999999</v>
      </c>
      <c r="AE1888" s="4">
        <f>$K$1888*$Y$1888</f>
        <v>0</v>
      </c>
      <c r="AF1888" s="4">
        <f ca="1">$M$1888*$Z$1888</f>
        <v>1865.0778469440424</v>
      </c>
      <c r="AG1888" s="4">
        <f>$O$1888*$AA$1888</f>
        <v>1134.6239712915913</v>
      </c>
    </row>
    <row r="1889" spans="1:33" ht="11.25" customHeight="1" x14ac:dyDescent="0.25">
      <c r="A1889" s="3" t="s">
        <v>28</v>
      </c>
      <c r="B1889" s="3" t="s">
        <v>39</v>
      </c>
      <c r="C1889" s="3" t="s">
        <v>23</v>
      </c>
      <c r="D1889" s="3" t="s">
        <v>40</v>
      </c>
      <c r="E1889" s="3" t="s">
        <v>25</v>
      </c>
      <c r="F1889" s="3" t="s">
        <v>25</v>
      </c>
      <c r="G1889" s="3" t="s">
        <v>25</v>
      </c>
      <c r="H1889" s="3" t="s">
        <v>25</v>
      </c>
      <c r="I1889" s="6">
        <v>44378</v>
      </c>
      <c r="J1889" s="4">
        <v>0</v>
      </c>
      <c r="K1889" s="4">
        <v>0</v>
      </c>
      <c r="L1889" s="4">
        <v>79.084999999999994</v>
      </c>
      <c r="M1889" s="4">
        <v>79.084999999999994</v>
      </c>
      <c r="N1889" s="4">
        <v>79.084999999999994</v>
      </c>
      <c r="O1889" s="4">
        <v>79.084999999999994</v>
      </c>
      <c r="P1889" s="4">
        <v>47</v>
      </c>
      <c r="Q1889" s="3" t="s">
        <v>26</v>
      </c>
      <c r="R1889" s="3">
        <v>0</v>
      </c>
      <c r="S1889" s="4">
        <v>0</v>
      </c>
      <c r="T1889" s="4">
        <v>45</v>
      </c>
      <c r="U1889" s="4">
        <v>85</v>
      </c>
      <c r="V1889" s="4">
        <f>IF(ISERROR(VLOOKUP($S$1889,'TAR FIN'!$A$1:$O$99,15,0)),0,VLOOKUP($S$1889,'TAR FIN'!$A$1:$O$99,15,0))</f>
        <v>0</v>
      </c>
      <c r="W1889" s="4">
        <f>IF(ISERROR(VLOOKUP($T$1889,'TAR FIN'!$A$1:$O$99,15,0)),0,VLOOKUP($T$1889,'TAR FIN'!$A$1:$O$99,15,0))</f>
        <v>395.58</v>
      </c>
      <c r="X1889" s="4">
        <f>IF(ISERROR(VLOOKUP($U$1889,'TAR FIN'!$A$1:$O$99,15,0)),0,VLOOKUP($U$1889,'TAR FIN'!$A$1:$O$99,15,0))</f>
        <v>230.53</v>
      </c>
      <c r="Y1889" s="4"/>
      <c r="Z1889" s="4">
        <f ca="1">('TUSD BE'!$AM$59+'TUSD BF'!$AM$59+'TUSD CVA'!$AM$59)*1</f>
        <v>466.61942630573992</v>
      </c>
      <c r="AA1889" s="4">
        <f>('TE BE'!$AA$41+'TE BF'!$AA$41+'TE CVA'!$AA$41)*1</f>
        <v>283.86889449376815</v>
      </c>
      <c r="AB1889" s="4">
        <f>$K$1889*$V$1889</f>
        <v>0</v>
      </c>
      <c r="AC1889" s="4">
        <f>$M$1889*$W$1889</f>
        <v>31284.444299999996</v>
      </c>
      <c r="AD1889" s="4">
        <f>$O$1889*$X$1889</f>
        <v>18231.465049999999</v>
      </c>
      <c r="AE1889" s="4">
        <f>$K$1889*$Y$1889</f>
        <v>0</v>
      </c>
      <c r="AF1889" s="4">
        <f ca="1">$M$1889*$Z$1889</f>
        <v>36902.597329389442</v>
      </c>
      <c r="AG1889" s="4">
        <f>$O$1889*$AA$1889</f>
        <v>22449.771521039653</v>
      </c>
    </row>
    <row r="1890" spans="1:33" ht="11.25" customHeight="1" x14ac:dyDescent="0.25">
      <c r="A1890" s="3" t="s">
        <v>21</v>
      </c>
      <c r="B1890" s="3" t="s">
        <v>39</v>
      </c>
      <c r="C1890" s="3" t="s">
        <v>23</v>
      </c>
      <c r="D1890" s="3" t="s">
        <v>40</v>
      </c>
      <c r="E1890" s="3" t="s">
        <v>25</v>
      </c>
      <c r="F1890" s="3" t="s">
        <v>25</v>
      </c>
      <c r="G1890" s="3" t="s">
        <v>25</v>
      </c>
      <c r="H1890" s="3" t="s">
        <v>25</v>
      </c>
      <c r="I1890" s="6">
        <v>44409</v>
      </c>
      <c r="J1890" s="4">
        <v>0</v>
      </c>
      <c r="K1890" s="4">
        <v>0</v>
      </c>
      <c r="L1890" s="4">
        <v>1448.0619999999999</v>
      </c>
      <c r="M1890" s="4">
        <v>1448.0619999999999</v>
      </c>
      <c r="N1890" s="4">
        <v>1448.0619999999999</v>
      </c>
      <c r="O1890" s="4">
        <v>1448.0619999999999</v>
      </c>
      <c r="P1890" s="4">
        <v>1648</v>
      </c>
      <c r="Q1890" s="3" t="s">
        <v>26</v>
      </c>
      <c r="R1890" s="3">
        <v>0</v>
      </c>
      <c r="S1890" s="4">
        <v>0</v>
      </c>
      <c r="T1890" s="4">
        <v>45</v>
      </c>
      <c r="U1890" s="4">
        <v>85</v>
      </c>
      <c r="V1890" s="4">
        <f>IF(ISERROR(VLOOKUP($S$1890,'TAR FIN'!$A$1:$O$99,15,0)),0,VLOOKUP($S$1890,'TAR FIN'!$A$1:$O$99,15,0))</f>
        <v>0</v>
      </c>
      <c r="W1890" s="4">
        <f>IF(ISERROR(VLOOKUP($T$1890,'TAR FIN'!$A$1:$O$99,15,0)),0,VLOOKUP($T$1890,'TAR FIN'!$A$1:$O$99,15,0))</f>
        <v>395.58</v>
      </c>
      <c r="X1890" s="4">
        <f>IF(ISERROR(VLOOKUP($U$1890,'TAR FIN'!$A$1:$O$99,15,0)),0,VLOOKUP($U$1890,'TAR FIN'!$A$1:$O$99,15,0))</f>
        <v>230.53</v>
      </c>
      <c r="Y1890" s="4"/>
      <c r="Z1890" s="4">
        <f ca="1">('TUSD BE'!$AM$59+'TUSD BF'!$AM$59+'TUSD CVA'!$AM$59)*1</f>
        <v>466.61942630573992</v>
      </c>
      <c r="AA1890" s="4">
        <f>('TE BE'!$AA$41+'TE BF'!$AA$41+'TE CVA'!$AA$41)*1</f>
        <v>283.86889449376815</v>
      </c>
      <c r="AB1890" s="4">
        <f>$K$1890*$V$1890</f>
        <v>0</v>
      </c>
      <c r="AC1890" s="4">
        <f>$M$1890*$W$1890</f>
        <v>572824.36595999997</v>
      </c>
      <c r="AD1890" s="4">
        <f>$O$1890*$X$1890</f>
        <v>333821.73285999999</v>
      </c>
      <c r="AE1890" s="4">
        <f>$K$1890*$Y$1890</f>
        <v>0</v>
      </c>
      <c r="AF1890" s="4">
        <f ca="1">$M$1890*$Z$1890</f>
        <v>675693.85969514237</v>
      </c>
      <c r="AG1890" s="4">
        <f>$O$1890*$AA$1890</f>
        <v>411059.75909843488</v>
      </c>
    </row>
    <row r="1891" spans="1:33" ht="11.25" customHeight="1" x14ac:dyDescent="0.25">
      <c r="A1891" s="3" t="s">
        <v>27</v>
      </c>
      <c r="B1891" s="3" t="s">
        <v>39</v>
      </c>
      <c r="C1891" s="3" t="s">
        <v>23</v>
      </c>
      <c r="D1891" s="3" t="s">
        <v>40</v>
      </c>
      <c r="E1891" s="3" t="s">
        <v>25</v>
      </c>
      <c r="F1891" s="3" t="s">
        <v>25</v>
      </c>
      <c r="G1891" s="3" t="s">
        <v>25</v>
      </c>
      <c r="H1891" s="3" t="s">
        <v>25</v>
      </c>
      <c r="I1891" s="6">
        <v>44409</v>
      </c>
      <c r="J1891" s="4">
        <v>0</v>
      </c>
      <c r="K1891" s="4">
        <v>0</v>
      </c>
      <c r="L1891" s="4">
        <v>7.23</v>
      </c>
      <c r="M1891" s="4">
        <v>7.23</v>
      </c>
      <c r="N1891" s="4">
        <v>7.23</v>
      </c>
      <c r="O1891" s="4">
        <v>7.23</v>
      </c>
      <c r="P1891" s="4">
        <v>-41</v>
      </c>
      <c r="Q1891" s="3" t="s">
        <v>26</v>
      </c>
      <c r="R1891" s="3">
        <v>0</v>
      </c>
      <c r="S1891" s="4">
        <v>0</v>
      </c>
      <c r="T1891" s="4">
        <v>45</v>
      </c>
      <c r="U1891" s="4">
        <v>85</v>
      </c>
      <c r="V1891" s="4">
        <f>IF(ISERROR(VLOOKUP($S$1891,'TAR FIN'!$A$1:$O$99,15,0)),0,VLOOKUP($S$1891,'TAR FIN'!$A$1:$O$99,15,0))</f>
        <v>0</v>
      </c>
      <c r="W1891" s="4">
        <f>IF(ISERROR(VLOOKUP($T$1891,'TAR FIN'!$A$1:$O$99,15,0)),0,VLOOKUP($T$1891,'TAR FIN'!$A$1:$O$99,15,0))</f>
        <v>395.58</v>
      </c>
      <c r="X1891" s="4">
        <f>IF(ISERROR(VLOOKUP($U$1891,'TAR FIN'!$A$1:$O$99,15,0)),0,VLOOKUP($U$1891,'TAR FIN'!$A$1:$O$99,15,0))</f>
        <v>230.53</v>
      </c>
      <c r="Y1891" s="4"/>
      <c r="Z1891" s="4">
        <f ca="1">('TUSD BE'!$AM$59+'TUSD BF'!$AM$59+'TUSD CVA'!$AM$59)*1</f>
        <v>466.61942630573992</v>
      </c>
      <c r="AA1891" s="4">
        <f>('TE BE'!$AA$41+'TE BF'!$AA$41+'TE CVA'!$AA$41)*1</f>
        <v>283.86889449376815</v>
      </c>
      <c r="AB1891" s="4">
        <f>$K$1891*$V$1891</f>
        <v>0</v>
      </c>
      <c r="AC1891" s="4">
        <f>$M$1891*$W$1891</f>
        <v>2860.0434</v>
      </c>
      <c r="AD1891" s="4">
        <f>$O$1891*$X$1891</f>
        <v>1666.7319</v>
      </c>
      <c r="AE1891" s="4">
        <f>$K$1891*$Y$1891</f>
        <v>0</v>
      </c>
      <c r="AF1891" s="4">
        <f ca="1">$M$1891*$Z$1891</f>
        <v>3373.6584521904997</v>
      </c>
      <c r="AG1891" s="4">
        <f>$O$1891*$AA$1891</f>
        <v>2052.372107189944</v>
      </c>
    </row>
    <row r="1892" spans="1:33" ht="11.25" customHeight="1" x14ac:dyDescent="0.25">
      <c r="A1892" s="3" t="s">
        <v>28</v>
      </c>
      <c r="B1892" s="3" t="s">
        <v>39</v>
      </c>
      <c r="C1892" s="3" t="s">
        <v>23</v>
      </c>
      <c r="D1892" s="3" t="s">
        <v>40</v>
      </c>
      <c r="E1892" s="3" t="s">
        <v>25</v>
      </c>
      <c r="F1892" s="3" t="s">
        <v>25</v>
      </c>
      <c r="G1892" s="3" t="s">
        <v>25</v>
      </c>
      <c r="H1892" s="3" t="s">
        <v>25</v>
      </c>
      <c r="I1892" s="6">
        <v>44409</v>
      </c>
      <c r="J1892" s="4">
        <v>0</v>
      </c>
      <c r="K1892" s="4">
        <v>0</v>
      </c>
      <c r="L1892" s="4">
        <v>82.409000000000006</v>
      </c>
      <c r="M1892" s="4">
        <v>82.409000000000006</v>
      </c>
      <c r="N1892" s="4">
        <v>82.409000000000006</v>
      </c>
      <c r="O1892" s="4">
        <v>82.409000000000006</v>
      </c>
      <c r="P1892" s="4">
        <v>52</v>
      </c>
      <c r="Q1892" s="3" t="s">
        <v>26</v>
      </c>
      <c r="R1892" s="3">
        <v>0</v>
      </c>
      <c r="S1892" s="4">
        <v>0</v>
      </c>
      <c r="T1892" s="4">
        <v>45</v>
      </c>
      <c r="U1892" s="4">
        <v>85</v>
      </c>
      <c r="V1892" s="4">
        <f>IF(ISERROR(VLOOKUP($S$1892,'TAR FIN'!$A$1:$O$99,15,0)),0,VLOOKUP($S$1892,'TAR FIN'!$A$1:$O$99,15,0))</f>
        <v>0</v>
      </c>
      <c r="W1892" s="4">
        <f>IF(ISERROR(VLOOKUP($T$1892,'TAR FIN'!$A$1:$O$99,15,0)),0,VLOOKUP($T$1892,'TAR FIN'!$A$1:$O$99,15,0))</f>
        <v>395.58</v>
      </c>
      <c r="X1892" s="4">
        <f>IF(ISERROR(VLOOKUP($U$1892,'TAR FIN'!$A$1:$O$99,15,0)),0,VLOOKUP($U$1892,'TAR FIN'!$A$1:$O$99,15,0))</f>
        <v>230.53</v>
      </c>
      <c r="Y1892" s="4"/>
      <c r="Z1892" s="4">
        <f ca="1">('TUSD BE'!$AM$59+'TUSD BF'!$AM$59+'TUSD CVA'!$AM$59)*1</f>
        <v>466.61942630573992</v>
      </c>
      <c r="AA1892" s="4">
        <f>('TE BE'!$AA$41+'TE BF'!$AA$41+'TE CVA'!$AA$41)*1</f>
        <v>283.86889449376815</v>
      </c>
      <c r="AB1892" s="4">
        <f>$K$1892*$V$1892</f>
        <v>0</v>
      </c>
      <c r="AC1892" s="4">
        <f>$M$1892*$W$1892</f>
        <v>32599.352220000001</v>
      </c>
      <c r="AD1892" s="4">
        <f>$O$1892*$X$1892</f>
        <v>18997.746770000002</v>
      </c>
      <c r="AE1892" s="4">
        <f>$K$1892*$Y$1892</f>
        <v>0</v>
      </c>
      <c r="AF1892" s="4">
        <f ca="1">$M$1892*$Z$1892</f>
        <v>38453.640302429725</v>
      </c>
      <c r="AG1892" s="4">
        <f>$O$1892*$AA$1892</f>
        <v>23393.351726336943</v>
      </c>
    </row>
    <row r="1893" spans="1:33" ht="11.25" customHeight="1" x14ac:dyDescent="0.25">
      <c r="A1893" s="3" t="s">
        <v>21</v>
      </c>
      <c r="B1893" s="3" t="s">
        <v>39</v>
      </c>
      <c r="C1893" s="3" t="s">
        <v>23</v>
      </c>
      <c r="D1893" s="3" t="s">
        <v>40</v>
      </c>
      <c r="E1893" s="3" t="s">
        <v>25</v>
      </c>
      <c r="F1893" s="3" t="s">
        <v>25</v>
      </c>
      <c r="G1893" s="3" t="s">
        <v>25</v>
      </c>
      <c r="H1893" s="3" t="s">
        <v>25</v>
      </c>
      <c r="I1893" s="6">
        <v>44440</v>
      </c>
      <c r="J1893" s="4">
        <v>0</v>
      </c>
      <c r="K1893" s="4">
        <v>0</v>
      </c>
      <c r="L1893" s="4">
        <v>1459.585</v>
      </c>
      <c r="M1893" s="4">
        <v>1459.585</v>
      </c>
      <c r="N1893" s="4">
        <v>1459.585</v>
      </c>
      <c r="O1893" s="4">
        <v>1459.585</v>
      </c>
      <c r="P1893" s="4">
        <v>1631</v>
      </c>
      <c r="Q1893" s="3" t="s">
        <v>26</v>
      </c>
      <c r="R1893" s="3">
        <v>0</v>
      </c>
      <c r="S1893" s="4">
        <v>0</v>
      </c>
      <c r="T1893" s="4">
        <v>45</v>
      </c>
      <c r="U1893" s="4">
        <v>85</v>
      </c>
      <c r="V1893" s="4">
        <f>IF(ISERROR(VLOOKUP($S$1893,'TAR FIN'!$A$1:$O$99,15,0)),0,VLOOKUP($S$1893,'TAR FIN'!$A$1:$O$99,15,0))</f>
        <v>0</v>
      </c>
      <c r="W1893" s="4">
        <f>IF(ISERROR(VLOOKUP($T$1893,'TAR FIN'!$A$1:$O$99,15,0)),0,VLOOKUP($T$1893,'TAR FIN'!$A$1:$O$99,15,0))</f>
        <v>395.58</v>
      </c>
      <c r="X1893" s="4">
        <f>IF(ISERROR(VLOOKUP($U$1893,'TAR FIN'!$A$1:$O$99,15,0)),0,VLOOKUP($U$1893,'TAR FIN'!$A$1:$O$99,15,0))</f>
        <v>230.53</v>
      </c>
      <c r="Y1893" s="4"/>
      <c r="Z1893" s="4">
        <f ca="1">('TUSD BE'!$AM$59+'TUSD BF'!$AM$59+'TUSD CVA'!$AM$59)*1</f>
        <v>466.61942630573992</v>
      </c>
      <c r="AA1893" s="4">
        <f>('TE BE'!$AA$41+'TE BF'!$AA$41+'TE CVA'!$AA$41)*1</f>
        <v>283.86889449376815</v>
      </c>
      <c r="AB1893" s="4">
        <f>$K$1893*$V$1893</f>
        <v>0</v>
      </c>
      <c r="AC1893" s="4">
        <f>$M$1893*$W$1893</f>
        <v>577382.63430000003</v>
      </c>
      <c r="AD1893" s="4">
        <f>$O$1893*$X$1893</f>
        <v>336478.13005000004</v>
      </c>
      <c r="AE1893" s="4">
        <f>$K$1893*$Y$1893</f>
        <v>0</v>
      </c>
      <c r="AF1893" s="4">
        <f ca="1">$M$1893*$Z$1893</f>
        <v>681070.71534446348</v>
      </c>
      <c r="AG1893" s="4">
        <f>$O$1893*$AA$1893</f>
        <v>414330.7803696866</v>
      </c>
    </row>
    <row r="1894" spans="1:33" ht="11.25" customHeight="1" x14ac:dyDescent="0.25">
      <c r="A1894" s="3" t="s">
        <v>27</v>
      </c>
      <c r="B1894" s="3" t="s">
        <v>39</v>
      </c>
      <c r="C1894" s="3" t="s">
        <v>23</v>
      </c>
      <c r="D1894" s="3" t="s">
        <v>40</v>
      </c>
      <c r="E1894" s="3" t="s">
        <v>25</v>
      </c>
      <c r="F1894" s="3" t="s">
        <v>25</v>
      </c>
      <c r="G1894" s="3" t="s">
        <v>25</v>
      </c>
      <c r="H1894" s="3" t="s">
        <v>25</v>
      </c>
      <c r="I1894" s="6">
        <v>44440</v>
      </c>
      <c r="J1894" s="4">
        <v>0</v>
      </c>
      <c r="K1894" s="4">
        <v>0</v>
      </c>
      <c r="L1894" s="4">
        <v>-22.405999999999999</v>
      </c>
      <c r="M1894" s="4">
        <v>-22.405999999999999</v>
      </c>
      <c r="N1894" s="4">
        <v>-22.405999999999999</v>
      </c>
      <c r="O1894" s="4">
        <v>-22.405999999999999</v>
      </c>
      <c r="P1894" s="4">
        <v>-72</v>
      </c>
      <c r="Q1894" s="3" t="s">
        <v>26</v>
      </c>
      <c r="R1894" s="3">
        <v>0</v>
      </c>
      <c r="S1894" s="4">
        <v>0</v>
      </c>
      <c r="T1894" s="4">
        <v>45</v>
      </c>
      <c r="U1894" s="4">
        <v>85</v>
      </c>
      <c r="V1894" s="4">
        <f>IF(ISERROR(VLOOKUP($S$1894,'TAR FIN'!$A$1:$O$99,15,0)),0,VLOOKUP($S$1894,'TAR FIN'!$A$1:$O$99,15,0))</f>
        <v>0</v>
      </c>
      <c r="W1894" s="4">
        <f>IF(ISERROR(VLOOKUP($T$1894,'TAR FIN'!$A$1:$O$99,15,0)),0,VLOOKUP($T$1894,'TAR FIN'!$A$1:$O$99,15,0))</f>
        <v>395.58</v>
      </c>
      <c r="X1894" s="4">
        <f>IF(ISERROR(VLOOKUP($U$1894,'TAR FIN'!$A$1:$O$99,15,0)),0,VLOOKUP($U$1894,'TAR FIN'!$A$1:$O$99,15,0))</f>
        <v>230.53</v>
      </c>
      <c r="Y1894" s="4"/>
      <c r="Z1894" s="4">
        <f ca="1">('TUSD BE'!$AM$59+'TUSD BF'!$AM$59+'TUSD CVA'!$AM$59)*1</f>
        <v>466.61942630573992</v>
      </c>
      <c r="AA1894" s="4">
        <f>('TE BE'!$AA$41+'TE BF'!$AA$41+'TE CVA'!$AA$41)*1</f>
        <v>283.86889449376815</v>
      </c>
      <c r="AB1894" s="4">
        <f>$K$1894*$V$1894</f>
        <v>0</v>
      </c>
      <c r="AC1894" s="4">
        <f>$M$1894*$W$1894</f>
        <v>-8863.3654799999986</v>
      </c>
      <c r="AD1894" s="4">
        <f>$O$1894*$X$1894</f>
        <v>-5165.2551800000001</v>
      </c>
      <c r="AE1894" s="4">
        <f>$K$1894*$Y$1894</f>
        <v>0</v>
      </c>
      <c r="AF1894" s="4">
        <f ca="1">$M$1894*$Z$1894</f>
        <v>-10455.074865806408</v>
      </c>
      <c r="AG1894" s="4">
        <f>$O$1894*$AA$1894</f>
        <v>-6360.366450027369</v>
      </c>
    </row>
    <row r="1895" spans="1:33" ht="11.25" customHeight="1" x14ac:dyDescent="0.25">
      <c r="A1895" s="3" t="s">
        <v>28</v>
      </c>
      <c r="B1895" s="3" t="s">
        <v>39</v>
      </c>
      <c r="C1895" s="3" t="s">
        <v>23</v>
      </c>
      <c r="D1895" s="3" t="s">
        <v>40</v>
      </c>
      <c r="E1895" s="3" t="s">
        <v>25</v>
      </c>
      <c r="F1895" s="3" t="s">
        <v>25</v>
      </c>
      <c r="G1895" s="3" t="s">
        <v>25</v>
      </c>
      <c r="H1895" s="3" t="s">
        <v>25</v>
      </c>
      <c r="I1895" s="6">
        <v>44440</v>
      </c>
      <c r="J1895" s="4">
        <v>0</v>
      </c>
      <c r="K1895" s="4">
        <v>0</v>
      </c>
      <c r="L1895" s="4">
        <v>96.01</v>
      </c>
      <c r="M1895" s="4">
        <v>96.01</v>
      </c>
      <c r="N1895" s="4">
        <v>96.01</v>
      </c>
      <c r="O1895" s="4">
        <v>96.01</v>
      </c>
      <c r="P1895" s="4">
        <v>51</v>
      </c>
      <c r="Q1895" s="3" t="s">
        <v>26</v>
      </c>
      <c r="R1895" s="3">
        <v>0</v>
      </c>
      <c r="S1895" s="4">
        <v>0</v>
      </c>
      <c r="T1895" s="4">
        <v>45</v>
      </c>
      <c r="U1895" s="4">
        <v>85</v>
      </c>
      <c r="V1895" s="4">
        <f>IF(ISERROR(VLOOKUP($S$1895,'TAR FIN'!$A$1:$O$99,15,0)),0,VLOOKUP($S$1895,'TAR FIN'!$A$1:$O$99,15,0))</f>
        <v>0</v>
      </c>
      <c r="W1895" s="4">
        <f>IF(ISERROR(VLOOKUP($T$1895,'TAR FIN'!$A$1:$O$99,15,0)),0,VLOOKUP($T$1895,'TAR FIN'!$A$1:$O$99,15,0))</f>
        <v>395.58</v>
      </c>
      <c r="X1895" s="4">
        <f>IF(ISERROR(VLOOKUP($U$1895,'TAR FIN'!$A$1:$O$99,15,0)),0,VLOOKUP($U$1895,'TAR FIN'!$A$1:$O$99,15,0))</f>
        <v>230.53</v>
      </c>
      <c r="Y1895" s="4"/>
      <c r="Z1895" s="4">
        <f ca="1">('TUSD BE'!$AM$59+'TUSD BF'!$AM$59+'TUSD CVA'!$AM$59)*1</f>
        <v>466.61942630573992</v>
      </c>
      <c r="AA1895" s="4">
        <f>('TE BE'!$AA$41+'TE BF'!$AA$41+'TE CVA'!$AA$41)*1</f>
        <v>283.86889449376815</v>
      </c>
      <c r="AB1895" s="4">
        <f>$K$1895*$V$1895</f>
        <v>0</v>
      </c>
      <c r="AC1895" s="4">
        <f>$M$1895*$W$1895</f>
        <v>37979.635800000004</v>
      </c>
      <c r="AD1895" s="4">
        <f>$O$1895*$X$1895</f>
        <v>22133.185300000001</v>
      </c>
      <c r="AE1895" s="4">
        <f>$K$1895*$Y$1895</f>
        <v>0</v>
      </c>
      <c r="AF1895" s="4">
        <f ca="1">$M$1895*$Z$1895</f>
        <v>44800.131119614089</v>
      </c>
      <c r="AG1895" s="4">
        <f>$O$1895*$AA$1895</f>
        <v>27254.252560346682</v>
      </c>
    </row>
    <row r="1896" spans="1:33" ht="11.25" customHeight="1" x14ac:dyDescent="0.25">
      <c r="A1896" s="3" t="s">
        <v>28</v>
      </c>
      <c r="B1896" s="3" t="s">
        <v>39</v>
      </c>
      <c r="C1896" s="3" t="s">
        <v>23</v>
      </c>
      <c r="D1896" s="3" t="s">
        <v>40</v>
      </c>
      <c r="E1896" s="3" t="s">
        <v>25</v>
      </c>
      <c r="F1896" s="3" t="s">
        <v>25</v>
      </c>
      <c r="G1896" s="3" t="s">
        <v>25</v>
      </c>
      <c r="H1896" s="3" t="s">
        <v>25</v>
      </c>
      <c r="I1896" s="6">
        <v>44440</v>
      </c>
      <c r="J1896" s="4">
        <v>0</v>
      </c>
      <c r="K1896" s="4">
        <v>0</v>
      </c>
      <c r="L1896" s="4">
        <v>-55.259</v>
      </c>
      <c r="M1896" s="4">
        <v>-55.259</v>
      </c>
      <c r="N1896" s="4">
        <v>-55.259</v>
      </c>
      <c r="O1896" s="4">
        <v>-55.259</v>
      </c>
      <c r="P1896" s="4">
        <v>-3</v>
      </c>
      <c r="Q1896" s="3" t="s">
        <v>26</v>
      </c>
      <c r="R1896" s="3">
        <v>0</v>
      </c>
      <c r="S1896" s="4">
        <v>0</v>
      </c>
      <c r="T1896" s="4">
        <v>45</v>
      </c>
      <c r="U1896" s="4">
        <v>85</v>
      </c>
      <c r="V1896" s="4">
        <f>IF(ISERROR(VLOOKUP($S$1896,'TAR FIN'!$A$1:$O$99,15,0)),0,VLOOKUP($S$1896,'TAR FIN'!$A$1:$O$99,15,0))</f>
        <v>0</v>
      </c>
      <c r="W1896" s="4">
        <f>IF(ISERROR(VLOOKUP($T$1896,'TAR FIN'!$A$1:$O$99,15,0)),0,VLOOKUP($T$1896,'TAR FIN'!$A$1:$O$99,15,0))</f>
        <v>395.58</v>
      </c>
      <c r="X1896" s="4">
        <f>IF(ISERROR(VLOOKUP($U$1896,'TAR FIN'!$A$1:$O$99,15,0)),0,VLOOKUP($U$1896,'TAR FIN'!$A$1:$O$99,15,0))</f>
        <v>230.53</v>
      </c>
      <c r="Y1896" s="4"/>
      <c r="Z1896" s="4">
        <f ca="1">('TUSD BE'!$AM$59+'TUSD BF'!$AM$59+'TUSD CVA'!$AM$59)*1</f>
        <v>466.61942630573992</v>
      </c>
      <c r="AA1896" s="4">
        <f>('TE BE'!$AA$41+'TE BF'!$AA$41+'TE CVA'!$AA$41)*1</f>
        <v>283.86889449376815</v>
      </c>
      <c r="AB1896" s="4">
        <f>$K$1896*$V$1896</f>
        <v>0</v>
      </c>
      <c r="AC1896" s="4">
        <f>$M$1896*$W$1896</f>
        <v>-21859.355219999998</v>
      </c>
      <c r="AD1896" s="4">
        <f>$O$1896*$X$1896</f>
        <v>-12738.85727</v>
      </c>
      <c r="AE1896" s="4">
        <f>$K$1896*$Y$1896</f>
        <v>0</v>
      </c>
      <c r="AF1896" s="4">
        <f ca="1">$M$1896*$Z$1896</f>
        <v>-25784.922878228881</v>
      </c>
      <c r="AG1896" s="4">
        <f>$O$1896*$AA$1896</f>
        <v>-15686.311240831134</v>
      </c>
    </row>
    <row r="1897" spans="1:33" ht="11.25" customHeight="1" x14ac:dyDescent="0.25">
      <c r="A1897" s="3" t="s">
        <v>21</v>
      </c>
      <c r="B1897" s="3" t="s">
        <v>39</v>
      </c>
      <c r="C1897" s="3" t="s">
        <v>23</v>
      </c>
      <c r="D1897" s="3" t="s">
        <v>40</v>
      </c>
      <c r="E1897" s="3" t="s">
        <v>25</v>
      </c>
      <c r="F1897" s="3" t="s">
        <v>25</v>
      </c>
      <c r="G1897" s="3" t="s">
        <v>25</v>
      </c>
      <c r="H1897" s="3" t="s">
        <v>25</v>
      </c>
      <c r="I1897" s="6">
        <v>44470</v>
      </c>
      <c r="J1897" s="4">
        <v>0</v>
      </c>
      <c r="K1897" s="4">
        <v>0</v>
      </c>
      <c r="L1897" s="4">
        <v>1524.098</v>
      </c>
      <c r="M1897" s="4">
        <v>1524.098</v>
      </c>
      <c r="N1897" s="4">
        <v>1524.098</v>
      </c>
      <c r="O1897" s="4">
        <v>1524.098</v>
      </c>
      <c r="P1897" s="4">
        <v>1626</v>
      </c>
      <c r="Q1897" s="3" t="s">
        <v>26</v>
      </c>
      <c r="R1897" s="3">
        <v>0</v>
      </c>
      <c r="S1897" s="4">
        <v>0</v>
      </c>
      <c r="T1897" s="4">
        <v>45</v>
      </c>
      <c r="U1897" s="4">
        <v>85</v>
      </c>
      <c r="V1897" s="4">
        <f>IF(ISERROR(VLOOKUP($S$1897,'TAR FIN'!$A$1:$O$99,15,0)),0,VLOOKUP($S$1897,'TAR FIN'!$A$1:$O$99,15,0))</f>
        <v>0</v>
      </c>
      <c r="W1897" s="4">
        <f>IF(ISERROR(VLOOKUP($T$1897,'TAR FIN'!$A$1:$O$99,15,0)),0,VLOOKUP($T$1897,'TAR FIN'!$A$1:$O$99,15,0))</f>
        <v>395.58</v>
      </c>
      <c r="X1897" s="4">
        <f>IF(ISERROR(VLOOKUP($U$1897,'TAR FIN'!$A$1:$O$99,15,0)),0,VLOOKUP($U$1897,'TAR FIN'!$A$1:$O$99,15,0))</f>
        <v>230.53</v>
      </c>
      <c r="Y1897" s="4"/>
      <c r="Z1897" s="4">
        <f ca="1">('TUSD BE'!$AM$59+'TUSD BF'!$AM$59+'TUSD CVA'!$AM$59)*1</f>
        <v>466.61942630573992</v>
      </c>
      <c r="AA1897" s="4">
        <f>('TE BE'!$AA$41+'TE BF'!$AA$41+'TE CVA'!$AA$41)*1</f>
        <v>283.86889449376815</v>
      </c>
      <c r="AB1897" s="4">
        <f>$K$1897*$V$1897</f>
        <v>0</v>
      </c>
      <c r="AC1897" s="4">
        <f>$M$1897*$W$1897</f>
        <v>602902.68683999998</v>
      </c>
      <c r="AD1897" s="4">
        <f>$O$1897*$X$1897</f>
        <v>351350.31193999999</v>
      </c>
      <c r="AE1897" s="4">
        <f>$K$1897*$Y$1897</f>
        <v>0</v>
      </c>
      <c r="AF1897" s="4">
        <f ca="1">$M$1897*$Z$1897</f>
        <v>711173.73439372564</v>
      </c>
      <c r="AG1897" s="4">
        <f>$O$1897*$AA$1897</f>
        <v>432644.01436016307</v>
      </c>
    </row>
    <row r="1898" spans="1:33" ht="11.25" customHeight="1" x14ac:dyDescent="0.25">
      <c r="A1898" s="3" t="s">
        <v>27</v>
      </c>
      <c r="B1898" s="3" t="s">
        <v>39</v>
      </c>
      <c r="C1898" s="3" t="s">
        <v>23</v>
      </c>
      <c r="D1898" s="3" t="s">
        <v>40</v>
      </c>
      <c r="E1898" s="3" t="s">
        <v>25</v>
      </c>
      <c r="F1898" s="3" t="s">
        <v>25</v>
      </c>
      <c r="G1898" s="3" t="s">
        <v>25</v>
      </c>
      <c r="H1898" s="3" t="s">
        <v>25</v>
      </c>
      <c r="I1898" s="6">
        <v>44470</v>
      </c>
      <c r="J1898" s="4">
        <v>0</v>
      </c>
      <c r="K1898" s="4">
        <v>0</v>
      </c>
      <c r="L1898" s="4">
        <v>-61.552</v>
      </c>
      <c r="M1898" s="4">
        <v>-61.552</v>
      </c>
      <c r="N1898" s="4">
        <v>-61.552</v>
      </c>
      <c r="O1898" s="4">
        <v>-61.552</v>
      </c>
      <c r="P1898" s="4">
        <v>-199</v>
      </c>
      <c r="Q1898" s="3" t="s">
        <v>26</v>
      </c>
      <c r="R1898" s="3">
        <v>0</v>
      </c>
      <c r="S1898" s="4">
        <v>0</v>
      </c>
      <c r="T1898" s="4">
        <v>45</v>
      </c>
      <c r="U1898" s="4">
        <v>85</v>
      </c>
      <c r="V1898" s="4">
        <f>IF(ISERROR(VLOOKUP($S$1898,'TAR FIN'!$A$1:$O$99,15,0)),0,VLOOKUP($S$1898,'TAR FIN'!$A$1:$O$99,15,0))</f>
        <v>0</v>
      </c>
      <c r="W1898" s="4">
        <f>IF(ISERROR(VLOOKUP($T$1898,'TAR FIN'!$A$1:$O$99,15,0)),0,VLOOKUP($T$1898,'TAR FIN'!$A$1:$O$99,15,0))</f>
        <v>395.58</v>
      </c>
      <c r="X1898" s="4">
        <f>IF(ISERROR(VLOOKUP($U$1898,'TAR FIN'!$A$1:$O$99,15,0)),0,VLOOKUP($U$1898,'TAR FIN'!$A$1:$O$99,15,0))</f>
        <v>230.53</v>
      </c>
      <c r="Y1898" s="4"/>
      <c r="Z1898" s="4">
        <f ca="1">('TUSD BE'!$AM$59+'TUSD BF'!$AM$59+'TUSD CVA'!$AM$59)*1</f>
        <v>466.61942630573992</v>
      </c>
      <c r="AA1898" s="4">
        <f>('TE BE'!$AA$41+'TE BF'!$AA$41+'TE CVA'!$AA$41)*1</f>
        <v>283.86889449376815</v>
      </c>
      <c r="AB1898" s="4">
        <f>$K$1898*$V$1898</f>
        <v>0</v>
      </c>
      <c r="AC1898" s="4">
        <f>$M$1898*$W$1898</f>
        <v>-24348.740159999998</v>
      </c>
      <c r="AD1898" s="4">
        <f>$O$1898*$X$1898</f>
        <v>-14189.582560000001</v>
      </c>
      <c r="AE1898" s="4">
        <f>$K$1898*$Y$1898</f>
        <v>0</v>
      </c>
      <c r="AF1898" s="4">
        <f ca="1">$M$1898*$Z$1898</f>
        <v>-28721.358927970905</v>
      </c>
      <c r="AG1898" s="4">
        <f>$O$1898*$AA$1898</f>
        <v>-17472.698193880417</v>
      </c>
    </row>
    <row r="1899" spans="1:33" ht="11.25" customHeight="1" x14ac:dyDescent="0.25">
      <c r="A1899" s="3" t="s">
        <v>28</v>
      </c>
      <c r="B1899" s="3" t="s">
        <v>39</v>
      </c>
      <c r="C1899" s="3" t="s">
        <v>23</v>
      </c>
      <c r="D1899" s="3" t="s">
        <v>40</v>
      </c>
      <c r="E1899" s="3" t="s">
        <v>25</v>
      </c>
      <c r="F1899" s="3" t="s">
        <v>25</v>
      </c>
      <c r="G1899" s="3" t="s">
        <v>25</v>
      </c>
      <c r="H1899" s="3" t="s">
        <v>25</v>
      </c>
      <c r="I1899" s="6">
        <v>44470</v>
      </c>
      <c r="J1899" s="4">
        <v>0</v>
      </c>
      <c r="K1899" s="4">
        <v>0</v>
      </c>
      <c r="L1899" s="4">
        <v>54.527999999999999</v>
      </c>
      <c r="M1899" s="4">
        <v>54.527999999999999</v>
      </c>
      <c r="N1899" s="4">
        <v>54.527999999999999</v>
      </c>
      <c r="O1899" s="4">
        <v>54.527999999999999</v>
      </c>
      <c r="P1899" s="4">
        <v>56</v>
      </c>
      <c r="Q1899" s="3" t="s">
        <v>26</v>
      </c>
      <c r="R1899" s="3">
        <v>0</v>
      </c>
      <c r="S1899" s="4">
        <v>0</v>
      </c>
      <c r="T1899" s="4">
        <v>45</v>
      </c>
      <c r="U1899" s="4">
        <v>85</v>
      </c>
      <c r="V1899" s="4">
        <f>IF(ISERROR(VLOOKUP($S$1899,'TAR FIN'!$A$1:$O$99,15,0)),0,VLOOKUP($S$1899,'TAR FIN'!$A$1:$O$99,15,0))</f>
        <v>0</v>
      </c>
      <c r="W1899" s="4">
        <f>IF(ISERROR(VLOOKUP($T$1899,'TAR FIN'!$A$1:$O$99,15,0)),0,VLOOKUP($T$1899,'TAR FIN'!$A$1:$O$99,15,0))</f>
        <v>395.58</v>
      </c>
      <c r="X1899" s="4">
        <f>IF(ISERROR(VLOOKUP($U$1899,'TAR FIN'!$A$1:$O$99,15,0)),0,VLOOKUP($U$1899,'TAR FIN'!$A$1:$O$99,15,0))</f>
        <v>230.53</v>
      </c>
      <c r="Y1899" s="4"/>
      <c r="Z1899" s="4">
        <f ca="1">('TUSD BE'!$AM$59+'TUSD BF'!$AM$59+'TUSD CVA'!$AM$59)*1</f>
        <v>466.61942630573992</v>
      </c>
      <c r="AA1899" s="4">
        <f>('TE BE'!$AA$41+'TE BF'!$AA$41+'TE CVA'!$AA$41)*1</f>
        <v>283.86889449376815</v>
      </c>
      <c r="AB1899" s="4">
        <f>$K$1899*$V$1899</f>
        <v>0</v>
      </c>
      <c r="AC1899" s="4">
        <f>$M$1899*$W$1899</f>
        <v>21570.186239999999</v>
      </c>
      <c r="AD1899" s="4">
        <f>$O$1899*$X$1899</f>
        <v>12570.339840000001</v>
      </c>
      <c r="AE1899" s="4">
        <f>$K$1899*$Y$1899</f>
        <v>0</v>
      </c>
      <c r="AF1899" s="4">
        <f ca="1">$M$1899*$Z$1899</f>
        <v>25443.824077599387</v>
      </c>
      <c r="AG1899" s="4">
        <f>$O$1899*$AA$1899</f>
        <v>15478.803078956189</v>
      </c>
    </row>
    <row r="1900" spans="1:33" ht="11.25" customHeight="1" x14ac:dyDescent="0.25">
      <c r="A1900" s="3" t="s">
        <v>28</v>
      </c>
      <c r="B1900" s="3" t="s">
        <v>39</v>
      </c>
      <c r="C1900" s="3" t="s">
        <v>23</v>
      </c>
      <c r="D1900" s="3" t="s">
        <v>40</v>
      </c>
      <c r="E1900" s="3" t="s">
        <v>25</v>
      </c>
      <c r="F1900" s="3" t="s">
        <v>25</v>
      </c>
      <c r="G1900" s="3" t="s">
        <v>25</v>
      </c>
      <c r="H1900" s="3" t="s">
        <v>25</v>
      </c>
      <c r="I1900" s="6">
        <v>44470</v>
      </c>
      <c r="J1900" s="4">
        <v>0</v>
      </c>
      <c r="K1900" s="4">
        <v>0</v>
      </c>
      <c r="L1900" s="4">
        <v>-1.903</v>
      </c>
      <c r="M1900" s="4">
        <v>-1.903</v>
      </c>
      <c r="N1900" s="4">
        <v>-1.903</v>
      </c>
      <c r="O1900" s="4">
        <v>-1.903</v>
      </c>
      <c r="P1900" s="4">
        <v>-3</v>
      </c>
      <c r="Q1900" s="3" t="s">
        <v>26</v>
      </c>
      <c r="R1900" s="3">
        <v>0</v>
      </c>
      <c r="S1900" s="4">
        <v>0</v>
      </c>
      <c r="T1900" s="4">
        <v>45</v>
      </c>
      <c r="U1900" s="4">
        <v>85</v>
      </c>
      <c r="V1900" s="4">
        <f>IF(ISERROR(VLOOKUP($S$1900,'TAR FIN'!$A$1:$O$99,15,0)),0,VLOOKUP($S$1900,'TAR FIN'!$A$1:$O$99,15,0))</f>
        <v>0</v>
      </c>
      <c r="W1900" s="4">
        <f>IF(ISERROR(VLOOKUP($T$1900,'TAR FIN'!$A$1:$O$99,15,0)),0,VLOOKUP($T$1900,'TAR FIN'!$A$1:$O$99,15,0))</f>
        <v>395.58</v>
      </c>
      <c r="X1900" s="4">
        <f>IF(ISERROR(VLOOKUP($U$1900,'TAR FIN'!$A$1:$O$99,15,0)),0,VLOOKUP($U$1900,'TAR FIN'!$A$1:$O$99,15,0))</f>
        <v>230.53</v>
      </c>
      <c r="Y1900" s="4"/>
      <c r="Z1900" s="4">
        <f ca="1">('TUSD BE'!$AM$59+'TUSD BF'!$AM$59+'TUSD CVA'!$AM$59)*1</f>
        <v>466.61942630573992</v>
      </c>
      <c r="AA1900" s="4">
        <f>('TE BE'!$AA$41+'TE BF'!$AA$41+'TE CVA'!$AA$41)*1</f>
        <v>283.86889449376815</v>
      </c>
      <c r="AB1900" s="4">
        <f>$K$1900*$V$1900</f>
        <v>0</v>
      </c>
      <c r="AC1900" s="4">
        <f>$M$1900*$W$1900</f>
        <v>-752.78873999999996</v>
      </c>
      <c r="AD1900" s="4">
        <f>$O$1900*$X$1900</f>
        <v>-438.69859000000002</v>
      </c>
      <c r="AE1900" s="4">
        <f>$K$1900*$Y$1900</f>
        <v>0</v>
      </c>
      <c r="AF1900" s="4">
        <f ca="1">$M$1900*$Z$1900</f>
        <v>-887.97676825982307</v>
      </c>
      <c r="AG1900" s="4">
        <f>$O$1900*$AA$1900</f>
        <v>-540.20250622164076</v>
      </c>
    </row>
    <row r="1901" spans="1:33" ht="11.25" customHeight="1" x14ac:dyDescent="0.25">
      <c r="A1901" s="3" t="s">
        <v>21</v>
      </c>
      <c r="B1901" s="3" t="s">
        <v>39</v>
      </c>
      <c r="C1901" s="3" t="s">
        <v>23</v>
      </c>
      <c r="D1901" s="3" t="s">
        <v>40</v>
      </c>
      <c r="E1901" s="3" t="s">
        <v>25</v>
      </c>
      <c r="F1901" s="3" t="s">
        <v>25</v>
      </c>
      <c r="G1901" s="3" t="s">
        <v>25</v>
      </c>
      <c r="H1901" s="3" t="s">
        <v>25</v>
      </c>
      <c r="I1901" s="6">
        <v>44501</v>
      </c>
      <c r="J1901" s="4">
        <v>0</v>
      </c>
      <c r="K1901" s="4">
        <v>0</v>
      </c>
      <c r="L1901" s="4">
        <v>1615.914</v>
      </c>
      <c r="M1901" s="4">
        <v>1615.914</v>
      </c>
      <c r="N1901" s="4">
        <v>1615.914</v>
      </c>
      <c r="O1901" s="4">
        <v>1615.914</v>
      </c>
      <c r="P1901" s="4">
        <v>1604</v>
      </c>
      <c r="Q1901" s="3" t="s">
        <v>26</v>
      </c>
      <c r="R1901" s="3">
        <v>0</v>
      </c>
      <c r="S1901" s="4">
        <v>0</v>
      </c>
      <c r="T1901" s="4">
        <v>45</v>
      </c>
      <c r="U1901" s="4">
        <v>85</v>
      </c>
      <c r="V1901" s="4">
        <f>IF(ISERROR(VLOOKUP($S$1901,'TAR FIN'!$A$1:$O$99,15,0)),0,VLOOKUP($S$1901,'TAR FIN'!$A$1:$O$99,15,0))</f>
        <v>0</v>
      </c>
      <c r="W1901" s="4">
        <f>IF(ISERROR(VLOOKUP($T$1901,'TAR FIN'!$A$1:$O$99,15,0)),0,VLOOKUP($T$1901,'TAR FIN'!$A$1:$O$99,15,0))</f>
        <v>395.58</v>
      </c>
      <c r="X1901" s="4">
        <f>IF(ISERROR(VLOOKUP($U$1901,'TAR FIN'!$A$1:$O$99,15,0)),0,VLOOKUP($U$1901,'TAR FIN'!$A$1:$O$99,15,0))</f>
        <v>230.53</v>
      </c>
      <c r="Y1901" s="4"/>
      <c r="Z1901" s="4">
        <f ca="1">('TUSD BE'!$AM$59+'TUSD BF'!$AM$59+'TUSD CVA'!$AM$59)*1</f>
        <v>466.61942630573992</v>
      </c>
      <c r="AA1901" s="4">
        <f>('TE BE'!$AA$41+'TE BF'!$AA$41+'TE CVA'!$AA$41)*1</f>
        <v>283.86889449376815</v>
      </c>
      <c r="AB1901" s="4">
        <f>$K$1901*$V$1901</f>
        <v>0</v>
      </c>
      <c r="AC1901" s="4">
        <f>$M$1901*$W$1901</f>
        <v>639223.26011999999</v>
      </c>
      <c r="AD1901" s="4">
        <f>$O$1901*$X$1901</f>
        <v>372516.65441999998</v>
      </c>
      <c r="AE1901" s="4">
        <f>$K$1901*$Y$1901</f>
        <v>0</v>
      </c>
      <c r="AF1901" s="4">
        <f ca="1">$M$1901*$Z$1901</f>
        <v>754016.86363941338</v>
      </c>
      <c r="AG1901" s="4">
        <f>$O$1901*$AA$1901</f>
        <v>458707.72077700286</v>
      </c>
    </row>
    <row r="1902" spans="1:33" ht="11.25" customHeight="1" x14ac:dyDescent="0.25">
      <c r="A1902" s="3" t="s">
        <v>27</v>
      </c>
      <c r="B1902" s="3" t="s">
        <v>39</v>
      </c>
      <c r="C1902" s="3" t="s">
        <v>23</v>
      </c>
      <c r="D1902" s="3" t="s">
        <v>40</v>
      </c>
      <c r="E1902" s="3" t="s">
        <v>25</v>
      </c>
      <c r="F1902" s="3" t="s">
        <v>25</v>
      </c>
      <c r="G1902" s="3" t="s">
        <v>25</v>
      </c>
      <c r="H1902" s="3" t="s">
        <v>25</v>
      </c>
      <c r="I1902" s="6">
        <v>44501</v>
      </c>
      <c r="J1902" s="4">
        <v>0</v>
      </c>
      <c r="K1902" s="4">
        <v>0</v>
      </c>
      <c r="L1902" s="4">
        <v>10.622</v>
      </c>
      <c r="M1902" s="4">
        <v>10.622</v>
      </c>
      <c r="N1902" s="4">
        <v>10.622</v>
      </c>
      <c r="O1902" s="4">
        <v>10.622</v>
      </c>
      <c r="P1902" s="4">
        <v>-27</v>
      </c>
      <c r="Q1902" s="3" t="s">
        <v>26</v>
      </c>
      <c r="R1902" s="3">
        <v>0</v>
      </c>
      <c r="S1902" s="4">
        <v>0</v>
      </c>
      <c r="T1902" s="4">
        <v>45</v>
      </c>
      <c r="U1902" s="4">
        <v>85</v>
      </c>
      <c r="V1902" s="4">
        <f>IF(ISERROR(VLOOKUP($S$1902,'TAR FIN'!$A$1:$O$99,15,0)),0,VLOOKUP($S$1902,'TAR FIN'!$A$1:$O$99,15,0))</f>
        <v>0</v>
      </c>
      <c r="W1902" s="4">
        <f>IF(ISERROR(VLOOKUP($T$1902,'TAR FIN'!$A$1:$O$99,15,0)),0,VLOOKUP($T$1902,'TAR FIN'!$A$1:$O$99,15,0))</f>
        <v>395.58</v>
      </c>
      <c r="X1902" s="4">
        <f>IF(ISERROR(VLOOKUP($U$1902,'TAR FIN'!$A$1:$O$99,15,0)),0,VLOOKUP($U$1902,'TAR FIN'!$A$1:$O$99,15,0))</f>
        <v>230.53</v>
      </c>
      <c r="Y1902" s="4"/>
      <c r="Z1902" s="4">
        <f ca="1">('TUSD BE'!$AM$59+'TUSD BF'!$AM$59+'TUSD CVA'!$AM$59)*1</f>
        <v>466.61942630573992</v>
      </c>
      <c r="AA1902" s="4">
        <f>('TE BE'!$AA$41+'TE BF'!$AA$41+'TE CVA'!$AA$41)*1</f>
        <v>283.86889449376815</v>
      </c>
      <c r="AB1902" s="4">
        <f>$K$1902*$V$1902</f>
        <v>0</v>
      </c>
      <c r="AC1902" s="4">
        <f>$M$1902*$W$1902</f>
        <v>4201.8507599999994</v>
      </c>
      <c r="AD1902" s="4">
        <f>$O$1902*$X$1902</f>
        <v>2448.68966</v>
      </c>
      <c r="AE1902" s="4">
        <f>$K$1902*$Y$1902</f>
        <v>0</v>
      </c>
      <c r="AF1902" s="4">
        <f ca="1">$M$1902*$Z$1902</f>
        <v>4956.4315462195691</v>
      </c>
      <c r="AG1902" s="4">
        <f>$O$1902*$AA$1902</f>
        <v>3015.2553973128051</v>
      </c>
    </row>
    <row r="1903" spans="1:33" ht="11.25" customHeight="1" x14ac:dyDescent="0.25">
      <c r="A1903" s="3" t="s">
        <v>28</v>
      </c>
      <c r="B1903" s="3" t="s">
        <v>39</v>
      </c>
      <c r="C1903" s="3" t="s">
        <v>23</v>
      </c>
      <c r="D1903" s="3" t="s">
        <v>40</v>
      </c>
      <c r="E1903" s="3" t="s">
        <v>25</v>
      </c>
      <c r="F1903" s="3" t="s">
        <v>25</v>
      </c>
      <c r="G1903" s="3" t="s">
        <v>25</v>
      </c>
      <c r="H1903" s="3" t="s">
        <v>25</v>
      </c>
      <c r="I1903" s="6">
        <v>44501</v>
      </c>
      <c r="J1903" s="4">
        <v>0</v>
      </c>
      <c r="K1903" s="4">
        <v>0</v>
      </c>
      <c r="L1903" s="4">
        <v>68.239000000000004</v>
      </c>
      <c r="M1903" s="4">
        <v>68.239000000000004</v>
      </c>
      <c r="N1903" s="4">
        <v>68.239000000000004</v>
      </c>
      <c r="O1903" s="4">
        <v>68.239000000000004</v>
      </c>
      <c r="P1903" s="4">
        <v>62</v>
      </c>
      <c r="Q1903" s="3" t="s">
        <v>26</v>
      </c>
      <c r="R1903" s="3">
        <v>0</v>
      </c>
      <c r="S1903" s="4">
        <v>0</v>
      </c>
      <c r="T1903" s="4">
        <v>45</v>
      </c>
      <c r="U1903" s="4">
        <v>85</v>
      </c>
      <c r="V1903" s="4">
        <f>IF(ISERROR(VLOOKUP($S$1903,'TAR FIN'!$A$1:$O$99,15,0)),0,VLOOKUP($S$1903,'TAR FIN'!$A$1:$O$99,15,0))</f>
        <v>0</v>
      </c>
      <c r="W1903" s="4">
        <f>IF(ISERROR(VLOOKUP($T$1903,'TAR FIN'!$A$1:$O$99,15,0)),0,VLOOKUP($T$1903,'TAR FIN'!$A$1:$O$99,15,0))</f>
        <v>395.58</v>
      </c>
      <c r="X1903" s="4">
        <f>IF(ISERROR(VLOOKUP($U$1903,'TAR FIN'!$A$1:$O$99,15,0)),0,VLOOKUP($U$1903,'TAR FIN'!$A$1:$O$99,15,0))</f>
        <v>230.53</v>
      </c>
      <c r="Y1903" s="4"/>
      <c r="Z1903" s="4">
        <f ca="1">('TUSD BE'!$AM$59+'TUSD BF'!$AM$59+'TUSD CVA'!$AM$59)*1</f>
        <v>466.61942630573992</v>
      </c>
      <c r="AA1903" s="4">
        <f>('TE BE'!$AA$41+'TE BF'!$AA$41+'TE CVA'!$AA$41)*1</f>
        <v>283.86889449376815</v>
      </c>
      <c r="AB1903" s="4">
        <f>$K$1903*$V$1903</f>
        <v>0</v>
      </c>
      <c r="AC1903" s="4">
        <f>$M$1903*$W$1903</f>
        <v>26993.983619999999</v>
      </c>
      <c r="AD1903" s="4">
        <f>$O$1903*$X$1903</f>
        <v>15731.136670000002</v>
      </c>
      <c r="AE1903" s="4">
        <f>$K$1903*$Y$1903</f>
        <v>0</v>
      </c>
      <c r="AF1903" s="4">
        <f ca="1">$M$1903*$Z$1903</f>
        <v>31841.643031677388</v>
      </c>
      <c r="AG1903" s="4">
        <f>$O$1903*$AA$1903</f>
        <v>19370.929491360246</v>
      </c>
    </row>
    <row r="1904" spans="1:33" ht="11.25" customHeight="1" x14ac:dyDescent="0.25">
      <c r="A1904" s="3" t="s">
        <v>21</v>
      </c>
      <c r="B1904" s="3" t="s">
        <v>39</v>
      </c>
      <c r="C1904" s="3" t="s">
        <v>23</v>
      </c>
      <c r="D1904" s="3" t="s">
        <v>40</v>
      </c>
      <c r="E1904" s="3" t="s">
        <v>25</v>
      </c>
      <c r="F1904" s="3" t="s">
        <v>25</v>
      </c>
      <c r="G1904" s="3" t="s">
        <v>25</v>
      </c>
      <c r="H1904" s="3" t="s">
        <v>25</v>
      </c>
      <c r="I1904" s="6">
        <v>44531</v>
      </c>
      <c r="J1904" s="4">
        <v>0</v>
      </c>
      <c r="K1904" s="4">
        <v>0</v>
      </c>
      <c r="L1904" s="4">
        <v>1572.2940000000001</v>
      </c>
      <c r="M1904" s="4">
        <v>1572.2940000000001</v>
      </c>
      <c r="N1904" s="4">
        <v>1572.2940000000001</v>
      </c>
      <c r="O1904" s="4">
        <v>1572.2940000000001</v>
      </c>
      <c r="P1904" s="4">
        <v>1568</v>
      </c>
      <c r="Q1904" s="3" t="s">
        <v>26</v>
      </c>
      <c r="R1904" s="3">
        <v>0</v>
      </c>
      <c r="S1904" s="4">
        <v>0</v>
      </c>
      <c r="T1904" s="4">
        <v>45</v>
      </c>
      <c r="U1904" s="4">
        <v>85</v>
      </c>
      <c r="V1904" s="4">
        <f>IF(ISERROR(VLOOKUP($S$1904,'TAR FIN'!$A$1:$O$99,15,0)),0,VLOOKUP($S$1904,'TAR FIN'!$A$1:$O$99,15,0))</f>
        <v>0</v>
      </c>
      <c r="W1904" s="4">
        <f>IF(ISERROR(VLOOKUP($T$1904,'TAR FIN'!$A$1:$O$99,15,0)),0,VLOOKUP($T$1904,'TAR FIN'!$A$1:$O$99,15,0))</f>
        <v>395.58</v>
      </c>
      <c r="X1904" s="4">
        <f>IF(ISERROR(VLOOKUP($U$1904,'TAR FIN'!$A$1:$O$99,15,0)),0,VLOOKUP($U$1904,'TAR FIN'!$A$1:$O$99,15,0))</f>
        <v>230.53</v>
      </c>
      <c r="Y1904" s="4"/>
      <c r="Z1904" s="4">
        <f ca="1">('TUSD BE'!$AM$59+'TUSD BF'!$AM$59+'TUSD CVA'!$AM$59)*1</f>
        <v>466.61942630573992</v>
      </c>
      <c r="AA1904" s="4">
        <f>('TE BE'!$AA$41+'TE BF'!$AA$41+'TE CVA'!$AA$41)*1</f>
        <v>283.86889449376815</v>
      </c>
      <c r="AB1904" s="4">
        <f>$K$1904*$V$1904</f>
        <v>0</v>
      </c>
      <c r="AC1904" s="4">
        <f>$M$1904*$W$1904</f>
        <v>621968.06052000006</v>
      </c>
      <c r="AD1904" s="4">
        <f>$O$1904*$X$1904</f>
        <v>362460.93582000001</v>
      </c>
      <c r="AE1904" s="4">
        <f>$K$1904*$Y$1904</f>
        <v>0</v>
      </c>
      <c r="AF1904" s="4">
        <f ca="1">$M$1904*$Z$1904</f>
        <v>733662.92426395707</v>
      </c>
      <c r="AG1904" s="4">
        <f>$O$1904*$AA$1904</f>
        <v>446325.35959918471</v>
      </c>
    </row>
    <row r="1905" spans="1:33" ht="11.25" customHeight="1" x14ac:dyDescent="0.25">
      <c r="A1905" s="3" t="s">
        <v>27</v>
      </c>
      <c r="B1905" s="3" t="s">
        <v>39</v>
      </c>
      <c r="C1905" s="3" t="s">
        <v>23</v>
      </c>
      <c r="D1905" s="3" t="s">
        <v>40</v>
      </c>
      <c r="E1905" s="3" t="s">
        <v>25</v>
      </c>
      <c r="F1905" s="3" t="s">
        <v>25</v>
      </c>
      <c r="G1905" s="3" t="s">
        <v>25</v>
      </c>
      <c r="H1905" s="3" t="s">
        <v>25</v>
      </c>
      <c r="I1905" s="6">
        <v>44531</v>
      </c>
      <c r="J1905" s="4">
        <v>0</v>
      </c>
      <c r="K1905" s="4">
        <v>0</v>
      </c>
      <c r="L1905" s="4">
        <v>-4.5759999999999996</v>
      </c>
      <c r="M1905" s="4">
        <v>-4.5759999999999996</v>
      </c>
      <c r="N1905" s="4">
        <v>-4.5759999999999996</v>
      </c>
      <c r="O1905" s="4">
        <v>-4.5759999999999996</v>
      </c>
      <c r="P1905" s="4">
        <v>-44</v>
      </c>
      <c r="Q1905" s="3" t="s">
        <v>26</v>
      </c>
      <c r="R1905" s="3">
        <v>0</v>
      </c>
      <c r="S1905" s="4">
        <v>0</v>
      </c>
      <c r="T1905" s="4">
        <v>45</v>
      </c>
      <c r="U1905" s="4">
        <v>85</v>
      </c>
      <c r="V1905" s="4">
        <f>IF(ISERROR(VLOOKUP($S$1905,'TAR FIN'!$A$1:$O$99,15,0)),0,VLOOKUP($S$1905,'TAR FIN'!$A$1:$O$99,15,0))</f>
        <v>0</v>
      </c>
      <c r="W1905" s="4">
        <f>IF(ISERROR(VLOOKUP($T$1905,'TAR FIN'!$A$1:$O$99,15,0)),0,VLOOKUP($T$1905,'TAR FIN'!$A$1:$O$99,15,0))</f>
        <v>395.58</v>
      </c>
      <c r="X1905" s="4">
        <f>IF(ISERROR(VLOOKUP($U$1905,'TAR FIN'!$A$1:$O$99,15,0)),0,VLOOKUP($U$1905,'TAR FIN'!$A$1:$O$99,15,0))</f>
        <v>230.53</v>
      </c>
      <c r="Y1905" s="4"/>
      <c r="Z1905" s="4">
        <f ca="1">('TUSD BE'!$AM$59+'TUSD BF'!$AM$59+'TUSD CVA'!$AM$59)*1</f>
        <v>466.61942630573992</v>
      </c>
      <c r="AA1905" s="4">
        <f>('TE BE'!$AA$41+'TE BF'!$AA$41+'TE CVA'!$AA$41)*1</f>
        <v>283.86889449376815</v>
      </c>
      <c r="AB1905" s="4">
        <f>$K$1905*$V$1905</f>
        <v>0</v>
      </c>
      <c r="AC1905" s="4">
        <f>$M$1905*$W$1905</f>
        <v>-1810.1740799999998</v>
      </c>
      <c r="AD1905" s="4">
        <f>$O$1905*$X$1905</f>
        <v>-1054.9052799999999</v>
      </c>
      <c r="AE1905" s="4">
        <f>$K$1905*$Y$1905</f>
        <v>0</v>
      </c>
      <c r="AF1905" s="4">
        <f ca="1">$M$1905*$Z$1905</f>
        <v>-2135.2504947750658</v>
      </c>
      <c r="AG1905" s="4">
        <f>$O$1905*$AA$1905</f>
        <v>-1298.984061203483</v>
      </c>
    </row>
    <row r="1906" spans="1:33" ht="11.25" customHeight="1" x14ac:dyDescent="0.25">
      <c r="A1906" s="3" t="s">
        <v>28</v>
      </c>
      <c r="B1906" s="3" t="s">
        <v>39</v>
      </c>
      <c r="C1906" s="3" t="s">
        <v>23</v>
      </c>
      <c r="D1906" s="3" t="s">
        <v>40</v>
      </c>
      <c r="E1906" s="3" t="s">
        <v>25</v>
      </c>
      <c r="F1906" s="3" t="s">
        <v>25</v>
      </c>
      <c r="G1906" s="3" t="s">
        <v>25</v>
      </c>
      <c r="H1906" s="3" t="s">
        <v>25</v>
      </c>
      <c r="I1906" s="6">
        <v>44531</v>
      </c>
      <c r="J1906" s="4">
        <v>0</v>
      </c>
      <c r="K1906" s="4">
        <v>0</v>
      </c>
      <c r="L1906" s="4">
        <v>76.97</v>
      </c>
      <c r="M1906" s="4">
        <v>76.97</v>
      </c>
      <c r="N1906" s="4">
        <v>76.97</v>
      </c>
      <c r="O1906" s="4">
        <v>76.97</v>
      </c>
      <c r="P1906" s="4">
        <v>63</v>
      </c>
      <c r="Q1906" s="3" t="s">
        <v>26</v>
      </c>
      <c r="R1906" s="3">
        <v>0</v>
      </c>
      <c r="S1906" s="4">
        <v>0</v>
      </c>
      <c r="T1906" s="4">
        <v>45</v>
      </c>
      <c r="U1906" s="4">
        <v>85</v>
      </c>
      <c r="V1906" s="4">
        <f>IF(ISERROR(VLOOKUP($S$1906,'TAR FIN'!$A$1:$O$99,15,0)),0,VLOOKUP($S$1906,'TAR FIN'!$A$1:$O$99,15,0))</f>
        <v>0</v>
      </c>
      <c r="W1906" s="4">
        <f>IF(ISERROR(VLOOKUP($T$1906,'TAR FIN'!$A$1:$O$99,15,0)),0,VLOOKUP($T$1906,'TAR FIN'!$A$1:$O$99,15,0))</f>
        <v>395.58</v>
      </c>
      <c r="X1906" s="4">
        <f>IF(ISERROR(VLOOKUP($U$1906,'TAR FIN'!$A$1:$O$99,15,0)),0,VLOOKUP($U$1906,'TAR FIN'!$A$1:$O$99,15,0))</f>
        <v>230.53</v>
      </c>
      <c r="Y1906" s="4"/>
      <c r="Z1906" s="4">
        <f ca="1">('TUSD BE'!$AM$59+'TUSD BF'!$AM$59+'TUSD CVA'!$AM$59)*1</f>
        <v>466.61942630573992</v>
      </c>
      <c r="AA1906" s="4">
        <f>('TE BE'!$AA$41+'TE BF'!$AA$41+'TE CVA'!$AA$41)*1</f>
        <v>283.86889449376815</v>
      </c>
      <c r="AB1906" s="4">
        <f>$K$1906*$V$1906</f>
        <v>0</v>
      </c>
      <c r="AC1906" s="4">
        <f>$M$1906*$W$1906</f>
        <v>30447.792599999997</v>
      </c>
      <c r="AD1906" s="4">
        <f>$O$1906*$X$1906</f>
        <v>17743.894100000001</v>
      </c>
      <c r="AE1906" s="4">
        <f>$K$1906*$Y$1906</f>
        <v>0</v>
      </c>
      <c r="AF1906" s="4">
        <f ca="1">$M$1906*$Z$1906</f>
        <v>35915.697242752802</v>
      </c>
      <c r="AG1906" s="4">
        <f>$O$1906*$AA$1906</f>
        <v>21849.388809185333</v>
      </c>
    </row>
    <row r="1907" spans="1:33" ht="11.25" customHeight="1" x14ac:dyDescent="0.25">
      <c r="A1907" s="3" t="s">
        <v>21</v>
      </c>
      <c r="B1907" s="3" t="s">
        <v>39</v>
      </c>
      <c r="C1907" s="3" t="s">
        <v>23</v>
      </c>
      <c r="D1907" s="3" t="s">
        <v>40</v>
      </c>
      <c r="E1907" s="3" t="s">
        <v>25</v>
      </c>
      <c r="F1907" s="3" t="s">
        <v>25</v>
      </c>
      <c r="G1907" s="3" t="s">
        <v>25</v>
      </c>
      <c r="H1907" s="3" t="s">
        <v>25</v>
      </c>
      <c r="I1907" s="6">
        <v>44562</v>
      </c>
      <c r="J1907" s="4">
        <v>0</v>
      </c>
      <c r="K1907" s="4">
        <v>0</v>
      </c>
      <c r="L1907" s="4">
        <v>1453.2370000000001</v>
      </c>
      <c r="M1907" s="4">
        <v>1453.2370000000001</v>
      </c>
      <c r="N1907" s="4">
        <v>1453.2370000000001</v>
      </c>
      <c r="O1907" s="4">
        <v>1453.2370000000001</v>
      </c>
      <c r="P1907" s="4">
        <v>1546</v>
      </c>
      <c r="Q1907" s="3" t="s">
        <v>26</v>
      </c>
      <c r="R1907" s="3">
        <v>0</v>
      </c>
      <c r="S1907" s="4">
        <v>0</v>
      </c>
      <c r="T1907" s="4">
        <v>45</v>
      </c>
      <c r="U1907" s="4">
        <v>85</v>
      </c>
      <c r="V1907" s="4">
        <f>IF(ISERROR(VLOOKUP($S$1907,'TAR FIN'!$A$1:$O$99,15,0)),0,VLOOKUP($S$1907,'TAR FIN'!$A$1:$O$99,15,0))</f>
        <v>0</v>
      </c>
      <c r="W1907" s="4">
        <f>IF(ISERROR(VLOOKUP($T$1907,'TAR FIN'!$A$1:$O$99,15,0)),0,VLOOKUP($T$1907,'TAR FIN'!$A$1:$O$99,15,0))</f>
        <v>395.58</v>
      </c>
      <c r="X1907" s="4">
        <f>IF(ISERROR(VLOOKUP($U$1907,'TAR FIN'!$A$1:$O$99,15,0)),0,VLOOKUP($U$1907,'TAR FIN'!$A$1:$O$99,15,0))</f>
        <v>230.53</v>
      </c>
      <c r="Y1907" s="4"/>
      <c r="Z1907" s="4">
        <f ca="1">('TUSD BE'!$AM$59+'TUSD BF'!$AM$59+'TUSD CVA'!$AM$59)*1</f>
        <v>466.61942630573992</v>
      </c>
      <c r="AA1907" s="4">
        <f>('TE BE'!$AA$41+'TE BF'!$AA$41+'TE CVA'!$AA$41)*1</f>
        <v>283.86889449376815</v>
      </c>
      <c r="AB1907" s="4">
        <f>$K$1907*$V$1907</f>
        <v>0</v>
      </c>
      <c r="AC1907" s="4">
        <f>$M$1907*$W$1907</f>
        <v>574871.49245999998</v>
      </c>
      <c r="AD1907" s="4">
        <f>$O$1907*$X$1907</f>
        <v>335014.72561000002</v>
      </c>
      <c r="AE1907" s="4">
        <f>$K$1907*$Y$1907</f>
        <v>0</v>
      </c>
      <c r="AF1907" s="4">
        <f ca="1">$M$1907*$Z$1907</f>
        <v>678108.61522627459</v>
      </c>
      <c r="AG1907" s="4">
        <f>$O$1907*$AA$1907</f>
        <v>412528.7806274402</v>
      </c>
    </row>
    <row r="1908" spans="1:33" ht="11.25" customHeight="1" x14ac:dyDescent="0.25">
      <c r="A1908" s="3" t="s">
        <v>27</v>
      </c>
      <c r="B1908" s="3" t="s">
        <v>39</v>
      </c>
      <c r="C1908" s="3" t="s">
        <v>23</v>
      </c>
      <c r="D1908" s="3" t="s">
        <v>40</v>
      </c>
      <c r="E1908" s="3" t="s">
        <v>25</v>
      </c>
      <c r="F1908" s="3" t="s">
        <v>25</v>
      </c>
      <c r="G1908" s="3" t="s">
        <v>25</v>
      </c>
      <c r="H1908" s="3" t="s">
        <v>25</v>
      </c>
      <c r="I1908" s="6">
        <v>44562</v>
      </c>
      <c r="J1908" s="4">
        <v>0</v>
      </c>
      <c r="K1908" s="4">
        <v>0</v>
      </c>
      <c r="L1908" s="4">
        <v>-10.802</v>
      </c>
      <c r="M1908" s="4">
        <v>-10.802</v>
      </c>
      <c r="N1908" s="4">
        <v>-10.802</v>
      </c>
      <c r="O1908" s="4">
        <v>-10.802</v>
      </c>
      <c r="P1908" s="4">
        <v>-45</v>
      </c>
      <c r="Q1908" s="3" t="s">
        <v>26</v>
      </c>
      <c r="R1908" s="3">
        <v>0</v>
      </c>
      <c r="S1908" s="4">
        <v>0</v>
      </c>
      <c r="T1908" s="4">
        <v>45</v>
      </c>
      <c r="U1908" s="4">
        <v>85</v>
      </c>
      <c r="V1908" s="4">
        <f>IF(ISERROR(VLOOKUP($S$1908,'TAR FIN'!$A$1:$O$99,15,0)),0,VLOOKUP($S$1908,'TAR FIN'!$A$1:$O$99,15,0))</f>
        <v>0</v>
      </c>
      <c r="W1908" s="4">
        <f>IF(ISERROR(VLOOKUP($T$1908,'TAR FIN'!$A$1:$O$99,15,0)),0,VLOOKUP($T$1908,'TAR FIN'!$A$1:$O$99,15,0))</f>
        <v>395.58</v>
      </c>
      <c r="X1908" s="4">
        <f>IF(ISERROR(VLOOKUP($U$1908,'TAR FIN'!$A$1:$O$99,15,0)),0,VLOOKUP($U$1908,'TAR FIN'!$A$1:$O$99,15,0))</f>
        <v>230.53</v>
      </c>
      <c r="Y1908" s="4"/>
      <c r="Z1908" s="4">
        <f ca="1">('TUSD BE'!$AM$59+'TUSD BF'!$AM$59+'TUSD CVA'!$AM$59)*1</f>
        <v>466.61942630573992</v>
      </c>
      <c r="AA1908" s="4">
        <f>('TE BE'!$AA$41+'TE BF'!$AA$41+'TE CVA'!$AA$41)*1</f>
        <v>283.86889449376815</v>
      </c>
      <c r="AB1908" s="4">
        <f>$K$1908*$V$1908</f>
        <v>0</v>
      </c>
      <c r="AC1908" s="4">
        <f>$M$1908*$W$1908</f>
        <v>-4273.0551599999999</v>
      </c>
      <c r="AD1908" s="4">
        <f>$O$1908*$X$1908</f>
        <v>-2490.1850599999998</v>
      </c>
      <c r="AE1908" s="4">
        <f>$K$1908*$Y$1908</f>
        <v>0</v>
      </c>
      <c r="AF1908" s="4">
        <f ca="1">$M$1908*$Z$1908</f>
        <v>-5040.4230429546024</v>
      </c>
      <c r="AG1908" s="4">
        <f>$O$1908*$AA$1908</f>
        <v>-3066.3517983216834</v>
      </c>
    </row>
    <row r="1909" spans="1:33" ht="11.25" customHeight="1" x14ac:dyDescent="0.25">
      <c r="A1909" s="3" t="s">
        <v>28</v>
      </c>
      <c r="B1909" s="3" t="s">
        <v>39</v>
      </c>
      <c r="C1909" s="3" t="s">
        <v>23</v>
      </c>
      <c r="D1909" s="3" t="s">
        <v>40</v>
      </c>
      <c r="E1909" s="3" t="s">
        <v>25</v>
      </c>
      <c r="F1909" s="3" t="s">
        <v>25</v>
      </c>
      <c r="G1909" s="3" t="s">
        <v>25</v>
      </c>
      <c r="H1909" s="3" t="s">
        <v>25</v>
      </c>
      <c r="I1909" s="6">
        <v>44562</v>
      </c>
      <c r="J1909" s="4">
        <v>0</v>
      </c>
      <c r="K1909" s="4">
        <v>0</v>
      </c>
      <c r="L1909" s="4">
        <v>73.98</v>
      </c>
      <c r="M1909" s="4">
        <v>73.98</v>
      </c>
      <c r="N1909" s="4">
        <v>73.98</v>
      </c>
      <c r="O1909" s="4">
        <v>73.98</v>
      </c>
      <c r="P1909" s="4">
        <v>72</v>
      </c>
      <c r="Q1909" s="3" t="s">
        <v>26</v>
      </c>
      <c r="R1909" s="3">
        <v>0</v>
      </c>
      <c r="S1909" s="4">
        <v>0</v>
      </c>
      <c r="T1909" s="4">
        <v>45</v>
      </c>
      <c r="U1909" s="4">
        <v>85</v>
      </c>
      <c r="V1909" s="4">
        <f>IF(ISERROR(VLOOKUP($S$1909,'TAR FIN'!$A$1:$O$99,15,0)),0,VLOOKUP($S$1909,'TAR FIN'!$A$1:$O$99,15,0))</f>
        <v>0</v>
      </c>
      <c r="W1909" s="4">
        <f>IF(ISERROR(VLOOKUP($T$1909,'TAR FIN'!$A$1:$O$99,15,0)),0,VLOOKUP($T$1909,'TAR FIN'!$A$1:$O$99,15,0))</f>
        <v>395.58</v>
      </c>
      <c r="X1909" s="4">
        <f>IF(ISERROR(VLOOKUP($U$1909,'TAR FIN'!$A$1:$O$99,15,0)),0,VLOOKUP($U$1909,'TAR FIN'!$A$1:$O$99,15,0))</f>
        <v>230.53</v>
      </c>
      <c r="Y1909" s="4"/>
      <c r="Z1909" s="4">
        <f ca="1">('TUSD BE'!$AM$59+'TUSD BF'!$AM$59+'TUSD CVA'!$AM$59)*1</f>
        <v>466.61942630573992</v>
      </c>
      <c r="AA1909" s="4">
        <f>('TE BE'!$AA$41+'TE BF'!$AA$41+'TE CVA'!$AA$41)*1</f>
        <v>283.86889449376815</v>
      </c>
      <c r="AB1909" s="4">
        <f>$K$1909*$V$1909</f>
        <v>0</v>
      </c>
      <c r="AC1909" s="4">
        <f>$M$1909*$W$1909</f>
        <v>29265.008399999999</v>
      </c>
      <c r="AD1909" s="4">
        <f>$O$1909*$X$1909</f>
        <v>17054.609400000001</v>
      </c>
      <c r="AE1909" s="4">
        <f>$K$1909*$Y$1909</f>
        <v>0</v>
      </c>
      <c r="AF1909" s="4">
        <f ca="1">$M$1909*$Z$1909</f>
        <v>34520.50515809864</v>
      </c>
      <c r="AG1909" s="4">
        <f>$O$1909*$AA$1909</f>
        <v>21000.62081464897</v>
      </c>
    </row>
    <row r="1910" spans="1:33" ht="11.25" customHeight="1" x14ac:dyDescent="0.25">
      <c r="A1910" s="3" t="s">
        <v>21</v>
      </c>
      <c r="B1910" s="3" t="s">
        <v>39</v>
      </c>
      <c r="C1910" s="3" t="s">
        <v>23</v>
      </c>
      <c r="D1910" s="3" t="s">
        <v>40</v>
      </c>
      <c r="E1910" s="3" t="s">
        <v>25</v>
      </c>
      <c r="F1910" s="3" t="s">
        <v>25</v>
      </c>
      <c r="G1910" s="3" t="s">
        <v>25</v>
      </c>
      <c r="H1910" s="3" t="s">
        <v>25</v>
      </c>
      <c r="I1910" s="6">
        <v>44593</v>
      </c>
      <c r="J1910" s="4">
        <v>0</v>
      </c>
      <c r="K1910" s="4">
        <v>0</v>
      </c>
      <c r="L1910" s="4">
        <v>1458.9690000000001</v>
      </c>
      <c r="M1910" s="4">
        <v>1458.9690000000001</v>
      </c>
      <c r="N1910" s="4">
        <v>1458.9690000000001</v>
      </c>
      <c r="O1910" s="4">
        <v>1458.9690000000001</v>
      </c>
      <c r="P1910" s="4">
        <v>1533</v>
      </c>
      <c r="Q1910" s="3" t="s">
        <v>26</v>
      </c>
      <c r="R1910" s="3">
        <v>0</v>
      </c>
      <c r="S1910" s="4">
        <v>0</v>
      </c>
      <c r="T1910" s="4">
        <v>45</v>
      </c>
      <c r="U1910" s="4">
        <v>85</v>
      </c>
      <c r="V1910" s="4">
        <f>IF(ISERROR(VLOOKUP($S$1910,'TAR FIN'!$A$1:$O$99,15,0)),0,VLOOKUP($S$1910,'TAR FIN'!$A$1:$O$99,15,0))</f>
        <v>0</v>
      </c>
      <c r="W1910" s="4">
        <f>IF(ISERROR(VLOOKUP($T$1910,'TAR FIN'!$A$1:$O$99,15,0)),0,VLOOKUP($T$1910,'TAR FIN'!$A$1:$O$99,15,0))</f>
        <v>395.58</v>
      </c>
      <c r="X1910" s="4">
        <f>IF(ISERROR(VLOOKUP($U$1910,'TAR FIN'!$A$1:$O$99,15,0)),0,VLOOKUP($U$1910,'TAR FIN'!$A$1:$O$99,15,0))</f>
        <v>230.53</v>
      </c>
      <c r="Y1910" s="4"/>
      <c r="Z1910" s="4">
        <f ca="1">('TUSD BE'!$AM$59+'TUSD BF'!$AM$59+'TUSD CVA'!$AM$59)*1</f>
        <v>466.61942630573992</v>
      </c>
      <c r="AA1910" s="4">
        <f>('TE BE'!$AA$41+'TE BF'!$AA$41+'TE CVA'!$AA$41)*1</f>
        <v>283.86889449376815</v>
      </c>
      <c r="AB1910" s="4">
        <f>$K$1910*$V$1910</f>
        <v>0</v>
      </c>
      <c r="AC1910" s="4">
        <f>$M$1910*$W$1910</f>
        <v>577138.95701999997</v>
      </c>
      <c r="AD1910" s="4">
        <f>$O$1910*$X$1910</f>
        <v>336336.12357</v>
      </c>
      <c r="AE1910" s="4">
        <f>$K$1910*$Y$1910</f>
        <v>0</v>
      </c>
      <c r="AF1910" s="4">
        <f ca="1">$M$1910*$Z$1910</f>
        <v>680783.27777785913</v>
      </c>
      <c r="AG1910" s="4">
        <f>$O$1910*$AA$1910</f>
        <v>414155.91713067843</v>
      </c>
    </row>
    <row r="1911" spans="1:33" ht="11.25" customHeight="1" x14ac:dyDescent="0.25">
      <c r="A1911" s="3" t="s">
        <v>27</v>
      </c>
      <c r="B1911" s="3" t="s">
        <v>39</v>
      </c>
      <c r="C1911" s="3" t="s">
        <v>23</v>
      </c>
      <c r="D1911" s="3" t="s">
        <v>40</v>
      </c>
      <c r="E1911" s="3" t="s">
        <v>25</v>
      </c>
      <c r="F1911" s="3" t="s">
        <v>25</v>
      </c>
      <c r="G1911" s="3" t="s">
        <v>25</v>
      </c>
      <c r="H1911" s="3" t="s">
        <v>25</v>
      </c>
      <c r="I1911" s="6">
        <v>44593</v>
      </c>
      <c r="J1911" s="4">
        <v>0</v>
      </c>
      <c r="K1911" s="4">
        <v>0</v>
      </c>
      <c r="L1911" s="4">
        <v>3.9060000000000001</v>
      </c>
      <c r="M1911" s="4">
        <v>3.9060000000000001</v>
      </c>
      <c r="N1911" s="4">
        <v>3.9060000000000001</v>
      </c>
      <c r="O1911" s="4">
        <v>3.9060000000000001</v>
      </c>
      <c r="P1911" s="4">
        <v>-9</v>
      </c>
      <c r="Q1911" s="3" t="s">
        <v>26</v>
      </c>
      <c r="R1911" s="3">
        <v>0</v>
      </c>
      <c r="S1911" s="4">
        <v>0</v>
      </c>
      <c r="T1911" s="4">
        <v>45</v>
      </c>
      <c r="U1911" s="4">
        <v>85</v>
      </c>
      <c r="V1911" s="4">
        <f>IF(ISERROR(VLOOKUP($S$1911,'TAR FIN'!$A$1:$O$99,15,0)),0,VLOOKUP($S$1911,'TAR FIN'!$A$1:$O$99,15,0))</f>
        <v>0</v>
      </c>
      <c r="W1911" s="4">
        <f>IF(ISERROR(VLOOKUP($T$1911,'TAR FIN'!$A$1:$O$99,15,0)),0,VLOOKUP($T$1911,'TAR FIN'!$A$1:$O$99,15,0))</f>
        <v>395.58</v>
      </c>
      <c r="X1911" s="4">
        <f>IF(ISERROR(VLOOKUP($U$1911,'TAR FIN'!$A$1:$O$99,15,0)),0,VLOOKUP($U$1911,'TAR FIN'!$A$1:$O$99,15,0))</f>
        <v>230.53</v>
      </c>
      <c r="Y1911" s="4"/>
      <c r="Z1911" s="4">
        <f ca="1">('TUSD BE'!$AM$59+'TUSD BF'!$AM$59+'TUSD CVA'!$AM$59)*1</f>
        <v>466.61942630573992</v>
      </c>
      <c r="AA1911" s="4">
        <f>('TE BE'!$AA$41+'TE BF'!$AA$41+'TE CVA'!$AA$41)*1</f>
        <v>283.86889449376815</v>
      </c>
      <c r="AB1911" s="4">
        <f>$K$1911*$V$1911</f>
        <v>0</v>
      </c>
      <c r="AC1911" s="4">
        <f>$M$1911*$W$1911</f>
        <v>1545.1354799999999</v>
      </c>
      <c r="AD1911" s="4">
        <f>$O$1911*$X$1911</f>
        <v>900.45018000000005</v>
      </c>
      <c r="AE1911" s="4">
        <f>$K$1911*$Y$1911</f>
        <v>0</v>
      </c>
      <c r="AF1911" s="4">
        <f ca="1">$M$1911*$Z$1911</f>
        <v>1822.6154791502202</v>
      </c>
      <c r="AG1911" s="4">
        <f>$O$1911*$AA$1911</f>
        <v>1108.7919018926584</v>
      </c>
    </row>
    <row r="1912" spans="1:33" ht="11.25" customHeight="1" x14ac:dyDescent="0.25">
      <c r="A1912" s="3" t="s">
        <v>28</v>
      </c>
      <c r="B1912" s="3" t="s">
        <v>39</v>
      </c>
      <c r="C1912" s="3" t="s">
        <v>23</v>
      </c>
      <c r="D1912" s="3" t="s">
        <v>40</v>
      </c>
      <c r="E1912" s="3" t="s">
        <v>25</v>
      </c>
      <c r="F1912" s="3" t="s">
        <v>25</v>
      </c>
      <c r="G1912" s="3" t="s">
        <v>25</v>
      </c>
      <c r="H1912" s="3" t="s">
        <v>25</v>
      </c>
      <c r="I1912" s="6">
        <v>44593</v>
      </c>
      <c r="J1912" s="4">
        <v>0</v>
      </c>
      <c r="K1912" s="4">
        <v>0</v>
      </c>
      <c r="L1912" s="4">
        <v>73.623999999999995</v>
      </c>
      <c r="M1912" s="4">
        <v>73.623999999999995</v>
      </c>
      <c r="N1912" s="4">
        <v>73.623999999999995</v>
      </c>
      <c r="O1912" s="4">
        <v>73.623999999999995</v>
      </c>
      <c r="P1912" s="4">
        <v>75</v>
      </c>
      <c r="Q1912" s="3" t="s">
        <v>26</v>
      </c>
      <c r="R1912" s="3">
        <v>0</v>
      </c>
      <c r="S1912" s="4">
        <v>0</v>
      </c>
      <c r="T1912" s="4">
        <v>45</v>
      </c>
      <c r="U1912" s="4">
        <v>85</v>
      </c>
      <c r="V1912" s="4">
        <f>IF(ISERROR(VLOOKUP($S$1912,'TAR FIN'!$A$1:$O$99,15,0)),0,VLOOKUP($S$1912,'TAR FIN'!$A$1:$O$99,15,0))</f>
        <v>0</v>
      </c>
      <c r="W1912" s="4">
        <f>IF(ISERROR(VLOOKUP($T$1912,'TAR FIN'!$A$1:$O$99,15,0)),0,VLOOKUP($T$1912,'TAR FIN'!$A$1:$O$99,15,0))</f>
        <v>395.58</v>
      </c>
      <c r="X1912" s="4">
        <f>IF(ISERROR(VLOOKUP($U$1912,'TAR FIN'!$A$1:$O$99,15,0)),0,VLOOKUP($U$1912,'TAR FIN'!$A$1:$O$99,15,0))</f>
        <v>230.53</v>
      </c>
      <c r="Y1912" s="4"/>
      <c r="Z1912" s="4">
        <f ca="1">('TUSD BE'!$AM$59+'TUSD BF'!$AM$59+'TUSD CVA'!$AM$59)*1</f>
        <v>466.61942630573992</v>
      </c>
      <c r="AA1912" s="4">
        <f>('TE BE'!$AA$41+'TE BF'!$AA$41+'TE CVA'!$AA$41)*1</f>
        <v>283.86889449376815</v>
      </c>
      <c r="AB1912" s="4">
        <f>$K$1912*$V$1912</f>
        <v>0</v>
      </c>
      <c r="AC1912" s="4">
        <f>$M$1912*$W$1912</f>
        <v>29124.181919999995</v>
      </c>
      <c r="AD1912" s="4">
        <f>$O$1912*$X$1912</f>
        <v>16972.540719999997</v>
      </c>
      <c r="AE1912" s="4">
        <f>$K$1912*$Y$1912</f>
        <v>0</v>
      </c>
      <c r="AF1912" s="4">
        <f ca="1">$M$1912*$Z$1912</f>
        <v>34354.388642333797</v>
      </c>
      <c r="AG1912" s="4">
        <f>$O$1912*$AA$1912</f>
        <v>20899.563488209184</v>
      </c>
    </row>
    <row r="1913" spans="1:33" ht="11.25" customHeight="1" x14ac:dyDescent="0.25">
      <c r="A1913" s="3" t="s">
        <v>21</v>
      </c>
      <c r="B1913" s="3" t="s">
        <v>39</v>
      </c>
      <c r="C1913" s="3" t="s">
        <v>23</v>
      </c>
      <c r="D1913" s="3" t="s">
        <v>40</v>
      </c>
      <c r="E1913" s="3" t="s">
        <v>25</v>
      </c>
      <c r="F1913" s="3" t="s">
        <v>25</v>
      </c>
      <c r="G1913" s="3" t="s">
        <v>25</v>
      </c>
      <c r="H1913" s="3" t="s">
        <v>25</v>
      </c>
      <c r="I1913" s="6">
        <v>44621</v>
      </c>
      <c r="J1913" s="4">
        <v>0</v>
      </c>
      <c r="K1913" s="4">
        <v>0</v>
      </c>
      <c r="L1913" s="4">
        <v>1512.3150000000001</v>
      </c>
      <c r="M1913" s="4">
        <v>1512.3150000000001</v>
      </c>
      <c r="N1913" s="4">
        <v>1512.3150000000001</v>
      </c>
      <c r="O1913" s="4">
        <v>1512.3150000000001</v>
      </c>
      <c r="P1913" s="4">
        <v>1510</v>
      </c>
      <c r="Q1913" s="3" t="s">
        <v>26</v>
      </c>
      <c r="R1913" s="3">
        <v>0</v>
      </c>
      <c r="S1913" s="4">
        <v>0</v>
      </c>
      <c r="T1913" s="4">
        <v>45</v>
      </c>
      <c r="U1913" s="4">
        <v>85</v>
      </c>
      <c r="V1913" s="4">
        <f>IF(ISERROR(VLOOKUP($S$1913,'TAR FIN'!$A$1:$O$99,15,0)),0,VLOOKUP($S$1913,'TAR FIN'!$A$1:$O$99,15,0))</f>
        <v>0</v>
      </c>
      <c r="W1913" s="4">
        <f>IF(ISERROR(VLOOKUP($T$1913,'TAR FIN'!$A$1:$O$99,15,0)),0,VLOOKUP($T$1913,'TAR FIN'!$A$1:$O$99,15,0))</f>
        <v>395.58</v>
      </c>
      <c r="X1913" s="4">
        <f>IF(ISERROR(VLOOKUP($U$1913,'TAR FIN'!$A$1:$O$99,15,0)),0,VLOOKUP($U$1913,'TAR FIN'!$A$1:$O$99,15,0))</f>
        <v>230.53</v>
      </c>
      <c r="Y1913" s="4"/>
      <c r="Z1913" s="4">
        <f ca="1">('TUSD BE'!$AM$59+'TUSD BF'!$AM$59+'TUSD CVA'!$AM$59)*1</f>
        <v>466.61942630573992</v>
      </c>
      <c r="AA1913" s="4">
        <f>('TE BE'!$AA$41+'TE BF'!$AA$41+'TE CVA'!$AA$41)*1</f>
        <v>283.86889449376815</v>
      </c>
      <c r="AB1913" s="4">
        <f>$K$1913*$V$1913</f>
        <v>0</v>
      </c>
      <c r="AC1913" s="4">
        <f>$M$1913*$W$1913</f>
        <v>598241.56770000001</v>
      </c>
      <c r="AD1913" s="4">
        <f>$O$1913*$X$1913</f>
        <v>348633.97695000004</v>
      </c>
      <c r="AE1913" s="4">
        <f>$K$1913*$Y$1913</f>
        <v>0</v>
      </c>
      <c r="AF1913" s="4">
        <f ca="1">$M$1913*$Z$1913</f>
        <v>705675.55769356515</v>
      </c>
      <c r="AG1913" s="4">
        <f>$O$1913*$AA$1913</f>
        <v>429299.187176343</v>
      </c>
    </row>
    <row r="1914" spans="1:33" ht="11.25" customHeight="1" x14ac:dyDescent="0.25">
      <c r="A1914" s="3" t="s">
        <v>28</v>
      </c>
      <c r="B1914" s="3" t="s">
        <v>39</v>
      </c>
      <c r="C1914" s="3" t="s">
        <v>23</v>
      </c>
      <c r="D1914" s="3" t="s">
        <v>40</v>
      </c>
      <c r="E1914" s="3" t="s">
        <v>25</v>
      </c>
      <c r="F1914" s="3" t="s">
        <v>25</v>
      </c>
      <c r="G1914" s="3" t="s">
        <v>25</v>
      </c>
      <c r="H1914" s="3" t="s">
        <v>25</v>
      </c>
      <c r="I1914" s="6">
        <v>44621</v>
      </c>
      <c r="J1914" s="4">
        <v>0</v>
      </c>
      <c r="K1914" s="4">
        <v>0</v>
      </c>
      <c r="L1914" s="4">
        <v>91.531000000000006</v>
      </c>
      <c r="M1914" s="4">
        <v>91.531000000000006</v>
      </c>
      <c r="N1914" s="4">
        <v>91.531000000000006</v>
      </c>
      <c r="O1914" s="4">
        <v>91.531000000000006</v>
      </c>
      <c r="P1914" s="4">
        <v>80</v>
      </c>
      <c r="Q1914" s="3" t="s">
        <v>26</v>
      </c>
      <c r="R1914" s="3">
        <v>0</v>
      </c>
      <c r="S1914" s="4">
        <v>0</v>
      </c>
      <c r="T1914" s="4">
        <v>45</v>
      </c>
      <c r="U1914" s="4">
        <v>85</v>
      </c>
      <c r="V1914" s="4">
        <f>IF(ISERROR(VLOOKUP($S$1914,'TAR FIN'!$A$1:$O$99,15,0)),0,VLOOKUP($S$1914,'TAR FIN'!$A$1:$O$99,15,0))</f>
        <v>0</v>
      </c>
      <c r="W1914" s="4">
        <f>IF(ISERROR(VLOOKUP($T$1914,'TAR FIN'!$A$1:$O$99,15,0)),0,VLOOKUP($T$1914,'TAR FIN'!$A$1:$O$99,15,0))</f>
        <v>395.58</v>
      </c>
      <c r="X1914" s="4">
        <f>IF(ISERROR(VLOOKUP($U$1914,'TAR FIN'!$A$1:$O$99,15,0)),0,VLOOKUP($U$1914,'TAR FIN'!$A$1:$O$99,15,0))</f>
        <v>230.53</v>
      </c>
      <c r="Y1914" s="4"/>
      <c r="Z1914" s="4">
        <f ca="1">('TUSD BE'!$AM$59+'TUSD BF'!$AM$59+'TUSD CVA'!$AM$59)*1</f>
        <v>466.61942630573992</v>
      </c>
      <c r="AA1914" s="4">
        <f>('TE BE'!$AA$41+'TE BF'!$AA$41+'TE CVA'!$AA$41)*1</f>
        <v>283.86889449376815</v>
      </c>
      <c r="AB1914" s="4">
        <f>$K$1914*$V$1914</f>
        <v>0</v>
      </c>
      <c r="AC1914" s="4">
        <f>$M$1914*$W$1914</f>
        <v>36207.832979999999</v>
      </c>
      <c r="AD1914" s="4">
        <f>$O$1914*$X$1914</f>
        <v>21100.64143</v>
      </c>
      <c r="AE1914" s="4">
        <f>$K$1914*$Y$1914</f>
        <v>0</v>
      </c>
      <c r="AF1914" s="4">
        <f ca="1">$M$1914*$Z$1914</f>
        <v>42710.142709190681</v>
      </c>
      <c r="AG1914" s="4">
        <f>$O$1914*$AA$1914</f>
        <v>25982.803781909093</v>
      </c>
    </row>
    <row r="1915" spans="1:33" ht="11.25" customHeight="1" x14ac:dyDescent="0.25">
      <c r="A1915" s="3" t="s">
        <v>28</v>
      </c>
      <c r="B1915" s="3" t="s">
        <v>39</v>
      </c>
      <c r="C1915" s="3" t="s">
        <v>23</v>
      </c>
      <c r="D1915" s="3" t="s">
        <v>40</v>
      </c>
      <c r="E1915" s="3" t="s">
        <v>25</v>
      </c>
      <c r="F1915" s="3" t="s">
        <v>25</v>
      </c>
      <c r="G1915" s="3" t="s">
        <v>25</v>
      </c>
      <c r="H1915" s="3" t="s">
        <v>25</v>
      </c>
      <c r="I1915" s="6">
        <v>44621</v>
      </c>
      <c r="J1915" s="4">
        <v>0</v>
      </c>
      <c r="K1915" s="4">
        <v>0</v>
      </c>
      <c r="L1915" s="4">
        <v>-1.087</v>
      </c>
      <c r="M1915" s="4">
        <v>-1.087</v>
      </c>
      <c r="N1915" s="4">
        <v>-1.087</v>
      </c>
      <c r="O1915" s="4">
        <v>-1.087</v>
      </c>
      <c r="P1915" s="4">
        <v>0</v>
      </c>
      <c r="Q1915" s="3" t="s">
        <v>26</v>
      </c>
      <c r="R1915" s="3">
        <v>0</v>
      </c>
      <c r="S1915" s="4">
        <v>0</v>
      </c>
      <c r="T1915" s="4">
        <v>45</v>
      </c>
      <c r="U1915" s="4">
        <v>85</v>
      </c>
      <c r="V1915" s="4">
        <f>IF(ISERROR(VLOOKUP($S$1915,'TAR FIN'!$A$1:$O$99,15,0)),0,VLOOKUP($S$1915,'TAR FIN'!$A$1:$O$99,15,0))</f>
        <v>0</v>
      </c>
      <c r="W1915" s="4">
        <f>IF(ISERROR(VLOOKUP($T$1915,'TAR FIN'!$A$1:$O$99,15,0)),0,VLOOKUP($T$1915,'TAR FIN'!$A$1:$O$99,15,0))</f>
        <v>395.58</v>
      </c>
      <c r="X1915" s="4">
        <f>IF(ISERROR(VLOOKUP($U$1915,'TAR FIN'!$A$1:$O$99,15,0)),0,VLOOKUP($U$1915,'TAR FIN'!$A$1:$O$99,15,0))</f>
        <v>230.53</v>
      </c>
      <c r="Y1915" s="4"/>
      <c r="Z1915" s="4">
        <f ca="1">('TUSD BE'!$AM$59+'TUSD BF'!$AM$59+'TUSD CVA'!$AM$59)*1</f>
        <v>466.61942630573992</v>
      </c>
      <c r="AA1915" s="4">
        <f>('TE BE'!$AA$41+'TE BF'!$AA$41+'TE CVA'!$AA$41)*1</f>
        <v>283.86889449376815</v>
      </c>
      <c r="AB1915" s="4">
        <f>$K$1915*$V$1915</f>
        <v>0</v>
      </c>
      <c r="AC1915" s="4">
        <f>$M$1915*$W$1915</f>
        <v>-429.99545999999998</v>
      </c>
      <c r="AD1915" s="4">
        <f>$O$1915*$X$1915</f>
        <v>-250.58610999999999</v>
      </c>
      <c r="AE1915" s="4">
        <f>$K$1915*$Y$1915</f>
        <v>0</v>
      </c>
      <c r="AF1915" s="4">
        <f ca="1">$M$1915*$Z$1915</f>
        <v>-507.21531639433925</v>
      </c>
      <c r="AG1915" s="4">
        <f>$O$1915*$AA$1915</f>
        <v>-308.565488314726</v>
      </c>
    </row>
    <row r="1916" spans="1:33" ht="11.25" customHeight="1" x14ac:dyDescent="0.25">
      <c r="A1916" s="3" t="s">
        <v>56</v>
      </c>
      <c r="B1916" s="3" t="s">
        <v>39</v>
      </c>
      <c r="C1916" s="3" t="s">
        <v>23</v>
      </c>
      <c r="D1916" s="3" t="s">
        <v>40</v>
      </c>
      <c r="E1916" s="3" t="s">
        <v>25</v>
      </c>
      <c r="F1916" s="3" t="s">
        <v>25</v>
      </c>
      <c r="G1916" s="3" t="s">
        <v>25</v>
      </c>
      <c r="H1916" s="3" t="s">
        <v>25</v>
      </c>
      <c r="I1916" s="6">
        <v>44652</v>
      </c>
      <c r="J1916" s="4">
        <v>0</v>
      </c>
      <c r="K1916" s="4">
        <v>0</v>
      </c>
      <c r="L1916" s="4">
        <v>1512.3150000000001</v>
      </c>
      <c r="M1916" s="4">
        <v>1512.3150000000001</v>
      </c>
      <c r="N1916" s="4">
        <v>1512.3150000000001</v>
      </c>
      <c r="O1916" s="4">
        <v>1512.3150000000001</v>
      </c>
      <c r="P1916" s="4">
        <v>1510</v>
      </c>
      <c r="Q1916" s="3" t="s">
        <v>26</v>
      </c>
      <c r="R1916" s="3">
        <v>0</v>
      </c>
      <c r="S1916" s="4">
        <v>0</v>
      </c>
      <c r="T1916" s="4">
        <v>45</v>
      </c>
      <c r="U1916" s="4">
        <v>85</v>
      </c>
      <c r="V1916" s="4">
        <f>IF(ISERROR(VLOOKUP($S$1916,'TAR FIN'!$A$1:$O$99,15,0)),0,VLOOKUP($S$1916,'TAR FIN'!$A$1:$O$99,15,0))</f>
        <v>0</v>
      </c>
      <c r="W1916" s="4">
        <f>IF(ISERROR(VLOOKUP($T$1916,'TAR FIN'!$A$1:$O$99,15,0)),0,VLOOKUP($T$1916,'TAR FIN'!$A$1:$O$99,15,0))</f>
        <v>395.58</v>
      </c>
      <c r="X1916" s="4">
        <f>IF(ISERROR(VLOOKUP($U$1916,'TAR FIN'!$A$1:$O$99,15,0)),0,VLOOKUP($U$1916,'TAR FIN'!$A$1:$O$99,15,0))</f>
        <v>230.53</v>
      </c>
      <c r="Y1916" s="4"/>
      <c r="Z1916" s="4">
        <f ca="1">('TUSD BE'!$AM$59+'TUSD BF'!$AM$59+'TUSD CVA'!$AM$59)*1</f>
        <v>466.61942630573992</v>
      </c>
      <c r="AA1916" s="4">
        <f>('TE BE'!$AA$41+'TE BF'!$AA$41+'TE CVA'!$AA$41)*1</f>
        <v>283.86889449376815</v>
      </c>
      <c r="AB1916" s="4">
        <f>$K$1916*$V$1916</f>
        <v>0</v>
      </c>
      <c r="AC1916" s="4">
        <f>$M$1916*$W$1916</f>
        <v>598241.56770000001</v>
      </c>
      <c r="AD1916" s="4">
        <f>$O$1916*$X$1916</f>
        <v>348633.97695000004</v>
      </c>
      <c r="AE1916" s="4">
        <f>$K$1916*$Y$1916</f>
        <v>0</v>
      </c>
      <c r="AF1916" s="4">
        <f ca="1">$M$1916*$Z$1916</f>
        <v>705675.55769356515</v>
      </c>
      <c r="AG1916" s="4">
        <f>$O$1916*$AA$1916</f>
        <v>429299.187176343</v>
      </c>
    </row>
    <row r="1917" spans="1:33" ht="11.25" customHeight="1" x14ac:dyDescent="0.25">
      <c r="A1917" s="3" t="s">
        <v>56</v>
      </c>
      <c r="B1917" s="3" t="s">
        <v>39</v>
      </c>
      <c r="C1917" s="3" t="s">
        <v>23</v>
      </c>
      <c r="D1917" s="3" t="s">
        <v>40</v>
      </c>
      <c r="E1917" s="3" t="s">
        <v>25</v>
      </c>
      <c r="F1917" s="3" t="s">
        <v>25</v>
      </c>
      <c r="G1917" s="3" t="s">
        <v>25</v>
      </c>
      <c r="H1917" s="3" t="s">
        <v>25</v>
      </c>
      <c r="I1917" s="6">
        <v>44652</v>
      </c>
      <c r="J1917" s="4">
        <v>0</v>
      </c>
      <c r="K1917" s="4">
        <v>0</v>
      </c>
      <c r="L1917" s="4">
        <v>91.531000000000006</v>
      </c>
      <c r="M1917" s="4">
        <v>91.531000000000006</v>
      </c>
      <c r="N1917" s="4">
        <v>91.531000000000006</v>
      </c>
      <c r="O1917" s="4">
        <v>91.531000000000006</v>
      </c>
      <c r="P1917" s="4">
        <v>80</v>
      </c>
      <c r="Q1917" s="3" t="s">
        <v>26</v>
      </c>
      <c r="R1917" s="3">
        <v>0</v>
      </c>
      <c r="S1917" s="4">
        <v>0</v>
      </c>
      <c r="T1917" s="4">
        <v>45</v>
      </c>
      <c r="U1917" s="4">
        <v>85</v>
      </c>
      <c r="V1917" s="4">
        <f>IF(ISERROR(VLOOKUP($S$1917,'TAR FIN'!$A$1:$O$99,15,0)),0,VLOOKUP($S$1917,'TAR FIN'!$A$1:$O$99,15,0))</f>
        <v>0</v>
      </c>
      <c r="W1917" s="4">
        <f>IF(ISERROR(VLOOKUP($T$1917,'TAR FIN'!$A$1:$O$99,15,0)),0,VLOOKUP($T$1917,'TAR FIN'!$A$1:$O$99,15,0))</f>
        <v>395.58</v>
      </c>
      <c r="X1917" s="4">
        <f>IF(ISERROR(VLOOKUP($U$1917,'TAR FIN'!$A$1:$O$99,15,0)),0,VLOOKUP($U$1917,'TAR FIN'!$A$1:$O$99,15,0))</f>
        <v>230.53</v>
      </c>
      <c r="Y1917" s="4"/>
      <c r="Z1917" s="4">
        <f ca="1">('TUSD BE'!$AM$59+'TUSD BF'!$AM$59+'TUSD CVA'!$AM$59)*1</f>
        <v>466.61942630573992</v>
      </c>
      <c r="AA1917" s="4">
        <f>('TE BE'!$AA$41+'TE BF'!$AA$41+'TE CVA'!$AA$41)*1</f>
        <v>283.86889449376815</v>
      </c>
      <c r="AB1917" s="4">
        <f>$K$1917*$V$1917</f>
        <v>0</v>
      </c>
      <c r="AC1917" s="4">
        <f>$M$1917*$W$1917</f>
        <v>36207.832979999999</v>
      </c>
      <c r="AD1917" s="4">
        <f>$O$1917*$X$1917</f>
        <v>21100.64143</v>
      </c>
      <c r="AE1917" s="4">
        <f>$K$1917*$Y$1917</f>
        <v>0</v>
      </c>
      <c r="AF1917" s="4">
        <f ca="1">$M$1917*$Z$1917</f>
        <v>42710.142709190681</v>
      </c>
      <c r="AG1917" s="4">
        <f>$O$1917*$AA$1917</f>
        <v>25982.803781909093</v>
      </c>
    </row>
    <row r="1918" spans="1:33" ht="11.25" customHeight="1" x14ac:dyDescent="0.25">
      <c r="A1918" s="3" t="s">
        <v>56</v>
      </c>
      <c r="B1918" s="3" t="s">
        <v>39</v>
      </c>
      <c r="C1918" s="3" t="s">
        <v>23</v>
      </c>
      <c r="D1918" s="3" t="s">
        <v>40</v>
      </c>
      <c r="E1918" s="3" t="s">
        <v>25</v>
      </c>
      <c r="F1918" s="3" t="s">
        <v>25</v>
      </c>
      <c r="G1918" s="3" t="s">
        <v>25</v>
      </c>
      <c r="H1918" s="3" t="s">
        <v>25</v>
      </c>
      <c r="I1918" s="6">
        <v>44652</v>
      </c>
      <c r="J1918" s="4">
        <v>0</v>
      </c>
      <c r="K1918" s="4">
        <v>0</v>
      </c>
      <c r="L1918" s="4">
        <v>-1.087</v>
      </c>
      <c r="M1918" s="4">
        <v>-1.087</v>
      </c>
      <c r="N1918" s="4">
        <v>-1.087</v>
      </c>
      <c r="O1918" s="4">
        <v>-1.087</v>
      </c>
      <c r="P1918" s="4">
        <v>0</v>
      </c>
      <c r="Q1918" s="3" t="s">
        <v>26</v>
      </c>
      <c r="R1918" s="3">
        <v>0</v>
      </c>
      <c r="S1918" s="4">
        <v>0</v>
      </c>
      <c r="T1918" s="4">
        <v>45</v>
      </c>
      <c r="U1918" s="4">
        <v>85</v>
      </c>
      <c r="V1918" s="4">
        <f>IF(ISERROR(VLOOKUP($S$1918,'TAR FIN'!$A$1:$O$99,15,0)),0,VLOOKUP($S$1918,'TAR FIN'!$A$1:$O$99,15,0))</f>
        <v>0</v>
      </c>
      <c r="W1918" s="4">
        <f>IF(ISERROR(VLOOKUP($T$1918,'TAR FIN'!$A$1:$O$99,15,0)),0,VLOOKUP($T$1918,'TAR FIN'!$A$1:$O$99,15,0))</f>
        <v>395.58</v>
      </c>
      <c r="X1918" s="4">
        <f>IF(ISERROR(VLOOKUP($U$1918,'TAR FIN'!$A$1:$O$99,15,0)),0,VLOOKUP($U$1918,'TAR FIN'!$A$1:$O$99,15,0))</f>
        <v>230.53</v>
      </c>
      <c r="Y1918" s="4"/>
      <c r="Z1918" s="4">
        <f ca="1">('TUSD BE'!$AM$59+'TUSD BF'!$AM$59+'TUSD CVA'!$AM$59)*1</f>
        <v>466.61942630573992</v>
      </c>
      <c r="AA1918" s="4">
        <f>('TE BE'!$AA$41+'TE BF'!$AA$41+'TE CVA'!$AA$41)*1</f>
        <v>283.86889449376815</v>
      </c>
      <c r="AB1918" s="4">
        <f>$K$1918*$V$1918</f>
        <v>0</v>
      </c>
      <c r="AC1918" s="4">
        <f>$M$1918*$W$1918</f>
        <v>-429.99545999999998</v>
      </c>
      <c r="AD1918" s="4">
        <f>$O$1918*$X$1918</f>
        <v>-250.58610999999999</v>
      </c>
      <c r="AE1918" s="4">
        <f>$K$1918*$Y$1918</f>
        <v>0</v>
      </c>
      <c r="AF1918" s="4">
        <f ca="1">$M$1918*$Z$1918</f>
        <v>-507.21531639433925</v>
      </c>
      <c r="AG1918" s="4">
        <f>$O$1918*$AA$1918</f>
        <v>-308.565488314726</v>
      </c>
    </row>
    <row r="1919" spans="1:33" ht="11.25" customHeight="1" x14ac:dyDescent="0.25">
      <c r="A1919" s="3" t="s">
        <v>21</v>
      </c>
      <c r="B1919" s="3" t="s">
        <v>39</v>
      </c>
      <c r="C1919" s="3" t="s">
        <v>23</v>
      </c>
      <c r="D1919" s="3" t="s">
        <v>46</v>
      </c>
      <c r="E1919" s="3" t="s">
        <v>25</v>
      </c>
      <c r="F1919" s="3" t="s">
        <v>25</v>
      </c>
      <c r="G1919" s="3" t="s">
        <v>25</v>
      </c>
      <c r="H1919" s="3" t="s">
        <v>25</v>
      </c>
      <c r="I1919" s="6">
        <v>44317</v>
      </c>
      <c r="J1919" s="4">
        <v>0</v>
      </c>
      <c r="K1919" s="4">
        <v>0</v>
      </c>
      <c r="L1919" s="4">
        <v>5714.0309999999999</v>
      </c>
      <c r="M1919" s="4">
        <v>5714.0309999999999</v>
      </c>
      <c r="N1919" s="4">
        <v>5714.0309999999999</v>
      </c>
      <c r="O1919" s="4">
        <v>5714.0309999999999</v>
      </c>
      <c r="P1919" s="4">
        <v>8607</v>
      </c>
      <c r="Q1919" s="3" t="s">
        <v>26</v>
      </c>
      <c r="R1919" s="3">
        <v>0</v>
      </c>
      <c r="S1919" s="4">
        <v>0</v>
      </c>
      <c r="T1919" s="4">
        <v>45</v>
      </c>
      <c r="U1919" s="4">
        <v>85</v>
      </c>
      <c r="V1919" s="4">
        <f>IF(ISERROR(VLOOKUP($S$1919,'TAR FIN'!$A$1:$O$99,15,0)),0,VLOOKUP($S$1919,'TAR FIN'!$A$1:$O$99,15,0))</f>
        <v>0</v>
      </c>
      <c r="W1919" s="4">
        <f>IF(ISERROR(VLOOKUP($T$1919,'TAR FIN'!$A$1:$O$99,15,0)),0,VLOOKUP($T$1919,'TAR FIN'!$A$1:$O$99,15,0))</f>
        <v>395.58</v>
      </c>
      <c r="X1919" s="4">
        <f>IF(ISERROR(VLOOKUP($U$1919,'TAR FIN'!$A$1:$O$99,15,0)),0,VLOOKUP($U$1919,'TAR FIN'!$A$1:$O$99,15,0))</f>
        <v>230.53</v>
      </c>
      <c r="Y1919" s="4"/>
      <c r="Z1919" s="4">
        <f ca="1">('TUSD BE'!$AM$59+'TUSD BF'!$AM$59+'TUSD CVA'!$AM$59)*1</f>
        <v>466.61942630573992</v>
      </c>
      <c r="AA1919" s="4">
        <f>('TE BE'!$AA$41+'TE BF'!$AA$41+'TE CVA'!$AA$41)*1</f>
        <v>283.86889449376815</v>
      </c>
      <c r="AB1919" s="4">
        <f>$K$1919*$V$1919</f>
        <v>0</v>
      </c>
      <c r="AC1919" s="4">
        <f>$M$1919*$W$1919</f>
        <v>2260356.3829799998</v>
      </c>
      <c r="AD1919" s="4">
        <f>$O$1919*$X$1919</f>
        <v>1317255.5664299999</v>
      </c>
      <c r="AE1919" s="4">
        <f>$K$1919*$Y$1919</f>
        <v>0</v>
      </c>
      <c r="AF1919" s="4">
        <f ca="1">$M$1919*$Z$1919</f>
        <v>2666277.8671132135</v>
      </c>
      <c r="AG1919" s="4">
        <f>$O$1919*$AA$1919</f>
        <v>1622035.6630731204</v>
      </c>
    </row>
    <row r="1920" spans="1:33" ht="11.25" customHeight="1" x14ac:dyDescent="0.25">
      <c r="A1920" s="3" t="s">
        <v>27</v>
      </c>
      <c r="B1920" s="3" t="s">
        <v>39</v>
      </c>
      <c r="C1920" s="3" t="s">
        <v>23</v>
      </c>
      <c r="D1920" s="3" t="s">
        <v>46</v>
      </c>
      <c r="E1920" s="3" t="s">
        <v>25</v>
      </c>
      <c r="F1920" s="3" t="s">
        <v>25</v>
      </c>
      <c r="G1920" s="3" t="s">
        <v>25</v>
      </c>
      <c r="H1920" s="3" t="s">
        <v>25</v>
      </c>
      <c r="I1920" s="6">
        <v>44317</v>
      </c>
      <c r="J1920" s="4">
        <v>0</v>
      </c>
      <c r="K1920" s="4">
        <v>0</v>
      </c>
      <c r="L1920" s="4">
        <v>-3.681</v>
      </c>
      <c r="M1920" s="4">
        <v>-3.681</v>
      </c>
      <c r="N1920" s="4">
        <v>-3.681</v>
      </c>
      <c r="O1920" s="4">
        <v>-3.681</v>
      </c>
      <c r="P1920" s="4">
        <v>-3</v>
      </c>
      <c r="Q1920" s="3" t="s">
        <v>26</v>
      </c>
      <c r="R1920" s="3">
        <v>0</v>
      </c>
      <c r="S1920" s="4">
        <v>0</v>
      </c>
      <c r="T1920" s="4">
        <v>45</v>
      </c>
      <c r="U1920" s="4">
        <v>85</v>
      </c>
      <c r="V1920" s="4">
        <f>IF(ISERROR(VLOOKUP($S$1920,'TAR FIN'!$A$1:$O$99,15,0)),0,VLOOKUP($S$1920,'TAR FIN'!$A$1:$O$99,15,0))</f>
        <v>0</v>
      </c>
      <c r="W1920" s="4">
        <f>IF(ISERROR(VLOOKUP($T$1920,'TAR FIN'!$A$1:$O$99,15,0)),0,VLOOKUP($T$1920,'TAR FIN'!$A$1:$O$99,15,0))</f>
        <v>395.58</v>
      </c>
      <c r="X1920" s="4">
        <f>IF(ISERROR(VLOOKUP($U$1920,'TAR FIN'!$A$1:$O$99,15,0)),0,VLOOKUP($U$1920,'TAR FIN'!$A$1:$O$99,15,0))</f>
        <v>230.53</v>
      </c>
      <c r="Y1920" s="4"/>
      <c r="Z1920" s="4">
        <f ca="1">('TUSD BE'!$AM$59+'TUSD BF'!$AM$59+'TUSD CVA'!$AM$59)*1</f>
        <v>466.61942630573992</v>
      </c>
      <c r="AA1920" s="4">
        <f>('TE BE'!$AA$41+'TE BF'!$AA$41+'TE CVA'!$AA$41)*1</f>
        <v>283.86889449376815</v>
      </c>
      <c r="AB1920" s="4">
        <f>$K$1920*$V$1920</f>
        <v>0</v>
      </c>
      <c r="AC1920" s="4">
        <f>$M$1920*$W$1920</f>
        <v>-1456.1299799999999</v>
      </c>
      <c r="AD1920" s="4">
        <f>$O$1920*$X$1920</f>
        <v>-848.58092999999997</v>
      </c>
      <c r="AE1920" s="4">
        <f>$K$1920*$Y$1920</f>
        <v>0</v>
      </c>
      <c r="AF1920" s="4">
        <f ca="1">$M$1920*$Z$1920</f>
        <v>-1717.6261082314286</v>
      </c>
      <c r="AG1920" s="4">
        <f>$O$1920*$AA$1920</f>
        <v>-1044.9214006315606</v>
      </c>
    </row>
    <row r="1921" spans="1:33" ht="11.25" customHeight="1" x14ac:dyDescent="0.25">
      <c r="A1921" s="3" t="s">
        <v>28</v>
      </c>
      <c r="B1921" s="3" t="s">
        <v>39</v>
      </c>
      <c r="C1921" s="3" t="s">
        <v>23</v>
      </c>
      <c r="D1921" s="3" t="s">
        <v>46</v>
      </c>
      <c r="E1921" s="3" t="s">
        <v>25</v>
      </c>
      <c r="F1921" s="3" t="s">
        <v>25</v>
      </c>
      <c r="G1921" s="3" t="s">
        <v>25</v>
      </c>
      <c r="H1921" s="3" t="s">
        <v>25</v>
      </c>
      <c r="I1921" s="6">
        <v>44317</v>
      </c>
      <c r="J1921" s="4">
        <v>0</v>
      </c>
      <c r="K1921" s="4">
        <v>0</v>
      </c>
      <c r="L1921" s="4">
        <v>3.5409999999999999</v>
      </c>
      <c r="M1921" s="4">
        <v>3.5409999999999999</v>
      </c>
      <c r="N1921" s="4">
        <v>3.5409999999999999</v>
      </c>
      <c r="O1921" s="4">
        <v>3.5409999999999999</v>
      </c>
      <c r="P1921" s="4">
        <v>13</v>
      </c>
      <c r="Q1921" s="3" t="s">
        <v>26</v>
      </c>
      <c r="R1921" s="3">
        <v>0</v>
      </c>
      <c r="S1921" s="4">
        <v>0</v>
      </c>
      <c r="T1921" s="4">
        <v>45</v>
      </c>
      <c r="U1921" s="4">
        <v>85</v>
      </c>
      <c r="V1921" s="4">
        <f>IF(ISERROR(VLOOKUP($S$1921,'TAR FIN'!$A$1:$O$99,15,0)),0,VLOOKUP($S$1921,'TAR FIN'!$A$1:$O$99,15,0))</f>
        <v>0</v>
      </c>
      <c r="W1921" s="4">
        <f>IF(ISERROR(VLOOKUP($T$1921,'TAR FIN'!$A$1:$O$99,15,0)),0,VLOOKUP($T$1921,'TAR FIN'!$A$1:$O$99,15,0))</f>
        <v>395.58</v>
      </c>
      <c r="X1921" s="4">
        <f>IF(ISERROR(VLOOKUP($U$1921,'TAR FIN'!$A$1:$O$99,15,0)),0,VLOOKUP($U$1921,'TAR FIN'!$A$1:$O$99,15,0))</f>
        <v>230.53</v>
      </c>
      <c r="Y1921" s="4"/>
      <c r="Z1921" s="4">
        <f ca="1">('TUSD BE'!$AM$59+'TUSD BF'!$AM$59+'TUSD CVA'!$AM$59)*1</f>
        <v>466.61942630573992</v>
      </c>
      <c r="AA1921" s="4">
        <f>('TE BE'!$AA$41+'TE BF'!$AA$41+'TE CVA'!$AA$41)*1</f>
        <v>283.86889449376815</v>
      </c>
      <c r="AB1921" s="4">
        <f>$K$1921*$V$1921</f>
        <v>0</v>
      </c>
      <c r="AC1921" s="4">
        <f>$M$1921*$W$1921</f>
        <v>1400.7487799999999</v>
      </c>
      <c r="AD1921" s="4">
        <f>$O$1921*$X$1921</f>
        <v>816.30673000000002</v>
      </c>
      <c r="AE1921" s="4">
        <f>$K$1921*$Y$1921</f>
        <v>0</v>
      </c>
      <c r="AF1921" s="4">
        <f ca="1">$M$1921*$Z$1921</f>
        <v>1652.2993885486251</v>
      </c>
      <c r="AG1921" s="4">
        <f>$O$1921*$AA$1921</f>
        <v>1005.179755402433</v>
      </c>
    </row>
    <row r="1922" spans="1:33" ht="11.25" customHeight="1" x14ac:dyDescent="0.25">
      <c r="A1922" s="3" t="s">
        <v>21</v>
      </c>
      <c r="B1922" s="3" t="s">
        <v>39</v>
      </c>
      <c r="C1922" s="3" t="s">
        <v>23</v>
      </c>
      <c r="D1922" s="3" t="s">
        <v>46</v>
      </c>
      <c r="E1922" s="3" t="s">
        <v>25</v>
      </c>
      <c r="F1922" s="3" t="s">
        <v>25</v>
      </c>
      <c r="G1922" s="3" t="s">
        <v>25</v>
      </c>
      <c r="H1922" s="3" t="s">
        <v>25</v>
      </c>
      <c r="I1922" s="6">
        <v>44348</v>
      </c>
      <c r="J1922" s="4">
        <v>0</v>
      </c>
      <c r="K1922" s="4">
        <v>0</v>
      </c>
      <c r="L1922" s="4">
        <v>5223.0290000000005</v>
      </c>
      <c r="M1922" s="4">
        <v>5223.0290000000005</v>
      </c>
      <c r="N1922" s="4">
        <v>5223.0290000000005</v>
      </c>
      <c r="O1922" s="4">
        <v>5223.0290000000005</v>
      </c>
      <c r="P1922" s="4">
        <v>8615</v>
      </c>
      <c r="Q1922" s="3" t="s">
        <v>26</v>
      </c>
      <c r="R1922" s="3">
        <v>0</v>
      </c>
      <c r="S1922" s="4">
        <v>0</v>
      </c>
      <c r="T1922" s="4">
        <v>45</v>
      </c>
      <c r="U1922" s="4">
        <v>85</v>
      </c>
      <c r="V1922" s="4">
        <f>IF(ISERROR(VLOOKUP($S$1922,'TAR FIN'!$A$1:$O$99,15,0)),0,VLOOKUP($S$1922,'TAR FIN'!$A$1:$O$99,15,0))</f>
        <v>0</v>
      </c>
      <c r="W1922" s="4">
        <f>IF(ISERROR(VLOOKUP($T$1922,'TAR FIN'!$A$1:$O$99,15,0)),0,VLOOKUP($T$1922,'TAR FIN'!$A$1:$O$99,15,0))</f>
        <v>395.58</v>
      </c>
      <c r="X1922" s="4">
        <f>IF(ISERROR(VLOOKUP($U$1922,'TAR FIN'!$A$1:$O$99,15,0)),0,VLOOKUP($U$1922,'TAR FIN'!$A$1:$O$99,15,0))</f>
        <v>230.53</v>
      </c>
      <c r="Y1922" s="4"/>
      <c r="Z1922" s="4">
        <f ca="1">('TUSD BE'!$AM$59+'TUSD BF'!$AM$59+'TUSD CVA'!$AM$59)*1</f>
        <v>466.61942630573992</v>
      </c>
      <c r="AA1922" s="4">
        <f>('TE BE'!$AA$41+'TE BF'!$AA$41+'TE CVA'!$AA$41)*1</f>
        <v>283.86889449376815</v>
      </c>
      <c r="AB1922" s="4">
        <f>$K$1922*$V$1922</f>
        <v>0</v>
      </c>
      <c r="AC1922" s="4">
        <f>$M$1922*$W$1922</f>
        <v>2066125.8118200002</v>
      </c>
      <c r="AD1922" s="4">
        <f>$O$1922*$X$1922</f>
        <v>1204064.87537</v>
      </c>
      <c r="AE1922" s="4">
        <f>$K$1922*$Y$1922</f>
        <v>0</v>
      </c>
      <c r="AF1922" s="4">
        <f ca="1">$M$1922*$Z$1922</f>
        <v>2437166.7955582426</v>
      </c>
      <c r="AG1922" s="4">
        <f>$O$1922*$AA$1922</f>
        <v>1482655.4681388915</v>
      </c>
    </row>
    <row r="1923" spans="1:33" ht="11.25" customHeight="1" x14ac:dyDescent="0.25">
      <c r="A1923" s="3" t="s">
        <v>27</v>
      </c>
      <c r="B1923" s="3" t="s">
        <v>39</v>
      </c>
      <c r="C1923" s="3" t="s">
        <v>23</v>
      </c>
      <c r="D1923" s="3" t="s">
        <v>46</v>
      </c>
      <c r="E1923" s="3" t="s">
        <v>25</v>
      </c>
      <c r="F1923" s="3" t="s">
        <v>25</v>
      </c>
      <c r="G1923" s="3" t="s">
        <v>25</v>
      </c>
      <c r="H1923" s="3" t="s">
        <v>25</v>
      </c>
      <c r="I1923" s="6">
        <v>44348</v>
      </c>
      <c r="J1923" s="4">
        <v>0</v>
      </c>
      <c r="K1923" s="4">
        <v>0</v>
      </c>
      <c r="L1923" s="4">
        <v>-4.4859999999999998</v>
      </c>
      <c r="M1923" s="4">
        <v>-4.4859999999999998</v>
      </c>
      <c r="N1923" s="4">
        <v>-4.4859999999999998</v>
      </c>
      <c r="O1923" s="4">
        <v>-4.4859999999999998</v>
      </c>
      <c r="P1923" s="4">
        <v>5</v>
      </c>
      <c r="Q1923" s="3" t="s">
        <v>26</v>
      </c>
      <c r="R1923" s="3">
        <v>0</v>
      </c>
      <c r="S1923" s="4">
        <v>0</v>
      </c>
      <c r="T1923" s="4">
        <v>45</v>
      </c>
      <c r="U1923" s="4">
        <v>85</v>
      </c>
      <c r="V1923" s="4">
        <f>IF(ISERROR(VLOOKUP($S$1923,'TAR FIN'!$A$1:$O$99,15,0)),0,VLOOKUP($S$1923,'TAR FIN'!$A$1:$O$99,15,0))</f>
        <v>0</v>
      </c>
      <c r="W1923" s="4">
        <f>IF(ISERROR(VLOOKUP($T$1923,'TAR FIN'!$A$1:$O$99,15,0)),0,VLOOKUP($T$1923,'TAR FIN'!$A$1:$O$99,15,0))</f>
        <v>395.58</v>
      </c>
      <c r="X1923" s="4">
        <f>IF(ISERROR(VLOOKUP($U$1923,'TAR FIN'!$A$1:$O$99,15,0)),0,VLOOKUP($U$1923,'TAR FIN'!$A$1:$O$99,15,0))</f>
        <v>230.53</v>
      </c>
      <c r="Y1923" s="4"/>
      <c r="Z1923" s="4">
        <f ca="1">('TUSD BE'!$AM$59+'TUSD BF'!$AM$59+'TUSD CVA'!$AM$59)*1</f>
        <v>466.61942630573992</v>
      </c>
      <c r="AA1923" s="4">
        <f>('TE BE'!$AA$41+'TE BF'!$AA$41+'TE CVA'!$AA$41)*1</f>
        <v>283.86889449376815</v>
      </c>
      <c r="AB1923" s="4">
        <f>$K$1923*$V$1923</f>
        <v>0</v>
      </c>
      <c r="AC1923" s="4">
        <f>$M$1923*$W$1923</f>
        <v>-1774.5718799999997</v>
      </c>
      <c r="AD1923" s="4">
        <f>$O$1923*$X$1923</f>
        <v>-1034.1575800000001</v>
      </c>
      <c r="AE1923" s="4">
        <f>$K$1923*$Y$1923</f>
        <v>0</v>
      </c>
      <c r="AF1923" s="4">
        <f ca="1">$M$1923*$Z$1923</f>
        <v>-2093.2547464075492</v>
      </c>
      <c r="AG1923" s="4">
        <f>$O$1923*$AA$1923</f>
        <v>-1273.4358606990438</v>
      </c>
    </row>
    <row r="1924" spans="1:33" ht="11.25" customHeight="1" x14ac:dyDescent="0.25">
      <c r="A1924" s="3" t="s">
        <v>28</v>
      </c>
      <c r="B1924" s="3" t="s">
        <v>39</v>
      </c>
      <c r="C1924" s="3" t="s">
        <v>23</v>
      </c>
      <c r="D1924" s="3" t="s">
        <v>46</v>
      </c>
      <c r="E1924" s="3" t="s">
        <v>25</v>
      </c>
      <c r="F1924" s="3" t="s">
        <v>25</v>
      </c>
      <c r="G1924" s="3" t="s">
        <v>25</v>
      </c>
      <c r="H1924" s="3" t="s">
        <v>25</v>
      </c>
      <c r="I1924" s="6">
        <v>44348</v>
      </c>
      <c r="J1924" s="4">
        <v>0</v>
      </c>
      <c r="K1924" s="4">
        <v>0</v>
      </c>
      <c r="L1924" s="4">
        <v>2.9529999999999998</v>
      </c>
      <c r="M1924" s="4">
        <v>2.9529999999999998</v>
      </c>
      <c r="N1924" s="4">
        <v>2.9529999999999998</v>
      </c>
      <c r="O1924" s="4">
        <v>2.9529999999999998</v>
      </c>
      <c r="P1924" s="4">
        <v>13</v>
      </c>
      <c r="Q1924" s="3" t="s">
        <v>26</v>
      </c>
      <c r="R1924" s="3">
        <v>0</v>
      </c>
      <c r="S1924" s="4">
        <v>0</v>
      </c>
      <c r="T1924" s="4">
        <v>45</v>
      </c>
      <c r="U1924" s="4">
        <v>85</v>
      </c>
      <c r="V1924" s="4">
        <f>IF(ISERROR(VLOOKUP($S$1924,'TAR FIN'!$A$1:$O$99,15,0)),0,VLOOKUP($S$1924,'TAR FIN'!$A$1:$O$99,15,0))</f>
        <v>0</v>
      </c>
      <c r="W1924" s="4">
        <f>IF(ISERROR(VLOOKUP($T$1924,'TAR FIN'!$A$1:$O$99,15,0)),0,VLOOKUP($T$1924,'TAR FIN'!$A$1:$O$99,15,0))</f>
        <v>395.58</v>
      </c>
      <c r="X1924" s="4">
        <f>IF(ISERROR(VLOOKUP($U$1924,'TAR FIN'!$A$1:$O$99,15,0)),0,VLOOKUP($U$1924,'TAR FIN'!$A$1:$O$99,15,0))</f>
        <v>230.53</v>
      </c>
      <c r="Y1924" s="4"/>
      <c r="Z1924" s="4">
        <f ca="1">('TUSD BE'!$AM$59+'TUSD BF'!$AM$59+'TUSD CVA'!$AM$59)*1</f>
        <v>466.61942630573992</v>
      </c>
      <c r="AA1924" s="4">
        <f>('TE BE'!$AA$41+'TE BF'!$AA$41+'TE CVA'!$AA$41)*1</f>
        <v>283.86889449376815</v>
      </c>
      <c r="AB1924" s="4">
        <f>$K$1924*$V$1924</f>
        <v>0</v>
      </c>
      <c r="AC1924" s="4">
        <f>$M$1924*$W$1924</f>
        <v>1168.1477399999999</v>
      </c>
      <c r="AD1924" s="4">
        <f>$O$1924*$X$1924</f>
        <v>680.75509</v>
      </c>
      <c r="AE1924" s="4">
        <f>$K$1924*$Y$1924</f>
        <v>0</v>
      </c>
      <c r="AF1924" s="4">
        <f ca="1">$M$1924*$Z$1924</f>
        <v>1377.92716588085</v>
      </c>
      <c r="AG1924" s="4">
        <f>$O$1924*$AA$1924</f>
        <v>838.26484544009736</v>
      </c>
    </row>
    <row r="1925" spans="1:33" ht="11.25" customHeight="1" x14ac:dyDescent="0.25">
      <c r="A1925" s="3" t="s">
        <v>21</v>
      </c>
      <c r="B1925" s="3" t="s">
        <v>39</v>
      </c>
      <c r="C1925" s="3" t="s">
        <v>23</v>
      </c>
      <c r="D1925" s="3" t="s">
        <v>46</v>
      </c>
      <c r="E1925" s="3" t="s">
        <v>25</v>
      </c>
      <c r="F1925" s="3" t="s">
        <v>25</v>
      </c>
      <c r="G1925" s="3" t="s">
        <v>25</v>
      </c>
      <c r="H1925" s="3" t="s">
        <v>25</v>
      </c>
      <c r="I1925" s="6">
        <v>44378</v>
      </c>
      <c r="J1925" s="4">
        <v>0</v>
      </c>
      <c r="K1925" s="4">
        <v>0</v>
      </c>
      <c r="L1925" s="4">
        <v>4767.2659999999996</v>
      </c>
      <c r="M1925" s="4">
        <v>4767.2659999999996</v>
      </c>
      <c r="N1925" s="4">
        <v>4767.2659999999996</v>
      </c>
      <c r="O1925" s="4">
        <v>4767.2659999999996</v>
      </c>
      <c r="P1925" s="4">
        <v>8595</v>
      </c>
      <c r="Q1925" s="3" t="s">
        <v>26</v>
      </c>
      <c r="R1925" s="3">
        <v>0</v>
      </c>
      <c r="S1925" s="4">
        <v>0</v>
      </c>
      <c r="T1925" s="4">
        <v>45</v>
      </c>
      <c r="U1925" s="4">
        <v>85</v>
      </c>
      <c r="V1925" s="4">
        <f>IF(ISERROR(VLOOKUP($S$1925,'TAR FIN'!$A$1:$O$99,15,0)),0,VLOOKUP($S$1925,'TAR FIN'!$A$1:$O$99,15,0))</f>
        <v>0</v>
      </c>
      <c r="W1925" s="4">
        <f>IF(ISERROR(VLOOKUP($T$1925,'TAR FIN'!$A$1:$O$99,15,0)),0,VLOOKUP($T$1925,'TAR FIN'!$A$1:$O$99,15,0))</f>
        <v>395.58</v>
      </c>
      <c r="X1925" s="4">
        <f>IF(ISERROR(VLOOKUP($U$1925,'TAR FIN'!$A$1:$O$99,15,0)),0,VLOOKUP($U$1925,'TAR FIN'!$A$1:$O$99,15,0))</f>
        <v>230.53</v>
      </c>
      <c r="Y1925" s="4"/>
      <c r="Z1925" s="4">
        <f ca="1">('TUSD BE'!$AM$59+'TUSD BF'!$AM$59+'TUSD CVA'!$AM$59)*1</f>
        <v>466.61942630573992</v>
      </c>
      <c r="AA1925" s="4">
        <f>('TE BE'!$AA$41+'TE BF'!$AA$41+'TE CVA'!$AA$41)*1</f>
        <v>283.86889449376815</v>
      </c>
      <c r="AB1925" s="4">
        <f>$K$1925*$V$1925</f>
        <v>0</v>
      </c>
      <c r="AC1925" s="4">
        <f>$M$1925*$W$1925</f>
        <v>1885835.0842799998</v>
      </c>
      <c r="AD1925" s="4">
        <f>$O$1925*$X$1925</f>
        <v>1098997.8309799999</v>
      </c>
      <c r="AE1925" s="4">
        <f>$K$1925*$Y$1925</f>
        <v>0</v>
      </c>
      <c r="AF1925" s="4">
        <f ca="1">$M$1925*$Z$1925</f>
        <v>2224498.9259668593</v>
      </c>
      <c r="AG1925" s="4">
        <f>$O$1925*$AA$1925</f>
        <v>1353278.5291777281</v>
      </c>
    </row>
    <row r="1926" spans="1:33" ht="11.25" customHeight="1" x14ac:dyDescent="0.25">
      <c r="A1926" s="3" t="s">
        <v>27</v>
      </c>
      <c r="B1926" s="3" t="s">
        <v>39</v>
      </c>
      <c r="C1926" s="3" t="s">
        <v>23</v>
      </c>
      <c r="D1926" s="3" t="s">
        <v>46</v>
      </c>
      <c r="E1926" s="3" t="s">
        <v>25</v>
      </c>
      <c r="F1926" s="3" t="s">
        <v>25</v>
      </c>
      <c r="G1926" s="3" t="s">
        <v>25</v>
      </c>
      <c r="H1926" s="3" t="s">
        <v>25</v>
      </c>
      <c r="I1926" s="6">
        <v>44378</v>
      </c>
      <c r="J1926" s="4">
        <v>0</v>
      </c>
      <c r="K1926" s="4">
        <v>0</v>
      </c>
      <c r="L1926" s="4">
        <v>-84.954999999999998</v>
      </c>
      <c r="M1926" s="4">
        <v>-84.954999999999998</v>
      </c>
      <c r="N1926" s="4">
        <v>-84.954999999999998</v>
      </c>
      <c r="O1926" s="4">
        <v>-84.954999999999998</v>
      </c>
      <c r="P1926" s="4">
        <v>-7</v>
      </c>
      <c r="Q1926" s="3" t="s">
        <v>26</v>
      </c>
      <c r="R1926" s="3">
        <v>0</v>
      </c>
      <c r="S1926" s="4">
        <v>0</v>
      </c>
      <c r="T1926" s="4">
        <v>45</v>
      </c>
      <c r="U1926" s="4">
        <v>85</v>
      </c>
      <c r="V1926" s="4">
        <f>IF(ISERROR(VLOOKUP($S$1926,'TAR FIN'!$A$1:$O$99,15,0)),0,VLOOKUP($S$1926,'TAR FIN'!$A$1:$O$99,15,0))</f>
        <v>0</v>
      </c>
      <c r="W1926" s="4">
        <f>IF(ISERROR(VLOOKUP($T$1926,'TAR FIN'!$A$1:$O$99,15,0)),0,VLOOKUP($T$1926,'TAR FIN'!$A$1:$O$99,15,0))</f>
        <v>395.58</v>
      </c>
      <c r="X1926" s="4">
        <f>IF(ISERROR(VLOOKUP($U$1926,'TAR FIN'!$A$1:$O$99,15,0)),0,VLOOKUP($U$1926,'TAR FIN'!$A$1:$O$99,15,0))</f>
        <v>230.53</v>
      </c>
      <c r="Y1926" s="4"/>
      <c r="Z1926" s="4">
        <f ca="1">('TUSD BE'!$AM$59+'TUSD BF'!$AM$59+'TUSD CVA'!$AM$59)*1</f>
        <v>466.61942630573992</v>
      </c>
      <c r="AA1926" s="4">
        <f>('TE BE'!$AA$41+'TE BF'!$AA$41+'TE CVA'!$AA$41)*1</f>
        <v>283.86889449376815</v>
      </c>
      <c r="AB1926" s="4">
        <f>$K$1926*$V$1926</f>
        <v>0</v>
      </c>
      <c r="AC1926" s="4">
        <f>$M$1926*$W$1926</f>
        <v>-33606.498899999999</v>
      </c>
      <c r="AD1926" s="4">
        <f>$O$1926*$X$1926</f>
        <v>-19584.676149999999</v>
      </c>
      <c r="AE1926" s="4">
        <f>$K$1926*$Y$1926</f>
        <v>0</v>
      </c>
      <c r="AF1926" s="4">
        <f ca="1">$M$1926*$Z$1926</f>
        <v>-39641.653361804136</v>
      </c>
      <c r="AG1926" s="4">
        <f>$O$1926*$AA$1926</f>
        <v>-24116.081931718072</v>
      </c>
    </row>
    <row r="1927" spans="1:33" ht="11.25" customHeight="1" x14ac:dyDescent="0.25">
      <c r="A1927" s="3" t="s">
        <v>28</v>
      </c>
      <c r="B1927" s="3" t="s">
        <v>39</v>
      </c>
      <c r="C1927" s="3" t="s">
        <v>23</v>
      </c>
      <c r="D1927" s="3" t="s">
        <v>46</v>
      </c>
      <c r="E1927" s="3" t="s">
        <v>25</v>
      </c>
      <c r="F1927" s="3" t="s">
        <v>25</v>
      </c>
      <c r="G1927" s="3" t="s">
        <v>25</v>
      </c>
      <c r="H1927" s="3" t="s">
        <v>25</v>
      </c>
      <c r="I1927" s="6">
        <v>44378</v>
      </c>
      <c r="J1927" s="4">
        <v>0</v>
      </c>
      <c r="K1927" s="4">
        <v>0</v>
      </c>
      <c r="L1927" s="4">
        <v>2.2890000000000001</v>
      </c>
      <c r="M1927" s="4">
        <v>2.2890000000000001</v>
      </c>
      <c r="N1927" s="4">
        <v>2.2890000000000001</v>
      </c>
      <c r="O1927" s="4">
        <v>2.2890000000000001</v>
      </c>
      <c r="P1927" s="4">
        <v>13</v>
      </c>
      <c r="Q1927" s="3" t="s">
        <v>26</v>
      </c>
      <c r="R1927" s="3">
        <v>0</v>
      </c>
      <c r="S1927" s="4">
        <v>0</v>
      </c>
      <c r="T1927" s="4">
        <v>45</v>
      </c>
      <c r="U1927" s="4">
        <v>85</v>
      </c>
      <c r="V1927" s="4">
        <f>IF(ISERROR(VLOOKUP($S$1927,'TAR FIN'!$A$1:$O$99,15,0)),0,VLOOKUP($S$1927,'TAR FIN'!$A$1:$O$99,15,0))</f>
        <v>0</v>
      </c>
      <c r="W1927" s="4">
        <f>IF(ISERROR(VLOOKUP($T$1927,'TAR FIN'!$A$1:$O$99,15,0)),0,VLOOKUP($T$1927,'TAR FIN'!$A$1:$O$99,15,0))</f>
        <v>395.58</v>
      </c>
      <c r="X1927" s="4">
        <f>IF(ISERROR(VLOOKUP($U$1927,'TAR FIN'!$A$1:$O$99,15,0)),0,VLOOKUP($U$1927,'TAR FIN'!$A$1:$O$99,15,0))</f>
        <v>230.53</v>
      </c>
      <c r="Y1927" s="4"/>
      <c r="Z1927" s="4">
        <f ca="1">('TUSD BE'!$AM$59+'TUSD BF'!$AM$59+'TUSD CVA'!$AM$59)*1</f>
        <v>466.61942630573992</v>
      </c>
      <c r="AA1927" s="4">
        <f>('TE BE'!$AA$41+'TE BF'!$AA$41+'TE CVA'!$AA$41)*1</f>
        <v>283.86889449376815</v>
      </c>
      <c r="AB1927" s="4">
        <f>$K$1927*$V$1927</f>
        <v>0</v>
      </c>
      <c r="AC1927" s="4">
        <f>$M$1927*$W$1927</f>
        <v>905.48262</v>
      </c>
      <c r="AD1927" s="4">
        <f>$O$1927*$X$1927</f>
        <v>527.68317000000002</v>
      </c>
      <c r="AE1927" s="4">
        <f>$K$1927*$Y$1927</f>
        <v>0</v>
      </c>
      <c r="AF1927" s="4">
        <f ca="1">$M$1927*$Z$1927</f>
        <v>1068.0918668138388</v>
      </c>
      <c r="AG1927" s="4">
        <f>$O$1927*$AA$1927</f>
        <v>649.7758994962353</v>
      </c>
    </row>
    <row r="1928" spans="1:33" ht="11.25" customHeight="1" x14ac:dyDescent="0.25">
      <c r="A1928" s="3" t="s">
        <v>21</v>
      </c>
      <c r="B1928" s="3" t="s">
        <v>39</v>
      </c>
      <c r="C1928" s="3" t="s">
        <v>23</v>
      </c>
      <c r="D1928" s="3" t="s">
        <v>46</v>
      </c>
      <c r="E1928" s="3" t="s">
        <v>25</v>
      </c>
      <c r="F1928" s="3" t="s">
        <v>25</v>
      </c>
      <c r="G1928" s="3" t="s">
        <v>25</v>
      </c>
      <c r="H1928" s="3" t="s">
        <v>25</v>
      </c>
      <c r="I1928" s="6">
        <v>44409</v>
      </c>
      <c r="J1928" s="4">
        <v>0</v>
      </c>
      <c r="K1928" s="4">
        <v>0</v>
      </c>
      <c r="L1928" s="4">
        <v>5084.723</v>
      </c>
      <c r="M1928" s="4">
        <v>5084.723</v>
      </c>
      <c r="N1928" s="4">
        <v>5084.723</v>
      </c>
      <c r="O1928" s="4">
        <v>5084.723</v>
      </c>
      <c r="P1928" s="4">
        <v>8626</v>
      </c>
      <c r="Q1928" s="3" t="s">
        <v>26</v>
      </c>
      <c r="R1928" s="3">
        <v>0</v>
      </c>
      <c r="S1928" s="4">
        <v>0</v>
      </c>
      <c r="T1928" s="4">
        <v>45</v>
      </c>
      <c r="U1928" s="4">
        <v>85</v>
      </c>
      <c r="V1928" s="4">
        <f>IF(ISERROR(VLOOKUP($S$1928,'TAR FIN'!$A$1:$O$99,15,0)),0,VLOOKUP($S$1928,'TAR FIN'!$A$1:$O$99,15,0))</f>
        <v>0</v>
      </c>
      <c r="W1928" s="4">
        <f>IF(ISERROR(VLOOKUP($T$1928,'TAR FIN'!$A$1:$O$99,15,0)),0,VLOOKUP($T$1928,'TAR FIN'!$A$1:$O$99,15,0))</f>
        <v>395.58</v>
      </c>
      <c r="X1928" s="4">
        <f>IF(ISERROR(VLOOKUP($U$1928,'TAR FIN'!$A$1:$O$99,15,0)),0,VLOOKUP($U$1928,'TAR FIN'!$A$1:$O$99,15,0))</f>
        <v>230.53</v>
      </c>
      <c r="Y1928" s="4"/>
      <c r="Z1928" s="4">
        <f ca="1">('TUSD BE'!$AM$59+'TUSD BF'!$AM$59+'TUSD CVA'!$AM$59)*1</f>
        <v>466.61942630573992</v>
      </c>
      <c r="AA1928" s="4">
        <f>('TE BE'!$AA$41+'TE BF'!$AA$41+'TE CVA'!$AA$41)*1</f>
        <v>283.86889449376815</v>
      </c>
      <c r="AB1928" s="4">
        <f>$K$1928*$V$1928</f>
        <v>0</v>
      </c>
      <c r="AC1928" s="4">
        <f>$M$1928*$W$1928</f>
        <v>2011414.72434</v>
      </c>
      <c r="AD1928" s="4">
        <f>$O$1928*$X$1928</f>
        <v>1172181.19319</v>
      </c>
      <c r="AE1928" s="4">
        <f>$K$1928*$Y$1928</f>
        <v>0</v>
      </c>
      <c r="AF1928" s="4">
        <f ca="1">$M$1928*$Z$1928</f>
        <v>2372630.5291836006</v>
      </c>
      <c r="AG1928" s="4">
        <f>$O$1928*$AA$1928</f>
        <v>1443394.6968170363</v>
      </c>
    </row>
    <row r="1929" spans="1:33" ht="11.25" customHeight="1" x14ac:dyDescent="0.25">
      <c r="A1929" s="3" t="s">
        <v>27</v>
      </c>
      <c r="B1929" s="3" t="s">
        <v>39</v>
      </c>
      <c r="C1929" s="3" t="s">
        <v>23</v>
      </c>
      <c r="D1929" s="3" t="s">
        <v>46</v>
      </c>
      <c r="E1929" s="3" t="s">
        <v>25</v>
      </c>
      <c r="F1929" s="3" t="s">
        <v>25</v>
      </c>
      <c r="G1929" s="3" t="s">
        <v>25</v>
      </c>
      <c r="H1929" s="3" t="s">
        <v>25</v>
      </c>
      <c r="I1929" s="6">
        <v>44409</v>
      </c>
      <c r="J1929" s="4">
        <v>0</v>
      </c>
      <c r="K1929" s="4">
        <v>0</v>
      </c>
      <c r="L1929" s="4">
        <v>-23.492999999999999</v>
      </c>
      <c r="M1929" s="4">
        <v>-23.492999999999999</v>
      </c>
      <c r="N1929" s="4">
        <v>-23.492999999999999</v>
      </c>
      <c r="O1929" s="4">
        <v>-23.492999999999999</v>
      </c>
      <c r="P1929" s="4">
        <v>-7</v>
      </c>
      <c r="Q1929" s="3" t="s">
        <v>26</v>
      </c>
      <c r="R1929" s="3">
        <v>0</v>
      </c>
      <c r="S1929" s="4">
        <v>0</v>
      </c>
      <c r="T1929" s="4">
        <v>45</v>
      </c>
      <c r="U1929" s="4">
        <v>85</v>
      </c>
      <c r="V1929" s="4">
        <f>IF(ISERROR(VLOOKUP($S$1929,'TAR FIN'!$A$1:$O$99,15,0)),0,VLOOKUP($S$1929,'TAR FIN'!$A$1:$O$99,15,0))</f>
        <v>0</v>
      </c>
      <c r="W1929" s="4">
        <f>IF(ISERROR(VLOOKUP($T$1929,'TAR FIN'!$A$1:$O$99,15,0)),0,VLOOKUP($T$1929,'TAR FIN'!$A$1:$O$99,15,0))</f>
        <v>395.58</v>
      </c>
      <c r="X1929" s="4">
        <f>IF(ISERROR(VLOOKUP($U$1929,'TAR FIN'!$A$1:$O$99,15,0)),0,VLOOKUP($U$1929,'TAR FIN'!$A$1:$O$99,15,0))</f>
        <v>230.53</v>
      </c>
      <c r="Y1929" s="4"/>
      <c r="Z1929" s="4">
        <f ca="1">('TUSD BE'!$AM$59+'TUSD BF'!$AM$59+'TUSD CVA'!$AM$59)*1</f>
        <v>466.61942630573992</v>
      </c>
      <c r="AA1929" s="4">
        <f>('TE BE'!$AA$41+'TE BF'!$AA$41+'TE CVA'!$AA$41)*1</f>
        <v>283.86889449376815</v>
      </c>
      <c r="AB1929" s="4">
        <f>$K$1929*$V$1929</f>
        <v>0</v>
      </c>
      <c r="AC1929" s="4">
        <f>$M$1929*$W$1929</f>
        <v>-9293.3609399999987</v>
      </c>
      <c r="AD1929" s="4">
        <f>$O$1929*$X$1929</f>
        <v>-5415.8412899999994</v>
      </c>
      <c r="AE1929" s="4">
        <f>$K$1929*$Y$1929</f>
        <v>0</v>
      </c>
      <c r="AF1929" s="4">
        <f ca="1">$M$1929*$Z$1929</f>
        <v>-10962.290182200748</v>
      </c>
      <c r="AG1929" s="4">
        <f>$O$1929*$AA$1929</f>
        <v>-6668.9319383420952</v>
      </c>
    </row>
    <row r="1930" spans="1:33" ht="11.25" customHeight="1" x14ac:dyDescent="0.25">
      <c r="A1930" s="3" t="s">
        <v>28</v>
      </c>
      <c r="B1930" s="3" t="s">
        <v>39</v>
      </c>
      <c r="C1930" s="3" t="s">
        <v>23</v>
      </c>
      <c r="D1930" s="3" t="s">
        <v>46</v>
      </c>
      <c r="E1930" s="3" t="s">
        <v>25</v>
      </c>
      <c r="F1930" s="3" t="s">
        <v>25</v>
      </c>
      <c r="G1930" s="3" t="s">
        <v>25</v>
      </c>
      <c r="H1930" s="3" t="s">
        <v>25</v>
      </c>
      <c r="I1930" s="6">
        <v>44409</v>
      </c>
      <c r="J1930" s="4">
        <v>0</v>
      </c>
      <c r="K1930" s="4">
        <v>0</v>
      </c>
      <c r="L1930" s="4">
        <v>2.4550000000000001</v>
      </c>
      <c r="M1930" s="4">
        <v>2.4550000000000001</v>
      </c>
      <c r="N1930" s="4">
        <v>2.4550000000000001</v>
      </c>
      <c r="O1930" s="4">
        <v>2.4550000000000001</v>
      </c>
      <c r="P1930" s="4">
        <v>13</v>
      </c>
      <c r="Q1930" s="3" t="s">
        <v>26</v>
      </c>
      <c r="R1930" s="3">
        <v>0</v>
      </c>
      <c r="S1930" s="4">
        <v>0</v>
      </c>
      <c r="T1930" s="4">
        <v>45</v>
      </c>
      <c r="U1930" s="4">
        <v>85</v>
      </c>
      <c r="V1930" s="4">
        <f>IF(ISERROR(VLOOKUP($S$1930,'TAR FIN'!$A$1:$O$99,15,0)),0,VLOOKUP($S$1930,'TAR FIN'!$A$1:$O$99,15,0))</f>
        <v>0</v>
      </c>
      <c r="W1930" s="4">
        <f>IF(ISERROR(VLOOKUP($T$1930,'TAR FIN'!$A$1:$O$99,15,0)),0,VLOOKUP($T$1930,'TAR FIN'!$A$1:$O$99,15,0))</f>
        <v>395.58</v>
      </c>
      <c r="X1930" s="4">
        <f>IF(ISERROR(VLOOKUP($U$1930,'TAR FIN'!$A$1:$O$99,15,0)),0,VLOOKUP($U$1930,'TAR FIN'!$A$1:$O$99,15,0))</f>
        <v>230.53</v>
      </c>
      <c r="Y1930" s="4"/>
      <c r="Z1930" s="4">
        <f ca="1">('TUSD BE'!$AM$59+'TUSD BF'!$AM$59+'TUSD CVA'!$AM$59)*1</f>
        <v>466.61942630573992</v>
      </c>
      <c r="AA1930" s="4">
        <f>('TE BE'!$AA$41+'TE BF'!$AA$41+'TE CVA'!$AA$41)*1</f>
        <v>283.86889449376815</v>
      </c>
      <c r="AB1930" s="4">
        <f>$K$1930*$V$1930</f>
        <v>0</v>
      </c>
      <c r="AC1930" s="4">
        <f>$M$1930*$W$1930</f>
        <v>971.14890000000003</v>
      </c>
      <c r="AD1930" s="4">
        <f>$O$1930*$X$1930</f>
        <v>565.95114999999998</v>
      </c>
      <c r="AE1930" s="4">
        <f>$K$1930*$Y$1930</f>
        <v>0</v>
      </c>
      <c r="AF1930" s="4">
        <f ca="1">$M$1930*$Z$1930</f>
        <v>1145.5506915805915</v>
      </c>
      <c r="AG1930" s="4">
        <f>$O$1930*$AA$1930</f>
        <v>696.89813598220087</v>
      </c>
    </row>
    <row r="1931" spans="1:33" ht="11.25" customHeight="1" x14ac:dyDescent="0.25">
      <c r="A1931" s="3" t="s">
        <v>21</v>
      </c>
      <c r="B1931" s="3" t="s">
        <v>39</v>
      </c>
      <c r="C1931" s="3" t="s">
        <v>23</v>
      </c>
      <c r="D1931" s="3" t="s">
        <v>46</v>
      </c>
      <c r="E1931" s="3" t="s">
        <v>25</v>
      </c>
      <c r="F1931" s="3" t="s">
        <v>25</v>
      </c>
      <c r="G1931" s="3" t="s">
        <v>25</v>
      </c>
      <c r="H1931" s="3" t="s">
        <v>25</v>
      </c>
      <c r="I1931" s="6">
        <v>44440</v>
      </c>
      <c r="J1931" s="4">
        <v>0</v>
      </c>
      <c r="K1931" s="4">
        <v>0</v>
      </c>
      <c r="L1931" s="4">
        <v>5930.9080000000004</v>
      </c>
      <c r="M1931" s="4">
        <v>5930.9080000000004</v>
      </c>
      <c r="N1931" s="4">
        <v>5930.9080000000004</v>
      </c>
      <c r="O1931" s="4">
        <v>5930.9080000000004</v>
      </c>
      <c r="P1931" s="4">
        <v>8616</v>
      </c>
      <c r="Q1931" s="3" t="s">
        <v>26</v>
      </c>
      <c r="R1931" s="3">
        <v>0</v>
      </c>
      <c r="S1931" s="4">
        <v>0</v>
      </c>
      <c r="T1931" s="4">
        <v>45</v>
      </c>
      <c r="U1931" s="4">
        <v>85</v>
      </c>
      <c r="V1931" s="4">
        <f>IF(ISERROR(VLOOKUP($S$1931,'TAR FIN'!$A$1:$O$99,15,0)),0,VLOOKUP($S$1931,'TAR FIN'!$A$1:$O$99,15,0))</f>
        <v>0</v>
      </c>
      <c r="W1931" s="4">
        <f>IF(ISERROR(VLOOKUP($T$1931,'TAR FIN'!$A$1:$O$99,15,0)),0,VLOOKUP($T$1931,'TAR FIN'!$A$1:$O$99,15,0))</f>
        <v>395.58</v>
      </c>
      <c r="X1931" s="4">
        <f>IF(ISERROR(VLOOKUP($U$1931,'TAR FIN'!$A$1:$O$99,15,0)),0,VLOOKUP($U$1931,'TAR FIN'!$A$1:$O$99,15,0))</f>
        <v>230.53</v>
      </c>
      <c r="Y1931" s="4"/>
      <c r="Z1931" s="4">
        <f ca="1">('TUSD BE'!$AM$59+'TUSD BF'!$AM$59+'TUSD CVA'!$AM$59)*1</f>
        <v>466.61942630573992</v>
      </c>
      <c r="AA1931" s="4">
        <f>('TE BE'!$AA$41+'TE BF'!$AA$41+'TE CVA'!$AA$41)*1</f>
        <v>283.86889449376815</v>
      </c>
      <c r="AB1931" s="4">
        <f>$K$1931*$V$1931</f>
        <v>0</v>
      </c>
      <c r="AC1931" s="4">
        <f>$M$1931*$W$1931</f>
        <v>2346148.5866399999</v>
      </c>
      <c r="AD1931" s="4">
        <f>$O$1931*$X$1931</f>
        <v>1367252.2212400001</v>
      </c>
      <c r="AE1931" s="4">
        <f>$K$1931*$Y$1931</f>
        <v>0</v>
      </c>
      <c r="AF1931" s="4">
        <f ca="1">$M$1931*$Z$1931</f>
        <v>2767476.8884321237</v>
      </c>
      <c r="AG1931" s="4">
        <f>$O$1931*$AA$1931</f>
        <v>1683600.2973042456</v>
      </c>
    </row>
    <row r="1932" spans="1:33" ht="11.25" customHeight="1" x14ac:dyDescent="0.25">
      <c r="A1932" s="3" t="s">
        <v>27</v>
      </c>
      <c r="B1932" s="3" t="s">
        <v>39</v>
      </c>
      <c r="C1932" s="3" t="s">
        <v>23</v>
      </c>
      <c r="D1932" s="3" t="s">
        <v>46</v>
      </c>
      <c r="E1932" s="3" t="s">
        <v>25</v>
      </c>
      <c r="F1932" s="3" t="s">
        <v>25</v>
      </c>
      <c r="G1932" s="3" t="s">
        <v>25</v>
      </c>
      <c r="H1932" s="3" t="s">
        <v>25</v>
      </c>
      <c r="I1932" s="6">
        <v>44440</v>
      </c>
      <c r="J1932" s="4">
        <v>0</v>
      </c>
      <c r="K1932" s="4">
        <v>0</v>
      </c>
      <c r="L1932" s="4">
        <v>-25.251999999999999</v>
      </c>
      <c r="M1932" s="4">
        <v>-25.251999999999999</v>
      </c>
      <c r="N1932" s="4">
        <v>-25.251999999999999</v>
      </c>
      <c r="O1932" s="4">
        <v>-25.251999999999999</v>
      </c>
      <c r="P1932" s="4">
        <v>-26</v>
      </c>
      <c r="Q1932" s="3" t="s">
        <v>26</v>
      </c>
      <c r="R1932" s="3">
        <v>0</v>
      </c>
      <c r="S1932" s="4">
        <v>0</v>
      </c>
      <c r="T1932" s="4">
        <v>45</v>
      </c>
      <c r="U1932" s="4">
        <v>85</v>
      </c>
      <c r="V1932" s="4">
        <f>IF(ISERROR(VLOOKUP($S$1932,'TAR FIN'!$A$1:$O$99,15,0)),0,VLOOKUP($S$1932,'TAR FIN'!$A$1:$O$99,15,0))</f>
        <v>0</v>
      </c>
      <c r="W1932" s="4">
        <f>IF(ISERROR(VLOOKUP($T$1932,'TAR FIN'!$A$1:$O$99,15,0)),0,VLOOKUP($T$1932,'TAR FIN'!$A$1:$O$99,15,0))</f>
        <v>395.58</v>
      </c>
      <c r="X1932" s="4">
        <f>IF(ISERROR(VLOOKUP($U$1932,'TAR FIN'!$A$1:$O$99,15,0)),0,VLOOKUP($U$1932,'TAR FIN'!$A$1:$O$99,15,0))</f>
        <v>230.53</v>
      </c>
      <c r="Y1932" s="4"/>
      <c r="Z1932" s="4">
        <f ca="1">('TUSD BE'!$AM$59+'TUSD BF'!$AM$59+'TUSD CVA'!$AM$59)*1</f>
        <v>466.61942630573992</v>
      </c>
      <c r="AA1932" s="4">
        <f>('TE BE'!$AA$41+'TE BF'!$AA$41+'TE CVA'!$AA$41)*1</f>
        <v>283.86889449376815</v>
      </c>
      <c r="AB1932" s="4">
        <f>$K$1932*$V$1932</f>
        <v>0</v>
      </c>
      <c r="AC1932" s="4">
        <f>$M$1932*$W$1932</f>
        <v>-9989.1861599999993</v>
      </c>
      <c r="AD1932" s="4">
        <f>$O$1932*$X$1932</f>
        <v>-5821.3435599999993</v>
      </c>
      <c r="AE1932" s="4">
        <f>$K$1932*$Y$1932</f>
        <v>0</v>
      </c>
      <c r="AF1932" s="4">
        <f ca="1">$M$1932*$Z$1932</f>
        <v>-11783.073753072544</v>
      </c>
      <c r="AG1932" s="4">
        <f>$O$1932*$AA$1932</f>
        <v>-7168.257323756633</v>
      </c>
    </row>
    <row r="1933" spans="1:33" ht="11.25" customHeight="1" x14ac:dyDescent="0.25">
      <c r="A1933" s="3" t="s">
        <v>28</v>
      </c>
      <c r="B1933" s="3" t="s">
        <v>39</v>
      </c>
      <c r="C1933" s="3" t="s">
        <v>23</v>
      </c>
      <c r="D1933" s="3" t="s">
        <v>46</v>
      </c>
      <c r="E1933" s="3" t="s">
        <v>25</v>
      </c>
      <c r="F1933" s="3" t="s">
        <v>25</v>
      </c>
      <c r="G1933" s="3" t="s">
        <v>25</v>
      </c>
      <c r="H1933" s="3" t="s">
        <v>25</v>
      </c>
      <c r="I1933" s="6">
        <v>44440</v>
      </c>
      <c r="J1933" s="4">
        <v>0</v>
      </c>
      <c r="K1933" s="4">
        <v>0</v>
      </c>
      <c r="L1933" s="4">
        <v>2.831</v>
      </c>
      <c r="M1933" s="4">
        <v>2.831</v>
      </c>
      <c r="N1933" s="4">
        <v>2.831</v>
      </c>
      <c r="O1933" s="4">
        <v>2.831</v>
      </c>
      <c r="P1933" s="4">
        <v>13</v>
      </c>
      <c r="Q1933" s="3" t="s">
        <v>26</v>
      </c>
      <c r="R1933" s="3">
        <v>0</v>
      </c>
      <c r="S1933" s="4">
        <v>0</v>
      </c>
      <c r="T1933" s="4">
        <v>45</v>
      </c>
      <c r="U1933" s="4">
        <v>85</v>
      </c>
      <c r="V1933" s="4">
        <f>IF(ISERROR(VLOOKUP($S$1933,'TAR FIN'!$A$1:$O$99,15,0)),0,VLOOKUP($S$1933,'TAR FIN'!$A$1:$O$99,15,0))</f>
        <v>0</v>
      </c>
      <c r="W1933" s="4">
        <f>IF(ISERROR(VLOOKUP($T$1933,'TAR FIN'!$A$1:$O$99,15,0)),0,VLOOKUP($T$1933,'TAR FIN'!$A$1:$O$99,15,0))</f>
        <v>395.58</v>
      </c>
      <c r="X1933" s="4">
        <f>IF(ISERROR(VLOOKUP($U$1933,'TAR FIN'!$A$1:$O$99,15,0)),0,VLOOKUP($U$1933,'TAR FIN'!$A$1:$O$99,15,0))</f>
        <v>230.53</v>
      </c>
      <c r="Y1933" s="4"/>
      <c r="Z1933" s="4">
        <f ca="1">('TUSD BE'!$AM$59+'TUSD BF'!$AM$59+'TUSD CVA'!$AM$59)*1</f>
        <v>466.61942630573992</v>
      </c>
      <c r="AA1933" s="4">
        <f>('TE BE'!$AA$41+'TE BF'!$AA$41+'TE CVA'!$AA$41)*1</f>
        <v>283.86889449376815</v>
      </c>
      <c r="AB1933" s="4">
        <f>$K$1933*$V$1933</f>
        <v>0</v>
      </c>
      <c r="AC1933" s="4">
        <f>$M$1933*$W$1933</f>
        <v>1119.88698</v>
      </c>
      <c r="AD1933" s="4">
        <f>$O$1933*$X$1933</f>
        <v>652.63043000000005</v>
      </c>
      <c r="AE1933" s="4">
        <f>$K$1933*$Y$1933</f>
        <v>0</v>
      </c>
      <c r="AF1933" s="4">
        <f ca="1">$M$1933*$Z$1933</f>
        <v>1320.9995958715497</v>
      </c>
      <c r="AG1933" s="4">
        <f>$O$1933*$AA$1933</f>
        <v>803.63284031185765</v>
      </c>
    </row>
    <row r="1934" spans="1:33" ht="11.25" customHeight="1" x14ac:dyDescent="0.25">
      <c r="A1934" s="3" t="s">
        <v>21</v>
      </c>
      <c r="B1934" s="3" t="s">
        <v>39</v>
      </c>
      <c r="C1934" s="3" t="s">
        <v>23</v>
      </c>
      <c r="D1934" s="3" t="s">
        <v>46</v>
      </c>
      <c r="E1934" s="3" t="s">
        <v>25</v>
      </c>
      <c r="F1934" s="3" t="s">
        <v>25</v>
      </c>
      <c r="G1934" s="3" t="s">
        <v>25</v>
      </c>
      <c r="H1934" s="3" t="s">
        <v>25</v>
      </c>
      <c r="I1934" s="6">
        <v>44470</v>
      </c>
      <c r="J1934" s="4">
        <v>0</v>
      </c>
      <c r="K1934" s="4">
        <v>0</v>
      </c>
      <c r="L1934" s="4">
        <v>7232.415</v>
      </c>
      <c r="M1934" s="4">
        <v>7232.415</v>
      </c>
      <c r="N1934" s="4">
        <v>7232.415</v>
      </c>
      <c r="O1934" s="4">
        <v>7232.415</v>
      </c>
      <c r="P1934" s="4">
        <v>8665</v>
      </c>
      <c r="Q1934" s="3" t="s">
        <v>26</v>
      </c>
      <c r="R1934" s="3">
        <v>0</v>
      </c>
      <c r="S1934" s="4">
        <v>0</v>
      </c>
      <c r="T1934" s="4">
        <v>45</v>
      </c>
      <c r="U1934" s="4">
        <v>85</v>
      </c>
      <c r="V1934" s="4">
        <f>IF(ISERROR(VLOOKUP($S$1934,'TAR FIN'!$A$1:$O$99,15,0)),0,VLOOKUP($S$1934,'TAR FIN'!$A$1:$O$99,15,0))</f>
        <v>0</v>
      </c>
      <c r="W1934" s="4">
        <f>IF(ISERROR(VLOOKUP($T$1934,'TAR FIN'!$A$1:$O$99,15,0)),0,VLOOKUP($T$1934,'TAR FIN'!$A$1:$O$99,15,0))</f>
        <v>395.58</v>
      </c>
      <c r="X1934" s="4">
        <f>IF(ISERROR(VLOOKUP($U$1934,'TAR FIN'!$A$1:$O$99,15,0)),0,VLOOKUP($U$1934,'TAR FIN'!$A$1:$O$99,15,0))</f>
        <v>230.53</v>
      </c>
      <c r="Y1934" s="4"/>
      <c r="Z1934" s="4">
        <f ca="1">('TUSD BE'!$AM$59+'TUSD BF'!$AM$59+'TUSD CVA'!$AM$59)*1</f>
        <v>466.61942630573992</v>
      </c>
      <c r="AA1934" s="4">
        <f>('TE BE'!$AA$41+'TE BF'!$AA$41+'TE CVA'!$AA$41)*1</f>
        <v>283.86889449376815</v>
      </c>
      <c r="AB1934" s="4">
        <f>$K$1934*$V$1934</f>
        <v>0</v>
      </c>
      <c r="AC1934" s="4">
        <f>$M$1934*$W$1934</f>
        <v>2860998.7256999998</v>
      </c>
      <c r="AD1934" s="4">
        <f>$O$1934*$X$1934</f>
        <v>1667288.62995</v>
      </c>
      <c r="AE1934" s="4">
        <f>$K$1934*$Y$1934</f>
        <v>0</v>
      </c>
      <c r="AF1934" s="4">
        <f ca="1">$M$1934*$Z$1934</f>
        <v>3374785.338105028</v>
      </c>
      <c r="AG1934" s="4">
        <f>$O$1934*$AA$1934</f>
        <v>2053057.6505701463</v>
      </c>
    </row>
    <row r="1935" spans="1:33" ht="11.25" customHeight="1" x14ac:dyDescent="0.25">
      <c r="A1935" s="3" t="s">
        <v>27</v>
      </c>
      <c r="B1935" s="3" t="s">
        <v>39</v>
      </c>
      <c r="C1935" s="3" t="s">
        <v>23</v>
      </c>
      <c r="D1935" s="3" t="s">
        <v>46</v>
      </c>
      <c r="E1935" s="3" t="s">
        <v>25</v>
      </c>
      <c r="F1935" s="3" t="s">
        <v>25</v>
      </c>
      <c r="G1935" s="3" t="s">
        <v>25</v>
      </c>
      <c r="H1935" s="3" t="s">
        <v>25</v>
      </c>
      <c r="I1935" s="6">
        <v>44470</v>
      </c>
      <c r="J1935" s="4">
        <v>0</v>
      </c>
      <c r="K1935" s="4">
        <v>0</v>
      </c>
      <c r="L1935" s="4">
        <v>2.569</v>
      </c>
      <c r="M1935" s="4">
        <v>2.569</v>
      </c>
      <c r="N1935" s="4">
        <v>2.569</v>
      </c>
      <c r="O1935" s="4">
        <v>2.569</v>
      </c>
      <c r="P1935" s="4">
        <v>1</v>
      </c>
      <c r="Q1935" s="3" t="s">
        <v>26</v>
      </c>
      <c r="R1935" s="3">
        <v>0</v>
      </c>
      <c r="S1935" s="4">
        <v>0</v>
      </c>
      <c r="T1935" s="4">
        <v>45</v>
      </c>
      <c r="U1935" s="4">
        <v>85</v>
      </c>
      <c r="V1935" s="4">
        <f>IF(ISERROR(VLOOKUP($S$1935,'TAR FIN'!$A$1:$O$99,15,0)),0,VLOOKUP($S$1935,'TAR FIN'!$A$1:$O$99,15,0))</f>
        <v>0</v>
      </c>
      <c r="W1935" s="4">
        <f>IF(ISERROR(VLOOKUP($T$1935,'TAR FIN'!$A$1:$O$99,15,0)),0,VLOOKUP($T$1935,'TAR FIN'!$A$1:$O$99,15,0))</f>
        <v>395.58</v>
      </c>
      <c r="X1935" s="4">
        <f>IF(ISERROR(VLOOKUP($U$1935,'TAR FIN'!$A$1:$O$99,15,0)),0,VLOOKUP($U$1935,'TAR FIN'!$A$1:$O$99,15,0))</f>
        <v>230.53</v>
      </c>
      <c r="Y1935" s="4"/>
      <c r="Z1935" s="4">
        <f ca="1">('TUSD BE'!$AM$59+'TUSD BF'!$AM$59+'TUSD CVA'!$AM$59)*1</f>
        <v>466.61942630573992</v>
      </c>
      <c r="AA1935" s="4">
        <f>('TE BE'!$AA$41+'TE BF'!$AA$41+'TE CVA'!$AA$41)*1</f>
        <v>283.86889449376815</v>
      </c>
      <c r="AB1935" s="4">
        <f>$K$1935*$V$1935</f>
        <v>0</v>
      </c>
      <c r="AC1935" s="4">
        <f>$M$1935*$W$1935</f>
        <v>1016.24502</v>
      </c>
      <c r="AD1935" s="4">
        <f>$O$1935*$X$1935</f>
        <v>592.23157000000003</v>
      </c>
      <c r="AE1935" s="4">
        <f>$K$1935*$Y$1935</f>
        <v>0</v>
      </c>
      <c r="AF1935" s="4">
        <f ca="1">$M$1935*$Z$1935</f>
        <v>1198.7453061794458</v>
      </c>
      <c r="AG1935" s="4">
        <f>$O$1935*$AA$1935</f>
        <v>729.25918995449035</v>
      </c>
    </row>
    <row r="1936" spans="1:33" ht="11.25" customHeight="1" x14ac:dyDescent="0.25">
      <c r="A1936" s="3" t="s">
        <v>28</v>
      </c>
      <c r="B1936" s="3" t="s">
        <v>39</v>
      </c>
      <c r="C1936" s="3" t="s">
        <v>23</v>
      </c>
      <c r="D1936" s="3" t="s">
        <v>46</v>
      </c>
      <c r="E1936" s="3" t="s">
        <v>25</v>
      </c>
      <c r="F1936" s="3" t="s">
        <v>25</v>
      </c>
      <c r="G1936" s="3" t="s">
        <v>25</v>
      </c>
      <c r="H1936" s="3" t="s">
        <v>25</v>
      </c>
      <c r="I1936" s="6">
        <v>44470</v>
      </c>
      <c r="J1936" s="4">
        <v>0</v>
      </c>
      <c r="K1936" s="4">
        <v>0</v>
      </c>
      <c r="L1936" s="4">
        <v>3.49</v>
      </c>
      <c r="M1936" s="4">
        <v>3.49</v>
      </c>
      <c r="N1936" s="4">
        <v>3.49</v>
      </c>
      <c r="O1936" s="4">
        <v>3.49</v>
      </c>
      <c r="P1936" s="4">
        <v>14</v>
      </c>
      <c r="Q1936" s="3" t="s">
        <v>26</v>
      </c>
      <c r="R1936" s="3">
        <v>0</v>
      </c>
      <c r="S1936" s="4">
        <v>0</v>
      </c>
      <c r="T1936" s="4">
        <v>45</v>
      </c>
      <c r="U1936" s="4">
        <v>85</v>
      </c>
      <c r="V1936" s="4">
        <f>IF(ISERROR(VLOOKUP($S$1936,'TAR FIN'!$A$1:$O$99,15,0)),0,VLOOKUP($S$1936,'TAR FIN'!$A$1:$O$99,15,0))</f>
        <v>0</v>
      </c>
      <c r="W1936" s="4">
        <f>IF(ISERROR(VLOOKUP($T$1936,'TAR FIN'!$A$1:$O$99,15,0)),0,VLOOKUP($T$1936,'TAR FIN'!$A$1:$O$99,15,0))</f>
        <v>395.58</v>
      </c>
      <c r="X1936" s="4">
        <f>IF(ISERROR(VLOOKUP($U$1936,'TAR FIN'!$A$1:$O$99,15,0)),0,VLOOKUP($U$1936,'TAR FIN'!$A$1:$O$99,15,0))</f>
        <v>230.53</v>
      </c>
      <c r="Y1936" s="4"/>
      <c r="Z1936" s="4">
        <f ca="1">('TUSD BE'!$AM$59+'TUSD BF'!$AM$59+'TUSD CVA'!$AM$59)*1</f>
        <v>466.61942630573992</v>
      </c>
      <c r="AA1936" s="4">
        <f>('TE BE'!$AA$41+'TE BF'!$AA$41+'TE CVA'!$AA$41)*1</f>
        <v>283.86889449376815</v>
      </c>
      <c r="AB1936" s="4">
        <f>$K$1936*$V$1936</f>
        <v>0</v>
      </c>
      <c r="AC1936" s="4">
        <f>$M$1936*$W$1936</f>
        <v>1380.5742</v>
      </c>
      <c r="AD1936" s="4">
        <f>$O$1936*$X$1936</f>
        <v>804.54970000000003</v>
      </c>
      <c r="AE1936" s="4">
        <f>$K$1936*$Y$1936</f>
        <v>0</v>
      </c>
      <c r="AF1936" s="4">
        <f ca="1">$M$1936*$Z$1936</f>
        <v>1628.5017978070325</v>
      </c>
      <c r="AG1936" s="4">
        <f>$O$1936*$AA$1936</f>
        <v>990.70244178325095</v>
      </c>
    </row>
    <row r="1937" spans="1:33" ht="11.25" customHeight="1" x14ac:dyDescent="0.25">
      <c r="A1937" s="3" t="s">
        <v>21</v>
      </c>
      <c r="B1937" s="3" t="s">
        <v>39</v>
      </c>
      <c r="C1937" s="3" t="s">
        <v>23</v>
      </c>
      <c r="D1937" s="3" t="s">
        <v>46</v>
      </c>
      <c r="E1937" s="3" t="s">
        <v>25</v>
      </c>
      <c r="F1937" s="3" t="s">
        <v>25</v>
      </c>
      <c r="G1937" s="3" t="s">
        <v>25</v>
      </c>
      <c r="H1937" s="3" t="s">
        <v>25</v>
      </c>
      <c r="I1937" s="6">
        <v>44501</v>
      </c>
      <c r="J1937" s="4">
        <v>0</v>
      </c>
      <c r="K1937" s="4">
        <v>0</v>
      </c>
      <c r="L1937" s="4">
        <v>8660.2759999999998</v>
      </c>
      <c r="M1937" s="4">
        <v>8660.2759999999998</v>
      </c>
      <c r="N1937" s="4">
        <v>8660.2759999999998</v>
      </c>
      <c r="O1937" s="4">
        <v>8660.2759999999998</v>
      </c>
      <c r="P1937" s="4">
        <v>8757</v>
      </c>
      <c r="Q1937" s="3" t="s">
        <v>26</v>
      </c>
      <c r="R1937" s="3">
        <v>0</v>
      </c>
      <c r="S1937" s="4">
        <v>0</v>
      </c>
      <c r="T1937" s="4">
        <v>45</v>
      </c>
      <c r="U1937" s="4">
        <v>85</v>
      </c>
      <c r="V1937" s="4">
        <f>IF(ISERROR(VLOOKUP($S$1937,'TAR FIN'!$A$1:$O$99,15,0)),0,VLOOKUP($S$1937,'TAR FIN'!$A$1:$O$99,15,0))</f>
        <v>0</v>
      </c>
      <c r="W1937" s="4">
        <f>IF(ISERROR(VLOOKUP($T$1937,'TAR FIN'!$A$1:$O$99,15,0)),0,VLOOKUP($T$1937,'TAR FIN'!$A$1:$O$99,15,0))</f>
        <v>395.58</v>
      </c>
      <c r="X1937" s="4">
        <f>IF(ISERROR(VLOOKUP($U$1937,'TAR FIN'!$A$1:$O$99,15,0)),0,VLOOKUP($U$1937,'TAR FIN'!$A$1:$O$99,15,0))</f>
        <v>230.53</v>
      </c>
      <c r="Y1937" s="4"/>
      <c r="Z1937" s="4">
        <f ca="1">('TUSD BE'!$AM$59+'TUSD BF'!$AM$59+'TUSD CVA'!$AM$59)*1</f>
        <v>466.61942630573992</v>
      </c>
      <c r="AA1937" s="4">
        <f>('TE BE'!$AA$41+'TE BF'!$AA$41+'TE CVA'!$AA$41)*1</f>
        <v>283.86889449376815</v>
      </c>
      <c r="AB1937" s="4">
        <f>$K$1937*$V$1937</f>
        <v>0</v>
      </c>
      <c r="AC1937" s="4">
        <f>$M$1937*$W$1937</f>
        <v>3425831.9800799997</v>
      </c>
      <c r="AD1937" s="4">
        <f>$O$1937*$X$1937</f>
        <v>1996453.42628</v>
      </c>
      <c r="AE1937" s="4">
        <f>$K$1937*$Y$1937</f>
        <v>0</v>
      </c>
      <c r="AF1937" s="4">
        <f ca="1">$M$1937*$Z$1937</f>
        <v>4041053.0187693681</v>
      </c>
      <c r="AG1937" s="4">
        <f>$O$1937*$AA$1937</f>
        <v>2458382.9741309122</v>
      </c>
    </row>
    <row r="1938" spans="1:33" ht="11.25" customHeight="1" x14ac:dyDescent="0.25">
      <c r="A1938" s="3" t="s">
        <v>27</v>
      </c>
      <c r="B1938" s="3" t="s">
        <v>39</v>
      </c>
      <c r="C1938" s="3" t="s">
        <v>23</v>
      </c>
      <c r="D1938" s="3" t="s">
        <v>46</v>
      </c>
      <c r="E1938" s="3" t="s">
        <v>25</v>
      </c>
      <c r="F1938" s="3" t="s">
        <v>25</v>
      </c>
      <c r="G1938" s="3" t="s">
        <v>25</v>
      </c>
      <c r="H1938" s="3" t="s">
        <v>25</v>
      </c>
      <c r="I1938" s="6">
        <v>44501</v>
      </c>
      <c r="J1938" s="4">
        <v>0</v>
      </c>
      <c r="K1938" s="4">
        <v>0</v>
      </c>
      <c r="L1938" s="4">
        <v>-0.30599999999999999</v>
      </c>
      <c r="M1938" s="4">
        <v>-0.30599999999999999</v>
      </c>
      <c r="N1938" s="4">
        <v>-0.30599999999999999</v>
      </c>
      <c r="O1938" s="4">
        <v>-0.30599999999999999</v>
      </c>
      <c r="P1938" s="4">
        <v>2</v>
      </c>
      <c r="Q1938" s="3" t="s">
        <v>26</v>
      </c>
      <c r="R1938" s="3">
        <v>0</v>
      </c>
      <c r="S1938" s="4">
        <v>0</v>
      </c>
      <c r="T1938" s="4">
        <v>45</v>
      </c>
      <c r="U1938" s="4">
        <v>85</v>
      </c>
      <c r="V1938" s="4">
        <f>IF(ISERROR(VLOOKUP($S$1938,'TAR FIN'!$A$1:$O$99,15,0)),0,VLOOKUP($S$1938,'TAR FIN'!$A$1:$O$99,15,0))</f>
        <v>0</v>
      </c>
      <c r="W1938" s="4">
        <f>IF(ISERROR(VLOOKUP($T$1938,'TAR FIN'!$A$1:$O$99,15,0)),0,VLOOKUP($T$1938,'TAR FIN'!$A$1:$O$99,15,0))</f>
        <v>395.58</v>
      </c>
      <c r="X1938" s="4">
        <f>IF(ISERROR(VLOOKUP($U$1938,'TAR FIN'!$A$1:$O$99,15,0)),0,VLOOKUP($U$1938,'TAR FIN'!$A$1:$O$99,15,0))</f>
        <v>230.53</v>
      </c>
      <c r="Y1938" s="4"/>
      <c r="Z1938" s="4">
        <f ca="1">('TUSD BE'!$AM$59+'TUSD BF'!$AM$59+'TUSD CVA'!$AM$59)*1</f>
        <v>466.61942630573992</v>
      </c>
      <c r="AA1938" s="4">
        <f>('TE BE'!$AA$41+'TE BF'!$AA$41+'TE CVA'!$AA$41)*1</f>
        <v>283.86889449376815</v>
      </c>
      <c r="AB1938" s="4">
        <f>$K$1938*$V$1938</f>
        <v>0</v>
      </c>
      <c r="AC1938" s="4">
        <f>$M$1938*$W$1938</f>
        <v>-121.04747999999999</v>
      </c>
      <c r="AD1938" s="4">
        <f>$O$1938*$X$1938</f>
        <v>-70.542180000000002</v>
      </c>
      <c r="AE1938" s="4">
        <f>$K$1938*$Y$1938</f>
        <v>0</v>
      </c>
      <c r="AF1938" s="4">
        <f ca="1">$M$1938*$Z$1938</f>
        <v>-142.78554444955643</v>
      </c>
      <c r="AG1938" s="4">
        <f>$O$1938*$AA$1938</f>
        <v>-86.863881715093058</v>
      </c>
    </row>
    <row r="1939" spans="1:33" ht="11.25" customHeight="1" x14ac:dyDescent="0.25">
      <c r="A1939" s="3" t="s">
        <v>28</v>
      </c>
      <c r="B1939" s="3" t="s">
        <v>39</v>
      </c>
      <c r="C1939" s="3" t="s">
        <v>23</v>
      </c>
      <c r="D1939" s="3" t="s">
        <v>46</v>
      </c>
      <c r="E1939" s="3" t="s">
        <v>25</v>
      </c>
      <c r="F1939" s="3" t="s">
        <v>25</v>
      </c>
      <c r="G1939" s="3" t="s">
        <v>25</v>
      </c>
      <c r="H1939" s="3" t="s">
        <v>25</v>
      </c>
      <c r="I1939" s="6">
        <v>44501</v>
      </c>
      <c r="J1939" s="4">
        <v>0</v>
      </c>
      <c r="K1939" s="4">
        <v>0</v>
      </c>
      <c r="L1939" s="4">
        <v>3.4609999999999999</v>
      </c>
      <c r="M1939" s="4">
        <v>3.4609999999999999</v>
      </c>
      <c r="N1939" s="4">
        <v>3.4609999999999999</v>
      </c>
      <c r="O1939" s="4">
        <v>3.4609999999999999</v>
      </c>
      <c r="P1939" s="4">
        <v>14</v>
      </c>
      <c r="Q1939" s="3" t="s">
        <v>26</v>
      </c>
      <c r="R1939" s="3">
        <v>0</v>
      </c>
      <c r="S1939" s="4">
        <v>0</v>
      </c>
      <c r="T1939" s="4">
        <v>45</v>
      </c>
      <c r="U1939" s="4">
        <v>85</v>
      </c>
      <c r="V1939" s="4">
        <f>IF(ISERROR(VLOOKUP($S$1939,'TAR FIN'!$A$1:$O$99,15,0)),0,VLOOKUP($S$1939,'TAR FIN'!$A$1:$O$99,15,0))</f>
        <v>0</v>
      </c>
      <c r="W1939" s="4">
        <f>IF(ISERROR(VLOOKUP($T$1939,'TAR FIN'!$A$1:$O$99,15,0)),0,VLOOKUP($T$1939,'TAR FIN'!$A$1:$O$99,15,0))</f>
        <v>395.58</v>
      </c>
      <c r="X1939" s="4">
        <f>IF(ISERROR(VLOOKUP($U$1939,'TAR FIN'!$A$1:$O$99,15,0)),0,VLOOKUP($U$1939,'TAR FIN'!$A$1:$O$99,15,0))</f>
        <v>230.53</v>
      </c>
      <c r="Y1939" s="4"/>
      <c r="Z1939" s="4">
        <f ca="1">('TUSD BE'!$AM$59+'TUSD BF'!$AM$59+'TUSD CVA'!$AM$59)*1</f>
        <v>466.61942630573992</v>
      </c>
      <c r="AA1939" s="4">
        <f>('TE BE'!$AA$41+'TE BF'!$AA$41+'TE CVA'!$AA$41)*1</f>
        <v>283.86889449376815</v>
      </c>
      <c r="AB1939" s="4">
        <f>$K$1939*$V$1939</f>
        <v>0</v>
      </c>
      <c r="AC1939" s="4">
        <f>$M$1939*$W$1939</f>
        <v>1369.1023799999998</v>
      </c>
      <c r="AD1939" s="4">
        <f>$O$1939*$X$1939</f>
        <v>797.86433</v>
      </c>
      <c r="AE1939" s="4">
        <f>$K$1939*$Y$1939</f>
        <v>0</v>
      </c>
      <c r="AF1939" s="4">
        <f ca="1">$M$1939*$Z$1939</f>
        <v>1614.9698344441658</v>
      </c>
      <c r="AG1939" s="4">
        <f>$O$1939*$AA$1939</f>
        <v>982.4702438429315</v>
      </c>
    </row>
    <row r="1940" spans="1:33" ht="11.25" customHeight="1" x14ac:dyDescent="0.25">
      <c r="A1940" s="3" t="s">
        <v>21</v>
      </c>
      <c r="B1940" s="3" t="s">
        <v>39</v>
      </c>
      <c r="C1940" s="3" t="s">
        <v>23</v>
      </c>
      <c r="D1940" s="3" t="s">
        <v>46</v>
      </c>
      <c r="E1940" s="3" t="s">
        <v>25</v>
      </c>
      <c r="F1940" s="3" t="s">
        <v>25</v>
      </c>
      <c r="G1940" s="3" t="s">
        <v>25</v>
      </c>
      <c r="H1940" s="3" t="s">
        <v>25</v>
      </c>
      <c r="I1940" s="6">
        <v>44531</v>
      </c>
      <c r="J1940" s="4">
        <v>0</v>
      </c>
      <c r="K1940" s="4">
        <v>0</v>
      </c>
      <c r="L1940" s="4">
        <v>8372.5529999999999</v>
      </c>
      <c r="M1940" s="4">
        <v>8372.5529999999999</v>
      </c>
      <c r="N1940" s="4">
        <v>8372.5529999999999</v>
      </c>
      <c r="O1940" s="4">
        <v>8372.5529999999999</v>
      </c>
      <c r="P1940" s="4">
        <v>8719</v>
      </c>
      <c r="Q1940" s="3" t="s">
        <v>26</v>
      </c>
      <c r="R1940" s="3">
        <v>0</v>
      </c>
      <c r="S1940" s="4">
        <v>0</v>
      </c>
      <c r="T1940" s="4">
        <v>45</v>
      </c>
      <c r="U1940" s="4">
        <v>85</v>
      </c>
      <c r="V1940" s="4">
        <f>IF(ISERROR(VLOOKUP($S$1940,'TAR FIN'!$A$1:$O$99,15,0)),0,VLOOKUP($S$1940,'TAR FIN'!$A$1:$O$99,15,0))</f>
        <v>0</v>
      </c>
      <c r="W1940" s="4">
        <f>IF(ISERROR(VLOOKUP($T$1940,'TAR FIN'!$A$1:$O$99,15,0)),0,VLOOKUP($T$1940,'TAR FIN'!$A$1:$O$99,15,0))</f>
        <v>395.58</v>
      </c>
      <c r="X1940" s="4">
        <f>IF(ISERROR(VLOOKUP($U$1940,'TAR FIN'!$A$1:$O$99,15,0)),0,VLOOKUP($U$1940,'TAR FIN'!$A$1:$O$99,15,0))</f>
        <v>230.53</v>
      </c>
      <c r="Y1940" s="4"/>
      <c r="Z1940" s="4">
        <f ca="1">('TUSD BE'!$AM$59+'TUSD BF'!$AM$59+'TUSD CVA'!$AM$59)*1</f>
        <v>466.61942630573992</v>
      </c>
      <c r="AA1940" s="4">
        <f>('TE BE'!$AA$41+'TE BF'!$AA$41+'TE CVA'!$AA$41)*1</f>
        <v>283.86889449376815</v>
      </c>
      <c r="AB1940" s="4">
        <f>$K$1940*$V$1940</f>
        <v>0</v>
      </c>
      <c r="AC1940" s="4">
        <f>$M$1940*$W$1940</f>
        <v>3312014.5157399997</v>
      </c>
      <c r="AD1940" s="4">
        <f>$O$1940*$X$1940</f>
        <v>1930124.6430899999</v>
      </c>
      <c r="AE1940" s="4">
        <f>$K$1940*$Y$1940</f>
        <v>0</v>
      </c>
      <c r="AF1940" s="4">
        <f ca="1">$M$1940*$Z$1940</f>
        <v>3906795.8775744014</v>
      </c>
      <c r="AG1940" s="4">
        <f>$O$1940*$AA$1940</f>
        <v>2376707.3642004821</v>
      </c>
    </row>
    <row r="1941" spans="1:33" ht="11.25" customHeight="1" x14ac:dyDescent="0.25">
      <c r="A1941" s="3" t="s">
        <v>27</v>
      </c>
      <c r="B1941" s="3" t="s">
        <v>39</v>
      </c>
      <c r="C1941" s="3" t="s">
        <v>23</v>
      </c>
      <c r="D1941" s="3" t="s">
        <v>46</v>
      </c>
      <c r="E1941" s="3" t="s">
        <v>25</v>
      </c>
      <c r="F1941" s="3" t="s">
        <v>25</v>
      </c>
      <c r="G1941" s="3" t="s">
        <v>25</v>
      </c>
      <c r="H1941" s="3" t="s">
        <v>25</v>
      </c>
      <c r="I1941" s="6">
        <v>44531</v>
      </c>
      <c r="J1941" s="4">
        <v>0</v>
      </c>
      <c r="K1941" s="4">
        <v>0</v>
      </c>
      <c r="L1941" s="4">
        <v>20.786000000000001</v>
      </c>
      <c r="M1941" s="4">
        <v>20.786000000000001</v>
      </c>
      <c r="N1941" s="4">
        <v>20.786000000000001</v>
      </c>
      <c r="O1941" s="4">
        <v>20.786000000000001</v>
      </c>
      <c r="P1941" s="4">
        <v>5</v>
      </c>
      <c r="Q1941" s="3" t="s">
        <v>26</v>
      </c>
      <c r="R1941" s="3">
        <v>0</v>
      </c>
      <c r="S1941" s="4">
        <v>0</v>
      </c>
      <c r="T1941" s="4">
        <v>45</v>
      </c>
      <c r="U1941" s="4">
        <v>85</v>
      </c>
      <c r="V1941" s="4">
        <f>IF(ISERROR(VLOOKUP($S$1941,'TAR FIN'!$A$1:$O$99,15,0)),0,VLOOKUP($S$1941,'TAR FIN'!$A$1:$O$99,15,0))</f>
        <v>0</v>
      </c>
      <c r="W1941" s="4">
        <f>IF(ISERROR(VLOOKUP($T$1941,'TAR FIN'!$A$1:$O$99,15,0)),0,VLOOKUP($T$1941,'TAR FIN'!$A$1:$O$99,15,0))</f>
        <v>395.58</v>
      </c>
      <c r="X1941" s="4">
        <f>IF(ISERROR(VLOOKUP($U$1941,'TAR FIN'!$A$1:$O$99,15,0)),0,VLOOKUP($U$1941,'TAR FIN'!$A$1:$O$99,15,0))</f>
        <v>230.53</v>
      </c>
      <c r="Y1941" s="4"/>
      <c r="Z1941" s="4">
        <f ca="1">('TUSD BE'!$AM$59+'TUSD BF'!$AM$59+'TUSD CVA'!$AM$59)*1</f>
        <v>466.61942630573992</v>
      </c>
      <c r="AA1941" s="4">
        <f>('TE BE'!$AA$41+'TE BF'!$AA$41+'TE CVA'!$AA$41)*1</f>
        <v>283.86889449376815</v>
      </c>
      <c r="AB1941" s="4">
        <f>$K$1941*$V$1941</f>
        <v>0</v>
      </c>
      <c r="AC1941" s="4">
        <f>$M$1941*$W$1941</f>
        <v>8222.5258800000011</v>
      </c>
      <c r="AD1941" s="4">
        <f>$O$1941*$X$1941</f>
        <v>4791.7965800000002</v>
      </c>
      <c r="AE1941" s="4">
        <f>$K$1941*$Y$1941</f>
        <v>0</v>
      </c>
      <c r="AF1941" s="4">
        <f ca="1">$M$1941*$Z$1941</f>
        <v>9699.1513951911111</v>
      </c>
      <c r="AG1941" s="4">
        <f>$O$1941*$AA$1941</f>
        <v>5900.4988409474654</v>
      </c>
    </row>
    <row r="1942" spans="1:33" ht="11.25" customHeight="1" x14ac:dyDescent="0.25">
      <c r="A1942" s="3" t="s">
        <v>28</v>
      </c>
      <c r="B1942" s="3" t="s">
        <v>39</v>
      </c>
      <c r="C1942" s="3" t="s">
        <v>23</v>
      </c>
      <c r="D1942" s="3" t="s">
        <v>46</v>
      </c>
      <c r="E1942" s="3" t="s">
        <v>25</v>
      </c>
      <c r="F1942" s="3" t="s">
        <v>25</v>
      </c>
      <c r="G1942" s="3" t="s">
        <v>25</v>
      </c>
      <c r="H1942" s="3" t="s">
        <v>25</v>
      </c>
      <c r="I1942" s="6">
        <v>44531</v>
      </c>
      <c r="J1942" s="4">
        <v>0</v>
      </c>
      <c r="K1942" s="4">
        <v>0</v>
      </c>
      <c r="L1942" s="4">
        <v>14.475</v>
      </c>
      <c r="M1942" s="4">
        <v>14.475</v>
      </c>
      <c r="N1942" s="4">
        <v>14.475</v>
      </c>
      <c r="O1942" s="4">
        <v>14.475</v>
      </c>
      <c r="P1942" s="4">
        <v>14</v>
      </c>
      <c r="Q1942" s="3" t="s">
        <v>26</v>
      </c>
      <c r="R1942" s="3">
        <v>0</v>
      </c>
      <c r="S1942" s="4">
        <v>0</v>
      </c>
      <c r="T1942" s="4">
        <v>45</v>
      </c>
      <c r="U1942" s="4">
        <v>85</v>
      </c>
      <c r="V1942" s="4">
        <f>IF(ISERROR(VLOOKUP($S$1942,'TAR FIN'!$A$1:$O$99,15,0)),0,VLOOKUP($S$1942,'TAR FIN'!$A$1:$O$99,15,0))</f>
        <v>0</v>
      </c>
      <c r="W1942" s="4">
        <f>IF(ISERROR(VLOOKUP($T$1942,'TAR FIN'!$A$1:$O$99,15,0)),0,VLOOKUP($T$1942,'TAR FIN'!$A$1:$O$99,15,0))</f>
        <v>395.58</v>
      </c>
      <c r="X1942" s="4">
        <f>IF(ISERROR(VLOOKUP($U$1942,'TAR FIN'!$A$1:$O$99,15,0)),0,VLOOKUP($U$1942,'TAR FIN'!$A$1:$O$99,15,0))</f>
        <v>230.53</v>
      </c>
      <c r="Y1942" s="4"/>
      <c r="Z1942" s="4">
        <f ca="1">('TUSD BE'!$AM$59+'TUSD BF'!$AM$59+'TUSD CVA'!$AM$59)*1</f>
        <v>466.61942630573992</v>
      </c>
      <c r="AA1942" s="4">
        <f>('TE BE'!$AA$41+'TE BF'!$AA$41+'TE CVA'!$AA$41)*1</f>
        <v>283.86889449376815</v>
      </c>
      <c r="AB1942" s="4">
        <f>$K$1942*$V$1942</f>
        <v>0</v>
      </c>
      <c r="AC1942" s="4">
        <f>$M$1942*$W$1942</f>
        <v>5726.0204999999996</v>
      </c>
      <c r="AD1942" s="4">
        <f>$O$1942*$X$1942</f>
        <v>3336.92175</v>
      </c>
      <c r="AE1942" s="4">
        <f>$K$1942*$Y$1942</f>
        <v>0</v>
      </c>
      <c r="AF1942" s="4">
        <f ca="1">$M$1942*$Z$1942</f>
        <v>6754.3161957755856</v>
      </c>
      <c r="AG1942" s="4">
        <f>$O$1942*$AA$1942</f>
        <v>4109.0022477972943</v>
      </c>
    </row>
    <row r="1943" spans="1:33" ht="11.25" customHeight="1" x14ac:dyDescent="0.25">
      <c r="A1943" s="3" t="s">
        <v>21</v>
      </c>
      <c r="B1943" s="3" t="s">
        <v>39</v>
      </c>
      <c r="C1943" s="3" t="s">
        <v>23</v>
      </c>
      <c r="D1943" s="3" t="s">
        <v>46</v>
      </c>
      <c r="E1943" s="3" t="s">
        <v>25</v>
      </c>
      <c r="F1943" s="3" t="s">
        <v>25</v>
      </c>
      <c r="G1943" s="3" t="s">
        <v>25</v>
      </c>
      <c r="H1943" s="3" t="s">
        <v>25</v>
      </c>
      <c r="I1943" s="6">
        <v>44562</v>
      </c>
      <c r="J1943" s="4">
        <v>0</v>
      </c>
      <c r="K1943" s="4">
        <v>0</v>
      </c>
      <c r="L1943" s="4">
        <v>6606.7129999999997</v>
      </c>
      <c r="M1943" s="4">
        <v>6606.7129999999997</v>
      </c>
      <c r="N1943" s="4">
        <v>6606.7129999999997</v>
      </c>
      <c r="O1943" s="4">
        <v>6606.7129999999997</v>
      </c>
      <c r="P1943" s="4">
        <v>8706</v>
      </c>
      <c r="Q1943" s="3" t="s">
        <v>26</v>
      </c>
      <c r="R1943" s="3">
        <v>0</v>
      </c>
      <c r="S1943" s="4">
        <v>0</v>
      </c>
      <c r="T1943" s="4">
        <v>45</v>
      </c>
      <c r="U1943" s="4">
        <v>85</v>
      </c>
      <c r="V1943" s="4">
        <f>IF(ISERROR(VLOOKUP($S$1943,'TAR FIN'!$A$1:$O$99,15,0)),0,VLOOKUP($S$1943,'TAR FIN'!$A$1:$O$99,15,0))</f>
        <v>0</v>
      </c>
      <c r="W1943" s="4">
        <f>IF(ISERROR(VLOOKUP($T$1943,'TAR FIN'!$A$1:$O$99,15,0)),0,VLOOKUP($T$1943,'TAR FIN'!$A$1:$O$99,15,0))</f>
        <v>395.58</v>
      </c>
      <c r="X1943" s="4">
        <f>IF(ISERROR(VLOOKUP($U$1943,'TAR FIN'!$A$1:$O$99,15,0)),0,VLOOKUP($U$1943,'TAR FIN'!$A$1:$O$99,15,0))</f>
        <v>230.53</v>
      </c>
      <c r="Y1943" s="4"/>
      <c r="Z1943" s="4">
        <f ca="1">('TUSD BE'!$AM$59+'TUSD BF'!$AM$59+'TUSD CVA'!$AM$59)*1</f>
        <v>466.61942630573992</v>
      </c>
      <c r="AA1943" s="4">
        <f>('TE BE'!$AA$41+'TE BF'!$AA$41+'TE CVA'!$AA$41)*1</f>
        <v>283.86889449376815</v>
      </c>
      <c r="AB1943" s="4">
        <f>$K$1943*$V$1943</f>
        <v>0</v>
      </c>
      <c r="AC1943" s="4">
        <f>$M$1943*$W$1943</f>
        <v>2613483.5285399999</v>
      </c>
      <c r="AD1943" s="4">
        <f>$O$1943*$X$1943</f>
        <v>1523045.54789</v>
      </c>
      <c r="AE1943" s="4">
        <f>$K$1943*$Y$1943</f>
        <v>0</v>
      </c>
      <c r="AF1943" s="4">
        <f ca="1">$M$1943*$Z$1943</f>
        <v>3082820.6298266738</v>
      </c>
      <c r="AG1943" s="4">
        <f>$O$1943*$AA$1943</f>
        <v>1875440.3155476064</v>
      </c>
    </row>
    <row r="1944" spans="1:33" ht="11.25" customHeight="1" x14ac:dyDescent="0.25">
      <c r="A1944" s="3" t="s">
        <v>27</v>
      </c>
      <c r="B1944" s="3" t="s">
        <v>39</v>
      </c>
      <c r="C1944" s="3" t="s">
        <v>23</v>
      </c>
      <c r="D1944" s="3" t="s">
        <v>46</v>
      </c>
      <c r="E1944" s="3" t="s">
        <v>25</v>
      </c>
      <c r="F1944" s="3" t="s">
        <v>25</v>
      </c>
      <c r="G1944" s="3" t="s">
        <v>25</v>
      </c>
      <c r="H1944" s="3" t="s">
        <v>25</v>
      </c>
      <c r="I1944" s="6">
        <v>44562</v>
      </c>
      <c r="J1944" s="4">
        <v>0</v>
      </c>
      <c r="K1944" s="4">
        <v>0</v>
      </c>
      <c r="L1944" s="4">
        <v>10.88</v>
      </c>
      <c r="M1944" s="4">
        <v>10.88</v>
      </c>
      <c r="N1944" s="4">
        <v>10.88</v>
      </c>
      <c r="O1944" s="4">
        <v>10.88</v>
      </c>
      <c r="P1944" s="4">
        <v>9</v>
      </c>
      <c r="Q1944" s="3" t="s">
        <v>26</v>
      </c>
      <c r="R1944" s="3">
        <v>0</v>
      </c>
      <c r="S1944" s="4">
        <v>0</v>
      </c>
      <c r="T1944" s="4">
        <v>45</v>
      </c>
      <c r="U1944" s="4">
        <v>85</v>
      </c>
      <c r="V1944" s="4">
        <f>IF(ISERROR(VLOOKUP($S$1944,'TAR FIN'!$A$1:$O$99,15,0)),0,VLOOKUP($S$1944,'TAR FIN'!$A$1:$O$99,15,0))</f>
        <v>0</v>
      </c>
      <c r="W1944" s="4">
        <f>IF(ISERROR(VLOOKUP($T$1944,'TAR FIN'!$A$1:$O$99,15,0)),0,VLOOKUP($T$1944,'TAR FIN'!$A$1:$O$99,15,0))</f>
        <v>395.58</v>
      </c>
      <c r="X1944" s="4">
        <f>IF(ISERROR(VLOOKUP($U$1944,'TAR FIN'!$A$1:$O$99,15,0)),0,VLOOKUP($U$1944,'TAR FIN'!$A$1:$O$99,15,0))</f>
        <v>230.53</v>
      </c>
      <c r="Y1944" s="4"/>
      <c r="Z1944" s="4">
        <f ca="1">('TUSD BE'!$AM$59+'TUSD BF'!$AM$59+'TUSD CVA'!$AM$59)*1</f>
        <v>466.61942630573992</v>
      </c>
      <c r="AA1944" s="4">
        <f>('TE BE'!$AA$41+'TE BF'!$AA$41+'TE CVA'!$AA$41)*1</f>
        <v>283.86889449376815</v>
      </c>
      <c r="AB1944" s="4">
        <f>$K$1944*$V$1944</f>
        <v>0</v>
      </c>
      <c r="AC1944" s="4">
        <f>$M$1944*$W$1944</f>
        <v>4303.9103999999998</v>
      </c>
      <c r="AD1944" s="4">
        <f>$O$1944*$X$1944</f>
        <v>2508.1664000000001</v>
      </c>
      <c r="AE1944" s="4">
        <f>$K$1944*$Y$1944</f>
        <v>0</v>
      </c>
      <c r="AF1944" s="4">
        <f ca="1">$M$1944*$Z$1944</f>
        <v>5076.8193582064505</v>
      </c>
      <c r="AG1944" s="4">
        <f>$O$1944*$AA$1944</f>
        <v>3088.4935720921976</v>
      </c>
    </row>
    <row r="1945" spans="1:33" ht="11.25" customHeight="1" x14ac:dyDescent="0.25">
      <c r="A1945" s="3" t="s">
        <v>28</v>
      </c>
      <c r="B1945" s="3" t="s">
        <v>39</v>
      </c>
      <c r="C1945" s="3" t="s">
        <v>23</v>
      </c>
      <c r="D1945" s="3" t="s">
        <v>46</v>
      </c>
      <c r="E1945" s="3" t="s">
        <v>25</v>
      </c>
      <c r="F1945" s="3" t="s">
        <v>25</v>
      </c>
      <c r="G1945" s="3" t="s">
        <v>25</v>
      </c>
      <c r="H1945" s="3" t="s">
        <v>25</v>
      </c>
      <c r="I1945" s="6">
        <v>44562</v>
      </c>
      <c r="J1945" s="4">
        <v>0</v>
      </c>
      <c r="K1945" s="4">
        <v>0</v>
      </c>
      <c r="L1945" s="4">
        <v>3.4460000000000002</v>
      </c>
      <c r="M1945" s="4">
        <v>3.4460000000000002</v>
      </c>
      <c r="N1945" s="4">
        <v>3.4460000000000002</v>
      </c>
      <c r="O1945" s="4">
        <v>3.4460000000000002</v>
      </c>
      <c r="P1945" s="4">
        <v>14</v>
      </c>
      <c r="Q1945" s="3" t="s">
        <v>26</v>
      </c>
      <c r="R1945" s="3">
        <v>0</v>
      </c>
      <c r="S1945" s="4">
        <v>0</v>
      </c>
      <c r="T1945" s="4">
        <v>45</v>
      </c>
      <c r="U1945" s="4">
        <v>85</v>
      </c>
      <c r="V1945" s="4">
        <f>IF(ISERROR(VLOOKUP($S$1945,'TAR FIN'!$A$1:$O$99,15,0)),0,VLOOKUP($S$1945,'TAR FIN'!$A$1:$O$99,15,0))</f>
        <v>0</v>
      </c>
      <c r="W1945" s="4">
        <f>IF(ISERROR(VLOOKUP($T$1945,'TAR FIN'!$A$1:$O$99,15,0)),0,VLOOKUP($T$1945,'TAR FIN'!$A$1:$O$99,15,0))</f>
        <v>395.58</v>
      </c>
      <c r="X1945" s="4">
        <f>IF(ISERROR(VLOOKUP($U$1945,'TAR FIN'!$A$1:$O$99,15,0)),0,VLOOKUP($U$1945,'TAR FIN'!$A$1:$O$99,15,0))</f>
        <v>230.53</v>
      </c>
      <c r="Y1945" s="4"/>
      <c r="Z1945" s="4">
        <f ca="1">('TUSD BE'!$AM$59+'TUSD BF'!$AM$59+'TUSD CVA'!$AM$59)*1</f>
        <v>466.61942630573992</v>
      </c>
      <c r="AA1945" s="4">
        <f>('TE BE'!$AA$41+'TE BF'!$AA$41+'TE CVA'!$AA$41)*1</f>
        <v>283.86889449376815</v>
      </c>
      <c r="AB1945" s="4">
        <f>$K$1945*$V$1945</f>
        <v>0</v>
      </c>
      <c r="AC1945" s="4">
        <f>$M$1945*$W$1945</f>
        <v>1363.16868</v>
      </c>
      <c r="AD1945" s="4">
        <f>$O$1945*$X$1945</f>
        <v>794.40638000000001</v>
      </c>
      <c r="AE1945" s="4">
        <f>$K$1945*$Y$1945</f>
        <v>0</v>
      </c>
      <c r="AF1945" s="4">
        <f ca="1">$M$1945*$Z$1945</f>
        <v>1607.9705430495799</v>
      </c>
      <c r="AG1945" s="4">
        <f>$O$1945*$AA$1945</f>
        <v>978.21221042552509</v>
      </c>
    </row>
    <row r="1946" spans="1:33" ht="11.25" customHeight="1" x14ac:dyDescent="0.25">
      <c r="A1946" s="3" t="s">
        <v>21</v>
      </c>
      <c r="B1946" s="3" t="s">
        <v>39</v>
      </c>
      <c r="C1946" s="3" t="s">
        <v>23</v>
      </c>
      <c r="D1946" s="3" t="s">
        <v>46</v>
      </c>
      <c r="E1946" s="3" t="s">
        <v>25</v>
      </c>
      <c r="F1946" s="3" t="s">
        <v>25</v>
      </c>
      <c r="G1946" s="3" t="s">
        <v>25</v>
      </c>
      <c r="H1946" s="3" t="s">
        <v>25</v>
      </c>
      <c r="I1946" s="6">
        <v>44593</v>
      </c>
      <c r="J1946" s="4">
        <v>0</v>
      </c>
      <c r="K1946" s="4">
        <v>0</v>
      </c>
      <c r="L1946" s="4">
        <v>7409.0039999999999</v>
      </c>
      <c r="M1946" s="4">
        <v>7409.0039999999999</v>
      </c>
      <c r="N1946" s="4">
        <v>7409.0039999999999</v>
      </c>
      <c r="O1946" s="4">
        <v>7409.0039999999999</v>
      </c>
      <c r="P1946" s="4">
        <v>8677</v>
      </c>
      <c r="Q1946" s="3" t="s">
        <v>26</v>
      </c>
      <c r="R1946" s="3">
        <v>0</v>
      </c>
      <c r="S1946" s="4">
        <v>0</v>
      </c>
      <c r="T1946" s="4">
        <v>45</v>
      </c>
      <c r="U1946" s="4">
        <v>85</v>
      </c>
      <c r="V1946" s="4">
        <f>IF(ISERROR(VLOOKUP($S$1946,'TAR FIN'!$A$1:$O$99,15,0)),0,VLOOKUP($S$1946,'TAR FIN'!$A$1:$O$99,15,0))</f>
        <v>0</v>
      </c>
      <c r="W1946" s="4">
        <f>IF(ISERROR(VLOOKUP($T$1946,'TAR FIN'!$A$1:$O$99,15,0)),0,VLOOKUP($T$1946,'TAR FIN'!$A$1:$O$99,15,0))</f>
        <v>395.58</v>
      </c>
      <c r="X1946" s="4">
        <f>IF(ISERROR(VLOOKUP($U$1946,'TAR FIN'!$A$1:$O$99,15,0)),0,VLOOKUP($U$1946,'TAR FIN'!$A$1:$O$99,15,0))</f>
        <v>230.53</v>
      </c>
      <c r="Y1946" s="4"/>
      <c r="Z1946" s="4">
        <f ca="1">('TUSD BE'!$AM$59+'TUSD BF'!$AM$59+'TUSD CVA'!$AM$59)*1</f>
        <v>466.61942630573992</v>
      </c>
      <c r="AA1946" s="4">
        <f>('TE BE'!$AA$41+'TE BF'!$AA$41+'TE CVA'!$AA$41)*1</f>
        <v>283.86889449376815</v>
      </c>
      <c r="AB1946" s="4">
        <f>$K$1946*$V$1946</f>
        <v>0</v>
      </c>
      <c r="AC1946" s="4">
        <f>$M$1946*$W$1946</f>
        <v>2930853.8023199998</v>
      </c>
      <c r="AD1946" s="4">
        <f>$O$1946*$X$1946</f>
        <v>1707997.69212</v>
      </c>
      <c r="AE1946" s="4">
        <f>$K$1946*$Y$1946</f>
        <v>0</v>
      </c>
      <c r="AF1946" s="4">
        <f ca="1">$M$1946*$Z$1946</f>
        <v>3457185.1959769321</v>
      </c>
      <c r="AG1946" s="4">
        <f>$O$1946*$AA$1946</f>
        <v>2103185.774779906</v>
      </c>
    </row>
    <row r="1947" spans="1:33" ht="11.25" customHeight="1" x14ac:dyDescent="0.25">
      <c r="A1947" s="3" t="s">
        <v>27</v>
      </c>
      <c r="B1947" s="3" t="s">
        <v>39</v>
      </c>
      <c r="C1947" s="3" t="s">
        <v>23</v>
      </c>
      <c r="D1947" s="3" t="s">
        <v>46</v>
      </c>
      <c r="E1947" s="3" t="s">
        <v>25</v>
      </c>
      <c r="F1947" s="3" t="s">
        <v>25</v>
      </c>
      <c r="G1947" s="3" t="s">
        <v>25</v>
      </c>
      <c r="H1947" s="3" t="s">
        <v>25</v>
      </c>
      <c r="I1947" s="6">
        <v>44593</v>
      </c>
      <c r="J1947" s="4">
        <v>0</v>
      </c>
      <c r="K1947" s="4">
        <v>0</v>
      </c>
      <c r="L1947" s="4">
        <v>6.7190000000000003</v>
      </c>
      <c r="M1947" s="4">
        <v>6.7190000000000003</v>
      </c>
      <c r="N1947" s="4">
        <v>6.7190000000000003</v>
      </c>
      <c r="O1947" s="4">
        <v>6.7190000000000003</v>
      </c>
      <c r="P1947" s="4">
        <v>9</v>
      </c>
      <c r="Q1947" s="3" t="s">
        <v>26</v>
      </c>
      <c r="R1947" s="3">
        <v>0</v>
      </c>
      <c r="S1947" s="4">
        <v>0</v>
      </c>
      <c r="T1947" s="4">
        <v>45</v>
      </c>
      <c r="U1947" s="4">
        <v>85</v>
      </c>
      <c r="V1947" s="4">
        <f>IF(ISERROR(VLOOKUP($S$1947,'TAR FIN'!$A$1:$O$99,15,0)),0,VLOOKUP($S$1947,'TAR FIN'!$A$1:$O$99,15,0))</f>
        <v>0</v>
      </c>
      <c r="W1947" s="4">
        <f>IF(ISERROR(VLOOKUP($T$1947,'TAR FIN'!$A$1:$O$99,15,0)),0,VLOOKUP($T$1947,'TAR FIN'!$A$1:$O$99,15,0))</f>
        <v>395.58</v>
      </c>
      <c r="X1947" s="4">
        <f>IF(ISERROR(VLOOKUP($U$1947,'TAR FIN'!$A$1:$O$99,15,0)),0,VLOOKUP($U$1947,'TAR FIN'!$A$1:$O$99,15,0))</f>
        <v>230.53</v>
      </c>
      <c r="Y1947" s="4"/>
      <c r="Z1947" s="4">
        <f ca="1">('TUSD BE'!$AM$59+'TUSD BF'!$AM$59+'TUSD CVA'!$AM$59)*1</f>
        <v>466.61942630573992</v>
      </c>
      <c r="AA1947" s="4">
        <f>('TE BE'!$AA$41+'TE BF'!$AA$41+'TE CVA'!$AA$41)*1</f>
        <v>283.86889449376815</v>
      </c>
      <c r="AB1947" s="4">
        <f>$K$1947*$V$1947</f>
        <v>0</v>
      </c>
      <c r="AC1947" s="4">
        <f>$M$1947*$W$1947</f>
        <v>2657.90202</v>
      </c>
      <c r="AD1947" s="4">
        <f>$O$1947*$X$1947</f>
        <v>1548.9310700000001</v>
      </c>
      <c r="AE1947" s="4">
        <f>$K$1947*$Y$1947</f>
        <v>0</v>
      </c>
      <c r="AF1947" s="4">
        <f ca="1">$M$1947*$Z$1947</f>
        <v>3135.2159253482669</v>
      </c>
      <c r="AG1947" s="4">
        <f>$O$1947*$AA$1947</f>
        <v>1907.3151021036283</v>
      </c>
    </row>
    <row r="1948" spans="1:33" ht="11.25" customHeight="1" x14ac:dyDescent="0.25">
      <c r="A1948" s="3" t="s">
        <v>28</v>
      </c>
      <c r="B1948" s="3" t="s">
        <v>39</v>
      </c>
      <c r="C1948" s="3" t="s">
        <v>23</v>
      </c>
      <c r="D1948" s="3" t="s">
        <v>46</v>
      </c>
      <c r="E1948" s="3" t="s">
        <v>25</v>
      </c>
      <c r="F1948" s="3" t="s">
        <v>25</v>
      </c>
      <c r="G1948" s="3" t="s">
        <v>25</v>
      </c>
      <c r="H1948" s="3" t="s">
        <v>25</v>
      </c>
      <c r="I1948" s="6">
        <v>44593</v>
      </c>
      <c r="J1948" s="4">
        <v>0</v>
      </c>
      <c r="K1948" s="4">
        <v>0</v>
      </c>
      <c r="L1948" s="4">
        <v>3.649</v>
      </c>
      <c r="M1948" s="4">
        <v>3.649</v>
      </c>
      <c r="N1948" s="4">
        <v>3.649</v>
      </c>
      <c r="O1948" s="4">
        <v>3.649</v>
      </c>
      <c r="P1948" s="4">
        <v>14</v>
      </c>
      <c r="Q1948" s="3" t="s">
        <v>26</v>
      </c>
      <c r="R1948" s="3">
        <v>0</v>
      </c>
      <c r="S1948" s="4">
        <v>0</v>
      </c>
      <c r="T1948" s="4">
        <v>45</v>
      </c>
      <c r="U1948" s="4">
        <v>85</v>
      </c>
      <c r="V1948" s="4">
        <f>IF(ISERROR(VLOOKUP($S$1948,'TAR FIN'!$A$1:$O$99,15,0)),0,VLOOKUP($S$1948,'TAR FIN'!$A$1:$O$99,15,0))</f>
        <v>0</v>
      </c>
      <c r="W1948" s="4">
        <f>IF(ISERROR(VLOOKUP($T$1948,'TAR FIN'!$A$1:$O$99,15,0)),0,VLOOKUP($T$1948,'TAR FIN'!$A$1:$O$99,15,0))</f>
        <v>395.58</v>
      </c>
      <c r="X1948" s="4">
        <f>IF(ISERROR(VLOOKUP($U$1948,'TAR FIN'!$A$1:$O$99,15,0)),0,VLOOKUP($U$1948,'TAR FIN'!$A$1:$O$99,15,0))</f>
        <v>230.53</v>
      </c>
      <c r="Y1948" s="4"/>
      <c r="Z1948" s="4">
        <f ca="1">('TUSD BE'!$AM$59+'TUSD BF'!$AM$59+'TUSD CVA'!$AM$59)*1</f>
        <v>466.61942630573992</v>
      </c>
      <c r="AA1948" s="4">
        <f>('TE BE'!$AA$41+'TE BF'!$AA$41+'TE CVA'!$AA$41)*1</f>
        <v>283.86889449376815</v>
      </c>
      <c r="AB1948" s="4">
        <f>$K$1948*$V$1948</f>
        <v>0</v>
      </c>
      <c r="AC1948" s="4">
        <f>$M$1948*$W$1948</f>
        <v>1443.4714199999999</v>
      </c>
      <c r="AD1948" s="4">
        <f>$O$1948*$X$1948</f>
        <v>841.20397000000003</v>
      </c>
      <c r="AE1948" s="4">
        <f>$K$1948*$Y$1948</f>
        <v>0</v>
      </c>
      <c r="AF1948" s="4">
        <f ca="1">$M$1948*$Z$1948</f>
        <v>1702.6942865896449</v>
      </c>
      <c r="AG1948" s="4">
        <f>$O$1948*$AA$1948</f>
        <v>1035.8375960077599</v>
      </c>
    </row>
    <row r="1949" spans="1:33" ht="11.25" customHeight="1" x14ac:dyDescent="0.25">
      <c r="A1949" s="3" t="s">
        <v>21</v>
      </c>
      <c r="B1949" s="3" t="s">
        <v>39</v>
      </c>
      <c r="C1949" s="3" t="s">
        <v>23</v>
      </c>
      <c r="D1949" s="3" t="s">
        <v>46</v>
      </c>
      <c r="E1949" s="3" t="s">
        <v>25</v>
      </c>
      <c r="F1949" s="3" t="s">
        <v>25</v>
      </c>
      <c r="G1949" s="3" t="s">
        <v>25</v>
      </c>
      <c r="H1949" s="3" t="s">
        <v>25</v>
      </c>
      <c r="I1949" s="6">
        <v>44621</v>
      </c>
      <c r="J1949" s="4">
        <v>0</v>
      </c>
      <c r="K1949" s="4">
        <v>0</v>
      </c>
      <c r="L1949" s="4">
        <v>8814.9629999999997</v>
      </c>
      <c r="M1949" s="4">
        <v>8814.9629999999997</v>
      </c>
      <c r="N1949" s="4">
        <v>8814.9629999999997</v>
      </c>
      <c r="O1949" s="4">
        <v>8814.9629999999997</v>
      </c>
      <c r="P1949" s="4">
        <v>8714</v>
      </c>
      <c r="Q1949" s="3" t="s">
        <v>26</v>
      </c>
      <c r="R1949" s="3">
        <v>0</v>
      </c>
      <c r="S1949" s="4">
        <v>0</v>
      </c>
      <c r="T1949" s="4">
        <v>45</v>
      </c>
      <c r="U1949" s="4">
        <v>85</v>
      </c>
      <c r="V1949" s="4">
        <f>IF(ISERROR(VLOOKUP($S$1949,'TAR FIN'!$A$1:$O$99,15,0)),0,VLOOKUP($S$1949,'TAR FIN'!$A$1:$O$99,15,0))</f>
        <v>0</v>
      </c>
      <c r="W1949" s="4">
        <f>IF(ISERROR(VLOOKUP($T$1949,'TAR FIN'!$A$1:$O$99,15,0)),0,VLOOKUP($T$1949,'TAR FIN'!$A$1:$O$99,15,0))</f>
        <v>395.58</v>
      </c>
      <c r="X1949" s="4">
        <f>IF(ISERROR(VLOOKUP($U$1949,'TAR FIN'!$A$1:$O$99,15,0)),0,VLOOKUP($U$1949,'TAR FIN'!$A$1:$O$99,15,0))</f>
        <v>230.53</v>
      </c>
      <c r="Y1949" s="4"/>
      <c r="Z1949" s="4">
        <f ca="1">('TUSD BE'!$AM$59+'TUSD BF'!$AM$59+'TUSD CVA'!$AM$59)*1</f>
        <v>466.61942630573992</v>
      </c>
      <c r="AA1949" s="4">
        <f>('TE BE'!$AA$41+'TE BF'!$AA$41+'TE CVA'!$AA$41)*1</f>
        <v>283.86889449376815</v>
      </c>
      <c r="AB1949" s="4">
        <f>$K$1949*$V$1949</f>
        <v>0</v>
      </c>
      <c r="AC1949" s="4">
        <f>$M$1949*$W$1949</f>
        <v>3487023.0635399995</v>
      </c>
      <c r="AD1949" s="4">
        <f>$O$1949*$X$1949</f>
        <v>2032113.4203899999</v>
      </c>
      <c r="AE1949" s="4">
        <f>$K$1949*$Y$1949</f>
        <v>0</v>
      </c>
      <c r="AF1949" s="4">
        <f ca="1">$M$1949*$Z$1949</f>
        <v>4113232.977966324</v>
      </c>
      <c r="AG1949" s="4">
        <f>$O$1949*$AA$1949</f>
        <v>2502293.8018134697</v>
      </c>
    </row>
    <row r="1950" spans="1:33" ht="11.25" customHeight="1" x14ac:dyDescent="0.25">
      <c r="A1950" s="3" t="s">
        <v>27</v>
      </c>
      <c r="B1950" s="3" t="s">
        <v>39</v>
      </c>
      <c r="C1950" s="3" t="s">
        <v>23</v>
      </c>
      <c r="D1950" s="3" t="s">
        <v>46</v>
      </c>
      <c r="E1950" s="3" t="s">
        <v>25</v>
      </c>
      <c r="F1950" s="3" t="s">
        <v>25</v>
      </c>
      <c r="G1950" s="3" t="s">
        <v>25</v>
      </c>
      <c r="H1950" s="3" t="s">
        <v>25</v>
      </c>
      <c r="I1950" s="6">
        <v>44621</v>
      </c>
      <c r="J1950" s="4">
        <v>0</v>
      </c>
      <c r="K1950" s="4">
        <v>0</v>
      </c>
      <c r="L1950" s="4">
        <v>-479.51600000000002</v>
      </c>
      <c r="M1950" s="4">
        <v>-479.51600000000002</v>
      </c>
      <c r="N1950" s="4">
        <v>-479.51600000000002</v>
      </c>
      <c r="O1950" s="4">
        <v>-479.51600000000002</v>
      </c>
      <c r="P1950" s="4">
        <v>7</v>
      </c>
      <c r="Q1950" s="3" t="s">
        <v>26</v>
      </c>
      <c r="R1950" s="3">
        <v>0</v>
      </c>
      <c r="S1950" s="4">
        <v>0</v>
      </c>
      <c r="T1950" s="4">
        <v>45</v>
      </c>
      <c r="U1950" s="4">
        <v>85</v>
      </c>
      <c r="V1950" s="4">
        <f>IF(ISERROR(VLOOKUP($S$1950,'TAR FIN'!$A$1:$O$99,15,0)),0,VLOOKUP($S$1950,'TAR FIN'!$A$1:$O$99,15,0))</f>
        <v>0</v>
      </c>
      <c r="W1950" s="4">
        <f>IF(ISERROR(VLOOKUP($T$1950,'TAR FIN'!$A$1:$O$99,15,0)),0,VLOOKUP($T$1950,'TAR FIN'!$A$1:$O$99,15,0))</f>
        <v>395.58</v>
      </c>
      <c r="X1950" s="4">
        <f>IF(ISERROR(VLOOKUP($U$1950,'TAR FIN'!$A$1:$O$99,15,0)),0,VLOOKUP($U$1950,'TAR FIN'!$A$1:$O$99,15,0))</f>
        <v>230.53</v>
      </c>
      <c r="Y1950" s="4"/>
      <c r="Z1950" s="4">
        <f ca="1">('TUSD BE'!$AM$59+'TUSD BF'!$AM$59+'TUSD CVA'!$AM$59)*1</f>
        <v>466.61942630573992</v>
      </c>
      <c r="AA1950" s="4">
        <f>('TE BE'!$AA$41+'TE BF'!$AA$41+'TE CVA'!$AA$41)*1</f>
        <v>283.86889449376815</v>
      </c>
      <c r="AB1950" s="4">
        <f>$K$1950*$V$1950</f>
        <v>0</v>
      </c>
      <c r="AC1950" s="4">
        <f>$M$1950*$W$1950</f>
        <v>-189686.93927999999</v>
      </c>
      <c r="AD1950" s="4">
        <f>$O$1950*$X$1950</f>
        <v>-110542.82348000001</v>
      </c>
      <c r="AE1950" s="4">
        <f>$K$1950*$Y$1950</f>
        <v>0</v>
      </c>
      <c r="AF1950" s="4">
        <f ca="1">$M$1950*$Z$1950</f>
        <v>-223751.4808244232</v>
      </c>
      <c r="AG1950" s="4">
        <f>$O$1950*$AA$1950</f>
        <v>-136119.67681207374</v>
      </c>
    </row>
    <row r="1951" spans="1:33" ht="11.25" customHeight="1" x14ac:dyDescent="0.25">
      <c r="A1951" s="3" t="s">
        <v>28</v>
      </c>
      <c r="B1951" s="3" t="s">
        <v>39</v>
      </c>
      <c r="C1951" s="3" t="s">
        <v>23</v>
      </c>
      <c r="D1951" s="3" t="s">
        <v>46</v>
      </c>
      <c r="E1951" s="3" t="s">
        <v>25</v>
      </c>
      <c r="F1951" s="3" t="s">
        <v>25</v>
      </c>
      <c r="G1951" s="3" t="s">
        <v>25</v>
      </c>
      <c r="H1951" s="3" t="s">
        <v>25</v>
      </c>
      <c r="I1951" s="6">
        <v>44621</v>
      </c>
      <c r="J1951" s="4">
        <v>0</v>
      </c>
      <c r="K1951" s="4">
        <v>0</v>
      </c>
      <c r="L1951" s="4">
        <v>4.0510000000000002</v>
      </c>
      <c r="M1951" s="4">
        <v>4.0510000000000002</v>
      </c>
      <c r="N1951" s="4">
        <v>4.0510000000000002</v>
      </c>
      <c r="O1951" s="4">
        <v>4.0510000000000002</v>
      </c>
      <c r="P1951" s="4">
        <v>14</v>
      </c>
      <c r="Q1951" s="3" t="s">
        <v>26</v>
      </c>
      <c r="R1951" s="3">
        <v>0</v>
      </c>
      <c r="S1951" s="4">
        <v>0</v>
      </c>
      <c r="T1951" s="4">
        <v>45</v>
      </c>
      <c r="U1951" s="4">
        <v>85</v>
      </c>
      <c r="V1951" s="4">
        <f>IF(ISERROR(VLOOKUP($S$1951,'TAR FIN'!$A$1:$O$99,15,0)),0,VLOOKUP($S$1951,'TAR FIN'!$A$1:$O$99,15,0))</f>
        <v>0</v>
      </c>
      <c r="W1951" s="4">
        <f>IF(ISERROR(VLOOKUP($T$1951,'TAR FIN'!$A$1:$O$99,15,0)),0,VLOOKUP($T$1951,'TAR FIN'!$A$1:$O$99,15,0))</f>
        <v>395.58</v>
      </c>
      <c r="X1951" s="4">
        <f>IF(ISERROR(VLOOKUP($U$1951,'TAR FIN'!$A$1:$O$99,15,0)),0,VLOOKUP($U$1951,'TAR FIN'!$A$1:$O$99,15,0))</f>
        <v>230.53</v>
      </c>
      <c r="Y1951" s="4"/>
      <c r="Z1951" s="4">
        <f ca="1">('TUSD BE'!$AM$59+'TUSD BF'!$AM$59+'TUSD CVA'!$AM$59)*1</f>
        <v>466.61942630573992</v>
      </c>
      <c r="AA1951" s="4">
        <f>('TE BE'!$AA$41+'TE BF'!$AA$41+'TE CVA'!$AA$41)*1</f>
        <v>283.86889449376815</v>
      </c>
      <c r="AB1951" s="4">
        <f>$K$1951*$V$1951</f>
        <v>0</v>
      </c>
      <c r="AC1951" s="4">
        <f>$M$1951*$W$1951</f>
        <v>1602.49458</v>
      </c>
      <c r="AD1951" s="4">
        <f>$O$1951*$X$1951</f>
        <v>933.87702999999999</v>
      </c>
      <c r="AE1951" s="4">
        <f>$K$1951*$Y$1951</f>
        <v>0</v>
      </c>
      <c r="AF1951" s="4">
        <f ca="1">$M$1951*$Z$1951</f>
        <v>1890.2752959645525</v>
      </c>
      <c r="AG1951" s="4">
        <f>$O$1951*$AA$1951</f>
        <v>1149.9528915942549</v>
      </c>
    </row>
    <row r="1952" spans="1:33" ht="11.25" customHeight="1" x14ac:dyDescent="0.25">
      <c r="A1952" s="3" t="s">
        <v>56</v>
      </c>
      <c r="B1952" s="3" t="s">
        <v>39</v>
      </c>
      <c r="C1952" s="3" t="s">
        <v>23</v>
      </c>
      <c r="D1952" s="3" t="s">
        <v>46</v>
      </c>
      <c r="E1952" s="3" t="s">
        <v>25</v>
      </c>
      <c r="F1952" s="3" t="s">
        <v>25</v>
      </c>
      <c r="G1952" s="3" t="s">
        <v>25</v>
      </c>
      <c r="H1952" s="3" t="s">
        <v>25</v>
      </c>
      <c r="I1952" s="6">
        <v>44652</v>
      </c>
      <c r="J1952" s="4">
        <v>0</v>
      </c>
      <c r="K1952" s="4">
        <v>0</v>
      </c>
      <c r="L1952" s="4">
        <v>8814.9629999999997</v>
      </c>
      <c r="M1952" s="4">
        <v>8814.9629999999997</v>
      </c>
      <c r="N1952" s="4">
        <v>8814.9629999999997</v>
      </c>
      <c r="O1952" s="4">
        <v>8814.9629999999997</v>
      </c>
      <c r="P1952" s="4">
        <v>8714</v>
      </c>
      <c r="Q1952" s="3" t="s">
        <v>26</v>
      </c>
      <c r="R1952" s="3">
        <v>0</v>
      </c>
      <c r="S1952" s="4">
        <v>0</v>
      </c>
      <c r="T1952" s="4">
        <v>45</v>
      </c>
      <c r="U1952" s="4">
        <v>85</v>
      </c>
      <c r="V1952" s="4">
        <f>IF(ISERROR(VLOOKUP($S$1952,'TAR FIN'!$A$1:$O$99,15,0)),0,VLOOKUP($S$1952,'TAR FIN'!$A$1:$O$99,15,0))</f>
        <v>0</v>
      </c>
      <c r="W1952" s="4">
        <f>IF(ISERROR(VLOOKUP($T$1952,'TAR FIN'!$A$1:$O$99,15,0)),0,VLOOKUP($T$1952,'TAR FIN'!$A$1:$O$99,15,0))</f>
        <v>395.58</v>
      </c>
      <c r="X1952" s="4">
        <f>IF(ISERROR(VLOOKUP($U$1952,'TAR FIN'!$A$1:$O$99,15,0)),0,VLOOKUP($U$1952,'TAR FIN'!$A$1:$O$99,15,0))</f>
        <v>230.53</v>
      </c>
      <c r="Y1952" s="4"/>
      <c r="Z1952" s="4">
        <f ca="1">('TUSD BE'!$AM$59+'TUSD BF'!$AM$59+'TUSD CVA'!$AM$59)*1</f>
        <v>466.61942630573992</v>
      </c>
      <c r="AA1952" s="4">
        <f>('TE BE'!$AA$41+'TE BF'!$AA$41+'TE CVA'!$AA$41)*1</f>
        <v>283.86889449376815</v>
      </c>
      <c r="AB1952" s="4">
        <f>$K$1952*$V$1952</f>
        <v>0</v>
      </c>
      <c r="AC1952" s="4">
        <f>$M$1952*$W$1952</f>
        <v>3487023.0635399995</v>
      </c>
      <c r="AD1952" s="4">
        <f>$O$1952*$X$1952</f>
        <v>2032113.4203899999</v>
      </c>
      <c r="AE1952" s="4">
        <f>$K$1952*$Y$1952</f>
        <v>0</v>
      </c>
      <c r="AF1952" s="4">
        <f ca="1">$M$1952*$Z$1952</f>
        <v>4113232.977966324</v>
      </c>
      <c r="AG1952" s="4">
        <f>$O$1952*$AA$1952</f>
        <v>2502293.8018134697</v>
      </c>
    </row>
    <row r="1953" spans="1:33" ht="11.25" customHeight="1" x14ac:dyDescent="0.25">
      <c r="A1953" s="3" t="s">
        <v>56</v>
      </c>
      <c r="B1953" s="3" t="s">
        <v>39</v>
      </c>
      <c r="C1953" s="3" t="s">
        <v>23</v>
      </c>
      <c r="D1953" s="3" t="s">
        <v>46</v>
      </c>
      <c r="E1953" s="3" t="s">
        <v>25</v>
      </c>
      <c r="F1953" s="3" t="s">
        <v>25</v>
      </c>
      <c r="G1953" s="3" t="s">
        <v>25</v>
      </c>
      <c r="H1953" s="3" t="s">
        <v>25</v>
      </c>
      <c r="I1953" s="6">
        <v>44652</v>
      </c>
      <c r="J1953" s="4">
        <v>0</v>
      </c>
      <c r="K1953" s="4">
        <v>0</v>
      </c>
      <c r="L1953" s="4">
        <v>-479.51600000000002</v>
      </c>
      <c r="M1953" s="4">
        <v>-479.51600000000002</v>
      </c>
      <c r="N1953" s="4">
        <v>-479.51600000000002</v>
      </c>
      <c r="O1953" s="4">
        <v>-479.51600000000002</v>
      </c>
      <c r="P1953" s="4">
        <v>7</v>
      </c>
      <c r="Q1953" s="3" t="s">
        <v>26</v>
      </c>
      <c r="R1953" s="3">
        <v>0</v>
      </c>
      <c r="S1953" s="4">
        <v>0</v>
      </c>
      <c r="T1953" s="4">
        <v>45</v>
      </c>
      <c r="U1953" s="4">
        <v>85</v>
      </c>
      <c r="V1953" s="4">
        <f>IF(ISERROR(VLOOKUP($S$1953,'TAR FIN'!$A$1:$O$99,15,0)),0,VLOOKUP($S$1953,'TAR FIN'!$A$1:$O$99,15,0))</f>
        <v>0</v>
      </c>
      <c r="W1953" s="4">
        <f>IF(ISERROR(VLOOKUP($T$1953,'TAR FIN'!$A$1:$O$99,15,0)),0,VLOOKUP($T$1953,'TAR FIN'!$A$1:$O$99,15,0))</f>
        <v>395.58</v>
      </c>
      <c r="X1953" s="4">
        <f>IF(ISERROR(VLOOKUP($U$1953,'TAR FIN'!$A$1:$O$99,15,0)),0,VLOOKUP($U$1953,'TAR FIN'!$A$1:$O$99,15,0))</f>
        <v>230.53</v>
      </c>
      <c r="Y1953" s="4"/>
      <c r="Z1953" s="4">
        <f ca="1">('TUSD BE'!$AM$59+'TUSD BF'!$AM$59+'TUSD CVA'!$AM$59)*1</f>
        <v>466.61942630573992</v>
      </c>
      <c r="AA1953" s="4">
        <f>('TE BE'!$AA$41+'TE BF'!$AA$41+'TE CVA'!$AA$41)*1</f>
        <v>283.86889449376815</v>
      </c>
      <c r="AB1953" s="4">
        <f>$K$1953*$V$1953</f>
        <v>0</v>
      </c>
      <c r="AC1953" s="4">
        <f>$M$1953*$W$1953</f>
        <v>-189686.93927999999</v>
      </c>
      <c r="AD1953" s="4">
        <f>$O$1953*$X$1953</f>
        <v>-110542.82348000001</v>
      </c>
      <c r="AE1953" s="4">
        <f>$K$1953*$Y$1953</f>
        <v>0</v>
      </c>
      <c r="AF1953" s="4">
        <f ca="1">$M$1953*$Z$1953</f>
        <v>-223751.4808244232</v>
      </c>
      <c r="AG1953" s="4">
        <f>$O$1953*$AA$1953</f>
        <v>-136119.67681207374</v>
      </c>
    </row>
    <row r="1954" spans="1:33" ht="11.25" customHeight="1" x14ac:dyDescent="0.25">
      <c r="A1954" s="3" t="s">
        <v>56</v>
      </c>
      <c r="B1954" s="3" t="s">
        <v>39</v>
      </c>
      <c r="C1954" s="3" t="s">
        <v>23</v>
      </c>
      <c r="D1954" s="3" t="s">
        <v>46</v>
      </c>
      <c r="E1954" s="3" t="s">
        <v>25</v>
      </c>
      <c r="F1954" s="3" t="s">
        <v>25</v>
      </c>
      <c r="G1954" s="3" t="s">
        <v>25</v>
      </c>
      <c r="H1954" s="3" t="s">
        <v>25</v>
      </c>
      <c r="I1954" s="6">
        <v>44652</v>
      </c>
      <c r="J1954" s="4">
        <v>0</v>
      </c>
      <c r="K1954" s="4">
        <v>0</v>
      </c>
      <c r="L1954" s="4">
        <v>4.0510000000000002</v>
      </c>
      <c r="M1954" s="4">
        <v>4.0510000000000002</v>
      </c>
      <c r="N1954" s="4">
        <v>4.0510000000000002</v>
      </c>
      <c r="O1954" s="4">
        <v>4.0510000000000002</v>
      </c>
      <c r="P1954" s="4">
        <v>14</v>
      </c>
      <c r="Q1954" s="3" t="s">
        <v>26</v>
      </c>
      <c r="R1954" s="3">
        <v>0</v>
      </c>
      <c r="S1954" s="4">
        <v>0</v>
      </c>
      <c r="T1954" s="4">
        <v>45</v>
      </c>
      <c r="U1954" s="4">
        <v>85</v>
      </c>
      <c r="V1954" s="4">
        <f>IF(ISERROR(VLOOKUP($S$1954,'TAR FIN'!$A$1:$O$99,15,0)),0,VLOOKUP($S$1954,'TAR FIN'!$A$1:$O$99,15,0))</f>
        <v>0</v>
      </c>
      <c r="W1954" s="4">
        <f>IF(ISERROR(VLOOKUP($T$1954,'TAR FIN'!$A$1:$O$99,15,0)),0,VLOOKUP($T$1954,'TAR FIN'!$A$1:$O$99,15,0))</f>
        <v>395.58</v>
      </c>
      <c r="X1954" s="4">
        <f>IF(ISERROR(VLOOKUP($U$1954,'TAR FIN'!$A$1:$O$99,15,0)),0,VLOOKUP($U$1954,'TAR FIN'!$A$1:$O$99,15,0))</f>
        <v>230.53</v>
      </c>
      <c r="Y1954" s="4"/>
      <c r="Z1954" s="4">
        <f ca="1">('TUSD BE'!$AM$59+'TUSD BF'!$AM$59+'TUSD CVA'!$AM$59)*1</f>
        <v>466.61942630573992</v>
      </c>
      <c r="AA1954" s="4">
        <f>('TE BE'!$AA$41+'TE BF'!$AA$41+'TE CVA'!$AA$41)*1</f>
        <v>283.86889449376815</v>
      </c>
      <c r="AB1954" s="4">
        <f>$K$1954*$V$1954</f>
        <v>0</v>
      </c>
      <c r="AC1954" s="4">
        <f>$M$1954*$W$1954</f>
        <v>1602.49458</v>
      </c>
      <c r="AD1954" s="4">
        <f>$O$1954*$X$1954</f>
        <v>933.87702999999999</v>
      </c>
      <c r="AE1954" s="4">
        <f>$K$1954*$Y$1954</f>
        <v>0</v>
      </c>
      <c r="AF1954" s="4">
        <f ca="1">$M$1954*$Z$1954</f>
        <v>1890.2752959645525</v>
      </c>
      <c r="AG1954" s="4">
        <f>$O$1954*$AA$1954</f>
        <v>1149.9528915942549</v>
      </c>
    </row>
    <row r="1955" spans="1:33" ht="11.25" customHeight="1" x14ac:dyDescent="0.25">
      <c r="A1955" s="3" t="s">
        <v>21</v>
      </c>
      <c r="B1955" s="3" t="s">
        <v>39</v>
      </c>
      <c r="C1955" s="3" t="s">
        <v>23</v>
      </c>
      <c r="D1955" s="3" t="s">
        <v>50</v>
      </c>
      <c r="E1955" s="3" t="s">
        <v>51</v>
      </c>
      <c r="F1955" s="3" t="s">
        <v>25</v>
      </c>
      <c r="G1955" s="3" t="s">
        <v>25</v>
      </c>
      <c r="H1955" s="3" t="s">
        <v>25</v>
      </c>
      <c r="I1955" s="6">
        <v>44317</v>
      </c>
      <c r="J1955" s="4">
        <v>0</v>
      </c>
      <c r="K1955" s="70">
        <v>0</v>
      </c>
      <c r="L1955" s="4">
        <v>3092.855</v>
      </c>
      <c r="M1955" s="70">
        <v>3092.855</v>
      </c>
      <c r="N1955" s="4">
        <v>3092.855</v>
      </c>
      <c r="O1955" s="70">
        <v>3092.855</v>
      </c>
      <c r="P1955" s="4">
        <v>1547</v>
      </c>
      <c r="Q1955" s="3" t="s">
        <v>26</v>
      </c>
      <c r="R1955" s="3">
        <v>0</v>
      </c>
      <c r="S1955" s="4">
        <v>0</v>
      </c>
      <c r="T1955" s="4">
        <v>45</v>
      </c>
      <c r="U1955" s="4">
        <v>85</v>
      </c>
      <c r="V1955" s="70">
        <f>IF(ISERROR(VLOOKUP($S$1955,'TAR FIN'!$A$1:$O$99,15,0)),0,VLOOKUP($S$1955,'TAR FIN'!$A$1:$O$99,15,0))</f>
        <v>0</v>
      </c>
      <c r="W1955" s="70">
        <f>IF(ISERROR(VLOOKUP($T$1955,'TAR FIN'!$A$1:$O$99,15,0)),0,VLOOKUP($T$1955,'TAR FIN'!$A$1:$O$99,15,0))*(1-0.06)</f>
        <v>371.84519999999998</v>
      </c>
      <c r="X1955" s="70">
        <f>IF(ISERROR(VLOOKUP($U$1955,'TAR FIN'!$A$1:$O$99,15,0)),0,VLOOKUP($U$1955,'TAR FIN'!$A$1:$O$99,15,0))*(1-0.06)</f>
        <v>216.69819999999999</v>
      </c>
      <c r="Y1955" s="70"/>
      <c r="Z1955" s="70">
        <f ca="1">('TUSD BE'!$AM$59+'TUSD BF'!$AM$59+'TUSD CVA'!$AM$59)*1*(1-0.03)</f>
        <v>452.62084351656773</v>
      </c>
      <c r="AA1955" s="70">
        <f>('TE BE'!$AA$41+'TE BF'!$AA$41+'TE CVA'!$AA$41)*1*(1-0.03)</f>
        <v>275.35282765895511</v>
      </c>
      <c r="AB1955" s="4">
        <f>$K$1955*$V$1955</f>
        <v>0</v>
      </c>
      <c r="AC1955" s="4">
        <f>$M$1955*$W$1955</f>
        <v>1150063.286046</v>
      </c>
      <c r="AD1955" s="4">
        <f>$O$1955*$X$1955</f>
        <v>670216.11136099999</v>
      </c>
      <c r="AE1955" s="4">
        <f>$K$1955*$Y$1955</f>
        <v>0</v>
      </c>
      <c r="AF1955" s="4">
        <f ca="1">$M$1955*$Z$1955</f>
        <v>1399890.638974434</v>
      </c>
      <c r="AG1955" s="4">
        <f>$O$1955*$AA$1955</f>
        <v>851626.36978913762</v>
      </c>
    </row>
    <row r="1956" spans="1:33" ht="11.25" customHeight="1" x14ac:dyDescent="0.25">
      <c r="A1956" s="3" t="s">
        <v>27</v>
      </c>
      <c r="B1956" s="3" t="s">
        <v>39</v>
      </c>
      <c r="C1956" s="3" t="s">
        <v>23</v>
      </c>
      <c r="D1956" s="3" t="s">
        <v>50</v>
      </c>
      <c r="E1956" s="3" t="s">
        <v>51</v>
      </c>
      <c r="F1956" s="3" t="s">
        <v>25</v>
      </c>
      <c r="G1956" s="3" t="s">
        <v>25</v>
      </c>
      <c r="H1956" s="3" t="s">
        <v>25</v>
      </c>
      <c r="I1956" s="6">
        <v>44317</v>
      </c>
      <c r="J1956" s="4">
        <v>0</v>
      </c>
      <c r="K1956" s="70">
        <v>0</v>
      </c>
      <c r="L1956" s="4">
        <v>6.59</v>
      </c>
      <c r="M1956" s="70">
        <v>6.59</v>
      </c>
      <c r="N1956" s="4">
        <v>6.59</v>
      </c>
      <c r="O1956" s="70">
        <v>6.59</v>
      </c>
      <c r="P1956" s="4">
        <v>1</v>
      </c>
      <c r="Q1956" s="3" t="s">
        <v>26</v>
      </c>
      <c r="R1956" s="3">
        <v>0</v>
      </c>
      <c r="S1956" s="4">
        <v>0</v>
      </c>
      <c r="T1956" s="4">
        <v>45</v>
      </c>
      <c r="U1956" s="4">
        <v>85</v>
      </c>
      <c r="V1956" s="70">
        <f>IF(ISERROR(VLOOKUP($S$1956,'TAR FIN'!$A$1:$O$99,15,0)),0,VLOOKUP($S$1956,'TAR FIN'!$A$1:$O$99,15,0))</f>
        <v>0</v>
      </c>
      <c r="W1956" s="70">
        <f>IF(ISERROR(VLOOKUP($T$1956,'TAR FIN'!$A$1:$O$99,15,0)),0,VLOOKUP($T$1956,'TAR FIN'!$A$1:$O$99,15,0))*(1-0.06)</f>
        <v>371.84519999999998</v>
      </c>
      <c r="X1956" s="70">
        <f>IF(ISERROR(VLOOKUP($U$1956,'TAR FIN'!$A$1:$O$99,15,0)),0,VLOOKUP($U$1956,'TAR FIN'!$A$1:$O$99,15,0))*(1-0.06)</f>
        <v>216.69819999999999</v>
      </c>
      <c r="Y1956" s="70"/>
      <c r="Z1956" s="70">
        <f ca="1">('TUSD BE'!$AM$59+'TUSD BF'!$AM$59+'TUSD CVA'!$AM$59)*1*(1-0.03)</f>
        <v>452.62084351656773</v>
      </c>
      <c r="AA1956" s="70">
        <f>('TE BE'!$AA$41+'TE BF'!$AA$41+'TE CVA'!$AA$41)*1*(1-0.03)</f>
        <v>275.35282765895511</v>
      </c>
      <c r="AB1956" s="4">
        <f>$K$1956*$V$1956</f>
        <v>0</v>
      </c>
      <c r="AC1956" s="4">
        <f>$M$1956*$W$1956</f>
        <v>2450.4598679999999</v>
      </c>
      <c r="AD1956" s="4">
        <f>$O$1956*$X$1956</f>
        <v>1428.0411379999998</v>
      </c>
      <c r="AE1956" s="4">
        <f>$K$1956*$Y$1956</f>
        <v>0</v>
      </c>
      <c r="AF1956" s="4">
        <f ca="1">$M$1956*$Z$1956</f>
        <v>2982.7713587741814</v>
      </c>
      <c r="AG1956" s="4">
        <f>$O$1956*$AA$1956</f>
        <v>1814.5751342725141</v>
      </c>
    </row>
    <row r="1957" spans="1:33" ht="11.25" customHeight="1" x14ac:dyDescent="0.25">
      <c r="A1957" s="3" t="s">
        <v>21</v>
      </c>
      <c r="B1957" s="3" t="s">
        <v>39</v>
      </c>
      <c r="C1957" s="3" t="s">
        <v>23</v>
      </c>
      <c r="D1957" s="3" t="s">
        <v>50</v>
      </c>
      <c r="E1957" s="3" t="s">
        <v>51</v>
      </c>
      <c r="F1957" s="3" t="s">
        <v>25</v>
      </c>
      <c r="G1957" s="3" t="s">
        <v>25</v>
      </c>
      <c r="H1957" s="3" t="s">
        <v>25</v>
      </c>
      <c r="I1957" s="6">
        <v>44348</v>
      </c>
      <c r="J1957" s="4">
        <v>0</v>
      </c>
      <c r="K1957" s="70">
        <v>0</v>
      </c>
      <c r="L1957" s="4">
        <v>3094.5010000000002</v>
      </c>
      <c r="M1957" s="70">
        <v>3094.5010000000002</v>
      </c>
      <c r="N1957" s="4">
        <v>3094.5010000000002</v>
      </c>
      <c r="O1957" s="70">
        <v>3094.5010000000002</v>
      </c>
      <c r="P1957" s="4">
        <v>1570</v>
      </c>
      <c r="Q1957" s="3" t="s">
        <v>26</v>
      </c>
      <c r="R1957" s="3">
        <v>0</v>
      </c>
      <c r="S1957" s="4">
        <v>0</v>
      </c>
      <c r="T1957" s="4">
        <v>45</v>
      </c>
      <c r="U1957" s="4">
        <v>85</v>
      </c>
      <c r="V1957" s="70">
        <f>IF(ISERROR(VLOOKUP($S$1957,'TAR FIN'!$A$1:$O$99,15,0)),0,VLOOKUP($S$1957,'TAR FIN'!$A$1:$O$99,15,0))</f>
        <v>0</v>
      </c>
      <c r="W1957" s="70">
        <f>IF(ISERROR(VLOOKUP($T$1957,'TAR FIN'!$A$1:$O$99,15,0)),0,VLOOKUP($T$1957,'TAR FIN'!$A$1:$O$99,15,0))*(1-0.06)</f>
        <v>371.84519999999998</v>
      </c>
      <c r="X1957" s="70">
        <f>IF(ISERROR(VLOOKUP($U$1957,'TAR FIN'!$A$1:$O$99,15,0)),0,VLOOKUP($U$1957,'TAR FIN'!$A$1:$O$99,15,0))*(1-0.06)</f>
        <v>216.69819999999999</v>
      </c>
      <c r="Y1957" s="70"/>
      <c r="Z1957" s="70">
        <f ca="1">('TUSD BE'!$AM$59+'TUSD BF'!$AM$59+'TUSD CVA'!$AM$59)*1*(1-0.03)</f>
        <v>452.62084351656773</v>
      </c>
      <c r="AA1957" s="70">
        <f>('TE BE'!$AA$41+'TE BF'!$AA$41+'TE CVA'!$AA$41)*1*(1-0.03)</f>
        <v>275.35282765895511</v>
      </c>
      <c r="AB1957" s="4">
        <f>$K$1957*$V$1957</f>
        <v>0</v>
      </c>
      <c r="AC1957" s="4">
        <f>$M$1957*$W$1957</f>
        <v>1150675.3432452001</v>
      </c>
      <c r="AD1957" s="4">
        <f>$O$1957*$X$1957</f>
        <v>670572.79659819999</v>
      </c>
      <c r="AE1957" s="4">
        <f>$K$1957*$Y$1957</f>
        <v>0</v>
      </c>
      <c r="AF1957" s="4">
        <f ca="1">$M$1957*$Z$1957</f>
        <v>1400635.6528828624</v>
      </c>
      <c r="AG1957" s="4">
        <f>$O$1957*$AA$1957</f>
        <v>852079.6005434643</v>
      </c>
    </row>
    <row r="1958" spans="1:33" ht="11.25" customHeight="1" x14ac:dyDescent="0.25">
      <c r="A1958" s="3" t="s">
        <v>27</v>
      </c>
      <c r="B1958" s="3" t="s">
        <v>39</v>
      </c>
      <c r="C1958" s="3" t="s">
        <v>23</v>
      </c>
      <c r="D1958" s="3" t="s">
        <v>50</v>
      </c>
      <c r="E1958" s="3" t="s">
        <v>51</v>
      </c>
      <c r="F1958" s="3" t="s">
        <v>25</v>
      </c>
      <c r="G1958" s="3" t="s">
        <v>25</v>
      </c>
      <c r="H1958" s="3" t="s">
        <v>25</v>
      </c>
      <c r="I1958" s="6">
        <v>44348</v>
      </c>
      <c r="J1958" s="4">
        <v>0</v>
      </c>
      <c r="K1958" s="70">
        <v>0</v>
      </c>
      <c r="L1958" s="4">
        <v>-2.7E-2</v>
      </c>
      <c r="M1958" s="70">
        <v>-2.7E-2</v>
      </c>
      <c r="N1958" s="4">
        <v>-2.7E-2</v>
      </c>
      <c r="O1958" s="70">
        <v>-2.7E-2</v>
      </c>
      <c r="P1958" s="4">
        <v>0</v>
      </c>
      <c r="Q1958" s="3" t="s">
        <v>26</v>
      </c>
      <c r="R1958" s="3">
        <v>0</v>
      </c>
      <c r="S1958" s="4">
        <v>0</v>
      </c>
      <c r="T1958" s="4">
        <v>45</v>
      </c>
      <c r="U1958" s="4">
        <v>85</v>
      </c>
      <c r="V1958" s="70">
        <f>IF(ISERROR(VLOOKUP($S$1958,'TAR FIN'!$A$1:$O$99,15,0)),0,VLOOKUP($S$1958,'TAR FIN'!$A$1:$O$99,15,0))</f>
        <v>0</v>
      </c>
      <c r="W1958" s="70">
        <f>IF(ISERROR(VLOOKUP($T$1958,'TAR FIN'!$A$1:$O$99,15,0)),0,VLOOKUP($T$1958,'TAR FIN'!$A$1:$O$99,15,0))*(1-0.06)</f>
        <v>371.84519999999998</v>
      </c>
      <c r="X1958" s="70">
        <f>IF(ISERROR(VLOOKUP($U$1958,'TAR FIN'!$A$1:$O$99,15,0)),0,VLOOKUP($U$1958,'TAR FIN'!$A$1:$O$99,15,0))*(1-0.06)</f>
        <v>216.69819999999999</v>
      </c>
      <c r="Y1958" s="70"/>
      <c r="Z1958" s="70">
        <f ca="1">('TUSD BE'!$AM$59+'TUSD BF'!$AM$59+'TUSD CVA'!$AM$59)*1*(1-0.03)</f>
        <v>452.62084351656773</v>
      </c>
      <c r="AA1958" s="70">
        <f>('TE BE'!$AA$41+'TE BF'!$AA$41+'TE CVA'!$AA$41)*1*(1-0.03)</f>
        <v>275.35282765895511</v>
      </c>
      <c r="AB1958" s="4">
        <f>$K$1958*$V$1958</f>
        <v>0</v>
      </c>
      <c r="AC1958" s="4">
        <f>$M$1958*$W$1958</f>
        <v>-10.0398204</v>
      </c>
      <c r="AD1958" s="4">
        <f>$O$1958*$X$1958</f>
        <v>-5.8508513999999998</v>
      </c>
      <c r="AE1958" s="4">
        <f>$K$1958*$Y$1958</f>
        <v>0</v>
      </c>
      <c r="AF1958" s="4">
        <f ca="1">$M$1958*$Z$1958</f>
        <v>-12.220762774947328</v>
      </c>
      <c r="AG1958" s="4">
        <f>$O$1958*$AA$1958</f>
        <v>-7.4345263467917881</v>
      </c>
    </row>
    <row r="1959" spans="1:33" ht="11.25" customHeight="1" x14ac:dyDescent="0.25">
      <c r="A1959" s="3" t="s">
        <v>21</v>
      </c>
      <c r="B1959" s="3" t="s">
        <v>39</v>
      </c>
      <c r="C1959" s="3" t="s">
        <v>23</v>
      </c>
      <c r="D1959" s="3" t="s">
        <v>50</v>
      </c>
      <c r="E1959" s="3" t="s">
        <v>51</v>
      </c>
      <c r="F1959" s="3" t="s">
        <v>25</v>
      </c>
      <c r="G1959" s="3" t="s">
        <v>25</v>
      </c>
      <c r="H1959" s="3" t="s">
        <v>25</v>
      </c>
      <c r="I1959" s="6">
        <v>44378</v>
      </c>
      <c r="J1959" s="4">
        <v>0</v>
      </c>
      <c r="K1959" s="70">
        <v>0</v>
      </c>
      <c r="L1959" s="4">
        <v>2929.2640000000001</v>
      </c>
      <c r="M1959" s="70">
        <v>2929.2640000000001</v>
      </c>
      <c r="N1959" s="4">
        <v>2929.2640000000001</v>
      </c>
      <c r="O1959" s="70">
        <v>2929.2640000000001</v>
      </c>
      <c r="P1959" s="4">
        <v>1550</v>
      </c>
      <c r="Q1959" s="3" t="s">
        <v>26</v>
      </c>
      <c r="R1959" s="3">
        <v>0</v>
      </c>
      <c r="S1959" s="4">
        <v>0</v>
      </c>
      <c r="T1959" s="4">
        <v>45</v>
      </c>
      <c r="U1959" s="4">
        <v>85</v>
      </c>
      <c r="V1959" s="70">
        <f>IF(ISERROR(VLOOKUP($S$1959,'TAR FIN'!$A$1:$O$99,15,0)),0,VLOOKUP($S$1959,'TAR FIN'!$A$1:$O$99,15,0))</f>
        <v>0</v>
      </c>
      <c r="W1959" s="70">
        <f>IF(ISERROR(VLOOKUP($T$1959,'TAR FIN'!$A$1:$O$99,15,0)),0,VLOOKUP($T$1959,'TAR FIN'!$A$1:$O$99,15,0))*(1-0.06)</f>
        <v>371.84519999999998</v>
      </c>
      <c r="X1959" s="70">
        <f>IF(ISERROR(VLOOKUP($U$1959,'TAR FIN'!$A$1:$O$99,15,0)),0,VLOOKUP($U$1959,'TAR FIN'!$A$1:$O$99,15,0))*(1-0.06)</f>
        <v>216.69819999999999</v>
      </c>
      <c r="Y1959" s="70"/>
      <c r="Z1959" s="70">
        <f ca="1">('TUSD BE'!$AM$59+'TUSD BF'!$AM$59+'TUSD CVA'!$AM$59)*1*(1-0.03)</f>
        <v>452.62084351656773</v>
      </c>
      <c r="AA1959" s="70">
        <f>('TE BE'!$AA$41+'TE BF'!$AA$41+'TE CVA'!$AA$41)*1*(1-0.03)</f>
        <v>275.35282765895511</v>
      </c>
      <c r="AB1959" s="4">
        <f>$K$1959*$V$1959</f>
        <v>0</v>
      </c>
      <c r="AC1959" s="4">
        <f>$M$1959*$W$1959</f>
        <v>1089232.7579327999</v>
      </c>
      <c r="AD1959" s="4">
        <f>$O$1959*$X$1959</f>
        <v>634766.23612479994</v>
      </c>
      <c r="AE1959" s="4">
        <f>$K$1959*$Y$1959</f>
        <v>0</v>
      </c>
      <c r="AF1959" s="4">
        <f ca="1">$M$1959*$Z$1959</f>
        <v>1325845.9425627154</v>
      </c>
      <c r="AG1959" s="4">
        <f>$O$1959*$AA$1959</f>
        <v>806581.12535958155</v>
      </c>
    </row>
    <row r="1960" spans="1:33" ht="11.25" customHeight="1" x14ac:dyDescent="0.25">
      <c r="A1960" s="3" t="s">
        <v>27</v>
      </c>
      <c r="B1960" s="3" t="s">
        <v>39</v>
      </c>
      <c r="C1960" s="3" t="s">
        <v>23</v>
      </c>
      <c r="D1960" s="3" t="s">
        <v>50</v>
      </c>
      <c r="E1960" s="3" t="s">
        <v>51</v>
      </c>
      <c r="F1960" s="3" t="s">
        <v>25</v>
      </c>
      <c r="G1960" s="3" t="s">
        <v>25</v>
      </c>
      <c r="H1960" s="3" t="s">
        <v>25</v>
      </c>
      <c r="I1960" s="6">
        <v>44378</v>
      </c>
      <c r="J1960" s="4">
        <v>0</v>
      </c>
      <c r="K1960" s="70">
        <v>0</v>
      </c>
      <c r="L1960" s="4">
        <v>-6.7169999999999996</v>
      </c>
      <c r="M1960" s="70">
        <v>-6.7169999999999996</v>
      </c>
      <c r="N1960" s="4">
        <v>-6.7169999999999996</v>
      </c>
      <c r="O1960" s="70">
        <v>-6.7169999999999996</v>
      </c>
      <c r="P1960" s="4">
        <v>2</v>
      </c>
      <c r="Q1960" s="3" t="s">
        <v>26</v>
      </c>
      <c r="R1960" s="3">
        <v>0</v>
      </c>
      <c r="S1960" s="4">
        <v>0</v>
      </c>
      <c r="T1960" s="4">
        <v>45</v>
      </c>
      <c r="U1960" s="4">
        <v>85</v>
      </c>
      <c r="V1960" s="70">
        <f>IF(ISERROR(VLOOKUP($S$1960,'TAR FIN'!$A$1:$O$99,15,0)),0,VLOOKUP($S$1960,'TAR FIN'!$A$1:$O$99,15,0))</f>
        <v>0</v>
      </c>
      <c r="W1960" s="70">
        <f>IF(ISERROR(VLOOKUP($T$1960,'TAR FIN'!$A$1:$O$99,15,0)),0,VLOOKUP($T$1960,'TAR FIN'!$A$1:$O$99,15,0))*(1-0.06)</f>
        <v>371.84519999999998</v>
      </c>
      <c r="X1960" s="70">
        <f>IF(ISERROR(VLOOKUP($U$1960,'TAR FIN'!$A$1:$O$99,15,0)),0,VLOOKUP($U$1960,'TAR FIN'!$A$1:$O$99,15,0))*(1-0.06)</f>
        <v>216.69819999999999</v>
      </c>
      <c r="Y1960" s="70"/>
      <c r="Z1960" s="70">
        <f ca="1">('TUSD BE'!$AM$59+'TUSD BF'!$AM$59+'TUSD CVA'!$AM$59)*1*(1-0.03)</f>
        <v>452.62084351656773</v>
      </c>
      <c r="AA1960" s="70">
        <f>('TE BE'!$AA$41+'TE BF'!$AA$41+'TE CVA'!$AA$41)*1*(1-0.03)</f>
        <v>275.35282765895511</v>
      </c>
      <c r="AB1960" s="4">
        <f>$K$1960*$V$1960</f>
        <v>0</v>
      </c>
      <c r="AC1960" s="4">
        <f>$M$1960*$W$1960</f>
        <v>-2497.6842083999995</v>
      </c>
      <c r="AD1960" s="4">
        <f>$O$1960*$X$1960</f>
        <v>-1455.5618093999999</v>
      </c>
      <c r="AE1960" s="4">
        <f>$K$1960*$Y$1960</f>
        <v>0</v>
      </c>
      <c r="AF1960" s="4">
        <f ca="1">$M$1960*$Z$1960</f>
        <v>-3040.2542059007851</v>
      </c>
      <c r="AG1960" s="4">
        <f>$O$1960*$AA$1960</f>
        <v>-1849.5449433852013</v>
      </c>
    </row>
    <row r="1961" spans="1:33" ht="11.25" customHeight="1" x14ac:dyDescent="0.25">
      <c r="A1961" s="3" t="s">
        <v>21</v>
      </c>
      <c r="B1961" s="3" t="s">
        <v>39</v>
      </c>
      <c r="C1961" s="3" t="s">
        <v>23</v>
      </c>
      <c r="D1961" s="3" t="s">
        <v>50</v>
      </c>
      <c r="E1961" s="3" t="s">
        <v>51</v>
      </c>
      <c r="F1961" s="3" t="s">
        <v>25</v>
      </c>
      <c r="G1961" s="3" t="s">
        <v>25</v>
      </c>
      <c r="H1961" s="3" t="s">
        <v>25</v>
      </c>
      <c r="I1961" s="6">
        <v>44409</v>
      </c>
      <c r="J1961" s="4">
        <v>0</v>
      </c>
      <c r="K1961" s="70">
        <v>0</v>
      </c>
      <c r="L1961" s="4">
        <v>2958.587</v>
      </c>
      <c r="M1961" s="70">
        <v>2958.587</v>
      </c>
      <c r="N1961" s="4">
        <v>2958.587</v>
      </c>
      <c r="O1961" s="70">
        <v>2958.587</v>
      </c>
      <c r="P1961" s="4">
        <v>1556</v>
      </c>
      <c r="Q1961" s="3" t="s">
        <v>26</v>
      </c>
      <c r="R1961" s="3">
        <v>0</v>
      </c>
      <c r="S1961" s="4">
        <v>0</v>
      </c>
      <c r="T1961" s="4">
        <v>45</v>
      </c>
      <c r="U1961" s="4">
        <v>85</v>
      </c>
      <c r="V1961" s="70">
        <f>IF(ISERROR(VLOOKUP($S$1961,'TAR FIN'!$A$1:$O$99,15,0)),0,VLOOKUP($S$1961,'TAR FIN'!$A$1:$O$99,15,0))</f>
        <v>0</v>
      </c>
      <c r="W1961" s="70">
        <f>IF(ISERROR(VLOOKUP($T$1961,'TAR FIN'!$A$1:$O$99,15,0)),0,VLOOKUP($T$1961,'TAR FIN'!$A$1:$O$99,15,0))*(1-0.06)</f>
        <v>371.84519999999998</v>
      </c>
      <c r="X1961" s="70">
        <f>IF(ISERROR(VLOOKUP($U$1961,'TAR FIN'!$A$1:$O$99,15,0)),0,VLOOKUP($U$1961,'TAR FIN'!$A$1:$O$99,15,0))*(1-0.06)</f>
        <v>216.69819999999999</v>
      </c>
      <c r="Y1961" s="70"/>
      <c r="Z1961" s="70">
        <f ca="1">('TUSD BE'!$AM$59+'TUSD BF'!$AM$59+'TUSD CVA'!$AM$59)*1*(1-0.03)</f>
        <v>452.62084351656773</v>
      </c>
      <c r="AA1961" s="70">
        <f>('TE BE'!$AA$41+'TE BF'!$AA$41+'TE CVA'!$AA$41)*1*(1-0.03)</f>
        <v>275.35282765895511</v>
      </c>
      <c r="AB1961" s="4">
        <f>$K$1961*$V$1961</f>
        <v>0</v>
      </c>
      <c r="AC1961" s="4">
        <f>$M$1961*$W$1961</f>
        <v>1100136.3747323998</v>
      </c>
      <c r="AD1961" s="4">
        <f>$O$1961*$X$1961</f>
        <v>641120.47744339996</v>
      </c>
      <c r="AE1961" s="4">
        <f>$K$1961*$Y$1961</f>
        <v>0</v>
      </c>
      <c r="AF1961" s="4">
        <f ca="1">$M$1961*$Z$1961</f>
        <v>1339118.1435571515</v>
      </c>
      <c r="AG1961" s="4">
        <f>$O$1961*$AA$1961</f>
        <v>814655.29632502503</v>
      </c>
    </row>
    <row r="1962" spans="1:33" ht="11.25" customHeight="1" x14ac:dyDescent="0.25">
      <c r="A1962" s="3" t="s">
        <v>27</v>
      </c>
      <c r="B1962" s="3" t="s">
        <v>39</v>
      </c>
      <c r="C1962" s="3" t="s">
        <v>23</v>
      </c>
      <c r="D1962" s="3" t="s">
        <v>50</v>
      </c>
      <c r="E1962" s="3" t="s">
        <v>51</v>
      </c>
      <c r="F1962" s="3" t="s">
        <v>25</v>
      </c>
      <c r="G1962" s="3" t="s">
        <v>25</v>
      </c>
      <c r="H1962" s="3" t="s">
        <v>25</v>
      </c>
      <c r="I1962" s="6">
        <v>44409</v>
      </c>
      <c r="J1962" s="4">
        <v>0</v>
      </c>
      <c r="K1962" s="70">
        <v>0</v>
      </c>
      <c r="L1962" s="4">
        <v>2.613</v>
      </c>
      <c r="M1962" s="70">
        <v>2.613</v>
      </c>
      <c r="N1962" s="4">
        <v>2.613</v>
      </c>
      <c r="O1962" s="70">
        <v>2.613</v>
      </c>
      <c r="P1962" s="4">
        <v>0</v>
      </c>
      <c r="Q1962" s="3" t="s">
        <v>26</v>
      </c>
      <c r="R1962" s="3">
        <v>0</v>
      </c>
      <c r="S1962" s="4">
        <v>0</v>
      </c>
      <c r="T1962" s="4">
        <v>45</v>
      </c>
      <c r="U1962" s="4">
        <v>85</v>
      </c>
      <c r="V1962" s="70">
        <f>IF(ISERROR(VLOOKUP($S$1962,'TAR FIN'!$A$1:$O$99,15,0)),0,VLOOKUP($S$1962,'TAR FIN'!$A$1:$O$99,15,0))</f>
        <v>0</v>
      </c>
      <c r="W1962" s="70">
        <f>IF(ISERROR(VLOOKUP($T$1962,'TAR FIN'!$A$1:$O$99,15,0)),0,VLOOKUP($T$1962,'TAR FIN'!$A$1:$O$99,15,0))*(1-0.06)</f>
        <v>371.84519999999998</v>
      </c>
      <c r="X1962" s="70">
        <f>IF(ISERROR(VLOOKUP($U$1962,'TAR FIN'!$A$1:$O$99,15,0)),0,VLOOKUP($U$1962,'TAR FIN'!$A$1:$O$99,15,0))*(1-0.06)</f>
        <v>216.69819999999999</v>
      </c>
      <c r="Y1962" s="70"/>
      <c r="Z1962" s="70">
        <f ca="1">('TUSD BE'!$AM$59+'TUSD BF'!$AM$59+'TUSD CVA'!$AM$59)*1*(1-0.03)</f>
        <v>452.62084351656773</v>
      </c>
      <c r="AA1962" s="70">
        <f>('TE BE'!$AA$41+'TE BF'!$AA$41+'TE CVA'!$AA$41)*1*(1-0.03)</f>
        <v>275.35282765895511</v>
      </c>
      <c r="AB1962" s="4">
        <f>$K$1962*$V$1962</f>
        <v>0</v>
      </c>
      <c r="AC1962" s="4">
        <f>$M$1962*$W$1962</f>
        <v>971.63150759999996</v>
      </c>
      <c r="AD1962" s="4">
        <f>$O$1962*$X$1962</f>
        <v>566.23239660000002</v>
      </c>
      <c r="AE1962" s="4">
        <f>$K$1962*$Y$1962</f>
        <v>0</v>
      </c>
      <c r="AF1962" s="4">
        <f ca="1">$M$1962*$Z$1962</f>
        <v>1182.6982641087916</v>
      </c>
      <c r="AG1962" s="4">
        <f>$O$1962*$AA$1962</f>
        <v>719.49693867284964</v>
      </c>
    </row>
    <row r="1963" spans="1:33" ht="11.25" customHeight="1" x14ac:dyDescent="0.25">
      <c r="A1963" s="3" t="s">
        <v>28</v>
      </c>
      <c r="B1963" s="3" t="s">
        <v>39</v>
      </c>
      <c r="C1963" s="3" t="s">
        <v>23</v>
      </c>
      <c r="D1963" s="3" t="s">
        <v>50</v>
      </c>
      <c r="E1963" s="3" t="s">
        <v>51</v>
      </c>
      <c r="F1963" s="3" t="s">
        <v>25</v>
      </c>
      <c r="G1963" s="3" t="s">
        <v>25</v>
      </c>
      <c r="H1963" s="3" t="s">
        <v>25</v>
      </c>
      <c r="I1963" s="6">
        <v>44409</v>
      </c>
      <c r="J1963" s="4">
        <v>0</v>
      </c>
      <c r="K1963" s="70">
        <v>0</v>
      </c>
      <c r="L1963" s="4">
        <v>13.978</v>
      </c>
      <c r="M1963" s="70">
        <v>13.978</v>
      </c>
      <c r="N1963" s="4">
        <v>13.978</v>
      </c>
      <c r="O1963" s="70">
        <v>13.978</v>
      </c>
      <c r="P1963" s="4">
        <v>5</v>
      </c>
      <c r="Q1963" s="3" t="s">
        <v>26</v>
      </c>
      <c r="R1963" s="3">
        <v>0</v>
      </c>
      <c r="S1963" s="4">
        <v>0</v>
      </c>
      <c r="T1963" s="4">
        <v>45</v>
      </c>
      <c r="U1963" s="4">
        <v>85</v>
      </c>
      <c r="V1963" s="70">
        <f>IF(ISERROR(VLOOKUP($S$1963,'TAR FIN'!$A$1:$O$99,15,0)),0,VLOOKUP($S$1963,'TAR FIN'!$A$1:$O$99,15,0))</f>
        <v>0</v>
      </c>
      <c r="W1963" s="70">
        <f>IF(ISERROR(VLOOKUP($T$1963,'TAR FIN'!$A$1:$O$99,15,0)),0,VLOOKUP($T$1963,'TAR FIN'!$A$1:$O$99,15,0))*(1-0.06)</f>
        <v>371.84519999999998</v>
      </c>
      <c r="X1963" s="70">
        <f>IF(ISERROR(VLOOKUP($U$1963,'TAR FIN'!$A$1:$O$99,15,0)),0,VLOOKUP($U$1963,'TAR FIN'!$A$1:$O$99,15,0))*(1-0.06)</f>
        <v>216.69819999999999</v>
      </c>
      <c r="Y1963" s="70"/>
      <c r="Z1963" s="70">
        <f ca="1">('TUSD BE'!$AM$59+'TUSD BF'!$AM$59+'TUSD CVA'!$AM$59)*1*(1-0.03)</f>
        <v>452.62084351656773</v>
      </c>
      <c r="AA1963" s="70">
        <f>('TE BE'!$AA$41+'TE BF'!$AA$41+'TE CVA'!$AA$41)*1*(1-0.03)</f>
        <v>275.35282765895511</v>
      </c>
      <c r="AB1963" s="4">
        <f>$K$1963*$V$1963</f>
        <v>0</v>
      </c>
      <c r="AC1963" s="4">
        <f>$M$1963*$W$1963</f>
        <v>5197.6522055999994</v>
      </c>
      <c r="AD1963" s="4">
        <f>$O$1963*$X$1963</f>
        <v>3029.0074395999995</v>
      </c>
      <c r="AE1963" s="4">
        <f>$K$1963*$Y$1963</f>
        <v>0</v>
      </c>
      <c r="AF1963" s="4">
        <f ca="1">$M$1963*$Z$1963</f>
        <v>6326.7341506745834</v>
      </c>
      <c r="AG1963" s="4">
        <f>$O$1963*$AA$1963</f>
        <v>3848.8818250168742</v>
      </c>
    </row>
    <row r="1964" spans="1:33" ht="11.25" customHeight="1" x14ac:dyDescent="0.25">
      <c r="A1964" s="3" t="s">
        <v>21</v>
      </c>
      <c r="B1964" s="3" t="s">
        <v>39</v>
      </c>
      <c r="C1964" s="3" t="s">
        <v>23</v>
      </c>
      <c r="D1964" s="3" t="s">
        <v>50</v>
      </c>
      <c r="E1964" s="3" t="s">
        <v>51</v>
      </c>
      <c r="F1964" s="3" t="s">
        <v>25</v>
      </c>
      <c r="G1964" s="3" t="s">
        <v>25</v>
      </c>
      <c r="H1964" s="3" t="s">
        <v>25</v>
      </c>
      <c r="I1964" s="6">
        <v>44440</v>
      </c>
      <c r="J1964" s="4">
        <v>0</v>
      </c>
      <c r="K1964" s="70">
        <v>0</v>
      </c>
      <c r="L1964" s="4">
        <v>2312.0279999999998</v>
      </c>
      <c r="M1964" s="70">
        <v>2312.0279999999998</v>
      </c>
      <c r="N1964" s="4">
        <v>2312.0279999999998</v>
      </c>
      <c r="O1964" s="70">
        <v>2312.0279999999998</v>
      </c>
      <c r="P1964" s="4">
        <v>1408</v>
      </c>
      <c r="Q1964" s="3" t="s">
        <v>26</v>
      </c>
      <c r="R1964" s="3">
        <v>0</v>
      </c>
      <c r="S1964" s="4">
        <v>0</v>
      </c>
      <c r="T1964" s="4">
        <v>45</v>
      </c>
      <c r="U1964" s="4">
        <v>85</v>
      </c>
      <c r="V1964" s="70">
        <f>IF(ISERROR(VLOOKUP($S$1964,'TAR FIN'!$A$1:$O$99,15,0)),0,VLOOKUP($S$1964,'TAR FIN'!$A$1:$O$99,15,0))</f>
        <v>0</v>
      </c>
      <c r="W1964" s="70">
        <f>IF(ISERROR(VLOOKUP($T$1964,'TAR FIN'!$A$1:$O$99,15,0)),0,VLOOKUP($T$1964,'TAR FIN'!$A$1:$O$99,15,0))*(1-0.06)</f>
        <v>371.84519999999998</v>
      </c>
      <c r="X1964" s="70">
        <f>IF(ISERROR(VLOOKUP($U$1964,'TAR FIN'!$A$1:$O$99,15,0)),0,VLOOKUP($U$1964,'TAR FIN'!$A$1:$O$99,15,0))*(1-0.06)</f>
        <v>216.69819999999999</v>
      </c>
      <c r="Y1964" s="70"/>
      <c r="Z1964" s="70">
        <f ca="1">('TUSD BE'!$AM$59+'TUSD BF'!$AM$59+'TUSD CVA'!$AM$59)*1*(1-0.03)</f>
        <v>452.62084351656773</v>
      </c>
      <c r="AA1964" s="70">
        <f>('TE BE'!$AA$41+'TE BF'!$AA$41+'TE CVA'!$AA$41)*1*(1-0.03)</f>
        <v>275.35282765895511</v>
      </c>
      <c r="AB1964" s="4">
        <f>$K$1964*$V$1964</f>
        <v>0</v>
      </c>
      <c r="AC1964" s="4">
        <f>$M$1964*$W$1964</f>
        <v>859716.51406559988</v>
      </c>
      <c r="AD1964" s="4">
        <f>$O$1964*$X$1964</f>
        <v>501012.30594959995</v>
      </c>
      <c r="AE1964" s="4">
        <f>$K$1964*$Y$1964</f>
        <v>0</v>
      </c>
      <c r="AF1964" s="4">
        <f ca="1">$M$1964*$Z$1964</f>
        <v>1046472.063593923</v>
      </c>
      <c r="AG1964" s="4">
        <f>$O$1964*$AA$1964</f>
        <v>636623.44742667861</v>
      </c>
    </row>
    <row r="1965" spans="1:33" ht="11.25" customHeight="1" x14ac:dyDescent="0.25">
      <c r="A1965" s="3" t="s">
        <v>28</v>
      </c>
      <c r="B1965" s="3" t="s">
        <v>39</v>
      </c>
      <c r="C1965" s="3" t="s">
        <v>23</v>
      </c>
      <c r="D1965" s="3" t="s">
        <v>50</v>
      </c>
      <c r="E1965" s="3" t="s">
        <v>51</v>
      </c>
      <c r="F1965" s="3" t="s">
        <v>25</v>
      </c>
      <c r="G1965" s="3" t="s">
        <v>25</v>
      </c>
      <c r="H1965" s="3" t="s">
        <v>25</v>
      </c>
      <c r="I1965" s="6">
        <v>44440</v>
      </c>
      <c r="J1965" s="4">
        <v>0</v>
      </c>
      <c r="K1965" s="70">
        <v>0</v>
      </c>
      <c r="L1965" s="4">
        <v>373.048</v>
      </c>
      <c r="M1965" s="70">
        <v>373.048</v>
      </c>
      <c r="N1965" s="4">
        <v>373.048</v>
      </c>
      <c r="O1965" s="70">
        <v>373.048</v>
      </c>
      <c r="P1965" s="4">
        <v>134</v>
      </c>
      <c r="Q1965" s="3" t="s">
        <v>26</v>
      </c>
      <c r="R1965" s="3">
        <v>0</v>
      </c>
      <c r="S1965" s="4">
        <v>0</v>
      </c>
      <c r="T1965" s="4">
        <v>45</v>
      </c>
      <c r="U1965" s="4">
        <v>85</v>
      </c>
      <c r="V1965" s="70">
        <f>IF(ISERROR(VLOOKUP($S$1965,'TAR FIN'!$A$1:$O$99,15,0)),0,VLOOKUP($S$1965,'TAR FIN'!$A$1:$O$99,15,0))</f>
        <v>0</v>
      </c>
      <c r="W1965" s="70">
        <f>IF(ISERROR(VLOOKUP($T$1965,'TAR FIN'!$A$1:$O$99,15,0)),0,VLOOKUP($T$1965,'TAR FIN'!$A$1:$O$99,15,0))*(1-0.06)</f>
        <v>371.84519999999998</v>
      </c>
      <c r="X1965" s="70">
        <f>IF(ISERROR(VLOOKUP($U$1965,'TAR FIN'!$A$1:$O$99,15,0)),0,VLOOKUP($U$1965,'TAR FIN'!$A$1:$O$99,15,0))*(1-0.06)</f>
        <v>216.69819999999999</v>
      </c>
      <c r="Y1965" s="70"/>
      <c r="Z1965" s="70">
        <f ca="1">('TUSD BE'!$AM$59+'TUSD BF'!$AM$59+'TUSD CVA'!$AM$59)*1*(1-0.03)</f>
        <v>452.62084351656773</v>
      </c>
      <c r="AA1965" s="70">
        <f>('TE BE'!$AA$41+'TE BF'!$AA$41+'TE CVA'!$AA$41)*1*(1-0.03)</f>
        <v>275.35282765895511</v>
      </c>
      <c r="AB1965" s="4">
        <f>$K$1965*$V$1965</f>
        <v>0</v>
      </c>
      <c r="AC1965" s="4">
        <f>$M$1965*$W$1965</f>
        <v>138716.10816959999</v>
      </c>
      <c r="AD1965" s="4">
        <f>$O$1965*$X$1965</f>
        <v>80838.830113599994</v>
      </c>
      <c r="AE1965" s="4">
        <f>$K$1965*$Y$1965</f>
        <v>0</v>
      </c>
      <c r="AF1965" s="4">
        <f ca="1">$M$1965*$Z$1965</f>
        <v>168849.30043216856</v>
      </c>
      <c r="AG1965" s="4">
        <f>$O$1965*$AA$1965</f>
        <v>102719.82165251789</v>
      </c>
    </row>
    <row r="1966" spans="1:33" ht="11.25" customHeight="1" x14ac:dyDescent="0.25">
      <c r="A1966" s="3" t="s">
        <v>21</v>
      </c>
      <c r="B1966" s="3" t="s">
        <v>39</v>
      </c>
      <c r="C1966" s="3" t="s">
        <v>23</v>
      </c>
      <c r="D1966" s="3" t="s">
        <v>50</v>
      </c>
      <c r="E1966" s="3" t="s">
        <v>51</v>
      </c>
      <c r="F1966" s="3" t="s">
        <v>25</v>
      </c>
      <c r="G1966" s="3" t="s">
        <v>25</v>
      </c>
      <c r="H1966" s="3" t="s">
        <v>25</v>
      </c>
      <c r="I1966" s="6">
        <v>44470</v>
      </c>
      <c r="J1966" s="4">
        <v>0</v>
      </c>
      <c r="K1966" s="70">
        <v>0</v>
      </c>
      <c r="L1966" s="4">
        <v>2505.9850000000001</v>
      </c>
      <c r="M1966" s="70">
        <v>2505.9850000000001</v>
      </c>
      <c r="N1966" s="4">
        <v>2505.9850000000001</v>
      </c>
      <c r="O1966" s="70">
        <v>2505.9850000000001</v>
      </c>
      <c r="P1966" s="4">
        <v>1402</v>
      </c>
      <c r="Q1966" s="3" t="s">
        <v>26</v>
      </c>
      <c r="R1966" s="3">
        <v>0</v>
      </c>
      <c r="S1966" s="4">
        <v>0</v>
      </c>
      <c r="T1966" s="4">
        <v>45</v>
      </c>
      <c r="U1966" s="4">
        <v>85</v>
      </c>
      <c r="V1966" s="70">
        <f>IF(ISERROR(VLOOKUP($S$1966,'TAR FIN'!$A$1:$O$99,15,0)),0,VLOOKUP($S$1966,'TAR FIN'!$A$1:$O$99,15,0))</f>
        <v>0</v>
      </c>
      <c r="W1966" s="70">
        <f>IF(ISERROR(VLOOKUP($T$1966,'TAR FIN'!$A$1:$O$99,15,0)),0,VLOOKUP($T$1966,'TAR FIN'!$A$1:$O$99,15,0))*(1-0.06)</f>
        <v>371.84519999999998</v>
      </c>
      <c r="X1966" s="70">
        <f>IF(ISERROR(VLOOKUP($U$1966,'TAR FIN'!$A$1:$O$99,15,0)),0,VLOOKUP($U$1966,'TAR FIN'!$A$1:$O$99,15,0))*(1-0.06)</f>
        <v>216.69819999999999</v>
      </c>
      <c r="Y1966" s="70"/>
      <c r="Z1966" s="70">
        <f ca="1">('TUSD BE'!$AM$59+'TUSD BF'!$AM$59+'TUSD CVA'!$AM$59)*1*(1-0.03)</f>
        <v>452.62084351656773</v>
      </c>
      <c r="AA1966" s="70">
        <f>('TE BE'!$AA$41+'TE BF'!$AA$41+'TE CVA'!$AA$41)*1*(1-0.03)</f>
        <v>275.35282765895511</v>
      </c>
      <c r="AB1966" s="4">
        <f>$K$1966*$V$1966</f>
        <v>0</v>
      </c>
      <c r="AC1966" s="4">
        <f>$M$1966*$W$1966</f>
        <v>931838.49352200003</v>
      </c>
      <c r="AD1966" s="4">
        <f>$O$1966*$X$1966</f>
        <v>543042.43872700003</v>
      </c>
      <c r="AE1966" s="4">
        <f>$K$1966*$Y$1966</f>
        <v>0</v>
      </c>
      <c r="AF1966" s="4">
        <f ca="1">$M$1966*$Z$1966</f>
        <v>1134261.044539866</v>
      </c>
      <c r="AG1966" s="4">
        <f>$O$1966*$AA$1966</f>
        <v>690030.05582092667</v>
      </c>
    </row>
    <row r="1967" spans="1:33" ht="11.25" customHeight="1" x14ac:dyDescent="0.25">
      <c r="A1967" s="3" t="s">
        <v>28</v>
      </c>
      <c r="B1967" s="3" t="s">
        <v>39</v>
      </c>
      <c r="C1967" s="3" t="s">
        <v>23</v>
      </c>
      <c r="D1967" s="3" t="s">
        <v>50</v>
      </c>
      <c r="E1967" s="3" t="s">
        <v>51</v>
      </c>
      <c r="F1967" s="3" t="s">
        <v>25</v>
      </c>
      <c r="G1967" s="3" t="s">
        <v>25</v>
      </c>
      <c r="H1967" s="3" t="s">
        <v>25</v>
      </c>
      <c r="I1967" s="6">
        <v>44470</v>
      </c>
      <c r="J1967" s="4">
        <v>0</v>
      </c>
      <c r="K1967" s="70">
        <v>0</v>
      </c>
      <c r="L1967" s="4">
        <v>196.49299999999999</v>
      </c>
      <c r="M1967" s="70">
        <v>196.49299999999999</v>
      </c>
      <c r="N1967" s="4">
        <v>196.49299999999999</v>
      </c>
      <c r="O1967" s="70">
        <v>196.49299999999999</v>
      </c>
      <c r="P1967" s="4">
        <v>173</v>
      </c>
      <c r="Q1967" s="3" t="s">
        <v>26</v>
      </c>
      <c r="R1967" s="3">
        <v>0</v>
      </c>
      <c r="S1967" s="4">
        <v>0</v>
      </c>
      <c r="T1967" s="4">
        <v>45</v>
      </c>
      <c r="U1967" s="4">
        <v>85</v>
      </c>
      <c r="V1967" s="70">
        <f>IF(ISERROR(VLOOKUP($S$1967,'TAR FIN'!$A$1:$O$99,15,0)),0,VLOOKUP($S$1967,'TAR FIN'!$A$1:$O$99,15,0))</f>
        <v>0</v>
      </c>
      <c r="W1967" s="70">
        <f>IF(ISERROR(VLOOKUP($T$1967,'TAR FIN'!$A$1:$O$99,15,0)),0,VLOOKUP($T$1967,'TAR FIN'!$A$1:$O$99,15,0))*(1-0.06)</f>
        <v>371.84519999999998</v>
      </c>
      <c r="X1967" s="70">
        <f>IF(ISERROR(VLOOKUP($U$1967,'TAR FIN'!$A$1:$O$99,15,0)),0,VLOOKUP($U$1967,'TAR FIN'!$A$1:$O$99,15,0))*(1-0.06)</f>
        <v>216.69819999999999</v>
      </c>
      <c r="Y1967" s="70"/>
      <c r="Z1967" s="70">
        <f ca="1">('TUSD BE'!$AM$59+'TUSD BF'!$AM$59+'TUSD CVA'!$AM$59)*1*(1-0.03)</f>
        <v>452.62084351656773</v>
      </c>
      <c r="AA1967" s="70">
        <f>('TE BE'!$AA$41+'TE BF'!$AA$41+'TE CVA'!$AA$41)*1*(1-0.03)</f>
        <v>275.35282765895511</v>
      </c>
      <c r="AB1967" s="4">
        <f>$K$1967*$V$1967</f>
        <v>0</v>
      </c>
      <c r="AC1967" s="4">
        <f>$M$1967*$W$1967</f>
        <v>73064.978883599993</v>
      </c>
      <c r="AD1967" s="4">
        <f>$O$1967*$X$1967</f>
        <v>42579.679412599995</v>
      </c>
      <c r="AE1967" s="4">
        <f>$K$1967*$Y$1967</f>
        <v>0</v>
      </c>
      <c r="AF1967" s="4">
        <f ca="1">$M$1967*$Z$1967</f>
        <v>88936.827405100936</v>
      </c>
      <c r="AG1967" s="4">
        <f>$O$1967*$AA$1967</f>
        <v>54104.903165191063</v>
      </c>
    </row>
    <row r="1968" spans="1:33" ht="11.25" customHeight="1" x14ac:dyDescent="0.25">
      <c r="A1968" s="3" t="s">
        <v>28</v>
      </c>
      <c r="B1968" s="3" t="s">
        <v>39</v>
      </c>
      <c r="C1968" s="3" t="s">
        <v>23</v>
      </c>
      <c r="D1968" s="3" t="s">
        <v>50</v>
      </c>
      <c r="E1968" s="3" t="s">
        <v>51</v>
      </c>
      <c r="F1968" s="3" t="s">
        <v>25</v>
      </c>
      <c r="G1968" s="3" t="s">
        <v>25</v>
      </c>
      <c r="H1968" s="3" t="s">
        <v>25</v>
      </c>
      <c r="I1968" s="6">
        <v>44470</v>
      </c>
      <c r="J1968" s="4">
        <v>0</v>
      </c>
      <c r="K1968" s="70">
        <v>0</v>
      </c>
      <c r="L1968" s="4">
        <v>2.5070000000000001</v>
      </c>
      <c r="M1968" s="70">
        <v>2.5070000000000001</v>
      </c>
      <c r="N1968" s="4">
        <v>2.5070000000000001</v>
      </c>
      <c r="O1968" s="70">
        <v>2.5070000000000001</v>
      </c>
      <c r="P1968" s="4">
        <v>0</v>
      </c>
      <c r="Q1968" s="3" t="s">
        <v>26</v>
      </c>
      <c r="R1968" s="3">
        <v>0</v>
      </c>
      <c r="S1968" s="4">
        <v>0</v>
      </c>
      <c r="T1968" s="4">
        <v>45</v>
      </c>
      <c r="U1968" s="4">
        <v>85</v>
      </c>
      <c r="V1968" s="70">
        <f>IF(ISERROR(VLOOKUP($S$1968,'TAR FIN'!$A$1:$O$99,15,0)),0,VLOOKUP($S$1968,'TAR FIN'!$A$1:$O$99,15,0))</f>
        <v>0</v>
      </c>
      <c r="W1968" s="70">
        <f>IF(ISERROR(VLOOKUP($T$1968,'TAR FIN'!$A$1:$O$99,15,0)),0,VLOOKUP($T$1968,'TAR FIN'!$A$1:$O$99,15,0))*(1-0.06)</f>
        <v>371.84519999999998</v>
      </c>
      <c r="X1968" s="70">
        <f>IF(ISERROR(VLOOKUP($U$1968,'TAR FIN'!$A$1:$O$99,15,0)),0,VLOOKUP($U$1968,'TAR FIN'!$A$1:$O$99,15,0))*(1-0.06)</f>
        <v>216.69819999999999</v>
      </c>
      <c r="Y1968" s="70"/>
      <c r="Z1968" s="70">
        <f ca="1">('TUSD BE'!$AM$59+'TUSD BF'!$AM$59+'TUSD CVA'!$AM$59)*1*(1-0.03)</f>
        <v>452.62084351656773</v>
      </c>
      <c r="AA1968" s="70">
        <f>('TE BE'!$AA$41+'TE BF'!$AA$41+'TE CVA'!$AA$41)*1*(1-0.03)</f>
        <v>275.35282765895511</v>
      </c>
      <c r="AB1968" s="4">
        <f>$K$1968*$V$1968</f>
        <v>0</v>
      </c>
      <c r="AC1968" s="4">
        <f>$M$1968*$W$1968</f>
        <v>932.21591639999997</v>
      </c>
      <c r="AD1968" s="4">
        <f>$O$1968*$X$1968</f>
        <v>543.26238739999997</v>
      </c>
      <c r="AE1968" s="4">
        <f>$K$1968*$Y$1968</f>
        <v>0</v>
      </c>
      <c r="AF1968" s="4">
        <f ca="1">$M$1968*$Z$1968</f>
        <v>1134.7204546960354</v>
      </c>
      <c r="AG1968" s="4">
        <f>$O$1968*$AA$1968</f>
        <v>690.30953894100048</v>
      </c>
    </row>
    <row r="1969" spans="1:33" ht="11.25" customHeight="1" x14ac:dyDescent="0.25">
      <c r="A1969" s="3" t="s">
        <v>21</v>
      </c>
      <c r="B1969" s="3" t="s">
        <v>39</v>
      </c>
      <c r="C1969" s="3" t="s">
        <v>23</v>
      </c>
      <c r="D1969" s="3" t="s">
        <v>50</v>
      </c>
      <c r="E1969" s="3" t="s">
        <v>51</v>
      </c>
      <c r="F1969" s="3" t="s">
        <v>25</v>
      </c>
      <c r="G1969" s="3" t="s">
        <v>25</v>
      </c>
      <c r="H1969" s="3" t="s">
        <v>25</v>
      </c>
      <c r="I1969" s="6">
        <v>44501</v>
      </c>
      <c r="J1969" s="4">
        <v>0</v>
      </c>
      <c r="K1969" s="70">
        <v>0</v>
      </c>
      <c r="L1969" s="4">
        <v>2475.7399999999998</v>
      </c>
      <c r="M1969" s="70">
        <v>2475.7399999999998</v>
      </c>
      <c r="N1969" s="4">
        <v>2475.7399999999998</v>
      </c>
      <c r="O1969" s="70">
        <v>2475.7399999999998</v>
      </c>
      <c r="P1969" s="4">
        <v>1419</v>
      </c>
      <c r="Q1969" s="3" t="s">
        <v>26</v>
      </c>
      <c r="R1969" s="3">
        <v>0</v>
      </c>
      <c r="S1969" s="4">
        <v>0</v>
      </c>
      <c r="T1969" s="4">
        <v>45</v>
      </c>
      <c r="U1969" s="4">
        <v>85</v>
      </c>
      <c r="V1969" s="70">
        <f>IF(ISERROR(VLOOKUP($S$1969,'TAR FIN'!$A$1:$O$99,15,0)),0,VLOOKUP($S$1969,'TAR FIN'!$A$1:$O$99,15,0))</f>
        <v>0</v>
      </c>
      <c r="W1969" s="70">
        <f>IF(ISERROR(VLOOKUP($T$1969,'TAR FIN'!$A$1:$O$99,15,0)),0,VLOOKUP($T$1969,'TAR FIN'!$A$1:$O$99,15,0))*(1-0.06)</f>
        <v>371.84519999999998</v>
      </c>
      <c r="X1969" s="70">
        <f>IF(ISERROR(VLOOKUP($U$1969,'TAR FIN'!$A$1:$O$99,15,0)),0,VLOOKUP($U$1969,'TAR FIN'!$A$1:$O$99,15,0))*(1-0.06)</f>
        <v>216.69819999999999</v>
      </c>
      <c r="Y1969" s="70"/>
      <c r="Z1969" s="70">
        <f ca="1">('TUSD BE'!$AM$59+'TUSD BF'!$AM$59+'TUSD CVA'!$AM$59)*1*(1-0.03)</f>
        <v>452.62084351656773</v>
      </c>
      <c r="AA1969" s="70">
        <f>('TE BE'!$AA$41+'TE BF'!$AA$41+'TE CVA'!$AA$41)*1*(1-0.03)</f>
        <v>275.35282765895511</v>
      </c>
      <c r="AB1969" s="4">
        <f>$K$1969*$V$1969</f>
        <v>0</v>
      </c>
      <c r="AC1969" s="4">
        <f>$M$1969*$W$1969</f>
        <v>920592.03544799984</v>
      </c>
      <c r="AD1969" s="4">
        <f>$O$1969*$X$1969</f>
        <v>536488.40166799992</v>
      </c>
      <c r="AE1969" s="4">
        <f>$K$1969*$Y$1969</f>
        <v>0</v>
      </c>
      <c r="AF1969" s="4">
        <f ca="1">$M$1969*$Z$1969</f>
        <v>1120571.5271277074</v>
      </c>
      <c r="AG1969" s="4">
        <f>$O$1969*$AA$1969</f>
        <v>681702.00954838144</v>
      </c>
    </row>
    <row r="1970" spans="1:33" ht="11.25" customHeight="1" x14ac:dyDescent="0.25">
      <c r="A1970" s="3" t="s">
        <v>28</v>
      </c>
      <c r="B1970" s="3" t="s">
        <v>39</v>
      </c>
      <c r="C1970" s="3" t="s">
        <v>23</v>
      </c>
      <c r="D1970" s="3" t="s">
        <v>50</v>
      </c>
      <c r="E1970" s="3" t="s">
        <v>51</v>
      </c>
      <c r="F1970" s="3" t="s">
        <v>25</v>
      </c>
      <c r="G1970" s="3" t="s">
        <v>25</v>
      </c>
      <c r="H1970" s="3" t="s">
        <v>25</v>
      </c>
      <c r="I1970" s="6">
        <v>44501</v>
      </c>
      <c r="J1970" s="4">
        <v>0</v>
      </c>
      <c r="K1970" s="70">
        <v>0</v>
      </c>
      <c r="L1970" s="4">
        <v>85.683000000000007</v>
      </c>
      <c r="M1970" s="70">
        <v>85.683000000000007</v>
      </c>
      <c r="N1970" s="4">
        <v>85.683000000000007</v>
      </c>
      <c r="O1970" s="70">
        <v>85.683000000000007</v>
      </c>
      <c r="P1970" s="4">
        <v>178</v>
      </c>
      <c r="Q1970" s="3" t="s">
        <v>26</v>
      </c>
      <c r="R1970" s="3">
        <v>0</v>
      </c>
      <c r="S1970" s="4">
        <v>0</v>
      </c>
      <c r="T1970" s="4">
        <v>45</v>
      </c>
      <c r="U1970" s="4">
        <v>85</v>
      </c>
      <c r="V1970" s="70">
        <f>IF(ISERROR(VLOOKUP($S$1970,'TAR FIN'!$A$1:$O$99,15,0)),0,VLOOKUP($S$1970,'TAR FIN'!$A$1:$O$99,15,0))</f>
        <v>0</v>
      </c>
      <c r="W1970" s="70">
        <f>IF(ISERROR(VLOOKUP($T$1970,'TAR FIN'!$A$1:$O$99,15,0)),0,VLOOKUP($T$1970,'TAR FIN'!$A$1:$O$99,15,0))*(1-0.06)</f>
        <v>371.84519999999998</v>
      </c>
      <c r="X1970" s="70">
        <f>IF(ISERROR(VLOOKUP($U$1970,'TAR FIN'!$A$1:$O$99,15,0)),0,VLOOKUP($U$1970,'TAR FIN'!$A$1:$O$99,15,0))*(1-0.06)</f>
        <v>216.69819999999999</v>
      </c>
      <c r="Y1970" s="70"/>
      <c r="Z1970" s="70">
        <f ca="1">('TUSD BE'!$AM$59+'TUSD BF'!$AM$59+'TUSD CVA'!$AM$59)*1*(1-0.03)</f>
        <v>452.62084351656773</v>
      </c>
      <c r="AA1970" s="70">
        <f>('TE BE'!$AA$41+'TE BF'!$AA$41+'TE CVA'!$AA$41)*1*(1-0.03)</f>
        <v>275.35282765895511</v>
      </c>
      <c r="AB1970" s="4">
        <f>$K$1970*$V$1970</f>
        <v>0</v>
      </c>
      <c r="AC1970" s="4">
        <f>$M$1970*$W$1970</f>
        <v>31860.8122716</v>
      </c>
      <c r="AD1970" s="4">
        <f>$O$1970*$X$1970</f>
        <v>18567.3518706</v>
      </c>
      <c r="AE1970" s="4">
        <f>$K$1970*$Y$1970</f>
        <v>0</v>
      </c>
      <c r="AF1970" s="4">
        <f ca="1">$M$1970*$Z$1970</f>
        <v>38781.911735030073</v>
      </c>
      <c r="AG1970" s="4">
        <f>$O$1970*$AA$1970</f>
        <v>23593.056332302251</v>
      </c>
    </row>
    <row r="1971" spans="1:33" ht="11.25" customHeight="1" x14ac:dyDescent="0.25">
      <c r="A1971" s="3" t="s">
        <v>21</v>
      </c>
      <c r="B1971" s="3" t="s">
        <v>39</v>
      </c>
      <c r="C1971" s="3" t="s">
        <v>23</v>
      </c>
      <c r="D1971" s="3" t="s">
        <v>50</v>
      </c>
      <c r="E1971" s="3" t="s">
        <v>51</v>
      </c>
      <c r="F1971" s="3" t="s">
        <v>25</v>
      </c>
      <c r="G1971" s="3" t="s">
        <v>25</v>
      </c>
      <c r="H1971" s="3" t="s">
        <v>25</v>
      </c>
      <c r="I1971" s="6">
        <v>44531</v>
      </c>
      <c r="J1971" s="4">
        <v>0</v>
      </c>
      <c r="K1971" s="70">
        <v>0</v>
      </c>
      <c r="L1971" s="4">
        <v>2496.7779999999998</v>
      </c>
      <c r="M1971" s="70">
        <v>2496.7779999999998</v>
      </c>
      <c r="N1971" s="4">
        <v>2496.7779999999998</v>
      </c>
      <c r="O1971" s="70">
        <v>2496.7779999999998</v>
      </c>
      <c r="P1971" s="4">
        <v>1414</v>
      </c>
      <c r="Q1971" s="3" t="s">
        <v>26</v>
      </c>
      <c r="R1971" s="3">
        <v>0</v>
      </c>
      <c r="S1971" s="4">
        <v>0</v>
      </c>
      <c r="T1971" s="4">
        <v>45</v>
      </c>
      <c r="U1971" s="4">
        <v>85</v>
      </c>
      <c r="V1971" s="70">
        <f>IF(ISERROR(VLOOKUP($S$1971,'TAR FIN'!$A$1:$O$99,15,0)),0,VLOOKUP($S$1971,'TAR FIN'!$A$1:$O$99,15,0))</f>
        <v>0</v>
      </c>
      <c r="W1971" s="70">
        <f>IF(ISERROR(VLOOKUP($T$1971,'TAR FIN'!$A$1:$O$99,15,0)),0,VLOOKUP($T$1971,'TAR FIN'!$A$1:$O$99,15,0))*(1-0.06)</f>
        <v>371.84519999999998</v>
      </c>
      <c r="X1971" s="70">
        <f>IF(ISERROR(VLOOKUP($U$1971,'TAR FIN'!$A$1:$O$99,15,0)),0,VLOOKUP($U$1971,'TAR FIN'!$A$1:$O$99,15,0))*(1-0.06)</f>
        <v>216.69819999999999</v>
      </c>
      <c r="Y1971" s="70"/>
      <c r="Z1971" s="70">
        <f ca="1">('TUSD BE'!$AM$59+'TUSD BF'!$AM$59+'TUSD CVA'!$AM$59)*1*(1-0.03)</f>
        <v>452.62084351656773</v>
      </c>
      <c r="AA1971" s="70">
        <f>('TE BE'!$AA$41+'TE BF'!$AA$41+'TE CVA'!$AA$41)*1*(1-0.03)</f>
        <v>275.35282765895511</v>
      </c>
      <c r="AB1971" s="4">
        <f>$K$1971*$V$1971</f>
        <v>0</v>
      </c>
      <c r="AC1971" s="4">
        <f>$M$1971*$W$1971</f>
        <v>928414.91476559988</v>
      </c>
      <c r="AD1971" s="4">
        <f>$O$1971*$X$1971</f>
        <v>541047.29839959997</v>
      </c>
      <c r="AE1971" s="4">
        <f>$K$1971*$Y$1971</f>
        <v>0</v>
      </c>
      <c r="AF1971" s="4">
        <f ca="1">$M$1971*$Z$1971</f>
        <v>1130093.7644336089</v>
      </c>
      <c r="AG1971" s="4">
        <f>$O$1971*$AA$1971</f>
        <v>687494.88233667053</v>
      </c>
    </row>
    <row r="1972" spans="1:33" ht="11.25" customHeight="1" x14ac:dyDescent="0.25">
      <c r="A1972" s="3" t="s">
        <v>27</v>
      </c>
      <c r="B1972" s="3" t="s">
        <v>39</v>
      </c>
      <c r="C1972" s="3" t="s">
        <v>23</v>
      </c>
      <c r="D1972" s="3" t="s">
        <v>50</v>
      </c>
      <c r="E1972" s="3" t="s">
        <v>51</v>
      </c>
      <c r="F1972" s="3" t="s">
        <v>25</v>
      </c>
      <c r="G1972" s="3" t="s">
        <v>25</v>
      </c>
      <c r="H1972" s="3" t="s">
        <v>25</v>
      </c>
      <c r="I1972" s="6">
        <v>44531</v>
      </c>
      <c r="J1972" s="4">
        <v>0</v>
      </c>
      <c r="K1972" s="70">
        <v>0</v>
      </c>
      <c r="L1972" s="4">
        <v>-5.0000000000000001E-3</v>
      </c>
      <c r="M1972" s="70">
        <v>-5.0000000000000001E-3</v>
      </c>
      <c r="N1972" s="4">
        <v>-5.0000000000000001E-3</v>
      </c>
      <c r="O1972" s="70">
        <v>-5.0000000000000001E-3</v>
      </c>
      <c r="P1972" s="4">
        <v>0</v>
      </c>
      <c r="Q1972" s="3" t="s">
        <v>26</v>
      </c>
      <c r="R1972" s="3">
        <v>0</v>
      </c>
      <c r="S1972" s="4">
        <v>0</v>
      </c>
      <c r="T1972" s="4">
        <v>45</v>
      </c>
      <c r="U1972" s="4">
        <v>85</v>
      </c>
      <c r="V1972" s="70">
        <f>IF(ISERROR(VLOOKUP($S$1972,'TAR FIN'!$A$1:$O$99,15,0)),0,VLOOKUP($S$1972,'TAR FIN'!$A$1:$O$99,15,0))</f>
        <v>0</v>
      </c>
      <c r="W1972" s="70">
        <f>IF(ISERROR(VLOOKUP($T$1972,'TAR FIN'!$A$1:$O$99,15,0)),0,VLOOKUP($T$1972,'TAR FIN'!$A$1:$O$99,15,0))*(1-0.06)</f>
        <v>371.84519999999998</v>
      </c>
      <c r="X1972" s="70">
        <f>IF(ISERROR(VLOOKUP($U$1972,'TAR FIN'!$A$1:$O$99,15,0)),0,VLOOKUP($U$1972,'TAR FIN'!$A$1:$O$99,15,0))*(1-0.06)</f>
        <v>216.69819999999999</v>
      </c>
      <c r="Y1972" s="70"/>
      <c r="Z1972" s="70">
        <f ca="1">('TUSD BE'!$AM$59+'TUSD BF'!$AM$59+'TUSD CVA'!$AM$59)*1*(1-0.03)</f>
        <v>452.62084351656773</v>
      </c>
      <c r="AA1972" s="70">
        <f>('TE BE'!$AA$41+'TE BF'!$AA$41+'TE CVA'!$AA$41)*1*(1-0.03)</f>
        <v>275.35282765895511</v>
      </c>
      <c r="AB1972" s="4">
        <f>$K$1972*$V$1972</f>
        <v>0</v>
      </c>
      <c r="AC1972" s="4">
        <f>$M$1972*$W$1972</f>
        <v>-1.8592259999999998</v>
      </c>
      <c r="AD1972" s="4">
        <f>$O$1972*$X$1972</f>
        <v>-1.083491</v>
      </c>
      <c r="AE1972" s="4">
        <f>$K$1972*$Y$1972</f>
        <v>0</v>
      </c>
      <c r="AF1972" s="4">
        <f ca="1">$M$1972*$Z$1972</f>
        <v>-2.2631042175828386</v>
      </c>
      <c r="AG1972" s="4">
        <f>$O$1972*$AA$1972</f>
        <v>-1.3767641382947755</v>
      </c>
    </row>
    <row r="1973" spans="1:33" ht="11.25" customHeight="1" x14ac:dyDescent="0.25">
      <c r="A1973" s="3" t="s">
        <v>28</v>
      </c>
      <c r="B1973" s="3" t="s">
        <v>39</v>
      </c>
      <c r="C1973" s="3" t="s">
        <v>23</v>
      </c>
      <c r="D1973" s="3" t="s">
        <v>50</v>
      </c>
      <c r="E1973" s="3" t="s">
        <v>51</v>
      </c>
      <c r="F1973" s="3" t="s">
        <v>25</v>
      </c>
      <c r="G1973" s="3" t="s">
        <v>25</v>
      </c>
      <c r="H1973" s="3" t="s">
        <v>25</v>
      </c>
      <c r="I1973" s="6">
        <v>44531</v>
      </c>
      <c r="J1973" s="4">
        <v>0</v>
      </c>
      <c r="K1973" s="70">
        <v>0</v>
      </c>
      <c r="L1973" s="4">
        <v>149.88900000000001</v>
      </c>
      <c r="M1973" s="70">
        <v>149.88900000000001</v>
      </c>
      <c r="N1973" s="4">
        <v>149.88900000000001</v>
      </c>
      <c r="O1973" s="70">
        <v>149.88900000000001</v>
      </c>
      <c r="P1973" s="4">
        <v>196</v>
      </c>
      <c r="Q1973" s="3" t="s">
        <v>26</v>
      </c>
      <c r="R1973" s="3">
        <v>0</v>
      </c>
      <c r="S1973" s="4">
        <v>0</v>
      </c>
      <c r="T1973" s="4">
        <v>45</v>
      </c>
      <c r="U1973" s="4">
        <v>85</v>
      </c>
      <c r="V1973" s="70">
        <f>IF(ISERROR(VLOOKUP($S$1973,'TAR FIN'!$A$1:$O$99,15,0)),0,VLOOKUP($S$1973,'TAR FIN'!$A$1:$O$99,15,0))</f>
        <v>0</v>
      </c>
      <c r="W1973" s="70">
        <f>IF(ISERROR(VLOOKUP($T$1973,'TAR FIN'!$A$1:$O$99,15,0)),0,VLOOKUP($T$1973,'TAR FIN'!$A$1:$O$99,15,0))*(1-0.06)</f>
        <v>371.84519999999998</v>
      </c>
      <c r="X1973" s="70">
        <f>IF(ISERROR(VLOOKUP($U$1973,'TAR FIN'!$A$1:$O$99,15,0)),0,VLOOKUP($U$1973,'TAR FIN'!$A$1:$O$99,15,0))*(1-0.06)</f>
        <v>216.69819999999999</v>
      </c>
      <c r="Y1973" s="70"/>
      <c r="Z1973" s="70">
        <f ca="1">('TUSD BE'!$AM$59+'TUSD BF'!$AM$59+'TUSD CVA'!$AM$59)*1*(1-0.03)</f>
        <v>452.62084351656773</v>
      </c>
      <c r="AA1973" s="70">
        <f>('TE BE'!$AA$41+'TE BF'!$AA$41+'TE CVA'!$AA$41)*1*(1-0.03)</f>
        <v>275.35282765895511</v>
      </c>
      <c r="AB1973" s="4">
        <f>$K$1973*$V$1973</f>
        <v>0</v>
      </c>
      <c r="AC1973" s="4">
        <f>$M$1973*$W$1973</f>
        <v>55735.5051828</v>
      </c>
      <c r="AD1973" s="4">
        <f>$O$1973*$X$1973</f>
        <v>32480.6764998</v>
      </c>
      <c r="AE1973" s="4">
        <f>$K$1973*$Y$1973</f>
        <v>0</v>
      </c>
      <c r="AF1973" s="4">
        <f ca="1">$M$1973*$Z$1973</f>
        <v>67842.885613854829</v>
      </c>
      <c r="AG1973" s="4">
        <f>$O$1973*$AA$1973</f>
        <v>41272.359984973125</v>
      </c>
    </row>
    <row r="1974" spans="1:33" ht="11.25" customHeight="1" x14ac:dyDescent="0.25">
      <c r="A1974" s="3" t="s">
        <v>28</v>
      </c>
      <c r="B1974" s="3" t="s">
        <v>39</v>
      </c>
      <c r="C1974" s="3" t="s">
        <v>23</v>
      </c>
      <c r="D1974" s="3" t="s">
        <v>50</v>
      </c>
      <c r="E1974" s="3" t="s">
        <v>51</v>
      </c>
      <c r="F1974" s="3" t="s">
        <v>25</v>
      </c>
      <c r="G1974" s="3" t="s">
        <v>25</v>
      </c>
      <c r="H1974" s="3" t="s">
        <v>25</v>
      </c>
      <c r="I1974" s="6">
        <v>44531</v>
      </c>
      <c r="J1974" s="4">
        <v>0</v>
      </c>
      <c r="K1974" s="70">
        <v>0</v>
      </c>
      <c r="L1974" s="4">
        <v>0.86899999999999999</v>
      </c>
      <c r="M1974" s="70">
        <v>0.86899999999999999</v>
      </c>
      <c r="N1974" s="4">
        <v>0.86899999999999999</v>
      </c>
      <c r="O1974" s="70">
        <v>0.86899999999999999</v>
      </c>
      <c r="P1974" s="4">
        <v>1</v>
      </c>
      <c r="Q1974" s="3" t="s">
        <v>26</v>
      </c>
      <c r="R1974" s="3">
        <v>0</v>
      </c>
      <c r="S1974" s="4">
        <v>0</v>
      </c>
      <c r="T1974" s="4">
        <v>45</v>
      </c>
      <c r="U1974" s="4">
        <v>85</v>
      </c>
      <c r="V1974" s="70">
        <f>IF(ISERROR(VLOOKUP($S$1974,'TAR FIN'!$A$1:$O$99,15,0)),0,VLOOKUP($S$1974,'TAR FIN'!$A$1:$O$99,15,0))</f>
        <v>0</v>
      </c>
      <c r="W1974" s="70">
        <f>IF(ISERROR(VLOOKUP($T$1974,'TAR FIN'!$A$1:$O$99,15,0)),0,VLOOKUP($T$1974,'TAR FIN'!$A$1:$O$99,15,0))*(1-0.06)</f>
        <v>371.84519999999998</v>
      </c>
      <c r="X1974" s="70">
        <f>IF(ISERROR(VLOOKUP($U$1974,'TAR FIN'!$A$1:$O$99,15,0)),0,VLOOKUP($U$1974,'TAR FIN'!$A$1:$O$99,15,0))*(1-0.06)</f>
        <v>216.69819999999999</v>
      </c>
      <c r="Y1974" s="70"/>
      <c r="Z1974" s="70">
        <f ca="1">('TUSD BE'!$AM$59+'TUSD BF'!$AM$59+'TUSD CVA'!$AM$59)*1*(1-0.03)</f>
        <v>452.62084351656773</v>
      </c>
      <c r="AA1974" s="70">
        <f>('TE BE'!$AA$41+'TE BF'!$AA$41+'TE CVA'!$AA$41)*1*(1-0.03)</f>
        <v>275.35282765895511</v>
      </c>
      <c r="AB1974" s="4">
        <f>$K$1974*$V$1974</f>
        <v>0</v>
      </c>
      <c r="AC1974" s="4">
        <f>$M$1974*$W$1974</f>
        <v>323.13347879999998</v>
      </c>
      <c r="AD1974" s="4">
        <f>$O$1974*$X$1974</f>
        <v>188.31073579999997</v>
      </c>
      <c r="AE1974" s="4">
        <f>$K$1974*$Y$1974</f>
        <v>0</v>
      </c>
      <c r="AF1974" s="4">
        <f ca="1">$M$1974*$Z$1974</f>
        <v>393.32751301589735</v>
      </c>
      <c r="AG1974" s="4">
        <f>$O$1974*$AA$1974</f>
        <v>239.28160723563198</v>
      </c>
    </row>
    <row r="1975" spans="1:33" ht="11.25" customHeight="1" x14ac:dyDescent="0.25">
      <c r="A1975" s="3" t="s">
        <v>21</v>
      </c>
      <c r="B1975" s="3" t="s">
        <v>39</v>
      </c>
      <c r="C1975" s="3" t="s">
        <v>23</v>
      </c>
      <c r="D1975" s="3" t="s">
        <v>50</v>
      </c>
      <c r="E1975" s="3" t="s">
        <v>51</v>
      </c>
      <c r="F1975" s="3" t="s">
        <v>25</v>
      </c>
      <c r="G1975" s="3" t="s">
        <v>25</v>
      </c>
      <c r="H1975" s="3" t="s">
        <v>25</v>
      </c>
      <c r="I1975" s="6">
        <v>44562</v>
      </c>
      <c r="J1975" s="4">
        <v>0</v>
      </c>
      <c r="K1975" s="70">
        <v>0</v>
      </c>
      <c r="L1975" s="4">
        <v>2330.549</v>
      </c>
      <c r="M1975" s="70">
        <v>2330.549</v>
      </c>
      <c r="N1975" s="4">
        <v>2330.549</v>
      </c>
      <c r="O1975" s="70">
        <v>2330.549</v>
      </c>
      <c r="P1975" s="4">
        <v>1382</v>
      </c>
      <c r="Q1975" s="3" t="s">
        <v>26</v>
      </c>
      <c r="R1975" s="3">
        <v>0</v>
      </c>
      <c r="S1975" s="4">
        <v>0</v>
      </c>
      <c r="T1975" s="4">
        <v>45</v>
      </c>
      <c r="U1975" s="4">
        <v>85</v>
      </c>
      <c r="V1975" s="70">
        <f>IF(ISERROR(VLOOKUP($S$1975,'TAR FIN'!$A$1:$O$99,15,0)),0,VLOOKUP($S$1975,'TAR FIN'!$A$1:$O$99,15,0))</f>
        <v>0</v>
      </c>
      <c r="W1975" s="70">
        <f>IF(ISERROR(VLOOKUP($T$1975,'TAR FIN'!$A$1:$O$99,15,0)),0,VLOOKUP($T$1975,'TAR FIN'!$A$1:$O$99,15,0))*(1-0.06)</f>
        <v>371.84519999999998</v>
      </c>
      <c r="X1975" s="70">
        <f>IF(ISERROR(VLOOKUP($U$1975,'TAR FIN'!$A$1:$O$99,15,0)),0,VLOOKUP($U$1975,'TAR FIN'!$A$1:$O$99,15,0))*(1-0.06)</f>
        <v>216.69819999999999</v>
      </c>
      <c r="Y1975" s="70"/>
      <c r="Z1975" s="70">
        <f ca="1">('TUSD BE'!$AM$59+'TUSD BF'!$AM$59+'TUSD CVA'!$AM$59)*1*(1-0.03)</f>
        <v>452.62084351656773</v>
      </c>
      <c r="AA1975" s="70">
        <f>('TE BE'!$AA$41+'TE BF'!$AA$41+'TE CVA'!$AA$41)*1*(1-0.03)</f>
        <v>275.35282765895511</v>
      </c>
      <c r="AB1975" s="4">
        <f>$K$1975*$V$1975</f>
        <v>0</v>
      </c>
      <c r="AC1975" s="4">
        <f>$M$1975*$W$1975</f>
        <v>866603.45901479991</v>
      </c>
      <c r="AD1975" s="4">
        <f>$O$1975*$X$1975</f>
        <v>505025.77331179997</v>
      </c>
      <c r="AE1975" s="4">
        <f>$K$1975*$Y$1975</f>
        <v>0</v>
      </c>
      <c r="AF1975" s="4">
        <f ca="1">$M$1975*$Z$1975</f>
        <v>1054855.0542366933</v>
      </c>
      <c r="AG1975" s="4">
        <f>$O$1975*$AA$1975</f>
        <v>641723.25714775012</v>
      </c>
    </row>
    <row r="1976" spans="1:33" ht="11.25" customHeight="1" x14ac:dyDescent="0.25">
      <c r="A1976" s="3" t="s">
        <v>27</v>
      </c>
      <c r="B1976" s="3" t="s">
        <v>39</v>
      </c>
      <c r="C1976" s="3" t="s">
        <v>23</v>
      </c>
      <c r="D1976" s="3" t="s">
        <v>50</v>
      </c>
      <c r="E1976" s="3" t="s">
        <v>51</v>
      </c>
      <c r="F1976" s="3" t="s">
        <v>25</v>
      </c>
      <c r="G1976" s="3" t="s">
        <v>25</v>
      </c>
      <c r="H1976" s="3" t="s">
        <v>25</v>
      </c>
      <c r="I1976" s="6">
        <v>44562</v>
      </c>
      <c r="J1976" s="4">
        <v>0</v>
      </c>
      <c r="K1976" s="70">
        <v>0</v>
      </c>
      <c r="L1976" s="4">
        <v>12.458</v>
      </c>
      <c r="M1976" s="70">
        <v>12.458</v>
      </c>
      <c r="N1976" s="4">
        <v>12.458</v>
      </c>
      <c r="O1976" s="70">
        <v>12.458</v>
      </c>
      <c r="P1976" s="4">
        <v>0</v>
      </c>
      <c r="Q1976" s="3" t="s">
        <v>26</v>
      </c>
      <c r="R1976" s="3">
        <v>0</v>
      </c>
      <c r="S1976" s="4">
        <v>0</v>
      </c>
      <c r="T1976" s="4">
        <v>45</v>
      </c>
      <c r="U1976" s="4">
        <v>85</v>
      </c>
      <c r="V1976" s="70">
        <f>IF(ISERROR(VLOOKUP($S$1976,'TAR FIN'!$A$1:$O$99,15,0)),0,VLOOKUP($S$1976,'TAR FIN'!$A$1:$O$99,15,0))</f>
        <v>0</v>
      </c>
      <c r="W1976" s="70">
        <f>IF(ISERROR(VLOOKUP($T$1976,'TAR FIN'!$A$1:$O$99,15,0)),0,VLOOKUP($T$1976,'TAR FIN'!$A$1:$O$99,15,0))*(1-0.06)</f>
        <v>371.84519999999998</v>
      </c>
      <c r="X1976" s="70">
        <f>IF(ISERROR(VLOOKUP($U$1976,'TAR FIN'!$A$1:$O$99,15,0)),0,VLOOKUP($U$1976,'TAR FIN'!$A$1:$O$99,15,0))*(1-0.06)</f>
        <v>216.69819999999999</v>
      </c>
      <c r="Y1976" s="70"/>
      <c r="Z1976" s="70">
        <f ca="1">('TUSD BE'!$AM$59+'TUSD BF'!$AM$59+'TUSD CVA'!$AM$59)*1*(1-0.03)</f>
        <v>452.62084351656773</v>
      </c>
      <c r="AA1976" s="70">
        <f>('TE BE'!$AA$41+'TE BF'!$AA$41+'TE CVA'!$AA$41)*1*(1-0.03)</f>
        <v>275.35282765895511</v>
      </c>
      <c r="AB1976" s="4">
        <f>$K$1976*$V$1976</f>
        <v>0</v>
      </c>
      <c r="AC1976" s="4">
        <f>$M$1976*$W$1976</f>
        <v>4632.4475015999997</v>
      </c>
      <c r="AD1976" s="4">
        <f>$O$1976*$X$1976</f>
        <v>2699.6261755999999</v>
      </c>
      <c r="AE1976" s="4">
        <f>$K$1976*$Y$1976</f>
        <v>0</v>
      </c>
      <c r="AF1976" s="4">
        <f ca="1">$M$1976*$Z$1976</f>
        <v>5638.7504685294007</v>
      </c>
      <c r="AG1976" s="4">
        <f>$O$1976*$AA$1976</f>
        <v>3430.3455269752626</v>
      </c>
    </row>
    <row r="1977" spans="1:33" ht="11.25" customHeight="1" x14ac:dyDescent="0.25">
      <c r="A1977" s="3" t="s">
        <v>28</v>
      </c>
      <c r="B1977" s="3" t="s">
        <v>39</v>
      </c>
      <c r="C1977" s="3" t="s">
        <v>23</v>
      </c>
      <c r="D1977" s="3" t="s">
        <v>50</v>
      </c>
      <c r="E1977" s="3" t="s">
        <v>51</v>
      </c>
      <c r="F1977" s="3" t="s">
        <v>25</v>
      </c>
      <c r="G1977" s="3" t="s">
        <v>25</v>
      </c>
      <c r="H1977" s="3" t="s">
        <v>25</v>
      </c>
      <c r="I1977" s="6">
        <v>44562</v>
      </c>
      <c r="J1977" s="4">
        <v>0</v>
      </c>
      <c r="K1977" s="70">
        <v>0</v>
      </c>
      <c r="L1977" s="4">
        <v>55.753999999999998</v>
      </c>
      <c r="M1977" s="70">
        <v>55.753999999999998</v>
      </c>
      <c r="N1977" s="4">
        <v>55.753999999999998</v>
      </c>
      <c r="O1977" s="70">
        <v>55.753999999999998</v>
      </c>
      <c r="P1977" s="4">
        <v>210</v>
      </c>
      <c r="Q1977" s="3" t="s">
        <v>26</v>
      </c>
      <c r="R1977" s="3">
        <v>0</v>
      </c>
      <c r="S1977" s="4">
        <v>0</v>
      </c>
      <c r="T1977" s="4">
        <v>45</v>
      </c>
      <c r="U1977" s="4">
        <v>85</v>
      </c>
      <c r="V1977" s="70">
        <f>IF(ISERROR(VLOOKUP($S$1977,'TAR FIN'!$A$1:$O$99,15,0)),0,VLOOKUP($S$1977,'TAR FIN'!$A$1:$O$99,15,0))</f>
        <v>0</v>
      </c>
      <c r="W1977" s="70">
        <f>IF(ISERROR(VLOOKUP($T$1977,'TAR FIN'!$A$1:$O$99,15,0)),0,VLOOKUP($T$1977,'TAR FIN'!$A$1:$O$99,15,0))*(1-0.06)</f>
        <v>371.84519999999998</v>
      </c>
      <c r="X1977" s="70">
        <f>IF(ISERROR(VLOOKUP($U$1977,'TAR FIN'!$A$1:$O$99,15,0)),0,VLOOKUP($U$1977,'TAR FIN'!$A$1:$O$99,15,0))*(1-0.06)</f>
        <v>216.69819999999999</v>
      </c>
      <c r="Y1977" s="70"/>
      <c r="Z1977" s="70">
        <f ca="1">('TUSD BE'!$AM$59+'TUSD BF'!$AM$59+'TUSD CVA'!$AM$59)*1*(1-0.03)</f>
        <v>452.62084351656773</v>
      </c>
      <c r="AA1977" s="70">
        <f>('TE BE'!$AA$41+'TE BF'!$AA$41+'TE CVA'!$AA$41)*1*(1-0.03)</f>
        <v>275.35282765895511</v>
      </c>
      <c r="AB1977" s="4">
        <f>$K$1977*$V$1977</f>
        <v>0</v>
      </c>
      <c r="AC1977" s="4">
        <f>$M$1977*$W$1977</f>
        <v>20731.857280799999</v>
      </c>
      <c r="AD1977" s="4">
        <f>$O$1977*$X$1977</f>
        <v>12081.791442799999</v>
      </c>
      <c r="AE1977" s="4">
        <f>$K$1977*$Y$1977</f>
        <v>0</v>
      </c>
      <c r="AF1977" s="4">
        <f ca="1">$M$1977*$Z$1977</f>
        <v>25235.422509422715</v>
      </c>
      <c r="AG1977" s="4">
        <f>$O$1977*$AA$1977</f>
        <v>15352.021553297382</v>
      </c>
    </row>
    <row r="1978" spans="1:33" ht="11.25" customHeight="1" x14ac:dyDescent="0.25">
      <c r="A1978" s="3" t="s">
        <v>28</v>
      </c>
      <c r="B1978" s="3" t="s">
        <v>39</v>
      </c>
      <c r="C1978" s="3" t="s">
        <v>23</v>
      </c>
      <c r="D1978" s="3" t="s">
        <v>50</v>
      </c>
      <c r="E1978" s="3" t="s">
        <v>51</v>
      </c>
      <c r="F1978" s="3" t="s">
        <v>25</v>
      </c>
      <c r="G1978" s="3" t="s">
        <v>25</v>
      </c>
      <c r="H1978" s="3" t="s">
        <v>25</v>
      </c>
      <c r="I1978" s="6">
        <v>44562</v>
      </c>
      <c r="J1978" s="4">
        <v>0</v>
      </c>
      <c r="K1978" s="70">
        <v>0</v>
      </c>
      <c r="L1978" s="4">
        <v>7.665</v>
      </c>
      <c r="M1978" s="70">
        <v>7.665</v>
      </c>
      <c r="N1978" s="4">
        <v>7.665</v>
      </c>
      <c r="O1978" s="70">
        <v>7.665</v>
      </c>
      <c r="P1978" s="4">
        <v>0</v>
      </c>
      <c r="Q1978" s="3" t="s">
        <v>26</v>
      </c>
      <c r="R1978" s="3">
        <v>0</v>
      </c>
      <c r="S1978" s="4">
        <v>0</v>
      </c>
      <c r="T1978" s="4">
        <v>45</v>
      </c>
      <c r="U1978" s="4">
        <v>85</v>
      </c>
      <c r="V1978" s="70">
        <f>IF(ISERROR(VLOOKUP($S$1978,'TAR FIN'!$A$1:$O$99,15,0)),0,VLOOKUP($S$1978,'TAR FIN'!$A$1:$O$99,15,0))</f>
        <v>0</v>
      </c>
      <c r="W1978" s="70">
        <f>IF(ISERROR(VLOOKUP($T$1978,'TAR FIN'!$A$1:$O$99,15,0)),0,VLOOKUP($T$1978,'TAR FIN'!$A$1:$O$99,15,0))*(1-0.06)</f>
        <v>371.84519999999998</v>
      </c>
      <c r="X1978" s="70">
        <f>IF(ISERROR(VLOOKUP($U$1978,'TAR FIN'!$A$1:$O$99,15,0)),0,VLOOKUP($U$1978,'TAR FIN'!$A$1:$O$99,15,0))*(1-0.06)</f>
        <v>216.69819999999999</v>
      </c>
      <c r="Y1978" s="70"/>
      <c r="Z1978" s="70">
        <f ca="1">('TUSD BE'!$AM$59+'TUSD BF'!$AM$59+'TUSD CVA'!$AM$59)*1*(1-0.03)</f>
        <v>452.62084351656773</v>
      </c>
      <c r="AA1978" s="70">
        <f>('TE BE'!$AA$41+'TE BF'!$AA$41+'TE CVA'!$AA$41)*1*(1-0.03)</f>
        <v>275.35282765895511</v>
      </c>
      <c r="AB1978" s="4">
        <f>$K$1978*$V$1978</f>
        <v>0</v>
      </c>
      <c r="AC1978" s="4">
        <f>$M$1978*$W$1978</f>
        <v>2850.1934579999997</v>
      </c>
      <c r="AD1978" s="4">
        <f>$O$1978*$X$1978</f>
        <v>1660.9917029999999</v>
      </c>
      <c r="AE1978" s="4">
        <f>$K$1978*$Y$1978</f>
        <v>0</v>
      </c>
      <c r="AF1978" s="4">
        <f ca="1">$M$1978*$Z$1978</f>
        <v>3469.3387655544916</v>
      </c>
      <c r="AG1978" s="4">
        <f>$O$1978*$AA$1978</f>
        <v>2110.5794240058908</v>
      </c>
    </row>
    <row r="1979" spans="1:33" ht="11.25" customHeight="1" x14ac:dyDescent="0.25">
      <c r="A1979" s="3" t="s">
        <v>21</v>
      </c>
      <c r="B1979" s="3" t="s">
        <v>39</v>
      </c>
      <c r="C1979" s="3" t="s">
        <v>23</v>
      </c>
      <c r="D1979" s="3" t="s">
        <v>50</v>
      </c>
      <c r="E1979" s="3" t="s">
        <v>51</v>
      </c>
      <c r="F1979" s="3" t="s">
        <v>25</v>
      </c>
      <c r="G1979" s="3" t="s">
        <v>25</v>
      </c>
      <c r="H1979" s="3" t="s">
        <v>25</v>
      </c>
      <c r="I1979" s="6">
        <v>44593</v>
      </c>
      <c r="J1979" s="4">
        <v>0</v>
      </c>
      <c r="K1979" s="70">
        <v>0</v>
      </c>
      <c r="L1979" s="4">
        <v>2281.1390000000001</v>
      </c>
      <c r="M1979" s="70">
        <v>2281.1390000000001</v>
      </c>
      <c r="N1979" s="4">
        <v>2281.1390000000001</v>
      </c>
      <c r="O1979" s="70">
        <v>2281.1390000000001</v>
      </c>
      <c r="P1979" s="4">
        <v>1417</v>
      </c>
      <c r="Q1979" s="3" t="s">
        <v>26</v>
      </c>
      <c r="R1979" s="3">
        <v>0</v>
      </c>
      <c r="S1979" s="4">
        <v>0</v>
      </c>
      <c r="T1979" s="4">
        <v>45</v>
      </c>
      <c r="U1979" s="4">
        <v>85</v>
      </c>
      <c r="V1979" s="70">
        <f>IF(ISERROR(VLOOKUP($S$1979,'TAR FIN'!$A$1:$O$99,15,0)),0,VLOOKUP($S$1979,'TAR FIN'!$A$1:$O$99,15,0))</f>
        <v>0</v>
      </c>
      <c r="W1979" s="70">
        <f>IF(ISERROR(VLOOKUP($T$1979,'TAR FIN'!$A$1:$O$99,15,0)),0,VLOOKUP($T$1979,'TAR FIN'!$A$1:$O$99,15,0))*(1-0.06)</f>
        <v>371.84519999999998</v>
      </c>
      <c r="X1979" s="70">
        <f>IF(ISERROR(VLOOKUP($U$1979,'TAR FIN'!$A$1:$O$99,15,0)),0,VLOOKUP($U$1979,'TAR FIN'!$A$1:$O$99,15,0))*(1-0.06)</f>
        <v>216.69819999999999</v>
      </c>
      <c r="Y1979" s="70"/>
      <c r="Z1979" s="70">
        <f ca="1">('TUSD BE'!$AM$59+'TUSD BF'!$AM$59+'TUSD CVA'!$AM$59)*1*(1-0.03)</f>
        <v>452.62084351656773</v>
      </c>
      <c r="AA1979" s="70">
        <f>('TE BE'!$AA$41+'TE BF'!$AA$41+'TE CVA'!$AA$41)*1*(1-0.03)</f>
        <v>275.35282765895511</v>
      </c>
      <c r="AB1979" s="4">
        <f>$K$1979*$V$1979</f>
        <v>0</v>
      </c>
      <c r="AC1979" s="4">
        <f>$M$1979*$W$1979</f>
        <v>848230.58768280002</v>
      </c>
      <c r="AD1979" s="4">
        <f>$O$1979*$X$1979</f>
        <v>494318.71524980001</v>
      </c>
      <c r="AE1979" s="4">
        <f>$K$1979*$Y$1979</f>
        <v>0</v>
      </c>
      <c r="AF1979" s="4">
        <f ca="1">$M$1979*$Z$1979</f>
        <v>1032491.0583585398</v>
      </c>
      <c r="AG1979" s="4">
        <f>$O$1979*$AA$1979</f>
        <v>628118.07393312128</v>
      </c>
    </row>
    <row r="1980" spans="1:33" ht="11.25" customHeight="1" x14ac:dyDescent="0.25">
      <c r="A1980" s="3" t="s">
        <v>27</v>
      </c>
      <c r="B1980" s="3" t="s">
        <v>39</v>
      </c>
      <c r="C1980" s="3" t="s">
        <v>23</v>
      </c>
      <c r="D1980" s="3" t="s">
        <v>50</v>
      </c>
      <c r="E1980" s="3" t="s">
        <v>51</v>
      </c>
      <c r="F1980" s="3" t="s">
        <v>25</v>
      </c>
      <c r="G1980" s="3" t="s">
        <v>25</v>
      </c>
      <c r="H1980" s="3" t="s">
        <v>25</v>
      </c>
      <c r="I1980" s="6">
        <v>44593</v>
      </c>
      <c r="J1980" s="4">
        <v>0</v>
      </c>
      <c r="K1980" s="70">
        <v>0</v>
      </c>
      <c r="L1980" s="4">
        <v>4.6710000000000003</v>
      </c>
      <c r="M1980" s="70">
        <v>4.6710000000000003</v>
      </c>
      <c r="N1980" s="4">
        <v>4.6710000000000003</v>
      </c>
      <c r="O1980" s="70">
        <v>4.6710000000000003</v>
      </c>
      <c r="P1980" s="4">
        <v>4</v>
      </c>
      <c r="Q1980" s="3" t="s">
        <v>26</v>
      </c>
      <c r="R1980" s="3">
        <v>0</v>
      </c>
      <c r="S1980" s="4">
        <v>0</v>
      </c>
      <c r="T1980" s="4">
        <v>45</v>
      </c>
      <c r="U1980" s="4">
        <v>85</v>
      </c>
      <c r="V1980" s="70">
        <f>IF(ISERROR(VLOOKUP($S$1980,'TAR FIN'!$A$1:$O$99,15,0)),0,VLOOKUP($S$1980,'TAR FIN'!$A$1:$O$99,15,0))</f>
        <v>0</v>
      </c>
      <c r="W1980" s="70">
        <f>IF(ISERROR(VLOOKUP($T$1980,'TAR FIN'!$A$1:$O$99,15,0)),0,VLOOKUP($T$1980,'TAR FIN'!$A$1:$O$99,15,0))*(1-0.06)</f>
        <v>371.84519999999998</v>
      </c>
      <c r="X1980" s="70">
        <f>IF(ISERROR(VLOOKUP($U$1980,'TAR FIN'!$A$1:$O$99,15,0)),0,VLOOKUP($U$1980,'TAR FIN'!$A$1:$O$99,15,0))*(1-0.06)</f>
        <v>216.69819999999999</v>
      </c>
      <c r="Y1980" s="70"/>
      <c r="Z1980" s="70">
        <f ca="1">('TUSD BE'!$AM$59+'TUSD BF'!$AM$59+'TUSD CVA'!$AM$59)*1*(1-0.03)</f>
        <v>452.62084351656773</v>
      </c>
      <c r="AA1980" s="70">
        <f>('TE BE'!$AA$41+'TE BF'!$AA$41+'TE CVA'!$AA$41)*1*(1-0.03)</f>
        <v>275.35282765895511</v>
      </c>
      <c r="AB1980" s="4">
        <f>$K$1980*$V$1980</f>
        <v>0</v>
      </c>
      <c r="AC1980" s="4">
        <f>$M$1980*$W$1980</f>
        <v>1736.8889291999999</v>
      </c>
      <c r="AD1980" s="4">
        <f>$O$1980*$X$1980</f>
        <v>1012.1972922</v>
      </c>
      <c r="AE1980" s="4">
        <f>$K$1980*$Y$1980</f>
        <v>0</v>
      </c>
      <c r="AF1980" s="4">
        <f ca="1">$M$1980*$Z$1980</f>
        <v>2114.191960065888</v>
      </c>
      <c r="AG1980" s="4">
        <f>$O$1980*$AA$1980</f>
        <v>1286.1730579949794</v>
      </c>
    </row>
    <row r="1981" spans="1:33" ht="11.25" customHeight="1" x14ac:dyDescent="0.25">
      <c r="A1981" s="3" t="s">
        <v>28</v>
      </c>
      <c r="B1981" s="3" t="s">
        <v>39</v>
      </c>
      <c r="C1981" s="3" t="s">
        <v>23</v>
      </c>
      <c r="D1981" s="3" t="s">
        <v>50</v>
      </c>
      <c r="E1981" s="3" t="s">
        <v>51</v>
      </c>
      <c r="F1981" s="3" t="s">
        <v>25</v>
      </c>
      <c r="G1981" s="3" t="s">
        <v>25</v>
      </c>
      <c r="H1981" s="3" t="s">
        <v>25</v>
      </c>
      <c r="I1981" s="6">
        <v>44593</v>
      </c>
      <c r="J1981" s="4">
        <v>0</v>
      </c>
      <c r="K1981" s="70">
        <v>0</v>
      </c>
      <c r="L1981" s="4">
        <v>66.58</v>
      </c>
      <c r="M1981" s="70">
        <v>66.58</v>
      </c>
      <c r="N1981" s="4">
        <v>66.58</v>
      </c>
      <c r="O1981" s="70">
        <v>66.58</v>
      </c>
      <c r="P1981" s="4">
        <v>214</v>
      </c>
      <c r="Q1981" s="3" t="s">
        <v>26</v>
      </c>
      <c r="R1981" s="3">
        <v>0</v>
      </c>
      <c r="S1981" s="4">
        <v>0</v>
      </c>
      <c r="T1981" s="4">
        <v>45</v>
      </c>
      <c r="U1981" s="4">
        <v>85</v>
      </c>
      <c r="V1981" s="70">
        <f>IF(ISERROR(VLOOKUP($S$1981,'TAR FIN'!$A$1:$O$99,15,0)),0,VLOOKUP($S$1981,'TAR FIN'!$A$1:$O$99,15,0))</f>
        <v>0</v>
      </c>
      <c r="W1981" s="70">
        <f>IF(ISERROR(VLOOKUP($T$1981,'TAR FIN'!$A$1:$O$99,15,0)),0,VLOOKUP($T$1981,'TAR FIN'!$A$1:$O$99,15,0))*(1-0.06)</f>
        <v>371.84519999999998</v>
      </c>
      <c r="X1981" s="70">
        <f>IF(ISERROR(VLOOKUP($U$1981,'TAR FIN'!$A$1:$O$99,15,0)),0,VLOOKUP($U$1981,'TAR FIN'!$A$1:$O$99,15,0))*(1-0.06)</f>
        <v>216.69819999999999</v>
      </c>
      <c r="Y1981" s="70"/>
      <c r="Z1981" s="70">
        <f ca="1">('TUSD BE'!$AM$59+'TUSD BF'!$AM$59+'TUSD CVA'!$AM$59)*1*(1-0.03)</f>
        <v>452.62084351656773</v>
      </c>
      <c r="AA1981" s="70">
        <f>('TE BE'!$AA$41+'TE BF'!$AA$41+'TE CVA'!$AA$41)*1*(1-0.03)</f>
        <v>275.35282765895511</v>
      </c>
      <c r="AB1981" s="4">
        <f>$K$1981*$V$1981</f>
        <v>0</v>
      </c>
      <c r="AC1981" s="4">
        <f>$M$1981*$W$1981</f>
        <v>24757.453415999997</v>
      </c>
      <c r="AD1981" s="4">
        <f>$O$1981*$X$1981</f>
        <v>14427.766155999998</v>
      </c>
      <c r="AE1981" s="4">
        <f>$K$1981*$Y$1981</f>
        <v>0</v>
      </c>
      <c r="AF1981" s="4">
        <f ca="1">$M$1981*$Z$1981</f>
        <v>30135.495761333077</v>
      </c>
      <c r="AG1981" s="4">
        <f>$O$1981*$AA$1981</f>
        <v>18332.99126553323</v>
      </c>
    </row>
    <row r="1982" spans="1:33" ht="11.25" customHeight="1" x14ac:dyDescent="0.25">
      <c r="A1982" s="3" t="s">
        <v>28</v>
      </c>
      <c r="B1982" s="3" t="s">
        <v>39</v>
      </c>
      <c r="C1982" s="3" t="s">
        <v>23</v>
      </c>
      <c r="D1982" s="3" t="s">
        <v>50</v>
      </c>
      <c r="E1982" s="3" t="s">
        <v>51</v>
      </c>
      <c r="F1982" s="3" t="s">
        <v>25</v>
      </c>
      <c r="G1982" s="3" t="s">
        <v>25</v>
      </c>
      <c r="H1982" s="3" t="s">
        <v>25</v>
      </c>
      <c r="I1982" s="6">
        <v>44593</v>
      </c>
      <c r="J1982" s="4">
        <v>0</v>
      </c>
      <c r="K1982" s="70">
        <v>0</v>
      </c>
      <c r="L1982" s="4">
        <v>-6.843</v>
      </c>
      <c r="M1982" s="70">
        <v>-6.843</v>
      </c>
      <c r="N1982" s="4">
        <v>-6.843</v>
      </c>
      <c r="O1982" s="70">
        <v>-6.843</v>
      </c>
      <c r="P1982" s="4">
        <v>0</v>
      </c>
      <c r="Q1982" s="3" t="s">
        <v>26</v>
      </c>
      <c r="R1982" s="3">
        <v>0</v>
      </c>
      <c r="S1982" s="4">
        <v>0</v>
      </c>
      <c r="T1982" s="4">
        <v>45</v>
      </c>
      <c r="U1982" s="4">
        <v>85</v>
      </c>
      <c r="V1982" s="70">
        <f>IF(ISERROR(VLOOKUP($S$1982,'TAR FIN'!$A$1:$O$99,15,0)),0,VLOOKUP($S$1982,'TAR FIN'!$A$1:$O$99,15,0))</f>
        <v>0</v>
      </c>
      <c r="W1982" s="70">
        <f>IF(ISERROR(VLOOKUP($T$1982,'TAR FIN'!$A$1:$O$99,15,0)),0,VLOOKUP($T$1982,'TAR FIN'!$A$1:$O$99,15,0))*(1-0.06)</f>
        <v>371.84519999999998</v>
      </c>
      <c r="X1982" s="70">
        <f>IF(ISERROR(VLOOKUP($U$1982,'TAR FIN'!$A$1:$O$99,15,0)),0,VLOOKUP($U$1982,'TAR FIN'!$A$1:$O$99,15,0))*(1-0.06)</f>
        <v>216.69819999999999</v>
      </c>
      <c r="Y1982" s="70"/>
      <c r="Z1982" s="70">
        <f ca="1">('TUSD BE'!$AM$59+'TUSD BF'!$AM$59+'TUSD CVA'!$AM$59)*1*(1-0.03)</f>
        <v>452.62084351656773</v>
      </c>
      <c r="AA1982" s="70">
        <f>('TE BE'!$AA$41+'TE BF'!$AA$41+'TE CVA'!$AA$41)*1*(1-0.03)</f>
        <v>275.35282765895511</v>
      </c>
      <c r="AB1982" s="4">
        <f>$K$1982*$V$1982</f>
        <v>0</v>
      </c>
      <c r="AC1982" s="4">
        <f>$M$1982*$W$1982</f>
        <v>-2544.5367035999998</v>
      </c>
      <c r="AD1982" s="4">
        <f>$O$1982*$X$1982</f>
        <v>-1482.8657825999999</v>
      </c>
      <c r="AE1982" s="4">
        <f>$K$1982*$Y$1982</f>
        <v>0</v>
      </c>
      <c r="AF1982" s="4">
        <f ca="1">$M$1982*$Z$1982</f>
        <v>-3097.2844321838729</v>
      </c>
      <c r="AG1982" s="4">
        <f>$O$1982*$AA$1982</f>
        <v>-1884.2393996702299</v>
      </c>
    </row>
    <row r="1983" spans="1:33" ht="11.25" customHeight="1" x14ac:dyDescent="0.25">
      <c r="A1983" s="3" t="s">
        <v>21</v>
      </c>
      <c r="B1983" s="3" t="s">
        <v>39</v>
      </c>
      <c r="C1983" s="3" t="s">
        <v>23</v>
      </c>
      <c r="D1983" s="3" t="s">
        <v>50</v>
      </c>
      <c r="E1983" s="3" t="s">
        <v>51</v>
      </c>
      <c r="F1983" s="3" t="s">
        <v>25</v>
      </c>
      <c r="G1983" s="3" t="s">
        <v>25</v>
      </c>
      <c r="H1983" s="3" t="s">
        <v>25</v>
      </c>
      <c r="I1983" s="6">
        <v>44621</v>
      </c>
      <c r="J1983" s="4">
        <v>0</v>
      </c>
      <c r="K1983" s="70">
        <v>0</v>
      </c>
      <c r="L1983" s="4">
        <v>2349.0390000000002</v>
      </c>
      <c r="M1983" s="70">
        <v>2349.0390000000002</v>
      </c>
      <c r="N1983" s="4">
        <v>2349.0390000000002</v>
      </c>
      <c r="O1983" s="70">
        <v>2349.0390000000002</v>
      </c>
      <c r="P1983" s="4">
        <v>1410</v>
      </c>
      <c r="Q1983" s="3" t="s">
        <v>26</v>
      </c>
      <c r="R1983" s="3">
        <v>0</v>
      </c>
      <c r="S1983" s="4">
        <v>0</v>
      </c>
      <c r="T1983" s="4">
        <v>45</v>
      </c>
      <c r="U1983" s="4">
        <v>85</v>
      </c>
      <c r="V1983" s="70">
        <f>IF(ISERROR(VLOOKUP($S$1983,'TAR FIN'!$A$1:$O$99,15,0)),0,VLOOKUP($S$1983,'TAR FIN'!$A$1:$O$99,15,0))</f>
        <v>0</v>
      </c>
      <c r="W1983" s="70">
        <f>IF(ISERROR(VLOOKUP($T$1983,'TAR FIN'!$A$1:$O$99,15,0)),0,VLOOKUP($T$1983,'TAR FIN'!$A$1:$O$99,15,0))*(1-0.06)</f>
        <v>371.84519999999998</v>
      </c>
      <c r="X1983" s="70">
        <f>IF(ISERROR(VLOOKUP($U$1983,'TAR FIN'!$A$1:$O$99,15,0)),0,VLOOKUP($U$1983,'TAR FIN'!$A$1:$O$99,15,0))*(1-0.06)</f>
        <v>216.69819999999999</v>
      </c>
      <c r="Y1983" s="70"/>
      <c r="Z1983" s="70">
        <f ca="1">('TUSD BE'!$AM$59+'TUSD BF'!$AM$59+'TUSD CVA'!$AM$59)*1*(1-0.03)</f>
        <v>452.62084351656773</v>
      </c>
      <c r="AA1983" s="70">
        <f>('TE BE'!$AA$41+'TE BF'!$AA$41+'TE CVA'!$AA$41)*1*(1-0.03)</f>
        <v>275.35282765895511</v>
      </c>
      <c r="AB1983" s="4">
        <f>$K$1983*$V$1983</f>
        <v>0</v>
      </c>
      <c r="AC1983" s="4">
        <f>$M$1983*$W$1983</f>
        <v>873478.87676280004</v>
      </c>
      <c r="AD1983" s="4">
        <f>$O$1983*$X$1983</f>
        <v>509032.52302980004</v>
      </c>
      <c r="AE1983" s="4">
        <f>$K$1983*$Y$1983</f>
        <v>0</v>
      </c>
      <c r="AF1983" s="4">
        <f ca="1">$M$1983*$Z$1983</f>
        <v>1063224.0136333148</v>
      </c>
      <c r="AG1983" s="4">
        <f>$O$1983*$AA$1983</f>
        <v>646814.53093116428</v>
      </c>
    </row>
    <row r="1984" spans="1:33" ht="11.25" customHeight="1" x14ac:dyDescent="0.25">
      <c r="A1984" s="3" t="s">
        <v>27</v>
      </c>
      <c r="B1984" s="3" t="s">
        <v>39</v>
      </c>
      <c r="C1984" s="3" t="s">
        <v>23</v>
      </c>
      <c r="D1984" s="3" t="s">
        <v>50</v>
      </c>
      <c r="E1984" s="3" t="s">
        <v>51</v>
      </c>
      <c r="F1984" s="3" t="s">
        <v>25</v>
      </c>
      <c r="G1984" s="3" t="s">
        <v>25</v>
      </c>
      <c r="H1984" s="3" t="s">
        <v>25</v>
      </c>
      <c r="I1984" s="6">
        <v>44621</v>
      </c>
      <c r="J1984" s="4">
        <v>0</v>
      </c>
      <c r="K1984" s="70">
        <v>0</v>
      </c>
      <c r="L1984" s="4">
        <v>-2.8</v>
      </c>
      <c r="M1984" s="70">
        <v>-2.8</v>
      </c>
      <c r="N1984" s="4">
        <v>-2.8</v>
      </c>
      <c r="O1984" s="70">
        <v>-2.8</v>
      </c>
      <c r="P1984" s="4">
        <v>1</v>
      </c>
      <c r="Q1984" s="3" t="s">
        <v>26</v>
      </c>
      <c r="R1984" s="3">
        <v>0</v>
      </c>
      <c r="S1984" s="4">
        <v>0</v>
      </c>
      <c r="T1984" s="4">
        <v>45</v>
      </c>
      <c r="U1984" s="4">
        <v>85</v>
      </c>
      <c r="V1984" s="70">
        <f>IF(ISERROR(VLOOKUP($S$1984,'TAR FIN'!$A$1:$O$99,15,0)),0,VLOOKUP($S$1984,'TAR FIN'!$A$1:$O$99,15,0))</f>
        <v>0</v>
      </c>
      <c r="W1984" s="70">
        <f>IF(ISERROR(VLOOKUP($T$1984,'TAR FIN'!$A$1:$O$99,15,0)),0,VLOOKUP($T$1984,'TAR FIN'!$A$1:$O$99,15,0))*(1-0.06)</f>
        <v>371.84519999999998</v>
      </c>
      <c r="X1984" s="70">
        <f>IF(ISERROR(VLOOKUP($U$1984,'TAR FIN'!$A$1:$O$99,15,0)),0,VLOOKUP($U$1984,'TAR FIN'!$A$1:$O$99,15,0))*(1-0.06)</f>
        <v>216.69819999999999</v>
      </c>
      <c r="Y1984" s="70"/>
      <c r="Z1984" s="70">
        <f ca="1">('TUSD BE'!$AM$59+'TUSD BF'!$AM$59+'TUSD CVA'!$AM$59)*1*(1-0.03)</f>
        <v>452.62084351656773</v>
      </c>
      <c r="AA1984" s="70">
        <f>('TE BE'!$AA$41+'TE BF'!$AA$41+'TE CVA'!$AA$41)*1*(1-0.03)</f>
        <v>275.35282765895511</v>
      </c>
      <c r="AB1984" s="4">
        <f>$K$1984*$V$1984</f>
        <v>0</v>
      </c>
      <c r="AC1984" s="4">
        <f>$M$1984*$W$1984</f>
        <v>-1041.1665599999999</v>
      </c>
      <c r="AD1984" s="4">
        <f>$O$1984*$X$1984</f>
        <v>-606.75495999999987</v>
      </c>
      <c r="AE1984" s="4">
        <f>$K$1984*$Y$1984</f>
        <v>0</v>
      </c>
      <c r="AF1984" s="4">
        <f ca="1">$M$1984*$Z$1984</f>
        <v>-1267.3383618463895</v>
      </c>
      <c r="AG1984" s="4">
        <f>$O$1984*$AA$1984</f>
        <v>-770.98791744507423</v>
      </c>
    </row>
    <row r="1985" spans="1:33" ht="11.25" customHeight="1" x14ac:dyDescent="0.25">
      <c r="A1985" s="3" t="s">
        <v>28</v>
      </c>
      <c r="B1985" s="3" t="s">
        <v>39</v>
      </c>
      <c r="C1985" s="3" t="s">
        <v>23</v>
      </c>
      <c r="D1985" s="3" t="s">
        <v>50</v>
      </c>
      <c r="E1985" s="3" t="s">
        <v>51</v>
      </c>
      <c r="F1985" s="3" t="s">
        <v>25</v>
      </c>
      <c r="G1985" s="3" t="s">
        <v>25</v>
      </c>
      <c r="H1985" s="3" t="s">
        <v>25</v>
      </c>
      <c r="I1985" s="6">
        <v>44621</v>
      </c>
      <c r="J1985" s="4">
        <v>0</v>
      </c>
      <c r="K1985" s="70">
        <v>0</v>
      </c>
      <c r="L1985" s="4">
        <v>57.878999999999998</v>
      </c>
      <c r="M1985" s="70">
        <v>57.878999999999998</v>
      </c>
      <c r="N1985" s="4">
        <v>57.878999999999998</v>
      </c>
      <c r="O1985" s="70">
        <v>57.878999999999998</v>
      </c>
      <c r="P1985" s="4">
        <v>223</v>
      </c>
      <c r="Q1985" s="3" t="s">
        <v>26</v>
      </c>
      <c r="R1985" s="3">
        <v>0</v>
      </c>
      <c r="S1985" s="4">
        <v>0</v>
      </c>
      <c r="T1985" s="4">
        <v>45</v>
      </c>
      <c r="U1985" s="4">
        <v>85</v>
      </c>
      <c r="V1985" s="70">
        <f>IF(ISERROR(VLOOKUP($S$1985,'TAR FIN'!$A$1:$O$99,15,0)),0,VLOOKUP($S$1985,'TAR FIN'!$A$1:$O$99,15,0))</f>
        <v>0</v>
      </c>
      <c r="W1985" s="70">
        <f>IF(ISERROR(VLOOKUP($T$1985,'TAR FIN'!$A$1:$O$99,15,0)),0,VLOOKUP($T$1985,'TAR FIN'!$A$1:$O$99,15,0))*(1-0.06)</f>
        <v>371.84519999999998</v>
      </c>
      <c r="X1985" s="70">
        <f>IF(ISERROR(VLOOKUP($U$1985,'TAR FIN'!$A$1:$O$99,15,0)),0,VLOOKUP($U$1985,'TAR FIN'!$A$1:$O$99,15,0))*(1-0.06)</f>
        <v>216.69819999999999</v>
      </c>
      <c r="Y1985" s="70"/>
      <c r="Z1985" s="70">
        <f ca="1">('TUSD BE'!$AM$59+'TUSD BF'!$AM$59+'TUSD CVA'!$AM$59)*1*(1-0.03)</f>
        <v>452.62084351656773</v>
      </c>
      <c r="AA1985" s="70">
        <f>('TE BE'!$AA$41+'TE BF'!$AA$41+'TE CVA'!$AA$41)*1*(1-0.03)</f>
        <v>275.35282765895511</v>
      </c>
      <c r="AB1985" s="4">
        <f>$K$1985*$V$1985</f>
        <v>0</v>
      </c>
      <c r="AC1985" s="4">
        <f>$M$1985*$W$1985</f>
        <v>21522.028330799996</v>
      </c>
      <c r="AD1985" s="4">
        <f>$O$1985*$X$1985</f>
        <v>12542.275117799998</v>
      </c>
      <c r="AE1985" s="4">
        <f>$K$1985*$Y$1985</f>
        <v>0</v>
      </c>
      <c r="AF1985" s="4">
        <f ca="1">$M$1985*$Z$1985</f>
        <v>26197.241801895423</v>
      </c>
      <c r="AG1985" s="4">
        <f>$O$1985*$AA$1985</f>
        <v>15937.146312072662</v>
      </c>
    </row>
    <row r="1986" spans="1:33" ht="11.25" customHeight="1" x14ac:dyDescent="0.25">
      <c r="A1986" s="3" t="s">
        <v>28</v>
      </c>
      <c r="B1986" s="3" t="s">
        <v>39</v>
      </c>
      <c r="C1986" s="3" t="s">
        <v>23</v>
      </c>
      <c r="D1986" s="3" t="s">
        <v>50</v>
      </c>
      <c r="E1986" s="3" t="s">
        <v>51</v>
      </c>
      <c r="F1986" s="3" t="s">
        <v>25</v>
      </c>
      <c r="G1986" s="3" t="s">
        <v>25</v>
      </c>
      <c r="H1986" s="3" t="s">
        <v>25</v>
      </c>
      <c r="I1986" s="6">
        <v>44621</v>
      </c>
      <c r="J1986" s="4">
        <v>0</v>
      </c>
      <c r="K1986" s="70">
        <v>0</v>
      </c>
      <c r="L1986" s="4">
        <v>7.2370000000000001</v>
      </c>
      <c r="M1986" s="70">
        <v>7.2370000000000001</v>
      </c>
      <c r="N1986" s="4">
        <v>7.2370000000000001</v>
      </c>
      <c r="O1986" s="70">
        <v>7.2370000000000001</v>
      </c>
      <c r="P1986" s="4">
        <v>0</v>
      </c>
      <c r="Q1986" s="3" t="s">
        <v>26</v>
      </c>
      <c r="R1986" s="3">
        <v>0</v>
      </c>
      <c r="S1986" s="4">
        <v>0</v>
      </c>
      <c r="T1986" s="4">
        <v>45</v>
      </c>
      <c r="U1986" s="4">
        <v>85</v>
      </c>
      <c r="V1986" s="70">
        <f>IF(ISERROR(VLOOKUP($S$1986,'TAR FIN'!$A$1:$O$99,15,0)),0,VLOOKUP($S$1986,'TAR FIN'!$A$1:$O$99,15,0))</f>
        <v>0</v>
      </c>
      <c r="W1986" s="70">
        <f>IF(ISERROR(VLOOKUP($T$1986,'TAR FIN'!$A$1:$O$99,15,0)),0,VLOOKUP($T$1986,'TAR FIN'!$A$1:$O$99,15,0))*(1-0.06)</f>
        <v>371.84519999999998</v>
      </c>
      <c r="X1986" s="70">
        <f>IF(ISERROR(VLOOKUP($U$1986,'TAR FIN'!$A$1:$O$99,15,0)),0,VLOOKUP($U$1986,'TAR FIN'!$A$1:$O$99,15,0))*(1-0.06)</f>
        <v>216.69819999999999</v>
      </c>
      <c r="Y1986" s="70"/>
      <c r="Z1986" s="70">
        <f ca="1">('TUSD BE'!$AM$59+'TUSD BF'!$AM$59+'TUSD CVA'!$AM$59)*1*(1-0.03)</f>
        <v>452.62084351656773</v>
      </c>
      <c r="AA1986" s="70">
        <f>('TE BE'!$AA$41+'TE BF'!$AA$41+'TE CVA'!$AA$41)*1*(1-0.03)</f>
        <v>275.35282765895511</v>
      </c>
      <c r="AB1986" s="4">
        <f>$K$1986*$V$1986</f>
        <v>0</v>
      </c>
      <c r="AC1986" s="4">
        <f>$M$1986*$W$1986</f>
        <v>2691.0437124</v>
      </c>
      <c r="AD1986" s="4">
        <f>$O$1986*$X$1986</f>
        <v>1568.2448734</v>
      </c>
      <c r="AE1986" s="4">
        <f>$K$1986*$Y$1986</f>
        <v>0</v>
      </c>
      <c r="AF1986" s="4">
        <f ca="1">$M$1986*$Z$1986</f>
        <v>3275.6170445294006</v>
      </c>
      <c r="AG1986" s="4">
        <f>$O$1986*$AA$1986</f>
        <v>1992.7284137678582</v>
      </c>
    </row>
    <row r="1987" spans="1:33" ht="11.25" customHeight="1" x14ac:dyDescent="0.25">
      <c r="A1987" s="3" t="s">
        <v>56</v>
      </c>
      <c r="B1987" s="3" t="s">
        <v>39</v>
      </c>
      <c r="C1987" s="3" t="s">
        <v>23</v>
      </c>
      <c r="D1987" s="3" t="s">
        <v>50</v>
      </c>
      <c r="E1987" s="3" t="s">
        <v>51</v>
      </c>
      <c r="F1987" s="3" t="s">
        <v>25</v>
      </c>
      <c r="G1987" s="3" t="s">
        <v>25</v>
      </c>
      <c r="H1987" s="3" t="s">
        <v>25</v>
      </c>
      <c r="I1987" s="6">
        <v>44652</v>
      </c>
      <c r="J1987" s="4">
        <v>0</v>
      </c>
      <c r="K1987" s="70">
        <v>0</v>
      </c>
      <c r="L1987" s="4">
        <v>2349.0390000000002</v>
      </c>
      <c r="M1987" s="70">
        <v>2349.0390000000002</v>
      </c>
      <c r="N1987" s="4">
        <v>2349.0390000000002</v>
      </c>
      <c r="O1987" s="70">
        <v>2349.0390000000002</v>
      </c>
      <c r="P1987" s="4">
        <v>1410</v>
      </c>
      <c r="Q1987" s="3" t="s">
        <v>26</v>
      </c>
      <c r="R1987" s="3">
        <v>0</v>
      </c>
      <c r="S1987" s="4">
        <v>0</v>
      </c>
      <c r="T1987" s="4">
        <v>45</v>
      </c>
      <c r="U1987" s="4">
        <v>85</v>
      </c>
      <c r="V1987" s="70">
        <f>IF(ISERROR(VLOOKUP($S$1987,'TAR FIN'!$A$1:$O$99,15,0)),0,VLOOKUP($S$1987,'TAR FIN'!$A$1:$O$99,15,0))</f>
        <v>0</v>
      </c>
      <c r="W1987" s="70">
        <f>IF(ISERROR(VLOOKUP($T$1987,'TAR FIN'!$A$1:$O$99,15,0)),0,VLOOKUP($T$1987,'TAR FIN'!$A$1:$O$99,15,0))*(1-0.06)</f>
        <v>371.84519999999998</v>
      </c>
      <c r="X1987" s="70">
        <f>IF(ISERROR(VLOOKUP($U$1987,'TAR FIN'!$A$1:$O$99,15,0)),0,VLOOKUP($U$1987,'TAR FIN'!$A$1:$O$99,15,0))*(1-0.06)</f>
        <v>216.69819999999999</v>
      </c>
      <c r="Y1987" s="70"/>
      <c r="Z1987" s="70">
        <f ca="1">('TUSD BE'!$AM$59+'TUSD BF'!$AM$59+'TUSD CVA'!$AM$59)*1*(1-0.03)</f>
        <v>452.62084351656773</v>
      </c>
      <c r="AA1987" s="70">
        <f>('TE BE'!$AA$41+'TE BF'!$AA$41+'TE CVA'!$AA$41)*1*(1-0.03)</f>
        <v>275.35282765895511</v>
      </c>
      <c r="AB1987" s="4">
        <f>$K$1987*$V$1987</f>
        <v>0</v>
      </c>
      <c r="AC1987" s="4">
        <f>$M$1987*$W$1987</f>
        <v>873478.87676280004</v>
      </c>
      <c r="AD1987" s="4">
        <f>$O$1987*$X$1987</f>
        <v>509032.52302980004</v>
      </c>
      <c r="AE1987" s="4">
        <f>$K$1987*$Y$1987</f>
        <v>0</v>
      </c>
      <c r="AF1987" s="4">
        <f ca="1">$M$1987*$Z$1987</f>
        <v>1063224.0136333148</v>
      </c>
      <c r="AG1987" s="4">
        <f>$O$1987*$AA$1987</f>
        <v>646814.53093116428</v>
      </c>
    </row>
    <row r="1988" spans="1:33" ht="11.25" customHeight="1" x14ac:dyDescent="0.25">
      <c r="A1988" s="3" t="s">
        <v>56</v>
      </c>
      <c r="B1988" s="3" t="s">
        <v>39</v>
      </c>
      <c r="C1988" s="3" t="s">
        <v>23</v>
      </c>
      <c r="D1988" s="3" t="s">
        <v>50</v>
      </c>
      <c r="E1988" s="3" t="s">
        <v>51</v>
      </c>
      <c r="F1988" s="3" t="s">
        <v>25</v>
      </c>
      <c r="G1988" s="3" t="s">
        <v>25</v>
      </c>
      <c r="H1988" s="3" t="s">
        <v>25</v>
      </c>
      <c r="I1988" s="6">
        <v>44652</v>
      </c>
      <c r="J1988" s="4">
        <v>0</v>
      </c>
      <c r="K1988" s="70">
        <v>0</v>
      </c>
      <c r="L1988" s="4">
        <v>-2.8</v>
      </c>
      <c r="M1988" s="70">
        <v>-2.8</v>
      </c>
      <c r="N1988" s="4">
        <v>-2.8</v>
      </c>
      <c r="O1988" s="70">
        <v>-2.8</v>
      </c>
      <c r="P1988" s="4">
        <v>1</v>
      </c>
      <c r="Q1988" s="3" t="s">
        <v>26</v>
      </c>
      <c r="R1988" s="3">
        <v>0</v>
      </c>
      <c r="S1988" s="4">
        <v>0</v>
      </c>
      <c r="T1988" s="4">
        <v>45</v>
      </c>
      <c r="U1988" s="4">
        <v>85</v>
      </c>
      <c r="V1988" s="70">
        <f>IF(ISERROR(VLOOKUP($S$1988,'TAR FIN'!$A$1:$O$99,15,0)),0,VLOOKUP($S$1988,'TAR FIN'!$A$1:$O$99,15,0))</f>
        <v>0</v>
      </c>
      <c r="W1988" s="70">
        <f>IF(ISERROR(VLOOKUP($T$1988,'TAR FIN'!$A$1:$O$99,15,0)),0,VLOOKUP($T$1988,'TAR FIN'!$A$1:$O$99,15,0))*(1-0.06)</f>
        <v>371.84519999999998</v>
      </c>
      <c r="X1988" s="70">
        <f>IF(ISERROR(VLOOKUP($U$1988,'TAR FIN'!$A$1:$O$99,15,0)),0,VLOOKUP($U$1988,'TAR FIN'!$A$1:$O$99,15,0))*(1-0.06)</f>
        <v>216.69819999999999</v>
      </c>
      <c r="Y1988" s="70"/>
      <c r="Z1988" s="70">
        <f ca="1">('TUSD BE'!$AM$59+'TUSD BF'!$AM$59+'TUSD CVA'!$AM$59)*1*(1-0.03)</f>
        <v>452.62084351656773</v>
      </c>
      <c r="AA1988" s="70">
        <f>('TE BE'!$AA$41+'TE BF'!$AA$41+'TE CVA'!$AA$41)*1*(1-0.03)</f>
        <v>275.35282765895511</v>
      </c>
      <c r="AB1988" s="4">
        <f>$K$1988*$V$1988</f>
        <v>0</v>
      </c>
      <c r="AC1988" s="4">
        <f>$M$1988*$W$1988</f>
        <v>-1041.1665599999999</v>
      </c>
      <c r="AD1988" s="4">
        <f>$O$1988*$X$1988</f>
        <v>-606.75495999999987</v>
      </c>
      <c r="AE1988" s="4">
        <f>$K$1988*$Y$1988</f>
        <v>0</v>
      </c>
      <c r="AF1988" s="4">
        <f ca="1">$M$1988*$Z$1988</f>
        <v>-1267.3383618463895</v>
      </c>
      <c r="AG1988" s="4">
        <f>$O$1988*$AA$1988</f>
        <v>-770.98791744507423</v>
      </c>
    </row>
    <row r="1989" spans="1:33" ht="11.25" customHeight="1" x14ac:dyDescent="0.25">
      <c r="A1989" s="3" t="s">
        <v>56</v>
      </c>
      <c r="B1989" s="3" t="s">
        <v>39</v>
      </c>
      <c r="C1989" s="3" t="s">
        <v>23</v>
      </c>
      <c r="D1989" s="3" t="s">
        <v>50</v>
      </c>
      <c r="E1989" s="3" t="s">
        <v>51</v>
      </c>
      <c r="F1989" s="3" t="s">
        <v>25</v>
      </c>
      <c r="G1989" s="3" t="s">
        <v>25</v>
      </c>
      <c r="H1989" s="3" t="s">
        <v>25</v>
      </c>
      <c r="I1989" s="6">
        <v>44652</v>
      </c>
      <c r="J1989" s="4">
        <v>0</v>
      </c>
      <c r="K1989" s="70">
        <v>0</v>
      </c>
      <c r="L1989" s="4">
        <v>57.878999999999998</v>
      </c>
      <c r="M1989" s="70">
        <v>57.878999999999998</v>
      </c>
      <c r="N1989" s="4">
        <v>57.878999999999998</v>
      </c>
      <c r="O1989" s="70">
        <v>57.878999999999998</v>
      </c>
      <c r="P1989" s="4">
        <v>223</v>
      </c>
      <c r="Q1989" s="3" t="s">
        <v>26</v>
      </c>
      <c r="R1989" s="3">
        <v>0</v>
      </c>
      <c r="S1989" s="4">
        <v>0</v>
      </c>
      <c r="T1989" s="4">
        <v>45</v>
      </c>
      <c r="U1989" s="4">
        <v>85</v>
      </c>
      <c r="V1989" s="70">
        <f>IF(ISERROR(VLOOKUP($S$1989,'TAR FIN'!$A$1:$O$99,15,0)),0,VLOOKUP($S$1989,'TAR FIN'!$A$1:$O$99,15,0))</f>
        <v>0</v>
      </c>
      <c r="W1989" s="70">
        <f>IF(ISERROR(VLOOKUP($T$1989,'TAR FIN'!$A$1:$O$99,15,0)),0,VLOOKUP($T$1989,'TAR FIN'!$A$1:$O$99,15,0))*(1-0.06)</f>
        <v>371.84519999999998</v>
      </c>
      <c r="X1989" s="70">
        <f>IF(ISERROR(VLOOKUP($U$1989,'TAR FIN'!$A$1:$O$99,15,0)),0,VLOOKUP($U$1989,'TAR FIN'!$A$1:$O$99,15,0))*(1-0.06)</f>
        <v>216.69819999999999</v>
      </c>
      <c r="Y1989" s="70"/>
      <c r="Z1989" s="70">
        <f ca="1">('TUSD BE'!$AM$59+'TUSD BF'!$AM$59+'TUSD CVA'!$AM$59)*1*(1-0.03)</f>
        <v>452.62084351656773</v>
      </c>
      <c r="AA1989" s="70">
        <f>('TE BE'!$AA$41+'TE BF'!$AA$41+'TE CVA'!$AA$41)*1*(1-0.03)</f>
        <v>275.35282765895511</v>
      </c>
      <c r="AB1989" s="4">
        <f>$K$1989*$V$1989</f>
        <v>0</v>
      </c>
      <c r="AC1989" s="4">
        <f>$M$1989*$W$1989</f>
        <v>21522.028330799996</v>
      </c>
      <c r="AD1989" s="4">
        <f>$O$1989*$X$1989</f>
        <v>12542.275117799998</v>
      </c>
      <c r="AE1989" s="4">
        <f>$K$1989*$Y$1989</f>
        <v>0</v>
      </c>
      <c r="AF1989" s="4">
        <f ca="1">$M$1989*$Z$1989</f>
        <v>26197.241801895423</v>
      </c>
      <c r="AG1989" s="4">
        <f>$O$1989*$AA$1989</f>
        <v>15937.146312072662</v>
      </c>
    </row>
    <row r="1990" spans="1:33" ht="11.25" customHeight="1" x14ac:dyDescent="0.25">
      <c r="A1990" s="3" t="s">
        <v>56</v>
      </c>
      <c r="B1990" s="3" t="s">
        <v>39</v>
      </c>
      <c r="C1990" s="3" t="s">
        <v>23</v>
      </c>
      <c r="D1990" s="3" t="s">
        <v>50</v>
      </c>
      <c r="E1990" s="3" t="s">
        <v>51</v>
      </c>
      <c r="F1990" s="3" t="s">
        <v>25</v>
      </c>
      <c r="G1990" s="3" t="s">
        <v>25</v>
      </c>
      <c r="H1990" s="3" t="s">
        <v>25</v>
      </c>
      <c r="I1990" s="6">
        <v>44652</v>
      </c>
      <c r="J1990" s="4">
        <v>0</v>
      </c>
      <c r="K1990" s="70">
        <v>0</v>
      </c>
      <c r="L1990" s="4">
        <v>7.2370000000000001</v>
      </c>
      <c r="M1990" s="70">
        <v>7.2370000000000001</v>
      </c>
      <c r="N1990" s="4">
        <v>7.2370000000000001</v>
      </c>
      <c r="O1990" s="70">
        <v>7.2370000000000001</v>
      </c>
      <c r="P1990" s="4">
        <v>0</v>
      </c>
      <c r="Q1990" s="3" t="s">
        <v>26</v>
      </c>
      <c r="R1990" s="3">
        <v>0</v>
      </c>
      <c r="S1990" s="4">
        <v>0</v>
      </c>
      <c r="T1990" s="4">
        <v>45</v>
      </c>
      <c r="U1990" s="4">
        <v>85</v>
      </c>
      <c r="V1990" s="70">
        <f>IF(ISERROR(VLOOKUP($S$1990,'TAR FIN'!$A$1:$O$99,15,0)),0,VLOOKUP($S$1990,'TAR FIN'!$A$1:$O$99,15,0))</f>
        <v>0</v>
      </c>
      <c r="W1990" s="70">
        <f>IF(ISERROR(VLOOKUP($T$1990,'TAR FIN'!$A$1:$O$99,15,0)),0,VLOOKUP($T$1990,'TAR FIN'!$A$1:$O$99,15,0))*(1-0.06)</f>
        <v>371.84519999999998</v>
      </c>
      <c r="X1990" s="70">
        <f>IF(ISERROR(VLOOKUP($U$1990,'TAR FIN'!$A$1:$O$99,15,0)),0,VLOOKUP($U$1990,'TAR FIN'!$A$1:$O$99,15,0))*(1-0.06)</f>
        <v>216.69819999999999</v>
      </c>
      <c r="Y1990" s="70"/>
      <c r="Z1990" s="70">
        <f ca="1">('TUSD BE'!$AM$59+'TUSD BF'!$AM$59+'TUSD CVA'!$AM$59)*1*(1-0.03)</f>
        <v>452.62084351656773</v>
      </c>
      <c r="AA1990" s="70">
        <f>('TE BE'!$AA$41+'TE BF'!$AA$41+'TE CVA'!$AA$41)*1*(1-0.03)</f>
        <v>275.35282765895511</v>
      </c>
      <c r="AB1990" s="4">
        <f>$K$1990*$V$1990</f>
        <v>0</v>
      </c>
      <c r="AC1990" s="4">
        <f>$M$1990*$W$1990</f>
        <v>2691.0437124</v>
      </c>
      <c r="AD1990" s="4">
        <f>$O$1990*$X$1990</f>
        <v>1568.2448734</v>
      </c>
      <c r="AE1990" s="4">
        <f>$K$1990*$Y$1990</f>
        <v>0</v>
      </c>
      <c r="AF1990" s="4">
        <f ca="1">$M$1990*$Z$1990</f>
        <v>3275.6170445294006</v>
      </c>
      <c r="AG1990" s="4">
        <f>$O$1990*$AA$1990</f>
        <v>1992.7284137678582</v>
      </c>
    </row>
    <row r="1991" spans="1:33" ht="11.25" customHeight="1" x14ac:dyDescent="0.25">
      <c r="A1991" s="3" t="s">
        <v>21</v>
      </c>
      <c r="B1991" s="3" t="s">
        <v>47</v>
      </c>
      <c r="C1991" s="3" t="s">
        <v>23</v>
      </c>
      <c r="D1991" s="3" t="s">
        <v>48</v>
      </c>
      <c r="E1991" s="3" t="s">
        <v>49</v>
      </c>
      <c r="F1991" s="3" t="s">
        <v>25</v>
      </c>
      <c r="G1991" s="3" t="s">
        <v>25</v>
      </c>
      <c r="H1991" s="3" t="s">
        <v>25</v>
      </c>
      <c r="I1991" s="6">
        <v>44317</v>
      </c>
      <c r="J1991" s="4">
        <v>0</v>
      </c>
      <c r="K1991" s="4">
        <v>0</v>
      </c>
      <c r="L1991" s="4">
        <v>20920.609</v>
      </c>
      <c r="M1991" s="4">
        <v>20920.609</v>
      </c>
      <c r="N1991" s="4">
        <v>20920.609</v>
      </c>
      <c r="O1991" s="4">
        <v>20920.609</v>
      </c>
      <c r="P1991" s="4">
        <v>261</v>
      </c>
      <c r="Q1991" s="3" t="s">
        <v>26</v>
      </c>
      <c r="R1991" s="3">
        <v>0</v>
      </c>
      <c r="S1991" s="4">
        <v>0</v>
      </c>
      <c r="T1991" s="4">
        <v>71</v>
      </c>
      <c r="U1991" s="4">
        <v>1</v>
      </c>
      <c r="V1991" s="4">
        <f>IF(ISERROR(VLOOKUP($S$1991,'TAR FIN'!$A$1:$O$99,15,0)),0,VLOOKUP($S$1991,'TAR FIN'!$A$1:$O$99,15,0))</f>
        <v>0</v>
      </c>
      <c r="W1991" s="4">
        <f>IF(ISERROR(VLOOKUP($T$1991,'TAR FIN'!$A$1:$O$99,15,0)),0,VLOOKUP($T$1991,'TAR FIN'!$A$1:$O$99,15,0))</f>
        <v>217.57</v>
      </c>
      <c r="X1991" s="4">
        <f>IF(ISERROR(VLOOKUP($U$1991,'TAR FIN'!$A$1:$O$99,15,0)),0,VLOOKUP($U$1991,'TAR FIN'!$A$1:$O$99,15,0))</f>
        <v>126.79</v>
      </c>
      <c r="Y1991" s="4"/>
      <c r="Z1991" s="4">
        <f ca="1">('TUSD BE'!$AM$61+'TUSD BF'!$AM$61+'TUSD CVA'!$AM$61)*1</f>
        <v>256.64068446815696</v>
      </c>
      <c r="AA1991" s="4">
        <f>('TE BE'!$AA$43+'TE BF'!$AA$43+'TE CVA'!$AA$43)*1</f>
        <v>156.12789197157247</v>
      </c>
      <c r="AB1991" s="4">
        <f>$K$1991*$V$1991</f>
        <v>0</v>
      </c>
      <c r="AC1991" s="4">
        <f>$M$1991*$W$1991</f>
        <v>4551696.90013</v>
      </c>
      <c r="AD1991" s="4">
        <f>$O$1991*$X$1991</f>
        <v>2652524.01511</v>
      </c>
      <c r="AE1991" s="4">
        <f>$K$1991*$Y$1991</f>
        <v>0</v>
      </c>
      <c r="AF1991" s="4">
        <f ca="1">$M$1991*$Z$1991</f>
        <v>5369079.4132506847</v>
      </c>
      <c r="AG1991" s="4">
        <f>$O$1991*$AA$1991</f>
        <v>3266290.5819315067</v>
      </c>
    </row>
    <row r="1992" spans="1:33" ht="11.25" customHeight="1" x14ac:dyDescent="0.25">
      <c r="A1992" s="3" t="s">
        <v>21</v>
      </c>
      <c r="B1992" s="3" t="s">
        <v>47</v>
      </c>
      <c r="C1992" s="3" t="s">
        <v>23</v>
      </c>
      <c r="D1992" s="3" t="s">
        <v>48</v>
      </c>
      <c r="E1992" s="3" t="s">
        <v>49</v>
      </c>
      <c r="F1992" s="3" t="s">
        <v>25</v>
      </c>
      <c r="G1992" s="3" t="s">
        <v>25</v>
      </c>
      <c r="H1992" s="3" t="s">
        <v>25</v>
      </c>
      <c r="I1992" s="6">
        <v>44348</v>
      </c>
      <c r="J1992" s="4">
        <v>0</v>
      </c>
      <c r="K1992" s="4">
        <v>0</v>
      </c>
      <c r="L1992" s="4">
        <v>20196.168000000001</v>
      </c>
      <c r="M1992" s="4">
        <v>20196.168000000001</v>
      </c>
      <c r="N1992" s="4">
        <v>20196.168000000001</v>
      </c>
      <c r="O1992" s="4">
        <v>20196.168000000001</v>
      </c>
      <c r="P1992" s="4">
        <v>267</v>
      </c>
      <c r="Q1992" s="3" t="s">
        <v>26</v>
      </c>
      <c r="R1992" s="3">
        <v>0</v>
      </c>
      <c r="S1992" s="4">
        <v>0</v>
      </c>
      <c r="T1992" s="4">
        <v>71</v>
      </c>
      <c r="U1992" s="4">
        <v>1</v>
      </c>
      <c r="V1992" s="4">
        <f>IF(ISERROR(VLOOKUP($S$1992,'TAR FIN'!$A$1:$O$99,15,0)),0,VLOOKUP($S$1992,'TAR FIN'!$A$1:$O$99,15,0))</f>
        <v>0</v>
      </c>
      <c r="W1992" s="4">
        <f>IF(ISERROR(VLOOKUP($T$1992,'TAR FIN'!$A$1:$O$99,15,0)),0,VLOOKUP($T$1992,'TAR FIN'!$A$1:$O$99,15,0))</f>
        <v>217.57</v>
      </c>
      <c r="X1992" s="4">
        <f>IF(ISERROR(VLOOKUP($U$1992,'TAR FIN'!$A$1:$O$99,15,0)),0,VLOOKUP($U$1992,'TAR FIN'!$A$1:$O$99,15,0))</f>
        <v>126.79</v>
      </c>
      <c r="Y1992" s="4"/>
      <c r="Z1992" s="4">
        <f ca="1">('TUSD BE'!$AM$61+'TUSD BF'!$AM$61+'TUSD CVA'!$AM$61)*1</f>
        <v>256.64068446815696</v>
      </c>
      <c r="AA1992" s="4">
        <f>('TE BE'!$AA$43+'TE BF'!$AA$43+'TE CVA'!$AA$43)*1</f>
        <v>156.12789197157247</v>
      </c>
      <c r="AB1992" s="4">
        <f>$K$1992*$V$1992</f>
        <v>0</v>
      </c>
      <c r="AC1992" s="4">
        <f>$M$1992*$W$1992</f>
        <v>4394080.2717599999</v>
      </c>
      <c r="AD1992" s="4">
        <f>$O$1992*$X$1992</f>
        <v>2560672.1407200005</v>
      </c>
      <c r="AE1992" s="4">
        <f>$K$1992*$Y$1992</f>
        <v>0</v>
      </c>
      <c r="AF1992" s="4">
        <f ca="1">$M$1992*$Z$1992</f>
        <v>5183158.3791538887</v>
      </c>
      <c r="AG1992" s="4">
        <f>$O$1992*$AA$1992</f>
        <v>3153185.1357437288</v>
      </c>
    </row>
    <row r="1993" spans="1:33" ht="11.25" customHeight="1" x14ac:dyDescent="0.25">
      <c r="A1993" s="3" t="s">
        <v>27</v>
      </c>
      <c r="B1993" s="3" t="s">
        <v>47</v>
      </c>
      <c r="C1993" s="3" t="s">
        <v>23</v>
      </c>
      <c r="D1993" s="3" t="s">
        <v>48</v>
      </c>
      <c r="E1993" s="3" t="s">
        <v>49</v>
      </c>
      <c r="F1993" s="3" t="s">
        <v>25</v>
      </c>
      <c r="G1993" s="3" t="s">
        <v>25</v>
      </c>
      <c r="H1993" s="3" t="s">
        <v>25</v>
      </c>
      <c r="I1993" s="6">
        <v>44348</v>
      </c>
      <c r="J1993" s="4">
        <v>0</v>
      </c>
      <c r="K1993" s="4">
        <v>0</v>
      </c>
      <c r="L1993" s="4">
        <v>0.20200000000000001</v>
      </c>
      <c r="M1993" s="4">
        <v>0.20200000000000001</v>
      </c>
      <c r="N1993" s="4">
        <v>0.20200000000000001</v>
      </c>
      <c r="O1993" s="4">
        <v>0.20200000000000001</v>
      </c>
      <c r="P1993" s="4">
        <v>2</v>
      </c>
      <c r="Q1993" s="3" t="s">
        <v>26</v>
      </c>
      <c r="R1993" s="3">
        <v>0</v>
      </c>
      <c r="S1993" s="4">
        <v>0</v>
      </c>
      <c r="T1993" s="4">
        <v>71</v>
      </c>
      <c r="U1993" s="4">
        <v>1</v>
      </c>
      <c r="V1993" s="4">
        <f>IF(ISERROR(VLOOKUP($S$1993,'TAR FIN'!$A$1:$O$99,15,0)),0,VLOOKUP($S$1993,'TAR FIN'!$A$1:$O$99,15,0))</f>
        <v>0</v>
      </c>
      <c r="W1993" s="4">
        <f>IF(ISERROR(VLOOKUP($T$1993,'TAR FIN'!$A$1:$O$99,15,0)),0,VLOOKUP($T$1993,'TAR FIN'!$A$1:$O$99,15,0))</f>
        <v>217.57</v>
      </c>
      <c r="X1993" s="4">
        <f>IF(ISERROR(VLOOKUP($U$1993,'TAR FIN'!$A$1:$O$99,15,0)),0,VLOOKUP($U$1993,'TAR FIN'!$A$1:$O$99,15,0))</f>
        <v>126.79</v>
      </c>
      <c r="Y1993" s="4"/>
      <c r="Z1993" s="4">
        <f ca="1">('TUSD BE'!$AM$61+'TUSD BF'!$AM$61+'TUSD CVA'!$AM$61)*1</f>
        <v>256.64068446815696</v>
      </c>
      <c r="AA1993" s="4">
        <f>('TE BE'!$AA$43+'TE BF'!$AA$43+'TE CVA'!$AA$43)*1</f>
        <v>156.12789197157247</v>
      </c>
      <c r="AB1993" s="4">
        <f>$K$1993*$V$1993</f>
        <v>0</v>
      </c>
      <c r="AC1993" s="4">
        <f>$M$1993*$W$1993</f>
        <v>43.94914</v>
      </c>
      <c r="AD1993" s="4">
        <f>$O$1993*$X$1993</f>
        <v>25.611580000000004</v>
      </c>
      <c r="AE1993" s="4">
        <f>$K$1993*$Y$1993</f>
        <v>0</v>
      </c>
      <c r="AF1993" s="4">
        <f ca="1">$M$1993*$Z$1993</f>
        <v>51.841418262567707</v>
      </c>
      <c r="AG1993" s="4">
        <f>$O$1993*$AA$1993</f>
        <v>31.53783417825764</v>
      </c>
    </row>
    <row r="1994" spans="1:33" ht="11.25" customHeight="1" x14ac:dyDescent="0.25">
      <c r="A1994" s="3" t="s">
        <v>21</v>
      </c>
      <c r="B1994" s="3" t="s">
        <v>47</v>
      </c>
      <c r="C1994" s="3" t="s">
        <v>23</v>
      </c>
      <c r="D1994" s="3" t="s">
        <v>48</v>
      </c>
      <c r="E1994" s="3" t="s">
        <v>49</v>
      </c>
      <c r="F1994" s="3" t="s">
        <v>25</v>
      </c>
      <c r="G1994" s="3" t="s">
        <v>25</v>
      </c>
      <c r="H1994" s="3" t="s">
        <v>25</v>
      </c>
      <c r="I1994" s="6">
        <v>44378</v>
      </c>
      <c r="J1994" s="4">
        <v>0</v>
      </c>
      <c r="K1994" s="4">
        <v>0</v>
      </c>
      <c r="L1994" s="4">
        <v>20900.804</v>
      </c>
      <c r="M1994" s="4">
        <v>20900.804</v>
      </c>
      <c r="N1994" s="4">
        <v>20900.804</v>
      </c>
      <c r="O1994" s="4">
        <v>20900.804</v>
      </c>
      <c r="P1994" s="4">
        <v>268</v>
      </c>
      <c r="Q1994" s="3" t="s">
        <v>26</v>
      </c>
      <c r="R1994" s="3">
        <v>0</v>
      </c>
      <c r="S1994" s="4">
        <v>0</v>
      </c>
      <c r="T1994" s="4">
        <v>71</v>
      </c>
      <c r="U1994" s="4">
        <v>1</v>
      </c>
      <c r="V1994" s="4">
        <f>IF(ISERROR(VLOOKUP($S$1994,'TAR FIN'!$A$1:$O$99,15,0)),0,VLOOKUP($S$1994,'TAR FIN'!$A$1:$O$99,15,0))</f>
        <v>0</v>
      </c>
      <c r="W1994" s="4">
        <f>IF(ISERROR(VLOOKUP($T$1994,'TAR FIN'!$A$1:$O$99,15,0)),0,VLOOKUP($T$1994,'TAR FIN'!$A$1:$O$99,15,0))</f>
        <v>217.57</v>
      </c>
      <c r="X1994" s="4">
        <f>IF(ISERROR(VLOOKUP($U$1994,'TAR FIN'!$A$1:$O$99,15,0)),0,VLOOKUP($U$1994,'TAR FIN'!$A$1:$O$99,15,0))</f>
        <v>126.79</v>
      </c>
      <c r="Y1994" s="4"/>
      <c r="Z1994" s="4">
        <f ca="1">('TUSD BE'!$AM$61+'TUSD BF'!$AM$61+'TUSD CVA'!$AM$61)*1</f>
        <v>256.64068446815696</v>
      </c>
      <c r="AA1994" s="4">
        <f>('TE BE'!$AA$43+'TE BF'!$AA$43+'TE CVA'!$AA$43)*1</f>
        <v>156.12789197157247</v>
      </c>
      <c r="AB1994" s="4">
        <f>$K$1994*$V$1994</f>
        <v>0</v>
      </c>
      <c r="AC1994" s="4">
        <f>$M$1994*$W$1994</f>
        <v>4547387.9262800002</v>
      </c>
      <c r="AD1994" s="4">
        <f>$O$1994*$X$1994</f>
        <v>2650012.9391600001</v>
      </c>
      <c r="AE1994" s="4">
        <f>$K$1994*$Y$1994</f>
        <v>0</v>
      </c>
      <c r="AF1994" s="4">
        <f ca="1">$M$1994*$Z$1994</f>
        <v>5363996.6444947934</v>
      </c>
      <c r="AG1994" s="4">
        <f>$O$1994*$AA$1994</f>
        <v>3263198.4690310098</v>
      </c>
    </row>
    <row r="1995" spans="1:33" ht="11.25" customHeight="1" x14ac:dyDescent="0.25">
      <c r="A1995" s="3" t="s">
        <v>27</v>
      </c>
      <c r="B1995" s="3" t="s">
        <v>47</v>
      </c>
      <c r="C1995" s="3" t="s">
        <v>23</v>
      </c>
      <c r="D1995" s="3" t="s">
        <v>48</v>
      </c>
      <c r="E1995" s="3" t="s">
        <v>49</v>
      </c>
      <c r="F1995" s="3" t="s">
        <v>25</v>
      </c>
      <c r="G1995" s="3" t="s">
        <v>25</v>
      </c>
      <c r="H1995" s="3" t="s">
        <v>25</v>
      </c>
      <c r="I1995" s="6">
        <v>44378</v>
      </c>
      <c r="J1995" s="4">
        <v>0</v>
      </c>
      <c r="K1995" s="4">
        <v>0</v>
      </c>
      <c r="L1995" s="4">
        <v>2.0499999999999998</v>
      </c>
      <c r="M1995" s="4">
        <v>2.0499999999999998</v>
      </c>
      <c r="N1995" s="4">
        <v>2.0499999999999998</v>
      </c>
      <c r="O1995" s="4">
        <v>2.0499999999999998</v>
      </c>
      <c r="P1995" s="4">
        <v>16</v>
      </c>
      <c r="Q1995" s="3" t="s">
        <v>26</v>
      </c>
      <c r="R1995" s="3">
        <v>0</v>
      </c>
      <c r="S1995" s="4">
        <v>0</v>
      </c>
      <c r="T1995" s="4">
        <v>71</v>
      </c>
      <c r="U1995" s="4">
        <v>1</v>
      </c>
      <c r="V1995" s="4">
        <f>IF(ISERROR(VLOOKUP($S$1995,'TAR FIN'!$A$1:$O$99,15,0)),0,VLOOKUP($S$1995,'TAR FIN'!$A$1:$O$99,15,0))</f>
        <v>0</v>
      </c>
      <c r="W1995" s="4">
        <f>IF(ISERROR(VLOOKUP($T$1995,'TAR FIN'!$A$1:$O$99,15,0)),0,VLOOKUP($T$1995,'TAR FIN'!$A$1:$O$99,15,0))</f>
        <v>217.57</v>
      </c>
      <c r="X1995" s="4">
        <f>IF(ISERROR(VLOOKUP($U$1995,'TAR FIN'!$A$1:$O$99,15,0)),0,VLOOKUP($U$1995,'TAR FIN'!$A$1:$O$99,15,0))</f>
        <v>126.79</v>
      </c>
      <c r="Y1995" s="4"/>
      <c r="Z1995" s="4">
        <f ca="1">('TUSD BE'!$AM$61+'TUSD BF'!$AM$61+'TUSD CVA'!$AM$61)*1</f>
        <v>256.64068446815696</v>
      </c>
      <c r="AA1995" s="4">
        <f>('TE BE'!$AA$43+'TE BF'!$AA$43+'TE CVA'!$AA$43)*1</f>
        <v>156.12789197157247</v>
      </c>
      <c r="AB1995" s="4">
        <f>$K$1995*$V$1995</f>
        <v>0</v>
      </c>
      <c r="AC1995" s="4">
        <f>$M$1995*$W$1995</f>
        <v>446.01849999999996</v>
      </c>
      <c r="AD1995" s="4">
        <f>$O$1995*$X$1995</f>
        <v>259.91949999999997</v>
      </c>
      <c r="AE1995" s="4">
        <f>$K$1995*$Y$1995</f>
        <v>0</v>
      </c>
      <c r="AF1995" s="4">
        <f ca="1">$M$1995*$Z$1995</f>
        <v>526.11340315972177</v>
      </c>
      <c r="AG1995" s="4">
        <f>$O$1995*$AA$1995</f>
        <v>320.06217854172354</v>
      </c>
    </row>
    <row r="1996" spans="1:33" ht="11.25" customHeight="1" x14ac:dyDescent="0.25">
      <c r="A1996" s="3" t="s">
        <v>21</v>
      </c>
      <c r="B1996" s="3" t="s">
        <v>47</v>
      </c>
      <c r="C1996" s="3" t="s">
        <v>23</v>
      </c>
      <c r="D1996" s="3" t="s">
        <v>48</v>
      </c>
      <c r="E1996" s="3" t="s">
        <v>49</v>
      </c>
      <c r="F1996" s="3" t="s">
        <v>25</v>
      </c>
      <c r="G1996" s="3" t="s">
        <v>25</v>
      </c>
      <c r="H1996" s="3" t="s">
        <v>25</v>
      </c>
      <c r="I1996" s="6">
        <v>44409</v>
      </c>
      <c r="J1996" s="4">
        <v>0</v>
      </c>
      <c r="K1996" s="4">
        <v>0</v>
      </c>
      <c r="L1996" s="4">
        <v>20762.859</v>
      </c>
      <c r="M1996" s="4">
        <v>20762.859</v>
      </c>
      <c r="N1996" s="4">
        <v>20762.859</v>
      </c>
      <c r="O1996" s="4">
        <v>20762.859</v>
      </c>
      <c r="P1996" s="4">
        <v>270</v>
      </c>
      <c r="Q1996" s="3" t="s">
        <v>26</v>
      </c>
      <c r="R1996" s="3">
        <v>0</v>
      </c>
      <c r="S1996" s="4">
        <v>0</v>
      </c>
      <c r="T1996" s="4">
        <v>71</v>
      </c>
      <c r="U1996" s="4">
        <v>1</v>
      </c>
      <c r="V1996" s="4">
        <f>IF(ISERROR(VLOOKUP($S$1996,'TAR FIN'!$A$1:$O$99,15,0)),0,VLOOKUP($S$1996,'TAR FIN'!$A$1:$O$99,15,0))</f>
        <v>0</v>
      </c>
      <c r="W1996" s="4">
        <f>IF(ISERROR(VLOOKUP($T$1996,'TAR FIN'!$A$1:$O$99,15,0)),0,VLOOKUP($T$1996,'TAR FIN'!$A$1:$O$99,15,0))</f>
        <v>217.57</v>
      </c>
      <c r="X1996" s="4">
        <f>IF(ISERROR(VLOOKUP($U$1996,'TAR FIN'!$A$1:$O$99,15,0)),0,VLOOKUP($U$1996,'TAR FIN'!$A$1:$O$99,15,0))</f>
        <v>126.79</v>
      </c>
      <c r="Y1996" s="4"/>
      <c r="Z1996" s="4">
        <f ca="1">('TUSD BE'!$AM$61+'TUSD BF'!$AM$61+'TUSD CVA'!$AM$61)*1</f>
        <v>256.64068446815696</v>
      </c>
      <c r="AA1996" s="4">
        <f>('TE BE'!$AA$43+'TE BF'!$AA$43+'TE CVA'!$AA$43)*1</f>
        <v>156.12789197157247</v>
      </c>
      <c r="AB1996" s="4">
        <f>$K$1996*$V$1996</f>
        <v>0</v>
      </c>
      <c r="AC1996" s="4">
        <f>$M$1996*$W$1996</f>
        <v>4517375.2326299995</v>
      </c>
      <c r="AD1996" s="4">
        <f>$O$1996*$X$1996</f>
        <v>2632522.89261</v>
      </c>
      <c r="AE1996" s="4">
        <f>$K$1996*$Y$1996</f>
        <v>0</v>
      </c>
      <c r="AF1996" s="4">
        <f ca="1">$M$1996*$Z$1996</f>
        <v>5328594.3452758333</v>
      </c>
      <c r="AG1996" s="4">
        <f>$O$1996*$AA$1996</f>
        <v>3241661.4069729913</v>
      </c>
    </row>
    <row r="1997" spans="1:33" ht="11.25" customHeight="1" x14ac:dyDescent="0.25">
      <c r="A1997" s="3" t="s">
        <v>27</v>
      </c>
      <c r="B1997" s="3" t="s">
        <v>47</v>
      </c>
      <c r="C1997" s="3" t="s">
        <v>23</v>
      </c>
      <c r="D1997" s="3" t="s">
        <v>48</v>
      </c>
      <c r="E1997" s="3" t="s">
        <v>49</v>
      </c>
      <c r="F1997" s="3" t="s">
        <v>25</v>
      </c>
      <c r="G1997" s="3" t="s">
        <v>25</v>
      </c>
      <c r="H1997" s="3" t="s">
        <v>25</v>
      </c>
      <c r="I1997" s="6">
        <v>44409</v>
      </c>
      <c r="J1997" s="4">
        <v>0</v>
      </c>
      <c r="K1997" s="4">
        <v>0</v>
      </c>
      <c r="L1997" s="4">
        <v>-22.75</v>
      </c>
      <c r="M1997" s="4">
        <v>-22.75</v>
      </c>
      <c r="N1997" s="4">
        <v>-22.75</v>
      </c>
      <c r="O1997" s="4">
        <v>-22.75</v>
      </c>
      <c r="P1997" s="4">
        <v>0</v>
      </c>
      <c r="Q1997" s="3" t="s">
        <v>26</v>
      </c>
      <c r="R1997" s="3">
        <v>0</v>
      </c>
      <c r="S1997" s="4">
        <v>0</v>
      </c>
      <c r="T1997" s="4">
        <v>71</v>
      </c>
      <c r="U1997" s="4">
        <v>1</v>
      </c>
      <c r="V1997" s="4">
        <f>IF(ISERROR(VLOOKUP($S$1997,'TAR FIN'!$A$1:$O$99,15,0)),0,VLOOKUP($S$1997,'TAR FIN'!$A$1:$O$99,15,0))</f>
        <v>0</v>
      </c>
      <c r="W1997" s="4">
        <f>IF(ISERROR(VLOOKUP($T$1997,'TAR FIN'!$A$1:$O$99,15,0)),0,VLOOKUP($T$1997,'TAR FIN'!$A$1:$O$99,15,0))</f>
        <v>217.57</v>
      </c>
      <c r="X1997" s="4">
        <f>IF(ISERROR(VLOOKUP($U$1997,'TAR FIN'!$A$1:$O$99,15,0)),0,VLOOKUP($U$1997,'TAR FIN'!$A$1:$O$99,15,0))</f>
        <v>126.79</v>
      </c>
      <c r="Y1997" s="4"/>
      <c r="Z1997" s="4">
        <f ca="1">('TUSD BE'!$AM$61+'TUSD BF'!$AM$61+'TUSD CVA'!$AM$61)*1</f>
        <v>256.64068446815696</v>
      </c>
      <c r="AA1997" s="4">
        <f>('TE BE'!$AA$43+'TE BF'!$AA$43+'TE CVA'!$AA$43)*1</f>
        <v>156.12789197157247</v>
      </c>
      <c r="AB1997" s="4">
        <f>$K$1997*$V$1997</f>
        <v>0</v>
      </c>
      <c r="AC1997" s="4">
        <f>$M$1997*$W$1997</f>
        <v>-4949.7174999999997</v>
      </c>
      <c r="AD1997" s="4">
        <f>$O$1997*$X$1997</f>
        <v>-2884.4725000000003</v>
      </c>
      <c r="AE1997" s="4">
        <f>$K$1997*$Y$1997</f>
        <v>0</v>
      </c>
      <c r="AF1997" s="4">
        <f ca="1">$M$1997*$Z$1997</f>
        <v>-5838.575571650571</v>
      </c>
      <c r="AG1997" s="4">
        <f>$O$1997*$AA$1997</f>
        <v>-3551.9095423532735</v>
      </c>
    </row>
    <row r="1998" spans="1:33" ht="11.25" customHeight="1" x14ac:dyDescent="0.25">
      <c r="A1998" s="3" t="s">
        <v>21</v>
      </c>
      <c r="B1998" s="3" t="s">
        <v>47</v>
      </c>
      <c r="C1998" s="3" t="s">
        <v>23</v>
      </c>
      <c r="D1998" s="3" t="s">
        <v>48</v>
      </c>
      <c r="E1998" s="3" t="s">
        <v>49</v>
      </c>
      <c r="F1998" s="3" t="s">
        <v>25</v>
      </c>
      <c r="G1998" s="3" t="s">
        <v>25</v>
      </c>
      <c r="H1998" s="3" t="s">
        <v>25</v>
      </c>
      <c r="I1998" s="6">
        <v>44440</v>
      </c>
      <c r="J1998" s="4">
        <v>0</v>
      </c>
      <c r="K1998" s="4">
        <v>0</v>
      </c>
      <c r="L1998" s="4">
        <v>19962.026999999998</v>
      </c>
      <c r="M1998" s="4">
        <v>19962.026999999998</v>
      </c>
      <c r="N1998" s="4">
        <v>19962.026999999998</v>
      </c>
      <c r="O1998" s="4">
        <v>19962.026999999998</v>
      </c>
      <c r="P1998" s="4">
        <v>280</v>
      </c>
      <c r="Q1998" s="3" t="s">
        <v>26</v>
      </c>
      <c r="R1998" s="3">
        <v>0</v>
      </c>
      <c r="S1998" s="4">
        <v>0</v>
      </c>
      <c r="T1998" s="4">
        <v>71</v>
      </c>
      <c r="U1998" s="4">
        <v>1</v>
      </c>
      <c r="V1998" s="4">
        <f>IF(ISERROR(VLOOKUP($S$1998,'TAR FIN'!$A$1:$O$99,15,0)),0,VLOOKUP($S$1998,'TAR FIN'!$A$1:$O$99,15,0))</f>
        <v>0</v>
      </c>
      <c r="W1998" s="4">
        <f>IF(ISERROR(VLOOKUP($T$1998,'TAR FIN'!$A$1:$O$99,15,0)),0,VLOOKUP($T$1998,'TAR FIN'!$A$1:$O$99,15,0))</f>
        <v>217.57</v>
      </c>
      <c r="X1998" s="4">
        <f>IF(ISERROR(VLOOKUP($U$1998,'TAR FIN'!$A$1:$O$99,15,0)),0,VLOOKUP($U$1998,'TAR FIN'!$A$1:$O$99,15,0))</f>
        <v>126.79</v>
      </c>
      <c r="Y1998" s="4"/>
      <c r="Z1998" s="4">
        <f ca="1">('TUSD BE'!$AM$61+'TUSD BF'!$AM$61+'TUSD CVA'!$AM$61)*1</f>
        <v>256.64068446815696</v>
      </c>
      <c r="AA1998" s="4">
        <f>('TE BE'!$AA$43+'TE BF'!$AA$43+'TE CVA'!$AA$43)*1</f>
        <v>156.12789197157247</v>
      </c>
      <c r="AB1998" s="4">
        <f>$K$1998*$V$1998</f>
        <v>0</v>
      </c>
      <c r="AC1998" s="4">
        <f>$M$1998*$W$1998</f>
        <v>4343138.2143899994</v>
      </c>
      <c r="AD1998" s="4">
        <f>$O$1998*$X$1998</f>
        <v>2530985.4033300001</v>
      </c>
      <c r="AE1998" s="4">
        <f>$K$1998*$Y$1998</f>
        <v>0</v>
      </c>
      <c r="AF1998" s="4">
        <f ca="1">$M$1998*$Z$1998</f>
        <v>5123068.2726518298</v>
      </c>
      <c r="AG1998" s="4">
        <f>$O$1998*$AA$1998</f>
        <v>3116629.1949896123</v>
      </c>
    </row>
    <row r="1999" spans="1:33" ht="11.25" customHeight="1" x14ac:dyDescent="0.25">
      <c r="A1999" s="3" t="s">
        <v>27</v>
      </c>
      <c r="B1999" s="3" t="s">
        <v>47</v>
      </c>
      <c r="C1999" s="3" t="s">
        <v>23</v>
      </c>
      <c r="D1999" s="3" t="s">
        <v>48</v>
      </c>
      <c r="E1999" s="3" t="s">
        <v>49</v>
      </c>
      <c r="F1999" s="3" t="s">
        <v>25</v>
      </c>
      <c r="G1999" s="3" t="s">
        <v>25</v>
      </c>
      <c r="H1999" s="3" t="s">
        <v>25</v>
      </c>
      <c r="I1999" s="6">
        <v>44440</v>
      </c>
      <c r="J1999" s="4">
        <v>0</v>
      </c>
      <c r="K1999" s="4">
        <v>0</v>
      </c>
      <c r="L1999" s="4">
        <v>1267.078</v>
      </c>
      <c r="M1999" s="4">
        <v>1267.078</v>
      </c>
      <c r="N1999" s="4">
        <v>1267.078</v>
      </c>
      <c r="O1999" s="4">
        <v>1267.078</v>
      </c>
      <c r="P1999" s="4">
        <v>0</v>
      </c>
      <c r="Q1999" s="3" t="s">
        <v>26</v>
      </c>
      <c r="R1999" s="3">
        <v>0</v>
      </c>
      <c r="S1999" s="4">
        <v>0</v>
      </c>
      <c r="T1999" s="4">
        <v>71</v>
      </c>
      <c r="U1999" s="4">
        <v>1</v>
      </c>
      <c r="V1999" s="4">
        <f>IF(ISERROR(VLOOKUP($S$1999,'TAR FIN'!$A$1:$O$99,15,0)),0,VLOOKUP($S$1999,'TAR FIN'!$A$1:$O$99,15,0))</f>
        <v>0</v>
      </c>
      <c r="W1999" s="4">
        <f>IF(ISERROR(VLOOKUP($T$1999,'TAR FIN'!$A$1:$O$99,15,0)),0,VLOOKUP($T$1999,'TAR FIN'!$A$1:$O$99,15,0))</f>
        <v>217.57</v>
      </c>
      <c r="X1999" s="4">
        <f>IF(ISERROR(VLOOKUP($U$1999,'TAR FIN'!$A$1:$O$99,15,0)),0,VLOOKUP($U$1999,'TAR FIN'!$A$1:$O$99,15,0))</f>
        <v>126.79</v>
      </c>
      <c r="Y1999" s="4"/>
      <c r="Z1999" s="4">
        <f ca="1">('TUSD BE'!$AM$61+'TUSD BF'!$AM$61+'TUSD CVA'!$AM$61)*1</f>
        <v>256.64068446815696</v>
      </c>
      <c r="AA1999" s="4">
        <f>('TE BE'!$AA$43+'TE BF'!$AA$43+'TE CVA'!$AA$43)*1</f>
        <v>156.12789197157247</v>
      </c>
      <c r="AB1999" s="4">
        <f>$K$1999*$V$1999</f>
        <v>0</v>
      </c>
      <c r="AC1999" s="4">
        <f>$M$1999*$W$1999</f>
        <v>275678.16045999998</v>
      </c>
      <c r="AD1999" s="4">
        <f>$O$1999*$X$1999</f>
        <v>160652.81961999999</v>
      </c>
      <c r="AE1999" s="4">
        <f>$K$1999*$Y$1999</f>
        <v>0</v>
      </c>
      <c r="AF1999" s="4">
        <f ca="1">$M$1999*$Z$1999</f>
        <v>325183.7651945434</v>
      </c>
      <c r="AG1999" s="4">
        <f>$O$1999*$AA$1999</f>
        <v>197826.21710355609</v>
      </c>
    </row>
    <row r="2000" spans="1:33" ht="11.25" customHeight="1" x14ac:dyDescent="0.25">
      <c r="A2000" s="3" t="s">
        <v>21</v>
      </c>
      <c r="B2000" s="3" t="s">
        <v>47</v>
      </c>
      <c r="C2000" s="3" t="s">
        <v>23</v>
      </c>
      <c r="D2000" s="3" t="s">
        <v>48</v>
      </c>
      <c r="E2000" s="3" t="s">
        <v>49</v>
      </c>
      <c r="F2000" s="3" t="s">
        <v>25</v>
      </c>
      <c r="G2000" s="3" t="s">
        <v>25</v>
      </c>
      <c r="H2000" s="3" t="s">
        <v>25</v>
      </c>
      <c r="I2000" s="6">
        <v>44470</v>
      </c>
      <c r="J2000" s="4">
        <v>0</v>
      </c>
      <c r="K2000" s="4">
        <v>0</v>
      </c>
      <c r="L2000" s="4">
        <v>20768.708999999999</v>
      </c>
      <c r="M2000" s="4">
        <v>20768.708999999999</v>
      </c>
      <c r="N2000" s="4">
        <v>20768.708999999999</v>
      </c>
      <c r="O2000" s="4">
        <v>20768.708999999999</v>
      </c>
      <c r="P2000" s="4">
        <v>274</v>
      </c>
      <c r="Q2000" s="3" t="s">
        <v>26</v>
      </c>
      <c r="R2000" s="3">
        <v>0</v>
      </c>
      <c r="S2000" s="4">
        <v>0</v>
      </c>
      <c r="T2000" s="4">
        <v>71</v>
      </c>
      <c r="U2000" s="4">
        <v>1</v>
      </c>
      <c r="V2000" s="4">
        <f>IF(ISERROR(VLOOKUP($S$2000,'TAR FIN'!$A$1:$O$99,15,0)),0,VLOOKUP($S$2000,'TAR FIN'!$A$1:$O$99,15,0))</f>
        <v>0</v>
      </c>
      <c r="W2000" s="4">
        <f>IF(ISERROR(VLOOKUP($T$2000,'TAR FIN'!$A$1:$O$99,15,0)),0,VLOOKUP($T$2000,'TAR FIN'!$A$1:$O$99,15,0))</f>
        <v>217.57</v>
      </c>
      <c r="X2000" s="4">
        <f>IF(ISERROR(VLOOKUP($U$2000,'TAR FIN'!$A$1:$O$99,15,0)),0,VLOOKUP($U$2000,'TAR FIN'!$A$1:$O$99,15,0))</f>
        <v>126.79</v>
      </c>
      <c r="Y2000" s="4"/>
      <c r="Z2000" s="4">
        <f ca="1">('TUSD BE'!$AM$61+'TUSD BF'!$AM$61+'TUSD CVA'!$AM$61)*1</f>
        <v>256.64068446815696</v>
      </c>
      <c r="AA2000" s="4">
        <f>('TE BE'!$AA$43+'TE BF'!$AA$43+'TE CVA'!$AA$43)*1</f>
        <v>156.12789197157247</v>
      </c>
      <c r="AB2000" s="4">
        <f>$K$2000*$V$2000</f>
        <v>0</v>
      </c>
      <c r="AC2000" s="4">
        <f>$M$2000*$W$2000</f>
        <v>4518648.0171299996</v>
      </c>
      <c r="AD2000" s="4">
        <f>$O$2000*$X$2000</f>
        <v>2633264.61411</v>
      </c>
      <c r="AE2000" s="4">
        <f>$K$2000*$Y$2000</f>
        <v>0</v>
      </c>
      <c r="AF2000" s="4">
        <f ca="1">$M$2000*$Z$2000</f>
        <v>5330095.6932799714</v>
      </c>
      <c r="AG2000" s="4">
        <f>$O$2000*$AA$2000</f>
        <v>3242574.7551410245</v>
      </c>
    </row>
    <row r="2001" spans="1:33" ht="11.25" customHeight="1" x14ac:dyDescent="0.25">
      <c r="A2001" s="3" t="s">
        <v>27</v>
      </c>
      <c r="B2001" s="3" t="s">
        <v>47</v>
      </c>
      <c r="C2001" s="3" t="s">
        <v>23</v>
      </c>
      <c r="D2001" s="3" t="s">
        <v>48</v>
      </c>
      <c r="E2001" s="3" t="s">
        <v>49</v>
      </c>
      <c r="F2001" s="3" t="s">
        <v>25</v>
      </c>
      <c r="G2001" s="3" t="s">
        <v>25</v>
      </c>
      <c r="H2001" s="3" t="s">
        <v>25</v>
      </c>
      <c r="I2001" s="6">
        <v>44470</v>
      </c>
      <c r="J2001" s="4">
        <v>0</v>
      </c>
      <c r="K2001" s="4">
        <v>0</v>
      </c>
      <c r="L2001" s="4">
        <v>1699.692</v>
      </c>
      <c r="M2001" s="4">
        <v>1699.692</v>
      </c>
      <c r="N2001" s="4">
        <v>1699.692</v>
      </c>
      <c r="O2001" s="4">
        <v>1699.692</v>
      </c>
      <c r="P2001" s="4">
        <v>0</v>
      </c>
      <c r="Q2001" s="3" t="s">
        <v>26</v>
      </c>
      <c r="R2001" s="3">
        <v>0</v>
      </c>
      <c r="S2001" s="4">
        <v>0</v>
      </c>
      <c r="T2001" s="4">
        <v>71</v>
      </c>
      <c r="U2001" s="4">
        <v>1</v>
      </c>
      <c r="V2001" s="4">
        <f>IF(ISERROR(VLOOKUP($S$2001,'TAR FIN'!$A$1:$O$99,15,0)),0,VLOOKUP($S$2001,'TAR FIN'!$A$1:$O$99,15,0))</f>
        <v>0</v>
      </c>
      <c r="W2001" s="4">
        <f>IF(ISERROR(VLOOKUP($T$2001,'TAR FIN'!$A$1:$O$99,15,0)),0,VLOOKUP($T$2001,'TAR FIN'!$A$1:$O$99,15,0))</f>
        <v>217.57</v>
      </c>
      <c r="X2001" s="4">
        <f>IF(ISERROR(VLOOKUP($U$2001,'TAR FIN'!$A$1:$O$99,15,0)),0,VLOOKUP($U$2001,'TAR FIN'!$A$1:$O$99,15,0))</f>
        <v>126.79</v>
      </c>
      <c r="Y2001" s="4"/>
      <c r="Z2001" s="4">
        <f ca="1">('TUSD BE'!$AM$61+'TUSD BF'!$AM$61+'TUSD CVA'!$AM$61)*1</f>
        <v>256.64068446815696</v>
      </c>
      <c r="AA2001" s="4">
        <f>('TE BE'!$AA$43+'TE BF'!$AA$43+'TE CVA'!$AA$43)*1</f>
        <v>156.12789197157247</v>
      </c>
      <c r="AB2001" s="4">
        <f>$K$2001*$V$2001</f>
        <v>0</v>
      </c>
      <c r="AC2001" s="4">
        <f>$M$2001*$W$2001</f>
        <v>369801.98843999999</v>
      </c>
      <c r="AD2001" s="4">
        <f>$O$2001*$X$2001</f>
        <v>215503.94868</v>
      </c>
      <c r="AE2001" s="4">
        <f>$K$2001*$Y$2001</f>
        <v>0</v>
      </c>
      <c r="AF2001" s="4">
        <f ca="1">$M$2001*$Z$2001</f>
        <v>436210.11826505064</v>
      </c>
      <c r="AG2001" s="4">
        <f>$O$2001*$AA$2001</f>
        <v>265369.32896094595</v>
      </c>
    </row>
    <row r="2002" spans="1:33" ht="11.25" customHeight="1" x14ac:dyDescent="0.25">
      <c r="A2002" s="3" t="s">
        <v>21</v>
      </c>
      <c r="B2002" s="3" t="s">
        <v>47</v>
      </c>
      <c r="C2002" s="3" t="s">
        <v>23</v>
      </c>
      <c r="D2002" s="3" t="s">
        <v>48</v>
      </c>
      <c r="E2002" s="3" t="s">
        <v>49</v>
      </c>
      <c r="F2002" s="3" t="s">
        <v>25</v>
      </c>
      <c r="G2002" s="3" t="s">
        <v>25</v>
      </c>
      <c r="H2002" s="3" t="s">
        <v>25</v>
      </c>
      <c r="I2002" s="6">
        <v>44501</v>
      </c>
      <c r="J2002" s="4">
        <v>0</v>
      </c>
      <c r="K2002" s="4">
        <v>0</v>
      </c>
      <c r="L2002" s="4">
        <v>20091.36</v>
      </c>
      <c r="M2002" s="4">
        <v>20091.36</v>
      </c>
      <c r="N2002" s="4">
        <v>20091.36</v>
      </c>
      <c r="O2002" s="4">
        <v>20091.36</v>
      </c>
      <c r="P2002" s="4">
        <v>279</v>
      </c>
      <c r="Q2002" s="3" t="s">
        <v>26</v>
      </c>
      <c r="R2002" s="3">
        <v>0</v>
      </c>
      <c r="S2002" s="4">
        <v>0</v>
      </c>
      <c r="T2002" s="4">
        <v>71</v>
      </c>
      <c r="U2002" s="4">
        <v>1</v>
      </c>
      <c r="V2002" s="4">
        <f>IF(ISERROR(VLOOKUP($S$2002,'TAR FIN'!$A$1:$O$99,15,0)),0,VLOOKUP($S$2002,'TAR FIN'!$A$1:$O$99,15,0))</f>
        <v>0</v>
      </c>
      <c r="W2002" s="4">
        <f>IF(ISERROR(VLOOKUP($T$2002,'TAR FIN'!$A$1:$O$99,15,0)),0,VLOOKUP($T$2002,'TAR FIN'!$A$1:$O$99,15,0))</f>
        <v>217.57</v>
      </c>
      <c r="X2002" s="4">
        <f>IF(ISERROR(VLOOKUP($U$2002,'TAR FIN'!$A$1:$O$99,15,0)),0,VLOOKUP($U$2002,'TAR FIN'!$A$1:$O$99,15,0))</f>
        <v>126.79</v>
      </c>
      <c r="Y2002" s="4"/>
      <c r="Z2002" s="4">
        <f ca="1">('TUSD BE'!$AM$61+'TUSD BF'!$AM$61+'TUSD CVA'!$AM$61)*1</f>
        <v>256.64068446815696</v>
      </c>
      <c r="AA2002" s="4">
        <f>('TE BE'!$AA$43+'TE BF'!$AA$43+'TE CVA'!$AA$43)*1</f>
        <v>156.12789197157247</v>
      </c>
      <c r="AB2002" s="4">
        <f>$K$2002*$V$2002</f>
        <v>0</v>
      </c>
      <c r="AC2002" s="4">
        <f>$M$2002*$W$2002</f>
        <v>4371277.1952</v>
      </c>
      <c r="AD2002" s="4">
        <f>$O$2002*$X$2002</f>
        <v>2547383.5344000002</v>
      </c>
      <c r="AE2002" s="4">
        <f>$K$2002*$Y$2002</f>
        <v>0</v>
      </c>
      <c r="AF2002" s="4">
        <f ca="1">$M$2002*$Z$2002</f>
        <v>5156260.3822961506</v>
      </c>
      <c r="AG2002" s="4">
        <f>$O$2002*$AA$2002</f>
        <v>3136821.6836419725</v>
      </c>
    </row>
    <row r="2003" spans="1:33" ht="11.25" customHeight="1" x14ac:dyDescent="0.25">
      <c r="A2003" s="3" t="s">
        <v>27</v>
      </c>
      <c r="B2003" s="3" t="s">
        <v>47</v>
      </c>
      <c r="C2003" s="3" t="s">
        <v>23</v>
      </c>
      <c r="D2003" s="3" t="s">
        <v>48</v>
      </c>
      <c r="E2003" s="3" t="s">
        <v>49</v>
      </c>
      <c r="F2003" s="3" t="s">
        <v>25</v>
      </c>
      <c r="G2003" s="3" t="s">
        <v>25</v>
      </c>
      <c r="H2003" s="3" t="s">
        <v>25</v>
      </c>
      <c r="I2003" s="6">
        <v>44501</v>
      </c>
      <c r="J2003" s="4">
        <v>0</v>
      </c>
      <c r="K2003" s="4">
        <v>0</v>
      </c>
      <c r="L2003" s="4">
        <v>2221.096</v>
      </c>
      <c r="M2003" s="4">
        <v>2221.096</v>
      </c>
      <c r="N2003" s="4">
        <v>2221.096</v>
      </c>
      <c r="O2003" s="4">
        <v>2221.096</v>
      </c>
      <c r="P2003" s="4">
        <v>0</v>
      </c>
      <c r="Q2003" s="3" t="s">
        <v>26</v>
      </c>
      <c r="R2003" s="3">
        <v>0</v>
      </c>
      <c r="S2003" s="4">
        <v>0</v>
      </c>
      <c r="T2003" s="4">
        <v>71</v>
      </c>
      <c r="U2003" s="4">
        <v>1</v>
      </c>
      <c r="V2003" s="4">
        <f>IF(ISERROR(VLOOKUP($S$2003,'TAR FIN'!$A$1:$O$99,15,0)),0,VLOOKUP($S$2003,'TAR FIN'!$A$1:$O$99,15,0))</f>
        <v>0</v>
      </c>
      <c r="W2003" s="4">
        <f>IF(ISERROR(VLOOKUP($T$2003,'TAR FIN'!$A$1:$O$99,15,0)),0,VLOOKUP($T$2003,'TAR FIN'!$A$1:$O$99,15,0))</f>
        <v>217.57</v>
      </c>
      <c r="X2003" s="4">
        <f>IF(ISERROR(VLOOKUP($U$2003,'TAR FIN'!$A$1:$O$99,15,0)),0,VLOOKUP($U$2003,'TAR FIN'!$A$1:$O$99,15,0))</f>
        <v>126.79</v>
      </c>
      <c r="Y2003" s="4"/>
      <c r="Z2003" s="4">
        <f ca="1">('TUSD BE'!$AM$61+'TUSD BF'!$AM$61+'TUSD CVA'!$AM$61)*1</f>
        <v>256.64068446815696</v>
      </c>
      <c r="AA2003" s="4">
        <f>('TE BE'!$AA$43+'TE BF'!$AA$43+'TE CVA'!$AA$43)*1</f>
        <v>156.12789197157247</v>
      </c>
      <c r="AB2003" s="4">
        <f>$K$2003*$V$2003</f>
        <v>0</v>
      </c>
      <c r="AC2003" s="4">
        <f>$M$2003*$W$2003</f>
        <v>483243.85671999998</v>
      </c>
      <c r="AD2003" s="4">
        <f>$O$2003*$X$2003</f>
        <v>281612.76183999999</v>
      </c>
      <c r="AE2003" s="4">
        <f>$K$2003*$Y$2003</f>
        <v>0</v>
      </c>
      <c r="AF2003" s="4">
        <f ca="1">$M$2003*$Z$2003</f>
        <v>570023.59770948556</v>
      </c>
      <c r="AG2003" s="4">
        <f>$O$2003*$AA$2003</f>
        <v>346775.03634649172</v>
      </c>
    </row>
    <row r="2004" spans="1:33" ht="11.25" customHeight="1" x14ac:dyDescent="0.25">
      <c r="A2004" s="3" t="s">
        <v>21</v>
      </c>
      <c r="B2004" s="3" t="s">
        <v>47</v>
      </c>
      <c r="C2004" s="3" t="s">
        <v>23</v>
      </c>
      <c r="D2004" s="3" t="s">
        <v>48</v>
      </c>
      <c r="E2004" s="3" t="s">
        <v>49</v>
      </c>
      <c r="F2004" s="3" t="s">
        <v>25</v>
      </c>
      <c r="G2004" s="3" t="s">
        <v>25</v>
      </c>
      <c r="H2004" s="3" t="s">
        <v>25</v>
      </c>
      <c r="I2004" s="6">
        <v>44531</v>
      </c>
      <c r="J2004" s="4">
        <v>0</v>
      </c>
      <c r="K2004" s="4">
        <v>0</v>
      </c>
      <c r="L2004" s="4">
        <v>20768.733</v>
      </c>
      <c r="M2004" s="4">
        <v>20768.733</v>
      </c>
      <c r="N2004" s="4">
        <v>20768.733</v>
      </c>
      <c r="O2004" s="4">
        <v>20768.733</v>
      </c>
      <c r="P2004" s="4">
        <v>290</v>
      </c>
      <c r="Q2004" s="3" t="s">
        <v>26</v>
      </c>
      <c r="R2004" s="3">
        <v>0</v>
      </c>
      <c r="S2004" s="4">
        <v>0</v>
      </c>
      <c r="T2004" s="4">
        <v>71</v>
      </c>
      <c r="U2004" s="4">
        <v>1</v>
      </c>
      <c r="V2004" s="4">
        <f>IF(ISERROR(VLOOKUP($S$2004,'TAR FIN'!$A$1:$O$99,15,0)),0,VLOOKUP($S$2004,'TAR FIN'!$A$1:$O$99,15,0))</f>
        <v>0</v>
      </c>
      <c r="W2004" s="4">
        <f>IF(ISERROR(VLOOKUP($T$2004,'TAR FIN'!$A$1:$O$99,15,0)),0,VLOOKUP($T$2004,'TAR FIN'!$A$1:$O$99,15,0))</f>
        <v>217.57</v>
      </c>
      <c r="X2004" s="4">
        <f>IF(ISERROR(VLOOKUP($U$2004,'TAR FIN'!$A$1:$O$99,15,0)),0,VLOOKUP($U$2004,'TAR FIN'!$A$1:$O$99,15,0))</f>
        <v>126.79</v>
      </c>
      <c r="Y2004" s="4"/>
      <c r="Z2004" s="4">
        <f ca="1">('TUSD BE'!$AM$61+'TUSD BF'!$AM$61+'TUSD CVA'!$AM$61)*1</f>
        <v>256.64068446815696</v>
      </c>
      <c r="AA2004" s="4">
        <f>('TE BE'!$AA$43+'TE BF'!$AA$43+'TE CVA'!$AA$43)*1</f>
        <v>156.12789197157247</v>
      </c>
      <c r="AB2004" s="4">
        <f>$K$2004*$V$2004</f>
        <v>0</v>
      </c>
      <c r="AC2004" s="4">
        <f>$M$2004*$W$2004</f>
        <v>4518653.23881</v>
      </c>
      <c r="AD2004" s="4">
        <f>$O$2004*$X$2004</f>
        <v>2633267.6570700002</v>
      </c>
      <c r="AE2004" s="4">
        <f>$K$2004*$Y$2004</f>
        <v>0</v>
      </c>
      <c r="AF2004" s="4">
        <f ca="1">$M$2004*$Z$2004</f>
        <v>5330101.8526563989</v>
      </c>
      <c r="AG2004" s="4">
        <f>$O$2004*$AA$2004</f>
        <v>3242578.5022104322</v>
      </c>
    </row>
    <row r="2005" spans="1:33" ht="11.25" customHeight="1" x14ac:dyDescent="0.25">
      <c r="A2005" s="3" t="s">
        <v>27</v>
      </c>
      <c r="B2005" s="3" t="s">
        <v>47</v>
      </c>
      <c r="C2005" s="3" t="s">
        <v>23</v>
      </c>
      <c r="D2005" s="3" t="s">
        <v>48</v>
      </c>
      <c r="E2005" s="3" t="s">
        <v>49</v>
      </c>
      <c r="F2005" s="3" t="s">
        <v>25</v>
      </c>
      <c r="G2005" s="3" t="s">
        <v>25</v>
      </c>
      <c r="H2005" s="3" t="s">
        <v>25</v>
      </c>
      <c r="I2005" s="6">
        <v>44531</v>
      </c>
      <c r="J2005" s="4">
        <v>0</v>
      </c>
      <c r="K2005" s="4">
        <v>0</v>
      </c>
      <c r="L2005" s="4">
        <v>4132.5479999999998</v>
      </c>
      <c r="M2005" s="4">
        <v>4132.5479999999998</v>
      </c>
      <c r="N2005" s="4">
        <v>4132.5479999999998</v>
      </c>
      <c r="O2005" s="4">
        <v>4132.5479999999998</v>
      </c>
      <c r="P2005" s="4">
        <v>0</v>
      </c>
      <c r="Q2005" s="3" t="s">
        <v>26</v>
      </c>
      <c r="R2005" s="3">
        <v>0</v>
      </c>
      <c r="S2005" s="4">
        <v>0</v>
      </c>
      <c r="T2005" s="4">
        <v>71</v>
      </c>
      <c r="U2005" s="4">
        <v>1</v>
      </c>
      <c r="V2005" s="4">
        <f>IF(ISERROR(VLOOKUP($S$2005,'TAR FIN'!$A$1:$O$99,15,0)),0,VLOOKUP($S$2005,'TAR FIN'!$A$1:$O$99,15,0))</f>
        <v>0</v>
      </c>
      <c r="W2005" s="4">
        <f>IF(ISERROR(VLOOKUP($T$2005,'TAR FIN'!$A$1:$O$99,15,0)),0,VLOOKUP($T$2005,'TAR FIN'!$A$1:$O$99,15,0))</f>
        <v>217.57</v>
      </c>
      <c r="X2005" s="4">
        <f>IF(ISERROR(VLOOKUP($U$2005,'TAR FIN'!$A$1:$O$99,15,0)),0,VLOOKUP($U$2005,'TAR FIN'!$A$1:$O$99,15,0))</f>
        <v>126.79</v>
      </c>
      <c r="Y2005" s="4"/>
      <c r="Z2005" s="4">
        <f ca="1">('TUSD BE'!$AM$61+'TUSD BF'!$AM$61+'TUSD CVA'!$AM$61)*1</f>
        <v>256.64068446815696</v>
      </c>
      <c r="AA2005" s="4">
        <f>('TE BE'!$AA$43+'TE BF'!$AA$43+'TE CVA'!$AA$43)*1</f>
        <v>156.12789197157247</v>
      </c>
      <c r="AB2005" s="4">
        <f>$K$2005*$V$2005</f>
        <v>0</v>
      </c>
      <c r="AC2005" s="4">
        <f>$M$2005*$W$2005</f>
        <v>899118.46835999994</v>
      </c>
      <c r="AD2005" s="4">
        <f>$O$2005*$X$2005</f>
        <v>523965.76091999997</v>
      </c>
      <c r="AE2005" s="4">
        <f>$K$2005*$Y$2005</f>
        <v>0</v>
      </c>
      <c r="AF2005" s="4">
        <f ca="1">$M$2005*$Z$2005</f>
        <v>1060579.9473175132</v>
      </c>
      <c r="AG2005" s="4">
        <f>$O$2005*$AA$2005</f>
        <v>645206.00771133776</v>
      </c>
    </row>
    <row r="2006" spans="1:33" ht="11.25" customHeight="1" x14ac:dyDescent="0.25">
      <c r="A2006" s="3" t="s">
        <v>21</v>
      </c>
      <c r="B2006" s="3" t="s">
        <v>47</v>
      </c>
      <c r="C2006" s="3" t="s">
        <v>23</v>
      </c>
      <c r="D2006" s="3" t="s">
        <v>48</v>
      </c>
      <c r="E2006" s="3" t="s">
        <v>49</v>
      </c>
      <c r="F2006" s="3" t="s">
        <v>25</v>
      </c>
      <c r="G2006" s="3" t="s">
        <v>25</v>
      </c>
      <c r="H2006" s="3" t="s">
        <v>25</v>
      </c>
      <c r="I2006" s="6">
        <v>44562</v>
      </c>
      <c r="J2006" s="4">
        <v>0</v>
      </c>
      <c r="K2006" s="4">
        <v>0</v>
      </c>
      <c r="L2006" s="4">
        <v>20799.067999999999</v>
      </c>
      <c r="M2006" s="4">
        <v>20799.067999999999</v>
      </c>
      <c r="N2006" s="4">
        <v>20799.067999999999</v>
      </c>
      <c r="O2006" s="4">
        <v>20799.067999999999</v>
      </c>
      <c r="P2006" s="4">
        <v>274</v>
      </c>
      <c r="Q2006" s="3" t="s">
        <v>26</v>
      </c>
      <c r="R2006" s="3">
        <v>0</v>
      </c>
      <c r="S2006" s="4">
        <v>0</v>
      </c>
      <c r="T2006" s="4">
        <v>71</v>
      </c>
      <c r="U2006" s="4">
        <v>1</v>
      </c>
      <c r="V2006" s="4">
        <f>IF(ISERROR(VLOOKUP($S$2006,'TAR FIN'!$A$1:$O$99,15,0)),0,VLOOKUP($S$2006,'TAR FIN'!$A$1:$O$99,15,0))</f>
        <v>0</v>
      </c>
      <c r="W2006" s="4">
        <f>IF(ISERROR(VLOOKUP($T$2006,'TAR FIN'!$A$1:$O$99,15,0)),0,VLOOKUP($T$2006,'TAR FIN'!$A$1:$O$99,15,0))</f>
        <v>217.57</v>
      </c>
      <c r="X2006" s="4">
        <f>IF(ISERROR(VLOOKUP($U$2006,'TAR FIN'!$A$1:$O$99,15,0)),0,VLOOKUP($U$2006,'TAR FIN'!$A$1:$O$99,15,0))</f>
        <v>126.79</v>
      </c>
      <c r="Y2006" s="4"/>
      <c r="Z2006" s="4">
        <f ca="1">('TUSD BE'!$AM$61+'TUSD BF'!$AM$61+'TUSD CVA'!$AM$61)*1</f>
        <v>256.64068446815696</v>
      </c>
      <c r="AA2006" s="4">
        <f>('TE BE'!$AA$43+'TE BF'!$AA$43+'TE CVA'!$AA$43)*1</f>
        <v>156.12789197157247</v>
      </c>
      <c r="AB2006" s="4">
        <f>$K$2006*$V$2006</f>
        <v>0</v>
      </c>
      <c r="AC2006" s="4">
        <f>$M$2006*$W$2006</f>
        <v>4525253.2247599997</v>
      </c>
      <c r="AD2006" s="4">
        <f>$O$2006*$X$2006</f>
        <v>2637113.8317200001</v>
      </c>
      <c r="AE2006" s="4">
        <f>$K$2006*$Y$2006</f>
        <v>0</v>
      </c>
      <c r="AF2006" s="4">
        <f ca="1">$M$2006*$Z$2006</f>
        <v>5337887.0478197401</v>
      </c>
      <c r="AG2006" s="4">
        <f>$O$2006*$AA$2006</f>
        <v>3247314.6418133895</v>
      </c>
    </row>
    <row r="2007" spans="1:33" ht="11.25" customHeight="1" x14ac:dyDescent="0.25">
      <c r="A2007" s="3" t="s">
        <v>21</v>
      </c>
      <c r="B2007" s="3" t="s">
        <v>47</v>
      </c>
      <c r="C2007" s="3" t="s">
        <v>23</v>
      </c>
      <c r="D2007" s="3" t="s">
        <v>48</v>
      </c>
      <c r="E2007" s="3" t="s">
        <v>49</v>
      </c>
      <c r="F2007" s="3" t="s">
        <v>25</v>
      </c>
      <c r="G2007" s="3" t="s">
        <v>25</v>
      </c>
      <c r="H2007" s="3" t="s">
        <v>25</v>
      </c>
      <c r="I2007" s="6">
        <v>44593</v>
      </c>
      <c r="J2007" s="4">
        <v>0</v>
      </c>
      <c r="K2007" s="4">
        <v>0</v>
      </c>
      <c r="L2007" s="4">
        <v>18742.116000000002</v>
      </c>
      <c r="M2007" s="4">
        <v>18742.116000000002</v>
      </c>
      <c r="N2007" s="4">
        <v>18742.116000000002</v>
      </c>
      <c r="O2007" s="4">
        <v>18742.116000000002</v>
      </c>
      <c r="P2007" s="4">
        <v>274</v>
      </c>
      <c r="Q2007" s="3" t="s">
        <v>26</v>
      </c>
      <c r="R2007" s="3">
        <v>0</v>
      </c>
      <c r="S2007" s="4">
        <v>0</v>
      </c>
      <c r="T2007" s="4">
        <v>71</v>
      </c>
      <c r="U2007" s="4">
        <v>1</v>
      </c>
      <c r="V2007" s="4">
        <f>IF(ISERROR(VLOOKUP($S$2007,'TAR FIN'!$A$1:$O$99,15,0)),0,VLOOKUP($S$2007,'TAR FIN'!$A$1:$O$99,15,0))</f>
        <v>0</v>
      </c>
      <c r="W2007" s="4">
        <f>IF(ISERROR(VLOOKUP($T$2007,'TAR FIN'!$A$1:$O$99,15,0)),0,VLOOKUP($T$2007,'TAR FIN'!$A$1:$O$99,15,0))</f>
        <v>217.57</v>
      </c>
      <c r="X2007" s="4">
        <f>IF(ISERROR(VLOOKUP($U$2007,'TAR FIN'!$A$1:$O$99,15,0)),0,VLOOKUP($U$2007,'TAR FIN'!$A$1:$O$99,15,0))</f>
        <v>126.79</v>
      </c>
      <c r="Y2007" s="4"/>
      <c r="Z2007" s="4">
        <f ca="1">('TUSD BE'!$AM$61+'TUSD BF'!$AM$61+'TUSD CVA'!$AM$61)*1</f>
        <v>256.64068446815696</v>
      </c>
      <c r="AA2007" s="4">
        <f>('TE BE'!$AA$43+'TE BF'!$AA$43+'TE CVA'!$AA$43)*1</f>
        <v>156.12789197157247</v>
      </c>
      <c r="AB2007" s="4">
        <f>$K$2007*$V$2007</f>
        <v>0</v>
      </c>
      <c r="AC2007" s="4">
        <f>$M$2007*$W$2007</f>
        <v>4077722.1781200003</v>
      </c>
      <c r="AD2007" s="4">
        <f>$O$2007*$X$2007</f>
        <v>2376312.8876400003</v>
      </c>
      <c r="AE2007" s="4">
        <f>$K$2007*$Y$2007</f>
        <v>0</v>
      </c>
      <c r="AF2007" s="4">
        <f ca="1">$M$2007*$Z$2007</f>
        <v>4809989.4786215965</v>
      </c>
      <c r="AG2007" s="4">
        <f>$O$2007*$AA$2007</f>
        <v>2926167.0621666801</v>
      </c>
    </row>
    <row r="2008" spans="1:33" ht="11.25" customHeight="1" x14ac:dyDescent="0.25">
      <c r="A2008" s="3" t="s">
        <v>27</v>
      </c>
      <c r="B2008" s="3" t="s">
        <v>47</v>
      </c>
      <c r="C2008" s="3" t="s">
        <v>23</v>
      </c>
      <c r="D2008" s="3" t="s">
        <v>48</v>
      </c>
      <c r="E2008" s="3" t="s">
        <v>49</v>
      </c>
      <c r="F2008" s="3" t="s">
        <v>25</v>
      </c>
      <c r="G2008" s="3" t="s">
        <v>25</v>
      </c>
      <c r="H2008" s="3" t="s">
        <v>25</v>
      </c>
      <c r="I2008" s="6">
        <v>44593</v>
      </c>
      <c r="J2008" s="4">
        <v>0</v>
      </c>
      <c r="K2008" s="4">
        <v>0</v>
      </c>
      <c r="L2008" s="4">
        <v>-7.5709999999999997</v>
      </c>
      <c r="M2008" s="4">
        <v>-7.5709999999999997</v>
      </c>
      <c r="N2008" s="4">
        <v>-7.5709999999999997</v>
      </c>
      <c r="O2008" s="4">
        <v>-7.5709999999999997</v>
      </c>
      <c r="P2008" s="4">
        <v>0</v>
      </c>
      <c r="Q2008" s="3" t="s">
        <v>26</v>
      </c>
      <c r="R2008" s="3">
        <v>0</v>
      </c>
      <c r="S2008" s="4">
        <v>0</v>
      </c>
      <c r="T2008" s="4">
        <v>71</v>
      </c>
      <c r="U2008" s="4">
        <v>1</v>
      </c>
      <c r="V2008" s="4">
        <f>IF(ISERROR(VLOOKUP($S$2008,'TAR FIN'!$A$1:$O$99,15,0)),0,VLOOKUP($S$2008,'TAR FIN'!$A$1:$O$99,15,0))</f>
        <v>0</v>
      </c>
      <c r="W2008" s="4">
        <f>IF(ISERROR(VLOOKUP($T$2008,'TAR FIN'!$A$1:$O$99,15,0)),0,VLOOKUP($T$2008,'TAR FIN'!$A$1:$O$99,15,0))</f>
        <v>217.57</v>
      </c>
      <c r="X2008" s="4">
        <f>IF(ISERROR(VLOOKUP($U$2008,'TAR FIN'!$A$1:$O$99,15,0)),0,VLOOKUP($U$2008,'TAR FIN'!$A$1:$O$99,15,0))</f>
        <v>126.79</v>
      </c>
      <c r="Y2008" s="4"/>
      <c r="Z2008" s="4">
        <f ca="1">('TUSD BE'!$AM$61+'TUSD BF'!$AM$61+'TUSD CVA'!$AM$61)*1</f>
        <v>256.64068446815696</v>
      </c>
      <c r="AA2008" s="4">
        <f>('TE BE'!$AA$43+'TE BF'!$AA$43+'TE CVA'!$AA$43)*1</f>
        <v>156.12789197157247</v>
      </c>
      <c r="AB2008" s="4">
        <f>$K$2008*$V$2008</f>
        <v>0</v>
      </c>
      <c r="AC2008" s="4">
        <f>$M$2008*$W$2008</f>
        <v>-1647.2224699999999</v>
      </c>
      <c r="AD2008" s="4">
        <f>$O$2008*$X$2008</f>
        <v>-959.92709000000002</v>
      </c>
      <c r="AE2008" s="4">
        <f>$K$2008*$Y$2008</f>
        <v>0</v>
      </c>
      <c r="AF2008" s="4">
        <f ca="1">$M$2008*$Z$2008</f>
        <v>-1943.0266221084164</v>
      </c>
      <c r="AG2008" s="4">
        <f>$O$2008*$AA$2008</f>
        <v>-1182.0442701167751</v>
      </c>
    </row>
    <row r="2009" spans="1:33" ht="11.25" customHeight="1" x14ac:dyDescent="0.25">
      <c r="A2009" s="3" t="s">
        <v>21</v>
      </c>
      <c r="B2009" s="3" t="s">
        <v>47</v>
      </c>
      <c r="C2009" s="3" t="s">
        <v>23</v>
      </c>
      <c r="D2009" s="3" t="s">
        <v>48</v>
      </c>
      <c r="E2009" s="3" t="s">
        <v>49</v>
      </c>
      <c r="F2009" s="3" t="s">
        <v>25</v>
      </c>
      <c r="G2009" s="3" t="s">
        <v>25</v>
      </c>
      <c r="H2009" s="3" t="s">
        <v>25</v>
      </c>
      <c r="I2009" s="6">
        <v>44621</v>
      </c>
      <c r="J2009" s="4">
        <v>0</v>
      </c>
      <c r="K2009" s="4">
        <v>0</v>
      </c>
      <c r="L2009" s="4">
        <v>23191.295999999998</v>
      </c>
      <c r="M2009" s="4">
        <v>23191.295999999998</v>
      </c>
      <c r="N2009" s="4">
        <v>23191.295999999998</v>
      </c>
      <c r="O2009" s="4">
        <v>23191.295999999998</v>
      </c>
      <c r="P2009" s="4">
        <v>280</v>
      </c>
      <c r="Q2009" s="3" t="s">
        <v>26</v>
      </c>
      <c r="R2009" s="3">
        <v>0</v>
      </c>
      <c r="S2009" s="4">
        <v>0</v>
      </c>
      <c r="T2009" s="4">
        <v>71</v>
      </c>
      <c r="U2009" s="4">
        <v>1</v>
      </c>
      <c r="V2009" s="4">
        <f>IF(ISERROR(VLOOKUP($S$2009,'TAR FIN'!$A$1:$O$99,15,0)),0,VLOOKUP($S$2009,'TAR FIN'!$A$1:$O$99,15,0))</f>
        <v>0</v>
      </c>
      <c r="W2009" s="4">
        <f>IF(ISERROR(VLOOKUP($T$2009,'TAR FIN'!$A$1:$O$99,15,0)),0,VLOOKUP($T$2009,'TAR FIN'!$A$1:$O$99,15,0))</f>
        <v>217.57</v>
      </c>
      <c r="X2009" s="4">
        <f>IF(ISERROR(VLOOKUP($U$2009,'TAR FIN'!$A$1:$O$99,15,0)),0,VLOOKUP($U$2009,'TAR FIN'!$A$1:$O$99,15,0))</f>
        <v>126.79</v>
      </c>
      <c r="Y2009" s="4"/>
      <c r="Z2009" s="4">
        <f ca="1">('TUSD BE'!$AM$61+'TUSD BF'!$AM$61+'TUSD CVA'!$AM$61)*1</f>
        <v>256.64068446815696</v>
      </c>
      <c r="AA2009" s="4">
        <f>('TE BE'!$AA$43+'TE BF'!$AA$43+'TE CVA'!$AA$43)*1</f>
        <v>156.12789197157247</v>
      </c>
      <c r="AB2009" s="4">
        <f>$K$2009*$V$2009</f>
        <v>0</v>
      </c>
      <c r="AC2009" s="4">
        <f>$M$2009*$W$2009</f>
        <v>5045730.2707199994</v>
      </c>
      <c r="AD2009" s="4">
        <f>$O$2009*$X$2009</f>
        <v>2940424.4198400001</v>
      </c>
      <c r="AE2009" s="4">
        <f>$K$2009*$Y$2009</f>
        <v>0</v>
      </c>
      <c r="AF2009" s="4">
        <f ca="1">$M$2009*$Z$2009</f>
        <v>5951830.0791436303</v>
      </c>
      <c r="AG2009" s="4">
        <f>$O$2009*$AA$2009</f>
        <v>3620808.1565687605</v>
      </c>
    </row>
    <row r="2010" spans="1:33" ht="11.25" customHeight="1" x14ac:dyDescent="0.25">
      <c r="A2010" s="3" t="s">
        <v>27</v>
      </c>
      <c r="B2010" s="3" t="s">
        <v>47</v>
      </c>
      <c r="C2010" s="3" t="s">
        <v>23</v>
      </c>
      <c r="D2010" s="3" t="s">
        <v>48</v>
      </c>
      <c r="E2010" s="3" t="s">
        <v>49</v>
      </c>
      <c r="F2010" s="3" t="s">
        <v>25</v>
      </c>
      <c r="G2010" s="3" t="s">
        <v>25</v>
      </c>
      <c r="H2010" s="3" t="s">
        <v>25</v>
      </c>
      <c r="I2010" s="6">
        <v>44621</v>
      </c>
      <c r="J2010" s="4">
        <v>0</v>
      </c>
      <c r="K2010" s="4">
        <v>0</v>
      </c>
      <c r="L2010" s="4">
        <v>7.79</v>
      </c>
      <c r="M2010" s="4">
        <v>7.79</v>
      </c>
      <c r="N2010" s="4">
        <v>7.79</v>
      </c>
      <c r="O2010" s="4">
        <v>7.79</v>
      </c>
      <c r="P2010" s="4">
        <v>0</v>
      </c>
      <c r="Q2010" s="3" t="s">
        <v>26</v>
      </c>
      <c r="R2010" s="3">
        <v>0</v>
      </c>
      <c r="S2010" s="4">
        <v>0</v>
      </c>
      <c r="T2010" s="4">
        <v>71</v>
      </c>
      <c r="U2010" s="4">
        <v>1</v>
      </c>
      <c r="V2010" s="4">
        <f>IF(ISERROR(VLOOKUP($S$2010,'TAR FIN'!$A$1:$O$99,15,0)),0,VLOOKUP($S$2010,'TAR FIN'!$A$1:$O$99,15,0))</f>
        <v>0</v>
      </c>
      <c r="W2010" s="4">
        <f>IF(ISERROR(VLOOKUP($T$2010,'TAR FIN'!$A$1:$O$99,15,0)),0,VLOOKUP($T$2010,'TAR FIN'!$A$1:$O$99,15,0))</f>
        <v>217.57</v>
      </c>
      <c r="X2010" s="4">
        <f>IF(ISERROR(VLOOKUP($U$2010,'TAR FIN'!$A$1:$O$99,15,0)),0,VLOOKUP($U$2010,'TAR FIN'!$A$1:$O$99,15,0))</f>
        <v>126.79</v>
      </c>
      <c r="Y2010" s="4"/>
      <c r="Z2010" s="4">
        <f ca="1">('TUSD BE'!$AM$61+'TUSD BF'!$AM$61+'TUSD CVA'!$AM$61)*1</f>
        <v>256.64068446815696</v>
      </c>
      <c r="AA2010" s="4">
        <f>('TE BE'!$AA$43+'TE BF'!$AA$43+'TE CVA'!$AA$43)*1</f>
        <v>156.12789197157247</v>
      </c>
      <c r="AB2010" s="4">
        <f>$K$2010*$V$2010</f>
        <v>0</v>
      </c>
      <c r="AC2010" s="4">
        <f>$M$2010*$W$2010</f>
        <v>1694.8703</v>
      </c>
      <c r="AD2010" s="4">
        <f>$O$2010*$X$2010</f>
        <v>987.69410000000005</v>
      </c>
      <c r="AE2010" s="4">
        <f>$K$2010*$Y$2010</f>
        <v>0</v>
      </c>
      <c r="AF2010" s="4">
        <f ca="1">$M$2010*$Z$2010</f>
        <v>1999.2309320069428</v>
      </c>
      <c r="AG2010" s="4">
        <f>$O$2010*$AA$2010</f>
        <v>1216.2362784585496</v>
      </c>
    </row>
    <row r="2011" spans="1:33" ht="11.25" customHeight="1" x14ac:dyDescent="0.25">
      <c r="A2011" s="3" t="s">
        <v>56</v>
      </c>
      <c r="B2011" s="3" t="s">
        <v>47</v>
      </c>
      <c r="C2011" s="3" t="s">
        <v>23</v>
      </c>
      <c r="D2011" s="3" t="s">
        <v>48</v>
      </c>
      <c r="E2011" s="3" t="s">
        <v>49</v>
      </c>
      <c r="F2011" s="3" t="s">
        <v>25</v>
      </c>
      <c r="G2011" s="3" t="s">
        <v>25</v>
      </c>
      <c r="H2011" s="3" t="s">
        <v>25</v>
      </c>
      <c r="I2011" s="6">
        <v>44652</v>
      </c>
      <c r="J2011" s="4">
        <v>0</v>
      </c>
      <c r="K2011" s="4">
        <v>0</v>
      </c>
      <c r="L2011" s="4">
        <v>23191.295999999998</v>
      </c>
      <c r="M2011" s="4">
        <v>23191.295999999998</v>
      </c>
      <c r="N2011" s="4">
        <v>23191.295999999998</v>
      </c>
      <c r="O2011" s="4">
        <v>23191.295999999998</v>
      </c>
      <c r="P2011" s="4">
        <v>280</v>
      </c>
      <c r="Q2011" s="3" t="s">
        <v>26</v>
      </c>
      <c r="R2011" s="3">
        <v>0</v>
      </c>
      <c r="S2011" s="4">
        <v>0</v>
      </c>
      <c r="T2011" s="4">
        <v>71</v>
      </c>
      <c r="U2011" s="4">
        <v>1</v>
      </c>
      <c r="V2011" s="4">
        <f>IF(ISERROR(VLOOKUP($S$2011,'TAR FIN'!$A$1:$O$99,15,0)),0,VLOOKUP($S$2011,'TAR FIN'!$A$1:$O$99,15,0))</f>
        <v>0</v>
      </c>
      <c r="W2011" s="4">
        <f>IF(ISERROR(VLOOKUP($T$2011,'TAR FIN'!$A$1:$O$99,15,0)),0,VLOOKUP($T$2011,'TAR FIN'!$A$1:$O$99,15,0))</f>
        <v>217.57</v>
      </c>
      <c r="X2011" s="4">
        <f>IF(ISERROR(VLOOKUP($U$2011,'TAR FIN'!$A$1:$O$99,15,0)),0,VLOOKUP($U$2011,'TAR FIN'!$A$1:$O$99,15,0))</f>
        <v>126.79</v>
      </c>
      <c r="Y2011" s="4"/>
      <c r="Z2011" s="4">
        <f ca="1">('TUSD BE'!$AM$61+'TUSD BF'!$AM$61+'TUSD CVA'!$AM$61)*1</f>
        <v>256.64068446815696</v>
      </c>
      <c r="AA2011" s="4">
        <f>('TE BE'!$AA$43+'TE BF'!$AA$43+'TE CVA'!$AA$43)*1</f>
        <v>156.12789197157247</v>
      </c>
      <c r="AB2011" s="4">
        <f>$K$2011*$V$2011</f>
        <v>0</v>
      </c>
      <c r="AC2011" s="4">
        <f>$M$2011*$W$2011</f>
        <v>5045730.2707199994</v>
      </c>
      <c r="AD2011" s="4">
        <f>$O$2011*$X$2011</f>
        <v>2940424.4198400001</v>
      </c>
      <c r="AE2011" s="4">
        <f>$K$2011*$Y$2011</f>
        <v>0</v>
      </c>
      <c r="AF2011" s="4">
        <f ca="1">$M$2011*$Z$2011</f>
        <v>5951830.0791436303</v>
      </c>
      <c r="AG2011" s="4">
        <f>$O$2011*$AA$2011</f>
        <v>3620808.1565687605</v>
      </c>
    </row>
    <row r="2012" spans="1:33" ht="11.25" customHeight="1" x14ac:dyDescent="0.25">
      <c r="A2012" s="3" t="s">
        <v>56</v>
      </c>
      <c r="B2012" s="3" t="s">
        <v>47</v>
      </c>
      <c r="C2012" s="3" t="s">
        <v>23</v>
      </c>
      <c r="D2012" s="3" t="s">
        <v>48</v>
      </c>
      <c r="E2012" s="3" t="s">
        <v>49</v>
      </c>
      <c r="F2012" s="3" t="s">
        <v>25</v>
      </c>
      <c r="G2012" s="3" t="s">
        <v>25</v>
      </c>
      <c r="H2012" s="3" t="s">
        <v>25</v>
      </c>
      <c r="I2012" s="6">
        <v>44652</v>
      </c>
      <c r="J2012" s="4">
        <v>0</v>
      </c>
      <c r="K2012" s="4">
        <v>0</v>
      </c>
      <c r="L2012" s="4">
        <v>7.79</v>
      </c>
      <c r="M2012" s="4">
        <v>7.79</v>
      </c>
      <c r="N2012" s="4">
        <v>7.79</v>
      </c>
      <c r="O2012" s="4">
        <v>7.79</v>
      </c>
      <c r="P2012" s="4">
        <v>0</v>
      </c>
      <c r="Q2012" s="3" t="s">
        <v>26</v>
      </c>
      <c r="R2012" s="3">
        <v>0</v>
      </c>
      <c r="S2012" s="4">
        <v>0</v>
      </c>
      <c r="T2012" s="4">
        <v>71</v>
      </c>
      <c r="U2012" s="4">
        <v>1</v>
      </c>
      <c r="V2012" s="4">
        <f>IF(ISERROR(VLOOKUP($S$2012,'TAR FIN'!$A$1:$O$99,15,0)),0,VLOOKUP($S$2012,'TAR FIN'!$A$1:$O$99,15,0))</f>
        <v>0</v>
      </c>
      <c r="W2012" s="4">
        <f>IF(ISERROR(VLOOKUP($T$2012,'TAR FIN'!$A$1:$O$99,15,0)),0,VLOOKUP($T$2012,'TAR FIN'!$A$1:$O$99,15,0))</f>
        <v>217.57</v>
      </c>
      <c r="X2012" s="4">
        <f>IF(ISERROR(VLOOKUP($U$2012,'TAR FIN'!$A$1:$O$99,15,0)),0,VLOOKUP($U$2012,'TAR FIN'!$A$1:$O$99,15,0))</f>
        <v>126.79</v>
      </c>
      <c r="Y2012" s="4"/>
      <c r="Z2012" s="4">
        <f ca="1">('TUSD BE'!$AM$61+'TUSD BF'!$AM$61+'TUSD CVA'!$AM$61)*1</f>
        <v>256.64068446815696</v>
      </c>
      <c r="AA2012" s="4">
        <f>('TE BE'!$AA$43+'TE BF'!$AA$43+'TE CVA'!$AA$43)*1</f>
        <v>156.12789197157247</v>
      </c>
      <c r="AB2012" s="4">
        <f>$K$2012*$V$2012</f>
        <v>0</v>
      </c>
      <c r="AC2012" s="4">
        <f>$M$2012*$W$2012</f>
        <v>1694.8703</v>
      </c>
      <c r="AD2012" s="4">
        <f>$O$2012*$X$2012</f>
        <v>987.69410000000005</v>
      </c>
      <c r="AE2012" s="4">
        <f>$K$2012*$Y$2012</f>
        <v>0</v>
      </c>
      <c r="AF2012" s="4">
        <f ca="1">$M$2012*$Z$2012</f>
        <v>1999.2309320069428</v>
      </c>
      <c r="AG2012" s="4">
        <f>$O$2012*$AA$2012</f>
        <v>1216.2362784585496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ED784-3493-403F-9776-8967E933D85A}">
  <dimension ref="A1:AJ2013"/>
  <sheetViews>
    <sheetView showGridLines="0" topLeftCell="AC1" workbookViewId="0">
      <selection activeCell="AJ12" sqref="AJ12"/>
    </sheetView>
  </sheetViews>
  <sheetFormatPr defaultRowHeight="11.25" customHeight="1" x14ac:dyDescent="0.25"/>
  <cols>
    <col min="1" max="1" width="19.140625" style="3" bestFit="1" customWidth="1"/>
    <col min="2" max="2" width="13.28515625" style="3" bestFit="1" customWidth="1"/>
    <col min="3" max="3" width="14.5703125" style="3" bestFit="1" customWidth="1"/>
    <col min="4" max="4" width="11.5703125" style="3" bestFit="1" customWidth="1"/>
    <col min="5" max="5" width="25.140625" style="3" bestFit="1" customWidth="1"/>
    <col min="6" max="6" width="13.7109375" style="3" bestFit="1" customWidth="1"/>
    <col min="7" max="7" width="20" style="3" bestFit="1" customWidth="1"/>
    <col min="8" max="8" width="10.28515625" style="3" bestFit="1" customWidth="1"/>
    <col min="9" max="9" width="12.140625" style="6" bestFit="1" customWidth="1"/>
    <col min="10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8.71093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19.140625" style="3" bestFit="1" customWidth="1"/>
    <col min="29" max="29" width="20.5703125" style="3" bestFit="1" customWidth="1"/>
    <col min="30" max="30" width="19.85546875" style="3" bestFit="1" customWidth="1"/>
    <col min="31" max="31" width="20.42578125" style="3" bestFit="1" customWidth="1"/>
    <col min="32" max="32" width="32.140625" style="3" bestFit="1" customWidth="1"/>
    <col min="33" max="33" width="9.140625" style="3"/>
    <col min="34" max="34" width="32.140625" style="3" bestFit="1" customWidth="1"/>
    <col min="35" max="35" width="11.7109375" style="3" bestFit="1" customWidth="1"/>
    <col min="36" max="36" width="20.7109375" style="3" bestFit="1" customWidth="1"/>
    <col min="37" max="16384" width="9.140625" style="3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902</v>
      </c>
      <c r="W1" s="1" t="s">
        <v>903</v>
      </c>
      <c r="X1" s="1" t="s">
        <v>904</v>
      </c>
      <c r="Y1" s="1" t="s">
        <v>905</v>
      </c>
      <c r="Z1" s="1" t="s">
        <v>906</v>
      </c>
      <c r="AA1" s="1" t="s">
        <v>907</v>
      </c>
      <c r="AB1" s="1" t="s">
        <v>945</v>
      </c>
      <c r="AC1" s="1" t="s">
        <v>946</v>
      </c>
      <c r="AD1" s="1" t="s">
        <v>947</v>
      </c>
      <c r="AE1" s="1" t="s">
        <v>948</v>
      </c>
      <c r="AF1" s="1" t="s">
        <v>949</v>
      </c>
      <c r="AH1" s="52" t="s">
        <v>949</v>
      </c>
      <c r="AI1" s="52" t="s">
        <v>956</v>
      </c>
      <c r="AJ1" s="52" t="s">
        <v>957</v>
      </c>
    </row>
    <row r="2" spans="1:36" ht="11.25" customHeight="1" x14ac:dyDescent="0.25">
      <c r="A2" s="3" t="s">
        <v>21</v>
      </c>
      <c r="B2" s="3" t="s">
        <v>41</v>
      </c>
      <c r="C2" s="3" t="s">
        <v>42</v>
      </c>
      <c r="D2" s="3" t="s">
        <v>40</v>
      </c>
      <c r="E2" s="3" t="s">
        <v>25</v>
      </c>
      <c r="F2" s="3" t="s">
        <v>60</v>
      </c>
      <c r="G2" s="3" t="s">
        <v>25</v>
      </c>
      <c r="H2" s="3" t="s">
        <v>36</v>
      </c>
      <c r="I2" s="6">
        <v>44317</v>
      </c>
      <c r="J2" s="4">
        <v>7000</v>
      </c>
      <c r="K2" s="4">
        <v>10.4559000000003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3" t="s">
        <v>57</v>
      </c>
      <c r="R2" s="3">
        <v>0</v>
      </c>
      <c r="S2" s="3">
        <v>93</v>
      </c>
      <c r="T2" s="3">
        <v>0</v>
      </c>
      <c r="U2" s="3">
        <v>0</v>
      </c>
      <c r="V2" s="4">
        <f>IF(ISERROR(VLOOKUP($S$2,'TAR FIN'!$A$1:$O$99,15,0)),0,VLOOKUP($S$2,'TAR FIN'!$A$1:$O$99,15,0))</f>
        <v>15.23</v>
      </c>
      <c r="W2" s="4">
        <f>IF(ISERROR(VLOOKUP($T$2,'TAR FIN'!$A$1:$O$99,15,0)),0,VLOOKUP($T$2,'TAR FIN'!$A$1:$O$99,15,0))</f>
        <v>0</v>
      </c>
      <c r="X2" s="4">
        <f>IF(ISERROR(VLOOKUP($U$2,'TAR FIN'!$A$1:$O$99,15,0)),0,VLOOKUP($U$2,'TAR FIN'!$A$1:$O$99,15,0))</f>
        <v>0</v>
      </c>
      <c r="Y2" s="4">
        <f ca="1">('TUSD BE'!$AM$6+'TUSD BF'!$AM$6+'TUSD CVA'!$AM$6)*1</f>
        <v>16.343876453142602</v>
      </c>
      <c r="Z2" s="4">
        <f ca="1">('TUSD BE'!$AM$7+'TUSD BF'!$AM$7+'TUSD CVA'!$AM$7)*1</f>
        <v>76.243476502957677</v>
      </c>
      <c r="AA2" s="4"/>
      <c r="AB2" s="4">
        <f t="shared" ref="AB2:AB50" si="0">(J2-K2)*V2</f>
        <v>106450.756643</v>
      </c>
      <c r="AC2" s="4">
        <f t="shared" ref="AC2:AC50" si="1">(L2-M2)*W2+(N2-O2)*X2</f>
        <v>0</v>
      </c>
      <c r="AD2" s="4">
        <f t="shared" ref="AD2:AD50" ca="1" si="2">(J2-K2)*Y2</f>
        <v>114236.24523419181</v>
      </c>
      <c r="AE2" s="4">
        <f t="shared" ref="AE2:AE50" ca="1" si="3">(L2-M2)*Z2+(N2-O2)*AA2</f>
        <v>0</v>
      </c>
      <c r="AF2" s="3" t="s">
        <v>950</v>
      </c>
      <c r="AH2" s="53" t="s">
        <v>950</v>
      </c>
      <c r="AI2" s="54">
        <f t="shared" ref="AI2:AI9" si="4">SUMIF($AF$2:$AF$2013,AH2,$AB$2:$AB$2013)+SUMIF($AF$2:$AF$2013,AH2,$AC$2:$AC$2013)</f>
        <v>33358671.641374029</v>
      </c>
      <c r="AJ2" s="54">
        <f t="shared" ref="AJ2:AJ9" ca="1" si="5">SUMIF($AF$2:$AF$2013,AH2,$AD$2:$AD$2013)+SUMIF($AF$2:$AF$2013,AH2,$AE$2:$AE$2013)</f>
        <v>38141058.892997019</v>
      </c>
    </row>
    <row r="3" spans="1:36" ht="11.25" customHeight="1" x14ac:dyDescent="0.25">
      <c r="A3" s="3" t="s">
        <v>21</v>
      </c>
      <c r="B3" s="3" t="s">
        <v>41</v>
      </c>
      <c r="C3" s="3" t="s">
        <v>42</v>
      </c>
      <c r="D3" s="3" t="s">
        <v>40</v>
      </c>
      <c r="E3" s="3" t="s">
        <v>25</v>
      </c>
      <c r="F3" s="3" t="s">
        <v>60</v>
      </c>
      <c r="G3" s="3" t="s">
        <v>25</v>
      </c>
      <c r="H3" s="3" t="s">
        <v>36</v>
      </c>
      <c r="I3" s="6">
        <v>44348</v>
      </c>
      <c r="J3" s="4">
        <v>7000</v>
      </c>
      <c r="K3" s="4">
        <v>5.6000000000001604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3" t="s">
        <v>57</v>
      </c>
      <c r="R3" s="3">
        <v>0</v>
      </c>
      <c r="S3" s="3">
        <v>93</v>
      </c>
      <c r="T3" s="3">
        <v>0</v>
      </c>
      <c r="U3" s="3">
        <v>0</v>
      </c>
      <c r="V3" s="4">
        <f>IF(ISERROR(VLOOKUP($S$3,'TAR FIN'!$A$1:$O$99,15,0)),0,VLOOKUP($S$3,'TAR FIN'!$A$1:$O$99,15,0))</f>
        <v>15.23</v>
      </c>
      <c r="W3" s="4">
        <f>IF(ISERROR(VLOOKUP($T$3,'TAR FIN'!$A$1:$O$99,15,0)),0,VLOOKUP($T$3,'TAR FIN'!$A$1:$O$99,15,0))</f>
        <v>0</v>
      </c>
      <c r="X3" s="4">
        <f>IF(ISERROR(VLOOKUP($U$3,'TAR FIN'!$A$1:$O$99,15,0)),0,VLOOKUP($U$3,'TAR FIN'!$A$1:$O$99,15,0))</f>
        <v>0</v>
      </c>
      <c r="Y3" s="4">
        <f ca="1">('TUSD BE'!$AM$6+'TUSD BF'!$AM$6+'TUSD CVA'!$AM$6)*1</f>
        <v>16.343876453142602</v>
      </c>
      <c r="Z3" s="4">
        <f ca="1">('TUSD BE'!$AM$7+'TUSD BF'!$AM$7+'TUSD CVA'!$AM$7)*1</f>
        <v>76.243476502957677</v>
      </c>
      <c r="AA3" s="4"/>
      <c r="AB3" s="4">
        <f t="shared" si="0"/>
        <v>106524.712</v>
      </c>
      <c r="AC3" s="4">
        <f t="shared" si="1"/>
        <v>0</v>
      </c>
      <c r="AD3" s="4">
        <f t="shared" ca="1" si="2"/>
        <v>114315.60946386062</v>
      </c>
      <c r="AE3" s="4">
        <f t="shared" ca="1" si="3"/>
        <v>0</v>
      </c>
      <c r="AF3" s="3" t="s">
        <v>950</v>
      </c>
      <c r="AH3" s="53" t="s">
        <v>954</v>
      </c>
      <c r="AI3" s="54">
        <f t="shared" si="4"/>
        <v>6364642.8656250006</v>
      </c>
      <c r="AJ3" s="54">
        <f t="shared" ca="1" si="5"/>
        <v>7865997.4337026272</v>
      </c>
    </row>
    <row r="4" spans="1:36" ht="11.25" customHeight="1" x14ac:dyDescent="0.25">
      <c r="A4" s="3" t="s">
        <v>21</v>
      </c>
      <c r="B4" s="3" t="s">
        <v>41</v>
      </c>
      <c r="C4" s="3" t="s">
        <v>42</v>
      </c>
      <c r="D4" s="3" t="s">
        <v>40</v>
      </c>
      <c r="E4" s="3" t="s">
        <v>25</v>
      </c>
      <c r="F4" s="3" t="s">
        <v>60</v>
      </c>
      <c r="G4" s="3" t="s">
        <v>25</v>
      </c>
      <c r="H4" s="3" t="s">
        <v>36</v>
      </c>
      <c r="I4" s="6">
        <v>44378</v>
      </c>
      <c r="J4" s="4">
        <v>7000</v>
      </c>
      <c r="K4" s="4">
        <v>5.6000000000001604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3" t="s">
        <v>57</v>
      </c>
      <c r="R4" s="3">
        <v>0</v>
      </c>
      <c r="S4" s="3">
        <v>93</v>
      </c>
      <c r="T4" s="3">
        <v>0</v>
      </c>
      <c r="U4" s="3">
        <v>0</v>
      </c>
      <c r="V4" s="4">
        <f>IF(ISERROR(VLOOKUP($S$4,'TAR FIN'!$A$1:$O$99,15,0)),0,VLOOKUP($S$4,'TAR FIN'!$A$1:$O$99,15,0))</f>
        <v>15.23</v>
      </c>
      <c r="W4" s="4">
        <f>IF(ISERROR(VLOOKUP($T$4,'TAR FIN'!$A$1:$O$99,15,0)),0,VLOOKUP($T$4,'TAR FIN'!$A$1:$O$99,15,0))</f>
        <v>0</v>
      </c>
      <c r="X4" s="4">
        <f>IF(ISERROR(VLOOKUP($U$4,'TAR FIN'!$A$1:$O$99,15,0)),0,VLOOKUP($U$4,'TAR FIN'!$A$1:$O$99,15,0))</f>
        <v>0</v>
      </c>
      <c r="Y4" s="4">
        <f ca="1">('TUSD BE'!$AM$6+'TUSD BF'!$AM$6+'TUSD CVA'!$AM$6)*1</f>
        <v>16.343876453142602</v>
      </c>
      <c r="Z4" s="4">
        <f ca="1">('TUSD BE'!$AM$7+'TUSD BF'!$AM$7+'TUSD CVA'!$AM$7)*1</f>
        <v>76.243476502957677</v>
      </c>
      <c r="AA4" s="4"/>
      <c r="AB4" s="4">
        <f t="shared" si="0"/>
        <v>106524.712</v>
      </c>
      <c r="AC4" s="4">
        <f t="shared" si="1"/>
        <v>0</v>
      </c>
      <c r="AD4" s="4">
        <f t="shared" ca="1" si="2"/>
        <v>114315.60946386062</v>
      </c>
      <c r="AE4" s="4">
        <f t="shared" ca="1" si="3"/>
        <v>0</v>
      </c>
      <c r="AF4" s="3" t="s">
        <v>950</v>
      </c>
      <c r="AH4" s="53" t="s">
        <v>958</v>
      </c>
      <c r="AI4" s="54">
        <f t="shared" si="4"/>
        <v>0</v>
      </c>
      <c r="AJ4" s="54">
        <f t="shared" si="5"/>
        <v>0</v>
      </c>
    </row>
    <row r="5" spans="1:36" ht="11.25" customHeight="1" x14ac:dyDescent="0.25">
      <c r="A5" s="3" t="s">
        <v>21</v>
      </c>
      <c r="B5" s="3" t="s">
        <v>41</v>
      </c>
      <c r="C5" s="3" t="s">
        <v>42</v>
      </c>
      <c r="D5" s="3" t="s">
        <v>40</v>
      </c>
      <c r="E5" s="3" t="s">
        <v>25</v>
      </c>
      <c r="F5" s="3" t="s">
        <v>60</v>
      </c>
      <c r="G5" s="3" t="s">
        <v>25</v>
      </c>
      <c r="H5" s="3" t="s">
        <v>36</v>
      </c>
      <c r="I5" s="6">
        <v>44409</v>
      </c>
      <c r="J5" s="4">
        <v>7000</v>
      </c>
      <c r="K5" s="4">
        <v>0.70000000000069995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3" t="s">
        <v>57</v>
      </c>
      <c r="R5" s="3">
        <v>0</v>
      </c>
      <c r="S5" s="3">
        <v>93</v>
      </c>
      <c r="T5" s="3">
        <v>0</v>
      </c>
      <c r="U5" s="3">
        <v>0</v>
      </c>
      <c r="V5" s="4">
        <f>IF(ISERROR(VLOOKUP($S$5,'TAR FIN'!$A$1:$O$99,15,0)),0,VLOOKUP($S$5,'TAR FIN'!$A$1:$O$99,15,0))</f>
        <v>15.23</v>
      </c>
      <c r="W5" s="4">
        <f>IF(ISERROR(VLOOKUP($T$5,'TAR FIN'!$A$1:$O$99,15,0)),0,VLOOKUP($T$5,'TAR FIN'!$A$1:$O$99,15,0))</f>
        <v>0</v>
      </c>
      <c r="X5" s="4">
        <f>IF(ISERROR(VLOOKUP($U$5,'TAR FIN'!$A$1:$O$99,15,0)),0,VLOOKUP($U$5,'TAR FIN'!$A$1:$O$99,15,0))</f>
        <v>0</v>
      </c>
      <c r="Y5" s="4">
        <f ca="1">('TUSD BE'!$AM$6+'TUSD BF'!$AM$6+'TUSD CVA'!$AM$6)*1</f>
        <v>16.343876453142602</v>
      </c>
      <c r="Z5" s="4">
        <f ca="1">('TUSD BE'!$AM$7+'TUSD BF'!$AM$7+'TUSD CVA'!$AM$7)*1</f>
        <v>76.243476502957677</v>
      </c>
      <c r="AA5" s="4"/>
      <c r="AB5" s="4">
        <f t="shared" si="0"/>
        <v>106599.33899999999</v>
      </c>
      <c r="AC5" s="4">
        <f t="shared" si="1"/>
        <v>0</v>
      </c>
      <c r="AD5" s="4">
        <f t="shared" ca="1" si="2"/>
        <v>114395.69445848101</v>
      </c>
      <c r="AE5" s="4">
        <f t="shared" ca="1" si="3"/>
        <v>0</v>
      </c>
      <c r="AF5" s="3" t="s">
        <v>950</v>
      </c>
      <c r="AH5" s="53" t="s">
        <v>953</v>
      </c>
      <c r="AI5" s="54">
        <f t="shared" si="4"/>
        <v>6961093.0902366005</v>
      </c>
      <c r="AJ5" s="54">
        <f t="shared" ca="1" si="5"/>
        <v>4167215.1292106751</v>
      </c>
    </row>
    <row r="6" spans="1:36" ht="11.25" customHeight="1" x14ac:dyDescent="0.25">
      <c r="A6" s="3" t="s">
        <v>21</v>
      </c>
      <c r="B6" s="3" t="s">
        <v>41</v>
      </c>
      <c r="C6" s="3" t="s">
        <v>42</v>
      </c>
      <c r="D6" s="3" t="s">
        <v>40</v>
      </c>
      <c r="E6" s="3" t="s">
        <v>25</v>
      </c>
      <c r="F6" s="3" t="s">
        <v>60</v>
      </c>
      <c r="G6" s="3" t="s">
        <v>25</v>
      </c>
      <c r="H6" s="3" t="s">
        <v>36</v>
      </c>
      <c r="I6" s="6">
        <v>44440</v>
      </c>
      <c r="J6" s="4">
        <v>7000</v>
      </c>
      <c r="K6" s="4">
        <v>5.6000000000001604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3" t="s">
        <v>57</v>
      </c>
      <c r="R6" s="3">
        <v>0</v>
      </c>
      <c r="S6" s="3">
        <v>93</v>
      </c>
      <c r="T6" s="3">
        <v>0</v>
      </c>
      <c r="U6" s="3">
        <v>0</v>
      </c>
      <c r="V6" s="4">
        <f>IF(ISERROR(VLOOKUP($S$6,'TAR FIN'!$A$1:$O$99,15,0)),0,VLOOKUP($S$6,'TAR FIN'!$A$1:$O$99,15,0))</f>
        <v>15.23</v>
      </c>
      <c r="W6" s="4">
        <f>IF(ISERROR(VLOOKUP($T$6,'TAR FIN'!$A$1:$O$99,15,0)),0,VLOOKUP($T$6,'TAR FIN'!$A$1:$O$99,15,0))</f>
        <v>0</v>
      </c>
      <c r="X6" s="4">
        <f>IF(ISERROR(VLOOKUP($U$6,'TAR FIN'!$A$1:$O$99,15,0)),0,VLOOKUP($U$6,'TAR FIN'!$A$1:$O$99,15,0))</f>
        <v>0</v>
      </c>
      <c r="Y6" s="4">
        <f ca="1">('TUSD BE'!$AM$6+'TUSD BF'!$AM$6+'TUSD CVA'!$AM$6)*1</f>
        <v>16.343876453142602</v>
      </c>
      <c r="Z6" s="4">
        <f ca="1">('TUSD BE'!$AM$7+'TUSD BF'!$AM$7+'TUSD CVA'!$AM$7)*1</f>
        <v>76.243476502957677</v>
      </c>
      <c r="AA6" s="4"/>
      <c r="AB6" s="4">
        <f t="shared" si="0"/>
        <v>106524.712</v>
      </c>
      <c r="AC6" s="4">
        <f t="shared" si="1"/>
        <v>0</v>
      </c>
      <c r="AD6" s="4">
        <f t="shared" ca="1" si="2"/>
        <v>114315.60946386062</v>
      </c>
      <c r="AE6" s="4">
        <f t="shared" ca="1" si="3"/>
        <v>0</v>
      </c>
      <c r="AF6" s="3" t="s">
        <v>950</v>
      </c>
      <c r="AH6" s="53" t="s">
        <v>951</v>
      </c>
      <c r="AI6" s="54">
        <f t="shared" si="4"/>
        <v>6231397.1768212812</v>
      </c>
      <c r="AJ6" s="54">
        <f t="shared" ca="1" si="5"/>
        <v>3721334.9924589796</v>
      </c>
    </row>
    <row r="7" spans="1:36" ht="11.25" customHeight="1" x14ac:dyDescent="0.25">
      <c r="A7" s="3" t="s">
        <v>21</v>
      </c>
      <c r="B7" s="3" t="s">
        <v>41</v>
      </c>
      <c r="C7" s="3" t="s">
        <v>42</v>
      </c>
      <c r="D7" s="3" t="s">
        <v>40</v>
      </c>
      <c r="E7" s="3" t="s">
        <v>25</v>
      </c>
      <c r="F7" s="3" t="s">
        <v>60</v>
      </c>
      <c r="G7" s="3" t="s">
        <v>25</v>
      </c>
      <c r="H7" s="3" t="s">
        <v>36</v>
      </c>
      <c r="I7" s="6">
        <v>44470</v>
      </c>
      <c r="J7" s="4">
        <v>7000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3" t="s">
        <v>57</v>
      </c>
      <c r="R7" s="3">
        <v>0</v>
      </c>
      <c r="S7" s="3">
        <v>93</v>
      </c>
      <c r="T7" s="3">
        <v>0</v>
      </c>
      <c r="U7" s="3">
        <v>0</v>
      </c>
      <c r="V7" s="4">
        <f>IF(ISERROR(VLOOKUP($S$7,'TAR FIN'!$A$1:$O$99,15,0)),0,VLOOKUP($S$7,'TAR FIN'!$A$1:$O$99,15,0))</f>
        <v>15.23</v>
      </c>
      <c r="W7" s="4">
        <f>IF(ISERROR(VLOOKUP($T$7,'TAR FIN'!$A$1:$O$99,15,0)),0,VLOOKUP($T$7,'TAR FIN'!$A$1:$O$99,15,0))</f>
        <v>0</v>
      </c>
      <c r="X7" s="4">
        <f>IF(ISERROR(VLOOKUP($U$7,'TAR FIN'!$A$1:$O$99,15,0)),0,VLOOKUP($U$7,'TAR FIN'!$A$1:$O$99,15,0))</f>
        <v>0</v>
      </c>
      <c r="Y7" s="4">
        <f ca="1">('TUSD BE'!$AM$6+'TUSD BF'!$AM$6+'TUSD CVA'!$AM$6)*1</f>
        <v>16.343876453142602</v>
      </c>
      <c r="Z7" s="4">
        <f ca="1">('TUSD BE'!$AM$7+'TUSD BF'!$AM$7+'TUSD CVA'!$AM$7)*1</f>
        <v>76.243476502957677</v>
      </c>
      <c r="AA7" s="4"/>
      <c r="AB7" s="4">
        <f t="shared" si="0"/>
        <v>106610</v>
      </c>
      <c r="AC7" s="4">
        <f t="shared" si="1"/>
        <v>0</v>
      </c>
      <c r="AD7" s="4">
        <f t="shared" ca="1" si="2"/>
        <v>114407.13517199822</v>
      </c>
      <c r="AE7" s="4">
        <f t="shared" ca="1" si="3"/>
        <v>0</v>
      </c>
      <c r="AF7" s="3" t="s">
        <v>950</v>
      </c>
      <c r="AH7" s="53" t="s">
        <v>952</v>
      </c>
      <c r="AI7" s="54">
        <f t="shared" si="4"/>
        <v>15055651.104756104</v>
      </c>
      <c r="AJ7" s="54">
        <f t="shared" ca="1" si="5"/>
        <v>18349060.871920779</v>
      </c>
    </row>
    <row r="8" spans="1:36" ht="11.25" customHeight="1" x14ac:dyDescent="0.25">
      <c r="A8" s="3" t="s">
        <v>21</v>
      </c>
      <c r="B8" s="3" t="s">
        <v>41</v>
      </c>
      <c r="C8" s="3" t="s">
        <v>42</v>
      </c>
      <c r="D8" s="3" t="s">
        <v>40</v>
      </c>
      <c r="E8" s="3" t="s">
        <v>25</v>
      </c>
      <c r="F8" s="3" t="s">
        <v>60</v>
      </c>
      <c r="G8" s="3" t="s">
        <v>25</v>
      </c>
      <c r="H8" s="3" t="s">
        <v>36</v>
      </c>
      <c r="I8" s="6">
        <v>44501</v>
      </c>
      <c r="J8" s="4">
        <v>7000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3" t="s">
        <v>57</v>
      </c>
      <c r="R8" s="3">
        <v>0</v>
      </c>
      <c r="S8" s="3">
        <v>93</v>
      </c>
      <c r="T8" s="3">
        <v>0</v>
      </c>
      <c r="U8" s="3">
        <v>0</v>
      </c>
      <c r="V8" s="4">
        <f>IF(ISERROR(VLOOKUP($S$8,'TAR FIN'!$A$1:$O$99,15,0)),0,VLOOKUP($S$8,'TAR FIN'!$A$1:$O$99,15,0))</f>
        <v>15.23</v>
      </c>
      <c r="W8" s="4">
        <f>IF(ISERROR(VLOOKUP($T$8,'TAR FIN'!$A$1:$O$99,15,0)),0,VLOOKUP($T$8,'TAR FIN'!$A$1:$O$99,15,0))</f>
        <v>0</v>
      </c>
      <c r="X8" s="4">
        <f>IF(ISERROR(VLOOKUP($U$8,'TAR FIN'!$A$1:$O$99,15,0)),0,VLOOKUP($U$8,'TAR FIN'!$A$1:$O$99,15,0))</f>
        <v>0</v>
      </c>
      <c r="Y8" s="4">
        <f ca="1">('TUSD BE'!$AM$6+'TUSD BF'!$AM$6+'TUSD CVA'!$AM$6)*1</f>
        <v>16.343876453142602</v>
      </c>
      <c r="Z8" s="4">
        <f ca="1">('TUSD BE'!$AM$7+'TUSD BF'!$AM$7+'TUSD CVA'!$AM$7)*1</f>
        <v>76.243476502957677</v>
      </c>
      <c r="AA8" s="4"/>
      <c r="AB8" s="4">
        <f t="shared" si="0"/>
        <v>106610</v>
      </c>
      <c r="AC8" s="4">
        <f t="shared" si="1"/>
        <v>0</v>
      </c>
      <c r="AD8" s="4">
        <f t="shared" ca="1" si="2"/>
        <v>114407.13517199822</v>
      </c>
      <c r="AE8" s="4">
        <f t="shared" ca="1" si="3"/>
        <v>0</v>
      </c>
      <c r="AF8" s="3" t="s">
        <v>950</v>
      </c>
      <c r="AH8" s="53" t="s">
        <v>955</v>
      </c>
      <c r="AI8" s="54">
        <f t="shared" si="4"/>
        <v>101620431.1191</v>
      </c>
      <c r="AJ8" s="54">
        <f t="shared" ca="1" si="5"/>
        <v>121802227.99029163</v>
      </c>
    </row>
    <row r="9" spans="1:36" ht="11.25" customHeight="1" x14ac:dyDescent="0.25">
      <c r="A9" s="3" t="s">
        <v>21</v>
      </c>
      <c r="B9" s="3" t="s">
        <v>41</v>
      </c>
      <c r="C9" s="3" t="s">
        <v>42</v>
      </c>
      <c r="D9" s="3" t="s">
        <v>40</v>
      </c>
      <c r="E9" s="3" t="s">
        <v>25</v>
      </c>
      <c r="F9" s="3" t="s">
        <v>60</v>
      </c>
      <c r="G9" s="3" t="s">
        <v>25</v>
      </c>
      <c r="H9" s="3" t="s">
        <v>36</v>
      </c>
      <c r="I9" s="6">
        <v>44531</v>
      </c>
      <c r="J9" s="4">
        <v>13742</v>
      </c>
      <c r="K9" s="4">
        <v>6871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3" t="s">
        <v>57</v>
      </c>
      <c r="R9" s="3">
        <v>0</v>
      </c>
      <c r="S9" s="3">
        <v>93</v>
      </c>
      <c r="T9" s="3">
        <v>0</v>
      </c>
      <c r="U9" s="3">
        <v>0</v>
      </c>
      <c r="V9" s="4">
        <f>IF(ISERROR(VLOOKUP($S$9,'TAR FIN'!$A$1:$O$99,15,0)),0,VLOOKUP($S$9,'TAR FIN'!$A$1:$O$99,15,0))</f>
        <v>15.23</v>
      </c>
      <c r="W9" s="4">
        <f>IF(ISERROR(VLOOKUP($T$9,'TAR FIN'!$A$1:$O$99,15,0)),0,VLOOKUP($T$9,'TAR FIN'!$A$1:$O$99,15,0))</f>
        <v>0</v>
      </c>
      <c r="X9" s="4">
        <f>IF(ISERROR(VLOOKUP($U$9,'TAR FIN'!$A$1:$O$99,15,0)),0,VLOOKUP($U$9,'TAR FIN'!$A$1:$O$99,15,0))</f>
        <v>0</v>
      </c>
      <c r="Y9" s="4">
        <f ca="1">('TUSD BE'!$AM$6+'TUSD BF'!$AM$6+'TUSD CVA'!$AM$6)*1</f>
        <v>16.343876453142602</v>
      </c>
      <c r="Z9" s="4">
        <f ca="1">('TUSD BE'!$AM$7+'TUSD BF'!$AM$7+'TUSD CVA'!$AM$7)*1</f>
        <v>76.243476502957677</v>
      </c>
      <c r="AA9" s="4"/>
      <c r="AB9" s="4">
        <f t="shared" si="0"/>
        <v>104645.33</v>
      </c>
      <c r="AC9" s="4">
        <f t="shared" si="1"/>
        <v>0</v>
      </c>
      <c r="AD9" s="4">
        <f t="shared" ca="1" si="2"/>
        <v>112298.77510954282</v>
      </c>
      <c r="AE9" s="4">
        <f t="shared" ca="1" si="3"/>
        <v>0</v>
      </c>
      <c r="AF9" s="3" t="s">
        <v>950</v>
      </c>
      <c r="AH9" s="53" t="s">
        <v>959</v>
      </c>
      <c r="AI9" s="54">
        <f t="shared" si="4"/>
        <v>0</v>
      </c>
      <c r="AJ9" s="54">
        <f t="shared" si="5"/>
        <v>0</v>
      </c>
    </row>
    <row r="10" spans="1:36" ht="11.25" customHeight="1" x14ac:dyDescent="0.25">
      <c r="A10" s="3" t="s">
        <v>21</v>
      </c>
      <c r="B10" s="3" t="s">
        <v>41</v>
      </c>
      <c r="C10" s="3" t="s">
        <v>42</v>
      </c>
      <c r="D10" s="3" t="s">
        <v>40</v>
      </c>
      <c r="E10" s="3" t="s">
        <v>25</v>
      </c>
      <c r="F10" s="3" t="s">
        <v>60</v>
      </c>
      <c r="G10" s="3" t="s">
        <v>25</v>
      </c>
      <c r="H10" s="3" t="s">
        <v>36</v>
      </c>
      <c r="I10" s="6">
        <v>44562</v>
      </c>
      <c r="J10" s="4">
        <v>7022</v>
      </c>
      <c r="K10" s="4">
        <v>3511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3" t="s">
        <v>57</v>
      </c>
      <c r="R10" s="3">
        <v>0</v>
      </c>
      <c r="S10" s="3">
        <v>93</v>
      </c>
      <c r="T10" s="3">
        <v>0</v>
      </c>
      <c r="U10" s="3">
        <v>0</v>
      </c>
      <c r="V10" s="4">
        <f>IF(ISERROR(VLOOKUP($S$10,'TAR FIN'!$A$1:$O$99,15,0)),0,VLOOKUP($S$10,'TAR FIN'!$A$1:$O$99,15,0))</f>
        <v>15.23</v>
      </c>
      <c r="W10" s="4">
        <f>IF(ISERROR(VLOOKUP($T$10,'TAR FIN'!$A$1:$O$99,15,0)),0,VLOOKUP($T$10,'TAR FIN'!$A$1:$O$99,15,0))</f>
        <v>0</v>
      </c>
      <c r="X10" s="4">
        <f>IF(ISERROR(VLOOKUP($U$10,'TAR FIN'!$A$1:$O$99,15,0)),0,VLOOKUP($U$10,'TAR FIN'!$A$1:$O$99,15,0))</f>
        <v>0</v>
      </c>
      <c r="Y10" s="4">
        <f ca="1">('TUSD BE'!$AM$6+'TUSD BF'!$AM$6+'TUSD CVA'!$AM$6)*1</f>
        <v>16.343876453142602</v>
      </c>
      <c r="Z10" s="4">
        <f ca="1">('TUSD BE'!$AM$7+'TUSD BF'!$AM$7+'TUSD CVA'!$AM$7)*1</f>
        <v>76.243476502957677</v>
      </c>
      <c r="AA10" s="4"/>
      <c r="AB10" s="4">
        <f t="shared" si="0"/>
        <v>53472.53</v>
      </c>
      <c r="AC10" s="4">
        <f t="shared" si="1"/>
        <v>0</v>
      </c>
      <c r="AD10" s="4">
        <f t="shared" ca="1" si="2"/>
        <v>57383.350226983675</v>
      </c>
      <c r="AE10" s="4">
        <f t="shared" ca="1" si="3"/>
        <v>0</v>
      </c>
      <c r="AF10" s="3" t="s">
        <v>950</v>
      </c>
    </row>
    <row r="11" spans="1:36" ht="11.25" customHeight="1" x14ac:dyDescent="0.25">
      <c r="A11" s="3" t="s">
        <v>21</v>
      </c>
      <c r="B11" s="3" t="s">
        <v>41</v>
      </c>
      <c r="C11" s="3" t="s">
        <v>42</v>
      </c>
      <c r="D11" s="3" t="s">
        <v>40</v>
      </c>
      <c r="E11" s="3" t="s">
        <v>25</v>
      </c>
      <c r="F11" s="3" t="s">
        <v>60</v>
      </c>
      <c r="G11" s="3" t="s">
        <v>25</v>
      </c>
      <c r="H11" s="3" t="s">
        <v>36</v>
      </c>
      <c r="I11" s="6">
        <v>44593</v>
      </c>
      <c r="J11" s="4">
        <v>10565</v>
      </c>
      <c r="K11" s="4">
        <v>5282.5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3" t="s">
        <v>57</v>
      </c>
      <c r="R11" s="3">
        <v>0</v>
      </c>
      <c r="S11" s="3">
        <v>93</v>
      </c>
      <c r="T11" s="3">
        <v>0</v>
      </c>
      <c r="U11" s="3">
        <v>0</v>
      </c>
      <c r="V11" s="4">
        <f>IF(ISERROR(VLOOKUP($S$11,'TAR FIN'!$A$1:$O$99,15,0)),0,VLOOKUP($S$11,'TAR FIN'!$A$1:$O$99,15,0))</f>
        <v>15.23</v>
      </c>
      <c r="W11" s="4">
        <f>IF(ISERROR(VLOOKUP($T$11,'TAR FIN'!$A$1:$O$99,15,0)),0,VLOOKUP($T$11,'TAR FIN'!$A$1:$O$99,15,0))</f>
        <v>0</v>
      </c>
      <c r="X11" s="4">
        <f>IF(ISERROR(VLOOKUP($U$11,'TAR FIN'!$A$1:$O$99,15,0)),0,VLOOKUP($U$11,'TAR FIN'!$A$1:$O$99,15,0))</f>
        <v>0</v>
      </c>
      <c r="Y11" s="4">
        <f ca="1">('TUSD BE'!$AM$6+'TUSD BF'!$AM$6+'TUSD CVA'!$AM$6)*1</f>
        <v>16.343876453142602</v>
      </c>
      <c r="Z11" s="4">
        <f ca="1">('TUSD BE'!$AM$7+'TUSD BF'!$AM$7+'TUSD CVA'!$AM$7)*1</f>
        <v>76.243476502957677</v>
      </c>
      <c r="AA11" s="4"/>
      <c r="AB11" s="4">
        <f t="shared" si="0"/>
        <v>80452.475000000006</v>
      </c>
      <c r="AC11" s="4">
        <f t="shared" si="1"/>
        <v>0</v>
      </c>
      <c r="AD11" s="4">
        <f t="shared" ca="1" si="2"/>
        <v>86336.527363725792</v>
      </c>
      <c r="AE11" s="4">
        <f t="shared" ca="1" si="3"/>
        <v>0</v>
      </c>
      <c r="AF11" s="3" t="s">
        <v>950</v>
      </c>
      <c r="AJ11" s="4">
        <f ca="1">SUM(AJ2:AJ10)</f>
        <v>194046895.31058168</v>
      </c>
    </row>
    <row r="12" spans="1:36" ht="11.25" customHeight="1" x14ac:dyDescent="0.25">
      <c r="A12" s="3" t="s">
        <v>21</v>
      </c>
      <c r="B12" s="3" t="s">
        <v>41</v>
      </c>
      <c r="C12" s="3" t="s">
        <v>42</v>
      </c>
      <c r="D12" s="3" t="s">
        <v>40</v>
      </c>
      <c r="E12" s="3" t="s">
        <v>25</v>
      </c>
      <c r="F12" s="3" t="s">
        <v>60</v>
      </c>
      <c r="G12" s="3" t="s">
        <v>25</v>
      </c>
      <c r="H12" s="3" t="s">
        <v>36</v>
      </c>
      <c r="I12" s="6">
        <v>44621</v>
      </c>
      <c r="J12" s="4">
        <v>10565</v>
      </c>
      <c r="K12" s="4">
        <v>5282.5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 t="s">
        <v>57</v>
      </c>
      <c r="R12" s="3">
        <v>0</v>
      </c>
      <c r="S12" s="3">
        <v>93</v>
      </c>
      <c r="T12" s="3">
        <v>0</v>
      </c>
      <c r="U12" s="3">
        <v>0</v>
      </c>
      <c r="V12" s="4">
        <f>IF(ISERROR(VLOOKUP($S$12,'TAR FIN'!$A$1:$O$99,15,0)),0,VLOOKUP($S$12,'TAR FIN'!$A$1:$O$99,15,0))</f>
        <v>15.23</v>
      </c>
      <c r="W12" s="4">
        <f>IF(ISERROR(VLOOKUP($T$12,'TAR FIN'!$A$1:$O$99,15,0)),0,VLOOKUP($T$12,'TAR FIN'!$A$1:$O$99,15,0))</f>
        <v>0</v>
      </c>
      <c r="X12" s="4">
        <f>IF(ISERROR(VLOOKUP($U$12,'TAR FIN'!$A$1:$O$99,15,0)),0,VLOOKUP($U$12,'TAR FIN'!$A$1:$O$99,15,0))</f>
        <v>0</v>
      </c>
      <c r="Y12" s="4">
        <f ca="1">('TUSD BE'!$AM$6+'TUSD BF'!$AM$6+'TUSD CVA'!$AM$6)*1</f>
        <v>16.343876453142602</v>
      </c>
      <c r="Z12" s="4">
        <f ca="1">('TUSD BE'!$AM$7+'TUSD BF'!$AM$7+'TUSD CVA'!$AM$7)*1</f>
        <v>76.243476502957677</v>
      </c>
      <c r="AA12" s="4"/>
      <c r="AB12" s="4">
        <f t="shared" si="0"/>
        <v>80452.475000000006</v>
      </c>
      <c r="AC12" s="4">
        <f t="shared" si="1"/>
        <v>0</v>
      </c>
      <c r="AD12" s="4">
        <f t="shared" ca="1" si="2"/>
        <v>86336.527363725792</v>
      </c>
      <c r="AE12" s="4">
        <f t="shared" ca="1" si="3"/>
        <v>0</v>
      </c>
      <c r="AF12" s="3" t="s">
        <v>950</v>
      </c>
    </row>
    <row r="13" spans="1:36" ht="11.25" customHeight="1" x14ac:dyDescent="0.25">
      <c r="A13" s="3" t="s">
        <v>56</v>
      </c>
      <c r="B13" s="3" t="s">
        <v>41</v>
      </c>
      <c r="C13" s="3" t="s">
        <v>42</v>
      </c>
      <c r="D13" s="3" t="s">
        <v>40</v>
      </c>
      <c r="E13" s="3" t="s">
        <v>25</v>
      </c>
      <c r="F13" s="3" t="s">
        <v>60</v>
      </c>
      <c r="G13" s="3" t="s">
        <v>25</v>
      </c>
      <c r="H13" s="3" t="s">
        <v>36</v>
      </c>
      <c r="I13" s="6">
        <v>44652</v>
      </c>
      <c r="J13" s="4">
        <v>10565</v>
      </c>
      <c r="K13" s="4">
        <v>5282.5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3" t="s">
        <v>57</v>
      </c>
      <c r="R13" s="3">
        <v>0</v>
      </c>
      <c r="S13" s="3">
        <v>93</v>
      </c>
      <c r="T13" s="3">
        <v>0</v>
      </c>
      <c r="U13" s="3">
        <v>0</v>
      </c>
      <c r="V13" s="4">
        <f>IF(ISERROR(VLOOKUP($S$13,'TAR FIN'!$A$1:$O$99,15,0)),0,VLOOKUP($S$13,'TAR FIN'!$A$1:$O$99,15,0))</f>
        <v>15.23</v>
      </c>
      <c r="W13" s="4">
        <f>IF(ISERROR(VLOOKUP($T$13,'TAR FIN'!$A$1:$O$99,15,0)),0,VLOOKUP($T$13,'TAR FIN'!$A$1:$O$99,15,0))</f>
        <v>0</v>
      </c>
      <c r="X13" s="4">
        <f>IF(ISERROR(VLOOKUP($U$13,'TAR FIN'!$A$1:$O$99,15,0)),0,VLOOKUP($U$13,'TAR FIN'!$A$1:$O$99,15,0))</f>
        <v>0</v>
      </c>
      <c r="Y13" s="4">
        <f ca="1">('TUSD BE'!$AM$6+'TUSD BF'!$AM$6+'TUSD CVA'!$AM$6)*1</f>
        <v>16.343876453142602</v>
      </c>
      <c r="Z13" s="4">
        <f ca="1">('TUSD BE'!$AM$7+'TUSD BF'!$AM$7+'TUSD CVA'!$AM$7)*1</f>
        <v>76.243476502957677</v>
      </c>
      <c r="AA13" s="4"/>
      <c r="AB13" s="4">
        <f t="shared" si="0"/>
        <v>80452.475000000006</v>
      </c>
      <c r="AC13" s="4">
        <f t="shared" si="1"/>
        <v>0</v>
      </c>
      <c r="AD13" s="4">
        <f t="shared" ca="1" si="2"/>
        <v>86336.527363725792</v>
      </c>
      <c r="AE13" s="4">
        <f t="shared" ca="1" si="3"/>
        <v>0</v>
      </c>
      <c r="AF13" s="3" t="s">
        <v>950</v>
      </c>
    </row>
    <row r="14" spans="1:36" ht="11.25" customHeight="1" x14ac:dyDescent="0.25">
      <c r="A14" s="3" t="s">
        <v>21</v>
      </c>
      <c r="B14" s="3" t="s">
        <v>41</v>
      </c>
      <c r="C14" s="3" t="s">
        <v>42</v>
      </c>
      <c r="D14" s="3" t="s">
        <v>40</v>
      </c>
      <c r="E14" s="3" t="s">
        <v>25</v>
      </c>
      <c r="F14" s="3" t="s">
        <v>60</v>
      </c>
      <c r="G14" s="3" t="s">
        <v>25</v>
      </c>
      <c r="H14" s="3" t="s">
        <v>25</v>
      </c>
      <c r="I14" s="6">
        <v>44317</v>
      </c>
      <c r="J14" s="4">
        <v>0</v>
      </c>
      <c r="K14" s="4">
        <v>0</v>
      </c>
      <c r="L14" s="4">
        <v>574.60900000000004</v>
      </c>
      <c r="M14" s="4">
        <v>574.60900000000004</v>
      </c>
      <c r="N14" s="4">
        <v>0</v>
      </c>
      <c r="O14" s="4">
        <v>0</v>
      </c>
      <c r="P14" s="4">
        <v>1</v>
      </c>
      <c r="Q14" s="3" t="s">
        <v>57</v>
      </c>
      <c r="R14" s="3">
        <v>0</v>
      </c>
      <c r="S14" s="3">
        <v>0</v>
      </c>
      <c r="T14" s="3">
        <v>94</v>
      </c>
      <c r="U14" s="3">
        <v>0</v>
      </c>
      <c r="V14" s="4">
        <f>IF(ISERROR(VLOOKUP($S$14,'TAR FIN'!$A$1:$O$99,15,0)),0,VLOOKUP($S$14,'TAR FIN'!$A$1:$O$99,15,0))</f>
        <v>0</v>
      </c>
      <c r="W14" s="4">
        <f>IF(ISERROR(VLOOKUP($T$14,'TAR FIN'!$A$1:$O$99,15,0)),0,VLOOKUP($T$14,'TAR FIN'!$A$1:$O$99,15,0))</f>
        <v>65.13</v>
      </c>
      <c r="X14" s="4">
        <f>IF(ISERROR(VLOOKUP($U$14,'TAR FIN'!$A$1:$O$99,15,0)),0,VLOOKUP($U$14,'TAR FIN'!$A$1:$O$99,15,0))</f>
        <v>0</v>
      </c>
      <c r="Y14" s="4"/>
      <c r="Z14" s="4">
        <f ca="1">('TUSD BE'!$AM$7+'TUSD BF'!$AM$7+'TUSD CVA'!$AM$7)*1</f>
        <v>76.243476502957677</v>
      </c>
      <c r="AA14" s="4"/>
      <c r="AB14" s="4">
        <f t="shared" si="0"/>
        <v>0</v>
      </c>
      <c r="AC14" s="4">
        <f t="shared" si="1"/>
        <v>0</v>
      </c>
      <c r="AD14" s="4">
        <f t="shared" si="2"/>
        <v>0</v>
      </c>
      <c r="AE14" s="4">
        <f t="shared" ca="1" si="3"/>
        <v>0</v>
      </c>
      <c r="AF14" s="3" t="s">
        <v>950</v>
      </c>
    </row>
    <row r="15" spans="1:36" ht="11.25" customHeight="1" x14ac:dyDescent="0.25">
      <c r="A15" s="3" t="s">
        <v>21</v>
      </c>
      <c r="B15" s="3" t="s">
        <v>41</v>
      </c>
      <c r="C15" s="3" t="s">
        <v>42</v>
      </c>
      <c r="D15" s="3" t="s">
        <v>40</v>
      </c>
      <c r="E15" s="3" t="s">
        <v>25</v>
      </c>
      <c r="F15" s="3" t="s">
        <v>60</v>
      </c>
      <c r="G15" s="3" t="s">
        <v>25</v>
      </c>
      <c r="H15" s="3" t="s">
        <v>25</v>
      </c>
      <c r="I15" s="6">
        <v>44348</v>
      </c>
      <c r="J15" s="4">
        <v>0</v>
      </c>
      <c r="K15" s="4">
        <v>0</v>
      </c>
      <c r="L15" s="4">
        <v>540.64800000000002</v>
      </c>
      <c r="M15" s="4">
        <v>540.64800000000002</v>
      </c>
      <c r="N15" s="4">
        <v>0</v>
      </c>
      <c r="O15" s="4">
        <v>0</v>
      </c>
      <c r="P15" s="4">
        <v>1</v>
      </c>
      <c r="Q15" s="3" t="s">
        <v>57</v>
      </c>
      <c r="R15" s="3">
        <v>0</v>
      </c>
      <c r="S15" s="3">
        <v>0</v>
      </c>
      <c r="T15" s="3">
        <v>94</v>
      </c>
      <c r="U15" s="3">
        <v>0</v>
      </c>
      <c r="V15" s="4">
        <f>IF(ISERROR(VLOOKUP($S$15,'TAR FIN'!$A$1:$O$99,15,0)),0,VLOOKUP($S$15,'TAR FIN'!$A$1:$O$99,15,0))</f>
        <v>0</v>
      </c>
      <c r="W15" s="4">
        <f>IF(ISERROR(VLOOKUP($T$15,'TAR FIN'!$A$1:$O$99,15,0)),0,VLOOKUP($T$15,'TAR FIN'!$A$1:$O$99,15,0))</f>
        <v>65.13</v>
      </c>
      <c r="X15" s="4">
        <f>IF(ISERROR(VLOOKUP($U$15,'TAR FIN'!$A$1:$O$99,15,0)),0,VLOOKUP($U$15,'TAR FIN'!$A$1:$O$99,15,0))</f>
        <v>0</v>
      </c>
      <c r="Y15" s="4"/>
      <c r="Z15" s="4">
        <f ca="1">('TUSD BE'!$AM$7+'TUSD BF'!$AM$7+'TUSD CVA'!$AM$7)*1</f>
        <v>76.243476502957677</v>
      </c>
      <c r="AA15" s="4"/>
      <c r="AB15" s="4">
        <f t="shared" si="0"/>
        <v>0</v>
      </c>
      <c r="AC15" s="4">
        <f t="shared" si="1"/>
        <v>0</v>
      </c>
      <c r="AD15" s="4">
        <f t="shared" si="2"/>
        <v>0</v>
      </c>
      <c r="AE15" s="4">
        <f t="shared" ca="1" si="3"/>
        <v>0</v>
      </c>
      <c r="AF15" s="3" t="s">
        <v>950</v>
      </c>
    </row>
    <row r="16" spans="1:36" ht="11.25" customHeight="1" x14ac:dyDescent="0.25">
      <c r="A16" s="3" t="s">
        <v>21</v>
      </c>
      <c r="B16" s="3" t="s">
        <v>41</v>
      </c>
      <c r="C16" s="3" t="s">
        <v>42</v>
      </c>
      <c r="D16" s="3" t="s">
        <v>40</v>
      </c>
      <c r="E16" s="3" t="s">
        <v>25</v>
      </c>
      <c r="F16" s="3" t="s">
        <v>60</v>
      </c>
      <c r="G16" s="3" t="s">
        <v>25</v>
      </c>
      <c r="H16" s="3" t="s">
        <v>25</v>
      </c>
      <c r="I16" s="6">
        <v>44378</v>
      </c>
      <c r="J16" s="4">
        <v>0</v>
      </c>
      <c r="K16" s="4">
        <v>0</v>
      </c>
      <c r="L16" s="4">
        <v>572.745</v>
      </c>
      <c r="M16" s="4">
        <v>572.745</v>
      </c>
      <c r="N16" s="4">
        <v>0</v>
      </c>
      <c r="O16" s="4">
        <v>0</v>
      </c>
      <c r="P16" s="4">
        <v>1</v>
      </c>
      <c r="Q16" s="3" t="s">
        <v>57</v>
      </c>
      <c r="R16" s="3">
        <v>0</v>
      </c>
      <c r="S16" s="3">
        <v>0</v>
      </c>
      <c r="T16" s="3">
        <v>94</v>
      </c>
      <c r="U16" s="3">
        <v>0</v>
      </c>
      <c r="V16" s="4">
        <f>IF(ISERROR(VLOOKUP($S$16,'TAR FIN'!$A$1:$O$99,15,0)),0,VLOOKUP($S$16,'TAR FIN'!$A$1:$O$99,15,0))</f>
        <v>0</v>
      </c>
      <c r="W16" s="4">
        <f>IF(ISERROR(VLOOKUP($T$16,'TAR FIN'!$A$1:$O$99,15,0)),0,VLOOKUP($T$16,'TAR FIN'!$A$1:$O$99,15,0))</f>
        <v>65.13</v>
      </c>
      <c r="X16" s="4">
        <f>IF(ISERROR(VLOOKUP($U$16,'TAR FIN'!$A$1:$O$99,15,0)),0,VLOOKUP($U$16,'TAR FIN'!$A$1:$O$99,15,0))</f>
        <v>0</v>
      </c>
      <c r="Y16" s="4"/>
      <c r="Z16" s="4">
        <f ca="1">('TUSD BE'!$AM$7+'TUSD BF'!$AM$7+'TUSD CVA'!$AM$7)*1</f>
        <v>76.243476502957677</v>
      </c>
      <c r="AA16" s="4"/>
      <c r="AB16" s="4">
        <f t="shared" si="0"/>
        <v>0</v>
      </c>
      <c r="AC16" s="4">
        <f t="shared" si="1"/>
        <v>0</v>
      </c>
      <c r="AD16" s="4">
        <f t="shared" si="2"/>
        <v>0</v>
      </c>
      <c r="AE16" s="4">
        <f t="shared" ca="1" si="3"/>
        <v>0</v>
      </c>
      <c r="AF16" s="3" t="s">
        <v>950</v>
      </c>
    </row>
    <row r="17" spans="1:32" ht="11.25" customHeight="1" x14ac:dyDescent="0.25">
      <c r="A17" s="3" t="s">
        <v>21</v>
      </c>
      <c r="B17" s="3" t="s">
        <v>41</v>
      </c>
      <c r="C17" s="3" t="s">
        <v>42</v>
      </c>
      <c r="D17" s="3" t="s">
        <v>40</v>
      </c>
      <c r="E17" s="3" t="s">
        <v>25</v>
      </c>
      <c r="F17" s="3" t="s">
        <v>60</v>
      </c>
      <c r="G17" s="3" t="s">
        <v>25</v>
      </c>
      <c r="H17" s="3" t="s">
        <v>25</v>
      </c>
      <c r="I17" s="6">
        <v>44409</v>
      </c>
      <c r="J17" s="4">
        <v>0</v>
      </c>
      <c r="K17" s="4">
        <v>0</v>
      </c>
      <c r="L17" s="4">
        <v>682.30899999999997</v>
      </c>
      <c r="M17" s="4">
        <v>682.30899999999997</v>
      </c>
      <c r="N17" s="4">
        <v>0</v>
      </c>
      <c r="O17" s="4">
        <v>0</v>
      </c>
      <c r="P17" s="4">
        <v>1</v>
      </c>
      <c r="Q17" s="3" t="s">
        <v>57</v>
      </c>
      <c r="R17" s="3">
        <v>0</v>
      </c>
      <c r="S17" s="3">
        <v>0</v>
      </c>
      <c r="T17" s="3">
        <v>94</v>
      </c>
      <c r="U17" s="3">
        <v>0</v>
      </c>
      <c r="V17" s="4">
        <f>IF(ISERROR(VLOOKUP($S$17,'TAR FIN'!$A$1:$O$99,15,0)),0,VLOOKUP($S$17,'TAR FIN'!$A$1:$O$99,15,0))</f>
        <v>0</v>
      </c>
      <c r="W17" s="4">
        <f>IF(ISERROR(VLOOKUP($T$17,'TAR FIN'!$A$1:$O$99,15,0)),0,VLOOKUP($T$17,'TAR FIN'!$A$1:$O$99,15,0))</f>
        <v>65.13</v>
      </c>
      <c r="X17" s="4">
        <f>IF(ISERROR(VLOOKUP($U$17,'TAR FIN'!$A$1:$O$99,15,0)),0,VLOOKUP($U$17,'TAR FIN'!$A$1:$O$99,15,0))</f>
        <v>0</v>
      </c>
      <c r="Y17" s="4"/>
      <c r="Z17" s="4">
        <f ca="1">('TUSD BE'!$AM$7+'TUSD BF'!$AM$7+'TUSD CVA'!$AM$7)*1</f>
        <v>76.243476502957677</v>
      </c>
      <c r="AA17" s="4"/>
      <c r="AB17" s="4">
        <f t="shared" si="0"/>
        <v>0</v>
      </c>
      <c r="AC17" s="4">
        <f t="shared" si="1"/>
        <v>0</v>
      </c>
      <c r="AD17" s="4">
        <f t="shared" si="2"/>
        <v>0</v>
      </c>
      <c r="AE17" s="4">
        <f t="shared" ca="1" si="3"/>
        <v>0</v>
      </c>
      <c r="AF17" s="3" t="s">
        <v>950</v>
      </c>
    </row>
    <row r="18" spans="1:32" ht="11.25" customHeight="1" x14ac:dyDescent="0.25">
      <c r="A18" s="3" t="s">
        <v>21</v>
      </c>
      <c r="B18" s="3" t="s">
        <v>41</v>
      </c>
      <c r="C18" s="3" t="s">
        <v>42</v>
      </c>
      <c r="D18" s="3" t="s">
        <v>40</v>
      </c>
      <c r="E18" s="3" t="s">
        <v>25</v>
      </c>
      <c r="F18" s="3" t="s">
        <v>60</v>
      </c>
      <c r="G18" s="3" t="s">
        <v>25</v>
      </c>
      <c r="H18" s="3" t="s">
        <v>25</v>
      </c>
      <c r="I18" s="6">
        <v>44440</v>
      </c>
      <c r="J18" s="4">
        <v>0</v>
      </c>
      <c r="K18" s="4">
        <v>0</v>
      </c>
      <c r="L18" s="4">
        <v>463.755</v>
      </c>
      <c r="M18" s="4">
        <v>463.755</v>
      </c>
      <c r="N18" s="4">
        <v>0</v>
      </c>
      <c r="O18" s="4">
        <v>0</v>
      </c>
      <c r="P18" s="4">
        <v>1</v>
      </c>
      <c r="Q18" s="3" t="s">
        <v>57</v>
      </c>
      <c r="R18" s="3">
        <v>0</v>
      </c>
      <c r="S18" s="3">
        <v>0</v>
      </c>
      <c r="T18" s="3">
        <v>94</v>
      </c>
      <c r="U18" s="3">
        <v>0</v>
      </c>
      <c r="V18" s="4">
        <f>IF(ISERROR(VLOOKUP($S$18,'TAR FIN'!$A$1:$O$99,15,0)),0,VLOOKUP($S$18,'TAR FIN'!$A$1:$O$99,15,0))</f>
        <v>0</v>
      </c>
      <c r="W18" s="4">
        <f>IF(ISERROR(VLOOKUP($T$18,'TAR FIN'!$A$1:$O$99,15,0)),0,VLOOKUP($T$18,'TAR FIN'!$A$1:$O$99,15,0))</f>
        <v>65.13</v>
      </c>
      <c r="X18" s="4">
        <f>IF(ISERROR(VLOOKUP($U$18,'TAR FIN'!$A$1:$O$99,15,0)),0,VLOOKUP($U$18,'TAR FIN'!$A$1:$O$99,15,0))</f>
        <v>0</v>
      </c>
      <c r="Y18" s="4"/>
      <c r="Z18" s="4">
        <f ca="1">('TUSD BE'!$AM$7+'TUSD BF'!$AM$7+'TUSD CVA'!$AM$7)*1</f>
        <v>76.243476502957677</v>
      </c>
      <c r="AA18" s="4"/>
      <c r="AB18" s="4">
        <f t="shared" si="0"/>
        <v>0</v>
      </c>
      <c r="AC18" s="4">
        <f t="shared" si="1"/>
        <v>0</v>
      </c>
      <c r="AD18" s="4">
        <f t="shared" si="2"/>
        <v>0</v>
      </c>
      <c r="AE18" s="4">
        <f t="shared" ca="1" si="3"/>
        <v>0</v>
      </c>
      <c r="AF18" s="3" t="s">
        <v>950</v>
      </c>
    </row>
    <row r="19" spans="1:32" ht="11.25" customHeight="1" x14ac:dyDescent="0.25">
      <c r="A19" s="3" t="s">
        <v>21</v>
      </c>
      <c r="B19" s="3" t="s">
        <v>41</v>
      </c>
      <c r="C19" s="3" t="s">
        <v>42</v>
      </c>
      <c r="D19" s="3" t="s">
        <v>40</v>
      </c>
      <c r="E19" s="3" t="s">
        <v>25</v>
      </c>
      <c r="F19" s="3" t="s">
        <v>60</v>
      </c>
      <c r="G19" s="3" t="s">
        <v>25</v>
      </c>
      <c r="H19" s="3" t="s">
        <v>25</v>
      </c>
      <c r="I19" s="6">
        <v>44470</v>
      </c>
      <c r="J19" s="4">
        <v>0</v>
      </c>
      <c r="K19" s="4">
        <v>0</v>
      </c>
      <c r="L19" s="4">
        <v>42.067</v>
      </c>
      <c r="M19" s="4">
        <v>42.067</v>
      </c>
      <c r="N19" s="4">
        <v>0</v>
      </c>
      <c r="O19" s="4">
        <v>0</v>
      </c>
      <c r="P19" s="4">
        <v>1</v>
      </c>
      <c r="Q19" s="3" t="s">
        <v>57</v>
      </c>
      <c r="R19" s="3">
        <v>0</v>
      </c>
      <c r="S19" s="3">
        <v>0</v>
      </c>
      <c r="T19" s="3">
        <v>94</v>
      </c>
      <c r="U19" s="3">
        <v>0</v>
      </c>
      <c r="V19" s="4">
        <f>IF(ISERROR(VLOOKUP($S$19,'TAR FIN'!$A$1:$O$99,15,0)),0,VLOOKUP($S$19,'TAR FIN'!$A$1:$O$99,15,0))</f>
        <v>0</v>
      </c>
      <c r="W19" s="4">
        <f>IF(ISERROR(VLOOKUP($T$19,'TAR FIN'!$A$1:$O$99,15,0)),0,VLOOKUP($T$19,'TAR FIN'!$A$1:$O$99,15,0))</f>
        <v>65.13</v>
      </c>
      <c r="X19" s="4">
        <f>IF(ISERROR(VLOOKUP($U$19,'TAR FIN'!$A$1:$O$99,15,0)),0,VLOOKUP($U$19,'TAR FIN'!$A$1:$O$99,15,0))</f>
        <v>0</v>
      </c>
      <c r="Y19" s="4"/>
      <c r="Z19" s="4">
        <f ca="1">('TUSD BE'!$AM$7+'TUSD BF'!$AM$7+'TUSD CVA'!$AM$7)*1</f>
        <v>76.243476502957677</v>
      </c>
      <c r="AA19" s="4"/>
      <c r="AB19" s="4">
        <f t="shared" si="0"/>
        <v>0</v>
      </c>
      <c r="AC19" s="4">
        <f t="shared" si="1"/>
        <v>0</v>
      </c>
      <c r="AD19" s="4">
        <f t="shared" si="2"/>
        <v>0</v>
      </c>
      <c r="AE19" s="4">
        <f t="shared" ca="1" si="3"/>
        <v>0</v>
      </c>
      <c r="AF19" s="3" t="s">
        <v>950</v>
      </c>
    </row>
    <row r="20" spans="1:32" ht="11.25" customHeight="1" x14ac:dyDescent="0.25">
      <c r="A20" s="3" t="s">
        <v>21</v>
      </c>
      <c r="B20" s="3" t="s">
        <v>41</v>
      </c>
      <c r="C20" s="3" t="s">
        <v>42</v>
      </c>
      <c r="D20" s="3" t="s">
        <v>40</v>
      </c>
      <c r="E20" s="3" t="s">
        <v>25</v>
      </c>
      <c r="F20" s="3" t="s">
        <v>60</v>
      </c>
      <c r="G20" s="3" t="s">
        <v>25</v>
      </c>
      <c r="H20" s="3" t="s">
        <v>25</v>
      </c>
      <c r="I20" s="6">
        <v>44501</v>
      </c>
      <c r="J20" s="4">
        <v>0</v>
      </c>
      <c r="K20" s="4">
        <v>0</v>
      </c>
      <c r="L20" s="4">
        <v>34.969000000000001</v>
      </c>
      <c r="M20" s="4">
        <v>34.969000000000001</v>
      </c>
      <c r="N20" s="4">
        <v>0</v>
      </c>
      <c r="O20" s="4">
        <v>0</v>
      </c>
      <c r="P20" s="4">
        <v>1</v>
      </c>
      <c r="Q20" s="3" t="s">
        <v>57</v>
      </c>
      <c r="R20" s="3">
        <v>0</v>
      </c>
      <c r="S20" s="3">
        <v>0</v>
      </c>
      <c r="T20" s="3">
        <v>94</v>
      </c>
      <c r="U20" s="3">
        <v>0</v>
      </c>
      <c r="V20" s="4">
        <f>IF(ISERROR(VLOOKUP($S$20,'TAR FIN'!$A$1:$O$99,15,0)),0,VLOOKUP($S$20,'TAR FIN'!$A$1:$O$99,15,0))</f>
        <v>0</v>
      </c>
      <c r="W20" s="4">
        <f>IF(ISERROR(VLOOKUP($T$20,'TAR FIN'!$A$1:$O$99,15,0)),0,VLOOKUP($T$20,'TAR FIN'!$A$1:$O$99,15,0))</f>
        <v>65.13</v>
      </c>
      <c r="X20" s="4">
        <f>IF(ISERROR(VLOOKUP($U$20,'TAR FIN'!$A$1:$O$99,15,0)),0,VLOOKUP($U$20,'TAR FIN'!$A$1:$O$99,15,0))</f>
        <v>0</v>
      </c>
      <c r="Y20" s="4"/>
      <c r="Z20" s="4">
        <f ca="1">('TUSD BE'!$AM$7+'TUSD BF'!$AM$7+'TUSD CVA'!$AM$7)*1</f>
        <v>76.243476502957677</v>
      </c>
      <c r="AA20" s="4"/>
      <c r="AB20" s="4">
        <f t="shared" si="0"/>
        <v>0</v>
      </c>
      <c r="AC20" s="4">
        <f t="shared" si="1"/>
        <v>0</v>
      </c>
      <c r="AD20" s="4">
        <f t="shared" si="2"/>
        <v>0</v>
      </c>
      <c r="AE20" s="4">
        <f t="shared" ca="1" si="3"/>
        <v>0</v>
      </c>
      <c r="AF20" s="3" t="s">
        <v>950</v>
      </c>
    </row>
    <row r="21" spans="1:32" ht="11.25" customHeight="1" x14ac:dyDescent="0.25">
      <c r="A21" s="3" t="s">
        <v>21</v>
      </c>
      <c r="B21" s="3" t="s">
        <v>41</v>
      </c>
      <c r="C21" s="3" t="s">
        <v>42</v>
      </c>
      <c r="D21" s="3" t="s">
        <v>40</v>
      </c>
      <c r="E21" s="3" t="s">
        <v>25</v>
      </c>
      <c r="F21" s="3" t="s">
        <v>60</v>
      </c>
      <c r="G21" s="3" t="s">
        <v>25</v>
      </c>
      <c r="H21" s="3" t="s">
        <v>25</v>
      </c>
      <c r="I21" s="6">
        <v>44531</v>
      </c>
      <c r="J21" s="4">
        <v>0</v>
      </c>
      <c r="K21" s="4">
        <v>0</v>
      </c>
      <c r="L21" s="4">
        <v>8297.3130000000001</v>
      </c>
      <c r="M21" s="4">
        <v>8297.3130000000001</v>
      </c>
      <c r="N21" s="4">
        <v>0</v>
      </c>
      <c r="O21" s="4">
        <v>0</v>
      </c>
      <c r="P21" s="4">
        <v>1</v>
      </c>
      <c r="Q21" s="3" t="s">
        <v>57</v>
      </c>
      <c r="R21" s="3">
        <v>0</v>
      </c>
      <c r="S21" s="3">
        <v>0</v>
      </c>
      <c r="T21" s="3">
        <v>94</v>
      </c>
      <c r="U21" s="3">
        <v>0</v>
      </c>
      <c r="V21" s="4">
        <f>IF(ISERROR(VLOOKUP($S$21,'TAR FIN'!$A$1:$O$99,15,0)),0,VLOOKUP($S$21,'TAR FIN'!$A$1:$O$99,15,0))</f>
        <v>0</v>
      </c>
      <c r="W21" s="4">
        <f>IF(ISERROR(VLOOKUP($T$21,'TAR FIN'!$A$1:$O$99,15,0)),0,VLOOKUP($T$21,'TAR FIN'!$A$1:$O$99,15,0))</f>
        <v>65.13</v>
      </c>
      <c r="X21" s="4">
        <f>IF(ISERROR(VLOOKUP($U$21,'TAR FIN'!$A$1:$O$99,15,0)),0,VLOOKUP($U$21,'TAR FIN'!$A$1:$O$99,15,0))</f>
        <v>0</v>
      </c>
      <c r="Y21" s="4"/>
      <c r="Z21" s="4">
        <f ca="1">('TUSD BE'!$AM$7+'TUSD BF'!$AM$7+'TUSD CVA'!$AM$7)*1</f>
        <v>76.243476502957677</v>
      </c>
      <c r="AA21" s="4"/>
      <c r="AB21" s="4">
        <f t="shared" si="0"/>
        <v>0</v>
      </c>
      <c r="AC21" s="4">
        <f t="shared" si="1"/>
        <v>0</v>
      </c>
      <c r="AD21" s="4">
        <f t="shared" si="2"/>
        <v>0</v>
      </c>
      <c r="AE21" s="4">
        <f t="shared" ca="1" si="3"/>
        <v>0</v>
      </c>
      <c r="AF21" s="3" t="s">
        <v>950</v>
      </c>
    </row>
    <row r="22" spans="1:32" ht="11.25" customHeight="1" x14ac:dyDescent="0.25">
      <c r="A22" s="3" t="s">
        <v>21</v>
      </c>
      <c r="B22" s="3" t="s">
        <v>41</v>
      </c>
      <c r="C22" s="3" t="s">
        <v>42</v>
      </c>
      <c r="D22" s="3" t="s">
        <v>40</v>
      </c>
      <c r="E22" s="3" t="s">
        <v>25</v>
      </c>
      <c r="F22" s="3" t="s">
        <v>60</v>
      </c>
      <c r="G22" s="3" t="s">
        <v>25</v>
      </c>
      <c r="H22" s="3" t="s">
        <v>25</v>
      </c>
      <c r="I22" s="6">
        <v>44562</v>
      </c>
      <c r="J22" s="4">
        <v>0</v>
      </c>
      <c r="K22" s="4">
        <v>0</v>
      </c>
      <c r="L22" s="4">
        <v>3571.835</v>
      </c>
      <c r="M22" s="4">
        <v>3571.835</v>
      </c>
      <c r="N22" s="4">
        <v>0</v>
      </c>
      <c r="O22" s="4">
        <v>0</v>
      </c>
      <c r="P22" s="4">
        <v>1</v>
      </c>
      <c r="Q22" s="3" t="s">
        <v>57</v>
      </c>
      <c r="R22" s="3">
        <v>0</v>
      </c>
      <c r="S22" s="3">
        <v>0</v>
      </c>
      <c r="T22" s="3">
        <v>94</v>
      </c>
      <c r="U22" s="3">
        <v>0</v>
      </c>
      <c r="V22" s="4">
        <f>IF(ISERROR(VLOOKUP($S$22,'TAR FIN'!$A$1:$O$99,15,0)),0,VLOOKUP($S$22,'TAR FIN'!$A$1:$O$99,15,0))</f>
        <v>0</v>
      </c>
      <c r="W22" s="4">
        <f>IF(ISERROR(VLOOKUP($T$22,'TAR FIN'!$A$1:$O$99,15,0)),0,VLOOKUP($T$22,'TAR FIN'!$A$1:$O$99,15,0))</f>
        <v>65.13</v>
      </c>
      <c r="X22" s="4">
        <f>IF(ISERROR(VLOOKUP($U$22,'TAR FIN'!$A$1:$O$99,15,0)),0,VLOOKUP($U$22,'TAR FIN'!$A$1:$O$99,15,0))</f>
        <v>0</v>
      </c>
      <c r="Y22" s="4"/>
      <c r="Z22" s="4">
        <f ca="1">('TUSD BE'!$AM$7+'TUSD BF'!$AM$7+'TUSD CVA'!$AM$7)*1</f>
        <v>76.243476502957677</v>
      </c>
      <c r="AA22" s="4"/>
      <c r="AB22" s="4">
        <f t="shared" si="0"/>
        <v>0</v>
      </c>
      <c r="AC22" s="4">
        <f t="shared" si="1"/>
        <v>0</v>
      </c>
      <c r="AD22" s="4">
        <f t="shared" si="2"/>
        <v>0</v>
      </c>
      <c r="AE22" s="4">
        <f t="shared" ca="1" si="3"/>
        <v>0</v>
      </c>
      <c r="AF22" s="3" t="s">
        <v>950</v>
      </c>
    </row>
    <row r="23" spans="1:32" ht="11.25" customHeight="1" x14ac:dyDescent="0.25">
      <c r="A23" s="3" t="s">
        <v>21</v>
      </c>
      <c r="B23" s="3" t="s">
        <v>41</v>
      </c>
      <c r="C23" s="3" t="s">
        <v>42</v>
      </c>
      <c r="D23" s="3" t="s">
        <v>40</v>
      </c>
      <c r="E23" s="3" t="s">
        <v>25</v>
      </c>
      <c r="F23" s="3" t="s">
        <v>60</v>
      </c>
      <c r="G23" s="3" t="s">
        <v>25</v>
      </c>
      <c r="H23" s="3" t="s">
        <v>25</v>
      </c>
      <c r="I23" s="6">
        <v>44593</v>
      </c>
      <c r="J23" s="4">
        <v>0</v>
      </c>
      <c r="K23" s="4">
        <v>0</v>
      </c>
      <c r="L23" s="4">
        <v>2942.058</v>
      </c>
      <c r="M23" s="4">
        <v>2942.058</v>
      </c>
      <c r="N23" s="4">
        <v>0</v>
      </c>
      <c r="O23" s="4">
        <v>0</v>
      </c>
      <c r="P23" s="4">
        <v>2</v>
      </c>
      <c r="Q23" s="3" t="s">
        <v>57</v>
      </c>
      <c r="R23" s="3">
        <v>0</v>
      </c>
      <c r="S23" s="3">
        <v>0</v>
      </c>
      <c r="T23" s="3">
        <v>94</v>
      </c>
      <c r="U23" s="3">
        <v>0</v>
      </c>
      <c r="V23" s="4">
        <f>IF(ISERROR(VLOOKUP($S$23,'TAR FIN'!$A$1:$O$99,15,0)),0,VLOOKUP($S$23,'TAR FIN'!$A$1:$O$99,15,0))</f>
        <v>0</v>
      </c>
      <c r="W23" s="4">
        <f>IF(ISERROR(VLOOKUP($T$23,'TAR FIN'!$A$1:$O$99,15,0)),0,VLOOKUP($T$23,'TAR FIN'!$A$1:$O$99,15,0))</f>
        <v>65.13</v>
      </c>
      <c r="X23" s="4">
        <f>IF(ISERROR(VLOOKUP($U$23,'TAR FIN'!$A$1:$O$99,15,0)),0,VLOOKUP($U$23,'TAR FIN'!$A$1:$O$99,15,0))</f>
        <v>0</v>
      </c>
      <c r="Y23" s="4"/>
      <c r="Z23" s="4">
        <f ca="1">('TUSD BE'!$AM$7+'TUSD BF'!$AM$7+'TUSD CVA'!$AM$7)*1</f>
        <v>76.243476502957677</v>
      </c>
      <c r="AA23" s="4"/>
      <c r="AB23" s="4">
        <f t="shared" si="0"/>
        <v>0</v>
      </c>
      <c r="AC23" s="4">
        <f t="shared" si="1"/>
        <v>0</v>
      </c>
      <c r="AD23" s="4">
        <f t="shared" si="2"/>
        <v>0</v>
      </c>
      <c r="AE23" s="4">
        <f t="shared" ca="1" si="3"/>
        <v>0</v>
      </c>
      <c r="AF23" s="3" t="s">
        <v>950</v>
      </c>
    </row>
    <row r="24" spans="1:32" ht="11.25" customHeight="1" x14ac:dyDescent="0.25">
      <c r="A24" s="3" t="s">
        <v>21</v>
      </c>
      <c r="B24" s="3" t="s">
        <v>41</v>
      </c>
      <c r="C24" s="3" t="s">
        <v>42</v>
      </c>
      <c r="D24" s="3" t="s">
        <v>40</v>
      </c>
      <c r="E24" s="3" t="s">
        <v>25</v>
      </c>
      <c r="F24" s="3" t="s">
        <v>60</v>
      </c>
      <c r="G24" s="3" t="s">
        <v>25</v>
      </c>
      <c r="H24" s="3" t="s">
        <v>25</v>
      </c>
      <c r="I24" s="6">
        <v>44621</v>
      </c>
      <c r="J24" s="4">
        <v>0</v>
      </c>
      <c r="K24" s="4">
        <v>0</v>
      </c>
      <c r="L24" s="4">
        <v>3532.6480000000001</v>
      </c>
      <c r="M24" s="4">
        <v>3532.6480000000001</v>
      </c>
      <c r="N24" s="4">
        <v>0</v>
      </c>
      <c r="O24" s="4">
        <v>0</v>
      </c>
      <c r="P24" s="4">
        <v>1</v>
      </c>
      <c r="Q24" s="3" t="s">
        <v>57</v>
      </c>
      <c r="R24" s="3">
        <v>0</v>
      </c>
      <c r="S24" s="3">
        <v>0</v>
      </c>
      <c r="T24" s="3">
        <v>94</v>
      </c>
      <c r="U24" s="3">
        <v>0</v>
      </c>
      <c r="V24" s="4">
        <f>IF(ISERROR(VLOOKUP($S$24,'TAR FIN'!$A$1:$O$99,15,0)),0,VLOOKUP($S$24,'TAR FIN'!$A$1:$O$99,15,0))</f>
        <v>0</v>
      </c>
      <c r="W24" s="4">
        <f>IF(ISERROR(VLOOKUP($T$24,'TAR FIN'!$A$1:$O$99,15,0)),0,VLOOKUP($T$24,'TAR FIN'!$A$1:$O$99,15,0))</f>
        <v>65.13</v>
      </c>
      <c r="X24" s="4">
        <f>IF(ISERROR(VLOOKUP($U$24,'TAR FIN'!$A$1:$O$99,15,0)),0,VLOOKUP($U$24,'TAR FIN'!$A$1:$O$99,15,0))</f>
        <v>0</v>
      </c>
      <c r="Y24" s="4"/>
      <c r="Z24" s="4">
        <f ca="1">('TUSD BE'!$AM$7+'TUSD BF'!$AM$7+'TUSD CVA'!$AM$7)*1</f>
        <v>76.243476502957677</v>
      </c>
      <c r="AA24" s="4"/>
      <c r="AB24" s="4">
        <f t="shared" si="0"/>
        <v>0</v>
      </c>
      <c r="AC24" s="4">
        <f t="shared" si="1"/>
        <v>0</v>
      </c>
      <c r="AD24" s="4">
        <f t="shared" si="2"/>
        <v>0</v>
      </c>
      <c r="AE24" s="4">
        <f t="shared" ca="1" si="3"/>
        <v>0</v>
      </c>
      <c r="AF24" s="3" t="s">
        <v>950</v>
      </c>
    </row>
    <row r="25" spans="1:32" ht="11.25" customHeight="1" x14ac:dyDescent="0.25">
      <c r="A25" s="3" t="s">
        <v>56</v>
      </c>
      <c r="B25" s="3" t="s">
        <v>41</v>
      </c>
      <c r="C25" s="3" t="s">
        <v>42</v>
      </c>
      <c r="D25" s="3" t="s">
        <v>40</v>
      </c>
      <c r="E25" s="3" t="s">
        <v>25</v>
      </c>
      <c r="F25" s="3" t="s">
        <v>60</v>
      </c>
      <c r="G25" s="3" t="s">
        <v>25</v>
      </c>
      <c r="H25" s="3" t="s">
        <v>25</v>
      </c>
      <c r="I25" s="6">
        <v>44652</v>
      </c>
      <c r="J25" s="4">
        <v>0</v>
      </c>
      <c r="K25" s="4">
        <v>0</v>
      </c>
      <c r="L25" s="4">
        <v>3532.6480000000001</v>
      </c>
      <c r="M25" s="4">
        <v>3532.6480000000001</v>
      </c>
      <c r="N25" s="4">
        <v>0</v>
      </c>
      <c r="O25" s="4">
        <v>0</v>
      </c>
      <c r="P25" s="4">
        <v>1</v>
      </c>
      <c r="Q25" s="3" t="s">
        <v>57</v>
      </c>
      <c r="R25" s="3">
        <v>0</v>
      </c>
      <c r="S25" s="3">
        <v>0</v>
      </c>
      <c r="T25" s="3">
        <v>94</v>
      </c>
      <c r="U25" s="3">
        <v>0</v>
      </c>
      <c r="V25" s="4">
        <f>IF(ISERROR(VLOOKUP($S$25,'TAR FIN'!$A$1:$O$99,15,0)),0,VLOOKUP($S$25,'TAR FIN'!$A$1:$O$99,15,0))</f>
        <v>0</v>
      </c>
      <c r="W25" s="4">
        <f>IF(ISERROR(VLOOKUP($T$25,'TAR FIN'!$A$1:$O$99,15,0)),0,VLOOKUP($T$25,'TAR FIN'!$A$1:$O$99,15,0))</f>
        <v>65.13</v>
      </c>
      <c r="X25" s="4">
        <f>IF(ISERROR(VLOOKUP($U$25,'TAR FIN'!$A$1:$O$99,15,0)),0,VLOOKUP($U$25,'TAR FIN'!$A$1:$O$99,15,0))</f>
        <v>0</v>
      </c>
      <c r="Y25" s="4"/>
      <c r="Z25" s="4">
        <f ca="1">('TUSD BE'!$AM$7+'TUSD BF'!$AM$7+'TUSD CVA'!$AM$7)*1</f>
        <v>76.243476502957677</v>
      </c>
      <c r="AA25" s="4"/>
      <c r="AB25" s="4">
        <f t="shared" si="0"/>
        <v>0</v>
      </c>
      <c r="AC25" s="4">
        <f t="shared" si="1"/>
        <v>0</v>
      </c>
      <c r="AD25" s="4">
        <f t="shared" si="2"/>
        <v>0</v>
      </c>
      <c r="AE25" s="4">
        <f t="shared" ca="1" si="3"/>
        <v>0</v>
      </c>
      <c r="AF25" s="3" t="s">
        <v>950</v>
      </c>
    </row>
    <row r="26" spans="1:32" ht="11.25" customHeight="1" x14ac:dyDescent="0.25">
      <c r="A26" s="3" t="s">
        <v>21</v>
      </c>
      <c r="B26" s="3" t="s">
        <v>41</v>
      </c>
      <c r="C26" s="3" t="s">
        <v>42</v>
      </c>
      <c r="D26" s="3" t="s">
        <v>40</v>
      </c>
      <c r="E26" s="3" t="s">
        <v>25</v>
      </c>
      <c r="F26" s="3" t="s">
        <v>60</v>
      </c>
      <c r="G26" s="3" t="s">
        <v>25</v>
      </c>
      <c r="H26" s="3" t="s">
        <v>35</v>
      </c>
      <c r="I26" s="6">
        <v>44317</v>
      </c>
      <c r="J26" s="4">
        <v>5000</v>
      </c>
      <c r="K26" s="4">
        <v>7.4685499999999099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3" t="s">
        <v>57</v>
      </c>
      <c r="R26" s="3">
        <v>0</v>
      </c>
      <c r="S26" s="3">
        <v>92</v>
      </c>
      <c r="T26" s="3">
        <v>0</v>
      </c>
      <c r="U26" s="3">
        <v>0</v>
      </c>
      <c r="V26" s="4">
        <f>IF(ISERROR(VLOOKUP($S$26,'TAR FIN'!$A$1:$O$99,15,0)),0,VLOOKUP($S$26,'TAR FIN'!$A$1:$O$99,15,0))</f>
        <v>26.46</v>
      </c>
      <c r="W26" s="4">
        <f>IF(ISERROR(VLOOKUP($T$26,'TAR FIN'!$A$1:$O$99,15,0)),0,VLOOKUP($T$26,'TAR FIN'!$A$1:$O$99,15,0))</f>
        <v>0</v>
      </c>
      <c r="X26" s="4">
        <f>IF(ISERROR(VLOOKUP($U$26,'TAR FIN'!$A$1:$O$99,15,0)),0,VLOOKUP($U$26,'TAR FIN'!$A$1:$O$99,15,0))</f>
        <v>0</v>
      </c>
      <c r="Y26" s="4">
        <f ca="1">('TUSD BE'!$AM$5+'TUSD BF'!$AM$5+'TUSD CVA'!$AM$5)*1</f>
        <v>30.337295464550692</v>
      </c>
      <c r="Z26" s="4">
        <f ca="1">('TUSD BE'!$AM$7+'TUSD BF'!$AM$7+'TUSD CVA'!$AM$7)*1</f>
        <v>76.243476502957677</v>
      </c>
      <c r="AA26" s="4"/>
      <c r="AB26" s="4">
        <f t="shared" si="0"/>
        <v>132102.382167</v>
      </c>
      <c r="AC26" s="4">
        <f t="shared" si="1"/>
        <v>0</v>
      </c>
      <c r="AD26" s="4">
        <f t="shared" ca="1" si="2"/>
        <v>151459.90171471171</v>
      </c>
      <c r="AE26" s="4">
        <f t="shared" ca="1" si="3"/>
        <v>0</v>
      </c>
      <c r="AF26" s="3" t="s">
        <v>950</v>
      </c>
    </row>
    <row r="27" spans="1:32" ht="11.25" customHeight="1" x14ac:dyDescent="0.25">
      <c r="A27" s="3" t="s">
        <v>21</v>
      </c>
      <c r="B27" s="3" t="s">
        <v>41</v>
      </c>
      <c r="C27" s="3" t="s">
        <v>42</v>
      </c>
      <c r="D27" s="3" t="s">
        <v>40</v>
      </c>
      <c r="E27" s="3" t="s">
        <v>25</v>
      </c>
      <c r="F27" s="3" t="s">
        <v>60</v>
      </c>
      <c r="G27" s="3" t="s">
        <v>25</v>
      </c>
      <c r="H27" s="3" t="s">
        <v>35</v>
      </c>
      <c r="I27" s="6">
        <v>44348</v>
      </c>
      <c r="J27" s="4">
        <v>5000</v>
      </c>
      <c r="K27" s="4">
        <v>4.0000000000001101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3" t="s">
        <v>57</v>
      </c>
      <c r="R27" s="3">
        <v>0</v>
      </c>
      <c r="S27" s="3">
        <v>92</v>
      </c>
      <c r="T27" s="3">
        <v>0</v>
      </c>
      <c r="U27" s="3">
        <v>0</v>
      </c>
      <c r="V27" s="4">
        <f>IF(ISERROR(VLOOKUP($S$27,'TAR FIN'!$A$1:$O$99,15,0)),0,VLOOKUP($S$27,'TAR FIN'!$A$1:$O$99,15,0))</f>
        <v>26.46</v>
      </c>
      <c r="W27" s="4">
        <f>IF(ISERROR(VLOOKUP($T$27,'TAR FIN'!$A$1:$O$99,15,0)),0,VLOOKUP($T$27,'TAR FIN'!$A$1:$O$99,15,0))</f>
        <v>0</v>
      </c>
      <c r="X27" s="4">
        <f>IF(ISERROR(VLOOKUP($U$27,'TAR FIN'!$A$1:$O$99,15,0)),0,VLOOKUP($U$27,'TAR FIN'!$A$1:$O$99,15,0))</f>
        <v>0</v>
      </c>
      <c r="Y27" s="4">
        <f ca="1">('TUSD BE'!$AM$5+'TUSD BF'!$AM$5+'TUSD CVA'!$AM$5)*1</f>
        <v>30.337295464550692</v>
      </c>
      <c r="Z27" s="4">
        <f ca="1">('TUSD BE'!$AM$7+'TUSD BF'!$AM$7+'TUSD CVA'!$AM$7)*1</f>
        <v>76.243476502957677</v>
      </c>
      <c r="AA27" s="4"/>
      <c r="AB27" s="4">
        <f t="shared" si="0"/>
        <v>132194.16</v>
      </c>
      <c r="AC27" s="4">
        <f t="shared" si="1"/>
        <v>0</v>
      </c>
      <c r="AD27" s="4">
        <f t="shared" ca="1" si="2"/>
        <v>151565.12814089525</v>
      </c>
      <c r="AE27" s="4">
        <f t="shared" ca="1" si="3"/>
        <v>0</v>
      </c>
      <c r="AF27" s="3" t="s">
        <v>950</v>
      </c>
    </row>
    <row r="28" spans="1:32" ht="11.25" customHeight="1" x14ac:dyDescent="0.25">
      <c r="A28" s="3" t="s">
        <v>21</v>
      </c>
      <c r="B28" s="3" t="s">
        <v>41</v>
      </c>
      <c r="C28" s="3" t="s">
        <v>42</v>
      </c>
      <c r="D28" s="3" t="s">
        <v>40</v>
      </c>
      <c r="E28" s="3" t="s">
        <v>25</v>
      </c>
      <c r="F28" s="3" t="s">
        <v>60</v>
      </c>
      <c r="G28" s="3" t="s">
        <v>25</v>
      </c>
      <c r="H28" s="3" t="s">
        <v>35</v>
      </c>
      <c r="I28" s="6">
        <v>44378</v>
      </c>
      <c r="J28" s="4">
        <v>5000</v>
      </c>
      <c r="K28" s="4">
        <v>4.0000000000001101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3" t="s">
        <v>57</v>
      </c>
      <c r="R28" s="3">
        <v>0</v>
      </c>
      <c r="S28" s="3">
        <v>92</v>
      </c>
      <c r="T28" s="3">
        <v>0</v>
      </c>
      <c r="U28" s="3">
        <v>0</v>
      </c>
      <c r="V28" s="4">
        <f>IF(ISERROR(VLOOKUP($S$28,'TAR FIN'!$A$1:$O$99,15,0)),0,VLOOKUP($S$28,'TAR FIN'!$A$1:$O$99,15,0))</f>
        <v>26.46</v>
      </c>
      <c r="W28" s="4">
        <f>IF(ISERROR(VLOOKUP($T$28,'TAR FIN'!$A$1:$O$99,15,0)),0,VLOOKUP($T$28,'TAR FIN'!$A$1:$O$99,15,0))</f>
        <v>0</v>
      </c>
      <c r="X28" s="4">
        <f>IF(ISERROR(VLOOKUP($U$28,'TAR FIN'!$A$1:$O$99,15,0)),0,VLOOKUP($U$28,'TAR FIN'!$A$1:$O$99,15,0))</f>
        <v>0</v>
      </c>
      <c r="Y28" s="4">
        <f ca="1">('TUSD BE'!$AM$5+'TUSD BF'!$AM$5+'TUSD CVA'!$AM$5)*1</f>
        <v>30.337295464550692</v>
      </c>
      <c r="Z28" s="4">
        <f ca="1">('TUSD BE'!$AM$7+'TUSD BF'!$AM$7+'TUSD CVA'!$AM$7)*1</f>
        <v>76.243476502957677</v>
      </c>
      <c r="AA28" s="4"/>
      <c r="AB28" s="4">
        <f t="shared" si="0"/>
        <v>132194.16</v>
      </c>
      <c r="AC28" s="4">
        <f t="shared" si="1"/>
        <v>0</v>
      </c>
      <c r="AD28" s="4">
        <f t="shared" ca="1" si="2"/>
        <v>151565.12814089525</v>
      </c>
      <c r="AE28" s="4">
        <f t="shared" ca="1" si="3"/>
        <v>0</v>
      </c>
      <c r="AF28" s="3" t="s">
        <v>950</v>
      </c>
    </row>
    <row r="29" spans="1:32" ht="11.25" customHeight="1" x14ac:dyDescent="0.25">
      <c r="A29" s="3" t="s">
        <v>21</v>
      </c>
      <c r="B29" s="3" t="s">
        <v>41</v>
      </c>
      <c r="C29" s="3" t="s">
        <v>42</v>
      </c>
      <c r="D29" s="3" t="s">
        <v>40</v>
      </c>
      <c r="E29" s="3" t="s">
        <v>25</v>
      </c>
      <c r="F29" s="3" t="s">
        <v>60</v>
      </c>
      <c r="G29" s="3" t="s">
        <v>25</v>
      </c>
      <c r="H29" s="3" t="s">
        <v>35</v>
      </c>
      <c r="I29" s="6">
        <v>44409</v>
      </c>
      <c r="J29" s="4">
        <v>5000</v>
      </c>
      <c r="K29" s="4">
        <v>0.50000000000050004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3" t="s">
        <v>57</v>
      </c>
      <c r="R29" s="3">
        <v>0</v>
      </c>
      <c r="S29" s="3">
        <v>92</v>
      </c>
      <c r="T29" s="3">
        <v>0</v>
      </c>
      <c r="U29" s="3">
        <v>0</v>
      </c>
      <c r="V29" s="4">
        <f>IF(ISERROR(VLOOKUP($S$29,'TAR FIN'!$A$1:$O$99,15,0)),0,VLOOKUP($S$29,'TAR FIN'!$A$1:$O$99,15,0))</f>
        <v>26.46</v>
      </c>
      <c r="W29" s="4">
        <f>IF(ISERROR(VLOOKUP($T$29,'TAR FIN'!$A$1:$O$99,15,0)),0,VLOOKUP($T$29,'TAR FIN'!$A$1:$O$99,15,0))</f>
        <v>0</v>
      </c>
      <c r="X29" s="4">
        <f>IF(ISERROR(VLOOKUP($U$29,'TAR FIN'!$A$1:$O$99,15,0)),0,VLOOKUP($U$29,'TAR FIN'!$A$1:$O$99,15,0))</f>
        <v>0</v>
      </c>
      <c r="Y29" s="4">
        <f ca="1">('TUSD BE'!$AM$5+'TUSD BF'!$AM$5+'TUSD CVA'!$AM$5)*1</f>
        <v>30.337295464550692</v>
      </c>
      <c r="Z29" s="4">
        <f ca="1">('TUSD BE'!$AM$7+'TUSD BF'!$AM$7+'TUSD CVA'!$AM$7)*1</f>
        <v>76.243476502957677</v>
      </c>
      <c r="AA29" s="4"/>
      <c r="AB29" s="4">
        <f t="shared" si="0"/>
        <v>132286.76999999999</v>
      </c>
      <c r="AC29" s="4">
        <f t="shared" si="1"/>
        <v>0</v>
      </c>
      <c r="AD29" s="4">
        <f t="shared" ca="1" si="2"/>
        <v>151671.30867502117</v>
      </c>
      <c r="AE29" s="4">
        <f t="shared" ca="1" si="3"/>
        <v>0</v>
      </c>
      <c r="AF29" s="3" t="s">
        <v>950</v>
      </c>
    </row>
    <row r="30" spans="1:32" ht="11.25" customHeight="1" x14ac:dyDescent="0.25">
      <c r="A30" s="3" t="s">
        <v>21</v>
      </c>
      <c r="B30" s="3" t="s">
        <v>41</v>
      </c>
      <c r="C30" s="3" t="s">
        <v>42</v>
      </c>
      <c r="D30" s="3" t="s">
        <v>40</v>
      </c>
      <c r="E30" s="3" t="s">
        <v>25</v>
      </c>
      <c r="F30" s="3" t="s">
        <v>60</v>
      </c>
      <c r="G30" s="3" t="s">
        <v>25</v>
      </c>
      <c r="H30" s="3" t="s">
        <v>35</v>
      </c>
      <c r="I30" s="6">
        <v>44440</v>
      </c>
      <c r="J30" s="4">
        <v>5000</v>
      </c>
      <c r="K30" s="4">
        <v>4.0000000000001101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3" t="s">
        <v>57</v>
      </c>
      <c r="R30" s="3">
        <v>0</v>
      </c>
      <c r="S30" s="3">
        <v>92</v>
      </c>
      <c r="T30" s="3">
        <v>0</v>
      </c>
      <c r="U30" s="3">
        <v>0</v>
      </c>
      <c r="V30" s="4">
        <f>IF(ISERROR(VLOOKUP($S$30,'TAR FIN'!$A$1:$O$99,15,0)),0,VLOOKUP($S$30,'TAR FIN'!$A$1:$O$99,15,0))</f>
        <v>26.46</v>
      </c>
      <c r="W30" s="4">
        <f>IF(ISERROR(VLOOKUP($T$30,'TAR FIN'!$A$1:$O$99,15,0)),0,VLOOKUP($T$30,'TAR FIN'!$A$1:$O$99,15,0))</f>
        <v>0</v>
      </c>
      <c r="X30" s="4">
        <f>IF(ISERROR(VLOOKUP($U$30,'TAR FIN'!$A$1:$O$99,15,0)),0,VLOOKUP($U$30,'TAR FIN'!$A$1:$O$99,15,0))</f>
        <v>0</v>
      </c>
      <c r="Y30" s="4">
        <f ca="1">('TUSD BE'!$AM$5+'TUSD BF'!$AM$5+'TUSD CVA'!$AM$5)*1</f>
        <v>30.337295464550692</v>
      </c>
      <c r="Z30" s="4">
        <f ca="1">('TUSD BE'!$AM$7+'TUSD BF'!$AM$7+'TUSD CVA'!$AM$7)*1</f>
        <v>76.243476502957677</v>
      </c>
      <c r="AA30" s="4"/>
      <c r="AB30" s="4">
        <f t="shared" si="0"/>
        <v>132194.16</v>
      </c>
      <c r="AC30" s="4">
        <f t="shared" si="1"/>
        <v>0</v>
      </c>
      <c r="AD30" s="4">
        <f t="shared" ca="1" si="2"/>
        <v>151565.12814089525</v>
      </c>
      <c r="AE30" s="4">
        <f t="shared" ca="1" si="3"/>
        <v>0</v>
      </c>
      <c r="AF30" s="3" t="s">
        <v>950</v>
      </c>
    </row>
    <row r="31" spans="1:32" ht="11.25" customHeight="1" x14ac:dyDescent="0.25">
      <c r="A31" s="3" t="s">
        <v>21</v>
      </c>
      <c r="B31" s="3" t="s">
        <v>41</v>
      </c>
      <c r="C31" s="3" t="s">
        <v>42</v>
      </c>
      <c r="D31" s="3" t="s">
        <v>40</v>
      </c>
      <c r="E31" s="3" t="s">
        <v>25</v>
      </c>
      <c r="F31" s="3" t="s">
        <v>60</v>
      </c>
      <c r="G31" s="3" t="s">
        <v>25</v>
      </c>
      <c r="H31" s="3" t="s">
        <v>35</v>
      </c>
      <c r="I31" s="6">
        <v>44470</v>
      </c>
      <c r="J31" s="4">
        <v>5000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3" t="s">
        <v>57</v>
      </c>
      <c r="R31" s="3">
        <v>0</v>
      </c>
      <c r="S31" s="3">
        <v>92</v>
      </c>
      <c r="T31" s="3">
        <v>0</v>
      </c>
      <c r="U31" s="3">
        <v>0</v>
      </c>
      <c r="V31" s="4">
        <f>IF(ISERROR(VLOOKUP($S$31,'TAR FIN'!$A$1:$O$99,15,0)),0,VLOOKUP($S$31,'TAR FIN'!$A$1:$O$99,15,0))</f>
        <v>26.46</v>
      </c>
      <c r="W31" s="4">
        <f>IF(ISERROR(VLOOKUP($T$31,'TAR FIN'!$A$1:$O$99,15,0)),0,VLOOKUP($T$31,'TAR FIN'!$A$1:$O$99,15,0))</f>
        <v>0</v>
      </c>
      <c r="X31" s="4">
        <f>IF(ISERROR(VLOOKUP($U$31,'TAR FIN'!$A$1:$O$99,15,0)),0,VLOOKUP($U$31,'TAR FIN'!$A$1:$O$99,15,0))</f>
        <v>0</v>
      </c>
      <c r="Y31" s="4">
        <f ca="1">('TUSD BE'!$AM$5+'TUSD BF'!$AM$5+'TUSD CVA'!$AM$5)*1</f>
        <v>30.337295464550692</v>
      </c>
      <c r="Z31" s="4">
        <f ca="1">('TUSD BE'!$AM$7+'TUSD BF'!$AM$7+'TUSD CVA'!$AM$7)*1</f>
        <v>76.243476502957677</v>
      </c>
      <c r="AA31" s="4"/>
      <c r="AB31" s="4">
        <f t="shared" si="0"/>
        <v>132300</v>
      </c>
      <c r="AC31" s="4">
        <f t="shared" si="1"/>
        <v>0</v>
      </c>
      <c r="AD31" s="4">
        <f t="shared" ca="1" si="2"/>
        <v>151686.47732275346</v>
      </c>
      <c r="AE31" s="4">
        <f t="shared" ca="1" si="3"/>
        <v>0</v>
      </c>
      <c r="AF31" s="3" t="s">
        <v>950</v>
      </c>
    </row>
    <row r="32" spans="1:32" ht="11.25" customHeight="1" x14ac:dyDescent="0.25">
      <c r="A32" s="3" t="s">
        <v>21</v>
      </c>
      <c r="B32" s="3" t="s">
        <v>41</v>
      </c>
      <c r="C32" s="3" t="s">
        <v>42</v>
      </c>
      <c r="D32" s="3" t="s">
        <v>40</v>
      </c>
      <c r="E32" s="3" t="s">
        <v>25</v>
      </c>
      <c r="F32" s="3" t="s">
        <v>60</v>
      </c>
      <c r="G32" s="3" t="s">
        <v>25</v>
      </c>
      <c r="H32" s="3" t="s">
        <v>35</v>
      </c>
      <c r="I32" s="6">
        <v>44501</v>
      </c>
      <c r="J32" s="4">
        <v>5000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3" t="s">
        <v>57</v>
      </c>
      <c r="R32" s="3">
        <v>0</v>
      </c>
      <c r="S32" s="3">
        <v>92</v>
      </c>
      <c r="T32" s="3">
        <v>0</v>
      </c>
      <c r="U32" s="3">
        <v>0</v>
      </c>
      <c r="V32" s="4">
        <f>IF(ISERROR(VLOOKUP($S$32,'TAR FIN'!$A$1:$O$99,15,0)),0,VLOOKUP($S$32,'TAR FIN'!$A$1:$O$99,15,0))</f>
        <v>26.46</v>
      </c>
      <c r="W32" s="4">
        <f>IF(ISERROR(VLOOKUP($T$32,'TAR FIN'!$A$1:$O$99,15,0)),0,VLOOKUP($T$32,'TAR FIN'!$A$1:$O$99,15,0))</f>
        <v>0</v>
      </c>
      <c r="X32" s="4">
        <f>IF(ISERROR(VLOOKUP($U$32,'TAR FIN'!$A$1:$O$99,15,0)),0,VLOOKUP($U$32,'TAR FIN'!$A$1:$O$99,15,0))</f>
        <v>0</v>
      </c>
      <c r="Y32" s="4">
        <f ca="1">('TUSD BE'!$AM$5+'TUSD BF'!$AM$5+'TUSD CVA'!$AM$5)*1</f>
        <v>30.337295464550692</v>
      </c>
      <c r="Z32" s="4">
        <f ca="1">('TUSD BE'!$AM$7+'TUSD BF'!$AM$7+'TUSD CVA'!$AM$7)*1</f>
        <v>76.243476502957677</v>
      </c>
      <c r="AA32" s="4"/>
      <c r="AB32" s="4">
        <f t="shared" si="0"/>
        <v>132300</v>
      </c>
      <c r="AC32" s="4">
        <f t="shared" si="1"/>
        <v>0</v>
      </c>
      <c r="AD32" s="4">
        <f t="shared" ca="1" si="2"/>
        <v>151686.47732275346</v>
      </c>
      <c r="AE32" s="4">
        <f t="shared" ca="1" si="3"/>
        <v>0</v>
      </c>
      <c r="AF32" s="3" t="s">
        <v>950</v>
      </c>
    </row>
    <row r="33" spans="1:32" ht="11.25" customHeight="1" x14ac:dyDescent="0.25">
      <c r="A33" s="3" t="s">
        <v>21</v>
      </c>
      <c r="B33" s="3" t="s">
        <v>41</v>
      </c>
      <c r="C33" s="3" t="s">
        <v>42</v>
      </c>
      <c r="D33" s="3" t="s">
        <v>40</v>
      </c>
      <c r="E33" s="3" t="s">
        <v>25</v>
      </c>
      <c r="F33" s="3" t="s">
        <v>60</v>
      </c>
      <c r="G33" s="3" t="s">
        <v>25</v>
      </c>
      <c r="H33" s="3" t="s">
        <v>35</v>
      </c>
      <c r="I33" s="6">
        <v>44531</v>
      </c>
      <c r="J33" s="4">
        <v>13389</v>
      </c>
      <c r="K33" s="4">
        <v>6694.5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3" t="s">
        <v>57</v>
      </c>
      <c r="R33" s="3">
        <v>0</v>
      </c>
      <c r="S33" s="3">
        <v>92</v>
      </c>
      <c r="T33" s="3">
        <v>0</v>
      </c>
      <c r="U33" s="3">
        <v>0</v>
      </c>
      <c r="V33" s="4">
        <f>IF(ISERROR(VLOOKUP($S$33,'TAR FIN'!$A$1:$O$99,15,0)),0,VLOOKUP($S$33,'TAR FIN'!$A$1:$O$99,15,0))</f>
        <v>26.46</v>
      </c>
      <c r="W33" s="4">
        <f>IF(ISERROR(VLOOKUP($T$33,'TAR FIN'!$A$1:$O$99,15,0)),0,VLOOKUP($T$33,'TAR FIN'!$A$1:$O$99,15,0))</f>
        <v>0</v>
      </c>
      <c r="X33" s="4">
        <f>IF(ISERROR(VLOOKUP($U$33,'TAR FIN'!$A$1:$O$99,15,0)),0,VLOOKUP($U$33,'TAR FIN'!$A$1:$O$99,15,0))</f>
        <v>0</v>
      </c>
      <c r="Y33" s="4">
        <f ca="1">('TUSD BE'!$AM$5+'TUSD BF'!$AM$5+'TUSD CVA'!$AM$5)*1</f>
        <v>30.337295464550692</v>
      </c>
      <c r="Z33" s="4">
        <f ca="1">('TUSD BE'!$AM$7+'TUSD BF'!$AM$7+'TUSD CVA'!$AM$7)*1</f>
        <v>76.243476502957677</v>
      </c>
      <c r="AA33" s="4"/>
      <c r="AB33" s="4">
        <f t="shared" si="0"/>
        <v>177136.47</v>
      </c>
      <c r="AC33" s="4">
        <f t="shared" si="1"/>
        <v>0</v>
      </c>
      <c r="AD33" s="4">
        <f t="shared" ca="1" si="2"/>
        <v>203093.0244874346</v>
      </c>
      <c r="AE33" s="4">
        <f t="shared" ca="1" si="3"/>
        <v>0</v>
      </c>
      <c r="AF33" s="3" t="s">
        <v>950</v>
      </c>
    </row>
    <row r="34" spans="1:32" ht="11.25" customHeight="1" x14ac:dyDescent="0.25">
      <c r="A34" s="3" t="s">
        <v>21</v>
      </c>
      <c r="B34" s="3" t="s">
        <v>41</v>
      </c>
      <c r="C34" s="3" t="s">
        <v>42</v>
      </c>
      <c r="D34" s="3" t="s">
        <v>40</v>
      </c>
      <c r="E34" s="3" t="s">
        <v>25</v>
      </c>
      <c r="F34" s="3" t="s">
        <v>60</v>
      </c>
      <c r="G34" s="3" t="s">
        <v>25</v>
      </c>
      <c r="H34" s="3" t="s">
        <v>35</v>
      </c>
      <c r="I34" s="6">
        <v>44562</v>
      </c>
      <c r="J34" s="4">
        <v>6770</v>
      </c>
      <c r="K34" s="4">
        <v>3385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3" t="s">
        <v>57</v>
      </c>
      <c r="R34" s="3">
        <v>0</v>
      </c>
      <c r="S34" s="3">
        <v>92</v>
      </c>
      <c r="T34" s="3">
        <v>0</v>
      </c>
      <c r="U34" s="3">
        <v>0</v>
      </c>
      <c r="V34" s="4">
        <f>IF(ISERROR(VLOOKUP($S$34,'TAR FIN'!$A$1:$O$99,15,0)),0,VLOOKUP($S$34,'TAR FIN'!$A$1:$O$99,15,0))</f>
        <v>26.46</v>
      </c>
      <c r="W34" s="4">
        <f>IF(ISERROR(VLOOKUP($T$34,'TAR FIN'!$A$1:$O$99,15,0)),0,VLOOKUP($T$34,'TAR FIN'!$A$1:$O$99,15,0))</f>
        <v>0</v>
      </c>
      <c r="X34" s="4">
        <f>IF(ISERROR(VLOOKUP($U$34,'TAR FIN'!$A$1:$O$99,15,0)),0,VLOOKUP($U$34,'TAR FIN'!$A$1:$O$99,15,0))</f>
        <v>0</v>
      </c>
      <c r="Y34" s="4">
        <f ca="1">('TUSD BE'!$AM$5+'TUSD BF'!$AM$5+'TUSD CVA'!$AM$5)*1</f>
        <v>30.337295464550692</v>
      </c>
      <c r="Z34" s="4">
        <f ca="1">('TUSD BE'!$AM$7+'TUSD BF'!$AM$7+'TUSD CVA'!$AM$7)*1</f>
        <v>76.243476502957677</v>
      </c>
      <c r="AA34" s="4"/>
      <c r="AB34" s="4">
        <f t="shared" si="0"/>
        <v>89567.1</v>
      </c>
      <c r="AC34" s="4">
        <f t="shared" si="1"/>
        <v>0</v>
      </c>
      <c r="AD34" s="4">
        <f t="shared" ca="1" si="2"/>
        <v>102691.74514750409</v>
      </c>
      <c r="AE34" s="4">
        <f t="shared" ca="1" si="3"/>
        <v>0</v>
      </c>
      <c r="AF34" s="3" t="s">
        <v>950</v>
      </c>
    </row>
    <row r="35" spans="1:32" ht="11.25" customHeight="1" x14ac:dyDescent="0.25">
      <c r="A35" s="3" t="s">
        <v>21</v>
      </c>
      <c r="B35" s="3" t="s">
        <v>41</v>
      </c>
      <c r="C35" s="3" t="s">
        <v>42</v>
      </c>
      <c r="D35" s="3" t="s">
        <v>40</v>
      </c>
      <c r="E35" s="3" t="s">
        <v>25</v>
      </c>
      <c r="F35" s="3" t="s">
        <v>60</v>
      </c>
      <c r="G35" s="3" t="s">
        <v>25</v>
      </c>
      <c r="H35" s="3" t="s">
        <v>35</v>
      </c>
      <c r="I35" s="6">
        <v>44593</v>
      </c>
      <c r="J35" s="4">
        <v>10565</v>
      </c>
      <c r="K35" s="4">
        <v>5282.5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3" t="s">
        <v>57</v>
      </c>
      <c r="R35" s="3">
        <v>0</v>
      </c>
      <c r="S35" s="3">
        <v>92</v>
      </c>
      <c r="T35" s="3">
        <v>0</v>
      </c>
      <c r="U35" s="3">
        <v>0</v>
      </c>
      <c r="V35" s="4">
        <f>IF(ISERROR(VLOOKUP($S$35,'TAR FIN'!$A$1:$O$99,15,0)),0,VLOOKUP($S$35,'TAR FIN'!$A$1:$O$99,15,0))</f>
        <v>26.46</v>
      </c>
      <c r="W35" s="4">
        <f>IF(ISERROR(VLOOKUP($T$35,'TAR FIN'!$A$1:$O$99,15,0)),0,VLOOKUP($T$35,'TAR FIN'!$A$1:$O$99,15,0))</f>
        <v>0</v>
      </c>
      <c r="X35" s="4">
        <f>IF(ISERROR(VLOOKUP($U$35,'TAR FIN'!$A$1:$O$99,15,0)),0,VLOOKUP($U$35,'TAR FIN'!$A$1:$O$99,15,0))</f>
        <v>0</v>
      </c>
      <c r="Y35" s="4">
        <f ca="1">('TUSD BE'!$AM$5+'TUSD BF'!$AM$5+'TUSD CVA'!$AM$5)*1</f>
        <v>30.337295464550692</v>
      </c>
      <c r="Z35" s="4">
        <f ca="1">('TUSD BE'!$AM$7+'TUSD BF'!$AM$7+'TUSD CVA'!$AM$7)*1</f>
        <v>76.243476502957677</v>
      </c>
      <c r="AA35" s="4"/>
      <c r="AB35" s="4">
        <f t="shared" si="0"/>
        <v>139774.95000000001</v>
      </c>
      <c r="AC35" s="4">
        <f t="shared" si="1"/>
        <v>0</v>
      </c>
      <c r="AD35" s="4">
        <f t="shared" ca="1" si="2"/>
        <v>160256.76329148904</v>
      </c>
      <c r="AE35" s="4">
        <f t="shared" ca="1" si="3"/>
        <v>0</v>
      </c>
      <c r="AF35" s="3" t="s">
        <v>950</v>
      </c>
    </row>
    <row r="36" spans="1:32" ht="11.25" customHeight="1" x14ac:dyDescent="0.25">
      <c r="A36" s="3" t="s">
        <v>21</v>
      </c>
      <c r="B36" s="3" t="s">
        <v>41</v>
      </c>
      <c r="C36" s="3" t="s">
        <v>42</v>
      </c>
      <c r="D36" s="3" t="s">
        <v>40</v>
      </c>
      <c r="E36" s="3" t="s">
        <v>25</v>
      </c>
      <c r="F36" s="3" t="s">
        <v>60</v>
      </c>
      <c r="G36" s="3" t="s">
        <v>25</v>
      </c>
      <c r="H36" s="3" t="s">
        <v>35</v>
      </c>
      <c r="I36" s="6">
        <v>44621</v>
      </c>
      <c r="J36" s="4">
        <v>10565</v>
      </c>
      <c r="K36" s="4">
        <v>5282.5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3" t="s">
        <v>57</v>
      </c>
      <c r="R36" s="3">
        <v>0</v>
      </c>
      <c r="S36" s="3">
        <v>92</v>
      </c>
      <c r="T36" s="3">
        <v>0</v>
      </c>
      <c r="U36" s="3">
        <v>0</v>
      </c>
      <c r="V36" s="4">
        <f>IF(ISERROR(VLOOKUP($S$36,'TAR FIN'!$A$1:$O$99,15,0)),0,VLOOKUP($S$36,'TAR FIN'!$A$1:$O$99,15,0))</f>
        <v>26.46</v>
      </c>
      <c r="W36" s="4">
        <f>IF(ISERROR(VLOOKUP($T$36,'TAR FIN'!$A$1:$O$99,15,0)),0,VLOOKUP($T$36,'TAR FIN'!$A$1:$O$99,15,0))</f>
        <v>0</v>
      </c>
      <c r="X36" s="4">
        <f>IF(ISERROR(VLOOKUP($U$36,'TAR FIN'!$A$1:$O$99,15,0)),0,VLOOKUP($U$36,'TAR FIN'!$A$1:$O$99,15,0))</f>
        <v>0</v>
      </c>
      <c r="Y36" s="4">
        <f ca="1">('TUSD BE'!$AM$5+'TUSD BF'!$AM$5+'TUSD CVA'!$AM$5)*1</f>
        <v>30.337295464550692</v>
      </c>
      <c r="Z36" s="4">
        <f ca="1">('TUSD BE'!$AM$7+'TUSD BF'!$AM$7+'TUSD CVA'!$AM$7)*1</f>
        <v>76.243476502957677</v>
      </c>
      <c r="AA36" s="4"/>
      <c r="AB36" s="4">
        <f t="shared" si="0"/>
        <v>139774.95000000001</v>
      </c>
      <c r="AC36" s="4">
        <f t="shared" si="1"/>
        <v>0</v>
      </c>
      <c r="AD36" s="4">
        <f t="shared" ca="1" si="2"/>
        <v>160256.76329148904</v>
      </c>
      <c r="AE36" s="4">
        <f t="shared" ca="1" si="3"/>
        <v>0</v>
      </c>
      <c r="AF36" s="3" t="s">
        <v>950</v>
      </c>
    </row>
    <row r="37" spans="1:32" ht="11.25" customHeight="1" x14ac:dyDescent="0.25">
      <c r="A37" s="3" t="s">
        <v>56</v>
      </c>
      <c r="B37" s="3" t="s">
        <v>41</v>
      </c>
      <c r="C37" s="3" t="s">
        <v>42</v>
      </c>
      <c r="D37" s="3" t="s">
        <v>40</v>
      </c>
      <c r="E37" s="3" t="s">
        <v>25</v>
      </c>
      <c r="F37" s="3" t="s">
        <v>60</v>
      </c>
      <c r="G37" s="3" t="s">
        <v>25</v>
      </c>
      <c r="H37" s="3" t="s">
        <v>35</v>
      </c>
      <c r="I37" s="6">
        <v>44652</v>
      </c>
      <c r="J37" s="4">
        <v>10565</v>
      </c>
      <c r="K37" s="4">
        <v>5282.5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3" t="s">
        <v>57</v>
      </c>
      <c r="R37" s="3">
        <v>0</v>
      </c>
      <c r="S37" s="3">
        <v>92</v>
      </c>
      <c r="T37" s="3">
        <v>0</v>
      </c>
      <c r="U37" s="3">
        <v>0</v>
      </c>
      <c r="V37" s="4">
        <f>IF(ISERROR(VLOOKUP($S$37,'TAR FIN'!$A$1:$O$99,15,0)),0,VLOOKUP($S$37,'TAR FIN'!$A$1:$O$99,15,0))</f>
        <v>26.46</v>
      </c>
      <c r="W37" s="4">
        <f>IF(ISERROR(VLOOKUP($T$37,'TAR FIN'!$A$1:$O$99,15,0)),0,VLOOKUP($T$37,'TAR FIN'!$A$1:$O$99,15,0))</f>
        <v>0</v>
      </c>
      <c r="X37" s="4">
        <f>IF(ISERROR(VLOOKUP($U$37,'TAR FIN'!$A$1:$O$99,15,0)),0,VLOOKUP($U$37,'TAR FIN'!$A$1:$O$99,15,0))</f>
        <v>0</v>
      </c>
      <c r="Y37" s="4">
        <f ca="1">('TUSD BE'!$AM$5+'TUSD BF'!$AM$5+'TUSD CVA'!$AM$5)*1</f>
        <v>30.337295464550692</v>
      </c>
      <c r="Z37" s="4">
        <f ca="1">('TUSD BE'!$AM$7+'TUSD BF'!$AM$7+'TUSD CVA'!$AM$7)*1</f>
        <v>76.243476502957677</v>
      </c>
      <c r="AA37" s="4"/>
      <c r="AB37" s="4">
        <f t="shared" si="0"/>
        <v>139774.95000000001</v>
      </c>
      <c r="AC37" s="4">
        <f t="shared" si="1"/>
        <v>0</v>
      </c>
      <c r="AD37" s="4">
        <f t="shared" ca="1" si="2"/>
        <v>160256.76329148904</v>
      </c>
      <c r="AE37" s="4">
        <f t="shared" ca="1" si="3"/>
        <v>0</v>
      </c>
      <c r="AF37" s="3" t="s">
        <v>950</v>
      </c>
    </row>
    <row r="38" spans="1:32" ht="11.25" customHeight="1" x14ac:dyDescent="0.25">
      <c r="A38" s="3" t="s">
        <v>21</v>
      </c>
      <c r="B38" s="3" t="s">
        <v>41</v>
      </c>
      <c r="C38" s="3" t="s">
        <v>42</v>
      </c>
      <c r="D38" s="3" t="s">
        <v>45</v>
      </c>
      <c r="E38" s="3" t="s">
        <v>53</v>
      </c>
      <c r="F38" s="3" t="s">
        <v>55</v>
      </c>
      <c r="G38" s="3" t="s">
        <v>25</v>
      </c>
      <c r="H38" s="3" t="s">
        <v>36</v>
      </c>
      <c r="I38" s="6">
        <v>44317</v>
      </c>
      <c r="J38" s="4">
        <v>0</v>
      </c>
      <c r="K38" s="4">
        <v>0</v>
      </c>
      <c r="L38" s="4">
        <v>398.63400000000001</v>
      </c>
      <c r="M38" s="4">
        <v>39.863399999999999</v>
      </c>
      <c r="N38" s="4">
        <v>398.63400000000001</v>
      </c>
      <c r="O38" s="4">
        <v>39.863399999999999</v>
      </c>
      <c r="P38" s="4">
        <v>0</v>
      </c>
      <c r="Q38" s="3" t="s">
        <v>26</v>
      </c>
      <c r="R38" s="3">
        <v>0</v>
      </c>
      <c r="S38" s="3">
        <v>0</v>
      </c>
      <c r="T38" s="3">
        <v>94</v>
      </c>
      <c r="U38" s="3">
        <v>48</v>
      </c>
      <c r="V38" s="4">
        <f>IF(ISERROR(VLOOKUP($S$38,'TAR FIN'!$A$1:$O$99,15,0)),0,VLOOKUP($S$38,'TAR FIN'!$A$1:$O$99,15,0))</f>
        <v>0</v>
      </c>
      <c r="W38" s="4">
        <f>IF(ISERROR(VLOOKUP($T$38,'TAR FIN'!$A$1:$O$99,15,0)),0,VLOOKUP($T$38,'TAR FIN'!$A$1:$O$99,15,0))</f>
        <v>65.13</v>
      </c>
      <c r="X38" s="4">
        <f>IF(ISERROR(VLOOKUP($U$38,'TAR FIN'!$A$1:$O$99,15,0)),0,VLOOKUP($U$38,'TAR FIN'!$A$1:$O$99,15,0))</f>
        <v>219.97</v>
      </c>
      <c r="Y38" s="4">
        <f ca="1">('TUSD BE'!$AM$6+'TUSD BF'!$AM$6+'TUSD CVA'!$AM$6)*1</f>
        <v>16.343876453142602</v>
      </c>
      <c r="Z38" s="4">
        <f ca="1">('TUSD BE'!$AM$7+'TUSD BF'!$AM$7+'TUSD CVA'!$AM$7)*1</f>
        <v>76.243476502957677</v>
      </c>
      <c r="AA38" s="4">
        <f>('TE BE'!$AA$6+'TE BF'!$AA$6+'TE CVA'!$AA$6)*1</f>
        <v>271.13910989737087</v>
      </c>
      <c r="AB38" s="4">
        <f t="shared" si="0"/>
        <v>0</v>
      </c>
      <c r="AC38" s="4">
        <f t="shared" si="1"/>
        <v>102285.49806</v>
      </c>
      <c r="AD38" s="4">
        <f t="shared" ca="1" si="2"/>
        <v>0</v>
      </c>
      <c r="AE38" s="4">
        <f t="shared" ca="1" si="3"/>
        <v>124630.65895239772</v>
      </c>
      <c r="AF38" s="3" t="s">
        <v>952</v>
      </c>
    </row>
    <row r="39" spans="1:32" ht="11.25" customHeight="1" x14ac:dyDescent="0.25">
      <c r="A39" s="3" t="s">
        <v>21</v>
      </c>
      <c r="B39" s="3" t="s">
        <v>41</v>
      </c>
      <c r="C39" s="3" t="s">
        <v>42</v>
      </c>
      <c r="D39" s="3" t="s">
        <v>45</v>
      </c>
      <c r="E39" s="3" t="s">
        <v>53</v>
      </c>
      <c r="F39" s="3" t="s">
        <v>55</v>
      </c>
      <c r="G39" s="3" t="s">
        <v>25</v>
      </c>
      <c r="H39" s="3" t="s">
        <v>36</v>
      </c>
      <c r="I39" s="6">
        <v>44348</v>
      </c>
      <c r="J39" s="4">
        <v>0</v>
      </c>
      <c r="K39" s="4">
        <v>0</v>
      </c>
      <c r="L39" s="4">
        <v>396.06299999999999</v>
      </c>
      <c r="M39" s="4">
        <v>39.606299999999997</v>
      </c>
      <c r="N39" s="4">
        <v>396.06299999999999</v>
      </c>
      <c r="O39" s="4">
        <v>39.606299999999997</v>
      </c>
      <c r="P39" s="4">
        <v>0</v>
      </c>
      <c r="Q39" s="3" t="s">
        <v>26</v>
      </c>
      <c r="R39" s="3">
        <v>0</v>
      </c>
      <c r="S39" s="3">
        <v>0</v>
      </c>
      <c r="T39" s="3">
        <v>94</v>
      </c>
      <c r="U39" s="3">
        <v>48</v>
      </c>
      <c r="V39" s="4">
        <f>IF(ISERROR(VLOOKUP($S$39,'TAR FIN'!$A$1:$O$99,15,0)),0,VLOOKUP($S$39,'TAR FIN'!$A$1:$O$99,15,0))</f>
        <v>0</v>
      </c>
      <c r="W39" s="4">
        <f>IF(ISERROR(VLOOKUP($T$39,'TAR FIN'!$A$1:$O$99,15,0)),0,VLOOKUP($T$39,'TAR FIN'!$A$1:$O$99,15,0))</f>
        <v>65.13</v>
      </c>
      <c r="X39" s="4">
        <f>IF(ISERROR(VLOOKUP($U$39,'TAR FIN'!$A$1:$O$99,15,0)),0,VLOOKUP($U$39,'TAR FIN'!$A$1:$O$99,15,0))</f>
        <v>219.97</v>
      </c>
      <c r="Y39" s="4">
        <f ca="1">('TUSD BE'!$AM$6+'TUSD BF'!$AM$6+'TUSD CVA'!$AM$6)*1</f>
        <v>16.343876453142602</v>
      </c>
      <c r="Z39" s="4">
        <f ca="1">('TUSD BE'!$AM$7+'TUSD BF'!$AM$7+'TUSD CVA'!$AM$7)*1</f>
        <v>76.243476502957677</v>
      </c>
      <c r="AA39" s="4">
        <f>('TE BE'!$AA$6+'TE BF'!$AA$6+'TE CVA'!$AA$6)*1</f>
        <v>271.13910989737087</v>
      </c>
      <c r="AB39" s="4">
        <f t="shared" si="0"/>
        <v>0</v>
      </c>
      <c r="AC39" s="4">
        <f t="shared" si="1"/>
        <v>101625.80517000001</v>
      </c>
      <c r="AD39" s="4">
        <f t="shared" ca="1" si="2"/>
        <v>0</v>
      </c>
      <c r="AE39" s="4">
        <f t="shared" ca="1" si="3"/>
        <v>123826.85038572599</v>
      </c>
      <c r="AF39" s="3" t="s">
        <v>952</v>
      </c>
    </row>
    <row r="40" spans="1:32" ht="11.25" customHeight="1" x14ac:dyDescent="0.25">
      <c r="A40" s="3" t="s">
        <v>21</v>
      </c>
      <c r="B40" s="3" t="s">
        <v>41</v>
      </c>
      <c r="C40" s="3" t="s">
        <v>42</v>
      </c>
      <c r="D40" s="3" t="s">
        <v>45</v>
      </c>
      <c r="E40" s="3" t="s">
        <v>53</v>
      </c>
      <c r="F40" s="3" t="s">
        <v>55</v>
      </c>
      <c r="G40" s="3" t="s">
        <v>25</v>
      </c>
      <c r="H40" s="3" t="s">
        <v>36</v>
      </c>
      <c r="I40" s="6">
        <v>44378</v>
      </c>
      <c r="J40" s="4">
        <v>0</v>
      </c>
      <c r="K40" s="4">
        <v>0</v>
      </c>
      <c r="L40" s="4">
        <v>778.96299999999997</v>
      </c>
      <c r="M40" s="4">
        <v>77.896299999999997</v>
      </c>
      <c r="N40" s="4">
        <v>778.96299999999997</v>
      </c>
      <c r="O40" s="4">
        <v>77.896299999999997</v>
      </c>
      <c r="P40" s="4">
        <v>0</v>
      </c>
      <c r="Q40" s="3" t="s">
        <v>26</v>
      </c>
      <c r="R40" s="3">
        <v>0</v>
      </c>
      <c r="S40" s="3">
        <v>0</v>
      </c>
      <c r="T40" s="3">
        <v>94</v>
      </c>
      <c r="U40" s="3">
        <v>48</v>
      </c>
      <c r="V40" s="4">
        <f>IF(ISERROR(VLOOKUP($S$40,'TAR FIN'!$A$1:$O$99,15,0)),0,VLOOKUP($S$40,'TAR FIN'!$A$1:$O$99,15,0))</f>
        <v>0</v>
      </c>
      <c r="W40" s="4">
        <f>IF(ISERROR(VLOOKUP($T$40,'TAR FIN'!$A$1:$O$99,15,0)),0,VLOOKUP($T$40,'TAR FIN'!$A$1:$O$99,15,0))</f>
        <v>65.13</v>
      </c>
      <c r="X40" s="4">
        <f>IF(ISERROR(VLOOKUP($U$40,'TAR FIN'!$A$1:$O$99,15,0)),0,VLOOKUP($U$40,'TAR FIN'!$A$1:$O$99,15,0))</f>
        <v>219.97</v>
      </c>
      <c r="Y40" s="4">
        <f ca="1">('TUSD BE'!$AM$6+'TUSD BF'!$AM$6+'TUSD CVA'!$AM$6)*1</f>
        <v>16.343876453142602</v>
      </c>
      <c r="Z40" s="4">
        <f ca="1">('TUSD BE'!$AM$7+'TUSD BF'!$AM$7+'TUSD CVA'!$AM$7)*1</f>
        <v>76.243476502957677</v>
      </c>
      <c r="AA40" s="4">
        <f>('TE BE'!$AA$6+'TE BF'!$AA$6+'TE CVA'!$AA$6)*1</f>
        <v>271.13910989737087</v>
      </c>
      <c r="AB40" s="4">
        <f t="shared" si="0"/>
        <v>0</v>
      </c>
      <c r="AC40" s="4">
        <f t="shared" si="1"/>
        <v>199874.11616999999</v>
      </c>
      <c r="AD40" s="4">
        <f t="shared" ca="1" si="2"/>
        <v>0</v>
      </c>
      <c r="AE40" s="4">
        <f t="shared" ca="1" si="3"/>
        <v>243538.36348514323</v>
      </c>
      <c r="AF40" s="3" t="s">
        <v>952</v>
      </c>
    </row>
    <row r="41" spans="1:32" ht="11.25" customHeight="1" x14ac:dyDescent="0.25">
      <c r="A41" s="3" t="s">
        <v>21</v>
      </c>
      <c r="B41" s="3" t="s">
        <v>41</v>
      </c>
      <c r="C41" s="3" t="s">
        <v>42</v>
      </c>
      <c r="D41" s="3" t="s">
        <v>45</v>
      </c>
      <c r="E41" s="3" t="s">
        <v>53</v>
      </c>
      <c r="F41" s="3" t="s">
        <v>55</v>
      </c>
      <c r="G41" s="3" t="s">
        <v>25</v>
      </c>
      <c r="H41" s="3" t="s">
        <v>36</v>
      </c>
      <c r="I41" s="6">
        <v>44409</v>
      </c>
      <c r="J41" s="4">
        <v>0</v>
      </c>
      <c r="K41" s="4">
        <v>0</v>
      </c>
      <c r="L41" s="4">
        <v>152.744</v>
      </c>
      <c r="M41" s="4">
        <v>15.2744</v>
      </c>
      <c r="N41" s="4">
        <v>152.744</v>
      </c>
      <c r="O41" s="4">
        <v>15.2744</v>
      </c>
      <c r="P41" s="4">
        <v>0</v>
      </c>
      <c r="Q41" s="3" t="s">
        <v>26</v>
      </c>
      <c r="R41" s="3">
        <v>0</v>
      </c>
      <c r="S41" s="3">
        <v>0</v>
      </c>
      <c r="T41" s="3">
        <v>94</v>
      </c>
      <c r="U41" s="3">
        <v>48</v>
      </c>
      <c r="V41" s="4">
        <f>IF(ISERROR(VLOOKUP($S$41,'TAR FIN'!$A$1:$O$99,15,0)),0,VLOOKUP($S$41,'TAR FIN'!$A$1:$O$99,15,0))</f>
        <v>0</v>
      </c>
      <c r="W41" s="4">
        <f>IF(ISERROR(VLOOKUP($T$41,'TAR FIN'!$A$1:$O$99,15,0)),0,VLOOKUP($T$41,'TAR FIN'!$A$1:$O$99,15,0))</f>
        <v>65.13</v>
      </c>
      <c r="X41" s="4">
        <f>IF(ISERROR(VLOOKUP($U$41,'TAR FIN'!$A$1:$O$99,15,0)),0,VLOOKUP($U$41,'TAR FIN'!$A$1:$O$99,15,0))</f>
        <v>219.97</v>
      </c>
      <c r="Y41" s="4">
        <f ca="1">('TUSD BE'!$AM$6+'TUSD BF'!$AM$6+'TUSD CVA'!$AM$6)*1</f>
        <v>16.343876453142602</v>
      </c>
      <c r="Z41" s="4">
        <f ca="1">('TUSD BE'!$AM$7+'TUSD BF'!$AM$7+'TUSD CVA'!$AM$7)*1</f>
        <v>76.243476502957677</v>
      </c>
      <c r="AA41" s="4">
        <f>('TE BE'!$AA$6+'TE BF'!$AA$6+'TE CVA'!$AA$6)*1</f>
        <v>271.13910989737087</v>
      </c>
      <c r="AB41" s="4">
        <f t="shared" si="0"/>
        <v>0</v>
      </c>
      <c r="AC41" s="4">
        <f t="shared" si="1"/>
        <v>39192.58296</v>
      </c>
      <c r="AD41" s="4">
        <f t="shared" ca="1" si="2"/>
        <v>0</v>
      </c>
      <c r="AE41" s="4">
        <f t="shared" ca="1" si="3"/>
        <v>47754.545199418608</v>
      </c>
      <c r="AF41" s="3" t="s">
        <v>952</v>
      </c>
    </row>
    <row r="42" spans="1:32" ht="11.25" customHeight="1" x14ac:dyDescent="0.25">
      <c r="A42" s="3" t="s">
        <v>27</v>
      </c>
      <c r="B42" s="3" t="s">
        <v>41</v>
      </c>
      <c r="C42" s="3" t="s">
        <v>42</v>
      </c>
      <c r="D42" s="3" t="s">
        <v>45</v>
      </c>
      <c r="E42" s="3" t="s">
        <v>53</v>
      </c>
      <c r="F42" s="3" t="s">
        <v>55</v>
      </c>
      <c r="G42" s="3" t="s">
        <v>25</v>
      </c>
      <c r="H42" s="3" t="s">
        <v>36</v>
      </c>
      <c r="I42" s="6">
        <v>44409</v>
      </c>
      <c r="J42" s="4">
        <v>0</v>
      </c>
      <c r="K42" s="4">
        <v>0</v>
      </c>
      <c r="L42" s="4">
        <v>-383.71600000000001</v>
      </c>
      <c r="M42" s="4">
        <v>-38.371600000000001</v>
      </c>
      <c r="N42" s="4">
        <v>-383.71600000000001</v>
      </c>
      <c r="O42" s="4">
        <v>-38.371600000000001</v>
      </c>
      <c r="P42" s="4">
        <v>0</v>
      </c>
      <c r="Q42" s="3" t="s">
        <v>26</v>
      </c>
      <c r="R42" s="3">
        <v>0</v>
      </c>
      <c r="S42" s="3">
        <v>0</v>
      </c>
      <c r="T42" s="3">
        <v>94</v>
      </c>
      <c r="U42" s="3">
        <v>48</v>
      </c>
      <c r="V42" s="4">
        <f>IF(ISERROR(VLOOKUP($S$42,'TAR FIN'!$A$1:$O$99,15,0)),0,VLOOKUP($S$42,'TAR FIN'!$A$1:$O$99,15,0))</f>
        <v>0</v>
      </c>
      <c r="W42" s="4">
        <f>IF(ISERROR(VLOOKUP($T$42,'TAR FIN'!$A$1:$O$99,15,0)),0,VLOOKUP($T$42,'TAR FIN'!$A$1:$O$99,15,0))</f>
        <v>65.13</v>
      </c>
      <c r="X42" s="4">
        <f>IF(ISERROR(VLOOKUP($U$42,'TAR FIN'!$A$1:$O$99,15,0)),0,VLOOKUP($U$42,'TAR FIN'!$A$1:$O$99,15,0))</f>
        <v>219.97</v>
      </c>
      <c r="Y42" s="4">
        <f ca="1">('TUSD BE'!$AM$6+'TUSD BF'!$AM$6+'TUSD CVA'!$AM$6)*1</f>
        <v>16.343876453142602</v>
      </c>
      <c r="Z42" s="4">
        <f ca="1">('TUSD BE'!$AM$7+'TUSD BF'!$AM$7+'TUSD CVA'!$AM$7)*1</f>
        <v>76.243476502957677</v>
      </c>
      <c r="AA42" s="4">
        <f>('TE BE'!$AA$6+'TE BF'!$AA$6+'TE CVA'!$AA$6)*1</f>
        <v>271.13910989737087</v>
      </c>
      <c r="AB42" s="4">
        <f t="shared" si="0"/>
        <v>0</v>
      </c>
      <c r="AC42" s="4">
        <f t="shared" si="1"/>
        <v>-98457.688439999998</v>
      </c>
      <c r="AD42" s="4">
        <f t="shared" ca="1" si="2"/>
        <v>0</v>
      </c>
      <c r="AE42" s="4">
        <f t="shared" ca="1" si="3"/>
        <v>-119966.63087086963</v>
      </c>
      <c r="AF42" s="3" t="s">
        <v>952</v>
      </c>
    </row>
    <row r="43" spans="1:32" ht="11.25" customHeight="1" x14ac:dyDescent="0.25">
      <c r="A43" s="3" t="s">
        <v>21</v>
      </c>
      <c r="B43" s="3" t="s">
        <v>41</v>
      </c>
      <c r="C43" s="3" t="s">
        <v>42</v>
      </c>
      <c r="D43" s="3" t="s">
        <v>45</v>
      </c>
      <c r="E43" s="3" t="s">
        <v>53</v>
      </c>
      <c r="F43" s="3" t="s">
        <v>55</v>
      </c>
      <c r="G43" s="3" t="s">
        <v>25</v>
      </c>
      <c r="H43" s="3" t="s">
        <v>36</v>
      </c>
      <c r="I43" s="6">
        <v>44440</v>
      </c>
      <c r="J43" s="4">
        <v>0</v>
      </c>
      <c r="K43" s="4">
        <v>0</v>
      </c>
      <c r="L43" s="4">
        <v>2586.7269999999999</v>
      </c>
      <c r="M43" s="4">
        <v>258.67270000000002</v>
      </c>
      <c r="N43" s="4">
        <v>2586.7269999999999</v>
      </c>
      <c r="O43" s="4">
        <v>258.67270000000002</v>
      </c>
      <c r="P43" s="4">
        <v>0</v>
      </c>
      <c r="Q43" s="3" t="s">
        <v>26</v>
      </c>
      <c r="R43" s="3">
        <v>0</v>
      </c>
      <c r="S43" s="3">
        <v>0</v>
      </c>
      <c r="T43" s="3">
        <v>94</v>
      </c>
      <c r="U43" s="3">
        <v>48</v>
      </c>
      <c r="V43" s="4">
        <f>IF(ISERROR(VLOOKUP($S$43,'TAR FIN'!$A$1:$O$99,15,0)),0,VLOOKUP($S$43,'TAR FIN'!$A$1:$O$99,15,0))</f>
        <v>0</v>
      </c>
      <c r="W43" s="4">
        <f>IF(ISERROR(VLOOKUP($T$43,'TAR FIN'!$A$1:$O$99,15,0)),0,VLOOKUP($T$43,'TAR FIN'!$A$1:$O$99,15,0))</f>
        <v>65.13</v>
      </c>
      <c r="X43" s="4">
        <f>IF(ISERROR(VLOOKUP($U$43,'TAR FIN'!$A$1:$O$99,15,0)),0,VLOOKUP($U$43,'TAR FIN'!$A$1:$O$99,15,0))</f>
        <v>219.97</v>
      </c>
      <c r="Y43" s="4">
        <f ca="1">('TUSD BE'!$AM$6+'TUSD BF'!$AM$6+'TUSD CVA'!$AM$6)*1</f>
        <v>16.343876453142602</v>
      </c>
      <c r="Z43" s="4">
        <f ca="1">('TUSD BE'!$AM$7+'TUSD BF'!$AM$7+'TUSD CVA'!$AM$7)*1</f>
        <v>76.243476502957677</v>
      </c>
      <c r="AA43" s="4">
        <f>('TE BE'!$AA$6+'TE BF'!$AA$6+'TE CVA'!$AA$6)*1</f>
        <v>271.13910989737087</v>
      </c>
      <c r="AB43" s="4">
        <f t="shared" si="0"/>
        <v>0</v>
      </c>
      <c r="AC43" s="4">
        <f t="shared" si="1"/>
        <v>663728.28092999989</v>
      </c>
      <c r="AD43" s="4">
        <f t="shared" ca="1" si="2"/>
        <v>0</v>
      </c>
      <c r="AE43" s="4">
        <f t="shared" ca="1" si="3"/>
        <v>808725.52401440637</v>
      </c>
      <c r="AF43" s="3" t="s">
        <v>952</v>
      </c>
    </row>
    <row r="44" spans="1:32" ht="11.25" customHeight="1" x14ac:dyDescent="0.25">
      <c r="A44" s="3" t="s">
        <v>21</v>
      </c>
      <c r="B44" s="3" t="s">
        <v>41</v>
      </c>
      <c r="C44" s="3" t="s">
        <v>42</v>
      </c>
      <c r="D44" s="3" t="s">
        <v>45</v>
      </c>
      <c r="E44" s="3" t="s">
        <v>53</v>
      </c>
      <c r="F44" s="3" t="s">
        <v>55</v>
      </c>
      <c r="G44" s="3" t="s">
        <v>25</v>
      </c>
      <c r="H44" s="3" t="s">
        <v>36</v>
      </c>
      <c r="I44" s="6">
        <v>44470</v>
      </c>
      <c r="J44" s="4">
        <v>0</v>
      </c>
      <c r="K44" s="4">
        <v>0</v>
      </c>
      <c r="L44" s="4">
        <v>6206.6970000000001</v>
      </c>
      <c r="M44" s="4">
        <v>620.66970000000003</v>
      </c>
      <c r="N44" s="4">
        <v>6206.6970000000001</v>
      </c>
      <c r="O44" s="4">
        <v>620.66970000000003</v>
      </c>
      <c r="P44" s="4">
        <v>0</v>
      </c>
      <c r="Q44" s="3" t="s">
        <v>26</v>
      </c>
      <c r="R44" s="3">
        <v>0</v>
      </c>
      <c r="S44" s="3">
        <v>0</v>
      </c>
      <c r="T44" s="3">
        <v>94</v>
      </c>
      <c r="U44" s="3">
        <v>48</v>
      </c>
      <c r="V44" s="4">
        <f>IF(ISERROR(VLOOKUP($S$44,'TAR FIN'!$A$1:$O$99,15,0)),0,VLOOKUP($S$44,'TAR FIN'!$A$1:$O$99,15,0))</f>
        <v>0</v>
      </c>
      <c r="W44" s="4">
        <f>IF(ISERROR(VLOOKUP($T$44,'TAR FIN'!$A$1:$O$99,15,0)),0,VLOOKUP($T$44,'TAR FIN'!$A$1:$O$99,15,0))</f>
        <v>65.13</v>
      </c>
      <c r="X44" s="4">
        <f>IF(ISERROR(VLOOKUP($U$44,'TAR FIN'!$A$1:$O$99,15,0)),0,VLOOKUP($U$44,'TAR FIN'!$A$1:$O$99,15,0))</f>
        <v>219.97</v>
      </c>
      <c r="Y44" s="4">
        <f ca="1">('TUSD BE'!$AM$6+'TUSD BF'!$AM$6+'TUSD CVA'!$AM$6)*1</f>
        <v>16.343876453142602</v>
      </c>
      <c r="Z44" s="4">
        <f ca="1">('TUSD BE'!$AM$7+'TUSD BF'!$AM$7+'TUSD CVA'!$AM$7)*1</f>
        <v>76.243476502957677</v>
      </c>
      <c r="AA44" s="4">
        <f>('TE BE'!$AA$6+'TE BF'!$AA$6+'TE CVA'!$AA$6)*1</f>
        <v>271.13910989737087</v>
      </c>
      <c r="AB44" s="4">
        <f t="shared" si="0"/>
        <v>0</v>
      </c>
      <c r="AC44" s="4">
        <f t="shared" si="1"/>
        <v>1592576.38323</v>
      </c>
      <c r="AD44" s="4">
        <f t="shared" ca="1" si="2"/>
        <v>0</v>
      </c>
      <c r="AE44" s="4">
        <f t="shared" ca="1" si="3"/>
        <v>1940488.611176844</v>
      </c>
      <c r="AF44" s="3" t="s">
        <v>952</v>
      </c>
    </row>
    <row r="45" spans="1:32" ht="11.25" customHeight="1" x14ac:dyDescent="0.25">
      <c r="A45" s="3" t="s">
        <v>21</v>
      </c>
      <c r="B45" s="3" t="s">
        <v>41</v>
      </c>
      <c r="C45" s="3" t="s">
        <v>42</v>
      </c>
      <c r="D45" s="3" t="s">
        <v>45</v>
      </c>
      <c r="E45" s="3" t="s">
        <v>53</v>
      </c>
      <c r="F45" s="3" t="s">
        <v>55</v>
      </c>
      <c r="G45" s="3" t="s">
        <v>25</v>
      </c>
      <c r="H45" s="3" t="s">
        <v>36</v>
      </c>
      <c r="I45" s="6">
        <v>44501</v>
      </c>
      <c r="J45" s="4">
        <v>0</v>
      </c>
      <c r="K45" s="4">
        <v>0</v>
      </c>
      <c r="L45" s="4">
        <v>6926.8459999999995</v>
      </c>
      <c r="M45" s="4">
        <v>692.68460000000005</v>
      </c>
      <c r="N45" s="4">
        <v>6926.8459999999995</v>
      </c>
      <c r="O45" s="4">
        <v>692.68460000000005</v>
      </c>
      <c r="P45" s="4">
        <v>0</v>
      </c>
      <c r="Q45" s="3" t="s">
        <v>26</v>
      </c>
      <c r="R45" s="3">
        <v>0</v>
      </c>
      <c r="S45" s="3">
        <v>0</v>
      </c>
      <c r="T45" s="3">
        <v>94</v>
      </c>
      <c r="U45" s="3">
        <v>48</v>
      </c>
      <c r="V45" s="4">
        <f>IF(ISERROR(VLOOKUP($S$45,'TAR FIN'!$A$1:$O$99,15,0)),0,VLOOKUP($S$45,'TAR FIN'!$A$1:$O$99,15,0))</f>
        <v>0</v>
      </c>
      <c r="W45" s="4">
        <f>IF(ISERROR(VLOOKUP($T$45,'TAR FIN'!$A$1:$O$99,15,0)),0,VLOOKUP($T$45,'TAR FIN'!$A$1:$O$99,15,0))</f>
        <v>65.13</v>
      </c>
      <c r="X45" s="4">
        <f>IF(ISERROR(VLOOKUP($U$45,'TAR FIN'!$A$1:$O$99,15,0)),0,VLOOKUP($U$45,'TAR FIN'!$A$1:$O$99,15,0))</f>
        <v>219.97</v>
      </c>
      <c r="Y45" s="4">
        <f ca="1">('TUSD BE'!$AM$6+'TUSD BF'!$AM$6+'TUSD CVA'!$AM$6)*1</f>
        <v>16.343876453142602</v>
      </c>
      <c r="Z45" s="4">
        <f ca="1">('TUSD BE'!$AM$7+'TUSD BF'!$AM$7+'TUSD CVA'!$AM$7)*1</f>
        <v>76.243476502957677</v>
      </c>
      <c r="AA45" s="4">
        <f>('TE BE'!$AA$6+'TE BF'!$AA$6+'TE CVA'!$AA$6)*1</f>
        <v>271.13910989737087</v>
      </c>
      <c r="AB45" s="4">
        <f t="shared" si="0"/>
        <v>0</v>
      </c>
      <c r="AC45" s="4">
        <f t="shared" si="1"/>
        <v>1777359.4151399997</v>
      </c>
      <c r="AD45" s="4">
        <f t="shared" ca="1" si="2"/>
        <v>0</v>
      </c>
      <c r="AE45" s="4">
        <f t="shared" ca="1" si="3"/>
        <v>2165639.1111690928</v>
      </c>
      <c r="AF45" s="3" t="s">
        <v>952</v>
      </c>
    </row>
    <row r="46" spans="1:32" ht="11.25" customHeight="1" x14ac:dyDescent="0.25">
      <c r="A46" s="3" t="s">
        <v>21</v>
      </c>
      <c r="B46" s="3" t="s">
        <v>41</v>
      </c>
      <c r="C46" s="3" t="s">
        <v>42</v>
      </c>
      <c r="D46" s="3" t="s">
        <v>45</v>
      </c>
      <c r="E46" s="3" t="s">
        <v>53</v>
      </c>
      <c r="F46" s="3" t="s">
        <v>55</v>
      </c>
      <c r="G46" s="3" t="s">
        <v>25</v>
      </c>
      <c r="H46" s="3" t="s">
        <v>36</v>
      </c>
      <c r="I46" s="6">
        <v>44531</v>
      </c>
      <c r="J46" s="4">
        <v>0</v>
      </c>
      <c r="K46" s="4">
        <v>0</v>
      </c>
      <c r="L46" s="4">
        <v>6748.4269999999997</v>
      </c>
      <c r="M46" s="4">
        <v>674.84270000000004</v>
      </c>
      <c r="N46" s="4">
        <v>6748.4269999999997</v>
      </c>
      <c r="O46" s="4">
        <v>674.84270000000004</v>
      </c>
      <c r="P46" s="4">
        <v>0</v>
      </c>
      <c r="Q46" s="3" t="s">
        <v>26</v>
      </c>
      <c r="R46" s="3">
        <v>0</v>
      </c>
      <c r="S46" s="3">
        <v>0</v>
      </c>
      <c r="T46" s="3">
        <v>94</v>
      </c>
      <c r="U46" s="3">
        <v>48</v>
      </c>
      <c r="V46" s="4">
        <f>IF(ISERROR(VLOOKUP($S$46,'TAR FIN'!$A$1:$O$99,15,0)),0,VLOOKUP($S$46,'TAR FIN'!$A$1:$O$99,15,0))</f>
        <v>0</v>
      </c>
      <c r="W46" s="4">
        <f>IF(ISERROR(VLOOKUP($T$46,'TAR FIN'!$A$1:$O$99,15,0)),0,VLOOKUP($T$46,'TAR FIN'!$A$1:$O$99,15,0))</f>
        <v>65.13</v>
      </c>
      <c r="X46" s="4">
        <f>IF(ISERROR(VLOOKUP($U$46,'TAR FIN'!$A$1:$O$99,15,0)),0,VLOOKUP($U$46,'TAR FIN'!$A$1:$O$99,15,0))</f>
        <v>219.97</v>
      </c>
      <c r="Y46" s="4">
        <f ca="1">('TUSD BE'!$AM$6+'TUSD BF'!$AM$6+'TUSD CVA'!$AM$6)*1</f>
        <v>16.343876453142602</v>
      </c>
      <c r="Z46" s="4">
        <f ca="1">('TUSD BE'!$AM$7+'TUSD BF'!$AM$7+'TUSD CVA'!$AM$7)*1</f>
        <v>76.243476502957677</v>
      </c>
      <c r="AA46" s="4">
        <f>('TE BE'!$AA$6+'TE BF'!$AA$6+'TE CVA'!$AA$6)*1</f>
        <v>271.13910989737087</v>
      </c>
      <c r="AB46" s="4">
        <f t="shared" si="0"/>
        <v>0</v>
      </c>
      <c r="AC46" s="4">
        <f t="shared" si="1"/>
        <v>1731578.8839299998</v>
      </c>
      <c r="AD46" s="4">
        <f t="shared" ca="1" si="2"/>
        <v>0</v>
      </c>
      <c r="AE46" s="4">
        <f t="shared" ca="1" si="3"/>
        <v>2109857.4228544286</v>
      </c>
      <c r="AF46" s="3" t="s">
        <v>952</v>
      </c>
    </row>
    <row r="47" spans="1:32" ht="11.25" customHeight="1" x14ac:dyDescent="0.25">
      <c r="A47" s="3" t="s">
        <v>21</v>
      </c>
      <c r="B47" s="3" t="s">
        <v>41</v>
      </c>
      <c r="C47" s="3" t="s">
        <v>42</v>
      </c>
      <c r="D47" s="3" t="s">
        <v>45</v>
      </c>
      <c r="E47" s="3" t="s">
        <v>53</v>
      </c>
      <c r="F47" s="3" t="s">
        <v>55</v>
      </c>
      <c r="G47" s="3" t="s">
        <v>25</v>
      </c>
      <c r="H47" s="3" t="s">
        <v>36</v>
      </c>
      <c r="I47" s="6">
        <v>44562</v>
      </c>
      <c r="J47" s="4">
        <v>0</v>
      </c>
      <c r="K47" s="4">
        <v>0</v>
      </c>
      <c r="L47" s="4">
        <v>5667.16</v>
      </c>
      <c r="M47" s="4">
        <v>566.71600000000001</v>
      </c>
      <c r="N47" s="4">
        <v>5667.16</v>
      </c>
      <c r="O47" s="4">
        <v>566.71600000000001</v>
      </c>
      <c r="P47" s="4">
        <v>0</v>
      </c>
      <c r="Q47" s="3" t="s">
        <v>26</v>
      </c>
      <c r="R47" s="3">
        <v>0</v>
      </c>
      <c r="S47" s="3">
        <v>0</v>
      </c>
      <c r="T47" s="3">
        <v>94</v>
      </c>
      <c r="U47" s="3">
        <v>48</v>
      </c>
      <c r="V47" s="4">
        <f>IF(ISERROR(VLOOKUP($S$47,'TAR FIN'!$A$1:$O$99,15,0)),0,VLOOKUP($S$47,'TAR FIN'!$A$1:$O$99,15,0))</f>
        <v>0</v>
      </c>
      <c r="W47" s="4">
        <f>IF(ISERROR(VLOOKUP($T$47,'TAR FIN'!$A$1:$O$99,15,0)),0,VLOOKUP($T$47,'TAR FIN'!$A$1:$O$99,15,0))</f>
        <v>65.13</v>
      </c>
      <c r="X47" s="4">
        <f>IF(ISERROR(VLOOKUP($U$47,'TAR FIN'!$A$1:$O$99,15,0)),0,VLOOKUP($U$47,'TAR FIN'!$A$1:$O$99,15,0))</f>
        <v>219.97</v>
      </c>
      <c r="Y47" s="4">
        <f ca="1">('TUSD BE'!$AM$6+'TUSD BF'!$AM$6+'TUSD CVA'!$AM$6)*1</f>
        <v>16.343876453142602</v>
      </c>
      <c r="Z47" s="4">
        <f ca="1">('TUSD BE'!$AM$7+'TUSD BF'!$AM$7+'TUSD CVA'!$AM$7)*1</f>
        <v>76.243476502957677</v>
      </c>
      <c r="AA47" s="4">
        <f>('TE BE'!$AA$6+'TE BF'!$AA$6+'TE CVA'!$AA$6)*1</f>
        <v>271.13910989737087</v>
      </c>
      <c r="AB47" s="4">
        <f t="shared" si="0"/>
        <v>0</v>
      </c>
      <c r="AC47" s="4">
        <f t="shared" si="1"/>
        <v>1454136.5843999998</v>
      </c>
      <c r="AD47" s="4">
        <f t="shared" ca="1" si="2"/>
        <v>0</v>
      </c>
      <c r="AE47" s="4">
        <f t="shared" ca="1" si="3"/>
        <v>1771805.428510037</v>
      </c>
      <c r="AF47" s="3" t="s">
        <v>952</v>
      </c>
    </row>
    <row r="48" spans="1:32" ht="11.25" customHeight="1" x14ac:dyDescent="0.25">
      <c r="A48" s="3" t="s">
        <v>21</v>
      </c>
      <c r="B48" s="3" t="s">
        <v>41</v>
      </c>
      <c r="C48" s="3" t="s">
        <v>42</v>
      </c>
      <c r="D48" s="3" t="s">
        <v>45</v>
      </c>
      <c r="E48" s="3" t="s">
        <v>53</v>
      </c>
      <c r="F48" s="3" t="s">
        <v>55</v>
      </c>
      <c r="G48" s="3" t="s">
        <v>25</v>
      </c>
      <c r="H48" s="3" t="s">
        <v>36</v>
      </c>
      <c r="I48" s="6">
        <v>44593</v>
      </c>
      <c r="J48" s="4">
        <v>0</v>
      </c>
      <c r="K48" s="4">
        <v>0</v>
      </c>
      <c r="L48" s="4">
        <v>5531.8760000000002</v>
      </c>
      <c r="M48" s="4">
        <v>553.18759999999997</v>
      </c>
      <c r="N48" s="4">
        <v>5531.8760000000002</v>
      </c>
      <c r="O48" s="4">
        <v>553.18759999999997</v>
      </c>
      <c r="P48" s="4">
        <v>0</v>
      </c>
      <c r="Q48" s="3" t="s">
        <v>26</v>
      </c>
      <c r="R48" s="3">
        <v>0</v>
      </c>
      <c r="S48" s="3">
        <v>0</v>
      </c>
      <c r="T48" s="3">
        <v>94</v>
      </c>
      <c r="U48" s="3">
        <v>48</v>
      </c>
      <c r="V48" s="4">
        <f>IF(ISERROR(VLOOKUP($S$48,'TAR FIN'!$A$1:$O$99,15,0)),0,VLOOKUP($S$48,'TAR FIN'!$A$1:$O$99,15,0))</f>
        <v>0</v>
      </c>
      <c r="W48" s="4">
        <f>IF(ISERROR(VLOOKUP($T$48,'TAR FIN'!$A$1:$O$99,15,0)),0,VLOOKUP($T$48,'TAR FIN'!$A$1:$O$99,15,0))</f>
        <v>65.13</v>
      </c>
      <c r="X48" s="4">
        <f>IF(ISERROR(VLOOKUP($U$48,'TAR FIN'!$A$1:$O$99,15,0)),0,VLOOKUP($U$48,'TAR FIN'!$A$1:$O$99,15,0))</f>
        <v>219.97</v>
      </c>
      <c r="Y48" s="4">
        <f ca="1">('TUSD BE'!$AM$6+'TUSD BF'!$AM$6+'TUSD CVA'!$AM$6)*1</f>
        <v>16.343876453142602</v>
      </c>
      <c r="Z48" s="4">
        <f ca="1">('TUSD BE'!$AM$7+'TUSD BF'!$AM$7+'TUSD CVA'!$AM$7)*1</f>
        <v>76.243476502957677</v>
      </c>
      <c r="AA48" s="4">
        <f>('TE BE'!$AA$6+'TE BF'!$AA$6+'TE CVA'!$AA$6)*1</f>
        <v>271.13910989737087</v>
      </c>
      <c r="AB48" s="4">
        <f t="shared" si="0"/>
        <v>0</v>
      </c>
      <c r="AC48" s="4">
        <f t="shared" si="1"/>
        <v>1419424.0628399998</v>
      </c>
      <c r="AD48" s="4">
        <f t="shared" ca="1" si="2"/>
        <v>0</v>
      </c>
      <c r="AE48" s="4">
        <f t="shared" ca="1" si="3"/>
        <v>1729509.6532733135</v>
      </c>
      <c r="AF48" s="3" t="s">
        <v>952</v>
      </c>
    </row>
    <row r="49" spans="1:32" ht="11.25" customHeight="1" x14ac:dyDescent="0.25">
      <c r="A49" s="3" t="s">
        <v>21</v>
      </c>
      <c r="B49" s="3" t="s">
        <v>41</v>
      </c>
      <c r="C49" s="3" t="s">
        <v>42</v>
      </c>
      <c r="D49" s="3" t="s">
        <v>45</v>
      </c>
      <c r="E49" s="3" t="s">
        <v>53</v>
      </c>
      <c r="F49" s="3" t="s">
        <v>55</v>
      </c>
      <c r="G49" s="3" t="s">
        <v>25</v>
      </c>
      <c r="H49" s="3" t="s">
        <v>36</v>
      </c>
      <c r="I49" s="6">
        <v>44621</v>
      </c>
      <c r="J49" s="4">
        <v>0</v>
      </c>
      <c r="K49" s="4">
        <v>0</v>
      </c>
      <c r="L49" s="4">
        <v>2837.616</v>
      </c>
      <c r="M49" s="4">
        <v>283.76159999999999</v>
      </c>
      <c r="N49" s="4">
        <v>2837.616</v>
      </c>
      <c r="O49" s="4">
        <v>283.76159999999999</v>
      </c>
      <c r="P49" s="4">
        <v>0</v>
      </c>
      <c r="Q49" s="3" t="s">
        <v>26</v>
      </c>
      <c r="R49" s="3">
        <v>0</v>
      </c>
      <c r="S49" s="3">
        <v>0</v>
      </c>
      <c r="T49" s="3">
        <v>94</v>
      </c>
      <c r="U49" s="3">
        <v>48</v>
      </c>
      <c r="V49" s="4">
        <f>IF(ISERROR(VLOOKUP($S$49,'TAR FIN'!$A$1:$O$99,15,0)),0,VLOOKUP($S$49,'TAR FIN'!$A$1:$O$99,15,0))</f>
        <v>0</v>
      </c>
      <c r="W49" s="4">
        <f>IF(ISERROR(VLOOKUP($T$49,'TAR FIN'!$A$1:$O$99,15,0)),0,VLOOKUP($T$49,'TAR FIN'!$A$1:$O$99,15,0))</f>
        <v>65.13</v>
      </c>
      <c r="X49" s="4">
        <f>IF(ISERROR(VLOOKUP($U$49,'TAR FIN'!$A$1:$O$99,15,0)),0,VLOOKUP($U$49,'TAR FIN'!$A$1:$O$99,15,0))</f>
        <v>219.97</v>
      </c>
      <c r="Y49" s="4">
        <f ca="1">('TUSD BE'!$AM$6+'TUSD BF'!$AM$6+'TUSD CVA'!$AM$6)*1</f>
        <v>16.343876453142602</v>
      </c>
      <c r="Z49" s="4">
        <f ca="1">('TUSD BE'!$AM$7+'TUSD BF'!$AM$7+'TUSD CVA'!$AM$7)*1</f>
        <v>76.243476502957677</v>
      </c>
      <c r="AA49" s="4">
        <f>('TE BE'!$AA$6+'TE BF'!$AA$6+'TE CVA'!$AA$6)*1</f>
        <v>271.13910989737087</v>
      </c>
      <c r="AB49" s="4">
        <f t="shared" si="0"/>
        <v>0</v>
      </c>
      <c r="AC49" s="4">
        <f t="shared" si="1"/>
        <v>728103.88944000006</v>
      </c>
      <c r="AD49" s="4">
        <f t="shared" ca="1" si="2"/>
        <v>0</v>
      </c>
      <c r="AE49" s="4">
        <f t="shared" ca="1" si="3"/>
        <v>887164.54676185932</v>
      </c>
      <c r="AF49" s="3" t="s">
        <v>952</v>
      </c>
    </row>
    <row r="50" spans="1:32" ht="11.25" customHeight="1" x14ac:dyDescent="0.25">
      <c r="A50" s="3" t="s">
        <v>56</v>
      </c>
      <c r="B50" s="3" t="s">
        <v>41</v>
      </c>
      <c r="C50" s="3" t="s">
        <v>42</v>
      </c>
      <c r="D50" s="3" t="s">
        <v>45</v>
      </c>
      <c r="E50" s="3" t="s">
        <v>53</v>
      </c>
      <c r="F50" s="3" t="s">
        <v>55</v>
      </c>
      <c r="G50" s="3" t="s">
        <v>25</v>
      </c>
      <c r="H50" s="3" t="s">
        <v>36</v>
      </c>
      <c r="I50" s="6">
        <v>44652</v>
      </c>
      <c r="J50" s="4">
        <v>0</v>
      </c>
      <c r="K50" s="4">
        <v>0</v>
      </c>
      <c r="L50" s="4">
        <v>2837.616</v>
      </c>
      <c r="M50" s="4">
        <v>283.76159999999999</v>
      </c>
      <c r="N50" s="4">
        <v>2837.616</v>
      </c>
      <c r="O50" s="4">
        <v>283.76159999999999</v>
      </c>
      <c r="P50" s="4">
        <v>0</v>
      </c>
      <c r="Q50" s="3" t="s">
        <v>26</v>
      </c>
      <c r="R50" s="3">
        <v>0</v>
      </c>
      <c r="S50" s="3">
        <v>0</v>
      </c>
      <c r="T50" s="3">
        <v>94</v>
      </c>
      <c r="U50" s="3">
        <v>48</v>
      </c>
      <c r="V50" s="4">
        <f>IF(ISERROR(VLOOKUP($S$50,'TAR FIN'!$A$1:$O$99,15,0)),0,VLOOKUP($S$50,'TAR FIN'!$A$1:$O$99,15,0))</f>
        <v>0</v>
      </c>
      <c r="W50" s="4">
        <f>IF(ISERROR(VLOOKUP($T$50,'TAR FIN'!$A$1:$O$99,15,0)),0,VLOOKUP($T$50,'TAR FIN'!$A$1:$O$99,15,0))</f>
        <v>65.13</v>
      </c>
      <c r="X50" s="4">
        <f>IF(ISERROR(VLOOKUP($U$50,'TAR FIN'!$A$1:$O$99,15,0)),0,VLOOKUP($U$50,'TAR FIN'!$A$1:$O$99,15,0))</f>
        <v>219.97</v>
      </c>
      <c r="Y50" s="4">
        <f ca="1">('TUSD BE'!$AM$6+'TUSD BF'!$AM$6+'TUSD CVA'!$AM$6)*1</f>
        <v>16.343876453142602</v>
      </c>
      <c r="Z50" s="4">
        <f ca="1">('TUSD BE'!$AM$7+'TUSD BF'!$AM$7+'TUSD CVA'!$AM$7)*1</f>
        <v>76.243476502957677</v>
      </c>
      <c r="AA50" s="4">
        <f>('TE BE'!$AA$6+'TE BF'!$AA$6+'TE CVA'!$AA$6)*1</f>
        <v>271.13910989737087</v>
      </c>
      <c r="AB50" s="4">
        <f t="shared" si="0"/>
        <v>0</v>
      </c>
      <c r="AC50" s="4">
        <f t="shared" si="1"/>
        <v>728103.88944000006</v>
      </c>
      <c r="AD50" s="4">
        <f t="shared" ca="1" si="2"/>
        <v>0</v>
      </c>
      <c r="AE50" s="4">
        <f t="shared" ca="1" si="3"/>
        <v>887164.54676185932</v>
      </c>
      <c r="AF50" s="3" t="s">
        <v>952</v>
      </c>
    </row>
    <row r="51" spans="1:32" ht="11.25" customHeight="1" x14ac:dyDescent="0.25">
      <c r="A51" s="3" t="s">
        <v>21</v>
      </c>
      <c r="B51" s="3" t="s">
        <v>41</v>
      </c>
      <c r="C51" s="3" t="s">
        <v>42</v>
      </c>
      <c r="D51" s="3" t="s">
        <v>45</v>
      </c>
      <c r="E51" s="3" t="s">
        <v>53</v>
      </c>
      <c r="F51" s="3" t="s">
        <v>25</v>
      </c>
      <c r="G51" s="3" t="s">
        <v>25</v>
      </c>
      <c r="H51" s="3" t="s">
        <v>36</v>
      </c>
      <c r="I51" s="6">
        <v>44317</v>
      </c>
      <c r="J51" s="4">
        <v>6202</v>
      </c>
      <c r="K51" s="70">
        <v>6202</v>
      </c>
      <c r="L51" s="4">
        <v>736.85199999999998</v>
      </c>
      <c r="M51" s="70">
        <v>736.85199999999998</v>
      </c>
      <c r="N51" s="4">
        <v>736.85199999999998</v>
      </c>
      <c r="O51" s="70">
        <v>736.85199999999998</v>
      </c>
      <c r="P51" s="4">
        <v>0</v>
      </c>
      <c r="Q51" s="3" t="s">
        <v>26</v>
      </c>
      <c r="R51" s="3">
        <v>0</v>
      </c>
      <c r="S51" s="3">
        <v>93</v>
      </c>
      <c r="T51" s="3">
        <v>94</v>
      </c>
      <c r="U51" s="3">
        <v>48</v>
      </c>
      <c r="V51" s="70">
        <f>IF(ISERROR(VLOOKUP($S$51,'TAR FIN'!$A$1:$O$99,15,0)),0,VLOOKUP($S$51,'TAR FIN'!$A$1:$O$99,15,0))*(1-0.04)</f>
        <v>14.620799999999999</v>
      </c>
      <c r="W51" s="70">
        <f>IF(ISERROR(VLOOKUP($T$51,'TAR FIN'!$A$1:$O$99,15,0)),0,VLOOKUP($T$51,'TAR FIN'!$A$1:$O$99,15,0))*(1-0.04)</f>
        <v>62.524799999999992</v>
      </c>
      <c r="X51" s="70">
        <f>IF(ISERROR(VLOOKUP($U$51,'TAR FIN'!$A$1:$O$99,15,0)),0,VLOOKUP($U$51,'TAR FIN'!$A$1:$O$99,15,0))*(1-0.04)</f>
        <v>211.1712</v>
      </c>
      <c r="Y51" s="70">
        <f ca="1">('TUSD BE'!$AM$6+'TUSD BF'!$AM$6+'TUSD CVA'!$AM$6)*1*(1-0.02)</f>
        <v>16.016998924079751</v>
      </c>
      <c r="Z51" s="70">
        <f ca="1">('TUSD BE'!$AM$7+'TUSD BF'!$AM$7+'TUSD CVA'!$AM$7)*1*(1-0.02)</f>
        <v>74.718606972898527</v>
      </c>
      <c r="AA51" s="70">
        <f>('TE BE'!$AA$6+'TE BF'!$AA$6+'TE CVA'!$AA$6)*1*(1-0.02)</f>
        <v>265.71632769942346</v>
      </c>
      <c r="AB51" s="70">
        <f>(SUBSIDIO!$J$51*SUBSIDIO!$V$51)*(0.04)/(1-0.04)</f>
        <v>3778.2584000000002</v>
      </c>
      <c r="AC51" s="70">
        <f>((SUBSIDIO!$L$51*SUBSIDIO!$W$51)+(SUBSIDIO!$N$51*SUBSIDIO!$X$51))*(0.04)/(1-0.04)</f>
        <v>8403.060207999999</v>
      </c>
      <c r="AD51" s="70">
        <f ca="1">(SUBSIDIO!$J$51*SUBSIDIO!$Y$51)*(0.02)/(1-0.02)</f>
        <v>2027.2944352478085</v>
      </c>
      <c r="AE51" s="70">
        <f ca="1">((SUBSIDIO!$L$51*SUBSIDIO!$Z$51)+(SUBSIDIO!$N$51*SUBSIDIO!$AA$51))*(0.02)/(1-0.02)</f>
        <v>5119.3910710850987</v>
      </c>
      <c r="AF51" s="3" t="s">
        <v>951</v>
      </c>
    </row>
    <row r="52" spans="1:32" ht="11.25" customHeight="1" x14ac:dyDescent="0.25">
      <c r="A52" s="3" t="s">
        <v>21</v>
      </c>
      <c r="B52" s="3" t="s">
        <v>41</v>
      </c>
      <c r="C52" s="3" t="s">
        <v>42</v>
      </c>
      <c r="D52" s="3" t="s">
        <v>45</v>
      </c>
      <c r="E52" s="3" t="s">
        <v>53</v>
      </c>
      <c r="F52" s="3" t="s">
        <v>25</v>
      </c>
      <c r="G52" s="3" t="s">
        <v>25</v>
      </c>
      <c r="H52" s="3" t="s">
        <v>36</v>
      </c>
      <c r="I52" s="6">
        <v>44348</v>
      </c>
      <c r="J52" s="4">
        <v>5712</v>
      </c>
      <c r="K52" s="70">
        <v>5712</v>
      </c>
      <c r="L52" s="4">
        <v>681.64200000000005</v>
      </c>
      <c r="M52" s="70">
        <v>681.64200000000005</v>
      </c>
      <c r="N52" s="4">
        <v>681.64200000000005</v>
      </c>
      <c r="O52" s="70">
        <v>681.64200000000005</v>
      </c>
      <c r="P52" s="4">
        <v>0</v>
      </c>
      <c r="Q52" s="3" t="s">
        <v>26</v>
      </c>
      <c r="R52" s="3">
        <v>0</v>
      </c>
      <c r="S52" s="3">
        <v>93</v>
      </c>
      <c r="T52" s="3">
        <v>94</v>
      </c>
      <c r="U52" s="3">
        <v>48</v>
      </c>
      <c r="V52" s="70">
        <f>IF(ISERROR(VLOOKUP($S$52,'TAR FIN'!$A$1:$O$99,15,0)),0,VLOOKUP($S$52,'TAR FIN'!$A$1:$O$99,15,0))*(1-0.04)</f>
        <v>14.620799999999999</v>
      </c>
      <c r="W52" s="70">
        <f>IF(ISERROR(VLOOKUP($T$52,'TAR FIN'!$A$1:$O$99,15,0)),0,VLOOKUP($T$52,'TAR FIN'!$A$1:$O$99,15,0))*(1-0.04)</f>
        <v>62.524799999999992</v>
      </c>
      <c r="X52" s="70">
        <f>IF(ISERROR(VLOOKUP($U$52,'TAR FIN'!$A$1:$O$99,15,0)),0,VLOOKUP($U$52,'TAR FIN'!$A$1:$O$99,15,0))*(1-0.04)</f>
        <v>211.1712</v>
      </c>
      <c r="Y52" s="70">
        <f ca="1">('TUSD BE'!$AM$6+'TUSD BF'!$AM$6+'TUSD CVA'!$AM$6)*1*(1-0.02)</f>
        <v>16.016998924079751</v>
      </c>
      <c r="Z52" s="70">
        <f ca="1">('TUSD BE'!$AM$7+'TUSD BF'!$AM$7+'TUSD CVA'!$AM$7)*1*(1-0.02)</f>
        <v>74.718606972898527</v>
      </c>
      <c r="AA52" s="70">
        <f>('TE BE'!$AA$6+'TE BF'!$AA$6+'TE CVA'!$AA$6)*1*(1-0.02)</f>
        <v>265.71632769942346</v>
      </c>
      <c r="AB52" s="70">
        <f>(SUBSIDIO!$J$52*SUBSIDIO!$V$52)*(0.04)/(1-0.04)</f>
        <v>3479.7503999999999</v>
      </c>
      <c r="AC52" s="70">
        <f>((SUBSIDIO!$L$52*SUBSIDIO!$W$52)+(SUBSIDIO!$N$52*SUBSIDIO!$X$52))*(0.04)/(1-0.04)</f>
        <v>7773.4453680000015</v>
      </c>
      <c r="AD52" s="70">
        <f ca="1">(SUBSIDIO!$J$52*SUBSIDIO!$Y$52)*(0.02)/(1-0.02)</f>
        <v>1867.1244460070111</v>
      </c>
      <c r="AE52" s="70">
        <f ca="1">((SUBSIDIO!$L$52*SUBSIDIO!$Z$52)+(SUBSIDIO!$N$52*SUBSIDIO!$AA$52))*(0.02)/(1-0.02)</f>
        <v>4735.8112191818554</v>
      </c>
      <c r="AF52" s="3" t="s">
        <v>951</v>
      </c>
    </row>
    <row r="53" spans="1:32" ht="11.25" customHeight="1" x14ac:dyDescent="0.25">
      <c r="A53" s="3" t="s">
        <v>21</v>
      </c>
      <c r="B53" s="3" t="s">
        <v>41</v>
      </c>
      <c r="C53" s="3" t="s">
        <v>42</v>
      </c>
      <c r="D53" s="3" t="s">
        <v>45</v>
      </c>
      <c r="E53" s="3" t="s">
        <v>53</v>
      </c>
      <c r="F53" s="3" t="s">
        <v>25</v>
      </c>
      <c r="G53" s="3" t="s">
        <v>25</v>
      </c>
      <c r="H53" s="3" t="s">
        <v>36</v>
      </c>
      <c r="I53" s="6">
        <v>44378</v>
      </c>
      <c r="J53" s="4">
        <v>6117</v>
      </c>
      <c r="K53" s="70">
        <v>6117</v>
      </c>
      <c r="L53" s="4">
        <v>1326.828</v>
      </c>
      <c r="M53" s="70">
        <v>1326.828</v>
      </c>
      <c r="N53" s="4">
        <v>1326.828</v>
      </c>
      <c r="O53" s="70">
        <v>1326.828</v>
      </c>
      <c r="P53" s="4">
        <v>0</v>
      </c>
      <c r="Q53" s="3" t="s">
        <v>26</v>
      </c>
      <c r="R53" s="3">
        <v>0</v>
      </c>
      <c r="S53" s="3">
        <v>93</v>
      </c>
      <c r="T53" s="3">
        <v>94</v>
      </c>
      <c r="U53" s="3">
        <v>48</v>
      </c>
      <c r="V53" s="70">
        <f>IF(ISERROR(VLOOKUP($S$53,'TAR FIN'!$A$1:$O$99,15,0)),0,VLOOKUP($S$53,'TAR FIN'!$A$1:$O$99,15,0))*(1-0.04)</f>
        <v>14.620799999999999</v>
      </c>
      <c r="W53" s="70">
        <f>IF(ISERROR(VLOOKUP($T$53,'TAR FIN'!$A$1:$O$99,15,0)),0,VLOOKUP($T$53,'TAR FIN'!$A$1:$O$99,15,0))*(1-0.04)</f>
        <v>62.524799999999992</v>
      </c>
      <c r="X53" s="70">
        <f>IF(ISERROR(VLOOKUP($U$53,'TAR FIN'!$A$1:$O$99,15,0)),0,VLOOKUP($U$53,'TAR FIN'!$A$1:$O$99,15,0))*(1-0.04)</f>
        <v>211.1712</v>
      </c>
      <c r="Y53" s="70">
        <f ca="1">('TUSD BE'!$AM$6+'TUSD BF'!$AM$6+'TUSD CVA'!$AM$6)*1*(1-0.02)</f>
        <v>16.016998924079751</v>
      </c>
      <c r="Z53" s="70">
        <f ca="1">('TUSD BE'!$AM$7+'TUSD BF'!$AM$7+'TUSD CVA'!$AM$7)*1*(1-0.02)</f>
        <v>74.718606972898527</v>
      </c>
      <c r="AA53" s="70">
        <f>('TE BE'!$AA$6+'TE BF'!$AA$6+'TE CVA'!$AA$6)*1*(1-0.02)</f>
        <v>265.71632769942346</v>
      </c>
      <c r="AB53" s="70">
        <f>(SUBSIDIO!$J$53*SUBSIDIO!$V$53)*(0.04)/(1-0.04)</f>
        <v>3726.4763999999996</v>
      </c>
      <c r="AC53" s="70">
        <f>((SUBSIDIO!$L$53*SUBSIDIO!$W$53)+(SUBSIDIO!$N$53*SUBSIDIO!$X$53))*(0.04)/(1-0.04)</f>
        <v>15131.146511999999</v>
      </c>
      <c r="AD53" s="70">
        <f ca="1">(SUBSIDIO!$J$53*SUBSIDIO!$Y$53)*(0.02)/(1-0.02)</f>
        <v>1999.509845277466</v>
      </c>
      <c r="AE53" s="70">
        <f ca="1">((SUBSIDIO!$L$53*SUBSIDIO!$Z$53)+(SUBSIDIO!$N$53*SUBSIDIO!$AA$53))*(0.02)/(1-0.02)</f>
        <v>9218.3388469675028</v>
      </c>
      <c r="AF53" s="3" t="s">
        <v>951</v>
      </c>
    </row>
    <row r="54" spans="1:32" ht="11.25" customHeight="1" x14ac:dyDescent="0.25">
      <c r="A54" s="3" t="s">
        <v>21</v>
      </c>
      <c r="B54" s="3" t="s">
        <v>41</v>
      </c>
      <c r="C54" s="3" t="s">
        <v>42</v>
      </c>
      <c r="D54" s="3" t="s">
        <v>45</v>
      </c>
      <c r="E54" s="3" t="s">
        <v>53</v>
      </c>
      <c r="F54" s="3" t="s">
        <v>25</v>
      </c>
      <c r="G54" s="3" t="s">
        <v>25</v>
      </c>
      <c r="H54" s="3" t="s">
        <v>36</v>
      </c>
      <c r="I54" s="6">
        <v>44409</v>
      </c>
      <c r="J54" s="4">
        <v>5025</v>
      </c>
      <c r="K54" s="70">
        <v>5025</v>
      </c>
      <c r="L54" s="4">
        <v>345.79399999999998</v>
      </c>
      <c r="M54" s="70">
        <v>345.79399999999998</v>
      </c>
      <c r="N54" s="4">
        <v>345.79399999999998</v>
      </c>
      <c r="O54" s="70">
        <v>345.79399999999998</v>
      </c>
      <c r="P54" s="4">
        <v>0</v>
      </c>
      <c r="Q54" s="3" t="s">
        <v>26</v>
      </c>
      <c r="R54" s="3">
        <v>0</v>
      </c>
      <c r="S54" s="3">
        <v>93</v>
      </c>
      <c r="T54" s="3">
        <v>94</v>
      </c>
      <c r="U54" s="3">
        <v>48</v>
      </c>
      <c r="V54" s="70">
        <f>IF(ISERROR(VLOOKUP($S$54,'TAR FIN'!$A$1:$O$99,15,0)),0,VLOOKUP($S$54,'TAR FIN'!$A$1:$O$99,15,0))*(1-0.04)</f>
        <v>14.620799999999999</v>
      </c>
      <c r="W54" s="70">
        <f>IF(ISERROR(VLOOKUP($T$54,'TAR FIN'!$A$1:$O$99,15,0)),0,VLOOKUP($T$54,'TAR FIN'!$A$1:$O$99,15,0))*(1-0.04)</f>
        <v>62.524799999999992</v>
      </c>
      <c r="X54" s="70">
        <f>IF(ISERROR(VLOOKUP($U$54,'TAR FIN'!$A$1:$O$99,15,0)),0,VLOOKUP($U$54,'TAR FIN'!$A$1:$O$99,15,0))*(1-0.04)</f>
        <v>211.1712</v>
      </c>
      <c r="Y54" s="70">
        <f ca="1">('TUSD BE'!$AM$6+'TUSD BF'!$AM$6+'TUSD CVA'!$AM$6)*1*(1-0.02)</f>
        <v>16.016998924079751</v>
      </c>
      <c r="Z54" s="70">
        <f ca="1">('TUSD BE'!$AM$7+'TUSD BF'!$AM$7+'TUSD CVA'!$AM$7)*1*(1-0.02)</f>
        <v>74.718606972898527</v>
      </c>
      <c r="AA54" s="70">
        <f>('TE BE'!$AA$6+'TE BF'!$AA$6+'TE CVA'!$AA$6)*1*(1-0.02)</f>
        <v>265.71632769942346</v>
      </c>
      <c r="AB54" s="70">
        <f>(SUBSIDIO!$J$54*SUBSIDIO!$V$54)*(0.04)/(1-0.04)</f>
        <v>3061.2299999999996</v>
      </c>
      <c r="AC54" s="70">
        <f>((SUBSIDIO!$L$54*SUBSIDIO!$W$54)+(SUBSIDIO!$N$54*SUBSIDIO!$X$54))*(0.04)/(1-0.04)</f>
        <v>3943.4347759999996</v>
      </c>
      <c r="AD54" s="70">
        <f ca="1">(SUBSIDIO!$J$54*SUBSIDIO!$Y$54)*(0.02)/(1-0.02)</f>
        <v>1642.5595835408317</v>
      </c>
      <c r="AE54" s="70">
        <f ca="1">((SUBSIDIO!$L$54*SUBSIDIO!$Z$54)+(SUBSIDIO!$N$54*SUBSIDIO!$AA$54))*(0.02)/(1-0.02)</f>
        <v>2402.4562816343046</v>
      </c>
      <c r="AF54" s="3" t="s">
        <v>951</v>
      </c>
    </row>
    <row r="55" spans="1:32" ht="11.25" customHeight="1" x14ac:dyDescent="0.25">
      <c r="A55" s="3" t="s">
        <v>27</v>
      </c>
      <c r="B55" s="3" t="s">
        <v>41</v>
      </c>
      <c r="C55" s="3" t="s">
        <v>42</v>
      </c>
      <c r="D55" s="3" t="s">
        <v>45</v>
      </c>
      <c r="E55" s="3" t="s">
        <v>53</v>
      </c>
      <c r="F55" s="3" t="s">
        <v>25</v>
      </c>
      <c r="G55" s="3" t="s">
        <v>25</v>
      </c>
      <c r="H55" s="3" t="s">
        <v>36</v>
      </c>
      <c r="I55" s="6">
        <v>44409</v>
      </c>
      <c r="J55" s="4">
        <v>156</v>
      </c>
      <c r="K55" s="70">
        <v>156</v>
      </c>
      <c r="L55" s="4">
        <v>-585.06799999999998</v>
      </c>
      <c r="M55" s="70">
        <v>-585.06799999999998</v>
      </c>
      <c r="N55" s="4">
        <v>-585.06799999999998</v>
      </c>
      <c r="O55" s="70">
        <v>-585.06799999999998</v>
      </c>
      <c r="P55" s="4">
        <v>0</v>
      </c>
      <c r="Q55" s="3" t="s">
        <v>26</v>
      </c>
      <c r="R55" s="3">
        <v>0</v>
      </c>
      <c r="S55" s="3">
        <v>93</v>
      </c>
      <c r="T55" s="3">
        <v>94</v>
      </c>
      <c r="U55" s="3">
        <v>48</v>
      </c>
      <c r="V55" s="70">
        <f>IF(ISERROR(VLOOKUP($S$55,'TAR FIN'!$A$1:$O$99,15,0)),0,VLOOKUP($S$55,'TAR FIN'!$A$1:$O$99,15,0))*(1-0.04)</f>
        <v>14.620799999999999</v>
      </c>
      <c r="W55" s="70">
        <f>IF(ISERROR(VLOOKUP($T$55,'TAR FIN'!$A$1:$O$99,15,0)),0,VLOOKUP($T$55,'TAR FIN'!$A$1:$O$99,15,0))*(1-0.04)</f>
        <v>62.524799999999992</v>
      </c>
      <c r="X55" s="70">
        <f>IF(ISERROR(VLOOKUP($U$55,'TAR FIN'!$A$1:$O$99,15,0)),0,VLOOKUP($U$55,'TAR FIN'!$A$1:$O$99,15,0))*(1-0.04)</f>
        <v>211.1712</v>
      </c>
      <c r="Y55" s="70">
        <f ca="1">('TUSD BE'!$AM$6+'TUSD BF'!$AM$6+'TUSD CVA'!$AM$6)*1*(1-0.02)</f>
        <v>16.016998924079751</v>
      </c>
      <c r="Z55" s="70">
        <f ca="1">('TUSD BE'!$AM$7+'TUSD BF'!$AM$7+'TUSD CVA'!$AM$7)*1*(1-0.02)</f>
        <v>74.718606972898527</v>
      </c>
      <c r="AA55" s="70">
        <f>('TE BE'!$AA$6+'TE BF'!$AA$6+'TE CVA'!$AA$6)*1*(1-0.02)</f>
        <v>265.71632769942346</v>
      </c>
      <c r="AB55" s="70">
        <f>(SUBSIDIO!$J$55*SUBSIDIO!$V$55)*(0.04)/(1-0.04)</f>
        <v>95.035200000000003</v>
      </c>
      <c r="AC55" s="70">
        <f>((SUBSIDIO!$L$55*SUBSIDIO!$W$55)+(SUBSIDIO!$N$55*SUBSIDIO!$X$55))*(0.04)/(1-0.04)</f>
        <v>-6672.1154720000004</v>
      </c>
      <c r="AD55" s="70">
        <f ca="1">(SUBSIDIO!$J$55*SUBSIDIO!$Y$55)*(0.02)/(1-0.02)</f>
        <v>50.992894533804929</v>
      </c>
      <c r="AE55" s="70">
        <f ca="1">((SUBSIDIO!$L$55*SUBSIDIO!$Z$55)+(SUBSIDIO!$N$55*SUBSIDIO!$AA$55))*(0.02)/(1-0.02)</f>
        <v>-4064.8487012013484</v>
      </c>
      <c r="AF55" s="3" t="s">
        <v>951</v>
      </c>
    </row>
    <row r="56" spans="1:32" ht="11.25" customHeight="1" x14ac:dyDescent="0.25">
      <c r="A56" s="3" t="s">
        <v>21</v>
      </c>
      <c r="B56" s="3" t="s">
        <v>41</v>
      </c>
      <c r="C56" s="3" t="s">
        <v>42</v>
      </c>
      <c r="D56" s="3" t="s">
        <v>45</v>
      </c>
      <c r="E56" s="3" t="s">
        <v>53</v>
      </c>
      <c r="F56" s="3" t="s">
        <v>25</v>
      </c>
      <c r="G56" s="3" t="s">
        <v>25</v>
      </c>
      <c r="H56" s="3" t="s">
        <v>36</v>
      </c>
      <c r="I56" s="6">
        <v>44440</v>
      </c>
      <c r="J56" s="4">
        <v>27321</v>
      </c>
      <c r="K56" s="70">
        <v>27321</v>
      </c>
      <c r="L56" s="4">
        <v>3880.0590000000002</v>
      </c>
      <c r="M56" s="70">
        <v>3880.0590000000002</v>
      </c>
      <c r="N56" s="4">
        <v>3880.0590000000002</v>
      </c>
      <c r="O56" s="70">
        <v>3880.0590000000002</v>
      </c>
      <c r="P56" s="4">
        <v>0</v>
      </c>
      <c r="Q56" s="3" t="s">
        <v>26</v>
      </c>
      <c r="R56" s="3">
        <v>0</v>
      </c>
      <c r="S56" s="3">
        <v>93</v>
      </c>
      <c r="T56" s="3">
        <v>94</v>
      </c>
      <c r="U56" s="3">
        <v>48</v>
      </c>
      <c r="V56" s="70">
        <f>IF(ISERROR(VLOOKUP($S$56,'TAR FIN'!$A$1:$O$99,15,0)),0,VLOOKUP($S$56,'TAR FIN'!$A$1:$O$99,15,0))*(1-0.04)</f>
        <v>14.620799999999999</v>
      </c>
      <c r="W56" s="70">
        <f>IF(ISERROR(VLOOKUP($T$56,'TAR FIN'!$A$1:$O$99,15,0)),0,VLOOKUP($T$56,'TAR FIN'!$A$1:$O$99,15,0))*(1-0.04)</f>
        <v>62.524799999999992</v>
      </c>
      <c r="X56" s="70">
        <f>IF(ISERROR(VLOOKUP($U$56,'TAR FIN'!$A$1:$O$99,15,0)),0,VLOOKUP($U$56,'TAR FIN'!$A$1:$O$99,15,0))*(1-0.04)</f>
        <v>211.1712</v>
      </c>
      <c r="Y56" s="70">
        <f ca="1">('TUSD BE'!$AM$6+'TUSD BF'!$AM$6+'TUSD CVA'!$AM$6)*1*(1-0.02)</f>
        <v>16.016998924079751</v>
      </c>
      <c r="Z56" s="70">
        <f ca="1">('TUSD BE'!$AM$7+'TUSD BF'!$AM$7+'TUSD CVA'!$AM$7)*1*(1-0.02)</f>
        <v>74.718606972898527</v>
      </c>
      <c r="AA56" s="70">
        <f>('TE BE'!$AA$6+'TE BF'!$AA$6+'TE CVA'!$AA$6)*1*(1-0.02)</f>
        <v>265.71632769942346</v>
      </c>
      <c r="AB56" s="70">
        <f>(SUBSIDIO!$J$56*SUBSIDIO!$V$56)*(0.04)/(1-0.04)</f>
        <v>16643.9532</v>
      </c>
      <c r="AC56" s="70">
        <f>((SUBSIDIO!$L$56*SUBSIDIO!$W$56)+(SUBSIDIO!$N$56*SUBSIDIO!$X$56))*(0.04)/(1-0.04)</f>
        <v>44248.192836000009</v>
      </c>
      <c r="AD56" s="70">
        <f ca="1">(SUBSIDIO!$J$56*SUBSIDIO!$Y$56)*(0.02)/(1-0.02)</f>
        <v>8930.6209715261812</v>
      </c>
      <c r="AE56" s="70">
        <f ca="1">((SUBSIDIO!$L$56*SUBSIDIO!$Z$56)+(SUBSIDIO!$N$56*SUBSIDIO!$AA$56))*(0.02)/(1-0.02)</f>
        <v>26957.298616117452</v>
      </c>
      <c r="AF56" s="3" t="s">
        <v>951</v>
      </c>
    </row>
    <row r="57" spans="1:32" ht="11.25" customHeight="1" x14ac:dyDescent="0.25">
      <c r="A57" s="3" t="s">
        <v>21</v>
      </c>
      <c r="B57" s="3" t="s">
        <v>41</v>
      </c>
      <c r="C57" s="3" t="s">
        <v>42</v>
      </c>
      <c r="D57" s="3" t="s">
        <v>45</v>
      </c>
      <c r="E57" s="3" t="s">
        <v>53</v>
      </c>
      <c r="F57" s="3" t="s">
        <v>25</v>
      </c>
      <c r="G57" s="3" t="s">
        <v>25</v>
      </c>
      <c r="H57" s="3" t="s">
        <v>36</v>
      </c>
      <c r="I57" s="6">
        <v>44470</v>
      </c>
      <c r="J57" s="4">
        <v>39858</v>
      </c>
      <c r="K57" s="70">
        <v>39858</v>
      </c>
      <c r="L57" s="4">
        <v>9502.1970000000001</v>
      </c>
      <c r="M57" s="70">
        <v>9502.1970000000001</v>
      </c>
      <c r="N57" s="4">
        <v>9502.1970000000001</v>
      </c>
      <c r="O57" s="70">
        <v>9502.1970000000001</v>
      </c>
      <c r="P57" s="4">
        <v>0</v>
      </c>
      <c r="Q57" s="3" t="s">
        <v>26</v>
      </c>
      <c r="R57" s="3">
        <v>0</v>
      </c>
      <c r="S57" s="3">
        <v>93</v>
      </c>
      <c r="T57" s="3">
        <v>94</v>
      </c>
      <c r="U57" s="3">
        <v>48</v>
      </c>
      <c r="V57" s="70">
        <f>IF(ISERROR(VLOOKUP($S$57,'TAR FIN'!$A$1:$O$99,15,0)),0,VLOOKUP($S$57,'TAR FIN'!$A$1:$O$99,15,0))*(1-0.04)</f>
        <v>14.620799999999999</v>
      </c>
      <c r="W57" s="70">
        <f>IF(ISERROR(VLOOKUP($T$57,'TAR FIN'!$A$1:$O$99,15,0)),0,VLOOKUP($T$57,'TAR FIN'!$A$1:$O$99,15,0))*(1-0.04)</f>
        <v>62.524799999999992</v>
      </c>
      <c r="X57" s="70">
        <f>IF(ISERROR(VLOOKUP($U$57,'TAR FIN'!$A$1:$O$99,15,0)),0,VLOOKUP($U$57,'TAR FIN'!$A$1:$O$99,15,0))*(1-0.04)</f>
        <v>211.1712</v>
      </c>
      <c r="Y57" s="70">
        <f ca="1">('TUSD BE'!$AM$6+'TUSD BF'!$AM$6+'TUSD CVA'!$AM$6)*1*(1-0.02)</f>
        <v>16.016998924079751</v>
      </c>
      <c r="Z57" s="70">
        <f ca="1">('TUSD BE'!$AM$7+'TUSD BF'!$AM$7+'TUSD CVA'!$AM$7)*1*(1-0.02)</f>
        <v>74.718606972898527</v>
      </c>
      <c r="AA57" s="70">
        <f>('TE BE'!$AA$6+'TE BF'!$AA$6+'TE CVA'!$AA$6)*1*(1-0.02)</f>
        <v>265.71632769942346</v>
      </c>
      <c r="AB57" s="70">
        <f>(SUBSIDIO!$J$57*SUBSIDIO!$V$57)*(0.04)/(1-0.04)</f>
        <v>24281.493599999998</v>
      </c>
      <c r="AC57" s="70">
        <f>((SUBSIDIO!$L$57*SUBSIDIO!$W$57)+(SUBSIDIO!$N$57*SUBSIDIO!$X$57))*(0.04)/(1-0.04)</f>
        <v>108363.05458800001</v>
      </c>
      <c r="AD57" s="70">
        <f ca="1">(SUBSIDIO!$J$57*SUBSIDIO!$Y$57)*(0.02)/(1-0.02)</f>
        <v>13028.684553387158</v>
      </c>
      <c r="AE57" s="70">
        <f ca="1">((SUBSIDIO!$L$57*SUBSIDIO!$Z$57)+(SUBSIDIO!$N$57*SUBSIDIO!$AA$57))*(0.02)/(1-0.02)</f>
        <v>66017.955406908863</v>
      </c>
      <c r="AF57" s="3" t="s">
        <v>951</v>
      </c>
    </row>
    <row r="58" spans="1:32" ht="11.25" customHeight="1" x14ac:dyDescent="0.25">
      <c r="A58" s="3" t="s">
        <v>21</v>
      </c>
      <c r="B58" s="3" t="s">
        <v>41</v>
      </c>
      <c r="C58" s="3" t="s">
        <v>42</v>
      </c>
      <c r="D58" s="3" t="s">
        <v>45</v>
      </c>
      <c r="E58" s="3" t="s">
        <v>53</v>
      </c>
      <c r="F58" s="3" t="s">
        <v>25</v>
      </c>
      <c r="G58" s="3" t="s">
        <v>25</v>
      </c>
      <c r="H58" s="3" t="s">
        <v>36</v>
      </c>
      <c r="I58" s="6">
        <v>44501</v>
      </c>
      <c r="J58" s="4">
        <v>40223</v>
      </c>
      <c r="K58" s="70">
        <v>40223</v>
      </c>
      <c r="L58" s="4">
        <v>9331.5110000000004</v>
      </c>
      <c r="M58" s="70">
        <v>9331.5110000000004</v>
      </c>
      <c r="N58" s="4">
        <v>9331.5110000000004</v>
      </c>
      <c r="O58" s="70">
        <v>9331.5110000000004</v>
      </c>
      <c r="P58" s="4">
        <v>0</v>
      </c>
      <c r="Q58" s="3" t="s">
        <v>26</v>
      </c>
      <c r="R58" s="3">
        <v>0</v>
      </c>
      <c r="S58" s="3">
        <v>93</v>
      </c>
      <c r="T58" s="3">
        <v>94</v>
      </c>
      <c r="U58" s="3">
        <v>48</v>
      </c>
      <c r="V58" s="70">
        <f>IF(ISERROR(VLOOKUP($S$58,'TAR FIN'!$A$1:$O$99,15,0)),0,VLOOKUP($S$58,'TAR FIN'!$A$1:$O$99,15,0))*(1-0.04)</f>
        <v>14.620799999999999</v>
      </c>
      <c r="W58" s="70">
        <f>IF(ISERROR(VLOOKUP($T$58,'TAR FIN'!$A$1:$O$99,15,0)),0,VLOOKUP($T$58,'TAR FIN'!$A$1:$O$99,15,0))*(1-0.04)</f>
        <v>62.524799999999992</v>
      </c>
      <c r="X58" s="70">
        <f>IF(ISERROR(VLOOKUP($U$58,'TAR FIN'!$A$1:$O$99,15,0)),0,VLOOKUP($U$58,'TAR FIN'!$A$1:$O$99,15,0))*(1-0.04)</f>
        <v>211.1712</v>
      </c>
      <c r="Y58" s="70">
        <f ca="1">('TUSD BE'!$AM$6+'TUSD BF'!$AM$6+'TUSD CVA'!$AM$6)*1*(1-0.02)</f>
        <v>16.016998924079751</v>
      </c>
      <c r="Z58" s="70">
        <f ca="1">('TUSD BE'!$AM$7+'TUSD BF'!$AM$7+'TUSD CVA'!$AM$7)*1*(1-0.02)</f>
        <v>74.718606972898527</v>
      </c>
      <c r="AA58" s="70">
        <f>('TE BE'!$AA$6+'TE BF'!$AA$6+'TE CVA'!$AA$6)*1*(1-0.02)</f>
        <v>265.71632769942346</v>
      </c>
      <c r="AB58" s="70">
        <f>(SUBSIDIO!$J$58*SUBSIDIO!$V$58)*(0.04)/(1-0.04)</f>
        <v>24503.851600000002</v>
      </c>
      <c r="AC58" s="70">
        <f>((SUBSIDIO!$L$58*SUBSIDIO!$W$58)+(SUBSIDIO!$N$58*SUBSIDIO!$X$58))*(0.04)/(1-0.04)</f>
        <v>106416.551444</v>
      </c>
      <c r="AD58" s="70">
        <f ca="1">(SUBSIDIO!$J$58*SUBSIDIO!$Y$58)*(0.02)/(1-0.02)</f>
        <v>13147.994851495101</v>
      </c>
      <c r="AE58" s="70">
        <f ca="1">((SUBSIDIO!$L$58*SUBSIDIO!$Z$58)+(SUBSIDIO!$N$58*SUBSIDIO!$AA$58))*(0.02)/(1-0.02)</f>
        <v>64832.088524062332</v>
      </c>
      <c r="AF58" s="3" t="s">
        <v>951</v>
      </c>
    </row>
    <row r="59" spans="1:32" ht="11.25" customHeight="1" x14ac:dyDescent="0.25">
      <c r="A59" s="3" t="s">
        <v>21</v>
      </c>
      <c r="B59" s="3" t="s">
        <v>41</v>
      </c>
      <c r="C59" s="3" t="s">
        <v>42</v>
      </c>
      <c r="D59" s="3" t="s">
        <v>45</v>
      </c>
      <c r="E59" s="3" t="s">
        <v>53</v>
      </c>
      <c r="F59" s="3" t="s">
        <v>25</v>
      </c>
      <c r="G59" s="3" t="s">
        <v>25</v>
      </c>
      <c r="H59" s="3" t="s">
        <v>36</v>
      </c>
      <c r="I59" s="6">
        <v>44531</v>
      </c>
      <c r="J59" s="4">
        <v>40310</v>
      </c>
      <c r="K59" s="70">
        <v>40310</v>
      </c>
      <c r="L59" s="4">
        <v>9253.44</v>
      </c>
      <c r="M59" s="70">
        <v>9253.44</v>
      </c>
      <c r="N59" s="4">
        <v>9253.44</v>
      </c>
      <c r="O59" s="70">
        <v>9253.44</v>
      </c>
      <c r="P59" s="4">
        <v>0</v>
      </c>
      <c r="Q59" s="3" t="s">
        <v>26</v>
      </c>
      <c r="R59" s="3">
        <v>0</v>
      </c>
      <c r="S59" s="3">
        <v>93</v>
      </c>
      <c r="T59" s="3">
        <v>94</v>
      </c>
      <c r="U59" s="3">
        <v>48</v>
      </c>
      <c r="V59" s="70">
        <f>IF(ISERROR(VLOOKUP($S$59,'TAR FIN'!$A$1:$O$99,15,0)),0,VLOOKUP($S$59,'TAR FIN'!$A$1:$O$99,15,0))*(1-0.04)</f>
        <v>14.620799999999999</v>
      </c>
      <c r="W59" s="70">
        <f>IF(ISERROR(VLOOKUP($T$59,'TAR FIN'!$A$1:$O$99,15,0)),0,VLOOKUP($T$59,'TAR FIN'!$A$1:$O$99,15,0))*(1-0.04)</f>
        <v>62.524799999999992</v>
      </c>
      <c r="X59" s="70">
        <f>IF(ISERROR(VLOOKUP($U$59,'TAR FIN'!$A$1:$O$99,15,0)),0,VLOOKUP($U$59,'TAR FIN'!$A$1:$O$99,15,0))*(1-0.04)</f>
        <v>211.1712</v>
      </c>
      <c r="Y59" s="70">
        <f ca="1">('TUSD BE'!$AM$6+'TUSD BF'!$AM$6+'TUSD CVA'!$AM$6)*1*(1-0.02)</f>
        <v>16.016998924079751</v>
      </c>
      <c r="Z59" s="70">
        <f ca="1">('TUSD BE'!$AM$7+'TUSD BF'!$AM$7+'TUSD CVA'!$AM$7)*1*(1-0.02)</f>
        <v>74.718606972898527</v>
      </c>
      <c r="AA59" s="70">
        <f>('TE BE'!$AA$6+'TE BF'!$AA$6+'TE CVA'!$AA$6)*1*(1-0.02)</f>
        <v>265.71632769942346</v>
      </c>
      <c r="AB59" s="70">
        <f>(SUBSIDIO!$J$59*SUBSIDIO!$V$59)*(0.04)/(1-0.04)</f>
        <v>24556.851999999999</v>
      </c>
      <c r="AC59" s="70">
        <f>((SUBSIDIO!$L$59*SUBSIDIO!$W$59)+(SUBSIDIO!$N$59*SUBSIDIO!$X$59))*(0.04)/(1-0.04)</f>
        <v>105526.22976</v>
      </c>
      <c r="AD59" s="70">
        <f ca="1">(SUBSIDIO!$J$59*SUBSIDIO!$Y$59)*(0.02)/(1-0.02)</f>
        <v>13176.433196523567</v>
      </c>
      <c r="AE59" s="70">
        <f ca="1">((SUBSIDIO!$L$59*SUBSIDIO!$Z$59)+(SUBSIDIO!$N$59*SUBSIDIO!$AA$59))*(0.02)/(1-0.02)</f>
        <v>64289.678406005129</v>
      </c>
      <c r="AF59" s="3" t="s">
        <v>951</v>
      </c>
    </row>
    <row r="60" spans="1:32" ht="11.25" customHeight="1" x14ac:dyDescent="0.25">
      <c r="A60" s="3" t="s">
        <v>21</v>
      </c>
      <c r="B60" s="3" t="s">
        <v>41</v>
      </c>
      <c r="C60" s="3" t="s">
        <v>42</v>
      </c>
      <c r="D60" s="3" t="s">
        <v>45</v>
      </c>
      <c r="E60" s="3" t="s">
        <v>53</v>
      </c>
      <c r="F60" s="3" t="s">
        <v>25</v>
      </c>
      <c r="G60" s="3" t="s">
        <v>25</v>
      </c>
      <c r="H60" s="3" t="s">
        <v>36</v>
      </c>
      <c r="I60" s="6">
        <v>44562</v>
      </c>
      <c r="J60" s="4">
        <v>34788</v>
      </c>
      <c r="K60" s="70">
        <v>34788</v>
      </c>
      <c r="L60" s="4">
        <v>7363.6859999999997</v>
      </c>
      <c r="M60" s="70">
        <v>7363.6859999999997</v>
      </c>
      <c r="N60" s="4">
        <v>7363.6859999999997</v>
      </c>
      <c r="O60" s="70">
        <v>7363.6859999999997</v>
      </c>
      <c r="P60" s="4">
        <v>0</v>
      </c>
      <c r="Q60" s="3" t="s">
        <v>26</v>
      </c>
      <c r="R60" s="3">
        <v>0</v>
      </c>
      <c r="S60" s="3">
        <v>93</v>
      </c>
      <c r="T60" s="3">
        <v>94</v>
      </c>
      <c r="U60" s="3">
        <v>48</v>
      </c>
      <c r="V60" s="70">
        <f>IF(ISERROR(VLOOKUP($S$60,'TAR FIN'!$A$1:$O$99,15,0)),0,VLOOKUP($S$60,'TAR FIN'!$A$1:$O$99,15,0))*(1-0.04)</f>
        <v>14.620799999999999</v>
      </c>
      <c r="W60" s="70">
        <f>IF(ISERROR(VLOOKUP($T$60,'TAR FIN'!$A$1:$O$99,15,0)),0,VLOOKUP($T$60,'TAR FIN'!$A$1:$O$99,15,0))*(1-0.04)</f>
        <v>62.524799999999992</v>
      </c>
      <c r="X60" s="70">
        <f>IF(ISERROR(VLOOKUP($U$60,'TAR FIN'!$A$1:$O$99,15,0)),0,VLOOKUP($U$60,'TAR FIN'!$A$1:$O$99,15,0))*(1-0.04)</f>
        <v>211.1712</v>
      </c>
      <c r="Y60" s="70">
        <f ca="1">('TUSD BE'!$AM$6+'TUSD BF'!$AM$6+'TUSD CVA'!$AM$6)*1*(1-0.02)</f>
        <v>16.016998924079751</v>
      </c>
      <c r="Z60" s="70">
        <f ca="1">('TUSD BE'!$AM$7+'TUSD BF'!$AM$7+'TUSD CVA'!$AM$7)*1*(1-0.02)</f>
        <v>74.718606972898527</v>
      </c>
      <c r="AA60" s="70">
        <f>('TE BE'!$AA$6+'TE BF'!$AA$6+'TE CVA'!$AA$6)*1*(1-0.02)</f>
        <v>265.71632769942346</v>
      </c>
      <c r="AB60" s="70">
        <f>(SUBSIDIO!$J$60*SUBSIDIO!$V$60)*(0.04)/(1-0.04)</f>
        <v>21192.849600000001</v>
      </c>
      <c r="AC60" s="70">
        <f>((SUBSIDIO!$L$60*SUBSIDIO!$W$60)+(SUBSIDIO!$N$60*SUBSIDIO!$X$60))*(0.04)/(1-0.04)</f>
        <v>83975.475143999982</v>
      </c>
      <c r="AD60" s="70">
        <f ca="1">(SUBSIDIO!$J$60*SUBSIDIO!$Y$60)*(0.02)/(1-0.02)</f>
        <v>11371.415481038497</v>
      </c>
      <c r="AE60" s="70">
        <f ca="1">((SUBSIDIO!$L$60*SUBSIDIO!$Z$60)+(SUBSIDIO!$N$60*SUBSIDIO!$AA$60))*(0.02)/(1-0.02)</f>
        <v>51160.325762397792</v>
      </c>
      <c r="AF60" s="3" t="s">
        <v>951</v>
      </c>
    </row>
    <row r="61" spans="1:32" ht="11.25" customHeight="1" x14ac:dyDescent="0.25">
      <c r="A61" s="3" t="s">
        <v>21</v>
      </c>
      <c r="B61" s="3" t="s">
        <v>41</v>
      </c>
      <c r="C61" s="3" t="s">
        <v>42</v>
      </c>
      <c r="D61" s="3" t="s">
        <v>45</v>
      </c>
      <c r="E61" s="3" t="s">
        <v>53</v>
      </c>
      <c r="F61" s="3" t="s">
        <v>25</v>
      </c>
      <c r="G61" s="3" t="s">
        <v>25</v>
      </c>
      <c r="H61" s="3" t="s">
        <v>36</v>
      </c>
      <c r="I61" s="6">
        <v>44593</v>
      </c>
      <c r="J61" s="4">
        <v>36266</v>
      </c>
      <c r="K61" s="70">
        <v>36266</v>
      </c>
      <c r="L61" s="4">
        <v>6688.0519999999997</v>
      </c>
      <c r="M61" s="70">
        <v>6688.0519999999997</v>
      </c>
      <c r="N61" s="4">
        <v>6688.0519999999997</v>
      </c>
      <c r="O61" s="70">
        <v>6688.0519999999997</v>
      </c>
      <c r="P61" s="4">
        <v>0</v>
      </c>
      <c r="Q61" s="3" t="s">
        <v>26</v>
      </c>
      <c r="R61" s="3">
        <v>0</v>
      </c>
      <c r="S61" s="3">
        <v>93</v>
      </c>
      <c r="T61" s="3">
        <v>94</v>
      </c>
      <c r="U61" s="3">
        <v>48</v>
      </c>
      <c r="V61" s="70">
        <f>IF(ISERROR(VLOOKUP($S$61,'TAR FIN'!$A$1:$O$99,15,0)),0,VLOOKUP($S$61,'TAR FIN'!$A$1:$O$99,15,0))*(1-0.04)</f>
        <v>14.620799999999999</v>
      </c>
      <c r="W61" s="70">
        <f>IF(ISERROR(VLOOKUP($T$61,'TAR FIN'!$A$1:$O$99,15,0)),0,VLOOKUP($T$61,'TAR FIN'!$A$1:$O$99,15,0))*(1-0.04)</f>
        <v>62.524799999999992</v>
      </c>
      <c r="X61" s="70">
        <f>IF(ISERROR(VLOOKUP($U$61,'TAR FIN'!$A$1:$O$99,15,0)),0,VLOOKUP($U$61,'TAR FIN'!$A$1:$O$99,15,0))*(1-0.04)</f>
        <v>211.1712</v>
      </c>
      <c r="Y61" s="70">
        <f ca="1">('TUSD BE'!$AM$6+'TUSD BF'!$AM$6+'TUSD CVA'!$AM$6)*1*(1-0.02)</f>
        <v>16.016998924079751</v>
      </c>
      <c r="Z61" s="70">
        <f ca="1">('TUSD BE'!$AM$7+'TUSD BF'!$AM$7+'TUSD CVA'!$AM$7)*1*(1-0.02)</f>
        <v>74.718606972898527</v>
      </c>
      <c r="AA61" s="70">
        <f>('TE BE'!$AA$6+'TE BF'!$AA$6+'TE CVA'!$AA$6)*1*(1-0.02)</f>
        <v>265.71632769942346</v>
      </c>
      <c r="AB61" s="70">
        <f>(SUBSIDIO!$J$61*SUBSIDIO!$V$61)*(0.04)/(1-0.04)</f>
        <v>22093.247200000002</v>
      </c>
      <c r="AC61" s="70">
        <f>((SUBSIDIO!$L$61*SUBSIDIO!$W$61)+(SUBSIDIO!$N$61*SUBSIDIO!$X$61))*(0.04)/(1-0.04)</f>
        <v>76270.545007999986</v>
      </c>
      <c r="AD61" s="70">
        <f ca="1">(SUBSIDIO!$J$61*SUBSIDIO!$Y$61)*(0.02)/(1-0.02)</f>
        <v>11854.540468993393</v>
      </c>
      <c r="AE61" s="70">
        <f ca="1">((SUBSIDIO!$L$61*SUBSIDIO!$Z$61)+(SUBSIDIO!$N$61*SUBSIDIO!$AA$61))*(0.02)/(1-0.02)</f>
        <v>46466.2560347978</v>
      </c>
      <c r="AF61" s="3" t="s">
        <v>951</v>
      </c>
    </row>
    <row r="62" spans="1:32" ht="11.25" customHeight="1" x14ac:dyDescent="0.25">
      <c r="A62" s="3" t="s">
        <v>21</v>
      </c>
      <c r="B62" s="3" t="s">
        <v>41</v>
      </c>
      <c r="C62" s="3" t="s">
        <v>42</v>
      </c>
      <c r="D62" s="3" t="s">
        <v>45</v>
      </c>
      <c r="E62" s="3" t="s">
        <v>53</v>
      </c>
      <c r="F62" s="3" t="s">
        <v>25</v>
      </c>
      <c r="G62" s="3" t="s">
        <v>25</v>
      </c>
      <c r="H62" s="3" t="s">
        <v>36</v>
      </c>
      <c r="I62" s="6">
        <v>44621</v>
      </c>
      <c r="J62" s="4">
        <v>29099</v>
      </c>
      <c r="K62" s="70">
        <v>29099</v>
      </c>
      <c r="L62" s="4">
        <v>4225.5450000000001</v>
      </c>
      <c r="M62" s="70">
        <v>4225.5450000000001</v>
      </c>
      <c r="N62" s="4">
        <v>4225.5450000000001</v>
      </c>
      <c r="O62" s="70">
        <v>4225.5450000000001</v>
      </c>
      <c r="P62" s="4">
        <v>0</v>
      </c>
      <c r="Q62" s="3" t="s">
        <v>26</v>
      </c>
      <c r="R62" s="3">
        <v>0</v>
      </c>
      <c r="S62" s="3">
        <v>93</v>
      </c>
      <c r="T62" s="3">
        <v>94</v>
      </c>
      <c r="U62" s="3">
        <v>48</v>
      </c>
      <c r="V62" s="70">
        <f>IF(ISERROR(VLOOKUP($S$62,'TAR FIN'!$A$1:$O$99,15,0)),0,VLOOKUP($S$62,'TAR FIN'!$A$1:$O$99,15,0))*(1-0.04)</f>
        <v>14.620799999999999</v>
      </c>
      <c r="W62" s="70">
        <f>IF(ISERROR(VLOOKUP($T$62,'TAR FIN'!$A$1:$O$99,15,0)),0,VLOOKUP($T$62,'TAR FIN'!$A$1:$O$99,15,0))*(1-0.04)</f>
        <v>62.524799999999992</v>
      </c>
      <c r="X62" s="70">
        <f>IF(ISERROR(VLOOKUP($U$62,'TAR FIN'!$A$1:$O$99,15,0)),0,VLOOKUP($U$62,'TAR FIN'!$A$1:$O$99,15,0))*(1-0.04)</f>
        <v>211.1712</v>
      </c>
      <c r="Y62" s="70">
        <f ca="1">('TUSD BE'!$AM$6+'TUSD BF'!$AM$6+'TUSD CVA'!$AM$6)*1*(1-0.02)</f>
        <v>16.016998924079751</v>
      </c>
      <c r="Z62" s="70">
        <f ca="1">('TUSD BE'!$AM$7+'TUSD BF'!$AM$7+'TUSD CVA'!$AM$7)*1*(1-0.02)</f>
        <v>74.718606972898527</v>
      </c>
      <c r="AA62" s="70">
        <f>('TE BE'!$AA$6+'TE BF'!$AA$6+'TE CVA'!$AA$6)*1*(1-0.02)</f>
        <v>265.71632769942346</v>
      </c>
      <c r="AB62" s="70">
        <f>(SUBSIDIO!$J$62*SUBSIDIO!$V$62)*(0.04)/(1-0.04)</f>
        <v>17727.110799999999</v>
      </c>
      <c r="AC62" s="70">
        <f>((SUBSIDIO!$L$62*SUBSIDIO!$W$62)+(SUBSIDIO!$N$62*SUBSIDIO!$X$62))*(0.04)/(1-0.04)</f>
        <v>48188.115180000008</v>
      </c>
      <c r="AD62" s="70">
        <f ca="1">(SUBSIDIO!$J$62*SUBSIDIO!$Y$62)*(0.02)/(1-0.02)</f>
        <v>9511.8092181999327</v>
      </c>
      <c r="AE62" s="70">
        <f ca="1">((SUBSIDIO!$L$62*SUBSIDIO!$Z$62)+(SUBSIDIO!$N$62*SUBSIDIO!$AA$62))*(0.02)/(1-0.02)</f>
        <v>29357.61502101953</v>
      </c>
      <c r="AF62" s="3" t="s">
        <v>951</v>
      </c>
    </row>
    <row r="63" spans="1:32" ht="11.25" customHeight="1" x14ac:dyDescent="0.25">
      <c r="A63" s="3" t="s">
        <v>56</v>
      </c>
      <c r="B63" s="3" t="s">
        <v>41</v>
      </c>
      <c r="C63" s="3" t="s">
        <v>42</v>
      </c>
      <c r="D63" s="3" t="s">
        <v>45</v>
      </c>
      <c r="E63" s="3" t="s">
        <v>53</v>
      </c>
      <c r="F63" s="3" t="s">
        <v>25</v>
      </c>
      <c r="G63" s="3" t="s">
        <v>25</v>
      </c>
      <c r="H63" s="3" t="s">
        <v>36</v>
      </c>
      <c r="I63" s="6">
        <v>44652</v>
      </c>
      <c r="J63" s="4">
        <v>29099</v>
      </c>
      <c r="K63" s="70">
        <v>29099</v>
      </c>
      <c r="L63" s="4">
        <v>4225.5450000000001</v>
      </c>
      <c r="M63" s="70">
        <v>4225.5450000000001</v>
      </c>
      <c r="N63" s="4">
        <v>4225.5450000000001</v>
      </c>
      <c r="O63" s="70">
        <v>4225.5450000000001</v>
      </c>
      <c r="P63" s="4">
        <v>0</v>
      </c>
      <c r="Q63" s="3" t="s">
        <v>26</v>
      </c>
      <c r="R63" s="3">
        <v>0</v>
      </c>
      <c r="S63" s="3">
        <v>93</v>
      </c>
      <c r="T63" s="3">
        <v>94</v>
      </c>
      <c r="U63" s="3">
        <v>48</v>
      </c>
      <c r="V63" s="70">
        <f>IF(ISERROR(VLOOKUP($S$63,'TAR FIN'!$A$1:$O$99,15,0)),0,VLOOKUP($S$63,'TAR FIN'!$A$1:$O$99,15,0))*(1-0.04)</f>
        <v>14.620799999999999</v>
      </c>
      <c r="W63" s="70">
        <f>IF(ISERROR(VLOOKUP($T$63,'TAR FIN'!$A$1:$O$99,15,0)),0,VLOOKUP($T$63,'TAR FIN'!$A$1:$O$99,15,0))*(1-0.04)</f>
        <v>62.524799999999992</v>
      </c>
      <c r="X63" s="70">
        <f>IF(ISERROR(VLOOKUP($U$63,'TAR FIN'!$A$1:$O$99,15,0)),0,VLOOKUP($U$63,'TAR FIN'!$A$1:$O$99,15,0))*(1-0.04)</f>
        <v>211.1712</v>
      </c>
      <c r="Y63" s="70">
        <f ca="1">('TUSD BE'!$AM$6+'TUSD BF'!$AM$6+'TUSD CVA'!$AM$6)*1*(1-0.02)</f>
        <v>16.016998924079751</v>
      </c>
      <c r="Z63" s="70">
        <f ca="1">('TUSD BE'!$AM$7+'TUSD BF'!$AM$7+'TUSD CVA'!$AM$7)*1*(1-0.02)</f>
        <v>74.718606972898527</v>
      </c>
      <c r="AA63" s="70">
        <f>('TE BE'!$AA$6+'TE BF'!$AA$6+'TE CVA'!$AA$6)*1*(1-0.02)</f>
        <v>265.71632769942346</v>
      </c>
      <c r="AB63" s="70">
        <f>(SUBSIDIO!$J$63*SUBSIDIO!$V$63)*(0.04)/(1-0.04)</f>
        <v>17727.110799999999</v>
      </c>
      <c r="AC63" s="70">
        <f>((SUBSIDIO!$L$63*SUBSIDIO!$W$63)+(SUBSIDIO!$N$63*SUBSIDIO!$X$63))*(0.04)/(1-0.04)</f>
        <v>48188.115180000008</v>
      </c>
      <c r="AD63" s="70">
        <f ca="1">(SUBSIDIO!$J$63*SUBSIDIO!$Y$63)*(0.02)/(1-0.02)</f>
        <v>9511.8092181999327</v>
      </c>
      <c r="AE63" s="70">
        <f ca="1">((SUBSIDIO!$L$63*SUBSIDIO!$Z$63)+(SUBSIDIO!$N$63*SUBSIDIO!$AA$63))*(0.02)/(1-0.02)</f>
        <v>29357.61502101953</v>
      </c>
      <c r="AF63" s="3" t="s">
        <v>951</v>
      </c>
    </row>
    <row r="64" spans="1:32" ht="11.25" customHeight="1" x14ac:dyDescent="0.25">
      <c r="A64" s="3" t="s">
        <v>21</v>
      </c>
      <c r="B64" s="3" t="s">
        <v>41</v>
      </c>
      <c r="C64" s="3" t="s">
        <v>42</v>
      </c>
      <c r="D64" s="3" t="s">
        <v>45</v>
      </c>
      <c r="E64" s="3" t="s">
        <v>53</v>
      </c>
      <c r="F64" s="3" t="s">
        <v>25</v>
      </c>
      <c r="G64" s="3" t="s">
        <v>25</v>
      </c>
      <c r="H64" s="3" t="s">
        <v>35</v>
      </c>
      <c r="I64" s="6">
        <v>44317</v>
      </c>
      <c r="J64" s="4">
        <v>2656</v>
      </c>
      <c r="K64" s="70">
        <v>2656</v>
      </c>
      <c r="L64" s="4">
        <v>57.115000000000002</v>
      </c>
      <c r="M64" s="70">
        <v>57.115000000000002</v>
      </c>
      <c r="N64" s="4">
        <v>57.115000000000002</v>
      </c>
      <c r="O64" s="70">
        <v>57.115000000000002</v>
      </c>
      <c r="P64" s="4">
        <v>0</v>
      </c>
      <c r="Q64" s="3" t="s">
        <v>26</v>
      </c>
      <c r="R64" s="3">
        <v>0</v>
      </c>
      <c r="S64" s="3">
        <v>92</v>
      </c>
      <c r="T64" s="3">
        <v>94</v>
      </c>
      <c r="U64" s="3">
        <v>47</v>
      </c>
      <c r="V64" s="70">
        <f>IF(ISERROR(VLOOKUP($S$64,'TAR FIN'!$A$1:$O$99,15,0)),0,VLOOKUP($S$64,'TAR FIN'!$A$1:$O$99,15,0))*(1-0.04)</f>
        <v>25.401599999999998</v>
      </c>
      <c r="W64" s="70">
        <f>IF(ISERROR(VLOOKUP($T$64,'TAR FIN'!$A$1:$O$99,15,0)),0,VLOOKUP($T$64,'TAR FIN'!$A$1:$O$99,15,0))*(1-0.04)</f>
        <v>62.524799999999992</v>
      </c>
      <c r="X64" s="70">
        <f>IF(ISERROR(VLOOKUP($U$64,'TAR FIN'!$A$1:$O$99,15,0)),0,VLOOKUP($U$64,'TAR FIN'!$A$1:$O$99,15,0))*(1-0.04)</f>
        <v>332.74560000000002</v>
      </c>
      <c r="Y64" s="70">
        <f ca="1">('TUSD BE'!$AM$5+'TUSD BF'!$AM$5+'TUSD CVA'!$AM$5)*1*(1-0.02)</f>
        <v>29.730549555259678</v>
      </c>
      <c r="Z64" s="70">
        <f ca="1">('TUSD BE'!$AM$7+'TUSD BF'!$AM$7+'TUSD CVA'!$AM$7)*1*(1-0.02)</f>
        <v>74.718606972898527</v>
      </c>
      <c r="AA64" s="70">
        <f>('TE BE'!$AA$5+'TE BF'!$AA$5+'TE CVA'!$AA$5)*1*(1-0.02)</f>
        <v>415.4185945530557</v>
      </c>
      <c r="AB64" s="70">
        <f>(SUBSIDIO!$J$64*SUBSIDIO!$V$64)*(0.04)/(1-0.04)</f>
        <v>2811.1104</v>
      </c>
      <c r="AC64" s="70">
        <f>((SUBSIDIO!$L$64*SUBSIDIO!$W$64)+(SUBSIDIO!$N$64*SUBSIDIO!$X$64))*(0.04)/(1-0.04)</f>
        <v>940.661204</v>
      </c>
      <c r="AD64" s="70">
        <f ca="1">(SUBSIDIO!$J$64*SUBSIDIO!$Y$64)*(0.02)/(1-0.02)</f>
        <v>1611.5171350769328</v>
      </c>
      <c r="AE64" s="70">
        <f ca="1">((SUBSIDIO!$L$64*SUBSIDIO!$Z$64)+(SUBSIDIO!$N$64*SUBSIDIO!$AA$64))*(0.02)/(1-0.02)</f>
        <v>571.30992377867096</v>
      </c>
      <c r="AF64" s="3" t="s">
        <v>951</v>
      </c>
    </row>
    <row r="65" spans="1:32" ht="11.25" customHeight="1" x14ac:dyDescent="0.25">
      <c r="A65" s="3" t="s">
        <v>21</v>
      </c>
      <c r="B65" s="3" t="s">
        <v>41</v>
      </c>
      <c r="C65" s="3" t="s">
        <v>42</v>
      </c>
      <c r="D65" s="3" t="s">
        <v>45</v>
      </c>
      <c r="E65" s="3" t="s">
        <v>53</v>
      </c>
      <c r="F65" s="3" t="s">
        <v>25</v>
      </c>
      <c r="G65" s="3" t="s">
        <v>25</v>
      </c>
      <c r="H65" s="3" t="s">
        <v>35</v>
      </c>
      <c r="I65" s="6">
        <v>44348</v>
      </c>
      <c r="J65" s="4">
        <v>2898</v>
      </c>
      <c r="K65" s="70">
        <v>2898</v>
      </c>
      <c r="L65" s="4">
        <v>55.436999999999998</v>
      </c>
      <c r="M65" s="70">
        <v>55.436999999999998</v>
      </c>
      <c r="N65" s="4">
        <v>55.436999999999998</v>
      </c>
      <c r="O65" s="70">
        <v>55.436999999999998</v>
      </c>
      <c r="P65" s="4">
        <v>0</v>
      </c>
      <c r="Q65" s="3" t="s">
        <v>26</v>
      </c>
      <c r="R65" s="3">
        <v>0</v>
      </c>
      <c r="S65" s="3">
        <v>92</v>
      </c>
      <c r="T65" s="3">
        <v>94</v>
      </c>
      <c r="U65" s="3">
        <v>47</v>
      </c>
      <c r="V65" s="70">
        <f>IF(ISERROR(VLOOKUP($S$65,'TAR FIN'!$A$1:$O$99,15,0)),0,VLOOKUP($S$65,'TAR FIN'!$A$1:$O$99,15,0))*(1-0.04)</f>
        <v>25.401599999999998</v>
      </c>
      <c r="W65" s="70">
        <f>IF(ISERROR(VLOOKUP($T$65,'TAR FIN'!$A$1:$O$99,15,0)),0,VLOOKUP($T$65,'TAR FIN'!$A$1:$O$99,15,0))*(1-0.04)</f>
        <v>62.524799999999992</v>
      </c>
      <c r="X65" s="70">
        <f>IF(ISERROR(VLOOKUP($U$65,'TAR FIN'!$A$1:$O$99,15,0)),0,VLOOKUP($U$65,'TAR FIN'!$A$1:$O$99,15,0))*(1-0.04)</f>
        <v>332.74560000000002</v>
      </c>
      <c r="Y65" s="70">
        <f ca="1">('TUSD BE'!$AM$5+'TUSD BF'!$AM$5+'TUSD CVA'!$AM$5)*1*(1-0.02)</f>
        <v>29.730549555259678</v>
      </c>
      <c r="Z65" s="70">
        <f ca="1">('TUSD BE'!$AM$7+'TUSD BF'!$AM$7+'TUSD CVA'!$AM$7)*1*(1-0.02)</f>
        <v>74.718606972898527</v>
      </c>
      <c r="AA65" s="70">
        <f>('TE BE'!$AA$5+'TE BF'!$AA$5+'TE CVA'!$AA$5)*1*(1-0.02)</f>
        <v>415.4185945530557</v>
      </c>
      <c r="AB65" s="70">
        <f>(SUBSIDIO!$J$65*SUBSIDIO!$V$65)*(0.04)/(1-0.04)</f>
        <v>3067.2431999999999</v>
      </c>
      <c r="AC65" s="70">
        <f>((SUBSIDIO!$L$65*SUBSIDIO!$W$65)+(SUBSIDIO!$N$65*SUBSIDIO!$X$65))*(0.04)/(1-0.04)</f>
        <v>913.02521519999993</v>
      </c>
      <c r="AD65" s="70">
        <f ca="1">(SUBSIDIO!$J$65*SUBSIDIO!$Y$65)*(0.02)/(1-0.02)</f>
        <v>1758.3496451253582</v>
      </c>
      <c r="AE65" s="70">
        <f ca="1">((SUBSIDIO!$L$65*SUBSIDIO!$Z$65)+(SUBSIDIO!$N$65*SUBSIDIO!$AA$65))*(0.02)/(1-0.02)</f>
        <v>554.52522532641478</v>
      </c>
      <c r="AF65" s="3" t="s">
        <v>951</v>
      </c>
    </row>
    <row r="66" spans="1:32" ht="11.25" customHeight="1" x14ac:dyDescent="0.25">
      <c r="A66" s="3" t="s">
        <v>21</v>
      </c>
      <c r="B66" s="3" t="s">
        <v>41</v>
      </c>
      <c r="C66" s="3" t="s">
        <v>42</v>
      </c>
      <c r="D66" s="3" t="s">
        <v>45</v>
      </c>
      <c r="E66" s="3" t="s">
        <v>53</v>
      </c>
      <c r="F66" s="3" t="s">
        <v>25</v>
      </c>
      <c r="G66" s="3" t="s">
        <v>25</v>
      </c>
      <c r="H66" s="3" t="s">
        <v>35</v>
      </c>
      <c r="I66" s="6">
        <v>44378</v>
      </c>
      <c r="J66" s="4">
        <v>2450</v>
      </c>
      <c r="K66" s="70">
        <v>2450</v>
      </c>
      <c r="L66" s="4">
        <v>66.162000000000006</v>
      </c>
      <c r="M66" s="70">
        <v>66.162000000000006</v>
      </c>
      <c r="N66" s="4">
        <v>66.162000000000006</v>
      </c>
      <c r="O66" s="70">
        <v>66.162000000000006</v>
      </c>
      <c r="P66" s="4">
        <v>0</v>
      </c>
      <c r="Q66" s="3" t="s">
        <v>26</v>
      </c>
      <c r="R66" s="3">
        <v>0</v>
      </c>
      <c r="S66" s="3">
        <v>92</v>
      </c>
      <c r="T66" s="3">
        <v>94</v>
      </c>
      <c r="U66" s="3">
        <v>47</v>
      </c>
      <c r="V66" s="70">
        <f>IF(ISERROR(VLOOKUP($S$66,'TAR FIN'!$A$1:$O$99,15,0)),0,VLOOKUP($S$66,'TAR FIN'!$A$1:$O$99,15,0))*(1-0.04)</f>
        <v>25.401599999999998</v>
      </c>
      <c r="W66" s="70">
        <f>IF(ISERROR(VLOOKUP($T$66,'TAR FIN'!$A$1:$O$99,15,0)),0,VLOOKUP($T$66,'TAR FIN'!$A$1:$O$99,15,0))*(1-0.04)</f>
        <v>62.524799999999992</v>
      </c>
      <c r="X66" s="70">
        <f>IF(ISERROR(VLOOKUP($U$66,'TAR FIN'!$A$1:$O$99,15,0)),0,VLOOKUP($U$66,'TAR FIN'!$A$1:$O$99,15,0))*(1-0.04)</f>
        <v>332.74560000000002</v>
      </c>
      <c r="Y66" s="70">
        <f ca="1">('TUSD BE'!$AM$5+'TUSD BF'!$AM$5+'TUSD CVA'!$AM$5)*1*(1-0.02)</f>
        <v>29.730549555259678</v>
      </c>
      <c r="Z66" s="70">
        <f ca="1">('TUSD BE'!$AM$7+'TUSD BF'!$AM$7+'TUSD CVA'!$AM$7)*1*(1-0.02)</f>
        <v>74.718606972898527</v>
      </c>
      <c r="AA66" s="70">
        <f>('TE BE'!$AA$5+'TE BF'!$AA$5+'TE CVA'!$AA$5)*1*(1-0.02)</f>
        <v>415.4185945530557</v>
      </c>
      <c r="AB66" s="70">
        <f>(SUBSIDIO!$J$66*SUBSIDIO!$V$66)*(0.04)/(1-0.04)</f>
        <v>2593.08</v>
      </c>
      <c r="AC66" s="70">
        <f>((SUBSIDIO!$L$66*SUBSIDIO!$W$66)+(SUBSIDIO!$N$66*SUBSIDIO!$X$66))*(0.04)/(1-0.04)</f>
        <v>1089.6616752000002</v>
      </c>
      <c r="AD66" s="70">
        <f ca="1">(SUBSIDIO!$J$66*SUBSIDIO!$Y$66)*(0.02)/(1-0.02)</f>
        <v>1486.5274777629841</v>
      </c>
      <c r="AE66" s="70">
        <f ca="1">((SUBSIDIO!$L$66*SUBSIDIO!$Z$66)+(SUBSIDIO!$N$66*SUBSIDIO!$AA$66))*(0.02)/(1-0.02)</f>
        <v>661.80525566041206</v>
      </c>
      <c r="AF66" s="3" t="s">
        <v>951</v>
      </c>
    </row>
    <row r="67" spans="1:32" ht="11.25" customHeight="1" x14ac:dyDescent="0.25">
      <c r="A67" s="3" t="s">
        <v>21</v>
      </c>
      <c r="B67" s="3" t="s">
        <v>41</v>
      </c>
      <c r="C67" s="3" t="s">
        <v>42</v>
      </c>
      <c r="D67" s="3" t="s">
        <v>45</v>
      </c>
      <c r="E67" s="3" t="s">
        <v>53</v>
      </c>
      <c r="F67" s="3" t="s">
        <v>25</v>
      </c>
      <c r="G67" s="3" t="s">
        <v>25</v>
      </c>
      <c r="H67" s="3" t="s">
        <v>35</v>
      </c>
      <c r="I67" s="6">
        <v>44409</v>
      </c>
      <c r="J67" s="4">
        <v>6866</v>
      </c>
      <c r="K67" s="70">
        <v>6866</v>
      </c>
      <c r="L67" s="4">
        <v>41.415999999999997</v>
      </c>
      <c r="M67" s="70">
        <v>41.415999999999997</v>
      </c>
      <c r="N67" s="4">
        <v>41.415999999999997</v>
      </c>
      <c r="O67" s="70">
        <v>41.415999999999997</v>
      </c>
      <c r="P67" s="4">
        <v>0</v>
      </c>
      <c r="Q67" s="3" t="s">
        <v>26</v>
      </c>
      <c r="R67" s="3">
        <v>0</v>
      </c>
      <c r="S67" s="3">
        <v>92</v>
      </c>
      <c r="T67" s="3">
        <v>94</v>
      </c>
      <c r="U67" s="3">
        <v>47</v>
      </c>
      <c r="V67" s="70">
        <f>IF(ISERROR(VLOOKUP($S$67,'TAR FIN'!$A$1:$O$99,15,0)),0,VLOOKUP($S$67,'TAR FIN'!$A$1:$O$99,15,0))*(1-0.04)</f>
        <v>25.401599999999998</v>
      </c>
      <c r="W67" s="70">
        <f>IF(ISERROR(VLOOKUP($T$67,'TAR FIN'!$A$1:$O$99,15,0)),0,VLOOKUP($T$67,'TAR FIN'!$A$1:$O$99,15,0))*(1-0.04)</f>
        <v>62.524799999999992</v>
      </c>
      <c r="X67" s="70">
        <f>IF(ISERROR(VLOOKUP($U$67,'TAR FIN'!$A$1:$O$99,15,0)),0,VLOOKUP($U$67,'TAR FIN'!$A$1:$O$99,15,0))*(1-0.04)</f>
        <v>332.74560000000002</v>
      </c>
      <c r="Y67" s="70">
        <f ca="1">('TUSD BE'!$AM$5+'TUSD BF'!$AM$5+'TUSD CVA'!$AM$5)*1*(1-0.02)</f>
        <v>29.730549555259678</v>
      </c>
      <c r="Z67" s="70">
        <f ca="1">('TUSD BE'!$AM$7+'TUSD BF'!$AM$7+'TUSD CVA'!$AM$7)*1*(1-0.02)</f>
        <v>74.718606972898527</v>
      </c>
      <c r="AA67" s="70">
        <f>('TE BE'!$AA$5+'TE BF'!$AA$5+'TE CVA'!$AA$5)*1*(1-0.02)</f>
        <v>415.4185945530557</v>
      </c>
      <c r="AB67" s="70">
        <f>(SUBSIDIO!$J$67*SUBSIDIO!$V$67)*(0.04)/(1-0.04)</f>
        <v>7266.9743999999992</v>
      </c>
      <c r="AC67" s="70">
        <f>((SUBSIDIO!$L$67*SUBSIDIO!$W$67)+(SUBSIDIO!$N$67*SUBSIDIO!$X$67))*(0.04)/(1-0.04)</f>
        <v>682.10495360000004</v>
      </c>
      <c r="AD67" s="70">
        <f ca="1">(SUBSIDIO!$J$67*SUBSIDIO!$Y$67)*(0.02)/(1-0.02)</f>
        <v>4165.9174131921009</v>
      </c>
      <c r="AE67" s="70">
        <f ca="1">((SUBSIDIO!$L$67*SUBSIDIO!$Z$67)+(SUBSIDIO!$N$67*SUBSIDIO!$AA$67))*(0.02)/(1-0.02)</f>
        <v>414.27596608977393</v>
      </c>
      <c r="AF67" s="3" t="s">
        <v>951</v>
      </c>
    </row>
    <row r="68" spans="1:32" ht="11.25" customHeight="1" x14ac:dyDescent="0.25">
      <c r="A68" s="3" t="s">
        <v>27</v>
      </c>
      <c r="B68" s="3" t="s">
        <v>41</v>
      </c>
      <c r="C68" s="3" t="s">
        <v>42</v>
      </c>
      <c r="D68" s="3" t="s">
        <v>45</v>
      </c>
      <c r="E68" s="3" t="s">
        <v>53</v>
      </c>
      <c r="F68" s="3" t="s">
        <v>25</v>
      </c>
      <c r="G68" s="3" t="s">
        <v>25</v>
      </c>
      <c r="H68" s="3" t="s">
        <v>35</v>
      </c>
      <c r="I68" s="6">
        <v>44409</v>
      </c>
      <c r="J68" s="4">
        <v>-1</v>
      </c>
      <c r="K68" s="70">
        <v>-1</v>
      </c>
      <c r="L68" s="4">
        <v>-9.8640000000000008</v>
      </c>
      <c r="M68" s="70">
        <v>-9.8640000000000008</v>
      </c>
      <c r="N68" s="4">
        <v>-9.8640000000000008</v>
      </c>
      <c r="O68" s="70">
        <v>-9.8640000000000008</v>
      </c>
      <c r="P68" s="4">
        <v>0</v>
      </c>
      <c r="Q68" s="3" t="s">
        <v>26</v>
      </c>
      <c r="R68" s="3">
        <v>0</v>
      </c>
      <c r="S68" s="3">
        <v>92</v>
      </c>
      <c r="T68" s="3">
        <v>94</v>
      </c>
      <c r="U68" s="3">
        <v>47</v>
      </c>
      <c r="V68" s="70">
        <f>IF(ISERROR(VLOOKUP($S$68,'TAR FIN'!$A$1:$O$99,15,0)),0,VLOOKUP($S$68,'TAR FIN'!$A$1:$O$99,15,0))*(1-0.04)</f>
        <v>25.401599999999998</v>
      </c>
      <c r="W68" s="70">
        <f>IF(ISERROR(VLOOKUP($T$68,'TAR FIN'!$A$1:$O$99,15,0)),0,VLOOKUP($T$68,'TAR FIN'!$A$1:$O$99,15,0))*(1-0.04)</f>
        <v>62.524799999999992</v>
      </c>
      <c r="X68" s="70">
        <f>IF(ISERROR(VLOOKUP($U$68,'TAR FIN'!$A$1:$O$99,15,0)),0,VLOOKUP($U$68,'TAR FIN'!$A$1:$O$99,15,0))*(1-0.04)</f>
        <v>332.74560000000002</v>
      </c>
      <c r="Y68" s="70">
        <f ca="1">('TUSD BE'!$AM$5+'TUSD BF'!$AM$5+'TUSD CVA'!$AM$5)*1*(1-0.02)</f>
        <v>29.730549555259678</v>
      </c>
      <c r="Z68" s="70">
        <f ca="1">('TUSD BE'!$AM$7+'TUSD BF'!$AM$7+'TUSD CVA'!$AM$7)*1*(1-0.02)</f>
        <v>74.718606972898527</v>
      </c>
      <c r="AA68" s="70">
        <f>('TE BE'!$AA$5+'TE BF'!$AA$5+'TE CVA'!$AA$5)*1*(1-0.02)</f>
        <v>415.4185945530557</v>
      </c>
      <c r="AB68" s="70">
        <f>(SUBSIDIO!$J$68*SUBSIDIO!$V$68)*(0.04)/(1-0.04)</f>
        <v>-1.0583999999999998</v>
      </c>
      <c r="AC68" s="70">
        <f>((SUBSIDIO!$L$68*SUBSIDIO!$W$68)+(SUBSIDIO!$N$68*SUBSIDIO!$X$68))*(0.04)/(1-0.04)</f>
        <v>-162.45613440000002</v>
      </c>
      <c r="AD68" s="70">
        <f ca="1">(SUBSIDIO!$J$68*SUBSIDIO!$Y$68)*(0.02)/(1-0.02)</f>
        <v>-0.6067459092910138</v>
      </c>
      <c r="AE68" s="70">
        <f ca="1">((SUBSIDIO!$L$68*SUBSIDIO!$Z$68)+(SUBSIDIO!$N$68*SUBSIDIO!$AA$68))*(0.02)/(1-0.02)</f>
        <v>-98.667619507183929</v>
      </c>
      <c r="AF68" s="3" t="s">
        <v>951</v>
      </c>
    </row>
    <row r="69" spans="1:32" ht="11.25" customHeight="1" x14ac:dyDescent="0.25">
      <c r="A69" s="3" t="s">
        <v>21</v>
      </c>
      <c r="B69" s="3" t="s">
        <v>41</v>
      </c>
      <c r="C69" s="3" t="s">
        <v>42</v>
      </c>
      <c r="D69" s="3" t="s">
        <v>45</v>
      </c>
      <c r="E69" s="3" t="s">
        <v>53</v>
      </c>
      <c r="F69" s="3" t="s">
        <v>25</v>
      </c>
      <c r="G69" s="3" t="s">
        <v>25</v>
      </c>
      <c r="H69" s="3" t="s">
        <v>35</v>
      </c>
      <c r="I69" s="6">
        <v>44440</v>
      </c>
      <c r="J69" s="4">
        <v>10438</v>
      </c>
      <c r="K69" s="70">
        <v>10438</v>
      </c>
      <c r="L69" s="4">
        <v>285.35899999999998</v>
      </c>
      <c r="M69" s="70">
        <v>285.35899999999998</v>
      </c>
      <c r="N69" s="4">
        <v>285.35899999999998</v>
      </c>
      <c r="O69" s="70">
        <v>285.35899999999998</v>
      </c>
      <c r="P69" s="4">
        <v>0</v>
      </c>
      <c r="Q69" s="3" t="s">
        <v>26</v>
      </c>
      <c r="R69" s="3">
        <v>0</v>
      </c>
      <c r="S69" s="3">
        <v>92</v>
      </c>
      <c r="T69" s="3">
        <v>94</v>
      </c>
      <c r="U69" s="3">
        <v>47</v>
      </c>
      <c r="V69" s="70">
        <f>IF(ISERROR(VLOOKUP($S$69,'TAR FIN'!$A$1:$O$99,15,0)),0,VLOOKUP($S$69,'TAR FIN'!$A$1:$O$99,15,0))*(1-0.04)</f>
        <v>25.401599999999998</v>
      </c>
      <c r="W69" s="70">
        <f>IF(ISERROR(VLOOKUP($T$69,'TAR FIN'!$A$1:$O$99,15,0)),0,VLOOKUP($T$69,'TAR FIN'!$A$1:$O$99,15,0))*(1-0.04)</f>
        <v>62.524799999999992</v>
      </c>
      <c r="X69" s="70">
        <f>IF(ISERROR(VLOOKUP($U$69,'TAR FIN'!$A$1:$O$99,15,0)),0,VLOOKUP($U$69,'TAR FIN'!$A$1:$O$99,15,0))*(1-0.04)</f>
        <v>332.74560000000002</v>
      </c>
      <c r="Y69" s="70">
        <f ca="1">('TUSD BE'!$AM$5+'TUSD BF'!$AM$5+'TUSD CVA'!$AM$5)*1*(1-0.02)</f>
        <v>29.730549555259678</v>
      </c>
      <c r="Z69" s="70">
        <f ca="1">('TUSD BE'!$AM$7+'TUSD BF'!$AM$7+'TUSD CVA'!$AM$7)*1*(1-0.02)</f>
        <v>74.718606972898527</v>
      </c>
      <c r="AA69" s="70">
        <f>('TE BE'!$AA$5+'TE BF'!$AA$5+'TE CVA'!$AA$5)*1*(1-0.02)</f>
        <v>415.4185945530557</v>
      </c>
      <c r="AB69" s="70">
        <f>(SUBSIDIO!$J$69*SUBSIDIO!$V$69)*(0.04)/(1-0.04)</f>
        <v>11047.579200000002</v>
      </c>
      <c r="AC69" s="70">
        <f>((SUBSIDIO!$L$69*SUBSIDIO!$W$69)+(SUBSIDIO!$N$69*SUBSIDIO!$X$69))*(0.04)/(1-0.04)</f>
        <v>4699.7485864</v>
      </c>
      <c r="AD69" s="70">
        <f ca="1">(SUBSIDIO!$J$69*SUBSIDIO!$Y$69)*(0.02)/(1-0.02)</f>
        <v>6333.2138011796023</v>
      </c>
      <c r="AE69" s="70">
        <f ca="1">((SUBSIDIO!$L$69*SUBSIDIO!$Z$69)+(SUBSIDIO!$N$69*SUBSIDIO!$AA$69))*(0.02)/(1-0.02)</f>
        <v>2854.3890140866279</v>
      </c>
      <c r="AF69" s="3" t="s">
        <v>951</v>
      </c>
    </row>
    <row r="70" spans="1:32" ht="11.25" customHeight="1" x14ac:dyDescent="0.25">
      <c r="A70" s="3" t="s">
        <v>27</v>
      </c>
      <c r="B70" s="3" t="s">
        <v>41</v>
      </c>
      <c r="C70" s="3" t="s">
        <v>42</v>
      </c>
      <c r="D70" s="3" t="s">
        <v>45</v>
      </c>
      <c r="E70" s="3" t="s">
        <v>53</v>
      </c>
      <c r="F70" s="3" t="s">
        <v>25</v>
      </c>
      <c r="G70" s="3" t="s">
        <v>25</v>
      </c>
      <c r="H70" s="3" t="s">
        <v>35</v>
      </c>
      <c r="I70" s="6">
        <v>44440</v>
      </c>
      <c r="J70" s="4">
        <v>-5000</v>
      </c>
      <c r="K70" s="70">
        <v>-5000</v>
      </c>
      <c r="L70" s="4">
        <v>0</v>
      </c>
      <c r="M70" s="70">
        <v>0</v>
      </c>
      <c r="N70" s="4">
        <v>0</v>
      </c>
      <c r="O70" s="70">
        <v>0</v>
      </c>
      <c r="P70" s="4">
        <v>0</v>
      </c>
      <c r="Q70" s="3" t="s">
        <v>26</v>
      </c>
      <c r="R70" s="3">
        <v>0</v>
      </c>
      <c r="S70" s="3">
        <v>92</v>
      </c>
      <c r="T70" s="3">
        <v>0</v>
      </c>
      <c r="U70" s="3">
        <v>0</v>
      </c>
      <c r="V70" s="70">
        <f>IF(ISERROR(VLOOKUP($S$70,'TAR FIN'!$A$1:$O$99,15,0)),0,VLOOKUP($S$70,'TAR FIN'!$A$1:$O$99,15,0))*(1-0.04)</f>
        <v>25.401599999999998</v>
      </c>
      <c r="W70" s="70">
        <f>IF(ISERROR(VLOOKUP($T$70,'TAR FIN'!$A$1:$O$99,15,0)),0,VLOOKUP($T$70,'TAR FIN'!$A$1:$O$99,15,0))*(1-0.04)</f>
        <v>0</v>
      </c>
      <c r="X70" s="70">
        <f>IF(ISERROR(VLOOKUP($U$70,'TAR FIN'!$A$1:$O$99,15,0)),0,VLOOKUP($U$70,'TAR FIN'!$A$1:$O$99,15,0))*(1-0.04)</f>
        <v>0</v>
      </c>
      <c r="Y70" s="70">
        <f ca="1">('TUSD BE'!$AM$5+'TUSD BF'!$AM$5+'TUSD CVA'!$AM$5)*1*(1-0.02)</f>
        <v>29.730549555259678</v>
      </c>
      <c r="Z70" s="70">
        <f ca="1">('TUSD BE'!$AM$7+'TUSD BF'!$AM$7+'TUSD CVA'!$AM$7)*1*(1-0.02)</f>
        <v>74.718606972898527</v>
      </c>
      <c r="AA70" s="70">
        <f>('TE BE'!$AA$5+'TE BF'!$AA$5+'TE CVA'!$AA$5)*1*(1-0.02)</f>
        <v>415.4185945530557</v>
      </c>
      <c r="AB70" s="70">
        <f>(SUBSIDIO!$J$70*SUBSIDIO!$V$70)*(0.04)/(1-0.04)</f>
        <v>-5292</v>
      </c>
      <c r="AC70" s="70">
        <f>((SUBSIDIO!$L$70*SUBSIDIO!$W$70)+(SUBSIDIO!$N$70*SUBSIDIO!$X$70))*(0.04)/(1-0.04)</f>
        <v>0</v>
      </c>
      <c r="AD70" s="70">
        <f ca="1">(SUBSIDIO!$J$70*SUBSIDIO!$Y$70)*(0.02)/(1-0.02)</f>
        <v>-3033.7295464550689</v>
      </c>
      <c r="AE70" s="70">
        <f ca="1">((SUBSIDIO!$L$70*SUBSIDIO!$Z$70)+(SUBSIDIO!$N$70*SUBSIDIO!$AA$70))*(0.02)/(1-0.02)</f>
        <v>0</v>
      </c>
      <c r="AF70" s="3" t="s">
        <v>951</v>
      </c>
    </row>
    <row r="71" spans="1:32" ht="11.25" customHeight="1" x14ac:dyDescent="0.25">
      <c r="A71" s="3" t="s">
        <v>21</v>
      </c>
      <c r="B71" s="3" t="s">
        <v>41</v>
      </c>
      <c r="C71" s="3" t="s">
        <v>42</v>
      </c>
      <c r="D71" s="3" t="s">
        <v>45</v>
      </c>
      <c r="E71" s="3" t="s">
        <v>53</v>
      </c>
      <c r="F71" s="3" t="s">
        <v>25</v>
      </c>
      <c r="G71" s="3" t="s">
        <v>25</v>
      </c>
      <c r="H71" s="3" t="s">
        <v>35</v>
      </c>
      <c r="I71" s="6">
        <v>44470</v>
      </c>
      <c r="J71" s="4">
        <v>19181</v>
      </c>
      <c r="K71" s="70">
        <v>19181</v>
      </c>
      <c r="L71" s="4">
        <v>440.44600000000003</v>
      </c>
      <c r="M71" s="70">
        <v>440.44600000000003</v>
      </c>
      <c r="N71" s="4">
        <v>440.44600000000003</v>
      </c>
      <c r="O71" s="70">
        <v>440.44600000000003</v>
      </c>
      <c r="P71" s="4">
        <v>0</v>
      </c>
      <c r="Q71" s="3" t="s">
        <v>26</v>
      </c>
      <c r="R71" s="3">
        <v>0</v>
      </c>
      <c r="S71" s="3">
        <v>92</v>
      </c>
      <c r="T71" s="3">
        <v>94</v>
      </c>
      <c r="U71" s="3">
        <v>47</v>
      </c>
      <c r="V71" s="70">
        <f>IF(ISERROR(VLOOKUP($S$71,'TAR FIN'!$A$1:$O$99,15,0)),0,VLOOKUP($S$71,'TAR FIN'!$A$1:$O$99,15,0))*(1-0.04)</f>
        <v>25.401599999999998</v>
      </c>
      <c r="W71" s="70">
        <f>IF(ISERROR(VLOOKUP($T$71,'TAR FIN'!$A$1:$O$99,15,0)),0,VLOOKUP($T$71,'TAR FIN'!$A$1:$O$99,15,0))*(1-0.04)</f>
        <v>62.524799999999992</v>
      </c>
      <c r="X71" s="70">
        <f>IF(ISERROR(VLOOKUP($U$71,'TAR FIN'!$A$1:$O$99,15,0)),0,VLOOKUP($U$71,'TAR FIN'!$A$1:$O$99,15,0))*(1-0.04)</f>
        <v>332.74560000000002</v>
      </c>
      <c r="Y71" s="70">
        <f ca="1">('TUSD BE'!$AM$5+'TUSD BF'!$AM$5+'TUSD CVA'!$AM$5)*1*(1-0.02)</f>
        <v>29.730549555259678</v>
      </c>
      <c r="Z71" s="70">
        <f ca="1">('TUSD BE'!$AM$7+'TUSD BF'!$AM$7+'TUSD CVA'!$AM$7)*1*(1-0.02)</f>
        <v>74.718606972898527</v>
      </c>
      <c r="AA71" s="70">
        <f>('TE BE'!$AA$5+'TE BF'!$AA$5+'TE CVA'!$AA$5)*1*(1-0.02)</f>
        <v>415.4185945530557</v>
      </c>
      <c r="AB71" s="70">
        <f>(SUBSIDIO!$J$71*SUBSIDIO!$V$71)*(0.04)/(1-0.04)</f>
        <v>20301.170399999999</v>
      </c>
      <c r="AC71" s="70">
        <f>((SUBSIDIO!$L$71*SUBSIDIO!$W$71)+(SUBSIDIO!$N$71*SUBSIDIO!$X$71))*(0.04)/(1-0.04)</f>
        <v>7253.9694416000011</v>
      </c>
      <c r="AD71" s="70">
        <f ca="1">(SUBSIDIO!$J$71*SUBSIDIO!$Y$71)*(0.02)/(1-0.02)</f>
        <v>11637.993286110936</v>
      </c>
      <c r="AE71" s="70">
        <f ca="1">((SUBSIDIO!$L$71*SUBSIDIO!$Z$71)+(SUBSIDIO!$N$71*SUBSIDIO!$AA$71))*(0.02)/(1-0.02)</f>
        <v>4405.6932625163354</v>
      </c>
      <c r="AF71" s="3" t="s">
        <v>951</v>
      </c>
    </row>
    <row r="72" spans="1:32" ht="11.25" customHeight="1" x14ac:dyDescent="0.25">
      <c r="A72" s="3" t="s">
        <v>21</v>
      </c>
      <c r="B72" s="3" t="s">
        <v>41</v>
      </c>
      <c r="C72" s="3" t="s">
        <v>42</v>
      </c>
      <c r="D72" s="3" t="s">
        <v>45</v>
      </c>
      <c r="E72" s="3" t="s">
        <v>53</v>
      </c>
      <c r="F72" s="3" t="s">
        <v>25</v>
      </c>
      <c r="G72" s="3" t="s">
        <v>25</v>
      </c>
      <c r="H72" s="3" t="s">
        <v>35</v>
      </c>
      <c r="I72" s="6">
        <v>44501</v>
      </c>
      <c r="J72" s="4">
        <v>17184</v>
      </c>
      <c r="K72" s="70">
        <v>17184</v>
      </c>
      <c r="L72" s="4">
        <v>393.58499999999998</v>
      </c>
      <c r="M72" s="70">
        <v>393.58499999999998</v>
      </c>
      <c r="N72" s="4">
        <v>393.58499999999998</v>
      </c>
      <c r="O72" s="70">
        <v>393.58499999999998</v>
      </c>
      <c r="P72" s="4">
        <v>0</v>
      </c>
      <c r="Q72" s="3" t="s">
        <v>26</v>
      </c>
      <c r="R72" s="3">
        <v>0</v>
      </c>
      <c r="S72" s="3">
        <v>92</v>
      </c>
      <c r="T72" s="3">
        <v>94</v>
      </c>
      <c r="U72" s="3">
        <v>47</v>
      </c>
      <c r="V72" s="70">
        <f>IF(ISERROR(VLOOKUP($S$72,'TAR FIN'!$A$1:$O$99,15,0)),0,VLOOKUP($S$72,'TAR FIN'!$A$1:$O$99,15,0))*(1-0.04)</f>
        <v>25.401599999999998</v>
      </c>
      <c r="W72" s="70">
        <f>IF(ISERROR(VLOOKUP($T$72,'TAR FIN'!$A$1:$O$99,15,0)),0,VLOOKUP($T$72,'TAR FIN'!$A$1:$O$99,15,0))*(1-0.04)</f>
        <v>62.524799999999992</v>
      </c>
      <c r="X72" s="70">
        <f>IF(ISERROR(VLOOKUP($U$72,'TAR FIN'!$A$1:$O$99,15,0)),0,VLOOKUP($U$72,'TAR FIN'!$A$1:$O$99,15,0))*(1-0.04)</f>
        <v>332.74560000000002</v>
      </c>
      <c r="Y72" s="70">
        <f ca="1">('TUSD BE'!$AM$5+'TUSD BF'!$AM$5+'TUSD CVA'!$AM$5)*1*(1-0.02)</f>
        <v>29.730549555259678</v>
      </c>
      <c r="Z72" s="70">
        <f ca="1">('TUSD BE'!$AM$7+'TUSD BF'!$AM$7+'TUSD CVA'!$AM$7)*1*(1-0.02)</f>
        <v>74.718606972898527</v>
      </c>
      <c r="AA72" s="70">
        <f>('TE BE'!$AA$5+'TE BF'!$AA$5+'TE CVA'!$AA$5)*1*(1-0.02)</f>
        <v>415.4185945530557</v>
      </c>
      <c r="AB72" s="70">
        <f>(SUBSIDIO!$J$72*SUBSIDIO!$V$72)*(0.04)/(1-0.04)</f>
        <v>18187.545599999998</v>
      </c>
      <c r="AC72" s="70">
        <f>((SUBSIDIO!$L$72*SUBSIDIO!$W$72)+(SUBSIDIO!$N$72*SUBSIDIO!$X$72))*(0.04)/(1-0.04)</f>
        <v>6482.1875160000009</v>
      </c>
      <c r="AD72" s="70">
        <f ca="1">(SUBSIDIO!$J$72*SUBSIDIO!$Y$72)*(0.02)/(1-0.02)</f>
        <v>10426.321705256782</v>
      </c>
      <c r="AE72" s="70">
        <f ca="1">((SUBSIDIO!$L$72*SUBSIDIO!$Z$72)+(SUBSIDIO!$N$72*SUBSIDIO!$AA$72))*(0.02)/(1-0.02)</f>
        <v>3936.9520502569935</v>
      </c>
      <c r="AF72" s="3" t="s">
        <v>951</v>
      </c>
    </row>
    <row r="73" spans="1:32" ht="11.25" customHeight="1" x14ac:dyDescent="0.25">
      <c r="A73" s="3" t="s">
        <v>21</v>
      </c>
      <c r="B73" s="3" t="s">
        <v>41</v>
      </c>
      <c r="C73" s="3" t="s">
        <v>42</v>
      </c>
      <c r="D73" s="3" t="s">
        <v>45</v>
      </c>
      <c r="E73" s="3" t="s">
        <v>53</v>
      </c>
      <c r="F73" s="3" t="s">
        <v>25</v>
      </c>
      <c r="G73" s="3" t="s">
        <v>25</v>
      </c>
      <c r="H73" s="3" t="s">
        <v>35</v>
      </c>
      <c r="I73" s="6">
        <v>44531</v>
      </c>
      <c r="J73" s="4">
        <v>13433</v>
      </c>
      <c r="K73" s="70">
        <v>13433</v>
      </c>
      <c r="L73" s="4">
        <v>339.88400000000001</v>
      </c>
      <c r="M73" s="70">
        <v>339.88400000000001</v>
      </c>
      <c r="N73" s="4">
        <v>339.88400000000001</v>
      </c>
      <c r="O73" s="70">
        <v>339.88400000000001</v>
      </c>
      <c r="P73" s="4">
        <v>0</v>
      </c>
      <c r="Q73" s="3" t="s">
        <v>26</v>
      </c>
      <c r="R73" s="3">
        <v>0</v>
      </c>
      <c r="S73" s="3">
        <v>92</v>
      </c>
      <c r="T73" s="3">
        <v>94</v>
      </c>
      <c r="U73" s="3">
        <v>47</v>
      </c>
      <c r="V73" s="70">
        <f>IF(ISERROR(VLOOKUP($S$73,'TAR FIN'!$A$1:$O$99,15,0)),0,VLOOKUP($S$73,'TAR FIN'!$A$1:$O$99,15,0))*(1-0.04)</f>
        <v>25.401599999999998</v>
      </c>
      <c r="W73" s="70">
        <f>IF(ISERROR(VLOOKUP($T$73,'TAR FIN'!$A$1:$O$99,15,0)),0,VLOOKUP($T$73,'TAR FIN'!$A$1:$O$99,15,0))*(1-0.04)</f>
        <v>62.524799999999992</v>
      </c>
      <c r="X73" s="70">
        <f>IF(ISERROR(VLOOKUP($U$73,'TAR FIN'!$A$1:$O$99,15,0)),0,VLOOKUP($U$73,'TAR FIN'!$A$1:$O$99,15,0))*(1-0.04)</f>
        <v>332.74560000000002</v>
      </c>
      <c r="Y73" s="70">
        <f ca="1">('TUSD BE'!$AM$5+'TUSD BF'!$AM$5+'TUSD CVA'!$AM$5)*1*(1-0.02)</f>
        <v>29.730549555259678</v>
      </c>
      <c r="Z73" s="70">
        <f ca="1">('TUSD BE'!$AM$7+'TUSD BF'!$AM$7+'TUSD CVA'!$AM$7)*1*(1-0.02)</f>
        <v>74.718606972898527</v>
      </c>
      <c r="AA73" s="70">
        <f>('TE BE'!$AA$5+'TE BF'!$AA$5+'TE CVA'!$AA$5)*1*(1-0.02)</f>
        <v>415.4185945530557</v>
      </c>
      <c r="AB73" s="70">
        <f>(SUBSIDIO!$J$73*SUBSIDIO!$V$73)*(0.04)/(1-0.04)</f>
        <v>14217.4872</v>
      </c>
      <c r="AC73" s="70">
        <f>((SUBSIDIO!$L$73*SUBSIDIO!$W$73)+(SUBSIDIO!$N$73*SUBSIDIO!$X$73))*(0.04)/(1-0.04)</f>
        <v>5597.7535264000016</v>
      </c>
      <c r="AD73" s="70">
        <f ca="1">(SUBSIDIO!$J$73*SUBSIDIO!$Y$73)*(0.02)/(1-0.02)</f>
        <v>8150.41779950619</v>
      </c>
      <c r="AE73" s="70">
        <f ca="1">((SUBSIDIO!$L$73*SUBSIDIO!$Z$73)+(SUBSIDIO!$N$73*SUBSIDIO!$AA$73))*(0.02)/(1-0.02)</f>
        <v>3399.7916857846417</v>
      </c>
      <c r="AF73" s="3" t="s">
        <v>951</v>
      </c>
    </row>
    <row r="74" spans="1:32" ht="11.25" customHeight="1" x14ac:dyDescent="0.25">
      <c r="A74" s="3" t="s">
        <v>21</v>
      </c>
      <c r="B74" s="3" t="s">
        <v>41</v>
      </c>
      <c r="C74" s="3" t="s">
        <v>42</v>
      </c>
      <c r="D74" s="3" t="s">
        <v>45</v>
      </c>
      <c r="E74" s="3" t="s">
        <v>53</v>
      </c>
      <c r="F74" s="3" t="s">
        <v>25</v>
      </c>
      <c r="G74" s="3" t="s">
        <v>25</v>
      </c>
      <c r="H74" s="3" t="s">
        <v>35</v>
      </c>
      <c r="I74" s="6">
        <v>44562</v>
      </c>
      <c r="J74" s="4">
        <v>14199</v>
      </c>
      <c r="K74" s="70">
        <v>14199</v>
      </c>
      <c r="L74" s="4">
        <v>94.647000000000006</v>
      </c>
      <c r="M74" s="70">
        <v>94.647000000000006</v>
      </c>
      <c r="N74" s="4">
        <v>94.647000000000006</v>
      </c>
      <c r="O74" s="70">
        <v>94.647000000000006</v>
      </c>
      <c r="P74" s="4">
        <v>0</v>
      </c>
      <c r="Q74" s="3" t="s">
        <v>26</v>
      </c>
      <c r="R74" s="3">
        <v>0</v>
      </c>
      <c r="S74" s="3">
        <v>92</v>
      </c>
      <c r="T74" s="3">
        <v>94</v>
      </c>
      <c r="U74" s="3">
        <v>47</v>
      </c>
      <c r="V74" s="70">
        <f>IF(ISERROR(VLOOKUP($S$74,'TAR FIN'!$A$1:$O$99,15,0)),0,VLOOKUP($S$74,'TAR FIN'!$A$1:$O$99,15,0))*(1-0.04)</f>
        <v>25.401599999999998</v>
      </c>
      <c r="W74" s="70">
        <f>IF(ISERROR(VLOOKUP($T$74,'TAR FIN'!$A$1:$O$99,15,0)),0,VLOOKUP($T$74,'TAR FIN'!$A$1:$O$99,15,0))*(1-0.04)</f>
        <v>62.524799999999992</v>
      </c>
      <c r="X74" s="70">
        <f>IF(ISERROR(VLOOKUP($U$74,'TAR FIN'!$A$1:$O$99,15,0)),0,VLOOKUP($U$74,'TAR FIN'!$A$1:$O$99,15,0))*(1-0.04)</f>
        <v>332.74560000000002</v>
      </c>
      <c r="Y74" s="70">
        <f ca="1">('TUSD BE'!$AM$5+'TUSD BF'!$AM$5+'TUSD CVA'!$AM$5)*1*(1-0.02)</f>
        <v>29.730549555259678</v>
      </c>
      <c r="Z74" s="70">
        <f ca="1">('TUSD BE'!$AM$7+'TUSD BF'!$AM$7+'TUSD CVA'!$AM$7)*1*(1-0.02)</f>
        <v>74.718606972898527</v>
      </c>
      <c r="AA74" s="70">
        <f>('TE BE'!$AA$5+'TE BF'!$AA$5+'TE CVA'!$AA$5)*1*(1-0.02)</f>
        <v>415.4185945530557</v>
      </c>
      <c r="AB74" s="70">
        <f>(SUBSIDIO!$J$74*SUBSIDIO!$V$74)*(0.04)/(1-0.04)</f>
        <v>15028.221600000001</v>
      </c>
      <c r="AC74" s="70">
        <f>((SUBSIDIO!$L$74*SUBSIDIO!$W$74)+(SUBSIDIO!$N$74*SUBSIDIO!$X$74))*(0.04)/(1-0.04)</f>
        <v>1558.7982312000001</v>
      </c>
      <c r="AD74" s="70">
        <f ca="1">(SUBSIDIO!$J$74*SUBSIDIO!$Y$74)*(0.02)/(1-0.02)</f>
        <v>8615.1851660231041</v>
      </c>
      <c r="AE74" s="70">
        <f ca="1">((SUBSIDIO!$L$74*SUBSIDIO!$Z$74)+(SUBSIDIO!$N$74*SUBSIDIO!$AA$74))*(0.02)/(1-0.02)</f>
        <v>946.73501454748964</v>
      </c>
      <c r="AF74" s="3" t="s">
        <v>951</v>
      </c>
    </row>
    <row r="75" spans="1:32" ht="11.25" customHeight="1" x14ac:dyDescent="0.25">
      <c r="A75" s="3" t="s">
        <v>21</v>
      </c>
      <c r="B75" s="3" t="s">
        <v>41</v>
      </c>
      <c r="C75" s="3" t="s">
        <v>42</v>
      </c>
      <c r="D75" s="3" t="s">
        <v>45</v>
      </c>
      <c r="E75" s="3" t="s">
        <v>53</v>
      </c>
      <c r="F75" s="3" t="s">
        <v>25</v>
      </c>
      <c r="G75" s="3" t="s">
        <v>25</v>
      </c>
      <c r="H75" s="3" t="s">
        <v>35</v>
      </c>
      <c r="I75" s="6">
        <v>44593</v>
      </c>
      <c r="J75" s="4">
        <v>14550</v>
      </c>
      <c r="K75" s="70">
        <v>14550</v>
      </c>
      <c r="L75" s="4">
        <v>257.23599999999999</v>
      </c>
      <c r="M75" s="70">
        <v>257.23599999999999</v>
      </c>
      <c r="N75" s="4">
        <v>257.23599999999999</v>
      </c>
      <c r="O75" s="70">
        <v>257.23599999999999</v>
      </c>
      <c r="P75" s="4">
        <v>0</v>
      </c>
      <c r="Q75" s="3" t="s">
        <v>26</v>
      </c>
      <c r="R75" s="3">
        <v>0</v>
      </c>
      <c r="S75" s="3">
        <v>92</v>
      </c>
      <c r="T75" s="3">
        <v>94</v>
      </c>
      <c r="U75" s="3">
        <v>47</v>
      </c>
      <c r="V75" s="70">
        <f>IF(ISERROR(VLOOKUP($S$75,'TAR FIN'!$A$1:$O$99,15,0)),0,VLOOKUP($S$75,'TAR FIN'!$A$1:$O$99,15,0))*(1-0.04)</f>
        <v>25.401599999999998</v>
      </c>
      <c r="W75" s="70">
        <f>IF(ISERROR(VLOOKUP($T$75,'TAR FIN'!$A$1:$O$99,15,0)),0,VLOOKUP($T$75,'TAR FIN'!$A$1:$O$99,15,0))*(1-0.04)</f>
        <v>62.524799999999992</v>
      </c>
      <c r="X75" s="70">
        <f>IF(ISERROR(VLOOKUP($U$75,'TAR FIN'!$A$1:$O$99,15,0)),0,VLOOKUP($U$75,'TAR FIN'!$A$1:$O$99,15,0))*(1-0.04)</f>
        <v>332.74560000000002</v>
      </c>
      <c r="Y75" s="70">
        <f ca="1">('TUSD BE'!$AM$5+'TUSD BF'!$AM$5+'TUSD CVA'!$AM$5)*1*(1-0.02)</f>
        <v>29.730549555259678</v>
      </c>
      <c r="Z75" s="70">
        <f ca="1">('TUSD BE'!$AM$7+'TUSD BF'!$AM$7+'TUSD CVA'!$AM$7)*1*(1-0.02)</f>
        <v>74.718606972898527</v>
      </c>
      <c r="AA75" s="70">
        <f>('TE BE'!$AA$5+'TE BF'!$AA$5+'TE CVA'!$AA$5)*1*(1-0.02)</f>
        <v>415.4185945530557</v>
      </c>
      <c r="AB75" s="70">
        <f>(SUBSIDIO!$J$75*SUBSIDIO!$V$75)*(0.04)/(1-0.04)</f>
        <v>15399.72</v>
      </c>
      <c r="AC75" s="70">
        <f>((SUBSIDIO!$L$75*SUBSIDIO!$W$75)+(SUBSIDIO!$N$75*SUBSIDIO!$X$75))*(0.04)/(1-0.04)</f>
        <v>4236.5740256000008</v>
      </c>
      <c r="AD75" s="70">
        <f ca="1">(SUBSIDIO!$J$75*SUBSIDIO!$Y$75)*(0.02)/(1-0.02)</f>
        <v>8828.1529801842516</v>
      </c>
      <c r="AE75" s="70">
        <f ca="1">((SUBSIDIO!$L$75*SUBSIDIO!$Z$75)+(SUBSIDIO!$N$75*SUBSIDIO!$AA$75))*(0.02)/(1-0.02)</f>
        <v>2573.0802688108238</v>
      </c>
      <c r="AF75" s="3" t="s">
        <v>951</v>
      </c>
    </row>
    <row r="76" spans="1:32" ht="11.25" customHeight="1" x14ac:dyDescent="0.25">
      <c r="A76" s="3" t="s">
        <v>21</v>
      </c>
      <c r="B76" s="3" t="s">
        <v>41</v>
      </c>
      <c r="C76" s="3" t="s">
        <v>42</v>
      </c>
      <c r="D76" s="3" t="s">
        <v>45</v>
      </c>
      <c r="E76" s="3" t="s">
        <v>53</v>
      </c>
      <c r="F76" s="3" t="s">
        <v>25</v>
      </c>
      <c r="G76" s="3" t="s">
        <v>25</v>
      </c>
      <c r="H76" s="3" t="s">
        <v>35</v>
      </c>
      <c r="I76" s="6">
        <v>44621</v>
      </c>
      <c r="J76" s="4">
        <v>13990</v>
      </c>
      <c r="K76" s="70">
        <v>13990</v>
      </c>
      <c r="L76" s="4">
        <v>296.89499999999998</v>
      </c>
      <c r="M76" s="70">
        <v>296.89499999999998</v>
      </c>
      <c r="N76" s="4">
        <v>296.89499999999998</v>
      </c>
      <c r="O76" s="70">
        <v>296.89499999999998</v>
      </c>
      <c r="P76" s="4">
        <v>0</v>
      </c>
      <c r="Q76" s="3" t="s">
        <v>26</v>
      </c>
      <c r="R76" s="3">
        <v>0</v>
      </c>
      <c r="S76" s="3">
        <v>92</v>
      </c>
      <c r="T76" s="3">
        <v>94</v>
      </c>
      <c r="U76" s="3">
        <v>47</v>
      </c>
      <c r="V76" s="70">
        <f>IF(ISERROR(VLOOKUP($S$76,'TAR FIN'!$A$1:$O$99,15,0)),0,VLOOKUP($S$76,'TAR FIN'!$A$1:$O$99,15,0))*(1-0.04)</f>
        <v>25.401599999999998</v>
      </c>
      <c r="W76" s="70">
        <f>IF(ISERROR(VLOOKUP($T$76,'TAR FIN'!$A$1:$O$99,15,0)),0,VLOOKUP($T$76,'TAR FIN'!$A$1:$O$99,15,0))*(1-0.04)</f>
        <v>62.524799999999992</v>
      </c>
      <c r="X76" s="70">
        <f>IF(ISERROR(VLOOKUP($U$76,'TAR FIN'!$A$1:$O$99,15,0)),0,VLOOKUP($U$76,'TAR FIN'!$A$1:$O$99,15,0))*(1-0.04)</f>
        <v>332.74560000000002</v>
      </c>
      <c r="Y76" s="70">
        <f ca="1">('TUSD BE'!$AM$5+'TUSD BF'!$AM$5+'TUSD CVA'!$AM$5)*1*(1-0.02)</f>
        <v>29.730549555259678</v>
      </c>
      <c r="Z76" s="70">
        <f ca="1">('TUSD BE'!$AM$7+'TUSD BF'!$AM$7+'TUSD CVA'!$AM$7)*1*(1-0.02)</f>
        <v>74.718606972898527</v>
      </c>
      <c r="AA76" s="70">
        <f>('TE BE'!$AA$5+'TE BF'!$AA$5+'TE CVA'!$AA$5)*1*(1-0.02)</f>
        <v>415.4185945530557</v>
      </c>
      <c r="AB76" s="70">
        <f>(SUBSIDIO!$J$76*SUBSIDIO!$V$76)*(0.04)/(1-0.04)</f>
        <v>14807.016</v>
      </c>
      <c r="AC76" s="70">
        <f>((SUBSIDIO!$L$76*SUBSIDIO!$W$76)+(SUBSIDIO!$N$76*SUBSIDIO!$X$76))*(0.04)/(1-0.04)</f>
        <v>4889.741892</v>
      </c>
      <c r="AD76" s="70">
        <f ca="1">(SUBSIDIO!$J$76*SUBSIDIO!$Y$76)*(0.02)/(1-0.02)</f>
        <v>8488.3752709812834</v>
      </c>
      <c r="AE76" s="70">
        <f ca="1">((SUBSIDIO!$L$76*SUBSIDIO!$Z$76)+(SUBSIDIO!$N$76*SUBSIDIO!$AA$76))*(0.02)/(1-0.02)</f>
        <v>2969.7813152458812</v>
      </c>
      <c r="AF76" s="3" t="s">
        <v>951</v>
      </c>
    </row>
    <row r="77" spans="1:32" ht="11.25" customHeight="1" x14ac:dyDescent="0.25">
      <c r="A77" s="3" t="s">
        <v>56</v>
      </c>
      <c r="B77" s="3" t="s">
        <v>41</v>
      </c>
      <c r="C77" s="3" t="s">
        <v>42</v>
      </c>
      <c r="D77" s="3" t="s">
        <v>45</v>
      </c>
      <c r="E77" s="3" t="s">
        <v>53</v>
      </c>
      <c r="F77" s="3" t="s">
        <v>25</v>
      </c>
      <c r="G77" s="3" t="s">
        <v>25</v>
      </c>
      <c r="H77" s="3" t="s">
        <v>35</v>
      </c>
      <c r="I77" s="6">
        <v>44652</v>
      </c>
      <c r="J77" s="4">
        <v>13990</v>
      </c>
      <c r="K77" s="70">
        <v>13990</v>
      </c>
      <c r="L77" s="4">
        <v>296.89499999999998</v>
      </c>
      <c r="M77" s="70">
        <v>296.89499999999998</v>
      </c>
      <c r="N77" s="4">
        <v>296.89499999999998</v>
      </c>
      <c r="O77" s="70">
        <v>296.89499999999998</v>
      </c>
      <c r="P77" s="4">
        <v>0</v>
      </c>
      <c r="Q77" s="3" t="s">
        <v>26</v>
      </c>
      <c r="R77" s="3">
        <v>0</v>
      </c>
      <c r="S77" s="3">
        <v>92</v>
      </c>
      <c r="T77" s="3">
        <v>94</v>
      </c>
      <c r="U77" s="3">
        <v>47</v>
      </c>
      <c r="V77" s="70">
        <f>IF(ISERROR(VLOOKUP($S$77,'TAR FIN'!$A$1:$O$99,15,0)),0,VLOOKUP($S$77,'TAR FIN'!$A$1:$O$99,15,0))*(1-0.04)</f>
        <v>25.401599999999998</v>
      </c>
      <c r="W77" s="70">
        <f>IF(ISERROR(VLOOKUP($T$77,'TAR FIN'!$A$1:$O$99,15,0)),0,VLOOKUP($T$77,'TAR FIN'!$A$1:$O$99,15,0))*(1-0.04)</f>
        <v>62.524799999999992</v>
      </c>
      <c r="X77" s="70">
        <f>IF(ISERROR(VLOOKUP($U$77,'TAR FIN'!$A$1:$O$99,15,0)),0,VLOOKUP($U$77,'TAR FIN'!$A$1:$O$99,15,0))*(1-0.04)</f>
        <v>332.74560000000002</v>
      </c>
      <c r="Y77" s="70">
        <f ca="1">('TUSD BE'!$AM$5+'TUSD BF'!$AM$5+'TUSD CVA'!$AM$5)*1*(1-0.02)</f>
        <v>29.730549555259678</v>
      </c>
      <c r="Z77" s="70">
        <f ca="1">('TUSD BE'!$AM$7+'TUSD BF'!$AM$7+'TUSD CVA'!$AM$7)*1*(1-0.02)</f>
        <v>74.718606972898527</v>
      </c>
      <c r="AA77" s="70">
        <f>('TE BE'!$AA$5+'TE BF'!$AA$5+'TE CVA'!$AA$5)*1*(1-0.02)</f>
        <v>415.4185945530557</v>
      </c>
      <c r="AB77" s="70">
        <f>(SUBSIDIO!$J$77*SUBSIDIO!$V$77)*(0.04)/(1-0.04)</f>
        <v>14807.016</v>
      </c>
      <c r="AC77" s="70">
        <f>((SUBSIDIO!$L$77*SUBSIDIO!$W$77)+(SUBSIDIO!$N$77*SUBSIDIO!$X$77))*(0.04)/(1-0.04)</f>
        <v>4889.741892</v>
      </c>
      <c r="AD77" s="70">
        <f ca="1">(SUBSIDIO!$J$77*SUBSIDIO!$Y$77)*(0.02)/(1-0.02)</f>
        <v>8488.3752709812834</v>
      </c>
      <c r="AE77" s="70">
        <f ca="1">((SUBSIDIO!$L$77*SUBSIDIO!$Z$77)+(SUBSIDIO!$N$77*SUBSIDIO!$AA$77))*(0.02)/(1-0.02)</f>
        <v>2969.7813152458812</v>
      </c>
      <c r="AF77" s="3" t="s">
        <v>951</v>
      </c>
    </row>
    <row r="78" spans="1:32" ht="11.25" customHeight="1" x14ac:dyDescent="0.25">
      <c r="A78" s="3" t="s">
        <v>21</v>
      </c>
      <c r="B78" s="3" t="s">
        <v>41</v>
      </c>
      <c r="C78" s="3" t="s">
        <v>42</v>
      </c>
      <c r="D78" s="3" t="s">
        <v>45</v>
      </c>
      <c r="E78" s="3" t="s">
        <v>25</v>
      </c>
      <c r="F78" s="3" t="s">
        <v>25</v>
      </c>
      <c r="G78" s="3" t="s">
        <v>25</v>
      </c>
      <c r="H78" s="3" t="s">
        <v>36</v>
      </c>
      <c r="I78" s="6">
        <v>44317</v>
      </c>
      <c r="J78" s="4">
        <v>144</v>
      </c>
      <c r="K78" s="70">
        <v>144</v>
      </c>
      <c r="L78" s="4">
        <v>8.6219999999999999</v>
      </c>
      <c r="M78" s="70">
        <v>8.6219999999999999</v>
      </c>
      <c r="N78" s="4">
        <v>8.6219999999999999</v>
      </c>
      <c r="O78" s="70">
        <v>8.6219999999999999</v>
      </c>
      <c r="P78" s="4">
        <v>0</v>
      </c>
      <c r="Q78" s="3" t="s">
        <v>26</v>
      </c>
      <c r="R78" s="3">
        <v>0</v>
      </c>
      <c r="S78" s="3">
        <v>93</v>
      </c>
      <c r="T78" s="3">
        <v>94</v>
      </c>
      <c r="U78" s="3">
        <v>48</v>
      </c>
      <c r="V78" s="70">
        <f>IF(ISERROR(VLOOKUP($S$78,'TAR FIN'!$A$1:$O$99,15,0)),0,VLOOKUP($S$78,'TAR FIN'!$A$1:$O$99,15,0))*(1-0.04)</f>
        <v>14.620799999999999</v>
      </c>
      <c r="W78" s="70">
        <f>IF(ISERROR(VLOOKUP($T$78,'TAR FIN'!$A$1:$O$99,15,0)),0,VLOOKUP($T$78,'TAR FIN'!$A$1:$O$99,15,0))*(1-0.04)</f>
        <v>62.524799999999992</v>
      </c>
      <c r="X78" s="70">
        <f>IF(ISERROR(VLOOKUP($U$78,'TAR FIN'!$A$1:$O$99,15,0)),0,VLOOKUP($U$78,'TAR FIN'!$A$1:$O$99,15,0))*(1-0.04)</f>
        <v>211.1712</v>
      </c>
      <c r="Y78" s="70">
        <f ca="1">('TUSD BE'!$AM$6+'TUSD BF'!$AM$6+'TUSD CVA'!$AM$6)*1*(1-0.02)</f>
        <v>16.016998924079751</v>
      </c>
      <c r="Z78" s="70">
        <f ca="1">('TUSD BE'!$AM$7+'TUSD BF'!$AM$7+'TUSD CVA'!$AM$7)*1*(1-0.02)</f>
        <v>74.718606972898527</v>
      </c>
      <c r="AA78" s="70">
        <f>('TE BE'!$AA$6+'TE BF'!$AA$6+'TE CVA'!$AA$6)*1*(1-0.02)</f>
        <v>265.71632769942346</v>
      </c>
      <c r="AB78" s="70">
        <f>(SUBSIDIO!$J$78*SUBSIDIO!$V$78)*(0.04)/(1-0.04)</f>
        <v>87.724800000000002</v>
      </c>
      <c r="AC78" s="70">
        <f>((SUBSIDIO!$L$78*SUBSIDIO!$W$78)+(SUBSIDIO!$N$78*SUBSIDIO!$X$78))*(0.04)/(1-0.04)</f>
        <v>98.325288000000015</v>
      </c>
      <c r="AD78" s="70">
        <f ca="1">(SUBSIDIO!$J$78*SUBSIDIO!$Y$78)*(0.02)/(1-0.02)</f>
        <v>47.0703641850507</v>
      </c>
      <c r="AE78" s="70">
        <f ca="1">((SUBSIDIO!$L$78*SUBSIDIO!$Z$78)+(SUBSIDIO!$N$78*SUBSIDIO!$AA$78))*(0.02)/(1-0.02)</f>
        <v>59.902653198872663</v>
      </c>
      <c r="AF78" s="3" t="s">
        <v>951</v>
      </c>
    </row>
    <row r="79" spans="1:32" ht="11.25" customHeight="1" x14ac:dyDescent="0.25">
      <c r="A79" s="3" t="s">
        <v>21</v>
      </c>
      <c r="B79" s="3" t="s">
        <v>41</v>
      </c>
      <c r="C79" s="3" t="s">
        <v>42</v>
      </c>
      <c r="D79" s="3" t="s">
        <v>45</v>
      </c>
      <c r="E79" s="3" t="s">
        <v>25</v>
      </c>
      <c r="F79" s="3" t="s">
        <v>25</v>
      </c>
      <c r="G79" s="3" t="s">
        <v>25</v>
      </c>
      <c r="H79" s="3" t="s">
        <v>36</v>
      </c>
      <c r="I79" s="6">
        <v>44348</v>
      </c>
      <c r="J79" s="4">
        <v>45</v>
      </c>
      <c r="K79" s="70">
        <v>45</v>
      </c>
      <c r="L79" s="4">
        <v>8.0399999999999991</v>
      </c>
      <c r="M79" s="70">
        <v>8.0399999999999991</v>
      </c>
      <c r="N79" s="4">
        <v>8.0399999999999991</v>
      </c>
      <c r="O79" s="70">
        <v>8.0399999999999991</v>
      </c>
      <c r="P79" s="4">
        <v>0</v>
      </c>
      <c r="Q79" s="3" t="s">
        <v>26</v>
      </c>
      <c r="R79" s="3">
        <v>0</v>
      </c>
      <c r="S79" s="3">
        <v>93</v>
      </c>
      <c r="T79" s="3">
        <v>94</v>
      </c>
      <c r="U79" s="3">
        <v>48</v>
      </c>
      <c r="V79" s="70">
        <f>IF(ISERROR(VLOOKUP($S$79,'TAR FIN'!$A$1:$O$99,15,0)),0,VLOOKUP($S$79,'TAR FIN'!$A$1:$O$99,15,0))*(1-0.04)</f>
        <v>14.620799999999999</v>
      </c>
      <c r="W79" s="70">
        <f>IF(ISERROR(VLOOKUP($T$79,'TAR FIN'!$A$1:$O$99,15,0)),0,VLOOKUP($T$79,'TAR FIN'!$A$1:$O$99,15,0))*(1-0.04)</f>
        <v>62.524799999999992</v>
      </c>
      <c r="X79" s="70">
        <f>IF(ISERROR(VLOOKUP($U$79,'TAR FIN'!$A$1:$O$99,15,0)),0,VLOOKUP($U$79,'TAR FIN'!$A$1:$O$99,15,0))*(1-0.04)</f>
        <v>211.1712</v>
      </c>
      <c r="Y79" s="70">
        <f ca="1">('TUSD BE'!$AM$6+'TUSD BF'!$AM$6+'TUSD CVA'!$AM$6)*1*(1-0.02)</f>
        <v>16.016998924079751</v>
      </c>
      <c r="Z79" s="70">
        <f ca="1">('TUSD BE'!$AM$7+'TUSD BF'!$AM$7+'TUSD CVA'!$AM$7)*1*(1-0.02)</f>
        <v>74.718606972898527</v>
      </c>
      <c r="AA79" s="70">
        <f>('TE BE'!$AA$6+'TE BF'!$AA$6+'TE CVA'!$AA$6)*1*(1-0.02)</f>
        <v>265.71632769942346</v>
      </c>
      <c r="AB79" s="70">
        <f>(SUBSIDIO!$J$79*SUBSIDIO!$V$79)*(0.04)/(1-0.04)</f>
        <v>27.413999999999998</v>
      </c>
      <c r="AC79" s="70">
        <f>((SUBSIDIO!$L$79*SUBSIDIO!$W$79)+(SUBSIDIO!$N$79*SUBSIDIO!$X$79))*(0.04)/(1-0.04)</f>
        <v>91.688159999999982</v>
      </c>
      <c r="AD79" s="70">
        <f ca="1">(SUBSIDIO!$J$79*SUBSIDIO!$Y$79)*(0.02)/(1-0.02)</f>
        <v>14.709488807828343</v>
      </c>
      <c r="AE79" s="70">
        <f ca="1">((SUBSIDIO!$L$79*SUBSIDIO!$Z$79)+(SUBSIDIO!$N$79*SUBSIDIO!$AA$79))*(0.02)/(1-0.02)</f>
        <v>55.859119893172839</v>
      </c>
      <c r="AF79" s="3" t="s">
        <v>951</v>
      </c>
    </row>
    <row r="80" spans="1:32" ht="11.25" customHeight="1" x14ac:dyDescent="0.25">
      <c r="A80" s="3" t="s">
        <v>21</v>
      </c>
      <c r="B80" s="3" t="s">
        <v>41</v>
      </c>
      <c r="C80" s="3" t="s">
        <v>42</v>
      </c>
      <c r="D80" s="3" t="s">
        <v>45</v>
      </c>
      <c r="E80" s="3" t="s">
        <v>25</v>
      </c>
      <c r="F80" s="3" t="s">
        <v>25</v>
      </c>
      <c r="G80" s="3" t="s">
        <v>25</v>
      </c>
      <c r="H80" s="3" t="s">
        <v>36</v>
      </c>
      <c r="I80" s="6">
        <v>44378</v>
      </c>
      <c r="J80" s="4">
        <v>45</v>
      </c>
      <c r="K80" s="70">
        <v>45</v>
      </c>
      <c r="L80" s="4">
        <v>8.1539999999999999</v>
      </c>
      <c r="M80" s="70">
        <v>8.1539999999999999</v>
      </c>
      <c r="N80" s="4">
        <v>8.1539999999999999</v>
      </c>
      <c r="O80" s="70">
        <v>8.1539999999999999</v>
      </c>
      <c r="P80" s="4">
        <v>0</v>
      </c>
      <c r="Q80" s="3" t="s">
        <v>26</v>
      </c>
      <c r="R80" s="3">
        <v>0</v>
      </c>
      <c r="S80" s="3">
        <v>93</v>
      </c>
      <c r="T80" s="3">
        <v>94</v>
      </c>
      <c r="U80" s="3">
        <v>48</v>
      </c>
      <c r="V80" s="70">
        <f>IF(ISERROR(VLOOKUP($S$80,'TAR FIN'!$A$1:$O$99,15,0)),0,VLOOKUP($S$80,'TAR FIN'!$A$1:$O$99,15,0))*(1-0.04)</f>
        <v>14.620799999999999</v>
      </c>
      <c r="W80" s="70">
        <f>IF(ISERROR(VLOOKUP($T$80,'TAR FIN'!$A$1:$O$99,15,0)),0,VLOOKUP($T$80,'TAR FIN'!$A$1:$O$99,15,0))*(1-0.04)</f>
        <v>62.524799999999992</v>
      </c>
      <c r="X80" s="70">
        <f>IF(ISERROR(VLOOKUP($U$80,'TAR FIN'!$A$1:$O$99,15,0)),0,VLOOKUP($U$80,'TAR FIN'!$A$1:$O$99,15,0))*(1-0.04)</f>
        <v>211.1712</v>
      </c>
      <c r="Y80" s="70">
        <f ca="1">('TUSD BE'!$AM$6+'TUSD BF'!$AM$6+'TUSD CVA'!$AM$6)*1*(1-0.02)</f>
        <v>16.016998924079751</v>
      </c>
      <c r="Z80" s="70">
        <f ca="1">('TUSD BE'!$AM$7+'TUSD BF'!$AM$7+'TUSD CVA'!$AM$7)*1*(1-0.02)</f>
        <v>74.718606972898527</v>
      </c>
      <c r="AA80" s="70">
        <f>('TE BE'!$AA$6+'TE BF'!$AA$6+'TE CVA'!$AA$6)*1*(1-0.02)</f>
        <v>265.71632769942346</v>
      </c>
      <c r="AB80" s="70">
        <f>(SUBSIDIO!$J$80*SUBSIDIO!$V$80)*(0.04)/(1-0.04)</f>
        <v>27.413999999999998</v>
      </c>
      <c r="AC80" s="70">
        <f>((SUBSIDIO!$L$80*SUBSIDIO!$W$80)+(SUBSIDIO!$N$80*SUBSIDIO!$X$80))*(0.04)/(1-0.04)</f>
        <v>92.988216000000008</v>
      </c>
      <c r="AD80" s="70">
        <f ca="1">(SUBSIDIO!$J$80*SUBSIDIO!$Y$80)*(0.02)/(1-0.02)</f>
        <v>14.709488807828343</v>
      </c>
      <c r="AE80" s="70">
        <f ca="1">((SUBSIDIO!$L$80*SUBSIDIO!$Z$80)+(SUBSIDIO!$N$80*SUBSIDIO!$AA$80))*(0.02)/(1-0.02)</f>
        <v>56.651152190165583</v>
      </c>
      <c r="AF80" s="3" t="s">
        <v>951</v>
      </c>
    </row>
    <row r="81" spans="1:32" ht="11.25" customHeight="1" x14ac:dyDescent="0.25">
      <c r="A81" s="3" t="s">
        <v>21</v>
      </c>
      <c r="B81" s="3" t="s">
        <v>41</v>
      </c>
      <c r="C81" s="3" t="s">
        <v>42</v>
      </c>
      <c r="D81" s="3" t="s">
        <v>45</v>
      </c>
      <c r="E81" s="3" t="s">
        <v>25</v>
      </c>
      <c r="F81" s="3" t="s">
        <v>25</v>
      </c>
      <c r="G81" s="3" t="s">
        <v>25</v>
      </c>
      <c r="H81" s="3" t="s">
        <v>35</v>
      </c>
      <c r="I81" s="6">
        <v>44317</v>
      </c>
      <c r="J81" s="4">
        <v>1022</v>
      </c>
      <c r="K81" s="70">
        <v>1022</v>
      </c>
      <c r="L81" s="4">
        <v>0.96599999999999997</v>
      </c>
      <c r="M81" s="70">
        <v>0.96599999999999997</v>
      </c>
      <c r="N81" s="4">
        <v>0.96599999999999997</v>
      </c>
      <c r="O81" s="70">
        <v>0.96599999999999997</v>
      </c>
      <c r="P81" s="4">
        <v>0</v>
      </c>
      <c r="Q81" s="3" t="s">
        <v>26</v>
      </c>
      <c r="R81" s="3">
        <v>0</v>
      </c>
      <c r="S81" s="3">
        <v>92</v>
      </c>
      <c r="T81" s="3">
        <v>94</v>
      </c>
      <c r="U81" s="3">
        <v>47</v>
      </c>
      <c r="V81" s="70">
        <f>IF(ISERROR(VLOOKUP($S$81,'TAR FIN'!$A$1:$O$99,15,0)),0,VLOOKUP($S$81,'TAR FIN'!$A$1:$O$99,15,0))*(1-0.04)</f>
        <v>25.401599999999998</v>
      </c>
      <c r="W81" s="70">
        <f>IF(ISERROR(VLOOKUP($T$81,'TAR FIN'!$A$1:$O$99,15,0)),0,VLOOKUP($T$81,'TAR FIN'!$A$1:$O$99,15,0))*(1-0.04)</f>
        <v>62.524799999999992</v>
      </c>
      <c r="X81" s="70">
        <f>IF(ISERROR(VLOOKUP($U$81,'TAR FIN'!$A$1:$O$99,15,0)),0,VLOOKUP($U$81,'TAR FIN'!$A$1:$O$99,15,0))*(1-0.04)</f>
        <v>332.74560000000002</v>
      </c>
      <c r="Y81" s="70">
        <f ca="1">('TUSD BE'!$AM$5+'TUSD BF'!$AM$5+'TUSD CVA'!$AM$5)*1*(1-0.02)</f>
        <v>29.730549555259678</v>
      </c>
      <c r="Z81" s="70">
        <f ca="1">('TUSD BE'!$AM$7+'TUSD BF'!$AM$7+'TUSD CVA'!$AM$7)*1*(1-0.02)</f>
        <v>74.718606972898527</v>
      </c>
      <c r="AA81" s="70">
        <f>('TE BE'!$AA$5+'TE BF'!$AA$5+'TE CVA'!$AA$5)*1*(1-0.02)</f>
        <v>415.4185945530557</v>
      </c>
      <c r="AB81" s="70">
        <f>(SUBSIDIO!$J$81*SUBSIDIO!$V$81)*(0.04)/(1-0.04)</f>
        <v>1081.6848</v>
      </c>
      <c r="AC81" s="70">
        <f>((SUBSIDIO!$L$81*SUBSIDIO!$W$81)+(SUBSIDIO!$N$81*SUBSIDIO!$X$81))*(0.04)/(1-0.04)</f>
        <v>15.909633600000003</v>
      </c>
      <c r="AD81" s="70">
        <f ca="1">(SUBSIDIO!$J$81*SUBSIDIO!$Y$81)*(0.02)/(1-0.02)</f>
        <v>620.0943192954162</v>
      </c>
      <c r="AE81" s="70">
        <f ca="1">((SUBSIDIO!$L$81*SUBSIDIO!$Z$81)+(SUBSIDIO!$N$81*SUBSIDIO!$AA$81))*(0.02)/(1-0.02)</f>
        <v>9.6627048300830971</v>
      </c>
      <c r="AF81" s="3" t="s">
        <v>951</v>
      </c>
    </row>
    <row r="82" spans="1:32" ht="11.25" customHeight="1" x14ac:dyDescent="0.25">
      <c r="A82" s="3" t="s">
        <v>21</v>
      </c>
      <c r="B82" s="3" t="s">
        <v>41</v>
      </c>
      <c r="C82" s="3" t="s">
        <v>42</v>
      </c>
      <c r="D82" s="3" t="s">
        <v>45</v>
      </c>
      <c r="E82" s="3" t="s">
        <v>25</v>
      </c>
      <c r="F82" s="3" t="s">
        <v>25</v>
      </c>
      <c r="G82" s="3" t="s">
        <v>25</v>
      </c>
      <c r="H82" s="3" t="s">
        <v>35</v>
      </c>
      <c r="I82" s="6">
        <v>44348</v>
      </c>
      <c r="J82" s="4">
        <v>24</v>
      </c>
      <c r="K82" s="70">
        <v>24</v>
      </c>
      <c r="L82" s="4">
        <v>0.93600000000000005</v>
      </c>
      <c r="M82" s="70">
        <v>0.93600000000000005</v>
      </c>
      <c r="N82" s="4">
        <v>0.93600000000000005</v>
      </c>
      <c r="O82" s="70">
        <v>0.93600000000000005</v>
      </c>
      <c r="P82" s="4">
        <v>0</v>
      </c>
      <c r="Q82" s="3" t="s">
        <v>26</v>
      </c>
      <c r="R82" s="3">
        <v>0</v>
      </c>
      <c r="S82" s="3">
        <v>92</v>
      </c>
      <c r="T82" s="3">
        <v>94</v>
      </c>
      <c r="U82" s="3">
        <v>47</v>
      </c>
      <c r="V82" s="70">
        <f>IF(ISERROR(VLOOKUP($S$82,'TAR FIN'!$A$1:$O$99,15,0)),0,VLOOKUP($S$82,'TAR FIN'!$A$1:$O$99,15,0))*(1-0.04)</f>
        <v>25.401599999999998</v>
      </c>
      <c r="W82" s="70">
        <f>IF(ISERROR(VLOOKUP($T$82,'TAR FIN'!$A$1:$O$99,15,0)),0,VLOOKUP($T$82,'TAR FIN'!$A$1:$O$99,15,0))*(1-0.04)</f>
        <v>62.524799999999992</v>
      </c>
      <c r="X82" s="70">
        <f>IF(ISERROR(VLOOKUP($U$82,'TAR FIN'!$A$1:$O$99,15,0)),0,VLOOKUP($U$82,'TAR FIN'!$A$1:$O$99,15,0))*(1-0.04)</f>
        <v>332.74560000000002</v>
      </c>
      <c r="Y82" s="70">
        <f ca="1">('TUSD BE'!$AM$5+'TUSD BF'!$AM$5+'TUSD CVA'!$AM$5)*1*(1-0.02)</f>
        <v>29.730549555259678</v>
      </c>
      <c r="Z82" s="70">
        <f ca="1">('TUSD BE'!$AM$7+'TUSD BF'!$AM$7+'TUSD CVA'!$AM$7)*1*(1-0.02)</f>
        <v>74.718606972898527</v>
      </c>
      <c r="AA82" s="70">
        <f>('TE BE'!$AA$5+'TE BF'!$AA$5+'TE CVA'!$AA$5)*1*(1-0.02)</f>
        <v>415.4185945530557</v>
      </c>
      <c r="AB82" s="70">
        <f>(SUBSIDIO!$J$82*SUBSIDIO!$V$82)*(0.04)/(1-0.04)</f>
        <v>25.401599999999998</v>
      </c>
      <c r="AC82" s="70">
        <f>((SUBSIDIO!$L$82*SUBSIDIO!$W$82)+(SUBSIDIO!$N$82*SUBSIDIO!$X$82))*(0.04)/(1-0.04)</f>
        <v>15.415545600000003</v>
      </c>
      <c r="AD82" s="70">
        <f ca="1">(SUBSIDIO!$J$82*SUBSIDIO!$Y$82)*(0.02)/(1-0.02)</f>
        <v>14.561901822984334</v>
      </c>
      <c r="AE82" s="70">
        <f ca="1">((SUBSIDIO!$L$82*SUBSIDIO!$Z$82)+(SUBSIDIO!$N$82*SUBSIDIO!$AA$82))*(0.02)/(1-0.02)</f>
        <v>9.36262082914884</v>
      </c>
      <c r="AF82" s="3" t="s">
        <v>951</v>
      </c>
    </row>
    <row r="83" spans="1:32" ht="11.25" customHeight="1" x14ac:dyDescent="0.25">
      <c r="A83" s="3" t="s">
        <v>21</v>
      </c>
      <c r="B83" s="3" t="s">
        <v>41</v>
      </c>
      <c r="C83" s="3" t="s">
        <v>42</v>
      </c>
      <c r="D83" s="3" t="s">
        <v>45</v>
      </c>
      <c r="E83" s="3" t="s">
        <v>25</v>
      </c>
      <c r="F83" s="3" t="s">
        <v>25</v>
      </c>
      <c r="G83" s="3" t="s">
        <v>25</v>
      </c>
      <c r="H83" s="3" t="s">
        <v>35</v>
      </c>
      <c r="I83" s="6">
        <v>44378</v>
      </c>
      <c r="J83" s="4">
        <v>24</v>
      </c>
      <c r="K83" s="70">
        <v>24</v>
      </c>
      <c r="L83" s="4">
        <v>0.99</v>
      </c>
      <c r="M83" s="70">
        <v>0.99</v>
      </c>
      <c r="N83" s="4">
        <v>0.99</v>
      </c>
      <c r="O83" s="70">
        <v>0.99</v>
      </c>
      <c r="P83" s="4">
        <v>0</v>
      </c>
      <c r="Q83" s="3" t="s">
        <v>26</v>
      </c>
      <c r="R83" s="3">
        <v>0</v>
      </c>
      <c r="S83" s="3">
        <v>92</v>
      </c>
      <c r="T83" s="3">
        <v>94</v>
      </c>
      <c r="U83" s="3">
        <v>47</v>
      </c>
      <c r="V83" s="70">
        <f>IF(ISERROR(VLOOKUP($S$83,'TAR FIN'!$A$1:$O$99,15,0)),0,VLOOKUP($S$83,'TAR FIN'!$A$1:$O$99,15,0))*(1-0.04)</f>
        <v>25.401599999999998</v>
      </c>
      <c r="W83" s="70">
        <f>IF(ISERROR(VLOOKUP($T$83,'TAR FIN'!$A$1:$O$99,15,0)),0,VLOOKUP($T$83,'TAR FIN'!$A$1:$O$99,15,0))*(1-0.04)</f>
        <v>62.524799999999992</v>
      </c>
      <c r="X83" s="70">
        <f>IF(ISERROR(VLOOKUP($U$83,'TAR FIN'!$A$1:$O$99,15,0)),0,VLOOKUP($U$83,'TAR FIN'!$A$1:$O$99,15,0))*(1-0.04)</f>
        <v>332.74560000000002</v>
      </c>
      <c r="Y83" s="70">
        <f ca="1">('TUSD BE'!$AM$5+'TUSD BF'!$AM$5+'TUSD CVA'!$AM$5)*1*(1-0.02)</f>
        <v>29.730549555259678</v>
      </c>
      <c r="Z83" s="70">
        <f ca="1">('TUSD BE'!$AM$7+'TUSD BF'!$AM$7+'TUSD CVA'!$AM$7)*1*(1-0.02)</f>
        <v>74.718606972898527</v>
      </c>
      <c r="AA83" s="70">
        <f>('TE BE'!$AA$5+'TE BF'!$AA$5+'TE CVA'!$AA$5)*1*(1-0.02)</f>
        <v>415.4185945530557</v>
      </c>
      <c r="AB83" s="70">
        <f>(SUBSIDIO!$J$83*SUBSIDIO!$V$83)*(0.04)/(1-0.04)</f>
        <v>25.401599999999998</v>
      </c>
      <c r="AC83" s="70">
        <f>((SUBSIDIO!$L$83*SUBSIDIO!$W$83)+(SUBSIDIO!$N$83*SUBSIDIO!$X$83))*(0.04)/(1-0.04)</f>
        <v>16.304904000000001</v>
      </c>
      <c r="AD83" s="70">
        <f ca="1">(SUBSIDIO!$J$83*SUBSIDIO!$Y$83)*(0.02)/(1-0.02)</f>
        <v>14.561901822984334</v>
      </c>
      <c r="AE83" s="70">
        <f ca="1">((SUBSIDIO!$L$83*SUBSIDIO!$Z$83)+(SUBSIDIO!$N$83*SUBSIDIO!$AA$83))*(0.02)/(1-0.02)</f>
        <v>9.9027720308305032</v>
      </c>
      <c r="AF83" s="3" t="s">
        <v>951</v>
      </c>
    </row>
    <row r="84" spans="1:32" ht="11.25" customHeight="1" x14ac:dyDescent="0.25">
      <c r="A84" s="3" t="s">
        <v>21</v>
      </c>
      <c r="B84" s="3" t="s">
        <v>41</v>
      </c>
      <c r="C84" s="3" t="s">
        <v>42</v>
      </c>
      <c r="D84" s="3" t="s">
        <v>50</v>
      </c>
      <c r="E84" s="3" t="s">
        <v>51</v>
      </c>
      <c r="F84" s="3" t="s">
        <v>25</v>
      </c>
      <c r="G84" s="3" t="s">
        <v>25</v>
      </c>
      <c r="H84" s="3" t="s">
        <v>36</v>
      </c>
      <c r="I84" s="6">
        <v>44317</v>
      </c>
      <c r="J84" s="4">
        <v>4600</v>
      </c>
      <c r="K84" s="71">
        <v>4600</v>
      </c>
      <c r="L84" s="4">
        <v>225.024</v>
      </c>
      <c r="M84" s="70">
        <v>225.024</v>
      </c>
      <c r="N84" s="4">
        <v>225.024</v>
      </c>
      <c r="O84" s="70">
        <v>225.024</v>
      </c>
      <c r="P84" s="4">
        <v>0</v>
      </c>
      <c r="Q84" s="3" t="s">
        <v>26</v>
      </c>
      <c r="R84" s="3">
        <v>0</v>
      </c>
      <c r="S84" s="3">
        <v>93</v>
      </c>
      <c r="T84" s="3">
        <v>94</v>
      </c>
      <c r="U84" s="3">
        <v>48</v>
      </c>
      <c r="V84" s="70">
        <f>IF(ISERROR(VLOOKUP($S$84,'TAR FIN'!$A$1:$O$99,15,0)),0,VLOOKUP($S$84,'TAR FIN'!$A$1:$O$99,15,0))*(1-0.06)</f>
        <v>14.3162</v>
      </c>
      <c r="W84" s="70">
        <f>IF(ISERROR(VLOOKUP($T$84,'TAR FIN'!$A$1:$O$99,15,0)),0,VLOOKUP($T$84,'TAR FIN'!$A$1:$O$99,15,0))*(1-0.06)</f>
        <v>61.222199999999994</v>
      </c>
      <c r="X84" s="70">
        <f>IF(ISERROR(VLOOKUP($U$84,'TAR FIN'!$A$1:$O$99,15,0)),0,VLOOKUP($U$84,'TAR FIN'!$A$1:$O$99,15,0))*(1-0.06)</f>
        <v>206.77179999999998</v>
      </c>
      <c r="Y84" s="70">
        <f ca="1">('TUSD BE'!$AM$6+'TUSD BF'!$AM$6+'TUSD CVA'!$AM$6)*1*(1-0.03)</f>
        <v>15.853560159548325</v>
      </c>
      <c r="Z84" s="70">
        <f ca="1">('TUSD BE'!$AM$7+'TUSD BF'!$AM$7+'TUSD CVA'!$AM$7)*1*(1-0.03)</f>
        <v>73.956172207868946</v>
      </c>
      <c r="AA84" s="70">
        <f>('TE BE'!$AA$6+'TE BF'!$AA$6+'TE CVA'!$AA$6)*1*(1-0.03)</f>
        <v>263.00493660044975</v>
      </c>
      <c r="AB84" s="70">
        <f>(SUBSIDIO!$J$84*SUBSIDIO!$V$84)*(0.06)/(1-0.06)</f>
        <v>4203.4800000000005</v>
      </c>
      <c r="AC84" s="70">
        <f>((SUBSIDIO!$L$84*SUBSIDIO!$W$84)+(SUBSIDIO!$N$84*SUBSIDIO!$X$84))*(0.06)/(1-0.06)</f>
        <v>3849.2605439999993</v>
      </c>
      <c r="AD84" s="70">
        <f ca="1">(SUBSIDIO!$J$84*SUBSIDIO!$Y$84)*(0.03)/(1-0.03)</f>
        <v>2255.4549505336795</v>
      </c>
      <c r="AE84" s="70">
        <f ca="1">((SUBSIDIO!$L$84*SUBSIDIO!$Z$84)+(SUBSIDIO!$N$84*SUBSIDIO!$AA$84))*(0.03)/(1-0.03)</f>
        <v>2345.082573664426</v>
      </c>
      <c r="AF84" s="3" t="s">
        <v>953</v>
      </c>
    </row>
    <row r="85" spans="1:32" ht="11.25" customHeight="1" x14ac:dyDescent="0.25">
      <c r="A85" s="3" t="s">
        <v>21</v>
      </c>
      <c r="B85" s="3" t="s">
        <v>41</v>
      </c>
      <c r="C85" s="3" t="s">
        <v>42</v>
      </c>
      <c r="D85" s="3" t="s">
        <v>50</v>
      </c>
      <c r="E85" s="3" t="s">
        <v>51</v>
      </c>
      <c r="F85" s="3" t="s">
        <v>25</v>
      </c>
      <c r="G85" s="3" t="s">
        <v>25</v>
      </c>
      <c r="H85" s="3" t="s">
        <v>36</v>
      </c>
      <c r="I85" s="6">
        <v>44348</v>
      </c>
      <c r="J85" s="4">
        <v>4600</v>
      </c>
      <c r="K85" s="71">
        <v>4600</v>
      </c>
      <c r="L85" s="4">
        <v>282.38400000000001</v>
      </c>
      <c r="M85" s="70">
        <v>282.38400000000001</v>
      </c>
      <c r="N85" s="4">
        <v>282.38400000000001</v>
      </c>
      <c r="O85" s="70">
        <v>282.38400000000001</v>
      </c>
      <c r="P85" s="4">
        <v>0</v>
      </c>
      <c r="Q85" s="3" t="s">
        <v>26</v>
      </c>
      <c r="R85" s="3">
        <v>0</v>
      </c>
      <c r="S85" s="3">
        <v>93</v>
      </c>
      <c r="T85" s="3">
        <v>94</v>
      </c>
      <c r="U85" s="3">
        <v>48</v>
      </c>
      <c r="V85" s="70">
        <f>IF(ISERROR(VLOOKUP($S$85,'TAR FIN'!$A$1:$O$99,15,0)),0,VLOOKUP($S$85,'TAR FIN'!$A$1:$O$99,15,0))*(1-0.06)</f>
        <v>14.3162</v>
      </c>
      <c r="W85" s="70">
        <f>IF(ISERROR(VLOOKUP($T$85,'TAR FIN'!$A$1:$O$99,15,0)),0,VLOOKUP($T$85,'TAR FIN'!$A$1:$O$99,15,0))*(1-0.06)</f>
        <v>61.222199999999994</v>
      </c>
      <c r="X85" s="70">
        <f>IF(ISERROR(VLOOKUP($U$85,'TAR FIN'!$A$1:$O$99,15,0)),0,VLOOKUP($U$85,'TAR FIN'!$A$1:$O$99,15,0))*(1-0.06)</f>
        <v>206.77179999999998</v>
      </c>
      <c r="Y85" s="70">
        <f ca="1">('TUSD BE'!$AM$6+'TUSD BF'!$AM$6+'TUSD CVA'!$AM$6)*1*(1-0.03)</f>
        <v>15.853560159548325</v>
      </c>
      <c r="Z85" s="70">
        <f ca="1">('TUSD BE'!$AM$7+'TUSD BF'!$AM$7+'TUSD CVA'!$AM$7)*1*(1-0.03)</f>
        <v>73.956172207868946</v>
      </c>
      <c r="AA85" s="70">
        <f>('TE BE'!$AA$6+'TE BF'!$AA$6+'TE CVA'!$AA$6)*1*(1-0.03)</f>
        <v>263.00493660044975</v>
      </c>
      <c r="AB85" s="70">
        <f>(SUBSIDIO!$J$85*SUBSIDIO!$V$85)*(0.06)/(1-0.06)</f>
        <v>4203.4800000000005</v>
      </c>
      <c r="AC85" s="70">
        <f>((SUBSIDIO!$L$85*SUBSIDIO!$W$85)+(SUBSIDIO!$N$85*SUBSIDIO!$X$85))*(0.06)/(1-0.06)</f>
        <v>4830.460704000001</v>
      </c>
      <c r="AD85" s="70">
        <f ca="1">(SUBSIDIO!$J$85*SUBSIDIO!$Y$85)*(0.03)/(1-0.03)</f>
        <v>2255.4549505336795</v>
      </c>
      <c r="AE85" s="70">
        <f ca="1">((SUBSIDIO!$L$85*SUBSIDIO!$Z$85)+(SUBSIDIO!$N$85*SUBSIDIO!$AA$85))*(0.03)/(1-0.03)</f>
        <v>2942.8585283421112</v>
      </c>
      <c r="AF85" s="3" t="s">
        <v>953</v>
      </c>
    </row>
    <row r="86" spans="1:32" ht="11.25" customHeight="1" x14ac:dyDescent="0.25">
      <c r="A86" s="3" t="s">
        <v>21</v>
      </c>
      <c r="B86" s="3" t="s">
        <v>41</v>
      </c>
      <c r="C86" s="3" t="s">
        <v>42</v>
      </c>
      <c r="D86" s="3" t="s">
        <v>50</v>
      </c>
      <c r="E86" s="3" t="s">
        <v>51</v>
      </c>
      <c r="F86" s="3" t="s">
        <v>25</v>
      </c>
      <c r="G86" s="3" t="s">
        <v>25</v>
      </c>
      <c r="H86" s="3" t="s">
        <v>36</v>
      </c>
      <c r="I86" s="6">
        <v>44378</v>
      </c>
      <c r="J86" s="4">
        <v>4600</v>
      </c>
      <c r="K86" s="71">
        <v>4600</v>
      </c>
      <c r="L86" s="4">
        <v>240.096</v>
      </c>
      <c r="M86" s="70">
        <v>240.096</v>
      </c>
      <c r="N86" s="4">
        <v>240.096</v>
      </c>
      <c r="O86" s="70">
        <v>240.096</v>
      </c>
      <c r="P86" s="4">
        <v>0</v>
      </c>
      <c r="Q86" s="3" t="s">
        <v>26</v>
      </c>
      <c r="R86" s="3">
        <v>0</v>
      </c>
      <c r="S86" s="3">
        <v>93</v>
      </c>
      <c r="T86" s="3">
        <v>94</v>
      </c>
      <c r="U86" s="3">
        <v>48</v>
      </c>
      <c r="V86" s="70">
        <f>IF(ISERROR(VLOOKUP($S$86,'TAR FIN'!$A$1:$O$99,15,0)),0,VLOOKUP($S$86,'TAR FIN'!$A$1:$O$99,15,0))*(1-0.06)</f>
        <v>14.3162</v>
      </c>
      <c r="W86" s="70">
        <f>IF(ISERROR(VLOOKUP($T$86,'TAR FIN'!$A$1:$O$99,15,0)),0,VLOOKUP($T$86,'TAR FIN'!$A$1:$O$99,15,0))*(1-0.06)</f>
        <v>61.222199999999994</v>
      </c>
      <c r="X86" s="70">
        <f>IF(ISERROR(VLOOKUP($U$86,'TAR FIN'!$A$1:$O$99,15,0)),0,VLOOKUP($U$86,'TAR FIN'!$A$1:$O$99,15,0))*(1-0.06)</f>
        <v>206.77179999999998</v>
      </c>
      <c r="Y86" s="70">
        <f ca="1">('TUSD BE'!$AM$6+'TUSD BF'!$AM$6+'TUSD CVA'!$AM$6)*1*(1-0.03)</f>
        <v>15.853560159548325</v>
      </c>
      <c r="Z86" s="70">
        <f ca="1">('TUSD BE'!$AM$7+'TUSD BF'!$AM$7+'TUSD CVA'!$AM$7)*1*(1-0.03)</f>
        <v>73.956172207868946</v>
      </c>
      <c r="AA86" s="70">
        <f>('TE BE'!$AA$6+'TE BF'!$AA$6+'TE CVA'!$AA$6)*1*(1-0.03)</f>
        <v>263.00493660044975</v>
      </c>
      <c r="AB86" s="70">
        <f>(SUBSIDIO!$J$86*SUBSIDIO!$V$86)*(0.06)/(1-0.06)</f>
        <v>4203.4800000000005</v>
      </c>
      <c r="AC86" s="70">
        <f>((SUBSIDIO!$L$86*SUBSIDIO!$W$86)+(SUBSIDIO!$N$86*SUBSIDIO!$X$86))*(0.06)/(1-0.06)</f>
        <v>4107.0821759999999</v>
      </c>
      <c r="AD86" s="70">
        <f ca="1">(SUBSIDIO!$J$86*SUBSIDIO!$Y$86)*(0.03)/(1-0.03)</f>
        <v>2255.4549505336795</v>
      </c>
      <c r="AE86" s="70">
        <f ca="1">((SUBSIDIO!$L$86*SUBSIDIO!$Z$86)+(SUBSIDIO!$N$86*SUBSIDIO!$AA$86))*(0.03)/(1-0.03)</f>
        <v>2502.1550839311985</v>
      </c>
      <c r="AF86" s="3" t="s">
        <v>953</v>
      </c>
    </row>
    <row r="87" spans="1:32" ht="11.25" customHeight="1" x14ac:dyDescent="0.25">
      <c r="A87" s="3" t="s">
        <v>21</v>
      </c>
      <c r="B87" s="3" t="s">
        <v>41</v>
      </c>
      <c r="C87" s="3" t="s">
        <v>42</v>
      </c>
      <c r="D87" s="3" t="s">
        <v>50</v>
      </c>
      <c r="E87" s="3" t="s">
        <v>51</v>
      </c>
      <c r="F87" s="3" t="s">
        <v>25</v>
      </c>
      <c r="G87" s="3" t="s">
        <v>25</v>
      </c>
      <c r="H87" s="3" t="s">
        <v>36</v>
      </c>
      <c r="I87" s="6">
        <v>44409</v>
      </c>
      <c r="J87" s="4">
        <v>4600</v>
      </c>
      <c r="K87" s="71">
        <v>4600</v>
      </c>
      <c r="L87" s="4">
        <v>341.88</v>
      </c>
      <c r="M87" s="70">
        <v>341.88</v>
      </c>
      <c r="N87" s="4">
        <v>341.88</v>
      </c>
      <c r="O87" s="70">
        <v>341.88</v>
      </c>
      <c r="P87" s="4">
        <v>0</v>
      </c>
      <c r="Q87" s="3" t="s">
        <v>26</v>
      </c>
      <c r="R87" s="3">
        <v>0</v>
      </c>
      <c r="S87" s="3">
        <v>93</v>
      </c>
      <c r="T87" s="3">
        <v>94</v>
      </c>
      <c r="U87" s="3">
        <v>48</v>
      </c>
      <c r="V87" s="70">
        <f>IF(ISERROR(VLOOKUP($S$87,'TAR FIN'!$A$1:$O$99,15,0)),0,VLOOKUP($S$87,'TAR FIN'!$A$1:$O$99,15,0))*(1-0.06)</f>
        <v>14.3162</v>
      </c>
      <c r="W87" s="70">
        <f>IF(ISERROR(VLOOKUP($T$87,'TAR FIN'!$A$1:$O$99,15,0)),0,VLOOKUP($T$87,'TAR FIN'!$A$1:$O$99,15,0))*(1-0.06)</f>
        <v>61.222199999999994</v>
      </c>
      <c r="X87" s="70">
        <f>IF(ISERROR(VLOOKUP($U$87,'TAR FIN'!$A$1:$O$99,15,0)),0,VLOOKUP($U$87,'TAR FIN'!$A$1:$O$99,15,0))*(1-0.06)</f>
        <v>206.77179999999998</v>
      </c>
      <c r="Y87" s="70">
        <f ca="1">('TUSD BE'!$AM$6+'TUSD BF'!$AM$6+'TUSD CVA'!$AM$6)*1*(1-0.03)</f>
        <v>15.853560159548325</v>
      </c>
      <c r="Z87" s="70">
        <f ca="1">('TUSD BE'!$AM$7+'TUSD BF'!$AM$7+'TUSD CVA'!$AM$7)*1*(1-0.03)</f>
        <v>73.956172207868946</v>
      </c>
      <c r="AA87" s="70">
        <f>('TE BE'!$AA$6+'TE BF'!$AA$6+'TE CVA'!$AA$6)*1*(1-0.03)</f>
        <v>263.00493660044975</v>
      </c>
      <c r="AB87" s="70">
        <f>(SUBSIDIO!$J$87*SUBSIDIO!$V$87)*(0.06)/(1-0.06)</f>
        <v>4203.4800000000005</v>
      </c>
      <c r="AC87" s="70">
        <f>((SUBSIDIO!$L$87*SUBSIDIO!$W$87)+(SUBSIDIO!$N$87*SUBSIDIO!$X$87))*(0.06)/(1-0.06)</f>
        <v>5848.1992799999989</v>
      </c>
      <c r="AD87" s="70">
        <f ca="1">(SUBSIDIO!$J$87*SUBSIDIO!$Y$87)*(0.03)/(1-0.03)</f>
        <v>2255.4549505336795</v>
      </c>
      <c r="AE87" s="70">
        <f ca="1">((SUBSIDIO!$L$87*SUBSIDIO!$Z$87)+(SUBSIDIO!$N$87*SUBSIDIO!$AA$87))*(0.03)/(1-0.03)</f>
        <v>3562.8947591563297</v>
      </c>
      <c r="AF87" s="3" t="s">
        <v>953</v>
      </c>
    </row>
    <row r="88" spans="1:32" ht="11.25" customHeight="1" x14ac:dyDescent="0.25">
      <c r="A88" s="3" t="s">
        <v>21</v>
      </c>
      <c r="B88" s="3" t="s">
        <v>41</v>
      </c>
      <c r="C88" s="3" t="s">
        <v>42</v>
      </c>
      <c r="D88" s="3" t="s">
        <v>50</v>
      </c>
      <c r="E88" s="3" t="s">
        <v>51</v>
      </c>
      <c r="F88" s="3" t="s">
        <v>25</v>
      </c>
      <c r="G88" s="3" t="s">
        <v>25</v>
      </c>
      <c r="H88" s="3" t="s">
        <v>36</v>
      </c>
      <c r="I88" s="6">
        <v>44440</v>
      </c>
      <c r="J88" s="4">
        <v>4600</v>
      </c>
      <c r="K88" s="71">
        <v>4600</v>
      </c>
      <c r="L88" s="4">
        <v>384.49200000000002</v>
      </c>
      <c r="M88" s="70">
        <v>384.49200000000002</v>
      </c>
      <c r="N88" s="4">
        <v>384.49200000000002</v>
      </c>
      <c r="O88" s="70">
        <v>384.49200000000002</v>
      </c>
      <c r="P88" s="4">
        <v>0</v>
      </c>
      <c r="Q88" s="3" t="s">
        <v>26</v>
      </c>
      <c r="R88" s="3">
        <v>0</v>
      </c>
      <c r="S88" s="3">
        <v>93</v>
      </c>
      <c r="T88" s="3">
        <v>94</v>
      </c>
      <c r="U88" s="3">
        <v>48</v>
      </c>
      <c r="V88" s="70">
        <f>IF(ISERROR(VLOOKUP($S$88,'TAR FIN'!$A$1:$O$99,15,0)),0,VLOOKUP($S$88,'TAR FIN'!$A$1:$O$99,15,0))*(1-0.06)</f>
        <v>14.3162</v>
      </c>
      <c r="W88" s="70">
        <f>IF(ISERROR(VLOOKUP($T$88,'TAR FIN'!$A$1:$O$99,15,0)),0,VLOOKUP($T$88,'TAR FIN'!$A$1:$O$99,15,0))*(1-0.06)</f>
        <v>61.222199999999994</v>
      </c>
      <c r="X88" s="70">
        <f>IF(ISERROR(VLOOKUP($U$88,'TAR FIN'!$A$1:$O$99,15,0)),0,VLOOKUP($U$88,'TAR FIN'!$A$1:$O$99,15,0))*(1-0.06)</f>
        <v>206.77179999999998</v>
      </c>
      <c r="Y88" s="70">
        <f ca="1">('TUSD BE'!$AM$6+'TUSD BF'!$AM$6+'TUSD CVA'!$AM$6)*1*(1-0.03)</f>
        <v>15.853560159548325</v>
      </c>
      <c r="Z88" s="70">
        <f ca="1">('TUSD BE'!$AM$7+'TUSD BF'!$AM$7+'TUSD CVA'!$AM$7)*1*(1-0.03)</f>
        <v>73.956172207868946</v>
      </c>
      <c r="AA88" s="70">
        <f>('TE BE'!$AA$6+'TE BF'!$AA$6+'TE CVA'!$AA$6)*1*(1-0.03)</f>
        <v>263.00493660044975</v>
      </c>
      <c r="AB88" s="70">
        <f>(SUBSIDIO!$J$88*SUBSIDIO!$V$88)*(0.06)/(1-0.06)</f>
        <v>4203.4800000000005</v>
      </c>
      <c r="AC88" s="70">
        <f>((SUBSIDIO!$L$88*SUBSIDIO!$W$88)+(SUBSIDIO!$N$88*SUBSIDIO!$X$88))*(0.06)/(1-0.06)</f>
        <v>6577.1201520000004</v>
      </c>
      <c r="AD88" s="70">
        <f ca="1">(SUBSIDIO!$J$88*SUBSIDIO!$Y$88)*(0.03)/(1-0.03)</f>
        <v>2255.4549505336795</v>
      </c>
      <c r="AE88" s="70">
        <f ca="1">((SUBSIDIO!$L$88*SUBSIDIO!$Z$88)+(SUBSIDIO!$N$88*SUBSIDIO!$AA$88))*(0.03)/(1-0.03)</f>
        <v>4006.9747623070539</v>
      </c>
      <c r="AF88" s="3" t="s">
        <v>953</v>
      </c>
    </row>
    <row r="89" spans="1:32" ht="11.25" customHeight="1" x14ac:dyDescent="0.25">
      <c r="A89" s="3" t="s">
        <v>21</v>
      </c>
      <c r="B89" s="3" t="s">
        <v>41</v>
      </c>
      <c r="C89" s="3" t="s">
        <v>42</v>
      </c>
      <c r="D89" s="3" t="s">
        <v>50</v>
      </c>
      <c r="E89" s="3" t="s">
        <v>51</v>
      </c>
      <c r="F89" s="3" t="s">
        <v>25</v>
      </c>
      <c r="G89" s="3" t="s">
        <v>25</v>
      </c>
      <c r="H89" s="3" t="s">
        <v>36</v>
      </c>
      <c r="I89" s="6">
        <v>44470</v>
      </c>
      <c r="J89" s="4">
        <v>4600</v>
      </c>
      <c r="K89" s="71">
        <v>4600</v>
      </c>
      <c r="L89" s="4">
        <v>380.964</v>
      </c>
      <c r="M89" s="70">
        <v>380.964</v>
      </c>
      <c r="N89" s="4">
        <v>380.964</v>
      </c>
      <c r="O89" s="70">
        <v>380.964</v>
      </c>
      <c r="P89" s="4">
        <v>0</v>
      </c>
      <c r="Q89" s="3" t="s">
        <v>26</v>
      </c>
      <c r="R89" s="3">
        <v>0</v>
      </c>
      <c r="S89" s="3">
        <v>93</v>
      </c>
      <c r="T89" s="3">
        <v>94</v>
      </c>
      <c r="U89" s="3">
        <v>48</v>
      </c>
      <c r="V89" s="70">
        <f>IF(ISERROR(VLOOKUP($S$89,'TAR FIN'!$A$1:$O$99,15,0)),0,VLOOKUP($S$89,'TAR FIN'!$A$1:$O$99,15,0))*(1-0.06)</f>
        <v>14.3162</v>
      </c>
      <c r="W89" s="70">
        <f>IF(ISERROR(VLOOKUP($T$89,'TAR FIN'!$A$1:$O$99,15,0)),0,VLOOKUP($T$89,'TAR FIN'!$A$1:$O$99,15,0))*(1-0.06)</f>
        <v>61.222199999999994</v>
      </c>
      <c r="X89" s="70">
        <f>IF(ISERROR(VLOOKUP($U$89,'TAR FIN'!$A$1:$O$99,15,0)),0,VLOOKUP($U$89,'TAR FIN'!$A$1:$O$99,15,0))*(1-0.06)</f>
        <v>206.77179999999998</v>
      </c>
      <c r="Y89" s="70">
        <f ca="1">('TUSD BE'!$AM$6+'TUSD BF'!$AM$6+'TUSD CVA'!$AM$6)*1*(1-0.03)</f>
        <v>15.853560159548325</v>
      </c>
      <c r="Z89" s="70">
        <f ca="1">('TUSD BE'!$AM$7+'TUSD BF'!$AM$7+'TUSD CVA'!$AM$7)*1*(1-0.03)</f>
        <v>73.956172207868946</v>
      </c>
      <c r="AA89" s="70">
        <f>('TE BE'!$AA$6+'TE BF'!$AA$6+'TE CVA'!$AA$6)*1*(1-0.03)</f>
        <v>263.00493660044975</v>
      </c>
      <c r="AB89" s="70">
        <f>(SUBSIDIO!$J$89*SUBSIDIO!$V$89)*(0.06)/(1-0.06)</f>
        <v>4203.4800000000005</v>
      </c>
      <c r="AC89" s="70">
        <f>((SUBSIDIO!$L$89*SUBSIDIO!$W$89)+(SUBSIDIO!$N$89*SUBSIDIO!$X$89))*(0.06)/(1-0.06)</f>
        <v>6516.770184</v>
      </c>
      <c r="AD89" s="70">
        <f ca="1">(SUBSIDIO!$J$89*SUBSIDIO!$Y$89)*(0.03)/(1-0.03)</f>
        <v>2255.4549505336795</v>
      </c>
      <c r="AE89" s="70">
        <f ca="1">((SUBSIDIO!$L$89*SUBSIDIO!$Z$89)+(SUBSIDIO!$N$89*SUBSIDIO!$AA$89))*(0.03)/(1-0.03)</f>
        <v>3970.2077893624428</v>
      </c>
      <c r="AF89" s="3" t="s">
        <v>953</v>
      </c>
    </row>
    <row r="90" spans="1:32" ht="11.25" customHeight="1" x14ac:dyDescent="0.25">
      <c r="A90" s="3" t="s">
        <v>21</v>
      </c>
      <c r="B90" s="3" t="s">
        <v>41</v>
      </c>
      <c r="C90" s="3" t="s">
        <v>42</v>
      </c>
      <c r="D90" s="3" t="s">
        <v>50</v>
      </c>
      <c r="E90" s="3" t="s">
        <v>51</v>
      </c>
      <c r="F90" s="3" t="s">
        <v>25</v>
      </c>
      <c r="G90" s="3" t="s">
        <v>25</v>
      </c>
      <c r="H90" s="3" t="s">
        <v>36</v>
      </c>
      <c r="I90" s="6">
        <v>44501</v>
      </c>
      <c r="J90" s="4">
        <v>4600</v>
      </c>
      <c r="K90" s="71">
        <v>4600</v>
      </c>
      <c r="L90" s="4">
        <v>427.84800000000001</v>
      </c>
      <c r="M90" s="70">
        <v>427.84800000000001</v>
      </c>
      <c r="N90" s="4">
        <v>427.84800000000001</v>
      </c>
      <c r="O90" s="70">
        <v>427.84800000000001</v>
      </c>
      <c r="P90" s="4">
        <v>0</v>
      </c>
      <c r="Q90" s="3" t="s">
        <v>26</v>
      </c>
      <c r="R90" s="3">
        <v>0</v>
      </c>
      <c r="S90" s="3">
        <v>93</v>
      </c>
      <c r="T90" s="3">
        <v>94</v>
      </c>
      <c r="U90" s="3">
        <v>48</v>
      </c>
      <c r="V90" s="70">
        <f>IF(ISERROR(VLOOKUP($S$90,'TAR FIN'!$A$1:$O$99,15,0)),0,VLOOKUP($S$90,'TAR FIN'!$A$1:$O$99,15,0))*(1-0.06)</f>
        <v>14.3162</v>
      </c>
      <c r="W90" s="70">
        <f>IF(ISERROR(VLOOKUP($T$90,'TAR FIN'!$A$1:$O$99,15,0)),0,VLOOKUP($T$90,'TAR FIN'!$A$1:$O$99,15,0))*(1-0.06)</f>
        <v>61.222199999999994</v>
      </c>
      <c r="X90" s="70">
        <f>IF(ISERROR(VLOOKUP($U$90,'TAR FIN'!$A$1:$O$99,15,0)),0,VLOOKUP($U$90,'TAR FIN'!$A$1:$O$99,15,0))*(1-0.06)</f>
        <v>206.77179999999998</v>
      </c>
      <c r="Y90" s="70">
        <f ca="1">('TUSD BE'!$AM$6+'TUSD BF'!$AM$6+'TUSD CVA'!$AM$6)*1*(1-0.03)</f>
        <v>15.853560159548325</v>
      </c>
      <c r="Z90" s="70">
        <f ca="1">('TUSD BE'!$AM$7+'TUSD BF'!$AM$7+'TUSD CVA'!$AM$7)*1*(1-0.03)</f>
        <v>73.956172207868946</v>
      </c>
      <c r="AA90" s="70">
        <f>('TE BE'!$AA$6+'TE BF'!$AA$6+'TE CVA'!$AA$6)*1*(1-0.03)</f>
        <v>263.00493660044975</v>
      </c>
      <c r="AB90" s="70">
        <f>(SUBSIDIO!$J$90*SUBSIDIO!$V$90)*(0.06)/(1-0.06)</f>
        <v>4203.4800000000005</v>
      </c>
      <c r="AC90" s="70">
        <f>((SUBSIDIO!$L$90*SUBSIDIO!$W$90)+(SUBSIDIO!$N$90*SUBSIDIO!$X$90))*(0.06)/(1-0.06)</f>
        <v>7318.7678879999994</v>
      </c>
      <c r="AD90" s="70">
        <f ca="1">(SUBSIDIO!$J$90*SUBSIDIO!$Y$90)*(0.03)/(1-0.03)</f>
        <v>2255.4549505336795</v>
      </c>
      <c r="AE90" s="70">
        <f ca="1">((SUBSIDIO!$L$90*SUBSIDIO!$Z$90)+(SUBSIDIO!$N$90*SUBSIDIO!$AA$90))*(0.03)/(1-0.03)</f>
        <v>4458.8083447862327</v>
      </c>
      <c r="AF90" s="3" t="s">
        <v>953</v>
      </c>
    </row>
    <row r="91" spans="1:32" ht="11.25" customHeight="1" x14ac:dyDescent="0.25">
      <c r="A91" s="3" t="s">
        <v>21</v>
      </c>
      <c r="B91" s="3" t="s">
        <v>41</v>
      </c>
      <c r="C91" s="3" t="s">
        <v>42</v>
      </c>
      <c r="D91" s="3" t="s">
        <v>50</v>
      </c>
      <c r="E91" s="3" t="s">
        <v>51</v>
      </c>
      <c r="F91" s="3" t="s">
        <v>25</v>
      </c>
      <c r="G91" s="3" t="s">
        <v>25</v>
      </c>
      <c r="H91" s="3" t="s">
        <v>36</v>
      </c>
      <c r="I91" s="6">
        <v>44531</v>
      </c>
      <c r="J91" s="4">
        <v>4600</v>
      </c>
      <c r="K91" s="71">
        <v>4600</v>
      </c>
      <c r="L91" s="4">
        <v>392.08800000000002</v>
      </c>
      <c r="M91" s="70">
        <v>392.08800000000002</v>
      </c>
      <c r="N91" s="4">
        <v>392.08800000000002</v>
      </c>
      <c r="O91" s="70">
        <v>392.08800000000002</v>
      </c>
      <c r="P91" s="4">
        <v>0</v>
      </c>
      <c r="Q91" s="3" t="s">
        <v>26</v>
      </c>
      <c r="R91" s="3">
        <v>0</v>
      </c>
      <c r="S91" s="3">
        <v>93</v>
      </c>
      <c r="T91" s="3">
        <v>94</v>
      </c>
      <c r="U91" s="3">
        <v>48</v>
      </c>
      <c r="V91" s="70">
        <f>IF(ISERROR(VLOOKUP($S$91,'TAR FIN'!$A$1:$O$99,15,0)),0,VLOOKUP($S$91,'TAR FIN'!$A$1:$O$99,15,0))*(1-0.06)</f>
        <v>14.3162</v>
      </c>
      <c r="W91" s="70">
        <f>IF(ISERROR(VLOOKUP($T$91,'TAR FIN'!$A$1:$O$99,15,0)),0,VLOOKUP($T$91,'TAR FIN'!$A$1:$O$99,15,0))*(1-0.06)</f>
        <v>61.222199999999994</v>
      </c>
      <c r="X91" s="70">
        <f>IF(ISERROR(VLOOKUP($U$91,'TAR FIN'!$A$1:$O$99,15,0)),0,VLOOKUP($U$91,'TAR FIN'!$A$1:$O$99,15,0))*(1-0.06)</f>
        <v>206.77179999999998</v>
      </c>
      <c r="Y91" s="70">
        <f ca="1">('TUSD BE'!$AM$6+'TUSD BF'!$AM$6+'TUSD CVA'!$AM$6)*1*(1-0.03)</f>
        <v>15.853560159548325</v>
      </c>
      <c r="Z91" s="70">
        <f ca="1">('TUSD BE'!$AM$7+'TUSD BF'!$AM$7+'TUSD CVA'!$AM$7)*1*(1-0.03)</f>
        <v>73.956172207868946</v>
      </c>
      <c r="AA91" s="70">
        <f>('TE BE'!$AA$6+'TE BF'!$AA$6+'TE CVA'!$AA$6)*1*(1-0.03)</f>
        <v>263.00493660044975</v>
      </c>
      <c r="AB91" s="70">
        <f>(SUBSIDIO!$J$91*SUBSIDIO!$V$91)*(0.06)/(1-0.06)</f>
        <v>4203.4800000000005</v>
      </c>
      <c r="AC91" s="70">
        <f>((SUBSIDIO!$L$91*SUBSIDIO!$W$91)+(SUBSIDIO!$N$91*SUBSIDIO!$X$91))*(0.06)/(1-0.06)</f>
        <v>6707.0573279999999</v>
      </c>
      <c r="AD91" s="70">
        <f ca="1">(SUBSIDIO!$J$91*SUBSIDIO!$Y$91)*(0.03)/(1-0.03)</f>
        <v>2255.4549505336795</v>
      </c>
      <c r="AE91" s="70">
        <f ca="1">((SUBSIDIO!$L$91*SUBSIDIO!$Z$91)+(SUBSIDIO!$N$91*SUBSIDIO!$AA$91))*(0.03)/(1-0.03)</f>
        <v>4086.1363060959611</v>
      </c>
      <c r="AF91" s="3" t="s">
        <v>953</v>
      </c>
    </row>
    <row r="92" spans="1:32" ht="11.25" customHeight="1" x14ac:dyDescent="0.25">
      <c r="A92" s="3" t="s">
        <v>21</v>
      </c>
      <c r="B92" s="3" t="s">
        <v>41</v>
      </c>
      <c r="C92" s="3" t="s">
        <v>42</v>
      </c>
      <c r="D92" s="3" t="s">
        <v>50</v>
      </c>
      <c r="E92" s="3" t="s">
        <v>51</v>
      </c>
      <c r="F92" s="3" t="s">
        <v>25</v>
      </c>
      <c r="G92" s="3" t="s">
        <v>25</v>
      </c>
      <c r="H92" s="3" t="s">
        <v>36</v>
      </c>
      <c r="I92" s="6">
        <v>44562</v>
      </c>
      <c r="J92" s="4">
        <v>4600</v>
      </c>
      <c r="K92" s="71">
        <v>4600</v>
      </c>
      <c r="L92" s="4">
        <v>325.572</v>
      </c>
      <c r="M92" s="70">
        <v>325.572</v>
      </c>
      <c r="N92" s="4">
        <v>325.572</v>
      </c>
      <c r="O92" s="70">
        <v>325.572</v>
      </c>
      <c r="P92" s="4">
        <v>0</v>
      </c>
      <c r="Q92" s="3" t="s">
        <v>26</v>
      </c>
      <c r="R92" s="3">
        <v>0</v>
      </c>
      <c r="S92" s="3">
        <v>93</v>
      </c>
      <c r="T92" s="3">
        <v>94</v>
      </c>
      <c r="U92" s="3">
        <v>48</v>
      </c>
      <c r="V92" s="70">
        <f>IF(ISERROR(VLOOKUP($S$92,'TAR FIN'!$A$1:$O$99,15,0)),0,VLOOKUP($S$92,'TAR FIN'!$A$1:$O$99,15,0))*(1-0.06)</f>
        <v>14.3162</v>
      </c>
      <c r="W92" s="70">
        <f>IF(ISERROR(VLOOKUP($T$92,'TAR FIN'!$A$1:$O$99,15,0)),0,VLOOKUP($T$92,'TAR FIN'!$A$1:$O$99,15,0))*(1-0.06)</f>
        <v>61.222199999999994</v>
      </c>
      <c r="X92" s="70">
        <f>IF(ISERROR(VLOOKUP($U$92,'TAR FIN'!$A$1:$O$99,15,0)),0,VLOOKUP($U$92,'TAR FIN'!$A$1:$O$99,15,0))*(1-0.06)</f>
        <v>206.77179999999998</v>
      </c>
      <c r="Y92" s="70">
        <f ca="1">('TUSD BE'!$AM$6+'TUSD BF'!$AM$6+'TUSD CVA'!$AM$6)*1*(1-0.03)</f>
        <v>15.853560159548325</v>
      </c>
      <c r="Z92" s="70">
        <f ca="1">('TUSD BE'!$AM$7+'TUSD BF'!$AM$7+'TUSD CVA'!$AM$7)*1*(1-0.03)</f>
        <v>73.956172207868946</v>
      </c>
      <c r="AA92" s="70">
        <f>('TE BE'!$AA$6+'TE BF'!$AA$6+'TE CVA'!$AA$6)*1*(1-0.03)</f>
        <v>263.00493660044975</v>
      </c>
      <c r="AB92" s="70">
        <f>(SUBSIDIO!$J$92*SUBSIDIO!$V$92)*(0.06)/(1-0.06)</f>
        <v>4203.4800000000005</v>
      </c>
      <c r="AC92" s="70">
        <f>((SUBSIDIO!$L$92*SUBSIDIO!$W$92)+(SUBSIDIO!$N$92*SUBSIDIO!$X$92))*(0.06)/(1-0.06)</f>
        <v>5569.2346319999997</v>
      </c>
      <c r="AD92" s="70">
        <f ca="1">(SUBSIDIO!$J$92*SUBSIDIO!$Y$92)*(0.03)/(1-0.03)</f>
        <v>2255.4549505336795</v>
      </c>
      <c r="AE92" s="70">
        <f ca="1">((SUBSIDIO!$L$92*SUBSIDIO!$Z$92)+(SUBSIDIO!$N$92*SUBSIDIO!$AA$92))*(0.03)/(1-0.03)</f>
        <v>3392.941302585833</v>
      </c>
      <c r="AF92" s="3" t="s">
        <v>953</v>
      </c>
    </row>
    <row r="93" spans="1:32" ht="11.25" customHeight="1" x14ac:dyDescent="0.25">
      <c r="A93" s="3" t="s">
        <v>21</v>
      </c>
      <c r="B93" s="3" t="s">
        <v>41</v>
      </c>
      <c r="C93" s="3" t="s">
        <v>42</v>
      </c>
      <c r="D93" s="3" t="s">
        <v>50</v>
      </c>
      <c r="E93" s="3" t="s">
        <v>51</v>
      </c>
      <c r="F93" s="3" t="s">
        <v>25</v>
      </c>
      <c r="G93" s="3" t="s">
        <v>25</v>
      </c>
      <c r="H93" s="3" t="s">
        <v>36</v>
      </c>
      <c r="I93" s="6">
        <v>44593</v>
      </c>
      <c r="J93" s="4">
        <v>4600</v>
      </c>
      <c r="K93" s="71">
        <v>4600</v>
      </c>
      <c r="L93" s="4">
        <v>324.096</v>
      </c>
      <c r="M93" s="70">
        <v>324.096</v>
      </c>
      <c r="N93" s="4">
        <v>324.096</v>
      </c>
      <c r="O93" s="70">
        <v>324.096</v>
      </c>
      <c r="P93" s="4">
        <v>0</v>
      </c>
      <c r="Q93" s="3" t="s">
        <v>26</v>
      </c>
      <c r="R93" s="3">
        <v>0</v>
      </c>
      <c r="S93" s="3">
        <v>93</v>
      </c>
      <c r="T93" s="3">
        <v>94</v>
      </c>
      <c r="U93" s="3">
        <v>48</v>
      </c>
      <c r="V93" s="70">
        <f>IF(ISERROR(VLOOKUP($S$93,'TAR FIN'!$A$1:$O$99,15,0)),0,VLOOKUP($S$93,'TAR FIN'!$A$1:$O$99,15,0))*(1-0.06)</f>
        <v>14.3162</v>
      </c>
      <c r="W93" s="70">
        <f>IF(ISERROR(VLOOKUP($T$93,'TAR FIN'!$A$1:$O$99,15,0)),0,VLOOKUP($T$93,'TAR FIN'!$A$1:$O$99,15,0))*(1-0.06)</f>
        <v>61.222199999999994</v>
      </c>
      <c r="X93" s="70">
        <f>IF(ISERROR(VLOOKUP($U$93,'TAR FIN'!$A$1:$O$99,15,0)),0,VLOOKUP($U$93,'TAR FIN'!$A$1:$O$99,15,0))*(1-0.06)</f>
        <v>206.77179999999998</v>
      </c>
      <c r="Y93" s="70">
        <f ca="1">('TUSD BE'!$AM$6+'TUSD BF'!$AM$6+'TUSD CVA'!$AM$6)*1*(1-0.03)</f>
        <v>15.853560159548325</v>
      </c>
      <c r="Z93" s="70">
        <f ca="1">('TUSD BE'!$AM$7+'TUSD BF'!$AM$7+'TUSD CVA'!$AM$7)*1*(1-0.03)</f>
        <v>73.956172207868946</v>
      </c>
      <c r="AA93" s="70">
        <f>('TE BE'!$AA$6+'TE BF'!$AA$6+'TE CVA'!$AA$6)*1*(1-0.03)</f>
        <v>263.00493660044975</v>
      </c>
      <c r="AB93" s="70">
        <f>(SUBSIDIO!$J$93*SUBSIDIO!$V$93)*(0.06)/(1-0.06)</f>
        <v>4203.4800000000005</v>
      </c>
      <c r="AC93" s="70">
        <f>((SUBSIDIO!$L$93*SUBSIDIO!$W$93)+(SUBSIDIO!$N$93*SUBSIDIO!$X$93))*(0.06)/(1-0.06)</f>
        <v>5543.9861759999994</v>
      </c>
      <c r="AD93" s="70">
        <f ca="1">(SUBSIDIO!$J$93*SUBSIDIO!$Y$93)*(0.03)/(1-0.03)</f>
        <v>2255.4549505336795</v>
      </c>
      <c r="AE93" s="70">
        <f ca="1">((SUBSIDIO!$L$93*SUBSIDIO!$Z$93)+(SUBSIDIO!$N$93*SUBSIDIO!$AA$93))*(0.03)/(1-0.03)</f>
        <v>3377.5592016600267</v>
      </c>
      <c r="AF93" s="3" t="s">
        <v>953</v>
      </c>
    </row>
    <row r="94" spans="1:32" ht="11.25" customHeight="1" x14ac:dyDescent="0.25">
      <c r="A94" s="3" t="s">
        <v>21</v>
      </c>
      <c r="B94" s="3" t="s">
        <v>41</v>
      </c>
      <c r="C94" s="3" t="s">
        <v>42</v>
      </c>
      <c r="D94" s="3" t="s">
        <v>50</v>
      </c>
      <c r="E94" s="3" t="s">
        <v>51</v>
      </c>
      <c r="F94" s="3" t="s">
        <v>25</v>
      </c>
      <c r="G94" s="3" t="s">
        <v>25</v>
      </c>
      <c r="H94" s="3" t="s">
        <v>36</v>
      </c>
      <c r="I94" s="6">
        <v>44621</v>
      </c>
      <c r="J94" s="4">
        <v>4600</v>
      </c>
      <c r="K94" s="71">
        <v>4600</v>
      </c>
      <c r="L94" s="4">
        <v>407.02800000000002</v>
      </c>
      <c r="M94" s="70">
        <v>407.02800000000002</v>
      </c>
      <c r="N94" s="4">
        <v>407.02800000000002</v>
      </c>
      <c r="O94" s="70">
        <v>407.02800000000002</v>
      </c>
      <c r="P94" s="4">
        <v>0</v>
      </c>
      <c r="Q94" s="3" t="s">
        <v>26</v>
      </c>
      <c r="R94" s="3">
        <v>0</v>
      </c>
      <c r="S94" s="3">
        <v>93</v>
      </c>
      <c r="T94" s="3">
        <v>94</v>
      </c>
      <c r="U94" s="3">
        <v>48</v>
      </c>
      <c r="V94" s="70">
        <f>IF(ISERROR(VLOOKUP($S$94,'TAR FIN'!$A$1:$O$99,15,0)),0,VLOOKUP($S$94,'TAR FIN'!$A$1:$O$99,15,0))*(1-0.06)</f>
        <v>14.3162</v>
      </c>
      <c r="W94" s="70">
        <f>IF(ISERROR(VLOOKUP($T$94,'TAR FIN'!$A$1:$O$99,15,0)),0,VLOOKUP($T$94,'TAR FIN'!$A$1:$O$99,15,0))*(1-0.06)</f>
        <v>61.222199999999994</v>
      </c>
      <c r="X94" s="70">
        <f>IF(ISERROR(VLOOKUP($U$94,'TAR FIN'!$A$1:$O$99,15,0)),0,VLOOKUP($U$94,'TAR FIN'!$A$1:$O$99,15,0))*(1-0.06)</f>
        <v>206.77179999999998</v>
      </c>
      <c r="Y94" s="70">
        <f ca="1">('TUSD BE'!$AM$6+'TUSD BF'!$AM$6+'TUSD CVA'!$AM$6)*1*(1-0.03)</f>
        <v>15.853560159548325</v>
      </c>
      <c r="Z94" s="70">
        <f ca="1">('TUSD BE'!$AM$7+'TUSD BF'!$AM$7+'TUSD CVA'!$AM$7)*1*(1-0.03)</f>
        <v>73.956172207868946</v>
      </c>
      <c r="AA94" s="70">
        <f>('TE BE'!$AA$6+'TE BF'!$AA$6+'TE CVA'!$AA$6)*1*(1-0.03)</f>
        <v>263.00493660044975</v>
      </c>
      <c r="AB94" s="70">
        <f>(SUBSIDIO!$J$94*SUBSIDIO!$V$94)*(0.06)/(1-0.06)</f>
        <v>4203.4800000000005</v>
      </c>
      <c r="AC94" s="70">
        <f>((SUBSIDIO!$L$94*SUBSIDIO!$W$94)+(SUBSIDIO!$N$94*SUBSIDIO!$X$94))*(0.06)/(1-0.06)</f>
        <v>6962.6209680000002</v>
      </c>
      <c r="AD94" s="70">
        <f ca="1">(SUBSIDIO!$J$94*SUBSIDIO!$Y$94)*(0.03)/(1-0.03)</f>
        <v>2255.4549505336795</v>
      </c>
      <c r="AE94" s="70">
        <f ca="1">((SUBSIDIO!$L$94*SUBSIDIO!$Z$94)+(SUBSIDIO!$N$94*SUBSIDIO!$AA$94))*(0.03)/(1-0.03)</f>
        <v>4241.8331813205887</v>
      </c>
      <c r="AF94" s="3" t="s">
        <v>953</v>
      </c>
    </row>
    <row r="95" spans="1:32" ht="11.25" customHeight="1" x14ac:dyDescent="0.25">
      <c r="A95" s="3" t="s">
        <v>56</v>
      </c>
      <c r="B95" s="3" t="s">
        <v>41</v>
      </c>
      <c r="C95" s="3" t="s">
        <v>42</v>
      </c>
      <c r="D95" s="3" t="s">
        <v>50</v>
      </c>
      <c r="E95" s="3" t="s">
        <v>51</v>
      </c>
      <c r="F95" s="3" t="s">
        <v>25</v>
      </c>
      <c r="G95" s="3" t="s">
        <v>25</v>
      </c>
      <c r="H95" s="3" t="s">
        <v>36</v>
      </c>
      <c r="I95" s="6">
        <v>44652</v>
      </c>
      <c r="J95" s="4">
        <v>4600</v>
      </c>
      <c r="K95" s="71">
        <v>4600</v>
      </c>
      <c r="L95" s="4">
        <v>407.02800000000002</v>
      </c>
      <c r="M95" s="70">
        <v>407.02800000000002</v>
      </c>
      <c r="N95" s="4">
        <v>407.02800000000002</v>
      </c>
      <c r="O95" s="70">
        <v>407.02800000000002</v>
      </c>
      <c r="P95" s="4">
        <v>0</v>
      </c>
      <c r="Q95" s="3" t="s">
        <v>26</v>
      </c>
      <c r="R95" s="3">
        <v>0</v>
      </c>
      <c r="S95" s="3">
        <v>93</v>
      </c>
      <c r="T95" s="3">
        <v>94</v>
      </c>
      <c r="U95" s="3">
        <v>48</v>
      </c>
      <c r="V95" s="70">
        <f>IF(ISERROR(VLOOKUP($S$95,'TAR FIN'!$A$1:$O$99,15,0)),0,VLOOKUP($S$95,'TAR FIN'!$A$1:$O$99,15,0))*(1-0.06)</f>
        <v>14.3162</v>
      </c>
      <c r="W95" s="70">
        <f>IF(ISERROR(VLOOKUP($T$95,'TAR FIN'!$A$1:$O$99,15,0)),0,VLOOKUP($T$95,'TAR FIN'!$A$1:$O$99,15,0))*(1-0.06)</f>
        <v>61.222199999999994</v>
      </c>
      <c r="X95" s="70">
        <f>IF(ISERROR(VLOOKUP($U$95,'TAR FIN'!$A$1:$O$99,15,0)),0,VLOOKUP($U$95,'TAR FIN'!$A$1:$O$99,15,0))*(1-0.06)</f>
        <v>206.77179999999998</v>
      </c>
      <c r="Y95" s="70">
        <f ca="1">('TUSD BE'!$AM$6+'TUSD BF'!$AM$6+'TUSD CVA'!$AM$6)*1*(1-0.03)</f>
        <v>15.853560159548325</v>
      </c>
      <c r="Z95" s="70">
        <f ca="1">('TUSD BE'!$AM$7+'TUSD BF'!$AM$7+'TUSD CVA'!$AM$7)*1*(1-0.03)</f>
        <v>73.956172207868946</v>
      </c>
      <c r="AA95" s="70">
        <f>('TE BE'!$AA$6+'TE BF'!$AA$6+'TE CVA'!$AA$6)*1*(1-0.03)</f>
        <v>263.00493660044975</v>
      </c>
      <c r="AB95" s="70">
        <f>(SUBSIDIO!$J$95*SUBSIDIO!$V$95)*(0.06)/(1-0.06)</f>
        <v>4203.4800000000005</v>
      </c>
      <c r="AC95" s="70">
        <f>((SUBSIDIO!$L$95*SUBSIDIO!$W$95)+(SUBSIDIO!$N$95*SUBSIDIO!$X$95))*(0.06)/(1-0.06)</f>
        <v>6962.6209680000002</v>
      </c>
      <c r="AD95" s="70">
        <f ca="1">(SUBSIDIO!$J$95*SUBSIDIO!$Y$95)*(0.03)/(1-0.03)</f>
        <v>2255.4549505336795</v>
      </c>
      <c r="AE95" s="70">
        <f ca="1">((SUBSIDIO!$L$95*SUBSIDIO!$Z$95)+(SUBSIDIO!$N$95*SUBSIDIO!$AA$95))*(0.03)/(1-0.03)</f>
        <v>4241.8331813205887</v>
      </c>
      <c r="AF95" s="3" t="s">
        <v>953</v>
      </c>
    </row>
    <row r="96" spans="1:32" ht="11.25" customHeight="1" x14ac:dyDescent="0.25">
      <c r="A96" s="3" t="s">
        <v>21</v>
      </c>
      <c r="B96" s="3" t="s">
        <v>41</v>
      </c>
      <c r="C96" s="3" t="s">
        <v>42</v>
      </c>
      <c r="D96" s="3" t="s">
        <v>50</v>
      </c>
      <c r="E96" s="3" t="s">
        <v>51</v>
      </c>
      <c r="F96" s="3" t="s">
        <v>25</v>
      </c>
      <c r="G96" s="3" t="s">
        <v>25</v>
      </c>
      <c r="H96" s="3" t="s">
        <v>35</v>
      </c>
      <c r="I96" s="6">
        <v>44317</v>
      </c>
      <c r="J96" s="4">
        <v>50</v>
      </c>
      <c r="K96" s="71">
        <v>50</v>
      </c>
      <c r="L96" s="4">
        <v>1.764</v>
      </c>
      <c r="M96" s="70">
        <v>1.764</v>
      </c>
      <c r="N96" s="4">
        <v>1.764</v>
      </c>
      <c r="O96" s="70">
        <v>1.764</v>
      </c>
      <c r="P96" s="4">
        <v>0</v>
      </c>
      <c r="Q96" s="3" t="s">
        <v>26</v>
      </c>
      <c r="R96" s="3">
        <v>0</v>
      </c>
      <c r="S96" s="3">
        <v>92</v>
      </c>
      <c r="T96" s="3">
        <v>94</v>
      </c>
      <c r="U96" s="3">
        <v>47</v>
      </c>
      <c r="V96" s="70">
        <f>IF(ISERROR(VLOOKUP($S$96,'TAR FIN'!$A$1:$O$99,15,0)),0,VLOOKUP($S$96,'TAR FIN'!$A$1:$O$99,15,0))*(1-0.06)</f>
        <v>24.872399999999999</v>
      </c>
      <c r="W96" s="70">
        <f>IF(ISERROR(VLOOKUP($T$96,'TAR FIN'!$A$1:$O$99,15,0)),0,VLOOKUP($T$96,'TAR FIN'!$A$1:$O$99,15,0))*(1-0.06)</f>
        <v>61.222199999999994</v>
      </c>
      <c r="X96" s="70">
        <f>IF(ISERROR(VLOOKUP($U$96,'TAR FIN'!$A$1:$O$99,15,0)),0,VLOOKUP($U$96,'TAR FIN'!$A$1:$O$99,15,0))*(1-0.06)</f>
        <v>325.8134</v>
      </c>
      <c r="Y96" s="70">
        <f ca="1">('TUSD BE'!$AM$5+'TUSD BF'!$AM$5+'TUSD CVA'!$AM$5)*1*(1-0.03)</f>
        <v>29.427176600614171</v>
      </c>
      <c r="Z96" s="70">
        <f ca="1">('TUSD BE'!$AM$7+'TUSD BF'!$AM$7+'TUSD CVA'!$AM$7)*1*(1-0.03)</f>
        <v>73.956172207868946</v>
      </c>
      <c r="AA96" s="70">
        <f>('TE BE'!$AA$5+'TE BF'!$AA$5+'TE CVA'!$AA$5)*1*(1-0.03)</f>
        <v>411.17962930251429</v>
      </c>
      <c r="AB96" s="70">
        <f>(SUBSIDIO!$J$96*SUBSIDIO!$V$96)*(0.06)/(1-0.06)</f>
        <v>79.38</v>
      </c>
      <c r="AC96" s="70">
        <f>((SUBSIDIO!$L$96*SUBSIDIO!$W$96)+(SUBSIDIO!$N$96*SUBSIDIO!$X$96))*(0.06)/(1-0.06)</f>
        <v>43.5785616</v>
      </c>
      <c r="AD96" s="70">
        <f ca="1">(SUBSIDIO!$J$96*SUBSIDIO!$Y$96)*(0.03)/(1-0.03)</f>
        <v>45.505943196826038</v>
      </c>
      <c r="AE96" s="70">
        <f ca="1">((SUBSIDIO!$L$96*SUBSIDIO!$Z$96)+(SUBSIDIO!$N$96*SUBSIDIO!$AA$96))*(0.03)/(1-0.03)</f>
        <v>26.467408882401525</v>
      </c>
      <c r="AF96" s="3" t="s">
        <v>953</v>
      </c>
    </row>
    <row r="97" spans="1:32" ht="11.25" customHeight="1" x14ac:dyDescent="0.25">
      <c r="A97" s="3" t="s">
        <v>21</v>
      </c>
      <c r="B97" s="3" t="s">
        <v>41</v>
      </c>
      <c r="C97" s="3" t="s">
        <v>42</v>
      </c>
      <c r="D97" s="3" t="s">
        <v>50</v>
      </c>
      <c r="E97" s="3" t="s">
        <v>51</v>
      </c>
      <c r="F97" s="3" t="s">
        <v>25</v>
      </c>
      <c r="G97" s="3" t="s">
        <v>25</v>
      </c>
      <c r="H97" s="3" t="s">
        <v>35</v>
      </c>
      <c r="I97" s="6">
        <v>44348</v>
      </c>
      <c r="J97" s="4">
        <v>50</v>
      </c>
      <c r="K97" s="71">
        <v>50</v>
      </c>
      <c r="L97" s="4">
        <v>1.776</v>
      </c>
      <c r="M97" s="70">
        <v>1.776</v>
      </c>
      <c r="N97" s="4">
        <v>1.776</v>
      </c>
      <c r="O97" s="70">
        <v>1.776</v>
      </c>
      <c r="P97" s="4">
        <v>0</v>
      </c>
      <c r="Q97" s="3" t="s">
        <v>26</v>
      </c>
      <c r="R97" s="3">
        <v>0</v>
      </c>
      <c r="S97" s="3">
        <v>92</v>
      </c>
      <c r="T97" s="3">
        <v>94</v>
      </c>
      <c r="U97" s="3">
        <v>47</v>
      </c>
      <c r="V97" s="70">
        <f>IF(ISERROR(VLOOKUP($S$97,'TAR FIN'!$A$1:$O$99,15,0)),0,VLOOKUP($S$97,'TAR FIN'!$A$1:$O$99,15,0))*(1-0.06)</f>
        <v>24.872399999999999</v>
      </c>
      <c r="W97" s="70">
        <f>IF(ISERROR(VLOOKUP($T$97,'TAR FIN'!$A$1:$O$99,15,0)),0,VLOOKUP($T$97,'TAR FIN'!$A$1:$O$99,15,0))*(1-0.06)</f>
        <v>61.222199999999994</v>
      </c>
      <c r="X97" s="70">
        <f>IF(ISERROR(VLOOKUP($U$97,'TAR FIN'!$A$1:$O$99,15,0)),0,VLOOKUP($U$97,'TAR FIN'!$A$1:$O$99,15,0))*(1-0.06)</f>
        <v>325.8134</v>
      </c>
      <c r="Y97" s="70">
        <f ca="1">('TUSD BE'!$AM$5+'TUSD BF'!$AM$5+'TUSD CVA'!$AM$5)*1*(1-0.03)</f>
        <v>29.427176600614171</v>
      </c>
      <c r="Z97" s="70">
        <f ca="1">('TUSD BE'!$AM$7+'TUSD BF'!$AM$7+'TUSD CVA'!$AM$7)*1*(1-0.03)</f>
        <v>73.956172207868946</v>
      </c>
      <c r="AA97" s="70">
        <f>('TE BE'!$AA$5+'TE BF'!$AA$5+'TE CVA'!$AA$5)*1*(1-0.03)</f>
        <v>411.17962930251429</v>
      </c>
      <c r="AB97" s="70">
        <f>(SUBSIDIO!$J$97*SUBSIDIO!$V$97)*(0.06)/(1-0.06)</f>
        <v>79.38</v>
      </c>
      <c r="AC97" s="70">
        <f>((SUBSIDIO!$L$97*SUBSIDIO!$W$97)+(SUBSIDIO!$N$97*SUBSIDIO!$X$97))*(0.06)/(1-0.06)</f>
        <v>43.875014399999998</v>
      </c>
      <c r="AD97" s="70">
        <f ca="1">(SUBSIDIO!$J$97*SUBSIDIO!$Y$97)*(0.03)/(1-0.03)</f>
        <v>45.505943196826038</v>
      </c>
      <c r="AE97" s="70">
        <f ca="1">((SUBSIDIO!$L$97*SUBSIDIO!$Z$97)+(SUBSIDIO!$N$97*SUBSIDIO!$AA$97))*(0.03)/(1-0.03)</f>
        <v>26.647459282962078</v>
      </c>
      <c r="AF97" s="3" t="s">
        <v>953</v>
      </c>
    </row>
    <row r="98" spans="1:32" ht="11.25" customHeight="1" x14ac:dyDescent="0.25">
      <c r="A98" s="3" t="s">
        <v>21</v>
      </c>
      <c r="B98" s="3" t="s">
        <v>41</v>
      </c>
      <c r="C98" s="3" t="s">
        <v>42</v>
      </c>
      <c r="D98" s="3" t="s">
        <v>50</v>
      </c>
      <c r="E98" s="3" t="s">
        <v>51</v>
      </c>
      <c r="F98" s="3" t="s">
        <v>25</v>
      </c>
      <c r="G98" s="3" t="s">
        <v>25</v>
      </c>
      <c r="H98" s="3" t="s">
        <v>35</v>
      </c>
      <c r="I98" s="6">
        <v>44378</v>
      </c>
      <c r="J98" s="4">
        <v>50</v>
      </c>
      <c r="K98" s="71">
        <v>50</v>
      </c>
      <c r="L98" s="4">
        <v>1.764</v>
      </c>
      <c r="M98" s="70">
        <v>1.764</v>
      </c>
      <c r="N98" s="4">
        <v>1.764</v>
      </c>
      <c r="O98" s="70">
        <v>1.764</v>
      </c>
      <c r="P98" s="4">
        <v>0</v>
      </c>
      <c r="Q98" s="3" t="s">
        <v>26</v>
      </c>
      <c r="R98" s="3">
        <v>0</v>
      </c>
      <c r="S98" s="3">
        <v>92</v>
      </c>
      <c r="T98" s="3">
        <v>94</v>
      </c>
      <c r="U98" s="3">
        <v>47</v>
      </c>
      <c r="V98" s="70">
        <f>IF(ISERROR(VLOOKUP($S$98,'TAR FIN'!$A$1:$O$99,15,0)),0,VLOOKUP($S$98,'TAR FIN'!$A$1:$O$99,15,0))*(1-0.06)</f>
        <v>24.872399999999999</v>
      </c>
      <c r="W98" s="70">
        <f>IF(ISERROR(VLOOKUP($T$98,'TAR FIN'!$A$1:$O$99,15,0)),0,VLOOKUP($T$98,'TAR FIN'!$A$1:$O$99,15,0))*(1-0.06)</f>
        <v>61.222199999999994</v>
      </c>
      <c r="X98" s="70">
        <f>IF(ISERROR(VLOOKUP($U$98,'TAR FIN'!$A$1:$O$99,15,0)),0,VLOOKUP($U$98,'TAR FIN'!$A$1:$O$99,15,0))*(1-0.06)</f>
        <v>325.8134</v>
      </c>
      <c r="Y98" s="70">
        <f ca="1">('TUSD BE'!$AM$5+'TUSD BF'!$AM$5+'TUSD CVA'!$AM$5)*1*(1-0.03)</f>
        <v>29.427176600614171</v>
      </c>
      <c r="Z98" s="70">
        <f ca="1">('TUSD BE'!$AM$7+'TUSD BF'!$AM$7+'TUSD CVA'!$AM$7)*1*(1-0.03)</f>
        <v>73.956172207868946</v>
      </c>
      <c r="AA98" s="70">
        <f>('TE BE'!$AA$5+'TE BF'!$AA$5+'TE CVA'!$AA$5)*1*(1-0.03)</f>
        <v>411.17962930251429</v>
      </c>
      <c r="AB98" s="70">
        <f>(SUBSIDIO!$J$98*SUBSIDIO!$V$98)*(0.06)/(1-0.06)</f>
        <v>79.38</v>
      </c>
      <c r="AC98" s="70">
        <f>((SUBSIDIO!$L$98*SUBSIDIO!$W$98)+(SUBSIDIO!$N$98*SUBSIDIO!$X$98))*(0.06)/(1-0.06)</f>
        <v>43.5785616</v>
      </c>
      <c r="AD98" s="70">
        <f ca="1">(SUBSIDIO!$J$98*SUBSIDIO!$Y$98)*(0.03)/(1-0.03)</f>
        <v>45.505943196826038</v>
      </c>
      <c r="AE98" s="70">
        <f ca="1">((SUBSIDIO!$L$98*SUBSIDIO!$Z$98)+(SUBSIDIO!$N$98*SUBSIDIO!$AA$98))*(0.03)/(1-0.03)</f>
        <v>26.467408882401525</v>
      </c>
      <c r="AF98" s="3" t="s">
        <v>953</v>
      </c>
    </row>
    <row r="99" spans="1:32" ht="11.25" customHeight="1" x14ac:dyDescent="0.25">
      <c r="A99" s="3" t="s">
        <v>21</v>
      </c>
      <c r="B99" s="3" t="s">
        <v>41</v>
      </c>
      <c r="C99" s="3" t="s">
        <v>42</v>
      </c>
      <c r="D99" s="3" t="s">
        <v>50</v>
      </c>
      <c r="E99" s="3" t="s">
        <v>51</v>
      </c>
      <c r="F99" s="3" t="s">
        <v>25</v>
      </c>
      <c r="G99" s="3" t="s">
        <v>25</v>
      </c>
      <c r="H99" s="3" t="s">
        <v>35</v>
      </c>
      <c r="I99" s="6">
        <v>44409</v>
      </c>
      <c r="J99" s="4">
        <v>50</v>
      </c>
      <c r="K99" s="71">
        <v>50</v>
      </c>
      <c r="L99" s="4">
        <v>1.776</v>
      </c>
      <c r="M99" s="70">
        <v>1.776</v>
      </c>
      <c r="N99" s="4">
        <v>1.776</v>
      </c>
      <c r="O99" s="70">
        <v>1.776</v>
      </c>
      <c r="P99" s="4">
        <v>0</v>
      </c>
      <c r="Q99" s="3" t="s">
        <v>26</v>
      </c>
      <c r="R99" s="3">
        <v>0</v>
      </c>
      <c r="S99" s="3">
        <v>92</v>
      </c>
      <c r="T99" s="3">
        <v>94</v>
      </c>
      <c r="U99" s="3">
        <v>47</v>
      </c>
      <c r="V99" s="70">
        <f>IF(ISERROR(VLOOKUP($S$99,'TAR FIN'!$A$1:$O$99,15,0)),0,VLOOKUP($S$99,'TAR FIN'!$A$1:$O$99,15,0))*(1-0.06)</f>
        <v>24.872399999999999</v>
      </c>
      <c r="W99" s="70">
        <f>IF(ISERROR(VLOOKUP($T$99,'TAR FIN'!$A$1:$O$99,15,0)),0,VLOOKUP($T$99,'TAR FIN'!$A$1:$O$99,15,0))*(1-0.06)</f>
        <v>61.222199999999994</v>
      </c>
      <c r="X99" s="70">
        <f>IF(ISERROR(VLOOKUP($U$99,'TAR FIN'!$A$1:$O$99,15,0)),0,VLOOKUP($U$99,'TAR FIN'!$A$1:$O$99,15,0))*(1-0.06)</f>
        <v>325.8134</v>
      </c>
      <c r="Y99" s="70">
        <f ca="1">('TUSD BE'!$AM$5+'TUSD BF'!$AM$5+'TUSD CVA'!$AM$5)*1*(1-0.03)</f>
        <v>29.427176600614171</v>
      </c>
      <c r="Z99" s="70">
        <f ca="1">('TUSD BE'!$AM$7+'TUSD BF'!$AM$7+'TUSD CVA'!$AM$7)*1*(1-0.03)</f>
        <v>73.956172207868946</v>
      </c>
      <c r="AA99" s="70">
        <f>('TE BE'!$AA$5+'TE BF'!$AA$5+'TE CVA'!$AA$5)*1*(1-0.03)</f>
        <v>411.17962930251429</v>
      </c>
      <c r="AB99" s="70">
        <f>(SUBSIDIO!$J$99*SUBSIDIO!$V$99)*(0.06)/(1-0.06)</f>
        <v>79.38</v>
      </c>
      <c r="AC99" s="70">
        <f>((SUBSIDIO!$L$99*SUBSIDIO!$W$99)+(SUBSIDIO!$N$99*SUBSIDIO!$X$99))*(0.06)/(1-0.06)</f>
        <v>43.875014399999998</v>
      </c>
      <c r="AD99" s="70">
        <f ca="1">(SUBSIDIO!$J$99*SUBSIDIO!$Y$99)*(0.03)/(1-0.03)</f>
        <v>45.505943196826038</v>
      </c>
      <c r="AE99" s="70">
        <f ca="1">((SUBSIDIO!$L$99*SUBSIDIO!$Z$99)+(SUBSIDIO!$N$99*SUBSIDIO!$AA$99))*(0.03)/(1-0.03)</f>
        <v>26.647459282962078</v>
      </c>
      <c r="AF99" s="3" t="s">
        <v>953</v>
      </c>
    </row>
    <row r="100" spans="1:32" ht="11.25" customHeight="1" x14ac:dyDescent="0.25">
      <c r="A100" s="3" t="s">
        <v>21</v>
      </c>
      <c r="B100" s="3" t="s">
        <v>41</v>
      </c>
      <c r="C100" s="3" t="s">
        <v>42</v>
      </c>
      <c r="D100" s="3" t="s">
        <v>50</v>
      </c>
      <c r="E100" s="3" t="s">
        <v>51</v>
      </c>
      <c r="F100" s="3" t="s">
        <v>25</v>
      </c>
      <c r="G100" s="3" t="s">
        <v>25</v>
      </c>
      <c r="H100" s="3" t="s">
        <v>35</v>
      </c>
      <c r="I100" s="6">
        <v>44440</v>
      </c>
      <c r="J100" s="4">
        <v>50</v>
      </c>
      <c r="K100" s="71">
        <v>50</v>
      </c>
      <c r="L100" s="4">
        <v>1.74</v>
      </c>
      <c r="M100" s="70">
        <v>1.74</v>
      </c>
      <c r="N100" s="4">
        <v>1.74</v>
      </c>
      <c r="O100" s="70">
        <v>1.74</v>
      </c>
      <c r="P100" s="4">
        <v>0</v>
      </c>
      <c r="Q100" s="3" t="s">
        <v>26</v>
      </c>
      <c r="R100" s="3">
        <v>0</v>
      </c>
      <c r="S100" s="3">
        <v>92</v>
      </c>
      <c r="T100" s="3">
        <v>94</v>
      </c>
      <c r="U100" s="3">
        <v>47</v>
      </c>
      <c r="V100" s="70">
        <f>IF(ISERROR(VLOOKUP($S$100,'TAR FIN'!$A$1:$O$99,15,0)),0,VLOOKUP($S$100,'TAR FIN'!$A$1:$O$99,15,0))*(1-0.06)</f>
        <v>24.872399999999999</v>
      </c>
      <c r="W100" s="70">
        <f>IF(ISERROR(VLOOKUP($T$100,'TAR FIN'!$A$1:$O$99,15,0)),0,VLOOKUP($T$100,'TAR FIN'!$A$1:$O$99,15,0))*(1-0.06)</f>
        <v>61.222199999999994</v>
      </c>
      <c r="X100" s="70">
        <f>IF(ISERROR(VLOOKUP($U$100,'TAR FIN'!$A$1:$O$99,15,0)),0,VLOOKUP($U$100,'TAR FIN'!$A$1:$O$99,15,0))*(1-0.06)</f>
        <v>325.8134</v>
      </c>
      <c r="Y100" s="70">
        <f ca="1">('TUSD BE'!$AM$5+'TUSD BF'!$AM$5+'TUSD CVA'!$AM$5)*1*(1-0.03)</f>
        <v>29.427176600614171</v>
      </c>
      <c r="Z100" s="70">
        <f ca="1">('TUSD BE'!$AM$7+'TUSD BF'!$AM$7+'TUSD CVA'!$AM$7)*1*(1-0.03)</f>
        <v>73.956172207868946</v>
      </c>
      <c r="AA100" s="70">
        <f>('TE BE'!$AA$5+'TE BF'!$AA$5+'TE CVA'!$AA$5)*1*(1-0.03)</f>
        <v>411.17962930251429</v>
      </c>
      <c r="AB100" s="70">
        <f>(SUBSIDIO!$J$100*SUBSIDIO!$V$100)*(0.06)/(1-0.06)</f>
        <v>79.38</v>
      </c>
      <c r="AC100" s="70">
        <f>((SUBSIDIO!$L$100*SUBSIDIO!$W$100)+(SUBSIDIO!$N$100*SUBSIDIO!$X$100))*(0.06)/(1-0.06)</f>
        <v>42.985655999999992</v>
      </c>
      <c r="AD100" s="70">
        <f ca="1">(SUBSIDIO!$J$100*SUBSIDIO!$Y$100)*(0.03)/(1-0.03)</f>
        <v>45.505943196826038</v>
      </c>
      <c r="AE100" s="70">
        <f ca="1">((SUBSIDIO!$L$100*SUBSIDIO!$Z$100)+(SUBSIDIO!$N$100*SUBSIDIO!$AA$100))*(0.03)/(1-0.03)</f>
        <v>26.107308081280419</v>
      </c>
      <c r="AF100" s="3" t="s">
        <v>953</v>
      </c>
    </row>
    <row r="101" spans="1:32" ht="11.25" customHeight="1" x14ac:dyDescent="0.25">
      <c r="A101" s="3" t="s">
        <v>21</v>
      </c>
      <c r="B101" s="3" t="s">
        <v>41</v>
      </c>
      <c r="C101" s="3" t="s">
        <v>42</v>
      </c>
      <c r="D101" s="3" t="s">
        <v>50</v>
      </c>
      <c r="E101" s="3" t="s">
        <v>51</v>
      </c>
      <c r="F101" s="3" t="s">
        <v>25</v>
      </c>
      <c r="G101" s="3" t="s">
        <v>25</v>
      </c>
      <c r="H101" s="3" t="s">
        <v>35</v>
      </c>
      <c r="I101" s="6">
        <v>44470</v>
      </c>
      <c r="J101" s="4">
        <v>50</v>
      </c>
      <c r="K101" s="71">
        <v>50</v>
      </c>
      <c r="L101" s="4">
        <v>1.272</v>
      </c>
      <c r="M101" s="70">
        <v>1.272</v>
      </c>
      <c r="N101" s="4">
        <v>1.272</v>
      </c>
      <c r="O101" s="70">
        <v>1.272</v>
      </c>
      <c r="P101" s="4">
        <v>0</v>
      </c>
      <c r="Q101" s="3" t="s">
        <v>26</v>
      </c>
      <c r="R101" s="3">
        <v>0</v>
      </c>
      <c r="S101" s="3">
        <v>92</v>
      </c>
      <c r="T101" s="3">
        <v>94</v>
      </c>
      <c r="U101" s="3">
        <v>47</v>
      </c>
      <c r="V101" s="70">
        <f>IF(ISERROR(VLOOKUP($S$101,'TAR FIN'!$A$1:$O$99,15,0)),0,VLOOKUP($S$101,'TAR FIN'!$A$1:$O$99,15,0))*(1-0.06)</f>
        <v>24.872399999999999</v>
      </c>
      <c r="W101" s="70">
        <f>IF(ISERROR(VLOOKUP($T$101,'TAR FIN'!$A$1:$O$99,15,0)),0,VLOOKUP($T$101,'TAR FIN'!$A$1:$O$99,15,0))*(1-0.06)</f>
        <v>61.222199999999994</v>
      </c>
      <c r="X101" s="70">
        <f>IF(ISERROR(VLOOKUP($U$101,'TAR FIN'!$A$1:$O$99,15,0)),0,VLOOKUP($U$101,'TAR FIN'!$A$1:$O$99,15,0))*(1-0.06)</f>
        <v>325.8134</v>
      </c>
      <c r="Y101" s="70">
        <f ca="1">('TUSD BE'!$AM$5+'TUSD BF'!$AM$5+'TUSD CVA'!$AM$5)*1*(1-0.03)</f>
        <v>29.427176600614171</v>
      </c>
      <c r="Z101" s="70">
        <f ca="1">('TUSD BE'!$AM$7+'TUSD BF'!$AM$7+'TUSD CVA'!$AM$7)*1*(1-0.03)</f>
        <v>73.956172207868946</v>
      </c>
      <c r="AA101" s="70">
        <f>('TE BE'!$AA$5+'TE BF'!$AA$5+'TE CVA'!$AA$5)*1*(1-0.03)</f>
        <v>411.17962930251429</v>
      </c>
      <c r="AB101" s="70">
        <f>(SUBSIDIO!$J$101*SUBSIDIO!$V$101)*(0.06)/(1-0.06)</f>
        <v>79.38</v>
      </c>
      <c r="AC101" s="70">
        <f>((SUBSIDIO!$L$101*SUBSIDIO!$W$101)+(SUBSIDIO!$N$101*SUBSIDIO!$X$101))*(0.06)/(1-0.06)</f>
        <v>31.423996799999998</v>
      </c>
      <c r="AD101" s="70">
        <f ca="1">(SUBSIDIO!$J$101*SUBSIDIO!$Y$101)*(0.03)/(1-0.03)</f>
        <v>45.505943196826038</v>
      </c>
      <c r="AE101" s="70">
        <f ca="1">((SUBSIDIO!$L$101*SUBSIDIO!$Z$101)+(SUBSIDIO!$N$101*SUBSIDIO!$AA$101))*(0.03)/(1-0.03)</f>
        <v>19.085342459418786</v>
      </c>
      <c r="AF101" s="3" t="s">
        <v>953</v>
      </c>
    </row>
    <row r="102" spans="1:32" ht="11.25" customHeight="1" x14ac:dyDescent="0.25">
      <c r="A102" s="3" t="s">
        <v>21</v>
      </c>
      <c r="B102" s="3" t="s">
        <v>41</v>
      </c>
      <c r="C102" s="3" t="s">
        <v>42</v>
      </c>
      <c r="D102" s="3" t="s">
        <v>50</v>
      </c>
      <c r="E102" s="3" t="s">
        <v>51</v>
      </c>
      <c r="F102" s="3" t="s">
        <v>25</v>
      </c>
      <c r="G102" s="3" t="s">
        <v>25</v>
      </c>
      <c r="H102" s="3" t="s">
        <v>35</v>
      </c>
      <c r="I102" s="6">
        <v>44501</v>
      </c>
      <c r="J102" s="4">
        <v>50</v>
      </c>
      <c r="K102" s="71">
        <v>50</v>
      </c>
      <c r="L102" s="4">
        <v>1.716</v>
      </c>
      <c r="M102" s="70">
        <v>1.716</v>
      </c>
      <c r="N102" s="4">
        <v>1.716</v>
      </c>
      <c r="O102" s="70">
        <v>1.716</v>
      </c>
      <c r="P102" s="4">
        <v>0</v>
      </c>
      <c r="Q102" s="3" t="s">
        <v>26</v>
      </c>
      <c r="R102" s="3">
        <v>0</v>
      </c>
      <c r="S102" s="3">
        <v>92</v>
      </c>
      <c r="T102" s="3">
        <v>94</v>
      </c>
      <c r="U102" s="3">
        <v>47</v>
      </c>
      <c r="V102" s="70">
        <f>IF(ISERROR(VLOOKUP($S$102,'TAR FIN'!$A$1:$O$99,15,0)),0,VLOOKUP($S$102,'TAR FIN'!$A$1:$O$99,15,0))*(1-0.06)</f>
        <v>24.872399999999999</v>
      </c>
      <c r="W102" s="70">
        <f>IF(ISERROR(VLOOKUP($T$102,'TAR FIN'!$A$1:$O$99,15,0)),0,VLOOKUP($T$102,'TAR FIN'!$A$1:$O$99,15,0))*(1-0.06)</f>
        <v>61.222199999999994</v>
      </c>
      <c r="X102" s="70">
        <f>IF(ISERROR(VLOOKUP($U$102,'TAR FIN'!$A$1:$O$99,15,0)),0,VLOOKUP($U$102,'TAR FIN'!$A$1:$O$99,15,0))*(1-0.06)</f>
        <v>325.8134</v>
      </c>
      <c r="Y102" s="70">
        <f ca="1">('TUSD BE'!$AM$5+'TUSD BF'!$AM$5+'TUSD CVA'!$AM$5)*1*(1-0.03)</f>
        <v>29.427176600614171</v>
      </c>
      <c r="Z102" s="70">
        <f ca="1">('TUSD BE'!$AM$7+'TUSD BF'!$AM$7+'TUSD CVA'!$AM$7)*1*(1-0.03)</f>
        <v>73.956172207868946</v>
      </c>
      <c r="AA102" s="70">
        <f>('TE BE'!$AA$5+'TE BF'!$AA$5+'TE CVA'!$AA$5)*1*(1-0.03)</f>
        <v>411.17962930251429</v>
      </c>
      <c r="AB102" s="70">
        <f>(SUBSIDIO!$J$102*SUBSIDIO!$V$102)*(0.06)/(1-0.06)</f>
        <v>79.38</v>
      </c>
      <c r="AC102" s="70">
        <f>((SUBSIDIO!$L$102*SUBSIDIO!$W$102)+(SUBSIDIO!$N$102*SUBSIDIO!$X$102))*(0.06)/(1-0.06)</f>
        <v>42.392750400000004</v>
      </c>
      <c r="AD102" s="70">
        <f ca="1">(SUBSIDIO!$J$102*SUBSIDIO!$Y$102)*(0.03)/(1-0.03)</f>
        <v>45.505943196826038</v>
      </c>
      <c r="AE102" s="70">
        <f ca="1">((SUBSIDIO!$L$102*SUBSIDIO!$Z$102)+(SUBSIDIO!$N$102*SUBSIDIO!$AA$102))*(0.03)/(1-0.03)</f>
        <v>25.747207280159305</v>
      </c>
      <c r="AF102" s="3" t="s">
        <v>953</v>
      </c>
    </row>
    <row r="103" spans="1:32" ht="11.25" customHeight="1" x14ac:dyDescent="0.25">
      <c r="A103" s="3" t="s">
        <v>21</v>
      </c>
      <c r="B103" s="3" t="s">
        <v>41</v>
      </c>
      <c r="C103" s="3" t="s">
        <v>42</v>
      </c>
      <c r="D103" s="3" t="s">
        <v>50</v>
      </c>
      <c r="E103" s="3" t="s">
        <v>51</v>
      </c>
      <c r="F103" s="3" t="s">
        <v>25</v>
      </c>
      <c r="G103" s="3" t="s">
        <v>25</v>
      </c>
      <c r="H103" s="3" t="s">
        <v>35</v>
      </c>
      <c r="I103" s="6">
        <v>44531</v>
      </c>
      <c r="J103" s="4">
        <v>50</v>
      </c>
      <c r="K103" s="71">
        <v>50</v>
      </c>
      <c r="L103" s="4">
        <v>1.8240000000000001</v>
      </c>
      <c r="M103" s="70">
        <v>1.8240000000000001</v>
      </c>
      <c r="N103" s="4">
        <v>1.8240000000000001</v>
      </c>
      <c r="O103" s="70">
        <v>1.8240000000000001</v>
      </c>
      <c r="P103" s="4">
        <v>0</v>
      </c>
      <c r="Q103" s="3" t="s">
        <v>26</v>
      </c>
      <c r="R103" s="3">
        <v>0</v>
      </c>
      <c r="S103" s="3">
        <v>92</v>
      </c>
      <c r="T103" s="3">
        <v>94</v>
      </c>
      <c r="U103" s="3">
        <v>47</v>
      </c>
      <c r="V103" s="70">
        <f>IF(ISERROR(VLOOKUP($S$103,'TAR FIN'!$A$1:$O$99,15,0)),0,VLOOKUP($S$103,'TAR FIN'!$A$1:$O$99,15,0))*(1-0.06)</f>
        <v>24.872399999999999</v>
      </c>
      <c r="W103" s="70">
        <f>IF(ISERROR(VLOOKUP($T$103,'TAR FIN'!$A$1:$O$99,15,0)),0,VLOOKUP($T$103,'TAR FIN'!$A$1:$O$99,15,0))*(1-0.06)</f>
        <v>61.222199999999994</v>
      </c>
      <c r="X103" s="70">
        <f>IF(ISERROR(VLOOKUP($U$103,'TAR FIN'!$A$1:$O$99,15,0)),0,VLOOKUP($U$103,'TAR FIN'!$A$1:$O$99,15,0))*(1-0.06)</f>
        <v>325.8134</v>
      </c>
      <c r="Y103" s="70">
        <f ca="1">('TUSD BE'!$AM$5+'TUSD BF'!$AM$5+'TUSD CVA'!$AM$5)*1*(1-0.03)</f>
        <v>29.427176600614171</v>
      </c>
      <c r="Z103" s="70">
        <f ca="1">('TUSD BE'!$AM$7+'TUSD BF'!$AM$7+'TUSD CVA'!$AM$7)*1*(1-0.03)</f>
        <v>73.956172207868946</v>
      </c>
      <c r="AA103" s="70">
        <f>('TE BE'!$AA$5+'TE BF'!$AA$5+'TE CVA'!$AA$5)*1*(1-0.03)</f>
        <v>411.17962930251429</v>
      </c>
      <c r="AB103" s="70">
        <f>(SUBSIDIO!$J$103*SUBSIDIO!$V$103)*(0.06)/(1-0.06)</f>
        <v>79.38</v>
      </c>
      <c r="AC103" s="70">
        <f>((SUBSIDIO!$L$103*SUBSIDIO!$W$103)+(SUBSIDIO!$N$103*SUBSIDIO!$X$103))*(0.06)/(1-0.06)</f>
        <v>45.060825600000001</v>
      </c>
      <c r="AD103" s="70">
        <f ca="1">(SUBSIDIO!$J$103*SUBSIDIO!$Y$103)*(0.03)/(1-0.03)</f>
        <v>45.505943196826038</v>
      </c>
      <c r="AE103" s="70">
        <f ca="1">((SUBSIDIO!$L$103*SUBSIDIO!$Z$103)+(SUBSIDIO!$N$103*SUBSIDIO!$AA$103))*(0.03)/(1-0.03)</f>
        <v>27.367660885204302</v>
      </c>
      <c r="AF103" s="3" t="s">
        <v>953</v>
      </c>
    </row>
    <row r="104" spans="1:32" ht="11.25" customHeight="1" x14ac:dyDescent="0.25">
      <c r="A104" s="3" t="s">
        <v>21</v>
      </c>
      <c r="B104" s="3" t="s">
        <v>41</v>
      </c>
      <c r="C104" s="3" t="s">
        <v>42</v>
      </c>
      <c r="D104" s="3" t="s">
        <v>50</v>
      </c>
      <c r="E104" s="3" t="s">
        <v>51</v>
      </c>
      <c r="F104" s="3" t="s">
        <v>25</v>
      </c>
      <c r="G104" s="3" t="s">
        <v>25</v>
      </c>
      <c r="H104" s="3" t="s">
        <v>35</v>
      </c>
      <c r="I104" s="6">
        <v>44562</v>
      </c>
      <c r="J104" s="4">
        <v>50</v>
      </c>
      <c r="K104" s="71">
        <v>50</v>
      </c>
      <c r="L104" s="4">
        <v>1.5960000000000001</v>
      </c>
      <c r="M104" s="70">
        <v>1.5960000000000001</v>
      </c>
      <c r="N104" s="4">
        <v>1.5960000000000001</v>
      </c>
      <c r="O104" s="70">
        <v>1.5960000000000001</v>
      </c>
      <c r="P104" s="4">
        <v>0</v>
      </c>
      <c r="Q104" s="3" t="s">
        <v>26</v>
      </c>
      <c r="R104" s="3">
        <v>0</v>
      </c>
      <c r="S104" s="3">
        <v>92</v>
      </c>
      <c r="T104" s="3">
        <v>94</v>
      </c>
      <c r="U104" s="3">
        <v>47</v>
      </c>
      <c r="V104" s="70">
        <f>IF(ISERROR(VLOOKUP($S$104,'TAR FIN'!$A$1:$O$99,15,0)),0,VLOOKUP($S$104,'TAR FIN'!$A$1:$O$99,15,0))*(1-0.06)</f>
        <v>24.872399999999999</v>
      </c>
      <c r="W104" s="70">
        <f>IF(ISERROR(VLOOKUP($T$104,'TAR FIN'!$A$1:$O$99,15,0)),0,VLOOKUP($T$104,'TAR FIN'!$A$1:$O$99,15,0))*(1-0.06)</f>
        <v>61.222199999999994</v>
      </c>
      <c r="X104" s="70">
        <f>IF(ISERROR(VLOOKUP($U$104,'TAR FIN'!$A$1:$O$99,15,0)),0,VLOOKUP($U$104,'TAR FIN'!$A$1:$O$99,15,0))*(1-0.06)</f>
        <v>325.8134</v>
      </c>
      <c r="Y104" s="70">
        <f ca="1">('TUSD BE'!$AM$5+'TUSD BF'!$AM$5+'TUSD CVA'!$AM$5)*1*(1-0.03)</f>
        <v>29.427176600614171</v>
      </c>
      <c r="Z104" s="70">
        <f ca="1">('TUSD BE'!$AM$7+'TUSD BF'!$AM$7+'TUSD CVA'!$AM$7)*1*(1-0.03)</f>
        <v>73.956172207868946</v>
      </c>
      <c r="AA104" s="70">
        <f>('TE BE'!$AA$5+'TE BF'!$AA$5+'TE CVA'!$AA$5)*1*(1-0.03)</f>
        <v>411.17962930251429</v>
      </c>
      <c r="AB104" s="70">
        <f>(SUBSIDIO!$J$104*SUBSIDIO!$V$104)*(0.06)/(1-0.06)</f>
        <v>79.38</v>
      </c>
      <c r="AC104" s="70">
        <f>((SUBSIDIO!$L$104*SUBSIDIO!$W$104)+(SUBSIDIO!$N$104*SUBSIDIO!$X$104))*(0.06)/(1-0.06)</f>
        <v>39.428222399999996</v>
      </c>
      <c r="AD104" s="70">
        <f ca="1">(SUBSIDIO!$J$104*SUBSIDIO!$Y$104)*(0.03)/(1-0.03)</f>
        <v>45.505943196826038</v>
      </c>
      <c r="AE104" s="70">
        <f ca="1">((SUBSIDIO!$L$104*SUBSIDIO!$Z$104)+(SUBSIDIO!$N$104*SUBSIDIO!$AA$104))*(0.03)/(1-0.03)</f>
        <v>23.946703274553759</v>
      </c>
      <c r="AF104" s="3" t="s">
        <v>953</v>
      </c>
    </row>
    <row r="105" spans="1:32" ht="11.25" customHeight="1" x14ac:dyDescent="0.25">
      <c r="A105" s="3" t="s">
        <v>21</v>
      </c>
      <c r="B105" s="3" t="s">
        <v>41</v>
      </c>
      <c r="C105" s="3" t="s">
        <v>42</v>
      </c>
      <c r="D105" s="3" t="s">
        <v>50</v>
      </c>
      <c r="E105" s="3" t="s">
        <v>51</v>
      </c>
      <c r="F105" s="3" t="s">
        <v>25</v>
      </c>
      <c r="G105" s="3" t="s">
        <v>25</v>
      </c>
      <c r="H105" s="3" t="s">
        <v>35</v>
      </c>
      <c r="I105" s="6">
        <v>44593</v>
      </c>
      <c r="J105" s="4">
        <v>50</v>
      </c>
      <c r="K105" s="71">
        <v>50</v>
      </c>
      <c r="L105" s="4">
        <v>1.6080000000000001</v>
      </c>
      <c r="M105" s="70">
        <v>1.6080000000000001</v>
      </c>
      <c r="N105" s="4">
        <v>1.6080000000000001</v>
      </c>
      <c r="O105" s="70">
        <v>1.6080000000000001</v>
      </c>
      <c r="P105" s="4">
        <v>0</v>
      </c>
      <c r="Q105" s="3" t="s">
        <v>26</v>
      </c>
      <c r="R105" s="3">
        <v>0</v>
      </c>
      <c r="S105" s="3">
        <v>92</v>
      </c>
      <c r="T105" s="3">
        <v>94</v>
      </c>
      <c r="U105" s="3">
        <v>47</v>
      </c>
      <c r="V105" s="70">
        <f>IF(ISERROR(VLOOKUP($S$105,'TAR FIN'!$A$1:$O$99,15,0)),0,VLOOKUP($S$105,'TAR FIN'!$A$1:$O$99,15,0))*(1-0.06)</f>
        <v>24.872399999999999</v>
      </c>
      <c r="W105" s="70">
        <f>IF(ISERROR(VLOOKUP($T$105,'TAR FIN'!$A$1:$O$99,15,0)),0,VLOOKUP($T$105,'TAR FIN'!$A$1:$O$99,15,0))*(1-0.06)</f>
        <v>61.222199999999994</v>
      </c>
      <c r="X105" s="70">
        <f>IF(ISERROR(VLOOKUP($U$105,'TAR FIN'!$A$1:$O$99,15,0)),0,VLOOKUP($U$105,'TAR FIN'!$A$1:$O$99,15,0))*(1-0.06)</f>
        <v>325.8134</v>
      </c>
      <c r="Y105" s="70">
        <f ca="1">('TUSD BE'!$AM$5+'TUSD BF'!$AM$5+'TUSD CVA'!$AM$5)*1*(1-0.03)</f>
        <v>29.427176600614171</v>
      </c>
      <c r="Z105" s="70">
        <f ca="1">('TUSD BE'!$AM$7+'TUSD BF'!$AM$7+'TUSD CVA'!$AM$7)*1*(1-0.03)</f>
        <v>73.956172207868946</v>
      </c>
      <c r="AA105" s="70">
        <f>('TE BE'!$AA$5+'TE BF'!$AA$5+'TE CVA'!$AA$5)*1*(1-0.03)</f>
        <v>411.17962930251429</v>
      </c>
      <c r="AB105" s="70">
        <f>(SUBSIDIO!$J$105*SUBSIDIO!$V$105)*(0.06)/(1-0.06)</f>
        <v>79.38</v>
      </c>
      <c r="AC105" s="70">
        <f>((SUBSIDIO!$L$105*SUBSIDIO!$W$105)+(SUBSIDIO!$N$105*SUBSIDIO!$X$105))*(0.06)/(1-0.06)</f>
        <v>39.724675200000007</v>
      </c>
      <c r="AD105" s="70">
        <f ca="1">(SUBSIDIO!$J$105*SUBSIDIO!$Y$105)*(0.03)/(1-0.03)</f>
        <v>45.505943196826038</v>
      </c>
      <c r="AE105" s="70">
        <f ca="1">((SUBSIDIO!$L$105*SUBSIDIO!$Z$105)+(SUBSIDIO!$N$105*SUBSIDIO!$AA$105))*(0.03)/(1-0.03)</f>
        <v>24.126753675114315</v>
      </c>
      <c r="AF105" s="3" t="s">
        <v>953</v>
      </c>
    </row>
    <row r="106" spans="1:32" ht="11.25" customHeight="1" x14ac:dyDescent="0.25">
      <c r="A106" s="3" t="s">
        <v>21</v>
      </c>
      <c r="B106" s="3" t="s">
        <v>41</v>
      </c>
      <c r="C106" s="3" t="s">
        <v>42</v>
      </c>
      <c r="D106" s="3" t="s">
        <v>50</v>
      </c>
      <c r="E106" s="3" t="s">
        <v>51</v>
      </c>
      <c r="F106" s="3" t="s">
        <v>25</v>
      </c>
      <c r="G106" s="3" t="s">
        <v>25</v>
      </c>
      <c r="H106" s="3" t="s">
        <v>35</v>
      </c>
      <c r="I106" s="6">
        <v>44621</v>
      </c>
      <c r="J106" s="4">
        <v>50</v>
      </c>
      <c r="K106" s="71">
        <v>50</v>
      </c>
      <c r="L106" s="4">
        <v>1.728</v>
      </c>
      <c r="M106" s="70">
        <v>1.728</v>
      </c>
      <c r="N106" s="4">
        <v>1.728</v>
      </c>
      <c r="O106" s="70">
        <v>1.728</v>
      </c>
      <c r="P106" s="4">
        <v>0</v>
      </c>
      <c r="Q106" s="3" t="s">
        <v>26</v>
      </c>
      <c r="R106" s="3">
        <v>0</v>
      </c>
      <c r="S106" s="3">
        <v>92</v>
      </c>
      <c r="T106" s="3">
        <v>94</v>
      </c>
      <c r="U106" s="3">
        <v>47</v>
      </c>
      <c r="V106" s="70">
        <f>IF(ISERROR(VLOOKUP($S$106,'TAR FIN'!$A$1:$O$99,15,0)),0,VLOOKUP($S$106,'TAR FIN'!$A$1:$O$99,15,0))*(1-0.06)</f>
        <v>24.872399999999999</v>
      </c>
      <c r="W106" s="70">
        <f>IF(ISERROR(VLOOKUP($T$106,'TAR FIN'!$A$1:$O$99,15,0)),0,VLOOKUP($T$106,'TAR FIN'!$A$1:$O$99,15,0))*(1-0.06)</f>
        <v>61.222199999999994</v>
      </c>
      <c r="X106" s="70">
        <f>IF(ISERROR(VLOOKUP($U$106,'TAR FIN'!$A$1:$O$99,15,0)),0,VLOOKUP($U$106,'TAR FIN'!$A$1:$O$99,15,0))*(1-0.06)</f>
        <v>325.8134</v>
      </c>
      <c r="Y106" s="70">
        <f ca="1">('TUSD BE'!$AM$5+'TUSD BF'!$AM$5+'TUSD CVA'!$AM$5)*1*(1-0.03)</f>
        <v>29.427176600614171</v>
      </c>
      <c r="Z106" s="70">
        <f ca="1">('TUSD BE'!$AM$7+'TUSD BF'!$AM$7+'TUSD CVA'!$AM$7)*1*(1-0.03)</f>
        <v>73.956172207868946</v>
      </c>
      <c r="AA106" s="70">
        <f>('TE BE'!$AA$5+'TE BF'!$AA$5+'TE CVA'!$AA$5)*1*(1-0.03)</f>
        <v>411.17962930251429</v>
      </c>
      <c r="AB106" s="70">
        <f>(SUBSIDIO!$J$106*SUBSIDIO!$V$106)*(0.06)/(1-0.06)</f>
        <v>79.38</v>
      </c>
      <c r="AC106" s="70">
        <f>((SUBSIDIO!$L$106*SUBSIDIO!$W$106)+(SUBSIDIO!$N$106*SUBSIDIO!$X$106))*(0.06)/(1-0.06)</f>
        <v>42.689203200000001</v>
      </c>
      <c r="AD106" s="70">
        <f ca="1">(SUBSIDIO!$J$106*SUBSIDIO!$Y$106)*(0.03)/(1-0.03)</f>
        <v>45.505943196826038</v>
      </c>
      <c r="AE106" s="70">
        <f ca="1">((SUBSIDIO!$L$106*SUBSIDIO!$Z$106)+(SUBSIDIO!$N$106*SUBSIDIO!$AA$106))*(0.03)/(1-0.03)</f>
        <v>25.927257680719862</v>
      </c>
      <c r="AF106" s="3" t="s">
        <v>953</v>
      </c>
    </row>
    <row r="107" spans="1:32" ht="11.25" customHeight="1" x14ac:dyDescent="0.25">
      <c r="A107" s="3" t="s">
        <v>56</v>
      </c>
      <c r="B107" s="3" t="s">
        <v>41</v>
      </c>
      <c r="C107" s="3" t="s">
        <v>42</v>
      </c>
      <c r="D107" s="3" t="s">
        <v>50</v>
      </c>
      <c r="E107" s="3" t="s">
        <v>51</v>
      </c>
      <c r="F107" s="3" t="s">
        <v>25</v>
      </c>
      <c r="G107" s="3" t="s">
        <v>25</v>
      </c>
      <c r="H107" s="3" t="s">
        <v>35</v>
      </c>
      <c r="I107" s="6">
        <v>44652</v>
      </c>
      <c r="J107" s="4">
        <v>50</v>
      </c>
      <c r="K107" s="71">
        <v>50</v>
      </c>
      <c r="L107" s="4">
        <v>1.728</v>
      </c>
      <c r="M107" s="70">
        <v>1.728</v>
      </c>
      <c r="N107" s="4">
        <v>1.728</v>
      </c>
      <c r="O107" s="70">
        <v>1.728</v>
      </c>
      <c r="P107" s="4">
        <v>0</v>
      </c>
      <c r="Q107" s="3" t="s">
        <v>26</v>
      </c>
      <c r="R107" s="3">
        <v>0</v>
      </c>
      <c r="S107" s="3">
        <v>92</v>
      </c>
      <c r="T107" s="3">
        <v>94</v>
      </c>
      <c r="U107" s="3">
        <v>47</v>
      </c>
      <c r="V107" s="70">
        <f>IF(ISERROR(VLOOKUP($S$107,'TAR FIN'!$A$1:$O$99,15,0)),0,VLOOKUP($S$107,'TAR FIN'!$A$1:$O$99,15,0))*(1-0.06)</f>
        <v>24.872399999999999</v>
      </c>
      <c r="W107" s="70">
        <f>IF(ISERROR(VLOOKUP($T$107,'TAR FIN'!$A$1:$O$99,15,0)),0,VLOOKUP($T$107,'TAR FIN'!$A$1:$O$99,15,0))*(1-0.06)</f>
        <v>61.222199999999994</v>
      </c>
      <c r="X107" s="70">
        <f>IF(ISERROR(VLOOKUP($U$107,'TAR FIN'!$A$1:$O$99,15,0)),0,VLOOKUP($U$107,'TAR FIN'!$A$1:$O$99,15,0))*(1-0.06)</f>
        <v>325.8134</v>
      </c>
      <c r="Y107" s="70">
        <f ca="1">('TUSD BE'!$AM$5+'TUSD BF'!$AM$5+'TUSD CVA'!$AM$5)*1*(1-0.03)</f>
        <v>29.427176600614171</v>
      </c>
      <c r="Z107" s="70">
        <f ca="1">('TUSD BE'!$AM$7+'TUSD BF'!$AM$7+'TUSD CVA'!$AM$7)*1*(1-0.03)</f>
        <v>73.956172207868946</v>
      </c>
      <c r="AA107" s="70">
        <f>('TE BE'!$AA$5+'TE BF'!$AA$5+'TE CVA'!$AA$5)*1*(1-0.03)</f>
        <v>411.17962930251429</v>
      </c>
      <c r="AB107" s="70">
        <f>(SUBSIDIO!$J$107*SUBSIDIO!$V$107)*(0.06)/(1-0.06)</f>
        <v>79.38</v>
      </c>
      <c r="AC107" s="70">
        <f>((SUBSIDIO!$L$107*SUBSIDIO!$W$107)+(SUBSIDIO!$N$107*SUBSIDIO!$X$107))*(0.06)/(1-0.06)</f>
        <v>42.689203200000001</v>
      </c>
      <c r="AD107" s="70">
        <f ca="1">(SUBSIDIO!$J$107*SUBSIDIO!$Y$107)*(0.03)/(1-0.03)</f>
        <v>45.505943196826038</v>
      </c>
      <c r="AE107" s="70">
        <f ca="1">((SUBSIDIO!$L$107*SUBSIDIO!$Z$107)+(SUBSIDIO!$N$107*SUBSIDIO!$AA$107))*(0.03)/(1-0.03)</f>
        <v>25.927257680719862</v>
      </c>
      <c r="AF107" s="3" t="s">
        <v>953</v>
      </c>
    </row>
    <row r="108" spans="1:32" ht="11.25" customHeight="1" x14ac:dyDescent="0.25">
      <c r="A108" s="3" t="s">
        <v>21</v>
      </c>
      <c r="B108" s="3" t="s">
        <v>41</v>
      </c>
      <c r="C108" s="3" t="s">
        <v>64</v>
      </c>
      <c r="D108" s="3" t="s">
        <v>25</v>
      </c>
      <c r="E108" s="3" t="s">
        <v>25</v>
      </c>
      <c r="F108" s="3" t="s">
        <v>65</v>
      </c>
      <c r="G108" s="3" t="s">
        <v>66</v>
      </c>
      <c r="H108" s="3" t="s">
        <v>25</v>
      </c>
      <c r="I108" s="6">
        <v>44317</v>
      </c>
      <c r="J108" s="4">
        <v>2305</v>
      </c>
      <c r="K108" s="4">
        <v>1152.5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3" t="s">
        <v>67</v>
      </c>
      <c r="R108" s="3">
        <v>28542</v>
      </c>
      <c r="S108" s="3">
        <v>90</v>
      </c>
      <c r="T108" s="3">
        <v>0</v>
      </c>
      <c r="U108" s="3">
        <v>0</v>
      </c>
      <c r="V108" s="4">
        <f>IF(ISERROR(VLOOKUP($S$108,'TAR FIN'!$A$1:$O$99,15,0)),0,VLOOKUP($S$108,'TAR FIN'!$A$1:$O$99,15,0))</f>
        <v>13.97</v>
      </c>
      <c r="W108" s="4">
        <f>IF(ISERROR(VLOOKUP($T$108,'TAR FIN'!$A$1:$O$99,15,0)),0,VLOOKUP($T$108,'TAR FIN'!$A$1:$O$99,15,0))</f>
        <v>0</v>
      </c>
      <c r="X108" s="4">
        <f>IF(ISERROR(VLOOKUP($U$108,'TAR FIN'!$A$1:$O$99,15,0)),0,VLOOKUP($U$108,'TAR FIN'!$A$1:$O$99,15,0))</f>
        <v>0</v>
      </c>
      <c r="Y108" s="4">
        <f ca="1">('TUSD BE'!$AM$12+'TUSD BF'!$AM$12+'TUSD CVA'!$AM$12)*1</f>
        <v>17.253093882326908</v>
      </c>
      <c r="Z108" s="4"/>
      <c r="AA108" s="4"/>
      <c r="AB108" s="4">
        <f t="shared" ref="AB108:AB129" si="6">(J108-K108)*V108</f>
        <v>16100.425000000001</v>
      </c>
      <c r="AC108" s="4">
        <f t="shared" ref="AC108:AC129" si="7">(L108-M108)*W108+(N108-O108)*X108</f>
        <v>0</v>
      </c>
      <c r="AD108" s="4">
        <f t="shared" ref="AD108:AD129" ca="1" si="8">(J108-K108)*Y108</f>
        <v>19884.190699381761</v>
      </c>
      <c r="AE108" s="4">
        <f t="shared" ref="AE108:AE129" si="9">(L108-M108)*Z108+(N108-O108)*AA108</f>
        <v>0</v>
      </c>
      <c r="AF108" s="3" t="s">
        <v>954</v>
      </c>
    </row>
    <row r="109" spans="1:32" ht="11.25" customHeight="1" x14ac:dyDescent="0.25">
      <c r="A109" s="3" t="s">
        <v>21</v>
      </c>
      <c r="B109" s="3" t="s">
        <v>41</v>
      </c>
      <c r="C109" s="3" t="s">
        <v>64</v>
      </c>
      <c r="D109" s="3" t="s">
        <v>25</v>
      </c>
      <c r="E109" s="3" t="s">
        <v>25</v>
      </c>
      <c r="F109" s="3" t="s">
        <v>65</v>
      </c>
      <c r="G109" s="3" t="s">
        <v>70</v>
      </c>
      <c r="H109" s="3" t="s">
        <v>25</v>
      </c>
      <c r="I109" s="6">
        <v>44317</v>
      </c>
      <c r="J109" s="4">
        <v>14270</v>
      </c>
      <c r="K109" s="4">
        <v>7580.9375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3" t="s">
        <v>67</v>
      </c>
      <c r="R109" s="3">
        <v>29161</v>
      </c>
      <c r="S109" s="3">
        <v>90</v>
      </c>
      <c r="T109" s="3">
        <v>0</v>
      </c>
      <c r="U109" s="3">
        <v>0</v>
      </c>
      <c r="V109" s="4">
        <f>IF(ISERROR(VLOOKUP($S$109,'TAR FIN'!$A$1:$O$99,15,0)),0,VLOOKUP($S$109,'TAR FIN'!$A$1:$O$99,15,0))</f>
        <v>13.97</v>
      </c>
      <c r="W109" s="4">
        <f>IF(ISERROR(VLOOKUP($T$109,'TAR FIN'!$A$1:$O$99,15,0)),0,VLOOKUP($T$109,'TAR FIN'!$A$1:$O$99,15,0))</f>
        <v>0</v>
      </c>
      <c r="X109" s="4">
        <f>IF(ISERROR(VLOOKUP($U$109,'TAR FIN'!$A$1:$O$99,15,0)),0,VLOOKUP($U$109,'TAR FIN'!$A$1:$O$99,15,0))</f>
        <v>0</v>
      </c>
      <c r="Y109" s="4">
        <f ca="1">('TUSD BE'!$AM$12+'TUSD BF'!$AM$12+'TUSD CVA'!$AM$12)*1</f>
        <v>17.253093882326908</v>
      </c>
      <c r="Z109" s="4"/>
      <c r="AA109" s="4"/>
      <c r="AB109" s="4">
        <f t="shared" si="6"/>
        <v>93446.203125</v>
      </c>
      <c r="AC109" s="4">
        <f t="shared" si="7"/>
        <v>0</v>
      </c>
      <c r="AD109" s="4">
        <f t="shared" ca="1" si="8"/>
        <v>115407.02329725234</v>
      </c>
      <c r="AE109" s="4">
        <f t="shared" si="9"/>
        <v>0</v>
      </c>
      <c r="AF109" s="3" t="s">
        <v>954</v>
      </c>
    </row>
    <row r="110" spans="1:32" ht="11.25" customHeight="1" x14ac:dyDescent="0.25">
      <c r="A110" s="3" t="s">
        <v>21</v>
      </c>
      <c r="B110" s="3" t="s">
        <v>41</v>
      </c>
      <c r="C110" s="3" t="s">
        <v>64</v>
      </c>
      <c r="D110" s="3" t="s">
        <v>25</v>
      </c>
      <c r="E110" s="3" t="s">
        <v>25</v>
      </c>
      <c r="F110" s="3" t="s">
        <v>65</v>
      </c>
      <c r="G110" s="3" t="s">
        <v>71</v>
      </c>
      <c r="H110" s="3" t="s">
        <v>25</v>
      </c>
      <c r="I110" s="6">
        <v>44317</v>
      </c>
      <c r="J110" s="4">
        <v>30000</v>
      </c>
      <c r="K110" s="4">
        <v>15000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3" t="s">
        <v>67</v>
      </c>
      <c r="R110" s="3">
        <v>30048</v>
      </c>
      <c r="S110" s="3">
        <v>90</v>
      </c>
      <c r="T110" s="3">
        <v>0</v>
      </c>
      <c r="U110" s="3">
        <v>0</v>
      </c>
      <c r="V110" s="4">
        <f>IF(ISERROR(VLOOKUP($S$110,'TAR FIN'!$A$1:$O$99,15,0)),0,VLOOKUP($S$110,'TAR FIN'!$A$1:$O$99,15,0))</f>
        <v>13.97</v>
      </c>
      <c r="W110" s="4">
        <f>IF(ISERROR(VLOOKUP($T$110,'TAR FIN'!$A$1:$O$99,15,0)),0,VLOOKUP($T$110,'TAR FIN'!$A$1:$O$99,15,0))</f>
        <v>0</v>
      </c>
      <c r="X110" s="4">
        <f>IF(ISERROR(VLOOKUP($U$110,'TAR FIN'!$A$1:$O$99,15,0)),0,VLOOKUP($U$110,'TAR FIN'!$A$1:$O$99,15,0))</f>
        <v>0</v>
      </c>
      <c r="Y110" s="4">
        <f ca="1">('TUSD BE'!$AM$12+'TUSD BF'!$AM$12+'TUSD CVA'!$AM$12)*1</f>
        <v>17.253093882326908</v>
      </c>
      <c r="Z110" s="4"/>
      <c r="AA110" s="4"/>
      <c r="AB110" s="4">
        <f t="shared" si="6"/>
        <v>209550</v>
      </c>
      <c r="AC110" s="4">
        <f t="shared" si="7"/>
        <v>0</v>
      </c>
      <c r="AD110" s="4">
        <f t="shared" ca="1" si="8"/>
        <v>258796.40823490362</v>
      </c>
      <c r="AE110" s="4">
        <f t="shared" si="9"/>
        <v>0</v>
      </c>
      <c r="AF110" s="3" t="s">
        <v>954</v>
      </c>
    </row>
    <row r="111" spans="1:32" ht="11.25" customHeight="1" x14ac:dyDescent="0.25">
      <c r="A111" s="3" t="s">
        <v>21</v>
      </c>
      <c r="B111" s="3" t="s">
        <v>41</v>
      </c>
      <c r="C111" s="3" t="s">
        <v>64</v>
      </c>
      <c r="D111" s="3" t="s">
        <v>25</v>
      </c>
      <c r="E111" s="3" t="s">
        <v>25</v>
      </c>
      <c r="F111" s="3" t="s">
        <v>65</v>
      </c>
      <c r="G111" s="3" t="s">
        <v>73</v>
      </c>
      <c r="H111" s="3" t="s">
        <v>25</v>
      </c>
      <c r="I111" s="6">
        <v>44317</v>
      </c>
      <c r="J111" s="4">
        <v>16500</v>
      </c>
      <c r="K111" s="4">
        <v>8250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3" t="s">
        <v>67</v>
      </c>
      <c r="R111" s="3">
        <v>31371</v>
      </c>
      <c r="S111" s="3">
        <v>90</v>
      </c>
      <c r="T111" s="3">
        <v>0</v>
      </c>
      <c r="U111" s="3">
        <v>0</v>
      </c>
      <c r="V111" s="4">
        <f>IF(ISERROR(VLOOKUP($S$111,'TAR FIN'!$A$1:$O$99,15,0)),0,VLOOKUP($S$111,'TAR FIN'!$A$1:$O$99,15,0))</f>
        <v>13.97</v>
      </c>
      <c r="W111" s="4">
        <f>IF(ISERROR(VLOOKUP($T$111,'TAR FIN'!$A$1:$O$99,15,0)),0,VLOOKUP($T$111,'TAR FIN'!$A$1:$O$99,15,0))</f>
        <v>0</v>
      </c>
      <c r="X111" s="4">
        <f>IF(ISERROR(VLOOKUP($U$111,'TAR FIN'!$A$1:$O$99,15,0)),0,VLOOKUP($U$111,'TAR FIN'!$A$1:$O$99,15,0))</f>
        <v>0</v>
      </c>
      <c r="Y111" s="4">
        <f ca="1">('TUSD BE'!$AM$12+'TUSD BF'!$AM$12+'TUSD CVA'!$AM$12)*1</f>
        <v>17.253093882326908</v>
      </c>
      <c r="Z111" s="4"/>
      <c r="AA111" s="4"/>
      <c r="AB111" s="4">
        <f t="shared" si="6"/>
        <v>115252.5</v>
      </c>
      <c r="AC111" s="4">
        <f t="shared" si="7"/>
        <v>0</v>
      </c>
      <c r="AD111" s="4">
        <f t="shared" ca="1" si="8"/>
        <v>142338.02452919699</v>
      </c>
      <c r="AE111" s="4">
        <f t="shared" si="9"/>
        <v>0</v>
      </c>
      <c r="AF111" s="3" t="s">
        <v>954</v>
      </c>
    </row>
    <row r="112" spans="1:32" ht="11.25" customHeight="1" x14ac:dyDescent="0.25">
      <c r="A112" s="3" t="s">
        <v>21</v>
      </c>
      <c r="B112" s="3" t="s">
        <v>41</v>
      </c>
      <c r="C112" s="3" t="s">
        <v>64</v>
      </c>
      <c r="D112" s="3" t="s">
        <v>25</v>
      </c>
      <c r="E112" s="3" t="s">
        <v>25</v>
      </c>
      <c r="F112" s="3" t="s">
        <v>65</v>
      </c>
      <c r="G112" s="3" t="s">
        <v>66</v>
      </c>
      <c r="H112" s="3" t="s">
        <v>25</v>
      </c>
      <c r="I112" s="6">
        <v>44348</v>
      </c>
      <c r="J112" s="4">
        <v>2317</v>
      </c>
      <c r="K112" s="4">
        <v>1158.5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3" t="s">
        <v>67</v>
      </c>
      <c r="R112" s="3">
        <v>28542</v>
      </c>
      <c r="S112" s="3">
        <v>90</v>
      </c>
      <c r="T112" s="3">
        <v>0</v>
      </c>
      <c r="U112" s="3">
        <v>0</v>
      </c>
      <c r="V112" s="4">
        <f>IF(ISERROR(VLOOKUP($S$112,'TAR FIN'!$A$1:$O$99,15,0)),0,VLOOKUP($S$112,'TAR FIN'!$A$1:$O$99,15,0))</f>
        <v>13.97</v>
      </c>
      <c r="W112" s="4">
        <f>IF(ISERROR(VLOOKUP($T$112,'TAR FIN'!$A$1:$O$99,15,0)),0,VLOOKUP($T$112,'TAR FIN'!$A$1:$O$99,15,0))</f>
        <v>0</v>
      </c>
      <c r="X112" s="4">
        <f>IF(ISERROR(VLOOKUP($U$112,'TAR FIN'!$A$1:$O$99,15,0)),0,VLOOKUP($U$112,'TAR FIN'!$A$1:$O$99,15,0))</f>
        <v>0</v>
      </c>
      <c r="Y112" s="4">
        <f ca="1">('TUSD BE'!$AM$12+'TUSD BF'!$AM$12+'TUSD CVA'!$AM$12)*1</f>
        <v>17.253093882326908</v>
      </c>
      <c r="Z112" s="4"/>
      <c r="AA112" s="4"/>
      <c r="AB112" s="4">
        <f t="shared" si="6"/>
        <v>16184.245000000001</v>
      </c>
      <c r="AC112" s="4">
        <f t="shared" si="7"/>
        <v>0</v>
      </c>
      <c r="AD112" s="4">
        <f t="shared" ca="1" si="8"/>
        <v>19987.709262675722</v>
      </c>
      <c r="AE112" s="4">
        <f t="shared" si="9"/>
        <v>0</v>
      </c>
      <c r="AF112" s="3" t="s">
        <v>954</v>
      </c>
    </row>
    <row r="113" spans="1:32" ht="11.25" customHeight="1" x14ac:dyDescent="0.25">
      <c r="A113" s="3" t="s">
        <v>21</v>
      </c>
      <c r="B113" s="3" t="s">
        <v>41</v>
      </c>
      <c r="C113" s="3" t="s">
        <v>64</v>
      </c>
      <c r="D113" s="3" t="s">
        <v>25</v>
      </c>
      <c r="E113" s="3" t="s">
        <v>25</v>
      </c>
      <c r="F113" s="3" t="s">
        <v>65</v>
      </c>
      <c r="G113" s="3" t="s">
        <v>70</v>
      </c>
      <c r="H113" s="3" t="s">
        <v>25</v>
      </c>
      <c r="I113" s="6">
        <v>44348</v>
      </c>
      <c r="J113" s="4">
        <v>14250</v>
      </c>
      <c r="K113" s="4">
        <v>7570.3125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3" t="s">
        <v>67</v>
      </c>
      <c r="R113" s="3">
        <v>29161</v>
      </c>
      <c r="S113" s="3">
        <v>90</v>
      </c>
      <c r="T113" s="3">
        <v>0</v>
      </c>
      <c r="U113" s="3">
        <v>0</v>
      </c>
      <c r="V113" s="4">
        <f>IF(ISERROR(VLOOKUP($S$113,'TAR FIN'!$A$1:$O$99,15,0)),0,VLOOKUP($S$113,'TAR FIN'!$A$1:$O$99,15,0))</f>
        <v>13.97</v>
      </c>
      <c r="W113" s="4">
        <f>IF(ISERROR(VLOOKUP($T$113,'TAR FIN'!$A$1:$O$99,15,0)),0,VLOOKUP($T$113,'TAR FIN'!$A$1:$O$99,15,0))</f>
        <v>0</v>
      </c>
      <c r="X113" s="4">
        <f>IF(ISERROR(VLOOKUP($U$113,'TAR FIN'!$A$1:$O$99,15,0)),0,VLOOKUP($U$113,'TAR FIN'!$A$1:$O$99,15,0))</f>
        <v>0</v>
      </c>
      <c r="Y113" s="4">
        <f ca="1">('TUSD BE'!$AM$12+'TUSD BF'!$AM$12+'TUSD CVA'!$AM$12)*1</f>
        <v>17.253093882326908</v>
      </c>
      <c r="Z113" s="4"/>
      <c r="AA113" s="4"/>
      <c r="AB113" s="4">
        <f t="shared" si="6"/>
        <v>93315.234375</v>
      </c>
      <c r="AC113" s="4">
        <f t="shared" si="7"/>
        <v>0</v>
      </c>
      <c r="AD113" s="4">
        <f t="shared" ca="1" si="8"/>
        <v>115245.27554210552</v>
      </c>
      <c r="AE113" s="4">
        <f t="shared" si="9"/>
        <v>0</v>
      </c>
      <c r="AF113" s="3" t="s">
        <v>954</v>
      </c>
    </row>
    <row r="114" spans="1:32" ht="11.25" customHeight="1" x14ac:dyDescent="0.25">
      <c r="A114" s="3" t="s">
        <v>21</v>
      </c>
      <c r="B114" s="3" t="s">
        <v>41</v>
      </c>
      <c r="C114" s="3" t="s">
        <v>64</v>
      </c>
      <c r="D114" s="3" t="s">
        <v>25</v>
      </c>
      <c r="E114" s="3" t="s">
        <v>25</v>
      </c>
      <c r="F114" s="3" t="s">
        <v>65</v>
      </c>
      <c r="G114" s="3" t="s">
        <v>71</v>
      </c>
      <c r="H114" s="3" t="s">
        <v>25</v>
      </c>
      <c r="I114" s="6">
        <v>44348</v>
      </c>
      <c r="J114" s="4">
        <v>30000</v>
      </c>
      <c r="K114" s="4">
        <v>15000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3" t="s">
        <v>67</v>
      </c>
      <c r="R114" s="3">
        <v>30048</v>
      </c>
      <c r="S114" s="3">
        <v>90</v>
      </c>
      <c r="T114" s="3">
        <v>0</v>
      </c>
      <c r="U114" s="3">
        <v>0</v>
      </c>
      <c r="V114" s="4">
        <f>IF(ISERROR(VLOOKUP($S$114,'TAR FIN'!$A$1:$O$99,15,0)),0,VLOOKUP($S$114,'TAR FIN'!$A$1:$O$99,15,0))</f>
        <v>13.97</v>
      </c>
      <c r="W114" s="4">
        <f>IF(ISERROR(VLOOKUP($T$114,'TAR FIN'!$A$1:$O$99,15,0)),0,VLOOKUP($T$114,'TAR FIN'!$A$1:$O$99,15,0))</f>
        <v>0</v>
      </c>
      <c r="X114" s="4">
        <f>IF(ISERROR(VLOOKUP($U$114,'TAR FIN'!$A$1:$O$99,15,0)),0,VLOOKUP($U$114,'TAR FIN'!$A$1:$O$99,15,0))</f>
        <v>0</v>
      </c>
      <c r="Y114" s="4">
        <f ca="1">('TUSD BE'!$AM$12+'TUSD BF'!$AM$12+'TUSD CVA'!$AM$12)*1</f>
        <v>17.253093882326908</v>
      </c>
      <c r="Z114" s="4"/>
      <c r="AA114" s="4"/>
      <c r="AB114" s="4">
        <f t="shared" si="6"/>
        <v>209550</v>
      </c>
      <c r="AC114" s="4">
        <f t="shared" si="7"/>
        <v>0</v>
      </c>
      <c r="AD114" s="4">
        <f t="shared" ca="1" si="8"/>
        <v>258796.40823490362</v>
      </c>
      <c r="AE114" s="4">
        <f t="shared" si="9"/>
        <v>0</v>
      </c>
      <c r="AF114" s="3" t="s">
        <v>954</v>
      </c>
    </row>
    <row r="115" spans="1:32" ht="11.25" customHeight="1" x14ac:dyDescent="0.25">
      <c r="A115" s="3" t="s">
        <v>21</v>
      </c>
      <c r="B115" s="3" t="s">
        <v>41</v>
      </c>
      <c r="C115" s="3" t="s">
        <v>64</v>
      </c>
      <c r="D115" s="3" t="s">
        <v>25</v>
      </c>
      <c r="E115" s="3" t="s">
        <v>25</v>
      </c>
      <c r="F115" s="3" t="s">
        <v>65</v>
      </c>
      <c r="G115" s="3" t="s">
        <v>73</v>
      </c>
      <c r="H115" s="3" t="s">
        <v>25</v>
      </c>
      <c r="I115" s="6">
        <v>44348</v>
      </c>
      <c r="J115" s="4">
        <v>16500</v>
      </c>
      <c r="K115" s="4">
        <v>8250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3" t="s">
        <v>67</v>
      </c>
      <c r="R115" s="3">
        <v>31371</v>
      </c>
      <c r="S115" s="3">
        <v>90</v>
      </c>
      <c r="T115" s="3">
        <v>0</v>
      </c>
      <c r="U115" s="3">
        <v>0</v>
      </c>
      <c r="V115" s="4">
        <f>IF(ISERROR(VLOOKUP($S$115,'TAR FIN'!$A$1:$O$99,15,0)),0,VLOOKUP($S$115,'TAR FIN'!$A$1:$O$99,15,0))</f>
        <v>13.97</v>
      </c>
      <c r="W115" s="4">
        <f>IF(ISERROR(VLOOKUP($T$115,'TAR FIN'!$A$1:$O$99,15,0)),0,VLOOKUP($T$115,'TAR FIN'!$A$1:$O$99,15,0))</f>
        <v>0</v>
      </c>
      <c r="X115" s="4">
        <f>IF(ISERROR(VLOOKUP($U$115,'TAR FIN'!$A$1:$O$99,15,0)),0,VLOOKUP($U$115,'TAR FIN'!$A$1:$O$99,15,0))</f>
        <v>0</v>
      </c>
      <c r="Y115" s="4">
        <f ca="1">('TUSD BE'!$AM$12+'TUSD BF'!$AM$12+'TUSD CVA'!$AM$12)*1</f>
        <v>17.253093882326908</v>
      </c>
      <c r="Z115" s="4"/>
      <c r="AA115" s="4"/>
      <c r="AB115" s="4">
        <f t="shared" si="6"/>
        <v>115252.5</v>
      </c>
      <c r="AC115" s="4">
        <f t="shared" si="7"/>
        <v>0</v>
      </c>
      <c r="AD115" s="4">
        <f t="shared" ca="1" si="8"/>
        <v>142338.02452919699</v>
      </c>
      <c r="AE115" s="4">
        <f t="shared" si="9"/>
        <v>0</v>
      </c>
      <c r="AF115" s="3" t="s">
        <v>954</v>
      </c>
    </row>
    <row r="116" spans="1:32" ht="11.25" customHeight="1" x14ac:dyDescent="0.25">
      <c r="A116" s="3" t="s">
        <v>21</v>
      </c>
      <c r="B116" s="3" t="s">
        <v>41</v>
      </c>
      <c r="C116" s="3" t="s">
        <v>64</v>
      </c>
      <c r="D116" s="3" t="s">
        <v>25</v>
      </c>
      <c r="E116" s="3" t="s">
        <v>25</v>
      </c>
      <c r="F116" s="3" t="s">
        <v>65</v>
      </c>
      <c r="G116" s="3" t="s">
        <v>66</v>
      </c>
      <c r="H116" s="3" t="s">
        <v>25</v>
      </c>
      <c r="I116" s="6">
        <v>44378</v>
      </c>
      <c r="J116" s="4">
        <v>2342</v>
      </c>
      <c r="K116" s="4">
        <v>1171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3" t="s">
        <v>67</v>
      </c>
      <c r="R116" s="3">
        <v>28542</v>
      </c>
      <c r="S116" s="3">
        <v>90</v>
      </c>
      <c r="T116" s="3">
        <v>0</v>
      </c>
      <c r="U116" s="3">
        <v>0</v>
      </c>
      <c r="V116" s="4">
        <f>IF(ISERROR(VLOOKUP($S$116,'TAR FIN'!$A$1:$O$99,15,0)),0,VLOOKUP($S$116,'TAR FIN'!$A$1:$O$99,15,0))</f>
        <v>13.97</v>
      </c>
      <c r="W116" s="4">
        <f>IF(ISERROR(VLOOKUP($T$116,'TAR FIN'!$A$1:$O$99,15,0)),0,VLOOKUP($T$116,'TAR FIN'!$A$1:$O$99,15,0))</f>
        <v>0</v>
      </c>
      <c r="X116" s="4">
        <f>IF(ISERROR(VLOOKUP($U$116,'TAR FIN'!$A$1:$O$99,15,0)),0,VLOOKUP($U$116,'TAR FIN'!$A$1:$O$99,15,0))</f>
        <v>0</v>
      </c>
      <c r="Y116" s="4">
        <f ca="1">('TUSD BE'!$AM$12+'TUSD BF'!$AM$12+'TUSD CVA'!$AM$12)*1</f>
        <v>17.253093882326908</v>
      </c>
      <c r="Z116" s="4"/>
      <c r="AA116" s="4"/>
      <c r="AB116" s="4">
        <f t="shared" si="6"/>
        <v>16358.87</v>
      </c>
      <c r="AC116" s="4">
        <f t="shared" si="7"/>
        <v>0</v>
      </c>
      <c r="AD116" s="4">
        <f t="shared" ca="1" si="8"/>
        <v>20203.372936204811</v>
      </c>
      <c r="AE116" s="4">
        <f t="shared" si="9"/>
        <v>0</v>
      </c>
      <c r="AF116" s="3" t="s">
        <v>954</v>
      </c>
    </row>
    <row r="117" spans="1:32" ht="11.25" customHeight="1" x14ac:dyDescent="0.25">
      <c r="A117" s="3" t="s">
        <v>21</v>
      </c>
      <c r="B117" s="3" t="s">
        <v>41</v>
      </c>
      <c r="C117" s="3" t="s">
        <v>64</v>
      </c>
      <c r="D117" s="3" t="s">
        <v>25</v>
      </c>
      <c r="E117" s="3" t="s">
        <v>25</v>
      </c>
      <c r="F117" s="3" t="s">
        <v>65</v>
      </c>
      <c r="G117" s="3" t="s">
        <v>70</v>
      </c>
      <c r="H117" s="3" t="s">
        <v>25</v>
      </c>
      <c r="I117" s="6">
        <v>44378</v>
      </c>
      <c r="J117" s="4">
        <v>15428</v>
      </c>
      <c r="K117" s="4">
        <v>8196.125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3" t="s">
        <v>67</v>
      </c>
      <c r="R117" s="3">
        <v>29161</v>
      </c>
      <c r="S117" s="3">
        <v>90</v>
      </c>
      <c r="T117" s="3">
        <v>0</v>
      </c>
      <c r="U117" s="3">
        <v>0</v>
      </c>
      <c r="V117" s="4">
        <f>IF(ISERROR(VLOOKUP($S$117,'TAR FIN'!$A$1:$O$99,15,0)),0,VLOOKUP($S$117,'TAR FIN'!$A$1:$O$99,15,0))</f>
        <v>13.97</v>
      </c>
      <c r="W117" s="4">
        <f>IF(ISERROR(VLOOKUP($T$117,'TAR FIN'!$A$1:$O$99,15,0)),0,VLOOKUP($T$117,'TAR FIN'!$A$1:$O$99,15,0))</f>
        <v>0</v>
      </c>
      <c r="X117" s="4">
        <f>IF(ISERROR(VLOOKUP($U$117,'TAR FIN'!$A$1:$O$99,15,0)),0,VLOOKUP($U$117,'TAR FIN'!$A$1:$O$99,15,0))</f>
        <v>0</v>
      </c>
      <c r="Y117" s="4">
        <f ca="1">('TUSD BE'!$AM$12+'TUSD BF'!$AM$12+'TUSD CVA'!$AM$12)*1</f>
        <v>17.253093882326908</v>
      </c>
      <c r="Z117" s="4"/>
      <c r="AA117" s="4"/>
      <c r="AB117" s="4">
        <f t="shared" si="6"/>
        <v>101029.29375000001</v>
      </c>
      <c r="AC117" s="4">
        <f t="shared" si="7"/>
        <v>0</v>
      </c>
      <c r="AD117" s="4">
        <f t="shared" ca="1" si="8"/>
        <v>124772.21832025291</v>
      </c>
      <c r="AE117" s="4">
        <f t="shared" si="9"/>
        <v>0</v>
      </c>
      <c r="AF117" s="3" t="s">
        <v>954</v>
      </c>
    </row>
    <row r="118" spans="1:32" ht="11.25" customHeight="1" x14ac:dyDescent="0.25">
      <c r="A118" s="3" t="s">
        <v>21</v>
      </c>
      <c r="B118" s="3" t="s">
        <v>41</v>
      </c>
      <c r="C118" s="3" t="s">
        <v>64</v>
      </c>
      <c r="D118" s="3" t="s">
        <v>25</v>
      </c>
      <c r="E118" s="3" t="s">
        <v>25</v>
      </c>
      <c r="F118" s="3" t="s">
        <v>65</v>
      </c>
      <c r="G118" s="3" t="s">
        <v>71</v>
      </c>
      <c r="H118" s="3" t="s">
        <v>25</v>
      </c>
      <c r="I118" s="6">
        <v>44378</v>
      </c>
      <c r="J118" s="4">
        <v>30000</v>
      </c>
      <c r="K118" s="4">
        <v>15000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3" t="s">
        <v>67</v>
      </c>
      <c r="R118" s="3">
        <v>30048</v>
      </c>
      <c r="S118" s="3">
        <v>90</v>
      </c>
      <c r="T118" s="3">
        <v>0</v>
      </c>
      <c r="U118" s="3">
        <v>0</v>
      </c>
      <c r="V118" s="4">
        <f>IF(ISERROR(VLOOKUP($S$118,'TAR FIN'!$A$1:$O$99,15,0)),0,VLOOKUP($S$118,'TAR FIN'!$A$1:$O$99,15,0))</f>
        <v>13.97</v>
      </c>
      <c r="W118" s="4">
        <f>IF(ISERROR(VLOOKUP($T$118,'TAR FIN'!$A$1:$O$99,15,0)),0,VLOOKUP($T$118,'TAR FIN'!$A$1:$O$99,15,0))</f>
        <v>0</v>
      </c>
      <c r="X118" s="4">
        <f>IF(ISERROR(VLOOKUP($U$118,'TAR FIN'!$A$1:$O$99,15,0)),0,VLOOKUP($U$118,'TAR FIN'!$A$1:$O$99,15,0))</f>
        <v>0</v>
      </c>
      <c r="Y118" s="4">
        <f ca="1">('TUSD BE'!$AM$12+'TUSD BF'!$AM$12+'TUSD CVA'!$AM$12)*1</f>
        <v>17.253093882326908</v>
      </c>
      <c r="Z118" s="4"/>
      <c r="AA118" s="4"/>
      <c r="AB118" s="4">
        <f t="shared" si="6"/>
        <v>209550</v>
      </c>
      <c r="AC118" s="4">
        <f t="shared" si="7"/>
        <v>0</v>
      </c>
      <c r="AD118" s="4">
        <f t="shared" ca="1" si="8"/>
        <v>258796.40823490362</v>
      </c>
      <c r="AE118" s="4">
        <f t="shared" si="9"/>
        <v>0</v>
      </c>
      <c r="AF118" s="3" t="s">
        <v>954</v>
      </c>
    </row>
    <row r="119" spans="1:32" ht="11.25" customHeight="1" x14ac:dyDescent="0.25">
      <c r="A119" s="3" t="s">
        <v>21</v>
      </c>
      <c r="B119" s="3" t="s">
        <v>41</v>
      </c>
      <c r="C119" s="3" t="s">
        <v>64</v>
      </c>
      <c r="D119" s="3" t="s">
        <v>25</v>
      </c>
      <c r="E119" s="3" t="s">
        <v>25</v>
      </c>
      <c r="F119" s="3" t="s">
        <v>65</v>
      </c>
      <c r="G119" s="3" t="s">
        <v>73</v>
      </c>
      <c r="H119" s="3" t="s">
        <v>25</v>
      </c>
      <c r="I119" s="6">
        <v>44378</v>
      </c>
      <c r="J119" s="4">
        <v>16500</v>
      </c>
      <c r="K119" s="4">
        <v>8250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3" t="s">
        <v>67</v>
      </c>
      <c r="R119" s="3">
        <v>31371</v>
      </c>
      <c r="S119" s="3">
        <v>90</v>
      </c>
      <c r="T119" s="3">
        <v>0</v>
      </c>
      <c r="U119" s="3">
        <v>0</v>
      </c>
      <c r="V119" s="4">
        <f>IF(ISERROR(VLOOKUP($S$119,'TAR FIN'!$A$1:$O$99,15,0)),0,VLOOKUP($S$119,'TAR FIN'!$A$1:$O$99,15,0))</f>
        <v>13.97</v>
      </c>
      <c r="W119" s="4">
        <f>IF(ISERROR(VLOOKUP($T$119,'TAR FIN'!$A$1:$O$99,15,0)),0,VLOOKUP($T$119,'TAR FIN'!$A$1:$O$99,15,0))</f>
        <v>0</v>
      </c>
      <c r="X119" s="4">
        <f>IF(ISERROR(VLOOKUP($U$119,'TAR FIN'!$A$1:$O$99,15,0)),0,VLOOKUP($U$119,'TAR FIN'!$A$1:$O$99,15,0))</f>
        <v>0</v>
      </c>
      <c r="Y119" s="4">
        <f ca="1">('TUSD BE'!$AM$12+'TUSD BF'!$AM$12+'TUSD CVA'!$AM$12)*1</f>
        <v>17.253093882326908</v>
      </c>
      <c r="Z119" s="4"/>
      <c r="AA119" s="4"/>
      <c r="AB119" s="4">
        <f t="shared" si="6"/>
        <v>115252.5</v>
      </c>
      <c r="AC119" s="4">
        <f t="shared" si="7"/>
        <v>0</v>
      </c>
      <c r="AD119" s="4">
        <f t="shared" ca="1" si="8"/>
        <v>142338.02452919699</v>
      </c>
      <c r="AE119" s="4">
        <f t="shared" si="9"/>
        <v>0</v>
      </c>
      <c r="AF119" s="3" t="s">
        <v>954</v>
      </c>
    </row>
    <row r="120" spans="1:32" ht="11.25" customHeight="1" x14ac:dyDescent="0.25">
      <c r="A120" s="3" t="s">
        <v>21</v>
      </c>
      <c r="B120" s="3" t="s">
        <v>41</v>
      </c>
      <c r="C120" s="3" t="s">
        <v>64</v>
      </c>
      <c r="D120" s="3" t="s">
        <v>25</v>
      </c>
      <c r="E120" s="3" t="s">
        <v>25</v>
      </c>
      <c r="F120" s="3" t="s">
        <v>65</v>
      </c>
      <c r="G120" s="3" t="s">
        <v>66</v>
      </c>
      <c r="H120" s="3" t="s">
        <v>25</v>
      </c>
      <c r="I120" s="6">
        <v>44409</v>
      </c>
      <c r="J120" s="4">
        <v>1533</v>
      </c>
      <c r="K120" s="4">
        <v>766.5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3" t="s">
        <v>67</v>
      </c>
      <c r="R120" s="3">
        <v>28542</v>
      </c>
      <c r="S120" s="3">
        <v>90</v>
      </c>
      <c r="T120" s="3">
        <v>0</v>
      </c>
      <c r="U120" s="3">
        <v>0</v>
      </c>
      <c r="V120" s="4">
        <f>IF(ISERROR(VLOOKUP($S$120,'TAR FIN'!$A$1:$O$99,15,0)),0,VLOOKUP($S$120,'TAR FIN'!$A$1:$O$99,15,0))</f>
        <v>13.97</v>
      </c>
      <c r="W120" s="4">
        <f>IF(ISERROR(VLOOKUP($T$120,'TAR FIN'!$A$1:$O$99,15,0)),0,VLOOKUP($T$120,'TAR FIN'!$A$1:$O$99,15,0))</f>
        <v>0</v>
      </c>
      <c r="X120" s="4">
        <f>IF(ISERROR(VLOOKUP($U$120,'TAR FIN'!$A$1:$O$99,15,0)),0,VLOOKUP($U$120,'TAR FIN'!$A$1:$O$99,15,0))</f>
        <v>0</v>
      </c>
      <c r="Y120" s="4">
        <f ca="1">('TUSD BE'!$AM$12+'TUSD BF'!$AM$12+'TUSD CVA'!$AM$12)*1</f>
        <v>17.253093882326908</v>
      </c>
      <c r="Z120" s="4"/>
      <c r="AA120" s="4"/>
      <c r="AB120" s="4">
        <f t="shared" si="6"/>
        <v>10708.005000000001</v>
      </c>
      <c r="AC120" s="4">
        <f t="shared" si="7"/>
        <v>0</v>
      </c>
      <c r="AD120" s="4">
        <f t="shared" ca="1" si="8"/>
        <v>13224.496460803575</v>
      </c>
      <c r="AE120" s="4">
        <f t="shared" si="9"/>
        <v>0</v>
      </c>
      <c r="AF120" s="3" t="s">
        <v>954</v>
      </c>
    </row>
    <row r="121" spans="1:32" ht="11.25" customHeight="1" x14ac:dyDescent="0.25">
      <c r="A121" s="3" t="s">
        <v>21</v>
      </c>
      <c r="B121" s="3" t="s">
        <v>41</v>
      </c>
      <c r="C121" s="3" t="s">
        <v>64</v>
      </c>
      <c r="D121" s="3" t="s">
        <v>25</v>
      </c>
      <c r="E121" s="3" t="s">
        <v>25</v>
      </c>
      <c r="F121" s="3" t="s">
        <v>65</v>
      </c>
      <c r="G121" s="3" t="s">
        <v>70</v>
      </c>
      <c r="H121" s="3" t="s">
        <v>25</v>
      </c>
      <c r="I121" s="6">
        <v>44409</v>
      </c>
      <c r="J121" s="4">
        <v>14393</v>
      </c>
      <c r="K121" s="4">
        <v>7646.28125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3" t="s">
        <v>67</v>
      </c>
      <c r="R121" s="3">
        <v>29161</v>
      </c>
      <c r="S121" s="3">
        <v>90</v>
      </c>
      <c r="T121" s="3">
        <v>0</v>
      </c>
      <c r="U121" s="3">
        <v>0</v>
      </c>
      <c r="V121" s="4">
        <f>IF(ISERROR(VLOOKUP($S$121,'TAR FIN'!$A$1:$O$99,15,0)),0,VLOOKUP($S$121,'TAR FIN'!$A$1:$O$99,15,0))</f>
        <v>13.97</v>
      </c>
      <c r="W121" s="4">
        <f>IF(ISERROR(VLOOKUP($T$121,'TAR FIN'!$A$1:$O$99,15,0)),0,VLOOKUP($T$121,'TAR FIN'!$A$1:$O$99,15,0))</f>
        <v>0</v>
      </c>
      <c r="X121" s="4">
        <f>IF(ISERROR(VLOOKUP($U$121,'TAR FIN'!$A$1:$O$99,15,0)),0,VLOOKUP($U$121,'TAR FIN'!$A$1:$O$99,15,0))</f>
        <v>0</v>
      </c>
      <c r="Y121" s="4">
        <f ca="1">('TUSD BE'!$AM$12+'TUSD BF'!$AM$12+'TUSD CVA'!$AM$12)*1</f>
        <v>17.253093882326908</v>
      </c>
      <c r="Z121" s="4"/>
      <c r="AA121" s="4"/>
      <c r="AB121" s="4">
        <f t="shared" si="6"/>
        <v>94251.660937499997</v>
      </c>
      <c r="AC121" s="4">
        <f t="shared" si="7"/>
        <v>0</v>
      </c>
      <c r="AD121" s="4">
        <f t="shared" ca="1" si="8"/>
        <v>116401.77199140524</v>
      </c>
      <c r="AE121" s="4">
        <f t="shared" si="9"/>
        <v>0</v>
      </c>
      <c r="AF121" s="3" t="s">
        <v>954</v>
      </c>
    </row>
    <row r="122" spans="1:32" ht="11.25" customHeight="1" x14ac:dyDescent="0.25">
      <c r="A122" s="3" t="s">
        <v>21</v>
      </c>
      <c r="B122" s="3" t="s">
        <v>41</v>
      </c>
      <c r="C122" s="3" t="s">
        <v>64</v>
      </c>
      <c r="D122" s="3" t="s">
        <v>25</v>
      </c>
      <c r="E122" s="3" t="s">
        <v>25</v>
      </c>
      <c r="F122" s="3" t="s">
        <v>65</v>
      </c>
      <c r="G122" s="3" t="s">
        <v>71</v>
      </c>
      <c r="H122" s="3" t="s">
        <v>25</v>
      </c>
      <c r="I122" s="6">
        <v>44409</v>
      </c>
      <c r="J122" s="4">
        <v>30000</v>
      </c>
      <c r="K122" s="4">
        <v>15000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3" t="s">
        <v>67</v>
      </c>
      <c r="R122" s="3">
        <v>30048</v>
      </c>
      <c r="S122" s="3">
        <v>90</v>
      </c>
      <c r="T122" s="3">
        <v>0</v>
      </c>
      <c r="U122" s="3">
        <v>0</v>
      </c>
      <c r="V122" s="4">
        <f>IF(ISERROR(VLOOKUP($S$122,'TAR FIN'!$A$1:$O$99,15,0)),0,VLOOKUP($S$122,'TAR FIN'!$A$1:$O$99,15,0))</f>
        <v>13.97</v>
      </c>
      <c r="W122" s="4">
        <f>IF(ISERROR(VLOOKUP($T$122,'TAR FIN'!$A$1:$O$99,15,0)),0,VLOOKUP($T$122,'TAR FIN'!$A$1:$O$99,15,0))</f>
        <v>0</v>
      </c>
      <c r="X122" s="4">
        <f>IF(ISERROR(VLOOKUP($U$122,'TAR FIN'!$A$1:$O$99,15,0)),0,VLOOKUP($U$122,'TAR FIN'!$A$1:$O$99,15,0))</f>
        <v>0</v>
      </c>
      <c r="Y122" s="4">
        <f ca="1">('TUSD BE'!$AM$12+'TUSD BF'!$AM$12+'TUSD CVA'!$AM$12)*1</f>
        <v>17.253093882326908</v>
      </c>
      <c r="Z122" s="4"/>
      <c r="AA122" s="4"/>
      <c r="AB122" s="4">
        <f t="shared" si="6"/>
        <v>209550</v>
      </c>
      <c r="AC122" s="4">
        <f t="shared" si="7"/>
        <v>0</v>
      </c>
      <c r="AD122" s="4">
        <f t="shared" ca="1" si="8"/>
        <v>258796.40823490362</v>
      </c>
      <c r="AE122" s="4">
        <f t="shared" si="9"/>
        <v>0</v>
      </c>
      <c r="AF122" s="3" t="s">
        <v>954</v>
      </c>
    </row>
    <row r="123" spans="1:32" ht="11.25" customHeight="1" x14ac:dyDescent="0.25">
      <c r="A123" s="3" t="s">
        <v>21</v>
      </c>
      <c r="B123" s="3" t="s">
        <v>41</v>
      </c>
      <c r="C123" s="3" t="s">
        <v>64</v>
      </c>
      <c r="D123" s="3" t="s">
        <v>25</v>
      </c>
      <c r="E123" s="3" t="s">
        <v>25</v>
      </c>
      <c r="F123" s="3" t="s">
        <v>65</v>
      </c>
      <c r="G123" s="3" t="s">
        <v>73</v>
      </c>
      <c r="H123" s="3" t="s">
        <v>25</v>
      </c>
      <c r="I123" s="6">
        <v>44409</v>
      </c>
      <c r="J123" s="4">
        <v>16500</v>
      </c>
      <c r="K123" s="4">
        <v>8250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3" t="s">
        <v>67</v>
      </c>
      <c r="R123" s="3">
        <v>31371</v>
      </c>
      <c r="S123" s="3">
        <v>90</v>
      </c>
      <c r="T123" s="3">
        <v>0</v>
      </c>
      <c r="U123" s="3">
        <v>0</v>
      </c>
      <c r="V123" s="4">
        <f>IF(ISERROR(VLOOKUP($S$123,'TAR FIN'!$A$1:$O$99,15,0)),0,VLOOKUP($S$123,'TAR FIN'!$A$1:$O$99,15,0))</f>
        <v>13.97</v>
      </c>
      <c r="W123" s="4">
        <f>IF(ISERROR(VLOOKUP($T$123,'TAR FIN'!$A$1:$O$99,15,0)),0,VLOOKUP($T$123,'TAR FIN'!$A$1:$O$99,15,0))</f>
        <v>0</v>
      </c>
      <c r="X123" s="4">
        <f>IF(ISERROR(VLOOKUP($U$123,'TAR FIN'!$A$1:$O$99,15,0)),0,VLOOKUP($U$123,'TAR FIN'!$A$1:$O$99,15,0))</f>
        <v>0</v>
      </c>
      <c r="Y123" s="4">
        <f ca="1">('TUSD BE'!$AM$12+'TUSD BF'!$AM$12+'TUSD CVA'!$AM$12)*1</f>
        <v>17.253093882326908</v>
      </c>
      <c r="Z123" s="4"/>
      <c r="AA123" s="4"/>
      <c r="AB123" s="4">
        <f t="shared" si="6"/>
        <v>115252.5</v>
      </c>
      <c r="AC123" s="4">
        <f t="shared" si="7"/>
        <v>0</v>
      </c>
      <c r="AD123" s="4">
        <f t="shared" ca="1" si="8"/>
        <v>142338.02452919699</v>
      </c>
      <c r="AE123" s="4">
        <f t="shared" si="9"/>
        <v>0</v>
      </c>
      <c r="AF123" s="3" t="s">
        <v>954</v>
      </c>
    </row>
    <row r="124" spans="1:32" ht="11.25" customHeight="1" x14ac:dyDescent="0.25">
      <c r="A124" s="3" t="s">
        <v>21</v>
      </c>
      <c r="B124" s="3" t="s">
        <v>41</v>
      </c>
      <c r="C124" s="3" t="s">
        <v>64</v>
      </c>
      <c r="D124" s="3" t="s">
        <v>25</v>
      </c>
      <c r="E124" s="3" t="s">
        <v>25</v>
      </c>
      <c r="F124" s="3" t="s">
        <v>65</v>
      </c>
      <c r="G124" s="3" t="s">
        <v>66</v>
      </c>
      <c r="H124" s="3" t="s">
        <v>25</v>
      </c>
      <c r="I124" s="6">
        <v>44440</v>
      </c>
      <c r="J124" s="4">
        <v>1066</v>
      </c>
      <c r="K124" s="4">
        <v>533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3" t="s">
        <v>67</v>
      </c>
      <c r="R124" s="3">
        <v>28542</v>
      </c>
      <c r="S124" s="3">
        <v>90</v>
      </c>
      <c r="T124" s="3">
        <v>0</v>
      </c>
      <c r="U124" s="3">
        <v>0</v>
      </c>
      <c r="V124" s="4">
        <f>IF(ISERROR(VLOOKUP($S$124,'TAR FIN'!$A$1:$O$99,15,0)),0,VLOOKUP($S$124,'TAR FIN'!$A$1:$O$99,15,0))</f>
        <v>13.97</v>
      </c>
      <c r="W124" s="4">
        <f>IF(ISERROR(VLOOKUP($T$124,'TAR FIN'!$A$1:$O$99,15,0)),0,VLOOKUP($T$124,'TAR FIN'!$A$1:$O$99,15,0))</f>
        <v>0</v>
      </c>
      <c r="X124" s="4">
        <f>IF(ISERROR(VLOOKUP($U$124,'TAR FIN'!$A$1:$O$99,15,0)),0,VLOOKUP($U$124,'TAR FIN'!$A$1:$O$99,15,0))</f>
        <v>0</v>
      </c>
      <c r="Y124" s="4">
        <f ca="1">('TUSD BE'!$AM$12+'TUSD BF'!$AM$12+'TUSD CVA'!$AM$12)*1</f>
        <v>17.253093882326908</v>
      </c>
      <c r="Z124" s="4"/>
      <c r="AA124" s="4"/>
      <c r="AB124" s="4">
        <f t="shared" si="6"/>
        <v>7446.01</v>
      </c>
      <c r="AC124" s="4">
        <f t="shared" si="7"/>
        <v>0</v>
      </c>
      <c r="AD124" s="4">
        <f t="shared" ca="1" si="8"/>
        <v>9195.8990392802425</v>
      </c>
      <c r="AE124" s="4">
        <f t="shared" si="9"/>
        <v>0</v>
      </c>
      <c r="AF124" s="3" t="s">
        <v>954</v>
      </c>
    </row>
    <row r="125" spans="1:32" ht="11.25" customHeight="1" x14ac:dyDescent="0.25">
      <c r="A125" s="3" t="s">
        <v>21</v>
      </c>
      <c r="B125" s="3" t="s">
        <v>41</v>
      </c>
      <c r="C125" s="3" t="s">
        <v>64</v>
      </c>
      <c r="D125" s="3" t="s">
        <v>25</v>
      </c>
      <c r="E125" s="3" t="s">
        <v>25</v>
      </c>
      <c r="F125" s="3" t="s">
        <v>65</v>
      </c>
      <c r="G125" s="3" t="s">
        <v>70</v>
      </c>
      <c r="H125" s="3" t="s">
        <v>25</v>
      </c>
      <c r="I125" s="6">
        <v>44440</v>
      </c>
      <c r="J125" s="4">
        <v>12295</v>
      </c>
      <c r="K125" s="4">
        <v>6531.71875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3" t="s">
        <v>67</v>
      </c>
      <c r="R125" s="3">
        <v>29161</v>
      </c>
      <c r="S125" s="3">
        <v>90</v>
      </c>
      <c r="T125" s="3">
        <v>0</v>
      </c>
      <c r="U125" s="3">
        <v>0</v>
      </c>
      <c r="V125" s="4">
        <f>IF(ISERROR(VLOOKUP($S$125,'TAR FIN'!$A$1:$O$99,15,0)),0,VLOOKUP($S$125,'TAR FIN'!$A$1:$O$99,15,0))</f>
        <v>13.97</v>
      </c>
      <c r="W125" s="4">
        <f>IF(ISERROR(VLOOKUP($T$125,'TAR FIN'!$A$1:$O$99,15,0)),0,VLOOKUP($T$125,'TAR FIN'!$A$1:$O$99,15,0))</f>
        <v>0</v>
      </c>
      <c r="X125" s="4">
        <f>IF(ISERROR(VLOOKUP($U$125,'TAR FIN'!$A$1:$O$99,15,0)),0,VLOOKUP($U$125,'TAR FIN'!$A$1:$O$99,15,0))</f>
        <v>0</v>
      </c>
      <c r="Y125" s="4">
        <f ca="1">('TUSD BE'!$AM$12+'TUSD BF'!$AM$12+'TUSD CVA'!$AM$12)*1</f>
        <v>17.253093882326908</v>
      </c>
      <c r="Z125" s="4"/>
      <c r="AA125" s="4"/>
      <c r="AB125" s="4">
        <f t="shared" si="6"/>
        <v>80513.0390625</v>
      </c>
      <c r="AC125" s="4">
        <f t="shared" si="7"/>
        <v>0</v>
      </c>
      <c r="AD125" s="4">
        <f t="shared" ca="1" si="8"/>
        <v>99434.432476504371</v>
      </c>
      <c r="AE125" s="4">
        <f t="shared" si="9"/>
        <v>0</v>
      </c>
      <c r="AF125" s="3" t="s">
        <v>954</v>
      </c>
    </row>
    <row r="126" spans="1:32" ht="11.25" customHeight="1" x14ac:dyDescent="0.25">
      <c r="A126" s="3" t="s">
        <v>21</v>
      </c>
      <c r="B126" s="3" t="s">
        <v>41</v>
      </c>
      <c r="C126" s="3" t="s">
        <v>64</v>
      </c>
      <c r="D126" s="3" t="s">
        <v>25</v>
      </c>
      <c r="E126" s="3" t="s">
        <v>25</v>
      </c>
      <c r="F126" s="3" t="s">
        <v>65</v>
      </c>
      <c r="G126" s="3" t="s">
        <v>71</v>
      </c>
      <c r="H126" s="3" t="s">
        <v>25</v>
      </c>
      <c r="I126" s="6">
        <v>44440</v>
      </c>
      <c r="J126" s="4">
        <v>30000</v>
      </c>
      <c r="K126" s="4">
        <v>15000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3" t="s">
        <v>67</v>
      </c>
      <c r="R126" s="3">
        <v>30048</v>
      </c>
      <c r="S126" s="3">
        <v>90</v>
      </c>
      <c r="T126" s="3">
        <v>0</v>
      </c>
      <c r="U126" s="3">
        <v>0</v>
      </c>
      <c r="V126" s="4">
        <f>IF(ISERROR(VLOOKUP($S$126,'TAR FIN'!$A$1:$O$99,15,0)),0,VLOOKUP($S$126,'TAR FIN'!$A$1:$O$99,15,0))</f>
        <v>13.97</v>
      </c>
      <c r="W126" s="4">
        <f>IF(ISERROR(VLOOKUP($T$126,'TAR FIN'!$A$1:$O$99,15,0)),0,VLOOKUP($T$126,'TAR FIN'!$A$1:$O$99,15,0))</f>
        <v>0</v>
      </c>
      <c r="X126" s="4">
        <f>IF(ISERROR(VLOOKUP($U$126,'TAR FIN'!$A$1:$O$99,15,0)),0,VLOOKUP($U$126,'TAR FIN'!$A$1:$O$99,15,0))</f>
        <v>0</v>
      </c>
      <c r="Y126" s="4">
        <f ca="1">('TUSD BE'!$AM$12+'TUSD BF'!$AM$12+'TUSD CVA'!$AM$12)*1</f>
        <v>17.253093882326908</v>
      </c>
      <c r="Z126" s="4"/>
      <c r="AA126" s="4"/>
      <c r="AB126" s="4">
        <f t="shared" si="6"/>
        <v>209550</v>
      </c>
      <c r="AC126" s="4">
        <f t="shared" si="7"/>
        <v>0</v>
      </c>
      <c r="AD126" s="4">
        <f t="shared" ca="1" si="8"/>
        <v>258796.40823490362</v>
      </c>
      <c r="AE126" s="4">
        <f t="shared" si="9"/>
        <v>0</v>
      </c>
      <c r="AF126" s="3" t="s">
        <v>954</v>
      </c>
    </row>
    <row r="127" spans="1:32" ht="11.25" customHeight="1" x14ac:dyDescent="0.25">
      <c r="A127" s="3" t="s">
        <v>21</v>
      </c>
      <c r="B127" s="3" t="s">
        <v>41</v>
      </c>
      <c r="C127" s="3" t="s">
        <v>64</v>
      </c>
      <c r="D127" s="3" t="s">
        <v>25</v>
      </c>
      <c r="E127" s="3" t="s">
        <v>25</v>
      </c>
      <c r="F127" s="3" t="s">
        <v>65</v>
      </c>
      <c r="G127" s="3" t="s">
        <v>73</v>
      </c>
      <c r="H127" s="3" t="s">
        <v>25</v>
      </c>
      <c r="I127" s="6">
        <v>44440</v>
      </c>
      <c r="J127" s="4">
        <v>16500</v>
      </c>
      <c r="K127" s="4">
        <v>8250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3" t="s">
        <v>67</v>
      </c>
      <c r="R127" s="3">
        <v>31371</v>
      </c>
      <c r="S127" s="3">
        <v>90</v>
      </c>
      <c r="T127" s="3">
        <v>0</v>
      </c>
      <c r="U127" s="3">
        <v>0</v>
      </c>
      <c r="V127" s="4">
        <f>IF(ISERROR(VLOOKUP($S$127,'TAR FIN'!$A$1:$O$99,15,0)),0,VLOOKUP($S$127,'TAR FIN'!$A$1:$O$99,15,0))</f>
        <v>13.97</v>
      </c>
      <c r="W127" s="4">
        <f>IF(ISERROR(VLOOKUP($T$127,'TAR FIN'!$A$1:$O$99,15,0)),0,VLOOKUP($T$127,'TAR FIN'!$A$1:$O$99,15,0))</f>
        <v>0</v>
      </c>
      <c r="X127" s="4">
        <f>IF(ISERROR(VLOOKUP($U$127,'TAR FIN'!$A$1:$O$99,15,0)),0,VLOOKUP($U$127,'TAR FIN'!$A$1:$O$99,15,0))</f>
        <v>0</v>
      </c>
      <c r="Y127" s="4">
        <f ca="1">('TUSD BE'!$AM$12+'TUSD BF'!$AM$12+'TUSD CVA'!$AM$12)*1</f>
        <v>17.253093882326908</v>
      </c>
      <c r="Z127" s="4"/>
      <c r="AA127" s="4"/>
      <c r="AB127" s="4">
        <f t="shared" si="6"/>
        <v>115252.5</v>
      </c>
      <c r="AC127" s="4">
        <f t="shared" si="7"/>
        <v>0</v>
      </c>
      <c r="AD127" s="4">
        <f t="shared" ca="1" si="8"/>
        <v>142338.02452919699</v>
      </c>
      <c r="AE127" s="4">
        <f t="shared" si="9"/>
        <v>0</v>
      </c>
      <c r="AF127" s="3" t="s">
        <v>954</v>
      </c>
    </row>
    <row r="128" spans="1:32" ht="11.25" customHeight="1" x14ac:dyDescent="0.25">
      <c r="A128" s="3" t="s">
        <v>21</v>
      </c>
      <c r="B128" s="3" t="s">
        <v>41</v>
      </c>
      <c r="C128" s="3" t="s">
        <v>64</v>
      </c>
      <c r="D128" s="3" t="s">
        <v>25</v>
      </c>
      <c r="E128" s="3" t="s">
        <v>25</v>
      </c>
      <c r="F128" s="3" t="s">
        <v>65</v>
      </c>
      <c r="G128" s="3" t="s">
        <v>66</v>
      </c>
      <c r="H128" s="3" t="s">
        <v>25</v>
      </c>
      <c r="I128" s="6">
        <v>44470</v>
      </c>
      <c r="J128" s="4">
        <v>1994</v>
      </c>
      <c r="K128" s="4">
        <v>997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3" t="s">
        <v>67</v>
      </c>
      <c r="R128" s="3">
        <v>28542</v>
      </c>
      <c r="S128" s="3">
        <v>90</v>
      </c>
      <c r="T128" s="3">
        <v>0</v>
      </c>
      <c r="U128" s="3">
        <v>0</v>
      </c>
      <c r="V128" s="4">
        <f>IF(ISERROR(VLOOKUP($S$128,'TAR FIN'!$A$1:$O$99,15,0)),0,VLOOKUP($S$128,'TAR FIN'!$A$1:$O$99,15,0))</f>
        <v>13.97</v>
      </c>
      <c r="W128" s="4">
        <f>IF(ISERROR(VLOOKUP($T$128,'TAR FIN'!$A$1:$O$99,15,0)),0,VLOOKUP($T$128,'TAR FIN'!$A$1:$O$99,15,0))</f>
        <v>0</v>
      </c>
      <c r="X128" s="4">
        <f>IF(ISERROR(VLOOKUP($U$128,'TAR FIN'!$A$1:$O$99,15,0)),0,VLOOKUP($U$128,'TAR FIN'!$A$1:$O$99,15,0))</f>
        <v>0</v>
      </c>
      <c r="Y128" s="4">
        <f ca="1">('TUSD BE'!$AM$12+'TUSD BF'!$AM$12+'TUSD CVA'!$AM$12)*1</f>
        <v>17.253093882326908</v>
      </c>
      <c r="Z128" s="4"/>
      <c r="AA128" s="4"/>
      <c r="AB128" s="4">
        <f t="shared" si="6"/>
        <v>13928.09</v>
      </c>
      <c r="AC128" s="4">
        <f t="shared" si="7"/>
        <v>0</v>
      </c>
      <c r="AD128" s="4">
        <f t="shared" ca="1" si="8"/>
        <v>17201.334600679929</v>
      </c>
      <c r="AE128" s="4">
        <f t="shared" si="9"/>
        <v>0</v>
      </c>
      <c r="AF128" s="3" t="s">
        <v>954</v>
      </c>
    </row>
    <row r="129" spans="1:32" ht="11.25" customHeight="1" x14ac:dyDescent="0.25">
      <c r="A129" s="3" t="s">
        <v>21</v>
      </c>
      <c r="B129" s="3" t="s">
        <v>41</v>
      </c>
      <c r="C129" s="3" t="s">
        <v>64</v>
      </c>
      <c r="D129" s="3" t="s">
        <v>25</v>
      </c>
      <c r="E129" s="3" t="s">
        <v>25</v>
      </c>
      <c r="F129" s="3" t="s">
        <v>65</v>
      </c>
      <c r="G129" s="3" t="s">
        <v>70</v>
      </c>
      <c r="H129" s="3" t="s">
        <v>25</v>
      </c>
      <c r="I129" s="6">
        <v>44470</v>
      </c>
      <c r="J129" s="4">
        <v>11378</v>
      </c>
      <c r="K129" s="4">
        <v>6044.5625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3" t="s">
        <v>67</v>
      </c>
      <c r="R129" s="3">
        <v>29161</v>
      </c>
      <c r="S129" s="3">
        <v>90</v>
      </c>
      <c r="T129" s="3">
        <v>0</v>
      </c>
      <c r="U129" s="3">
        <v>0</v>
      </c>
      <c r="V129" s="4">
        <f>IF(ISERROR(VLOOKUP($S$129,'TAR FIN'!$A$1:$O$99,15,0)),0,VLOOKUP($S$129,'TAR FIN'!$A$1:$O$99,15,0))</f>
        <v>13.97</v>
      </c>
      <c r="W129" s="4">
        <f>IF(ISERROR(VLOOKUP($T$129,'TAR FIN'!$A$1:$O$99,15,0)),0,VLOOKUP($T$129,'TAR FIN'!$A$1:$O$99,15,0))</f>
        <v>0</v>
      </c>
      <c r="X129" s="4">
        <f>IF(ISERROR(VLOOKUP($U$129,'TAR FIN'!$A$1:$O$99,15,0)),0,VLOOKUP($U$129,'TAR FIN'!$A$1:$O$99,15,0))</f>
        <v>0</v>
      </c>
      <c r="Y129" s="4">
        <f ca="1">('TUSD BE'!$AM$12+'TUSD BF'!$AM$12+'TUSD CVA'!$AM$12)*1</f>
        <v>17.253093882326908</v>
      </c>
      <c r="Z129" s="4"/>
      <c r="AA129" s="4"/>
      <c r="AB129" s="4">
        <f t="shared" si="6"/>
        <v>74508.121874999997</v>
      </c>
      <c r="AC129" s="4">
        <f t="shared" si="7"/>
        <v>0</v>
      </c>
      <c r="AD129" s="4">
        <f t="shared" ca="1" si="8"/>
        <v>92018.297903022918</v>
      </c>
      <c r="AE129" s="4">
        <f t="shared" si="9"/>
        <v>0</v>
      </c>
      <c r="AF129" s="3" t="s">
        <v>954</v>
      </c>
    </row>
    <row r="130" spans="1:32" ht="11.25" customHeight="1" x14ac:dyDescent="0.25">
      <c r="A130" s="3" t="s">
        <v>21</v>
      </c>
      <c r="B130" s="3" t="s">
        <v>41</v>
      </c>
      <c r="C130" s="3" t="s">
        <v>64</v>
      </c>
      <c r="D130" s="3" t="s">
        <v>25</v>
      </c>
      <c r="E130" s="3" t="s">
        <v>25</v>
      </c>
      <c r="F130" s="3" t="s">
        <v>65</v>
      </c>
      <c r="G130" s="3" t="s">
        <v>71</v>
      </c>
      <c r="H130" s="3" t="s">
        <v>25</v>
      </c>
      <c r="I130" s="6">
        <v>44470</v>
      </c>
      <c r="J130" s="4">
        <v>30000</v>
      </c>
      <c r="K130" s="4">
        <v>15000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3" t="s">
        <v>67</v>
      </c>
      <c r="R130" s="3">
        <v>30048</v>
      </c>
      <c r="S130" s="3">
        <v>90</v>
      </c>
      <c r="T130" s="3">
        <v>0</v>
      </c>
      <c r="U130" s="3">
        <v>0</v>
      </c>
      <c r="V130" s="4">
        <f>IF(ISERROR(VLOOKUP($S$130,'TAR FIN'!$A$1:$O$99,15,0)),0,VLOOKUP($S$130,'TAR FIN'!$A$1:$O$99,15,0))</f>
        <v>13.97</v>
      </c>
      <c r="W130" s="4">
        <f>IF(ISERROR(VLOOKUP($T$130,'TAR FIN'!$A$1:$O$99,15,0)),0,VLOOKUP($T$130,'TAR FIN'!$A$1:$O$99,15,0))</f>
        <v>0</v>
      </c>
      <c r="X130" s="4">
        <f>IF(ISERROR(VLOOKUP($U$130,'TAR FIN'!$A$1:$O$99,15,0)),0,VLOOKUP($U$130,'TAR FIN'!$A$1:$O$99,15,0))</f>
        <v>0</v>
      </c>
      <c r="Y130" s="4">
        <f ca="1">('TUSD BE'!$AM$12+'TUSD BF'!$AM$12+'TUSD CVA'!$AM$12)*1</f>
        <v>17.253093882326908</v>
      </c>
      <c r="Z130" s="4"/>
      <c r="AA130" s="4"/>
      <c r="AB130" s="4">
        <f t="shared" ref="AB130:AB193" si="10">(J130-K130)*V130</f>
        <v>209550</v>
      </c>
      <c r="AC130" s="4">
        <f t="shared" ref="AC130:AC193" si="11">(L130-M130)*W130+(N130-O130)*X130</f>
        <v>0</v>
      </c>
      <c r="AD130" s="4">
        <f t="shared" ref="AD130:AD193" ca="1" si="12">(J130-K130)*Y130</f>
        <v>258796.40823490362</v>
      </c>
      <c r="AE130" s="4">
        <f t="shared" ref="AE130:AE193" si="13">(L130-M130)*Z130+(N130-O130)*AA130</f>
        <v>0</v>
      </c>
      <c r="AF130" s="3" t="s">
        <v>954</v>
      </c>
    </row>
    <row r="131" spans="1:32" ht="11.25" customHeight="1" x14ac:dyDescent="0.25">
      <c r="A131" s="3" t="s">
        <v>21</v>
      </c>
      <c r="B131" s="3" t="s">
        <v>41</v>
      </c>
      <c r="C131" s="3" t="s">
        <v>64</v>
      </c>
      <c r="D131" s="3" t="s">
        <v>25</v>
      </c>
      <c r="E131" s="3" t="s">
        <v>25</v>
      </c>
      <c r="F131" s="3" t="s">
        <v>65</v>
      </c>
      <c r="G131" s="3" t="s">
        <v>73</v>
      </c>
      <c r="H131" s="3" t="s">
        <v>25</v>
      </c>
      <c r="I131" s="6">
        <v>44470</v>
      </c>
      <c r="J131" s="4">
        <v>20888</v>
      </c>
      <c r="K131" s="4">
        <v>10444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3" t="s">
        <v>67</v>
      </c>
      <c r="R131" s="3">
        <v>31371</v>
      </c>
      <c r="S131" s="3">
        <v>90</v>
      </c>
      <c r="T131" s="3">
        <v>0</v>
      </c>
      <c r="U131" s="3">
        <v>0</v>
      </c>
      <c r="V131" s="4">
        <f>IF(ISERROR(VLOOKUP($S$131,'TAR FIN'!$A$1:$O$99,15,0)),0,VLOOKUP($S$131,'TAR FIN'!$A$1:$O$99,15,0))</f>
        <v>13.97</v>
      </c>
      <c r="W131" s="4">
        <f>IF(ISERROR(VLOOKUP($T$131,'TAR FIN'!$A$1:$O$99,15,0)),0,VLOOKUP($T$131,'TAR FIN'!$A$1:$O$99,15,0))</f>
        <v>0</v>
      </c>
      <c r="X131" s="4">
        <f>IF(ISERROR(VLOOKUP($U$131,'TAR FIN'!$A$1:$O$99,15,0)),0,VLOOKUP($U$131,'TAR FIN'!$A$1:$O$99,15,0))</f>
        <v>0</v>
      </c>
      <c r="Y131" s="4">
        <f ca="1">('TUSD BE'!$AM$12+'TUSD BF'!$AM$12+'TUSD CVA'!$AM$12)*1</f>
        <v>17.253093882326908</v>
      </c>
      <c r="Z131" s="4"/>
      <c r="AA131" s="4"/>
      <c r="AB131" s="4">
        <f t="shared" si="10"/>
        <v>145902.68</v>
      </c>
      <c r="AC131" s="4">
        <f t="shared" si="11"/>
        <v>0</v>
      </c>
      <c r="AD131" s="4">
        <f t="shared" ca="1" si="12"/>
        <v>180191.31250702223</v>
      </c>
      <c r="AE131" s="4">
        <f t="shared" si="13"/>
        <v>0</v>
      </c>
      <c r="AF131" s="3" t="s">
        <v>954</v>
      </c>
    </row>
    <row r="132" spans="1:32" ht="11.25" customHeight="1" x14ac:dyDescent="0.25">
      <c r="A132" s="3" t="s">
        <v>21</v>
      </c>
      <c r="B132" s="3" t="s">
        <v>41</v>
      </c>
      <c r="C132" s="3" t="s">
        <v>64</v>
      </c>
      <c r="D132" s="3" t="s">
        <v>25</v>
      </c>
      <c r="E132" s="3" t="s">
        <v>25</v>
      </c>
      <c r="F132" s="3" t="s">
        <v>65</v>
      </c>
      <c r="G132" s="3" t="s">
        <v>66</v>
      </c>
      <c r="H132" s="3" t="s">
        <v>25</v>
      </c>
      <c r="I132" s="6">
        <v>44501</v>
      </c>
      <c r="J132" s="4">
        <v>2636</v>
      </c>
      <c r="K132" s="4">
        <v>1318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3" t="s">
        <v>67</v>
      </c>
      <c r="R132" s="3">
        <v>28542</v>
      </c>
      <c r="S132" s="3">
        <v>90</v>
      </c>
      <c r="T132" s="3">
        <v>0</v>
      </c>
      <c r="U132" s="3">
        <v>0</v>
      </c>
      <c r="V132" s="4">
        <f>IF(ISERROR(VLOOKUP($S$132,'TAR FIN'!$A$1:$O$99,15,0)),0,VLOOKUP($S$132,'TAR FIN'!$A$1:$O$99,15,0))</f>
        <v>13.97</v>
      </c>
      <c r="W132" s="4">
        <f>IF(ISERROR(VLOOKUP($T$132,'TAR FIN'!$A$1:$O$99,15,0)),0,VLOOKUP($T$132,'TAR FIN'!$A$1:$O$99,15,0))</f>
        <v>0</v>
      </c>
      <c r="X132" s="4">
        <f>IF(ISERROR(VLOOKUP($U$132,'TAR FIN'!$A$1:$O$99,15,0)),0,VLOOKUP($U$132,'TAR FIN'!$A$1:$O$99,15,0))</f>
        <v>0</v>
      </c>
      <c r="Y132" s="4">
        <f ca="1">('TUSD BE'!$AM$12+'TUSD BF'!$AM$12+'TUSD CVA'!$AM$12)*1</f>
        <v>17.253093882326908</v>
      </c>
      <c r="Z132" s="4"/>
      <c r="AA132" s="4"/>
      <c r="AB132" s="4">
        <f t="shared" si="10"/>
        <v>18412.46</v>
      </c>
      <c r="AC132" s="4">
        <f t="shared" si="11"/>
        <v>0</v>
      </c>
      <c r="AD132" s="4">
        <f t="shared" ca="1" si="12"/>
        <v>22739.577736906864</v>
      </c>
      <c r="AE132" s="4">
        <f t="shared" si="13"/>
        <v>0</v>
      </c>
      <c r="AF132" s="3" t="s">
        <v>954</v>
      </c>
    </row>
    <row r="133" spans="1:32" ht="11.25" customHeight="1" x14ac:dyDescent="0.25">
      <c r="A133" s="3" t="s">
        <v>21</v>
      </c>
      <c r="B133" s="3" t="s">
        <v>41</v>
      </c>
      <c r="C133" s="3" t="s">
        <v>64</v>
      </c>
      <c r="D133" s="3" t="s">
        <v>25</v>
      </c>
      <c r="E133" s="3" t="s">
        <v>25</v>
      </c>
      <c r="F133" s="3" t="s">
        <v>65</v>
      </c>
      <c r="G133" s="3" t="s">
        <v>70</v>
      </c>
      <c r="H133" s="3" t="s">
        <v>25</v>
      </c>
      <c r="I133" s="6">
        <v>44501</v>
      </c>
      <c r="J133" s="4">
        <v>12479</v>
      </c>
      <c r="K133" s="4">
        <v>6629.46875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3" t="s">
        <v>67</v>
      </c>
      <c r="R133" s="3">
        <v>29161</v>
      </c>
      <c r="S133" s="3">
        <v>90</v>
      </c>
      <c r="T133" s="3">
        <v>0</v>
      </c>
      <c r="U133" s="3">
        <v>0</v>
      </c>
      <c r="V133" s="4">
        <f>IF(ISERROR(VLOOKUP($S$133,'TAR FIN'!$A$1:$O$99,15,0)),0,VLOOKUP($S$133,'TAR FIN'!$A$1:$O$99,15,0))</f>
        <v>13.97</v>
      </c>
      <c r="W133" s="4">
        <f>IF(ISERROR(VLOOKUP($T$133,'TAR FIN'!$A$1:$O$99,15,0)),0,VLOOKUP($T$133,'TAR FIN'!$A$1:$O$99,15,0))</f>
        <v>0</v>
      </c>
      <c r="X133" s="4">
        <f>IF(ISERROR(VLOOKUP($U$133,'TAR FIN'!$A$1:$O$99,15,0)),0,VLOOKUP($U$133,'TAR FIN'!$A$1:$O$99,15,0))</f>
        <v>0</v>
      </c>
      <c r="Y133" s="4">
        <f ca="1">('TUSD BE'!$AM$12+'TUSD BF'!$AM$12+'TUSD CVA'!$AM$12)*1</f>
        <v>17.253093882326908</v>
      </c>
      <c r="Z133" s="4"/>
      <c r="AA133" s="4"/>
      <c r="AB133" s="4">
        <f t="shared" si="10"/>
        <v>81717.951562500006</v>
      </c>
      <c r="AC133" s="4">
        <f t="shared" si="11"/>
        <v>0</v>
      </c>
      <c r="AD133" s="4">
        <f t="shared" ca="1" si="12"/>
        <v>100922.51182385508</v>
      </c>
      <c r="AE133" s="4">
        <f t="shared" si="13"/>
        <v>0</v>
      </c>
      <c r="AF133" s="3" t="s">
        <v>954</v>
      </c>
    </row>
    <row r="134" spans="1:32" ht="11.25" customHeight="1" x14ac:dyDescent="0.25">
      <c r="A134" s="3" t="s">
        <v>21</v>
      </c>
      <c r="B134" s="3" t="s">
        <v>41</v>
      </c>
      <c r="C134" s="3" t="s">
        <v>64</v>
      </c>
      <c r="D134" s="3" t="s">
        <v>25</v>
      </c>
      <c r="E134" s="3" t="s">
        <v>25</v>
      </c>
      <c r="F134" s="3" t="s">
        <v>65</v>
      </c>
      <c r="G134" s="3" t="s">
        <v>71</v>
      </c>
      <c r="H134" s="3" t="s">
        <v>25</v>
      </c>
      <c r="I134" s="6">
        <v>44501</v>
      </c>
      <c r="J134" s="4">
        <v>30000</v>
      </c>
      <c r="K134" s="4">
        <v>15000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3" t="s">
        <v>67</v>
      </c>
      <c r="R134" s="3">
        <v>30048</v>
      </c>
      <c r="S134" s="3">
        <v>90</v>
      </c>
      <c r="T134" s="3">
        <v>0</v>
      </c>
      <c r="U134" s="3">
        <v>0</v>
      </c>
      <c r="V134" s="4">
        <f>IF(ISERROR(VLOOKUP($S$134,'TAR FIN'!$A$1:$O$99,15,0)),0,VLOOKUP($S$134,'TAR FIN'!$A$1:$O$99,15,0))</f>
        <v>13.97</v>
      </c>
      <c r="W134" s="4">
        <f>IF(ISERROR(VLOOKUP($T$134,'TAR FIN'!$A$1:$O$99,15,0)),0,VLOOKUP($T$134,'TAR FIN'!$A$1:$O$99,15,0))</f>
        <v>0</v>
      </c>
      <c r="X134" s="4">
        <f>IF(ISERROR(VLOOKUP($U$134,'TAR FIN'!$A$1:$O$99,15,0)),0,VLOOKUP($U$134,'TAR FIN'!$A$1:$O$99,15,0))</f>
        <v>0</v>
      </c>
      <c r="Y134" s="4">
        <f ca="1">('TUSD BE'!$AM$12+'TUSD BF'!$AM$12+'TUSD CVA'!$AM$12)*1</f>
        <v>17.253093882326908</v>
      </c>
      <c r="Z134" s="4"/>
      <c r="AA134" s="4"/>
      <c r="AB134" s="4">
        <f t="shared" si="10"/>
        <v>209550</v>
      </c>
      <c r="AC134" s="4">
        <f t="shared" si="11"/>
        <v>0</v>
      </c>
      <c r="AD134" s="4">
        <f t="shared" ca="1" si="12"/>
        <v>258796.40823490362</v>
      </c>
      <c r="AE134" s="4">
        <f t="shared" si="13"/>
        <v>0</v>
      </c>
      <c r="AF134" s="3" t="s">
        <v>954</v>
      </c>
    </row>
    <row r="135" spans="1:32" ht="11.25" customHeight="1" x14ac:dyDescent="0.25">
      <c r="A135" s="3" t="s">
        <v>21</v>
      </c>
      <c r="B135" s="3" t="s">
        <v>41</v>
      </c>
      <c r="C135" s="3" t="s">
        <v>64</v>
      </c>
      <c r="D135" s="3" t="s">
        <v>25</v>
      </c>
      <c r="E135" s="3" t="s">
        <v>25</v>
      </c>
      <c r="F135" s="3" t="s">
        <v>65</v>
      </c>
      <c r="G135" s="3" t="s">
        <v>73</v>
      </c>
      <c r="H135" s="3" t="s">
        <v>25</v>
      </c>
      <c r="I135" s="6">
        <v>44501</v>
      </c>
      <c r="J135" s="4">
        <v>20751</v>
      </c>
      <c r="K135" s="4">
        <v>10375.5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3" t="s">
        <v>67</v>
      </c>
      <c r="R135" s="3">
        <v>31371</v>
      </c>
      <c r="S135" s="3">
        <v>90</v>
      </c>
      <c r="T135" s="3">
        <v>0</v>
      </c>
      <c r="U135" s="3">
        <v>0</v>
      </c>
      <c r="V135" s="4">
        <f>IF(ISERROR(VLOOKUP($S$135,'TAR FIN'!$A$1:$O$99,15,0)),0,VLOOKUP($S$135,'TAR FIN'!$A$1:$O$99,15,0))</f>
        <v>13.97</v>
      </c>
      <c r="W135" s="4">
        <f>IF(ISERROR(VLOOKUP($T$135,'TAR FIN'!$A$1:$O$99,15,0)),0,VLOOKUP($T$135,'TAR FIN'!$A$1:$O$99,15,0))</f>
        <v>0</v>
      </c>
      <c r="X135" s="4">
        <f>IF(ISERROR(VLOOKUP($U$135,'TAR FIN'!$A$1:$O$99,15,0)),0,VLOOKUP($U$135,'TAR FIN'!$A$1:$O$99,15,0))</f>
        <v>0</v>
      </c>
      <c r="Y135" s="4">
        <f ca="1">('TUSD BE'!$AM$12+'TUSD BF'!$AM$12+'TUSD CVA'!$AM$12)*1</f>
        <v>17.253093882326908</v>
      </c>
      <c r="Z135" s="4"/>
      <c r="AA135" s="4"/>
      <c r="AB135" s="4">
        <f t="shared" si="10"/>
        <v>144945.73500000002</v>
      </c>
      <c r="AC135" s="4">
        <f t="shared" si="11"/>
        <v>0</v>
      </c>
      <c r="AD135" s="4">
        <f t="shared" ca="1" si="12"/>
        <v>179009.47557608283</v>
      </c>
      <c r="AE135" s="4">
        <f t="shared" si="13"/>
        <v>0</v>
      </c>
      <c r="AF135" s="3" t="s">
        <v>954</v>
      </c>
    </row>
    <row r="136" spans="1:32" ht="11.25" customHeight="1" x14ac:dyDescent="0.25">
      <c r="A136" s="3" t="s">
        <v>21</v>
      </c>
      <c r="B136" s="3" t="s">
        <v>41</v>
      </c>
      <c r="C136" s="3" t="s">
        <v>64</v>
      </c>
      <c r="D136" s="3" t="s">
        <v>25</v>
      </c>
      <c r="E136" s="3" t="s">
        <v>25</v>
      </c>
      <c r="F136" s="3" t="s">
        <v>65</v>
      </c>
      <c r="G136" s="3" t="s">
        <v>66</v>
      </c>
      <c r="H136" s="3" t="s">
        <v>25</v>
      </c>
      <c r="I136" s="6">
        <v>44531</v>
      </c>
      <c r="J136" s="4">
        <v>1869</v>
      </c>
      <c r="K136" s="4">
        <v>934.5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3" t="s">
        <v>67</v>
      </c>
      <c r="R136" s="3">
        <v>28542</v>
      </c>
      <c r="S136" s="3">
        <v>90</v>
      </c>
      <c r="T136" s="3">
        <v>0</v>
      </c>
      <c r="U136" s="3">
        <v>0</v>
      </c>
      <c r="V136" s="4">
        <f>IF(ISERROR(VLOOKUP($S$136,'TAR FIN'!$A$1:$O$99,15,0)),0,VLOOKUP($S$136,'TAR FIN'!$A$1:$O$99,15,0))</f>
        <v>13.97</v>
      </c>
      <c r="W136" s="4">
        <f>IF(ISERROR(VLOOKUP($T$136,'TAR FIN'!$A$1:$O$99,15,0)),0,VLOOKUP($T$136,'TAR FIN'!$A$1:$O$99,15,0))</f>
        <v>0</v>
      </c>
      <c r="X136" s="4">
        <f>IF(ISERROR(VLOOKUP($U$136,'TAR FIN'!$A$1:$O$99,15,0)),0,VLOOKUP($U$136,'TAR FIN'!$A$1:$O$99,15,0))</f>
        <v>0</v>
      </c>
      <c r="Y136" s="4">
        <f ca="1">('TUSD BE'!$AM$12+'TUSD BF'!$AM$12+'TUSD CVA'!$AM$12)*1</f>
        <v>17.253093882326908</v>
      </c>
      <c r="Z136" s="4"/>
      <c r="AA136" s="4"/>
      <c r="AB136" s="4">
        <f t="shared" si="10"/>
        <v>13054.965</v>
      </c>
      <c r="AC136" s="4">
        <f t="shared" si="11"/>
        <v>0</v>
      </c>
      <c r="AD136" s="4">
        <f t="shared" ca="1" si="12"/>
        <v>16123.016233034496</v>
      </c>
      <c r="AE136" s="4">
        <f t="shared" si="13"/>
        <v>0</v>
      </c>
      <c r="AF136" s="3" t="s">
        <v>954</v>
      </c>
    </row>
    <row r="137" spans="1:32" ht="11.25" customHeight="1" x14ac:dyDescent="0.25">
      <c r="A137" s="3" t="s">
        <v>21</v>
      </c>
      <c r="B137" s="3" t="s">
        <v>41</v>
      </c>
      <c r="C137" s="3" t="s">
        <v>64</v>
      </c>
      <c r="D137" s="3" t="s">
        <v>25</v>
      </c>
      <c r="E137" s="3" t="s">
        <v>25</v>
      </c>
      <c r="F137" s="3" t="s">
        <v>65</v>
      </c>
      <c r="G137" s="3" t="s">
        <v>70</v>
      </c>
      <c r="H137" s="3" t="s">
        <v>25</v>
      </c>
      <c r="I137" s="6">
        <v>44531</v>
      </c>
      <c r="J137" s="4">
        <v>13259</v>
      </c>
      <c r="K137" s="4">
        <v>7043.84375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3" t="s">
        <v>67</v>
      </c>
      <c r="R137" s="3">
        <v>29161</v>
      </c>
      <c r="S137" s="3">
        <v>90</v>
      </c>
      <c r="T137" s="3">
        <v>0</v>
      </c>
      <c r="U137" s="3">
        <v>0</v>
      </c>
      <c r="V137" s="4">
        <f>IF(ISERROR(VLOOKUP($S$137,'TAR FIN'!$A$1:$O$99,15,0)),0,VLOOKUP($S$137,'TAR FIN'!$A$1:$O$99,15,0))</f>
        <v>13.97</v>
      </c>
      <c r="W137" s="4">
        <f>IF(ISERROR(VLOOKUP($T$137,'TAR FIN'!$A$1:$O$99,15,0)),0,VLOOKUP($T$137,'TAR FIN'!$A$1:$O$99,15,0))</f>
        <v>0</v>
      </c>
      <c r="X137" s="4">
        <f>IF(ISERROR(VLOOKUP($U$137,'TAR FIN'!$A$1:$O$99,15,0)),0,VLOOKUP($U$137,'TAR FIN'!$A$1:$O$99,15,0))</f>
        <v>0</v>
      </c>
      <c r="Y137" s="4">
        <f ca="1">('TUSD BE'!$AM$12+'TUSD BF'!$AM$12+'TUSD CVA'!$AM$12)*1</f>
        <v>17.253093882326908</v>
      </c>
      <c r="Z137" s="4"/>
      <c r="AA137" s="4"/>
      <c r="AB137" s="4">
        <f t="shared" si="10"/>
        <v>86825.732812500006</v>
      </c>
      <c r="AC137" s="4">
        <f t="shared" si="11"/>
        <v>0</v>
      </c>
      <c r="AD137" s="4">
        <f t="shared" ca="1" si="12"/>
        <v>107230.67427458084</v>
      </c>
      <c r="AE137" s="4">
        <f t="shared" si="13"/>
        <v>0</v>
      </c>
      <c r="AF137" s="3" t="s">
        <v>954</v>
      </c>
    </row>
    <row r="138" spans="1:32" ht="11.25" customHeight="1" x14ac:dyDescent="0.25">
      <c r="A138" s="3" t="s">
        <v>21</v>
      </c>
      <c r="B138" s="3" t="s">
        <v>41</v>
      </c>
      <c r="C138" s="3" t="s">
        <v>64</v>
      </c>
      <c r="D138" s="3" t="s">
        <v>25</v>
      </c>
      <c r="E138" s="3" t="s">
        <v>25</v>
      </c>
      <c r="F138" s="3" t="s">
        <v>65</v>
      </c>
      <c r="G138" s="3" t="s">
        <v>71</v>
      </c>
      <c r="H138" s="3" t="s">
        <v>25</v>
      </c>
      <c r="I138" s="6">
        <v>44531</v>
      </c>
      <c r="J138" s="4">
        <v>30000</v>
      </c>
      <c r="K138" s="4">
        <v>15000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3" t="s">
        <v>67</v>
      </c>
      <c r="R138" s="3">
        <v>30048</v>
      </c>
      <c r="S138" s="3">
        <v>90</v>
      </c>
      <c r="T138" s="3">
        <v>0</v>
      </c>
      <c r="U138" s="3">
        <v>0</v>
      </c>
      <c r="V138" s="4">
        <f>IF(ISERROR(VLOOKUP($S$138,'TAR FIN'!$A$1:$O$99,15,0)),0,VLOOKUP($S$138,'TAR FIN'!$A$1:$O$99,15,0))</f>
        <v>13.97</v>
      </c>
      <c r="W138" s="4">
        <f>IF(ISERROR(VLOOKUP($T$138,'TAR FIN'!$A$1:$O$99,15,0)),0,VLOOKUP($T$138,'TAR FIN'!$A$1:$O$99,15,0))</f>
        <v>0</v>
      </c>
      <c r="X138" s="4">
        <f>IF(ISERROR(VLOOKUP($U$138,'TAR FIN'!$A$1:$O$99,15,0)),0,VLOOKUP($U$138,'TAR FIN'!$A$1:$O$99,15,0))</f>
        <v>0</v>
      </c>
      <c r="Y138" s="4">
        <f ca="1">('TUSD BE'!$AM$12+'TUSD BF'!$AM$12+'TUSD CVA'!$AM$12)*1</f>
        <v>17.253093882326908</v>
      </c>
      <c r="Z138" s="4"/>
      <c r="AA138" s="4"/>
      <c r="AB138" s="4">
        <f t="shared" si="10"/>
        <v>209550</v>
      </c>
      <c r="AC138" s="4">
        <f t="shared" si="11"/>
        <v>0</v>
      </c>
      <c r="AD138" s="4">
        <f t="shared" ca="1" si="12"/>
        <v>258796.40823490362</v>
      </c>
      <c r="AE138" s="4">
        <f t="shared" si="13"/>
        <v>0</v>
      </c>
      <c r="AF138" s="3" t="s">
        <v>954</v>
      </c>
    </row>
    <row r="139" spans="1:32" ht="11.25" customHeight="1" x14ac:dyDescent="0.25">
      <c r="A139" s="3" t="s">
        <v>21</v>
      </c>
      <c r="B139" s="3" t="s">
        <v>41</v>
      </c>
      <c r="C139" s="3" t="s">
        <v>64</v>
      </c>
      <c r="D139" s="3" t="s">
        <v>25</v>
      </c>
      <c r="E139" s="3" t="s">
        <v>25</v>
      </c>
      <c r="F139" s="3" t="s">
        <v>65</v>
      </c>
      <c r="G139" s="3" t="s">
        <v>73</v>
      </c>
      <c r="H139" s="3" t="s">
        <v>25</v>
      </c>
      <c r="I139" s="6">
        <v>44531</v>
      </c>
      <c r="J139" s="4">
        <v>21732</v>
      </c>
      <c r="K139" s="4">
        <v>10866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3" t="s">
        <v>67</v>
      </c>
      <c r="R139" s="3">
        <v>31371</v>
      </c>
      <c r="S139" s="3">
        <v>90</v>
      </c>
      <c r="T139" s="3">
        <v>0</v>
      </c>
      <c r="U139" s="3">
        <v>0</v>
      </c>
      <c r="V139" s="4">
        <f>IF(ISERROR(VLOOKUP($S$139,'TAR FIN'!$A$1:$O$99,15,0)),0,VLOOKUP($S$139,'TAR FIN'!$A$1:$O$99,15,0))</f>
        <v>13.97</v>
      </c>
      <c r="W139" s="4">
        <f>IF(ISERROR(VLOOKUP($T$139,'TAR FIN'!$A$1:$O$99,15,0)),0,VLOOKUP($T$139,'TAR FIN'!$A$1:$O$99,15,0))</f>
        <v>0</v>
      </c>
      <c r="X139" s="4">
        <f>IF(ISERROR(VLOOKUP($U$139,'TAR FIN'!$A$1:$O$99,15,0)),0,VLOOKUP($U$139,'TAR FIN'!$A$1:$O$99,15,0))</f>
        <v>0</v>
      </c>
      <c r="Y139" s="4">
        <f ca="1">('TUSD BE'!$AM$12+'TUSD BF'!$AM$12+'TUSD CVA'!$AM$12)*1</f>
        <v>17.253093882326908</v>
      </c>
      <c r="Z139" s="4"/>
      <c r="AA139" s="4"/>
      <c r="AB139" s="4">
        <f t="shared" si="10"/>
        <v>151798.02000000002</v>
      </c>
      <c r="AC139" s="4">
        <f t="shared" si="11"/>
        <v>0</v>
      </c>
      <c r="AD139" s="4">
        <f t="shared" ca="1" si="12"/>
        <v>187472.11812536418</v>
      </c>
      <c r="AE139" s="4">
        <f t="shared" si="13"/>
        <v>0</v>
      </c>
      <c r="AF139" s="3" t="s">
        <v>954</v>
      </c>
    </row>
    <row r="140" spans="1:32" ht="11.25" customHeight="1" x14ac:dyDescent="0.25">
      <c r="A140" s="3" t="s">
        <v>21</v>
      </c>
      <c r="B140" s="3" t="s">
        <v>41</v>
      </c>
      <c r="C140" s="3" t="s">
        <v>64</v>
      </c>
      <c r="D140" s="3" t="s">
        <v>25</v>
      </c>
      <c r="E140" s="3" t="s">
        <v>25</v>
      </c>
      <c r="F140" s="3" t="s">
        <v>65</v>
      </c>
      <c r="G140" s="3" t="s">
        <v>66</v>
      </c>
      <c r="H140" s="3" t="s">
        <v>25</v>
      </c>
      <c r="I140" s="6">
        <v>44562</v>
      </c>
      <c r="J140" s="4">
        <v>2327</v>
      </c>
      <c r="K140" s="4">
        <v>1163.5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3" t="s">
        <v>67</v>
      </c>
      <c r="R140" s="3">
        <v>28542</v>
      </c>
      <c r="S140" s="3">
        <v>90</v>
      </c>
      <c r="T140" s="3">
        <v>0</v>
      </c>
      <c r="U140" s="3">
        <v>0</v>
      </c>
      <c r="V140" s="4">
        <f>IF(ISERROR(VLOOKUP($S$140,'TAR FIN'!$A$1:$O$99,15,0)),0,VLOOKUP($S$140,'TAR FIN'!$A$1:$O$99,15,0))</f>
        <v>13.97</v>
      </c>
      <c r="W140" s="4">
        <f>IF(ISERROR(VLOOKUP($T$140,'TAR FIN'!$A$1:$O$99,15,0)),0,VLOOKUP($T$140,'TAR FIN'!$A$1:$O$99,15,0))</f>
        <v>0</v>
      </c>
      <c r="X140" s="4">
        <f>IF(ISERROR(VLOOKUP($U$140,'TAR FIN'!$A$1:$O$99,15,0)),0,VLOOKUP($U$140,'TAR FIN'!$A$1:$O$99,15,0))</f>
        <v>0</v>
      </c>
      <c r="Y140" s="4">
        <f ca="1">('TUSD BE'!$AM$12+'TUSD BF'!$AM$12+'TUSD CVA'!$AM$12)*1</f>
        <v>17.253093882326908</v>
      </c>
      <c r="Z140" s="4"/>
      <c r="AA140" s="4"/>
      <c r="AB140" s="4">
        <f t="shared" si="10"/>
        <v>16254.095000000001</v>
      </c>
      <c r="AC140" s="4">
        <f t="shared" si="11"/>
        <v>0</v>
      </c>
      <c r="AD140" s="4">
        <f t="shared" ca="1" si="12"/>
        <v>20073.974732087358</v>
      </c>
      <c r="AE140" s="4">
        <f t="shared" si="13"/>
        <v>0</v>
      </c>
      <c r="AF140" s="3" t="s">
        <v>954</v>
      </c>
    </row>
    <row r="141" spans="1:32" ht="11.25" customHeight="1" x14ac:dyDescent="0.25">
      <c r="A141" s="3" t="s">
        <v>21</v>
      </c>
      <c r="B141" s="3" t="s">
        <v>41</v>
      </c>
      <c r="C141" s="3" t="s">
        <v>64</v>
      </c>
      <c r="D141" s="3" t="s">
        <v>25</v>
      </c>
      <c r="E141" s="3" t="s">
        <v>25</v>
      </c>
      <c r="F141" s="3" t="s">
        <v>65</v>
      </c>
      <c r="G141" s="3" t="s">
        <v>70</v>
      </c>
      <c r="H141" s="3" t="s">
        <v>25</v>
      </c>
      <c r="I141" s="6">
        <v>44562</v>
      </c>
      <c r="J141" s="4">
        <v>12784</v>
      </c>
      <c r="K141" s="4">
        <v>6791.5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3" t="s">
        <v>67</v>
      </c>
      <c r="R141" s="3">
        <v>29161</v>
      </c>
      <c r="S141" s="3">
        <v>90</v>
      </c>
      <c r="T141" s="3">
        <v>0</v>
      </c>
      <c r="U141" s="3">
        <v>0</v>
      </c>
      <c r="V141" s="4">
        <f>IF(ISERROR(VLOOKUP($S$141,'TAR FIN'!$A$1:$O$99,15,0)),0,VLOOKUP($S$141,'TAR FIN'!$A$1:$O$99,15,0))</f>
        <v>13.97</v>
      </c>
      <c r="W141" s="4">
        <f>IF(ISERROR(VLOOKUP($T$141,'TAR FIN'!$A$1:$O$99,15,0)),0,VLOOKUP($T$141,'TAR FIN'!$A$1:$O$99,15,0))</f>
        <v>0</v>
      </c>
      <c r="X141" s="4">
        <f>IF(ISERROR(VLOOKUP($U$141,'TAR FIN'!$A$1:$O$99,15,0)),0,VLOOKUP($U$141,'TAR FIN'!$A$1:$O$99,15,0))</f>
        <v>0</v>
      </c>
      <c r="Y141" s="4">
        <f ca="1">('TUSD BE'!$AM$12+'TUSD BF'!$AM$12+'TUSD CVA'!$AM$12)*1</f>
        <v>17.253093882326908</v>
      </c>
      <c r="Z141" s="4"/>
      <c r="AA141" s="4"/>
      <c r="AB141" s="4">
        <f t="shared" si="10"/>
        <v>83715.225000000006</v>
      </c>
      <c r="AC141" s="4">
        <f t="shared" si="11"/>
        <v>0</v>
      </c>
      <c r="AD141" s="4">
        <f t="shared" ca="1" si="12"/>
        <v>103389.165089844</v>
      </c>
      <c r="AE141" s="4">
        <f t="shared" si="13"/>
        <v>0</v>
      </c>
      <c r="AF141" s="3" t="s">
        <v>954</v>
      </c>
    </row>
    <row r="142" spans="1:32" ht="11.25" customHeight="1" x14ac:dyDescent="0.25">
      <c r="A142" s="3" t="s">
        <v>21</v>
      </c>
      <c r="B142" s="3" t="s">
        <v>41</v>
      </c>
      <c r="C142" s="3" t="s">
        <v>64</v>
      </c>
      <c r="D142" s="3" t="s">
        <v>25</v>
      </c>
      <c r="E142" s="3" t="s">
        <v>25</v>
      </c>
      <c r="F142" s="3" t="s">
        <v>65</v>
      </c>
      <c r="G142" s="3" t="s">
        <v>71</v>
      </c>
      <c r="H142" s="3" t="s">
        <v>25</v>
      </c>
      <c r="I142" s="6">
        <v>44562</v>
      </c>
      <c r="J142" s="4">
        <v>30000</v>
      </c>
      <c r="K142" s="4">
        <v>15000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3" t="s">
        <v>67</v>
      </c>
      <c r="R142" s="3">
        <v>30048</v>
      </c>
      <c r="S142" s="3">
        <v>90</v>
      </c>
      <c r="T142" s="3">
        <v>0</v>
      </c>
      <c r="U142" s="3">
        <v>0</v>
      </c>
      <c r="V142" s="4">
        <f>IF(ISERROR(VLOOKUP($S$142,'TAR FIN'!$A$1:$O$99,15,0)),0,VLOOKUP($S$142,'TAR FIN'!$A$1:$O$99,15,0))</f>
        <v>13.97</v>
      </c>
      <c r="W142" s="4">
        <f>IF(ISERROR(VLOOKUP($T$142,'TAR FIN'!$A$1:$O$99,15,0)),0,VLOOKUP($T$142,'TAR FIN'!$A$1:$O$99,15,0))</f>
        <v>0</v>
      </c>
      <c r="X142" s="4">
        <f>IF(ISERROR(VLOOKUP($U$142,'TAR FIN'!$A$1:$O$99,15,0)),0,VLOOKUP($U$142,'TAR FIN'!$A$1:$O$99,15,0))</f>
        <v>0</v>
      </c>
      <c r="Y142" s="4">
        <f ca="1">('TUSD BE'!$AM$12+'TUSD BF'!$AM$12+'TUSD CVA'!$AM$12)*1</f>
        <v>17.253093882326908</v>
      </c>
      <c r="Z142" s="4"/>
      <c r="AA142" s="4"/>
      <c r="AB142" s="4">
        <f t="shared" si="10"/>
        <v>209550</v>
      </c>
      <c r="AC142" s="4">
        <f t="shared" si="11"/>
        <v>0</v>
      </c>
      <c r="AD142" s="4">
        <f t="shared" ca="1" si="12"/>
        <v>258796.40823490362</v>
      </c>
      <c r="AE142" s="4">
        <f t="shared" si="13"/>
        <v>0</v>
      </c>
      <c r="AF142" s="3" t="s">
        <v>954</v>
      </c>
    </row>
    <row r="143" spans="1:32" ht="11.25" customHeight="1" x14ac:dyDescent="0.25">
      <c r="A143" s="3" t="s">
        <v>21</v>
      </c>
      <c r="B143" s="3" t="s">
        <v>41</v>
      </c>
      <c r="C143" s="3" t="s">
        <v>64</v>
      </c>
      <c r="D143" s="3" t="s">
        <v>25</v>
      </c>
      <c r="E143" s="3" t="s">
        <v>25</v>
      </c>
      <c r="F143" s="3" t="s">
        <v>65</v>
      </c>
      <c r="G143" s="3" t="s">
        <v>73</v>
      </c>
      <c r="H143" s="3" t="s">
        <v>25</v>
      </c>
      <c r="I143" s="6">
        <v>44562</v>
      </c>
      <c r="J143" s="4">
        <v>16500</v>
      </c>
      <c r="K143" s="4">
        <v>8250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3" t="s">
        <v>67</v>
      </c>
      <c r="R143" s="3">
        <v>31371</v>
      </c>
      <c r="S143" s="3">
        <v>90</v>
      </c>
      <c r="T143" s="3">
        <v>0</v>
      </c>
      <c r="U143" s="3">
        <v>0</v>
      </c>
      <c r="V143" s="4">
        <f>IF(ISERROR(VLOOKUP($S$143,'TAR FIN'!$A$1:$O$99,15,0)),0,VLOOKUP($S$143,'TAR FIN'!$A$1:$O$99,15,0))</f>
        <v>13.97</v>
      </c>
      <c r="W143" s="4">
        <f>IF(ISERROR(VLOOKUP($T$143,'TAR FIN'!$A$1:$O$99,15,0)),0,VLOOKUP($T$143,'TAR FIN'!$A$1:$O$99,15,0))</f>
        <v>0</v>
      </c>
      <c r="X143" s="4">
        <f>IF(ISERROR(VLOOKUP($U$143,'TAR FIN'!$A$1:$O$99,15,0)),0,VLOOKUP($U$143,'TAR FIN'!$A$1:$O$99,15,0))</f>
        <v>0</v>
      </c>
      <c r="Y143" s="4">
        <f ca="1">('TUSD BE'!$AM$12+'TUSD BF'!$AM$12+'TUSD CVA'!$AM$12)*1</f>
        <v>17.253093882326908</v>
      </c>
      <c r="Z143" s="4"/>
      <c r="AA143" s="4"/>
      <c r="AB143" s="4">
        <f t="shared" si="10"/>
        <v>115252.5</v>
      </c>
      <c r="AC143" s="4">
        <f t="shared" si="11"/>
        <v>0</v>
      </c>
      <c r="AD143" s="4">
        <f t="shared" ca="1" si="12"/>
        <v>142338.02452919699</v>
      </c>
      <c r="AE143" s="4">
        <f t="shared" si="13"/>
        <v>0</v>
      </c>
      <c r="AF143" s="3" t="s">
        <v>954</v>
      </c>
    </row>
    <row r="144" spans="1:32" ht="11.25" customHeight="1" x14ac:dyDescent="0.25">
      <c r="A144" s="3" t="s">
        <v>21</v>
      </c>
      <c r="B144" s="3" t="s">
        <v>41</v>
      </c>
      <c r="C144" s="3" t="s">
        <v>64</v>
      </c>
      <c r="D144" s="3" t="s">
        <v>25</v>
      </c>
      <c r="E144" s="3" t="s">
        <v>25</v>
      </c>
      <c r="F144" s="3" t="s">
        <v>65</v>
      </c>
      <c r="G144" s="3" t="s">
        <v>66</v>
      </c>
      <c r="H144" s="3" t="s">
        <v>25</v>
      </c>
      <c r="I144" s="6">
        <v>44593</v>
      </c>
      <c r="J144" s="4">
        <v>1362</v>
      </c>
      <c r="K144" s="4">
        <v>681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3" t="s">
        <v>67</v>
      </c>
      <c r="R144" s="3">
        <v>28542</v>
      </c>
      <c r="S144" s="3">
        <v>90</v>
      </c>
      <c r="T144" s="3">
        <v>0</v>
      </c>
      <c r="U144" s="3">
        <v>0</v>
      </c>
      <c r="V144" s="4">
        <f>IF(ISERROR(VLOOKUP($S$144,'TAR FIN'!$A$1:$O$99,15,0)),0,VLOOKUP($S$144,'TAR FIN'!$A$1:$O$99,15,0))</f>
        <v>13.97</v>
      </c>
      <c r="W144" s="4">
        <f>IF(ISERROR(VLOOKUP($T$144,'TAR FIN'!$A$1:$O$99,15,0)),0,VLOOKUP($T$144,'TAR FIN'!$A$1:$O$99,15,0))</f>
        <v>0</v>
      </c>
      <c r="X144" s="4">
        <f>IF(ISERROR(VLOOKUP($U$144,'TAR FIN'!$A$1:$O$99,15,0)),0,VLOOKUP($U$144,'TAR FIN'!$A$1:$O$99,15,0))</f>
        <v>0</v>
      </c>
      <c r="Y144" s="4">
        <f ca="1">('TUSD BE'!$AM$12+'TUSD BF'!$AM$12+'TUSD CVA'!$AM$12)*1</f>
        <v>17.253093882326908</v>
      </c>
      <c r="Z144" s="4"/>
      <c r="AA144" s="4"/>
      <c r="AB144" s="4">
        <f t="shared" si="10"/>
        <v>9513.57</v>
      </c>
      <c r="AC144" s="4">
        <f t="shared" si="11"/>
        <v>0</v>
      </c>
      <c r="AD144" s="4">
        <f t="shared" ca="1" si="12"/>
        <v>11749.356933864625</v>
      </c>
      <c r="AE144" s="4">
        <f t="shared" si="13"/>
        <v>0</v>
      </c>
      <c r="AF144" s="3" t="s">
        <v>954</v>
      </c>
    </row>
    <row r="145" spans="1:32" ht="11.25" customHeight="1" x14ac:dyDescent="0.25">
      <c r="A145" s="3" t="s">
        <v>21</v>
      </c>
      <c r="B145" s="3" t="s">
        <v>41</v>
      </c>
      <c r="C145" s="3" t="s">
        <v>64</v>
      </c>
      <c r="D145" s="3" t="s">
        <v>25</v>
      </c>
      <c r="E145" s="3" t="s">
        <v>25</v>
      </c>
      <c r="F145" s="3" t="s">
        <v>65</v>
      </c>
      <c r="G145" s="3" t="s">
        <v>70</v>
      </c>
      <c r="H145" s="3" t="s">
        <v>25</v>
      </c>
      <c r="I145" s="6">
        <v>44593</v>
      </c>
      <c r="J145" s="4">
        <v>11990</v>
      </c>
      <c r="K145" s="4">
        <v>6369.6875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3" t="s">
        <v>67</v>
      </c>
      <c r="R145" s="3">
        <v>29161</v>
      </c>
      <c r="S145" s="3">
        <v>90</v>
      </c>
      <c r="T145" s="3">
        <v>0</v>
      </c>
      <c r="U145" s="3">
        <v>0</v>
      </c>
      <c r="V145" s="4">
        <f>IF(ISERROR(VLOOKUP($S$145,'TAR FIN'!$A$1:$O$99,15,0)),0,VLOOKUP($S$145,'TAR FIN'!$A$1:$O$99,15,0))</f>
        <v>13.97</v>
      </c>
      <c r="W145" s="4">
        <f>IF(ISERROR(VLOOKUP($T$145,'TAR FIN'!$A$1:$O$99,15,0)),0,VLOOKUP($T$145,'TAR FIN'!$A$1:$O$99,15,0))</f>
        <v>0</v>
      </c>
      <c r="X145" s="4">
        <f>IF(ISERROR(VLOOKUP($U$145,'TAR FIN'!$A$1:$O$99,15,0)),0,VLOOKUP($U$145,'TAR FIN'!$A$1:$O$99,15,0))</f>
        <v>0</v>
      </c>
      <c r="Y145" s="4">
        <f ca="1">('TUSD BE'!$AM$12+'TUSD BF'!$AM$12+'TUSD CVA'!$AM$12)*1</f>
        <v>17.253093882326908</v>
      </c>
      <c r="Z145" s="4"/>
      <c r="AA145" s="4"/>
      <c r="AB145" s="4">
        <f t="shared" si="10"/>
        <v>78515.765625</v>
      </c>
      <c r="AC145" s="4">
        <f t="shared" si="11"/>
        <v>0</v>
      </c>
      <c r="AD145" s="4">
        <f t="shared" ca="1" si="12"/>
        <v>96967.779210515451</v>
      </c>
      <c r="AE145" s="4">
        <f t="shared" si="13"/>
        <v>0</v>
      </c>
      <c r="AF145" s="3" t="s">
        <v>954</v>
      </c>
    </row>
    <row r="146" spans="1:32" ht="11.25" customHeight="1" x14ac:dyDescent="0.25">
      <c r="A146" s="3" t="s">
        <v>21</v>
      </c>
      <c r="B146" s="3" t="s">
        <v>41</v>
      </c>
      <c r="C146" s="3" t="s">
        <v>64</v>
      </c>
      <c r="D146" s="3" t="s">
        <v>25</v>
      </c>
      <c r="E146" s="3" t="s">
        <v>25</v>
      </c>
      <c r="F146" s="3" t="s">
        <v>65</v>
      </c>
      <c r="G146" s="3" t="s">
        <v>71</v>
      </c>
      <c r="H146" s="3" t="s">
        <v>25</v>
      </c>
      <c r="I146" s="6">
        <v>44593</v>
      </c>
      <c r="J146" s="4">
        <v>30000</v>
      </c>
      <c r="K146" s="4">
        <v>15000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3" t="s">
        <v>67</v>
      </c>
      <c r="R146" s="3">
        <v>30048</v>
      </c>
      <c r="S146" s="3">
        <v>90</v>
      </c>
      <c r="T146" s="3">
        <v>0</v>
      </c>
      <c r="U146" s="3">
        <v>0</v>
      </c>
      <c r="V146" s="4">
        <f>IF(ISERROR(VLOOKUP($S$146,'TAR FIN'!$A$1:$O$99,15,0)),0,VLOOKUP($S$146,'TAR FIN'!$A$1:$O$99,15,0))</f>
        <v>13.97</v>
      </c>
      <c r="W146" s="4">
        <f>IF(ISERROR(VLOOKUP($T$146,'TAR FIN'!$A$1:$O$99,15,0)),0,VLOOKUP($T$146,'TAR FIN'!$A$1:$O$99,15,0))</f>
        <v>0</v>
      </c>
      <c r="X146" s="4">
        <f>IF(ISERROR(VLOOKUP($U$146,'TAR FIN'!$A$1:$O$99,15,0)),0,VLOOKUP($U$146,'TAR FIN'!$A$1:$O$99,15,0))</f>
        <v>0</v>
      </c>
      <c r="Y146" s="4">
        <f ca="1">('TUSD BE'!$AM$12+'TUSD BF'!$AM$12+'TUSD CVA'!$AM$12)*1</f>
        <v>17.253093882326908</v>
      </c>
      <c r="Z146" s="4"/>
      <c r="AA146" s="4"/>
      <c r="AB146" s="4">
        <f t="shared" si="10"/>
        <v>209550</v>
      </c>
      <c r="AC146" s="4">
        <f t="shared" si="11"/>
        <v>0</v>
      </c>
      <c r="AD146" s="4">
        <f t="shared" ca="1" si="12"/>
        <v>258796.40823490362</v>
      </c>
      <c r="AE146" s="4">
        <f t="shared" si="13"/>
        <v>0</v>
      </c>
      <c r="AF146" s="3" t="s">
        <v>954</v>
      </c>
    </row>
    <row r="147" spans="1:32" ht="11.25" customHeight="1" x14ac:dyDescent="0.25">
      <c r="A147" s="3" t="s">
        <v>21</v>
      </c>
      <c r="B147" s="3" t="s">
        <v>41</v>
      </c>
      <c r="C147" s="3" t="s">
        <v>64</v>
      </c>
      <c r="D147" s="3" t="s">
        <v>25</v>
      </c>
      <c r="E147" s="3" t="s">
        <v>25</v>
      </c>
      <c r="F147" s="3" t="s">
        <v>65</v>
      </c>
      <c r="G147" s="3" t="s">
        <v>73</v>
      </c>
      <c r="H147" s="3" t="s">
        <v>25</v>
      </c>
      <c r="I147" s="6">
        <v>44593</v>
      </c>
      <c r="J147" s="4">
        <v>16500</v>
      </c>
      <c r="K147" s="4">
        <v>8250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3" t="s">
        <v>67</v>
      </c>
      <c r="R147" s="3">
        <v>31371</v>
      </c>
      <c r="S147" s="3">
        <v>90</v>
      </c>
      <c r="T147" s="3">
        <v>0</v>
      </c>
      <c r="U147" s="3">
        <v>0</v>
      </c>
      <c r="V147" s="4">
        <f>IF(ISERROR(VLOOKUP($S$147,'TAR FIN'!$A$1:$O$99,15,0)),0,VLOOKUP($S$147,'TAR FIN'!$A$1:$O$99,15,0))</f>
        <v>13.97</v>
      </c>
      <c r="W147" s="4">
        <f>IF(ISERROR(VLOOKUP($T$147,'TAR FIN'!$A$1:$O$99,15,0)),0,VLOOKUP($T$147,'TAR FIN'!$A$1:$O$99,15,0))</f>
        <v>0</v>
      </c>
      <c r="X147" s="4">
        <f>IF(ISERROR(VLOOKUP($U$147,'TAR FIN'!$A$1:$O$99,15,0)),0,VLOOKUP($U$147,'TAR FIN'!$A$1:$O$99,15,0))</f>
        <v>0</v>
      </c>
      <c r="Y147" s="4">
        <f ca="1">('TUSD BE'!$AM$12+'TUSD BF'!$AM$12+'TUSD CVA'!$AM$12)*1</f>
        <v>17.253093882326908</v>
      </c>
      <c r="Z147" s="4"/>
      <c r="AA147" s="4"/>
      <c r="AB147" s="4">
        <f t="shared" si="10"/>
        <v>115252.5</v>
      </c>
      <c r="AC147" s="4">
        <f t="shared" si="11"/>
        <v>0</v>
      </c>
      <c r="AD147" s="4">
        <f t="shared" ca="1" si="12"/>
        <v>142338.02452919699</v>
      </c>
      <c r="AE147" s="4">
        <f t="shared" si="13"/>
        <v>0</v>
      </c>
      <c r="AF147" s="3" t="s">
        <v>954</v>
      </c>
    </row>
    <row r="148" spans="1:32" ht="11.25" customHeight="1" x14ac:dyDescent="0.25">
      <c r="A148" s="3" t="s">
        <v>21</v>
      </c>
      <c r="B148" s="3" t="s">
        <v>41</v>
      </c>
      <c r="C148" s="3" t="s">
        <v>64</v>
      </c>
      <c r="D148" s="3" t="s">
        <v>25</v>
      </c>
      <c r="E148" s="3" t="s">
        <v>25</v>
      </c>
      <c r="F148" s="3" t="s">
        <v>65</v>
      </c>
      <c r="G148" s="3" t="s">
        <v>66</v>
      </c>
      <c r="H148" s="3" t="s">
        <v>25</v>
      </c>
      <c r="I148" s="6">
        <v>44621</v>
      </c>
      <c r="J148" s="4">
        <v>1131</v>
      </c>
      <c r="K148" s="4">
        <v>565.5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3" t="s">
        <v>67</v>
      </c>
      <c r="R148" s="3">
        <v>28542</v>
      </c>
      <c r="S148" s="3">
        <v>90</v>
      </c>
      <c r="T148" s="3">
        <v>0</v>
      </c>
      <c r="U148" s="3">
        <v>0</v>
      </c>
      <c r="V148" s="4">
        <f>IF(ISERROR(VLOOKUP($S$148,'TAR FIN'!$A$1:$O$99,15,0)),0,VLOOKUP($S$148,'TAR FIN'!$A$1:$O$99,15,0))</f>
        <v>13.97</v>
      </c>
      <c r="W148" s="4">
        <f>IF(ISERROR(VLOOKUP($T$148,'TAR FIN'!$A$1:$O$99,15,0)),0,VLOOKUP($T$148,'TAR FIN'!$A$1:$O$99,15,0))</f>
        <v>0</v>
      </c>
      <c r="X148" s="4">
        <f>IF(ISERROR(VLOOKUP($U$148,'TAR FIN'!$A$1:$O$99,15,0)),0,VLOOKUP($U$148,'TAR FIN'!$A$1:$O$99,15,0))</f>
        <v>0</v>
      </c>
      <c r="Y148" s="4">
        <f ca="1">('TUSD BE'!$AM$12+'TUSD BF'!$AM$12+'TUSD CVA'!$AM$12)*1</f>
        <v>17.253093882326908</v>
      </c>
      <c r="Z148" s="4"/>
      <c r="AA148" s="4"/>
      <c r="AB148" s="4">
        <f t="shared" si="10"/>
        <v>7900.0350000000008</v>
      </c>
      <c r="AC148" s="4">
        <f t="shared" si="11"/>
        <v>0</v>
      </c>
      <c r="AD148" s="4">
        <f t="shared" ca="1" si="12"/>
        <v>9756.6245904558673</v>
      </c>
      <c r="AE148" s="4">
        <f t="shared" si="13"/>
        <v>0</v>
      </c>
      <c r="AF148" s="3" t="s">
        <v>954</v>
      </c>
    </row>
    <row r="149" spans="1:32" ht="11.25" customHeight="1" x14ac:dyDescent="0.25">
      <c r="A149" s="3" t="s">
        <v>21</v>
      </c>
      <c r="B149" s="3" t="s">
        <v>41</v>
      </c>
      <c r="C149" s="3" t="s">
        <v>64</v>
      </c>
      <c r="D149" s="3" t="s">
        <v>25</v>
      </c>
      <c r="E149" s="3" t="s">
        <v>25</v>
      </c>
      <c r="F149" s="3" t="s">
        <v>65</v>
      </c>
      <c r="G149" s="3" t="s">
        <v>70</v>
      </c>
      <c r="H149" s="3" t="s">
        <v>25</v>
      </c>
      <c r="I149" s="6">
        <v>44621</v>
      </c>
      <c r="J149" s="4">
        <v>11908</v>
      </c>
      <c r="K149" s="4">
        <v>6326.125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3" t="s">
        <v>67</v>
      </c>
      <c r="R149" s="3">
        <v>29161</v>
      </c>
      <c r="S149" s="3">
        <v>90</v>
      </c>
      <c r="T149" s="3">
        <v>0</v>
      </c>
      <c r="U149" s="3">
        <v>0</v>
      </c>
      <c r="V149" s="4">
        <f>IF(ISERROR(VLOOKUP($S$149,'TAR FIN'!$A$1:$O$99,15,0)),0,VLOOKUP($S$149,'TAR FIN'!$A$1:$O$99,15,0))</f>
        <v>13.97</v>
      </c>
      <c r="W149" s="4">
        <f>IF(ISERROR(VLOOKUP($T$149,'TAR FIN'!$A$1:$O$99,15,0)),0,VLOOKUP($T$149,'TAR FIN'!$A$1:$O$99,15,0))</f>
        <v>0</v>
      </c>
      <c r="X149" s="4">
        <f>IF(ISERROR(VLOOKUP($U$149,'TAR FIN'!$A$1:$O$99,15,0)),0,VLOOKUP($U$149,'TAR FIN'!$A$1:$O$99,15,0))</f>
        <v>0</v>
      </c>
      <c r="Y149" s="4">
        <f ca="1">('TUSD BE'!$AM$12+'TUSD BF'!$AM$12+'TUSD CVA'!$AM$12)*1</f>
        <v>17.253093882326908</v>
      </c>
      <c r="Z149" s="4"/>
      <c r="AA149" s="4"/>
      <c r="AB149" s="4">
        <f t="shared" si="10"/>
        <v>77978.793749999997</v>
      </c>
      <c r="AC149" s="4">
        <f t="shared" si="11"/>
        <v>0</v>
      </c>
      <c r="AD149" s="4">
        <f t="shared" ca="1" si="12"/>
        <v>96304.613414413514</v>
      </c>
      <c r="AE149" s="4">
        <f t="shared" si="13"/>
        <v>0</v>
      </c>
      <c r="AF149" s="3" t="s">
        <v>954</v>
      </c>
    </row>
    <row r="150" spans="1:32" ht="11.25" customHeight="1" x14ac:dyDescent="0.25">
      <c r="A150" s="3" t="s">
        <v>21</v>
      </c>
      <c r="B150" s="3" t="s">
        <v>41</v>
      </c>
      <c r="C150" s="3" t="s">
        <v>64</v>
      </c>
      <c r="D150" s="3" t="s">
        <v>25</v>
      </c>
      <c r="E150" s="3" t="s">
        <v>25</v>
      </c>
      <c r="F150" s="3" t="s">
        <v>65</v>
      </c>
      <c r="G150" s="3" t="s">
        <v>71</v>
      </c>
      <c r="H150" s="3" t="s">
        <v>25</v>
      </c>
      <c r="I150" s="6">
        <v>44621</v>
      </c>
      <c r="J150" s="4">
        <v>30000</v>
      </c>
      <c r="K150" s="4">
        <v>15000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3" t="s">
        <v>67</v>
      </c>
      <c r="R150" s="3">
        <v>30048</v>
      </c>
      <c r="S150" s="3">
        <v>90</v>
      </c>
      <c r="T150" s="3">
        <v>0</v>
      </c>
      <c r="U150" s="3">
        <v>0</v>
      </c>
      <c r="V150" s="4">
        <f>IF(ISERROR(VLOOKUP($S$150,'TAR FIN'!$A$1:$O$99,15,0)),0,VLOOKUP($S$150,'TAR FIN'!$A$1:$O$99,15,0))</f>
        <v>13.97</v>
      </c>
      <c r="W150" s="4">
        <f>IF(ISERROR(VLOOKUP($T$150,'TAR FIN'!$A$1:$O$99,15,0)),0,VLOOKUP($T$150,'TAR FIN'!$A$1:$O$99,15,0))</f>
        <v>0</v>
      </c>
      <c r="X150" s="4">
        <f>IF(ISERROR(VLOOKUP($U$150,'TAR FIN'!$A$1:$O$99,15,0)),0,VLOOKUP($U$150,'TAR FIN'!$A$1:$O$99,15,0))</f>
        <v>0</v>
      </c>
      <c r="Y150" s="4">
        <f ca="1">('TUSD BE'!$AM$12+'TUSD BF'!$AM$12+'TUSD CVA'!$AM$12)*1</f>
        <v>17.253093882326908</v>
      </c>
      <c r="Z150" s="4"/>
      <c r="AA150" s="4"/>
      <c r="AB150" s="4">
        <f t="shared" si="10"/>
        <v>209550</v>
      </c>
      <c r="AC150" s="4">
        <f t="shared" si="11"/>
        <v>0</v>
      </c>
      <c r="AD150" s="4">
        <f t="shared" ca="1" si="12"/>
        <v>258796.40823490362</v>
      </c>
      <c r="AE150" s="4">
        <f t="shared" si="13"/>
        <v>0</v>
      </c>
      <c r="AF150" s="3" t="s">
        <v>954</v>
      </c>
    </row>
    <row r="151" spans="1:32" ht="11.25" customHeight="1" x14ac:dyDescent="0.25">
      <c r="A151" s="3" t="s">
        <v>21</v>
      </c>
      <c r="B151" s="3" t="s">
        <v>41</v>
      </c>
      <c r="C151" s="3" t="s">
        <v>64</v>
      </c>
      <c r="D151" s="3" t="s">
        <v>25</v>
      </c>
      <c r="E151" s="3" t="s">
        <v>25</v>
      </c>
      <c r="F151" s="3" t="s">
        <v>65</v>
      </c>
      <c r="G151" s="3" t="s">
        <v>73</v>
      </c>
      <c r="H151" s="3" t="s">
        <v>25</v>
      </c>
      <c r="I151" s="6">
        <v>44621</v>
      </c>
      <c r="J151" s="4">
        <v>16500</v>
      </c>
      <c r="K151" s="4">
        <v>8250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3" t="s">
        <v>67</v>
      </c>
      <c r="R151" s="3">
        <v>31371</v>
      </c>
      <c r="S151" s="3">
        <v>90</v>
      </c>
      <c r="T151" s="3">
        <v>0</v>
      </c>
      <c r="U151" s="3">
        <v>0</v>
      </c>
      <c r="V151" s="4">
        <f>IF(ISERROR(VLOOKUP($S$151,'TAR FIN'!$A$1:$O$99,15,0)),0,VLOOKUP($S$151,'TAR FIN'!$A$1:$O$99,15,0))</f>
        <v>13.97</v>
      </c>
      <c r="W151" s="4">
        <f>IF(ISERROR(VLOOKUP($T$151,'TAR FIN'!$A$1:$O$99,15,0)),0,VLOOKUP($T$151,'TAR FIN'!$A$1:$O$99,15,0))</f>
        <v>0</v>
      </c>
      <c r="X151" s="4">
        <f>IF(ISERROR(VLOOKUP($U$151,'TAR FIN'!$A$1:$O$99,15,0)),0,VLOOKUP($U$151,'TAR FIN'!$A$1:$O$99,15,0))</f>
        <v>0</v>
      </c>
      <c r="Y151" s="4">
        <f ca="1">('TUSD BE'!$AM$12+'TUSD BF'!$AM$12+'TUSD CVA'!$AM$12)*1</f>
        <v>17.253093882326908</v>
      </c>
      <c r="Z151" s="4"/>
      <c r="AA151" s="4"/>
      <c r="AB151" s="4">
        <f t="shared" si="10"/>
        <v>115252.5</v>
      </c>
      <c r="AC151" s="4">
        <f t="shared" si="11"/>
        <v>0</v>
      </c>
      <c r="AD151" s="4">
        <f t="shared" ca="1" si="12"/>
        <v>142338.02452919699</v>
      </c>
      <c r="AE151" s="4">
        <f t="shared" si="13"/>
        <v>0</v>
      </c>
      <c r="AF151" s="3" t="s">
        <v>954</v>
      </c>
    </row>
    <row r="152" spans="1:32" ht="11.25" customHeight="1" x14ac:dyDescent="0.25">
      <c r="A152" s="3" t="s">
        <v>56</v>
      </c>
      <c r="B152" s="3" t="s">
        <v>41</v>
      </c>
      <c r="C152" s="3" t="s">
        <v>64</v>
      </c>
      <c r="D152" s="3" t="s">
        <v>25</v>
      </c>
      <c r="E152" s="3" t="s">
        <v>25</v>
      </c>
      <c r="F152" s="3" t="s">
        <v>65</v>
      </c>
      <c r="G152" s="3" t="s">
        <v>66</v>
      </c>
      <c r="H152" s="3" t="s">
        <v>25</v>
      </c>
      <c r="I152" s="6">
        <v>44652</v>
      </c>
      <c r="J152" s="4">
        <v>1131</v>
      </c>
      <c r="K152" s="4">
        <v>565.5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3" t="s">
        <v>67</v>
      </c>
      <c r="R152" s="3">
        <v>28542</v>
      </c>
      <c r="S152" s="3">
        <v>90</v>
      </c>
      <c r="T152" s="3">
        <v>0</v>
      </c>
      <c r="U152" s="3">
        <v>0</v>
      </c>
      <c r="V152" s="4">
        <f>IF(ISERROR(VLOOKUP($S$152,'TAR FIN'!$A$1:$O$99,15,0)),0,VLOOKUP($S$152,'TAR FIN'!$A$1:$O$99,15,0))</f>
        <v>13.97</v>
      </c>
      <c r="W152" s="4">
        <f>IF(ISERROR(VLOOKUP($T$152,'TAR FIN'!$A$1:$O$99,15,0)),0,VLOOKUP($T$152,'TAR FIN'!$A$1:$O$99,15,0))</f>
        <v>0</v>
      </c>
      <c r="X152" s="4">
        <f>IF(ISERROR(VLOOKUP($U$152,'TAR FIN'!$A$1:$O$99,15,0)),0,VLOOKUP($U$152,'TAR FIN'!$A$1:$O$99,15,0))</f>
        <v>0</v>
      </c>
      <c r="Y152" s="4">
        <f ca="1">('TUSD BE'!$AM$12+'TUSD BF'!$AM$12+'TUSD CVA'!$AM$12)*1</f>
        <v>17.253093882326908</v>
      </c>
      <c r="Z152" s="4"/>
      <c r="AA152" s="4"/>
      <c r="AB152" s="4">
        <f t="shared" si="10"/>
        <v>7900.0350000000008</v>
      </c>
      <c r="AC152" s="4">
        <f t="shared" si="11"/>
        <v>0</v>
      </c>
      <c r="AD152" s="4">
        <f t="shared" ca="1" si="12"/>
        <v>9756.6245904558673</v>
      </c>
      <c r="AE152" s="4">
        <f t="shared" si="13"/>
        <v>0</v>
      </c>
      <c r="AF152" s="3" t="s">
        <v>954</v>
      </c>
    </row>
    <row r="153" spans="1:32" ht="11.25" customHeight="1" x14ac:dyDescent="0.25">
      <c r="A153" s="3" t="s">
        <v>56</v>
      </c>
      <c r="B153" s="3" t="s">
        <v>41</v>
      </c>
      <c r="C153" s="3" t="s">
        <v>64</v>
      </c>
      <c r="D153" s="3" t="s">
        <v>25</v>
      </c>
      <c r="E153" s="3" t="s">
        <v>25</v>
      </c>
      <c r="F153" s="3" t="s">
        <v>65</v>
      </c>
      <c r="G153" s="3" t="s">
        <v>70</v>
      </c>
      <c r="H153" s="3" t="s">
        <v>25</v>
      </c>
      <c r="I153" s="6">
        <v>44652</v>
      </c>
      <c r="J153" s="4">
        <v>11908</v>
      </c>
      <c r="K153" s="4">
        <v>6326.125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3" t="s">
        <v>67</v>
      </c>
      <c r="R153" s="3">
        <v>29161</v>
      </c>
      <c r="S153" s="3">
        <v>90</v>
      </c>
      <c r="T153" s="3">
        <v>0</v>
      </c>
      <c r="U153" s="3">
        <v>0</v>
      </c>
      <c r="V153" s="4">
        <f>IF(ISERROR(VLOOKUP($S$153,'TAR FIN'!$A$1:$O$99,15,0)),0,VLOOKUP($S$153,'TAR FIN'!$A$1:$O$99,15,0))</f>
        <v>13.97</v>
      </c>
      <c r="W153" s="4">
        <f>IF(ISERROR(VLOOKUP($T$153,'TAR FIN'!$A$1:$O$99,15,0)),0,VLOOKUP($T$153,'TAR FIN'!$A$1:$O$99,15,0))</f>
        <v>0</v>
      </c>
      <c r="X153" s="4">
        <f>IF(ISERROR(VLOOKUP($U$153,'TAR FIN'!$A$1:$O$99,15,0)),0,VLOOKUP($U$153,'TAR FIN'!$A$1:$O$99,15,0))</f>
        <v>0</v>
      </c>
      <c r="Y153" s="4">
        <f ca="1">('TUSD BE'!$AM$12+'TUSD BF'!$AM$12+'TUSD CVA'!$AM$12)*1</f>
        <v>17.253093882326908</v>
      </c>
      <c r="Z153" s="4"/>
      <c r="AA153" s="4"/>
      <c r="AB153" s="4">
        <f t="shared" si="10"/>
        <v>77978.793749999997</v>
      </c>
      <c r="AC153" s="4">
        <f t="shared" si="11"/>
        <v>0</v>
      </c>
      <c r="AD153" s="4">
        <f t="shared" ca="1" si="12"/>
        <v>96304.613414413514</v>
      </c>
      <c r="AE153" s="4">
        <f t="shared" si="13"/>
        <v>0</v>
      </c>
      <c r="AF153" s="3" t="s">
        <v>954</v>
      </c>
    </row>
    <row r="154" spans="1:32" ht="11.25" customHeight="1" x14ac:dyDescent="0.25">
      <c r="A154" s="3" t="s">
        <v>56</v>
      </c>
      <c r="B154" s="3" t="s">
        <v>41</v>
      </c>
      <c r="C154" s="3" t="s">
        <v>64</v>
      </c>
      <c r="D154" s="3" t="s">
        <v>25</v>
      </c>
      <c r="E154" s="3" t="s">
        <v>25</v>
      </c>
      <c r="F154" s="3" t="s">
        <v>65</v>
      </c>
      <c r="G154" s="3" t="s">
        <v>71</v>
      </c>
      <c r="H154" s="3" t="s">
        <v>25</v>
      </c>
      <c r="I154" s="6">
        <v>44652</v>
      </c>
      <c r="J154" s="4">
        <v>30000</v>
      </c>
      <c r="K154" s="4">
        <v>15000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3" t="s">
        <v>67</v>
      </c>
      <c r="R154" s="3">
        <v>30048</v>
      </c>
      <c r="S154" s="3">
        <v>90</v>
      </c>
      <c r="T154" s="3">
        <v>0</v>
      </c>
      <c r="U154" s="3">
        <v>0</v>
      </c>
      <c r="V154" s="4">
        <f>IF(ISERROR(VLOOKUP($S$154,'TAR FIN'!$A$1:$O$99,15,0)),0,VLOOKUP($S$154,'TAR FIN'!$A$1:$O$99,15,0))</f>
        <v>13.97</v>
      </c>
      <c r="W154" s="4">
        <f>IF(ISERROR(VLOOKUP($T$154,'TAR FIN'!$A$1:$O$99,15,0)),0,VLOOKUP($T$154,'TAR FIN'!$A$1:$O$99,15,0))</f>
        <v>0</v>
      </c>
      <c r="X154" s="4">
        <f>IF(ISERROR(VLOOKUP($U$154,'TAR FIN'!$A$1:$O$99,15,0)),0,VLOOKUP($U$154,'TAR FIN'!$A$1:$O$99,15,0))</f>
        <v>0</v>
      </c>
      <c r="Y154" s="4">
        <f ca="1">('TUSD BE'!$AM$12+'TUSD BF'!$AM$12+'TUSD CVA'!$AM$12)*1</f>
        <v>17.253093882326908</v>
      </c>
      <c r="Z154" s="4"/>
      <c r="AA154" s="4"/>
      <c r="AB154" s="4">
        <f t="shared" si="10"/>
        <v>209550</v>
      </c>
      <c r="AC154" s="4">
        <f t="shared" si="11"/>
        <v>0</v>
      </c>
      <c r="AD154" s="4">
        <f t="shared" ca="1" si="12"/>
        <v>258796.40823490362</v>
      </c>
      <c r="AE154" s="4">
        <f t="shared" si="13"/>
        <v>0</v>
      </c>
      <c r="AF154" s="3" t="s">
        <v>954</v>
      </c>
    </row>
    <row r="155" spans="1:32" ht="11.25" customHeight="1" x14ac:dyDescent="0.25">
      <c r="A155" s="3" t="s">
        <v>56</v>
      </c>
      <c r="B155" s="3" t="s">
        <v>41</v>
      </c>
      <c r="C155" s="3" t="s">
        <v>64</v>
      </c>
      <c r="D155" s="3" t="s">
        <v>25</v>
      </c>
      <c r="E155" s="3" t="s">
        <v>25</v>
      </c>
      <c r="F155" s="3" t="s">
        <v>65</v>
      </c>
      <c r="G155" s="3" t="s">
        <v>73</v>
      </c>
      <c r="H155" s="3" t="s">
        <v>25</v>
      </c>
      <c r="I155" s="6">
        <v>44652</v>
      </c>
      <c r="J155" s="4">
        <v>16500</v>
      </c>
      <c r="K155" s="4">
        <v>8250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3" t="s">
        <v>67</v>
      </c>
      <c r="R155" s="3">
        <v>31371</v>
      </c>
      <c r="S155" s="3">
        <v>90</v>
      </c>
      <c r="T155" s="3">
        <v>0</v>
      </c>
      <c r="U155" s="3">
        <v>0</v>
      </c>
      <c r="V155" s="4">
        <f>IF(ISERROR(VLOOKUP($S$155,'TAR FIN'!$A$1:$O$99,15,0)),0,VLOOKUP($S$155,'TAR FIN'!$A$1:$O$99,15,0))</f>
        <v>13.97</v>
      </c>
      <c r="W155" s="4">
        <f>IF(ISERROR(VLOOKUP($T$155,'TAR FIN'!$A$1:$O$99,15,0)),0,VLOOKUP($T$155,'TAR FIN'!$A$1:$O$99,15,0))</f>
        <v>0</v>
      </c>
      <c r="X155" s="4">
        <f>IF(ISERROR(VLOOKUP($U$155,'TAR FIN'!$A$1:$O$99,15,0)),0,VLOOKUP($U$155,'TAR FIN'!$A$1:$O$99,15,0))</f>
        <v>0</v>
      </c>
      <c r="Y155" s="4">
        <f ca="1">('TUSD BE'!$AM$12+'TUSD BF'!$AM$12+'TUSD CVA'!$AM$12)*1</f>
        <v>17.253093882326908</v>
      </c>
      <c r="Z155" s="4"/>
      <c r="AA155" s="4"/>
      <c r="AB155" s="4">
        <f t="shared" si="10"/>
        <v>115252.5</v>
      </c>
      <c r="AC155" s="4">
        <f t="shared" si="11"/>
        <v>0</v>
      </c>
      <c r="AD155" s="4">
        <f t="shared" ca="1" si="12"/>
        <v>142338.02452919699</v>
      </c>
      <c r="AE155" s="4">
        <f t="shared" si="13"/>
        <v>0</v>
      </c>
      <c r="AF155" s="3" t="s">
        <v>954</v>
      </c>
    </row>
    <row r="156" spans="1:32" ht="11.25" customHeight="1" x14ac:dyDescent="0.25">
      <c r="A156" s="3" t="s">
        <v>21</v>
      </c>
      <c r="B156" s="3" t="s">
        <v>41</v>
      </c>
      <c r="C156" s="3" t="s">
        <v>64</v>
      </c>
      <c r="D156" s="3" t="s">
        <v>25</v>
      </c>
      <c r="E156" s="3" t="s">
        <v>25</v>
      </c>
      <c r="F156" s="3" t="s">
        <v>25</v>
      </c>
      <c r="G156" s="3" t="s">
        <v>69</v>
      </c>
      <c r="H156" s="3" t="s">
        <v>25</v>
      </c>
      <c r="I156" s="6">
        <v>44317</v>
      </c>
      <c r="J156" s="4">
        <v>13000</v>
      </c>
      <c r="K156" s="4">
        <v>6500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3" t="s">
        <v>67</v>
      </c>
      <c r="R156" s="3">
        <v>28708</v>
      </c>
      <c r="S156" s="3">
        <v>90</v>
      </c>
      <c r="T156" s="3">
        <v>0</v>
      </c>
      <c r="U156" s="3">
        <v>0</v>
      </c>
      <c r="V156" s="4">
        <f>IF(ISERROR(VLOOKUP($S$156,'TAR FIN'!$A$1:$O$99,15,0)),0,VLOOKUP($S$156,'TAR FIN'!$A$1:$O$99,15,0))</f>
        <v>13.97</v>
      </c>
      <c r="W156" s="4">
        <f>IF(ISERROR(VLOOKUP($T$156,'TAR FIN'!$A$1:$O$99,15,0)),0,VLOOKUP($T$156,'TAR FIN'!$A$1:$O$99,15,0))</f>
        <v>0</v>
      </c>
      <c r="X156" s="4">
        <f>IF(ISERROR(VLOOKUP($U$156,'TAR FIN'!$A$1:$O$99,15,0)),0,VLOOKUP($U$156,'TAR FIN'!$A$1:$O$99,15,0))</f>
        <v>0</v>
      </c>
      <c r="Y156" s="4">
        <f ca="1">('TUSD BE'!$AM$12+'TUSD BF'!$AM$12+'TUSD CVA'!$AM$12)*1</f>
        <v>17.253093882326908</v>
      </c>
      <c r="Z156" s="4"/>
      <c r="AA156" s="4"/>
      <c r="AB156" s="4">
        <f t="shared" si="10"/>
        <v>90805</v>
      </c>
      <c r="AC156" s="4">
        <f t="shared" si="11"/>
        <v>0</v>
      </c>
      <c r="AD156" s="4">
        <f t="shared" ca="1" si="12"/>
        <v>112145.1102351249</v>
      </c>
      <c r="AE156" s="4">
        <f t="shared" si="13"/>
        <v>0</v>
      </c>
      <c r="AF156" s="3" t="s">
        <v>954</v>
      </c>
    </row>
    <row r="157" spans="1:32" ht="11.25" customHeight="1" x14ac:dyDescent="0.25">
      <c r="A157" s="3" t="s">
        <v>21</v>
      </c>
      <c r="B157" s="3" t="s">
        <v>41</v>
      </c>
      <c r="C157" s="3" t="s">
        <v>64</v>
      </c>
      <c r="D157" s="3" t="s">
        <v>25</v>
      </c>
      <c r="E157" s="3" t="s">
        <v>25</v>
      </c>
      <c r="F157" s="3" t="s">
        <v>25</v>
      </c>
      <c r="G157" s="3" t="s">
        <v>69</v>
      </c>
      <c r="H157" s="3" t="s">
        <v>25</v>
      </c>
      <c r="I157" s="6">
        <v>44348</v>
      </c>
      <c r="J157" s="4">
        <v>13000</v>
      </c>
      <c r="K157" s="4">
        <v>6500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3" t="s">
        <v>67</v>
      </c>
      <c r="R157" s="3">
        <v>28708</v>
      </c>
      <c r="S157" s="3">
        <v>90</v>
      </c>
      <c r="T157" s="3">
        <v>0</v>
      </c>
      <c r="U157" s="3">
        <v>0</v>
      </c>
      <c r="V157" s="4">
        <f>IF(ISERROR(VLOOKUP($S$157,'TAR FIN'!$A$1:$O$99,15,0)),0,VLOOKUP($S$157,'TAR FIN'!$A$1:$O$99,15,0))</f>
        <v>13.97</v>
      </c>
      <c r="W157" s="4">
        <f>IF(ISERROR(VLOOKUP($T$157,'TAR FIN'!$A$1:$O$99,15,0)),0,VLOOKUP($T$157,'TAR FIN'!$A$1:$O$99,15,0))</f>
        <v>0</v>
      </c>
      <c r="X157" s="4">
        <f>IF(ISERROR(VLOOKUP($U$157,'TAR FIN'!$A$1:$O$99,15,0)),0,VLOOKUP($U$157,'TAR FIN'!$A$1:$O$99,15,0))</f>
        <v>0</v>
      </c>
      <c r="Y157" s="4">
        <f ca="1">('TUSD BE'!$AM$12+'TUSD BF'!$AM$12+'TUSD CVA'!$AM$12)*1</f>
        <v>17.253093882326908</v>
      </c>
      <c r="Z157" s="4"/>
      <c r="AA157" s="4"/>
      <c r="AB157" s="4">
        <f t="shared" si="10"/>
        <v>90805</v>
      </c>
      <c r="AC157" s="4">
        <f t="shared" si="11"/>
        <v>0</v>
      </c>
      <c r="AD157" s="4">
        <f t="shared" ca="1" si="12"/>
        <v>112145.1102351249</v>
      </c>
      <c r="AE157" s="4">
        <f t="shared" si="13"/>
        <v>0</v>
      </c>
      <c r="AF157" s="3" t="s">
        <v>954</v>
      </c>
    </row>
    <row r="158" spans="1:32" ht="11.25" customHeight="1" x14ac:dyDescent="0.25">
      <c r="A158" s="3" t="s">
        <v>21</v>
      </c>
      <c r="B158" s="3" t="s">
        <v>41</v>
      </c>
      <c r="C158" s="3" t="s">
        <v>64</v>
      </c>
      <c r="D158" s="3" t="s">
        <v>25</v>
      </c>
      <c r="E158" s="3" t="s">
        <v>25</v>
      </c>
      <c r="F158" s="3" t="s">
        <v>25</v>
      </c>
      <c r="G158" s="3" t="s">
        <v>69</v>
      </c>
      <c r="H158" s="3" t="s">
        <v>25</v>
      </c>
      <c r="I158" s="6">
        <v>44378</v>
      </c>
      <c r="J158" s="4">
        <v>13000</v>
      </c>
      <c r="K158" s="4">
        <v>6500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3" t="s">
        <v>67</v>
      </c>
      <c r="R158" s="3">
        <v>28708</v>
      </c>
      <c r="S158" s="3">
        <v>90</v>
      </c>
      <c r="T158" s="3">
        <v>0</v>
      </c>
      <c r="U158" s="3">
        <v>0</v>
      </c>
      <c r="V158" s="4">
        <f>IF(ISERROR(VLOOKUP($S$158,'TAR FIN'!$A$1:$O$99,15,0)),0,VLOOKUP($S$158,'TAR FIN'!$A$1:$O$99,15,0))</f>
        <v>13.97</v>
      </c>
      <c r="W158" s="4">
        <f>IF(ISERROR(VLOOKUP($T$158,'TAR FIN'!$A$1:$O$99,15,0)),0,VLOOKUP($T$158,'TAR FIN'!$A$1:$O$99,15,0))</f>
        <v>0</v>
      </c>
      <c r="X158" s="4">
        <f>IF(ISERROR(VLOOKUP($U$158,'TAR FIN'!$A$1:$O$99,15,0)),0,VLOOKUP($U$158,'TAR FIN'!$A$1:$O$99,15,0))</f>
        <v>0</v>
      </c>
      <c r="Y158" s="4">
        <f ca="1">('TUSD BE'!$AM$12+'TUSD BF'!$AM$12+'TUSD CVA'!$AM$12)*1</f>
        <v>17.253093882326908</v>
      </c>
      <c r="Z158" s="4"/>
      <c r="AA158" s="4"/>
      <c r="AB158" s="4">
        <f t="shared" si="10"/>
        <v>90805</v>
      </c>
      <c r="AC158" s="4">
        <f t="shared" si="11"/>
        <v>0</v>
      </c>
      <c r="AD158" s="4">
        <f t="shared" ca="1" si="12"/>
        <v>112145.1102351249</v>
      </c>
      <c r="AE158" s="4">
        <f t="shared" si="13"/>
        <v>0</v>
      </c>
      <c r="AF158" s="3" t="s">
        <v>954</v>
      </c>
    </row>
    <row r="159" spans="1:32" ht="11.25" customHeight="1" x14ac:dyDescent="0.25">
      <c r="A159" s="3" t="s">
        <v>21</v>
      </c>
      <c r="B159" s="3" t="s">
        <v>41</v>
      </c>
      <c r="C159" s="3" t="s">
        <v>64</v>
      </c>
      <c r="D159" s="3" t="s">
        <v>25</v>
      </c>
      <c r="E159" s="3" t="s">
        <v>25</v>
      </c>
      <c r="F159" s="3" t="s">
        <v>25</v>
      </c>
      <c r="G159" s="3" t="s">
        <v>69</v>
      </c>
      <c r="H159" s="3" t="s">
        <v>25</v>
      </c>
      <c r="I159" s="6">
        <v>44409</v>
      </c>
      <c r="J159" s="4">
        <v>11000</v>
      </c>
      <c r="K159" s="4">
        <v>5500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3" t="s">
        <v>67</v>
      </c>
      <c r="R159" s="3">
        <v>28708</v>
      </c>
      <c r="S159" s="3">
        <v>90</v>
      </c>
      <c r="T159" s="3">
        <v>0</v>
      </c>
      <c r="U159" s="3">
        <v>0</v>
      </c>
      <c r="V159" s="4">
        <f>IF(ISERROR(VLOOKUP($S$159,'TAR FIN'!$A$1:$O$99,15,0)),0,VLOOKUP($S$159,'TAR FIN'!$A$1:$O$99,15,0))</f>
        <v>13.97</v>
      </c>
      <c r="W159" s="4">
        <f>IF(ISERROR(VLOOKUP($T$159,'TAR FIN'!$A$1:$O$99,15,0)),0,VLOOKUP($T$159,'TAR FIN'!$A$1:$O$99,15,0))</f>
        <v>0</v>
      </c>
      <c r="X159" s="4">
        <f>IF(ISERROR(VLOOKUP($U$159,'TAR FIN'!$A$1:$O$99,15,0)),0,VLOOKUP($U$159,'TAR FIN'!$A$1:$O$99,15,0))</f>
        <v>0</v>
      </c>
      <c r="Y159" s="4">
        <f ca="1">('TUSD BE'!$AM$12+'TUSD BF'!$AM$12+'TUSD CVA'!$AM$12)*1</f>
        <v>17.253093882326908</v>
      </c>
      <c r="Z159" s="4"/>
      <c r="AA159" s="4"/>
      <c r="AB159" s="4">
        <f t="shared" si="10"/>
        <v>76835</v>
      </c>
      <c r="AC159" s="4">
        <f t="shared" si="11"/>
        <v>0</v>
      </c>
      <c r="AD159" s="4">
        <f t="shared" ca="1" si="12"/>
        <v>94892.016352797989</v>
      </c>
      <c r="AE159" s="4">
        <f t="shared" si="13"/>
        <v>0</v>
      </c>
      <c r="AF159" s="3" t="s">
        <v>954</v>
      </c>
    </row>
    <row r="160" spans="1:32" ht="11.25" customHeight="1" x14ac:dyDescent="0.25">
      <c r="A160" s="3" t="s">
        <v>21</v>
      </c>
      <c r="B160" s="3" t="s">
        <v>41</v>
      </c>
      <c r="C160" s="3" t="s">
        <v>64</v>
      </c>
      <c r="D160" s="3" t="s">
        <v>25</v>
      </c>
      <c r="E160" s="3" t="s">
        <v>25</v>
      </c>
      <c r="F160" s="3" t="s">
        <v>25</v>
      </c>
      <c r="G160" s="3" t="s">
        <v>69</v>
      </c>
      <c r="H160" s="3" t="s">
        <v>25</v>
      </c>
      <c r="I160" s="6">
        <v>44440</v>
      </c>
      <c r="J160" s="4">
        <v>11000</v>
      </c>
      <c r="K160" s="4">
        <v>5500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3" t="s">
        <v>67</v>
      </c>
      <c r="R160" s="3">
        <v>28708</v>
      </c>
      <c r="S160" s="3">
        <v>90</v>
      </c>
      <c r="T160" s="3">
        <v>0</v>
      </c>
      <c r="U160" s="3">
        <v>0</v>
      </c>
      <c r="V160" s="4">
        <f>IF(ISERROR(VLOOKUP($S$160,'TAR FIN'!$A$1:$O$99,15,0)),0,VLOOKUP($S$160,'TAR FIN'!$A$1:$O$99,15,0))</f>
        <v>13.97</v>
      </c>
      <c r="W160" s="4">
        <f>IF(ISERROR(VLOOKUP($T$160,'TAR FIN'!$A$1:$O$99,15,0)),0,VLOOKUP($T$160,'TAR FIN'!$A$1:$O$99,15,0))</f>
        <v>0</v>
      </c>
      <c r="X160" s="4">
        <f>IF(ISERROR(VLOOKUP($U$160,'TAR FIN'!$A$1:$O$99,15,0)),0,VLOOKUP($U$160,'TAR FIN'!$A$1:$O$99,15,0))</f>
        <v>0</v>
      </c>
      <c r="Y160" s="4">
        <f ca="1">('TUSD BE'!$AM$12+'TUSD BF'!$AM$12+'TUSD CVA'!$AM$12)*1</f>
        <v>17.253093882326908</v>
      </c>
      <c r="Z160" s="4"/>
      <c r="AA160" s="4"/>
      <c r="AB160" s="4">
        <f t="shared" si="10"/>
        <v>76835</v>
      </c>
      <c r="AC160" s="4">
        <f t="shared" si="11"/>
        <v>0</v>
      </c>
      <c r="AD160" s="4">
        <f t="shared" ca="1" si="12"/>
        <v>94892.016352797989</v>
      </c>
      <c r="AE160" s="4">
        <f t="shared" si="13"/>
        <v>0</v>
      </c>
      <c r="AF160" s="3" t="s">
        <v>954</v>
      </c>
    </row>
    <row r="161" spans="1:32" ht="11.25" customHeight="1" x14ac:dyDescent="0.25">
      <c r="A161" s="3" t="s">
        <v>21</v>
      </c>
      <c r="B161" s="3" t="s">
        <v>41</v>
      </c>
      <c r="C161" s="3" t="s">
        <v>64</v>
      </c>
      <c r="D161" s="3" t="s">
        <v>25</v>
      </c>
      <c r="E161" s="3" t="s">
        <v>25</v>
      </c>
      <c r="F161" s="3" t="s">
        <v>25</v>
      </c>
      <c r="G161" s="3" t="s">
        <v>69</v>
      </c>
      <c r="H161" s="3" t="s">
        <v>25</v>
      </c>
      <c r="I161" s="6">
        <v>44470</v>
      </c>
      <c r="J161" s="4">
        <v>11000</v>
      </c>
      <c r="K161" s="4">
        <v>5500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3" t="s">
        <v>67</v>
      </c>
      <c r="R161" s="3">
        <v>28708</v>
      </c>
      <c r="S161" s="3">
        <v>90</v>
      </c>
      <c r="T161" s="3">
        <v>0</v>
      </c>
      <c r="U161" s="3">
        <v>0</v>
      </c>
      <c r="V161" s="4">
        <f>IF(ISERROR(VLOOKUP($S$161,'TAR FIN'!$A$1:$O$99,15,0)),0,VLOOKUP($S$161,'TAR FIN'!$A$1:$O$99,15,0))</f>
        <v>13.97</v>
      </c>
      <c r="W161" s="4">
        <f>IF(ISERROR(VLOOKUP($T$161,'TAR FIN'!$A$1:$O$99,15,0)),0,VLOOKUP($T$161,'TAR FIN'!$A$1:$O$99,15,0))</f>
        <v>0</v>
      </c>
      <c r="X161" s="4">
        <f>IF(ISERROR(VLOOKUP($U$161,'TAR FIN'!$A$1:$O$99,15,0)),0,VLOOKUP($U$161,'TAR FIN'!$A$1:$O$99,15,0))</f>
        <v>0</v>
      </c>
      <c r="Y161" s="4">
        <f ca="1">('TUSD BE'!$AM$12+'TUSD BF'!$AM$12+'TUSD CVA'!$AM$12)*1</f>
        <v>17.253093882326908</v>
      </c>
      <c r="Z161" s="4"/>
      <c r="AA161" s="4"/>
      <c r="AB161" s="4">
        <f t="shared" si="10"/>
        <v>76835</v>
      </c>
      <c r="AC161" s="4">
        <f t="shared" si="11"/>
        <v>0</v>
      </c>
      <c r="AD161" s="4">
        <f t="shared" ca="1" si="12"/>
        <v>94892.016352797989</v>
      </c>
      <c r="AE161" s="4">
        <f t="shared" si="13"/>
        <v>0</v>
      </c>
      <c r="AF161" s="3" t="s">
        <v>954</v>
      </c>
    </row>
    <row r="162" spans="1:32" ht="11.25" customHeight="1" x14ac:dyDescent="0.25">
      <c r="A162" s="3" t="s">
        <v>21</v>
      </c>
      <c r="B162" s="3" t="s">
        <v>41</v>
      </c>
      <c r="C162" s="3" t="s">
        <v>64</v>
      </c>
      <c r="D162" s="3" t="s">
        <v>25</v>
      </c>
      <c r="E162" s="3" t="s">
        <v>25</v>
      </c>
      <c r="F162" s="3" t="s">
        <v>25</v>
      </c>
      <c r="G162" s="3" t="s">
        <v>69</v>
      </c>
      <c r="H162" s="3" t="s">
        <v>25</v>
      </c>
      <c r="I162" s="6">
        <v>44501</v>
      </c>
      <c r="J162" s="4">
        <v>11000</v>
      </c>
      <c r="K162" s="4">
        <v>5500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3" t="s">
        <v>67</v>
      </c>
      <c r="R162" s="3">
        <v>28708</v>
      </c>
      <c r="S162" s="3">
        <v>90</v>
      </c>
      <c r="T162" s="3">
        <v>0</v>
      </c>
      <c r="U162" s="3">
        <v>0</v>
      </c>
      <c r="V162" s="4">
        <f>IF(ISERROR(VLOOKUP($S$162,'TAR FIN'!$A$1:$O$99,15,0)),0,VLOOKUP($S$162,'TAR FIN'!$A$1:$O$99,15,0))</f>
        <v>13.97</v>
      </c>
      <c r="W162" s="4">
        <f>IF(ISERROR(VLOOKUP($T$162,'TAR FIN'!$A$1:$O$99,15,0)),0,VLOOKUP($T$162,'TAR FIN'!$A$1:$O$99,15,0))</f>
        <v>0</v>
      </c>
      <c r="X162" s="4">
        <f>IF(ISERROR(VLOOKUP($U$162,'TAR FIN'!$A$1:$O$99,15,0)),0,VLOOKUP($U$162,'TAR FIN'!$A$1:$O$99,15,0))</f>
        <v>0</v>
      </c>
      <c r="Y162" s="4">
        <f ca="1">('TUSD BE'!$AM$12+'TUSD BF'!$AM$12+'TUSD CVA'!$AM$12)*1</f>
        <v>17.253093882326908</v>
      </c>
      <c r="Z162" s="4"/>
      <c r="AA162" s="4"/>
      <c r="AB162" s="4">
        <f t="shared" si="10"/>
        <v>76835</v>
      </c>
      <c r="AC162" s="4">
        <f t="shared" si="11"/>
        <v>0</v>
      </c>
      <c r="AD162" s="4">
        <f t="shared" ca="1" si="12"/>
        <v>94892.016352797989</v>
      </c>
      <c r="AE162" s="4">
        <f t="shared" si="13"/>
        <v>0</v>
      </c>
      <c r="AF162" s="3" t="s">
        <v>954</v>
      </c>
    </row>
    <row r="163" spans="1:32" ht="11.25" customHeight="1" x14ac:dyDescent="0.25">
      <c r="A163" s="3" t="s">
        <v>21</v>
      </c>
      <c r="B163" s="3" t="s">
        <v>41</v>
      </c>
      <c r="C163" s="3" t="s">
        <v>64</v>
      </c>
      <c r="D163" s="3" t="s">
        <v>25</v>
      </c>
      <c r="E163" s="3" t="s">
        <v>25</v>
      </c>
      <c r="F163" s="3" t="s">
        <v>25</v>
      </c>
      <c r="G163" s="3" t="s">
        <v>69</v>
      </c>
      <c r="H163" s="3" t="s">
        <v>25</v>
      </c>
      <c r="I163" s="6">
        <v>44531</v>
      </c>
      <c r="J163" s="4">
        <v>11000</v>
      </c>
      <c r="K163" s="4">
        <v>5500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3" t="s">
        <v>67</v>
      </c>
      <c r="R163" s="3">
        <v>28708</v>
      </c>
      <c r="S163" s="3">
        <v>90</v>
      </c>
      <c r="T163" s="3">
        <v>0</v>
      </c>
      <c r="U163" s="3">
        <v>0</v>
      </c>
      <c r="V163" s="4">
        <f>IF(ISERROR(VLOOKUP($S$163,'TAR FIN'!$A$1:$O$99,15,0)),0,VLOOKUP($S$163,'TAR FIN'!$A$1:$O$99,15,0))</f>
        <v>13.97</v>
      </c>
      <c r="W163" s="4">
        <f>IF(ISERROR(VLOOKUP($T$163,'TAR FIN'!$A$1:$O$99,15,0)),0,VLOOKUP($T$163,'TAR FIN'!$A$1:$O$99,15,0))</f>
        <v>0</v>
      </c>
      <c r="X163" s="4">
        <f>IF(ISERROR(VLOOKUP($U$163,'TAR FIN'!$A$1:$O$99,15,0)),0,VLOOKUP($U$163,'TAR FIN'!$A$1:$O$99,15,0))</f>
        <v>0</v>
      </c>
      <c r="Y163" s="4">
        <f ca="1">('TUSD BE'!$AM$12+'TUSD BF'!$AM$12+'TUSD CVA'!$AM$12)*1</f>
        <v>17.253093882326908</v>
      </c>
      <c r="Z163" s="4"/>
      <c r="AA163" s="4"/>
      <c r="AB163" s="4">
        <f t="shared" si="10"/>
        <v>76835</v>
      </c>
      <c r="AC163" s="4">
        <f t="shared" si="11"/>
        <v>0</v>
      </c>
      <c r="AD163" s="4">
        <f t="shared" ca="1" si="12"/>
        <v>94892.016352797989</v>
      </c>
      <c r="AE163" s="4">
        <f t="shared" si="13"/>
        <v>0</v>
      </c>
      <c r="AF163" s="3" t="s">
        <v>954</v>
      </c>
    </row>
    <row r="164" spans="1:32" ht="11.25" customHeight="1" x14ac:dyDescent="0.25">
      <c r="A164" s="3" t="s">
        <v>21</v>
      </c>
      <c r="B164" s="3" t="s">
        <v>41</v>
      </c>
      <c r="C164" s="3" t="s">
        <v>64</v>
      </c>
      <c r="D164" s="3" t="s">
        <v>25</v>
      </c>
      <c r="E164" s="3" t="s">
        <v>25</v>
      </c>
      <c r="F164" s="3" t="s">
        <v>25</v>
      </c>
      <c r="G164" s="3" t="s">
        <v>69</v>
      </c>
      <c r="H164" s="3" t="s">
        <v>25</v>
      </c>
      <c r="I164" s="6">
        <v>44562</v>
      </c>
      <c r="J164" s="4">
        <v>11000</v>
      </c>
      <c r="K164" s="4">
        <v>5500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3" t="s">
        <v>67</v>
      </c>
      <c r="R164" s="3">
        <v>28708</v>
      </c>
      <c r="S164" s="3">
        <v>90</v>
      </c>
      <c r="T164" s="3">
        <v>0</v>
      </c>
      <c r="U164" s="3">
        <v>0</v>
      </c>
      <c r="V164" s="4">
        <f>IF(ISERROR(VLOOKUP($S$164,'TAR FIN'!$A$1:$O$99,15,0)),0,VLOOKUP($S$164,'TAR FIN'!$A$1:$O$99,15,0))</f>
        <v>13.97</v>
      </c>
      <c r="W164" s="4">
        <f>IF(ISERROR(VLOOKUP($T$164,'TAR FIN'!$A$1:$O$99,15,0)),0,VLOOKUP($T$164,'TAR FIN'!$A$1:$O$99,15,0))</f>
        <v>0</v>
      </c>
      <c r="X164" s="4">
        <f>IF(ISERROR(VLOOKUP($U$164,'TAR FIN'!$A$1:$O$99,15,0)),0,VLOOKUP($U$164,'TAR FIN'!$A$1:$O$99,15,0))</f>
        <v>0</v>
      </c>
      <c r="Y164" s="4">
        <f ca="1">('TUSD BE'!$AM$12+'TUSD BF'!$AM$12+'TUSD CVA'!$AM$12)*1</f>
        <v>17.253093882326908</v>
      </c>
      <c r="Z164" s="4"/>
      <c r="AA164" s="4"/>
      <c r="AB164" s="4">
        <f t="shared" si="10"/>
        <v>76835</v>
      </c>
      <c r="AC164" s="4">
        <f t="shared" si="11"/>
        <v>0</v>
      </c>
      <c r="AD164" s="4">
        <f t="shared" ca="1" si="12"/>
        <v>94892.016352797989</v>
      </c>
      <c r="AE164" s="4">
        <f t="shared" si="13"/>
        <v>0</v>
      </c>
      <c r="AF164" s="3" t="s">
        <v>954</v>
      </c>
    </row>
    <row r="165" spans="1:32" ht="11.25" customHeight="1" x14ac:dyDescent="0.25">
      <c r="A165" s="3" t="s">
        <v>21</v>
      </c>
      <c r="B165" s="3" t="s">
        <v>41</v>
      </c>
      <c r="C165" s="3" t="s">
        <v>64</v>
      </c>
      <c r="D165" s="3" t="s">
        <v>25</v>
      </c>
      <c r="E165" s="3" t="s">
        <v>25</v>
      </c>
      <c r="F165" s="3" t="s">
        <v>25</v>
      </c>
      <c r="G165" s="3" t="s">
        <v>69</v>
      </c>
      <c r="H165" s="3" t="s">
        <v>25</v>
      </c>
      <c r="I165" s="6">
        <v>44593</v>
      </c>
      <c r="J165" s="4">
        <v>11000</v>
      </c>
      <c r="K165" s="4">
        <v>5500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3" t="s">
        <v>67</v>
      </c>
      <c r="R165" s="3">
        <v>28708</v>
      </c>
      <c r="S165" s="3">
        <v>90</v>
      </c>
      <c r="T165" s="3">
        <v>0</v>
      </c>
      <c r="U165" s="3">
        <v>0</v>
      </c>
      <c r="V165" s="4">
        <f>IF(ISERROR(VLOOKUP($S$165,'TAR FIN'!$A$1:$O$99,15,0)),0,VLOOKUP($S$165,'TAR FIN'!$A$1:$O$99,15,0))</f>
        <v>13.97</v>
      </c>
      <c r="W165" s="4">
        <f>IF(ISERROR(VLOOKUP($T$165,'TAR FIN'!$A$1:$O$99,15,0)),0,VLOOKUP($T$165,'TAR FIN'!$A$1:$O$99,15,0))</f>
        <v>0</v>
      </c>
      <c r="X165" s="4">
        <f>IF(ISERROR(VLOOKUP($U$165,'TAR FIN'!$A$1:$O$99,15,0)),0,VLOOKUP($U$165,'TAR FIN'!$A$1:$O$99,15,0))</f>
        <v>0</v>
      </c>
      <c r="Y165" s="4">
        <f ca="1">('TUSD BE'!$AM$12+'TUSD BF'!$AM$12+'TUSD CVA'!$AM$12)*1</f>
        <v>17.253093882326908</v>
      </c>
      <c r="Z165" s="4"/>
      <c r="AA165" s="4"/>
      <c r="AB165" s="4">
        <f t="shared" si="10"/>
        <v>76835</v>
      </c>
      <c r="AC165" s="4">
        <f t="shared" si="11"/>
        <v>0</v>
      </c>
      <c r="AD165" s="4">
        <f t="shared" ca="1" si="12"/>
        <v>94892.016352797989</v>
      </c>
      <c r="AE165" s="4">
        <f t="shared" si="13"/>
        <v>0</v>
      </c>
      <c r="AF165" s="3" t="s">
        <v>954</v>
      </c>
    </row>
    <row r="166" spans="1:32" ht="11.25" customHeight="1" x14ac:dyDescent="0.25">
      <c r="A166" s="3" t="s">
        <v>21</v>
      </c>
      <c r="B166" s="3" t="s">
        <v>41</v>
      </c>
      <c r="C166" s="3" t="s">
        <v>64</v>
      </c>
      <c r="D166" s="3" t="s">
        <v>25</v>
      </c>
      <c r="E166" s="3" t="s">
        <v>25</v>
      </c>
      <c r="F166" s="3" t="s">
        <v>25</v>
      </c>
      <c r="G166" s="3" t="s">
        <v>69</v>
      </c>
      <c r="H166" s="3" t="s">
        <v>25</v>
      </c>
      <c r="I166" s="6">
        <v>44621</v>
      </c>
      <c r="J166" s="4">
        <v>11000</v>
      </c>
      <c r="K166" s="4">
        <v>5500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3" t="s">
        <v>67</v>
      </c>
      <c r="R166" s="3">
        <v>28708</v>
      </c>
      <c r="S166" s="3">
        <v>90</v>
      </c>
      <c r="T166" s="3">
        <v>0</v>
      </c>
      <c r="U166" s="3">
        <v>0</v>
      </c>
      <c r="V166" s="4">
        <f>IF(ISERROR(VLOOKUP($S$166,'TAR FIN'!$A$1:$O$99,15,0)),0,VLOOKUP($S$166,'TAR FIN'!$A$1:$O$99,15,0))</f>
        <v>13.97</v>
      </c>
      <c r="W166" s="4">
        <f>IF(ISERROR(VLOOKUP($T$166,'TAR FIN'!$A$1:$O$99,15,0)),0,VLOOKUP($T$166,'TAR FIN'!$A$1:$O$99,15,0))</f>
        <v>0</v>
      </c>
      <c r="X166" s="4">
        <f>IF(ISERROR(VLOOKUP($U$166,'TAR FIN'!$A$1:$O$99,15,0)),0,VLOOKUP($U$166,'TAR FIN'!$A$1:$O$99,15,0))</f>
        <v>0</v>
      </c>
      <c r="Y166" s="4">
        <f ca="1">('TUSD BE'!$AM$12+'TUSD BF'!$AM$12+'TUSD CVA'!$AM$12)*1</f>
        <v>17.253093882326908</v>
      </c>
      <c r="Z166" s="4"/>
      <c r="AA166" s="4"/>
      <c r="AB166" s="4">
        <f t="shared" si="10"/>
        <v>76835</v>
      </c>
      <c r="AC166" s="4">
        <f t="shared" si="11"/>
        <v>0</v>
      </c>
      <c r="AD166" s="4">
        <f t="shared" ca="1" si="12"/>
        <v>94892.016352797989</v>
      </c>
      <c r="AE166" s="4">
        <f t="shared" si="13"/>
        <v>0</v>
      </c>
      <c r="AF166" s="3" t="s">
        <v>954</v>
      </c>
    </row>
    <row r="167" spans="1:32" ht="11.25" customHeight="1" x14ac:dyDescent="0.25">
      <c r="A167" s="3" t="s">
        <v>56</v>
      </c>
      <c r="B167" s="3" t="s">
        <v>41</v>
      </c>
      <c r="C167" s="3" t="s">
        <v>64</v>
      </c>
      <c r="D167" s="3" t="s">
        <v>25</v>
      </c>
      <c r="E167" s="3" t="s">
        <v>25</v>
      </c>
      <c r="F167" s="3" t="s">
        <v>25</v>
      </c>
      <c r="G167" s="3" t="s">
        <v>69</v>
      </c>
      <c r="H167" s="3" t="s">
        <v>25</v>
      </c>
      <c r="I167" s="6">
        <v>44652</v>
      </c>
      <c r="J167" s="4">
        <v>11000</v>
      </c>
      <c r="K167" s="4">
        <v>5500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3" t="s">
        <v>67</v>
      </c>
      <c r="R167" s="3">
        <v>28708</v>
      </c>
      <c r="S167" s="3">
        <v>90</v>
      </c>
      <c r="T167" s="3">
        <v>0</v>
      </c>
      <c r="U167" s="3">
        <v>0</v>
      </c>
      <c r="V167" s="4">
        <f>IF(ISERROR(VLOOKUP($S$167,'TAR FIN'!$A$1:$O$99,15,0)),0,VLOOKUP($S$167,'TAR FIN'!$A$1:$O$99,15,0))</f>
        <v>13.97</v>
      </c>
      <c r="W167" s="4">
        <f>IF(ISERROR(VLOOKUP($T$167,'TAR FIN'!$A$1:$O$99,15,0)),0,VLOOKUP($T$167,'TAR FIN'!$A$1:$O$99,15,0))</f>
        <v>0</v>
      </c>
      <c r="X167" s="4">
        <f>IF(ISERROR(VLOOKUP($U$167,'TAR FIN'!$A$1:$O$99,15,0)),0,VLOOKUP($U$167,'TAR FIN'!$A$1:$O$99,15,0))</f>
        <v>0</v>
      </c>
      <c r="Y167" s="4">
        <f ca="1">('TUSD BE'!$AM$12+'TUSD BF'!$AM$12+'TUSD CVA'!$AM$12)*1</f>
        <v>17.253093882326908</v>
      </c>
      <c r="Z167" s="4"/>
      <c r="AA167" s="4"/>
      <c r="AB167" s="4">
        <f t="shared" si="10"/>
        <v>76835</v>
      </c>
      <c r="AC167" s="4">
        <f t="shared" si="11"/>
        <v>0</v>
      </c>
      <c r="AD167" s="4">
        <f t="shared" ca="1" si="12"/>
        <v>94892.016352797989</v>
      </c>
      <c r="AE167" s="4">
        <f t="shared" si="13"/>
        <v>0</v>
      </c>
      <c r="AF167" s="3" t="s">
        <v>954</v>
      </c>
    </row>
    <row r="168" spans="1:32" ht="11.25" customHeight="1" x14ac:dyDescent="0.25">
      <c r="A168" s="3" t="s">
        <v>21</v>
      </c>
      <c r="B168" s="3" t="s">
        <v>33</v>
      </c>
      <c r="C168" s="3" t="s">
        <v>42</v>
      </c>
      <c r="D168" s="3" t="s">
        <v>40</v>
      </c>
      <c r="E168" s="3" t="s">
        <v>25</v>
      </c>
      <c r="F168" s="3" t="s">
        <v>60</v>
      </c>
      <c r="G168" s="3" t="s">
        <v>25</v>
      </c>
      <c r="H168" s="3" t="s">
        <v>36</v>
      </c>
      <c r="I168" s="6">
        <v>44317</v>
      </c>
      <c r="J168" s="4">
        <v>11934</v>
      </c>
      <c r="K168" s="4">
        <v>4575.6024092999996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3" t="s">
        <v>57</v>
      </c>
      <c r="R168" s="3">
        <v>0</v>
      </c>
      <c r="S168" s="3">
        <v>87</v>
      </c>
      <c r="T168" s="3">
        <v>0</v>
      </c>
      <c r="U168" s="3">
        <v>0</v>
      </c>
      <c r="V168" s="4">
        <f>IF(ISERROR(VLOOKUP($S$168,'TAR FIN'!$A$1:$O$99,15,0)),0,VLOOKUP($S$168,'TAR FIN'!$A$1:$O$99,15,0))</f>
        <v>21.85</v>
      </c>
      <c r="W168" s="4">
        <f>IF(ISERROR(VLOOKUP($T$168,'TAR FIN'!$A$1:$O$99,15,0)),0,VLOOKUP($T$168,'TAR FIN'!$A$1:$O$99,15,0))</f>
        <v>0</v>
      </c>
      <c r="X168" s="4">
        <f>IF(ISERROR(VLOOKUP($U$168,'TAR FIN'!$A$1:$O$99,15,0)),0,VLOOKUP($U$168,'TAR FIN'!$A$1:$O$99,15,0))</f>
        <v>0</v>
      </c>
      <c r="Y168" s="4">
        <f ca="1">('TUSD BE'!$AM$14+'TUSD BF'!$AM$14+'TUSD CVA'!$AM$14)*1</f>
        <v>24.669398821277586</v>
      </c>
      <c r="Z168" s="4">
        <f ca="1">('TUSD BE'!$AM$15+'TUSD BF'!$AM$15+'TUSD CVA'!$AM$15)*1</f>
        <v>117.59114529324071</v>
      </c>
      <c r="AA168" s="4"/>
      <c r="AB168" s="4">
        <f t="shared" si="10"/>
        <v>160780.98735679503</v>
      </c>
      <c r="AC168" s="4">
        <f t="shared" si="11"/>
        <v>0</v>
      </c>
      <c r="AD168" s="4">
        <f t="shared" ca="1" si="12"/>
        <v>181527.24485050642</v>
      </c>
      <c r="AE168" s="4">
        <f t="shared" ca="1" si="13"/>
        <v>0</v>
      </c>
      <c r="AF168" s="3" t="s">
        <v>950</v>
      </c>
    </row>
    <row r="169" spans="1:32" ht="11.25" customHeight="1" x14ac:dyDescent="0.25">
      <c r="A169" s="3" t="s">
        <v>21</v>
      </c>
      <c r="B169" s="3" t="s">
        <v>33</v>
      </c>
      <c r="C169" s="3" t="s">
        <v>42</v>
      </c>
      <c r="D169" s="3" t="s">
        <v>40</v>
      </c>
      <c r="E169" s="3" t="s">
        <v>25</v>
      </c>
      <c r="F169" s="3" t="s">
        <v>60</v>
      </c>
      <c r="G169" s="3" t="s">
        <v>25</v>
      </c>
      <c r="H169" s="3" t="s">
        <v>36</v>
      </c>
      <c r="I169" s="6">
        <v>44348</v>
      </c>
      <c r="J169" s="4">
        <v>12806</v>
      </c>
      <c r="K169" s="4">
        <v>5134.5000052200003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3" t="s">
        <v>57</v>
      </c>
      <c r="R169" s="3">
        <v>0</v>
      </c>
      <c r="S169" s="3">
        <v>87</v>
      </c>
      <c r="T169" s="3">
        <v>0</v>
      </c>
      <c r="U169" s="3">
        <v>0</v>
      </c>
      <c r="V169" s="4">
        <f>IF(ISERROR(VLOOKUP($S$169,'TAR FIN'!$A$1:$O$99,15,0)),0,VLOOKUP($S$169,'TAR FIN'!$A$1:$O$99,15,0))</f>
        <v>21.85</v>
      </c>
      <c r="W169" s="4">
        <f>IF(ISERROR(VLOOKUP($T$169,'TAR FIN'!$A$1:$O$99,15,0)),0,VLOOKUP($T$169,'TAR FIN'!$A$1:$O$99,15,0))</f>
        <v>0</v>
      </c>
      <c r="X169" s="4">
        <f>IF(ISERROR(VLOOKUP($U$169,'TAR FIN'!$A$1:$O$99,15,0)),0,VLOOKUP($U$169,'TAR FIN'!$A$1:$O$99,15,0))</f>
        <v>0</v>
      </c>
      <c r="Y169" s="4">
        <f ca="1">('TUSD BE'!$AM$14+'TUSD BF'!$AM$14+'TUSD CVA'!$AM$14)*1</f>
        <v>24.669398821277586</v>
      </c>
      <c r="Z169" s="4">
        <f ca="1">('TUSD BE'!$AM$15+'TUSD BF'!$AM$15+'TUSD CVA'!$AM$15)*1</f>
        <v>117.59114529324071</v>
      </c>
      <c r="AA169" s="4"/>
      <c r="AB169" s="4">
        <f t="shared" si="10"/>
        <v>167622.27488594301</v>
      </c>
      <c r="AC169" s="4">
        <f t="shared" si="11"/>
        <v>0</v>
      </c>
      <c r="AD169" s="4">
        <f t="shared" ca="1" si="12"/>
        <v>189251.29292865674</v>
      </c>
      <c r="AE169" s="4">
        <f t="shared" ca="1" si="13"/>
        <v>0</v>
      </c>
      <c r="AF169" s="3" t="s">
        <v>950</v>
      </c>
    </row>
    <row r="170" spans="1:32" ht="11.25" customHeight="1" x14ac:dyDescent="0.25">
      <c r="A170" s="3" t="s">
        <v>21</v>
      </c>
      <c r="B170" s="3" t="s">
        <v>33</v>
      </c>
      <c r="C170" s="3" t="s">
        <v>42</v>
      </c>
      <c r="D170" s="3" t="s">
        <v>40</v>
      </c>
      <c r="E170" s="3" t="s">
        <v>25</v>
      </c>
      <c r="F170" s="3" t="s">
        <v>60</v>
      </c>
      <c r="G170" s="3" t="s">
        <v>25</v>
      </c>
      <c r="H170" s="3" t="s">
        <v>36</v>
      </c>
      <c r="I170" s="6">
        <v>44378</v>
      </c>
      <c r="J170" s="4">
        <v>14440</v>
      </c>
      <c r="K170" s="4">
        <v>5777.5833460000003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3" t="s">
        <v>57</v>
      </c>
      <c r="R170" s="3">
        <v>0</v>
      </c>
      <c r="S170" s="3">
        <v>87</v>
      </c>
      <c r="T170" s="3">
        <v>0</v>
      </c>
      <c r="U170" s="3">
        <v>0</v>
      </c>
      <c r="V170" s="4">
        <f>IF(ISERROR(VLOOKUP($S$170,'TAR FIN'!$A$1:$O$99,15,0)),0,VLOOKUP($S$170,'TAR FIN'!$A$1:$O$99,15,0))</f>
        <v>21.85</v>
      </c>
      <c r="W170" s="4">
        <f>IF(ISERROR(VLOOKUP($T$170,'TAR FIN'!$A$1:$O$99,15,0)),0,VLOOKUP($T$170,'TAR FIN'!$A$1:$O$99,15,0))</f>
        <v>0</v>
      </c>
      <c r="X170" s="4">
        <f>IF(ISERROR(VLOOKUP($U$170,'TAR FIN'!$A$1:$O$99,15,0)),0,VLOOKUP($U$170,'TAR FIN'!$A$1:$O$99,15,0))</f>
        <v>0</v>
      </c>
      <c r="Y170" s="4">
        <f ca="1">('TUSD BE'!$AM$14+'TUSD BF'!$AM$14+'TUSD CVA'!$AM$14)*1</f>
        <v>24.669398821277586</v>
      </c>
      <c r="Z170" s="4">
        <f ca="1">('TUSD BE'!$AM$15+'TUSD BF'!$AM$15+'TUSD CVA'!$AM$15)*1</f>
        <v>117.59114529324071</v>
      </c>
      <c r="AA170" s="4"/>
      <c r="AB170" s="4">
        <f t="shared" si="10"/>
        <v>189273.80388990004</v>
      </c>
      <c r="AC170" s="4">
        <f t="shared" si="11"/>
        <v>0</v>
      </c>
      <c r="AD170" s="4">
        <f t="shared" ca="1" si="12"/>
        <v>213696.61119360293</v>
      </c>
      <c r="AE170" s="4">
        <f t="shared" ca="1" si="13"/>
        <v>0</v>
      </c>
      <c r="AF170" s="3" t="s">
        <v>950</v>
      </c>
    </row>
    <row r="171" spans="1:32" ht="11.25" customHeight="1" x14ac:dyDescent="0.25">
      <c r="A171" s="3" t="s">
        <v>21</v>
      </c>
      <c r="B171" s="3" t="s">
        <v>33</v>
      </c>
      <c r="C171" s="3" t="s">
        <v>42</v>
      </c>
      <c r="D171" s="3" t="s">
        <v>40</v>
      </c>
      <c r="E171" s="3" t="s">
        <v>25</v>
      </c>
      <c r="F171" s="3" t="s">
        <v>60</v>
      </c>
      <c r="G171" s="3" t="s">
        <v>25</v>
      </c>
      <c r="H171" s="3" t="s">
        <v>36</v>
      </c>
      <c r="I171" s="6">
        <v>44409</v>
      </c>
      <c r="J171" s="4">
        <v>16638</v>
      </c>
      <c r="K171" s="4">
        <v>7136.5000708799998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3" t="s">
        <v>57</v>
      </c>
      <c r="R171" s="3">
        <v>0</v>
      </c>
      <c r="S171" s="3">
        <v>87</v>
      </c>
      <c r="T171" s="3">
        <v>0</v>
      </c>
      <c r="U171" s="3">
        <v>0</v>
      </c>
      <c r="V171" s="4">
        <f>IF(ISERROR(VLOOKUP($S$171,'TAR FIN'!$A$1:$O$99,15,0)),0,VLOOKUP($S$171,'TAR FIN'!$A$1:$O$99,15,0))</f>
        <v>21.85</v>
      </c>
      <c r="W171" s="4">
        <f>IF(ISERROR(VLOOKUP($T$171,'TAR FIN'!$A$1:$O$99,15,0)),0,VLOOKUP($T$171,'TAR FIN'!$A$1:$O$99,15,0))</f>
        <v>0</v>
      </c>
      <c r="X171" s="4">
        <f>IF(ISERROR(VLOOKUP($U$171,'TAR FIN'!$A$1:$O$99,15,0)),0,VLOOKUP($U$171,'TAR FIN'!$A$1:$O$99,15,0))</f>
        <v>0</v>
      </c>
      <c r="Y171" s="4">
        <f ca="1">('TUSD BE'!$AM$14+'TUSD BF'!$AM$14+'TUSD CVA'!$AM$14)*1</f>
        <v>24.669398821277586</v>
      </c>
      <c r="Z171" s="4">
        <f ca="1">('TUSD BE'!$AM$15+'TUSD BF'!$AM$15+'TUSD CVA'!$AM$15)*1</f>
        <v>117.59114529324071</v>
      </c>
      <c r="AA171" s="4"/>
      <c r="AB171" s="4">
        <f t="shared" si="10"/>
        <v>207607.77345127202</v>
      </c>
      <c r="AC171" s="4">
        <f t="shared" si="11"/>
        <v>0</v>
      </c>
      <c r="AD171" s="4">
        <f t="shared" ca="1" si="12"/>
        <v>234396.291151802</v>
      </c>
      <c r="AE171" s="4">
        <f t="shared" ca="1" si="13"/>
        <v>0</v>
      </c>
      <c r="AF171" s="3" t="s">
        <v>950</v>
      </c>
    </row>
    <row r="172" spans="1:32" ht="11.25" customHeight="1" x14ac:dyDescent="0.25">
      <c r="A172" s="3" t="s">
        <v>21</v>
      </c>
      <c r="B172" s="3" t="s">
        <v>33</v>
      </c>
      <c r="C172" s="3" t="s">
        <v>42</v>
      </c>
      <c r="D172" s="3" t="s">
        <v>40</v>
      </c>
      <c r="E172" s="3" t="s">
        <v>25</v>
      </c>
      <c r="F172" s="3" t="s">
        <v>60</v>
      </c>
      <c r="G172" s="3" t="s">
        <v>25</v>
      </c>
      <c r="H172" s="3" t="s">
        <v>36</v>
      </c>
      <c r="I172" s="6">
        <v>44440</v>
      </c>
      <c r="J172" s="4">
        <v>16596</v>
      </c>
      <c r="K172" s="4">
        <v>6355.4322254400004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3" t="s">
        <v>57</v>
      </c>
      <c r="R172" s="3">
        <v>0</v>
      </c>
      <c r="S172" s="3">
        <v>87</v>
      </c>
      <c r="T172" s="3">
        <v>0</v>
      </c>
      <c r="U172" s="3">
        <v>0</v>
      </c>
      <c r="V172" s="4">
        <f>IF(ISERROR(VLOOKUP($S$172,'TAR FIN'!$A$1:$O$99,15,0)),0,VLOOKUP($S$172,'TAR FIN'!$A$1:$O$99,15,0))</f>
        <v>21.85</v>
      </c>
      <c r="W172" s="4">
        <f>IF(ISERROR(VLOOKUP($T$172,'TAR FIN'!$A$1:$O$99,15,0)),0,VLOOKUP($T$172,'TAR FIN'!$A$1:$O$99,15,0))</f>
        <v>0</v>
      </c>
      <c r="X172" s="4">
        <f>IF(ISERROR(VLOOKUP($U$172,'TAR FIN'!$A$1:$O$99,15,0)),0,VLOOKUP($U$172,'TAR FIN'!$A$1:$O$99,15,0))</f>
        <v>0</v>
      </c>
      <c r="Y172" s="4">
        <f ca="1">('TUSD BE'!$AM$14+'TUSD BF'!$AM$14+'TUSD CVA'!$AM$14)*1</f>
        <v>24.669398821277586</v>
      </c>
      <c r="Z172" s="4">
        <f ca="1">('TUSD BE'!$AM$15+'TUSD BF'!$AM$15+'TUSD CVA'!$AM$15)*1</f>
        <v>117.59114529324071</v>
      </c>
      <c r="AA172" s="4"/>
      <c r="AB172" s="4">
        <f t="shared" si="10"/>
        <v>223756.40587413602</v>
      </c>
      <c r="AC172" s="4">
        <f t="shared" si="11"/>
        <v>0</v>
      </c>
      <c r="AD172" s="4">
        <f t="shared" ca="1" si="12"/>
        <v>252628.6505869437</v>
      </c>
      <c r="AE172" s="4">
        <f t="shared" ca="1" si="13"/>
        <v>0</v>
      </c>
      <c r="AF172" s="3" t="s">
        <v>950</v>
      </c>
    </row>
    <row r="173" spans="1:32" ht="11.25" customHeight="1" x14ac:dyDescent="0.25">
      <c r="A173" s="3" t="s">
        <v>21</v>
      </c>
      <c r="B173" s="3" t="s">
        <v>33</v>
      </c>
      <c r="C173" s="3" t="s">
        <v>42</v>
      </c>
      <c r="D173" s="3" t="s">
        <v>40</v>
      </c>
      <c r="E173" s="3" t="s">
        <v>25</v>
      </c>
      <c r="F173" s="3" t="s">
        <v>60</v>
      </c>
      <c r="G173" s="3" t="s">
        <v>25</v>
      </c>
      <c r="H173" s="3" t="s">
        <v>36</v>
      </c>
      <c r="I173" s="6">
        <v>44470</v>
      </c>
      <c r="J173" s="4">
        <v>17990</v>
      </c>
      <c r="K173" s="4">
        <v>7682.4999719999996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3" t="s">
        <v>57</v>
      </c>
      <c r="R173" s="3">
        <v>0</v>
      </c>
      <c r="S173" s="3">
        <v>87</v>
      </c>
      <c r="T173" s="3">
        <v>0</v>
      </c>
      <c r="U173" s="3">
        <v>0</v>
      </c>
      <c r="V173" s="4">
        <f>IF(ISERROR(VLOOKUP($S$173,'TAR FIN'!$A$1:$O$99,15,0)),0,VLOOKUP($S$173,'TAR FIN'!$A$1:$O$99,15,0))</f>
        <v>21.85</v>
      </c>
      <c r="W173" s="4">
        <f>IF(ISERROR(VLOOKUP($T$173,'TAR FIN'!$A$1:$O$99,15,0)),0,VLOOKUP($T$173,'TAR FIN'!$A$1:$O$99,15,0))</f>
        <v>0</v>
      </c>
      <c r="X173" s="4">
        <f>IF(ISERROR(VLOOKUP($U$173,'TAR FIN'!$A$1:$O$99,15,0)),0,VLOOKUP($U$173,'TAR FIN'!$A$1:$O$99,15,0))</f>
        <v>0</v>
      </c>
      <c r="Y173" s="4">
        <f ca="1">('TUSD BE'!$AM$14+'TUSD BF'!$AM$14+'TUSD CVA'!$AM$14)*1</f>
        <v>24.669398821277586</v>
      </c>
      <c r="Z173" s="4">
        <f ca="1">('TUSD BE'!$AM$15+'TUSD BF'!$AM$15+'TUSD CVA'!$AM$15)*1</f>
        <v>117.59114529324071</v>
      </c>
      <c r="AA173" s="4"/>
      <c r="AB173" s="4">
        <f t="shared" si="10"/>
        <v>225218.87561180003</v>
      </c>
      <c r="AC173" s="4">
        <f t="shared" si="11"/>
        <v>0</v>
      </c>
      <c r="AD173" s="4">
        <f t="shared" ca="1" si="12"/>
        <v>254279.82904106189</v>
      </c>
      <c r="AE173" s="4">
        <f t="shared" ca="1" si="13"/>
        <v>0</v>
      </c>
      <c r="AF173" s="3" t="s">
        <v>950</v>
      </c>
    </row>
    <row r="174" spans="1:32" ht="11.25" customHeight="1" x14ac:dyDescent="0.25">
      <c r="A174" s="3" t="s">
        <v>21</v>
      </c>
      <c r="B174" s="3" t="s">
        <v>33</v>
      </c>
      <c r="C174" s="3" t="s">
        <v>42</v>
      </c>
      <c r="D174" s="3" t="s">
        <v>40</v>
      </c>
      <c r="E174" s="3" t="s">
        <v>25</v>
      </c>
      <c r="F174" s="3" t="s">
        <v>60</v>
      </c>
      <c r="G174" s="3" t="s">
        <v>25</v>
      </c>
      <c r="H174" s="3" t="s">
        <v>36</v>
      </c>
      <c r="I174" s="6">
        <v>44501</v>
      </c>
      <c r="J174" s="4">
        <v>17616</v>
      </c>
      <c r="K174" s="4">
        <v>5862.0558854399997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3" t="s">
        <v>57</v>
      </c>
      <c r="R174" s="3">
        <v>0</v>
      </c>
      <c r="S174" s="3">
        <v>87</v>
      </c>
      <c r="T174" s="3">
        <v>0</v>
      </c>
      <c r="U174" s="3">
        <v>0</v>
      </c>
      <c r="V174" s="4">
        <f>IF(ISERROR(VLOOKUP($S$174,'TAR FIN'!$A$1:$O$99,15,0)),0,VLOOKUP($S$174,'TAR FIN'!$A$1:$O$99,15,0))</f>
        <v>21.85</v>
      </c>
      <c r="W174" s="4">
        <f>IF(ISERROR(VLOOKUP($T$174,'TAR FIN'!$A$1:$O$99,15,0)),0,VLOOKUP($T$174,'TAR FIN'!$A$1:$O$99,15,0))</f>
        <v>0</v>
      </c>
      <c r="X174" s="4">
        <f>IF(ISERROR(VLOOKUP($U$174,'TAR FIN'!$A$1:$O$99,15,0)),0,VLOOKUP($U$174,'TAR FIN'!$A$1:$O$99,15,0))</f>
        <v>0</v>
      </c>
      <c r="Y174" s="4">
        <f ca="1">('TUSD BE'!$AM$14+'TUSD BF'!$AM$14+'TUSD CVA'!$AM$14)*1</f>
        <v>24.669398821277586</v>
      </c>
      <c r="Z174" s="4">
        <f ca="1">('TUSD BE'!$AM$15+'TUSD BF'!$AM$15+'TUSD CVA'!$AM$15)*1</f>
        <v>117.59114529324071</v>
      </c>
      <c r="AA174" s="4"/>
      <c r="AB174" s="4">
        <f t="shared" si="10"/>
        <v>256823.67890313599</v>
      </c>
      <c r="AC174" s="4">
        <f t="shared" si="11"/>
        <v>0</v>
      </c>
      <c r="AD174" s="4">
        <f t="shared" ca="1" si="12"/>
        <v>289962.73508508905</v>
      </c>
      <c r="AE174" s="4">
        <f t="shared" ca="1" si="13"/>
        <v>0</v>
      </c>
      <c r="AF174" s="3" t="s">
        <v>950</v>
      </c>
    </row>
    <row r="175" spans="1:32" ht="11.25" customHeight="1" x14ac:dyDescent="0.25">
      <c r="A175" s="3" t="s">
        <v>21</v>
      </c>
      <c r="B175" s="3" t="s">
        <v>33</v>
      </c>
      <c r="C175" s="3" t="s">
        <v>42</v>
      </c>
      <c r="D175" s="3" t="s">
        <v>40</v>
      </c>
      <c r="E175" s="3" t="s">
        <v>25</v>
      </c>
      <c r="F175" s="3" t="s">
        <v>60</v>
      </c>
      <c r="G175" s="3" t="s">
        <v>25</v>
      </c>
      <c r="H175" s="3" t="s">
        <v>36</v>
      </c>
      <c r="I175" s="6">
        <v>44531</v>
      </c>
      <c r="J175" s="4">
        <v>18413</v>
      </c>
      <c r="K175" s="4">
        <v>7289.0000090599997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3" t="s">
        <v>57</v>
      </c>
      <c r="R175" s="3">
        <v>0</v>
      </c>
      <c r="S175" s="3">
        <v>87</v>
      </c>
      <c r="T175" s="3">
        <v>0</v>
      </c>
      <c r="U175" s="3">
        <v>0</v>
      </c>
      <c r="V175" s="4">
        <f>IF(ISERROR(VLOOKUP($S$175,'TAR FIN'!$A$1:$O$99,15,0)),0,VLOOKUP($S$175,'TAR FIN'!$A$1:$O$99,15,0))</f>
        <v>21.85</v>
      </c>
      <c r="W175" s="4">
        <f>IF(ISERROR(VLOOKUP($T$175,'TAR FIN'!$A$1:$O$99,15,0)),0,VLOOKUP($T$175,'TAR FIN'!$A$1:$O$99,15,0))</f>
        <v>0</v>
      </c>
      <c r="X175" s="4">
        <f>IF(ISERROR(VLOOKUP($U$175,'TAR FIN'!$A$1:$O$99,15,0)),0,VLOOKUP($U$175,'TAR FIN'!$A$1:$O$99,15,0))</f>
        <v>0</v>
      </c>
      <c r="Y175" s="4">
        <f ca="1">('TUSD BE'!$AM$14+'TUSD BF'!$AM$14+'TUSD CVA'!$AM$14)*1</f>
        <v>24.669398821277586</v>
      </c>
      <c r="Z175" s="4">
        <f ca="1">('TUSD BE'!$AM$15+'TUSD BF'!$AM$15+'TUSD CVA'!$AM$15)*1</f>
        <v>117.59114529324071</v>
      </c>
      <c r="AA175" s="4"/>
      <c r="AB175" s="4">
        <f t="shared" si="10"/>
        <v>243059.399802039</v>
      </c>
      <c r="AC175" s="4">
        <f t="shared" si="11"/>
        <v>0</v>
      </c>
      <c r="AD175" s="4">
        <f t="shared" ca="1" si="12"/>
        <v>274422.3922643871</v>
      </c>
      <c r="AE175" s="4">
        <f t="shared" ca="1" si="13"/>
        <v>0</v>
      </c>
      <c r="AF175" s="3" t="s">
        <v>950</v>
      </c>
    </row>
    <row r="176" spans="1:32" ht="11.25" customHeight="1" x14ac:dyDescent="0.25">
      <c r="A176" s="3" t="s">
        <v>21</v>
      </c>
      <c r="B176" s="3" t="s">
        <v>33</v>
      </c>
      <c r="C176" s="3" t="s">
        <v>42</v>
      </c>
      <c r="D176" s="3" t="s">
        <v>40</v>
      </c>
      <c r="E176" s="3" t="s">
        <v>25</v>
      </c>
      <c r="F176" s="3" t="s">
        <v>60</v>
      </c>
      <c r="G176" s="3" t="s">
        <v>25</v>
      </c>
      <c r="H176" s="3" t="s">
        <v>36</v>
      </c>
      <c r="I176" s="6">
        <v>44562</v>
      </c>
      <c r="J176" s="4">
        <v>18542</v>
      </c>
      <c r="K176" s="4">
        <v>7958.5000799199997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3" t="s">
        <v>57</v>
      </c>
      <c r="R176" s="3">
        <v>0</v>
      </c>
      <c r="S176" s="3">
        <v>87</v>
      </c>
      <c r="T176" s="3">
        <v>0</v>
      </c>
      <c r="U176" s="3">
        <v>0</v>
      </c>
      <c r="V176" s="4">
        <f>IF(ISERROR(VLOOKUP($S$176,'TAR FIN'!$A$1:$O$99,15,0)),0,VLOOKUP($S$176,'TAR FIN'!$A$1:$O$99,15,0))</f>
        <v>21.85</v>
      </c>
      <c r="W176" s="4">
        <f>IF(ISERROR(VLOOKUP($T$176,'TAR FIN'!$A$1:$O$99,15,0)),0,VLOOKUP($T$176,'TAR FIN'!$A$1:$O$99,15,0))</f>
        <v>0</v>
      </c>
      <c r="X176" s="4">
        <f>IF(ISERROR(VLOOKUP($U$176,'TAR FIN'!$A$1:$O$99,15,0)),0,VLOOKUP($U$176,'TAR FIN'!$A$1:$O$99,15,0))</f>
        <v>0</v>
      </c>
      <c r="Y176" s="4">
        <f ca="1">('TUSD BE'!$AM$14+'TUSD BF'!$AM$14+'TUSD CVA'!$AM$14)*1</f>
        <v>24.669398821277586</v>
      </c>
      <c r="Z176" s="4">
        <f ca="1">('TUSD BE'!$AM$15+'TUSD BF'!$AM$15+'TUSD CVA'!$AM$15)*1</f>
        <v>117.59114529324071</v>
      </c>
      <c r="AA176" s="4"/>
      <c r="AB176" s="4">
        <f t="shared" si="10"/>
        <v>231249.47325374803</v>
      </c>
      <c r="AC176" s="4">
        <f t="shared" si="11"/>
        <v>0</v>
      </c>
      <c r="AD176" s="4">
        <f t="shared" ca="1" si="12"/>
        <v>261088.58045341301</v>
      </c>
      <c r="AE176" s="4">
        <f t="shared" ca="1" si="13"/>
        <v>0</v>
      </c>
      <c r="AF176" s="3" t="s">
        <v>950</v>
      </c>
    </row>
    <row r="177" spans="1:32" ht="11.25" customHeight="1" x14ac:dyDescent="0.25">
      <c r="A177" s="3" t="s">
        <v>21</v>
      </c>
      <c r="B177" s="3" t="s">
        <v>33</v>
      </c>
      <c r="C177" s="3" t="s">
        <v>42</v>
      </c>
      <c r="D177" s="3" t="s">
        <v>40</v>
      </c>
      <c r="E177" s="3" t="s">
        <v>25</v>
      </c>
      <c r="F177" s="3" t="s">
        <v>60</v>
      </c>
      <c r="G177" s="3" t="s">
        <v>25</v>
      </c>
      <c r="H177" s="3" t="s">
        <v>36</v>
      </c>
      <c r="I177" s="6">
        <v>44593</v>
      </c>
      <c r="J177" s="4">
        <v>19122</v>
      </c>
      <c r="K177" s="4">
        <v>8248.4999571600001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3" t="s">
        <v>57</v>
      </c>
      <c r="R177" s="3">
        <v>0</v>
      </c>
      <c r="S177" s="3">
        <v>87</v>
      </c>
      <c r="T177" s="3">
        <v>0</v>
      </c>
      <c r="U177" s="3">
        <v>0</v>
      </c>
      <c r="V177" s="4">
        <f>IF(ISERROR(VLOOKUP($S$177,'TAR FIN'!$A$1:$O$99,15,0)),0,VLOOKUP($S$177,'TAR FIN'!$A$1:$O$99,15,0))</f>
        <v>21.85</v>
      </c>
      <c r="W177" s="4">
        <f>IF(ISERROR(VLOOKUP($T$177,'TAR FIN'!$A$1:$O$99,15,0)),0,VLOOKUP($T$177,'TAR FIN'!$A$1:$O$99,15,0))</f>
        <v>0</v>
      </c>
      <c r="X177" s="4">
        <f>IF(ISERROR(VLOOKUP($U$177,'TAR FIN'!$A$1:$O$99,15,0)),0,VLOOKUP($U$177,'TAR FIN'!$A$1:$O$99,15,0))</f>
        <v>0</v>
      </c>
      <c r="Y177" s="4">
        <f ca="1">('TUSD BE'!$AM$14+'TUSD BF'!$AM$14+'TUSD CVA'!$AM$14)*1</f>
        <v>24.669398821277586</v>
      </c>
      <c r="Z177" s="4">
        <f ca="1">('TUSD BE'!$AM$15+'TUSD BF'!$AM$15+'TUSD CVA'!$AM$15)*1</f>
        <v>117.59114529324071</v>
      </c>
      <c r="AA177" s="4"/>
      <c r="AB177" s="4">
        <f t="shared" si="10"/>
        <v>237585.97593605402</v>
      </c>
      <c r="AC177" s="4">
        <f t="shared" si="11"/>
        <v>0</v>
      </c>
      <c r="AD177" s="4">
        <f t="shared" ca="1" si="12"/>
        <v>268242.70913999889</v>
      </c>
      <c r="AE177" s="4">
        <f t="shared" ca="1" si="13"/>
        <v>0</v>
      </c>
      <c r="AF177" s="3" t="s">
        <v>950</v>
      </c>
    </row>
    <row r="178" spans="1:32" ht="11.25" customHeight="1" x14ac:dyDescent="0.25">
      <c r="A178" s="3" t="s">
        <v>21</v>
      </c>
      <c r="B178" s="3" t="s">
        <v>33</v>
      </c>
      <c r="C178" s="3" t="s">
        <v>42</v>
      </c>
      <c r="D178" s="3" t="s">
        <v>40</v>
      </c>
      <c r="E178" s="3" t="s">
        <v>25</v>
      </c>
      <c r="F178" s="3" t="s">
        <v>60</v>
      </c>
      <c r="G178" s="3" t="s">
        <v>25</v>
      </c>
      <c r="H178" s="3" t="s">
        <v>36</v>
      </c>
      <c r="I178" s="6">
        <v>44621</v>
      </c>
      <c r="J178" s="4">
        <v>19895</v>
      </c>
      <c r="K178" s="4">
        <v>8634.9999917500008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3" t="s">
        <v>57</v>
      </c>
      <c r="R178" s="3">
        <v>0</v>
      </c>
      <c r="S178" s="3">
        <v>87</v>
      </c>
      <c r="T178" s="3">
        <v>0</v>
      </c>
      <c r="U178" s="3">
        <v>0</v>
      </c>
      <c r="V178" s="4">
        <f>IF(ISERROR(VLOOKUP($S$178,'TAR FIN'!$A$1:$O$99,15,0)),0,VLOOKUP($S$178,'TAR FIN'!$A$1:$O$99,15,0))</f>
        <v>21.85</v>
      </c>
      <c r="W178" s="4">
        <f>IF(ISERROR(VLOOKUP($T$178,'TAR FIN'!$A$1:$O$99,15,0)),0,VLOOKUP($T$178,'TAR FIN'!$A$1:$O$99,15,0))</f>
        <v>0</v>
      </c>
      <c r="X178" s="4">
        <f>IF(ISERROR(VLOOKUP($U$178,'TAR FIN'!$A$1:$O$99,15,0)),0,VLOOKUP($U$178,'TAR FIN'!$A$1:$O$99,15,0))</f>
        <v>0</v>
      </c>
      <c r="Y178" s="4">
        <f ca="1">('TUSD BE'!$AM$14+'TUSD BF'!$AM$14+'TUSD CVA'!$AM$14)*1</f>
        <v>24.669398821277586</v>
      </c>
      <c r="Z178" s="4">
        <f ca="1">('TUSD BE'!$AM$15+'TUSD BF'!$AM$15+'TUSD CVA'!$AM$15)*1</f>
        <v>117.59114529324071</v>
      </c>
      <c r="AA178" s="4"/>
      <c r="AB178" s="4">
        <f t="shared" si="10"/>
        <v>246031.00018026249</v>
      </c>
      <c r="AC178" s="4">
        <f t="shared" si="11"/>
        <v>0</v>
      </c>
      <c r="AD178" s="4">
        <f t="shared" ca="1" si="12"/>
        <v>277777.43093110813</v>
      </c>
      <c r="AE178" s="4">
        <f t="shared" ca="1" si="13"/>
        <v>0</v>
      </c>
      <c r="AF178" s="3" t="s">
        <v>950</v>
      </c>
    </row>
    <row r="179" spans="1:32" ht="11.25" customHeight="1" x14ac:dyDescent="0.25">
      <c r="A179" s="3" t="s">
        <v>56</v>
      </c>
      <c r="B179" s="3" t="s">
        <v>33</v>
      </c>
      <c r="C179" s="3" t="s">
        <v>42</v>
      </c>
      <c r="D179" s="3" t="s">
        <v>40</v>
      </c>
      <c r="E179" s="3" t="s">
        <v>25</v>
      </c>
      <c r="F179" s="3" t="s">
        <v>60</v>
      </c>
      <c r="G179" s="3" t="s">
        <v>25</v>
      </c>
      <c r="H179" s="3" t="s">
        <v>36</v>
      </c>
      <c r="I179" s="6">
        <v>44652</v>
      </c>
      <c r="J179" s="4">
        <v>19895</v>
      </c>
      <c r="K179" s="4">
        <v>8634.9999917500008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3" t="s">
        <v>57</v>
      </c>
      <c r="R179" s="3">
        <v>0</v>
      </c>
      <c r="S179" s="3">
        <v>87</v>
      </c>
      <c r="T179" s="3">
        <v>0</v>
      </c>
      <c r="U179" s="3">
        <v>0</v>
      </c>
      <c r="V179" s="4">
        <f>IF(ISERROR(VLOOKUP($S$179,'TAR FIN'!$A$1:$O$99,15,0)),0,VLOOKUP($S$179,'TAR FIN'!$A$1:$O$99,15,0))</f>
        <v>21.85</v>
      </c>
      <c r="W179" s="4">
        <f>IF(ISERROR(VLOOKUP($T$179,'TAR FIN'!$A$1:$O$99,15,0)),0,VLOOKUP($T$179,'TAR FIN'!$A$1:$O$99,15,0))</f>
        <v>0</v>
      </c>
      <c r="X179" s="4">
        <f>IF(ISERROR(VLOOKUP($U$179,'TAR FIN'!$A$1:$O$99,15,0)),0,VLOOKUP($U$179,'TAR FIN'!$A$1:$O$99,15,0))</f>
        <v>0</v>
      </c>
      <c r="Y179" s="4">
        <f ca="1">('TUSD BE'!$AM$14+'TUSD BF'!$AM$14+'TUSD CVA'!$AM$14)*1</f>
        <v>24.669398821277586</v>
      </c>
      <c r="Z179" s="4">
        <f ca="1">('TUSD BE'!$AM$15+'TUSD BF'!$AM$15+'TUSD CVA'!$AM$15)*1</f>
        <v>117.59114529324071</v>
      </c>
      <c r="AA179" s="4"/>
      <c r="AB179" s="4">
        <f t="shared" si="10"/>
        <v>246031.00018026249</v>
      </c>
      <c r="AC179" s="4">
        <f t="shared" si="11"/>
        <v>0</v>
      </c>
      <c r="AD179" s="4">
        <f t="shared" ca="1" si="12"/>
        <v>277777.43093110813</v>
      </c>
      <c r="AE179" s="4">
        <f t="shared" ca="1" si="13"/>
        <v>0</v>
      </c>
      <c r="AF179" s="3" t="s">
        <v>950</v>
      </c>
    </row>
    <row r="180" spans="1:32" ht="11.25" customHeight="1" x14ac:dyDescent="0.25">
      <c r="A180" s="3" t="s">
        <v>21</v>
      </c>
      <c r="B180" s="3" t="s">
        <v>33</v>
      </c>
      <c r="C180" s="3" t="s">
        <v>42</v>
      </c>
      <c r="D180" s="3" t="s">
        <v>40</v>
      </c>
      <c r="E180" s="3" t="s">
        <v>25</v>
      </c>
      <c r="F180" s="3" t="s">
        <v>60</v>
      </c>
      <c r="G180" s="3" t="s">
        <v>25</v>
      </c>
      <c r="H180" s="3" t="s">
        <v>25</v>
      </c>
      <c r="I180" s="6">
        <v>44317</v>
      </c>
      <c r="J180" s="4">
        <v>0</v>
      </c>
      <c r="K180" s="4">
        <v>0</v>
      </c>
      <c r="L180" s="4">
        <v>4198.491</v>
      </c>
      <c r="M180" s="4">
        <v>4198.491</v>
      </c>
      <c r="N180" s="4">
        <v>0</v>
      </c>
      <c r="O180" s="4">
        <v>0</v>
      </c>
      <c r="P180" s="4">
        <v>22</v>
      </c>
      <c r="Q180" s="3" t="s">
        <v>57</v>
      </c>
      <c r="R180" s="3">
        <v>0</v>
      </c>
      <c r="S180" s="3">
        <v>0</v>
      </c>
      <c r="T180" s="3">
        <v>88</v>
      </c>
      <c r="U180" s="3">
        <v>0</v>
      </c>
      <c r="V180" s="4">
        <f>IF(ISERROR(VLOOKUP($S$180,'TAR FIN'!$A$1:$O$99,15,0)),0,VLOOKUP($S$180,'TAR FIN'!$A$1:$O$99,15,0))</f>
        <v>0</v>
      </c>
      <c r="W180" s="4">
        <f>IF(ISERROR(VLOOKUP($T$180,'TAR FIN'!$A$1:$O$99,15,0)),0,VLOOKUP($T$180,'TAR FIN'!$A$1:$O$99,15,0))</f>
        <v>97.61</v>
      </c>
      <c r="X180" s="4">
        <f>IF(ISERROR(VLOOKUP($U$180,'TAR FIN'!$A$1:$O$99,15,0)),0,VLOOKUP($U$180,'TAR FIN'!$A$1:$O$99,15,0))</f>
        <v>0</v>
      </c>
      <c r="Y180" s="4"/>
      <c r="Z180" s="4">
        <f ca="1">('TUSD BE'!$AM$15+'TUSD BF'!$AM$15+'TUSD CVA'!$AM$15)*1</f>
        <v>117.59114529324071</v>
      </c>
      <c r="AA180" s="4"/>
      <c r="AB180" s="4">
        <f t="shared" si="10"/>
        <v>0</v>
      </c>
      <c r="AC180" s="4">
        <f t="shared" si="11"/>
        <v>0</v>
      </c>
      <c r="AD180" s="4">
        <f t="shared" si="12"/>
        <v>0</v>
      </c>
      <c r="AE180" s="4">
        <f t="shared" ca="1" si="13"/>
        <v>0</v>
      </c>
      <c r="AF180" s="3" t="s">
        <v>950</v>
      </c>
    </row>
    <row r="181" spans="1:32" ht="11.25" customHeight="1" x14ac:dyDescent="0.25">
      <c r="A181" s="3" t="s">
        <v>21</v>
      </c>
      <c r="B181" s="3" t="s">
        <v>33</v>
      </c>
      <c r="C181" s="3" t="s">
        <v>42</v>
      </c>
      <c r="D181" s="3" t="s">
        <v>40</v>
      </c>
      <c r="E181" s="3" t="s">
        <v>25</v>
      </c>
      <c r="F181" s="3" t="s">
        <v>60</v>
      </c>
      <c r="G181" s="3" t="s">
        <v>25</v>
      </c>
      <c r="H181" s="3" t="s">
        <v>25</v>
      </c>
      <c r="I181" s="6">
        <v>44348</v>
      </c>
      <c r="J181" s="4">
        <v>0</v>
      </c>
      <c r="K181" s="4">
        <v>0</v>
      </c>
      <c r="L181" s="4">
        <v>4216.2759999999998</v>
      </c>
      <c r="M181" s="4">
        <v>4216.2759999999998</v>
      </c>
      <c r="N181" s="4">
        <v>0</v>
      </c>
      <c r="O181" s="4">
        <v>0</v>
      </c>
      <c r="P181" s="4">
        <v>24</v>
      </c>
      <c r="Q181" s="3" t="s">
        <v>57</v>
      </c>
      <c r="R181" s="3">
        <v>0</v>
      </c>
      <c r="S181" s="3">
        <v>0</v>
      </c>
      <c r="T181" s="3">
        <v>88</v>
      </c>
      <c r="U181" s="3">
        <v>0</v>
      </c>
      <c r="V181" s="4">
        <f>IF(ISERROR(VLOOKUP($S$181,'TAR FIN'!$A$1:$O$99,15,0)),0,VLOOKUP($S$181,'TAR FIN'!$A$1:$O$99,15,0))</f>
        <v>0</v>
      </c>
      <c r="W181" s="4">
        <f>IF(ISERROR(VLOOKUP($T$181,'TAR FIN'!$A$1:$O$99,15,0)),0,VLOOKUP($T$181,'TAR FIN'!$A$1:$O$99,15,0))</f>
        <v>97.61</v>
      </c>
      <c r="X181" s="4">
        <f>IF(ISERROR(VLOOKUP($U$181,'TAR FIN'!$A$1:$O$99,15,0)),0,VLOOKUP($U$181,'TAR FIN'!$A$1:$O$99,15,0))</f>
        <v>0</v>
      </c>
      <c r="Y181" s="4"/>
      <c r="Z181" s="4">
        <f ca="1">('TUSD BE'!$AM$15+'TUSD BF'!$AM$15+'TUSD CVA'!$AM$15)*1</f>
        <v>117.59114529324071</v>
      </c>
      <c r="AA181" s="4"/>
      <c r="AB181" s="4">
        <f t="shared" si="10"/>
        <v>0</v>
      </c>
      <c r="AC181" s="4">
        <f t="shared" si="11"/>
        <v>0</v>
      </c>
      <c r="AD181" s="4">
        <f t="shared" si="12"/>
        <v>0</v>
      </c>
      <c r="AE181" s="4">
        <f t="shared" ca="1" si="13"/>
        <v>0</v>
      </c>
      <c r="AF181" s="3" t="s">
        <v>950</v>
      </c>
    </row>
    <row r="182" spans="1:32" ht="11.25" customHeight="1" x14ac:dyDescent="0.25">
      <c r="A182" s="3" t="s">
        <v>21</v>
      </c>
      <c r="B182" s="3" t="s">
        <v>33</v>
      </c>
      <c r="C182" s="3" t="s">
        <v>42</v>
      </c>
      <c r="D182" s="3" t="s">
        <v>40</v>
      </c>
      <c r="E182" s="3" t="s">
        <v>25</v>
      </c>
      <c r="F182" s="3" t="s">
        <v>60</v>
      </c>
      <c r="G182" s="3" t="s">
        <v>25</v>
      </c>
      <c r="H182" s="3" t="s">
        <v>25</v>
      </c>
      <c r="I182" s="6">
        <v>44378</v>
      </c>
      <c r="J182" s="4">
        <v>0</v>
      </c>
      <c r="K182" s="4">
        <v>0</v>
      </c>
      <c r="L182" s="4">
        <v>5093.99</v>
      </c>
      <c r="M182" s="4">
        <v>5093.99</v>
      </c>
      <c r="N182" s="4">
        <v>0</v>
      </c>
      <c r="O182" s="4">
        <v>0</v>
      </c>
      <c r="P182" s="4">
        <v>24</v>
      </c>
      <c r="Q182" s="3" t="s">
        <v>57</v>
      </c>
      <c r="R182" s="3">
        <v>0</v>
      </c>
      <c r="S182" s="3">
        <v>0</v>
      </c>
      <c r="T182" s="3">
        <v>88</v>
      </c>
      <c r="U182" s="3">
        <v>0</v>
      </c>
      <c r="V182" s="4">
        <f>IF(ISERROR(VLOOKUP($S$182,'TAR FIN'!$A$1:$O$99,15,0)),0,VLOOKUP($S$182,'TAR FIN'!$A$1:$O$99,15,0))</f>
        <v>0</v>
      </c>
      <c r="W182" s="4">
        <f>IF(ISERROR(VLOOKUP($T$182,'TAR FIN'!$A$1:$O$99,15,0)),0,VLOOKUP($T$182,'TAR FIN'!$A$1:$O$99,15,0))</f>
        <v>97.61</v>
      </c>
      <c r="X182" s="4">
        <f>IF(ISERROR(VLOOKUP($U$182,'TAR FIN'!$A$1:$O$99,15,0)),0,VLOOKUP($U$182,'TAR FIN'!$A$1:$O$99,15,0))</f>
        <v>0</v>
      </c>
      <c r="Y182" s="4"/>
      <c r="Z182" s="4">
        <f ca="1">('TUSD BE'!$AM$15+'TUSD BF'!$AM$15+'TUSD CVA'!$AM$15)*1</f>
        <v>117.59114529324071</v>
      </c>
      <c r="AA182" s="4"/>
      <c r="AB182" s="4">
        <f t="shared" si="10"/>
        <v>0</v>
      </c>
      <c r="AC182" s="4">
        <f t="shared" si="11"/>
        <v>0</v>
      </c>
      <c r="AD182" s="4">
        <f t="shared" si="12"/>
        <v>0</v>
      </c>
      <c r="AE182" s="4">
        <f t="shared" ca="1" si="13"/>
        <v>0</v>
      </c>
      <c r="AF182" s="3" t="s">
        <v>950</v>
      </c>
    </row>
    <row r="183" spans="1:32" ht="11.25" customHeight="1" x14ac:dyDescent="0.25">
      <c r="A183" s="3" t="s">
        <v>21</v>
      </c>
      <c r="B183" s="3" t="s">
        <v>33</v>
      </c>
      <c r="C183" s="3" t="s">
        <v>42</v>
      </c>
      <c r="D183" s="3" t="s">
        <v>40</v>
      </c>
      <c r="E183" s="3" t="s">
        <v>25</v>
      </c>
      <c r="F183" s="3" t="s">
        <v>60</v>
      </c>
      <c r="G183" s="3" t="s">
        <v>25</v>
      </c>
      <c r="H183" s="3" t="s">
        <v>25</v>
      </c>
      <c r="I183" s="6">
        <v>44409</v>
      </c>
      <c r="J183" s="4">
        <v>0</v>
      </c>
      <c r="K183" s="4">
        <v>0</v>
      </c>
      <c r="L183" s="4">
        <v>5794.2820000000002</v>
      </c>
      <c r="M183" s="4">
        <v>5794.2820000000002</v>
      </c>
      <c r="N183" s="4">
        <v>0</v>
      </c>
      <c r="O183" s="4">
        <v>0</v>
      </c>
      <c r="P183" s="4">
        <v>27</v>
      </c>
      <c r="Q183" s="3" t="s">
        <v>57</v>
      </c>
      <c r="R183" s="3">
        <v>0</v>
      </c>
      <c r="S183" s="3">
        <v>0</v>
      </c>
      <c r="T183" s="3">
        <v>88</v>
      </c>
      <c r="U183" s="3">
        <v>0</v>
      </c>
      <c r="V183" s="4">
        <f>IF(ISERROR(VLOOKUP($S$183,'TAR FIN'!$A$1:$O$99,15,0)),0,VLOOKUP($S$183,'TAR FIN'!$A$1:$O$99,15,0))</f>
        <v>0</v>
      </c>
      <c r="W183" s="4">
        <f>IF(ISERROR(VLOOKUP($T$183,'TAR FIN'!$A$1:$O$99,15,0)),0,VLOOKUP($T$183,'TAR FIN'!$A$1:$O$99,15,0))</f>
        <v>97.61</v>
      </c>
      <c r="X183" s="4">
        <f>IF(ISERROR(VLOOKUP($U$183,'TAR FIN'!$A$1:$O$99,15,0)),0,VLOOKUP($U$183,'TAR FIN'!$A$1:$O$99,15,0))</f>
        <v>0</v>
      </c>
      <c r="Y183" s="4"/>
      <c r="Z183" s="4">
        <f ca="1">('TUSD BE'!$AM$15+'TUSD BF'!$AM$15+'TUSD CVA'!$AM$15)*1</f>
        <v>117.59114529324071</v>
      </c>
      <c r="AA183" s="4"/>
      <c r="AB183" s="4">
        <f t="shared" si="10"/>
        <v>0</v>
      </c>
      <c r="AC183" s="4">
        <f t="shared" si="11"/>
        <v>0</v>
      </c>
      <c r="AD183" s="4">
        <f t="shared" si="12"/>
        <v>0</v>
      </c>
      <c r="AE183" s="4">
        <f t="shared" ca="1" si="13"/>
        <v>0</v>
      </c>
      <c r="AF183" s="3" t="s">
        <v>950</v>
      </c>
    </row>
    <row r="184" spans="1:32" ht="11.25" customHeight="1" x14ac:dyDescent="0.25">
      <c r="A184" s="3" t="s">
        <v>21</v>
      </c>
      <c r="B184" s="3" t="s">
        <v>33</v>
      </c>
      <c r="C184" s="3" t="s">
        <v>42</v>
      </c>
      <c r="D184" s="3" t="s">
        <v>40</v>
      </c>
      <c r="E184" s="3" t="s">
        <v>25</v>
      </c>
      <c r="F184" s="3" t="s">
        <v>60</v>
      </c>
      <c r="G184" s="3" t="s">
        <v>25</v>
      </c>
      <c r="H184" s="3" t="s">
        <v>25</v>
      </c>
      <c r="I184" s="6">
        <v>44440</v>
      </c>
      <c r="J184" s="4">
        <v>0</v>
      </c>
      <c r="K184" s="4">
        <v>0</v>
      </c>
      <c r="L184" s="4">
        <v>6393.9769999999999</v>
      </c>
      <c r="M184" s="4">
        <v>6393.9769999999999</v>
      </c>
      <c r="N184" s="4">
        <v>0</v>
      </c>
      <c r="O184" s="4">
        <v>0</v>
      </c>
      <c r="P184" s="4">
        <v>29</v>
      </c>
      <c r="Q184" s="3" t="s">
        <v>57</v>
      </c>
      <c r="R184" s="3">
        <v>0</v>
      </c>
      <c r="S184" s="3">
        <v>0</v>
      </c>
      <c r="T184" s="3">
        <v>88</v>
      </c>
      <c r="U184" s="3">
        <v>0</v>
      </c>
      <c r="V184" s="4">
        <f>IF(ISERROR(VLOOKUP($S$184,'TAR FIN'!$A$1:$O$99,15,0)),0,VLOOKUP($S$184,'TAR FIN'!$A$1:$O$99,15,0))</f>
        <v>0</v>
      </c>
      <c r="W184" s="4">
        <f>IF(ISERROR(VLOOKUP($T$184,'TAR FIN'!$A$1:$O$99,15,0)),0,VLOOKUP($T$184,'TAR FIN'!$A$1:$O$99,15,0))</f>
        <v>97.61</v>
      </c>
      <c r="X184" s="4">
        <f>IF(ISERROR(VLOOKUP($U$184,'TAR FIN'!$A$1:$O$99,15,0)),0,VLOOKUP($U$184,'TAR FIN'!$A$1:$O$99,15,0))</f>
        <v>0</v>
      </c>
      <c r="Y184" s="4"/>
      <c r="Z184" s="4">
        <f ca="1">('TUSD BE'!$AM$15+'TUSD BF'!$AM$15+'TUSD CVA'!$AM$15)*1</f>
        <v>117.59114529324071</v>
      </c>
      <c r="AA184" s="4"/>
      <c r="AB184" s="4">
        <f t="shared" si="10"/>
        <v>0</v>
      </c>
      <c r="AC184" s="4">
        <f t="shared" si="11"/>
        <v>0</v>
      </c>
      <c r="AD184" s="4">
        <f t="shared" si="12"/>
        <v>0</v>
      </c>
      <c r="AE184" s="4">
        <f t="shared" ca="1" si="13"/>
        <v>0</v>
      </c>
      <c r="AF184" s="3" t="s">
        <v>950</v>
      </c>
    </row>
    <row r="185" spans="1:32" ht="11.25" customHeight="1" x14ac:dyDescent="0.25">
      <c r="A185" s="3" t="s">
        <v>21</v>
      </c>
      <c r="B185" s="3" t="s">
        <v>33</v>
      </c>
      <c r="C185" s="3" t="s">
        <v>42</v>
      </c>
      <c r="D185" s="3" t="s">
        <v>40</v>
      </c>
      <c r="E185" s="3" t="s">
        <v>25</v>
      </c>
      <c r="F185" s="3" t="s">
        <v>60</v>
      </c>
      <c r="G185" s="3" t="s">
        <v>25</v>
      </c>
      <c r="H185" s="3" t="s">
        <v>25</v>
      </c>
      <c r="I185" s="6">
        <v>44470</v>
      </c>
      <c r="J185" s="4">
        <v>0</v>
      </c>
      <c r="K185" s="4">
        <v>0</v>
      </c>
      <c r="L185" s="4">
        <v>7168.2340000000004</v>
      </c>
      <c r="M185" s="4">
        <v>7168.2340000000004</v>
      </c>
      <c r="N185" s="4">
        <v>0</v>
      </c>
      <c r="O185" s="4">
        <v>0</v>
      </c>
      <c r="P185" s="4">
        <v>31</v>
      </c>
      <c r="Q185" s="3" t="s">
        <v>57</v>
      </c>
      <c r="R185" s="3">
        <v>0</v>
      </c>
      <c r="S185" s="3">
        <v>0</v>
      </c>
      <c r="T185" s="3">
        <v>88</v>
      </c>
      <c r="U185" s="3">
        <v>0</v>
      </c>
      <c r="V185" s="4">
        <f>IF(ISERROR(VLOOKUP($S$185,'TAR FIN'!$A$1:$O$99,15,0)),0,VLOOKUP($S$185,'TAR FIN'!$A$1:$O$99,15,0))</f>
        <v>0</v>
      </c>
      <c r="W185" s="4">
        <f>IF(ISERROR(VLOOKUP($T$185,'TAR FIN'!$A$1:$O$99,15,0)),0,VLOOKUP($T$185,'TAR FIN'!$A$1:$O$99,15,0))</f>
        <v>97.61</v>
      </c>
      <c r="X185" s="4">
        <f>IF(ISERROR(VLOOKUP($U$185,'TAR FIN'!$A$1:$O$99,15,0)),0,VLOOKUP($U$185,'TAR FIN'!$A$1:$O$99,15,0))</f>
        <v>0</v>
      </c>
      <c r="Y185" s="4"/>
      <c r="Z185" s="4">
        <f ca="1">('TUSD BE'!$AM$15+'TUSD BF'!$AM$15+'TUSD CVA'!$AM$15)*1</f>
        <v>117.59114529324071</v>
      </c>
      <c r="AA185" s="4"/>
      <c r="AB185" s="4">
        <f t="shared" si="10"/>
        <v>0</v>
      </c>
      <c r="AC185" s="4">
        <f t="shared" si="11"/>
        <v>0</v>
      </c>
      <c r="AD185" s="4">
        <f t="shared" si="12"/>
        <v>0</v>
      </c>
      <c r="AE185" s="4">
        <f t="shared" ca="1" si="13"/>
        <v>0</v>
      </c>
      <c r="AF185" s="3" t="s">
        <v>950</v>
      </c>
    </row>
    <row r="186" spans="1:32" ht="11.25" customHeight="1" x14ac:dyDescent="0.25">
      <c r="A186" s="3" t="s">
        <v>21</v>
      </c>
      <c r="B186" s="3" t="s">
        <v>33</v>
      </c>
      <c r="C186" s="3" t="s">
        <v>42</v>
      </c>
      <c r="D186" s="3" t="s">
        <v>40</v>
      </c>
      <c r="E186" s="3" t="s">
        <v>25</v>
      </c>
      <c r="F186" s="3" t="s">
        <v>60</v>
      </c>
      <c r="G186" s="3" t="s">
        <v>25</v>
      </c>
      <c r="H186" s="3" t="s">
        <v>25</v>
      </c>
      <c r="I186" s="6">
        <v>44501</v>
      </c>
      <c r="J186" s="4">
        <v>0</v>
      </c>
      <c r="K186" s="4">
        <v>0</v>
      </c>
      <c r="L186" s="4">
        <v>6906.5820000000003</v>
      </c>
      <c r="M186" s="4">
        <v>6906.5820000000003</v>
      </c>
      <c r="N186" s="4">
        <v>0</v>
      </c>
      <c r="O186" s="4">
        <v>0</v>
      </c>
      <c r="P186" s="4">
        <v>32</v>
      </c>
      <c r="Q186" s="3" t="s">
        <v>57</v>
      </c>
      <c r="R186" s="3">
        <v>0</v>
      </c>
      <c r="S186" s="3">
        <v>0</v>
      </c>
      <c r="T186" s="3">
        <v>88</v>
      </c>
      <c r="U186" s="3">
        <v>0</v>
      </c>
      <c r="V186" s="4">
        <f>IF(ISERROR(VLOOKUP($S$186,'TAR FIN'!$A$1:$O$99,15,0)),0,VLOOKUP($S$186,'TAR FIN'!$A$1:$O$99,15,0))</f>
        <v>0</v>
      </c>
      <c r="W186" s="4">
        <f>IF(ISERROR(VLOOKUP($T$186,'TAR FIN'!$A$1:$O$99,15,0)),0,VLOOKUP($T$186,'TAR FIN'!$A$1:$O$99,15,0))</f>
        <v>97.61</v>
      </c>
      <c r="X186" s="4">
        <f>IF(ISERROR(VLOOKUP($U$186,'TAR FIN'!$A$1:$O$99,15,0)),0,VLOOKUP($U$186,'TAR FIN'!$A$1:$O$99,15,0))</f>
        <v>0</v>
      </c>
      <c r="Y186" s="4"/>
      <c r="Z186" s="4">
        <f ca="1">('TUSD BE'!$AM$15+'TUSD BF'!$AM$15+'TUSD CVA'!$AM$15)*1</f>
        <v>117.59114529324071</v>
      </c>
      <c r="AA186" s="4"/>
      <c r="AB186" s="4">
        <f t="shared" si="10"/>
        <v>0</v>
      </c>
      <c r="AC186" s="4">
        <f t="shared" si="11"/>
        <v>0</v>
      </c>
      <c r="AD186" s="4">
        <f t="shared" si="12"/>
        <v>0</v>
      </c>
      <c r="AE186" s="4">
        <f t="shared" ca="1" si="13"/>
        <v>0</v>
      </c>
      <c r="AF186" s="3" t="s">
        <v>950</v>
      </c>
    </row>
    <row r="187" spans="1:32" ht="11.25" customHeight="1" x14ac:dyDescent="0.25">
      <c r="A187" s="3" t="s">
        <v>21</v>
      </c>
      <c r="B187" s="3" t="s">
        <v>33</v>
      </c>
      <c r="C187" s="3" t="s">
        <v>42</v>
      </c>
      <c r="D187" s="3" t="s">
        <v>40</v>
      </c>
      <c r="E187" s="3" t="s">
        <v>25</v>
      </c>
      <c r="F187" s="3" t="s">
        <v>60</v>
      </c>
      <c r="G187" s="3" t="s">
        <v>25</v>
      </c>
      <c r="H187" s="3" t="s">
        <v>25</v>
      </c>
      <c r="I187" s="6">
        <v>44531</v>
      </c>
      <c r="J187" s="4">
        <v>0</v>
      </c>
      <c r="K187" s="4">
        <v>0</v>
      </c>
      <c r="L187" s="4">
        <v>6939.7569999999996</v>
      </c>
      <c r="M187" s="4">
        <v>6939.7569999999996</v>
      </c>
      <c r="N187" s="4">
        <v>0</v>
      </c>
      <c r="O187" s="4">
        <v>0</v>
      </c>
      <c r="P187" s="4">
        <v>33</v>
      </c>
      <c r="Q187" s="3" t="s">
        <v>57</v>
      </c>
      <c r="R187" s="3">
        <v>0</v>
      </c>
      <c r="S187" s="3">
        <v>0</v>
      </c>
      <c r="T187" s="3">
        <v>88</v>
      </c>
      <c r="U187" s="3">
        <v>0</v>
      </c>
      <c r="V187" s="4">
        <f>IF(ISERROR(VLOOKUP($S$187,'TAR FIN'!$A$1:$O$99,15,0)),0,VLOOKUP($S$187,'TAR FIN'!$A$1:$O$99,15,0))</f>
        <v>0</v>
      </c>
      <c r="W187" s="4">
        <f>IF(ISERROR(VLOOKUP($T$187,'TAR FIN'!$A$1:$O$99,15,0)),0,VLOOKUP($T$187,'TAR FIN'!$A$1:$O$99,15,0))</f>
        <v>97.61</v>
      </c>
      <c r="X187" s="4">
        <f>IF(ISERROR(VLOOKUP($U$187,'TAR FIN'!$A$1:$O$99,15,0)),0,VLOOKUP($U$187,'TAR FIN'!$A$1:$O$99,15,0))</f>
        <v>0</v>
      </c>
      <c r="Y187" s="4"/>
      <c r="Z187" s="4">
        <f ca="1">('TUSD BE'!$AM$15+'TUSD BF'!$AM$15+'TUSD CVA'!$AM$15)*1</f>
        <v>117.59114529324071</v>
      </c>
      <c r="AA187" s="4"/>
      <c r="AB187" s="4">
        <f t="shared" si="10"/>
        <v>0</v>
      </c>
      <c r="AC187" s="4">
        <f t="shared" si="11"/>
        <v>0</v>
      </c>
      <c r="AD187" s="4">
        <f t="shared" si="12"/>
        <v>0</v>
      </c>
      <c r="AE187" s="4">
        <f t="shared" ca="1" si="13"/>
        <v>0</v>
      </c>
      <c r="AF187" s="3" t="s">
        <v>950</v>
      </c>
    </row>
    <row r="188" spans="1:32" ht="11.25" customHeight="1" x14ac:dyDescent="0.25">
      <c r="A188" s="3" t="s">
        <v>21</v>
      </c>
      <c r="B188" s="3" t="s">
        <v>33</v>
      </c>
      <c r="C188" s="3" t="s">
        <v>42</v>
      </c>
      <c r="D188" s="3" t="s">
        <v>40</v>
      </c>
      <c r="E188" s="3" t="s">
        <v>25</v>
      </c>
      <c r="F188" s="3" t="s">
        <v>60</v>
      </c>
      <c r="G188" s="3" t="s">
        <v>25</v>
      </c>
      <c r="H188" s="3" t="s">
        <v>25</v>
      </c>
      <c r="I188" s="6">
        <v>44562</v>
      </c>
      <c r="J188" s="4">
        <v>0</v>
      </c>
      <c r="K188" s="4">
        <v>0</v>
      </c>
      <c r="L188" s="4">
        <v>6524.7719999999999</v>
      </c>
      <c r="M188" s="4">
        <v>6524.7719999999999</v>
      </c>
      <c r="N188" s="4">
        <v>0</v>
      </c>
      <c r="O188" s="4">
        <v>0</v>
      </c>
      <c r="P188" s="4">
        <v>34</v>
      </c>
      <c r="Q188" s="3" t="s">
        <v>57</v>
      </c>
      <c r="R188" s="3">
        <v>0</v>
      </c>
      <c r="S188" s="3">
        <v>0</v>
      </c>
      <c r="T188" s="3">
        <v>88</v>
      </c>
      <c r="U188" s="3">
        <v>0</v>
      </c>
      <c r="V188" s="4">
        <f>IF(ISERROR(VLOOKUP($S$188,'TAR FIN'!$A$1:$O$99,15,0)),0,VLOOKUP($S$188,'TAR FIN'!$A$1:$O$99,15,0))</f>
        <v>0</v>
      </c>
      <c r="W188" s="4">
        <f>IF(ISERROR(VLOOKUP($T$188,'TAR FIN'!$A$1:$O$99,15,0)),0,VLOOKUP($T$188,'TAR FIN'!$A$1:$O$99,15,0))</f>
        <v>97.61</v>
      </c>
      <c r="X188" s="4">
        <f>IF(ISERROR(VLOOKUP($U$188,'TAR FIN'!$A$1:$O$99,15,0)),0,VLOOKUP($U$188,'TAR FIN'!$A$1:$O$99,15,0))</f>
        <v>0</v>
      </c>
      <c r="Y188" s="4"/>
      <c r="Z188" s="4">
        <f ca="1">('TUSD BE'!$AM$15+'TUSD BF'!$AM$15+'TUSD CVA'!$AM$15)*1</f>
        <v>117.59114529324071</v>
      </c>
      <c r="AA188" s="4"/>
      <c r="AB188" s="4">
        <f t="shared" si="10"/>
        <v>0</v>
      </c>
      <c r="AC188" s="4">
        <f t="shared" si="11"/>
        <v>0</v>
      </c>
      <c r="AD188" s="4">
        <f t="shared" si="12"/>
        <v>0</v>
      </c>
      <c r="AE188" s="4">
        <f t="shared" ca="1" si="13"/>
        <v>0</v>
      </c>
      <c r="AF188" s="3" t="s">
        <v>950</v>
      </c>
    </row>
    <row r="189" spans="1:32" ht="11.25" customHeight="1" x14ac:dyDescent="0.25">
      <c r="A189" s="3" t="s">
        <v>21</v>
      </c>
      <c r="B189" s="3" t="s">
        <v>33</v>
      </c>
      <c r="C189" s="3" t="s">
        <v>42</v>
      </c>
      <c r="D189" s="3" t="s">
        <v>40</v>
      </c>
      <c r="E189" s="3" t="s">
        <v>25</v>
      </c>
      <c r="F189" s="3" t="s">
        <v>60</v>
      </c>
      <c r="G189" s="3" t="s">
        <v>25</v>
      </c>
      <c r="H189" s="3" t="s">
        <v>25</v>
      </c>
      <c r="I189" s="6">
        <v>44593</v>
      </c>
      <c r="J189" s="4">
        <v>0</v>
      </c>
      <c r="K189" s="4">
        <v>0</v>
      </c>
      <c r="L189" s="4">
        <v>6430.9620000000004</v>
      </c>
      <c r="M189" s="4">
        <v>6430.9620000000004</v>
      </c>
      <c r="N189" s="4">
        <v>0</v>
      </c>
      <c r="O189" s="4">
        <v>0</v>
      </c>
      <c r="P189" s="4">
        <v>35</v>
      </c>
      <c r="Q189" s="3" t="s">
        <v>57</v>
      </c>
      <c r="R189" s="3">
        <v>0</v>
      </c>
      <c r="S189" s="3">
        <v>0</v>
      </c>
      <c r="T189" s="3">
        <v>88</v>
      </c>
      <c r="U189" s="3">
        <v>0</v>
      </c>
      <c r="V189" s="4">
        <f>IF(ISERROR(VLOOKUP($S$189,'TAR FIN'!$A$1:$O$99,15,0)),0,VLOOKUP($S$189,'TAR FIN'!$A$1:$O$99,15,0))</f>
        <v>0</v>
      </c>
      <c r="W189" s="4">
        <f>IF(ISERROR(VLOOKUP($T$189,'TAR FIN'!$A$1:$O$99,15,0)),0,VLOOKUP($T$189,'TAR FIN'!$A$1:$O$99,15,0))</f>
        <v>97.61</v>
      </c>
      <c r="X189" s="4">
        <f>IF(ISERROR(VLOOKUP($U$189,'TAR FIN'!$A$1:$O$99,15,0)),0,VLOOKUP($U$189,'TAR FIN'!$A$1:$O$99,15,0))</f>
        <v>0</v>
      </c>
      <c r="Y189" s="4"/>
      <c r="Z189" s="4">
        <f ca="1">('TUSD BE'!$AM$15+'TUSD BF'!$AM$15+'TUSD CVA'!$AM$15)*1</f>
        <v>117.59114529324071</v>
      </c>
      <c r="AA189" s="4"/>
      <c r="AB189" s="4">
        <f t="shared" si="10"/>
        <v>0</v>
      </c>
      <c r="AC189" s="4">
        <f t="shared" si="11"/>
        <v>0</v>
      </c>
      <c r="AD189" s="4">
        <f t="shared" si="12"/>
        <v>0</v>
      </c>
      <c r="AE189" s="4">
        <f t="shared" ca="1" si="13"/>
        <v>0</v>
      </c>
      <c r="AF189" s="3" t="s">
        <v>950</v>
      </c>
    </row>
    <row r="190" spans="1:32" ht="11.25" customHeight="1" x14ac:dyDescent="0.25">
      <c r="A190" s="3" t="s">
        <v>21</v>
      </c>
      <c r="B190" s="3" t="s">
        <v>33</v>
      </c>
      <c r="C190" s="3" t="s">
        <v>42</v>
      </c>
      <c r="D190" s="3" t="s">
        <v>40</v>
      </c>
      <c r="E190" s="3" t="s">
        <v>25</v>
      </c>
      <c r="F190" s="3" t="s">
        <v>60</v>
      </c>
      <c r="G190" s="3" t="s">
        <v>25</v>
      </c>
      <c r="H190" s="3" t="s">
        <v>25</v>
      </c>
      <c r="I190" s="6">
        <v>44621</v>
      </c>
      <c r="J190" s="4">
        <v>0</v>
      </c>
      <c r="K190" s="4">
        <v>0</v>
      </c>
      <c r="L190" s="4">
        <v>7094.2309999999998</v>
      </c>
      <c r="M190" s="4">
        <v>7094.2309999999998</v>
      </c>
      <c r="N190" s="4">
        <v>0</v>
      </c>
      <c r="O190" s="4">
        <v>0</v>
      </c>
      <c r="P190" s="4">
        <v>36</v>
      </c>
      <c r="Q190" s="3" t="s">
        <v>57</v>
      </c>
      <c r="R190" s="3">
        <v>0</v>
      </c>
      <c r="S190" s="3">
        <v>0</v>
      </c>
      <c r="T190" s="3">
        <v>88</v>
      </c>
      <c r="U190" s="3">
        <v>0</v>
      </c>
      <c r="V190" s="4">
        <f>IF(ISERROR(VLOOKUP($S$190,'TAR FIN'!$A$1:$O$99,15,0)),0,VLOOKUP($S$190,'TAR FIN'!$A$1:$O$99,15,0))</f>
        <v>0</v>
      </c>
      <c r="W190" s="4">
        <f>IF(ISERROR(VLOOKUP($T$190,'TAR FIN'!$A$1:$O$99,15,0)),0,VLOOKUP($T$190,'TAR FIN'!$A$1:$O$99,15,0))</f>
        <v>97.61</v>
      </c>
      <c r="X190" s="4">
        <f>IF(ISERROR(VLOOKUP($U$190,'TAR FIN'!$A$1:$O$99,15,0)),0,VLOOKUP($U$190,'TAR FIN'!$A$1:$O$99,15,0))</f>
        <v>0</v>
      </c>
      <c r="Y190" s="4"/>
      <c r="Z190" s="4">
        <f ca="1">('TUSD BE'!$AM$15+'TUSD BF'!$AM$15+'TUSD CVA'!$AM$15)*1</f>
        <v>117.59114529324071</v>
      </c>
      <c r="AA190" s="4"/>
      <c r="AB190" s="4">
        <f t="shared" si="10"/>
        <v>0</v>
      </c>
      <c r="AC190" s="4">
        <f t="shared" si="11"/>
        <v>0</v>
      </c>
      <c r="AD190" s="4">
        <f t="shared" si="12"/>
        <v>0</v>
      </c>
      <c r="AE190" s="4">
        <f t="shared" ca="1" si="13"/>
        <v>0</v>
      </c>
      <c r="AF190" s="3" t="s">
        <v>950</v>
      </c>
    </row>
    <row r="191" spans="1:32" ht="11.25" customHeight="1" x14ac:dyDescent="0.25">
      <c r="A191" s="3" t="s">
        <v>56</v>
      </c>
      <c r="B191" s="3" t="s">
        <v>33</v>
      </c>
      <c r="C191" s="3" t="s">
        <v>42</v>
      </c>
      <c r="D191" s="3" t="s">
        <v>40</v>
      </c>
      <c r="E191" s="3" t="s">
        <v>25</v>
      </c>
      <c r="F191" s="3" t="s">
        <v>60</v>
      </c>
      <c r="G191" s="3" t="s">
        <v>25</v>
      </c>
      <c r="H191" s="3" t="s">
        <v>25</v>
      </c>
      <c r="I191" s="6">
        <v>44652</v>
      </c>
      <c r="J191" s="4">
        <v>0</v>
      </c>
      <c r="K191" s="4">
        <v>0</v>
      </c>
      <c r="L191" s="4">
        <v>7094.2309999999998</v>
      </c>
      <c r="M191" s="4">
        <v>7094.2309999999998</v>
      </c>
      <c r="N191" s="4">
        <v>0</v>
      </c>
      <c r="O191" s="4">
        <v>0</v>
      </c>
      <c r="P191" s="4">
        <v>36</v>
      </c>
      <c r="Q191" s="3" t="s">
        <v>57</v>
      </c>
      <c r="R191" s="3">
        <v>0</v>
      </c>
      <c r="S191" s="3">
        <v>0</v>
      </c>
      <c r="T191" s="3">
        <v>88</v>
      </c>
      <c r="U191" s="3">
        <v>0</v>
      </c>
      <c r="V191" s="4">
        <f>IF(ISERROR(VLOOKUP($S$191,'TAR FIN'!$A$1:$O$99,15,0)),0,VLOOKUP($S$191,'TAR FIN'!$A$1:$O$99,15,0))</f>
        <v>0</v>
      </c>
      <c r="W191" s="4">
        <f>IF(ISERROR(VLOOKUP($T$191,'TAR FIN'!$A$1:$O$99,15,0)),0,VLOOKUP($T$191,'TAR FIN'!$A$1:$O$99,15,0))</f>
        <v>97.61</v>
      </c>
      <c r="X191" s="4">
        <f>IF(ISERROR(VLOOKUP($U$191,'TAR FIN'!$A$1:$O$99,15,0)),0,VLOOKUP($U$191,'TAR FIN'!$A$1:$O$99,15,0))</f>
        <v>0</v>
      </c>
      <c r="Y191" s="4"/>
      <c r="Z191" s="4">
        <f ca="1">('TUSD BE'!$AM$15+'TUSD BF'!$AM$15+'TUSD CVA'!$AM$15)*1</f>
        <v>117.59114529324071</v>
      </c>
      <c r="AA191" s="4"/>
      <c r="AB191" s="4">
        <f t="shared" si="10"/>
        <v>0</v>
      </c>
      <c r="AC191" s="4">
        <f t="shared" si="11"/>
        <v>0</v>
      </c>
      <c r="AD191" s="4">
        <f t="shared" si="12"/>
        <v>0</v>
      </c>
      <c r="AE191" s="4">
        <f t="shared" ca="1" si="13"/>
        <v>0</v>
      </c>
      <c r="AF191" s="3" t="s">
        <v>950</v>
      </c>
    </row>
    <row r="192" spans="1:32" ht="11.25" customHeight="1" x14ac:dyDescent="0.25">
      <c r="A192" s="3" t="s">
        <v>21</v>
      </c>
      <c r="B192" s="3" t="s">
        <v>33</v>
      </c>
      <c r="C192" s="3" t="s">
        <v>42</v>
      </c>
      <c r="D192" s="3" t="s">
        <v>40</v>
      </c>
      <c r="E192" s="3" t="s">
        <v>25</v>
      </c>
      <c r="F192" s="3" t="s">
        <v>60</v>
      </c>
      <c r="G192" s="3" t="s">
        <v>25</v>
      </c>
      <c r="H192" s="3" t="s">
        <v>35</v>
      </c>
      <c r="I192" s="6">
        <v>44317</v>
      </c>
      <c r="J192" s="4">
        <v>11035</v>
      </c>
      <c r="K192" s="4">
        <v>4134.4795877500001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3" t="s">
        <v>57</v>
      </c>
      <c r="R192" s="3">
        <v>0</v>
      </c>
      <c r="S192" s="3">
        <v>91</v>
      </c>
      <c r="T192" s="3">
        <v>0</v>
      </c>
      <c r="U192" s="3">
        <v>0</v>
      </c>
      <c r="V192" s="4">
        <f>IF(ISERROR(VLOOKUP($S$192,'TAR FIN'!$A$1:$O$99,15,0)),0,VLOOKUP($S$192,'TAR FIN'!$A$1:$O$99,15,0))</f>
        <v>60.2</v>
      </c>
      <c r="W192" s="4">
        <f>IF(ISERROR(VLOOKUP($T$192,'TAR FIN'!$A$1:$O$99,15,0)),0,VLOOKUP($T$192,'TAR FIN'!$A$1:$O$99,15,0))</f>
        <v>0</v>
      </c>
      <c r="X192" s="4">
        <f>IF(ISERROR(VLOOKUP($U$192,'TAR FIN'!$A$1:$O$99,15,0)),0,VLOOKUP($U$192,'TAR FIN'!$A$1:$O$99,15,0))</f>
        <v>0</v>
      </c>
      <c r="Y192" s="4">
        <f ca="1">('TUSD BE'!$AM$13+'TUSD BF'!$AM$13+'TUSD CVA'!$AM$13)*1</f>
        <v>69.255133620748211</v>
      </c>
      <c r="Z192" s="4">
        <f ca="1">('TUSD BE'!$AM$15+'TUSD BF'!$AM$15+'TUSD CVA'!$AM$15)*1</f>
        <v>117.59114529324071</v>
      </c>
      <c r="AA192" s="4"/>
      <c r="AB192" s="4">
        <f t="shared" si="10"/>
        <v>415411.32881745003</v>
      </c>
      <c r="AC192" s="4">
        <f t="shared" si="11"/>
        <v>0</v>
      </c>
      <c r="AD192" s="4">
        <f t="shared" ca="1" si="12"/>
        <v>477896.46320307429</v>
      </c>
      <c r="AE192" s="4">
        <f t="shared" ca="1" si="13"/>
        <v>0</v>
      </c>
      <c r="AF192" s="3" t="s">
        <v>950</v>
      </c>
    </row>
    <row r="193" spans="1:32" ht="11.25" customHeight="1" x14ac:dyDescent="0.25">
      <c r="A193" s="3" t="s">
        <v>21</v>
      </c>
      <c r="B193" s="3" t="s">
        <v>33</v>
      </c>
      <c r="C193" s="3" t="s">
        <v>42</v>
      </c>
      <c r="D193" s="3" t="s">
        <v>40</v>
      </c>
      <c r="E193" s="3" t="s">
        <v>25</v>
      </c>
      <c r="F193" s="3" t="s">
        <v>60</v>
      </c>
      <c r="G193" s="3" t="s">
        <v>25</v>
      </c>
      <c r="H193" s="3" t="s">
        <v>35</v>
      </c>
      <c r="I193" s="6">
        <v>44348</v>
      </c>
      <c r="J193" s="4">
        <v>11843</v>
      </c>
      <c r="K193" s="4">
        <v>4690.9999832800004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3" t="s">
        <v>57</v>
      </c>
      <c r="R193" s="3">
        <v>0</v>
      </c>
      <c r="S193" s="3">
        <v>91</v>
      </c>
      <c r="T193" s="3">
        <v>0</v>
      </c>
      <c r="U193" s="3">
        <v>0</v>
      </c>
      <c r="V193" s="4">
        <f>IF(ISERROR(VLOOKUP($S$193,'TAR FIN'!$A$1:$O$99,15,0)),0,VLOOKUP($S$193,'TAR FIN'!$A$1:$O$99,15,0))</f>
        <v>60.2</v>
      </c>
      <c r="W193" s="4">
        <f>IF(ISERROR(VLOOKUP($T$193,'TAR FIN'!$A$1:$O$99,15,0)),0,VLOOKUP($T$193,'TAR FIN'!$A$1:$O$99,15,0))</f>
        <v>0</v>
      </c>
      <c r="X193" s="4">
        <f>IF(ISERROR(VLOOKUP($U$193,'TAR FIN'!$A$1:$O$99,15,0)),0,VLOOKUP($U$193,'TAR FIN'!$A$1:$O$99,15,0))</f>
        <v>0</v>
      </c>
      <c r="Y193" s="4">
        <f ca="1">('TUSD BE'!$AM$13+'TUSD BF'!$AM$13+'TUSD CVA'!$AM$13)*1</f>
        <v>69.255133620748211</v>
      </c>
      <c r="Z193" s="4">
        <f ca="1">('TUSD BE'!$AM$15+'TUSD BF'!$AM$15+'TUSD CVA'!$AM$15)*1</f>
        <v>117.59114529324071</v>
      </c>
      <c r="AA193" s="4"/>
      <c r="AB193" s="4">
        <f t="shared" si="10"/>
        <v>430550.40100654401</v>
      </c>
      <c r="AC193" s="4">
        <f t="shared" si="11"/>
        <v>0</v>
      </c>
      <c r="AD193" s="4">
        <f t="shared" ca="1" si="12"/>
        <v>495312.716813537</v>
      </c>
      <c r="AE193" s="4">
        <f t="shared" ca="1" si="13"/>
        <v>0</v>
      </c>
      <c r="AF193" s="3" t="s">
        <v>950</v>
      </c>
    </row>
    <row r="194" spans="1:32" ht="11.25" customHeight="1" x14ac:dyDescent="0.25">
      <c r="A194" s="3" t="s">
        <v>21</v>
      </c>
      <c r="B194" s="3" t="s">
        <v>33</v>
      </c>
      <c r="C194" s="3" t="s">
        <v>42</v>
      </c>
      <c r="D194" s="3" t="s">
        <v>40</v>
      </c>
      <c r="E194" s="3" t="s">
        <v>25</v>
      </c>
      <c r="F194" s="3" t="s">
        <v>60</v>
      </c>
      <c r="G194" s="3" t="s">
        <v>25</v>
      </c>
      <c r="H194" s="3" t="s">
        <v>35</v>
      </c>
      <c r="I194" s="6">
        <v>44378</v>
      </c>
      <c r="J194" s="4">
        <v>13530</v>
      </c>
      <c r="K194" s="4">
        <v>5327.5820003999997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3" t="s">
        <v>57</v>
      </c>
      <c r="R194" s="3">
        <v>0</v>
      </c>
      <c r="S194" s="3">
        <v>91</v>
      </c>
      <c r="T194" s="3">
        <v>0</v>
      </c>
      <c r="U194" s="3">
        <v>0</v>
      </c>
      <c r="V194" s="4">
        <f>IF(ISERROR(VLOOKUP($S$194,'TAR FIN'!$A$1:$O$99,15,0)),0,VLOOKUP($S$194,'TAR FIN'!$A$1:$O$99,15,0))</f>
        <v>60.2</v>
      </c>
      <c r="W194" s="4">
        <f>IF(ISERROR(VLOOKUP($T$194,'TAR FIN'!$A$1:$O$99,15,0)),0,VLOOKUP($T$194,'TAR FIN'!$A$1:$O$99,15,0))</f>
        <v>0</v>
      </c>
      <c r="X194" s="4">
        <f>IF(ISERROR(VLOOKUP($U$194,'TAR FIN'!$A$1:$O$99,15,0)),0,VLOOKUP($U$194,'TAR FIN'!$A$1:$O$99,15,0))</f>
        <v>0</v>
      </c>
      <c r="Y194" s="4">
        <f ca="1">('TUSD BE'!$AM$13+'TUSD BF'!$AM$13+'TUSD CVA'!$AM$13)*1</f>
        <v>69.255133620748211</v>
      </c>
      <c r="Z194" s="4">
        <f ca="1">('TUSD BE'!$AM$15+'TUSD BF'!$AM$15+'TUSD CVA'!$AM$15)*1</f>
        <v>117.59114529324071</v>
      </c>
      <c r="AA194" s="4"/>
      <c r="AB194" s="4">
        <f t="shared" ref="AB194:AB257" si="14">(J194-K194)*V194</f>
        <v>493785.56357592007</v>
      </c>
      <c r="AC194" s="4">
        <f t="shared" ref="AC194:AC257" si="15">(L194-M194)*W194+(N194-O194)*X194</f>
        <v>0</v>
      </c>
      <c r="AD194" s="4">
        <f t="shared" ref="AD194:AD257" ca="1" si="16">(J194-K194)*Y194</f>
        <v>568059.55457552825</v>
      </c>
      <c r="AE194" s="4">
        <f t="shared" ref="AE194:AE257" ca="1" si="17">(L194-M194)*Z194+(N194-O194)*AA194</f>
        <v>0</v>
      </c>
      <c r="AF194" s="3" t="s">
        <v>950</v>
      </c>
    </row>
    <row r="195" spans="1:32" ht="11.25" customHeight="1" x14ac:dyDescent="0.25">
      <c r="A195" s="3" t="s">
        <v>21</v>
      </c>
      <c r="B195" s="3" t="s">
        <v>33</v>
      </c>
      <c r="C195" s="3" t="s">
        <v>42</v>
      </c>
      <c r="D195" s="3" t="s">
        <v>40</v>
      </c>
      <c r="E195" s="3" t="s">
        <v>25</v>
      </c>
      <c r="F195" s="3" t="s">
        <v>60</v>
      </c>
      <c r="G195" s="3" t="s">
        <v>25</v>
      </c>
      <c r="H195" s="3" t="s">
        <v>35</v>
      </c>
      <c r="I195" s="6">
        <v>44409</v>
      </c>
      <c r="J195" s="4">
        <v>15338</v>
      </c>
      <c r="K195" s="4">
        <v>6491.5000528199998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3" t="s">
        <v>57</v>
      </c>
      <c r="R195" s="3">
        <v>0</v>
      </c>
      <c r="S195" s="3">
        <v>91</v>
      </c>
      <c r="T195" s="3">
        <v>0</v>
      </c>
      <c r="U195" s="3">
        <v>0</v>
      </c>
      <c r="V195" s="4">
        <f>IF(ISERROR(VLOOKUP($S$195,'TAR FIN'!$A$1:$O$99,15,0)),0,VLOOKUP($S$195,'TAR FIN'!$A$1:$O$99,15,0))</f>
        <v>60.2</v>
      </c>
      <c r="W195" s="4">
        <f>IF(ISERROR(VLOOKUP($T$195,'TAR FIN'!$A$1:$O$99,15,0)),0,VLOOKUP($T$195,'TAR FIN'!$A$1:$O$99,15,0))</f>
        <v>0</v>
      </c>
      <c r="X195" s="4">
        <f>IF(ISERROR(VLOOKUP($U$195,'TAR FIN'!$A$1:$O$99,15,0)),0,VLOOKUP($U$195,'TAR FIN'!$A$1:$O$99,15,0))</f>
        <v>0</v>
      </c>
      <c r="Y195" s="4">
        <f ca="1">('TUSD BE'!$AM$13+'TUSD BF'!$AM$13+'TUSD CVA'!$AM$13)*1</f>
        <v>69.255133620748211</v>
      </c>
      <c r="Z195" s="4">
        <f ca="1">('TUSD BE'!$AM$15+'TUSD BF'!$AM$15+'TUSD CVA'!$AM$15)*1</f>
        <v>117.59114529324071</v>
      </c>
      <c r="AA195" s="4"/>
      <c r="AB195" s="4">
        <f t="shared" si="14"/>
        <v>532559.29682023602</v>
      </c>
      <c r="AC195" s="4">
        <f t="shared" si="15"/>
        <v>0</v>
      </c>
      <c r="AD195" s="4">
        <f t="shared" ca="1" si="16"/>
        <v>612665.53591789294</v>
      </c>
      <c r="AE195" s="4">
        <f t="shared" ca="1" si="17"/>
        <v>0</v>
      </c>
      <c r="AF195" s="3" t="s">
        <v>950</v>
      </c>
    </row>
    <row r="196" spans="1:32" ht="11.25" customHeight="1" x14ac:dyDescent="0.25">
      <c r="A196" s="3" t="s">
        <v>21</v>
      </c>
      <c r="B196" s="3" t="s">
        <v>33</v>
      </c>
      <c r="C196" s="3" t="s">
        <v>42</v>
      </c>
      <c r="D196" s="3" t="s">
        <v>40</v>
      </c>
      <c r="E196" s="3" t="s">
        <v>25</v>
      </c>
      <c r="F196" s="3" t="s">
        <v>60</v>
      </c>
      <c r="G196" s="3" t="s">
        <v>25</v>
      </c>
      <c r="H196" s="3" t="s">
        <v>35</v>
      </c>
      <c r="I196" s="6">
        <v>44440</v>
      </c>
      <c r="J196" s="4">
        <v>15730</v>
      </c>
      <c r="K196" s="4">
        <v>5927.4009366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3" t="s">
        <v>57</v>
      </c>
      <c r="R196" s="3">
        <v>0</v>
      </c>
      <c r="S196" s="3">
        <v>91</v>
      </c>
      <c r="T196" s="3">
        <v>0</v>
      </c>
      <c r="U196" s="3">
        <v>0</v>
      </c>
      <c r="V196" s="4">
        <f>IF(ISERROR(VLOOKUP($S$196,'TAR FIN'!$A$1:$O$99,15,0)),0,VLOOKUP($S$196,'TAR FIN'!$A$1:$O$99,15,0))</f>
        <v>60.2</v>
      </c>
      <c r="W196" s="4">
        <f>IF(ISERROR(VLOOKUP($T$196,'TAR FIN'!$A$1:$O$99,15,0)),0,VLOOKUP($T$196,'TAR FIN'!$A$1:$O$99,15,0))</f>
        <v>0</v>
      </c>
      <c r="X196" s="4">
        <f>IF(ISERROR(VLOOKUP($U$196,'TAR FIN'!$A$1:$O$99,15,0)),0,VLOOKUP($U$196,'TAR FIN'!$A$1:$O$99,15,0))</f>
        <v>0</v>
      </c>
      <c r="Y196" s="4">
        <f ca="1">('TUSD BE'!$AM$13+'TUSD BF'!$AM$13+'TUSD CVA'!$AM$13)*1</f>
        <v>69.255133620748211</v>
      </c>
      <c r="Z196" s="4">
        <f ca="1">('TUSD BE'!$AM$15+'TUSD BF'!$AM$15+'TUSD CVA'!$AM$15)*1</f>
        <v>117.59114529324071</v>
      </c>
      <c r="AA196" s="4"/>
      <c r="AB196" s="4">
        <f t="shared" si="14"/>
        <v>590116.46361668012</v>
      </c>
      <c r="AC196" s="4">
        <f t="shared" si="15"/>
        <v>0</v>
      </c>
      <c r="AD196" s="4">
        <f t="shared" ca="1" si="16"/>
        <v>678880.3079663883</v>
      </c>
      <c r="AE196" s="4">
        <f t="shared" ca="1" si="17"/>
        <v>0</v>
      </c>
      <c r="AF196" s="3" t="s">
        <v>950</v>
      </c>
    </row>
    <row r="197" spans="1:32" ht="11.25" customHeight="1" x14ac:dyDescent="0.25">
      <c r="A197" s="3" t="s">
        <v>21</v>
      </c>
      <c r="B197" s="3" t="s">
        <v>33</v>
      </c>
      <c r="C197" s="3" t="s">
        <v>42</v>
      </c>
      <c r="D197" s="3" t="s">
        <v>40</v>
      </c>
      <c r="E197" s="3" t="s">
        <v>25</v>
      </c>
      <c r="F197" s="3" t="s">
        <v>60</v>
      </c>
      <c r="G197" s="3" t="s">
        <v>25</v>
      </c>
      <c r="H197" s="3" t="s">
        <v>35</v>
      </c>
      <c r="I197" s="6">
        <v>44470</v>
      </c>
      <c r="J197" s="4">
        <v>16882</v>
      </c>
      <c r="K197" s="4">
        <v>7133.5000732999997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3" t="s">
        <v>57</v>
      </c>
      <c r="R197" s="3">
        <v>0</v>
      </c>
      <c r="S197" s="3">
        <v>91</v>
      </c>
      <c r="T197" s="3">
        <v>0</v>
      </c>
      <c r="U197" s="3">
        <v>0</v>
      </c>
      <c r="V197" s="4">
        <f>IF(ISERROR(VLOOKUP($S$197,'TAR FIN'!$A$1:$O$99,15,0)),0,VLOOKUP($S$197,'TAR FIN'!$A$1:$O$99,15,0))</f>
        <v>60.2</v>
      </c>
      <c r="W197" s="4">
        <f>IF(ISERROR(VLOOKUP($T$197,'TAR FIN'!$A$1:$O$99,15,0)),0,VLOOKUP($T$197,'TAR FIN'!$A$1:$O$99,15,0))</f>
        <v>0</v>
      </c>
      <c r="X197" s="4">
        <f>IF(ISERROR(VLOOKUP($U$197,'TAR FIN'!$A$1:$O$99,15,0)),0,VLOOKUP($U$197,'TAR FIN'!$A$1:$O$99,15,0))</f>
        <v>0</v>
      </c>
      <c r="Y197" s="4">
        <f ca="1">('TUSD BE'!$AM$13+'TUSD BF'!$AM$13+'TUSD CVA'!$AM$13)*1</f>
        <v>69.255133620748211</v>
      </c>
      <c r="Z197" s="4">
        <f ca="1">('TUSD BE'!$AM$15+'TUSD BF'!$AM$15+'TUSD CVA'!$AM$15)*1</f>
        <v>117.59114529324071</v>
      </c>
      <c r="AA197" s="4"/>
      <c r="AB197" s="4">
        <f t="shared" si="14"/>
        <v>586859.69558734004</v>
      </c>
      <c r="AC197" s="4">
        <f t="shared" si="15"/>
        <v>0</v>
      </c>
      <c r="AD197" s="4">
        <f t="shared" ca="1" si="16"/>
        <v>675133.66502546263</v>
      </c>
      <c r="AE197" s="4">
        <f t="shared" ca="1" si="17"/>
        <v>0</v>
      </c>
      <c r="AF197" s="3" t="s">
        <v>950</v>
      </c>
    </row>
    <row r="198" spans="1:32" ht="11.25" customHeight="1" x14ac:dyDescent="0.25">
      <c r="A198" s="3" t="s">
        <v>21</v>
      </c>
      <c r="B198" s="3" t="s">
        <v>33</v>
      </c>
      <c r="C198" s="3" t="s">
        <v>42</v>
      </c>
      <c r="D198" s="3" t="s">
        <v>40</v>
      </c>
      <c r="E198" s="3" t="s">
        <v>25</v>
      </c>
      <c r="F198" s="3" t="s">
        <v>60</v>
      </c>
      <c r="G198" s="3" t="s">
        <v>25</v>
      </c>
      <c r="H198" s="3" t="s">
        <v>35</v>
      </c>
      <c r="I198" s="6">
        <v>44501</v>
      </c>
      <c r="J198" s="4">
        <v>16746</v>
      </c>
      <c r="K198" s="4">
        <v>5488.6229085000004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3" t="s">
        <v>57</v>
      </c>
      <c r="R198" s="3">
        <v>0</v>
      </c>
      <c r="S198" s="3">
        <v>91</v>
      </c>
      <c r="T198" s="3">
        <v>0</v>
      </c>
      <c r="U198" s="3">
        <v>0</v>
      </c>
      <c r="V198" s="4">
        <f>IF(ISERROR(VLOOKUP($S$198,'TAR FIN'!$A$1:$O$99,15,0)),0,VLOOKUP($S$198,'TAR FIN'!$A$1:$O$99,15,0))</f>
        <v>60.2</v>
      </c>
      <c r="W198" s="4">
        <f>IF(ISERROR(VLOOKUP($T$198,'TAR FIN'!$A$1:$O$99,15,0)),0,VLOOKUP($T$198,'TAR FIN'!$A$1:$O$99,15,0))</f>
        <v>0</v>
      </c>
      <c r="X198" s="4">
        <f>IF(ISERROR(VLOOKUP($U$198,'TAR FIN'!$A$1:$O$99,15,0)),0,VLOOKUP($U$198,'TAR FIN'!$A$1:$O$99,15,0))</f>
        <v>0</v>
      </c>
      <c r="Y198" s="4">
        <f ca="1">('TUSD BE'!$AM$13+'TUSD BF'!$AM$13+'TUSD CVA'!$AM$13)*1</f>
        <v>69.255133620748211</v>
      </c>
      <c r="Z198" s="4">
        <f ca="1">('TUSD BE'!$AM$15+'TUSD BF'!$AM$15+'TUSD CVA'!$AM$15)*1</f>
        <v>117.59114529324071</v>
      </c>
      <c r="AA198" s="4"/>
      <c r="AB198" s="4">
        <f t="shared" si="14"/>
        <v>677694.10090829991</v>
      </c>
      <c r="AC198" s="4">
        <f t="shared" si="15"/>
        <v>0</v>
      </c>
      <c r="AD198" s="4">
        <f t="shared" ca="1" si="16"/>
        <v>779631.15469098231</v>
      </c>
      <c r="AE198" s="4">
        <f t="shared" ca="1" si="17"/>
        <v>0</v>
      </c>
      <c r="AF198" s="3" t="s">
        <v>950</v>
      </c>
    </row>
    <row r="199" spans="1:32" ht="11.25" customHeight="1" x14ac:dyDescent="0.25">
      <c r="A199" s="3" t="s">
        <v>21</v>
      </c>
      <c r="B199" s="3" t="s">
        <v>33</v>
      </c>
      <c r="C199" s="3" t="s">
        <v>42</v>
      </c>
      <c r="D199" s="3" t="s">
        <v>40</v>
      </c>
      <c r="E199" s="3" t="s">
        <v>25</v>
      </c>
      <c r="F199" s="3" t="s">
        <v>60</v>
      </c>
      <c r="G199" s="3" t="s">
        <v>25</v>
      </c>
      <c r="H199" s="3" t="s">
        <v>35</v>
      </c>
      <c r="I199" s="6">
        <v>44531</v>
      </c>
      <c r="J199" s="4">
        <v>17504</v>
      </c>
      <c r="K199" s="4">
        <v>6839.5000070400001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3" t="s">
        <v>57</v>
      </c>
      <c r="R199" s="3">
        <v>0</v>
      </c>
      <c r="S199" s="3">
        <v>91</v>
      </c>
      <c r="T199" s="3">
        <v>0</v>
      </c>
      <c r="U199" s="3">
        <v>0</v>
      </c>
      <c r="V199" s="4">
        <f>IF(ISERROR(VLOOKUP($S$199,'TAR FIN'!$A$1:$O$99,15,0)),0,VLOOKUP($S$199,'TAR FIN'!$A$1:$O$99,15,0))</f>
        <v>60.2</v>
      </c>
      <c r="W199" s="4">
        <f>IF(ISERROR(VLOOKUP($T$199,'TAR FIN'!$A$1:$O$99,15,0)),0,VLOOKUP($T$199,'TAR FIN'!$A$1:$O$99,15,0))</f>
        <v>0</v>
      </c>
      <c r="X199" s="4">
        <f>IF(ISERROR(VLOOKUP($U$199,'TAR FIN'!$A$1:$O$99,15,0)),0,VLOOKUP($U$199,'TAR FIN'!$A$1:$O$99,15,0))</f>
        <v>0</v>
      </c>
      <c r="Y199" s="4">
        <f ca="1">('TUSD BE'!$AM$13+'TUSD BF'!$AM$13+'TUSD CVA'!$AM$13)*1</f>
        <v>69.255133620748211</v>
      </c>
      <c r="Z199" s="4">
        <f ca="1">('TUSD BE'!$AM$15+'TUSD BF'!$AM$15+'TUSD CVA'!$AM$15)*1</f>
        <v>117.59114529324071</v>
      </c>
      <c r="AA199" s="4"/>
      <c r="AB199" s="4">
        <f t="shared" si="14"/>
        <v>642002.89957619202</v>
      </c>
      <c r="AC199" s="4">
        <f t="shared" si="15"/>
        <v>0</v>
      </c>
      <c r="AD199" s="4">
        <f t="shared" ca="1" si="16"/>
        <v>738571.3720109131</v>
      </c>
      <c r="AE199" s="4">
        <f t="shared" ca="1" si="17"/>
        <v>0</v>
      </c>
      <c r="AF199" s="3" t="s">
        <v>950</v>
      </c>
    </row>
    <row r="200" spans="1:32" ht="11.25" customHeight="1" x14ac:dyDescent="0.25">
      <c r="A200" s="3" t="s">
        <v>21</v>
      </c>
      <c r="B200" s="3" t="s">
        <v>33</v>
      </c>
      <c r="C200" s="3" t="s">
        <v>42</v>
      </c>
      <c r="D200" s="3" t="s">
        <v>40</v>
      </c>
      <c r="E200" s="3" t="s">
        <v>25</v>
      </c>
      <c r="F200" s="3" t="s">
        <v>60</v>
      </c>
      <c r="G200" s="3" t="s">
        <v>25</v>
      </c>
      <c r="H200" s="3" t="s">
        <v>35</v>
      </c>
      <c r="I200" s="6">
        <v>44562</v>
      </c>
      <c r="J200" s="4">
        <v>17596</v>
      </c>
      <c r="K200" s="4">
        <v>7490.5000106400003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3" t="s">
        <v>57</v>
      </c>
      <c r="R200" s="3">
        <v>0</v>
      </c>
      <c r="S200" s="3">
        <v>91</v>
      </c>
      <c r="T200" s="3">
        <v>0</v>
      </c>
      <c r="U200" s="3">
        <v>0</v>
      </c>
      <c r="V200" s="4">
        <f>IF(ISERROR(VLOOKUP($S$200,'TAR FIN'!$A$1:$O$99,15,0)),0,VLOOKUP($S$200,'TAR FIN'!$A$1:$O$99,15,0))</f>
        <v>60.2</v>
      </c>
      <c r="W200" s="4">
        <f>IF(ISERROR(VLOOKUP($T$200,'TAR FIN'!$A$1:$O$99,15,0)),0,VLOOKUP($T$200,'TAR FIN'!$A$1:$O$99,15,0))</f>
        <v>0</v>
      </c>
      <c r="X200" s="4">
        <f>IF(ISERROR(VLOOKUP($U$200,'TAR FIN'!$A$1:$O$99,15,0)),0,VLOOKUP($U$200,'TAR FIN'!$A$1:$O$99,15,0))</f>
        <v>0</v>
      </c>
      <c r="Y200" s="4">
        <f ca="1">('TUSD BE'!$AM$13+'TUSD BF'!$AM$13+'TUSD CVA'!$AM$13)*1</f>
        <v>69.255133620748211</v>
      </c>
      <c r="Z200" s="4">
        <f ca="1">('TUSD BE'!$AM$15+'TUSD BF'!$AM$15+'TUSD CVA'!$AM$15)*1</f>
        <v>117.59114529324071</v>
      </c>
      <c r="AA200" s="4"/>
      <c r="AB200" s="4">
        <f t="shared" si="14"/>
        <v>608351.09935947205</v>
      </c>
      <c r="AC200" s="4">
        <f t="shared" si="15"/>
        <v>0</v>
      </c>
      <c r="AD200" s="4">
        <f t="shared" ca="1" si="16"/>
        <v>699857.75206759642</v>
      </c>
      <c r="AE200" s="4">
        <f t="shared" ca="1" si="17"/>
        <v>0</v>
      </c>
      <c r="AF200" s="3" t="s">
        <v>950</v>
      </c>
    </row>
    <row r="201" spans="1:32" ht="11.25" customHeight="1" x14ac:dyDescent="0.25">
      <c r="A201" s="3" t="s">
        <v>21</v>
      </c>
      <c r="B201" s="3" t="s">
        <v>33</v>
      </c>
      <c r="C201" s="3" t="s">
        <v>42</v>
      </c>
      <c r="D201" s="3" t="s">
        <v>40</v>
      </c>
      <c r="E201" s="3" t="s">
        <v>25</v>
      </c>
      <c r="F201" s="3" t="s">
        <v>60</v>
      </c>
      <c r="G201" s="3" t="s">
        <v>25</v>
      </c>
      <c r="H201" s="3" t="s">
        <v>35</v>
      </c>
      <c r="I201" s="6">
        <v>44593</v>
      </c>
      <c r="J201" s="4">
        <v>18083</v>
      </c>
      <c r="K201" s="4">
        <v>7734.00000516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3" t="s">
        <v>57</v>
      </c>
      <c r="R201" s="3">
        <v>0</v>
      </c>
      <c r="S201" s="3">
        <v>91</v>
      </c>
      <c r="T201" s="3">
        <v>0</v>
      </c>
      <c r="U201" s="3">
        <v>0</v>
      </c>
      <c r="V201" s="4">
        <f>IF(ISERROR(VLOOKUP($S$201,'TAR FIN'!$A$1:$O$99,15,0)),0,VLOOKUP($S$201,'TAR FIN'!$A$1:$O$99,15,0))</f>
        <v>60.2</v>
      </c>
      <c r="W201" s="4">
        <f>IF(ISERROR(VLOOKUP($T$201,'TAR FIN'!$A$1:$O$99,15,0)),0,VLOOKUP($T$201,'TAR FIN'!$A$1:$O$99,15,0))</f>
        <v>0</v>
      </c>
      <c r="X201" s="4">
        <f>IF(ISERROR(VLOOKUP($U$201,'TAR FIN'!$A$1:$O$99,15,0)),0,VLOOKUP($U$201,'TAR FIN'!$A$1:$O$99,15,0))</f>
        <v>0</v>
      </c>
      <c r="Y201" s="4">
        <f ca="1">('TUSD BE'!$AM$13+'TUSD BF'!$AM$13+'TUSD CVA'!$AM$13)*1</f>
        <v>69.255133620748211</v>
      </c>
      <c r="Z201" s="4">
        <f ca="1">('TUSD BE'!$AM$15+'TUSD BF'!$AM$15+'TUSD CVA'!$AM$15)*1</f>
        <v>117.59114529324071</v>
      </c>
      <c r="AA201" s="4"/>
      <c r="AB201" s="4">
        <f t="shared" si="14"/>
        <v>623009.799689368</v>
      </c>
      <c r="AC201" s="4">
        <f t="shared" si="15"/>
        <v>0</v>
      </c>
      <c r="AD201" s="4">
        <f t="shared" ca="1" si="16"/>
        <v>716721.37748376676</v>
      </c>
      <c r="AE201" s="4">
        <f t="shared" ca="1" si="17"/>
        <v>0</v>
      </c>
      <c r="AF201" s="3" t="s">
        <v>950</v>
      </c>
    </row>
    <row r="202" spans="1:32" ht="11.25" customHeight="1" x14ac:dyDescent="0.25">
      <c r="A202" s="3" t="s">
        <v>21</v>
      </c>
      <c r="B202" s="3" t="s">
        <v>33</v>
      </c>
      <c r="C202" s="3" t="s">
        <v>42</v>
      </c>
      <c r="D202" s="3" t="s">
        <v>40</v>
      </c>
      <c r="E202" s="3" t="s">
        <v>25</v>
      </c>
      <c r="F202" s="3" t="s">
        <v>60</v>
      </c>
      <c r="G202" s="3" t="s">
        <v>25</v>
      </c>
      <c r="H202" s="3" t="s">
        <v>35</v>
      </c>
      <c r="I202" s="6">
        <v>44621</v>
      </c>
      <c r="J202" s="4">
        <v>18973</v>
      </c>
      <c r="K202" s="4">
        <v>8178.9999904400001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3" t="s">
        <v>57</v>
      </c>
      <c r="R202" s="3">
        <v>0</v>
      </c>
      <c r="S202" s="3">
        <v>91</v>
      </c>
      <c r="T202" s="3">
        <v>0</v>
      </c>
      <c r="U202" s="3">
        <v>0</v>
      </c>
      <c r="V202" s="4">
        <f>IF(ISERROR(VLOOKUP($S$202,'TAR FIN'!$A$1:$O$99,15,0)),0,VLOOKUP($S$202,'TAR FIN'!$A$1:$O$99,15,0))</f>
        <v>60.2</v>
      </c>
      <c r="W202" s="4">
        <f>IF(ISERROR(VLOOKUP($T$202,'TAR FIN'!$A$1:$O$99,15,0)),0,VLOOKUP($T$202,'TAR FIN'!$A$1:$O$99,15,0))</f>
        <v>0</v>
      </c>
      <c r="X202" s="4">
        <f>IF(ISERROR(VLOOKUP($U$202,'TAR FIN'!$A$1:$O$99,15,0)),0,VLOOKUP($U$202,'TAR FIN'!$A$1:$O$99,15,0))</f>
        <v>0</v>
      </c>
      <c r="Y202" s="4">
        <f ca="1">('TUSD BE'!$AM$13+'TUSD BF'!$AM$13+'TUSD CVA'!$AM$13)*1</f>
        <v>69.255133620748211</v>
      </c>
      <c r="Z202" s="4">
        <f ca="1">('TUSD BE'!$AM$15+'TUSD BF'!$AM$15+'TUSD CVA'!$AM$15)*1</f>
        <v>117.59114529324071</v>
      </c>
      <c r="AA202" s="4"/>
      <c r="AB202" s="4">
        <f t="shared" si="14"/>
        <v>649798.80057551211</v>
      </c>
      <c r="AC202" s="4">
        <f t="shared" si="15"/>
        <v>0</v>
      </c>
      <c r="AD202" s="4">
        <f t="shared" ca="1" si="16"/>
        <v>747539.91296443529</v>
      </c>
      <c r="AE202" s="4">
        <f t="shared" ca="1" si="17"/>
        <v>0</v>
      </c>
      <c r="AF202" s="3" t="s">
        <v>950</v>
      </c>
    </row>
    <row r="203" spans="1:32" ht="11.25" customHeight="1" x14ac:dyDescent="0.25">
      <c r="A203" s="3" t="s">
        <v>56</v>
      </c>
      <c r="B203" s="3" t="s">
        <v>33</v>
      </c>
      <c r="C203" s="3" t="s">
        <v>42</v>
      </c>
      <c r="D203" s="3" t="s">
        <v>40</v>
      </c>
      <c r="E203" s="3" t="s">
        <v>25</v>
      </c>
      <c r="F203" s="3" t="s">
        <v>60</v>
      </c>
      <c r="G203" s="3" t="s">
        <v>25</v>
      </c>
      <c r="H203" s="3" t="s">
        <v>35</v>
      </c>
      <c r="I203" s="6">
        <v>44652</v>
      </c>
      <c r="J203" s="4">
        <v>18973</v>
      </c>
      <c r="K203" s="4">
        <v>8178.9999904400001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3" t="s">
        <v>57</v>
      </c>
      <c r="R203" s="3">
        <v>0</v>
      </c>
      <c r="S203" s="3">
        <v>91</v>
      </c>
      <c r="T203" s="3">
        <v>0</v>
      </c>
      <c r="U203" s="3">
        <v>0</v>
      </c>
      <c r="V203" s="4">
        <f>IF(ISERROR(VLOOKUP($S$203,'TAR FIN'!$A$1:$O$99,15,0)),0,VLOOKUP($S$203,'TAR FIN'!$A$1:$O$99,15,0))</f>
        <v>60.2</v>
      </c>
      <c r="W203" s="4">
        <f>IF(ISERROR(VLOOKUP($T$203,'TAR FIN'!$A$1:$O$99,15,0)),0,VLOOKUP($T$203,'TAR FIN'!$A$1:$O$99,15,0))</f>
        <v>0</v>
      </c>
      <c r="X203" s="4">
        <f>IF(ISERROR(VLOOKUP($U$203,'TAR FIN'!$A$1:$O$99,15,0)),0,VLOOKUP($U$203,'TAR FIN'!$A$1:$O$99,15,0))</f>
        <v>0</v>
      </c>
      <c r="Y203" s="4">
        <f ca="1">('TUSD BE'!$AM$13+'TUSD BF'!$AM$13+'TUSD CVA'!$AM$13)*1</f>
        <v>69.255133620748211</v>
      </c>
      <c r="Z203" s="4">
        <f ca="1">('TUSD BE'!$AM$15+'TUSD BF'!$AM$15+'TUSD CVA'!$AM$15)*1</f>
        <v>117.59114529324071</v>
      </c>
      <c r="AA203" s="4"/>
      <c r="AB203" s="4">
        <f t="shared" si="14"/>
        <v>649798.80057551211</v>
      </c>
      <c r="AC203" s="4">
        <f t="shared" si="15"/>
        <v>0</v>
      </c>
      <c r="AD203" s="4">
        <f t="shared" ca="1" si="16"/>
        <v>747539.91296443529</v>
      </c>
      <c r="AE203" s="4">
        <f t="shared" ca="1" si="17"/>
        <v>0</v>
      </c>
      <c r="AF203" s="3" t="s">
        <v>950</v>
      </c>
    </row>
    <row r="204" spans="1:32" ht="11.25" customHeight="1" x14ac:dyDescent="0.25">
      <c r="A204" s="3" t="s">
        <v>21</v>
      </c>
      <c r="B204" s="3" t="s">
        <v>33</v>
      </c>
      <c r="C204" s="3" t="s">
        <v>42</v>
      </c>
      <c r="D204" s="3" t="s">
        <v>50</v>
      </c>
      <c r="E204" s="3" t="s">
        <v>51</v>
      </c>
      <c r="F204" s="3" t="s">
        <v>25</v>
      </c>
      <c r="G204" s="3" t="s">
        <v>25</v>
      </c>
      <c r="H204" s="3" t="s">
        <v>36</v>
      </c>
      <c r="I204" s="6">
        <v>44317</v>
      </c>
      <c r="J204" s="4">
        <v>20470</v>
      </c>
      <c r="K204" s="71">
        <v>20470</v>
      </c>
      <c r="L204" s="4">
        <v>10577.843000000001</v>
      </c>
      <c r="M204" s="70">
        <v>10577.843000000001</v>
      </c>
      <c r="N204" s="4">
        <v>10577.843000000001</v>
      </c>
      <c r="O204" s="70">
        <v>10577.843000000001</v>
      </c>
      <c r="P204" s="4">
        <v>0</v>
      </c>
      <c r="Q204" s="3" t="s">
        <v>26</v>
      </c>
      <c r="R204" s="3">
        <v>0</v>
      </c>
      <c r="S204" s="3">
        <v>87</v>
      </c>
      <c r="T204" s="3">
        <v>88</v>
      </c>
      <c r="U204" s="3">
        <v>73</v>
      </c>
      <c r="V204" s="70">
        <f>IF(ISERROR(VLOOKUP($S$204,'TAR FIN'!$A$1:$O$99,15,0)),0,VLOOKUP($S$204,'TAR FIN'!$A$1:$O$99,15,0))*(1-0.06)</f>
        <v>20.539000000000001</v>
      </c>
      <c r="W204" s="70">
        <f>IF(ISERROR(VLOOKUP($T$204,'TAR FIN'!$A$1:$O$99,15,0)),0,VLOOKUP($T$204,'TAR FIN'!$A$1:$O$99,15,0))*(1-0.06)</f>
        <v>91.753399999999999</v>
      </c>
      <c r="X204" s="70">
        <f>IF(ISERROR(VLOOKUP($U$204,'TAR FIN'!$A$1:$O$99,15,0)),0,VLOOKUP($U$204,'TAR FIN'!$A$1:$O$99,15,0))*(1-0.06)</f>
        <v>206.77179999999998</v>
      </c>
      <c r="Y204" s="70">
        <f ca="1">('TUSD BE'!$AM$14+'TUSD BF'!$AM$14+'TUSD CVA'!$AM$14)*1*(1-0.03)</f>
        <v>23.929316856639257</v>
      </c>
      <c r="Z204" s="70">
        <f ca="1">('TUSD BE'!$AM$15+'TUSD BF'!$AM$15+'TUSD CVA'!$AM$15)*1*(1-0.03)</f>
        <v>114.0634109344435</v>
      </c>
      <c r="AA204" s="70">
        <f>('TE BE'!$AA$8+'TE BF'!$AA$8+'TE CVA'!$AA$8)*1*(1-0.03)</f>
        <v>263.00493660044975</v>
      </c>
      <c r="AB204" s="70">
        <f>(SUBSIDIO!$J$204*SUBSIDIO!$V$204)*(0.06)/(1-0.06)</f>
        <v>26836.170000000002</v>
      </c>
      <c r="AC204" s="70">
        <f>((SUBSIDIO!$L$204*SUBSIDIO!$W$204)+(SUBSIDIO!$N$204*SUBSIDIO!$X$204))*(0.06)/(1-0.06)</f>
        <v>201558.68279640004</v>
      </c>
      <c r="AD204" s="70">
        <f ca="1">(SUBSIDIO!$J$204*SUBSIDIO!$Y$204)*(0.03)/(1-0.03)</f>
        <v>15149.477816146564</v>
      </c>
      <c r="AE204" s="70">
        <f ca="1">((SUBSIDIO!$L$204*SUBSIDIO!$Z$204)+(SUBSIDIO!$N$204*SUBSIDIO!$AA$204))*(0.03)/(1-0.03)</f>
        <v>123357.82826268674</v>
      </c>
      <c r="AF204" s="3" t="s">
        <v>953</v>
      </c>
    </row>
    <row r="205" spans="1:32" ht="11.25" customHeight="1" x14ac:dyDescent="0.25">
      <c r="A205" s="3" t="s">
        <v>21</v>
      </c>
      <c r="B205" s="3" t="s">
        <v>33</v>
      </c>
      <c r="C205" s="3" t="s">
        <v>42</v>
      </c>
      <c r="D205" s="3" t="s">
        <v>50</v>
      </c>
      <c r="E205" s="3" t="s">
        <v>51</v>
      </c>
      <c r="F205" s="3" t="s">
        <v>25</v>
      </c>
      <c r="G205" s="3" t="s">
        <v>25</v>
      </c>
      <c r="H205" s="3" t="s">
        <v>36</v>
      </c>
      <c r="I205" s="6">
        <v>44348</v>
      </c>
      <c r="J205" s="4">
        <v>20341</v>
      </c>
      <c r="K205" s="71">
        <v>20341</v>
      </c>
      <c r="L205" s="4">
        <v>10061.18</v>
      </c>
      <c r="M205" s="70">
        <v>10061.18</v>
      </c>
      <c r="N205" s="4">
        <v>10061.18</v>
      </c>
      <c r="O205" s="70">
        <v>10061.18</v>
      </c>
      <c r="P205" s="4">
        <v>0</v>
      </c>
      <c r="Q205" s="3" t="s">
        <v>26</v>
      </c>
      <c r="R205" s="3">
        <v>0</v>
      </c>
      <c r="S205" s="3">
        <v>87</v>
      </c>
      <c r="T205" s="3">
        <v>88</v>
      </c>
      <c r="U205" s="3">
        <v>73</v>
      </c>
      <c r="V205" s="70">
        <f>IF(ISERROR(VLOOKUP($S$205,'TAR FIN'!$A$1:$O$99,15,0)),0,VLOOKUP($S$205,'TAR FIN'!$A$1:$O$99,15,0))*(1-0.06)</f>
        <v>20.539000000000001</v>
      </c>
      <c r="W205" s="70">
        <f>IF(ISERROR(VLOOKUP($T$205,'TAR FIN'!$A$1:$O$99,15,0)),0,VLOOKUP($T$205,'TAR FIN'!$A$1:$O$99,15,0))*(1-0.06)</f>
        <v>91.753399999999999</v>
      </c>
      <c r="X205" s="70">
        <f>IF(ISERROR(VLOOKUP($U$205,'TAR FIN'!$A$1:$O$99,15,0)),0,VLOOKUP($U$205,'TAR FIN'!$A$1:$O$99,15,0))*(1-0.06)</f>
        <v>206.77179999999998</v>
      </c>
      <c r="Y205" s="70">
        <f ca="1">('TUSD BE'!$AM$14+'TUSD BF'!$AM$14+'TUSD CVA'!$AM$14)*1*(1-0.03)</f>
        <v>23.929316856639257</v>
      </c>
      <c r="Z205" s="70">
        <f ca="1">('TUSD BE'!$AM$15+'TUSD BF'!$AM$15+'TUSD CVA'!$AM$15)*1*(1-0.03)</f>
        <v>114.0634109344435</v>
      </c>
      <c r="AA205" s="70">
        <f>('TE BE'!$AA$8+'TE BF'!$AA$8+'TE CVA'!$AA$8)*1*(1-0.03)</f>
        <v>263.00493660044975</v>
      </c>
      <c r="AB205" s="70">
        <f>(SUBSIDIO!$J$205*SUBSIDIO!$V$205)*(0.06)/(1-0.06)</f>
        <v>26667.051000000007</v>
      </c>
      <c r="AC205" s="70">
        <f>((SUBSIDIO!$L$205*SUBSIDIO!$W$205)+(SUBSIDIO!$N$205*SUBSIDIO!$X$205))*(0.06)/(1-0.06)</f>
        <v>191713.77266399999</v>
      </c>
      <c r="AD205" s="70">
        <f ca="1">(SUBSIDIO!$J$205*SUBSIDIO!$Y$205)*(0.03)/(1-0.03)</f>
        <v>15054.007242708221</v>
      </c>
      <c r="AE205" s="70">
        <f ca="1">((SUBSIDIO!$L$205*SUBSIDIO!$Z$205)+(SUBSIDIO!$N$205*SUBSIDIO!$AA$205))*(0.03)/(1-0.03)</f>
        <v>117332.55206756035</v>
      </c>
      <c r="AF205" s="3" t="s">
        <v>953</v>
      </c>
    </row>
    <row r="206" spans="1:32" ht="11.25" customHeight="1" x14ac:dyDescent="0.25">
      <c r="A206" s="3" t="s">
        <v>21</v>
      </c>
      <c r="B206" s="3" t="s">
        <v>33</v>
      </c>
      <c r="C206" s="3" t="s">
        <v>42</v>
      </c>
      <c r="D206" s="3" t="s">
        <v>50</v>
      </c>
      <c r="E206" s="3" t="s">
        <v>51</v>
      </c>
      <c r="F206" s="3" t="s">
        <v>25</v>
      </c>
      <c r="G206" s="3" t="s">
        <v>25</v>
      </c>
      <c r="H206" s="3" t="s">
        <v>36</v>
      </c>
      <c r="I206" s="6">
        <v>44378</v>
      </c>
      <c r="J206" s="4">
        <v>19650</v>
      </c>
      <c r="K206" s="71">
        <v>19650</v>
      </c>
      <c r="L206" s="4">
        <v>10526.98</v>
      </c>
      <c r="M206" s="70">
        <v>10526.98</v>
      </c>
      <c r="N206" s="4">
        <v>10526.98</v>
      </c>
      <c r="O206" s="70">
        <v>10526.98</v>
      </c>
      <c r="P206" s="4">
        <v>0</v>
      </c>
      <c r="Q206" s="3" t="s">
        <v>26</v>
      </c>
      <c r="R206" s="3">
        <v>0</v>
      </c>
      <c r="S206" s="3">
        <v>87</v>
      </c>
      <c r="T206" s="3">
        <v>88</v>
      </c>
      <c r="U206" s="3">
        <v>73</v>
      </c>
      <c r="V206" s="70">
        <f>IF(ISERROR(VLOOKUP($S$206,'TAR FIN'!$A$1:$O$99,15,0)),0,VLOOKUP($S$206,'TAR FIN'!$A$1:$O$99,15,0))*(1-0.06)</f>
        <v>20.539000000000001</v>
      </c>
      <c r="W206" s="70">
        <f>IF(ISERROR(VLOOKUP($T$206,'TAR FIN'!$A$1:$O$99,15,0)),0,VLOOKUP($T$206,'TAR FIN'!$A$1:$O$99,15,0))*(1-0.06)</f>
        <v>91.753399999999999</v>
      </c>
      <c r="X206" s="70">
        <f>IF(ISERROR(VLOOKUP($U$206,'TAR FIN'!$A$1:$O$99,15,0)),0,VLOOKUP($U$206,'TAR FIN'!$A$1:$O$99,15,0))*(1-0.06)</f>
        <v>206.77179999999998</v>
      </c>
      <c r="Y206" s="70">
        <f ca="1">('TUSD BE'!$AM$14+'TUSD BF'!$AM$14+'TUSD CVA'!$AM$14)*1*(1-0.03)</f>
        <v>23.929316856639257</v>
      </c>
      <c r="Z206" s="70">
        <f ca="1">('TUSD BE'!$AM$15+'TUSD BF'!$AM$15+'TUSD CVA'!$AM$15)*1*(1-0.03)</f>
        <v>114.0634109344435</v>
      </c>
      <c r="AA206" s="70">
        <f>('TE BE'!$AA$8+'TE BF'!$AA$8+'TE CVA'!$AA$8)*1*(1-0.03)</f>
        <v>263.00493660044975</v>
      </c>
      <c r="AB206" s="70">
        <f>(SUBSIDIO!$J$206*SUBSIDIO!$V$206)*(0.06)/(1-0.06)</f>
        <v>25761.15</v>
      </c>
      <c r="AC206" s="70">
        <f>((SUBSIDIO!$L$206*SUBSIDIO!$W$206)+(SUBSIDIO!$N$206*SUBSIDIO!$X$206))*(0.06)/(1-0.06)</f>
        <v>200589.49850399999</v>
      </c>
      <c r="AD206" s="70">
        <f ca="1">(SUBSIDIO!$J$206*SUBSIDIO!$Y$206)*(0.03)/(1-0.03)</f>
        <v>14542.610605143136</v>
      </c>
      <c r="AE206" s="70">
        <f ca="1">((SUBSIDIO!$L$206*SUBSIDIO!$Z$206)+(SUBSIDIO!$N$206*SUBSIDIO!$AA$206))*(0.03)/(1-0.03)</f>
        <v>122764.66865359394</v>
      </c>
      <c r="AF206" s="3" t="s">
        <v>953</v>
      </c>
    </row>
    <row r="207" spans="1:32" ht="11.25" customHeight="1" x14ac:dyDescent="0.25">
      <c r="A207" s="3" t="s">
        <v>21</v>
      </c>
      <c r="B207" s="3" t="s">
        <v>33</v>
      </c>
      <c r="C207" s="3" t="s">
        <v>42</v>
      </c>
      <c r="D207" s="3" t="s">
        <v>50</v>
      </c>
      <c r="E207" s="3" t="s">
        <v>51</v>
      </c>
      <c r="F207" s="3" t="s">
        <v>25</v>
      </c>
      <c r="G207" s="3" t="s">
        <v>25</v>
      </c>
      <c r="H207" s="3" t="s">
        <v>36</v>
      </c>
      <c r="I207" s="6">
        <v>44409</v>
      </c>
      <c r="J207" s="4">
        <v>20326</v>
      </c>
      <c r="K207" s="71">
        <v>20326</v>
      </c>
      <c r="L207" s="4">
        <v>10516.733</v>
      </c>
      <c r="M207" s="70">
        <v>10516.733</v>
      </c>
      <c r="N207" s="4">
        <v>10516.733</v>
      </c>
      <c r="O207" s="70">
        <v>10516.733</v>
      </c>
      <c r="P207" s="4">
        <v>0</v>
      </c>
      <c r="Q207" s="3" t="s">
        <v>26</v>
      </c>
      <c r="R207" s="3">
        <v>0</v>
      </c>
      <c r="S207" s="3">
        <v>87</v>
      </c>
      <c r="T207" s="3">
        <v>88</v>
      </c>
      <c r="U207" s="3">
        <v>73</v>
      </c>
      <c r="V207" s="70">
        <f>IF(ISERROR(VLOOKUP($S$207,'TAR FIN'!$A$1:$O$99,15,0)),0,VLOOKUP($S$207,'TAR FIN'!$A$1:$O$99,15,0))*(1-0.06)</f>
        <v>20.539000000000001</v>
      </c>
      <c r="W207" s="70">
        <f>IF(ISERROR(VLOOKUP($T$207,'TAR FIN'!$A$1:$O$99,15,0)),0,VLOOKUP($T$207,'TAR FIN'!$A$1:$O$99,15,0))*(1-0.06)</f>
        <v>91.753399999999999</v>
      </c>
      <c r="X207" s="70">
        <f>IF(ISERROR(VLOOKUP($U$207,'TAR FIN'!$A$1:$O$99,15,0)),0,VLOOKUP($U$207,'TAR FIN'!$A$1:$O$99,15,0))*(1-0.06)</f>
        <v>206.77179999999998</v>
      </c>
      <c r="Y207" s="70">
        <f ca="1">('TUSD BE'!$AM$14+'TUSD BF'!$AM$14+'TUSD CVA'!$AM$14)*1*(1-0.03)</f>
        <v>23.929316856639257</v>
      </c>
      <c r="Z207" s="70">
        <f ca="1">('TUSD BE'!$AM$15+'TUSD BF'!$AM$15+'TUSD CVA'!$AM$15)*1*(1-0.03)</f>
        <v>114.0634109344435</v>
      </c>
      <c r="AA207" s="70">
        <f>('TE BE'!$AA$8+'TE BF'!$AA$8+'TE CVA'!$AA$8)*1*(1-0.03)</f>
        <v>263.00493660044975</v>
      </c>
      <c r="AB207" s="70">
        <f>(SUBSIDIO!$J$207*SUBSIDIO!$V$207)*(0.06)/(1-0.06)</f>
        <v>26647.386000000002</v>
      </c>
      <c r="AC207" s="70">
        <f>((SUBSIDIO!$L$207*SUBSIDIO!$W$207)+(SUBSIDIO!$N$207*SUBSIDIO!$X$207))*(0.06)/(1-0.06)</f>
        <v>200394.24396840003</v>
      </c>
      <c r="AD207" s="70">
        <f ca="1">(SUBSIDIO!$J$207*SUBSIDIO!$Y$207)*(0.03)/(1-0.03)</f>
        <v>15042.906013238644</v>
      </c>
      <c r="AE207" s="70">
        <f ca="1">((SUBSIDIO!$L$207*SUBSIDIO!$Z$207)+(SUBSIDIO!$N$207*SUBSIDIO!$AA$207))*(0.03)/(1-0.03)</f>
        <v>122645.16908584579</v>
      </c>
      <c r="AF207" s="3" t="s">
        <v>953</v>
      </c>
    </row>
    <row r="208" spans="1:32" ht="11.25" customHeight="1" x14ac:dyDescent="0.25">
      <c r="A208" s="3" t="s">
        <v>21</v>
      </c>
      <c r="B208" s="3" t="s">
        <v>33</v>
      </c>
      <c r="C208" s="3" t="s">
        <v>42</v>
      </c>
      <c r="D208" s="3" t="s">
        <v>50</v>
      </c>
      <c r="E208" s="3" t="s">
        <v>51</v>
      </c>
      <c r="F208" s="3" t="s">
        <v>25</v>
      </c>
      <c r="G208" s="3" t="s">
        <v>25</v>
      </c>
      <c r="H208" s="3" t="s">
        <v>36</v>
      </c>
      <c r="I208" s="6">
        <v>44440</v>
      </c>
      <c r="J208" s="4">
        <v>20296</v>
      </c>
      <c r="K208" s="71">
        <v>20296</v>
      </c>
      <c r="L208" s="4">
        <v>10032.277</v>
      </c>
      <c r="M208" s="70">
        <v>10032.277</v>
      </c>
      <c r="N208" s="4">
        <v>10032.277</v>
      </c>
      <c r="O208" s="70">
        <v>10032.277</v>
      </c>
      <c r="P208" s="4">
        <v>0</v>
      </c>
      <c r="Q208" s="3" t="s">
        <v>26</v>
      </c>
      <c r="R208" s="3">
        <v>0</v>
      </c>
      <c r="S208" s="3">
        <v>87</v>
      </c>
      <c r="T208" s="3">
        <v>88</v>
      </c>
      <c r="U208" s="3">
        <v>73</v>
      </c>
      <c r="V208" s="70">
        <f>IF(ISERROR(VLOOKUP($S$208,'TAR FIN'!$A$1:$O$99,15,0)),0,VLOOKUP($S$208,'TAR FIN'!$A$1:$O$99,15,0))*(1-0.06)</f>
        <v>20.539000000000001</v>
      </c>
      <c r="W208" s="70">
        <f>IF(ISERROR(VLOOKUP($T$208,'TAR FIN'!$A$1:$O$99,15,0)),0,VLOOKUP($T$208,'TAR FIN'!$A$1:$O$99,15,0))*(1-0.06)</f>
        <v>91.753399999999999</v>
      </c>
      <c r="X208" s="70">
        <f>IF(ISERROR(VLOOKUP($U$208,'TAR FIN'!$A$1:$O$99,15,0)),0,VLOOKUP($U$208,'TAR FIN'!$A$1:$O$99,15,0))*(1-0.06)</f>
        <v>206.77179999999998</v>
      </c>
      <c r="Y208" s="70">
        <f ca="1">('TUSD BE'!$AM$14+'TUSD BF'!$AM$14+'TUSD CVA'!$AM$14)*1*(1-0.03)</f>
        <v>23.929316856639257</v>
      </c>
      <c r="Z208" s="70">
        <f ca="1">('TUSD BE'!$AM$15+'TUSD BF'!$AM$15+'TUSD CVA'!$AM$15)*1*(1-0.03)</f>
        <v>114.0634109344435</v>
      </c>
      <c r="AA208" s="70">
        <f>('TE BE'!$AA$8+'TE BF'!$AA$8+'TE CVA'!$AA$8)*1*(1-0.03)</f>
        <v>263.00493660044975</v>
      </c>
      <c r="AB208" s="70">
        <f>(SUBSIDIO!$J$208*SUBSIDIO!$V$208)*(0.06)/(1-0.06)</f>
        <v>26608.056000000004</v>
      </c>
      <c r="AC208" s="70">
        <f>((SUBSIDIO!$L$208*SUBSIDIO!$W$208)+(SUBSIDIO!$N$208*SUBSIDIO!$X$208))*(0.06)/(1-0.06)</f>
        <v>191163.03177960002</v>
      </c>
      <c r="AD208" s="70">
        <f ca="1">(SUBSIDIO!$J$208*SUBSIDIO!$Y$208)*(0.03)/(1-0.03)</f>
        <v>15020.703554299496</v>
      </c>
      <c r="AE208" s="70">
        <f ca="1">((SUBSIDIO!$L$208*SUBSIDIO!$Z$208)+(SUBSIDIO!$N$208*SUBSIDIO!$AA$208))*(0.03)/(1-0.03)</f>
        <v>116995.48795058708</v>
      </c>
      <c r="AF208" s="3" t="s">
        <v>953</v>
      </c>
    </row>
    <row r="209" spans="1:32" ht="11.25" customHeight="1" x14ac:dyDescent="0.25">
      <c r="A209" s="3" t="s">
        <v>21</v>
      </c>
      <c r="B209" s="3" t="s">
        <v>33</v>
      </c>
      <c r="C209" s="3" t="s">
        <v>42</v>
      </c>
      <c r="D209" s="3" t="s">
        <v>50</v>
      </c>
      <c r="E209" s="3" t="s">
        <v>51</v>
      </c>
      <c r="F209" s="3" t="s">
        <v>25</v>
      </c>
      <c r="G209" s="3" t="s">
        <v>25</v>
      </c>
      <c r="H209" s="3" t="s">
        <v>36</v>
      </c>
      <c r="I209" s="6">
        <v>44470</v>
      </c>
      <c r="J209" s="4">
        <v>19387</v>
      </c>
      <c r="K209" s="71">
        <v>19387</v>
      </c>
      <c r="L209" s="4">
        <v>11187.18</v>
      </c>
      <c r="M209" s="70">
        <v>11187.18</v>
      </c>
      <c r="N209" s="4">
        <v>11187.18</v>
      </c>
      <c r="O209" s="70">
        <v>11187.18</v>
      </c>
      <c r="P209" s="4">
        <v>0</v>
      </c>
      <c r="Q209" s="3" t="s">
        <v>26</v>
      </c>
      <c r="R209" s="3">
        <v>0</v>
      </c>
      <c r="S209" s="3">
        <v>87</v>
      </c>
      <c r="T209" s="3">
        <v>88</v>
      </c>
      <c r="U209" s="3">
        <v>73</v>
      </c>
      <c r="V209" s="70">
        <f>IF(ISERROR(VLOOKUP($S$209,'TAR FIN'!$A$1:$O$99,15,0)),0,VLOOKUP($S$209,'TAR FIN'!$A$1:$O$99,15,0))*(1-0.06)</f>
        <v>20.539000000000001</v>
      </c>
      <c r="W209" s="70">
        <f>IF(ISERROR(VLOOKUP($T$209,'TAR FIN'!$A$1:$O$99,15,0)),0,VLOOKUP($T$209,'TAR FIN'!$A$1:$O$99,15,0))*(1-0.06)</f>
        <v>91.753399999999999</v>
      </c>
      <c r="X209" s="70">
        <f>IF(ISERROR(VLOOKUP($U$209,'TAR FIN'!$A$1:$O$99,15,0)),0,VLOOKUP($U$209,'TAR FIN'!$A$1:$O$99,15,0))*(1-0.06)</f>
        <v>206.77179999999998</v>
      </c>
      <c r="Y209" s="70">
        <f ca="1">('TUSD BE'!$AM$14+'TUSD BF'!$AM$14+'TUSD CVA'!$AM$14)*1*(1-0.03)</f>
        <v>23.929316856639257</v>
      </c>
      <c r="Z209" s="70">
        <f ca="1">('TUSD BE'!$AM$15+'TUSD BF'!$AM$15+'TUSD CVA'!$AM$15)*1*(1-0.03)</f>
        <v>114.0634109344435</v>
      </c>
      <c r="AA209" s="70">
        <f>('TE BE'!$AA$8+'TE BF'!$AA$8+'TE CVA'!$AA$8)*1*(1-0.03)</f>
        <v>263.00493660044975</v>
      </c>
      <c r="AB209" s="70">
        <f>(SUBSIDIO!$J$209*SUBSIDIO!$V$209)*(0.06)/(1-0.06)</f>
        <v>25416.357000000004</v>
      </c>
      <c r="AC209" s="70">
        <f>((SUBSIDIO!$L$209*SUBSIDIO!$W$209)+(SUBSIDIO!$N$209*SUBSIDIO!$X$209))*(0.06)/(1-0.06)</f>
        <v>213169.477464</v>
      </c>
      <c r="AD209" s="70">
        <f ca="1">(SUBSIDIO!$J$209*SUBSIDIO!$Y$209)*(0.03)/(1-0.03)</f>
        <v>14347.969048443256</v>
      </c>
      <c r="AE209" s="70">
        <f ca="1">((SUBSIDIO!$L$209*SUBSIDIO!$Z$209)+(SUBSIDIO!$N$209*SUBSIDIO!$AA$209))*(0.03)/(1-0.03)</f>
        <v>130463.86008789919</v>
      </c>
      <c r="AF209" s="3" t="s">
        <v>953</v>
      </c>
    </row>
    <row r="210" spans="1:32" ht="11.25" customHeight="1" x14ac:dyDescent="0.25">
      <c r="A210" s="3" t="s">
        <v>21</v>
      </c>
      <c r="B210" s="3" t="s">
        <v>33</v>
      </c>
      <c r="C210" s="3" t="s">
        <v>42</v>
      </c>
      <c r="D210" s="3" t="s">
        <v>50</v>
      </c>
      <c r="E210" s="3" t="s">
        <v>51</v>
      </c>
      <c r="F210" s="3" t="s">
        <v>25</v>
      </c>
      <c r="G210" s="3" t="s">
        <v>25</v>
      </c>
      <c r="H210" s="3" t="s">
        <v>36</v>
      </c>
      <c r="I210" s="6">
        <v>44501</v>
      </c>
      <c r="J210" s="4">
        <v>19732</v>
      </c>
      <c r="K210" s="71">
        <v>19732</v>
      </c>
      <c r="L210" s="4">
        <v>10315.536</v>
      </c>
      <c r="M210" s="70">
        <v>10315.536</v>
      </c>
      <c r="N210" s="4">
        <v>10315.536</v>
      </c>
      <c r="O210" s="70">
        <v>10315.536</v>
      </c>
      <c r="P210" s="4">
        <v>0</v>
      </c>
      <c r="Q210" s="3" t="s">
        <v>26</v>
      </c>
      <c r="R210" s="3">
        <v>0</v>
      </c>
      <c r="S210" s="3">
        <v>87</v>
      </c>
      <c r="T210" s="3">
        <v>88</v>
      </c>
      <c r="U210" s="3">
        <v>73</v>
      </c>
      <c r="V210" s="70">
        <f>IF(ISERROR(VLOOKUP($S$210,'TAR FIN'!$A$1:$O$99,15,0)),0,VLOOKUP($S$210,'TAR FIN'!$A$1:$O$99,15,0))*(1-0.06)</f>
        <v>20.539000000000001</v>
      </c>
      <c r="W210" s="70">
        <f>IF(ISERROR(VLOOKUP($T$210,'TAR FIN'!$A$1:$O$99,15,0)),0,VLOOKUP($T$210,'TAR FIN'!$A$1:$O$99,15,0))*(1-0.06)</f>
        <v>91.753399999999999</v>
      </c>
      <c r="X210" s="70">
        <f>IF(ISERROR(VLOOKUP($U$210,'TAR FIN'!$A$1:$O$99,15,0)),0,VLOOKUP($U$210,'TAR FIN'!$A$1:$O$99,15,0))*(1-0.06)</f>
        <v>206.77179999999998</v>
      </c>
      <c r="Y210" s="70">
        <f ca="1">('TUSD BE'!$AM$14+'TUSD BF'!$AM$14+'TUSD CVA'!$AM$14)*1*(1-0.03)</f>
        <v>23.929316856639257</v>
      </c>
      <c r="Z210" s="70">
        <f ca="1">('TUSD BE'!$AM$15+'TUSD BF'!$AM$15+'TUSD CVA'!$AM$15)*1*(1-0.03)</f>
        <v>114.0634109344435</v>
      </c>
      <c r="AA210" s="70">
        <f>('TE BE'!$AA$8+'TE BF'!$AA$8+'TE CVA'!$AA$8)*1*(1-0.03)</f>
        <v>263.00493660044975</v>
      </c>
      <c r="AB210" s="70">
        <f>(SUBSIDIO!$J$210*SUBSIDIO!$V$210)*(0.06)/(1-0.06)</f>
        <v>25868.652000000002</v>
      </c>
      <c r="AC210" s="70">
        <f>((SUBSIDIO!$L$210*SUBSIDIO!$W$210)+(SUBSIDIO!$N$210*SUBSIDIO!$X$210))*(0.06)/(1-0.06)</f>
        <v>196560.47537279999</v>
      </c>
      <c r="AD210" s="70">
        <f ca="1">(SUBSIDIO!$J$210*SUBSIDIO!$Y$210)*(0.03)/(1-0.03)</f>
        <v>14603.297326243477</v>
      </c>
      <c r="AE210" s="70">
        <f ca="1">((SUBSIDIO!$L$210*SUBSIDIO!$Z$210)+(SUBSIDIO!$N$210*SUBSIDIO!$AA$210))*(0.03)/(1-0.03)</f>
        <v>120298.82825123823</v>
      </c>
      <c r="AF210" s="3" t="s">
        <v>953</v>
      </c>
    </row>
    <row r="211" spans="1:32" ht="11.25" customHeight="1" x14ac:dyDescent="0.25">
      <c r="A211" s="3" t="s">
        <v>21</v>
      </c>
      <c r="B211" s="3" t="s">
        <v>33</v>
      </c>
      <c r="C211" s="3" t="s">
        <v>42</v>
      </c>
      <c r="D211" s="3" t="s">
        <v>50</v>
      </c>
      <c r="E211" s="3" t="s">
        <v>51</v>
      </c>
      <c r="F211" s="3" t="s">
        <v>25</v>
      </c>
      <c r="G211" s="3" t="s">
        <v>25</v>
      </c>
      <c r="H211" s="3" t="s">
        <v>36</v>
      </c>
      <c r="I211" s="6">
        <v>44531</v>
      </c>
      <c r="J211" s="4">
        <v>19343</v>
      </c>
      <c r="K211" s="71">
        <v>19343</v>
      </c>
      <c r="L211" s="4">
        <v>10367.769</v>
      </c>
      <c r="M211" s="70">
        <v>10367.769</v>
      </c>
      <c r="N211" s="4">
        <v>10367.769</v>
      </c>
      <c r="O211" s="70">
        <v>10367.769</v>
      </c>
      <c r="P211" s="4">
        <v>0</v>
      </c>
      <c r="Q211" s="3" t="s">
        <v>26</v>
      </c>
      <c r="R211" s="3">
        <v>0</v>
      </c>
      <c r="S211" s="3">
        <v>87</v>
      </c>
      <c r="T211" s="3">
        <v>88</v>
      </c>
      <c r="U211" s="3">
        <v>73</v>
      </c>
      <c r="V211" s="70">
        <f>IF(ISERROR(VLOOKUP($S$211,'TAR FIN'!$A$1:$O$99,15,0)),0,VLOOKUP($S$211,'TAR FIN'!$A$1:$O$99,15,0))*(1-0.06)</f>
        <v>20.539000000000001</v>
      </c>
      <c r="W211" s="70">
        <f>IF(ISERROR(VLOOKUP($T$211,'TAR FIN'!$A$1:$O$99,15,0)),0,VLOOKUP($T$211,'TAR FIN'!$A$1:$O$99,15,0))*(1-0.06)</f>
        <v>91.753399999999999</v>
      </c>
      <c r="X211" s="70">
        <f>IF(ISERROR(VLOOKUP($U$211,'TAR FIN'!$A$1:$O$99,15,0)),0,VLOOKUP($U$211,'TAR FIN'!$A$1:$O$99,15,0))*(1-0.06)</f>
        <v>206.77179999999998</v>
      </c>
      <c r="Y211" s="70">
        <f ca="1">('TUSD BE'!$AM$14+'TUSD BF'!$AM$14+'TUSD CVA'!$AM$14)*1*(1-0.03)</f>
        <v>23.929316856639257</v>
      </c>
      <c r="Z211" s="70">
        <f ca="1">('TUSD BE'!$AM$15+'TUSD BF'!$AM$15+'TUSD CVA'!$AM$15)*1*(1-0.03)</f>
        <v>114.0634109344435</v>
      </c>
      <c r="AA211" s="70">
        <f>('TE BE'!$AA$8+'TE BF'!$AA$8+'TE CVA'!$AA$8)*1*(1-0.03)</f>
        <v>263.00493660044975</v>
      </c>
      <c r="AB211" s="70">
        <f>(SUBSIDIO!$J$211*SUBSIDIO!$V$211)*(0.06)/(1-0.06)</f>
        <v>25358.673000000003</v>
      </c>
      <c r="AC211" s="70">
        <f>((SUBSIDIO!$L$211*SUBSIDIO!$W$211)+(SUBSIDIO!$N$211*SUBSIDIO!$X$211))*(0.06)/(1-0.06)</f>
        <v>197555.76474120002</v>
      </c>
      <c r="AD211" s="70">
        <f ca="1">(SUBSIDIO!$J$211*SUBSIDIO!$Y$211)*(0.03)/(1-0.03)</f>
        <v>14315.40544199917</v>
      </c>
      <c r="AE211" s="70">
        <f ca="1">((SUBSIDIO!$L$211*SUBSIDIO!$Z$211)+(SUBSIDIO!$N$211*SUBSIDIO!$AA$211))*(0.03)/(1-0.03)</f>
        <v>120907.96467381936</v>
      </c>
      <c r="AF211" s="3" t="s">
        <v>953</v>
      </c>
    </row>
    <row r="212" spans="1:32" ht="11.25" customHeight="1" x14ac:dyDescent="0.25">
      <c r="A212" s="3" t="s">
        <v>21</v>
      </c>
      <c r="B212" s="3" t="s">
        <v>33</v>
      </c>
      <c r="C212" s="3" t="s">
        <v>42</v>
      </c>
      <c r="D212" s="3" t="s">
        <v>50</v>
      </c>
      <c r="E212" s="3" t="s">
        <v>51</v>
      </c>
      <c r="F212" s="3" t="s">
        <v>25</v>
      </c>
      <c r="G212" s="3" t="s">
        <v>25</v>
      </c>
      <c r="H212" s="3" t="s">
        <v>36</v>
      </c>
      <c r="I212" s="6">
        <v>44562</v>
      </c>
      <c r="J212" s="4">
        <v>19310</v>
      </c>
      <c r="K212" s="71">
        <v>19310</v>
      </c>
      <c r="L212" s="4">
        <v>10213.36</v>
      </c>
      <c r="M212" s="70">
        <v>10213.36</v>
      </c>
      <c r="N212" s="4">
        <v>10213.36</v>
      </c>
      <c r="O212" s="70">
        <v>10213.36</v>
      </c>
      <c r="P212" s="4">
        <v>0</v>
      </c>
      <c r="Q212" s="3" t="s">
        <v>26</v>
      </c>
      <c r="R212" s="3">
        <v>0</v>
      </c>
      <c r="S212" s="3">
        <v>87</v>
      </c>
      <c r="T212" s="3">
        <v>88</v>
      </c>
      <c r="U212" s="3">
        <v>73</v>
      </c>
      <c r="V212" s="70">
        <f>IF(ISERROR(VLOOKUP($S$212,'TAR FIN'!$A$1:$O$99,15,0)),0,VLOOKUP($S$212,'TAR FIN'!$A$1:$O$99,15,0))*(1-0.06)</f>
        <v>20.539000000000001</v>
      </c>
      <c r="W212" s="70">
        <f>IF(ISERROR(VLOOKUP($T$212,'TAR FIN'!$A$1:$O$99,15,0)),0,VLOOKUP($T$212,'TAR FIN'!$A$1:$O$99,15,0))*(1-0.06)</f>
        <v>91.753399999999999</v>
      </c>
      <c r="X212" s="70">
        <f>IF(ISERROR(VLOOKUP($U$212,'TAR FIN'!$A$1:$O$99,15,0)),0,VLOOKUP($U$212,'TAR FIN'!$A$1:$O$99,15,0))*(1-0.06)</f>
        <v>206.77179999999998</v>
      </c>
      <c r="Y212" s="70">
        <f ca="1">('TUSD BE'!$AM$14+'TUSD BF'!$AM$14+'TUSD CVA'!$AM$14)*1*(1-0.03)</f>
        <v>23.929316856639257</v>
      </c>
      <c r="Z212" s="70">
        <f ca="1">('TUSD BE'!$AM$15+'TUSD BF'!$AM$15+'TUSD CVA'!$AM$15)*1*(1-0.03)</f>
        <v>114.0634109344435</v>
      </c>
      <c r="AA212" s="70">
        <f>('TE BE'!$AA$8+'TE BF'!$AA$8+'TE CVA'!$AA$8)*1*(1-0.03)</f>
        <v>263.00493660044975</v>
      </c>
      <c r="AB212" s="70">
        <f>(SUBSIDIO!$J$212*SUBSIDIO!$V$212)*(0.06)/(1-0.06)</f>
        <v>25315.410000000003</v>
      </c>
      <c r="AC212" s="70">
        <f>((SUBSIDIO!$L$212*SUBSIDIO!$W$212)+(SUBSIDIO!$N$212*SUBSIDIO!$X$212))*(0.06)/(1-0.06)</f>
        <v>194613.53212799999</v>
      </c>
      <c r="AD212" s="70">
        <f ca="1">(SUBSIDIO!$J$212*SUBSIDIO!$Y$212)*(0.03)/(1-0.03)</f>
        <v>14290.982737166103</v>
      </c>
      <c r="AE212" s="70">
        <f ca="1">((SUBSIDIO!$L$212*SUBSIDIO!$Z$212)+(SUBSIDIO!$N$212*SUBSIDIO!$AA$212))*(0.03)/(1-0.03)</f>
        <v>119107.26117460754</v>
      </c>
      <c r="AF212" s="3" t="s">
        <v>953</v>
      </c>
    </row>
    <row r="213" spans="1:32" ht="11.25" customHeight="1" x14ac:dyDescent="0.25">
      <c r="A213" s="3" t="s">
        <v>21</v>
      </c>
      <c r="B213" s="3" t="s">
        <v>33</v>
      </c>
      <c r="C213" s="3" t="s">
        <v>42</v>
      </c>
      <c r="D213" s="3" t="s">
        <v>50</v>
      </c>
      <c r="E213" s="3" t="s">
        <v>51</v>
      </c>
      <c r="F213" s="3" t="s">
        <v>25</v>
      </c>
      <c r="G213" s="3" t="s">
        <v>25</v>
      </c>
      <c r="H213" s="3" t="s">
        <v>36</v>
      </c>
      <c r="I213" s="6">
        <v>44593</v>
      </c>
      <c r="J213" s="4">
        <v>19161</v>
      </c>
      <c r="K213" s="71">
        <v>19161</v>
      </c>
      <c r="L213" s="4">
        <v>8892.4869999999992</v>
      </c>
      <c r="M213" s="70">
        <v>8892.4869999999992</v>
      </c>
      <c r="N213" s="4">
        <v>8892.4869999999992</v>
      </c>
      <c r="O213" s="70">
        <v>8892.4869999999992</v>
      </c>
      <c r="P213" s="4">
        <v>0</v>
      </c>
      <c r="Q213" s="3" t="s">
        <v>26</v>
      </c>
      <c r="R213" s="3">
        <v>0</v>
      </c>
      <c r="S213" s="3">
        <v>87</v>
      </c>
      <c r="T213" s="3">
        <v>88</v>
      </c>
      <c r="U213" s="3">
        <v>73</v>
      </c>
      <c r="V213" s="70">
        <f>IF(ISERROR(VLOOKUP($S$213,'TAR FIN'!$A$1:$O$99,15,0)),0,VLOOKUP($S$213,'TAR FIN'!$A$1:$O$99,15,0))*(1-0.06)</f>
        <v>20.539000000000001</v>
      </c>
      <c r="W213" s="70">
        <f>IF(ISERROR(VLOOKUP($T$213,'TAR FIN'!$A$1:$O$99,15,0)),0,VLOOKUP($T$213,'TAR FIN'!$A$1:$O$99,15,0))*(1-0.06)</f>
        <v>91.753399999999999</v>
      </c>
      <c r="X213" s="70">
        <f>IF(ISERROR(VLOOKUP($U$213,'TAR FIN'!$A$1:$O$99,15,0)),0,VLOOKUP($U$213,'TAR FIN'!$A$1:$O$99,15,0))*(1-0.06)</f>
        <v>206.77179999999998</v>
      </c>
      <c r="Y213" s="70">
        <f ca="1">('TUSD BE'!$AM$14+'TUSD BF'!$AM$14+'TUSD CVA'!$AM$14)*1*(1-0.03)</f>
        <v>23.929316856639257</v>
      </c>
      <c r="Z213" s="70">
        <f ca="1">('TUSD BE'!$AM$15+'TUSD BF'!$AM$15+'TUSD CVA'!$AM$15)*1*(1-0.03)</f>
        <v>114.0634109344435</v>
      </c>
      <c r="AA213" s="70">
        <f>('TE BE'!$AA$8+'TE BF'!$AA$8+'TE CVA'!$AA$8)*1*(1-0.03)</f>
        <v>263.00493660044975</v>
      </c>
      <c r="AB213" s="70">
        <f>(SUBSIDIO!$J$213*SUBSIDIO!$V$213)*(0.06)/(1-0.06)</f>
        <v>25120.071000000004</v>
      </c>
      <c r="AC213" s="70">
        <f>((SUBSIDIO!$L$213*SUBSIDIO!$W$213)+(SUBSIDIO!$N$213*SUBSIDIO!$X$213))*(0.06)/(1-0.06)</f>
        <v>169444.56128759996</v>
      </c>
      <c r="AD213" s="70">
        <f ca="1">(SUBSIDIO!$J$213*SUBSIDIO!$Y$213)*(0.03)/(1-0.03)</f>
        <v>14180.710524434993</v>
      </c>
      <c r="AE213" s="70">
        <f ca="1">((SUBSIDIO!$L$213*SUBSIDIO!$Z$213)+(SUBSIDIO!$N$213*SUBSIDIO!$AA$213))*(0.03)/(1-0.03)</f>
        <v>103703.36222367587</v>
      </c>
      <c r="AF213" s="3" t="s">
        <v>953</v>
      </c>
    </row>
    <row r="214" spans="1:32" ht="11.25" customHeight="1" x14ac:dyDescent="0.25">
      <c r="A214" s="3" t="s">
        <v>21</v>
      </c>
      <c r="B214" s="3" t="s">
        <v>33</v>
      </c>
      <c r="C214" s="3" t="s">
        <v>42</v>
      </c>
      <c r="D214" s="3" t="s">
        <v>50</v>
      </c>
      <c r="E214" s="3" t="s">
        <v>51</v>
      </c>
      <c r="F214" s="3" t="s">
        <v>25</v>
      </c>
      <c r="G214" s="3" t="s">
        <v>25</v>
      </c>
      <c r="H214" s="3" t="s">
        <v>36</v>
      </c>
      <c r="I214" s="6">
        <v>44621</v>
      </c>
      <c r="J214" s="4">
        <v>19195</v>
      </c>
      <c r="K214" s="71">
        <v>19195</v>
      </c>
      <c r="L214" s="4">
        <v>10114.501</v>
      </c>
      <c r="M214" s="70">
        <v>10114.501</v>
      </c>
      <c r="N214" s="4">
        <v>10114.501</v>
      </c>
      <c r="O214" s="70">
        <v>10114.501</v>
      </c>
      <c r="P214" s="4">
        <v>0</v>
      </c>
      <c r="Q214" s="3" t="s">
        <v>26</v>
      </c>
      <c r="R214" s="3">
        <v>0</v>
      </c>
      <c r="S214" s="3">
        <v>87</v>
      </c>
      <c r="T214" s="3">
        <v>88</v>
      </c>
      <c r="U214" s="3">
        <v>73</v>
      </c>
      <c r="V214" s="70">
        <f>IF(ISERROR(VLOOKUP($S$214,'TAR FIN'!$A$1:$O$99,15,0)),0,VLOOKUP($S$214,'TAR FIN'!$A$1:$O$99,15,0))*(1-0.06)</f>
        <v>20.539000000000001</v>
      </c>
      <c r="W214" s="70">
        <f>IF(ISERROR(VLOOKUP($T$214,'TAR FIN'!$A$1:$O$99,15,0)),0,VLOOKUP($T$214,'TAR FIN'!$A$1:$O$99,15,0))*(1-0.06)</f>
        <v>91.753399999999999</v>
      </c>
      <c r="X214" s="70">
        <f>IF(ISERROR(VLOOKUP($U$214,'TAR FIN'!$A$1:$O$99,15,0)),0,VLOOKUP($U$214,'TAR FIN'!$A$1:$O$99,15,0))*(1-0.06)</f>
        <v>206.77179999999998</v>
      </c>
      <c r="Y214" s="70">
        <f ca="1">('TUSD BE'!$AM$14+'TUSD BF'!$AM$14+'TUSD CVA'!$AM$14)*1*(1-0.03)</f>
        <v>23.929316856639257</v>
      </c>
      <c r="Z214" s="70">
        <f ca="1">('TUSD BE'!$AM$15+'TUSD BF'!$AM$15+'TUSD CVA'!$AM$15)*1*(1-0.03)</f>
        <v>114.0634109344435</v>
      </c>
      <c r="AA214" s="70">
        <f>('TE BE'!$AA$8+'TE BF'!$AA$8+'TE CVA'!$AA$8)*1*(1-0.03)</f>
        <v>263.00493660044975</v>
      </c>
      <c r="AB214" s="70">
        <f>(SUBSIDIO!$J$214*SUBSIDIO!$V$214)*(0.06)/(1-0.06)</f>
        <v>25164.645000000004</v>
      </c>
      <c r="AC214" s="70">
        <f>((SUBSIDIO!$L$214*SUBSIDIO!$W$214)+(SUBSIDIO!$N$214*SUBSIDIO!$X$214))*(0.06)/(1-0.06)</f>
        <v>192729.79365480001</v>
      </c>
      <c r="AD214" s="70">
        <f ca="1">(SUBSIDIO!$J$214*SUBSIDIO!$Y$214)*(0.03)/(1-0.03)</f>
        <v>14205.873311232697</v>
      </c>
      <c r="AE214" s="70">
        <f ca="1">((SUBSIDIO!$L$214*SUBSIDIO!$Z$214)+(SUBSIDIO!$N$214*SUBSIDIO!$AA$214))*(0.03)/(1-0.03)</f>
        <v>117954.37664567088</v>
      </c>
      <c r="AF214" s="3" t="s">
        <v>953</v>
      </c>
    </row>
    <row r="215" spans="1:32" ht="11.25" customHeight="1" x14ac:dyDescent="0.25">
      <c r="A215" s="3" t="s">
        <v>56</v>
      </c>
      <c r="B215" s="3" t="s">
        <v>33</v>
      </c>
      <c r="C215" s="3" t="s">
        <v>42</v>
      </c>
      <c r="D215" s="3" t="s">
        <v>50</v>
      </c>
      <c r="E215" s="3" t="s">
        <v>51</v>
      </c>
      <c r="F215" s="3" t="s">
        <v>25</v>
      </c>
      <c r="G215" s="3" t="s">
        <v>25</v>
      </c>
      <c r="H215" s="3" t="s">
        <v>36</v>
      </c>
      <c r="I215" s="6">
        <v>44652</v>
      </c>
      <c r="J215" s="4">
        <v>19195</v>
      </c>
      <c r="K215" s="71">
        <v>19195</v>
      </c>
      <c r="L215" s="4">
        <v>10114.501</v>
      </c>
      <c r="M215" s="70">
        <v>10114.501</v>
      </c>
      <c r="N215" s="4">
        <v>10114.501</v>
      </c>
      <c r="O215" s="70">
        <v>10114.501</v>
      </c>
      <c r="P215" s="4">
        <v>0</v>
      </c>
      <c r="Q215" s="3" t="s">
        <v>26</v>
      </c>
      <c r="R215" s="3">
        <v>0</v>
      </c>
      <c r="S215" s="3">
        <v>87</v>
      </c>
      <c r="T215" s="3">
        <v>88</v>
      </c>
      <c r="U215" s="3">
        <v>73</v>
      </c>
      <c r="V215" s="70">
        <f>IF(ISERROR(VLOOKUP($S$215,'TAR FIN'!$A$1:$O$99,15,0)),0,VLOOKUP($S$215,'TAR FIN'!$A$1:$O$99,15,0))*(1-0.06)</f>
        <v>20.539000000000001</v>
      </c>
      <c r="W215" s="70">
        <f>IF(ISERROR(VLOOKUP($T$215,'TAR FIN'!$A$1:$O$99,15,0)),0,VLOOKUP($T$215,'TAR FIN'!$A$1:$O$99,15,0))*(1-0.06)</f>
        <v>91.753399999999999</v>
      </c>
      <c r="X215" s="70">
        <f>IF(ISERROR(VLOOKUP($U$215,'TAR FIN'!$A$1:$O$99,15,0)),0,VLOOKUP($U$215,'TAR FIN'!$A$1:$O$99,15,0))*(1-0.06)</f>
        <v>206.77179999999998</v>
      </c>
      <c r="Y215" s="70">
        <f ca="1">('TUSD BE'!$AM$14+'TUSD BF'!$AM$14+'TUSD CVA'!$AM$14)*1*(1-0.03)</f>
        <v>23.929316856639257</v>
      </c>
      <c r="Z215" s="70">
        <f ca="1">('TUSD BE'!$AM$15+'TUSD BF'!$AM$15+'TUSD CVA'!$AM$15)*1*(1-0.03)</f>
        <v>114.0634109344435</v>
      </c>
      <c r="AA215" s="70">
        <f>('TE BE'!$AA$8+'TE BF'!$AA$8+'TE CVA'!$AA$8)*1*(1-0.03)</f>
        <v>263.00493660044975</v>
      </c>
      <c r="AB215" s="70">
        <f>(SUBSIDIO!$J$215*SUBSIDIO!$V$215)*(0.06)/(1-0.06)</f>
        <v>25164.645000000004</v>
      </c>
      <c r="AC215" s="70">
        <f>((SUBSIDIO!$L$215*SUBSIDIO!$W$215)+(SUBSIDIO!$N$215*SUBSIDIO!$X$215))*(0.06)/(1-0.06)</f>
        <v>192729.79365480001</v>
      </c>
      <c r="AD215" s="70">
        <f ca="1">(SUBSIDIO!$J$215*SUBSIDIO!$Y$215)*(0.03)/(1-0.03)</f>
        <v>14205.873311232697</v>
      </c>
      <c r="AE215" s="70">
        <f ca="1">((SUBSIDIO!$L$215*SUBSIDIO!$Z$215)+(SUBSIDIO!$N$215*SUBSIDIO!$AA$215))*(0.03)/(1-0.03)</f>
        <v>117954.37664567088</v>
      </c>
      <c r="AF215" s="3" t="s">
        <v>953</v>
      </c>
    </row>
    <row r="216" spans="1:32" ht="11.25" customHeight="1" x14ac:dyDescent="0.25">
      <c r="A216" s="3" t="s">
        <v>21</v>
      </c>
      <c r="B216" s="3" t="s">
        <v>33</v>
      </c>
      <c r="C216" s="3" t="s">
        <v>42</v>
      </c>
      <c r="D216" s="3" t="s">
        <v>50</v>
      </c>
      <c r="E216" s="3" t="s">
        <v>51</v>
      </c>
      <c r="F216" s="3" t="s">
        <v>25</v>
      </c>
      <c r="G216" s="3" t="s">
        <v>25</v>
      </c>
      <c r="H216" s="3" t="s">
        <v>35</v>
      </c>
      <c r="I216" s="6">
        <v>44317</v>
      </c>
      <c r="J216" s="4">
        <v>19802</v>
      </c>
      <c r="K216" s="71">
        <v>19802</v>
      </c>
      <c r="L216" s="4">
        <v>938.35599999999999</v>
      </c>
      <c r="M216" s="70">
        <v>938.35599999999999</v>
      </c>
      <c r="N216" s="4">
        <v>938.35599999999999</v>
      </c>
      <c r="O216" s="70">
        <v>938.35599999999999</v>
      </c>
      <c r="P216" s="4">
        <v>0</v>
      </c>
      <c r="Q216" s="3" t="s">
        <v>26</v>
      </c>
      <c r="R216" s="3">
        <v>0</v>
      </c>
      <c r="S216" s="3">
        <v>91</v>
      </c>
      <c r="T216" s="3">
        <v>88</v>
      </c>
      <c r="U216" s="3">
        <v>72</v>
      </c>
      <c r="V216" s="70">
        <f>IF(ISERROR(VLOOKUP($S$216,'TAR FIN'!$A$1:$O$99,15,0)),0,VLOOKUP($S$216,'TAR FIN'!$A$1:$O$99,15,0))*(1-0.06)</f>
        <v>56.588000000000001</v>
      </c>
      <c r="W216" s="70">
        <f>IF(ISERROR(VLOOKUP($T$216,'TAR FIN'!$A$1:$O$99,15,0)),0,VLOOKUP($T$216,'TAR FIN'!$A$1:$O$99,15,0))*(1-0.06)</f>
        <v>91.753399999999999</v>
      </c>
      <c r="X216" s="70">
        <f>IF(ISERROR(VLOOKUP($U$216,'TAR FIN'!$A$1:$O$99,15,0)),0,VLOOKUP($U$216,'TAR FIN'!$A$1:$O$99,15,0))*(1-0.06)</f>
        <v>325.8134</v>
      </c>
      <c r="Y216" s="70">
        <f ca="1">('TUSD BE'!$AM$13+'TUSD BF'!$AM$13+'TUSD CVA'!$AM$13)*1*(1-0.03)</f>
        <v>67.177479612125765</v>
      </c>
      <c r="Z216" s="70">
        <f ca="1">('TUSD BE'!$AM$15+'TUSD BF'!$AM$15+'TUSD CVA'!$AM$15)*1*(1-0.03)</f>
        <v>114.0634109344435</v>
      </c>
      <c r="AA216" s="70">
        <f>('TE BE'!$AA$7+'TE BF'!$AA$7+'TE CVA'!$AA$7)*1*(1-0.03)</f>
        <v>411.17962930251429</v>
      </c>
      <c r="AB216" s="70">
        <f>(SUBSIDIO!$J$216*SUBSIDIO!$V$216)*(0.06)/(1-0.06)</f>
        <v>71524.824000000008</v>
      </c>
      <c r="AC216" s="70">
        <f>((SUBSIDIO!$L$216*SUBSIDIO!$W$216)+(SUBSIDIO!$N$216*SUBSIDIO!$X$216))*(0.06)/(1-0.06)</f>
        <v>25010.190139199996</v>
      </c>
      <c r="AD216" s="70">
        <f ca="1">(SUBSIDIO!$J$216*SUBSIDIO!$Y$216)*(0.03)/(1-0.03)</f>
        <v>41141.704678741684</v>
      </c>
      <c r="AE216" s="70">
        <f ca="1">((SUBSIDIO!$L$216*SUBSIDIO!$Z$216)+(SUBSIDIO!$N$216*SUBSIDIO!$AA$216))*(0.03)/(1-0.03)</f>
        <v>15243.246131894559</v>
      </c>
      <c r="AF216" s="3" t="s">
        <v>953</v>
      </c>
    </row>
    <row r="217" spans="1:32" ht="11.25" customHeight="1" x14ac:dyDescent="0.25">
      <c r="A217" s="3" t="s">
        <v>21</v>
      </c>
      <c r="B217" s="3" t="s">
        <v>33</v>
      </c>
      <c r="C217" s="3" t="s">
        <v>42</v>
      </c>
      <c r="D217" s="3" t="s">
        <v>50</v>
      </c>
      <c r="E217" s="3" t="s">
        <v>51</v>
      </c>
      <c r="F217" s="3" t="s">
        <v>25</v>
      </c>
      <c r="G217" s="3" t="s">
        <v>25</v>
      </c>
      <c r="H217" s="3" t="s">
        <v>35</v>
      </c>
      <c r="I217" s="6">
        <v>44348</v>
      </c>
      <c r="J217" s="4">
        <v>19837</v>
      </c>
      <c r="K217" s="71">
        <v>19837</v>
      </c>
      <c r="L217" s="4">
        <v>924.98900000000003</v>
      </c>
      <c r="M217" s="70">
        <v>924.98900000000003</v>
      </c>
      <c r="N217" s="4">
        <v>924.98900000000003</v>
      </c>
      <c r="O217" s="70">
        <v>924.98900000000003</v>
      </c>
      <c r="P217" s="4">
        <v>0</v>
      </c>
      <c r="Q217" s="3" t="s">
        <v>26</v>
      </c>
      <c r="R217" s="3">
        <v>0</v>
      </c>
      <c r="S217" s="3">
        <v>91</v>
      </c>
      <c r="T217" s="3">
        <v>88</v>
      </c>
      <c r="U217" s="3">
        <v>72</v>
      </c>
      <c r="V217" s="70">
        <f>IF(ISERROR(VLOOKUP($S$217,'TAR FIN'!$A$1:$O$99,15,0)),0,VLOOKUP($S$217,'TAR FIN'!$A$1:$O$99,15,0))*(1-0.06)</f>
        <v>56.588000000000001</v>
      </c>
      <c r="W217" s="70">
        <f>IF(ISERROR(VLOOKUP($T$217,'TAR FIN'!$A$1:$O$99,15,0)),0,VLOOKUP($T$217,'TAR FIN'!$A$1:$O$99,15,0))*(1-0.06)</f>
        <v>91.753399999999999</v>
      </c>
      <c r="X217" s="70">
        <f>IF(ISERROR(VLOOKUP($U$217,'TAR FIN'!$A$1:$O$99,15,0)),0,VLOOKUP($U$217,'TAR FIN'!$A$1:$O$99,15,0))*(1-0.06)</f>
        <v>325.8134</v>
      </c>
      <c r="Y217" s="70">
        <f ca="1">('TUSD BE'!$AM$13+'TUSD BF'!$AM$13+'TUSD CVA'!$AM$13)*1*(1-0.03)</f>
        <v>67.177479612125765</v>
      </c>
      <c r="Z217" s="70">
        <f ca="1">('TUSD BE'!$AM$15+'TUSD BF'!$AM$15+'TUSD CVA'!$AM$15)*1*(1-0.03)</f>
        <v>114.0634109344435</v>
      </c>
      <c r="AA217" s="70">
        <f>('TE BE'!$AA$7+'TE BF'!$AA$7+'TE CVA'!$AA$7)*1*(1-0.03)</f>
        <v>411.17962930251429</v>
      </c>
      <c r="AB217" s="70">
        <f>(SUBSIDIO!$J$217*SUBSIDIO!$V$217)*(0.06)/(1-0.06)</f>
        <v>71651.244000000006</v>
      </c>
      <c r="AC217" s="70">
        <f>((SUBSIDIO!$L$217*SUBSIDIO!$W$217)+(SUBSIDIO!$N$217*SUBSIDIO!$X$217))*(0.06)/(1-0.06)</f>
        <v>24653.916814800003</v>
      </c>
      <c r="AD217" s="70">
        <f ca="1">(SUBSIDIO!$J$217*SUBSIDIO!$Y$217)*(0.03)/(1-0.03)</f>
        <v>41214.422569043461</v>
      </c>
      <c r="AE217" s="70">
        <f ca="1">((SUBSIDIO!$L$217*SUBSIDIO!$Z$217)+(SUBSIDIO!$N$217*SUBSIDIO!$AA$217))*(0.03)/(1-0.03)</f>
        <v>15026.104161208557</v>
      </c>
      <c r="AF217" s="3" t="s">
        <v>953</v>
      </c>
    </row>
    <row r="218" spans="1:32" ht="11.25" customHeight="1" x14ac:dyDescent="0.25">
      <c r="A218" s="3" t="s">
        <v>21</v>
      </c>
      <c r="B218" s="3" t="s">
        <v>33</v>
      </c>
      <c r="C218" s="3" t="s">
        <v>42</v>
      </c>
      <c r="D218" s="3" t="s">
        <v>50</v>
      </c>
      <c r="E218" s="3" t="s">
        <v>51</v>
      </c>
      <c r="F218" s="3" t="s">
        <v>25</v>
      </c>
      <c r="G218" s="3" t="s">
        <v>25</v>
      </c>
      <c r="H218" s="3" t="s">
        <v>35</v>
      </c>
      <c r="I218" s="6">
        <v>44378</v>
      </c>
      <c r="J218" s="4">
        <v>19603</v>
      </c>
      <c r="K218" s="71">
        <v>19603</v>
      </c>
      <c r="L218" s="4">
        <v>995.70600000000002</v>
      </c>
      <c r="M218" s="70">
        <v>995.70600000000002</v>
      </c>
      <c r="N218" s="4">
        <v>995.70600000000002</v>
      </c>
      <c r="O218" s="70">
        <v>995.70600000000002</v>
      </c>
      <c r="P218" s="4">
        <v>0</v>
      </c>
      <c r="Q218" s="3" t="s">
        <v>26</v>
      </c>
      <c r="R218" s="3">
        <v>0</v>
      </c>
      <c r="S218" s="3">
        <v>91</v>
      </c>
      <c r="T218" s="3">
        <v>88</v>
      </c>
      <c r="U218" s="3">
        <v>72</v>
      </c>
      <c r="V218" s="70">
        <f>IF(ISERROR(VLOOKUP($S$218,'TAR FIN'!$A$1:$O$99,15,0)),0,VLOOKUP($S$218,'TAR FIN'!$A$1:$O$99,15,0))*(1-0.06)</f>
        <v>56.588000000000001</v>
      </c>
      <c r="W218" s="70">
        <f>IF(ISERROR(VLOOKUP($T$218,'TAR FIN'!$A$1:$O$99,15,0)),0,VLOOKUP($T$218,'TAR FIN'!$A$1:$O$99,15,0))*(1-0.06)</f>
        <v>91.753399999999999</v>
      </c>
      <c r="X218" s="70">
        <f>IF(ISERROR(VLOOKUP($U$218,'TAR FIN'!$A$1:$O$99,15,0)),0,VLOOKUP($U$218,'TAR FIN'!$A$1:$O$99,15,0))*(1-0.06)</f>
        <v>325.8134</v>
      </c>
      <c r="Y218" s="70">
        <f ca="1">('TUSD BE'!$AM$13+'TUSD BF'!$AM$13+'TUSD CVA'!$AM$13)*1*(1-0.03)</f>
        <v>67.177479612125765</v>
      </c>
      <c r="Z218" s="70">
        <f ca="1">('TUSD BE'!$AM$15+'TUSD BF'!$AM$15+'TUSD CVA'!$AM$15)*1*(1-0.03)</f>
        <v>114.0634109344435</v>
      </c>
      <c r="AA218" s="70">
        <f>('TE BE'!$AA$7+'TE BF'!$AA$7+'TE CVA'!$AA$7)*1*(1-0.03)</f>
        <v>411.17962930251429</v>
      </c>
      <c r="AB218" s="70">
        <f>(SUBSIDIO!$J$218*SUBSIDIO!$V$218)*(0.06)/(1-0.06)</f>
        <v>70806.036000000007</v>
      </c>
      <c r="AC218" s="70">
        <f>((SUBSIDIO!$L$218*SUBSIDIO!$W$218)+(SUBSIDIO!$N$218*SUBSIDIO!$X$218))*(0.06)/(1-0.06)</f>
        <v>26538.751159200001</v>
      </c>
      <c r="AD218" s="70">
        <f ca="1">(SUBSIDIO!$J$218*SUBSIDIO!$Y$218)*(0.03)/(1-0.03)</f>
        <v>40728.25153102581</v>
      </c>
      <c r="AE218" s="70">
        <f ca="1">((SUBSIDIO!$L$218*SUBSIDIO!$Z$218)+(SUBSIDIO!$N$218*SUBSIDIO!$AA$218))*(0.03)/(1-0.03)</f>
        <v>16174.875668727227</v>
      </c>
      <c r="AF218" s="3" t="s">
        <v>953</v>
      </c>
    </row>
    <row r="219" spans="1:32" ht="11.25" customHeight="1" x14ac:dyDescent="0.25">
      <c r="A219" s="3" t="s">
        <v>21</v>
      </c>
      <c r="B219" s="3" t="s">
        <v>33</v>
      </c>
      <c r="C219" s="3" t="s">
        <v>42</v>
      </c>
      <c r="D219" s="3" t="s">
        <v>50</v>
      </c>
      <c r="E219" s="3" t="s">
        <v>51</v>
      </c>
      <c r="F219" s="3" t="s">
        <v>25</v>
      </c>
      <c r="G219" s="3" t="s">
        <v>25</v>
      </c>
      <c r="H219" s="3" t="s">
        <v>35</v>
      </c>
      <c r="I219" s="6">
        <v>44409</v>
      </c>
      <c r="J219" s="4">
        <v>20222</v>
      </c>
      <c r="K219" s="71">
        <v>20222</v>
      </c>
      <c r="L219" s="4">
        <v>996.13300000000004</v>
      </c>
      <c r="M219" s="70">
        <v>996.13300000000004</v>
      </c>
      <c r="N219" s="4">
        <v>996.13300000000004</v>
      </c>
      <c r="O219" s="70">
        <v>996.13300000000004</v>
      </c>
      <c r="P219" s="4">
        <v>0</v>
      </c>
      <c r="Q219" s="3" t="s">
        <v>26</v>
      </c>
      <c r="R219" s="3">
        <v>0</v>
      </c>
      <c r="S219" s="3">
        <v>91</v>
      </c>
      <c r="T219" s="3">
        <v>88</v>
      </c>
      <c r="U219" s="3">
        <v>72</v>
      </c>
      <c r="V219" s="70">
        <f>IF(ISERROR(VLOOKUP($S$219,'TAR FIN'!$A$1:$O$99,15,0)),0,VLOOKUP($S$219,'TAR FIN'!$A$1:$O$99,15,0))*(1-0.06)</f>
        <v>56.588000000000001</v>
      </c>
      <c r="W219" s="70">
        <f>IF(ISERROR(VLOOKUP($T$219,'TAR FIN'!$A$1:$O$99,15,0)),0,VLOOKUP($T$219,'TAR FIN'!$A$1:$O$99,15,0))*(1-0.06)</f>
        <v>91.753399999999999</v>
      </c>
      <c r="X219" s="70">
        <f>IF(ISERROR(VLOOKUP($U$219,'TAR FIN'!$A$1:$O$99,15,0)),0,VLOOKUP($U$219,'TAR FIN'!$A$1:$O$99,15,0))*(1-0.06)</f>
        <v>325.8134</v>
      </c>
      <c r="Y219" s="70">
        <f ca="1">('TUSD BE'!$AM$13+'TUSD BF'!$AM$13+'TUSD CVA'!$AM$13)*1*(1-0.03)</f>
        <v>67.177479612125765</v>
      </c>
      <c r="Z219" s="70">
        <f ca="1">('TUSD BE'!$AM$15+'TUSD BF'!$AM$15+'TUSD CVA'!$AM$15)*1*(1-0.03)</f>
        <v>114.0634109344435</v>
      </c>
      <c r="AA219" s="70">
        <f>('TE BE'!$AA$7+'TE BF'!$AA$7+'TE CVA'!$AA$7)*1*(1-0.03)</f>
        <v>411.17962930251429</v>
      </c>
      <c r="AB219" s="70">
        <f>(SUBSIDIO!$J$219*SUBSIDIO!$V$219)*(0.06)/(1-0.06)</f>
        <v>73041.864000000016</v>
      </c>
      <c r="AC219" s="70">
        <f>((SUBSIDIO!$L$219*SUBSIDIO!$W$219)+(SUBSIDIO!$N$219*SUBSIDIO!$X$219))*(0.06)/(1-0.06)</f>
        <v>26550.132075600002</v>
      </c>
      <c r="AD219" s="70">
        <f ca="1">(SUBSIDIO!$J$219*SUBSIDIO!$Y$219)*(0.03)/(1-0.03)</f>
        <v>42014.319362363109</v>
      </c>
      <c r="AE219" s="70">
        <f ca="1">((SUBSIDIO!$L$219*SUBSIDIO!$Z$219)+(SUBSIDIO!$N$219*SUBSIDIO!$AA$219))*(0.03)/(1-0.03)</f>
        <v>16181.812125784376</v>
      </c>
      <c r="AF219" s="3" t="s">
        <v>953</v>
      </c>
    </row>
    <row r="220" spans="1:32" ht="11.25" customHeight="1" x14ac:dyDescent="0.25">
      <c r="A220" s="3" t="s">
        <v>21</v>
      </c>
      <c r="B220" s="3" t="s">
        <v>33</v>
      </c>
      <c r="C220" s="3" t="s">
        <v>42</v>
      </c>
      <c r="D220" s="3" t="s">
        <v>50</v>
      </c>
      <c r="E220" s="3" t="s">
        <v>51</v>
      </c>
      <c r="F220" s="3" t="s">
        <v>25</v>
      </c>
      <c r="G220" s="3" t="s">
        <v>25</v>
      </c>
      <c r="H220" s="3" t="s">
        <v>35</v>
      </c>
      <c r="I220" s="6">
        <v>44440</v>
      </c>
      <c r="J220" s="4">
        <v>20187</v>
      </c>
      <c r="K220" s="71">
        <v>20187</v>
      </c>
      <c r="L220" s="4">
        <v>962.42899999999997</v>
      </c>
      <c r="M220" s="70">
        <v>962.42899999999997</v>
      </c>
      <c r="N220" s="4">
        <v>962.42899999999997</v>
      </c>
      <c r="O220" s="70">
        <v>962.42899999999997</v>
      </c>
      <c r="P220" s="4">
        <v>0</v>
      </c>
      <c r="Q220" s="3" t="s">
        <v>26</v>
      </c>
      <c r="R220" s="3">
        <v>0</v>
      </c>
      <c r="S220" s="3">
        <v>91</v>
      </c>
      <c r="T220" s="3">
        <v>88</v>
      </c>
      <c r="U220" s="3">
        <v>72</v>
      </c>
      <c r="V220" s="70">
        <f>IF(ISERROR(VLOOKUP($S$220,'TAR FIN'!$A$1:$O$99,15,0)),0,VLOOKUP($S$220,'TAR FIN'!$A$1:$O$99,15,0))*(1-0.06)</f>
        <v>56.588000000000001</v>
      </c>
      <c r="W220" s="70">
        <f>IF(ISERROR(VLOOKUP($T$220,'TAR FIN'!$A$1:$O$99,15,0)),0,VLOOKUP($T$220,'TAR FIN'!$A$1:$O$99,15,0))*(1-0.06)</f>
        <v>91.753399999999999</v>
      </c>
      <c r="X220" s="70">
        <f>IF(ISERROR(VLOOKUP($U$220,'TAR FIN'!$A$1:$O$99,15,0)),0,VLOOKUP($U$220,'TAR FIN'!$A$1:$O$99,15,0))*(1-0.06)</f>
        <v>325.8134</v>
      </c>
      <c r="Y220" s="70">
        <f ca="1">('TUSD BE'!$AM$13+'TUSD BF'!$AM$13+'TUSD CVA'!$AM$13)*1*(1-0.03)</f>
        <v>67.177479612125765</v>
      </c>
      <c r="Z220" s="70">
        <f ca="1">('TUSD BE'!$AM$15+'TUSD BF'!$AM$15+'TUSD CVA'!$AM$15)*1*(1-0.03)</f>
        <v>114.0634109344435</v>
      </c>
      <c r="AA220" s="70">
        <f>('TE BE'!$AA$7+'TE BF'!$AA$7+'TE CVA'!$AA$7)*1*(1-0.03)</f>
        <v>411.17962930251429</v>
      </c>
      <c r="AB220" s="70">
        <f>(SUBSIDIO!$J$220*SUBSIDIO!$V$220)*(0.06)/(1-0.06)</f>
        <v>72915.444000000003</v>
      </c>
      <c r="AC220" s="70">
        <f>((SUBSIDIO!$L$220*SUBSIDIO!$W$220)+(SUBSIDIO!$N$220*SUBSIDIO!$X$220))*(0.06)/(1-0.06)</f>
        <v>25651.8126228</v>
      </c>
      <c r="AD220" s="70">
        <f ca="1">(SUBSIDIO!$J$220*SUBSIDIO!$Y$220)*(0.03)/(1-0.03)</f>
        <v>41941.601472061324</v>
      </c>
      <c r="AE220" s="70">
        <f ca="1">((SUBSIDIO!$L$220*SUBSIDIO!$Z$220)+(SUBSIDIO!$N$220*SUBSIDIO!$AA$220))*(0.03)/(1-0.03)</f>
        <v>15634.303112542733</v>
      </c>
      <c r="AF220" s="3" t="s">
        <v>953</v>
      </c>
    </row>
    <row r="221" spans="1:32" ht="11.25" customHeight="1" x14ac:dyDescent="0.25">
      <c r="A221" s="3" t="s">
        <v>21</v>
      </c>
      <c r="B221" s="3" t="s">
        <v>33</v>
      </c>
      <c r="C221" s="3" t="s">
        <v>42</v>
      </c>
      <c r="D221" s="3" t="s">
        <v>50</v>
      </c>
      <c r="E221" s="3" t="s">
        <v>51</v>
      </c>
      <c r="F221" s="3" t="s">
        <v>25</v>
      </c>
      <c r="G221" s="3" t="s">
        <v>25</v>
      </c>
      <c r="H221" s="3" t="s">
        <v>35</v>
      </c>
      <c r="I221" s="6">
        <v>44470</v>
      </c>
      <c r="J221" s="4">
        <v>19306</v>
      </c>
      <c r="K221" s="71">
        <v>19306</v>
      </c>
      <c r="L221" s="4">
        <v>996.08100000000002</v>
      </c>
      <c r="M221" s="70">
        <v>996.08100000000002</v>
      </c>
      <c r="N221" s="4">
        <v>996.08100000000002</v>
      </c>
      <c r="O221" s="70">
        <v>996.08100000000002</v>
      </c>
      <c r="P221" s="4">
        <v>0</v>
      </c>
      <c r="Q221" s="3" t="s">
        <v>26</v>
      </c>
      <c r="R221" s="3">
        <v>0</v>
      </c>
      <c r="S221" s="3">
        <v>91</v>
      </c>
      <c r="T221" s="3">
        <v>88</v>
      </c>
      <c r="U221" s="3">
        <v>72</v>
      </c>
      <c r="V221" s="70">
        <f>IF(ISERROR(VLOOKUP($S$221,'TAR FIN'!$A$1:$O$99,15,0)),0,VLOOKUP($S$221,'TAR FIN'!$A$1:$O$99,15,0))*(1-0.06)</f>
        <v>56.588000000000001</v>
      </c>
      <c r="W221" s="70">
        <f>IF(ISERROR(VLOOKUP($T$221,'TAR FIN'!$A$1:$O$99,15,0)),0,VLOOKUP($T$221,'TAR FIN'!$A$1:$O$99,15,0))*(1-0.06)</f>
        <v>91.753399999999999</v>
      </c>
      <c r="X221" s="70">
        <f>IF(ISERROR(VLOOKUP($U$221,'TAR FIN'!$A$1:$O$99,15,0)),0,VLOOKUP($U$221,'TAR FIN'!$A$1:$O$99,15,0))*(1-0.06)</f>
        <v>325.8134</v>
      </c>
      <c r="Y221" s="70">
        <f ca="1">('TUSD BE'!$AM$13+'TUSD BF'!$AM$13+'TUSD CVA'!$AM$13)*1*(1-0.03)</f>
        <v>67.177479612125765</v>
      </c>
      <c r="Z221" s="70">
        <f ca="1">('TUSD BE'!$AM$15+'TUSD BF'!$AM$15+'TUSD CVA'!$AM$15)*1*(1-0.03)</f>
        <v>114.0634109344435</v>
      </c>
      <c r="AA221" s="70">
        <f>('TE BE'!$AA$7+'TE BF'!$AA$7+'TE CVA'!$AA$7)*1*(1-0.03)</f>
        <v>411.17962930251429</v>
      </c>
      <c r="AB221" s="70">
        <f>(SUBSIDIO!$J$221*SUBSIDIO!$V$221)*(0.06)/(1-0.06)</f>
        <v>69733.272000000012</v>
      </c>
      <c r="AC221" s="70">
        <f>((SUBSIDIO!$L$221*SUBSIDIO!$W$221)+(SUBSIDIO!$N$221*SUBSIDIO!$X$221))*(0.06)/(1-0.06)</f>
        <v>26548.746109200001</v>
      </c>
      <c r="AD221" s="70">
        <f ca="1">(SUBSIDIO!$J$221*SUBSIDIO!$Y$221)*(0.03)/(1-0.03)</f>
        <v>40111.188290464939</v>
      </c>
      <c r="AE221" s="70">
        <f ca="1">((SUBSIDIO!$L$221*SUBSIDIO!$Z$221)+(SUBSIDIO!$N$221*SUBSIDIO!$AA$221))*(0.03)/(1-0.03)</f>
        <v>16180.967405018631</v>
      </c>
      <c r="AF221" s="3" t="s">
        <v>953</v>
      </c>
    </row>
    <row r="222" spans="1:32" ht="11.25" customHeight="1" x14ac:dyDescent="0.25">
      <c r="A222" s="3" t="s">
        <v>21</v>
      </c>
      <c r="B222" s="3" t="s">
        <v>33</v>
      </c>
      <c r="C222" s="3" t="s">
        <v>42</v>
      </c>
      <c r="D222" s="3" t="s">
        <v>50</v>
      </c>
      <c r="E222" s="3" t="s">
        <v>51</v>
      </c>
      <c r="F222" s="3" t="s">
        <v>25</v>
      </c>
      <c r="G222" s="3" t="s">
        <v>25</v>
      </c>
      <c r="H222" s="3" t="s">
        <v>35</v>
      </c>
      <c r="I222" s="6">
        <v>44501</v>
      </c>
      <c r="J222" s="4">
        <v>19318</v>
      </c>
      <c r="K222" s="71">
        <v>19318</v>
      </c>
      <c r="L222" s="4">
        <v>908.31200000000001</v>
      </c>
      <c r="M222" s="70">
        <v>908.31200000000001</v>
      </c>
      <c r="N222" s="4">
        <v>908.31200000000001</v>
      </c>
      <c r="O222" s="70">
        <v>908.31200000000001</v>
      </c>
      <c r="P222" s="4">
        <v>0</v>
      </c>
      <c r="Q222" s="3" t="s">
        <v>26</v>
      </c>
      <c r="R222" s="3">
        <v>0</v>
      </c>
      <c r="S222" s="3">
        <v>91</v>
      </c>
      <c r="T222" s="3">
        <v>88</v>
      </c>
      <c r="U222" s="3">
        <v>72</v>
      </c>
      <c r="V222" s="70">
        <f>IF(ISERROR(VLOOKUP($S$222,'TAR FIN'!$A$1:$O$99,15,0)),0,VLOOKUP($S$222,'TAR FIN'!$A$1:$O$99,15,0))*(1-0.06)</f>
        <v>56.588000000000001</v>
      </c>
      <c r="W222" s="70">
        <f>IF(ISERROR(VLOOKUP($T$222,'TAR FIN'!$A$1:$O$99,15,0)),0,VLOOKUP($T$222,'TAR FIN'!$A$1:$O$99,15,0))*(1-0.06)</f>
        <v>91.753399999999999</v>
      </c>
      <c r="X222" s="70">
        <f>IF(ISERROR(VLOOKUP($U$222,'TAR FIN'!$A$1:$O$99,15,0)),0,VLOOKUP($U$222,'TAR FIN'!$A$1:$O$99,15,0))*(1-0.06)</f>
        <v>325.8134</v>
      </c>
      <c r="Y222" s="70">
        <f ca="1">('TUSD BE'!$AM$13+'TUSD BF'!$AM$13+'TUSD CVA'!$AM$13)*1*(1-0.03)</f>
        <v>67.177479612125765</v>
      </c>
      <c r="Z222" s="70">
        <f ca="1">('TUSD BE'!$AM$15+'TUSD BF'!$AM$15+'TUSD CVA'!$AM$15)*1*(1-0.03)</f>
        <v>114.0634109344435</v>
      </c>
      <c r="AA222" s="70">
        <f>('TE BE'!$AA$7+'TE BF'!$AA$7+'TE CVA'!$AA$7)*1*(1-0.03)</f>
        <v>411.17962930251429</v>
      </c>
      <c r="AB222" s="70">
        <f>(SUBSIDIO!$J$222*SUBSIDIO!$V$222)*(0.06)/(1-0.06)</f>
        <v>69776.616000000009</v>
      </c>
      <c r="AC222" s="70">
        <f>((SUBSIDIO!$L$222*SUBSIDIO!$W$222)+(SUBSIDIO!$N$222*SUBSIDIO!$X$222))*(0.06)/(1-0.06)</f>
        <v>24209.421398399998</v>
      </c>
      <c r="AD222" s="70">
        <f ca="1">(SUBSIDIO!$J$222*SUBSIDIO!$Y$222)*(0.03)/(1-0.03)</f>
        <v>40136.120138568418</v>
      </c>
      <c r="AE222" s="70">
        <f ca="1">((SUBSIDIO!$L$222*SUBSIDIO!$Z$222)+(SUBSIDIO!$N$222*SUBSIDIO!$AA$222))*(0.03)/(1-0.03)</f>
        <v>14755.19246485706</v>
      </c>
      <c r="AF222" s="3" t="s">
        <v>953</v>
      </c>
    </row>
    <row r="223" spans="1:32" ht="11.25" customHeight="1" x14ac:dyDescent="0.25">
      <c r="A223" s="3" t="s">
        <v>21</v>
      </c>
      <c r="B223" s="3" t="s">
        <v>33</v>
      </c>
      <c r="C223" s="3" t="s">
        <v>42</v>
      </c>
      <c r="D223" s="3" t="s">
        <v>50</v>
      </c>
      <c r="E223" s="3" t="s">
        <v>51</v>
      </c>
      <c r="F223" s="3" t="s">
        <v>25</v>
      </c>
      <c r="G223" s="3" t="s">
        <v>25</v>
      </c>
      <c r="H223" s="3" t="s">
        <v>35</v>
      </c>
      <c r="I223" s="6">
        <v>44531</v>
      </c>
      <c r="J223" s="4">
        <v>19424</v>
      </c>
      <c r="K223" s="71">
        <v>19424</v>
      </c>
      <c r="L223" s="4">
        <v>1059.7370000000001</v>
      </c>
      <c r="M223" s="70">
        <v>1059.7370000000001</v>
      </c>
      <c r="N223" s="4">
        <v>1059.7370000000001</v>
      </c>
      <c r="O223" s="70">
        <v>1059.7370000000001</v>
      </c>
      <c r="P223" s="4">
        <v>0</v>
      </c>
      <c r="Q223" s="3" t="s">
        <v>26</v>
      </c>
      <c r="R223" s="3">
        <v>0</v>
      </c>
      <c r="S223" s="3">
        <v>91</v>
      </c>
      <c r="T223" s="3">
        <v>88</v>
      </c>
      <c r="U223" s="3">
        <v>72</v>
      </c>
      <c r="V223" s="70">
        <f>IF(ISERROR(VLOOKUP($S$223,'TAR FIN'!$A$1:$O$99,15,0)),0,VLOOKUP($S$223,'TAR FIN'!$A$1:$O$99,15,0))*(1-0.06)</f>
        <v>56.588000000000001</v>
      </c>
      <c r="W223" s="70">
        <f>IF(ISERROR(VLOOKUP($T$223,'TAR FIN'!$A$1:$O$99,15,0)),0,VLOOKUP($T$223,'TAR FIN'!$A$1:$O$99,15,0))*(1-0.06)</f>
        <v>91.753399999999999</v>
      </c>
      <c r="X223" s="70">
        <f>IF(ISERROR(VLOOKUP($U$223,'TAR FIN'!$A$1:$O$99,15,0)),0,VLOOKUP($U$223,'TAR FIN'!$A$1:$O$99,15,0))*(1-0.06)</f>
        <v>325.8134</v>
      </c>
      <c r="Y223" s="70">
        <f ca="1">('TUSD BE'!$AM$13+'TUSD BF'!$AM$13+'TUSD CVA'!$AM$13)*1*(1-0.03)</f>
        <v>67.177479612125765</v>
      </c>
      <c r="Z223" s="70">
        <f ca="1">('TUSD BE'!$AM$15+'TUSD BF'!$AM$15+'TUSD CVA'!$AM$15)*1*(1-0.03)</f>
        <v>114.0634109344435</v>
      </c>
      <c r="AA223" s="70">
        <f>('TE BE'!$AA$7+'TE BF'!$AA$7+'TE CVA'!$AA$7)*1*(1-0.03)</f>
        <v>411.17962930251429</v>
      </c>
      <c r="AB223" s="70">
        <f>(SUBSIDIO!$J$223*SUBSIDIO!$V$223)*(0.06)/(1-0.06)</f>
        <v>70159.487999999983</v>
      </c>
      <c r="AC223" s="70">
        <f>((SUBSIDIO!$L$223*SUBSIDIO!$W$223)+(SUBSIDIO!$N$223*SUBSIDIO!$X$223))*(0.06)/(1-0.06)</f>
        <v>28245.382208400002</v>
      </c>
      <c r="AD223" s="70">
        <f ca="1">(SUBSIDIO!$J$223*SUBSIDIO!$Y$223)*(0.03)/(1-0.03)</f>
        <v>40356.351463482395</v>
      </c>
      <c r="AE223" s="70">
        <f ca="1">((SUBSIDIO!$L$223*SUBSIDIO!$Z$223)+(SUBSIDIO!$N$223*SUBSIDIO!$AA$223))*(0.03)/(1-0.03)</f>
        <v>17215.035579327618</v>
      </c>
      <c r="AF223" s="3" t="s">
        <v>953</v>
      </c>
    </row>
    <row r="224" spans="1:32" ht="11.25" customHeight="1" x14ac:dyDescent="0.25">
      <c r="A224" s="3" t="s">
        <v>21</v>
      </c>
      <c r="B224" s="3" t="s">
        <v>33</v>
      </c>
      <c r="C224" s="3" t="s">
        <v>42</v>
      </c>
      <c r="D224" s="3" t="s">
        <v>50</v>
      </c>
      <c r="E224" s="3" t="s">
        <v>51</v>
      </c>
      <c r="F224" s="3" t="s">
        <v>25</v>
      </c>
      <c r="G224" s="3" t="s">
        <v>25</v>
      </c>
      <c r="H224" s="3" t="s">
        <v>35</v>
      </c>
      <c r="I224" s="6">
        <v>44562</v>
      </c>
      <c r="J224" s="4">
        <v>19206</v>
      </c>
      <c r="K224" s="71">
        <v>19206</v>
      </c>
      <c r="L224" s="4">
        <v>944.80399999999997</v>
      </c>
      <c r="M224" s="70">
        <v>944.80399999999997</v>
      </c>
      <c r="N224" s="4">
        <v>944.80399999999997</v>
      </c>
      <c r="O224" s="70">
        <v>944.80399999999997</v>
      </c>
      <c r="P224" s="4">
        <v>0</v>
      </c>
      <c r="Q224" s="3" t="s">
        <v>26</v>
      </c>
      <c r="R224" s="3">
        <v>0</v>
      </c>
      <c r="S224" s="3">
        <v>91</v>
      </c>
      <c r="T224" s="3">
        <v>88</v>
      </c>
      <c r="U224" s="3">
        <v>72</v>
      </c>
      <c r="V224" s="70">
        <f>IF(ISERROR(VLOOKUP($S$224,'TAR FIN'!$A$1:$O$99,15,0)),0,VLOOKUP($S$224,'TAR FIN'!$A$1:$O$99,15,0))*(1-0.06)</f>
        <v>56.588000000000001</v>
      </c>
      <c r="W224" s="70">
        <f>IF(ISERROR(VLOOKUP($T$224,'TAR FIN'!$A$1:$O$99,15,0)),0,VLOOKUP($T$224,'TAR FIN'!$A$1:$O$99,15,0))*(1-0.06)</f>
        <v>91.753399999999999</v>
      </c>
      <c r="X224" s="70">
        <f>IF(ISERROR(VLOOKUP($U$224,'TAR FIN'!$A$1:$O$99,15,0)),0,VLOOKUP($U$224,'TAR FIN'!$A$1:$O$99,15,0))*(1-0.06)</f>
        <v>325.8134</v>
      </c>
      <c r="Y224" s="70">
        <f ca="1">('TUSD BE'!$AM$13+'TUSD BF'!$AM$13+'TUSD CVA'!$AM$13)*1*(1-0.03)</f>
        <v>67.177479612125765</v>
      </c>
      <c r="Z224" s="70">
        <f ca="1">('TUSD BE'!$AM$15+'TUSD BF'!$AM$15+'TUSD CVA'!$AM$15)*1*(1-0.03)</f>
        <v>114.0634109344435</v>
      </c>
      <c r="AA224" s="70">
        <f>('TE BE'!$AA$7+'TE BF'!$AA$7+'TE CVA'!$AA$7)*1*(1-0.03)</f>
        <v>411.17962930251429</v>
      </c>
      <c r="AB224" s="70">
        <f>(SUBSIDIO!$J$224*SUBSIDIO!$V$224)*(0.06)/(1-0.06)</f>
        <v>69372.072</v>
      </c>
      <c r="AC224" s="70">
        <f>((SUBSIDIO!$L$224*SUBSIDIO!$W$224)+(SUBSIDIO!$N$224*SUBSIDIO!$X$224))*(0.06)/(1-0.06)</f>
        <v>25182.049972800003</v>
      </c>
      <c r="AD224" s="70">
        <f ca="1">(SUBSIDIO!$J$224*SUBSIDIO!$Y$224)*(0.03)/(1-0.03)</f>
        <v>39903.422889602713</v>
      </c>
      <c r="AE224" s="70">
        <f ca="1">((SUBSIDIO!$L$224*SUBSIDIO!$Z$224)+(SUBSIDIO!$N$224*SUBSIDIO!$AA$224))*(0.03)/(1-0.03)</f>
        <v>15347.991506846556</v>
      </c>
      <c r="AF224" s="3" t="s">
        <v>953</v>
      </c>
    </row>
    <row r="225" spans="1:32" ht="11.25" customHeight="1" x14ac:dyDescent="0.25">
      <c r="A225" s="3" t="s">
        <v>21</v>
      </c>
      <c r="B225" s="3" t="s">
        <v>33</v>
      </c>
      <c r="C225" s="3" t="s">
        <v>42</v>
      </c>
      <c r="D225" s="3" t="s">
        <v>50</v>
      </c>
      <c r="E225" s="3" t="s">
        <v>51</v>
      </c>
      <c r="F225" s="3" t="s">
        <v>25</v>
      </c>
      <c r="G225" s="3" t="s">
        <v>25</v>
      </c>
      <c r="H225" s="3" t="s">
        <v>35</v>
      </c>
      <c r="I225" s="6">
        <v>44593</v>
      </c>
      <c r="J225" s="4">
        <v>19036</v>
      </c>
      <c r="K225" s="71">
        <v>19036</v>
      </c>
      <c r="L225" s="4">
        <v>854.39700000000005</v>
      </c>
      <c r="M225" s="70">
        <v>854.39700000000005</v>
      </c>
      <c r="N225" s="4">
        <v>854.39700000000005</v>
      </c>
      <c r="O225" s="70">
        <v>854.39700000000005</v>
      </c>
      <c r="P225" s="4">
        <v>0</v>
      </c>
      <c r="Q225" s="3" t="s">
        <v>26</v>
      </c>
      <c r="R225" s="3">
        <v>0</v>
      </c>
      <c r="S225" s="3">
        <v>91</v>
      </c>
      <c r="T225" s="3">
        <v>88</v>
      </c>
      <c r="U225" s="3">
        <v>72</v>
      </c>
      <c r="V225" s="70">
        <f>IF(ISERROR(VLOOKUP($S$225,'TAR FIN'!$A$1:$O$99,15,0)),0,VLOOKUP($S$225,'TAR FIN'!$A$1:$O$99,15,0))*(1-0.06)</f>
        <v>56.588000000000001</v>
      </c>
      <c r="W225" s="70">
        <f>IF(ISERROR(VLOOKUP($T$225,'TAR FIN'!$A$1:$O$99,15,0)),0,VLOOKUP($T$225,'TAR FIN'!$A$1:$O$99,15,0))*(1-0.06)</f>
        <v>91.753399999999999</v>
      </c>
      <c r="X225" s="70">
        <f>IF(ISERROR(VLOOKUP($U$225,'TAR FIN'!$A$1:$O$99,15,0)),0,VLOOKUP($U$225,'TAR FIN'!$A$1:$O$99,15,0))*(1-0.06)</f>
        <v>325.8134</v>
      </c>
      <c r="Y225" s="70">
        <f ca="1">('TUSD BE'!$AM$13+'TUSD BF'!$AM$13+'TUSD CVA'!$AM$13)*1*(1-0.03)</f>
        <v>67.177479612125765</v>
      </c>
      <c r="Z225" s="70">
        <f ca="1">('TUSD BE'!$AM$15+'TUSD BF'!$AM$15+'TUSD CVA'!$AM$15)*1*(1-0.03)</f>
        <v>114.0634109344435</v>
      </c>
      <c r="AA225" s="70">
        <f>('TE BE'!$AA$7+'TE BF'!$AA$7+'TE CVA'!$AA$7)*1*(1-0.03)</f>
        <v>411.17962930251429</v>
      </c>
      <c r="AB225" s="70">
        <f>(SUBSIDIO!$J$225*SUBSIDIO!$V$225)*(0.06)/(1-0.06)</f>
        <v>68758.032000000007</v>
      </c>
      <c r="AC225" s="70">
        <f>((SUBSIDIO!$L$225*SUBSIDIO!$W$225)+(SUBSIDIO!$N$225*SUBSIDIO!$X$225))*(0.06)/(1-0.06)</f>
        <v>22772.414120400004</v>
      </c>
      <c r="AD225" s="70">
        <f ca="1">(SUBSIDIO!$J$225*SUBSIDIO!$Y$225)*(0.03)/(1-0.03)</f>
        <v>39550.221708136887</v>
      </c>
      <c r="AE225" s="70">
        <f ca="1">((SUBSIDIO!$L$225*SUBSIDIO!$Z$225)+(SUBSIDIO!$N$225*SUBSIDIO!$AA$225))*(0.03)/(1-0.03)</f>
        <v>13879.363232453692</v>
      </c>
      <c r="AF225" s="3" t="s">
        <v>953</v>
      </c>
    </row>
    <row r="226" spans="1:32" ht="11.25" customHeight="1" x14ac:dyDescent="0.25">
      <c r="A226" s="3" t="s">
        <v>21</v>
      </c>
      <c r="B226" s="3" t="s">
        <v>33</v>
      </c>
      <c r="C226" s="3" t="s">
        <v>42</v>
      </c>
      <c r="D226" s="3" t="s">
        <v>50</v>
      </c>
      <c r="E226" s="3" t="s">
        <v>51</v>
      </c>
      <c r="F226" s="3" t="s">
        <v>25</v>
      </c>
      <c r="G226" s="3" t="s">
        <v>25</v>
      </c>
      <c r="H226" s="3" t="s">
        <v>35</v>
      </c>
      <c r="I226" s="6">
        <v>44621</v>
      </c>
      <c r="J226" s="4">
        <v>19159</v>
      </c>
      <c r="K226" s="71">
        <v>19159</v>
      </c>
      <c r="L226" s="4">
        <v>969.45799999999997</v>
      </c>
      <c r="M226" s="70">
        <v>969.45799999999997</v>
      </c>
      <c r="N226" s="4">
        <v>969.45799999999997</v>
      </c>
      <c r="O226" s="70">
        <v>969.45799999999997</v>
      </c>
      <c r="P226" s="4">
        <v>0</v>
      </c>
      <c r="Q226" s="3" t="s">
        <v>26</v>
      </c>
      <c r="R226" s="3">
        <v>0</v>
      </c>
      <c r="S226" s="3">
        <v>91</v>
      </c>
      <c r="T226" s="3">
        <v>88</v>
      </c>
      <c r="U226" s="3">
        <v>72</v>
      </c>
      <c r="V226" s="70">
        <f>IF(ISERROR(VLOOKUP($S$226,'TAR FIN'!$A$1:$O$99,15,0)),0,VLOOKUP($S$226,'TAR FIN'!$A$1:$O$99,15,0))*(1-0.06)</f>
        <v>56.588000000000001</v>
      </c>
      <c r="W226" s="70">
        <f>IF(ISERROR(VLOOKUP($T$226,'TAR FIN'!$A$1:$O$99,15,0)),0,VLOOKUP($T$226,'TAR FIN'!$A$1:$O$99,15,0))*(1-0.06)</f>
        <v>91.753399999999999</v>
      </c>
      <c r="X226" s="70">
        <f>IF(ISERROR(VLOOKUP($U$226,'TAR FIN'!$A$1:$O$99,15,0)),0,VLOOKUP($U$226,'TAR FIN'!$A$1:$O$99,15,0))*(1-0.06)</f>
        <v>325.8134</v>
      </c>
      <c r="Y226" s="70">
        <f ca="1">('TUSD BE'!$AM$13+'TUSD BF'!$AM$13+'TUSD CVA'!$AM$13)*1*(1-0.03)</f>
        <v>67.177479612125765</v>
      </c>
      <c r="Z226" s="70">
        <f ca="1">('TUSD BE'!$AM$15+'TUSD BF'!$AM$15+'TUSD CVA'!$AM$15)*1*(1-0.03)</f>
        <v>114.0634109344435</v>
      </c>
      <c r="AA226" s="70">
        <f>('TE BE'!$AA$7+'TE BF'!$AA$7+'TE CVA'!$AA$7)*1*(1-0.03)</f>
        <v>411.17962930251429</v>
      </c>
      <c r="AB226" s="70">
        <f>(SUBSIDIO!$J$226*SUBSIDIO!$V$226)*(0.06)/(1-0.06)</f>
        <v>69202.308000000005</v>
      </c>
      <c r="AC226" s="70">
        <f>((SUBSIDIO!$L$226*SUBSIDIO!$W$226)+(SUBSIDIO!$N$226*SUBSIDIO!$X$226))*(0.06)/(1-0.06)</f>
        <v>25839.157965599999</v>
      </c>
      <c r="AD226" s="70">
        <f ca="1">(SUBSIDIO!$J$226*SUBSIDIO!$Y$226)*(0.03)/(1-0.03)</f>
        <v>39805.773151197456</v>
      </c>
      <c r="AE226" s="70">
        <f ca="1">((SUBSIDIO!$L$226*SUBSIDIO!$Z$226)+(SUBSIDIO!$N$226*SUBSIDIO!$AA$226))*(0.03)/(1-0.03)</f>
        <v>15748.486617588886</v>
      </c>
      <c r="AF226" s="3" t="s">
        <v>953</v>
      </c>
    </row>
    <row r="227" spans="1:32" ht="11.25" customHeight="1" x14ac:dyDescent="0.25">
      <c r="A227" s="3" t="s">
        <v>56</v>
      </c>
      <c r="B227" s="3" t="s">
        <v>33</v>
      </c>
      <c r="C227" s="3" t="s">
        <v>42</v>
      </c>
      <c r="D227" s="3" t="s">
        <v>50</v>
      </c>
      <c r="E227" s="3" t="s">
        <v>51</v>
      </c>
      <c r="F227" s="3" t="s">
        <v>25</v>
      </c>
      <c r="G227" s="3" t="s">
        <v>25</v>
      </c>
      <c r="H227" s="3" t="s">
        <v>35</v>
      </c>
      <c r="I227" s="6">
        <v>44652</v>
      </c>
      <c r="J227" s="4">
        <v>19159</v>
      </c>
      <c r="K227" s="71">
        <v>19159</v>
      </c>
      <c r="L227" s="4">
        <v>969.45799999999997</v>
      </c>
      <c r="M227" s="70">
        <v>969.45799999999997</v>
      </c>
      <c r="N227" s="4">
        <v>969.45799999999997</v>
      </c>
      <c r="O227" s="70">
        <v>969.45799999999997</v>
      </c>
      <c r="P227" s="4">
        <v>0</v>
      </c>
      <c r="Q227" s="3" t="s">
        <v>26</v>
      </c>
      <c r="R227" s="3">
        <v>0</v>
      </c>
      <c r="S227" s="3">
        <v>91</v>
      </c>
      <c r="T227" s="3">
        <v>88</v>
      </c>
      <c r="U227" s="3">
        <v>72</v>
      </c>
      <c r="V227" s="70">
        <f>IF(ISERROR(VLOOKUP($S$227,'TAR FIN'!$A$1:$O$99,15,0)),0,VLOOKUP($S$227,'TAR FIN'!$A$1:$O$99,15,0))*(1-0.06)</f>
        <v>56.588000000000001</v>
      </c>
      <c r="W227" s="70">
        <f>IF(ISERROR(VLOOKUP($T$227,'TAR FIN'!$A$1:$O$99,15,0)),0,VLOOKUP($T$227,'TAR FIN'!$A$1:$O$99,15,0))*(1-0.06)</f>
        <v>91.753399999999999</v>
      </c>
      <c r="X227" s="70">
        <f>IF(ISERROR(VLOOKUP($U$227,'TAR FIN'!$A$1:$O$99,15,0)),0,VLOOKUP($U$227,'TAR FIN'!$A$1:$O$99,15,0))*(1-0.06)</f>
        <v>325.8134</v>
      </c>
      <c r="Y227" s="70">
        <f ca="1">('TUSD BE'!$AM$13+'TUSD BF'!$AM$13+'TUSD CVA'!$AM$13)*1*(1-0.03)</f>
        <v>67.177479612125765</v>
      </c>
      <c r="Z227" s="70">
        <f ca="1">('TUSD BE'!$AM$15+'TUSD BF'!$AM$15+'TUSD CVA'!$AM$15)*1*(1-0.03)</f>
        <v>114.0634109344435</v>
      </c>
      <c r="AA227" s="70">
        <f>('TE BE'!$AA$7+'TE BF'!$AA$7+'TE CVA'!$AA$7)*1*(1-0.03)</f>
        <v>411.17962930251429</v>
      </c>
      <c r="AB227" s="70">
        <f>(SUBSIDIO!$J$227*SUBSIDIO!$V$227)*(0.06)/(1-0.06)</f>
        <v>69202.308000000005</v>
      </c>
      <c r="AC227" s="70">
        <f>((SUBSIDIO!$L$227*SUBSIDIO!$W$227)+(SUBSIDIO!$N$227*SUBSIDIO!$X$227))*(0.06)/(1-0.06)</f>
        <v>25839.157965599999</v>
      </c>
      <c r="AD227" s="70">
        <f ca="1">(SUBSIDIO!$J$227*SUBSIDIO!$Y$227)*(0.03)/(1-0.03)</f>
        <v>39805.773151197456</v>
      </c>
      <c r="AE227" s="70">
        <f ca="1">((SUBSIDIO!$L$227*SUBSIDIO!$Z$227)+(SUBSIDIO!$N$227*SUBSIDIO!$AA$227))*(0.03)/(1-0.03)</f>
        <v>15748.486617588886</v>
      </c>
      <c r="AF227" s="3" t="s">
        <v>953</v>
      </c>
    </row>
    <row r="228" spans="1:32" ht="11.25" customHeight="1" x14ac:dyDescent="0.25">
      <c r="A228" s="3" t="s">
        <v>21</v>
      </c>
      <c r="B228" s="3" t="s">
        <v>33</v>
      </c>
      <c r="C228" s="3" t="s">
        <v>64</v>
      </c>
      <c r="D228" s="3" t="s">
        <v>25</v>
      </c>
      <c r="E228" s="3" t="s">
        <v>25</v>
      </c>
      <c r="F228" s="3" t="s">
        <v>65</v>
      </c>
      <c r="G228" s="3" t="s">
        <v>68</v>
      </c>
      <c r="H228" s="3" t="s">
        <v>25</v>
      </c>
      <c r="I228" s="6">
        <v>44317</v>
      </c>
      <c r="J228" s="4">
        <v>2228</v>
      </c>
      <c r="K228" s="4">
        <v>1114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3" t="s">
        <v>67</v>
      </c>
      <c r="R228" s="3">
        <v>28543</v>
      </c>
      <c r="S228" s="3">
        <v>6</v>
      </c>
      <c r="T228" s="3">
        <v>0</v>
      </c>
      <c r="U228" s="3">
        <v>0</v>
      </c>
      <c r="V228" s="4">
        <f>IF(ISERROR(VLOOKUP($S$228,'TAR FIN'!$A$1:$O$99,15,0)),0,VLOOKUP($S$228,'TAR FIN'!$A$1:$O$99,15,0))</f>
        <v>11.99</v>
      </c>
      <c r="W228" s="4">
        <f>IF(ISERROR(VLOOKUP($T$228,'TAR FIN'!$A$1:$O$99,15,0)),0,VLOOKUP($T$228,'TAR FIN'!$A$1:$O$99,15,0))</f>
        <v>0</v>
      </c>
      <c r="X228" s="4">
        <f>IF(ISERROR(VLOOKUP($U$228,'TAR FIN'!$A$1:$O$99,15,0)),0,VLOOKUP($U$228,'TAR FIN'!$A$1:$O$99,15,0))</f>
        <v>0</v>
      </c>
      <c r="Y228" s="4">
        <f ca="1">('TUSD BE'!$AM$20+'TUSD BF'!$AM$20+'TUSD CVA'!$AM$20)*1</f>
        <v>15.10133596192736</v>
      </c>
      <c r="Z228" s="4"/>
      <c r="AA228" s="4"/>
      <c r="AB228" s="4">
        <f t="shared" si="14"/>
        <v>13356.86</v>
      </c>
      <c r="AC228" s="4">
        <f t="shared" si="15"/>
        <v>0</v>
      </c>
      <c r="AD228" s="4">
        <f t="shared" ca="1" si="16"/>
        <v>16822.888261587079</v>
      </c>
      <c r="AE228" s="4">
        <f t="shared" si="17"/>
        <v>0</v>
      </c>
      <c r="AF228" s="3" t="s">
        <v>954</v>
      </c>
    </row>
    <row r="229" spans="1:32" ht="11.25" customHeight="1" x14ac:dyDescent="0.25">
      <c r="A229" s="3" t="s">
        <v>21</v>
      </c>
      <c r="B229" s="3" t="s">
        <v>33</v>
      </c>
      <c r="C229" s="3" t="s">
        <v>64</v>
      </c>
      <c r="D229" s="3" t="s">
        <v>25</v>
      </c>
      <c r="E229" s="3" t="s">
        <v>25</v>
      </c>
      <c r="F229" s="3" t="s">
        <v>65</v>
      </c>
      <c r="G229" s="3" t="s">
        <v>68</v>
      </c>
      <c r="H229" s="3" t="s">
        <v>25</v>
      </c>
      <c r="I229" s="6">
        <v>44348</v>
      </c>
      <c r="J229" s="4">
        <v>2297</v>
      </c>
      <c r="K229" s="4">
        <v>1148.5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3" t="s">
        <v>67</v>
      </c>
      <c r="R229" s="3">
        <v>28543</v>
      </c>
      <c r="S229" s="3">
        <v>6</v>
      </c>
      <c r="T229" s="3">
        <v>0</v>
      </c>
      <c r="U229" s="3">
        <v>0</v>
      </c>
      <c r="V229" s="4">
        <f>IF(ISERROR(VLOOKUP($S$229,'TAR FIN'!$A$1:$O$99,15,0)),0,VLOOKUP($S$229,'TAR FIN'!$A$1:$O$99,15,0))</f>
        <v>11.99</v>
      </c>
      <c r="W229" s="4">
        <f>IF(ISERROR(VLOOKUP($T$229,'TAR FIN'!$A$1:$O$99,15,0)),0,VLOOKUP($T$229,'TAR FIN'!$A$1:$O$99,15,0))</f>
        <v>0</v>
      </c>
      <c r="X229" s="4">
        <f>IF(ISERROR(VLOOKUP($U$229,'TAR FIN'!$A$1:$O$99,15,0)),0,VLOOKUP($U$229,'TAR FIN'!$A$1:$O$99,15,0))</f>
        <v>0</v>
      </c>
      <c r="Y229" s="4">
        <f ca="1">('TUSD BE'!$AM$20+'TUSD BF'!$AM$20+'TUSD CVA'!$AM$20)*1</f>
        <v>15.10133596192736</v>
      </c>
      <c r="Z229" s="4"/>
      <c r="AA229" s="4"/>
      <c r="AB229" s="4">
        <f t="shared" si="14"/>
        <v>13770.514999999999</v>
      </c>
      <c r="AC229" s="4">
        <f t="shared" si="15"/>
        <v>0</v>
      </c>
      <c r="AD229" s="4">
        <f t="shared" ca="1" si="16"/>
        <v>17343.884352273573</v>
      </c>
      <c r="AE229" s="4">
        <f t="shared" si="17"/>
        <v>0</v>
      </c>
      <c r="AF229" s="3" t="s">
        <v>954</v>
      </c>
    </row>
    <row r="230" spans="1:32" ht="11.25" customHeight="1" x14ac:dyDescent="0.25">
      <c r="A230" s="3" t="s">
        <v>21</v>
      </c>
      <c r="B230" s="3" t="s">
        <v>33</v>
      </c>
      <c r="C230" s="3" t="s">
        <v>64</v>
      </c>
      <c r="D230" s="3" t="s">
        <v>25</v>
      </c>
      <c r="E230" s="3" t="s">
        <v>25</v>
      </c>
      <c r="F230" s="3" t="s">
        <v>65</v>
      </c>
      <c r="G230" s="3" t="s">
        <v>68</v>
      </c>
      <c r="H230" s="3" t="s">
        <v>25</v>
      </c>
      <c r="I230" s="6">
        <v>44378</v>
      </c>
      <c r="J230" s="4">
        <v>2266</v>
      </c>
      <c r="K230" s="4">
        <v>1133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3" t="s">
        <v>67</v>
      </c>
      <c r="R230" s="3">
        <v>28543</v>
      </c>
      <c r="S230" s="3">
        <v>6</v>
      </c>
      <c r="T230" s="3">
        <v>0</v>
      </c>
      <c r="U230" s="3">
        <v>0</v>
      </c>
      <c r="V230" s="4">
        <f>IF(ISERROR(VLOOKUP($S$230,'TAR FIN'!$A$1:$O$99,15,0)),0,VLOOKUP($S$230,'TAR FIN'!$A$1:$O$99,15,0))</f>
        <v>11.99</v>
      </c>
      <c r="W230" s="4">
        <f>IF(ISERROR(VLOOKUP($T$230,'TAR FIN'!$A$1:$O$99,15,0)),0,VLOOKUP($T$230,'TAR FIN'!$A$1:$O$99,15,0))</f>
        <v>0</v>
      </c>
      <c r="X230" s="4">
        <f>IF(ISERROR(VLOOKUP($U$230,'TAR FIN'!$A$1:$O$99,15,0)),0,VLOOKUP($U$230,'TAR FIN'!$A$1:$O$99,15,0))</f>
        <v>0</v>
      </c>
      <c r="Y230" s="4">
        <f ca="1">('TUSD BE'!$AM$20+'TUSD BF'!$AM$20+'TUSD CVA'!$AM$20)*1</f>
        <v>15.10133596192736</v>
      </c>
      <c r="Z230" s="4"/>
      <c r="AA230" s="4"/>
      <c r="AB230" s="4">
        <f t="shared" si="14"/>
        <v>13584.67</v>
      </c>
      <c r="AC230" s="4">
        <f t="shared" si="15"/>
        <v>0</v>
      </c>
      <c r="AD230" s="4">
        <f t="shared" ca="1" si="16"/>
        <v>17109.813644863698</v>
      </c>
      <c r="AE230" s="4">
        <f t="shared" si="17"/>
        <v>0</v>
      </c>
      <c r="AF230" s="3" t="s">
        <v>954</v>
      </c>
    </row>
    <row r="231" spans="1:32" ht="11.25" customHeight="1" x14ac:dyDescent="0.25">
      <c r="A231" s="3" t="s">
        <v>21</v>
      </c>
      <c r="B231" s="3" t="s">
        <v>33</v>
      </c>
      <c r="C231" s="3" t="s">
        <v>64</v>
      </c>
      <c r="D231" s="3" t="s">
        <v>25</v>
      </c>
      <c r="E231" s="3" t="s">
        <v>25</v>
      </c>
      <c r="F231" s="3" t="s">
        <v>65</v>
      </c>
      <c r="G231" s="3" t="s">
        <v>68</v>
      </c>
      <c r="H231" s="3" t="s">
        <v>25</v>
      </c>
      <c r="I231" s="6">
        <v>44409</v>
      </c>
      <c r="J231" s="4">
        <v>2173</v>
      </c>
      <c r="K231" s="4">
        <v>1086.5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3" t="s">
        <v>67</v>
      </c>
      <c r="R231" s="3">
        <v>28543</v>
      </c>
      <c r="S231" s="3">
        <v>6</v>
      </c>
      <c r="T231" s="3">
        <v>0</v>
      </c>
      <c r="U231" s="3">
        <v>0</v>
      </c>
      <c r="V231" s="4">
        <f>IF(ISERROR(VLOOKUP($S$231,'TAR FIN'!$A$1:$O$99,15,0)),0,VLOOKUP($S$231,'TAR FIN'!$A$1:$O$99,15,0))</f>
        <v>11.99</v>
      </c>
      <c r="W231" s="4">
        <f>IF(ISERROR(VLOOKUP($T$231,'TAR FIN'!$A$1:$O$99,15,0)),0,VLOOKUP($T$231,'TAR FIN'!$A$1:$O$99,15,0))</f>
        <v>0</v>
      </c>
      <c r="X231" s="4">
        <f>IF(ISERROR(VLOOKUP($U$231,'TAR FIN'!$A$1:$O$99,15,0)),0,VLOOKUP($U$231,'TAR FIN'!$A$1:$O$99,15,0))</f>
        <v>0</v>
      </c>
      <c r="Y231" s="4">
        <f ca="1">('TUSD BE'!$AM$20+'TUSD BF'!$AM$20+'TUSD CVA'!$AM$20)*1</f>
        <v>15.10133596192736</v>
      </c>
      <c r="Z231" s="4"/>
      <c r="AA231" s="4"/>
      <c r="AB231" s="4">
        <f t="shared" si="14"/>
        <v>13027.135</v>
      </c>
      <c r="AC231" s="4">
        <f t="shared" si="15"/>
        <v>0</v>
      </c>
      <c r="AD231" s="4">
        <f t="shared" ca="1" si="16"/>
        <v>16407.601522634075</v>
      </c>
      <c r="AE231" s="4">
        <f t="shared" si="17"/>
        <v>0</v>
      </c>
      <c r="AF231" s="3" t="s">
        <v>954</v>
      </c>
    </row>
    <row r="232" spans="1:32" ht="11.25" customHeight="1" x14ac:dyDescent="0.25">
      <c r="A232" s="3" t="s">
        <v>21</v>
      </c>
      <c r="B232" s="3" t="s">
        <v>33</v>
      </c>
      <c r="C232" s="3" t="s">
        <v>64</v>
      </c>
      <c r="D232" s="3" t="s">
        <v>25</v>
      </c>
      <c r="E232" s="3" t="s">
        <v>25</v>
      </c>
      <c r="F232" s="3" t="s">
        <v>65</v>
      </c>
      <c r="G232" s="3" t="s">
        <v>68</v>
      </c>
      <c r="H232" s="3" t="s">
        <v>25</v>
      </c>
      <c r="I232" s="6">
        <v>44440</v>
      </c>
      <c r="J232" s="4">
        <v>3136</v>
      </c>
      <c r="K232" s="4">
        <v>1568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3" t="s">
        <v>67</v>
      </c>
      <c r="R232" s="3">
        <v>28543</v>
      </c>
      <c r="S232" s="3">
        <v>6</v>
      </c>
      <c r="T232" s="3">
        <v>0</v>
      </c>
      <c r="U232" s="3">
        <v>0</v>
      </c>
      <c r="V232" s="4">
        <f>IF(ISERROR(VLOOKUP($S$232,'TAR FIN'!$A$1:$O$99,15,0)),0,VLOOKUP($S$232,'TAR FIN'!$A$1:$O$99,15,0))</f>
        <v>11.99</v>
      </c>
      <c r="W232" s="4">
        <f>IF(ISERROR(VLOOKUP($T$232,'TAR FIN'!$A$1:$O$99,15,0)),0,VLOOKUP($T$232,'TAR FIN'!$A$1:$O$99,15,0))</f>
        <v>0</v>
      </c>
      <c r="X232" s="4">
        <f>IF(ISERROR(VLOOKUP($U$232,'TAR FIN'!$A$1:$O$99,15,0)),0,VLOOKUP($U$232,'TAR FIN'!$A$1:$O$99,15,0))</f>
        <v>0</v>
      </c>
      <c r="Y232" s="4">
        <f ca="1">('TUSD BE'!$AM$20+'TUSD BF'!$AM$20+'TUSD CVA'!$AM$20)*1</f>
        <v>15.10133596192736</v>
      </c>
      <c r="Z232" s="4"/>
      <c r="AA232" s="4"/>
      <c r="AB232" s="4">
        <f t="shared" si="14"/>
        <v>18800.32</v>
      </c>
      <c r="AC232" s="4">
        <f t="shared" si="15"/>
        <v>0</v>
      </c>
      <c r="AD232" s="4">
        <f t="shared" ca="1" si="16"/>
        <v>23678.894788302099</v>
      </c>
      <c r="AE232" s="4">
        <f t="shared" si="17"/>
        <v>0</v>
      </c>
      <c r="AF232" s="3" t="s">
        <v>954</v>
      </c>
    </row>
    <row r="233" spans="1:32" ht="11.25" customHeight="1" x14ac:dyDescent="0.25">
      <c r="A233" s="3" t="s">
        <v>21</v>
      </c>
      <c r="B233" s="3" t="s">
        <v>33</v>
      </c>
      <c r="C233" s="3" t="s">
        <v>64</v>
      </c>
      <c r="D233" s="3" t="s">
        <v>25</v>
      </c>
      <c r="E233" s="3" t="s">
        <v>25</v>
      </c>
      <c r="F233" s="3" t="s">
        <v>65</v>
      </c>
      <c r="G233" s="3" t="s">
        <v>68</v>
      </c>
      <c r="H233" s="3" t="s">
        <v>25</v>
      </c>
      <c r="I233" s="6">
        <v>44470</v>
      </c>
      <c r="J233" s="4">
        <v>2407</v>
      </c>
      <c r="K233" s="4">
        <v>1203.5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3" t="s">
        <v>67</v>
      </c>
      <c r="R233" s="3">
        <v>28543</v>
      </c>
      <c r="S233" s="3">
        <v>6</v>
      </c>
      <c r="T233" s="3">
        <v>0</v>
      </c>
      <c r="U233" s="3">
        <v>0</v>
      </c>
      <c r="V233" s="4">
        <f>IF(ISERROR(VLOOKUP($S$233,'TAR FIN'!$A$1:$O$99,15,0)),0,VLOOKUP($S$233,'TAR FIN'!$A$1:$O$99,15,0))</f>
        <v>11.99</v>
      </c>
      <c r="W233" s="4">
        <f>IF(ISERROR(VLOOKUP($T$233,'TAR FIN'!$A$1:$O$99,15,0)),0,VLOOKUP($T$233,'TAR FIN'!$A$1:$O$99,15,0))</f>
        <v>0</v>
      </c>
      <c r="X233" s="4">
        <f>IF(ISERROR(VLOOKUP($U$233,'TAR FIN'!$A$1:$O$99,15,0)),0,VLOOKUP($U$233,'TAR FIN'!$A$1:$O$99,15,0))</f>
        <v>0</v>
      </c>
      <c r="Y233" s="4">
        <f ca="1">('TUSD BE'!$AM$20+'TUSD BF'!$AM$20+'TUSD CVA'!$AM$20)*1</f>
        <v>15.10133596192736</v>
      </c>
      <c r="Z233" s="4"/>
      <c r="AA233" s="4"/>
      <c r="AB233" s="4">
        <f t="shared" si="14"/>
        <v>14429.965</v>
      </c>
      <c r="AC233" s="4">
        <f t="shared" si="15"/>
        <v>0</v>
      </c>
      <c r="AD233" s="4">
        <f t="shared" ca="1" si="16"/>
        <v>18174.457830179577</v>
      </c>
      <c r="AE233" s="4">
        <f t="shared" si="17"/>
        <v>0</v>
      </c>
      <c r="AF233" s="3" t="s">
        <v>954</v>
      </c>
    </row>
    <row r="234" spans="1:32" ht="11.25" customHeight="1" x14ac:dyDescent="0.25">
      <c r="A234" s="3" t="s">
        <v>21</v>
      </c>
      <c r="B234" s="3" t="s">
        <v>33</v>
      </c>
      <c r="C234" s="3" t="s">
        <v>64</v>
      </c>
      <c r="D234" s="3" t="s">
        <v>25</v>
      </c>
      <c r="E234" s="3" t="s">
        <v>25</v>
      </c>
      <c r="F234" s="3" t="s">
        <v>65</v>
      </c>
      <c r="G234" s="3" t="s">
        <v>68</v>
      </c>
      <c r="H234" s="3" t="s">
        <v>25</v>
      </c>
      <c r="I234" s="6">
        <v>44501</v>
      </c>
      <c r="J234" s="4">
        <v>2002</v>
      </c>
      <c r="K234" s="4">
        <v>1001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3" t="s">
        <v>67</v>
      </c>
      <c r="R234" s="3">
        <v>28543</v>
      </c>
      <c r="S234" s="3">
        <v>6</v>
      </c>
      <c r="T234" s="3">
        <v>0</v>
      </c>
      <c r="U234" s="3">
        <v>0</v>
      </c>
      <c r="V234" s="4">
        <f>IF(ISERROR(VLOOKUP($S$234,'TAR FIN'!$A$1:$O$99,15,0)),0,VLOOKUP($S$234,'TAR FIN'!$A$1:$O$99,15,0))</f>
        <v>11.99</v>
      </c>
      <c r="W234" s="4">
        <f>IF(ISERROR(VLOOKUP($T$234,'TAR FIN'!$A$1:$O$99,15,0)),0,VLOOKUP($T$234,'TAR FIN'!$A$1:$O$99,15,0))</f>
        <v>0</v>
      </c>
      <c r="X234" s="4">
        <f>IF(ISERROR(VLOOKUP($U$234,'TAR FIN'!$A$1:$O$99,15,0)),0,VLOOKUP($U$234,'TAR FIN'!$A$1:$O$99,15,0))</f>
        <v>0</v>
      </c>
      <c r="Y234" s="4">
        <f ca="1">('TUSD BE'!$AM$20+'TUSD BF'!$AM$20+'TUSD CVA'!$AM$20)*1</f>
        <v>15.10133596192736</v>
      </c>
      <c r="Z234" s="4"/>
      <c r="AA234" s="4"/>
      <c r="AB234" s="4">
        <f t="shared" si="14"/>
        <v>12001.99</v>
      </c>
      <c r="AC234" s="4">
        <f t="shared" si="15"/>
        <v>0</v>
      </c>
      <c r="AD234" s="4">
        <f t="shared" ca="1" si="16"/>
        <v>15116.437297889288</v>
      </c>
      <c r="AE234" s="4">
        <f t="shared" si="17"/>
        <v>0</v>
      </c>
      <c r="AF234" s="3" t="s">
        <v>954</v>
      </c>
    </row>
    <row r="235" spans="1:32" ht="11.25" customHeight="1" x14ac:dyDescent="0.25">
      <c r="A235" s="3" t="s">
        <v>21</v>
      </c>
      <c r="B235" s="3" t="s">
        <v>33</v>
      </c>
      <c r="C235" s="3" t="s">
        <v>64</v>
      </c>
      <c r="D235" s="3" t="s">
        <v>25</v>
      </c>
      <c r="E235" s="3" t="s">
        <v>25</v>
      </c>
      <c r="F235" s="3" t="s">
        <v>65</v>
      </c>
      <c r="G235" s="3" t="s">
        <v>68</v>
      </c>
      <c r="H235" s="3" t="s">
        <v>25</v>
      </c>
      <c r="I235" s="6">
        <v>44531</v>
      </c>
      <c r="J235" s="4">
        <v>2119</v>
      </c>
      <c r="K235" s="4">
        <v>1059.5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3" t="s">
        <v>67</v>
      </c>
      <c r="R235" s="3">
        <v>28543</v>
      </c>
      <c r="S235" s="3">
        <v>6</v>
      </c>
      <c r="T235" s="3">
        <v>0</v>
      </c>
      <c r="U235" s="3">
        <v>0</v>
      </c>
      <c r="V235" s="4">
        <f>IF(ISERROR(VLOOKUP($S$235,'TAR FIN'!$A$1:$O$99,15,0)),0,VLOOKUP($S$235,'TAR FIN'!$A$1:$O$99,15,0))</f>
        <v>11.99</v>
      </c>
      <c r="W235" s="4">
        <f>IF(ISERROR(VLOOKUP($T$235,'TAR FIN'!$A$1:$O$99,15,0)),0,VLOOKUP($T$235,'TAR FIN'!$A$1:$O$99,15,0))</f>
        <v>0</v>
      </c>
      <c r="X235" s="4">
        <f>IF(ISERROR(VLOOKUP($U$235,'TAR FIN'!$A$1:$O$99,15,0)),0,VLOOKUP($U$235,'TAR FIN'!$A$1:$O$99,15,0))</f>
        <v>0</v>
      </c>
      <c r="Y235" s="4">
        <f ca="1">('TUSD BE'!$AM$20+'TUSD BF'!$AM$20+'TUSD CVA'!$AM$20)*1</f>
        <v>15.10133596192736</v>
      </c>
      <c r="Z235" s="4"/>
      <c r="AA235" s="4"/>
      <c r="AB235" s="4">
        <f t="shared" si="14"/>
        <v>12703.405000000001</v>
      </c>
      <c r="AC235" s="4">
        <f t="shared" si="15"/>
        <v>0</v>
      </c>
      <c r="AD235" s="4">
        <f t="shared" ca="1" si="16"/>
        <v>15999.865451662037</v>
      </c>
      <c r="AE235" s="4">
        <f t="shared" si="17"/>
        <v>0</v>
      </c>
      <c r="AF235" s="3" t="s">
        <v>954</v>
      </c>
    </row>
    <row r="236" spans="1:32" ht="11.25" customHeight="1" x14ac:dyDescent="0.25">
      <c r="A236" s="3" t="s">
        <v>21</v>
      </c>
      <c r="B236" s="3" t="s">
        <v>33</v>
      </c>
      <c r="C236" s="3" t="s">
        <v>64</v>
      </c>
      <c r="D236" s="3" t="s">
        <v>25</v>
      </c>
      <c r="E236" s="3" t="s">
        <v>25</v>
      </c>
      <c r="F236" s="3" t="s">
        <v>65</v>
      </c>
      <c r="G236" s="3" t="s">
        <v>68</v>
      </c>
      <c r="H236" s="3" t="s">
        <v>25</v>
      </c>
      <c r="I236" s="6">
        <v>44562</v>
      </c>
      <c r="J236" s="4">
        <v>2083</v>
      </c>
      <c r="K236" s="4">
        <v>1041.5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3" t="s">
        <v>67</v>
      </c>
      <c r="R236" s="3">
        <v>28543</v>
      </c>
      <c r="S236" s="3">
        <v>6</v>
      </c>
      <c r="T236" s="3">
        <v>0</v>
      </c>
      <c r="U236" s="3">
        <v>0</v>
      </c>
      <c r="V236" s="4">
        <f>IF(ISERROR(VLOOKUP($S$236,'TAR FIN'!$A$1:$O$99,15,0)),0,VLOOKUP($S$236,'TAR FIN'!$A$1:$O$99,15,0))</f>
        <v>11.99</v>
      </c>
      <c r="W236" s="4">
        <f>IF(ISERROR(VLOOKUP($T$236,'TAR FIN'!$A$1:$O$99,15,0)),0,VLOOKUP($T$236,'TAR FIN'!$A$1:$O$99,15,0))</f>
        <v>0</v>
      </c>
      <c r="X236" s="4">
        <f>IF(ISERROR(VLOOKUP($U$236,'TAR FIN'!$A$1:$O$99,15,0)),0,VLOOKUP($U$236,'TAR FIN'!$A$1:$O$99,15,0))</f>
        <v>0</v>
      </c>
      <c r="Y236" s="4">
        <f ca="1">('TUSD BE'!$AM$20+'TUSD BF'!$AM$20+'TUSD CVA'!$AM$20)*1</f>
        <v>15.10133596192736</v>
      </c>
      <c r="Z236" s="4"/>
      <c r="AA236" s="4"/>
      <c r="AB236" s="4">
        <f t="shared" si="14"/>
        <v>12487.585000000001</v>
      </c>
      <c r="AC236" s="4">
        <f t="shared" si="15"/>
        <v>0</v>
      </c>
      <c r="AD236" s="4">
        <f t="shared" ca="1" si="16"/>
        <v>15728.041404347345</v>
      </c>
      <c r="AE236" s="4">
        <f t="shared" si="17"/>
        <v>0</v>
      </c>
      <c r="AF236" s="3" t="s">
        <v>954</v>
      </c>
    </row>
    <row r="237" spans="1:32" ht="11.25" customHeight="1" x14ac:dyDescent="0.25">
      <c r="A237" s="3" t="s">
        <v>21</v>
      </c>
      <c r="B237" s="3" t="s">
        <v>33</v>
      </c>
      <c r="C237" s="3" t="s">
        <v>64</v>
      </c>
      <c r="D237" s="3" t="s">
        <v>25</v>
      </c>
      <c r="E237" s="3" t="s">
        <v>25</v>
      </c>
      <c r="F237" s="3" t="s">
        <v>65</v>
      </c>
      <c r="G237" s="3" t="s">
        <v>68</v>
      </c>
      <c r="H237" s="3" t="s">
        <v>25</v>
      </c>
      <c r="I237" s="6">
        <v>44593</v>
      </c>
      <c r="J237" s="4">
        <v>1997</v>
      </c>
      <c r="K237" s="4">
        <v>998.5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3" t="s">
        <v>67</v>
      </c>
      <c r="R237" s="3">
        <v>28543</v>
      </c>
      <c r="S237" s="3">
        <v>6</v>
      </c>
      <c r="T237" s="3">
        <v>0</v>
      </c>
      <c r="U237" s="3">
        <v>0</v>
      </c>
      <c r="V237" s="4">
        <f>IF(ISERROR(VLOOKUP($S$237,'TAR FIN'!$A$1:$O$99,15,0)),0,VLOOKUP($S$237,'TAR FIN'!$A$1:$O$99,15,0))</f>
        <v>11.99</v>
      </c>
      <c r="W237" s="4">
        <f>IF(ISERROR(VLOOKUP($T$237,'TAR FIN'!$A$1:$O$99,15,0)),0,VLOOKUP($T$237,'TAR FIN'!$A$1:$O$99,15,0))</f>
        <v>0</v>
      </c>
      <c r="X237" s="4">
        <f>IF(ISERROR(VLOOKUP($U$237,'TAR FIN'!$A$1:$O$99,15,0)),0,VLOOKUP($U$237,'TAR FIN'!$A$1:$O$99,15,0))</f>
        <v>0</v>
      </c>
      <c r="Y237" s="4">
        <f ca="1">('TUSD BE'!$AM$20+'TUSD BF'!$AM$20+'TUSD CVA'!$AM$20)*1</f>
        <v>15.10133596192736</v>
      </c>
      <c r="Z237" s="4"/>
      <c r="AA237" s="4"/>
      <c r="AB237" s="4">
        <f t="shared" si="14"/>
        <v>11972.014999999999</v>
      </c>
      <c r="AC237" s="4">
        <f t="shared" si="15"/>
        <v>0</v>
      </c>
      <c r="AD237" s="4">
        <f t="shared" ca="1" si="16"/>
        <v>15078.683957984469</v>
      </c>
      <c r="AE237" s="4">
        <f t="shared" si="17"/>
        <v>0</v>
      </c>
      <c r="AF237" s="3" t="s">
        <v>954</v>
      </c>
    </row>
    <row r="238" spans="1:32" ht="11.25" customHeight="1" x14ac:dyDescent="0.25">
      <c r="A238" s="3" t="s">
        <v>21</v>
      </c>
      <c r="B238" s="3" t="s">
        <v>33</v>
      </c>
      <c r="C238" s="3" t="s">
        <v>64</v>
      </c>
      <c r="D238" s="3" t="s">
        <v>25</v>
      </c>
      <c r="E238" s="3" t="s">
        <v>25</v>
      </c>
      <c r="F238" s="3" t="s">
        <v>65</v>
      </c>
      <c r="G238" s="3" t="s">
        <v>68</v>
      </c>
      <c r="H238" s="3" t="s">
        <v>25</v>
      </c>
      <c r="I238" s="6">
        <v>44621</v>
      </c>
      <c r="J238" s="4">
        <v>1963</v>
      </c>
      <c r="K238" s="4">
        <v>981.5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3" t="s">
        <v>67</v>
      </c>
      <c r="R238" s="3">
        <v>28543</v>
      </c>
      <c r="S238" s="3">
        <v>6</v>
      </c>
      <c r="T238" s="3">
        <v>0</v>
      </c>
      <c r="U238" s="3">
        <v>0</v>
      </c>
      <c r="V238" s="4">
        <f>IF(ISERROR(VLOOKUP($S$238,'TAR FIN'!$A$1:$O$99,15,0)),0,VLOOKUP($S$238,'TAR FIN'!$A$1:$O$99,15,0))</f>
        <v>11.99</v>
      </c>
      <c r="W238" s="4">
        <f>IF(ISERROR(VLOOKUP($T$238,'TAR FIN'!$A$1:$O$99,15,0)),0,VLOOKUP($T$238,'TAR FIN'!$A$1:$O$99,15,0))</f>
        <v>0</v>
      </c>
      <c r="X238" s="4">
        <f>IF(ISERROR(VLOOKUP($U$238,'TAR FIN'!$A$1:$O$99,15,0)),0,VLOOKUP($U$238,'TAR FIN'!$A$1:$O$99,15,0))</f>
        <v>0</v>
      </c>
      <c r="Y238" s="4">
        <f ca="1">('TUSD BE'!$AM$20+'TUSD BF'!$AM$20+'TUSD CVA'!$AM$20)*1</f>
        <v>15.10133596192736</v>
      </c>
      <c r="Z238" s="4"/>
      <c r="AA238" s="4"/>
      <c r="AB238" s="4">
        <f t="shared" si="14"/>
        <v>11768.184999999999</v>
      </c>
      <c r="AC238" s="4">
        <f t="shared" si="15"/>
        <v>0</v>
      </c>
      <c r="AD238" s="4">
        <f t="shared" ca="1" si="16"/>
        <v>14821.961246631703</v>
      </c>
      <c r="AE238" s="4">
        <f t="shared" si="17"/>
        <v>0</v>
      </c>
      <c r="AF238" s="3" t="s">
        <v>954</v>
      </c>
    </row>
    <row r="239" spans="1:32" ht="11.25" customHeight="1" x14ac:dyDescent="0.25">
      <c r="A239" s="3" t="s">
        <v>56</v>
      </c>
      <c r="B239" s="3" t="s">
        <v>33</v>
      </c>
      <c r="C239" s="3" t="s">
        <v>64</v>
      </c>
      <c r="D239" s="3" t="s">
        <v>25</v>
      </c>
      <c r="E239" s="3" t="s">
        <v>25</v>
      </c>
      <c r="F239" s="3" t="s">
        <v>65</v>
      </c>
      <c r="G239" s="3" t="s">
        <v>68</v>
      </c>
      <c r="H239" s="3" t="s">
        <v>25</v>
      </c>
      <c r="I239" s="6">
        <v>44652</v>
      </c>
      <c r="J239" s="4">
        <v>1963</v>
      </c>
      <c r="K239" s="4">
        <v>981.5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3" t="s">
        <v>67</v>
      </c>
      <c r="R239" s="3">
        <v>28543</v>
      </c>
      <c r="S239" s="3">
        <v>6</v>
      </c>
      <c r="T239" s="3">
        <v>0</v>
      </c>
      <c r="U239" s="3">
        <v>0</v>
      </c>
      <c r="V239" s="4">
        <f>IF(ISERROR(VLOOKUP($S$239,'TAR FIN'!$A$1:$O$99,15,0)),0,VLOOKUP($S$239,'TAR FIN'!$A$1:$O$99,15,0))</f>
        <v>11.99</v>
      </c>
      <c r="W239" s="4">
        <f>IF(ISERROR(VLOOKUP($T$239,'TAR FIN'!$A$1:$O$99,15,0)),0,VLOOKUP($T$239,'TAR FIN'!$A$1:$O$99,15,0))</f>
        <v>0</v>
      </c>
      <c r="X239" s="4">
        <f>IF(ISERROR(VLOOKUP($U$239,'TAR FIN'!$A$1:$O$99,15,0)),0,VLOOKUP($U$239,'TAR FIN'!$A$1:$O$99,15,0))</f>
        <v>0</v>
      </c>
      <c r="Y239" s="4">
        <f ca="1">('TUSD BE'!$AM$20+'TUSD BF'!$AM$20+'TUSD CVA'!$AM$20)*1</f>
        <v>15.10133596192736</v>
      </c>
      <c r="Z239" s="4"/>
      <c r="AA239" s="4"/>
      <c r="AB239" s="4">
        <f t="shared" si="14"/>
        <v>11768.184999999999</v>
      </c>
      <c r="AC239" s="4">
        <f t="shared" si="15"/>
        <v>0</v>
      </c>
      <c r="AD239" s="4">
        <f t="shared" ca="1" si="16"/>
        <v>14821.961246631703</v>
      </c>
      <c r="AE239" s="4">
        <f t="shared" si="17"/>
        <v>0</v>
      </c>
      <c r="AF239" s="3" t="s">
        <v>954</v>
      </c>
    </row>
    <row r="240" spans="1:32" ht="11.25" customHeight="1" x14ac:dyDescent="0.25">
      <c r="A240" s="3" t="s">
        <v>21</v>
      </c>
      <c r="B240" s="3" t="s">
        <v>33</v>
      </c>
      <c r="C240" s="3" t="s">
        <v>64</v>
      </c>
      <c r="D240" s="3" t="s">
        <v>25</v>
      </c>
      <c r="E240" s="3" t="s">
        <v>25</v>
      </c>
      <c r="F240" s="3" t="s">
        <v>25</v>
      </c>
      <c r="G240" s="3" t="s">
        <v>72</v>
      </c>
      <c r="H240" s="3" t="s">
        <v>25</v>
      </c>
      <c r="I240" s="6">
        <v>44317</v>
      </c>
      <c r="J240" s="4">
        <v>950</v>
      </c>
      <c r="K240" s="4">
        <v>475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3" t="s">
        <v>67</v>
      </c>
      <c r="R240" s="3">
        <v>30112</v>
      </c>
      <c r="S240" s="3">
        <v>6</v>
      </c>
      <c r="T240" s="3">
        <v>0</v>
      </c>
      <c r="U240" s="3">
        <v>0</v>
      </c>
      <c r="V240" s="4">
        <f>IF(ISERROR(VLOOKUP($S$240,'TAR FIN'!$A$1:$O$99,15,0)),0,VLOOKUP($S$240,'TAR FIN'!$A$1:$O$99,15,0))</f>
        <v>11.99</v>
      </c>
      <c r="W240" s="4">
        <f>IF(ISERROR(VLOOKUP($T$240,'TAR FIN'!$A$1:$O$99,15,0)),0,VLOOKUP($T$240,'TAR FIN'!$A$1:$O$99,15,0))</f>
        <v>0</v>
      </c>
      <c r="X240" s="4">
        <f>IF(ISERROR(VLOOKUP($U$240,'TAR FIN'!$A$1:$O$99,15,0)),0,VLOOKUP($U$240,'TAR FIN'!$A$1:$O$99,15,0))</f>
        <v>0</v>
      </c>
      <c r="Y240" s="4">
        <f ca="1">('TUSD BE'!$AM$20+'TUSD BF'!$AM$20+'TUSD CVA'!$AM$20)*1</f>
        <v>15.10133596192736</v>
      </c>
      <c r="Z240" s="4"/>
      <c r="AA240" s="4"/>
      <c r="AB240" s="4">
        <f t="shared" si="14"/>
        <v>5695.25</v>
      </c>
      <c r="AC240" s="4">
        <f t="shared" si="15"/>
        <v>0</v>
      </c>
      <c r="AD240" s="4">
        <f t="shared" ca="1" si="16"/>
        <v>7173.1345819154958</v>
      </c>
      <c r="AE240" s="4">
        <f t="shared" si="17"/>
        <v>0</v>
      </c>
      <c r="AF240" s="3" t="s">
        <v>954</v>
      </c>
    </row>
    <row r="241" spans="1:32" ht="11.25" customHeight="1" x14ac:dyDescent="0.25">
      <c r="A241" s="3" t="s">
        <v>21</v>
      </c>
      <c r="B241" s="3" t="s">
        <v>33</v>
      </c>
      <c r="C241" s="3" t="s">
        <v>64</v>
      </c>
      <c r="D241" s="3" t="s">
        <v>25</v>
      </c>
      <c r="E241" s="3" t="s">
        <v>25</v>
      </c>
      <c r="F241" s="3" t="s">
        <v>25</v>
      </c>
      <c r="G241" s="3" t="s">
        <v>72</v>
      </c>
      <c r="H241" s="3" t="s">
        <v>25</v>
      </c>
      <c r="I241" s="6">
        <v>44348</v>
      </c>
      <c r="J241" s="4">
        <v>950</v>
      </c>
      <c r="K241" s="4">
        <v>475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3" t="s">
        <v>67</v>
      </c>
      <c r="R241" s="3">
        <v>30112</v>
      </c>
      <c r="S241" s="3">
        <v>6</v>
      </c>
      <c r="T241" s="3">
        <v>0</v>
      </c>
      <c r="U241" s="3">
        <v>0</v>
      </c>
      <c r="V241" s="4">
        <f>IF(ISERROR(VLOOKUP($S$241,'TAR FIN'!$A$1:$O$99,15,0)),0,VLOOKUP($S$241,'TAR FIN'!$A$1:$O$99,15,0))</f>
        <v>11.99</v>
      </c>
      <c r="W241" s="4">
        <f>IF(ISERROR(VLOOKUP($T$241,'TAR FIN'!$A$1:$O$99,15,0)),0,VLOOKUP($T$241,'TAR FIN'!$A$1:$O$99,15,0))</f>
        <v>0</v>
      </c>
      <c r="X241" s="4">
        <f>IF(ISERROR(VLOOKUP($U$241,'TAR FIN'!$A$1:$O$99,15,0)),0,VLOOKUP($U$241,'TAR FIN'!$A$1:$O$99,15,0))</f>
        <v>0</v>
      </c>
      <c r="Y241" s="4">
        <f ca="1">('TUSD BE'!$AM$20+'TUSD BF'!$AM$20+'TUSD CVA'!$AM$20)*1</f>
        <v>15.10133596192736</v>
      </c>
      <c r="Z241" s="4"/>
      <c r="AA241" s="4"/>
      <c r="AB241" s="4">
        <f t="shared" si="14"/>
        <v>5695.25</v>
      </c>
      <c r="AC241" s="4">
        <f t="shared" si="15"/>
        <v>0</v>
      </c>
      <c r="AD241" s="4">
        <f t="shared" ca="1" si="16"/>
        <v>7173.1345819154958</v>
      </c>
      <c r="AE241" s="4">
        <f t="shared" si="17"/>
        <v>0</v>
      </c>
      <c r="AF241" s="3" t="s">
        <v>954</v>
      </c>
    </row>
    <row r="242" spans="1:32" ht="11.25" customHeight="1" x14ac:dyDescent="0.25">
      <c r="A242" s="3" t="s">
        <v>21</v>
      </c>
      <c r="B242" s="3" t="s">
        <v>33</v>
      </c>
      <c r="C242" s="3" t="s">
        <v>64</v>
      </c>
      <c r="D242" s="3" t="s">
        <v>25</v>
      </c>
      <c r="E242" s="3" t="s">
        <v>25</v>
      </c>
      <c r="F242" s="3" t="s">
        <v>25</v>
      </c>
      <c r="G242" s="3" t="s">
        <v>72</v>
      </c>
      <c r="H242" s="3" t="s">
        <v>25</v>
      </c>
      <c r="I242" s="6">
        <v>44378</v>
      </c>
      <c r="J242" s="4">
        <v>955</v>
      </c>
      <c r="K242" s="4">
        <v>477.5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3" t="s">
        <v>67</v>
      </c>
      <c r="R242" s="3">
        <v>30112</v>
      </c>
      <c r="S242" s="3">
        <v>6</v>
      </c>
      <c r="T242" s="3">
        <v>0</v>
      </c>
      <c r="U242" s="3">
        <v>0</v>
      </c>
      <c r="V242" s="4">
        <f>IF(ISERROR(VLOOKUP($S$242,'TAR FIN'!$A$1:$O$99,15,0)),0,VLOOKUP($S$242,'TAR FIN'!$A$1:$O$99,15,0))</f>
        <v>11.99</v>
      </c>
      <c r="W242" s="4">
        <f>IF(ISERROR(VLOOKUP($T$242,'TAR FIN'!$A$1:$O$99,15,0)),0,VLOOKUP($T$242,'TAR FIN'!$A$1:$O$99,15,0))</f>
        <v>0</v>
      </c>
      <c r="X242" s="4">
        <f>IF(ISERROR(VLOOKUP($U$242,'TAR FIN'!$A$1:$O$99,15,0)),0,VLOOKUP($U$242,'TAR FIN'!$A$1:$O$99,15,0))</f>
        <v>0</v>
      </c>
      <c r="Y242" s="4">
        <f ca="1">('TUSD BE'!$AM$20+'TUSD BF'!$AM$20+'TUSD CVA'!$AM$20)*1</f>
        <v>15.10133596192736</v>
      </c>
      <c r="Z242" s="4"/>
      <c r="AA242" s="4"/>
      <c r="AB242" s="4">
        <f t="shared" si="14"/>
        <v>5725.2250000000004</v>
      </c>
      <c r="AC242" s="4">
        <f t="shared" si="15"/>
        <v>0</v>
      </c>
      <c r="AD242" s="4">
        <f t="shared" ca="1" si="16"/>
        <v>7210.8879218203147</v>
      </c>
      <c r="AE242" s="4">
        <f t="shared" si="17"/>
        <v>0</v>
      </c>
      <c r="AF242" s="3" t="s">
        <v>954</v>
      </c>
    </row>
    <row r="243" spans="1:32" ht="11.25" customHeight="1" x14ac:dyDescent="0.25">
      <c r="A243" s="3" t="s">
        <v>21</v>
      </c>
      <c r="B243" s="3" t="s">
        <v>33</v>
      </c>
      <c r="C243" s="3" t="s">
        <v>64</v>
      </c>
      <c r="D243" s="3" t="s">
        <v>25</v>
      </c>
      <c r="E243" s="3" t="s">
        <v>25</v>
      </c>
      <c r="F243" s="3" t="s">
        <v>25</v>
      </c>
      <c r="G243" s="3" t="s">
        <v>72</v>
      </c>
      <c r="H243" s="3" t="s">
        <v>25</v>
      </c>
      <c r="I243" s="6">
        <v>44409</v>
      </c>
      <c r="J243" s="4">
        <v>985</v>
      </c>
      <c r="K243" s="4">
        <v>492.5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3" t="s">
        <v>67</v>
      </c>
      <c r="R243" s="3">
        <v>30112</v>
      </c>
      <c r="S243" s="3">
        <v>6</v>
      </c>
      <c r="T243" s="3">
        <v>0</v>
      </c>
      <c r="U243" s="3">
        <v>0</v>
      </c>
      <c r="V243" s="4">
        <f>IF(ISERROR(VLOOKUP($S$243,'TAR FIN'!$A$1:$O$99,15,0)),0,VLOOKUP($S$243,'TAR FIN'!$A$1:$O$99,15,0))</f>
        <v>11.99</v>
      </c>
      <c r="W243" s="4">
        <f>IF(ISERROR(VLOOKUP($T$243,'TAR FIN'!$A$1:$O$99,15,0)),0,VLOOKUP($T$243,'TAR FIN'!$A$1:$O$99,15,0))</f>
        <v>0</v>
      </c>
      <c r="X243" s="4">
        <f>IF(ISERROR(VLOOKUP($U$243,'TAR FIN'!$A$1:$O$99,15,0)),0,VLOOKUP($U$243,'TAR FIN'!$A$1:$O$99,15,0))</f>
        <v>0</v>
      </c>
      <c r="Y243" s="4">
        <f ca="1">('TUSD BE'!$AM$20+'TUSD BF'!$AM$20+'TUSD CVA'!$AM$20)*1</f>
        <v>15.10133596192736</v>
      </c>
      <c r="Z243" s="4"/>
      <c r="AA243" s="4"/>
      <c r="AB243" s="4">
        <f t="shared" si="14"/>
        <v>5905.0749999999998</v>
      </c>
      <c r="AC243" s="4">
        <f t="shared" si="15"/>
        <v>0</v>
      </c>
      <c r="AD243" s="4">
        <f t="shared" ca="1" si="16"/>
        <v>7437.4079612492251</v>
      </c>
      <c r="AE243" s="4">
        <f t="shared" si="17"/>
        <v>0</v>
      </c>
      <c r="AF243" s="3" t="s">
        <v>954</v>
      </c>
    </row>
    <row r="244" spans="1:32" ht="11.25" customHeight="1" x14ac:dyDescent="0.25">
      <c r="A244" s="3" t="s">
        <v>21</v>
      </c>
      <c r="B244" s="3" t="s">
        <v>33</v>
      </c>
      <c r="C244" s="3" t="s">
        <v>64</v>
      </c>
      <c r="D244" s="3" t="s">
        <v>25</v>
      </c>
      <c r="E244" s="3" t="s">
        <v>25</v>
      </c>
      <c r="F244" s="3" t="s">
        <v>25</v>
      </c>
      <c r="G244" s="3" t="s">
        <v>72</v>
      </c>
      <c r="H244" s="3" t="s">
        <v>25</v>
      </c>
      <c r="I244" s="6">
        <v>44440</v>
      </c>
      <c r="J244" s="4">
        <v>1010</v>
      </c>
      <c r="K244" s="4">
        <v>505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3" t="s">
        <v>67</v>
      </c>
      <c r="R244" s="3">
        <v>30112</v>
      </c>
      <c r="S244" s="3">
        <v>6</v>
      </c>
      <c r="T244" s="3">
        <v>0</v>
      </c>
      <c r="U244" s="3">
        <v>0</v>
      </c>
      <c r="V244" s="4">
        <f>IF(ISERROR(VLOOKUP($S$244,'TAR FIN'!$A$1:$O$99,15,0)),0,VLOOKUP($S$244,'TAR FIN'!$A$1:$O$99,15,0))</f>
        <v>11.99</v>
      </c>
      <c r="W244" s="4">
        <f>IF(ISERROR(VLOOKUP($T$244,'TAR FIN'!$A$1:$O$99,15,0)),0,VLOOKUP($T$244,'TAR FIN'!$A$1:$O$99,15,0))</f>
        <v>0</v>
      </c>
      <c r="X244" s="4">
        <f>IF(ISERROR(VLOOKUP($U$244,'TAR FIN'!$A$1:$O$99,15,0)),0,VLOOKUP($U$244,'TAR FIN'!$A$1:$O$99,15,0))</f>
        <v>0</v>
      </c>
      <c r="Y244" s="4">
        <f ca="1">('TUSD BE'!$AM$20+'TUSD BF'!$AM$20+'TUSD CVA'!$AM$20)*1</f>
        <v>15.10133596192736</v>
      </c>
      <c r="Z244" s="4"/>
      <c r="AA244" s="4"/>
      <c r="AB244" s="4">
        <f t="shared" si="14"/>
        <v>6054.95</v>
      </c>
      <c r="AC244" s="4">
        <f t="shared" si="15"/>
        <v>0</v>
      </c>
      <c r="AD244" s="4">
        <f t="shared" ca="1" si="16"/>
        <v>7626.1746607733166</v>
      </c>
      <c r="AE244" s="4">
        <f t="shared" si="17"/>
        <v>0</v>
      </c>
      <c r="AF244" s="3" t="s">
        <v>954</v>
      </c>
    </row>
    <row r="245" spans="1:32" ht="11.25" customHeight="1" x14ac:dyDescent="0.25">
      <c r="A245" s="3" t="s">
        <v>21</v>
      </c>
      <c r="B245" s="3" t="s">
        <v>33</v>
      </c>
      <c r="C245" s="3" t="s">
        <v>64</v>
      </c>
      <c r="D245" s="3" t="s">
        <v>25</v>
      </c>
      <c r="E245" s="3" t="s">
        <v>25</v>
      </c>
      <c r="F245" s="3" t="s">
        <v>25</v>
      </c>
      <c r="G245" s="3" t="s">
        <v>72</v>
      </c>
      <c r="H245" s="3" t="s">
        <v>25</v>
      </c>
      <c r="I245" s="6">
        <v>44470</v>
      </c>
      <c r="J245" s="4">
        <v>1010</v>
      </c>
      <c r="K245" s="4">
        <v>505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3" t="s">
        <v>67</v>
      </c>
      <c r="R245" s="3">
        <v>30112</v>
      </c>
      <c r="S245" s="3">
        <v>6</v>
      </c>
      <c r="T245" s="3">
        <v>0</v>
      </c>
      <c r="U245" s="3">
        <v>0</v>
      </c>
      <c r="V245" s="4">
        <f>IF(ISERROR(VLOOKUP($S$245,'TAR FIN'!$A$1:$O$99,15,0)),0,VLOOKUP($S$245,'TAR FIN'!$A$1:$O$99,15,0))</f>
        <v>11.99</v>
      </c>
      <c r="W245" s="4">
        <f>IF(ISERROR(VLOOKUP($T$245,'TAR FIN'!$A$1:$O$99,15,0)),0,VLOOKUP($T$245,'TAR FIN'!$A$1:$O$99,15,0))</f>
        <v>0</v>
      </c>
      <c r="X245" s="4">
        <f>IF(ISERROR(VLOOKUP($U$245,'TAR FIN'!$A$1:$O$99,15,0)),0,VLOOKUP($U$245,'TAR FIN'!$A$1:$O$99,15,0))</f>
        <v>0</v>
      </c>
      <c r="Y245" s="4">
        <f ca="1">('TUSD BE'!$AM$20+'TUSD BF'!$AM$20+'TUSD CVA'!$AM$20)*1</f>
        <v>15.10133596192736</v>
      </c>
      <c r="Z245" s="4"/>
      <c r="AA245" s="4"/>
      <c r="AB245" s="4">
        <f t="shared" si="14"/>
        <v>6054.95</v>
      </c>
      <c r="AC245" s="4">
        <f t="shared" si="15"/>
        <v>0</v>
      </c>
      <c r="AD245" s="4">
        <f t="shared" ca="1" si="16"/>
        <v>7626.1746607733166</v>
      </c>
      <c r="AE245" s="4">
        <f t="shared" si="17"/>
        <v>0</v>
      </c>
      <c r="AF245" s="3" t="s">
        <v>954</v>
      </c>
    </row>
    <row r="246" spans="1:32" ht="11.25" customHeight="1" x14ac:dyDescent="0.25">
      <c r="A246" s="3" t="s">
        <v>21</v>
      </c>
      <c r="B246" s="3" t="s">
        <v>33</v>
      </c>
      <c r="C246" s="3" t="s">
        <v>64</v>
      </c>
      <c r="D246" s="3" t="s">
        <v>25</v>
      </c>
      <c r="E246" s="3" t="s">
        <v>25</v>
      </c>
      <c r="F246" s="3" t="s">
        <v>25</v>
      </c>
      <c r="G246" s="3" t="s">
        <v>72</v>
      </c>
      <c r="H246" s="3" t="s">
        <v>25</v>
      </c>
      <c r="I246" s="6">
        <v>44501</v>
      </c>
      <c r="J246" s="4">
        <v>1010</v>
      </c>
      <c r="K246" s="4">
        <v>505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3" t="s">
        <v>67</v>
      </c>
      <c r="R246" s="3">
        <v>30112</v>
      </c>
      <c r="S246" s="3">
        <v>6</v>
      </c>
      <c r="T246" s="3">
        <v>0</v>
      </c>
      <c r="U246" s="3">
        <v>0</v>
      </c>
      <c r="V246" s="4">
        <f>IF(ISERROR(VLOOKUP($S$246,'TAR FIN'!$A$1:$O$99,15,0)),0,VLOOKUP($S$246,'TAR FIN'!$A$1:$O$99,15,0))</f>
        <v>11.99</v>
      </c>
      <c r="W246" s="4">
        <f>IF(ISERROR(VLOOKUP($T$246,'TAR FIN'!$A$1:$O$99,15,0)),0,VLOOKUP($T$246,'TAR FIN'!$A$1:$O$99,15,0))</f>
        <v>0</v>
      </c>
      <c r="X246" s="4">
        <f>IF(ISERROR(VLOOKUP($U$246,'TAR FIN'!$A$1:$O$99,15,0)),0,VLOOKUP($U$246,'TAR FIN'!$A$1:$O$99,15,0))</f>
        <v>0</v>
      </c>
      <c r="Y246" s="4">
        <f ca="1">('TUSD BE'!$AM$20+'TUSD BF'!$AM$20+'TUSD CVA'!$AM$20)*1</f>
        <v>15.10133596192736</v>
      </c>
      <c r="Z246" s="4"/>
      <c r="AA246" s="4"/>
      <c r="AB246" s="4">
        <f t="shared" si="14"/>
        <v>6054.95</v>
      </c>
      <c r="AC246" s="4">
        <f t="shared" si="15"/>
        <v>0</v>
      </c>
      <c r="AD246" s="4">
        <f t="shared" ca="1" si="16"/>
        <v>7626.1746607733166</v>
      </c>
      <c r="AE246" s="4">
        <f t="shared" si="17"/>
        <v>0</v>
      </c>
      <c r="AF246" s="3" t="s">
        <v>954</v>
      </c>
    </row>
    <row r="247" spans="1:32" ht="11.25" customHeight="1" x14ac:dyDescent="0.25">
      <c r="A247" s="3" t="s">
        <v>21</v>
      </c>
      <c r="B247" s="3" t="s">
        <v>33</v>
      </c>
      <c r="C247" s="3" t="s">
        <v>64</v>
      </c>
      <c r="D247" s="3" t="s">
        <v>25</v>
      </c>
      <c r="E247" s="3" t="s">
        <v>25</v>
      </c>
      <c r="F247" s="3" t="s">
        <v>25</v>
      </c>
      <c r="G247" s="3" t="s">
        <v>72</v>
      </c>
      <c r="H247" s="3" t="s">
        <v>25</v>
      </c>
      <c r="I247" s="6">
        <v>44531</v>
      </c>
      <c r="J247" s="4">
        <v>1010</v>
      </c>
      <c r="K247" s="4">
        <v>505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3" t="s">
        <v>67</v>
      </c>
      <c r="R247" s="3">
        <v>30112</v>
      </c>
      <c r="S247" s="3">
        <v>6</v>
      </c>
      <c r="T247" s="3">
        <v>0</v>
      </c>
      <c r="U247" s="3">
        <v>0</v>
      </c>
      <c r="V247" s="4">
        <f>IF(ISERROR(VLOOKUP($S$247,'TAR FIN'!$A$1:$O$99,15,0)),0,VLOOKUP($S$247,'TAR FIN'!$A$1:$O$99,15,0))</f>
        <v>11.99</v>
      </c>
      <c r="W247" s="4">
        <f>IF(ISERROR(VLOOKUP($T$247,'TAR FIN'!$A$1:$O$99,15,0)),0,VLOOKUP($T$247,'TAR FIN'!$A$1:$O$99,15,0))</f>
        <v>0</v>
      </c>
      <c r="X247" s="4">
        <f>IF(ISERROR(VLOOKUP($U$247,'TAR FIN'!$A$1:$O$99,15,0)),0,VLOOKUP($U$247,'TAR FIN'!$A$1:$O$99,15,0))</f>
        <v>0</v>
      </c>
      <c r="Y247" s="4">
        <f ca="1">('TUSD BE'!$AM$20+'TUSD BF'!$AM$20+'TUSD CVA'!$AM$20)*1</f>
        <v>15.10133596192736</v>
      </c>
      <c r="Z247" s="4"/>
      <c r="AA247" s="4"/>
      <c r="AB247" s="4">
        <f t="shared" si="14"/>
        <v>6054.95</v>
      </c>
      <c r="AC247" s="4">
        <f t="shared" si="15"/>
        <v>0</v>
      </c>
      <c r="AD247" s="4">
        <f t="shared" ca="1" si="16"/>
        <v>7626.1746607733166</v>
      </c>
      <c r="AE247" s="4">
        <f t="shared" si="17"/>
        <v>0</v>
      </c>
      <c r="AF247" s="3" t="s">
        <v>954</v>
      </c>
    </row>
    <row r="248" spans="1:32" ht="11.25" customHeight="1" x14ac:dyDescent="0.25">
      <c r="A248" s="3" t="s">
        <v>21</v>
      </c>
      <c r="B248" s="3" t="s">
        <v>33</v>
      </c>
      <c r="C248" s="3" t="s">
        <v>64</v>
      </c>
      <c r="D248" s="3" t="s">
        <v>25</v>
      </c>
      <c r="E248" s="3" t="s">
        <v>25</v>
      </c>
      <c r="F248" s="3" t="s">
        <v>25</v>
      </c>
      <c r="G248" s="3" t="s">
        <v>72</v>
      </c>
      <c r="H248" s="3" t="s">
        <v>25</v>
      </c>
      <c r="I248" s="6">
        <v>44562</v>
      </c>
      <c r="J248" s="4">
        <v>948</v>
      </c>
      <c r="K248" s="4">
        <v>474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3" t="s">
        <v>67</v>
      </c>
      <c r="R248" s="3">
        <v>30112</v>
      </c>
      <c r="S248" s="3">
        <v>6</v>
      </c>
      <c r="T248" s="3">
        <v>0</v>
      </c>
      <c r="U248" s="3">
        <v>0</v>
      </c>
      <c r="V248" s="4">
        <f>IF(ISERROR(VLOOKUP($S$248,'TAR FIN'!$A$1:$O$99,15,0)),0,VLOOKUP($S$248,'TAR FIN'!$A$1:$O$99,15,0))</f>
        <v>11.99</v>
      </c>
      <c r="W248" s="4">
        <f>IF(ISERROR(VLOOKUP($T$248,'TAR FIN'!$A$1:$O$99,15,0)),0,VLOOKUP($T$248,'TAR FIN'!$A$1:$O$99,15,0))</f>
        <v>0</v>
      </c>
      <c r="X248" s="4">
        <f>IF(ISERROR(VLOOKUP($U$248,'TAR FIN'!$A$1:$O$99,15,0)),0,VLOOKUP($U$248,'TAR FIN'!$A$1:$O$99,15,0))</f>
        <v>0</v>
      </c>
      <c r="Y248" s="4">
        <f ca="1">('TUSD BE'!$AM$20+'TUSD BF'!$AM$20+'TUSD CVA'!$AM$20)*1</f>
        <v>15.10133596192736</v>
      </c>
      <c r="Z248" s="4"/>
      <c r="AA248" s="4"/>
      <c r="AB248" s="4">
        <f t="shared" si="14"/>
        <v>5683.26</v>
      </c>
      <c r="AC248" s="4">
        <f t="shared" si="15"/>
        <v>0</v>
      </c>
      <c r="AD248" s="4">
        <f t="shared" ca="1" si="16"/>
        <v>7158.0332459535684</v>
      </c>
      <c r="AE248" s="4">
        <f t="shared" si="17"/>
        <v>0</v>
      </c>
      <c r="AF248" s="3" t="s">
        <v>954</v>
      </c>
    </row>
    <row r="249" spans="1:32" ht="11.25" customHeight="1" x14ac:dyDescent="0.25">
      <c r="A249" s="3" t="s">
        <v>21</v>
      </c>
      <c r="B249" s="3" t="s">
        <v>33</v>
      </c>
      <c r="C249" s="3" t="s">
        <v>64</v>
      </c>
      <c r="D249" s="3" t="s">
        <v>25</v>
      </c>
      <c r="E249" s="3" t="s">
        <v>25</v>
      </c>
      <c r="F249" s="3" t="s">
        <v>25</v>
      </c>
      <c r="G249" s="3" t="s">
        <v>72</v>
      </c>
      <c r="H249" s="3" t="s">
        <v>25</v>
      </c>
      <c r="I249" s="6">
        <v>44593</v>
      </c>
      <c r="J249" s="4">
        <v>860</v>
      </c>
      <c r="K249" s="4">
        <v>430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3" t="s">
        <v>67</v>
      </c>
      <c r="R249" s="3">
        <v>30112</v>
      </c>
      <c r="S249" s="3">
        <v>6</v>
      </c>
      <c r="T249" s="3">
        <v>0</v>
      </c>
      <c r="U249" s="3">
        <v>0</v>
      </c>
      <c r="V249" s="4">
        <f>IF(ISERROR(VLOOKUP($S$249,'TAR FIN'!$A$1:$O$99,15,0)),0,VLOOKUP($S$249,'TAR FIN'!$A$1:$O$99,15,0))</f>
        <v>11.99</v>
      </c>
      <c r="W249" s="4">
        <f>IF(ISERROR(VLOOKUP($T$249,'TAR FIN'!$A$1:$O$99,15,0)),0,VLOOKUP($T$249,'TAR FIN'!$A$1:$O$99,15,0))</f>
        <v>0</v>
      </c>
      <c r="X249" s="4">
        <f>IF(ISERROR(VLOOKUP($U$249,'TAR FIN'!$A$1:$O$99,15,0)),0,VLOOKUP($U$249,'TAR FIN'!$A$1:$O$99,15,0))</f>
        <v>0</v>
      </c>
      <c r="Y249" s="4">
        <f ca="1">('TUSD BE'!$AM$20+'TUSD BF'!$AM$20+'TUSD CVA'!$AM$20)*1</f>
        <v>15.10133596192736</v>
      </c>
      <c r="Z249" s="4"/>
      <c r="AA249" s="4"/>
      <c r="AB249" s="4">
        <f t="shared" si="14"/>
        <v>5155.7</v>
      </c>
      <c r="AC249" s="4">
        <f t="shared" si="15"/>
        <v>0</v>
      </c>
      <c r="AD249" s="4">
        <f t="shared" ca="1" si="16"/>
        <v>6493.5744636287645</v>
      </c>
      <c r="AE249" s="4">
        <f t="shared" si="17"/>
        <v>0</v>
      </c>
      <c r="AF249" s="3" t="s">
        <v>954</v>
      </c>
    </row>
    <row r="250" spans="1:32" ht="11.25" customHeight="1" x14ac:dyDescent="0.25">
      <c r="A250" s="3" t="s">
        <v>21</v>
      </c>
      <c r="B250" s="3" t="s">
        <v>33</v>
      </c>
      <c r="C250" s="3" t="s">
        <v>64</v>
      </c>
      <c r="D250" s="3" t="s">
        <v>25</v>
      </c>
      <c r="E250" s="3" t="s">
        <v>25</v>
      </c>
      <c r="F250" s="3" t="s">
        <v>25</v>
      </c>
      <c r="G250" s="3" t="s">
        <v>72</v>
      </c>
      <c r="H250" s="3" t="s">
        <v>25</v>
      </c>
      <c r="I250" s="6">
        <v>44621</v>
      </c>
      <c r="J250" s="4">
        <v>908</v>
      </c>
      <c r="K250" s="4">
        <v>454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3" t="s">
        <v>67</v>
      </c>
      <c r="R250" s="3">
        <v>30112</v>
      </c>
      <c r="S250" s="3">
        <v>6</v>
      </c>
      <c r="T250" s="3">
        <v>0</v>
      </c>
      <c r="U250" s="3">
        <v>0</v>
      </c>
      <c r="V250" s="4">
        <f>IF(ISERROR(VLOOKUP($S$250,'TAR FIN'!$A$1:$O$99,15,0)),0,VLOOKUP($S$250,'TAR FIN'!$A$1:$O$99,15,0))</f>
        <v>11.99</v>
      </c>
      <c r="W250" s="4">
        <f>IF(ISERROR(VLOOKUP($T$250,'TAR FIN'!$A$1:$O$99,15,0)),0,VLOOKUP($T$250,'TAR FIN'!$A$1:$O$99,15,0))</f>
        <v>0</v>
      </c>
      <c r="X250" s="4">
        <f>IF(ISERROR(VLOOKUP($U$250,'TAR FIN'!$A$1:$O$99,15,0)),0,VLOOKUP($U$250,'TAR FIN'!$A$1:$O$99,15,0))</f>
        <v>0</v>
      </c>
      <c r="Y250" s="4">
        <f ca="1">('TUSD BE'!$AM$20+'TUSD BF'!$AM$20+'TUSD CVA'!$AM$20)*1</f>
        <v>15.10133596192736</v>
      </c>
      <c r="Z250" s="4"/>
      <c r="AA250" s="4"/>
      <c r="AB250" s="4">
        <f t="shared" si="14"/>
        <v>5443.46</v>
      </c>
      <c r="AC250" s="4">
        <f t="shared" si="15"/>
        <v>0</v>
      </c>
      <c r="AD250" s="4">
        <f t="shared" ca="1" si="16"/>
        <v>6856.0065267150212</v>
      </c>
      <c r="AE250" s="4">
        <f t="shared" si="17"/>
        <v>0</v>
      </c>
      <c r="AF250" s="3" t="s">
        <v>954</v>
      </c>
    </row>
    <row r="251" spans="1:32" ht="11.25" customHeight="1" x14ac:dyDescent="0.25">
      <c r="A251" s="3" t="s">
        <v>56</v>
      </c>
      <c r="B251" s="3" t="s">
        <v>33</v>
      </c>
      <c r="C251" s="3" t="s">
        <v>64</v>
      </c>
      <c r="D251" s="3" t="s">
        <v>25</v>
      </c>
      <c r="E251" s="3" t="s">
        <v>25</v>
      </c>
      <c r="F251" s="3" t="s">
        <v>25</v>
      </c>
      <c r="G251" s="3" t="s">
        <v>72</v>
      </c>
      <c r="H251" s="3" t="s">
        <v>25</v>
      </c>
      <c r="I251" s="6">
        <v>44652</v>
      </c>
      <c r="J251" s="4">
        <v>908</v>
      </c>
      <c r="K251" s="4">
        <v>454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3" t="s">
        <v>67</v>
      </c>
      <c r="R251" s="3">
        <v>30112</v>
      </c>
      <c r="S251" s="3">
        <v>6</v>
      </c>
      <c r="T251" s="3">
        <v>0</v>
      </c>
      <c r="U251" s="3">
        <v>0</v>
      </c>
      <c r="V251" s="4">
        <f>IF(ISERROR(VLOOKUP($S$251,'TAR FIN'!$A$1:$O$99,15,0)),0,VLOOKUP($S$251,'TAR FIN'!$A$1:$O$99,15,0))</f>
        <v>11.99</v>
      </c>
      <c r="W251" s="4">
        <f>IF(ISERROR(VLOOKUP($T$251,'TAR FIN'!$A$1:$O$99,15,0)),0,VLOOKUP($T$251,'TAR FIN'!$A$1:$O$99,15,0))</f>
        <v>0</v>
      </c>
      <c r="X251" s="4">
        <f>IF(ISERROR(VLOOKUP($U$251,'TAR FIN'!$A$1:$O$99,15,0)),0,VLOOKUP($U$251,'TAR FIN'!$A$1:$O$99,15,0))</f>
        <v>0</v>
      </c>
      <c r="Y251" s="4">
        <f ca="1">('TUSD BE'!$AM$20+'TUSD BF'!$AM$20+'TUSD CVA'!$AM$20)*1</f>
        <v>15.10133596192736</v>
      </c>
      <c r="Z251" s="4"/>
      <c r="AA251" s="4"/>
      <c r="AB251" s="4">
        <f t="shared" si="14"/>
        <v>5443.46</v>
      </c>
      <c r="AC251" s="4">
        <f t="shared" si="15"/>
        <v>0</v>
      </c>
      <c r="AD251" s="4">
        <f t="shared" ca="1" si="16"/>
        <v>6856.0065267150212</v>
      </c>
      <c r="AE251" s="4">
        <f t="shared" si="17"/>
        <v>0</v>
      </c>
      <c r="AF251" s="3" t="s">
        <v>954</v>
      </c>
    </row>
    <row r="252" spans="1:32" ht="11.25" customHeight="1" x14ac:dyDescent="0.25">
      <c r="A252" s="3" t="s">
        <v>21</v>
      </c>
      <c r="B252" s="3" t="s">
        <v>33</v>
      </c>
      <c r="C252" s="3" t="s">
        <v>34</v>
      </c>
      <c r="D252" s="3" t="s">
        <v>40</v>
      </c>
      <c r="E252" s="3" t="s">
        <v>25</v>
      </c>
      <c r="F252" s="3" t="s">
        <v>60</v>
      </c>
      <c r="G252" s="3" t="s">
        <v>25</v>
      </c>
      <c r="H252" s="3" t="s">
        <v>36</v>
      </c>
      <c r="I252" s="6">
        <v>44317</v>
      </c>
      <c r="J252" s="4">
        <v>0</v>
      </c>
      <c r="K252" s="4">
        <v>0</v>
      </c>
      <c r="L252" s="4">
        <v>15586.54</v>
      </c>
      <c r="M252" s="4">
        <v>15586.54</v>
      </c>
      <c r="N252" s="4">
        <v>0</v>
      </c>
      <c r="O252" s="4">
        <v>0</v>
      </c>
      <c r="P252" s="4">
        <v>0</v>
      </c>
      <c r="Q252" s="3" t="s">
        <v>57</v>
      </c>
      <c r="R252" s="3">
        <v>0</v>
      </c>
      <c r="S252" s="3">
        <v>0</v>
      </c>
      <c r="T252" s="3">
        <v>29</v>
      </c>
      <c r="U252" s="3">
        <v>0</v>
      </c>
      <c r="V252" s="4">
        <f>IF(ISERROR(VLOOKUP($S$252,'TAR FIN'!$A$1:$O$99,15,0)),0,VLOOKUP($S$252,'TAR FIN'!$A$1:$O$99,15,0))</f>
        <v>0</v>
      </c>
      <c r="W252" s="4">
        <f>IF(ISERROR(VLOOKUP($T$252,'TAR FIN'!$A$1:$O$99,15,0)),0,VLOOKUP($T$252,'TAR FIN'!$A$1:$O$99,15,0))</f>
        <v>97.61</v>
      </c>
      <c r="X252" s="4">
        <f>IF(ISERROR(VLOOKUP($U$252,'TAR FIN'!$A$1:$O$99,15,0)),0,VLOOKUP($U$252,'TAR FIN'!$A$1:$O$99,15,0))</f>
        <v>0</v>
      </c>
      <c r="Y252" s="4"/>
      <c r="Z252" s="4">
        <f ca="1">('TUSD BE'!$AM$23+'TUSD BF'!$AM$23+'TUSD CVA'!$AM$23)*1</f>
        <v>117.59114529324071</v>
      </c>
      <c r="AA252" s="4"/>
      <c r="AB252" s="4">
        <f t="shared" si="14"/>
        <v>0</v>
      </c>
      <c r="AC252" s="4">
        <f t="shared" si="15"/>
        <v>0</v>
      </c>
      <c r="AD252" s="4">
        <f t="shared" si="16"/>
        <v>0</v>
      </c>
      <c r="AE252" s="4">
        <f t="shared" ca="1" si="17"/>
        <v>0</v>
      </c>
      <c r="AF252" s="3" t="s">
        <v>950</v>
      </c>
    </row>
    <row r="253" spans="1:32" ht="11.25" customHeight="1" x14ac:dyDescent="0.25">
      <c r="A253" s="3" t="s">
        <v>21</v>
      </c>
      <c r="B253" s="3" t="s">
        <v>33</v>
      </c>
      <c r="C253" s="3" t="s">
        <v>34</v>
      </c>
      <c r="D253" s="3" t="s">
        <v>40</v>
      </c>
      <c r="E253" s="3" t="s">
        <v>25</v>
      </c>
      <c r="F253" s="3" t="s">
        <v>60</v>
      </c>
      <c r="G253" s="3" t="s">
        <v>25</v>
      </c>
      <c r="H253" s="3" t="s">
        <v>36</v>
      </c>
      <c r="I253" s="6">
        <v>44348</v>
      </c>
      <c r="J253" s="4">
        <v>0</v>
      </c>
      <c r="K253" s="4">
        <v>0</v>
      </c>
      <c r="L253" s="4">
        <v>15347.862999999999</v>
      </c>
      <c r="M253" s="4">
        <v>15347.862999999999</v>
      </c>
      <c r="N253" s="4">
        <v>0</v>
      </c>
      <c r="O253" s="4">
        <v>0</v>
      </c>
      <c r="P253" s="4">
        <v>0</v>
      </c>
      <c r="Q253" s="3" t="s">
        <v>57</v>
      </c>
      <c r="R253" s="3">
        <v>0</v>
      </c>
      <c r="S253" s="3">
        <v>0</v>
      </c>
      <c r="T253" s="3">
        <v>29</v>
      </c>
      <c r="U253" s="3">
        <v>0</v>
      </c>
      <c r="V253" s="4">
        <f>IF(ISERROR(VLOOKUP($S$253,'TAR FIN'!$A$1:$O$99,15,0)),0,VLOOKUP($S$253,'TAR FIN'!$A$1:$O$99,15,0))</f>
        <v>0</v>
      </c>
      <c r="W253" s="4">
        <f>IF(ISERROR(VLOOKUP($T$253,'TAR FIN'!$A$1:$O$99,15,0)),0,VLOOKUP($T$253,'TAR FIN'!$A$1:$O$99,15,0))</f>
        <v>97.61</v>
      </c>
      <c r="X253" s="4">
        <f>IF(ISERROR(VLOOKUP($U$253,'TAR FIN'!$A$1:$O$99,15,0)),0,VLOOKUP($U$253,'TAR FIN'!$A$1:$O$99,15,0))</f>
        <v>0</v>
      </c>
      <c r="Y253" s="4"/>
      <c r="Z253" s="4">
        <f ca="1">('TUSD BE'!$AM$23+'TUSD BF'!$AM$23+'TUSD CVA'!$AM$23)*1</f>
        <v>117.59114529324071</v>
      </c>
      <c r="AA253" s="4"/>
      <c r="AB253" s="4">
        <f t="shared" si="14"/>
        <v>0</v>
      </c>
      <c r="AC253" s="4">
        <f t="shared" si="15"/>
        <v>0</v>
      </c>
      <c r="AD253" s="4">
        <f t="shared" si="16"/>
        <v>0</v>
      </c>
      <c r="AE253" s="4">
        <f t="shared" ca="1" si="17"/>
        <v>0</v>
      </c>
      <c r="AF253" s="3" t="s">
        <v>950</v>
      </c>
    </row>
    <row r="254" spans="1:32" ht="11.25" customHeight="1" x14ac:dyDescent="0.25">
      <c r="A254" s="3" t="s">
        <v>21</v>
      </c>
      <c r="B254" s="3" t="s">
        <v>33</v>
      </c>
      <c r="C254" s="3" t="s">
        <v>34</v>
      </c>
      <c r="D254" s="3" t="s">
        <v>40</v>
      </c>
      <c r="E254" s="3" t="s">
        <v>25</v>
      </c>
      <c r="F254" s="3" t="s">
        <v>60</v>
      </c>
      <c r="G254" s="3" t="s">
        <v>25</v>
      </c>
      <c r="H254" s="3" t="s">
        <v>36</v>
      </c>
      <c r="I254" s="6">
        <v>44378</v>
      </c>
      <c r="J254" s="4">
        <v>0</v>
      </c>
      <c r="K254" s="4">
        <v>0</v>
      </c>
      <c r="L254" s="4">
        <v>15846.188</v>
      </c>
      <c r="M254" s="4">
        <v>15846.188</v>
      </c>
      <c r="N254" s="4">
        <v>0</v>
      </c>
      <c r="O254" s="4">
        <v>0</v>
      </c>
      <c r="P254" s="4">
        <v>0</v>
      </c>
      <c r="Q254" s="3" t="s">
        <v>57</v>
      </c>
      <c r="R254" s="3">
        <v>0</v>
      </c>
      <c r="S254" s="3">
        <v>0</v>
      </c>
      <c r="T254" s="3">
        <v>29</v>
      </c>
      <c r="U254" s="3">
        <v>0</v>
      </c>
      <c r="V254" s="4">
        <f>IF(ISERROR(VLOOKUP($S$254,'TAR FIN'!$A$1:$O$99,15,0)),0,VLOOKUP($S$254,'TAR FIN'!$A$1:$O$99,15,0))</f>
        <v>0</v>
      </c>
      <c r="W254" s="4">
        <f>IF(ISERROR(VLOOKUP($T$254,'TAR FIN'!$A$1:$O$99,15,0)),0,VLOOKUP($T$254,'TAR FIN'!$A$1:$O$99,15,0))</f>
        <v>97.61</v>
      </c>
      <c r="X254" s="4">
        <f>IF(ISERROR(VLOOKUP($U$254,'TAR FIN'!$A$1:$O$99,15,0)),0,VLOOKUP($U$254,'TAR FIN'!$A$1:$O$99,15,0))</f>
        <v>0</v>
      </c>
      <c r="Y254" s="4"/>
      <c r="Z254" s="4">
        <f ca="1">('TUSD BE'!$AM$23+'TUSD BF'!$AM$23+'TUSD CVA'!$AM$23)*1</f>
        <v>117.59114529324071</v>
      </c>
      <c r="AA254" s="4"/>
      <c r="AB254" s="4">
        <f t="shared" si="14"/>
        <v>0</v>
      </c>
      <c r="AC254" s="4">
        <f t="shared" si="15"/>
        <v>0</v>
      </c>
      <c r="AD254" s="4">
        <f t="shared" si="16"/>
        <v>0</v>
      </c>
      <c r="AE254" s="4">
        <f t="shared" ca="1" si="17"/>
        <v>0</v>
      </c>
      <c r="AF254" s="3" t="s">
        <v>950</v>
      </c>
    </row>
    <row r="255" spans="1:32" ht="11.25" customHeight="1" x14ac:dyDescent="0.25">
      <c r="A255" s="3" t="s">
        <v>21</v>
      </c>
      <c r="B255" s="3" t="s">
        <v>33</v>
      </c>
      <c r="C255" s="3" t="s">
        <v>34</v>
      </c>
      <c r="D255" s="3" t="s">
        <v>40</v>
      </c>
      <c r="E255" s="3" t="s">
        <v>25</v>
      </c>
      <c r="F255" s="3" t="s">
        <v>60</v>
      </c>
      <c r="G255" s="3" t="s">
        <v>25</v>
      </c>
      <c r="H255" s="3" t="s">
        <v>36</v>
      </c>
      <c r="I255" s="6">
        <v>44409</v>
      </c>
      <c r="J255" s="4">
        <v>0</v>
      </c>
      <c r="K255" s="4">
        <v>0</v>
      </c>
      <c r="L255" s="4">
        <v>16030.883</v>
      </c>
      <c r="M255" s="4">
        <v>16030.883</v>
      </c>
      <c r="N255" s="4">
        <v>0</v>
      </c>
      <c r="O255" s="4">
        <v>0</v>
      </c>
      <c r="P255" s="4">
        <v>0</v>
      </c>
      <c r="Q255" s="3" t="s">
        <v>57</v>
      </c>
      <c r="R255" s="3">
        <v>0</v>
      </c>
      <c r="S255" s="3">
        <v>0</v>
      </c>
      <c r="T255" s="3">
        <v>29</v>
      </c>
      <c r="U255" s="3">
        <v>0</v>
      </c>
      <c r="V255" s="4">
        <f>IF(ISERROR(VLOOKUP($S$255,'TAR FIN'!$A$1:$O$99,15,0)),0,VLOOKUP($S$255,'TAR FIN'!$A$1:$O$99,15,0))</f>
        <v>0</v>
      </c>
      <c r="W255" s="4">
        <f>IF(ISERROR(VLOOKUP($T$255,'TAR FIN'!$A$1:$O$99,15,0)),0,VLOOKUP($T$255,'TAR FIN'!$A$1:$O$99,15,0))</f>
        <v>97.61</v>
      </c>
      <c r="X255" s="4">
        <f>IF(ISERROR(VLOOKUP($U$255,'TAR FIN'!$A$1:$O$99,15,0)),0,VLOOKUP($U$255,'TAR FIN'!$A$1:$O$99,15,0))</f>
        <v>0</v>
      </c>
      <c r="Y255" s="4"/>
      <c r="Z255" s="4">
        <f ca="1">('TUSD BE'!$AM$23+'TUSD BF'!$AM$23+'TUSD CVA'!$AM$23)*1</f>
        <v>117.59114529324071</v>
      </c>
      <c r="AA255" s="4"/>
      <c r="AB255" s="4">
        <f t="shared" si="14"/>
        <v>0</v>
      </c>
      <c r="AC255" s="4">
        <f t="shared" si="15"/>
        <v>0</v>
      </c>
      <c r="AD255" s="4">
        <f t="shared" si="16"/>
        <v>0</v>
      </c>
      <c r="AE255" s="4">
        <f t="shared" ca="1" si="17"/>
        <v>0</v>
      </c>
      <c r="AF255" s="3" t="s">
        <v>950</v>
      </c>
    </row>
    <row r="256" spans="1:32" ht="11.25" customHeight="1" x14ac:dyDescent="0.25">
      <c r="A256" s="3" t="s">
        <v>21</v>
      </c>
      <c r="B256" s="3" t="s">
        <v>33</v>
      </c>
      <c r="C256" s="3" t="s">
        <v>34</v>
      </c>
      <c r="D256" s="3" t="s">
        <v>40</v>
      </c>
      <c r="E256" s="3" t="s">
        <v>25</v>
      </c>
      <c r="F256" s="3" t="s">
        <v>60</v>
      </c>
      <c r="G256" s="3" t="s">
        <v>25</v>
      </c>
      <c r="H256" s="3" t="s">
        <v>36</v>
      </c>
      <c r="I256" s="6">
        <v>44440</v>
      </c>
      <c r="J256" s="4">
        <v>0</v>
      </c>
      <c r="K256" s="4">
        <v>0</v>
      </c>
      <c r="L256" s="4">
        <v>15535.214</v>
      </c>
      <c r="M256" s="4">
        <v>15535.214</v>
      </c>
      <c r="N256" s="4">
        <v>0</v>
      </c>
      <c r="O256" s="4">
        <v>0</v>
      </c>
      <c r="P256" s="4">
        <v>0</v>
      </c>
      <c r="Q256" s="3" t="s">
        <v>57</v>
      </c>
      <c r="R256" s="3">
        <v>0</v>
      </c>
      <c r="S256" s="3">
        <v>0</v>
      </c>
      <c r="T256" s="3">
        <v>29</v>
      </c>
      <c r="U256" s="3">
        <v>0</v>
      </c>
      <c r="V256" s="4">
        <f>IF(ISERROR(VLOOKUP($S$256,'TAR FIN'!$A$1:$O$99,15,0)),0,VLOOKUP($S$256,'TAR FIN'!$A$1:$O$99,15,0))</f>
        <v>0</v>
      </c>
      <c r="W256" s="4">
        <f>IF(ISERROR(VLOOKUP($T$256,'TAR FIN'!$A$1:$O$99,15,0)),0,VLOOKUP($T$256,'TAR FIN'!$A$1:$O$99,15,0))</f>
        <v>97.61</v>
      </c>
      <c r="X256" s="4">
        <f>IF(ISERROR(VLOOKUP($U$256,'TAR FIN'!$A$1:$O$99,15,0)),0,VLOOKUP($U$256,'TAR FIN'!$A$1:$O$99,15,0))</f>
        <v>0</v>
      </c>
      <c r="Y256" s="4"/>
      <c r="Z256" s="4">
        <f ca="1">('TUSD BE'!$AM$23+'TUSD BF'!$AM$23+'TUSD CVA'!$AM$23)*1</f>
        <v>117.59114529324071</v>
      </c>
      <c r="AA256" s="4"/>
      <c r="AB256" s="4">
        <f t="shared" si="14"/>
        <v>0</v>
      </c>
      <c r="AC256" s="4">
        <f t="shared" si="15"/>
        <v>0</v>
      </c>
      <c r="AD256" s="4">
        <f t="shared" si="16"/>
        <v>0</v>
      </c>
      <c r="AE256" s="4">
        <f t="shared" ca="1" si="17"/>
        <v>0</v>
      </c>
      <c r="AF256" s="3" t="s">
        <v>950</v>
      </c>
    </row>
    <row r="257" spans="1:32" ht="11.25" customHeight="1" x14ac:dyDescent="0.25">
      <c r="A257" s="3" t="s">
        <v>21</v>
      </c>
      <c r="B257" s="3" t="s">
        <v>33</v>
      </c>
      <c r="C257" s="3" t="s">
        <v>34</v>
      </c>
      <c r="D257" s="3" t="s">
        <v>40</v>
      </c>
      <c r="E257" s="3" t="s">
        <v>25</v>
      </c>
      <c r="F257" s="3" t="s">
        <v>60</v>
      </c>
      <c r="G257" s="3" t="s">
        <v>25</v>
      </c>
      <c r="H257" s="3" t="s">
        <v>36</v>
      </c>
      <c r="I257" s="6">
        <v>44470</v>
      </c>
      <c r="J257" s="4">
        <v>0</v>
      </c>
      <c r="K257" s="4">
        <v>0</v>
      </c>
      <c r="L257" s="4">
        <v>17306.638999999999</v>
      </c>
      <c r="M257" s="4">
        <v>17306.638999999999</v>
      </c>
      <c r="N257" s="4">
        <v>0</v>
      </c>
      <c r="O257" s="4">
        <v>0</v>
      </c>
      <c r="P257" s="4">
        <v>0</v>
      </c>
      <c r="Q257" s="3" t="s">
        <v>57</v>
      </c>
      <c r="R257" s="3">
        <v>0</v>
      </c>
      <c r="S257" s="3">
        <v>0</v>
      </c>
      <c r="T257" s="3">
        <v>29</v>
      </c>
      <c r="U257" s="3">
        <v>0</v>
      </c>
      <c r="V257" s="4">
        <f>IF(ISERROR(VLOOKUP($S$257,'TAR FIN'!$A$1:$O$99,15,0)),0,VLOOKUP($S$257,'TAR FIN'!$A$1:$O$99,15,0))</f>
        <v>0</v>
      </c>
      <c r="W257" s="4">
        <f>IF(ISERROR(VLOOKUP($T$257,'TAR FIN'!$A$1:$O$99,15,0)),0,VLOOKUP($T$257,'TAR FIN'!$A$1:$O$99,15,0))</f>
        <v>97.61</v>
      </c>
      <c r="X257" s="4">
        <f>IF(ISERROR(VLOOKUP($U$257,'TAR FIN'!$A$1:$O$99,15,0)),0,VLOOKUP($U$257,'TAR FIN'!$A$1:$O$99,15,0))</f>
        <v>0</v>
      </c>
      <c r="Y257" s="4"/>
      <c r="Z257" s="4">
        <f ca="1">('TUSD BE'!$AM$23+'TUSD BF'!$AM$23+'TUSD CVA'!$AM$23)*1</f>
        <v>117.59114529324071</v>
      </c>
      <c r="AA257" s="4"/>
      <c r="AB257" s="4">
        <f t="shared" si="14"/>
        <v>0</v>
      </c>
      <c r="AC257" s="4">
        <f t="shared" si="15"/>
        <v>0</v>
      </c>
      <c r="AD257" s="4">
        <f t="shared" si="16"/>
        <v>0</v>
      </c>
      <c r="AE257" s="4">
        <f t="shared" ca="1" si="17"/>
        <v>0</v>
      </c>
      <c r="AF257" s="3" t="s">
        <v>950</v>
      </c>
    </row>
    <row r="258" spans="1:32" ht="11.25" customHeight="1" x14ac:dyDescent="0.25">
      <c r="A258" s="3" t="s">
        <v>21</v>
      </c>
      <c r="B258" s="3" t="s">
        <v>33</v>
      </c>
      <c r="C258" s="3" t="s">
        <v>34</v>
      </c>
      <c r="D258" s="3" t="s">
        <v>40</v>
      </c>
      <c r="E258" s="3" t="s">
        <v>25</v>
      </c>
      <c r="F258" s="3" t="s">
        <v>60</v>
      </c>
      <c r="G258" s="3" t="s">
        <v>25</v>
      </c>
      <c r="H258" s="3" t="s">
        <v>36</v>
      </c>
      <c r="I258" s="6">
        <v>44501</v>
      </c>
      <c r="J258" s="4">
        <v>0</v>
      </c>
      <c r="K258" s="4">
        <v>0</v>
      </c>
      <c r="L258" s="4">
        <v>18463.737000000001</v>
      </c>
      <c r="M258" s="4">
        <v>18463.737000000001</v>
      </c>
      <c r="N258" s="4">
        <v>0</v>
      </c>
      <c r="O258" s="4">
        <v>0</v>
      </c>
      <c r="P258" s="4">
        <v>0</v>
      </c>
      <c r="Q258" s="3" t="s">
        <v>57</v>
      </c>
      <c r="R258" s="3">
        <v>0</v>
      </c>
      <c r="S258" s="3">
        <v>0</v>
      </c>
      <c r="T258" s="3">
        <v>29</v>
      </c>
      <c r="U258" s="3">
        <v>0</v>
      </c>
      <c r="V258" s="4">
        <f>IF(ISERROR(VLOOKUP($S$258,'TAR FIN'!$A$1:$O$99,15,0)),0,VLOOKUP($S$258,'TAR FIN'!$A$1:$O$99,15,0))</f>
        <v>0</v>
      </c>
      <c r="W258" s="4">
        <f>IF(ISERROR(VLOOKUP($T$258,'TAR FIN'!$A$1:$O$99,15,0)),0,VLOOKUP($T$258,'TAR FIN'!$A$1:$O$99,15,0))</f>
        <v>97.61</v>
      </c>
      <c r="X258" s="4">
        <f>IF(ISERROR(VLOOKUP($U$258,'TAR FIN'!$A$1:$O$99,15,0)),0,VLOOKUP($U$258,'TAR FIN'!$A$1:$O$99,15,0))</f>
        <v>0</v>
      </c>
      <c r="Y258" s="4"/>
      <c r="Z258" s="4">
        <f ca="1">('TUSD BE'!$AM$23+'TUSD BF'!$AM$23+'TUSD CVA'!$AM$23)*1</f>
        <v>117.59114529324071</v>
      </c>
      <c r="AA258" s="4"/>
      <c r="AB258" s="4">
        <f t="shared" ref="AB258:AB306" si="18">(J258-K258)*V258</f>
        <v>0</v>
      </c>
      <c r="AC258" s="4">
        <f t="shared" ref="AC258:AC306" si="19">(L258-M258)*W258+(N258-O258)*X258</f>
        <v>0</v>
      </c>
      <c r="AD258" s="4">
        <f t="shared" ref="AD258:AD306" si="20">(J258-K258)*Y258</f>
        <v>0</v>
      </c>
      <c r="AE258" s="4">
        <f t="shared" ref="AE258:AE306" ca="1" si="21">(L258-M258)*Z258+(N258-O258)*AA258</f>
        <v>0</v>
      </c>
      <c r="AF258" s="3" t="s">
        <v>950</v>
      </c>
    </row>
    <row r="259" spans="1:32" ht="11.25" customHeight="1" x14ac:dyDescent="0.25">
      <c r="A259" s="3" t="s">
        <v>21</v>
      </c>
      <c r="B259" s="3" t="s">
        <v>33</v>
      </c>
      <c r="C259" s="3" t="s">
        <v>34</v>
      </c>
      <c r="D259" s="3" t="s">
        <v>40</v>
      </c>
      <c r="E259" s="3" t="s">
        <v>25</v>
      </c>
      <c r="F259" s="3" t="s">
        <v>60</v>
      </c>
      <c r="G259" s="3" t="s">
        <v>25</v>
      </c>
      <c r="H259" s="3" t="s">
        <v>36</v>
      </c>
      <c r="I259" s="6">
        <v>44531</v>
      </c>
      <c r="J259" s="4">
        <v>0</v>
      </c>
      <c r="K259" s="4">
        <v>0</v>
      </c>
      <c r="L259" s="4">
        <v>9772.5529999999999</v>
      </c>
      <c r="M259" s="4">
        <v>9772.5529999999999</v>
      </c>
      <c r="N259" s="4">
        <v>0</v>
      </c>
      <c r="O259" s="4">
        <v>0</v>
      </c>
      <c r="P259" s="4">
        <v>0</v>
      </c>
      <c r="Q259" s="3" t="s">
        <v>57</v>
      </c>
      <c r="R259" s="3">
        <v>0</v>
      </c>
      <c r="S259" s="3">
        <v>0</v>
      </c>
      <c r="T259" s="3">
        <v>29</v>
      </c>
      <c r="U259" s="3">
        <v>0</v>
      </c>
      <c r="V259" s="4">
        <f>IF(ISERROR(VLOOKUP($S$259,'TAR FIN'!$A$1:$O$99,15,0)),0,VLOOKUP($S$259,'TAR FIN'!$A$1:$O$99,15,0))</f>
        <v>0</v>
      </c>
      <c r="W259" s="4">
        <f>IF(ISERROR(VLOOKUP($T$259,'TAR FIN'!$A$1:$O$99,15,0)),0,VLOOKUP($T$259,'TAR FIN'!$A$1:$O$99,15,0))</f>
        <v>97.61</v>
      </c>
      <c r="X259" s="4">
        <f>IF(ISERROR(VLOOKUP($U$259,'TAR FIN'!$A$1:$O$99,15,0)),0,VLOOKUP($U$259,'TAR FIN'!$A$1:$O$99,15,0))</f>
        <v>0</v>
      </c>
      <c r="Y259" s="4"/>
      <c r="Z259" s="4">
        <f ca="1">('TUSD BE'!$AM$23+'TUSD BF'!$AM$23+'TUSD CVA'!$AM$23)*1</f>
        <v>117.59114529324071</v>
      </c>
      <c r="AA259" s="4"/>
      <c r="AB259" s="4">
        <f t="shared" si="18"/>
        <v>0</v>
      </c>
      <c r="AC259" s="4">
        <f t="shared" si="19"/>
        <v>0</v>
      </c>
      <c r="AD259" s="4">
        <f t="shared" si="20"/>
        <v>0</v>
      </c>
      <c r="AE259" s="4">
        <f t="shared" ca="1" si="21"/>
        <v>0</v>
      </c>
      <c r="AF259" s="3" t="s">
        <v>950</v>
      </c>
    </row>
    <row r="260" spans="1:32" ht="11.25" customHeight="1" x14ac:dyDescent="0.25">
      <c r="A260" s="3" t="s">
        <v>21</v>
      </c>
      <c r="B260" s="3" t="s">
        <v>33</v>
      </c>
      <c r="C260" s="3" t="s">
        <v>34</v>
      </c>
      <c r="D260" s="3" t="s">
        <v>40</v>
      </c>
      <c r="E260" s="3" t="s">
        <v>25</v>
      </c>
      <c r="F260" s="3" t="s">
        <v>60</v>
      </c>
      <c r="G260" s="3" t="s">
        <v>25</v>
      </c>
      <c r="H260" s="3" t="s">
        <v>36</v>
      </c>
      <c r="I260" s="6">
        <v>44562</v>
      </c>
      <c r="J260" s="4">
        <v>0</v>
      </c>
      <c r="K260" s="4">
        <v>0</v>
      </c>
      <c r="L260" s="4">
        <v>14363.013999999999</v>
      </c>
      <c r="M260" s="4">
        <v>14363.013999999999</v>
      </c>
      <c r="N260" s="4">
        <v>0</v>
      </c>
      <c r="O260" s="4">
        <v>0</v>
      </c>
      <c r="P260" s="4">
        <v>0</v>
      </c>
      <c r="Q260" s="3" t="s">
        <v>57</v>
      </c>
      <c r="R260" s="3">
        <v>0</v>
      </c>
      <c r="S260" s="3">
        <v>0</v>
      </c>
      <c r="T260" s="3">
        <v>29</v>
      </c>
      <c r="U260" s="3">
        <v>0</v>
      </c>
      <c r="V260" s="4">
        <f>IF(ISERROR(VLOOKUP($S$260,'TAR FIN'!$A$1:$O$99,15,0)),0,VLOOKUP($S$260,'TAR FIN'!$A$1:$O$99,15,0))</f>
        <v>0</v>
      </c>
      <c r="W260" s="4">
        <f>IF(ISERROR(VLOOKUP($T$260,'TAR FIN'!$A$1:$O$99,15,0)),0,VLOOKUP($T$260,'TAR FIN'!$A$1:$O$99,15,0))</f>
        <v>97.61</v>
      </c>
      <c r="X260" s="4">
        <f>IF(ISERROR(VLOOKUP($U$260,'TAR FIN'!$A$1:$O$99,15,0)),0,VLOOKUP($U$260,'TAR FIN'!$A$1:$O$99,15,0))</f>
        <v>0</v>
      </c>
      <c r="Y260" s="4"/>
      <c r="Z260" s="4">
        <f ca="1">('TUSD BE'!$AM$23+'TUSD BF'!$AM$23+'TUSD CVA'!$AM$23)*1</f>
        <v>117.59114529324071</v>
      </c>
      <c r="AA260" s="4"/>
      <c r="AB260" s="4">
        <f t="shared" si="18"/>
        <v>0</v>
      </c>
      <c r="AC260" s="4">
        <f t="shared" si="19"/>
        <v>0</v>
      </c>
      <c r="AD260" s="4">
        <f t="shared" si="20"/>
        <v>0</v>
      </c>
      <c r="AE260" s="4">
        <f t="shared" ca="1" si="21"/>
        <v>0</v>
      </c>
      <c r="AF260" s="3" t="s">
        <v>950</v>
      </c>
    </row>
    <row r="261" spans="1:32" ht="11.25" customHeight="1" x14ac:dyDescent="0.25">
      <c r="A261" s="3" t="s">
        <v>21</v>
      </c>
      <c r="B261" s="3" t="s">
        <v>33</v>
      </c>
      <c r="C261" s="3" t="s">
        <v>34</v>
      </c>
      <c r="D261" s="3" t="s">
        <v>40</v>
      </c>
      <c r="E261" s="3" t="s">
        <v>25</v>
      </c>
      <c r="F261" s="3" t="s">
        <v>60</v>
      </c>
      <c r="G261" s="3" t="s">
        <v>25</v>
      </c>
      <c r="H261" s="3" t="s">
        <v>36</v>
      </c>
      <c r="I261" s="6">
        <v>44593</v>
      </c>
      <c r="J261" s="4">
        <v>0</v>
      </c>
      <c r="K261" s="4">
        <v>0</v>
      </c>
      <c r="L261" s="4">
        <v>13550.341</v>
      </c>
      <c r="M261" s="4">
        <v>13550.341</v>
      </c>
      <c r="N261" s="4">
        <v>0</v>
      </c>
      <c r="O261" s="4">
        <v>0</v>
      </c>
      <c r="P261" s="4">
        <v>0</v>
      </c>
      <c r="Q261" s="3" t="s">
        <v>57</v>
      </c>
      <c r="R261" s="3">
        <v>0</v>
      </c>
      <c r="S261" s="3">
        <v>0</v>
      </c>
      <c r="T261" s="3">
        <v>29</v>
      </c>
      <c r="U261" s="3">
        <v>0</v>
      </c>
      <c r="V261" s="4">
        <f>IF(ISERROR(VLOOKUP($S$261,'TAR FIN'!$A$1:$O$99,15,0)),0,VLOOKUP($S$261,'TAR FIN'!$A$1:$O$99,15,0))</f>
        <v>0</v>
      </c>
      <c r="W261" s="4">
        <f>IF(ISERROR(VLOOKUP($T$261,'TAR FIN'!$A$1:$O$99,15,0)),0,VLOOKUP($T$261,'TAR FIN'!$A$1:$O$99,15,0))</f>
        <v>97.61</v>
      </c>
      <c r="X261" s="4">
        <f>IF(ISERROR(VLOOKUP($U$261,'TAR FIN'!$A$1:$O$99,15,0)),0,VLOOKUP($U$261,'TAR FIN'!$A$1:$O$99,15,0))</f>
        <v>0</v>
      </c>
      <c r="Y261" s="4"/>
      <c r="Z261" s="4">
        <f ca="1">('TUSD BE'!$AM$23+'TUSD BF'!$AM$23+'TUSD CVA'!$AM$23)*1</f>
        <v>117.59114529324071</v>
      </c>
      <c r="AA261" s="4"/>
      <c r="AB261" s="4">
        <f t="shared" si="18"/>
        <v>0</v>
      </c>
      <c r="AC261" s="4">
        <f t="shared" si="19"/>
        <v>0</v>
      </c>
      <c r="AD261" s="4">
        <f t="shared" si="20"/>
        <v>0</v>
      </c>
      <c r="AE261" s="4">
        <f t="shared" ca="1" si="21"/>
        <v>0</v>
      </c>
      <c r="AF261" s="3" t="s">
        <v>950</v>
      </c>
    </row>
    <row r="262" spans="1:32" ht="11.25" customHeight="1" x14ac:dyDescent="0.25">
      <c r="A262" s="3" t="s">
        <v>21</v>
      </c>
      <c r="B262" s="3" t="s">
        <v>33</v>
      </c>
      <c r="C262" s="3" t="s">
        <v>34</v>
      </c>
      <c r="D262" s="3" t="s">
        <v>40</v>
      </c>
      <c r="E262" s="3" t="s">
        <v>25</v>
      </c>
      <c r="F262" s="3" t="s">
        <v>60</v>
      </c>
      <c r="G262" s="3" t="s">
        <v>25</v>
      </c>
      <c r="H262" s="3" t="s">
        <v>36</v>
      </c>
      <c r="I262" s="6">
        <v>44621</v>
      </c>
      <c r="J262" s="4">
        <v>0</v>
      </c>
      <c r="K262" s="4">
        <v>0</v>
      </c>
      <c r="L262" s="4">
        <v>14927.39</v>
      </c>
      <c r="M262" s="4">
        <v>14927.39</v>
      </c>
      <c r="N262" s="4">
        <v>0</v>
      </c>
      <c r="O262" s="4">
        <v>0</v>
      </c>
      <c r="P262" s="4">
        <v>0</v>
      </c>
      <c r="Q262" s="3" t="s">
        <v>57</v>
      </c>
      <c r="R262" s="3">
        <v>0</v>
      </c>
      <c r="S262" s="3">
        <v>0</v>
      </c>
      <c r="T262" s="3">
        <v>29</v>
      </c>
      <c r="U262" s="3">
        <v>0</v>
      </c>
      <c r="V262" s="4">
        <f>IF(ISERROR(VLOOKUP($S$262,'TAR FIN'!$A$1:$O$99,15,0)),0,VLOOKUP($S$262,'TAR FIN'!$A$1:$O$99,15,0))</f>
        <v>0</v>
      </c>
      <c r="W262" s="4">
        <f>IF(ISERROR(VLOOKUP($T$262,'TAR FIN'!$A$1:$O$99,15,0)),0,VLOOKUP($T$262,'TAR FIN'!$A$1:$O$99,15,0))</f>
        <v>97.61</v>
      </c>
      <c r="X262" s="4">
        <f>IF(ISERROR(VLOOKUP($U$262,'TAR FIN'!$A$1:$O$99,15,0)),0,VLOOKUP($U$262,'TAR FIN'!$A$1:$O$99,15,0))</f>
        <v>0</v>
      </c>
      <c r="Y262" s="4"/>
      <c r="Z262" s="4">
        <f ca="1">('TUSD BE'!$AM$23+'TUSD BF'!$AM$23+'TUSD CVA'!$AM$23)*1</f>
        <v>117.59114529324071</v>
      </c>
      <c r="AA262" s="4"/>
      <c r="AB262" s="4">
        <f t="shared" si="18"/>
        <v>0</v>
      </c>
      <c r="AC262" s="4">
        <f t="shared" si="19"/>
        <v>0</v>
      </c>
      <c r="AD262" s="4">
        <f t="shared" si="20"/>
        <v>0</v>
      </c>
      <c r="AE262" s="4">
        <f t="shared" ca="1" si="21"/>
        <v>0</v>
      </c>
      <c r="AF262" s="3" t="s">
        <v>950</v>
      </c>
    </row>
    <row r="263" spans="1:32" ht="11.25" customHeight="1" x14ac:dyDescent="0.25">
      <c r="A263" s="3" t="s">
        <v>56</v>
      </c>
      <c r="B263" s="3" t="s">
        <v>33</v>
      </c>
      <c r="C263" s="3" t="s">
        <v>34</v>
      </c>
      <c r="D263" s="3" t="s">
        <v>40</v>
      </c>
      <c r="E263" s="3" t="s">
        <v>25</v>
      </c>
      <c r="F263" s="3" t="s">
        <v>60</v>
      </c>
      <c r="G263" s="3" t="s">
        <v>25</v>
      </c>
      <c r="H263" s="3" t="s">
        <v>36</v>
      </c>
      <c r="I263" s="6">
        <v>44652</v>
      </c>
      <c r="J263" s="4">
        <v>0</v>
      </c>
      <c r="K263" s="4">
        <v>0</v>
      </c>
      <c r="L263" s="4">
        <v>14927.39</v>
      </c>
      <c r="M263" s="4">
        <v>14927.39</v>
      </c>
      <c r="N263" s="4">
        <v>0</v>
      </c>
      <c r="O263" s="4">
        <v>0</v>
      </c>
      <c r="P263" s="4">
        <v>0</v>
      </c>
      <c r="Q263" s="3" t="s">
        <v>57</v>
      </c>
      <c r="R263" s="3">
        <v>0</v>
      </c>
      <c r="S263" s="3">
        <v>0</v>
      </c>
      <c r="T263" s="3">
        <v>29</v>
      </c>
      <c r="U263" s="3">
        <v>0</v>
      </c>
      <c r="V263" s="4">
        <f>IF(ISERROR(VLOOKUP($S$263,'TAR FIN'!$A$1:$O$99,15,0)),0,VLOOKUP($S$263,'TAR FIN'!$A$1:$O$99,15,0))</f>
        <v>0</v>
      </c>
      <c r="W263" s="4">
        <f>IF(ISERROR(VLOOKUP($T$263,'TAR FIN'!$A$1:$O$99,15,0)),0,VLOOKUP($T$263,'TAR FIN'!$A$1:$O$99,15,0))</f>
        <v>97.61</v>
      </c>
      <c r="X263" s="4">
        <f>IF(ISERROR(VLOOKUP($U$263,'TAR FIN'!$A$1:$O$99,15,0)),0,VLOOKUP($U$263,'TAR FIN'!$A$1:$O$99,15,0))</f>
        <v>0</v>
      </c>
      <c r="Y263" s="4"/>
      <c r="Z263" s="4">
        <f ca="1">('TUSD BE'!$AM$23+'TUSD BF'!$AM$23+'TUSD CVA'!$AM$23)*1</f>
        <v>117.59114529324071</v>
      </c>
      <c r="AA263" s="4"/>
      <c r="AB263" s="4">
        <f t="shared" si="18"/>
        <v>0</v>
      </c>
      <c r="AC263" s="4">
        <f t="shared" si="19"/>
        <v>0</v>
      </c>
      <c r="AD263" s="4">
        <f t="shared" si="20"/>
        <v>0</v>
      </c>
      <c r="AE263" s="4">
        <f t="shared" ca="1" si="21"/>
        <v>0</v>
      </c>
      <c r="AF263" s="3" t="s">
        <v>950</v>
      </c>
    </row>
    <row r="264" spans="1:32" ht="11.25" customHeight="1" x14ac:dyDescent="0.25">
      <c r="A264" s="3" t="s">
        <v>21</v>
      </c>
      <c r="B264" s="3" t="s">
        <v>33</v>
      </c>
      <c r="C264" s="3" t="s">
        <v>34</v>
      </c>
      <c r="D264" s="3" t="s">
        <v>40</v>
      </c>
      <c r="E264" s="3" t="s">
        <v>25</v>
      </c>
      <c r="F264" s="3" t="s">
        <v>60</v>
      </c>
      <c r="G264" s="3" t="s">
        <v>25</v>
      </c>
      <c r="H264" s="3" t="s">
        <v>25</v>
      </c>
      <c r="I264" s="6">
        <v>44317</v>
      </c>
      <c r="J264" s="4">
        <v>49067</v>
      </c>
      <c r="K264" s="4">
        <v>20699.682339219999</v>
      </c>
      <c r="L264" s="4">
        <v>0</v>
      </c>
      <c r="M264" s="4">
        <v>0</v>
      </c>
      <c r="N264" s="4">
        <v>0</v>
      </c>
      <c r="O264" s="4">
        <v>0</v>
      </c>
      <c r="P264" s="4">
        <v>67</v>
      </c>
      <c r="Q264" s="3" t="s">
        <v>57</v>
      </c>
      <c r="R264" s="3">
        <v>0</v>
      </c>
      <c r="S264" s="3">
        <v>7</v>
      </c>
      <c r="T264" s="3">
        <v>0</v>
      </c>
      <c r="U264" s="3">
        <v>0</v>
      </c>
      <c r="V264" s="4">
        <f>IF(ISERROR(VLOOKUP($S$264,'TAR FIN'!$A$1:$O$99,15,0)),0,VLOOKUP($S$264,'TAR FIN'!$A$1:$O$99,15,0))</f>
        <v>21.85</v>
      </c>
      <c r="W264" s="4">
        <f>IF(ISERROR(VLOOKUP($T$264,'TAR FIN'!$A$1:$O$99,15,0)),0,VLOOKUP($T$264,'TAR FIN'!$A$1:$O$99,15,0))</f>
        <v>0</v>
      </c>
      <c r="X264" s="4">
        <f>IF(ISERROR(VLOOKUP($U$264,'TAR FIN'!$A$1:$O$99,15,0)),0,VLOOKUP($U$264,'TAR FIN'!$A$1:$O$99,15,0))</f>
        <v>0</v>
      </c>
      <c r="Y264" s="4">
        <f ca="1">('TUSD BE'!$AM$21+'TUSD BF'!$AM$21+'TUSD CVA'!$AM$21)*1</f>
        <v>24.669398821277586</v>
      </c>
      <c r="Z264" s="4"/>
      <c r="AA264" s="4"/>
      <c r="AB264" s="4">
        <f t="shared" si="18"/>
        <v>619825.8908880431</v>
      </c>
      <c r="AC264" s="4">
        <f t="shared" si="19"/>
        <v>0</v>
      </c>
      <c r="AD264" s="4">
        <f t="shared" ca="1" si="20"/>
        <v>699804.67286365305</v>
      </c>
      <c r="AE264" s="4">
        <f t="shared" si="21"/>
        <v>0</v>
      </c>
      <c r="AF264" s="3" t="s">
        <v>950</v>
      </c>
    </row>
    <row r="265" spans="1:32" ht="11.25" customHeight="1" x14ac:dyDescent="0.25">
      <c r="A265" s="3" t="s">
        <v>21</v>
      </c>
      <c r="B265" s="3" t="s">
        <v>33</v>
      </c>
      <c r="C265" s="3" t="s">
        <v>34</v>
      </c>
      <c r="D265" s="3" t="s">
        <v>40</v>
      </c>
      <c r="E265" s="3" t="s">
        <v>25</v>
      </c>
      <c r="F265" s="3" t="s">
        <v>60</v>
      </c>
      <c r="G265" s="3" t="s">
        <v>25</v>
      </c>
      <c r="H265" s="3" t="s">
        <v>25</v>
      </c>
      <c r="I265" s="6">
        <v>44348</v>
      </c>
      <c r="J265" s="4">
        <v>50965</v>
      </c>
      <c r="K265" s="4">
        <v>22850.187309699999</v>
      </c>
      <c r="L265" s="4">
        <v>0</v>
      </c>
      <c r="M265" s="4">
        <v>0</v>
      </c>
      <c r="N265" s="4">
        <v>0</v>
      </c>
      <c r="O265" s="4">
        <v>0</v>
      </c>
      <c r="P265" s="4">
        <v>67</v>
      </c>
      <c r="Q265" s="3" t="s">
        <v>57</v>
      </c>
      <c r="R265" s="3">
        <v>0</v>
      </c>
      <c r="S265" s="3">
        <v>7</v>
      </c>
      <c r="T265" s="3">
        <v>0</v>
      </c>
      <c r="U265" s="3">
        <v>0</v>
      </c>
      <c r="V265" s="4">
        <f>IF(ISERROR(VLOOKUP($S$265,'TAR FIN'!$A$1:$O$99,15,0)),0,VLOOKUP($S$265,'TAR FIN'!$A$1:$O$99,15,0))</f>
        <v>21.85</v>
      </c>
      <c r="W265" s="4">
        <f>IF(ISERROR(VLOOKUP($T$265,'TAR FIN'!$A$1:$O$99,15,0)),0,VLOOKUP($T$265,'TAR FIN'!$A$1:$O$99,15,0))</f>
        <v>0</v>
      </c>
      <c r="X265" s="4">
        <f>IF(ISERROR(VLOOKUP($U$265,'TAR FIN'!$A$1:$O$99,15,0)),0,VLOOKUP($U$265,'TAR FIN'!$A$1:$O$99,15,0))</f>
        <v>0</v>
      </c>
      <c r="Y265" s="4">
        <f ca="1">('TUSD BE'!$AM$21+'TUSD BF'!$AM$21+'TUSD CVA'!$AM$21)*1</f>
        <v>24.669398821277586</v>
      </c>
      <c r="Z265" s="4"/>
      <c r="AA265" s="4"/>
      <c r="AB265" s="4">
        <f t="shared" si="18"/>
        <v>614308.65728305501</v>
      </c>
      <c r="AC265" s="4">
        <f t="shared" si="19"/>
        <v>0</v>
      </c>
      <c r="AD265" s="4">
        <f t="shared" ca="1" si="20"/>
        <v>693575.52704252698</v>
      </c>
      <c r="AE265" s="4">
        <f t="shared" si="21"/>
        <v>0</v>
      </c>
      <c r="AF265" s="3" t="s">
        <v>950</v>
      </c>
    </row>
    <row r="266" spans="1:32" ht="11.25" customHeight="1" x14ac:dyDescent="0.25">
      <c r="A266" s="3" t="s">
        <v>21</v>
      </c>
      <c r="B266" s="3" t="s">
        <v>33</v>
      </c>
      <c r="C266" s="3" t="s">
        <v>34</v>
      </c>
      <c r="D266" s="3" t="s">
        <v>40</v>
      </c>
      <c r="E266" s="3" t="s">
        <v>25</v>
      </c>
      <c r="F266" s="3" t="s">
        <v>60</v>
      </c>
      <c r="G266" s="3" t="s">
        <v>25</v>
      </c>
      <c r="H266" s="3" t="s">
        <v>25</v>
      </c>
      <c r="I266" s="6">
        <v>44378</v>
      </c>
      <c r="J266" s="4">
        <v>49044</v>
      </c>
      <c r="K266" s="4">
        <v>21385.2585612</v>
      </c>
      <c r="L266" s="4">
        <v>0</v>
      </c>
      <c r="M266" s="4">
        <v>0</v>
      </c>
      <c r="N266" s="4">
        <v>0</v>
      </c>
      <c r="O266" s="4">
        <v>0</v>
      </c>
      <c r="P266" s="4">
        <v>67</v>
      </c>
      <c r="Q266" s="3" t="s">
        <v>57</v>
      </c>
      <c r="R266" s="3">
        <v>0</v>
      </c>
      <c r="S266" s="3">
        <v>7</v>
      </c>
      <c r="T266" s="3">
        <v>0</v>
      </c>
      <c r="U266" s="3">
        <v>0</v>
      </c>
      <c r="V266" s="4">
        <f>IF(ISERROR(VLOOKUP($S$266,'TAR FIN'!$A$1:$O$99,15,0)),0,VLOOKUP($S$266,'TAR FIN'!$A$1:$O$99,15,0))</f>
        <v>21.85</v>
      </c>
      <c r="W266" s="4">
        <f>IF(ISERROR(VLOOKUP($T$266,'TAR FIN'!$A$1:$O$99,15,0)),0,VLOOKUP($T$266,'TAR FIN'!$A$1:$O$99,15,0))</f>
        <v>0</v>
      </c>
      <c r="X266" s="4">
        <f>IF(ISERROR(VLOOKUP($U$266,'TAR FIN'!$A$1:$O$99,15,0)),0,VLOOKUP($U$266,'TAR FIN'!$A$1:$O$99,15,0))</f>
        <v>0</v>
      </c>
      <c r="Y266" s="4">
        <f ca="1">('TUSD BE'!$AM$21+'TUSD BF'!$AM$21+'TUSD CVA'!$AM$21)*1</f>
        <v>24.669398821277586</v>
      </c>
      <c r="Z266" s="4"/>
      <c r="AA266" s="4"/>
      <c r="AB266" s="4">
        <f t="shared" si="18"/>
        <v>604343.50043778005</v>
      </c>
      <c r="AC266" s="4">
        <f t="shared" si="19"/>
        <v>0</v>
      </c>
      <c r="AD266" s="4">
        <f t="shared" ca="1" si="20"/>
        <v>682324.52344835422</v>
      </c>
      <c r="AE266" s="4">
        <f t="shared" si="21"/>
        <v>0</v>
      </c>
      <c r="AF266" s="3" t="s">
        <v>950</v>
      </c>
    </row>
    <row r="267" spans="1:32" ht="11.25" customHeight="1" x14ac:dyDescent="0.25">
      <c r="A267" s="3" t="s">
        <v>21</v>
      </c>
      <c r="B267" s="3" t="s">
        <v>33</v>
      </c>
      <c r="C267" s="3" t="s">
        <v>34</v>
      </c>
      <c r="D267" s="3" t="s">
        <v>40</v>
      </c>
      <c r="E267" s="3" t="s">
        <v>25</v>
      </c>
      <c r="F267" s="3" t="s">
        <v>60</v>
      </c>
      <c r="G267" s="3" t="s">
        <v>25</v>
      </c>
      <c r="H267" s="3" t="s">
        <v>25</v>
      </c>
      <c r="I267" s="6">
        <v>44409</v>
      </c>
      <c r="J267" s="4">
        <v>48218</v>
      </c>
      <c r="K267" s="4">
        <v>22244.500107659998</v>
      </c>
      <c r="L267" s="4">
        <v>0</v>
      </c>
      <c r="M267" s="4">
        <v>0</v>
      </c>
      <c r="N267" s="4">
        <v>0</v>
      </c>
      <c r="O267" s="4">
        <v>0</v>
      </c>
      <c r="P267" s="4">
        <v>69</v>
      </c>
      <c r="Q267" s="3" t="s">
        <v>57</v>
      </c>
      <c r="R267" s="3">
        <v>0</v>
      </c>
      <c r="S267" s="3">
        <v>7</v>
      </c>
      <c r="T267" s="3">
        <v>0</v>
      </c>
      <c r="U267" s="3">
        <v>0</v>
      </c>
      <c r="V267" s="4">
        <f>IF(ISERROR(VLOOKUP($S$267,'TAR FIN'!$A$1:$O$99,15,0)),0,VLOOKUP($S$267,'TAR FIN'!$A$1:$O$99,15,0))</f>
        <v>21.85</v>
      </c>
      <c r="W267" s="4">
        <f>IF(ISERROR(VLOOKUP($T$267,'TAR FIN'!$A$1:$O$99,15,0)),0,VLOOKUP($T$267,'TAR FIN'!$A$1:$O$99,15,0))</f>
        <v>0</v>
      </c>
      <c r="X267" s="4">
        <f>IF(ISERROR(VLOOKUP($U$267,'TAR FIN'!$A$1:$O$99,15,0)),0,VLOOKUP($U$267,'TAR FIN'!$A$1:$O$99,15,0))</f>
        <v>0</v>
      </c>
      <c r="Y267" s="4">
        <f ca="1">('TUSD BE'!$AM$21+'TUSD BF'!$AM$21+'TUSD CVA'!$AM$21)*1</f>
        <v>24.669398821277586</v>
      </c>
      <c r="Z267" s="4"/>
      <c r="AA267" s="4"/>
      <c r="AB267" s="4">
        <f t="shared" si="18"/>
        <v>567520.9726476291</v>
      </c>
      <c r="AC267" s="4">
        <f t="shared" si="19"/>
        <v>0</v>
      </c>
      <c r="AD267" s="4">
        <f t="shared" ca="1" si="20"/>
        <v>640750.62762854598</v>
      </c>
      <c r="AE267" s="4">
        <f t="shared" si="21"/>
        <v>0</v>
      </c>
      <c r="AF267" s="3" t="s">
        <v>950</v>
      </c>
    </row>
    <row r="268" spans="1:32" ht="11.25" customHeight="1" x14ac:dyDescent="0.25">
      <c r="A268" s="3" t="s">
        <v>21</v>
      </c>
      <c r="B268" s="3" t="s">
        <v>33</v>
      </c>
      <c r="C268" s="3" t="s">
        <v>34</v>
      </c>
      <c r="D268" s="3" t="s">
        <v>40</v>
      </c>
      <c r="E268" s="3" t="s">
        <v>25</v>
      </c>
      <c r="F268" s="3" t="s">
        <v>60</v>
      </c>
      <c r="G268" s="3" t="s">
        <v>25</v>
      </c>
      <c r="H268" s="3" t="s">
        <v>25</v>
      </c>
      <c r="I268" s="6">
        <v>44440</v>
      </c>
      <c r="J268" s="4">
        <v>47981</v>
      </c>
      <c r="K268" s="4">
        <v>22125.615755660001</v>
      </c>
      <c r="L268" s="4">
        <v>0</v>
      </c>
      <c r="M268" s="4">
        <v>0</v>
      </c>
      <c r="N268" s="4">
        <v>0</v>
      </c>
      <c r="O268" s="4">
        <v>0</v>
      </c>
      <c r="P268" s="4">
        <v>71</v>
      </c>
      <c r="Q268" s="3" t="s">
        <v>57</v>
      </c>
      <c r="R268" s="3">
        <v>0</v>
      </c>
      <c r="S268" s="3">
        <v>7</v>
      </c>
      <c r="T268" s="3">
        <v>0</v>
      </c>
      <c r="U268" s="3">
        <v>0</v>
      </c>
      <c r="V268" s="4">
        <f>IF(ISERROR(VLOOKUP($S$268,'TAR FIN'!$A$1:$O$99,15,0)),0,VLOOKUP($S$268,'TAR FIN'!$A$1:$O$99,15,0))</f>
        <v>21.85</v>
      </c>
      <c r="W268" s="4">
        <f>IF(ISERROR(VLOOKUP($T$268,'TAR FIN'!$A$1:$O$99,15,0)),0,VLOOKUP($T$268,'TAR FIN'!$A$1:$O$99,15,0))</f>
        <v>0</v>
      </c>
      <c r="X268" s="4">
        <f>IF(ISERROR(VLOOKUP($U$268,'TAR FIN'!$A$1:$O$99,15,0)),0,VLOOKUP($U$268,'TAR FIN'!$A$1:$O$99,15,0))</f>
        <v>0</v>
      </c>
      <c r="Y268" s="4">
        <f ca="1">('TUSD BE'!$AM$21+'TUSD BF'!$AM$21+'TUSD CVA'!$AM$21)*1</f>
        <v>24.669398821277586</v>
      </c>
      <c r="Z268" s="4"/>
      <c r="AA268" s="4"/>
      <c r="AB268" s="4">
        <f t="shared" si="18"/>
        <v>564940.14573882904</v>
      </c>
      <c r="AC268" s="4">
        <f t="shared" si="19"/>
        <v>0</v>
      </c>
      <c r="AD268" s="4">
        <f t="shared" ca="1" si="20"/>
        <v>637836.78560100019</v>
      </c>
      <c r="AE268" s="4">
        <f t="shared" si="21"/>
        <v>0</v>
      </c>
      <c r="AF268" s="3" t="s">
        <v>950</v>
      </c>
    </row>
    <row r="269" spans="1:32" ht="11.25" customHeight="1" x14ac:dyDescent="0.25">
      <c r="A269" s="3" t="s">
        <v>21</v>
      </c>
      <c r="B269" s="3" t="s">
        <v>33</v>
      </c>
      <c r="C269" s="3" t="s">
        <v>34</v>
      </c>
      <c r="D269" s="3" t="s">
        <v>40</v>
      </c>
      <c r="E269" s="3" t="s">
        <v>25</v>
      </c>
      <c r="F269" s="3" t="s">
        <v>60</v>
      </c>
      <c r="G269" s="3" t="s">
        <v>25</v>
      </c>
      <c r="H269" s="3" t="s">
        <v>25</v>
      </c>
      <c r="I269" s="6">
        <v>44470</v>
      </c>
      <c r="J269" s="4">
        <v>51474</v>
      </c>
      <c r="K269" s="4">
        <v>23885.087473380001</v>
      </c>
      <c r="L269" s="4">
        <v>0</v>
      </c>
      <c r="M269" s="4">
        <v>0</v>
      </c>
      <c r="N269" s="4">
        <v>0</v>
      </c>
      <c r="O269" s="4">
        <v>0</v>
      </c>
      <c r="P269" s="4">
        <v>72</v>
      </c>
      <c r="Q269" s="3" t="s">
        <v>57</v>
      </c>
      <c r="R269" s="3">
        <v>0</v>
      </c>
      <c r="S269" s="3">
        <v>7</v>
      </c>
      <c r="T269" s="3">
        <v>0</v>
      </c>
      <c r="U269" s="3">
        <v>0</v>
      </c>
      <c r="V269" s="4">
        <f>IF(ISERROR(VLOOKUP($S$269,'TAR FIN'!$A$1:$O$99,15,0)),0,VLOOKUP($S$269,'TAR FIN'!$A$1:$O$99,15,0))</f>
        <v>21.85</v>
      </c>
      <c r="W269" s="4">
        <f>IF(ISERROR(VLOOKUP($T$269,'TAR FIN'!$A$1:$O$99,15,0)),0,VLOOKUP($T$269,'TAR FIN'!$A$1:$O$99,15,0))</f>
        <v>0</v>
      </c>
      <c r="X269" s="4">
        <f>IF(ISERROR(VLOOKUP($U$269,'TAR FIN'!$A$1:$O$99,15,0)),0,VLOOKUP($U$269,'TAR FIN'!$A$1:$O$99,15,0))</f>
        <v>0</v>
      </c>
      <c r="Y269" s="4">
        <f ca="1">('TUSD BE'!$AM$21+'TUSD BF'!$AM$21+'TUSD CVA'!$AM$21)*1</f>
        <v>24.669398821277586</v>
      </c>
      <c r="Z269" s="4"/>
      <c r="AA269" s="4"/>
      <c r="AB269" s="4">
        <f t="shared" si="18"/>
        <v>602817.73870664707</v>
      </c>
      <c r="AC269" s="4">
        <f t="shared" si="19"/>
        <v>0</v>
      </c>
      <c r="AD269" s="4">
        <f t="shared" ca="1" si="20"/>
        <v>680601.88616452983</v>
      </c>
      <c r="AE269" s="4">
        <f t="shared" si="21"/>
        <v>0</v>
      </c>
      <c r="AF269" s="3" t="s">
        <v>950</v>
      </c>
    </row>
    <row r="270" spans="1:32" ht="11.25" customHeight="1" x14ac:dyDescent="0.25">
      <c r="A270" s="3" t="s">
        <v>21</v>
      </c>
      <c r="B270" s="3" t="s">
        <v>33</v>
      </c>
      <c r="C270" s="3" t="s">
        <v>34</v>
      </c>
      <c r="D270" s="3" t="s">
        <v>40</v>
      </c>
      <c r="E270" s="3" t="s">
        <v>25</v>
      </c>
      <c r="F270" s="3" t="s">
        <v>60</v>
      </c>
      <c r="G270" s="3" t="s">
        <v>25</v>
      </c>
      <c r="H270" s="3" t="s">
        <v>25</v>
      </c>
      <c r="I270" s="6">
        <v>44501</v>
      </c>
      <c r="J270" s="4">
        <v>52635</v>
      </c>
      <c r="K270" s="4">
        <v>24452.999867999999</v>
      </c>
      <c r="L270" s="4">
        <v>0</v>
      </c>
      <c r="M270" s="4">
        <v>0</v>
      </c>
      <c r="N270" s="4">
        <v>0</v>
      </c>
      <c r="O270" s="4">
        <v>0</v>
      </c>
      <c r="P270" s="4">
        <v>77</v>
      </c>
      <c r="Q270" s="3" t="s">
        <v>57</v>
      </c>
      <c r="R270" s="3">
        <v>0</v>
      </c>
      <c r="S270" s="3">
        <v>7</v>
      </c>
      <c r="T270" s="3">
        <v>0</v>
      </c>
      <c r="U270" s="3">
        <v>0</v>
      </c>
      <c r="V270" s="4">
        <f>IF(ISERROR(VLOOKUP($S$270,'TAR FIN'!$A$1:$O$99,15,0)),0,VLOOKUP($S$270,'TAR FIN'!$A$1:$O$99,15,0))</f>
        <v>21.85</v>
      </c>
      <c r="W270" s="4">
        <f>IF(ISERROR(VLOOKUP($T$270,'TAR FIN'!$A$1:$O$99,15,0)),0,VLOOKUP($T$270,'TAR FIN'!$A$1:$O$99,15,0))</f>
        <v>0</v>
      </c>
      <c r="X270" s="4">
        <f>IF(ISERROR(VLOOKUP($U$270,'TAR FIN'!$A$1:$O$99,15,0)),0,VLOOKUP($U$270,'TAR FIN'!$A$1:$O$99,15,0))</f>
        <v>0</v>
      </c>
      <c r="Y270" s="4">
        <f ca="1">('TUSD BE'!$AM$21+'TUSD BF'!$AM$21+'TUSD CVA'!$AM$21)*1</f>
        <v>24.669398821277586</v>
      </c>
      <c r="Z270" s="4"/>
      <c r="AA270" s="4"/>
      <c r="AB270" s="4">
        <f t="shared" si="18"/>
        <v>615776.70288420003</v>
      </c>
      <c r="AC270" s="4">
        <f t="shared" si="19"/>
        <v>0</v>
      </c>
      <c r="AD270" s="4">
        <f t="shared" ca="1" si="20"/>
        <v>695233.00083760556</v>
      </c>
      <c r="AE270" s="4">
        <f t="shared" si="21"/>
        <v>0</v>
      </c>
      <c r="AF270" s="3" t="s">
        <v>950</v>
      </c>
    </row>
    <row r="271" spans="1:32" ht="11.25" customHeight="1" x14ac:dyDescent="0.25">
      <c r="A271" s="3" t="s">
        <v>21</v>
      </c>
      <c r="B271" s="3" t="s">
        <v>33</v>
      </c>
      <c r="C271" s="3" t="s">
        <v>34</v>
      </c>
      <c r="D271" s="3" t="s">
        <v>40</v>
      </c>
      <c r="E271" s="3" t="s">
        <v>25</v>
      </c>
      <c r="F271" s="3" t="s">
        <v>60</v>
      </c>
      <c r="G271" s="3" t="s">
        <v>25</v>
      </c>
      <c r="H271" s="3" t="s">
        <v>25</v>
      </c>
      <c r="I271" s="6">
        <v>44531</v>
      </c>
      <c r="J271" s="4">
        <v>40712</v>
      </c>
      <c r="K271" s="4">
        <v>18287.499818560002</v>
      </c>
      <c r="L271" s="4">
        <v>0</v>
      </c>
      <c r="M271" s="4">
        <v>0</v>
      </c>
      <c r="N271" s="4">
        <v>0</v>
      </c>
      <c r="O271" s="4">
        <v>0</v>
      </c>
      <c r="P271" s="4">
        <v>82</v>
      </c>
      <c r="Q271" s="3" t="s">
        <v>57</v>
      </c>
      <c r="R271" s="3">
        <v>0</v>
      </c>
      <c r="S271" s="3">
        <v>7</v>
      </c>
      <c r="T271" s="3">
        <v>0</v>
      </c>
      <c r="U271" s="3">
        <v>0</v>
      </c>
      <c r="V271" s="4">
        <f>IF(ISERROR(VLOOKUP($S$271,'TAR FIN'!$A$1:$O$99,15,0)),0,VLOOKUP($S$271,'TAR FIN'!$A$1:$O$99,15,0))</f>
        <v>21.85</v>
      </c>
      <c r="W271" s="4">
        <f>IF(ISERROR(VLOOKUP($T$271,'TAR FIN'!$A$1:$O$99,15,0)),0,VLOOKUP($T$271,'TAR FIN'!$A$1:$O$99,15,0))</f>
        <v>0</v>
      </c>
      <c r="X271" s="4">
        <f>IF(ISERROR(VLOOKUP($U$271,'TAR FIN'!$A$1:$O$99,15,0)),0,VLOOKUP($U$271,'TAR FIN'!$A$1:$O$99,15,0))</f>
        <v>0</v>
      </c>
      <c r="Y271" s="4">
        <f ca="1">('TUSD BE'!$AM$21+'TUSD BF'!$AM$21+'TUSD CVA'!$AM$21)*1</f>
        <v>24.669398821277586</v>
      </c>
      <c r="Z271" s="4"/>
      <c r="AA271" s="4"/>
      <c r="AB271" s="4">
        <f t="shared" si="18"/>
        <v>489975.32896446402</v>
      </c>
      <c r="AC271" s="4">
        <f t="shared" si="19"/>
        <v>0</v>
      </c>
      <c r="AD271" s="4">
        <f t="shared" ca="1" si="20"/>
        <v>553198.93834375485</v>
      </c>
      <c r="AE271" s="4">
        <f t="shared" si="21"/>
        <v>0</v>
      </c>
      <c r="AF271" s="3" t="s">
        <v>950</v>
      </c>
    </row>
    <row r="272" spans="1:32" ht="11.25" customHeight="1" x14ac:dyDescent="0.25">
      <c r="A272" s="3" t="s">
        <v>21</v>
      </c>
      <c r="B272" s="3" t="s">
        <v>33</v>
      </c>
      <c r="C272" s="3" t="s">
        <v>34</v>
      </c>
      <c r="D272" s="3" t="s">
        <v>40</v>
      </c>
      <c r="E272" s="3" t="s">
        <v>25</v>
      </c>
      <c r="F272" s="3" t="s">
        <v>60</v>
      </c>
      <c r="G272" s="3" t="s">
        <v>25</v>
      </c>
      <c r="H272" s="3" t="s">
        <v>25</v>
      </c>
      <c r="I272" s="6">
        <v>44562</v>
      </c>
      <c r="J272" s="4">
        <v>47400</v>
      </c>
      <c r="K272" s="4">
        <v>21628.500078000001</v>
      </c>
      <c r="L272" s="4">
        <v>0</v>
      </c>
      <c r="M272" s="4">
        <v>0</v>
      </c>
      <c r="N272" s="4">
        <v>0</v>
      </c>
      <c r="O272" s="4">
        <v>0</v>
      </c>
      <c r="P272" s="4">
        <v>80</v>
      </c>
      <c r="Q272" s="3" t="s">
        <v>57</v>
      </c>
      <c r="R272" s="3">
        <v>0</v>
      </c>
      <c r="S272" s="3">
        <v>7</v>
      </c>
      <c r="T272" s="3">
        <v>0</v>
      </c>
      <c r="U272" s="3">
        <v>0</v>
      </c>
      <c r="V272" s="4">
        <f>IF(ISERROR(VLOOKUP($S$272,'TAR FIN'!$A$1:$O$99,15,0)),0,VLOOKUP($S$272,'TAR FIN'!$A$1:$O$99,15,0))</f>
        <v>21.85</v>
      </c>
      <c r="W272" s="4">
        <f>IF(ISERROR(VLOOKUP($T$272,'TAR FIN'!$A$1:$O$99,15,0)),0,VLOOKUP($T$272,'TAR FIN'!$A$1:$O$99,15,0))</f>
        <v>0</v>
      </c>
      <c r="X272" s="4">
        <f>IF(ISERROR(VLOOKUP($U$272,'TAR FIN'!$A$1:$O$99,15,0)),0,VLOOKUP($U$272,'TAR FIN'!$A$1:$O$99,15,0))</f>
        <v>0</v>
      </c>
      <c r="Y272" s="4">
        <f ca="1">('TUSD BE'!$AM$21+'TUSD BF'!$AM$21+'TUSD CVA'!$AM$21)*1</f>
        <v>24.669398821277586</v>
      </c>
      <c r="Z272" s="4"/>
      <c r="AA272" s="4"/>
      <c r="AB272" s="4">
        <f t="shared" si="18"/>
        <v>563107.27329569997</v>
      </c>
      <c r="AC272" s="4">
        <f t="shared" si="19"/>
        <v>0</v>
      </c>
      <c r="AD272" s="4">
        <f t="shared" ca="1" si="20"/>
        <v>635767.40979834215</v>
      </c>
      <c r="AE272" s="4">
        <f t="shared" si="21"/>
        <v>0</v>
      </c>
      <c r="AF272" s="3" t="s">
        <v>950</v>
      </c>
    </row>
    <row r="273" spans="1:32" ht="11.25" customHeight="1" x14ac:dyDescent="0.25">
      <c r="A273" s="3" t="s">
        <v>21</v>
      </c>
      <c r="B273" s="3" t="s">
        <v>33</v>
      </c>
      <c r="C273" s="3" t="s">
        <v>34</v>
      </c>
      <c r="D273" s="3" t="s">
        <v>40</v>
      </c>
      <c r="E273" s="3" t="s">
        <v>25</v>
      </c>
      <c r="F273" s="3" t="s">
        <v>60</v>
      </c>
      <c r="G273" s="3" t="s">
        <v>25</v>
      </c>
      <c r="H273" s="3" t="s">
        <v>25</v>
      </c>
      <c r="I273" s="6">
        <v>44593</v>
      </c>
      <c r="J273" s="4">
        <v>47541</v>
      </c>
      <c r="K273" s="4">
        <v>21905.743734029998</v>
      </c>
      <c r="L273" s="4">
        <v>0</v>
      </c>
      <c r="M273" s="4">
        <v>0</v>
      </c>
      <c r="N273" s="4">
        <v>0</v>
      </c>
      <c r="O273" s="4">
        <v>0</v>
      </c>
      <c r="P273" s="4">
        <v>79</v>
      </c>
      <c r="Q273" s="3" t="s">
        <v>57</v>
      </c>
      <c r="R273" s="3">
        <v>0</v>
      </c>
      <c r="S273" s="3">
        <v>7</v>
      </c>
      <c r="T273" s="3">
        <v>0</v>
      </c>
      <c r="U273" s="3">
        <v>0</v>
      </c>
      <c r="V273" s="4">
        <f>IF(ISERROR(VLOOKUP($S$273,'TAR FIN'!$A$1:$O$99,15,0)),0,VLOOKUP($S$273,'TAR FIN'!$A$1:$O$99,15,0))</f>
        <v>21.85</v>
      </c>
      <c r="W273" s="4">
        <f>IF(ISERROR(VLOOKUP($T$273,'TAR FIN'!$A$1:$O$99,15,0)),0,VLOOKUP($T$273,'TAR FIN'!$A$1:$O$99,15,0))</f>
        <v>0</v>
      </c>
      <c r="X273" s="4">
        <f>IF(ISERROR(VLOOKUP($U$273,'TAR FIN'!$A$1:$O$99,15,0)),0,VLOOKUP($U$273,'TAR FIN'!$A$1:$O$99,15,0))</f>
        <v>0</v>
      </c>
      <c r="Y273" s="4">
        <f ca="1">('TUSD BE'!$AM$21+'TUSD BF'!$AM$21+'TUSD CVA'!$AM$21)*1</f>
        <v>24.669398821277586</v>
      </c>
      <c r="Z273" s="4"/>
      <c r="AA273" s="4"/>
      <c r="AB273" s="4">
        <f t="shared" si="18"/>
        <v>560130.34941144462</v>
      </c>
      <c r="AC273" s="4">
        <f t="shared" si="19"/>
        <v>0</v>
      </c>
      <c r="AD273" s="4">
        <f t="shared" ca="1" si="20"/>
        <v>632406.36071086919</v>
      </c>
      <c r="AE273" s="4">
        <f t="shared" si="21"/>
        <v>0</v>
      </c>
      <c r="AF273" s="3" t="s">
        <v>950</v>
      </c>
    </row>
    <row r="274" spans="1:32" ht="11.25" customHeight="1" x14ac:dyDescent="0.25">
      <c r="A274" s="3" t="s">
        <v>21</v>
      </c>
      <c r="B274" s="3" t="s">
        <v>33</v>
      </c>
      <c r="C274" s="3" t="s">
        <v>34</v>
      </c>
      <c r="D274" s="3" t="s">
        <v>40</v>
      </c>
      <c r="E274" s="3" t="s">
        <v>25</v>
      </c>
      <c r="F274" s="3" t="s">
        <v>60</v>
      </c>
      <c r="G274" s="3" t="s">
        <v>25</v>
      </c>
      <c r="H274" s="3" t="s">
        <v>25</v>
      </c>
      <c r="I274" s="6">
        <v>44621</v>
      </c>
      <c r="J274" s="4">
        <v>48504</v>
      </c>
      <c r="K274" s="4">
        <v>22445.500047599999</v>
      </c>
      <c r="L274" s="4">
        <v>0</v>
      </c>
      <c r="M274" s="4">
        <v>0</v>
      </c>
      <c r="N274" s="4">
        <v>0</v>
      </c>
      <c r="O274" s="4">
        <v>0</v>
      </c>
      <c r="P274" s="4">
        <v>82</v>
      </c>
      <c r="Q274" s="3" t="s">
        <v>57</v>
      </c>
      <c r="R274" s="3">
        <v>0</v>
      </c>
      <c r="S274" s="3">
        <v>7</v>
      </c>
      <c r="T274" s="3">
        <v>0</v>
      </c>
      <c r="U274" s="3">
        <v>0</v>
      </c>
      <c r="V274" s="4">
        <f>IF(ISERROR(VLOOKUP($S$274,'TAR FIN'!$A$1:$O$99,15,0)),0,VLOOKUP($S$274,'TAR FIN'!$A$1:$O$99,15,0))</f>
        <v>21.85</v>
      </c>
      <c r="W274" s="4">
        <f>IF(ISERROR(VLOOKUP($T$274,'TAR FIN'!$A$1:$O$99,15,0)),0,VLOOKUP($T$274,'TAR FIN'!$A$1:$O$99,15,0))</f>
        <v>0</v>
      </c>
      <c r="X274" s="4">
        <f>IF(ISERROR(VLOOKUP($U$274,'TAR FIN'!$A$1:$O$99,15,0)),0,VLOOKUP($U$274,'TAR FIN'!$A$1:$O$99,15,0))</f>
        <v>0</v>
      </c>
      <c r="Y274" s="4">
        <f ca="1">('TUSD BE'!$AM$21+'TUSD BF'!$AM$21+'TUSD CVA'!$AM$21)*1</f>
        <v>24.669398821277586</v>
      </c>
      <c r="Z274" s="4"/>
      <c r="AA274" s="4"/>
      <c r="AB274" s="4">
        <f t="shared" si="18"/>
        <v>569378.22395994002</v>
      </c>
      <c r="AC274" s="4">
        <f t="shared" si="19"/>
        <v>0</v>
      </c>
      <c r="AD274" s="4">
        <f t="shared" ca="1" si="20"/>
        <v>642847.52800999861</v>
      </c>
      <c r="AE274" s="4">
        <f t="shared" si="21"/>
        <v>0</v>
      </c>
      <c r="AF274" s="3" t="s">
        <v>950</v>
      </c>
    </row>
    <row r="275" spans="1:32" ht="11.25" customHeight="1" x14ac:dyDescent="0.25">
      <c r="A275" s="3" t="s">
        <v>56</v>
      </c>
      <c r="B275" s="3" t="s">
        <v>33</v>
      </c>
      <c r="C275" s="3" t="s">
        <v>34</v>
      </c>
      <c r="D275" s="3" t="s">
        <v>40</v>
      </c>
      <c r="E275" s="3" t="s">
        <v>25</v>
      </c>
      <c r="F275" s="3" t="s">
        <v>60</v>
      </c>
      <c r="G275" s="3" t="s">
        <v>25</v>
      </c>
      <c r="H275" s="3" t="s">
        <v>25</v>
      </c>
      <c r="I275" s="6">
        <v>44652</v>
      </c>
      <c r="J275" s="4">
        <v>48504</v>
      </c>
      <c r="K275" s="4">
        <v>22445.500047599999</v>
      </c>
      <c r="L275" s="4">
        <v>0</v>
      </c>
      <c r="M275" s="4">
        <v>0</v>
      </c>
      <c r="N275" s="4">
        <v>0</v>
      </c>
      <c r="O275" s="4">
        <v>0</v>
      </c>
      <c r="P275" s="4">
        <v>82</v>
      </c>
      <c r="Q275" s="3" t="s">
        <v>57</v>
      </c>
      <c r="R275" s="3">
        <v>0</v>
      </c>
      <c r="S275" s="3">
        <v>7</v>
      </c>
      <c r="T275" s="3">
        <v>0</v>
      </c>
      <c r="U275" s="3">
        <v>0</v>
      </c>
      <c r="V275" s="4">
        <f>IF(ISERROR(VLOOKUP($S$275,'TAR FIN'!$A$1:$O$99,15,0)),0,VLOOKUP($S$275,'TAR FIN'!$A$1:$O$99,15,0))</f>
        <v>21.85</v>
      </c>
      <c r="W275" s="4">
        <f>IF(ISERROR(VLOOKUP($T$275,'TAR FIN'!$A$1:$O$99,15,0)),0,VLOOKUP($T$275,'TAR FIN'!$A$1:$O$99,15,0))</f>
        <v>0</v>
      </c>
      <c r="X275" s="4">
        <f>IF(ISERROR(VLOOKUP($U$275,'TAR FIN'!$A$1:$O$99,15,0)),0,VLOOKUP($U$275,'TAR FIN'!$A$1:$O$99,15,0))</f>
        <v>0</v>
      </c>
      <c r="Y275" s="4">
        <f ca="1">('TUSD BE'!$AM$21+'TUSD BF'!$AM$21+'TUSD CVA'!$AM$21)*1</f>
        <v>24.669398821277586</v>
      </c>
      <c r="Z275" s="4"/>
      <c r="AA275" s="4"/>
      <c r="AB275" s="4">
        <f t="shared" si="18"/>
        <v>569378.22395994002</v>
      </c>
      <c r="AC275" s="4">
        <f t="shared" si="19"/>
        <v>0</v>
      </c>
      <c r="AD275" s="4">
        <f t="shared" ca="1" si="20"/>
        <v>642847.52800999861</v>
      </c>
      <c r="AE275" s="4">
        <f t="shared" si="21"/>
        <v>0</v>
      </c>
      <c r="AF275" s="3" t="s">
        <v>950</v>
      </c>
    </row>
    <row r="276" spans="1:32" ht="11.25" customHeight="1" x14ac:dyDescent="0.25">
      <c r="A276" s="3" t="s">
        <v>21</v>
      </c>
      <c r="B276" s="3" t="s">
        <v>33</v>
      </c>
      <c r="C276" s="3" t="s">
        <v>34</v>
      </c>
      <c r="D276" s="3" t="s">
        <v>40</v>
      </c>
      <c r="E276" s="3" t="s">
        <v>25</v>
      </c>
      <c r="F276" s="3" t="s">
        <v>60</v>
      </c>
      <c r="G276" s="3" t="s">
        <v>25</v>
      </c>
      <c r="H276" s="3" t="s">
        <v>35</v>
      </c>
      <c r="I276" s="6">
        <v>44317</v>
      </c>
      <c r="J276" s="4">
        <v>0</v>
      </c>
      <c r="K276" s="4">
        <v>0</v>
      </c>
      <c r="L276" s="4">
        <v>1570.7380000000001</v>
      </c>
      <c r="M276" s="4">
        <v>749.07661158122005</v>
      </c>
      <c r="N276" s="4">
        <v>0</v>
      </c>
      <c r="O276" s="4">
        <v>0</v>
      </c>
      <c r="P276" s="4">
        <v>0</v>
      </c>
      <c r="Q276" s="3" t="s">
        <v>57</v>
      </c>
      <c r="R276" s="3">
        <v>0</v>
      </c>
      <c r="S276" s="3">
        <v>0</v>
      </c>
      <c r="T276" s="3">
        <v>8</v>
      </c>
      <c r="U276" s="3">
        <v>0</v>
      </c>
      <c r="V276" s="4">
        <f>IF(ISERROR(VLOOKUP($S$276,'TAR FIN'!$A$1:$O$99,15,0)),0,VLOOKUP($S$276,'TAR FIN'!$A$1:$O$99,15,0))</f>
        <v>0</v>
      </c>
      <c r="W276" s="4">
        <f>IF(ISERROR(VLOOKUP($T$276,'TAR FIN'!$A$1:$O$99,15,0)),0,VLOOKUP($T$276,'TAR FIN'!$A$1:$O$99,15,0))</f>
        <v>1557.74</v>
      </c>
      <c r="X276" s="4">
        <f>IF(ISERROR(VLOOKUP($U$276,'TAR FIN'!$A$1:$O$99,15,0)),0,VLOOKUP($U$276,'TAR FIN'!$A$1:$O$99,15,0))</f>
        <v>0</v>
      </c>
      <c r="Y276" s="4"/>
      <c r="Z276" s="4">
        <f ca="1">('TUSD BE'!$AM$22+'TUSD BF'!$AM$22+'TUSD CVA'!$AM$22)*1</f>
        <v>1799.131999651745</v>
      </c>
      <c r="AA276" s="4"/>
      <c r="AB276" s="4">
        <f t="shared" si="18"/>
        <v>0</v>
      </c>
      <c r="AC276" s="4">
        <f t="shared" si="19"/>
        <v>1279934.8111954704</v>
      </c>
      <c r="AD276" s="4">
        <f t="shared" si="20"/>
        <v>0</v>
      </c>
      <c r="AE276" s="4">
        <f t="shared" ca="1" si="21"/>
        <v>1478277.2967825087</v>
      </c>
      <c r="AF276" s="3" t="s">
        <v>950</v>
      </c>
    </row>
    <row r="277" spans="1:32" ht="11.25" customHeight="1" x14ac:dyDescent="0.25">
      <c r="A277" s="3" t="s">
        <v>21</v>
      </c>
      <c r="B277" s="3" t="s">
        <v>33</v>
      </c>
      <c r="C277" s="3" t="s">
        <v>34</v>
      </c>
      <c r="D277" s="3" t="s">
        <v>40</v>
      </c>
      <c r="E277" s="3" t="s">
        <v>25</v>
      </c>
      <c r="F277" s="3" t="s">
        <v>60</v>
      </c>
      <c r="G277" s="3" t="s">
        <v>25</v>
      </c>
      <c r="H277" s="3" t="s">
        <v>35</v>
      </c>
      <c r="I277" s="6">
        <v>44348</v>
      </c>
      <c r="J277" s="4">
        <v>0</v>
      </c>
      <c r="K277" s="4">
        <v>0</v>
      </c>
      <c r="L277" s="4">
        <v>1541.66</v>
      </c>
      <c r="M277" s="4">
        <v>765.59737471100004</v>
      </c>
      <c r="N277" s="4">
        <v>0</v>
      </c>
      <c r="O277" s="4">
        <v>0</v>
      </c>
      <c r="P277" s="4">
        <v>0</v>
      </c>
      <c r="Q277" s="3" t="s">
        <v>57</v>
      </c>
      <c r="R277" s="3">
        <v>0</v>
      </c>
      <c r="S277" s="3">
        <v>0</v>
      </c>
      <c r="T277" s="3">
        <v>8</v>
      </c>
      <c r="U277" s="3">
        <v>0</v>
      </c>
      <c r="V277" s="4">
        <f>IF(ISERROR(VLOOKUP($S$277,'TAR FIN'!$A$1:$O$99,15,0)),0,VLOOKUP($S$277,'TAR FIN'!$A$1:$O$99,15,0))</f>
        <v>0</v>
      </c>
      <c r="W277" s="4">
        <f>IF(ISERROR(VLOOKUP($T$277,'TAR FIN'!$A$1:$O$99,15,0)),0,VLOOKUP($T$277,'TAR FIN'!$A$1:$O$99,15,0))</f>
        <v>1557.74</v>
      </c>
      <c r="X277" s="4">
        <f>IF(ISERROR(VLOOKUP($U$277,'TAR FIN'!$A$1:$O$99,15,0)),0,VLOOKUP($U$277,'TAR FIN'!$A$1:$O$99,15,0))</f>
        <v>0</v>
      </c>
      <c r="Y277" s="4"/>
      <c r="Z277" s="4">
        <f ca="1">('TUSD BE'!$AM$22+'TUSD BF'!$AM$22+'TUSD CVA'!$AM$22)*1</f>
        <v>1799.131999651745</v>
      </c>
      <c r="AA277" s="4"/>
      <c r="AB277" s="4">
        <f t="shared" si="18"/>
        <v>0</v>
      </c>
      <c r="AC277" s="4">
        <f t="shared" si="19"/>
        <v>1208903.7939176869</v>
      </c>
      <c r="AD277" s="4">
        <f t="shared" si="20"/>
        <v>0</v>
      </c>
      <c r="AE277" s="4">
        <f t="shared" ca="1" si="21"/>
        <v>1396239.1028911816</v>
      </c>
      <c r="AF277" s="3" t="s">
        <v>950</v>
      </c>
    </row>
    <row r="278" spans="1:32" ht="11.25" customHeight="1" x14ac:dyDescent="0.25">
      <c r="A278" s="3" t="s">
        <v>21</v>
      </c>
      <c r="B278" s="3" t="s">
        <v>33</v>
      </c>
      <c r="C278" s="3" t="s">
        <v>34</v>
      </c>
      <c r="D278" s="3" t="s">
        <v>40</v>
      </c>
      <c r="E278" s="3" t="s">
        <v>25</v>
      </c>
      <c r="F278" s="3" t="s">
        <v>60</v>
      </c>
      <c r="G278" s="3" t="s">
        <v>25</v>
      </c>
      <c r="H278" s="3" t="s">
        <v>35</v>
      </c>
      <c r="I278" s="6">
        <v>44378</v>
      </c>
      <c r="J278" s="4">
        <v>0</v>
      </c>
      <c r="K278" s="4">
        <v>0</v>
      </c>
      <c r="L278" s="4">
        <v>1634.53</v>
      </c>
      <c r="M278" s="4">
        <v>806.4250585648</v>
      </c>
      <c r="N278" s="4">
        <v>0</v>
      </c>
      <c r="O278" s="4">
        <v>0</v>
      </c>
      <c r="P278" s="4">
        <v>0</v>
      </c>
      <c r="Q278" s="3" t="s">
        <v>57</v>
      </c>
      <c r="R278" s="3">
        <v>0</v>
      </c>
      <c r="S278" s="3">
        <v>0</v>
      </c>
      <c r="T278" s="3">
        <v>8</v>
      </c>
      <c r="U278" s="3">
        <v>0</v>
      </c>
      <c r="V278" s="4">
        <f>IF(ISERROR(VLOOKUP($S$278,'TAR FIN'!$A$1:$O$99,15,0)),0,VLOOKUP($S$278,'TAR FIN'!$A$1:$O$99,15,0))</f>
        <v>0</v>
      </c>
      <c r="W278" s="4">
        <f>IF(ISERROR(VLOOKUP($T$278,'TAR FIN'!$A$1:$O$99,15,0)),0,VLOOKUP($T$278,'TAR FIN'!$A$1:$O$99,15,0))</f>
        <v>1557.74</v>
      </c>
      <c r="X278" s="4">
        <f>IF(ISERROR(VLOOKUP($U$278,'TAR FIN'!$A$1:$O$99,15,0)),0,VLOOKUP($U$278,'TAR FIN'!$A$1:$O$99,15,0))</f>
        <v>0</v>
      </c>
      <c r="Y278" s="4"/>
      <c r="Z278" s="4">
        <f ca="1">('TUSD BE'!$AM$22+'TUSD BF'!$AM$22+'TUSD CVA'!$AM$22)*1</f>
        <v>1799.131999651745</v>
      </c>
      <c r="AA278" s="4"/>
      <c r="AB278" s="4">
        <f t="shared" si="18"/>
        <v>0</v>
      </c>
      <c r="AC278" s="4">
        <f t="shared" si="19"/>
        <v>1289972.1914712684</v>
      </c>
      <c r="AD278" s="4">
        <f t="shared" si="20"/>
        <v>0</v>
      </c>
      <c r="AE278" s="4">
        <f t="shared" ca="1" si="21"/>
        <v>1489870.0992058024</v>
      </c>
      <c r="AF278" s="3" t="s">
        <v>950</v>
      </c>
    </row>
    <row r="279" spans="1:32" ht="11.25" customHeight="1" x14ac:dyDescent="0.25">
      <c r="A279" s="3" t="s">
        <v>21</v>
      </c>
      <c r="B279" s="3" t="s">
        <v>33</v>
      </c>
      <c r="C279" s="3" t="s">
        <v>34</v>
      </c>
      <c r="D279" s="3" t="s">
        <v>40</v>
      </c>
      <c r="E279" s="3" t="s">
        <v>25</v>
      </c>
      <c r="F279" s="3" t="s">
        <v>60</v>
      </c>
      <c r="G279" s="3" t="s">
        <v>25</v>
      </c>
      <c r="H279" s="3" t="s">
        <v>35</v>
      </c>
      <c r="I279" s="6">
        <v>44409</v>
      </c>
      <c r="J279" s="4">
        <v>0</v>
      </c>
      <c r="K279" s="4">
        <v>0</v>
      </c>
      <c r="L279" s="4">
        <v>1651.5540000000001</v>
      </c>
      <c r="M279" s="4">
        <v>837.55897153397996</v>
      </c>
      <c r="N279" s="4">
        <v>0</v>
      </c>
      <c r="O279" s="4">
        <v>0</v>
      </c>
      <c r="P279" s="4">
        <v>0</v>
      </c>
      <c r="Q279" s="3" t="s">
        <v>57</v>
      </c>
      <c r="R279" s="3">
        <v>0</v>
      </c>
      <c r="S279" s="3">
        <v>0</v>
      </c>
      <c r="T279" s="3">
        <v>8</v>
      </c>
      <c r="U279" s="3">
        <v>0</v>
      </c>
      <c r="V279" s="4">
        <f>IF(ISERROR(VLOOKUP($S$279,'TAR FIN'!$A$1:$O$99,15,0)),0,VLOOKUP($S$279,'TAR FIN'!$A$1:$O$99,15,0))</f>
        <v>0</v>
      </c>
      <c r="W279" s="4">
        <f>IF(ISERROR(VLOOKUP($T$279,'TAR FIN'!$A$1:$O$99,15,0)),0,VLOOKUP($T$279,'TAR FIN'!$A$1:$O$99,15,0))</f>
        <v>1557.74</v>
      </c>
      <c r="X279" s="4">
        <f>IF(ISERROR(VLOOKUP($U$279,'TAR FIN'!$A$1:$O$99,15,0)),0,VLOOKUP($U$279,'TAR FIN'!$A$1:$O$99,15,0))</f>
        <v>0</v>
      </c>
      <c r="Y279" s="4"/>
      <c r="Z279" s="4">
        <f ca="1">('TUSD BE'!$AM$22+'TUSD BF'!$AM$22+'TUSD CVA'!$AM$22)*1</f>
        <v>1799.131999651745</v>
      </c>
      <c r="AA279" s="4"/>
      <c r="AB279" s="4">
        <f t="shared" si="18"/>
        <v>0</v>
      </c>
      <c r="AC279" s="4">
        <f t="shared" si="19"/>
        <v>1267992.6156426582</v>
      </c>
      <c r="AD279" s="4">
        <f t="shared" si="20"/>
        <v>0</v>
      </c>
      <c r="AE279" s="4">
        <f t="shared" ca="1" si="21"/>
        <v>1464484.5032706498</v>
      </c>
      <c r="AF279" s="3" t="s">
        <v>950</v>
      </c>
    </row>
    <row r="280" spans="1:32" ht="11.25" customHeight="1" x14ac:dyDescent="0.25">
      <c r="A280" s="3" t="s">
        <v>21</v>
      </c>
      <c r="B280" s="3" t="s">
        <v>33</v>
      </c>
      <c r="C280" s="3" t="s">
        <v>34</v>
      </c>
      <c r="D280" s="3" t="s">
        <v>40</v>
      </c>
      <c r="E280" s="3" t="s">
        <v>25</v>
      </c>
      <c r="F280" s="3" t="s">
        <v>60</v>
      </c>
      <c r="G280" s="3" t="s">
        <v>25</v>
      </c>
      <c r="H280" s="3" t="s">
        <v>35</v>
      </c>
      <c r="I280" s="6">
        <v>44440</v>
      </c>
      <c r="J280" s="4">
        <v>0</v>
      </c>
      <c r="K280" s="4">
        <v>0</v>
      </c>
      <c r="L280" s="4">
        <v>1595.287</v>
      </c>
      <c r="M280" s="4">
        <v>821.04486072021996</v>
      </c>
      <c r="N280" s="4">
        <v>0</v>
      </c>
      <c r="O280" s="4">
        <v>0</v>
      </c>
      <c r="P280" s="4">
        <v>0</v>
      </c>
      <c r="Q280" s="3" t="s">
        <v>57</v>
      </c>
      <c r="R280" s="3">
        <v>0</v>
      </c>
      <c r="S280" s="3">
        <v>0</v>
      </c>
      <c r="T280" s="3">
        <v>8</v>
      </c>
      <c r="U280" s="3">
        <v>0</v>
      </c>
      <c r="V280" s="4">
        <f>IF(ISERROR(VLOOKUP($S$280,'TAR FIN'!$A$1:$O$99,15,0)),0,VLOOKUP($S$280,'TAR FIN'!$A$1:$O$99,15,0))</f>
        <v>0</v>
      </c>
      <c r="W280" s="4">
        <f>IF(ISERROR(VLOOKUP($T$280,'TAR FIN'!$A$1:$O$99,15,0)),0,VLOOKUP($T$280,'TAR FIN'!$A$1:$O$99,15,0))</f>
        <v>1557.74</v>
      </c>
      <c r="X280" s="4">
        <f>IF(ISERROR(VLOOKUP($U$280,'TAR FIN'!$A$1:$O$99,15,0)),0,VLOOKUP($U$280,'TAR FIN'!$A$1:$O$99,15,0))</f>
        <v>0</v>
      </c>
      <c r="Y280" s="4"/>
      <c r="Z280" s="4">
        <f ca="1">('TUSD BE'!$AM$22+'TUSD BF'!$AM$22+'TUSD CVA'!$AM$22)*1</f>
        <v>1799.131999651745</v>
      </c>
      <c r="AA280" s="4"/>
      <c r="AB280" s="4">
        <f t="shared" si="18"/>
        <v>0</v>
      </c>
      <c r="AC280" s="4">
        <f t="shared" si="19"/>
        <v>1206067.9500416846</v>
      </c>
      <c r="AD280" s="4">
        <f t="shared" si="20"/>
        <v>0</v>
      </c>
      <c r="AE280" s="4">
        <f t="shared" ca="1" si="21"/>
        <v>1392963.8082570755</v>
      </c>
      <c r="AF280" s="3" t="s">
        <v>950</v>
      </c>
    </row>
    <row r="281" spans="1:32" ht="11.25" customHeight="1" x14ac:dyDescent="0.25">
      <c r="A281" s="3" t="s">
        <v>21</v>
      </c>
      <c r="B281" s="3" t="s">
        <v>33</v>
      </c>
      <c r="C281" s="3" t="s">
        <v>34</v>
      </c>
      <c r="D281" s="3" t="s">
        <v>40</v>
      </c>
      <c r="E281" s="3" t="s">
        <v>25</v>
      </c>
      <c r="F281" s="3" t="s">
        <v>60</v>
      </c>
      <c r="G281" s="3" t="s">
        <v>25</v>
      </c>
      <c r="H281" s="3" t="s">
        <v>35</v>
      </c>
      <c r="I281" s="6">
        <v>44470</v>
      </c>
      <c r="J281" s="4">
        <v>0</v>
      </c>
      <c r="K281" s="4">
        <v>0</v>
      </c>
      <c r="L281" s="4">
        <v>1586.192</v>
      </c>
      <c r="M281" s="4">
        <v>799.17606427904002</v>
      </c>
      <c r="N281" s="4">
        <v>0</v>
      </c>
      <c r="O281" s="4">
        <v>0</v>
      </c>
      <c r="P281" s="4">
        <v>0</v>
      </c>
      <c r="Q281" s="3" t="s">
        <v>57</v>
      </c>
      <c r="R281" s="3">
        <v>0</v>
      </c>
      <c r="S281" s="3">
        <v>0</v>
      </c>
      <c r="T281" s="3">
        <v>8</v>
      </c>
      <c r="U281" s="3">
        <v>0</v>
      </c>
      <c r="V281" s="4">
        <f>IF(ISERROR(VLOOKUP($S$281,'TAR FIN'!$A$1:$O$99,15,0)),0,VLOOKUP($S$281,'TAR FIN'!$A$1:$O$99,15,0))</f>
        <v>0</v>
      </c>
      <c r="W281" s="4">
        <f>IF(ISERROR(VLOOKUP($T$281,'TAR FIN'!$A$1:$O$99,15,0)),0,VLOOKUP($T$281,'TAR FIN'!$A$1:$O$99,15,0))</f>
        <v>1557.74</v>
      </c>
      <c r="X281" s="4">
        <f>IF(ISERROR(VLOOKUP($U$281,'TAR FIN'!$A$1:$O$99,15,0)),0,VLOOKUP($U$281,'TAR FIN'!$A$1:$O$99,15,0))</f>
        <v>0</v>
      </c>
      <c r="Y281" s="4"/>
      <c r="Z281" s="4">
        <f ca="1">('TUSD BE'!$AM$22+'TUSD BF'!$AM$22+'TUSD CVA'!$AM$22)*1</f>
        <v>1799.131999651745</v>
      </c>
      <c r="AA281" s="4"/>
      <c r="AB281" s="4">
        <f t="shared" si="18"/>
        <v>0</v>
      </c>
      <c r="AC281" s="4">
        <f t="shared" si="19"/>
        <v>1225966.2037099681</v>
      </c>
      <c r="AD281" s="4">
        <f t="shared" si="20"/>
        <v>0</v>
      </c>
      <c r="AE281" s="4">
        <f t="shared" ca="1" si="21"/>
        <v>1415945.5541914399</v>
      </c>
      <c r="AF281" s="3" t="s">
        <v>950</v>
      </c>
    </row>
    <row r="282" spans="1:32" ht="11.25" customHeight="1" x14ac:dyDescent="0.25">
      <c r="A282" s="3" t="s">
        <v>21</v>
      </c>
      <c r="B282" s="3" t="s">
        <v>33</v>
      </c>
      <c r="C282" s="3" t="s">
        <v>34</v>
      </c>
      <c r="D282" s="3" t="s">
        <v>40</v>
      </c>
      <c r="E282" s="3" t="s">
        <v>25</v>
      </c>
      <c r="F282" s="3" t="s">
        <v>60</v>
      </c>
      <c r="G282" s="3" t="s">
        <v>25</v>
      </c>
      <c r="H282" s="3" t="s">
        <v>35</v>
      </c>
      <c r="I282" s="6">
        <v>44501</v>
      </c>
      <c r="J282" s="4">
        <v>0</v>
      </c>
      <c r="K282" s="4">
        <v>0</v>
      </c>
      <c r="L282" s="4">
        <v>1812.165</v>
      </c>
      <c r="M282" s="4">
        <v>924.22674769754997</v>
      </c>
      <c r="N282" s="4">
        <v>0</v>
      </c>
      <c r="O282" s="4">
        <v>0</v>
      </c>
      <c r="P282" s="4">
        <v>0</v>
      </c>
      <c r="Q282" s="3" t="s">
        <v>57</v>
      </c>
      <c r="R282" s="3">
        <v>0</v>
      </c>
      <c r="S282" s="3">
        <v>0</v>
      </c>
      <c r="T282" s="3">
        <v>8</v>
      </c>
      <c r="U282" s="3">
        <v>0</v>
      </c>
      <c r="V282" s="4">
        <f>IF(ISERROR(VLOOKUP($S$282,'TAR FIN'!$A$1:$O$99,15,0)),0,VLOOKUP($S$282,'TAR FIN'!$A$1:$O$99,15,0))</f>
        <v>0</v>
      </c>
      <c r="W282" s="4">
        <f>IF(ISERROR(VLOOKUP($T$282,'TAR FIN'!$A$1:$O$99,15,0)),0,VLOOKUP($T$282,'TAR FIN'!$A$1:$O$99,15,0))</f>
        <v>1557.74</v>
      </c>
      <c r="X282" s="4">
        <f>IF(ISERROR(VLOOKUP($U$282,'TAR FIN'!$A$1:$O$99,15,0)),0,VLOOKUP($U$282,'TAR FIN'!$A$1:$O$99,15,0))</f>
        <v>0</v>
      </c>
      <c r="Y282" s="4"/>
      <c r="Z282" s="4">
        <f ca="1">('TUSD BE'!$AM$22+'TUSD BF'!$AM$22+'TUSD CVA'!$AM$22)*1</f>
        <v>1799.131999651745</v>
      </c>
      <c r="AA282" s="4"/>
      <c r="AB282" s="4">
        <f t="shared" si="18"/>
        <v>0</v>
      </c>
      <c r="AC282" s="4">
        <f t="shared" si="19"/>
        <v>1383176.9331416185</v>
      </c>
      <c r="AD282" s="4">
        <f t="shared" si="20"/>
        <v>0</v>
      </c>
      <c r="AE282" s="4">
        <f t="shared" ca="1" si="21"/>
        <v>1597518.1234321825</v>
      </c>
      <c r="AF282" s="3" t="s">
        <v>950</v>
      </c>
    </row>
    <row r="283" spans="1:32" ht="11.25" customHeight="1" x14ac:dyDescent="0.25">
      <c r="A283" s="3" t="s">
        <v>21</v>
      </c>
      <c r="B283" s="3" t="s">
        <v>33</v>
      </c>
      <c r="C283" s="3" t="s">
        <v>34</v>
      </c>
      <c r="D283" s="3" t="s">
        <v>40</v>
      </c>
      <c r="E283" s="3" t="s">
        <v>25</v>
      </c>
      <c r="F283" s="3" t="s">
        <v>60</v>
      </c>
      <c r="G283" s="3" t="s">
        <v>25</v>
      </c>
      <c r="H283" s="3" t="s">
        <v>35</v>
      </c>
      <c r="I283" s="6">
        <v>44531</v>
      </c>
      <c r="J283" s="4">
        <v>0</v>
      </c>
      <c r="K283" s="4">
        <v>0</v>
      </c>
      <c r="L283" s="4">
        <v>1045.5999999999999</v>
      </c>
      <c r="M283" s="4">
        <v>508.25532758399999</v>
      </c>
      <c r="N283" s="4">
        <v>0</v>
      </c>
      <c r="O283" s="4">
        <v>0</v>
      </c>
      <c r="P283" s="4">
        <v>0</v>
      </c>
      <c r="Q283" s="3" t="s">
        <v>57</v>
      </c>
      <c r="R283" s="3">
        <v>0</v>
      </c>
      <c r="S283" s="3">
        <v>0</v>
      </c>
      <c r="T283" s="3">
        <v>8</v>
      </c>
      <c r="U283" s="3">
        <v>0</v>
      </c>
      <c r="V283" s="4">
        <f>IF(ISERROR(VLOOKUP($S$283,'TAR FIN'!$A$1:$O$99,15,0)),0,VLOOKUP($S$283,'TAR FIN'!$A$1:$O$99,15,0))</f>
        <v>0</v>
      </c>
      <c r="W283" s="4">
        <f>IF(ISERROR(VLOOKUP($T$283,'TAR FIN'!$A$1:$O$99,15,0)),0,VLOOKUP($T$283,'TAR FIN'!$A$1:$O$99,15,0))</f>
        <v>1557.74</v>
      </c>
      <c r="X283" s="4">
        <f>IF(ISERROR(VLOOKUP($U$283,'TAR FIN'!$A$1:$O$99,15,0)),0,VLOOKUP($U$283,'TAR FIN'!$A$1:$O$99,15,0))</f>
        <v>0</v>
      </c>
      <c r="Y283" s="4"/>
      <c r="Z283" s="4">
        <f ca="1">('TUSD BE'!$AM$22+'TUSD BF'!$AM$22+'TUSD CVA'!$AM$22)*1</f>
        <v>1799.131999651745</v>
      </c>
      <c r="AA283" s="4"/>
      <c r="AB283" s="4">
        <f t="shared" si="18"/>
        <v>0</v>
      </c>
      <c r="AC283" s="4">
        <f t="shared" si="19"/>
        <v>837043.29000929964</v>
      </c>
      <c r="AD283" s="4">
        <f t="shared" si="20"/>
        <v>0</v>
      </c>
      <c r="AE283" s="4">
        <f t="shared" ca="1" si="21"/>
        <v>966753.99498600967</v>
      </c>
      <c r="AF283" s="3" t="s">
        <v>950</v>
      </c>
    </row>
    <row r="284" spans="1:32" ht="11.25" customHeight="1" x14ac:dyDescent="0.25">
      <c r="A284" s="3" t="s">
        <v>21</v>
      </c>
      <c r="B284" s="3" t="s">
        <v>33</v>
      </c>
      <c r="C284" s="3" t="s">
        <v>34</v>
      </c>
      <c r="D284" s="3" t="s">
        <v>40</v>
      </c>
      <c r="E284" s="3" t="s">
        <v>25</v>
      </c>
      <c r="F284" s="3" t="s">
        <v>60</v>
      </c>
      <c r="G284" s="3" t="s">
        <v>25</v>
      </c>
      <c r="H284" s="3" t="s">
        <v>35</v>
      </c>
      <c r="I284" s="6">
        <v>44562</v>
      </c>
      <c r="J284" s="4">
        <v>0</v>
      </c>
      <c r="K284" s="4">
        <v>0</v>
      </c>
      <c r="L284" s="4">
        <v>1398.251</v>
      </c>
      <c r="M284" s="4">
        <v>707.36800787236996</v>
      </c>
      <c r="N284" s="4">
        <v>0</v>
      </c>
      <c r="O284" s="4">
        <v>0</v>
      </c>
      <c r="P284" s="4">
        <v>0</v>
      </c>
      <c r="Q284" s="3" t="s">
        <v>57</v>
      </c>
      <c r="R284" s="3">
        <v>0</v>
      </c>
      <c r="S284" s="3">
        <v>0</v>
      </c>
      <c r="T284" s="3">
        <v>8</v>
      </c>
      <c r="U284" s="3">
        <v>0</v>
      </c>
      <c r="V284" s="4">
        <f>IF(ISERROR(VLOOKUP($S$284,'TAR FIN'!$A$1:$O$99,15,0)),0,VLOOKUP($S$284,'TAR FIN'!$A$1:$O$99,15,0))</f>
        <v>0</v>
      </c>
      <c r="W284" s="4">
        <f>IF(ISERROR(VLOOKUP($T$284,'TAR FIN'!$A$1:$O$99,15,0)),0,VLOOKUP($T$284,'TAR FIN'!$A$1:$O$99,15,0))</f>
        <v>1557.74</v>
      </c>
      <c r="X284" s="4">
        <f>IF(ISERROR(VLOOKUP($U$284,'TAR FIN'!$A$1:$O$99,15,0)),0,VLOOKUP($U$284,'TAR FIN'!$A$1:$O$99,15,0))</f>
        <v>0</v>
      </c>
      <c r="Y284" s="4"/>
      <c r="Z284" s="4">
        <f ca="1">('TUSD BE'!$AM$22+'TUSD BF'!$AM$22+'TUSD CVA'!$AM$22)*1</f>
        <v>1799.131999651745</v>
      </c>
      <c r="AA284" s="4"/>
      <c r="AB284" s="4">
        <f t="shared" si="18"/>
        <v>0</v>
      </c>
      <c r="AC284" s="4">
        <f t="shared" si="19"/>
        <v>1076216.0721568945</v>
      </c>
      <c r="AD284" s="4">
        <f t="shared" si="20"/>
        <v>0</v>
      </c>
      <c r="AE284" s="4">
        <f t="shared" ca="1" si="21"/>
        <v>1242989.6991519637</v>
      </c>
      <c r="AF284" s="3" t="s">
        <v>950</v>
      </c>
    </row>
    <row r="285" spans="1:32" ht="11.25" customHeight="1" x14ac:dyDescent="0.25">
      <c r="A285" s="3" t="s">
        <v>21</v>
      </c>
      <c r="B285" s="3" t="s">
        <v>33</v>
      </c>
      <c r="C285" s="3" t="s">
        <v>34</v>
      </c>
      <c r="D285" s="3" t="s">
        <v>40</v>
      </c>
      <c r="E285" s="3" t="s">
        <v>25</v>
      </c>
      <c r="F285" s="3" t="s">
        <v>60</v>
      </c>
      <c r="G285" s="3" t="s">
        <v>25</v>
      </c>
      <c r="H285" s="3" t="s">
        <v>35</v>
      </c>
      <c r="I285" s="6">
        <v>44593</v>
      </c>
      <c r="J285" s="4">
        <v>0</v>
      </c>
      <c r="K285" s="4">
        <v>0</v>
      </c>
      <c r="L285" s="4">
        <v>1336.328</v>
      </c>
      <c r="M285" s="4">
        <v>671.57099496256001</v>
      </c>
      <c r="N285" s="4">
        <v>0</v>
      </c>
      <c r="O285" s="4">
        <v>0</v>
      </c>
      <c r="P285" s="4">
        <v>0</v>
      </c>
      <c r="Q285" s="3" t="s">
        <v>57</v>
      </c>
      <c r="R285" s="3">
        <v>0</v>
      </c>
      <c r="S285" s="3">
        <v>0</v>
      </c>
      <c r="T285" s="3">
        <v>8</v>
      </c>
      <c r="U285" s="3">
        <v>0</v>
      </c>
      <c r="V285" s="4">
        <f>IF(ISERROR(VLOOKUP($S$285,'TAR FIN'!$A$1:$O$99,15,0)),0,VLOOKUP($S$285,'TAR FIN'!$A$1:$O$99,15,0))</f>
        <v>0</v>
      </c>
      <c r="W285" s="4">
        <f>IF(ISERROR(VLOOKUP($T$285,'TAR FIN'!$A$1:$O$99,15,0)),0,VLOOKUP($T$285,'TAR FIN'!$A$1:$O$99,15,0))</f>
        <v>1557.74</v>
      </c>
      <c r="X285" s="4">
        <f>IF(ISERROR(VLOOKUP($U$285,'TAR FIN'!$A$1:$O$99,15,0)),0,VLOOKUP($U$285,'TAR FIN'!$A$1:$O$99,15,0))</f>
        <v>0</v>
      </c>
      <c r="Y285" s="4"/>
      <c r="Z285" s="4">
        <f ca="1">('TUSD BE'!$AM$22+'TUSD BF'!$AM$22+'TUSD CVA'!$AM$22)*1</f>
        <v>1799.131999651745</v>
      </c>
      <c r="AA285" s="4"/>
      <c r="AB285" s="4">
        <f t="shared" si="18"/>
        <v>0</v>
      </c>
      <c r="AC285" s="4">
        <f t="shared" si="19"/>
        <v>1035518.5770270218</v>
      </c>
      <c r="AD285" s="4">
        <f t="shared" si="20"/>
        <v>0</v>
      </c>
      <c r="AE285" s="4">
        <f t="shared" ca="1" si="21"/>
        <v>1195985.5997555144</v>
      </c>
      <c r="AF285" s="3" t="s">
        <v>950</v>
      </c>
    </row>
    <row r="286" spans="1:32" ht="11.25" customHeight="1" x14ac:dyDescent="0.25">
      <c r="A286" s="3" t="s">
        <v>21</v>
      </c>
      <c r="B286" s="3" t="s">
        <v>33</v>
      </c>
      <c r="C286" s="3" t="s">
        <v>34</v>
      </c>
      <c r="D286" s="3" t="s">
        <v>40</v>
      </c>
      <c r="E286" s="3" t="s">
        <v>25</v>
      </c>
      <c r="F286" s="3" t="s">
        <v>60</v>
      </c>
      <c r="G286" s="3" t="s">
        <v>25</v>
      </c>
      <c r="H286" s="3" t="s">
        <v>35</v>
      </c>
      <c r="I286" s="6">
        <v>44621</v>
      </c>
      <c r="J286" s="4">
        <v>0</v>
      </c>
      <c r="K286" s="4">
        <v>0</v>
      </c>
      <c r="L286" s="4">
        <v>1489.481</v>
      </c>
      <c r="M286" s="4">
        <v>746.58496900673003</v>
      </c>
      <c r="N286" s="4">
        <v>0</v>
      </c>
      <c r="O286" s="4">
        <v>0</v>
      </c>
      <c r="P286" s="4">
        <v>0</v>
      </c>
      <c r="Q286" s="3" t="s">
        <v>57</v>
      </c>
      <c r="R286" s="3">
        <v>0</v>
      </c>
      <c r="S286" s="3">
        <v>0</v>
      </c>
      <c r="T286" s="3">
        <v>8</v>
      </c>
      <c r="U286" s="3">
        <v>0</v>
      </c>
      <c r="V286" s="4">
        <f>IF(ISERROR(VLOOKUP($S$286,'TAR FIN'!$A$1:$O$99,15,0)),0,VLOOKUP($S$286,'TAR FIN'!$A$1:$O$99,15,0))</f>
        <v>0</v>
      </c>
      <c r="W286" s="4">
        <f>IF(ISERROR(VLOOKUP($T$286,'TAR FIN'!$A$1:$O$99,15,0)),0,VLOOKUP($T$286,'TAR FIN'!$A$1:$O$99,15,0))</f>
        <v>1557.74</v>
      </c>
      <c r="X286" s="4">
        <f>IF(ISERROR(VLOOKUP($U$286,'TAR FIN'!$A$1:$O$99,15,0)),0,VLOOKUP($U$286,'TAR FIN'!$A$1:$O$99,15,0))</f>
        <v>0</v>
      </c>
      <c r="Y286" s="4"/>
      <c r="Z286" s="4">
        <f ca="1">('TUSD BE'!$AM$22+'TUSD BF'!$AM$22+'TUSD CVA'!$AM$22)*1</f>
        <v>1799.131999651745</v>
      </c>
      <c r="AA286" s="4"/>
      <c r="AB286" s="4">
        <f t="shared" si="18"/>
        <v>0</v>
      </c>
      <c r="AC286" s="4">
        <f t="shared" si="19"/>
        <v>1157238.8633194563</v>
      </c>
      <c r="AD286" s="4">
        <f t="shared" si="20"/>
        <v>0</v>
      </c>
      <c r="AE286" s="4">
        <f t="shared" ca="1" si="21"/>
        <v>1336568.0217742666</v>
      </c>
      <c r="AF286" s="3" t="s">
        <v>950</v>
      </c>
    </row>
    <row r="287" spans="1:32" ht="11.25" customHeight="1" x14ac:dyDescent="0.25">
      <c r="A287" s="3" t="s">
        <v>56</v>
      </c>
      <c r="B287" s="3" t="s">
        <v>33</v>
      </c>
      <c r="C287" s="3" t="s">
        <v>34</v>
      </c>
      <c r="D287" s="3" t="s">
        <v>40</v>
      </c>
      <c r="E287" s="3" t="s">
        <v>25</v>
      </c>
      <c r="F287" s="3" t="s">
        <v>60</v>
      </c>
      <c r="G287" s="3" t="s">
        <v>25</v>
      </c>
      <c r="H287" s="3" t="s">
        <v>35</v>
      </c>
      <c r="I287" s="6">
        <v>44652</v>
      </c>
      <c r="J287" s="4">
        <v>0</v>
      </c>
      <c r="K287" s="4">
        <v>0</v>
      </c>
      <c r="L287" s="4">
        <v>1489.481</v>
      </c>
      <c r="M287" s="4">
        <v>746.58496900673003</v>
      </c>
      <c r="N287" s="4">
        <v>0</v>
      </c>
      <c r="O287" s="4">
        <v>0</v>
      </c>
      <c r="P287" s="4">
        <v>0</v>
      </c>
      <c r="Q287" s="3" t="s">
        <v>57</v>
      </c>
      <c r="R287" s="3">
        <v>0</v>
      </c>
      <c r="S287" s="3">
        <v>0</v>
      </c>
      <c r="T287" s="3">
        <v>8</v>
      </c>
      <c r="U287" s="3">
        <v>0</v>
      </c>
      <c r="V287" s="4">
        <f>IF(ISERROR(VLOOKUP($S$287,'TAR FIN'!$A$1:$O$99,15,0)),0,VLOOKUP($S$287,'TAR FIN'!$A$1:$O$99,15,0))</f>
        <v>0</v>
      </c>
      <c r="W287" s="4">
        <f>IF(ISERROR(VLOOKUP($T$287,'TAR FIN'!$A$1:$O$99,15,0)),0,VLOOKUP($T$287,'TAR FIN'!$A$1:$O$99,15,0))</f>
        <v>1557.74</v>
      </c>
      <c r="X287" s="4">
        <f>IF(ISERROR(VLOOKUP($U$287,'TAR FIN'!$A$1:$O$99,15,0)),0,VLOOKUP($U$287,'TAR FIN'!$A$1:$O$99,15,0))</f>
        <v>0</v>
      </c>
      <c r="Y287" s="4"/>
      <c r="Z287" s="4">
        <f ca="1">('TUSD BE'!$AM$22+'TUSD BF'!$AM$22+'TUSD CVA'!$AM$22)*1</f>
        <v>1799.131999651745</v>
      </c>
      <c r="AA287" s="4"/>
      <c r="AB287" s="4">
        <f t="shared" si="18"/>
        <v>0</v>
      </c>
      <c r="AC287" s="4">
        <f t="shared" si="19"/>
        <v>1157238.8633194563</v>
      </c>
      <c r="AD287" s="4">
        <f t="shared" si="20"/>
        <v>0</v>
      </c>
      <c r="AE287" s="4">
        <f t="shared" ca="1" si="21"/>
        <v>1336568.0217742666</v>
      </c>
      <c r="AF287" s="3" t="s">
        <v>950</v>
      </c>
    </row>
    <row r="288" spans="1:32" ht="11.25" customHeight="1" x14ac:dyDescent="0.25">
      <c r="A288" s="3" t="s">
        <v>21</v>
      </c>
      <c r="B288" s="3" t="s">
        <v>33</v>
      </c>
      <c r="C288" s="3" t="s">
        <v>34</v>
      </c>
      <c r="D288" s="3" t="s">
        <v>45</v>
      </c>
      <c r="E288" s="3" t="s">
        <v>53</v>
      </c>
      <c r="F288" s="3" t="s">
        <v>55</v>
      </c>
      <c r="G288" s="3" t="s">
        <v>25</v>
      </c>
      <c r="H288" s="3" t="s">
        <v>36</v>
      </c>
      <c r="I288" s="6">
        <v>44317</v>
      </c>
      <c r="J288" s="4">
        <v>0</v>
      </c>
      <c r="K288" s="4">
        <v>0</v>
      </c>
      <c r="L288" s="4">
        <v>122.298</v>
      </c>
      <c r="M288" s="4">
        <v>12.229799999999999</v>
      </c>
      <c r="N288" s="4">
        <v>122.298</v>
      </c>
      <c r="O288" s="4">
        <v>12.229799999999999</v>
      </c>
      <c r="P288" s="4">
        <v>0</v>
      </c>
      <c r="Q288" s="3" t="s">
        <v>26</v>
      </c>
      <c r="R288" s="3">
        <v>0</v>
      </c>
      <c r="S288" s="3">
        <v>0</v>
      </c>
      <c r="T288" s="3">
        <v>29</v>
      </c>
      <c r="U288" s="3">
        <v>73</v>
      </c>
      <c r="V288" s="4">
        <f>IF(ISERROR(VLOOKUP($S$288,'TAR FIN'!$A$1:$O$99,15,0)),0,VLOOKUP($S$288,'TAR FIN'!$A$1:$O$99,15,0))</f>
        <v>0</v>
      </c>
      <c r="W288" s="4">
        <f>IF(ISERROR(VLOOKUP($T$288,'TAR FIN'!$A$1:$O$99,15,0)),0,VLOOKUP($T$288,'TAR FIN'!$A$1:$O$99,15,0))</f>
        <v>97.61</v>
      </c>
      <c r="X288" s="4">
        <f>IF(ISERROR(VLOOKUP($U$288,'TAR FIN'!$A$1:$O$99,15,0)),0,VLOOKUP($U$288,'TAR FIN'!$A$1:$O$99,15,0))</f>
        <v>219.97</v>
      </c>
      <c r="Y288" s="4"/>
      <c r="Z288" s="4">
        <f ca="1">('TUSD BE'!$AM$23+'TUSD BF'!$AM$23+'TUSD CVA'!$AM$23)*1</f>
        <v>117.59114529324071</v>
      </c>
      <c r="AA288" s="4">
        <f>('TE BE'!$AA$8+'TE BF'!$AA$8+'TE CVA'!$AA$8)*1</f>
        <v>271.13910989737087</v>
      </c>
      <c r="AB288" s="4">
        <f t="shared" si="18"/>
        <v>0</v>
      </c>
      <c r="AC288" s="4">
        <f t="shared" si="19"/>
        <v>34955.458956000002</v>
      </c>
      <c r="AD288" s="4">
        <f t="shared" si="20"/>
        <v>0</v>
      </c>
      <c r="AE288" s="4">
        <f t="shared" ca="1" si="21"/>
        <v>42786.839474371278</v>
      </c>
      <c r="AF288" s="3" t="s">
        <v>952</v>
      </c>
    </row>
    <row r="289" spans="1:32" ht="11.25" customHeight="1" x14ac:dyDescent="0.25">
      <c r="A289" s="3" t="s">
        <v>21</v>
      </c>
      <c r="B289" s="3" t="s">
        <v>33</v>
      </c>
      <c r="C289" s="3" t="s">
        <v>34</v>
      </c>
      <c r="D289" s="3" t="s">
        <v>45</v>
      </c>
      <c r="E289" s="3" t="s">
        <v>53</v>
      </c>
      <c r="F289" s="3" t="s">
        <v>55</v>
      </c>
      <c r="G289" s="3" t="s">
        <v>25</v>
      </c>
      <c r="H289" s="3" t="s">
        <v>36</v>
      </c>
      <c r="I289" s="6">
        <v>44348</v>
      </c>
      <c r="J289" s="4">
        <v>0</v>
      </c>
      <c r="K289" s="4">
        <v>0</v>
      </c>
      <c r="L289" s="4">
        <v>117.717</v>
      </c>
      <c r="M289" s="4">
        <v>11.771699999999999</v>
      </c>
      <c r="N289" s="4">
        <v>117.717</v>
      </c>
      <c r="O289" s="4">
        <v>11.771699999999999</v>
      </c>
      <c r="P289" s="4">
        <v>0</v>
      </c>
      <c r="Q289" s="3" t="s">
        <v>26</v>
      </c>
      <c r="R289" s="3">
        <v>0</v>
      </c>
      <c r="S289" s="3">
        <v>0</v>
      </c>
      <c r="T289" s="3">
        <v>29</v>
      </c>
      <c r="U289" s="3">
        <v>73</v>
      </c>
      <c r="V289" s="4">
        <f>IF(ISERROR(VLOOKUP($S$289,'TAR FIN'!$A$1:$O$99,15,0)),0,VLOOKUP($S$289,'TAR FIN'!$A$1:$O$99,15,0))</f>
        <v>0</v>
      </c>
      <c r="W289" s="4">
        <f>IF(ISERROR(VLOOKUP($T$289,'TAR FIN'!$A$1:$O$99,15,0)),0,VLOOKUP($T$289,'TAR FIN'!$A$1:$O$99,15,0))</f>
        <v>97.61</v>
      </c>
      <c r="X289" s="4">
        <f>IF(ISERROR(VLOOKUP($U$289,'TAR FIN'!$A$1:$O$99,15,0)),0,VLOOKUP($U$289,'TAR FIN'!$A$1:$O$99,15,0))</f>
        <v>219.97</v>
      </c>
      <c r="Y289" s="4"/>
      <c r="Z289" s="4">
        <f ca="1">('TUSD BE'!$AM$23+'TUSD BF'!$AM$23+'TUSD CVA'!$AM$23)*1</f>
        <v>117.59114529324071</v>
      </c>
      <c r="AA289" s="4">
        <f>('TE BE'!$AA$8+'TE BF'!$AA$8+'TE CVA'!$AA$8)*1</f>
        <v>271.13910989737087</v>
      </c>
      <c r="AB289" s="4">
        <f t="shared" si="18"/>
        <v>0</v>
      </c>
      <c r="AC289" s="4">
        <f t="shared" si="19"/>
        <v>33646.108374000003</v>
      </c>
      <c r="AD289" s="4">
        <f t="shared" si="20"/>
        <v>0</v>
      </c>
      <c r="AE289" s="4">
        <f t="shared" ca="1" si="21"/>
        <v>41184.143505245898</v>
      </c>
      <c r="AF289" s="3" t="s">
        <v>952</v>
      </c>
    </row>
    <row r="290" spans="1:32" ht="11.25" customHeight="1" x14ac:dyDescent="0.25">
      <c r="A290" s="3" t="s">
        <v>27</v>
      </c>
      <c r="B290" s="3" t="s">
        <v>33</v>
      </c>
      <c r="C290" s="3" t="s">
        <v>34</v>
      </c>
      <c r="D290" s="3" t="s">
        <v>45</v>
      </c>
      <c r="E290" s="3" t="s">
        <v>53</v>
      </c>
      <c r="F290" s="3" t="s">
        <v>55</v>
      </c>
      <c r="G290" s="3" t="s">
        <v>25</v>
      </c>
      <c r="H290" s="3" t="s">
        <v>36</v>
      </c>
      <c r="I290" s="6">
        <v>44348</v>
      </c>
      <c r="J290" s="4">
        <v>0</v>
      </c>
      <c r="K290" s="4">
        <v>0</v>
      </c>
      <c r="L290" s="4">
        <v>-61.277000000000001</v>
      </c>
      <c r="M290" s="4">
        <v>-6.1276999999999999</v>
      </c>
      <c r="N290" s="4">
        <v>-61.277000000000001</v>
      </c>
      <c r="O290" s="4">
        <v>-6.1276999999999999</v>
      </c>
      <c r="P290" s="4">
        <v>0</v>
      </c>
      <c r="Q290" s="3" t="s">
        <v>26</v>
      </c>
      <c r="R290" s="3">
        <v>0</v>
      </c>
      <c r="S290" s="3">
        <v>0</v>
      </c>
      <c r="T290" s="3">
        <v>29</v>
      </c>
      <c r="U290" s="3">
        <v>73</v>
      </c>
      <c r="V290" s="4">
        <f>IF(ISERROR(VLOOKUP($S$290,'TAR FIN'!$A$1:$O$99,15,0)),0,VLOOKUP($S$290,'TAR FIN'!$A$1:$O$99,15,0))</f>
        <v>0</v>
      </c>
      <c r="W290" s="4">
        <f>IF(ISERROR(VLOOKUP($T$290,'TAR FIN'!$A$1:$O$99,15,0)),0,VLOOKUP($T$290,'TAR FIN'!$A$1:$O$99,15,0))</f>
        <v>97.61</v>
      </c>
      <c r="X290" s="4">
        <f>IF(ISERROR(VLOOKUP($U$290,'TAR FIN'!$A$1:$O$99,15,0)),0,VLOOKUP($U$290,'TAR FIN'!$A$1:$O$99,15,0))</f>
        <v>219.97</v>
      </c>
      <c r="Y290" s="4"/>
      <c r="Z290" s="4">
        <f ca="1">('TUSD BE'!$AM$23+'TUSD BF'!$AM$23+'TUSD CVA'!$AM$23)*1</f>
        <v>117.59114529324071</v>
      </c>
      <c r="AA290" s="4">
        <f>('TE BE'!$AA$8+'TE BF'!$AA$8+'TE CVA'!$AA$8)*1</f>
        <v>271.13910989737087</v>
      </c>
      <c r="AB290" s="4">
        <f t="shared" si="18"/>
        <v>0</v>
      </c>
      <c r="AC290" s="4">
        <f t="shared" si="19"/>
        <v>-17514.314694000001</v>
      </c>
      <c r="AD290" s="4">
        <f t="shared" si="20"/>
        <v>0</v>
      </c>
      <c r="AE290" s="4">
        <f t="shared" ca="1" si="21"/>
        <v>-21438.201462583595</v>
      </c>
      <c r="AF290" s="3" t="s">
        <v>952</v>
      </c>
    </row>
    <row r="291" spans="1:32" ht="11.25" customHeight="1" x14ac:dyDescent="0.25">
      <c r="A291" s="3" t="s">
        <v>21</v>
      </c>
      <c r="B291" s="3" t="s">
        <v>33</v>
      </c>
      <c r="C291" s="3" t="s">
        <v>34</v>
      </c>
      <c r="D291" s="3" t="s">
        <v>45</v>
      </c>
      <c r="E291" s="3" t="s">
        <v>53</v>
      </c>
      <c r="F291" s="3" t="s">
        <v>55</v>
      </c>
      <c r="G291" s="3" t="s">
        <v>25</v>
      </c>
      <c r="H291" s="3" t="s">
        <v>36</v>
      </c>
      <c r="I291" s="6">
        <v>44378</v>
      </c>
      <c r="J291" s="4">
        <v>0</v>
      </c>
      <c r="K291" s="4">
        <v>0</v>
      </c>
      <c r="L291" s="4">
        <v>172.75399999999999</v>
      </c>
      <c r="M291" s="4">
        <v>17.275400000000001</v>
      </c>
      <c r="N291" s="4">
        <v>172.75399999999999</v>
      </c>
      <c r="O291" s="4">
        <v>17.275400000000001</v>
      </c>
      <c r="P291" s="4">
        <v>0</v>
      </c>
      <c r="Q291" s="3" t="s">
        <v>26</v>
      </c>
      <c r="R291" s="3">
        <v>0</v>
      </c>
      <c r="S291" s="3">
        <v>0</v>
      </c>
      <c r="T291" s="3">
        <v>29</v>
      </c>
      <c r="U291" s="3">
        <v>73</v>
      </c>
      <c r="V291" s="4">
        <f>IF(ISERROR(VLOOKUP($S$291,'TAR FIN'!$A$1:$O$99,15,0)),0,VLOOKUP($S$291,'TAR FIN'!$A$1:$O$99,15,0))</f>
        <v>0</v>
      </c>
      <c r="W291" s="4">
        <f>IF(ISERROR(VLOOKUP($T$291,'TAR FIN'!$A$1:$O$99,15,0)),0,VLOOKUP($T$291,'TAR FIN'!$A$1:$O$99,15,0))</f>
        <v>97.61</v>
      </c>
      <c r="X291" s="4">
        <f>IF(ISERROR(VLOOKUP($U$291,'TAR FIN'!$A$1:$O$99,15,0)),0,VLOOKUP($U$291,'TAR FIN'!$A$1:$O$99,15,0))</f>
        <v>219.97</v>
      </c>
      <c r="Y291" s="4"/>
      <c r="Z291" s="4">
        <f ca="1">('TUSD BE'!$AM$23+'TUSD BF'!$AM$23+'TUSD CVA'!$AM$23)*1</f>
        <v>117.59114529324071</v>
      </c>
      <c r="AA291" s="4">
        <f>('TE BE'!$AA$8+'TE BF'!$AA$8+'TE CVA'!$AA$8)*1</f>
        <v>271.13910989737087</v>
      </c>
      <c r="AB291" s="4">
        <f t="shared" si="18"/>
        <v>0</v>
      </c>
      <c r="AC291" s="4">
        <f t="shared" si="19"/>
        <v>49376.893788000001</v>
      </c>
      <c r="AD291" s="4">
        <f t="shared" si="20"/>
        <v>0</v>
      </c>
      <c r="AE291" s="4">
        <f t="shared" ca="1" si="21"/>
        <v>60439.23585467902</v>
      </c>
      <c r="AF291" s="3" t="s">
        <v>952</v>
      </c>
    </row>
    <row r="292" spans="1:32" ht="11.25" customHeight="1" x14ac:dyDescent="0.25">
      <c r="A292" s="3" t="s">
        <v>27</v>
      </c>
      <c r="B292" s="3" t="s">
        <v>33</v>
      </c>
      <c r="C292" s="3" t="s">
        <v>34</v>
      </c>
      <c r="D292" s="3" t="s">
        <v>45</v>
      </c>
      <c r="E292" s="3" t="s">
        <v>53</v>
      </c>
      <c r="F292" s="3" t="s">
        <v>55</v>
      </c>
      <c r="G292" s="3" t="s">
        <v>25</v>
      </c>
      <c r="H292" s="3" t="s">
        <v>36</v>
      </c>
      <c r="I292" s="6">
        <v>44378</v>
      </c>
      <c r="J292" s="4">
        <v>0</v>
      </c>
      <c r="K292" s="4">
        <v>0</v>
      </c>
      <c r="L292" s="4">
        <v>-54.831000000000003</v>
      </c>
      <c r="M292" s="4">
        <v>-5.4831000000000003</v>
      </c>
      <c r="N292" s="4">
        <v>-54.831000000000003</v>
      </c>
      <c r="O292" s="4">
        <v>-5.4831000000000003</v>
      </c>
      <c r="P292" s="4">
        <v>0</v>
      </c>
      <c r="Q292" s="3" t="s">
        <v>26</v>
      </c>
      <c r="R292" s="3">
        <v>0</v>
      </c>
      <c r="S292" s="3">
        <v>0</v>
      </c>
      <c r="T292" s="3">
        <v>29</v>
      </c>
      <c r="U292" s="3">
        <v>73</v>
      </c>
      <c r="V292" s="4">
        <f>IF(ISERROR(VLOOKUP($S$292,'TAR FIN'!$A$1:$O$99,15,0)),0,VLOOKUP($S$292,'TAR FIN'!$A$1:$O$99,15,0))</f>
        <v>0</v>
      </c>
      <c r="W292" s="4">
        <f>IF(ISERROR(VLOOKUP($T$292,'TAR FIN'!$A$1:$O$99,15,0)),0,VLOOKUP($T$292,'TAR FIN'!$A$1:$O$99,15,0))</f>
        <v>97.61</v>
      </c>
      <c r="X292" s="4">
        <f>IF(ISERROR(VLOOKUP($U$292,'TAR FIN'!$A$1:$O$99,15,0)),0,VLOOKUP($U$292,'TAR FIN'!$A$1:$O$99,15,0))</f>
        <v>219.97</v>
      </c>
      <c r="Y292" s="4"/>
      <c r="Z292" s="4">
        <f ca="1">('TUSD BE'!$AM$23+'TUSD BF'!$AM$23+'TUSD CVA'!$AM$23)*1</f>
        <v>117.59114529324071</v>
      </c>
      <c r="AA292" s="4">
        <f>('TE BE'!$AA$8+'TE BF'!$AA$8+'TE CVA'!$AA$8)*1</f>
        <v>271.13910989737087</v>
      </c>
      <c r="AB292" s="4">
        <f t="shared" si="18"/>
        <v>0</v>
      </c>
      <c r="AC292" s="4">
        <f t="shared" si="19"/>
        <v>-15671.906082000001</v>
      </c>
      <c r="AD292" s="4">
        <f t="shared" si="20"/>
        <v>0</v>
      </c>
      <c r="AE292" s="4">
        <f t="shared" ca="1" si="21"/>
        <v>-19183.021760120784</v>
      </c>
      <c r="AF292" s="3" t="s">
        <v>952</v>
      </c>
    </row>
    <row r="293" spans="1:32" ht="11.25" customHeight="1" x14ac:dyDescent="0.25">
      <c r="A293" s="3" t="s">
        <v>21</v>
      </c>
      <c r="B293" s="3" t="s">
        <v>33</v>
      </c>
      <c r="C293" s="3" t="s">
        <v>34</v>
      </c>
      <c r="D293" s="3" t="s">
        <v>45</v>
      </c>
      <c r="E293" s="3" t="s">
        <v>53</v>
      </c>
      <c r="F293" s="3" t="s">
        <v>55</v>
      </c>
      <c r="G293" s="3" t="s">
        <v>25</v>
      </c>
      <c r="H293" s="3" t="s">
        <v>36</v>
      </c>
      <c r="I293" s="6">
        <v>44409</v>
      </c>
      <c r="J293" s="4">
        <v>0</v>
      </c>
      <c r="K293" s="4">
        <v>0</v>
      </c>
      <c r="L293" s="4">
        <v>289.83300000000003</v>
      </c>
      <c r="M293" s="4">
        <v>28.9833</v>
      </c>
      <c r="N293" s="4">
        <v>289.83300000000003</v>
      </c>
      <c r="O293" s="4">
        <v>28.9833</v>
      </c>
      <c r="P293" s="4">
        <v>0</v>
      </c>
      <c r="Q293" s="3" t="s">
        <v>26</v>
      </c>
      <c r="R293" s="3">
        <v>0</v>
      </c>
      <c r="S293" s="3">
        <v>0</v>
      </c>
      <c r="T293" s="3">
        <v>29</v>
      </c>
      <c r="U293" s="3">
        <v>73</v>
      </c>
      <c r="V293" s="4">
        <f>IF(ISERROR(VLOOKUP($S$293,'TAR FIN'!$A$1:$O$99,15,0)),0,VLOOKUP($S$293,'TAR FIN'!$A$1:$O$99,15,0))</f>
        <v>0</v>
      </c>
      <c r="W293" s="4">
        <f>IF(ISERROR(VLOOKUP($T$293,'TAR FIN'!$A$1:$O$99,15,0)),0,VLOOKUP($T$293,'TAR FIN'!$A$1:$O$99,15,0))</f>
        <v>97.61</v>
      </c>
      <c r="X293" s="4">
        <f>IF(ISERROR(VLOOKUP($U$293,'TAR FIN'!$A$1:$O$99,15,0)),0,VLOOKUP($U$293,'TAR FIN'!$A$1:$O$99,15,0))</f>
        <v>219.97</v>
      </c>
      <c r="Y293" s="4"/>
      <c r="Z293" s="4">
        <f ca="1">('TUSD BE'!$AM$23+'TUSD BF'!$AM$23+'TUSD CVA'!$AM$23)*1</f>
        <v>117.59114529324071</v>
      </c>
      <c r="AA293" s="4">
        <f>('TE BE'!$AA$8+'TE BF'!$AA$8+'TE CVA'!$AA$8)*1</f>
        <v>271.13910989737087</v>
      </c>
      <c r="AB293" s="4">
        <f t="shared" si="18"/>
        <v>0</v>
      </c>
      <c r="AC293" s="4">
        <f t="shared" si="19"/>
        <v>82840.64772600001</v>
      </c>
      <c r="AD293" s="4">
        <f t="shared" si="20"/>
        <v>0</v>
      </c>
      <c r="AE293" s="4">
        <f t="shared" ca="1" si="21"/>
        <v>101400.17044739448</v>
      </c>
      <c r="AF293" s="3" t="s">
        <v>952</v>
      </c>
    </row>
    <row r="294" spans="1:32" ht="11.25" customHeight="1" x14ac:dyDescent="0.25">
      <c r="A294" s="3" t="s">
        <v>27</v>
      </c>
      <c r="B294" s="3" t="s">
        <v>33</v>
      </c>
      <c r="C294" s="3" t="s">
        <v>34</v>
      </c>
      <c r="D294" s="3" t="s">
        <v>45</v>
      </c>
      <c r="E294" s="3" t="s">
        <v>53</v>
      </c>
      <c r="F294" s="3" t="s">
        <v>55</v>
      </c>
      <c r="G294" s="3" t="s">
        <v>25</v>
      </c>
      <c r="H294" s="3" t="s">
        <v>36</v>
      </c>
      <c r="I294" s="6">
        <v>44409</v>
      </c>
      <c r="J294" s="4">
        <v>0</v>
      </c>
      <c r="K294" s="4">
        <v>0</v>
      </c>
      <c r="L294" s="4">
        <v>43.429000000000002</v>
      </c>
      <c r="M294" s="4">
        <v>4.3429000000000002</v>
      </c>
      <c r="N294" s="4">
        <v>43.429000000000002</v>
      </c>
      <c r="O294" s="4">
        <v>4.3429000000000002</v>
      </c>
      <c r="P294" s="4">
        <v>0</v>
      </c>
      <c r="Q294" s="3" t="s">
        <v>26</v>
      </c>
      <c r="R294" s="3">
        <v>0</v>
      </c>
      <c r="S294" s="3">
        <v>0</v>
      </c>
      <c r="T294" s="3">
        <v>29</v>
      </c>
      <c r="U294" s="3">
        <v>73</v>
      </c>
      <c r="V294" s="4">
        <f>IF(ISERROR(VLOOKUP($S$294,'TAR FIN'!$A$1:$O$99,15,0)),0,VLOOKUP($S$294,'TAR FIN'!$A$1:$O$99,15,0))</f>
        <v>0</v>
      </c>
      <c r="W294" s="4">
        <f>IF(ISERROR(VLOOKUP($T$294,'TAR FIN'!$A$1:$O$99,15,0)),0,VLOOKUP($T$294,'TAR FIN'!$A$1:$O$99,15,0))</f>
        <v>97.61</v>
      </c>
      <c r="X294" s="4">
        <f>IF(ISERROR(VLOOKUP($U$294,'TAR FIN'!$A$1:$O$99,15,0)),0,VLOOKUP($U$294,'TAR FIN'!$A$1:$O$99,15,0))</f>
        <v>219.97</v>
      </c>
      <c r="Y294" s="4"/>
      <c r="Z294" s="4">
        <f ca="1">('TUSD BE'!$AM$23+'TUSD BF'!$AM$23+'TUSD CVA'!$AM$23)*1</f>
        <v>117.59114529324071</v>
      </c>
      <c r="AA294" s="4">
        <f>('TE BE'!$AA$8+'TE BF'!$AA$8+'TE CVA'!$AA$8)*1</f>
        <v>271.13910989737087</v>
      </c>
      <c r="AB294" s="4">
        <f t="shared" si="18"/>
        <v>0</v>
      </c>
      <c r="AC294" s="4">
        <f t="shared" si="19"/>
        <v>12412.963637999999</v>
      </c>
      <c r="AD294" s="4">
        <f t="shared" si="20"/>
        <v>0</v>
      </c>
      <c r="AE294" s="4">
        <f t="shared" ca="1" si="21"/>
        <v>15193.949627405764</v>
      </c>
      <c r="AF294" s="3" t="s">
        <v>952</v>
      </c>
    </row>
    <row r="295" spans="1:32" ht="11.25" customHeight="1" x14ac:dyDescent="0.25">
      <c r="A295" s="3" t="s">
        <v>21</v>
      </c>
      <c r="B295" s="3" t="s">
        <v>33</v>
      </c>
      <c r="C295" s="3" t="s">
        <v>34</v>
      </c>
      <c r="D295" s="3" t="s">
        <v>45</v>
      </c>
      <c r="E295" s="3" t="s">
        <v>53</v>
      </c>
      <c r="F295" s="3" t="s">
        <v>55</v>
      </c>
      <c r="G295" s="3" t="s">
        <v>25</v>
      </c>
      <c r="H295" s="3" t="s">
        <v>36</v>
      </c>
      <c r="I295" s="6">
        <v>44440</v>
      </c>
      <c r="J295" s="4">
        <v>0</v>
      </c>
      <c r="K295" s="4">
        <v>0</v>
      </c>
      <c r="L295" s="4">
        <v>616.38</v>
      </c>
      <c r="M295" s="4">
        <v>61.637999999999998</v>
      </c>
      <c r="N295" s="4">
        <v>616.38</v>
      </c>
      <c r="O295" s="4">
        <v>61.637999999999998</v>
      </c>
      <c r="P295" s="4">
        <v>0</v>
      </c>
      <c r="Q295" s="3" t="s">
        <v>26</v>
      </c>
      <c r="R295" s="3">
        <v>0</v>
      </c>
      <c r="S295" s="3">
        <v>0</v>
      </c>
      <c r="T295" s="3">
        <v>29</v>
      </c>
      <c r="U295" s="3">
        <v>73</v>
      </c>
      <c r="V295" s="4">
        <f>IF(ISERROR(VLOOKUP($S$295,'TAR FIN'!$A$1:$O$99,15,0)),0,VLOOKUP($S$295,'TAR FIN'!$A$1:$O$99,15,0))</f>
        <v>0</v>
      </c>
      <c r="W295" s="4">
        <f>IF(ISERROR(VLOOKUP($T$295,'TAR FIN'!$A$1:$O$99,15,0)),0,VLOOKUP($T$295,'TAR FIN'!$A$1:$O$99,15,0))</f>
        <v>97.61</v>
      </c>
      <c r="X295" s="4">
        <f>IF(ISERROR(VLOOKUP($U$295,'TAR FIN'!$A$1:$O$99,15,0)),0,VLOOKUP($U$295,'TAR FIN'!$A$1:$O$99,15,0))</f>
        <v>219.97</v>
      </c>
      <c r="Y295" s="4"/>
      <c r="Z295" s="4">
        <f ca="1">('TUSD BE'!$AM$23+'TUSD BF'!$AM$23+'TUSD CVA'!$AM$23)*1</f>
        <v>117.59114529324071</v>
      </c>
      <c r="AA295" s="4">
        <f>('TE BE'!$AA$8+'TE BF'!$AA$8+'TE CVA'!$AA$8)*1</f>
        <v>271.13910989737087</v>
      </c>
      <c r="AB295" s="4">
        <f t="shared" si="18"/>
        <v>0</v>
      </c>
      <c r="AC295" s="4">
        <f t="shared" si="19"/>
        <v>176174.96435999998</v>
      </c>
      <c r="AD295" s="4">
        <f t="shared" si="20"/>
        <v>0</v>
      </c>
      <c r="AE295" s="4">
        <f t="shared" ca="1" si="21"/>
        <v>215644.99922495027</v>
      </c>
      <c r="AF295" s="3" t="s">
        <v>952</v>
      </c>
    </row>
    <row r="296" spans="1:32" ht="11.25" customHeight="1" x14ac:dyDescent="0.25">
      <c r="A296" s="3" t="s">
        <v>27</v>
      </c>
      <c r="B296" s="3" t="s">
        <v>33</v>
      </c>
      <c r="C296" s="3" t="s">
        <v>34</v>
      </c>
      <c r="D296" s="3" t="s">
        <v>45</v>
      </c>
      <c r="E296" s="3" t="s">
        <v>53</v>
      </c>
      <c r="F296" s="3" t="s">
        <v>55</v>
      </c>
      <c r="G296" s="3" t="s">
        <v>25</v>
      </c>
      <c r="H296" s="3" t="s">
        <v>36</v>
      </c>
      <c r="I296" s="6">
        <v>44440</v>
      </c>
      <c r="J296" s="4">
        <v>0</v>
      </c>
      <c r="K296" s="4">
        <v>0</v>
      </c>
      <c r="L296" s="4">
        <v>-85.463999999999999</v>
      </c>
      <c r="M296" s="4">
        <v>-8.5464000000000002</v>
      </c>
      <c r="N296" s="4">
        <v>-85.463999999999999</v>
      </c>
      <c r="O296" s="4">
        <v>-8.5464000000000002</v>
      </c>
      <c r="P296" s="4">
        <v>0</v>
      </c>
      <c r="Q296" s="3" t="s">
        <v>26</v>
      </c>
      <c r="R296" s="3">
        <v>0</v>
      </c>
      <c r="S296" s="3">
        <v>0</v>
      </c>
      <c r="T296" s="3">
        <v>29</v>
      </c>
      <c r="U296" s="3">
        <v>73</v>
      </c>
      <c r="V296" s="4">
        <f>IF(ISERROR(VLOOKUP($S$296,'TAR FIN'!$A$1:$O$99,15,0)),0,VLOOKUP($S$296,'TAR FIN'!$A$1:$O$99,15,0))</f>
        <v>0</v>
      </c>
      <c r="W296" s="4">
        <f>IF(ISERROR(VLOOKUP($T$296,'TAR FIN'!$A$1:$O$99,15,0)),0,VLOOKUP($T$296,'TAR FIN'!$A$1:$O$99,15,0))</f>
        <v>97.61</v>
      </c>
      <c r="X296" s="4">
        <f>IF(ISERROR(VLOOKUP($U$296,'TAR FIN'!$A$1:$O$99,15,0)),0,VLOOKUP($U$296,'TAR FIN'!$A$1:$O$99,15,0))</f>
        <v>219.97</v>
      </c>
      <c r="Y296" s="4"/>
      <c r="Z296" s="4">
        <f ca="1">('TUSD BE'!$AM$23+'TUSD BF'!$AM$23+'TUSD CVA'!$AM$23)*1</f>
        <v>117.59114529324071</v>
      </c>
      <c r="AA296" s="4">
        <f>('TE BE'!$AA$8+'TE BF'!$AA$8+'TE CVA'!$AA$8)*1</f>
        <v>271.13910989737087</v>
      </c>
      <c r="AB296" s="4">
        <f t="shared" si="18"/>
        <v>0</v>
      </c>
      <c r="AC296" s="4">
        <f t="shared" si="19"/>
        <v>-24427.491407999998</v>
      </c>
      <c r="AD296" s="4">
        <f t="shared" si="20"/>
        <v>0</v>
      </c>
      <c r="AE296" s="4">
        <f t="shared" ca="1" si="21"/>
        <v>-29900.198276649382</v>
      </c>
      <c r="AF296" s="3" t="s">
        <v>952</v>
      </c>
    </row>
    <row r="297" spans="1:32" ht="11.25" customHeight="1" x14ac:dyDescent="0.25">
      <c r="A297" s="3" t="s">
        <v>21</v>
      </c>
      <c r="B297" s="3" t="s">
        <v>33</v>
      </c>
      <c r="C297" s="3" t="s">
        <v>34</v>
      </c>
      <c r="D297" s="3" t="s">
        <v>45</v>
      </c>
      <c r="E297" s="3" t="s">
        <v>53</v>
      </c>
      <c r="F297" s="3" t="s">
        <v>55</v>
      </c>
      <c r="G297" s="3" t="s">
        <v>25</v>
      </c>
      <c r="H297" s="3" t="s">
        <v>36</v>
      </c>
      <c r="I297" s="6">
        <v>44470</v>
      </c>
      <c r="J297" s="4">
        <v>0</v>
      </c>
      <c r="K297" s="4">
        <v>0</v>
      </c>
      <c r="L297" s="4">
        <v>1721.6189999999999</v>
      </c>
      <c r="M297" s="4">
        <v>172.1619</v>
      </c>
      <c r="N297" s="4">
        <v>1721.6189999999999</v>
      </c>
      <c r="O297" s="4">
        <v>172.1619</v>
      </c>
      <c r="P297" s="4">
        <v>0</v>
      </c>
      <c r="Q297" s="3" t="s">
        <v>26</v>
      </c>
      <c r="R297" s="3">
        <v>0</v>
      </c>
      <c r="S297" s="3">
        <v>0</v>
      </c>
      <c r="T297" s="3">
        <v>29</v>
      </c>
      <c r="U297" s="3">
        <v>73</v>
      </c>
      <c r="V297" s="4">
        <f>IF(ISERROR(VLOOKUP($S$297,'TAR FIN'!$A$1:$O$99,15,0)),0,VLOOKUP($S$297,'TAR FIN'!$A$1:$O$99,15,0))</f>
        <v>0</v>
      </c>
      <c r="W297" s="4">
        <f>IF(ISERROR(VLOOKUP($T$297,'TAR FIN'!$A$1:$O$99,15,0)),0,VLOOKUP($T$297,'TAR FIN'!$A$1:$O$99,15,0))</f>
        <v>97.61</v>
      </c>
      <c r="X297" s="4">
        <f>IF(ISERROR(VLOOKUP($U$297,'TAR FIN'!$A$1:$O$99,15,0)),0,VLOOKUP($U$297,'TAR FIN'!$A$1:$O$99,15,0))</f>
        <v>219.97</v>
      </c>
      <c r="Y297" s="4"/>
      <c r="Z297" s="4">
        <f ca="1">('TUSD BE'!$AM$23+'TUSD BF'!$AM$23+'TUSD CVA'!$AM$23)*1</f>
        <v>117.59114529324071</v>
      </c>
      <c r="AA297" s="4">
        <f>('TE BE'!$AA$8+'TE BF'!$AA$8+'TE CVA'!$AA$8)*1</f>
        <v>271.13910989737087</v>
      </c>
      <c r="AB297" s="4">
        <f t="shared" si="18"/>
        <v>0</v>
      </c>
      <c r="AC297" s="4">
        <f t="shared" si="19"/>
        <v>492076.5858179999</v>
      </c>
      <c r="AD297" s="4">
        <f t="shared" si="20"/>
        <v>0</v>
      </c>
      <c r="AE297" s="4">
        <f t="shared" ca="1" si="21"/>
        <v>602320.85388990492</v>
      </c>
      <c r="AF297" s="3" t="s">
        <v>952</v>
      </c>
    </row>
    <row r="298" spans="1:32" ht="11.25" customHeight="1" x14ac:dyDescent="0.25">
      <c r="A298" s="3" t="s">
        <v>21</v>
      </c>
      <c r="B298" s="3" t="s">
        <v>33</v>
      </c>
      <c r="C298" s="3" t="s">
        <v>34</v>
      </c>
      <c r="D298" s="3" t="s">
        <v>45</v>
      </c>
      <c r="E298" s="3" t="s">
        <v>53</v>
      </c>
      <c r="F298" s="3" t="s">
        <v>55</v>
      </c>
      <c r="G298" s="3" t="s">
        <v>25</v>
      </c>
      <c r="H298" s="3" t="s">
        <v>36</v>
      </c>
      <c r="I298" s="6">
        <v>44501</v>
      </c>
      <c r="J298" s="4">
        <v>0</v>
      </c>
      <c r="K298" s="4">
        <v>0</v>
      </c>
      <c r="L298" s="4">
        <v>2664.7179999999998</v>
      </c>
      <c r="M298" s="4">
        <v>266.47179999999997</v>
      </c>
      <c r="N298" s="4">
        <v>2664.7179999999998</v>
      </c>
      <c r="O298" s="4">
        <v>266.47179999999997</v>
      </c>
      <c r="P298" s="4">
        <v>0</v>
      </c>
      <c r="Q298" s="3" t="s">
        <v>26</v>
      </c>
      <c r="R298" s="3">
        <v>0</v>
      </c>
      <c r="S298" s="3">
        <v>0</v>
      </c>
      <c r="T298" s="3">
        <v>29</v>
      </c>
      <c r="U298" s="3">
        <v>73</v>
      </c>
      <c r="V298" s="4">
        <f>IF(ISERROR(VLOOKUP($S$298,'TAR FIN'!$A$1:$O$99,15,0)),0,VLOOKUP($S$298,'TAR FIN'!$A$1:$O$99,15,0))</f>
        <v>0</v>
      </c>
      <c r="W298" s="4">
        <f>IF(ISERROR(VLOOKUP($T$298,'TAR FIN'!$A$1:$O$99,15,0)),0,VLOOKUP($T$298,'TAR FIN'!$A$1:$O$99,15,0))</f>
        <v>97.61</v>
      </c>
      <c r="X298" s="4">
        <f>IF(ISERROR(VLOOKUP($U$298,'TAR FIN'!$A$1:$O$99,15,0)),0,VLOOKUP($U$298,'TAR FIN'!$A$1:$O$99,15,0))</f>
        <v>219.97</v>
      </c>
      <c r="Y298" s="4"/>
      <c r="Z298" s="4">
        <f ca="1">('TUSD BE'!$AM$23+'TUSD BF'!$AM$23+'TUSD CVA'!$AM$23)*1</f>
        <v>117.59114529324071</v>
      </c>
      <c r="AA298" s="4">
        <f>('TE BE'!$AA$8+'TE BF'!$AA$8+'TE CVA'!$AA$8)*1</f>
        <v>271.13910989737087</v>
      </c>
      <c r="AB298" s="4">
        <f t="shared" si="18"/>
        <v>0</v>
      </c>
      <c r="AC298" s="4">
        <f t="shared" si="19"/>
        <v>761635.02819600003</v>
      </c>
      <c r="AD298" s="4">
        <f t="shared" si="20"/>
        <v>0</v>
      </c>
      <c r="AE298" s="4">
        <f t="shared" ca="1" si="21"/>
        <v>932270.85733591462</v>
      </c>
      <c r="AF298" s="3" t="s">
        <v>952</v>
      </c>
    </row>
    <row r="299" spans="1:32" ht="11.25" customHeight="1" x14ac:dyDescent="0.25">
      <c r="A299" s="3" t="s">
        <v>21</v>
      </c>
      <c r="B299" s="3" t="s">
        <v>33</v>
      </c>
      <c r="C299" s="3" t="s">
        <v>34</v>
      </c>
      <c r="D299" s="3" t="s">
        <v>45</v>
      </c>
      <c r="E299" s="3" t="s">
        <v>53</v>
      </c>
      <c r="F299" s="3" t="s">
        <v>55</v>
      </c>
      <c r="G299" s="3" t="s">
        <v>25</v>
      </c>
      <c r="H299" s="3" t="s">
        <v>36</v>
      </c>
      <c r="I299" s="6">
        <v>44531</v>
      </c>
      <c r="J299" s="4">
        <v>0</v>
      </c>
      <c r="K299" s="4">
        <v>0</v>
      </c>
      <c r="L299" s="4">
        <v>2411.5529999999999</v>
      </c>
      <c r="M299" s="4">
        <v>241.15530000000001</v>
      </c>
      <c r="N299" s="4">
        <v>2411.5529999999999</v>
      </c>
      <c r="O299" s="4">
        <v>241.15530000000001</v>
      </c>
      <c r="P299" s="4">
        <v>0</v>
      </c>
      <c r="Q299" s="3" t="s">
        <v>26</v>
      </c>
      <c r="R299" s="3">
        <v>0</v>
      </c>
      <c r="S299" s="3">
        <v>0</v>
      </c>
      <c r="T299" s="3">
        <v>29</v>
      </c>
      <c r="U299" s="3">
        <v>73</v>
      </c>
      <c r="V299" s="4">
        <f>IF(ISERROR(VLOOKUP($S$299,'TAR FIN'!$A$1:$O$99,15,0)),0,VLOOKUP($S$299,'TAR FIN'!$A$1:$O$99,15,0))</f>
        <v>0</v>
      </c>
      <c r="W299" s="4">
        <f>IF(ISERROR(VLOOKUP($T$299,'TAR FIN'!$A$1:$O$99,15,0)),0,VLOOKUP($T$299,'TAR FIN'!$A$1:$O$99,15,0))</f>
        <v>97.61</v>
      </c>
      <c r="X299" s="4">
        <f>IF(ISERROR(VLOOKUP($U$299,'TAR FIN'!$A$1:$O$99,15,0)),0,VLOOKUP($U$299,'TAR FIN'!$A$1:$O$99,15,0))</f>
        <v>219.97</v>
      </c>
      <c r="Y299" s="4"/>
      <c r="Z299" s="4">
        <f ca="1">('TUSD BE'!$AM$23+'TUSD BF'!$AM$23+'TUSD CVA'!$AM$23)*1</f>
        <v>117.59114529324071</v>
      </c>
      <c r="AA299" s="4">
        <f>('TE BE'!$AA$8+'TE BF'!$AA$8+'TE CVA'!$AA$8)*1</f>
        <v>271.13910989737087</v>
      </c>
      <c r="AB299" s="4">
        <f t="shared" si="18"/>
        <v>0</v>
      </c>
      <c r="AC299" s="4">
        <f t="shared" si="19"/>
        <v>689274.90156599996</v>
      </c>
      <c r="AD299" s="4">
        <f t="shared" si="20"/>
        <v>0</v>
      </c>
      <c r="AE299" s="4">
        <f t="shared" ca="1" si="21"/>
        <v>843699.25178611651</v>
      </c>
      <c r="AF299" s="3" t="s">
        <v>952</v>
      </c>
    </row>
    <row r="300" spans="1:32" ht="11.25" customHeight="1" x14ac:dyDescent="0.25">
      <c r="A300" s="3" t="s">
        <v>21</v>
      </c>
      <c r="B300" s="3" t="s">
        <v>33</v>
      </c>
      <c r="C300" s="3" t="s">
        <v>34</v>
      </c>
      <c r="D300" s="3" t="s">
        <v>45</v>
      </c>
      <c r="E300" s="3" t="s">
        <v>53</v>
      </c>
      <c r="F300" s="3" t="s">
        <v>55</v>
      </c>
      <c r="G300" s="3" t="s">
        <v>25</v>
      </c>
      <c r="H300" s="3" t="s">
        <v>36</v>
      </c>
      <c r="I300" s="6">
        <v>44562</v>
      </c>
      <c r="J300" s="4">
        <v>0</v>
      </c>
      <c r="K300" s="4">
        <v>0</v>
      </c>
      <c r="L300" s="4">
        <v>2089.877</v>
      </c>
      <c r="M300" s="4">
        <v>208.98769999999999</v>
      </c>
      <c r="N300" s="4">
        <v>2089.877</v>
      </c>
      <c r="O300" s="4">
        <v>208.98769999999999</v>
      </c>
      <c r="P300" s="4">
        <v>0</v>
      </c>
      <c r="Q300" s="3" t="s">
        <v>26</v>
      </c>
      <c r="R300" s="3">
        <v>0</v>
      </c>
      <c r="S300" s="3">
        <v>0</v>
      </c>
      <c r="T300" s="3">
        <v>29</v>
      </c>
      <c r="U300" s="3">
        <v>73</v>
      </c>
      <c r="V300" s="4">
        <f>IF(ISERROR(VLOOKUP($S$300,'TAR FIN'!$A$1:$O$99,15,0)),0,VLOOKUP($S$300,'TAR FIN'!$A$1:$O$99,15,0))</f>
        <v>0</v>
      </c>
      <c r="W300" s="4">
        <f>IF(ISERROR(VLOOKUP($T$300,'TAR FIN'!$A$1:$O$99,15,0)),0,VLOOKUP($T$300,'TAR FIN'!$A$1:$O$99,15,0))</f>
        <v>97.61</v>
      </c>
      <c r="X300" s="4">
        <f>IF(ISERROR(VLOOKUP($U$300,'TAR FIN'!$A$1:$O$99,15,0)),0,VLOOKUP($U$300,'TAR FIN'!$A$1:$O$99,15,0))</f>
        <v>219.97</v>
      </c>
      <c r="Y300" s="4"/>
      <c r="Z300" s="4">
        <f ca="1">('TUSD BE'!$AM$23+'TUSD BF'!$AM$23+'TUSD CVA'!$AM$23)*1</f>
        <v>117.59114529324071</v>
      </c>
      <c r="AA300" s="4">
        <f>('TE BE'!$AA$8+'TE BF'!$AA$8+'TE CVA'!$AA$8)*1</f>
        <v>271.13910989737087</v>
      </c>
      <c r="AB300" s="4">
        <f t="shared" si="18"/>
        <v>0</v>
      </c>
      <c r="AC300" s="4">
        <f t="shared" si="19"/>
        <v>597332.82389399991</v>
      </c>
      <c r="AD300" s="4">
        <f t="shared" si="20"/>
        <v>0</v>
      </c>
      <c r="AE300" s="4">
        <f t="shared" ca="1" si="21"/>
        <v>731158.5775742908</v>
      </c>
      <c r="AF300" s="3" t="s">
        <v>952</v>
      </c>
    </row>
    <row r="301" spans="1:32" ht="11.25" customHeight="1" x14ac:dyDescent="0.25">
      <c r="A301" s="3" t="s">
        <v>27</v>
      </c>
      <c r="B301" s="3" t="s">
        <v>33</v>
      </c>
      <c r="C301" s="3" t="s">
        <v>34</v>
      </c>
      <c r="D301" s="3" t="s">
        <v>45</v>
      </c>
      <c r="E301" s="3" t="s">
        <v>53</v>
      </c>
      <c r="F301" s="3" t="s">
        <v>55</v>
      </c>
      <c r="G301" s="3" t="s">
        <v>25</v>
      </c>
      <c r="H301" s="3" t="s">
        <v>36</v>
      </c>
      <c r="I301" s="6">
        <v>44562</v>
      </c>
      <c r="J301" s="4">
        <v>0</v>
      </c>
      <c r="K301" s="4">
        <v>0</v>
      </c>
      <c r="L301" s="4">
        <v>-73.459999999999994</v>
      </c>
      <c r="M301" s="4">
        <v>-7.3460000000000001</v>
      </c>
      <c r="N301" s="4">
        <v>-73.459999999999994</v>
      </c>
      <c r="O301" s="4">
        <v>-7.3460000000000001</v>
      </c>
      <c r="P301" s="4">
        <v>0</v>
      </c>
      <c r="Q301" s="3" t="s">
        <v>26</v>
      </c>
      <c r="R301" s="3">
        <v>0</v>
      </c>
      <c r="S301" s="3">
        <v>0</v>
      </c>
      <c r="T301" s="3">
        <v>29</v>
      </c>
      <c r="U301" s="3">
        <v>73</v>
      </c>
      <c r="V301" s="4">
        <f>IF(ISERROR(VLOOKUP($S$301,'TAR FIN'!$A$1:$O$99,15,0)),0,VLOOKUP($S$301,'TAR FIN'!$A$1:$O$99,15,0))</f>
        <v>0</v>
      </c>
      <c r="W301" s="4">
        <f>IF(ISERROR(VLOOKUP($T$301,'TAR FIN'!$A$1:$O$99,15,0)),0,VLOOKUP($T$301,'TAR FIN'!$A$1:$O$99,15,0))</f>
        <v>97.61</v>
      </c>
      <c r="X301" s="4">
        <f>IF(ISERROR(VLOOKUP($U$301,'TAR FIN'!$A$1:$O$99,15,0)),0,VLOOKUP($U$301,'TAR FIN'!$A$1:$O$99,15,0))</f>
        <v>219.97</v>
      </c>
      <c r="Y301" s="4"/>
      <c r="Z301" s="4">
        <f ca="1">('TUSD BE'!$AM$23+'TUSD BF'!$AM$23+'TUSD CVA'!$AM$23)*1</f>
        <v>117.59114529324071</v>
      </c>
      <c r="AA301" s="4">
        <f>('TE BE'!$AA$8+'TE BF'!$AA$8+'TE CVA'!$AA$8)*1</f>
        <v>271.13910989737087</v>
      </c>
      <c r="AB301" s="4">
        <f t="shared" si="18"/>
        <v>0</v>
      </c>
      <c r="AC301" s="4">
        <f t="shared" si="19"/>
        <v>-20996.484119999997</v>
      </c>
      <c r="AD301" s="4">
        <f t="shared" si="20"/>
        <v>0</v>
      </c>
      <c r="AE301" s="4">
        <f t="shared" ca="1" si="21"/>
        <v>-25700.512091672092</v>
      </c>
      <c r="AF301" s="3" t="s">
        <v>952</v>
      </c>
    </row>
    <row r="302" spans="1:32" ht="11.25" customHeight="1" x14ac:dyDescent="0.25">
      <c r="A302" s="3" t="s">
        <v>21</v>
      </c>
      <c r="B302" s="3" t="s">
        <v>33</v>
      </c>
      <c r="C302" s="3" t="s">
        <v>34</v>
      </c>
      <c r="D302" s="3" t="s">
        <v>45</v>
      </c>
      <c r="E302" s="3" t="s">
        <v>53</v>
      </c>
      <c r="F302" s="3" t="s">
        <v>55</v>
      </c>
      <c r="G302" s="3" t="s">
        <v>25</v>
      </c>
      <c r="H302" s="3" t="s">
        <v>36</v>
      </c>
      <c r="I302" s="6">
        <v>44593</v>
      </c>
      <c r="J302" s="4">
        <v>0</v>
      </c>
      <c r="K302" s="4">
        <v>0</v>
      </c>
      <c r="L302" s="4">
        <v>2718.4349999999999</v>
      </c>
      <c r="M302" s="4">
        <v>271.84350000000001</v>
      </c>
      <c r="N302" s="4">
        <v>2718.4349999999999</v>
      </c>
      <c r="O302" s="4">
        <v>271.84350000000001</v>
      </c>
      <c r="P302" s="4">
        <v>0</v>
      </c>
      <c r="Q302" s="3" t="s">
        <v>26</v>
      </c>
      <c r="R302" s="3">
        <v>0</v>
      </c>
      <c r="S302" s="3">
        <v>0</v>
      </c>
      <c r="T302" s="3">
        <v>29</v>
      </c>
      <c r="U302" s="3">
        <v>73</v>
      </c>
      <c r="V302" s="4">
        <f>IF(ISERROR(VLOOKUP($S$302,'TAR FIN'!$A$1:$O$99,15,0)),0,VLOOKUP($S$302,'TAR FIN'!$A$1:$O$99,15,0))</f>
        <v>0</v>
      </c>
      <c r="W302" s="4">
        <f>IF(ISERROR(VLOOKUP($T$302,'TAR FIN'!$A$1:$O$99,15,0)),0,VLOOKUP($T$302,'TAR FIN'!$A$1:$O$99,15,0))</f>
        <v>97.61</v>
      </c>
      <c r="X302" s="4">
        <f>IF(ISERROR(VLOOKUP($U$302,'TAR FIN'!$A$1:$O$99,15,0)),0,VLOOKUP($U$302,'TAR FIN'!$A$1:$O$99,15,0))</f>
        <v>219.97</v>
      </c>
      <c r="Y302" s="4"/>
      <c r="Z302" s="4">
        <f ca="1">('TUSD BE'!$AM$23+'TUSD BF'!$AM$23+'TUSD CVA'!$AM$23)*1</f>
        <v>117.59114529324071</v>
      </c>
      <c r="AA302" s="4">
        <f>('TE BE'!$AA$8+'TE BF'!$AA$8+'TE CVA'!$AA$8)*1</f>
        <v>271.13910989737087</v>
      </c>
      <c r="AB302" s="4">
        <f t="shared" si="18"/>
        <v>0</v>
      </c>
      <c r="AC302" s="4">
        <f t="shared" si="19"/>
        <v>776988.52857000008</v>
      </c>
      <c r="AD302" s="4">
        <f t="shared" si="20"/>
        <v>0</v>
      </c>
      <c r="AE302" s="4">
        <f t="shared" ca="1" si="21"/>
        <v>951064.13814218121</v>
      </c>
      <c r="AF302" s="3" t="s">
        <v>952</v>
      </c>
    </row>
    <row r="303" spans="1:32" ht="11.25" customHeight="1" x14ac:dyDescent="0.25">
      <c r="A303" s="3" t="s">
        <v>21</v>
      </c>
      <c r="B303" s="3" t="s">
        <v>33</v>
      </c>
      <c r="C303" s="3" t="s">
        <v>34</v>
      </c>
      <c r="D303" s="3" t="s">
        <v>45</v>
      </c>
      <c r="E303" s="3" t="s">
        <v>53</v>
      </c>
      <c r="F303" s="3" t="s">
        <v>55</v>
      </c>
      <c r="G303" s="3" t="s">
        <v>25</v>
      </c>
      <c r="H303" s="3" t="s">
        <v>36</v>
      </c>
      <c r="I303" s="6">
        <v>44621</v>
      </c>
      <c r="J303" s="4">
        <v>0</v>
      </c>
      <c r="K303" s="4">
        <v>0</v>
      </c>
      <c r="L303" s="4">
        <v>986.07399999999996</v>
      </c>
      <c r="M303" s="4">
        <v>98.607399999999998</v>
      </c>
      <c r="N303" s="4">
        <v>986.07399999999996</v>
      </c>
      <c r="O303" s="4">
        <v>98.607399999999998</v>
      </c>
      <c r="P303" s="4">
        <v>0</v>
      </c>
      <c r="Q303" s="3" t="s">
        <v>26</v>
      </c>
      <c r="R303" s="3">
        <v>0</v>
      </c>
      <c r="S303" s="3">
        <v>0</v>
      </c>
      <c r="T303" s="3">
        <v>29</v>
      </c>
      <c r="U303" s="3">
        <v>73</v>
      </c>
      <c r="V303" s="4">
        <f>IF(ISERROR(VLOOKUP($S$303,'TAR FIN'!$A$1:$O$99,15,0)),0,VLOOKUP($S$303,'TAR FIN'!$A$1:$O$99,15,0))</f>
        <v>0</v>
      </c>
      <c r="W303" s="4">
        <f>IF(ISERROR(VLOOKUP($T$303,'TAR FIN'!$A$1:$O$99,15,0)),0,VLOOKUP($T$303,'TAR FIN'!$A$1:$O$99,15,0))</f>
        <v>97.61</v>
      </c>
      <c r="X303" s="4">
        <f>IF(ISERROR(VLOOKUP($U$303,'TAR FIN'!$A$1:$O$99,15,0)),0,VLOOKUP($U$303,'TAR FIN'!$A$1:$O$99,15,0))</f>
        <v>219.97</v>
      </c>
      <c r="Y303" s="4"/>
      <c r="Z303" s="4">
        <f ca="1">('TUSD BE'!$AM$23+'TUSD BF'!$AM$23+'TUSD CVA'!$AM$23)*1</f>
        <v>117.59114529324071</v>
      </c>
      <c r="AA303" s="4">
        <f>('TE BE'!$AA$8+'TE BF'!$AA$8+'TE CVA'!$AA$8)*1</f>
        <v>271.13910989737087</v>
      </c>
      <c r="AB303" s="4">
        <f t="shared" si="18"/>
        <v>0</v>
      </c>
      <c r="AC303" s="4">
        <f t="shared" si="19"/>
        <v>281841.64282800001</v>
      </c>
      <c r="AD303" s="4">
        <f t="shared" si="20"/>
        <v>0</v>
      </c>
      <c r="AE303" s="4">
        <f t="shared" ca="1" si="21"/>
        <v>344985.11789114441</v>
      </c>
      <c r="AF303" s="3" t="s">
        <v>952</v>
      </c>
    </row>
    <row r="304" spans="1:32" ht="11.25" customHeight="1" x14ac:dyDescent="0.25">
      <c r="A304" s="3" t="s">
        <v>27</v>
      </c>
      <c r="B304" s="3" t="s">
        <v>33</v>
      </c>
      <c r="C304" s="3" t="s">
        <v>34</v>
      </c>
      <c r="D304" s="3" t="s">
        <v>45</v>
      </c>
      <c r="E304" s="3" t="s">
        <v>53</v>
      </c>
      <c r="F304" s="3" t="s">
        <v>55</v>
      </c>
      <c r="G304" s="3" t="s">
        <v>25</v>
      </c>
      <c r="H304" s="3" t="s">
        <v>36</v>
      </c>
      <c r="I304" s="6">
        <v>44621</v>
      </c>
      <c r="J304" s="4">
        <v>0</v>
      </c>
      <c r="K304" s="4">
        <v>0</v>
      </c>
      <c r="L304" s="4">
        <v>6.6920000000000002</v>
      </c>
      <c r="M304" s="4">
        <v>0.66920000000000002</v>
      </c>
      <c r="N304" s="4">
        <v>6.6920000000000002</v>
      </c>
      <c r="O304" s="4">
        <v>0.66920000000000002</v>
      </c>
      <c r="P304" s="4">
        <v>0</v>
      </c>
      <c r="Q304" s="3" t="s">
        <v>26</v>
      </c>
      <c r="R304" s="3">
        <v>0</v>
      </c>
      <c r="S304" s="3">
        <v>0</v>
      </c>
      <c r="T304" s="3">
        <v>29</v>
      </c>
      <c r="U304" s="3">
        <v>73</v>
      </c>
      <c r="V304" s="4">
        <f>IF(ISERROR(VLOOKUP($S$304,'TAR FIN'!$A$1:$O$99,15,0)),0,VLOOKUP($S$304,'TAR FIN'!$A$1:$O$99,15,0))</f>
        <v>0</v>
      </c>
      <c r="W304" s="4">
        <f>IF(ISERROR(VLOOKUP($T$304,'TAR FIN'!$A$1:$O$99,15,0)),0,VLOOKUP($T$304,'TAR FIN'!$A$1:$O$99,15,0))</f>
        <v>97.61</v>
      </c>
      <c r="X304" s="4">
        <f>IF(ISERROR(VLOOKUP($U$304,'TAR FIN'!$A$1:$O$99,15,0)),0,VLOOKUP($U$304,'TAR FIN'!$A$1:$O$99,15,0))</f>
        <v>219.97</v>
      </c>
      <c r="Y304" s="4"/>
      <c r="Z304" s="4">
        <f ca="1">('TUSD BE'!$AM$23+'TUSD BF'!$AM$23+'TUSD CVA'!$AM$23)*1</f>
        <v>117.59114529324071</v>
      </c>
      <c r="AA304" s="4">
        <f>('TE BE'!$AA$8+'TE BF'!$AA$8+'TE CVA'!$AA$8)*1</f>
        <v>271.13910989737087</v>
      </c>
      <c r="AB304" s="4">
        <f t="shared" si="18"/>
        <v>0</v>
      </c>
      <c r="AC304" s="4">
        <f t="shared" si="19"/>
        <v>1912.720824</v>
      </c>
      <c r="AD304" s="4">
        <f t="shared" si="20"/>
        <v>0</v>
      </c>
      <c r="AE304" s="4">
        <f t="shared" ca="1" si="21"/>
        <v>2341.2445809620158</v>
      </c>
      <c r="AF304" s="3" t="s">
        <v>952</v>
      </c>
    </row>
    <row r="305" spans="1:32" ht="11.25" customHeight="1" x14ac:dyDescent="0.25">
      <c r="A305" s="3" t="s">
        <v>56</v>
      </c>
      <c r="B305" s="3" t="s">
        <v>33</v>
      </c>
      <c r="C305" s="3" t="s">
        <v>34</v>
      </c>
      <c r="D305" s="3" t="s">
        <v>45</v>
      </c>
      <c r="E305" s="3" t="s">
        <v>53</v>
      </c>
      <c r="F305" s="3" t="s">
        <v>55</v>
      </c>
      <c r="G305" s="3" t="s">
        <v>25</v>
      </c>
      <c r="H305" s="3" t="s">
        <v>36</v>
      </c>
      <c r="I305" s="6">
        <v>44652</v>
      </c>
      <c r="J305" s="4">
        <v>0</v>
      </c>
      <c r="K305" s="4">
        <v>0</v>
      </c>
      <c r="L305" s="4">
        <v>986.07399999999996</v>
      </c>
      <c r="M305" s="4">
        <v>98.607399999999998</v>
      </c>
      <c r="N305" s="4">
        <v>986.07399999999996</v>
      </c>
      <c r="O305" s="4">
        <v>98.607399999999998</v>
      </c>
      <c r="P305" s="4">
        <v>0</v>
      </c>
      <c r="Q305" s="3" t="s">
        <v>26</v>
      </c>
      <c r="R305" s="3">
        <v>0</v>
      </c>
      <c r="S305" s="3">
        <v>0</v>
      </c>
      <c r="T305" s="3">
        <v>29</v>
      </c>
      <c r="U305" s="3">
        <v>73</v>
      </c>
      <c r="V305" s="4">
        <f>IF(ISERROR(VLOOKUP($S$305,'TAR FIN'!$A$1:$O$99,15,0)),0,VLOOKUP($S$305,'TAR FIN'!$A$1:$O$99,15,0))</f>
        <v>0</v>
      </c>
      <c r="W305" s="4">
        <f>IF(ISERROR(VLOOKUP($T$305,'TAR FIN'!$A$1:$O$99,15,0)),0,VLOOKUP($T$305,'TAR FIN'!$A$1:$O$99,15,0))</f>
        <v>97.61</v>
      </c>
      <c r="X305" s="4">
        <f>IF(ISERROR(VLOOKUP($U$305,'TAR FIN'!$A$1:$O$99,15,0)),0,VLOOKUP($U$305,'TAR FIN'!$A$1:$O$99,15,0))</f>
        <v>219.97</v>
      </c>
      <c r="Y305" s="4"/>
      <c r="Z305" s="4">
        <f ca="1">('TUSD BE'!$AM$23+'TUSD BF'!$AM$23+'TUSD CVA'!$AM$23)*1</f>
        <v>117.59114529324071</v>
      </c>
      <c r="AA305" s="4">
        <f>('TE BE'!$AA$8+'TE BF'!$AA$8+'TE CVA'!$AA$8)*1</f>
        <v>271.13910989737087</v>
      </c>
      <c r="AB305" s="4">
        <f t="shared" si="18"/>
        <v>0</v>
      </c>
      <c r="AC305" s="4">
        <f t="shared" si="19"/>
        <v>281841.64282800001</v>
      </c>
      <c r="AD305" s="4">
        <f t="shared" si="20"/>
        <v>0</v>
      </c>
      <c r="AE305" s="4">
        <f t="shared" ca="1" si="21"/>
        <v>344985.11789114441</v>
      </c>
      <c r="AF305" s="3" t="s">
        <v>952</v>
      </c>
    </row>
    <row r="306" spans="1:32" ht="11.25" customHeight="1" x14ac:dyDescent="0.25">
      <c r="A306" s="3" t="s">
        <v>56</v>
      </c>
      <c r="B306" s="3" t="s">
        <v>33</v>
      </c>
      <c r="C306" s="3" t="s">
        <v>34</v>
      </c>
      <c r="D306" s="3" t="s">
        <v>45</v>
      </c>
      <c r="E306" s="3" t="s">
        <v>53</v>
      </c>
      <c r="F306" s="3" t="s">
        <v>55</v>
      </c>
      <c r="G306" s="3" t="s">
        <v>25</v>
      </c>
      <c r="H306" s="3" t="s">
        <v>36</v>
      </c>
      <c r="I306" s="6">
        <v>44652</v>
      </c>
      <c r="J306" s="4">
        <v>0</v>
      </c>
      <c r="K306" s="4">
        <v>0</v>
      </c>
      <c r="L306" s="4">
        <v>6.6920000000000002</v>
      </c>
      <c r="M306" s="4">
        <v>0.66920000000000002</v>
      </c>
      <c r="N306" s="4">
        <v>6.6920000000000002</v>
      </c>
      <c r="O306" s="4">
        <v>0.66920000000000002</v>
      </c>
      <c r="P306" s="4">
        <v>0</v>
      </c>
      <c r="Q306" s="3" t="s">
        <v>26</v>
      </c>
      <c r="R306" s="3">
        <v>0</v>
      </c>
      <c r="S306" s="3">
        <v>0</v>
      </c>
      <c r="T306" s="3">
        <v>29</v>
      </c>
      <c r="U306" s="3">
        <v>73</v>
      </c>
      <c r="V306" s="4">
        <f>IF(ISERROR(VLOOKUP($S$306,'TAR FIN'!$A$1:$O$99,15,0)),0,VLOOKUP($S$306,'TAR FIN'!$A$1:$O$99,15,0))</f>
        <v>0</v>
      </c>
      <c r="W306" s="4">
        <f>IF(ISERROR(VLOOKUP($T$306,'TAR FIN'!$A$1:$O$99,15,0)),0,VLOOKUP($T$306,'TAR FIN'!$A$1:$O$99,15,0))</f>
        <v>97.61</v>
      </c>
      <c r="X306" s="4">
        <f>IF(ISERROR(VLOOKUP($U$306,'TAR FIN'!$A$1:$O$99,15,0)),0,VLOOKUP($U$306,'TAR FIN'!$A$1:$O$99,15,0))</f>
        <v>219.97</v>
      </c>
      <c r="Y306" s="4"/>
      <c r="Z306" s="4">
        <f ca="1">('TUSD BE'!$AM$23+'TUSD BF'!$AM$23+'TUSD CVA'!$AM$23)*1</f>
        <v>117.59114529324071</v>
      </c>
      <c r="AA306" s="4">
        <f>('TE BE'!$AA$8+'TE BF'!$AA$8+'TE CVA'!$AA$8)*1</f>
        <v>271.13910989737087</v>
      </c>
      <c r="AB306" s="4">
        <f t="shared" si="18"/>
        <v>0</v>
      </c>
      <c r="AC306" s="4">
        <f t="shared" si="19"/>
        <v>1912.720824</v>
      </c>
      <c r="AD306" s="4">
        <f t="shared" si="20"/>
        <v>0</v>
      </c>
      <c r="AE306" s="4">
        <f t="shared" ca="1" si="21"/>
        <v>2341.2445809620158</v>
      </c>
      <c r="AF306" s="3" t="s">
        <v>952</v>
      </c>
    </row>
    <row r="307" spans="1:32" ht="11.25" customHeight="1" x14ac:dyDescent="0.25">
      <c r="A307" s="3" t="s">
        <v>21</v>
      </c>
      <c r="B307" s="3" t="s">
        <v>33</v>
      </c>
      <c r="C307" s="3" t="s">
        <v>34</v>
      </c>
      <c r="D307" s="3" t="s">
        <v>45</v>
      </c>
      <c r="E307" s="3" t="s">
        <v>53</v>
      </c>
      <c r="F307" s="3" t="s">
        <v>25</v>
      </c>
      <c r="G307" s="3" t="s">
        <v>25</v>
      </c>
      <c r="H307" s="3" t="s">
        <v>36</v>
      </c>
      <c r="I307" s="6">
        <v>44317</v>
      </c>
      <c r="J307" s="4">
        <v>0</v>
      </c>
      <c r="K307" s="70">
        <v>0</v>
      </c>
      <c r="L307" s="4">
        <v>191.85300000000001</v>
      </c>
      <c r="M307" s="70">
        <v>191.85300000000001</v>
      </c>
      <c r="N307" s="4">
        <v>191.85300000000001</v>
      </c>
      <c r="O307" s="70">
        <v>191.85300000000001</v>
      </c>
      <c r="P307" s="4">
        <v>0</v>
      </c>
      <c r="Q307" s="3" t="s">
        <v>26</v>
      </c>
      <c r="R307" s="3">
        <v>0</v>
      </c>
      <c r="S307" s="3">
        <v>0</v>
      </c>
      <c r="T307" s="3">
        <v>29</v>
      </c>
      <c r="U307" s="3">
        <v>73</v>
      </c>
      <c r="V307" s="70">
        <f>IF(ISERROR(VLOOKUP($S$307,'TAR FIN'!$A$1:$O$99,15,0)),0,VLOOKUP($S$307,'TAR FIN'!$A$1:$O$99,15,0))</f>
        <v>0</v>
      </c>
      <c r="W307" s="70">
        <f>IF(ISERROR(VLOOKUP($T$307,'TAR FIN'!$A$1:$O$99,15,0)),0,VLOOKUP($T$307,'TAR FIN'!$A$1:$O$99,15,0))*(1-0.04)</f>
        <v>93.70559999999999</v>
      </c>
      <c r="X307" s="70">
        <f>IF(ISERROR(VLOOKUP($U$307,'TAR FIN'!$A$1:$O$99,15,0)),0,VLOOKUP($U$307,'TAR FIN'!$A$1:$O$99,15,0))*(1-0.04)</f>
        <v>211.1712</v>
      </c>
      <c r="Y307" s="70"/>
      <c r="Z307" s="70">
        <f ca="1">('TUSD BE'!$AM$23+'TUSD BF'!$AM$23+'TUSD CVA'!$AM$23)*1*(1-0.02)</f>
        <v>115.23932238737589</v>
      </c>
      <c r="AA307" s="70">
        <f>('TE BE'!$AA$8+'TE BF'!$AA$8+'TE CVA'!$AA$8)*1*(1-0.02)</f>
        <v>265.71632769942346</v>
      </c>
      <c r="AB307" s="70">
        <f>(SUBSIDIO!$J$307*SUBSIDIO!$V$307)*(0.04)/(1-0.04)</f>
        <v>0</v>
      </c>
      <c r="AC307" s="70">
        <f>((SUBSIDIO!$L$307*SUBSIDIO!$W$307)+(SUBSIDIO!$N$307*SUBSIDIO!$X$307))*(0.04)/(1-0.04)</f>
        <v>2437.1470296000002</v>
      </c>
      <c r="AD307" s="70">
        <f>(SUBSIDIO!$J$307*SUBSIDIO!$Y$307)*(0.02)/(1-0.02)</f>
        <v>0</v>
      </c>
      <c r="AE307" s="70">
        <f ca="1">((SUBSIDIO!$L$307*SUBSIDIO!$Z$307)+(SUBSIDIO!$N$307*SUBSIDIO!$AA$307))*(0.02)/(1-0.02)</f>
        <v>1491.5813129816881</v>
      </c>
      <c r="AF307" s="3" t="s">
        <v>951</v>
      </c>
    </row>
    <row r="308" spans="1:32" ht="11.25" customHeight="1" x14ac:dyDescent="0.25">
      <c r="A308" s="3" t="s">
        <v>21</v>
      </c>
      <c r="B308" s="3" t="s">
        <v>33</v>
      </c>
      <c r="C308" s="3" t="s">
        <v>34</v>
      </c>
      <c r="D308" s="3" t="s">
        <v>45</v>
      </c>
      <c r="E308" s="3" t="s">
        <v>53</v>
      </c>
      <c r="F308" s="3" t="s">
        <v>25</v>
      </c>
      <c r="G308" s="3" t="s">
        <v>25</v>
      </c>
      <c r="H308" s="3" t="s">
        <v>36</v>
      </c>
      <c r="I308" s="6">
        <v>44348</v>
      </c>
      <c r="J308" s="4">
        <v>0</v>
      </c>
      <c r="K308" s="70">
        <v>0</v>
      </c>
      <c r="L308" s="4">
        <v>182.75399999999999</v>
      </c>
      <c r="M308" s="70">
        <v>182.75399999999999</v>
      </c>
      <c r="N308" s="4">
        <v>182.75399999999999</v>
      </c>
      <c r="O308" s="70">
        <v>182.75399999999999</v>
      </c>
      <c r="P308" s="4">
        <v>0</v>
      </c>
      <c r="Q308" s="3" t="s">
        <v>26</v>
      </c>
      <c r="R308" s="3">
        <v>0</v>
      </c>
      <c r="S308" s="3">
        <v>0</v>
      </c>
      <c r="T308" s="3">
        <v>29</v>
      </c>
      <c r="U308" s="3">
        <v>73</v>
      </c>
      <c r="V308" s="70">
        <f>IF(ISERROR(VLOOKUP($S$308,'TAR FIN'!$A$1:$O$99,15,0)),0,VLOOKUP($S$308,'TAR FIN'!$A$1:$O$99,15,0))</f>
        <v>0</v>
      </c>
      <c r="W308" s="70">
        <f>IF(ISERROR(VLOOKUP($T$308,'TAR FIN'!$A$1:$O$99,15,0)),0,VLOOKUP($T$308,'TAR FIN'!$A$1:$O$99,15,0))*(1-0.04)</f>
        <v>93.70559999999999</v>
      </c>
      <c r="X308" s="70">
        <f>IF(ISERROR(VLOOKUP($U$308,'TAR FIN'!$A$1:$O$99,15,0)),0,VLOOKUP($U$308,'TAR FIN'!$A$1:$O$99,15,0))*(1-0.04)</f>
        <v>211.1712</v>
      </c>
      <c r="Y308" s="70"/>
      <c r="Z308" s="70">
        <f ca="1">('TUSD BE'!$AM$23+'TUSD BF'!$AM$23+'TUSD CVA'!$AM$23)*1*(1-0.02)</f>
        <v>115.23932238737589</v>
      </c>
      <c r="AA308" s="70">
        <f>('TE BE'!$AA$8+'TE BF'!$AA$8+'TE CVA'!$AA$8)*1*(1-0.02)</f>
        <v>265.71632769942346</v>
      </c>
      <c r="AB308" s="70">
        <f>(SUBSIDIO!$J$308*SUBSIDIO!$V$308)*(0.04)/(1-0.04)</f>
        <v>0</v>
      </c>
      <c r="AC308" s="70">
        <f>((SUBSIDIO!$L$308*SUBSIDIO!$W$308)+(SUBSIDIO!$N$308*SUBSIDIO!$X$308))*(0.04)/(1-0.04)</f>
        <v>2321.5606127999999</v>
      </c>
      <c r="AD308" s="70">
        <f>(SUBSIDIO!$J$308*SUBSIDIO!$Y$308)*(0.02)/(1-0.02)</f>
        <v>0</v>
      </c>
      <c r="AE308" s="70">
        <f ca="1">((SUBSIDIO!$L$308*SUBSIDIO!$Z$308)+(SUBSIDIO!$N$308*SUBSIDIO!$AA$308))*(0.02)/(1-0.02)</f>
        <v>1420.8401811421006</v>
      </c>
      <c r="AF308" s="3" t="s">
        <v>951</v>
      </c>
    </row>
    <row r="309" spans="1:32" ht="11.25" customHeight="1" x14ac:dyDescent="0.25">
      <c r="A309" s="3" t="s">
        <v>27</v>
      </c>
      <c r="B309" s="3" t="s">
        <v>33</v>
      </c>
      <c r="C309" s="3" t="s">
        <v>34</v>
      </c>
      <c r="D309" s="3" t="s">
        <v>45</v>
      </c>
      <c r="E309" s="3" t="s">
        <v>53</v>
      </c>
      <c r="F309" s="3" t="s">
        <v>25</v>
      </c>
      <c r="G309" s="3" t="s">
        <v>25</v>
      </c>
      <c r="H309" s="3" t="s">
        <v>36</v>
      </c>
      <c r="I309" s="6">
        <v>44348</v>
      </c>
      <c r="J309" s="4">
        <v>0</v>
      </c>
      <c r="K309" s="70">
        <v>0</v>
      </c>
      <c r="L309" s="4">
        <v>-100.434</v>
      </c>
      <c r="M309" s="70">
        <v>-100.434</v>
      </c>
      <c r="N309" s="4">
        <v>-100.434</v>
      </c>
      <c r="O309" s="70">
        <v>-100.434</v>
      </c>
      <c r="P309" s="4">
        <v>0</v>
      </c>
      <c r="Q309" s="3" t="s">
        <v>26</v>
      </c>
      <c r="R309" s="3">
        <v>0</v>
      </c>
      <c r="S309" s="3">
        <v>0</v>
      </c>
      <c r="T309" s="3">
        <v>29</v>
      </c>
      <c r="U309" s="3">
        <v>73</v>
      </c>
      <c r="V309" s="70">
        <f>IF(ISERROR(VLOOKUP($S$309,'TAR FIN'!$A$1:$O$99,15,0)),0,VLOOKUP($S$309,'TAR FIN'!$A$1:$O$99,15,0))</f>
        <v>0</v>
      </c>
      <c r="W309" s="70">
        <f>IF(ISERROR(VLOOKUP($T$309,'TAR FIN'!$A$1:$O$99,15,0)),0,VLOOKUP($T$309,'TAR FIN'!$A$1:$O$99,15,0))*(1-0.04)</f>
        <v>93.70559999999999</v>
      </c>
      <c r="X309" s="70">
        <f>IF(ISERROR(VLOOKUP($U$309,'TAR FIN'!$A$1:$O$99,15,0)),0,VLOOKUP($U$309,'TAR FIN'!$A$1:$O$99,15,0))*(1-0.04)</f>
        <v>211.1712</v>
      </c>
      <c r="Y309" s="70"/>
      <c r="Z309" s="70">
        <f ca="1">('TUSD BE'!$AM$23+'TUSD BF'!$AM$23+'TUSD CVA'!$AM$23)*1*(1-0.02)</f>
        <v>115.23932238737589</v>
      </c>
      <c r="AA309" s="70">
        <f>('TE BE'!$AA$8+'TE BF'!$AA$8+'TE CVA'!$AA$8)*1*(1-0.02)</f>
        <v>265.71632769942346</v>
      </c>
      <c r="AB309" s="70">
        <f>(SUBSIDIO!$J$309*SUBSIDIO!$V$309)*(0.04)/(1-0.04)</f>
        <v>0</v>
      </c>
      <c r="AC309" s="70">
        <f>((SUBSIDIO!$L$309*SUBSIDIO!$W$309)+(SUBSIDIO!$N$309*SUBSIDIO!$X$309))*(0.04)/(1-0.04)</f>
        <v>-1275.8331888</v>
      </c>
      <c r="AD309" s="70">
        <f>(SUBSIDIO!$J$309*SUBSIDIO!$Y$309)*(0.02)/(1-0.02)</f>
        <v>0</v>
      </c>
      <c r="AE309" s="70">
        <f ca="1">((SUBSIDIO!$L$309*SUBSIDIO!$Z$309)+(SUBSIDIO!$N$309*SUBSIDIO!$AA$309))*(0.02)/(1-0.02)</f>
        <v>-780.83468899627769</v>
      </c>
      <c r="AF309" s="3" t="s">
        <v>951</v>
      </c>
    </row>
    <row r="310" spans="1:32" ht="11.25" customHeight="1" x14ac:dyDescent="0.25">
      <c r="A310" s="3" t="s">
        <v>21</v>
      </c>
      <c r="B310" s="3" t="s">
        <v>33</v>
      </c>
      <c r="C310" s="3" t="s">
        <v>34</v>
      </c>
      <c r="D310" s="3" t="s">
        <v>45</v>
      </c>
      <c r="E310" s="3" t="s">
        <v>53</v>
      </c>
      <c r="F310" s="3" t="s">
        <v>25</v>
      </c>
      <c r="G310" s="3" t="s">
        <v>25</v>
      </c>
      <c r="H310" s="3" t="s">
        <v>36</v>
      </c>
      <c r="I310" s="6">
        <v>44378</v>
      </c>
      <c r="J310" s="4">
        <v>0</v>
      </c>
      <c r="K310" s="70">
        <v>0</v>
      </c>
      <c r="L310" s="4">
        <v>229.15899999999999</v>
      </c>
      <c r="M310" s="70">
        <v>229.15899999999999</v>
      </c>
      <c r="N310" s="4">
        <v>229.15899999999999</v>
      </c>
      <c r="O310" s="70">
        <v>229.15899999999999</v>
      </c>
      <c r="P310" s="4">
        <v>0</v>
      </c>
      <c r="Q310" s="3" t="s">
        <v>26</v>
      </c>
      <c r="R310" s="3">
        <v>0</v>
      </c>
      <c r="S310" s="3">
        <v>0</v>
      </c>
      <c r="T310" s="3">
        <v>29</v>
      </c>
      <c r="U310" s="3">
        <v>73</v>
      </c>
      <c r="V310" s="70">
        <f>IF(ISERROR(VLOOKUP($S$310,'TAR FIN'!$A$1:$O$99,15,0)),0,VLOOKUP($S$310,'TAR FIN'!$A$1:$O$99,15,0))</f>
        <v>0</v>
      </c>
      <c r="W310" s="70">
        <f>IF(ISERROR(VLOOKUP($T$310,'TAR FIN'!$A$1:$O$99,15,0)),0,VLOOKUP($T$310,'TAR FIN'!$A$1:$O$99,15,0))*(1-0.04)</f>
        <v>93.70559999999999</v>
      </c>
      <c r="X310" s="70">
        <f>IF(ISERROR(VLOOKUP($U$310,'TAR FIN'!$A$1:$O$99,15,0)),0,VLOOKUP($U$310,'TAR FIN'!$A$1:$O$99,15,0))*(1-0.04)</f>
        <v>211.1712</v>
      </c>
      <c r="Y310" s="70"/>
      <c r="Z310" s="70">
        <f ca="1">('TUSD BE'!$AM$23+'TUSD BF'!$AM$23+'TUSD CVA'!$AM$23)*1*(1-0.02)</f>
        <v>115.23932238737589</v>
      </c>
      <c r="AA310" s="70">
        <f>('TE BE'!$AA$8+'TE BF'!$AA$8+'TE CVA'!$AA$8)*1*(1-0.02)</f>
        <v>265.71632769942346</v>
      </c>
      <c r="AB310" s="70">
        <f>(SUBSIDIO!$J$310*SUBSIDIO!$V$310)*(0.04)/(1-0.04)</f>
        <v>0</v>
      </c>
      <c r="AC310" s="70">
        <f>((SUBSIDIO!$L$310*SUBSIDIO!$W$310)+(SUBSIDIO!$N$310*SUBSIDIO!$X$310))*(0.04)/(1-0.04)</f>
        <v>2911.0526088000001</v>
      </c>
      <c r="AD310" s="70">
        <f>(SUBSIDIO!$J$310*SUBSIDIO!$Y$310)*(0.02)/(1-0.02)</f>
        <v>0</v>
      </c>
      <c r="AE310" s="70">
        <f ca="1">((SUBSIDIO!$L$310*SUBSIDIO!$Z$310)+(SUBSIDIO!$N$310*SUBSIDIO!$AA$310))*(0.02)/(1-0.02)</f>
        <v>1781.6207309845074</v>
      </c>
      <c r="AF310" s="3" t="s">
        <v>951</v>
      </c>
    </row>
    <row r="311" spans="1:32" ht="11.25" customHeight="1" x14ac:dyDescent="0.25">
      <c r="A311" s="3" t="s">
        <v>27</v>
      </c>
      <c r="B311" s="3" t="s">
        <v>33</v>
      </c>
      <c r="C311" s="3" t="s">
        <v>34</v>
      </c>
      <c r="D311" s="3" t="s">
        <v>45</v>
      </c>
      <c r="E311" s="3" t="s">
        <v>53</v>
      </c>
      <c r="F311" s="3" t="s">
        <v>25</v>
      </c>
      <c r="G311" s="3" t="s">
        <v>25</v>
      </c>
      <c r="H311" s="3" t="s">
        <v>36</v>
      </c>
      <c r="I311" s="6">
        <v>44378</v>
      </c>
      <c r="J311" s="4">
        <v>0</v>
      </c>
      <c r="K311" s="70">
        <v>0</v>
      </c>
      <c r="L311" s="4">
        <v>-11.388</v>
      </c>
      <c r="M311" s="70">
        <v>-11.388</v>
      </c>
      <c r="N311" s="4">
        <v>-11.388</v>
      </c>
      <c r="O311" s="70">
        <v>-11.388</v>
      </c>
      <c r="P311" s="4">
        <v>0</v>
      </c>
      <c r="Q311" s="3" t="s">
        <v>26</v>
      </c>
      <c r="R311" s="3">
        <v>0</v>
      </c>
      <c r="S311" s="3">
        <v>0</v>
      </c>
      <c r="T311" s="3">
        <v>29</v>
      </c>
      <c r="U311" s="3">
        <v>73</v>
      </c>
      <c r="V311" s="70">
        <f>IF(ISERROR(VLOOKUP($S$311,'TAR FIN'!$A$1:$O$99,15,0)),0,VLOOKUP($S$311,'TAR FIN'!$A$1:$O$99,15,0))</f>
        <v>0</v>
      </c>
      <c r="W311" s="70">
        <f>IF(ISERROR(VLOOKUP($T$311,'TAR FIN'!$A$1:$O$99,15,0)),0,VLOOKUP($T$311,'TAR FIN'!$A$1:$O$99,15,0))*(1-0.04)</f>
        <v>93.70559999999999</v>
      </c>
      <c r="X311" s="70">
        <f>IF(ISERROR(VLOOKUP($U$311,'TAR FIN'!$A$1:$O$99,15,0)),0,VLOOKUP($U$311,'TAR FIN'!$A$1:$O$99,15,0))*(1-0.04)</f>
        <v>211.1712</v>
      </c>
      <c r="Y311" s="70"/>
      <c r="Z311" s="70">
        <f ca="1">('TUSD BE'!$AM$23+'TUSD BF'!$AM$23+'TUSD CVA'!$AM$23)*1*(1-0.02)</f>
        <v>115.23932238737589</v>
      </c>
      <c r="AA311" s="70">
        <f>('TE BE'!$AA$8+'TE BF'!$AA$8+'TE CVA'!$AA$8)*1*(1-0.02)</f>
        <v>265.71632769942346</v>
      </c>
      <c r="AB311" s="70">
        <f>(SUBSIDIO!$J$311*SUBSIDIO!$V$311)*(0.04)/(1-0.04)</f>
        <v>0</v>
      </c>
      <c r="AC311" s="70">
        <f>((SUBSIDIO!$L$311*SUBSIDIO!$W$311)+(SUBSIDIO!$N$311*SUBSIDIO!$X$311))*(0.04)/(1-0.04)</f>
        <v>-144.66404160000002</v>
      </c>
      <c r="AD311" s="70">
        <f>(SUBSIDIO!$J$311*SUBSIDIO!$Y$311)*(0.02)/(1-0.02)</f>
        <v>0</v>
      </c>
      <c r="AE311" s="70">
        <f ca="1">((SUBSIDIO!$L$311*SUBSIDIO!$Z$311)+(SUBSIDIO!$N$311*SUBSIDIO!$AA$311))*(0.02)/(1-0.02)</f>
        <v>-88.537202922213709</v>
      </c>
      <c r="AF311" s="3" t="s">
        <v>951</v>
      </c>
    </row>
    <row r="312" spans="1:32" ht="11.25" customHeight="1" x14ac:dyDescent="0.25">
      <c r="A312" s="3" t="s">
        <v>21</v>
      </c>
      <c r="B312" s="3" t="s">
        <v>33</v>
      </c>
      <c r="C312" s="3" t="s">
        <v>34</v>
      </c>
      <c r="D312" s="3" t="s">
        <v>45</v>
      </c>
      <c r="E312" s="3" t="s">
        <v>53</v>
      </c>
      <c r="F312" s="3" t="s">
        <v>25</v>
      </c>
      <c r="G312" s="3" t="s">
        <v>25</v>
      </c>
      <c r="H312" s="3" t="s">
        <v>36</v>
      </c>
      <c r="I312" s="6">
        <v>44409</v>
      </c>
      <c r="J312" s="4">
        <v>0</v>
      </c>
      <c r="K312" s="70">
        <v>0</v>
      </c>
      <c r="L312" s="4">
        <v>359.40800000000002</v>
      </c>
      <c r="M312" s="70">
        <v>359.40800000000002</v>
      </c>
      <c r="N312" s="4">
        <v>359.40800000000002</v>
      </c>
      <c r="O312" s="70">
        <v>359.40800000000002</v>
      </c>
      <c r="P312" s="4">
        <v>0</v>
      </c>
      <c r="Q312" s="3" t="s">
        <v>26</v>
      </c>
      <c r="R312" s="3">
        <v>0</v>
      </c>
      <c r="S312" s="3">
        <v>0</v>
      </c>
      <c r="T312" s="3">
        <v>29</v>
      </c>
      <c r="U312" s="3">
        <v>73</v>
      </c>
      <c r="V312" s="70">
        <f>IF(ISERROR(VLOOKUP($S$312,'TAR FIN'!$A$1:$O$99,15,0)),0,VLOOKUP($S$312,'TAR FIN'!$A$1:$O$99,15,0))</f>
        <v>0</v>
      </c>
      <c r="W312" s="70">
        <f>IF(ISERROR(VLOOKUP($T$312,'TAR FIN'!$A$1:$O$99,15,0)),0,VLOOKUP($T$312,'TAR FIN'!$A$1:$O$99,15,0))*(1-0.04)</f>
        <v>93.70559999999999</v>
      </c>
      <c r="X312" s="70">
        <f>IF(ISERROR(VLOOKUP($U$312,'TAR FIN'!$A$1:$O$99,15,0)),0,VLOOKUP($U$312,'TAR FIN'!$A$1:$O$99,15,0))*(1-0.04)</f>
        <v>211.1712</v>
      </c>
      <c r="Y312" s="70"/>
      <c r="Z312" s="70">
        <f ca="1">('TUSD BE'!$AM$23+'TUSD BF'!$AM$23+'TUSD CVA'!$AM$23)*1*(1-0.02)</f>
        <v>115.23932238737589</v>
      </c>
      <c r="AA312" s="70">
        <f>('TE BE'!$AA$8+'TE BF'!$AA$8+'TE CVA'!$AA$8)*1*(1-0.02)</f>
        <v>265.71632769942346</v>
      </c>
      <c r="AB312" s="70">
        <f>(SUBSIDIO!$J$312*SUBSIDIO!$V$312)*(0.04)/(1-0.04)</f>
        <v>0</v>
      </c>
      <c r="AC312" s="70">
        <f>((SUBSIDIO!$L$312*SUBSIDIO!$W$312)+(SUBSIDIO!$N$312*SUBSIDIO!$X$312))*(0.04)/(1-0.04)</f>
        <v>4565.6317055999998</v>
      </c>
      <c r="AD312" s="70">
        <f>(SUBSIDIO!$J$312*SUBSIDIO!$Y$312)*(0.02)/(1-0.02)</f>
        <v>0</v>
      </c>
      <c r="AE312" s="70">
        <f ca="1">((SUBSIDIO!$L$312*SUBSIDIO!$Z$312)+(SUBSIDIO!$N$312*SUBSIDIO!$AA$312))*(0.02)/(1-0.02)</f>
        <v>2794.255271150947</v>
      </c>
      <c r="AF312" s="3" t="s">
        <v>951</v>
      </c>
    </row>
    <row r="313" spans="1:32" ht="11.25" customHeight="1" x14ac:dyDescent="0.25">
      <c r="A313" s="3" t="s">
        <v>27</v>
      </c>
      <c r="B313" s="3" t="s">
        <v>33</v>
      </c>
      <c r="C313" s="3" t="s">
        <v>34</v>
      </c>
      <c r="D313" s="3" t="s">
        <v>45</v>
      </c>
      <c r="E313" s="3" t="s">
        <v>53</v>
      </c>
      <c r="F313" s="3" t="s">
        <v>25</v>
      </c>
      <c r="G313" s="3" t="s">
        <v>25</v>
      </c>
      <c r="H313" s="3" t="s">
        <v>36</v>
      </c>
      <c r="I313" s="6">
        <v>44409</v>
      </c>
      <c r="J313" s="4">
        <v>0</v>
      </c>
      <c r="K313" s="70">
        <v>0</v>
      </c>
      <c r="L313" s="4">
        <v>-36.177</v>
      </c>
      <c r="M313" s="70">
        <v>-36.177</v>
      </c>
      <c r="N313" s="4">
        <v>-36.177</v>
      </c>
      <c r="O313" s="70">
        <v>-36.177</v>
      </c>
      <c r="P313" s="4">
        <v>0</v>
      </c>
      <c r="Q313" s="3" t="s">
        <v>26</v>
      </c>
      <c r="R313" s="3">
        <v>0</v>
      </c>
      <c r="S313" s="3">
        <v>0</v>
      </c>
      <c r="T313" s="3">
        <v>29</v>
      </c>
      <c r="U313" s="3">
        <v>73</v>
      </c>
      <c r="V313" s="70">
        <f>IF(ISERROR(VLOOKUP($S$313,'TAR FIN'!$A$1:$O$99,15,0)),0,VLOOKUP($S$313,'TAR FIN'!$A$1:$O$99,15,0))</f>
        <v>0</v>
      </c>
      <c r="W313" s="70">
        <f>IF(ISERROR(VLOOKUP($T$313,'TAR FIN'!$A$1:$O$99,15,0)),0,VLOOKUP($T$313,'TAR FIN'!$A$1:$O$99,15,0))*(1-0.04)</f>
        <v>93.70559999999999</v>
      </c>
      <c r="X313" s="70">
        <f>IF(ISERROR(VLOOKUP($U$313,'TAR FIN'!$A$1:$O$99,15,0)),0,VLOOKUP($U$313,'TAR FIN'!$A$1:$O$99,15,0))*(1-0.04)</f>
        <v>211.1712</v>
      </c>
      <c r="Y313" s="70"/>
      <c r="Z313" s="70">
        <f ca="1">('TUSD BE'!$AM$23+'TUSD BF'!$AM$23+'TUSD CVA'!$AM$23)*1*(1-0.02)</f>
        <v>115.23932238737589</v>
      </c>
      <c r="AA313" s="70">
        <f>('TE BE'!$AA$8+'TE BF'!$AA$8+'TE CVA'!$AA$8)*1*(1-0.02)</f>
        <v>265.71632769942346</v>
      </c>
      <c r="AB313" s="70">
        <f>(SUBSIDIO!$J$313*SUBSIDIO!$V$313)*(0.04)/(1-0.04)</f>
        <v>0</v>
      </c>
      <c r="AC313" s="70">
        <f>((SUBSIDIO!$L$313*SUBSIDIO!$W$313)+(SUBSIDIO!$N$313*SUBSIDIO!$X$313))*(0.04)/(1-0.04)</f>
        <v>-459.5636664000001</v>
      </c>
      <c r="AD313" s="70">
        <f>(SUBSIDIO!$J$313*SUBSIDIO!$Y$313)*(0.02)/(1-0.02)</f>
        <v>0</v>
      </c>
      <c r="AE313" s="70">
        <f ca="1">((SUBSIDIO!$L$313*SUBSIDIO!$Z$313)+(SUBSIDIO!$N$313*SUBSIDIO!$AA$313))*(0.02)/(1-0.02)</f>
        <v>-281.26188884061509</v>
      </c>
      <c r="AF313" s="3" t="s">
        <v>951</v>
      </c>
    </row>
    <row r="314" spans="1:32" ht="11.25" customHeight="1" x14ac:dyDescent="0.25">
      <c r="A314" s="3" t="s">
        <v>21</v>
      </c>
      <c r="B314" s="3" t="s">
        <v>33</v>
      </c>
      <c r="C314" s="3" t="s">
        <v>34</v>
      </c>
      <c r="D314" s="3" t="s">
        <v>45</v>
      </c>
      <c r="E314" s="3" t="s">
        <v>53</v>
      </c>
      <c r="F314" s="3" t="s">
        <v>25</v>
      </c>
      <c r="G314" s="3" t="s">
        <v>25</v>
      </c>
      <c r="H314" s="3" t="s">
        <v>36</v>
      </c>
      <c r="I314" s="6">
        <v>44440</v>
      </c>
      <c r="J314" s="4">
        <v>0</v>
      </c>
      <c r="K314" s="70">
        <v>0</v>
      </c>
      <c r="L314" s="4">
        <v>794.12800000000004</v>
      </c>
      <c r="M314" s="70">
        <v>794.12800000000004</v>
      </c>
      <c r="N314" s="4">
        <v>794.12800000000004</v>
      </c>
      <c r="O314" s="70">
        <v>794.12800000000004</v>
      </c>
      <c r="P314" s="4">
        <v>0</v>
      </c>
      <c r="Q314" s="3" t="s">
        <v>26</v>
      </c>
      <c r="R314" s="3">
        <v>0</v>
      </c>
      <c r="S314" s="3">
        <v>0</v>
      </c>
      <c r="T314" s="3">
        <v>29</v>
      </c>
      <c r="U314" s="3">
        <v>73</v>
      </c>
      <c r="V314" s="70">
        <f>IF(ISERROR(VLOOKUP($S$314,'TAR FIN'!$A$1:$O$99,15,0)),0,VLOOKUP($S$314,'TAR FIN'!$A$1:$O$99,15,0))</f>
        <v>0</v>
      </c>
      <c r="W314" s="70">
        <f>IF(ISERROR(VLOOKUP($T$314,'TAR FIN'!$A$1:$O$99,15,0)),0,VLOOKUP($T$314,'TAR FIN'!$A$1:$O$99,15,0))*(1-0.04)</f>
        <v>93.70559999999999</v>
      </c>
      <c r="X314" s="70">
        <f>IF(ISERROR(VLOOKUP($U$314,'TAR FIN'!$A$1:$O$99,15,0)),0,VLOOKUP($U$314,'TAR FIN'!$A$1:$O$99,15,0))*(1-0.04)</f>
        <v>211.1712</v>
      </c>
      <c r="Y314" s="70"/>
      <c r="Z314" s="70">
        <f ca="1">('TUSD BE'!$AM$23+'TUSD BF'!$AM$23+'TUSD CVA'!$AM$23)*1*(1-0.02)</f>
        <v>115.23932238737589</v>
      </c>
      <c r="AA314" s="70">
        <f>('TE BE'!$AA$8+'TE BF'!$AA$8+'TE CVA'!$AA$8)*1*(1-0.02)</f>
        <v>265.71632769942346</v>
      </c>
      <c r="AB314" s="70">
        <f>(SUBSIDIO!$J$314*SUBSIDIO!$V$314)*(0.04)/(1-0.04)</f>
        <v>0</v>
      </c>
      <c r="AC314" s="70">
        <f>((SUBSIDIO!$L$314*SUBSIDIO!$W$314)+(SUBSIDIO!$N$314*SUBSIDIO!$X$314))*(0.04)/(1-0.04)</f>
        <v>10087.9668096</v>
      </c>
      <c r="AD314" s="70">
        <f>(SUBSIDIO!$J$314*SUBSIDIO!$Y$314)*(0.02)/(1-0.02)</f>
        <v>0</v>
      </c>
      <c r="AE314" s="70">
        <f ca="1">((SUBSIDIO!$L$314*SUBSIDIO!$Z$314)+(SUBSIDIO!$N$314*SUBSIDIO!$AA$314))*(0.02)/(1-0.02)</f>
        <v>6174.0316018802005</v>
      </c>
      <c r="AF314" s="3" t="s">
        <v>951</v>
      </c>
    </row>
    <row r="315" spans="1:32" ht="11.25" customHeight="1" x14ac:dyDescent="0.25">
      <c r="A315" s="3" t="s">
        <v>21</v>
      </c>
      <c r="B315" s="3" t="s">
        <v>33</v>
      </c>
      <c r="C315" s="3" t="s">
        <v>34</v>
      </c>
      <c r="D315" s="3" t="s">
        <v>45</v>
      </c>
      <c r="E315" s="3" t="s">
        <v>53</v>
      </c>
      <c r="F315" s="3" t="s">
        <v>25</v>
      </c>
      <c r="G315" s="3" t="s">
        <v>25</v>
      </c>
      <c r="H315" s="3" t="s">
        <v>36</v>
      </c>
      <c r="I315" s="6">
        <v>44470</v>
      </c>
      <c r="J315" s="4">
        <v>0</v>
      </c>
      <c r="K315" s="70">
        <v>0</v>
      </c>
      <c r="L315" s="4">
        <v>2048.826</v>
      </c>
      <c r="M315" s="70">
        <v>2048.826</v>
      </c>
      <c r="N315" s="4">
        <v>2048.826</v>
      </c>
      <c r="O315" s="70">
        <v>2048.826</v>
      </c>
      <c r="P315" s="4">
        <v>0</v>
      </c>
      <c r="Q315" s="3" t="s">
        <v>26</v>
      </c>
      <c r="R315" s="3">
        <v>0</v>
      </c>
      <c r="S315" s="3">
        <v>0</v>
      </c>
      <c r="T315" s="3">
        <v>29</v>
      </c>
      <c r="U315" s="3">
        <v>73</v>
      </c>
      <c r="V315" s="70">
        <f>IF(ISERROR(VLOOKUP($S$315,'TAR FIN'!$A$1:$O$99,15,0)),0,VLOOKUP($S$315,'TAR FIN'!$A$1:$O$99,15,0))</f>
        <v>0</v>
      </c>
      <c r="W315" s="70">
        <f>IF(ISERROR(VLOOKUP($T$315,'TAR FIN'!$A$1:$O$99,15,0)),0,VLOOKUP($T$315,'TAR FIN'!$A$1:$O$99,15,0))*(1-0.04)</f>
        <v>93.70559999999999</v>
      </c>
      <c r="X315" s="70">
        <f>IF(ISERROR(VLOOKUP($U$315,'TAR FIN'!$A$1:$O$99,15,0)),0,VLOOKUP($U$315,'TAR FIN'!$A$1:$O$99,15,0))*(1-0.04)</f>
        <v>211.1712</v>
      </c>
      <c r="Y315" s="70"/>
      <c r="Z315" s="70">
        <f ca="1">('TUSD BE'!$AM$23+'TUSD BF'!$AM$23+'TUSD CVA'!$AM$23)*1*(1-0.02)</f>
        <v>115.23932238737589</v>
      </c>
      <c r="AA315" s="70">
        <f>('TE BE'!$AA$8+'TE BF'!$AA$8+'TE CVA'!$AA$8)*1*(1-0.02)</f>
        <v>265.71632769942346</v>
      </c>
      <c r="AB315" s="70">
        <f>(SUBSIDIO!$J$315*SUBSIDIO!$V$315)*(0.04)/(1-0.04)</f>
        <v>0</v>
      </c>
      <c r="AC315" s="70">
        <f>((SUBSIDIO!$L$315*SUBSIDIO!$W$315)+(SUBSIDIO!$N$315*SUBSIDIO!$X$315))*(0.04)/(1-0.04)</f>
        <v>26026.646443199999</v>
      </c>
      <c r="AD315" s="70">
        <f>(SUBSIDIO!$J$315*SUBSIDIO!$Y$315)*(0.02)/(1-0.02)</f>
        <v>0</v>
      </c>
      <c r="AE315" s="70">
        <f ca="1">((SUBSIDIO!$L$315*SUBSIDIO!$Z$315)+(SUBSIDIO!$N$315*SUBSIDIO!$AA$315))*(0.02)/(1-0.02)</f>
        <v>15928.813076423201</v>
      </c>
      <c r="AF315" s="3" t="s">
        <v>951</v>
      </c>
    </row>
    <row r="316" spans="1:32" ht="11.25" customHeight="1" x14ac:dyDescent="0.25">
      <c r="A316" s="3" t="s">
        <v>21</v>
      </c>
      <c r="B316" s="3" t="s">
        <v>33</v>
      </c>
      <c r="C316" s="3" t="s">
        <v>34</v>
      </c>
      <c r="D316" s="3" t="s">
        <v>45</v>
      </c>
      <c r="E316" s="3" t="s">
        <v>53</v>
      </c>
      <c r="F316" s="3" t="s">
        <v>25</v>
      </c>
      <c r="G316" s="3" t="s">
        <v>25</v>
      </c>
      <c r="H316" s="3" t="s">
        <v>36</v>
      </c>
      <c r="I316" s="6">
        <v>44501</v>
      </c>
      <c r="J316" s="4">
        <v>0</v>
      </c>
      <c r="K316" s="70">
        <v>0</v>
      </c>
      <c r="L316" s="4">
        <v>3389.585</v>
      </c>
      <c r="M316" s="70">
        <v>3389.585</v>
      </c>
      <c r="N316" s="4">
        <v>3389.585</v>
      </c>
      <c r="O316" s="70">
        <v>3389.585</v>
      </c>
      <c r="P316" s="4">
        <v>0</v>
      </c>
      <c r="Q316" s="3" t="s">
        <v>26</v>
      </c>
      <c r="R316" s="3">
        <v>0</v>
      </c>
      <c r="S316" s="3">
        <v>0</v>
      </c>
      <c r="T316" s="3">
        <v>29</v>
      </c>
      <c r="U316" s="3">
        <v>73</v>
      </c>
      <c r="V316" s="70">
        <f>IF(ISERROR(VLOOKUP($S$316,'TAR FIN'!$A$1:$O$99,15,0)),0,VLOOKUP($S$316,'TAR FIN'!$A$1:$O$99,15,0))</f>
        <v>0</v>
      </c>
      <c r="W316" s="70">
        <f>IF(ISERROR(VLOOKUP($T$316,'TAR FIN'!$A$1:$O$99,15,0)),0,VLOOKUP($T$316,'TAR FIN'!$A$1:$O$99,15,0))*(1-0.04)</f>
        <v>93.70559999999999</v>
      </c>
      <c r="X316" s="70">
        <f>IF(ISERROR(VLOOKUP($U$316,'TAR FIN'!$A$1:$O$99,15,0)),0,VLOOKUP($U$316,'TAR FIN'!$A$1:$O$99,15,0))*(1-0.04)</f>
        <v>211.1712</v>
      </c>
      <c r="Y316" s="70"/>
      <c r="Z316" s="70">
        <f ca="1">('TUSD BE'!$AM$23+'TUSD BF'!$AM$23+'TUSD CVA'!$AM$23)*1*(1-0.02)</f>
        <v>115.23932238737589</v>
      </c>
      <c r="AA316" s="70">
        <f>('TE BE'!$AA$8+'TE BF'!$AA$8+'TE CVA'!$AA$8)*1*(1-0.02)</f>
        <v>265.71632769942346</v>
      </c>
      <c r="AB316" s="70">
        <f>(SUBSIDIO!$J$316*SUBSIDIO!$V$316)*(0.04)/(1-0.04)</f>
        <v>0</v>
      </c>
      <c r="AC316" s="70">
        <f>((SUBSIDIO!$L$316*SUBSIDIO!$W$316)+(SUBSIDIO!$N$316*SUBSIDIO!$X$316))*(0.04)/(1-0.04)</f>
        <v>43058.576172000001</v>
      </c>
      <c r="AD316" s="70">
        <f>(SUBSIDIO!$J$316*SUBSIDIO!$Y$316)*(0.02)/(1-0.02)</f>
        <v>0</v>
      </c>
      <c r="AE316" s="70">
        <f ca="1">((SUBSIDIO!$L$316*SUBSIDIO!$Z$316)+(SUBSIDIO!$N$316*SUBSIDIO!$AA$316))*(0.02)/(1-0.02)</f>
        <v>26352.684840805381</v>
      </c>
      <c r="AF316" s="3" t="s">
        <v>951</v>
      </c>
    </row>
    <row r="317" spans="1:32" ht="11.25" customHeight="1" x14ac:dyDescent="0.25">
      <c r="A317" s="3" t="s">
        <v>21</v>
      </c>
      <c r="B317" s="3" t="s">
        <v>33</v>
      </c>
      <c r="C317" s="3" t="s">
        <v>34</v>
      </c>
      <c r="D317" s="3" t="s">
        <v>45</v>
      </c>
      <c r="E317" s="3" t="s">
        <v>53</v>
      </c>
      <c r="F317" s="3" t="s">
        <v>25</v>
      </c>
      <c r="G317" s="3" t="s">
        <v>25</v>
      </c>
      <c r="H317" s="3" t="s">
        <v>36</v>
      </c>
      <c r="I317" s="6">
        <v>44531</v>
      </c>
      <c r="J317" s="4">
        <v>0</v>
      </c>
      <c r="K317" s="70">
        <v>0</v>
      </c>
      <c r="L317" s="4">
        <v>2984.8510000000001</v>
      </c>
      <c r="M317" s="70">
        <v>2984.8510000000001</v>
      </c>
      <c r="N317" s="4">
        <v>2984.8510000000001</v>
      </c>
      <c r="O317" s="70">
        <v>2984.8510000000001</v>
      </c>
      <c r="P317" s="4">
        <v>0</v>
      </c>
      <c r="Q317" s="3" t="s">
        <v>26</v>
      </c>
      <c r="R317" s="3">
        <v>0</v>
      </c>
      <c r="S317" s="3">
        <v>0</v>
      </c>
      <c r="T317" s="3">
        <v>29</v>
      </c>
      <c r="U317" s="3">
        <v>73</v>
      </c>
      <c r="V317" s="70">
        <f>IF(ISERROR(VLOOKUP($S$317,'TAR FIN'!$A$1:$O$99,15,0)),0,VLOOKUP($S$317,'TAR FIN'!$A$1:$O$99,15,0))</f>
        <v>0</v>
      </c>
      <c r="W317" s="70">
        <f>IF(ISERROR(VLOOKUP($T$317,'TAR FIN'!$A$1:$O$99,15,0)),0,VLOOKUP($T$317,'TAR FIN'!$A$1:$O$99,15,0))*(1-0.04)</f>
        <v>93.70559999999999</v>
      </c>
      <c r="X317" s="70">
        <f>IF(ISERROR(VLOOKUP($U$317,'TAR FIN'!$A$1:$O$99,15,0)),0,VLOOKUP($U$317,'TAR FIN'!$A$1:$O$99,15,0))*(1-0.04)</f>
        <v>211.1712</v>
      </c>
      <c r="Y317" s="70"/>
      <c r="Z317" s="70">
        <f ca="1">('TUSD BE'!$AM$23+'TUSD BF'!$AM$23+'TUSD CVA'!$AM$23)*1*(1-0.02)</f>
        <v>115.23932238737589</v>
      </c>
      <c r="AA317" s="70">
        <f>('TE BE'!$AA$8+'TE BF'!$AA$8+'TE CVA'!$AA$8)*1*(1-0.02)</f>
        <v>265.71632769942346</v>
      </c>
      <c r="AB317" s="70">
        <f>(SUBSIDIO!$J$317*SUBSIDIO!$V$317)*(0.04)/(1-0.04)</f>
        <v>0</v>
      </c>
      <c r="AC317" s="70">
        <f>((SUBSIDIO!$L$317*SUBSIDIO!$W$317)+(SUBSIDIO!$N$317*SUBSIDIO!$X$317))*(0.04)/(1-0.04)</f>
        <v>37917.159223200004</v>
      </c>
      <c r="AD317" s="70">
        <f>(SUBSIDIO!$J$317*SUBSIDIO!$Y$317)*(0.02)/(1-0.02)</f>
        <v>0</v>
      </c>
      <c r="AE317" s="70">
        <f ca="1">((SUBSIDIO!$L$317*SUBSIDIO!$Z$317)+(SUBSIDIO!$N$317*SUBSIDIO!$AA$317))*(0.02)/(1-0.02)</f>
        <v>23206.037818719044</v>
      </c>
      <c r="AF317" s="3" t="s">
        <v>951</v>
      </c>
    </row>
    <row r="318" spans="1:32" ht="11.25" customHeight="1" x14ac:dyDescent="0.25">
      <c r="A318" s="3" t="s">
        <v>21</v>
      </c>
      <c r="B318" s="3" t="s">
        <v>33</v>
      </c>
      <c r="C318" s="3" t="s">
        <v>34</v>
      </c>
      <c r="D318" s="3" t="s">
        <v>45</v>
      </c>
      <c r="E318" s="3" t="s">
        <v>53</v>
      </c>
      <c r="F318" s="3" t="s">
        <v>25</v>
      </c>
      <c r="G318" s="3" t="s">
        <v>25</v>
      </c>
      <c r="H318" s="3" t="s">
        <v>36</v>
      </c>
      <c r="I318" s="6">
        <v>44562</v>
      </c>
      <c r="J318" s="4">
        <v>0</v>
      </c>
      <c r="K318" s="70">
        <v>0</v>
      </c>
      <c r="L318" s="4">
        <v>2603.8910000000001</v>
      </c>
      <c r="M318" s="70">
        <v>2603.8910000000001</v>
      </c>
      <c r="N318" s="4">
        <v>2603.8910000000001</v>
      </c>
      <c r="O318" s="70">
        <v>2603.8910000000001</v>
      </c>
      <c r="P318" s="4">
        <v>0</v>
      </c>
      <c r="Q318" s="3" t="s">
        <v>26</v>
      </c>
      <c r="R318" s="3">
        <v>0</v>
      </c>
      <c r="S318" s="3">
        <v>0</v>
      </c>
      <c r="T318" s="3">
        <v>29</v>
      </c>
      <c r="U318" s="3">
        <v>73</v>
      </c>
      <c r="V318" s="70">
        <f>IF(ISERROR(VLOOKUP($S$318,'TAR FIN'!$A$1:$O$99,15,0)),0,VLOOKUP($S$318,'TAR FIN'!$A$1:$O$99,15,0))</f>
        <v>0</v>
      </c>
      <c r="W318" s="70">
        <f>IF(ISERROR(VLOOKUP($T$318,'TAR FIN'!$A$1:$O$99,15,0)),0,VLOOKUP($T$318,'TAR FIN'!$A$1:$O$99,15,0))*(1-0.04)</f>
        <v>93.70559999999999</v>
      </c>
      <c r="X318" s="70">
        <f>IF(ISERROR(VLOOKUP($U$318,'TAR FIN'!$A$1:$O$99,15,0)),0,VLOOKUP($U$318,'TAR FIN'!$A$1:$O$99,15,0))*(1-0.04)</f>
        <v>211.1712</v>
      </c>
      <c r="Y318" s="70"/>
      <c r="Z318" s="70">
        <f ca="1">('TUSD BE'!$AM$23+'TUSD BF'!$AM$23+'TUSD CVA'!$AM$23)*1*(1-0.02)</f>
        <v>115.23932238737589</v>
      </c>
      <c r="AA318" s="70">
        <f>('TE BE'!$AA$8+'TE BF'!$AA$8+'TE CVA'!$AA$8)*1*(1-0.02)</f>
        <v>265.71632769942346</v>
      </c>
      <c r="AB318" s="70">
        <f>(SUBSIDIO!$J$318*SUBSIDIO!$V$318)*(0.04)/(1-0.04)</f>
        <v>0</v>
      </c>
      <c r="AC318" s="70">
        <f>((SUBSIDIO!$L$318*SUBSIDIO!$W$318)+(SUBSIDIO!$N$318*SUBSIDIO!$X$318))*(0.04)/(1-0.04)</f>
        <v>33077.748151200001</v>
      </c>
      <c r="AD318" s="70">
        <f>(SUBSIDIO!$J$318*SUBSIDIO!$Y$318)*(0.02)/(1-0.02)</f>
        <v>0</v>
      </c>
      <c r="AE318" s="70">
        <f ca="1">((SUBSIDIO!$L$318*SUBSIDIO!$Z$318)+(SUBSIDIO!$N$318*SUBSIDIO!$AA$318))*(0.02)/(1-0.02)</f>
        <v>20244.224258370738</v>
      </c>
      <c r="AF318" s="3" t="s">
        <v>951</v>
      </c>
    </row>
    <row r="319" spans="1:32" ht="11.25" customHeight="1" x14ac:dyDescent="0.25">
      <c r="A319" s="3" t="s">
        <v>27</v>
      </c>
      <c r="B319" s="3" t="s">
        <v>33</v>
      </c>
      <c r="C319" s="3" t="s">
        <v>34</v>
      </c>
      <c r="D319" s="3" t="s">
        <v>45</v>
      </c>
      <c r="E319" s="3" t="s">
        <v>53</v>
      </c>
      <c r="F319" s="3" t="s">
        <v>25</v>
      </c>
      <c r="G319" s="3" t="s">
        <v>25</v>
      </c>
      <c r="H319" s="3" t="s">
        <v>36</v>
      </c>
      <c r="I319" s="6">
        <v>44562</v>
      </c>
      <c r="J319" s="4">
        <v>0</v>
      </c>
      <c r="K319" s="70">
        <v>0</v>
      </c>
      <c r="L319" s="4">
        <v>-14.539</v>
      </c>
      <c r="M319" s="70">
        <v>-14.539</v>
      </c>
      <c r="N319" s="4">
        <v>-14.539</v>
      </c>
      <c r="O319" s="70">
        <v>-14.539</v>
      </c>
      <c r="P319" s="4">
        <v>0</v>
      </c>
      <c r="Q319" s="3" t="s">
        <v>26</v>
      </c>
      <c r="R319" s="3">
        <v>0</v>
      </c>
      <c r="S319" s="3">
        <v>0</v>
      </c>
      <c r="T319" s="3">
        <v>29</v>
      </c>
      <c r="U319" s="3">
        <v>73</v>
      </c>
      <c r="V319" s="70">
        <f>IF(ISERROR(VLOOKUP($S$319,'TAR FIN'!$A$1:$O$99,15,0)),0,VLOOKUP($S$319,'TAR FIN'!$A$1:$O$99,15,0))</f>
        <v>0</v>
      </c>
      <c r="W319" s="70">
        <f>IF(ISERROR(VLOOKUP($T$319,'TAR FIN'!$A$1:$O$99,15,0)),0,VLOOKUP($T$319,'TAR FIN'!$A$1:$O$99,15,0))*(1-0.04)</f>
        <v>93.70559999999999</v>
      </c>
      <c r="X319" s="70">
        <f>IF(ISERROR(VLOOKUP($U$319,'TAR FIN'!$A$1:$O$99,15,0)),0,VLOOKUP($U$319,'TAR FIN'!$A$1:$O$99,15,0))*(1-0.04)</f>
        <v>211.1712</v>
      </c>
      <c r="Y319" s="70"/>
      <c r="Z319" s="70">
        <f ca="1">('TUSD BE'!$AM$23+'TUSD BF'!$AM$23+'TUSD CVA'!$AM$23)*1*(1-0.02)</f>
        <v>115.23932238737589</v>
      </c>
      <c r="AA319" s="70">
        <f>('TE BE'!$AA$8+'TE BF'!$AA$8+'TE CVA'!$AA$8)*1*(1-0.02)</f>
        <v>265.71632769942346</v>
      </c>
      <c r="AB319" s="70">
        <f>(SUBSIDIO!$J$319*SUBSIDIO!$V$319)*(0.04)/(1-0.04)</f>
        <v>0</v>
      </c>
      <c r="AC319" s="70">
        <f>((SUBSIDIO!$L$319*SUBSIDIO!$W$319)+(SUBSIDIO!$N$319*SUBSIDIO!$X$319))*(0.04)/(1-0.04)</f>
        <v>-184.69182480000001</v>
      </c>
      <c r="AD319" s="70">
        <f>(SUBSIDIO!$J$319*SUBSIDIO!$Y$319)*(0.02)/(1-0.02)</f>
        <v>0</v>
      </c>
      <c r="AE319" s="70">
        <f ca="1">((SUBSIDIO!$L$319*SUBSIDIO!$Z$319)+(SUBSIDIO!$N$319*SUBSIDIO!$AA$319))*(0.02)/(1-0.02)</f>
        <v>-113.03498360432604</v>
      </c>
      <c r="AF319" s="3" t="s">
        <v>951</v>
      </c>
    </row>
    <row r="320" spans="1:32" ht="11.25" customHeight="1" x14ac:dyDescent="0.25">
      <c r="A320" s="3" t="s">
        <v>21</v>
      </c>
      <c r="B320" s="3" t="s">
        <v>33</v>
      </c>
      <c r="C320" s="3" t="s">
        <v>34</v>
      </c>
      <c r="D320" s="3" t="s">
        <v>45</v>
      </c>
      <c r="E320" s="3" t="s">
        <v>53</v>
      </c>
      <c r="F320" s="3" t="s">
        <v>25</v>
      </c>
      <c r="G320" s="3" t="s">
        <v>25</v>
      </c>
      <c r="H320" s="3" t="s">
        <v>36</v>
      </c>
      <c r="I320" s="6">
        <v>44593</v>
      </c>
      <c r="J320" s="4">
        <v>0</v>
      </c>
      <c r="K320" s="70">
        <v>0</v>
      </c>
      <c r="L320" s="4">
        <v>3362.259</v>
      </c>
      <c r="M320" s="70">
        <v>3362.259</v>
      </c>
      <c r="N320" s="4">
        <v>3362.259</v>
      </c>
      <c r="O320" s="70">
        <v>3362.259</v>
      </c>
      <c r="P320" s="4">
        <v>0</v>
      </c>
      <c r="Q320" s="3" t="s">
        <v>26</v>
      </c>
      <c r="R320" s="3">
        <v>0</v>
      </c>
      <c r="S320" s="3">
        <v>0</v>
      </c>
      <c r="T320" s="3">
        <v>29</v>
      </c>
      <c r="U320" s="3">
        <v>73</v>
      </c>
      <c r="V320" s="70">
        <f>IF(ISERROR(VLOOKUP($S$320,'TAR FIN'!$A$1:$O$99,15,0)),0,VLOOKUP($S$320,'TAR FIN'!$A$1:$O$99,15,0))</f>
        <v>0</v>
      </c>
      <c r="W320" s="70">
        <f>IF(ISERROR(VLOOKUP($T$320,'TAR FIN'!$A$1:$O$99,15,0)),0,VLOOKUP($T$320,'TAR FIN'!$A$1:$O$99,15,0))*(1-0.04)</f>
        <v>93.70559999999999</v>
      </c>
      <c r="X320" s="70">
        <f>IF(ISERROR(VLOOKUP($U$320,'TAR FIN'!$A$1:$O$99,15,0)),0,VLOOKUP($U$320,'TAR FIN'!$A$1:$O$99,15,0))*(1-0.04)</f>
        <v>211.1712</v>
      </c>
      <c r="Y320" s="70"/>
      <c r="Z320" s="70">
        <f ca="1">('TUSD BE'!$AM$23+'TUSD BF'!$AM$23+'TUSD CVA'!$AM$23)*1*(1-0.02)</f>
        <v>115.23932238737589</v>
      </c>
      <c r="AA320" s="70">
        <f>('TE BE'!$AA$8+'TE BF'!$AA$8+'TE CVA'!$AA$8)*1*(1-0.02)</f>
        <v>265.71632769942346</v>
      </c>
      <c r="AB320" s="70">
        <f>(SUBSIDIO!$J$320*SUBSIDIO!$V$320)*(0.04)/(1-0.04)</f>
        <v>0</v>
      </c>
      <c r="AC320" s="70">
        <f>((SUBSIDIO!$L$320*SUBSIDIO!$W$320)+(SUBSIDIO!$N$320*SUBSIDIO!$X$320))*(0.04)/(1-0.04)</f>
        <v>42711.4485288</v>
      </c>
      <c r="AD320" s="70">
        <f>(SUBSIDIO!$J$320*SUBSIDIO!$Y$320)*(0.02)/(1-0.02)</f>
        <v>0</v>
      </c>
      <c r="AE320" s="70">
        <f ca="1">((SUBSIDIO!$L$320*SUBSIDIO!$Z$320)+(SUBSIDIO!$N$320*SUBSIDIO!$AA$320))*(0.02)/(1-0.02)</f>
        <v>26140.235981738613</v>
      </c>
      <c r="AF320" s="3" t="s">
        <v>951</v>
      </c>
    </row>
    <row r="321" spans="1:32" ht="11.25" customHeight="1" x14ac:dyDescent="0.25">
      <c r="A321" s="3" t="s">
        <v>21</v>
      </c>
      <c r="B321" s="3" t="s">
        <v>33</v>
      </c>
      <c r="C321" s="3" t="s">
        <v>34</v>
      </c>
      <c r="D321" s="3" t="s">
        <v>45</v>
      </c>
      <c r="E321" s="3" t="s">
        <v>53</v>
      </c>
      <c r="F321" s="3" t="s">
        <v>25</v>
      </c>
      <c r="G321" s="3" t="s">
        <v>25</v>
      </c>
      <c r="H321" s="3" t="s">
        <v>36</v>
      </c>
      <c r="I321" s="6">
        <v>44621</v>
      </c>
      <c r="J321" s="4">
        <v>0</v>
      </c>
      <c r="K321" s="70">
        <v>0</v>
      </c>
      <c r="L321" s="4">
        <v>1077.0920000000001</v>
      </c>
      <c r="M321" s="70">
        <v>1077.0920000000001</v>
      </c>
      <c r="N321" s="4">
        <v>1077.0920000000001</v>
      </c>
      <c r="O321" s="70">
        <v>1077.0920000000001</v>
      </c>
      <c r="P321" s="4">
        <v>0</v>
      </c>
      <c r="Q321" s="3" t="s">
        <v>26</v>
      </c>
      <c r="R321" s="3">
        <v>0</v>
      </c>
      <c r="S321" s="3">
        <v>0</v>
      </c>
      <c r="T321" s="3">
        <v>29</v>
      </c>
      <c r="U321" s="3">
        <v>73</v>
      </c>
      <c r="V321" s="70">
        <f>IF(ISERROR(VLOOKUP($S$321,'TAR FIN'!$A$1:$O$99,15,0)),0,VLOOKUP($S$321,'TAR FIN'!$A$1:$O$99,15,0))</f>
        <v>0</v>
      </c>
      <c r="W321" s="70">
        <f>IF(ISERROR(VLOOKUP($T$321,'TAR FIN'!$A$1:$O$99,15,0)),0,VLOOKUP($T$321,'TAR FIN'!$A$1:$O$99,15,0))*(1-0.04)</f>
        <v>93.70559999999999</v>
      </c>
      <c r="X321" s="70">
        <f>IF(ISERROR(VLOOKUP($U$321,'TAR FIN'!$A$1:$O$99,15,0)),0,VLOOKUP($U$321,'TAR FIN'!$A$1:$O$99,15,0))*(1-0.04)</f>
        <v>211.1712</v>
      </c>
      <c r="Y321" s="70"/>
      <c r="Z321" s="70">
        <f ca="1">('TUSD BE'!$AM$23+'TUSD BF'!$AM$23+'TUSD CVA'!$AM$23)*1*(1-0.02)</f>
        <v>115.23932238737589</v>
      </c>
      <c r="AA321" s="70">
        <f>('TE BE'!$AA$8+'TE BF'!$AA$8+'TE CVA'!$AA$8)*1*(1-0.02)</f>
        <v>265.71632769942346</v>
      </c>
      <c r="AB321" s="70">
        <f>(SUBSIDIO!$J$321*SUBSIDIO!$V$321)*(0.04)/(1-0.04)</f>
        <v>0</v>
      </c>
      <c r="AC321" s="70">
        <f>((SUBSIDIO!$L$321*SUBSIDIO!$W$321)+(SUBSIDIO!$N$321*SUBSIDIO!$X$321))*(0.04)/(1-0.04)</f>
        <v>13682.515094400002</v>
      </c>
      <c r="AD321" s="70">
        <f>(SUBSIDIO!$J$321*SUBSIDIO!$Y$321)*(0.02)/(1-0.02)</f>
        <v>0</v>
      </c>
      <c r="AE321" s="70">
        <f ca="1">((SUBSIDIO!$L$321*SUBSIDIO!$Z$321)+(SUBSIDIO!$N$321*SUBSIDIO!$AA$321))*(0.02)/(1-0.02)</f>
        <v>8373.9649604753231</v>
      </c>
      <c r="AF321" s="3" t="s">
        <v>951</v>
      </c>
    </row>
    <row r="322" spans="1:32" ht="11.25" customHeight="1" x14ac:dyDescent="0.25">
      <c r="A322" s="3" t="s">
        <v>27</v>
      </c>
      <c r="B322" s="3" t="s">
        <v>33</v>
      </c>
      <c r="C322" s="3" t="s">
        <v>34</v>
      </c>
      <c r="D322" s="3" t="s">
        <v>45</v>
      </c>
      <c r="E322" s="3" t="s">
        <v>53</v>
      </c>
      <c r="F322" s="3" t="s">
        <v>25</v>
      </c>
      <c r="G322" s="3" t="s">
        <v>25</v>
      </c>
      <c r="H322" s="3" t="s">
        <v>36</v>
      </c>
      <c r="I322" s="6">
        <v>44621</v>
      </c>
      <c r="J322" s="4">
        <v>0</v>
      </c>
      <c r="K322" s="70">
        <v>0</v>
      </c>
      <c r="L322" s="4">
        <v>4.7569999999999997</v>
      </c>
      <c r="M322" s="70">
        <v>4.7569999999999997</v>
      </c>
      <c r="N322" s="4">
        <v>4.7569999999999997</v>
      </c>
      <c r="O322" s="70">
        <v>4.7569999999999997</v>
      </c>
      <c r="P322" s="4">
        <v>0</v>
      </c>
      <c r="Q322" s="3" t="s">
        <v>26</v>
      </c>
      <c r="R322" s="3">
        <v>0</v>
      </c>
      <c r="S322" s="3">
        <v>0</v>
      </c>
      <c r="T322" s="3">
        <v>29</v>
      </c>
      <c r="U322" s="3">
        <v>73</v>
      </c>
      <c r="V322" s="70">
        <f>IF(ISERROR(VLOOKUP($S$322,'TAR FIN'!$A$1:$O$99,15,0)),0,VLOOKUP($S$322,'TAR FIN'!$A$1:$O$99,15,0))</f>
        <v>0</v>
      </c>
      <c r="W322" s="70">
        <f>IF(ISERROR(VLOOKUP($T$322,'TAR FIN'!$A$1:$O$99,15,0)),0,VLOOKUP($T$322,'TAR FIN'!$A$1:$O$99,15,0))*(1-0.04)</f>
        <v>93.70559999999999</v>
      </c>
      <c r="X322" s="70">
        <f>IF(ISERROR(VLOOKUP($U$322,'TAR FIN'!$A$1:$O$99,15,0)),0,VLOOKUP($U$322,'TAR FIN'!$A$1:$O$99,15,0))*(1-0.04)</f>
        <v>211.1712</v>
      </c>
      <c r="Y322" s="70"/>
      <c r="Z322" s="70">
        <f ca="1">('TUSD BE'!$AM$23+'TUSD BF'!$AM$23+'TUSD CVA'!$AM$23)*1*(1-0.02)</f>
        <v>115.23932238737589</v>
      </c>
      <c r="AA322" s="70">
        <f>('TE BE'!$AA$8+'TE BF'!$AA$8+'TE CVA'!$AA$8)*1*(1-0.02)</f>
        <v>265.71632769942346</v>
      </c>
      <c r="AB322" s="70">
        <f>(SUBSIDIO!$J$322*SUBSIDIO!$V$322)*(0.04)/(1-0.04)</f>
        <v>0</v>
      </c>
      <c r="AC322" s="70">
        <f>((SUBSIDIO!$L$322*SUBSIDIO!$W$322)+(SUBSIDIO!$N$322*SUBSIDIO!$X$322))*(0.04)/(1-0.04)</f>
        <v>60.429122399999997</v>
      </c>
      <c r="AD322" s="70">
        <f>(SUBSIDIO!$J$322*SUBSIDIO!$Y$322)*(0.02)/(1-0.02)</f>
        <v>0</v>
      </c>
      <c r="AE322" s="70">
        <f ca="1">((SUBSIDIO!$L$322*SUBSIDIO!$Z$322)+(SUBSIDIO!$N$322*SUBSIDIO!$AA$322))*(0.02)/(1-0.02)</f>
        <v>36.983796478834783</v>
      </c>
      <c r="AF322" s="3" t="s">
        <v>951</v>
      </c>
    </row>
    <row r="323" spans="1:32" ht="11.25" customHeight="1" x14ac:dyDescent="0.25">
      <c r="A323" s="3" t="s">
        <v>56</v>
      </c>
      <c r="B323" s="3" t="s">
        <v>33</v>
      </c>
      <c r="C323" s="3" t="s">
        <v>34</v>
      </c>
      <c r="D323" s="3" t="s">
        <v>45</v>
      </c>
      <c r="E323" s="3" t="s">
        <v>53</v>
      </c>
      <c r="F323" s="3" t="s">
        <v>25</v>
      </c>
      <c r="G323" s="3" t="s">
        <v>25</v>
      </c>
      <c r="H323" s="3" t="s">
        <v>36</v>
      </c>
      <c r="I323" s="6">
        <v>44652</v>
      </c>
      <c r="J323" s="4">
        <v>0</v>
      </c>
      <c r="K323" s="70">
        <v>0</v>
      </c>
      <c r="L323" s="4">
        <v>1077.0920000000001</v>
      </c>
      <c r="M323" s="70">
        <v>1077.0920000000001</v>
      </c>
      <c r="N323" s="4">
        <v>1077.0920000000001</v>
      </c>
      <c r="O323" s="70">
        <v>1077.0920000000001</v>
      </c>
      <c r="P323" s="4">
        <v>0</v>
      </c>
      <c r="Q323" s="3" t="s">
        <v>26</v>
      </c>
      <c r="R323" s="3">
        <v>0</v>
      </c>
      <c r="S323" s="3">
        <v>0</v>
      </c>
      <c r="T323" s="3">
        <v>29</v>
      </c>
      <c r="U323" s="3">
        <v>73</v>
      </c>
      <c r="V323" s="70">
        <f>IF(ISERROR(VLOOKUP($S$323,'TAR FIN'!$A$1:$O$99,15,0)),0,VLOOKUP($S$323,'TAR FIN'!$A$1:$O$99,15,0))</f>
        <v>0</v>
      </c>
      <c r="W323" s="70">
        <f>IF(ISERROR(VLOOKUP($T$323,'TAR FIN'!$A$1:$O$99,15,0)),0,VLOOKUP($T$323,'TAR FIN'!$A$1:$O$99,15,0))*(1-0.04)</f>
        <v>93.70559999999999</v>
      </c>
      <c r="X323" s="70">
        <f>IF(ISERROR(VLOOKUP($U$323,'TAR FIN'!$A$1:$O$99,15,0)),0,VLOOKUP($U$323,'TAR FIN'!$A$1:$O$99,15,0))*(1-0.04)</f>
        <v>211.1712</v>
      </c>
      <c r="Y323" s="70"/>
      <c r="Z323" s="70">
        <f ca="1">('TUSD BE'!$AM$23+'TUSD BF'!$AM$23+'TUSD CVA'!$AM$23)*1*(1-0.02)</f>
        <v>115.23932238737589</v>
      </c>
      <c r="AA323" s="70">
        <f>('TE BE'!$AA$8+'TE BF'!$AA$8+'TE CVA'!$AA$8)*1*(1-0.02)</f>
        <v>265.71632769942346</v>
      </c>
      <c r="AB323" s="70">
        <f>(SUBSIDIO!$J$323*SUBSIDIO!$V$323)*(0.04)/(1-0.04)</f>
        <v>0</v>
      </c>
      <c r="AC323" s="70">
        <f>((SUBSIDIO!$L$323*SUBSIDIO!$W$323)+(SUBSIDIO!$N$323*SUBSIDIO!$X$323))*(0.04)/(1-0.04)</f>
        <v>13682.515094400002</v>
      </c>
      <c r="AD323" s="70">
        <f>(SUBSIDIO!$J$323*SUBSIDIO!$Y$323)*(0.02)/(1-0.02)</f>
        <v>0</v>
      </c>
      <c r="AE323" s="70">
        <f ca="1">((SUBSIDIO!$L$323*SUBSIDIO!$Z$323)+(SUBSIDIO!$N$323*SUBSIDIO!$AA$323))*(0.02)/(1-0.02)</f>
        <v>8373.9649604753231</v>
      </c>
      <c r="AF323" s="3" t="s">
        <v>951</v>
      </c>
    </row>
    <row r="324" spans="1:32" ht="11.25" customHeight="1" x14ac:dyDescent="0.25">
      <c r="A324" s="3" t="s">
        <v>56</v>
      </c>
      <c r="B324" s="3" t="s">
        <v>33</v>
      </c>
      <c r="C324" s="3" t="s">
        <v>34</v>
      </c>
      <c r="D324" s="3" t="s">
        <v>45</v>
      </c>
      <c r="E324" s="3" t="s">
        <v>53</v>
      </c>
      <c r="F324" s="3" t="s">
        <v>25</v>
      </c>
      <c r="G324" s="3" t="s">
        <v>25</v>
      </c>
      <c r="H324" s="3" t="s">
        <v>36</v>
      </c>
      <c r="I324" s="6">
        <v>44652</v>
      </c>
      <c r="J324" s="4">
        <v>0</v>
      </c>
      <c r="K324" s="70">
        <v>0</v>
      </c>
      <c r="L324" s="4">
        <v>4.7569999999999997</v>
      </c>
      <c r="M324" s="70">
        <v>4.7569999999999997</v>
      </c>
      <c r="N324" s="4">
        <v>4.7569999999999997</v>
      </c>
      <c r="O324" s="70">
        <v>4.7569999999999997</v>
      </c>
      <c r="P324" s="4">
        <v>0</v>
      </c>
      <c r="Q324" s="3" t="s">
        <v>26</v>
      </c>
      <c r="R324" s="3">
        <v>0</v>
      </c>
      <c r="S324" s="3">
        <v>0</v>
      </c>
      <c r="T324" s="3">
        <v>29</v>
      </c>
      <c r="U324" s="3">
        <v>73</v>
      </c>
      <c r="V324" s="70">
        <f>IF(ISERROR(VLOOKUP($S$324,'TAR FIN'!$A$1:$O$99,15,0)),0,VLOOKUP($S$324,'TAR FIN'!$A$1:$O$99,15,0))</f>
        <v>0</v>
      </c>
      <c r="W324" s="70">
        <f>IF(ISERROR(VLOOKUP($T$324,'TAR FIN'!$A$1:$O$99,15,0)),0,VLOOKUP($T$324,'TAR FIN'!$A$1:$O$99,15,0))*(1-0.04)</f>
        <v>93.70559999999999</v>
      </c>
      <c r="X324" s="70">
        <f>IF(ISERROR(VLOOKUP($U$324,'TAR FIN'!$A$1:$O$99,15,0)),0,VLOOKUP($U$324,'TAR FIN'!$A$1:$O$99,15,0))*(1-0.04)</f>
        <v>211.1712</v>
      </c>
      <c r="Y324" s="70"/>
      <c r="Z324" s="70">
        <f ca="1">('TUSD BE'!$AM$23+'TUSD BF'!$AM$23+'TUSD CVA'!$AM$23)*1*(1-0.02)</f>
        <v>115.23932238737589</v>
      </c>
      <c r="AA324" s="70">
        <f>('TE BE'!$AA$8+'TE BF'!$AA$8+'TE CVA'!$AA$8)*1*(1-0.02)</f>
        <v>265.71632769942346</v>
      </c>
      <c r="AB324" s="70">
        <f>(SUBSIDIO!$J$324*SUBSIDIO!$V$324)*(0.04)/(1-0.04)</f>
        <v>0</v>
      </c>
      <c r="AC324" s="70">
        <f>((SUBSIDIO!$L$324*SUBSIDIO!$W$324)+(SUBSIDIO!$N$324*SUBSIDIO!$X$324))*(0.04)/(1-0.04)</f>
        <v>60.429122399999997</v>
      </c>
      <c r="AD324" s="70">
        <f>(SUBSIDIO!$J$324*SUBSIDIO!$Y$324)*(0.02)/(1-0.02)</f>
        <v>0</v>
      </c>
      <c r="AE324" s="70">
        <f ca="1">((SUBSIDIO!$L$324*SUBSIDIO!$Z$324)+(SUBSIDIO!$N$324*SUBSIDIO!$AA$324))*(0.02)/(1-0.02)</f>
        <v>36.983796478834783</v>
      </c>
      <c r="AF324" s="3" t="s">
        <v>951</v>
      </c>
    </row>
    <row r="325" spans="1:32" ht="11.25" customHeight="1" x14ac:dyDescent="0.25">
      <c r="A325" s="3" t="s">
        <v>21</v>
      </c>
      <c r="B325" s="3" t="s">
        <v>33</v>
      </c>
      <c r="C325" s="3" t="s">
        <v>34</v>
      </c>
      <c r="D325" s="3" t="s">
        <v>45</v>
      </c>
      <c r="E325" s="3" t="s">
        <v>53</v>
      </c>
      <c r="F325" s="3" t="s">
        <v>25</v>
      </c>
      <c r="G325" s="3" t="s">
        <v>25</v>
      </c>
      <c r="H325" s="3" t="s">
        <v>25</v>
      </c>
      <c r="I325" s="6">
        <v>44317</v>
      </c>
      <c r="J325" s="4">
        <v>6226</v>
      </c>
      <c r="K325" s="70">
        <v>6226</v>
      </c>
      <c r="L325" s="4">
        <v>0</v>
      </c>
      <c r="M325" s="70">
        <v>0</v>
      </c>
      <c r="N325" s="4">
        <v>0</v>
      </c>
      <c r="O325" s="70">
        <v>0</v>
      </c>
      <c r="P325" s="4">
        <v>218</v>
      </c>
      <c r="Q325" s="3" t="s">
        <v>26</v>
      </c>
      <c r="R325" s="3">
        <v>0</v>
      </c>
      <c r="S325" s="3">
        <v>7</v>
      </c>
      <c r="T325" s="3">
        <v>0</v>
      </c>
      <c r="U325" s="3">
        <v>0</v>
      </c>
      <c r="V325" s="70">
        <f>IF(ISERROR(VLOOKUP($S$325,'TAR FIN'!$A$1:$O$99,15,0)),0,VLOOKUP($S$325,'TAR FIN'!$A$1:$O$99,15,0))*(1-0.04)</f>
        <v>20.975999999999999</v>
      </c>
      <c r="W325" s="70">
        <f>IF(ISERROR(VLOOKUP($T$325,'TAR FIN'!$A$1:$O$99,15,0)),0,VLOOKUP($T$325,'TAR FIN'!$A$1:$O$99,15,0))</f>
        <v>0</v>
      </c>
      <c r="X325" s="70">
        <f>IF(ISERROR(VLOOKUP($U$325,'TAR FIN'!$A$1:$O$99,15,0)),0,VLOOKUP($U$325,'TAR FIN'!$A$1:$O$99,15,0))</f>
        <v>0</v>
      </c>
      <c r="Y325" s="70">
        <f ca="1">('TUSD BE'!$AM$21+'TUSD BF'!$AM$21+'TUSD CVA'!$AM$21)*1*(1-0.02)</f>
        <v>24.176010844852033</v>
      </c>
      <c r="Z325" s="70"/>
      <c r="AA325" s="70"/>
      <c r="AB325" s="70">
        <f>(SUBSIDIO!$J$325*SUBSIDIO!$V$325)*(0.04)/(1-0.04)</f>
        <v>5441.5240000000003</v>
      </c>
      <c r="AC325" s="70">
        <f>((SUBSIDIO!$L$325*SUBSIDIO!$W$325)+(SUBSIDIO!$N$325*SUBSIDIO!$X$325))*(0.04)/(1-0.04)</f>
        <v>0</v>
      </c>
      <c r="AD325" s="70">
        <f ca="1">(SUBSIDIO!$J$325*SUBSIDIO!$Y$325)*(0.02)/(1-0.02)</f>
        <v>3071.8335412254851</v>
      </c>
      <c r="AE325" s="70">
        <f>((SUBSIDIO!$L$325*SUBSIDIO!$Z$325)+(SUBSIDIO!$N$325*SUBSIDIO!$AA$325))*(0.02)/(1-0.02)</f>
        <v>0</v>
      </c>
      <c r="AF325" s="3" t="s">
        <v>951</v>
      </c>
    </row>
    <row r="326" spans="1:32" ht="11.25" customHeight="1" x14ac:dyDescent="0.25">
      <c r="A326" s="3" t="s">
        <v>28</v>
      </c>
      <c r="B326" s="3" t="s">
        <v>33</v>
      </c>
      <c r="C326" s="3" t="s">
        <v>34</v>
      </c>
      <c r="D326" s="3" t="s">
        <v>45</v>
      </c>
      <c r="E326" s="3" t="s">
        <v>53</v>
      </c>
      <c r="F326" s="3" t="s">
        <v>25</v>
      </c>
      <c r="G326" s="3" t="s">
        <v>25</v>
      </c>
      <c r="H326" s="3" t="s">
        <v>25</v>
      </c>
      <c r="I326" s="6">
        <v>44317</v>
      </c>
      <c r="J326" s="4">
        <v>1096</v>
      </c>
      <c r="K326" s="70">
        <v>1096</v>
      </c>
      <c r="L326" s="4">
        <v>0</v>
      </c>
      <c r="M326" s="70">
        <v>0</v>
      </c>
      <c r="N326" s="4">
        <v>0</v>
      </c>
      <c r="O326" s="70">
        <v>0</v>
      </c>
      <c r="P326" s="4">
        <v>16</v>
      </c>
      <c r="Q326" s="3" t="s">
        <v>26</v>
      </c>
      <c r="R326" s="3">
        <v>0</v>
      </c>
      <c r="S326" s="3">
        <v>7</v>
      </c>
      <c r="T326" s="3">
        <v>0</v>
      </c>
      <c r="U326" s="3">
        <v>0</v>
      </c>
      <c r="V326" s="70">
        <f>IF(ISERROR(VLOOKUP($S$326,'TAR FIN'!$A$1:$O$99,15,0)),0,VLOOKUP($S$326,'TAR FIN'!$A$1:$O$99,15,0))*(1-0.04)</f>
        <v>20.975999999999999</v>
      </c>
      <c r="W326" s="70">
        <f>IF(ISERROR(VLOOKUP($T$326,'TAR FIN'!$A$1:$O$99,15,0)),0,VLOOKUP($T$326,'TAR FIN'!$A$1:$O$99,15,0))</f>
        <v>0</v>
      </c>
      <c r="X326" s="70">
        <f>IF(ISERROR(VLOOKUP($U$326,'TAR FIN'!$A$1:$O$99,15,0)),0,VLOOKUP($U$326,'TAR FIN'!$A$1:$O$99,15,0))</f>
        <v>0</v>
      </c>
      <c r="Y326" s="70">
        <f ca="1">('TUSD BE'!$AM$21+'TUSD BF'!$AM$21+'TUSD CVA'!$AM$21)*1*(1-0.02)</f>
        <v>24.176010844852033</v>
      </c>
      <c r="Z326" s="70"/>
      <c r="AA326" s="70"/>
      <c r="AB326" s="70">
        <f>(SUBSIDIO!$J$326*SUBSIDIO!$V$326)*(0.04)/(1-0.04)</f>
        <v>957.90400000000011</v>
      </c>
      <c r="AC326" s="70">
        <f>((SUBSIDIO!$L$326*SUBSIDIO!$W$326)+(SUBSIDIO!$N$326*SUBSIDIO!$X$326))*(0.04)/(1-0.04)</f>
        <v>0</v>
      </c>
      <c r="AD326" s="70">
        <f ca="1">(SUBSIDIO!$J$326*SUBSIDIO!$Y$326)*(0.02)/(1-0.02)</f>
        <v>540.75322216240465</v>
      </c>
      <c r="AE326" s="70">
        <f>((SUBSIDIO!$L$326*SUBSIDIO!$Z$326)+(SUBSIDIO!$N$326*SUBSIDIO!$AA$326))*(0.02)/(1-0.02)</f>
        <v>0</v>
      </c>
      <c r="AF326" s="3" t="s">
        <v>951</v>
      </c>
    </row>
    <row r="327" spans="1:32" ht="11.25" customHeight="1" x14ac:dyDescent="0.25">
      <c r="A327" s="3" t="s">
        <v>21</v>
      </c>
      <c r="B327" s="3" t="s">
        <v>33</v>
      </c>
      <c r="C327" s="3" t="s">
        <v>34</v>
      </c>
      <c r="D327" s="3" t="s">
        <v>45</v>
      </c>
      <c r="E327" s="3" t="s">
        <v>53</v>
      </c>
      <c r="F327" s="3" t="s">
        <v>25</v>
      </c>
      <c r="G327" s="3" t="s">
        <v>25</v>
      </c>
      <c r="H327" s="3" t="s">
        <v>25</v>
      </c>
      <c r="I327" s="6">
        <v>44348</v>
      </c>
      <c r="J327" s="4">
        <v>5221</v>
      </c>
      <c r="K327" s="70">
        <v>5221</v>
      </c>
      <c r="L327" s="4">
        <v>0</v>
      </c>
      <c r="M327" s="70">
        <v>0</v>
      </c>
      <c r="N327" s="4">
        <v>0</v>
      </c>
      <c r="O327" s="70">
        <v>0</v>
      </c>
      <c r="P327" s="4">
        <v>212</v>
      </c>
      <c r="Q327" s="3" t="s">
        <v>26</v>
      </c>
      <c r="R327" s="3">
        <v>0</v>
      </c>
      <c r="S327" s="3">
        <v>7</v>
      </c>
      <c r="T327" s="3">
        <v>0</v>
      </c>
      <c r="U327" s="3">
        <v>0</v>
      </c>
      <c r="V327" s="70">
        <f>IF(ISERROR(VLOOKUP($S$327,'TAR FIN'!$A$1:$O$99,15,0)),0,VLOOKUP($S$327,'TAR FIN'!$A$1:$O$99,15,0))*(1-0.04)</f>
        <v>20.975999999999999</v>
      </c>
      <c r="W327" s="70">
        <f>IF(ISERROR(VLOOKUP($T$327,'TAR FIN'!$A$1:$O$99,15,0)),0,VLOOKUP($T$327,'TAR FIN'!$A$1:$O$99,15,0))</f>
        <v>0</v>
      </c>
      <c r="X327" s="70">
        <f>IF(ISERROR(VLOOKUP($U$327,'TAR FIN'!$A$1:$O$99,15,0)),0,VLOOKUP($U$327,'TAR FIN'!$A$1:$O$99,15,0))</f>
        <v>0</v>
      </c>
      <c r="Y327" s="70">
        <f ca="1">('TUSD BE'!$AM$21+'TUSD BF'!$AM$21+'TUSD CVA'!$AM$21)*1*(1-0.02)</f>
        <v>24.176010844852033</v>
      </c>
      <c r="Z327" s="70"/>
      <c r="AA327" s="70"/>
      <c r="AB327" s="70">
        <f>(SUBSIDIO!$J$327*SUBSIDIO!$V$327)*(0.04)/(1-0.04)</f>
        <v>4563.1540000000005</v>
      </c>
      <c r="AC327" s="70">
        <f>((SUBSIDIO!$L$327*SUBSIDIO!$W$327)+(SUBSIDIO!$N$327*SUBSIDIO!$X$327))*(0.04)/(1-0.04)</f>
        <v>0</v>
      </c>
      <c r="AD327" s="70">
        <f ca="1">(SUBSIDIO!$J$327*SUBSIDIO!$Y$327)*(0.02)/(1-0.02)</f>
        <v>2575.9786249178055</v>
      </c>
      <c r="AE327" s="70">
        <f>((SUBSIDIO!$L$327*SUBSIDIO!$Z$327)+(SUBSIDIO!$N$327*SUBSIDIO!$AA$327))*(0.02)/(1-0.02)</f>
        <v>0</v>
      </c>
      <c r="AF327" s="3" t="s">
        <v>951</v>
      </c>
    </row>
    <row r="328" spans="1:32" ht="11.25" customHeight="1" x14ac:dyDescent="0.25">
      <c r="A328" s="3" t="s">
        <v>27</v>
      </c>
      <c r="B328" s="3" t="s">
        <v>33</v>
      </c>
      <c r="C328" s="3" t="s">
        <v>34</v>
      </c>
      <c r="D328" s="3" t="s">
        <v>45</v>
      </c>
      <c r="E328" s="3" t="s">
        <v>53</v>
      </c>
      <c r="F328" s="3" t="s">
        <v>25</v>
      </c>
      <c r="G328" s="3" t="s">
        <v>25</v>
      </c>
      <c r="H328" s="3" t="s">
        <v>25</v>
      </c>
      <c r="I328" s="6">
        <v>44348</v>
      </c>
      <c r="J328" s="4">
        <v>-596</v>
      </c>
      <c r="K328" s="70">
        <v>-596</v>
      </c>
      <c r="L328" s="4">
        <v>0</v>
      </c>
      <c r="M328" s="70">
        <v>0</v>
      </c>
      <c r="N328" s="4">
        <v>0</v>
      </c>
      <c r="O328" s="70">
        <v>0</v>
      </c>
      <c r="P328" s="4">
        <v>-1</v>
      </c>
      <c r="Q328" s="3" t="s">
        <v>26</v>
      </c>
      <c r="R328" s="3">
        <v>0</v>
      </c>
      <c r="S328" s="3">
        <v>7</v>
      </c>
      <c r="T328" s="3">
        <v>0</v>
      </c>
      <c r="U328" s="3">
        <v>0</v>
      </c>
      <c r="V328" s="70">
        <f>IF(ISERROR(VLOOKUP($S$328,'TAR FIN'!$A$1:$O$99,15,0)),0,VLOOKUP($S$328,'TAR FIN'!$A$1:$O$99,15,0))*(1-0.04)</f>
        <v>20.975999999999999</v>
      </c>
      <c r="W328" s="70">
        <f>IF(ISERROR(VLOOKUP($T$328,'TAR FIN'!$A$1:$O$99,15,0)),0,VLOOKUP($T$328,'TAR FIN'!$A$1:$O$99,15,0))</f>
        <v>0</v>
      </c>
      <c r="X328" s="70">
        <f>IF(ISERROR(VLOOKUP($U$328,'TAR FIN'!$A$1:$O$99,15,0)),0,VLOOKUP($U$328,'TAR FIN'!$A$1:$O$99,15,0))</f>
        <v>0</v>
      </c>
      <c r="Y328" s="70">
        <f ca="1">('TUSD BE'!$AM$21+'TUSD BF'!$AM$21+'TUSD CVA'!$AM$21)*1*(1-0.02)</f>
        <v>24.176010844852033</v>
      </c>
      <c r="Z328" s="70"/>
      <c r="AA328" s="70"/>
      <c r="AB328" s="70">
        <f>(SUBSIDIO!$J$328*SUBSIDIO!$V$328)*(0.04)/(1-0.04)</f>
        <v>-520.904</v>
      </c>
      <c r="AC328" s="70">
        <f>((SUBSIDIO!$L$328*SUBSIDIO!$W$328)+(SUBSIDIO!$N$328*SUBSIDIO!$X$328))*(0.04)/(1-0.04)</f>
        <v>0</v>
      </c>
      <c r="AD328" s="70">
        <f ca="1">(SUBSIDIO!$J$328*SUBSIDIO!$Y$328)*(0.02)/(1-0.02)</f>
        <v>-294.05923394962889</v>
      </c>
      <c r="AE328" s="70">
        <f>((SUBSIDIO!$L$328*SUBSIDIO!$Z$328)+(SUBSIDIO!$N$328*SUBSIDIO!$AA$328))*(0.02)/(1-0.02)</f>
        <v>0</v>
      </c>
      <c r="AF328" s="3" t="s">
        <v>951</v>
      </c>
    </row>
    <row r="329" spans="1:32" ht="11.25" customHeight="1" x14ac:dyDescent="0.25">
      <c r="A329" s="3" t="s">
        <v>28</v>
      </c>
      <c r="B329" s="3" t="s">
        <v>33</v>
      </c>
      <c r="C329" s="3" t="s">
        <v>34</v>
      </c>
      <c r="D329" s="3" t="s">
        <v>45</v>
      </c>
      <c r="E329" s="3" t="s">
        <v>53</v>
      </c>
      <c r="F329" s="3" t="s">
        <v>25</v>
      </c>
      <c r="G329" s="3" t="s">
        <v>25</v>
      </c>
      <c r="H329" s="3" t="s">
        <v>25</v>
      </c>
      <c r="I329" s="6">
        <v>44348</v>
      </c>
      <c r="J329" s="4">
        <v>441</v>
      </c>
      <c r="K329" s="70">
        <v>441</v>
      </c>
      <c r="L329" s="4">
        <v>0</v>
      </c>
      <c r="M329" s="70">
        <v>0</v>
      </c>
      <c r="N329" s="4">
        <v>0</v>
      </c>
      <c r="O329" s="70">
        <v>0</v>
      </c>
      <c r="P329" s="4">
        <v>14</v>
      </c>
      <c r="Q329" s="3" t="s">
        <v>26</v>
      </c>
      <c r="R329" s="3">
        <v>0</v>
      </c>
      <c r="S329" s="3">
        <v>7</v>
      </c>
      <c r="T329" s="3">
        <v>0</v>
      </c>
      <c r="U329" s="3">
        <v>0</v>
      </c>
      <c r="V329" s="70">
        <f>IF(ISERROR(VLOOKUP($S$329,'TAR FIN'!$A$1:$O$99,15,0)),0,VLOOKUP($S$329,'TAR FIN'!$A$1:$O$99,15,0))*(1-0.04)</f>
        <v>20.975999999999999</v>
      </c>
      <c r="W329" s="70">
        <f>IF(ISERROR(VLOOKUP($T$329,'TAR FIN'!$A$1:$O$99,15,0)),0,VLOOKUP($T$329,'TAR FIN'!$A$1:$O$99,15,0))</f>
        <v>0</v>
      </c>
      <c r="X329" s="70">
        <f>IF(ISERROR(VLOOKUP($U$329,'TAR FIN'!$A$1:$O$99,15,0)),0,VLOOKUP($U$329,'TAR FIN'!$A$1:$O$99,15,0))</f>
        <v>0</v>
      </c>
      <c r="Y329" s="70">
        <f ca="1">('TUSD BE'!$AM$21+'TUSD BF'!$AM$21+'TUSD CVA'!$AM$21)*1*(1-0.02)</f>
        <v>24.176010844852033</v>
      </c>
      <c r="Z329" s="70"/>
      <c r="AA329" s="70"/>
      <c r="AB329" s="70">
        <f>(SUBSIDIO!$J$329*SUBSIDIO!$V$329)*(0.04)/(1-0.04)</f>
        <v>385.43400000000003</v>
      </c>
      <c r="AC329" s="70">
        <f>((SUBSIDIO!$L$329*SUBSIDIO!$W$329)+(SUBSIDIO!$N$329*SUBSIDIO!$X$329))*(0.04)/(1-0.04)</f>
        <v>0</v>
      </c>
      <c r="AD329" s="70">
        <f ca="1">(SUBSIDIO!$J$329*SUBSIDIO!$Y$329)*(0.02)/(1-0.02)</f>
        <v>217.58409760366828</v>
      </c>
      <c r="AE329" s="70">
        <f>((SUBSIDIO!$L$329*SUBSIDIO!$Z$329)+(SUBSIDIO!$N$329*SUBSIDIO!$AA$329))*(0.02)/(1-0.02)</f>
        <v>0</v>
      </c>
      <c r="AF329" s="3" t="s">
        <v>951</v>
      </c>
    </row>
    <row r="330" spans="1:32" ht="11.25" customHeight="1" x14ac:dyDescent="0.25">
      <c r="A330" s="3" t="s">
        <v>21</v>
      </c>
      <c r="B330" s="3" t="s">
        <v>33</v>
      </c>
      <c r="C330" s="3" t="s">
        <v>34</v>
      </c>
      <c r="D330" s="3" t="s">
        <v>45</v>
      </c>
      <c r="E330" s="3" t="s">
        <v>53</v>
      </c>
      <c r="F330" s="3" t="s">
        <v>25</v>
      </c>
      <c r="G330" s="3" t="s">
        <v>25</v>
      </c>
      <c r="H330" s="3" t="s">
        <v>25</v>
      </c>
      <c r="I330" s="6">
        <v>44378</v>
      </c>
      <c r="J330" s="4">
        <v>4974</v>
      </c>
      <c r="K330" s="70">
        <v>4974</v>
      </c>
      <c r="L330" s="4">
        <v>0</v>
      </c>
      <c r="M330" s="70">
        <v>0</v>
      </c>
      <c r="N330" s="4">
        <v>0</v>
      </c>
      <c r="O330" s="70">
        <v>0</v>
      </c>
      <c r="P330" s="4">
        <v>213</v>
      </c>
      <c r="Q330" s="3" t="s">
        <v>26</v>
      </c>
      <c r="R330" s="3">
        <v>0</v>
      </c>
      <c r="S330" s="3">
        <v>7</v>
      </c>
      <c r="T330" s="3">
        <v>0</v>
      </c>
      <c r="U330" s="3">
        <v>0</v>
      </c>
      <c r="V330" s="70">
        <f>IF(ISERROR(VLOOKUP($S$330,'TAR FIN'!$A$1:$O$99,15,0)),0,VLOOKUP($S$330,'TAR FIN'!$A$1:$O$99,15,0))*(1-0.04)</f>
        <v>20.975999999999999</v>
      </c>
      <c r="W330" s="70">
        <f>IF(ISERROR(VLOOKUP($T$330,'TAR FIN'!$A$1:$O$99,15,0)),0,VLOOKUP($T$330,'TAR FIN'!$A$1:$O$99,15,0))</f>
        <v>0</v>
      </c>
      <c r="X330" s="70">
        <f>IF(ISERROR(VLOOKUP($U$330,'TAR FIN'!$A$1:$O$99,15,0)),0,VLOOKUP($U$330,'TAR FIN'!$A$1:$O$99,15,0))</f>
        <v>0</v>
      </c>
      <c r="Y330" s="70">
        <f ca="1">('TUSD BE'!$AM$21+'TUSD BF'!$AM$21+'TUSD CVA'!$AM$21)*1*(1-0.02)</f>
        <v>24.176010844852033</v>
      </c>
      <c r="Z330" s="70"/>
      <c r="AA330" s="70"/>
      <c r="AB330" s="70">
        <f>(SUBSIDIO!$J$330*SUBSIDIO!$V$330)*(0.04)/(1-0.04)</f>
        <v>4347.2760000000007</v>
      </c>
      <c r="AC330" s="70">
        <f>((SUBSIDIO!$L$330*SUBSIDIO!$W$330)+(SUBSIDIO!$N$330*SUBSIDIO!$X$330))*(0.04)/(1-0.04)</f>
        <v>0</v>
      </c>
      <c r="AD330" s="70">
        <f ca="1">(SUBSIDIO!$J$330*SUBSIDIO!$Y$330)*(0.02)/(1-0.02)</f>
        <v>2454.1117947406942</v>
      </c>
      <c r="AE330" s="70">
        <f>((SUBSIDIO!$L$330*SUBSIDIO!$Z$330)+(SUBSIDIO!$N$330*SUBSIDIO!$AA$330))*(0.02)/(1-0.02)</f>
        <v>0</v>
      </c>
      <c r="AF330" s="3" t="s">
        <v>951</v>
      </c>
    </row>
    <row r="331" spans="1:32" ht="11.25" customHeight="1" x14ac:dyDescent="0.25">
      <c r="A331" s="3" t="s">
        <v>27</v>
      </c>
      <c r="B331" s="3" t="s">
        <v>33</v>
      </c>
      <c r="C331" s="3" t="s">
        <v>34</v>
      </c>
      <c r="D331" s="3" t="s">
        <v>45</v>
      </c>
      <c r="E331" s="3" t="s">
        <v>53</v>
      </c>
      <c r="F331" s="3" t="s">
        <v>25</v>
      </c>
      <c r="G331" s="3" t="s">
        <v>25</v>
      </c>
      <c r="H331" s="3" t="s">
        <v>25</v>
      </c>
      <c r="I331" s="6">
        <v>44378</v>
      </c>
      <c r="J331" s="4">
        <v>-7695</v>
      </c>
      <c r="K331" s="70">
        <v>-7695</v>
      </c>
      <c r="L331" s="4">
        <v>0</v>
      </c>
      <c r="M331" s="70">
        <v>0</v>
      </c>
      <c r="N331" s="4">
        <v>0</v>
      </c>
      <c r="O331" s="70">
        <v>0</v>
      </c>
      <c r="P331" s="4">
        <v>-2</v>
      </c>
      <c r="Q331" s="3" t="s">
        <v>26</v>
      </c>
      <c r="R331" s="3">
        <v>0</v>
      </c>
      <c r="S331" s="3">
        <v>7</v>
      </c>
      <c r="T331" s="3">
        <v>0</v>
      </c>
      <c r="U331" s="3">
        <v>0</v>
      </c>
      <c r="V331" s="70">
        <f>IF(ISERROR(VLOOKUP($S$331,'TAR FIN'!$A$1:$O$99,15,0)),0,VLOOKUP($S$331,'TAR FIN'!$A$1:$O$99,15,0))*(1-0.04)</f>
        <v>20.975999999999999</v>
      </c>
      <c r="W331" s="70">
        <f>IF(ISERROR(VLOOKUP($T$331,'TAR FIN'!$A$1:$O$99,15,0)),0,VLOOKUP($T$331,'TAR FIN'!$A$1:$O$99,15,0))</f>
        <v>0</v>
      </c>
      <c r="X331" s="70">
        <f>IF(ISERROR(VLOOKUP($U$331,'TAR FIN'!$A$1:$O$99,15,0)),0,VLOOKUP($U$331,'TAR FIN'!$A$1:$O$99,15,0))</f>
        <v>0</v>
      </c>
      <c r="Y331" s="70">
        <f ca="1">('TUSD BE'!$AM$21+'TUSD BF'!$AM$21+'TUSD CVA'!$AM$21)*1*(1-0.02)</f>
        <v>24.176010844852033</v>
      </c>
      <c r="Z331" s="70"/>
      <c r="AA331" s="70"/>
      <c r="AB331" s="70">
        <f>(SUBSIDIO!$J$331*SUBSIDIO!$V$331)*(0.04)/(1-0.04)</f>
        <v>-6725.43</v>
      </c>
      <c r="AC331" s="70">
        <f>((SUBSIDIO!$L$331*SUBSIDIO!$W$331)+(SUBSIDIO!$N$331*SUBSIDIO!$X$331))*(0.04)/(1-0.04)</f>
        <v>0</v>
      </c>
      <c r="AD331" s="70">
        <f ca="1">(SUBSIDIO!$J$331*SUBSIDIO!$Y$331)*(0.02)/(1-0.02)</f>
        <v>-3796.6204785946206</v>
      </c>
      <c r="AE331" s="70">
        <f>((SUBSIDIO!$L$331*SUBSIDIO!$Z$331)+(SUBSIDIO!$N$331*SUBSIDIO!$AA$331))*(0.02)/(1-0.02)</f>
        <v>0</v>
      </c>
      <c r="AF331" s="3" t="s">
        <v>951</v>
      </c>
    </row>
    <row r="332" spans="1:32" ht="11.25" customHeight="1" x14ac:dyDescent="0.25">
      <c r="A332" s="3" t="s">
        <v>28</v>
      </c>
      <c r="B332" s="3" t="s">
        <v>33</v>
      </c>
      <c r="C332" s="3" t="s">
        <v>34</v>
      </c>
      <c r="D332" s="3" t="s">
        <v>45</v>
      </c>
      <c r="E332" s="3" t="s">
        <v>53</v>
      </c>
      <c r="F332" s="3" t="s">
        <v>25</v>
      </c>
      <c r="G332" s="3" t="s">
        <v>25</v>
      </c>
      <c r="H332" s="3" t="s">
        <v>25</v>
      </c>
      <c r="I332" s="6">
        <v>44378</v>
      </c>
      <c r="J332" s="4">
        <v>316</v>
      </c>
      <c r="K332" s="70">
        <v>316</v>
      </c>
      <c r="L332" s="4">
        <v>0</v>
      </c>
      <c r="M332" s="70">
        <v>0</v>
      </c>
      <c r="N332" s="4">
        <v>0</v>
      </c>
      <c r="O332" s="70">
        <v>0</v>
      </c>
      <c r="P332" s="4">
        <v>14</v>
      </c>
      <c r="Q332" s="3" t="s">
        <v>26</v>
      </c>
      <c r="R332" s="3">
        <v>0</v>
      </c>
      <c r="S332" s="3">
        <v>7</v>
      </c>
      <c r="T332" s="3">
        <v>0</v>
      </c>
      <c r="U332" s="3">
        <v>0</v>
      </c>
      <c r="V332" s="70">
        <f>IF(ISERROR(VLOOKUP($S$332,'TAR FIN'!$A$1:$O$99,15,0)),0,VLOOKUP($S$332,'TAR FIN'!$A$1:$O$99,15,0))*(1-0.04)</f>
        <v>20.975999999999999</v>
      </c>
      <c r="W332" s="70">
        <f>IF(ISERROR(VLOOKUP($T$332,'TAR FIN'!$A$1:$O$99,15,0)),0,VLOOKUP($T$332,'TAR FIN'!$A$1:$O$99,15,0))</f>
        <v>0</v>
      </c>
      <c r="X332" s="70">
        <f>IF(ISERROR(VLOOKUP($U$332,'TAR FIN'!$A$1:$O$99,15,0)),0,VLOOKUP($U$332,'TAR FIN'!$A$1:$O$99,15,0))</f>
        <v>0</v>
      </c>
      <c r="Y332" s="70">
        <f ca="1">('TUSD BE'!$AM$21+'TUSD BF'!$AM$21+'TUSD CVA'!$AM$21)*1*(1-0.02)</f>
        <v>24.176010844852033</v>
      </c>
      <c r="Z332" s="70"/>
      <c r="AA332" s="70"/>
      <c r="AB332" s="70">
        <f>(SUBSIDIO!$J$332*SUBSIDIO!$V$332)*(0.04)/(1-0.04)</f>
        <v>276.18400000000003</v>
      </c>
      <c r="AC332" s="70">
        <f>((SUBSIDIO!$L$332*SUBSIDIO!$W$332)+(SUBSIDIO!$N$332*SUBSIDIO!$X$332))*(0.04)/(1-0.04)</f>
        <v>0</v>
      </c>
      <c r="AD332" s="70">
        <f ca="1">(SUBSIDIO!$J$332*SUBSIDIO!$Y$332)*(0.02)/(1-0.02)</f>
        <v>155.91060055047433</v>
      </c>
      <c r="AE332" s="70">
        <f>((SUBSIDIO!$L$332*SUBSIDIO!$Z$332)+(SUBSIDIO!$N$332*SUBSIDIO!$AA$332))*(0.02)/(1-0.02)</f>
        <v>0</v>
      </c>
      <c r="AF332" s="3" t="s">
        <v>951</v>
      </c>
    </row>
    <row r="333" spans="1:32" ht="11.25" customHeight="1" x14ac:dyDescent="0.25">
      <c r="A333" s="3" t="s">
        <v>21</v>
      </c>
      <c r="B333" s="3" t="s">
        <v>33</v>
      </c>
      <c r="C333" s="3" t="s">
        <v>34</v>
      </c>
      <c r="D333" s="3" t="s">
        <v>45</v>
      </c>
      <c r="E333" s="3" t="s">
        <v>53</v>
      </c>
      <c r="F333" s="3" t="s">
        <v>25</v>
      </c>
      <c r="G333" s="3" t="s">
        <v>25</v>
      </c>
      <c r="H333" s="3" t="s">
        <v>25</v>
      </c>
      <c r="I333" s="6">
        <v>44409</v>
      </c>
      <c r="J333" s="4">
        <v>13775</v>
      </c>
      <c r="K333" s="70">
        <v>13775</v>
      </c>
      <c r="L333" s="4">
        <v>0</v>
      </c>
      <c r="M333" s="70">
        <v>0</v>
      </c>
      <c r="N333" s="4">
        <v>0</v>
      </c>
      <c r="O333" s="70">
        <v>0</v>
      </c>
      <c r="P333" s="4">
        <v>230</v>
      </c>
      <c r="Q333" s="3" t="s">
        <v>26</v>
      </c>
      <c r="R333" s="3">
        <v>0</v>
      </c>
      <c r="S333" s="3">
        <v>7</v>
      </c>
      <c r="T333" s="3">
        <v>0</v>
      </c>
      <c r="U333" s="3">
        <v>0</v>
      </c>
      <c r="V333" s="70">
        <f>IF(ISERROR(VLOOKUP($S$333,'TAR FIN'!$A$1:$O$99,15,0)),0,VLOOKUP($S$333,'TAR FIN'!$A$1:$O$99,15,0))*(1-0.04)</f>
        <v>20.975999999999999</v>
      </c>
      <c r="W333" s="70">
        <f>IF(ISERROR(VLOOKUP($T$333,'TAR FIN'!$A$1:$O$99,15,0)),0,VLOOKUP($T$333,'TAR FIN'!$A$1:$O$99,15,0))</f>
        <v>0</v>
      </c>
      <c r="X333" s="70">
        <f>IF(ISERROR(VLOOKUP($U$333,'TAR FIN'!$A$1:$O$99,15,0)),0,VLOOKUP($U$333,'TAR FIN'!$A$1:$O$99,15,0))</f>
        <v>0</v>
      </c>
      <c r="Y333" s="70">
        <f ca="1">('TUSD BE'!$AM$21+'TUSD BF'!$AM$21+'TUSD CVA'!$AM$21)*1*(1-0.02)</f>
        <v>24.176010844852033</v>
      </c>
      <c r="Z333" s="70"/>
      <c r="AA333" s="70"/>
      <c r="AB333" s="70">
        <f>(SUBSIDIO!$J$333*SUBSIDIO!$V$333)*(0.04)/(1-0.04)</f>
        <v>12039.349999999999</v>
      </c>
      <c r="AC333" s="70">
        <f>((SUBSIDIO!$L$333*SUBSIDIO!$W$333)+(SUBSIDIO!$N$333*SUBSIDIO!$X$333))*(0.04)/(1-0.04)</f>
        <v>0</v>
      </c>
      <c r="AD333" s="70">
        <f ca="1">(SUBSIDIO!$J$333*SUBSIDIO!$Y$333)*(0.02)/(1-0.02)</f>
        <v>6796.4193752619749</v>
      </c>
      <c r="AE333" s="70">
        <f>((SUBSIDIO!$L$333*SUBSIDIO!$Z$333)+(SUBSIDIO!$N$333*SUBSIDIO!$AA$333))*(0.02)/(1-0.02)</f>
        <v>0</v>
      </c>
      <c r="AF333" s="3" t="s">
        <v>951</v>
      </c>
    </row>
    <row r="334" spans="1:32" ht="11.25" customHeight="1" x14ac:dyDescent="0.25">
      <c r="A334" s="3" t="s">
        <v>27</v>
      </c>
      <c r="B334" s="3" t="s">
        <v>33</v>
      </c>
      <c r="C334" s="3" t="s">
        <v>34</v>
      </c>
      <c r="D334" s="3" t="s">
        <v>45</v>
      </c>
      <c r="E334" s="3" t="s">
        <v>53</v>
      </c>
      <c r="F334" s="3" t="s">
        <v>25</v>
      </c>
      <c r="G334" s="3" t="s">
        <v>25</v>
      </c>
      <c r="H334" s="3" t="s">
        <v>25</v>
      </c>
      <c r="I334" s="6">
        <v>44409</v>
      </c>
      <c r="J334" s="4">
        <v>-57</v>
      </c>
      <c r="K334" s="70">
        <v>-57</v>
      </c>
      <c r="L334" s="4">
        <v>0</v>
      </c>
      <c r="M334" s="70">
        <v>0</v>
      </c>
      <c r="N334" s="4">
        <v>0</v>
      </c>
      <c r="O334" s="70">
        <v>0</v>
      </c>
      <c r="P334" s="4">
        <v>-5</v>
      </c>
      <c r="Q334" s="3" t="s">
        <v>26</v>
      </c>
      <c r="R334" s="3">
        <v>0</v>
      </c>
      <c r="S334" s="3">
        <v>7</v>
      </c>
      <c r="T334" s="3">
        <v>0</v>
      </c>
      <c r="U334" s="3">
        <v>0</v>
      </c>
      <c r="V334" s="70">
        <f>IF(ISERROR(VLOOKUP($S$334,'TAR FIN'!$A$1:$O$99,15,0)),0,VLOOKUP($S$334,'TAR FIN'!$A$1:$O$99,15,0))*(1-0.04)</f>
        <v>20.975999999999999</v>
      </c>
      <c r="W334" s="70">
        <f>IF(ISERROR(VLOOKUP($T$334,'TAR FIN'!$A$1:$O$99,15,0)),0,VLOOKUP($T$334,'TAR FIN'!$A$1:$O$99,15,0))</f>
        <v>0</v>
      </c>
      <c r="X334" s="70">
        <f>IF(ISERROR(VLOOKUP($U$334,'TAR FIN'!$A$1:$O$99,15,0)),0,VLOOKUP($U$334,'TAR FIN'!$A$1:$O$99,15,0))</f>
        <v>0</v>
      </c>
      <c r="Y334" s="70">
        <f ca="1">('TUSD BE'!$AM$21+'TUSD BF'!$AM$21+'TUSD CVA'!$AM$21)*1*(1-0.02)</f>
        <v>24.176010844852033</v>
      </c>
      <c r="Z334" s="70"/>
      <c r="AA334" s="70"/>
      <c r="AB334" s="70">
        <f>(SUBSIDIO!$J$334*SUBSIDIO!$V$334)*(0.04)/(1-0.04)</f>
        <v>-49.818000000000012</v>
      </c>
      <c r="AC334" s="70">
        <f>((SUBSIDIO!$L$334*SUBSIDIO!$W$334)+(SUBSIDIO!$N$334*SUBSIDIO!$X$334))*(0.04)/(1-0.04)</f>
        <v>0</v>
      </c>
      <c r="AD334" s="70">
        <f ca="1">(SUBSIDIO!$J$334*SUBSIDIO!$Y$334)*(0.02)/(1-0.02)</f>
        <v>-28.123114656256448</v>
      </c>
      <c r="AE334" s="70">
        <f>((SUBSIDIO!$L$334*SUBSIDIO!$Z$334)+(SUBSIDIO!$N$334*SUBSIDIO!$AA$334))*(0.02)/(1-0.02)</f>
        <v>0</v>
      </c>
      <c r="AF334" s="3" t="s">
        <v>951</v>
      </c>
    </row>
    <row r="335" spans="1:32" ht="11.25" customHeight="1" x14ac:dyDescent="0.25">
      <c r="A335" s="3" t="s">
        <v>28</v>
      </c>
      <c r="B335" s="3" t="s">
        <v>33</v>
      </c>
      <c r="C335" s="3" t="s">
        <v>34</v>
      </c>
      <c r="D335" s="3" t="s">
        <v>45</v>
      </c>
      <c r="E335" s="3" t="s">
        <v>53</v>
      </c>
      <c r="F335" s="3" t="s">
        <v>25</v>
      </c>
      <c r="G335" s="3" t="s">
        <v>25</v>
      </c>
      <c r="H335" s="3" t="s">
        <v>25</v>
      </c>
      <c r="I335" s="6">
        <v>44409</v>
      </c>
      <c r="J335" s="4">
        <v>528</v>
      </c>
      <c r="K335" s="70">
        <v>528</v>
      </c>
      <c r="L335" s="4">
        <v>0</v>
      </c>
      <c r="M335" s="70">
        <v>0</v>
      </c>
      <c r="N335" s="4">
        <v>0</v>
      </c>
      <c r="O335" s="70">
        <v>0</v>
      </c>
      <c r="P335" s="4">
        <v>13</v>
      </c>
      <c r="Q335" s="3" t="s">
        <v>26</v>
      </c>
      <c r="R335" s="3">
        <v>0</v>
      </c>
      <c r="S335" s="3">
        <v>7</v>
      </c>
      <c r="T335" s="3">
        <v>0</v>
      </c>
      <c r="U335" s="3">
        <v>0</v>
      </c>
      <c r="V335" s="70">
        <f>IF(ISERROR(VLOOKUP($S$335,'TAR FIN'!$A$1:$O$99,15,0)),0,VLOOKUP($S$335,'TAR FIN'!$A$1:$O$99,15,0))*(1-0.04)</f>
        <v>20.975999999999999</v>
      </c>
      <c r="W335" s="70">
        <f>IF(ISERROR(VLOOKUP($T$335,'TAR FIN'!$A$1:$O$99,15,0)),0,VLOOKUP($T$335,'TAR FIN'!$A$1:$O$99,15,0))</f>
        <v>0</v>
      </c>
      <c r="X335" s="70">
        <f>IF(ISERROR(VLOOKUP($U$335,'TAR FIN'!$A$1:$O$99,15,0)),0,VLOOKUP($U$335,'TAR FIN'!$A$1:$O$99,15,0))</f>
        <v>0</v>
      </c>
      <c r="Y335" s="70">
        <f ca="1">('TUSD BE'!$AM$21+'TUSD BF'!$AM$21+'TUSD CVA'!$AM$21)*1*(1-0.02)</f>
        <v>24.176010844852033</v>
      </c>
      <c r="Z335" s="70"/>
      <c r="AA335" s="70"/>
      <c r="AB335" s="70">
        <f>(SUBSIDIO!$J$335*SUBSIDIO!$V$335)*(0.04)/(1-0.04)</f>
        <v>461.47200000000004</v>
      </c>
      <c r="AC335" s="70">
        <f>((SUBSIDIO!$L$335*SUBSIDIO!$W$335)+(SUBSIDIO!$N$335*SUBSIDIO!$X$335))*(0.04)/(1-0.04)</f>
        <v>0</v>
      </c>
      <c r="AD335" s="70">
        <f ca="1">(SUBSIDIO!$J$335*SUBSIDIO!$Y$335)*(0.02)/(1-0.02)</f>
        <v>260.50885155269128</v>
      </c>
      <c r="AE335" s="70">
        <f>((SUBSIDIO!$L$335*SUBSIDIO!$Z$335)+(SUBSIDIO!$N$335*SUBSIDIO!$AA$335))*(0.02)/(1-0.02)</f>
        <v>0</v>
      </c>
      <c r="AF335" s="3" t="s">
        <v>951</v>
      </c>
    </row>
    <row r="336" spans="1:32" ht="11.25" customHeight="1" x14ac:dyDescent="0.25">
      <c r="A336" s="3" t="s">
        <v>21</v>
      </c>
      <c r="B336" s="3" t="s">
        <v>33</v>
      </c>
      <c r="C336" s="3" t="s">
        <v>34</v>
      </c>
      <c r="D336" s="3" t="s">
        <v>45</v>
      </c>
      <c r="E336" s="3" t="s">
        <v>53</v>
      </c>
      <c r="F336" s="3" t="s">
        <v>25</v>
      </c>
      <c r="G336" s="3" t="s">
        <v>25</v>
      </c>
      <c r="H336" s="3" t="s">
        <v>25</v>
      </c>
      <c r="I336" s="6">
        <v>44440</v>
      </c>
      <c r="J336" s="4">
        <v>18117</v>
      </c>
      <c r="K336" s="70">
        <v>18117</v>
      </c>
      <c r="L336" s="4">
        <v>0</v>
      </c>
      <c r="M336" s="70">
        <v>0</v>
      </c>
      <c r="N336" s="4">
        <v>0</v>
      </c>
      <c r="O336" s="70">
        <v>0</v>
      </c>
      <c r="P336" s="4">
        <v>230</v>
      </c>
      <c r="Q336" s="3" t="s">
        <v>26</v>
      </c>
      <c r="R336" s="3">
        <v>0</v>
      </c>
      <c r="S336" s="3">
        <v>7</v>
      </c>
      <c r="T336" s="3">
        <v>0</v>
      </c>
      <c r="U336" s="3">
        <v>0</v>
      </c>
      <c r="V336" s="70">
        <f>IF(ISERROR(VLOOKUP($S$336,'TAR FIN'!$A$1:$O$99,15,0)),0,VLOOKUP($S$336,'TAR FIN'!$A$1:$O$99,15,0))*(1-0.04)</f>
        <v>20.975999999999999</v>
      </c>
      <c r="W336" s="70">
        <f>IF(ISERROR(VLOOKUP($T$336,'TAR FIN'!$A$1:$O$99,15,0)),0,VLOOKUP($T$336,'TAR FIN'!$A$1:$O$99,15,0))</f>
        <v>0</v>
      </c>
      <c r="X336" s="70">
        <f>IF(ISERROR(VLOOKUP($U$336,'TAR FIN'!$A$1:$O$99,15,0)),0,VLOOKUP($U$336,'TAR FIN'!$A$1:$O$99,15,0))</f>
        <v>0</v>
      </c>
      <c r="Y336" s="70">
        <f ca="1">('TUSD BE'!$AM$21+'TUSD BF'!$AM$21+'TUSD CVA'!$AM$21)*1*(1-0.02)</f>
        <v>24.176010844852033</v>
      </c>
      <c r="Z336" s="70"/>
      <c r="AA336" s="70"/>
      <c r="AB336" s="70">
        <f>(SUBSIDIO!$J$336*SUBSIDIO!$V$336)*(0.04)/(1-0.04)</f>
        <v>15834.258</v>
      </c>
      <c r="AC336" s="70">
        <f>((SUBSIDIO!$L$336*SUBSIDIO!$W$336)+(SUBSIDIO!$N$336*SUBSIDIO!$X$336))*(0.04)/(1-0.04)</f>
        <v>0</v>
      </c>
      <c r="AD336" s="70">
        <f ca="1">(SUBSIDIO!$J$336*SUBSIDIO!$Y$336)*(0.02)/(1-0.02)</f>
        <v>8938.7099689017214</v>
      </c>
      <c r="AE336" s="70">
        <f>((SUBSIDIO!$L$336*SUBSIDIO!$Z$336)+(SUBSIDIO!$N$336*SUBSIDIO!$AA$336))*(0.02)/(1-0.02)</f>
        <v>0</v>
      </c>
      <c r="AF336" s="3" t="s">
        <v>951</v>
      </c>
    </row>
    <row r="337" spans="1:32" ht="11.25" customHeight="1" x14ac:dyDescent="0.25">
      <c r="A337" s="3" t="s">
        <v>27</v>
      </c>
      <c r="B337" s="3" t="s">
        <v>33</v>
      </c>
      <c r="C337" s="3" t="s">
        <v>34</v>
      </c>
      <c r="D337" s="3" t="s">
        <v>45</v>
      </c>
      <c r="E337" s="3" t="s">
        <v>53</v>
      </c>
      <c r="F337" s="3" t="s">
        <v>25</v>
      </c>
      <c r="G337" s="3" t="s">
        <v>25</v>
      </c>
      <c r="H337" s="3" t="s">
        <v>25</v>
      </c>
      <c r="I337" s="6">
        <v>44440</v>
      </c>
      <c r="J337" s="4">
        <v>-196</v>
      </c>
      <c r="K337" s="70">
        <v>-196</v>
      </c>
      <c r="L337" s="4">
        <v>0</v>
      </c>
      <c r="M337" s="70">
        <v>0</v>
      </c>
      <c r="N337" s="4">
        <v>0</v>
      </c>
      <c r="O337" s="70">
        <v>0</v>
      </c>
      <c r="P337" s="4">
        <v>0</v>
      </c>
      <c r="Q337" s="3" t="s">
        <v>26</v>
      </c>
      <c r="R337" s="3">
        <v>0</v>
      </c>
      <c r="S337" s="3">
        <v>7</v>
      </c>
      <c r="T337" s="3">
        <v>0</v>
      </c>
      <c r="U337" s="3">
        <v>0</v>
      </c>
      <c r="V337" s="70">
        <f>IF(ISERROR(VLOOKUP($S$337,'TAR FIN'!$A$1:$O$99,15,0)),0,VLOOKUP($S$337,'TAR FIN'!$A$1:$O$99,15,0))*(1-0.04)</f>
        <v>20.975999999999999</v>
      </c>
      <c r="W337" s="70">
        <f>IF(ISERROR(VLOOKUP($T$337,'TAR FIN'!$A$1:$O$99,15,0)),0,VLOOKUP($T$337,'TAR FIN'!$A$1:$O$99,15,0))</f>
        <v>0</v>
      </c>
      <c r="X337" s="70">
        <f>IF(ISERROR(VLOOKUP($U$337,'TAR FIN'!$A$1:$O$99,15,0)),0,VLOOKUP($U$337,'TAR FIN'!$A$1:$O$99,15,0))</f>
        <v>0</v>
      </c>
      <c r="Y337" s="70">
        <f ca="1">('TUSD BE'!$AM$21+'TUSD BF'!$AM$21+'TUSD CVA'!$AM$21)*1*(1-0.02)</f>
        <v>24.176010844852033</v>
      </c>
      <c r="Z337" s="70"/>
      <c r="AA337" s="70"/>
      <c r="AB337" s="70">
        <f>(SUBSIDIO!$J$337*SUBSIDIO!$V$337)*(0.04)/(1-0.04)</f>
        <v>-171.304</v>
      </c>
      <c r="AC337" s="70">
        <f>((SUBSIDIO!$L$337*SUBSIDIO!$W$337)+(SUBSIDIO!$N$337*SUBSIDIO!$X$337))*(0.04)/(1-0.04)</f>
        <v>0</v>
      </c>
      <c r="AD337" s="70">
        <f ca="1">(SUBSIDIO!$J$337*SUBSIDIO!$Y$337)*(0.02)/(1-0.02)</f>
        <v>-96.704043379408148</v>
      </c>
      <c r="AE337" s="70">
        <f>((SUBSIDIO!$L$337*SUBSIDIO!$Z$337)+(SUBSIDIO!$N$337*SUBSIDIO!$AA$337))*(0.02)/(1-0.02)</f>
        <v>0</v>
      </c>
      <c r="AF337" s="3" t="s">
        <v>951</v>
      </c>
    </row>
    <row r="338" spans="1:32" ht="11.25" customHeight="1" x14ac:dyDescent="0.25">
      <c r="A338" s="3" t="s">
        <v>28</v>
      </c>
      <c r="B338" s="3" t="s">
        <v>33</v>
      </c>
      <c r="C338" s="3" t="s">
        <v>34</v>
      </c>
      <c r="D338" s="3" t="s">
        <v>45</v>
      </c>
      <c r="E338" s="3" t="s">
        <v>53</v>
      </c>
      <c r="F338" s="3" t="s">
        <v>25</v>
      </c>
      <c r="G338" s="3" t="s">
        <v>25</v>
      </c>
      <c r="H338" s="3" t="s">
        <v>25</v>
      </c>
      <c r="I338" s="6">
        <v>44440</v>
      </c>
      <c r="J338" s="4">
        <v>1778</v>
      </c>
      <c r="K338" s="70">
        <v>1778</v>
      </c>
      <c r="L338" s="4">
        <v>0</v>
      </c>
      <c r="M338" s="70">
        <v>0</v>
      </c>
      <c r="N338" s="4">
        <v>0</v>
      </c>
      <c r="O338" s="70">
        <v>0</v>
      </c>
      <c r="P338" s="4">
        <v>14</v>
      </c>
      <c r="Q338" s="3" t="s">
        <v>26</v>
      </c>
      <c r="R338" s="3">
        <v>0</v>
      </c>
      <c r="S338" s="3">
        <v>7</v>
      </c>
      <c r="T338" s="3">
        <v>0</v>
      </c>
      <c r="U338" s="3">
        <v>0</v>
      </c>
      <c r="V338" s="70">
        <f>IF(ISERROR(VLOOKUP($S$338,'TAR FIN'!$A$1:$O$99,15,0)),0,VLOOKUP($S$338,'TAR FIN'!$A$1:$O$99,15,0))*(1-0.04)</f>
        <v>20.975999999999999</v>
      </c>
      <c r="W338" s="70">
        <f>IF(ISERROR(VLOOKUP($T$338,'TAR FIN'!$A$1:$O$99,15,0)),0,VLOOKUP($T$338,'TAR FIN'!$A$1:$O$99,15,0))</f>
        <v>0</v>
      </c>
      <c r="X338" s="70">
        <f>IF(ISERROR(VLOOKUP($U$338,'TAR FIN'!$A$1:$O$99,15,0)),0,VLOOKUP($U$338,'TAR FIN'!$A$1:$O$99,15,0))</f>
        <v>0</v>
      </c>
      <c r="Y338" s="70">
        <f ca="1">('TUSD BE'!$AM$21+'TUSD BF'!$AM$21+'TUSD CVA'!$AM$21)*1*(1-0.02)</f>
        <v>24.176010844852033</v>
      </c>
      <c r="Z338" s="70"/>
      <c r="AA338" s="70"/>
      <c r="AB338" s="70">
        <f>(SUBSIDIO!$J$338*SUBSIDIO!$V$338)*(0.04)/(1-0.04)</f>
        <v>1553.972</v>
      </c>
      <c r="AC338" s="70">
        <f>((SUBSIDIO!$L$338*SUBSIDIO!$W$338)+(SUBSIDIO!$N$338*SUBSIDIO!$X$338))*(0.04)/(1-0.04)</f>
        <v>0</v>
      </c>
      <c r="AD338" s="70">
        <f ca="1">(SUBSIDIO!$J$338*SUBSIDIO!$Y$338)*(0.02)/(1-0.02)</f>
        <v>877.24382208463101</v>
      </c>
      <c r="AE338" s="70">
        <f>((SUBSIDIO!$L$338*SUBSIDIO!$Z$338)+(SUBSIDIO!$N$338*SUBSIDIO!$AA$338))*(0.02)/(1-0.02)</f>
        <v>0</v>
      </c>
      <c r="AF338" s="3" t="s">
        <v>951</v>
      </c>
    </row>
    <row r="339" spans="1:32" ht="11.25" customHeight="1" x14ac:dyDescent="0.25">
      <c r="A339" s="3" t="s">
        <v>21</v>
      </c>
      <c r="B339" s="3" t="s">
        <v>33</v>
      </c>
      <c r="C339" s="3" t="s">
        <v>34</v>
      </c>
      <c r="D339" s="3" t="s">
        <v>45</v>
      </c>
      <c r="E339" s="3" t="s">
        <v>53</v>
      </c>
      <c r="F339" s="3" t="s">
        <v>25</v>
      </c>
      <c r="G339" s="3" t="s">
        <v>25</v>
      </c>
      <c r="H339" s="3" t="s">
        <v>25</v>
      </c>
      <c r="I339" s="6">
        <v>44470</v>
      </c>
      <c r="J339" s="4">
        <v>23146</v>
      </c>
      <c r="K339" s="70">
        <v>23146</v>
      </c>
      <c r="L339" s="4">
        <v>0</v>
      </c>
      <c r="M339" s="70">
        <v>0</v>
      </c>
      <c r="N339" s="4">
        <v>0</v>
      </c>
      <c r="O339" s="70">
        <v>0</v>
      </c>
      <c r="P339" s="4">
        <v>242</v>
      </c>
      <c r="Q339" s="3" t="s">
        <v>26</v>
      </c>
      <c r="R339" s="3">
        <v>0</v>
      </c>
      <c r="S339" s="3">
        <v>7</v>
      </c>
      <c r="T339" s="3">
        <v>0</v>
      </c>
      <c r="U339" s="3">
        <v>0</v>
      </c>
      <c r="V339" s="70">
        <f>IF(ISERROR(VLOOKUP($S$339,'TAR FIN'!$A$1:$O$99,15,0)),0,VLOOKUP($S$339,'TAR FIN'!$A$1:$O$99,15,0))*(1-0.04)</f>
        <v>20.975999999999999</v>
      </c>
      <c r="W339" s="70">
        <f>IF(ISERROR(VLOOKUP($T$339,'TAR FIN'!$A$1:$O$99,15,0)),0,VLOOKUP($T$339,'TAR FIN'!$A$1:$O$99,15,0))</f>
        <v>0</v>
      </c>
      <c r="X339" s="70">
        <f>IF(ISERROR(VLOOKUP($U$339,'TAR FIN'!$A$1:$O$99,15,0)),0,VLOOKUP($U$339,'TAR FIN'!$A$1:$O$99,15,0))</f>
        <v>0</v>
      </c>
      <c r="Y339" s="70">
        <f ca="1">('TUSD BE'!$AM$21+'TUSD BF'!$AM$21+'TUSD CVA'!$AM$21)*1*(1-0.02)</f>
        <v>24.176010844852033</v>
      </c>
      <c r="Z339" s="70"/>
      <c r="AA339" s="70"/>
      <c r="AB339" s="70">
        <f>(SUBSIDIO!$J$339*SUBSIDIO!$V$339)*(0.04)/(1-0.04)</f>
        <v>20229.603999999999</v>
      </c>
      <c r="AC339" s="70">
        <f>((SUBSIDIO!$L$339*SUBSIDIO!$W$339)+(SUBSIDIO!$N$339*SUBSIDIO!$X$339))*(0.04)/(1-0.04)</f>
        <v>0</v>
      </c>
      <c r="AD339" s="70">
        <f ca="1">(SUBSIDIO!$J$339*SUBSIDIO!$Y$339)*(0.02)/(1-0.02)</f>
        <v>11419.958102345821</v>
      </c>
      <c r="AE339" s="70">
        <f>((SUBSIDIO!$L$339*SUBSIDIO!$Z$339)+(SUBSIDIO!$N$339*SUBSIDIO!$AA$339))*(0.02)/(1-0.02)</f>
        <v>0</v>
      </c>
      <c r="AF339" s="3" t="s">
        <v>951</v>
      </c>
    </row>
    <row r="340" spans="1:32" ht="11.25" customHeight="1" x14ac:dyDescent="0.25">
      <c r="A340" s="3" t="s">
        <v>27</v>
      </c>
      <c r="B340" s="3" t="s">
        <v>33</v>
      </c>
      <c r="C340" s="3" t="s">
        <v>34</v>
      </c>
      <c r="D340" s="3" t="s">
        <v>45</v>
      </c>
      <c r="E340" s="3" t="s">
        <v>53</v>
      </c>
      <c r="F340" s="3" t="s">
        <v>25</v>
      </c>
      <c r="G340" s="3" t="s">
        <v>25</v>
      </c>
      <c r="H340" s="3" t="s">
        <v>25</v>
      </c>
      <c r="I340" s="6">
        <v>44470</v>
      </c>
      <c r="J340" s="4">
        <v>-134</v>
      </c>
      <c r="K340" s="70">
        <v>-134</v>
      </c>
      <c r="L340" s="4">
        <v>0</v>
      </c>
      <c r="M340" s="70">
        <v>0</v>
      </c>
      <c r="N340" s="4">
        <v>0</v>
      </c>
      <c r="O340" s="70">
        <v>0</v>
      </c>
      <c r="P340" s="4">
        <v>0</v>
      </c>
      <c r="Q340" s="3" t="s">
        <v>26</v>
      </c>
      <c r="R340" s="3">
        <v>0</v>
      </c>
      <c r="S340" s="3">
        <v>7</v>
      </c>
      <c r="T340" s="3">
        <v>0</v>
      </c>
      <c r="U340" s="3">
        <v>0</v>
      </c>
      <c r="V340" s="70">
        <f>IF(ISERROR(VLOOKUP($S$340,'TAR FIN'!$A$1:$O$99,15,0)),0,VLOOKUP($S$340,'TAR FIN'!$A$1:$O$99,15,0))*(1-0.04)</f>
        <v>20.975999999999999</v>
      </c>
      <c r="W340" s="70">
        <f>IF(ISERROR(VLOOKUP($T$340,'TAR FIN'!$A$1:$O$99,15,0)),0,VLOOKUP($T$340,'TAR FIN'!$A$1:$O$99,15,0))</f>
        <v>0</v>
      </c>
      <c r="X340" s="70">
        <f>IF(ISERROR(VLOOKUP($U$340,'TAR FIN'!$A$1:$O$99,15,0)),0,VLOOKUP($U$340,'TAR FIN'!$A$1:$O$99,15,0))</f>
        <v>0</v>
      </c>
      <c r="Y340" s="70">
        <f ca="1">('TUSD BE'!$AM$21+'TUSD BF'!$AM$21+'TUSD CVA'!$AM$21)*1*(1-0.02)</f>
        <v>24.176010844852033</v>
      </c>
      <c r="Z340" s="70"/>
      <c r="AA340" s="70"/>
      <c r="AB340" s="70">
        <f>(SUBSIDIO!$J$340*SUBSIDIO!$V$340)*(0.04)/(1-0.04)</f>
        <v>-117.11599999999999</v>
      </c>
      <c r="AC340" s="70">
        <f>((SUBSIDIO!$L$340*SUBSIDIO!$W$340)+(SUBSIDIO!$N$340*SUBSIDIO!$X$340))*(0.04)/(1-0.04)</f>
        <v>0</v>
      </c>
      <c r="AD340" s="70">
        <f ca="1">(SUBSIDIO!$J$340*SUBSIDIO!$Y$340)*(0.02)/(1-0.02)</f>
        <v>-66.113988841023925</v>
      </c>
      <c r="AE340" s="70">
        <f>((SUBSIDIO!$L$340*SUBSIDIO!$Z$340)+(SUBSIDIO!$N$340*SUBSIDIO!$AA$340))*(0.02)/(1-0.02)</f>
        <v>0</v>
      </c>
      <c r="AF340" s="3" t="s">
        <v>951</v>
      </c>
    </row>
    <row r="341" spans="1:32" ht="11.25" customHeight="1" x14ac:dyDescent="0.25">
      <c r="A341" s="3" t="s">
        <v>28</v>
      </c>
      <c r="B341" s="3" t="s">
        <v>33</v>
      </c>
      <c r="C341" s="3" t="s">
        <v>34</v>
      </c>
      <c r="D341" s="3" t="s">
        <v>45</v>
      </c>
      <c r="E341" s="3" t="s">
        <v>53</v>
      </c>
      <c r="F341" s="3" t="s">
        <v>25</v>
      </c>
      <c r="G341" s="3" t="s">
        <v>25</v>
      </c>
      <c r="H341" s="3" t="s">
        <v>25</v>
      </c>
      <c r="I341" s="6">
        <v>44470</v>
      </c>
      <c r="J341" s="4">
        <v>2209</v>
      </c>
      <c r="K341" s="70">
        <v>2209</v>
      </c>
      <c r="L341" s="4">
        <v>0</v>
      </c>
      <c r="M341" s="70">
        <v>0</v>
      </c>
      <c r="N341" s="4">
        <v>0</v>
      </c>
      <c r="O341" s="70">
        <v>0</v>
      </c>
      <c r="P341" s="4">
        <v>14</v>
      </c>
      <c r="Q341" s="3" t="s">
        <v>26</v>
      </c>
      <c r="R341" s="3">
        <v>0</v>
      </c>
      <c r="S341" s="3">
        <v>7</v>
      </c>
      <c r="T341" s="3">
        <v>0</v>
      </c>
      <c r="U341" s="3">
        <v>0</v>
      </c>
      <c r="V341" s="70">
        <f>IF(ISERROR(VLOOKUP($S$341,'TAR FIN'!$A$1:$O$99,15,0)),0,VLOOKUP($S$341,'TAR FIN'!$A$1:$O$99,15,0))*(1-0.04)</f>
        <v>20.975999999999999</v>
      </c>
      <c r="W341" s="70">
        <f>IF(ISERROR(VLOOKUP($T$341,'TAR FIN'!$A$1:$O$99,15,0)),0,VLOOKUP($T$341,'TAR FIN'!$A$1:$O$99,15,0))</f>
        <v>0</v>
      </c>
      <c r="X341" s="70">
        <f>IF(ISERROR(VLOOKUP($U$341,'TAR FIN'!$A$1:$O$99,15,0)),0,VLOOKUP($U$341,'TAR FIN'!$A$1:$O$99,15,0))</f>
        <v>0</v>
      </c>
      <c r="Y341" s="70">
        <f ca="1">('TUSD BE'!$AM$21+'TUSD BF'!$AM$21+'TUSD CVA'!$AM$21)*1*(1-0.02)</f>
        <v>24.176010844852033</v>
      </c>
      <c r="Z341" s="70"/>
      <c r="AA341" s="70"/>
      <c r="AB341" s="70">
        <f>(SUBSIDIO!$J$341*SUBSIDIO!$V$341)*(0.04)/(1-0.04)</f>
        <v>1930.6659999999999</v>
      </c>
      <c r="AC341" s="70">
        <f>((SUBSIDIO!$L$341*SUBSIDIO!$W$341)+(SUBSIDIO!$N$341*SUBSIDIO!$X$341))*(0.04)/(1-0.04)</f>
        <v>0</v>
      </c>
      <c r="AD341" s="70">
        <f ca="1">(SUBSIDIO!$J$341*SUBSIDIO!$Y$341)*(0.02)/(1-0.02)</f>
        <v>1089.8940399240439</v>
      </c>
      <c r="AE341" s="70">
        <f>((SUBSIDIO!$L$341*SUBSIDIO!$Z$341)+(SUBSIDIO!$N$341*SUBSIDIO!$AA$341))*(0.02)/(1-0.02)</f>
        <v>0</v>
      </c>
      <c r="AF341" s="3" t="s">
        <v>951</v>
      </c>
    </row>
    <row r="342" spans="1:32" ht="11.25" customHeight="1" x14ac:dyDescent="0.25">
      <c r="A342" s="3" t="s">
        <v>21</v>
      </c>
      <c r="B342" s="3" t="s">
        <v>33</v>
      </c>
      <c r="C342" s="3" t="s">
        <v>34</v>
      </c>
      <c r="D342" s="3" t="s">
        <v>45</v>
      </c>
      <c r="E342" s="3" t="s">
        <v>53</v>
      </c>
      <c r="F342" s="3" t="s">
        <v>25</v>
      </c>
      <c r="G342" s="3" t="s">
        <v>25</v>
      </c>
      <c r="H342" s="3" t="s">
        <v>25</v>
      </c>
      <c r="I342" s="6">
        <v>44501</v>
      </c>
      <c r="J342" s="4">
        <v>25117</v>
      </c>
      <c r="K342" s="70">
        <v>25117</v>
      </c>
      <c r="L342" s="4">
        <v>0</v>
      </c>
      <c r="M342" s="70">
        <v>0</v>
      </c>
      <c r="N342" s="4">
        <v>0</v>
      </c>
      <c r="O342" s="70">
        <v>0</v>
      </c>
      <c r="P342" s="4">
        <v>225</v>
      </c>
      <c r="Q342" s="3" t="s">
        <v>26</v>
      </c>
      <c r="R342" s="3">
        <v>0</v>
      </c>
      <c r="S342" s="3">
        <v>7</v>
      </c>
      <c r="T342" s="3">
        <v>0</v>
      </c>
      <c r="U342" s="3">
        <v>0</v>
      </c>
      <c r="V342" s="70">
        <f>IF(ISERROR(VLOOKUP($S$342,'TAR FIN'!$A$1:$O$99,15,0)),0,VLOOKUP($S$342,'TAR FIN'!$A$1:$O$99,15,0))*(1-0.04)</f>
        <v>20.975999999999999</v>
      </c>
      <c r="W342" s="70">
        <f>IF(ISERROR(VLOOKUP($T$342,'TAR FIN'!$A$1:$O$99,15,0)),0,VLOOKUP($T$342,'TAR FIN'!$A$1:$O$99,15,0))</f>
        <v>0</v>
      </c>
      <c r="X342" s="70">
        <f>IF(ISERROR(VLOOKUP($U$342,'TAR FIN'!$A$1:$O$99,15,0)),0,VLOOKUP($U$342,'TAR FIN'!$A$1:$O$99,15,0))</f>
        <v>0</v>
      </c>
      <c r="Y342" s="70">
        <f ca="1">('TUSD BE'!$AM$21+'TUSD BF'!$AM$21+'TUSD CVA'!$AM$21)*1*(1-0.02)</f>
        <v>24.176010844852033</v>
      </c>
      <c r="Z342" s="70"/>
      <c r="AA342" s="70"/>
      <c r="AB342" s="70">
        <f>(SUBSIDIO!$J$342*SUBSIDIO!$V$342)*(0.04)/(1-0.04)</f>
        <v>21952.257999999998</v>
      </c>
      <c r="AC342" s="70">
        <f>((SUBSIDIO!$L$342*SUBSIDIO!$W$342)+(SUBSIDIO!$N$342*SUBSIDIO!$X$342))*(0.04)/(1-0.04)</f>
        <v>0</v>
      </c>
      <c r="AD342" s="70">
        <f ca="1">(SUBSIDIO!$J$342*SUBSIDIO!$Y$342)*(0.02)/(1-0.02)</f>
        <v>12392.425803880584</v>
      </c>
      <c r="AE342" s="70">
        <f>((SUBSIDIO!$L$342*SUBSIDIO!$Z$342)+(SUBSIDIO!$N$342*SUBSIDIO!$AA$342))*(0.02)/(1-0.02)</f>
        <v>0</v>
      </c>
      <c r="AF342" s="3" t="s">
        <v>951</v>
      </c>
    </row>
    <row r="343" spans="1:32" ht="11.25" customHeight="1" x14ac:dyDescent="0.25">
      <c r="A343" s="3" t="s">
        <v>27</v>
      </c>
      <c r="B343" s="3" t="s">
        <v>33</v>
      </c>
      <c r="C343" s="3" t="s">
        <v>34</v>
      </c>
      <c r="D343" s="3" t="s">
        <v>45</v>
      </c>
      <c r="E343" s="3" t="s">
        <v>53</v>
      </c>
      <c r="F343" s="3" t="s">
        <v>25</v>
      </c>
      <c r="G343" s="3" t="s">
        <v>25</v>
      </c>
      <c r="H343" s="3" t="s">
        <v>25</v>
      </c>
      <c r="I343" s="6">
        <v>44501</v>
      </c>
      <c r="J343" s="4">
        <v>-1366</v>
      </c>
      <c r="K343" s="70">
        <v>-1366</v>
      </c>
      <c r="L343" s="4">
        <v>0</v>
      </c>
      <c r="M343" s="70">
        <v>0</v>
      </c>
      <c r="N343" s="4">
        <v>0</v>
      </c>
      <c r="O343" s="70">
        <v>0</v>
      </c>
      <c r="P343" s="4">
        <v>-4</v>
      </c>
      <c r="Q343" s="3" t="s">
        <v>26</v>
      </c>
      <c r="R343" s="3">
        <v>0</v>
      </c>
      <c r="S343" s="3">
        <v>7</v>
      </c>
      <c r="T343" s="3">
        <v>0</v>
      </c>
      <c r="U343" s="3">
        <v>0</v>
      </c>
      <c r="V343" s="70">
        <f>IF(ISERROR(VLOOKUP($S$343,'TAR FIN'!$A$1:$O$99,15,0)),0,VLOOKUP($S$343,'TAR FIN'!$A$1:$O$99,15,0))*(1-0.04)</f>
        <v>20.975999999999999</v>
      </c>
      <c r="W343" s="70">
        <f>IF(ISERROR(VLOOKUP($T$343,'TAR FIN'!$A$1:$O$99,15,0)),0,VLOOKUP($T$343,'TAR FIN'!$A$1:$O$99,15,0))</f>
        <v>0</v>
      </c>
      <c r="X343" s="70">
        <f>IF(ISERROR(VLOOKUP($U$343,'TAR FIN'!$A$1:$O$99,15,0)),0,VLOOKUP($U$343,'TAR FIN'!$A$1:$O$99,15,0))</f>
        <v>0</v>
      </c>
      <c r="Y343" s="70">
        <f ca="1">('TUSD BE'!$AM$21+'TUSD BF'!$AM$21+'TUSD CVA'!$AM$21)*1*(1-0.02)</f>
        <v>24.176010844852033</v>
      </c>
      <c r="Z343" s="70"/>
      <c r="AA343" s="70"/>
      <c r="AB343" s="70">
        <f>(SUBSIDIO!$J$343*SUBSIDIO!$V$343)*(0.04)/(1-0.04)</f>
        <v>-1193.8840000000002</v>
      </c>
      <c r="AC343" s="70">
        <f>((SUBSIDIO!$L$343*SUBSIDIO!$W$343)+(SUBSIDIO!$N$343*SUBSIDIO!$X$343))*(0.04)/(1-0.04)</f>
        <v>0</v>
      </c>
      <c r="AD343" s="70">
        <f ca="1">(SUBSIDIO!$J$343*SUBSIDIO!$Y$343)*(0.02)/(1-0.02)</f>
        <v>-673.96797579730355</v>
      </c>
      <c r="AE343" s="70">
        <f>((SUBSIDIO!$L$343*SUBSIDIO!$Z$343)+(SUBSIDIO!$N$343*SUBSIDIO!$AA$343))*(0.02)/(1-0.02)</f>
        <v>0</v>
      </c>
      <c r="AF343" s="3" t="s">
        <v>951</v>
      </c>
    </row>
    <row r="344" spans="1:32" ht="11.25" customHeight="1" x14ac:dyDescent="0.25">
      <c r="A344" s="3" t="s">
        <v>28</v>
      </c>
      <c r="B344" s="3" t="s">
        <v>33</v>
      </c>
      <c r="C344" s="3" t="s">
        <v>34</v>
      </c>
      <c r="D344" s="3" t="s">
        <v>45</v>
      </c>
      <c r="E344" s="3" t="s">
        <v>53</v>
      </c>
      <c r="F344" s="3" t="s">
        <v>25</v>
      </c>
      <c r="G344" s="3" t="s">
        <v>25</v>
      </c>
      <c r="H344" s="3" t="s">
        <v>25</v>
      </c>
      <c r="I344" s="6">
        <v>44501</v>
      </c>
      <c r="J344" s="4">
        <v>2179</v>
      </c>
      <c r="K344" s="70">
        <v>2179</v>
      </c>
      <c r="L344" s="4">
        <v>0</v>
      </c>
      <c r="M344" s="70">
        <v>0</v>
      </c>
      <c r="N344" s="4">
        <v>0</v>
      </c>
      <c r="O344" s="70">
        <v>0</v>
      </c>
      <c r="P344" s="4">
        <v>15</v>
      </c>
      <c r="Q344" s="3" t="s">
        <v>26</v>
      </c>
      <c r="R344" s="3">
        <v>0</v>
      </c>
      <c r="S344" s="3">
        <v>7</v>
      </c>
      <c r="T344" s="3">
        <v>0</v>
      </c>
      <c r="U344" s="3">
        <v>0</v>
      </c>
      <c r="V344" s="70">
        <f>IF(ISERROR(VLOOKUP($S$344,'TAR FIN'!$A$1:$O$99,15,0)),0,VLOOKUP($S$344,'TAR FIN'!$A$1:$O$99,15,0))*(1-0.04)</f>
        <v>20.975999999999999</v>
      </c>
      <c r="W344" s="70">
        <f>IF(ISERROR(VLOOKUP($T$344,'TAR FIN'!$A$1:$O$99,15,0)),0,VLOOKUP($T$344,'TAR FIN'!$A$1:$O$99,15,0))</f>
        <v>0</v>
      </c>
      <c r="X344" s="70">
        <f>IF(ISERROR(VLOOKUP($U$344,'TAR FIN'!$A$1:$O$99,15,0)),0,VLOOKUP($U$344,'TAR FIN'!$A$1:$O$99,15,0))</f>
        <v>0</v>
      </c>
      <c r="Y344" s="70">
        <f ca="1">('TUSD BE'!$AM$21+'TUSD BF'!$AM$21+'TUSD CVA'!$AM$21)*1*(1-0.02)</f>
        <v>24.176010844852033</v>
      </c>
      <c r="Z344" s="70"/>
      <c r="AA344" s="70"/>
      <c r="AB344" s="70">
        <f>(SUBSIDIO!$J$344*SUBSIDIO!$V$344)*(0.04)/(1-0.04)</f>
        <v>1904.4459999999999</v>
      </c>
      <c r="AC344" s="70">
        <f>((SUBSIDIO!$L$344*SUBSIDIO!$W$344)+(SUBSIDIO!$N$344*SUBSIDIO!$X$344))*(0.04)/(1-0.04)</f>
        <v>0</v>
      </c>
      <c r="AD344" s="70">
        <f ca="1">(SUBSIDIO!$J$344*SUBSIDIO!$Y$344)*(0.02)/(1-0.02)</f>
        <v>1075.0924006312771</v>
      </c>
      <c r="AE344" s="70">
        <f>((SUBSIDIO!$L$344*SUBSIDIO!$Z$344)+(SUBSIDIO!$N$344*SUBSIDIO!$AA$344))*(0.02)/(1-0.02)</f>
        <v>0</v>
      </c>
      <c r="AF344" s="3" t="s">
        <v>951</v>
      </c>
    </row>
    <row r="345" spans="1:32" ht="11.25" customHeight="1" x14ac:dyDescent="0.25">
      <c r="A345" s="3" t="s">
        <v>21</v>
      </c>
      <c r="B345" s="3" t="s">
        <v>33</v>
      </c>
      <c r="C345" s="3" t="s">
        <v>34</v>
      </c>
      <c r="D345" s="3" t="s">
        <v>45</v>
      </c>
      <c r="E345" s="3" t="s">
        <v>53</v>
      </c>
      <c r="F345" s="3" t="s">
        <v>25</v>
      </c>
      <c r="G345" s="3" t="s">
        <v>25</v>
      </c>
      <c r="H345" s="3" t="s">
        <v>25</v>
      </c>
      <c r="I345" s="6">
        <v>44531</v>
      </c>
      <c r="J345" s="4">
        <v>26254</v>
      </c>
      <c r="K345" s="70">
        <v>26254</v>
      </c>
      <c r="L345" s="4">
        <v>0</v>
      </c>
      <c r="M345" s="70">
        <v>0</v>
      </c>
      <c r="N345" s="4">
        <v>0</v>
      </c>
      <c r="O345" s="70">
        <v>0</v>
      </c>
      <c r="P345" s="4">
        <v>224</v>
      </c>
      <c r="Q345" s="3" t="s">
        <v>26</v>
      </c>
      <c r="R345" s="3">
        <v>0</v>
      </c>
      <c r="S345" s="3">
        <v>7</v>
      </c>
      <c r="T345" s="3">
        <v>0</v>
      </c>
      <c r="U345" s="3">
        <v>0</v>
      </c>
      <c r="V345" s="70">
        <f>IF(ISERROR(VLOOKUP($S$345,'TAR FIN'!$A$1:$O$99,15,0)),0,VLOOKUP($S$345,'TAR FIN'!$A$1:$O$99,15,0))*(1-0.04)</f>
        <v>20.975999999999999</v>
      </c>
      <c r="W345" s="70">
        <f>IF(ISERROR(VLOOKUP($T$345,'TAR FIN'!$A$1:$O$99,15,0)),0,VLOOKUP($T$345,'TAR FIN'!$A$1:$O$99,15,0))</f>
        <v>0</v>
      </c>
      <c r="X345" s="70">
        <f>IF(ISERROR(VLOOKUP($U$345,'TAR FIN'!$A$1:$O$99,15,0)),0,VLOOKUP($U$345,'TAR FIN'!$A$1:$O$99,15,0))</f>
        <v>0</v>
      </c>
      <c r="Y345" s="70">
        <f ca="1">('TUSD BE'!$AM$21+'TUSD BF'!$AM$21+'TUSD CVA'!$AM$21)*1*(1-0.02)</f>
        <v>24.176010844852033</v>
      </c>
      <c r="Z345" s="70"/>
      <c r="AA345" s="70"/>
      <c r="AB345" s="70">
        <f>(SUBSIDIO!$J$345*SUBSIDIO!$V$345)*(0.04)/(1-0.04)</f>
        <v>22945.995999999999</v>
      </c>
      <c r="AC345" s="70">
        <f>((SUBSIDIO!$L$345*SUBSIDIO!$W$345)+(SUBSIDIO!$N$345*SUBSIDIO!$X$345))*(0.04)/(1-0.04)</f>
        <v>0</v>
      </c>
      <c r="AD345" s="70">
        <f ca="1">(SUBSIDIO!$J$345*SUBSIDIO!$Y$345)*(0.02)/(1-0.02)</f>
        <v>12953.407933076434</v>
      </c>
      <c r="AE345" s="70">
        <f>((SUBSIDIO!$L$345*SUBSIDIO!$Z$345)+(SUBSIDIO!$N$345*SUBSIDIO!$AA$345))*(0.02)/(1-0.02)</f>
        <v>0</v>
      </c>
      <c r="AF345" s="3" t="s">
        <v>951</v>
      </c>
    </row>
    <row r="346" spans="1:32" ht="11.25" customHeight="1" x14ac:dyDescent="0.25">
      <c r="A346" s="3" t="s">
        <v>28</v>
      </c>
      <c r="B346" s="3" t="s">
        <v>33</v>
      </c>
      <c r="C346" s="3" t="s">
        <v>34</v>
      </c>
      <c r="D346" s="3" t="s">
        <v>45</v>
      </c>
      <c r="E346" s="3" t="s">
        <v>53</v>
      </c>
      <c r="F346" s="3" t="s">
        <v>25</v>
      </c>
      <c r="G346" s="3" t="s">
        <v>25</v>
      </c>
      <c r="H346" s="3" t="s">
        <v>25</v>
      </c>
      <c r="I346" s="6">
        <v>44531</v>
      </c>
      <c r="J346" s="4">
        <v>2390</v>
      </c>
      <c r="K346" s="70">
        <v>2390</v>
      </c>
      <c r="L346" s="4">
        <v>0</v>
      </c>
      <c r="M346" s="70">
        <v>0</v>
      </c>
      <c r="N346" s="4">
        <v>0</v>
      </c>
      <c r="O346" s="70">
        <v>0</v>
      </c>
      <c r="P346" s="4">
        <v>15</v>
      </c>
      <c r="Q346" s="3" t="s">
        <v>26</v>
      </c>
      <c r="R346" s="3">
        <v>0</v>
      </c>
      <c r="S346" s="3">
        <v>7</v>
      </c>
      <c r="T346" s="3">
        <v>0</v>
      </c>
      <c r="U346" s="3">
        <v>0</v>
      </c>
      <c r="V346" s="70">
        <f>IF(ISERROR(VLOOKUP($S$346,'TAR FIN'!$A$1:$O$99,15,0)),0,VLOOKUP($S$346,'TAR FIN'!$A$1:$O$99,15,0))*(1-0.04)</f>
        <v>20.975999999999999</v>
      </c>
      <c r="W346" s="70">
        <f>IF(ISERROR(VLOOKUP($T$346,'TAR FIN'!$A$1:$O$99,15,0)),0,VLOOKUP($T$346,'TAR FIN'!$A$1:$O$99,15,0))</f>
        <v>0</v>
      </c>
      <c r="X346" s="70">
        <f>IF(ISERROR(VLOOKUP($U$346,'TAR FIN'!$A$1:$O$99,15,0)),0,VLOOKUP($U$346,'TAR FIN'!$A$1:$O$99,15,0))</f>
        <v>0</v>
      </c>
      <c r="Y346" s="70">
        <f ca="1">('TUSD BE'!$AM$21+'TUSD BF'!$AM$21+'TUSD CVA'!$AM$21)*1*(1-0.02)</f>
        <v>24.176010844852033</v>
      </c>
      <c r="Z346" s="70"/>
      <c r="AA346" s="70"/>
      <c r="AB346" s="70">
        <f>(SUBSIDIO!$J$346*SUBSIDIO!$V$346)*(0.04)/(1-0.04)</f>
        <v>2088.86</v>
      </c>
      <c r="AC346" s="70">
        <f>((SUBSIDIO!$L$346*SUBSIDIO!$W$346)+(SUBSIDIO!$N$346*SUBSIDIO!$X$346))*(0.04)/(1-0.04)</f>
        <v>0</v>
      </c>
      <c r="AD346" s="70">
        <f ca="1">(SUBSIDIO!$J$346*SUBSIDIO!$Y$346)*(0.02)/(1-0.02)</f>
        <v>1179.1972636570686</v>
      </c>
      <c r="AE346" s="70">
        <f>((SUBSIDIO!$L$346*SUBSIDIO!$Z$346)+(SUBSIDIO!$N$346*SUBSIDIO!$AA$346))*(0.02)/(1-0.02)</f>
        <v>0</v>
      </c>
      <c r="AF346" s="3" t="s">
        <v>951</v>
      </c>
    </row>
    <row r="347" spans="1:32" ht="11.25" customHeight="1" x14ac:dyDescent="0.25">
      <c r="A347" s="3" t="s">
        <v>21</v>
      </c>
      <c r="B347" s="3" t="s">
        <v>33</v>
      </c>
      <c r="C347" s="3" t="s">
        <v>34</v>
      </c>
      <c r="D347" s="3" t="s">
        <v>45</v>
      </c>
      <c r="E347" s="3" t="s">
        <v>53</v>
      </c>
      <c r="F347" s="3" t="s">
        <v>25</v>
      </c>
      <c r="G347" s="3" t="s">
        <v>25</v>
      </c>
      <c r="H347" s="3" t="s">
        <v>25</v>
      </c>
      <c r="I347" s="6">
        <v>44562</v>
      </c>
      <c r="J347" s="4">
        <v>23879</v>
      </c>
      <c r="K347" s="70">
        <v>23879</v>
      </c>
      <c r="L347" s="4">
        <v>0</v>
      </c>
      <c r="M347" s="70">
        <v>0</v>
      </c>
      <c r="N347" s="4">
        <v>0</v>
      </c>
      <c r="O347" s="70">
        <v>0</v>
      </c>
      <c r="P347" s="4">
        <v>217</v>
      </c>
      <c r="Q347" s="3" t="s">
        <v>26</v>
      </c>
      <c r="R347" s="3">
        <v>0</v>
      </c>
      <c r="S347" s="3">
        <v>7</v>
      </c>
      <c r="T347" s="3">
        <v>0</v>
      </c>
      <c r="U347" s="3">
        <v>0</v>
      </c>
      <c r="V347" s="70">
        <f>IF(ISERROR(VLOOKUP($S$347,'TAR FIN'!$A$1:$O$99,15,0)),0,VLOOKUP($S$347,'TAR FIN'!$A$1:$O$99,15,0))*(1-0.04)</f>
        <v>20.975999999999999</v>
      </c>
      <c r="W347" s="70">
        <f>IF(ISERROR(VLOOKUP($T$347,'TAR FIN'!$A$1:$O$99,15,0)),0,VLOOKUP($T$347,'TAR FIN'!$A$1:$O$99,15,0))</f>
        <v>0</v>
      </c>
      <c r="X347" s="70">
        <f>IF(ISERROR(VLOOKUP($U$347,'TAR FIN'!$A$1:$O$99,15,0)),0,VLOOKUP($U$347,'TAR FIN'!$A$1:$O$99,15,0))</f>
        <v>0</v>
      </c>
      <c r="Y347" s="70">
        <f ca="1">('TUSD BE'!$AM$21+'TUSD BF'!$AM$21+'TUSD CVA'!$AM$21)*1*(1-0.02)</f>
        <v>24.176010844852033</v>
      </c>
      <c r="Z347" s="70"/>
      <c r="AA347" s="70"/>
      <c r="AB347" s="70">
        <f>(SUBSIDIO!$J$347*SUBSIDIO!$V$347)*(0.04)/(1-0.04)</f>
        <v>20870.246000000003</v>
      </c>
      <c r="AC347" s="70">
        <f>((SUBSIDIO!$L$347*SUBSIDIO!$W$347)+(SUBSIDIO!$N$347*SUBSIDIO!$X$347))*(0.04)/(1-0.04)</f>
        <v>0</v>
      </c>
      <c r="AD347" s="70">
        <f ca="1">(SUBSIDIO!$J$347*SUBSIDIO!$Y$347)*(0.02)/(1-0.02)</f>
        <v>11781.61148906575</v>
      </c>
      <c r="AE347" s="70">
        <f>((SUBSIDIO!$L$347*SUBSIDIO!$Z$347)+(SUBSIDIO!$N$347*SUBSIDIO!$AA$347))*(0.02)/(1-0.02)</f>
        <v>0</v>
      </c>
      <c r="AF347" s="3" t="s">
        <v>951</v>
      </c>
    </row>
    <row r="348" spans="1:32" ht="11.25" customHeight="1" x14ac:dyDescent="0.25">
      <c r="A348" s="3" t="s">
        <v>27</v>
      </c>
      <c r="B348" s="3" t="s">
        <v>33</v>
      </c>
      <c r="C348" s="3" t="s">
        <v>34</v>
      </c>
      <c r="D348" s="3" t="s">
        <v>45</v>
      </c>
      <c r="E348" s="3" t="s">
        <v>53</v>
      </c>
      <c r="F348" s="3" t="s">
        <v>25</v>
      </c>
      <c r="G348" s="3" t="s">
        <v>25</v>
      </c>
      <c r="H348" s="3" t="s">
        <v>25</v>
      </c>
      <c r="I348" s="6">
        <v>44562</v>
      </c>
      <c r="J348" s="4">
        <v>-37</v>
      </c>
      <c r="K348" s="70">
        <v>-37</v>
      </c>
      <c r="L348" s="4">
        <v>0</v>
      </c>
      <c r="M348" s="70">
        <v>0</v>
      </c>
      <c r="N348" s="4">
        <v>0</v>
      </c>
      <c r="O348" s="70">
        <v>0</v>
      </c>
      <c r="P348" s="4">
        <v>-1</v>
      </c>
      <c r="Q348" s="3" t="s">
        <v>26</v>
      </c>
      <c r="R348" s="3">
        <v>0</v>
      </c>
      <c r="S348" s="3">
        <v>7</v>
      </c>
      <c r="T348" s="3">
        <v>0</v>
      </c>
      <c r="U348" s="3">
        <v>0</v>
      </c>
      <c r="V348" s="70">
        <f>IF(ISERROR(VLOOKUP($S$348,'TAR FIN'!$A$1:$O$99,15,0)),0,VLOOKUP($S$348,'TAR FIN'!$A$1:$O$99,15,0))*(1-0.04)</f>
        <v>20.975999999999999</v>
      </c>
      <c r="W348" s="70">
        <f>IF(ISERROR(VLOOKUP($T$348,'TAR FIN'!$A$1:$O$99,15,0)),0,VLOOKUP($T$348,'TAR FIN'!$A$1:$O$99,15,0))</f>
        <v>0</v>
      </c>
      <c r="X348" s="70">
        <f>IF(ISERROR(VLOOKUP($U$348,'TAR FIN'!$A$1:$O$99,15,0)),0,VLOOKUP($U$348,'TAR FIN'!$A$1:$O$99,15,0))</f>
        <v>0</v>
      </c>
      <c r="Y348" s="70">
        <f ca="1">('TUSD BE'!$AM$21+'TUSD BF'!$AM$21+'TUSD CVA'!$AM$21)*1*(1-0.02)</f>
        <v>24.176010844852033</v>
      </c>
      <c r="Z348" s="70"/>
      <c r="AA348" s="70"/>
      <c r="AB348" s="70">
        <f>(SUBSIDIO!$J$348*SUBSIDIO!$V$348)*(0.04)/(1-0.04)</f>
        <v>-32.338000000000001</v>
      </c>
      <c r="AC348" s="70">
        <f>((SUBSIDIO!$L$348*SUBSIDIO!$W$348)+(SUBSIDIO!$N$348*SUBSIDIO!$X$348))*(0.04)/(1-0.04)</f>
        <v>0</v>
      </c>
      <c r="AD348" s="70">
        <f ca="1">(SUBSIDIO!$J$348*SUBSIDIO!$Y$348)*(0.02)/(1-0.02)</f>
        <v>-18.255355127745414</v>
      </c>
      <c r="AE348" s="70">
        <f>((SUBSIDIO!$L$348*SUBSIDIO!$Z$348)+(SUBSIDIO!$N$348*SUBSIDIO!$AA$348))*(0.02)/(1-0.02)</f>
        <v>0</v>
      </c>
      <c r="AF348" s="3" t="s">
        <v>951</v>
      </c>
    </row>
    <row r="349" spans="1:32" ht="11.25" customHeight="1" x14ac:dyDescent="0.25">
      <c r="A349" s="3" t="s">
        <v>28</v>
      </c>
      <c r="B349" s="3" t="s">
        <v>33</v>
      </c>
      <c r="C349" s="3" t="s">
        <v>34</v>
      </c>
      <c r="D349" s="3" t="s">
        <v>45</v>
      </c>
      <c r="E349" s="3" t="s">
        <v>53</v>
      </c>
      <c r="F349" s="3" t="s">
        <v>25</v>
      </c>
      <c r="G349" s="3" t="s">
        <v>25</v>
      </c>
      <c r="H349" s="3" t="s">
        <v>25</v>
      </c>
      <c r="I349" s="6">
        <v>44562</v>
      </c>
      <c r="J349" s="4">
        <v>2399</v>
      </c>
      <c r="K349" s="70">
        <v>2399</v>
      </c>
      <c r="L349" s="4">
        <v>0</v>
      </c>
      <c r="M349" s="70">
        <v>0</v>
      </c>
      <c r="N349" s="4">
        <v>0</v>
      </c>
      <c r="O349" s="70">
        <v>0</v>
      </c>
      <c r="P349" s="4">
        <v>16</v>
      </c>
      <c r="Q349" s="3" t="s">
        <v>26</v>
      </c>
      <c r="R349" s="3">
        <v>0</v>
      </c>
      <c r="S349" s="3">
        <v>7</v>
      </c>
      <c r="T349" s="3">
        <v>0</v>
      </c>
      <c r="U349" s="3">
        <v>0</v>
      </c>
      <c r="V349" s="70">
        <f>IF(ISERROR(VLOOKUP($S$349,'TAR FIN'!$A$1:$O$99,15,0)),0,VLOOKUP($S$349,'TAR FIN'!$A$1:$O$99,15,0))*(1-0.04)</f>
        <v>20.975999999999999</v>
      </c>
      <c r="W349" s="70">
        <f>IF(ISERROR(VLOOKUP($T$349,'TAR FIN'!$A$1:$O$99,15,0)),0,VLOOKUP($T$349,'TAR FIN'!$A$1:$O$99,15,0))</f>
        <v>0</v>
      </c>
      <c r="X349" s="70">
        <f>IF(ISERROR(VLOOKUP($U$349,'TAR FIN'!$A$1:$O$99,15,0)),0,VLOOKUP($U$349,'TAR FIN'!$A$1:$O$99,15,0))</f>
        <v>0</v>
      </c>
      <c r="Y349" s="70">
        <f ca="1">('TUSD BE'!$AM$21+'TUSD BF'!$AM$21+'TUSD CVA'!$AM$21)*1*(1-0.02)</f>
        <v>24.176010844852033</v>
      </c>
      <c r="Z349" s="70"/>
      <c r="AA349" s="70"/>
      <c r="AB349" s="70">
        <f>(SUBSIDIO!$J$349*SUBSIDIO!$V$349)*(0.04)/(1-0.04)</f>
        <v>2096.7260000000001</v>
      </c>
      <c r="AC349" s="70">
        <f>((SUBSIDIO!$L$349*SUBSIDIO!$W$349)+(SUBSIDIO!$N$349*SUBSIDIO!$X$349))*(0.04)/(1-0.04)</f>
        <v>0</v>
      </c>
      <c r="AD349" s="70">
        <f ca="1">(SUBSIDIO!$J$349*SUBSIDIO!$Y$349)*(0.02)/(1-0.02)</f>
        <v>1183.6377554448984</v>
      </c>
      <c r="AE349" s="70">
        <f>((SUBSIDIO!$L$349*SUBSIDIO!$Z$349)+(SUBSIDIO!$N$349*SUBSIDIO!$AA$349))*(0.02)/(1-0.02)</f>
        <v>0</v>
      </c>
      <c r="AF349" s="3" t="s">
        <v>951</v>
      </c>
    </row>
    <row r="350" spans="1:32" ht="11.25" customHeight="1" x14ac:dyDescent="0.25">
      <c r="A350" s="3" t="s">
        <v>21</v>
      </c>
      <c r="B350" s="3" t="s">
        <v>33</v>
      </c>
      <c r="C350" s="3" t="s">
        <v>34</v>
      </c>
      <c r="D350" s="3" t="s">
        <v>45</v>
      </c>
      <c r="E350" s="3" t="s">
        <v>53</v>
      </c>
      <c r="F350" s="3" t="s">
        <v>25</v>
      </c>
      <c r="G350" s="3" t="s">
        <v>25</v>
      </c>
      <c r="H350" s="3" t="s">
        <v>25</v>
      </c>
      <c r="I350" s="6">
        <v>44593</v>
      </c>
      <c r="J350" s="4">
        <v>25852</v>
      </c>
      <c r="K350" s="70">
        <v>25852</v>
      </c>
      <c r="L350" s="4">
        <v>0</v>
      </c>
      <c r="M350" s="70">
        <v>0</v>
      </c>
      <c r="N350" s="4">
        <v>0</v>
      </c>
      <c r="O350" s="70">
        <v>0</v>
      </c>
      <c r="P350" s="4">
        <v>221</v>
      </c>
      <c r="Q350" s="3" t="s">
        <v>26</v>
      </c>
      <c r="R350" s="3">
        <v>0</v>
      </c>
      <c r="S350" s="3">
        <v>7</v>
      </c>
      <c r="T350" s="3">
        <v>0</v>
      </c>
      <c r="U350" s="3">
        <v>0</v>
      </c>
      <c r="V350" s="70">
        <f>IF(ISERROR(VLOOKUP($S$350,'TAR FIN'!$A$1:$O$99,15,0)),0,VLOOKUP($S$350,'TAR FIN'!$A$1:$O$99,15,0))*(1-0.04)</f>
        <v>20.975999999999999</v>
      </c>
      <c r="W350" s="70">
        <f>IF(ISERROR(VLOOKUP($T$350,'TAR FIN'!$A$1:$O$99,15,0)),0,VLOOKUP($T$350,'TAR FIN'!$A$1:$O$99,15,0))</f>
        <v>0</v>
      </c>
      <c r="X350" s="70">
        <f>IF(ISERROR(VLOOKUP($U$350,'TAR FIN'!$A$1:$O$99,15,0)),0,VLOOKUP($U$350,'TAR FIN'!$A$1:$O$99,15,0))</f>
        <v>0</v>
      </c>
      <c r="Y350" s="70">
        <f ca="1">('TUSD BE'!$AM$21+'TUSD BF'!$AM$21+'TUSD CVA'!$AM$21)*1*(1-0.02)</f>
        <v>24.176010844852033</v>
      </c>
      <c r="Z350" s="70"/>
      <c r="AA350" s="70"/>
      <c r="AB350" s="70">
        <f>(SUBSIDIO!$J$350*SUBSIDIO!$V$350)*(0.04)/(1-0.04)</f>
        <v>22594.648000000005</v>
      </c>
      <c r="AC350" s="70">
        <f>((SUBSIDIO!$L$350*SUBSIDIO!$W$350)+(SUBSIDIO!$N$350*SUBSIDIO!$X$350))*(0.04)/(1-0.04)</f>
        <v>0</v>
      </c>
      <c r="AD350" s="70">
        <f ca="1">(SUBSIDIO!$J$350*SUBSIDIO!$Y$350)*(0.02)/(1-0.02)</f>
        <v>12755.065966553364</v>
      </c>
      <c r="AE350" s="70">
        <f>((SUBSIDIO!$L$350*SUBSIDIO!$Z$350)+(SUBSIDIO!$N$350*SUBSIDIO!$AA$350))*(0.02)/(1-0.02)</f>
        <v>0</v>
      </c>
      <c r="AF350" s="3" t="s">
        <v>951</v>
      </c>
    </row>
    <row r="351" spans="1:32" ht="11.25" customHeight="1" x14ac:dyDescent="0.25">
      <c r="A351" s="3" t="s">
        <v>28</v>
      </c>
      <c r="B351" s="3" t="s">
        <v>33</v>
      </c>
      <c r="C351" s="3" t="s">
        <v>34</v>
      </c>
      <c r="D351" s="3" t="s">
        <v>45</v>
      </c>
      <c r="E351" s="3" t="s">
        <v>53</v>
      </c>
      <c r="F351" s="3" t="s">
        <v>25</v>
      </c>
      <c r="G351" s="3" t="s">
        <v>25</v>
      </c>
      <c r="H351" s="3" t="s">
        <v>25</v>
      </c>
      <c r="I351" s="6">
        <v>44593</v>
      </c>
      <c r="J351" s="4">
        <v>2388</v>
      </c>
      <c r="K351" s="70">
        <v>2388</v>
      </c>
      <c r="L351" s="4">
        <v>0</v>
      </c>
      <c r="M351" s="70">
        <v>0</v>
      </c>
      <c r="N351" s="4">
        <v>0</v>
      </c>
      <c r="O351" s="70">
        <v>0</v>
      </c>
      <c r="P351" s="4">
        <v>16</v>
      </c>
      <c r="Q351" s="3" t="s">
        <v>26</v>
      </c>
      <c r="R351" s="3">
        <v>0</v>
      </c>
      <c r="S351" s="3">
        <v>7</v>
      </c>
      <c r="T351" s="3">
        <v>0</v>
      </c>
      <c r="U351" s="3">
        <v>0</v>
      </c>
      <c r="V351" s="70">
        <f>IF(ISERROR(VLOOKUP($S$351,'TAR FIN'!$A$1:$O$99,15,0)),0,VLOOKUP($S$351,'TAR FIN'!$A$1:$O$99,15,0))*(1-0.04)</f>
        <v>20.975999999999999</v>
      </c>
      <c r="W351" s="70">
        <f>IF(ISERROR(VLOOKUP($T$351,'TAR FIN'!$A$1:$O$99,15,0)),0,VLOOKUP($T$351,'TAR FIN'!$A$1:$O$99,15,0))</f>
        <v>0</v>
      </c>
      <c r="X351" s="70">
        <f>IF(ISERROR(VLOOKUP($U$351,'TAR FIN'!$A$1:$O$99,15,0)),0,VLOOKUP($U$351,'TAR FIN'!$A$1:$O$99,15,0))</f>
        <v>0</v>
      </c>
      <c r="Y351" s="70">
        <f ca="1">('TUSD BE'!$AM$21+'TUSD BF'!$AM$21+'TUSD CVA'!$AM$21)*1*(1-0.02)</f>
        <v>24.176010844852033</v>
      </c>
      <c r="Z351" s="70"/>
      <c r="AA351" s="70"/>
      <c r="AB351" s="70">
        <f>(SUBSIDIO!$J$351*SUBSIDIO!$V$351)*(0.04)/(1-0.04)</f>
        <v>2087.1119999999996</v>
      </c>
      <c r="AC351" s="70">
        <f>((SUBSIDIO!$L$351*SUBSIDIO!$W$351)+(SUBSIDIO!$N$351*SUBSIDIO!$X$351))*(0.04)/(1-0.04)</f>
        <v>0</v>
      </c>
      <c r="AD351" s="70">
        <f ca="1">(SUBSIDIO!$J$351*SUBSIDIO!$Y$351)*(0.02)/(1-0.02)</f>
        <v>1178.2104877042175</v>
      </c>
      <c r="AE351" s="70">
        <f>((SUBSIDIO!$L$351*SUBSIDIO!$Z$351)+(SUBSIDIO!$N$351*SUBSIDIO!$AA$351))*(0.02)/(1-0.02)</f>
        <v>0</v>
      </c>
      <c r="AF351" s="3" t="s">
        <v>951</v>
      </c>
    </row>
    <row r="352" spans="1:32" ht="11.25" customHeight="1" x14ac:dyDescent="0.25">
      <c r="A352" s="3" t="s">
        <v>21</v>
      </c>
      <c r="B352" s="3" t="s">
        <v>33</v>
      </c>
      <c r="C352" s="3" t="s">
        <v>34</v>
      </c>
      <c r="D352" s="3" t="s">
        <v>45</v>
      </c>
      <c r="E352" s="3" t="s">
        <v>53</v>
      </c>
      <c r="F352" s="3" t="s">
        <v>25</v>
      </c>
      <c r="G352" s="3" t="s">
        <v>25</v>
      </c>
      <c r="H352" s="3" t="s">
        <v>25</v>
      </c>
      <c r="I352" s="6">
        <v>44621</v>
      </c>
      <c r="J352" s="4">
        <v>26284</v>
      </c>
      <c r="K352" s="70">
        <v>26284</v>
      </c>
      <c r="L352" s="4">
        <v>0</v>
      </c>
      <c r="M352" s="70">
        <v>0</v>
      </c>
      <c r="N352" s="4">
        <v>0</v>
      </c>
      <c r="O352" s="70">
        <v>0</v>
      </c>
      <c r="P352" s="4">
        <v>216</v>
      </c>
      <c r="Q352" s="3" t="s">
        <v>26</v>
      </c>
      <c r="R352" s="3">
        <v>0</v>
      </c>
      <c r="S352" s="3">
        <v>7</v>
      </c>
      <c r="T352" s="3">
        <v>0</v>
      </c>
      <c r="U352" s="3">
        <v>0</v>
      </c>
      <c r="V352" s="70">
        <f>IF(ISERROR(VLOOKUP($S$352,'TAR FIN'!$A$1:$O$99,15,0)),0,VLOOKUP($S$352,'TAR FIN'!$A$1:$O$99,15,0))*(1-0.04)</f>
        <v>20.975999999999999</v>
      </c>
      <c r="W352" s="70">
        <f>IF(ISERROR(VLOOKUP($T$352,'TAR FIN'!$A$1:$O$99,15,0)),0,VLOOKUP($T$352,'TAR FIN'!$A$1:$O$99,15,0))</f>
        <v>0</v>
      </c>
      <c r="X352" s="70">
        <f>IF(ISERROR(VLOOKUP($U$352,'TAR FIN'!$A$1:$O$99,15,0)),0,VLOOKUP($U$352,'TAR FIN'!$A$1:$O$99,15,0))</f>
        <v>0</v>
      </c>
      <c r="Y352" s="70">
        <f ca="1">('TUSD BE'!$AM$21+'TUSD BF'!$AM$21+'TUSD CVA'!$AM$21)*1*(1-0.02)</f>
        <v>24.176010844852033</v>
      </c>
      <c r="Z352" s="70"/>
      <c r="AA352" s="70"/>
      <c r="AB352" s="70">
        <f>(SUBSIDIO!$J$352*SUBSIDIO!$V$352)*(0.04)/(1-0.04)</f>
        <v>22972.216</v>
      </c>
      <c r="AC352" s="70">
        <f>((SUBSIDIO!$L$352*SUBSIDIO!$W$352)+(SUBSIDIO!$N$352*SUBSIDIO!$X$352))*(0.04)/(1-0.04)</f>
        <v>0</v>
      </c>
      <c r="AD352" s="70">
        <f ca="1">(SUBSIDIO!$J$352*SUBSIDIO!$Y$352)*(0.02)/(1-0.02)</f>
        <v>12968.209572369204</v>
      </c>
      <c r="AE352" s="70">
        <f>((SUBSIDIO!$L$352*SUBSIDIO!$Z$352)+(SUBSIDIO!$N$352*SUBSIDIO!$AA$352))*(0.02)/(1-0.02)</f>
        <v>0</v>
      </c>
      <c r="AF352" s="3" t="s">
        <v>951</v>
      </c>
    </row>
    <row r="353" spans="1:32" ht="11.25" customHeight="1" x14ac:dyDescent="0.25">
      <c r="A353" s="3" t="s">
        <v>28</v>
      </c>
      <c r="B353" s="3" t="s">
        <v>33</v>
      </c>
      <c r="C353" s="3" t="s">
        <v>34</v>
      </c>
      <c r="D353" s="3" t="s">
        <v>45</v>
      </c>
      <c r="E353" s="3" t="s">
        <v>53</v>
      </c>
      <c r="F353" s="3" t="s">
        <v>25</v>
      </c>
      <c r="G353" s="3" t="s">
        <v>25</v>
      </c>
      <c r="H353" s="3" t="s">
        <v>25</v>
      </c>
      <c r="I353" s="6">
        <v>44621</v>
      </c>
      <c r="J353" s="4">
        <v>2222</v>
      </c>
      <c r="K353" s="70">
        <v>2222</v>
      </c>
      <c r="L353" s="4">
        <v>0</v>
      </c>
      <c r="M353" s="70">
        <v>0</v>
      </c>
      <c r="N353" s="4">
        <v>0</v>
      </c>
      <c r="O353" s="70">
        <v>0</v>
      </c>
      <c r="P353" s="4">
        <v>16</v>
      </c>
      <c r="Q353" s="3" t="s">
        <v>26</v>
      </c>
      <c r="R353" s="3">
        <v>0</v>
      </c>
      <c r="S353" s="3">
        <v>7</v>
      </c>
      <c r="T353" s="3">
        <v>0</v>
      </c>
      <c r="U353" s="3">
        <v>0</v>
      </c>
      <c r="V353" s="70">
        <f>IF(ISERROR(VLOOKUP($S$353,'TAR FIN'!$A$1:$O$99,15,0)),0,VLOOKUP($S$353,'TAR FIN'!$A$1:$O$99,15,0))*(1-0.04)</f>
        <v>20.975999999999999</v>
      </c>
      <c r="W353" s="70">
        <f>IF(ISERROR(VLOOKUP($T$353,'TAR FIN'!$A$1:$O$99,15,0)),0,VLOOKUP($T$353,'TAR FIN'!$A$1:$O$99,15,0))</f>
        <v>0</v>
      </c>
      <c r="X353" s="70">
        <f>IF(ISERROR(VLOOKUP($U$353,'TAR FIN'!$A$1:$O$99,15,0)),0,VLOOKUP($U$353,'TAR FIN'!$A$1:$O$99,15,0))</f>
        <v>0</v>
      </c>
      <c r="Y353" s="70">
        <f ca="1">('TUSD BE'!$AM$21+'TUSD BF'!$AM$21+'TUSD CVA'!$AM$21)*1*(1-0.02)</f>
        <v>24.176010844852033</v>
      </c>
      <c r="Z353" s="70"/>
      <c r="AA353" s="70"/>
      <c r="AB353" s="70">
        <f>(SUBSIDIO!$J$353*SUBSIDIO!$V$353)*(0.04)/(1-0.04)</f>
        <v>1942.028</v>
      </c>
      <c r="AC353" s="70">
        <f>((SUBSIDIO!$L$353*SUBSIDIO!$W$353)+(SUBSIDIO!$N$353*SUBSIDIO!$X$353))*(0.04)/(1-0.04)</f>
        <v>0</v>
      </c>
      <c r="AD353" s="70">
        <f ca="1">(SUBSIDIO!$J$353*SUBSIDIO!$Y$353)*(0.02)/(1-0.02)</f>
        <v>1096.3080836175759</v>
      </c>
      <c r="AE353" s="70">
        <f>((SUBSIDIO!$L$353*SUBSIDIO!$Z$353)+(SUBSIDIO!$N$353*SUBSIDIO!$AA$353))*(0.02)/(1-0.02)</f>
        <v>0</v>
      </c>
      <c r="AF353" s="3" t="s">
        <v>951</v>
      </c>
    </row>
    <row r="354" spans="1:32" ht="11.25" customHeight="1" x14ac:dyDescent="0.25">
      <c r="A354" s="3" t="s">
        <v>56</v>
      </c>
      <c r="B354" s="3" t="s">
        <v>33</v>
      </c>
      <c r="C354" s="3" t="s">
        <v>34</v>
      </c>
      <c r="D354" s="3" t="s">
        <v>45</v>
      </c>
      <c r="E354" s="3" t="s">
        <v>53</v>
      </c>
      <c r="F354" s="3" t="s">
        <v>25</v>
      </c>
      <c r="G354" s="3" t="s">
        <v>25</v>
      </c>
      <c r="H354" s="3" t="s">
        <v>25</v>
      </c>
      <c r="I354" s="6">
        <v>44652</v>
      </c>
      <c r="J354" s="4">
        <v>26284</v>
      </c>
      <c r="K354" s="70">
        <v>26284</v>
      </c>
      <c r="L354" s="4">
        <v>0</v>
      </c>
      <c r="M354" s="70">
        <v>0</v>
      </c>
      <c r="N354" s="4">
        <v>0</v>
      </c>
      <c r="O354" s="70">
        <v>0</v>
      </c>
      <c r="P354" s="4">
        <v>216</v>
      </c>
      <c r="Q354" s="3" t="s">
        <v>26</v>
      </c>
      <c r="R354" s="3">
        <v>0</v>
      </c>
      <c r="S354" s="3">
        <v>7</v>
      </c>
      <c r="T354" s="3">
        <v>0</v>
      </c>
      <c r="U354" s="3">
        <v>0</v>
      </c>
      <c r="V354" s="70">
        <f>IF(ISERROR(VLOOKUP($S$354,'TAR FIN'!$A$1:$O$99,15,0)),0,VLOOKUP($S$354,'TAR FIN'!$A$1:$O$99,15,0))*(1-0.04)</f>
        <v>20.975999999999999</v>
      </c>
      <c r="W354" s="70">
        <f>IF(ISERROR(VLOOKUP($T$354,'TAR FIN'!$A$1:$O$99,15,0)),0,VLOOKUP($T$354,'TAR FIN'!$A$1:$O$99,15,0))</f>
        <v>0</v>
      </c>
      <c r="X354" s="70">
        <f>IF(ISERROR(VLOOKUP($U$354,'TAR FIN'!$A$1:$O$99,15,0)),0,VLOOKUP($U$354,'TAR FIN'!$A$1:$O$99,15,0))</f>
        <v>0</v>
      </c>
      <c r="Y354" s="70">
        <f ca="1">('TUSD BE'!$AM$21+'TUSD BF'!$AM$21+'TUSD CVA'!$AM$21)*1*(1-0.02)</f>
        <v>24.176010844852033</v>
      </c>
      <c r="Z354" s="70"/>
      <c r="AA354" s="70"/>
      <c r="AB354" s="70">
        <f>(SUBSIDIO!$J$354*SUBSIDIO!$V$354)*(0.04)/(1-0.04)</f>
        <v>22972.216</v>
      </c>
      <c r="AC354" s="70">
        <f>((SUBSIDIO!$L$354*SUBSIDIO!$W$354)+(SUBSIDIO!$N$354*SUBSIDIO!$X$354))*(0.04)/(1-0.04)</f>
        <v>0</v>
      </c>
      <c r="AD354" s="70">
        <f ca="1">(SUBSIDIO!$J$354*SUBSIDIO!$Y$354)*(0.02)/(1-0.02)</f>
        <v>12968.209572369204</v>
      </c>
      <c r="AE354" s="70">
        <f>((SUBSIDIO!$L$354*SUBSIDIO!$Z$354)+(SUBSIDIO!$N$354*SUBSIDIO!$AA$354))*(0.02)/(1-0.02)</f>
        <v>0</v>
      </c>
      <c r="AF354" s="3" t="s">
        <v>951</v>
      </c>
    </row>
    <row r="355" spans="1:32" ht="11.25" customHeight="1" x14ac:dyDescent="0.25">
      <c r="A355" s="3" t="s">
        <v>56</v>
      </c>
      <c r="B355" s="3" t="s">
        <v>33</v>
      </c>
      <c r="C355" s="3" t="s">
        <v>34</v>
      </c>
      <c r="D355" s="3" t="s">
        <v>45</v>
      </c>
      <c r="E355" s="3" t="s">
        <v>53</v>
      </c>
      <c r="F355" s="3" t="s">
        <v>25</v>
      </c>
      <c r="G355" s="3" t="s">
        <v>25</v>
      </c>
      <c r="H355" s="3" t="s">
        <v>25</v>
      </c>
      <c r="I355" s="6">
        <v>44652</v>
      </c>
      <c r="J355" s="4">
        <v>2222</v>
      </c>
      <c r="K355" s="70">
        <v>2222</v>
      </c>
      <c r="L355" s="4">
        <v>0</v>
      </c>
      <c r="M355" s="70">
        <v>0</v>
      </c>
      <c r="N355" s="4">
        <v>0</v>
      </c>
      <c r="O355" s="70">
        <v>0</v>
      </c>
      <c r="P355" s="4">
        <v>16</v>
      </c>
      <c r="Q355" s="3" t="s">
        <v>26</v>
      </c>
      <c r="R355" s="3">
        <v>0</v>
      </c>
      <c r="S355" s="3">
        <v>7</v>
      </c>
      <c r="T355" s="3">
        <v>0</v>
      </c>
      <c r="U355" s="3">
        <v>0</v>
      </c>
      <c r="V355" s="70">
        <f>IF(ISERROR(VLOOKUP($S$355,'TAR FIN'!$A$1:$O$99,15,0)),0,VLOOKUP($S$355,'TAR FIN'!$A$1:$O$99,15,0))*(1-0.04)</f>
        <v>20.975999999999999</v>
      </c>
      <c r="W355" s="70">
        <f>IF(ISERROR(VLOOKUP($T$355,'TAR FIN'!$A$1:$O$99,15,0)),0,VLOOKUP($T$355,'TAR FIN'!$A$1:$O$99,15,0))</f>
        <v>0</v>
      </c>
      <c r="X355" s="70">
        <f>IF(ISERROR(VLOOKUP($U$355,'TAR FIN'!$A$1:$O$99,15,0)),0,VLOOKUP($U$355,'TAR FIN'!$A$1:$O$99,15,0))</f>
        <v>0</v>
      </c>
      <c r="Y355" s="70">
        <f ca="1">('TUSD BE'!$AM$21+'TUSD BF'!$AM$21+'TUSD CVA'!$AM$21)*1*(1-0.02)</f>
        <v>24.176010844852033</v>
      </c>
      <c r="Z355" s="70"/>
      <c r="AA355" s="70"/>
      <c r="AB355" s="70">
        <f>(SUBSIDIO!$J$355*SUBSIDIO!$V$355)*(0.04)/(1-0.04)</f>
        <v>1942.028</v>
      </c>
      <c r="AC355" s="70">
        <f>((SUBSIDIO!$L$355*SUBSIDIO!$W$355)+(SUBSIDIO!$N$355*SUBSIDIO!$X$355))*(0.04)/(1-0.04)</f>
        <v>0</v>
      </c>
      <c r="AD355" s="70">
        <f ca="1">(SUBSIDIO!$J$355*SUBSIDIO!$Y$355)*(0.02)/(1-0.02)</f>
        <v>1096.3080836175759</v>
      </c>
      <c r="AE355" s="70">
        <f>((SUBSIDIO!$L$355*SUBSIDIO!$Z$355)+(SUBSIDIO!$N$355*SUBSIDIO!$AA$355))*(0.02)/(1-0.02)</f>
        <v>0</v>
      </c>
      <c r="AF355" s="3" t="s">
        <v>951</v>
      </c>
    </row>
    <row r="356" spans="1:32" ht="11.25" customHeight="1" x14ac:dyDescent="0.25">
      <c r="A356" s="3" t="s">
        <v>21</v>
      </c>
      <c r="B356" s="3" t="s">
        <v>33</v>
      </c>
      <c r="C356" s="3" t="s">
        <v>34</v>
      </c>
      <c r="D356" s="3" t="s">
        <v>45</v>
      </c>
      <c r="E356" s="3" t="s">
        <v>53</v>
      </c>
      <c r="F356" s="3" t="s">
        <v>25</v>
      </c>
      <c r="G356" s="3" t="s">
        <v>25</v>
      </c>
      <c r="H356" s="3" t="s">
        <v>35</v>
      </c>
      <c r="I356" s="6">
        <v>44317</v>
      </c>
      <c r="J356" s="4">
        <v>0</v>
      </c>
      <c r="K356" s="70">
        <v>0</v>
      </c>
      <c r="L356" s="4">
        <v>9.4350000000000005</v>
      </c>
      <c r="M356" s="70">
        <v>9.4350000000000005</v>
      </c>
      <c r="N356" s="4">
        <v>9.4350000000000005</v>
      </c>
      <c r="O356" s="70">
        <v>9.4350000000000005</v>
      </c>
      <c r="P356" s="4">
        <v>0</v>
      </c>
      <c r="Q356" s="3" t="s">
        <v>26</v>
      </c>
      <c r="R356" s="3">
        <v>0</v>
      </c>
      <c r="S356" s="3">
        <v>0</v>
      </c>
      <c r="T356" s="3">
        <v>8</v>
      </c>
      <c r="U356" s="3">
        <v>72</v>
      </c>
      <c r="V356" s="70">
        <f>IF(ISERROR(VLOOKUP($S$356,'TAR FIN'!$A$1:$O$99,15,0)),0,VLOOKUP($S$356,'TAR FIN'!$A$1:$O$99,15,0))</f>
        <v>0</v>
      </c>
      <c r="W356" s="70">
        <f>IF(ISERROR(VLOOKUP($T$356,'TAR FIN'!$A$1:$O$99,15,0)),0,VLOOKUP($T$356,'TAR FIN'!$A$1:$O$99,15,0))*(1-0.04)</f>
        <v>1495.4304</v>
      </c>
      <c r="X356" s="70">
        <f>IF(ISERROR(VLOOKUP($U$356,'TAR FIN'!$A$1:$O$99,15,0)),0,VLOOKUP($U$356,'TAR FIN'!$A$1:$O$99,15,0))*(1-0.04)</f>
        <v>332.74560000000002</v>
      </c>
      <c r="Y356" s="70"/>
      <c r="Z356" s="70">
        <f ca="1">('TUSD BE'!$AM$22+'TUSD BF'!$AM$22+'TUSD CVA'!$AM$22)*1*(1-0.02)</f>
        <v>1763.14935965871</v>
      </c>
      <c r="AA356" s="70">
        <f>('TE BE'!$AA$7+'TE BF'!$AA$7+'TE CVA'!$AA$7)*1*(1-0.02)</f>
        <v>415.4185945530557</v>
      </c>
      <c r="AB356" s="70">
        <f>(SUBSIDIO!$J$356*SUBSIDIO!$V$356)*(0.04)/(1-0.04)</f>
        <v>0</v>
      </c>
      <c r="AC356" s="70">
        <f>((SUBSIDIO!$L$356*SUBSIDIO!$W$356)+(SUBSIDIO!$N$356*SUBSIDIO!$X$356))*(0.04)/(1-0.04)</f>
        <v>718.7016900000001</v>
      </c>
      <c r="AD356" s="70">
        <f>(SUBSIDIO!$J$356*SUBSIDIO!$Y$356)*(0.02)/(1-0.02)</f>
        <v>0</v>
      </c>
      <c r="AE356" s="70">
        <f ca="1">((SUBSIDIO!$L$356*SUBSIDIO!$Z$356)+(SUBSIDIO!$N$356*SUBSIDIO!$AA$356))*(0.02)/(1-0.02)</f>
        <v>419.48548261200023</v>
      </c>
      <c r="AF356" s="3" t="s">
        <v>951</v>
      </c>
    </row>
    <row r="357" spans="1:32" ht="11.25" customHeight="1" x14ac:dyDescent="0.25">
      <c r="A357" s="3" t="s">
        <v>21</v>
      </c>
      <c r="B357" s="3" t="s">
        <v>33</v>
      </c>
      <c r="C357" s="3" t="s">
        <v>34</v>
      </c>
      <c r="D357" s="3" t="s">
        <v>45</v>
      </c>
      <c r="E357" s="3" t="s">
        <v>53</v>
      </c>
      <c r="F357" s="3" t="s">
        <v>25</v>
      </c>
      <c r="G357" s="3" t="s">
        <v>25</v>
      </c>
      <c r="H357" s="3" t="s">
        <v>35</v>
      </c>
      <c r="I357" s="6">
        <v>44348</v>
      </c>
      <c r="J357" s="4">
        <v>0</v>
      </c>
      <c r="K357" s="70">
        <v>0</v>
      </c>
      <c r="L357" s="4">
        <v>6.7779999999999996</v>
      </c>
      <c r="M357" s="70">
        <v>6.7779999999999996</v>
      </c>
      <c r="N357" s="4">
        <v>6.7779999999999996</v>
      </c>
      <c r="O357" s="70">
        <v>6.7779999999999996</v>
      </c>
      <c r="P357" s="4">
        <v>0</v>
      </c>
      <c r="Q357" s="3" t="s">
        <v>26</v>
      </c>
      <c r="R357" s="3">
        <v>0</v>
      </c>
      <c r="S357" s="3">
        <v>0</v>
      </c>
      <c r="T357" s="3">
        <v>8</v>
      </c>
      <c r="U357" s="3">
        <v>72</v>
      </c>
      <c r="V357" s="70">
        <f>IF(ISERROR(VLOOKUP($S$357,'TAR FIN'!$A$1:$O$99,15,0)),0,VLOOKUP($S$357,'TAR FIN'!$A$1:$O$99,15,0))</f>
        <v>0</v>
      </c>
      <c r="W357" s="70">
        <f>IF(ISERROR(VLOOKUP($T$357,'TAR FIN'!$A$1:$O$99,15,0)),0,VLOOKUP($T$357,'TAR FIN'!$A$1:$O$99,15,0))*(1-0.04)</f>
        <v>1495.4304</v>
      </c>
      <c r="X357" s="70">
        <f>IF(ISERROR(VLOOKUP($U$357,'TAR FIN'!$A$1:$O$99,15,0)),0,VLOOKUP($U$357,'TAR FIN'!$A$1:$O$99,15,0))*(1-0.04)</f>
        <v>332.74560000000002</v>
      </c>
      <c r="Y357" s="70"/>
      <c r="Z357" s="70">
        <f ca="1">('TUSD BE'!$AM$22+'TUSD BF'!$AM$22+'TUSD CVA'!$AM$22)*1*(1-0.02)</f>
        <v>1763.14935965871</v>
      </c>
      <c r="AA357" s="70">
        <f>('TE BE'!$AA$7+'TE BF'!$AA$7+'TE CVA'!$AA$7)*1*(1-0.02)</f>
        <v>415.4185945530557</v>
      </c>
      <c r="AB357" s="70">
        <f>(SUBSIDIO!$J$357*SUBSIDIO!$V$357)*(0.04)/(1-0.04)</f>
        <v>0</v>
      </c>
      <c r="AC357" s="70">
        <f>((SUBSIDIO!$L$357*SUBSIDIO!$W$357)+(SUBSIDIO!$N$357*SUBSIDIO!$X$357))*(0.04)/(1-0.04)</f>
        <v>516.30737199999999</v>
      </c>
      <c r="AD357" s="70">
        <f>(SUBSIDIO!$J$357*SUBSIDIO!$Y$357)*(0.02)/(1-0.02)</f>
        <v>0</v>
      </c>
      <c r="AE357" s="70">
        <f ca="1">((SUBSIDIO!$L$357*SUBSIDIO!$Z$357)+(SUBSIDIO!$N$357*SUBSIDIO!$AA$357))*(0.02)/(1-0.02)</f>
        <v>301.35374680912952</v>
      </c>
      <c r="AF357" s="3" t="s">
        <v>951</v>
      </c>
    </row>
    <row r="358" spans="1:32" ht="11.25" customHeight="1" x14ac:dyDescent="0.25">
      <c r="A358" s="3" t="s">
        <v>27</v>
      </c>
      <c r="B358" s="3" t="s">
        <v>33</v>
      </c>
      <c r="C358" s="3" t="s">
        <v>34</v>
      </c>
      <c r="D358" s="3" t="s">
        <v>45</v>
      </c>
      <c r="E358" s="3" t="s">
        <v>53</v>
      </c>
      <c r="F358" s="3" t="s">
        <v>25</v>
      </c>
      <c r="G358" s="3" t="s">
        <v>25</v>
      </c>
      <c r="H358" s="3" t="s">
        <v>35</v>
      </c>
      <c r="I358" s="6">
        <v>44348</v>
      </c>
      <c r="J358" s="4">
        <v>0</v>
      </c>
      <c r="K358" s="70">
        <v>0</v>
      </c>
      <c r="L358" s="4">
        <v>-2.3E-2</v>
      </c>
      <c r="M358" s="70">
        <v>-2.3E-2</v>
      </c>
      <c r="N358" s="4">
        <v>-2.3E-2</v>
      </c>
      <c r="O358" s="70">
        <v>-2.3E-2</v>
      </c>
      <c r="P358" s="4">
        <v>0</v>
      </c>
      <c r="Q358" s="3" t="s">
        <v>26</v>
      </c>
      <c r="R358" s="3">
        <v>0</v>
      </c>
      <c r="S358" s="3">
        <v>0</v>
      </c>
      <c r="T358" s="3">
        <v>8</v>
      </c>
      <c r="U358" s="3">
        <v>72</v>
      </c>
      <c r="V358" s="70">
        <f>IF(ISERROR(VLOOKUP($S$358,'TAR FIN'!$A$1:$O$99,15,0)),0,VLOOKUP($S$358,'TAR FIN'!$A$1:$O$99,15,0))</f>
        <v>0</v>
      </c>
      <c r="W358" s="70">
        <f>IF(ISERROR(VLOOKUP($T$358,'TAR FIN'!$A$1:$O$99,15,0)),0,VLOOKUP($T$358,'TAR FIN'!$A$1:$O$99,15,0))*(1-0.04)</f>
        <v>1495.4304</v>
      </c>
      <c r="X358" s="70">
        <f>IF(ISERROR(VLOOKUP($U$358,'TAR FIN'!$A$1:$O$99,15,0)),0,VLOOKUP($U$358,'TAR FIN'!$A$1:$O$99,15,0))*(1-0.04)</f>
        <v>332.74560000000002</v>
      </c>
      <c r="Y358" s="70"/>
      <c r="Z358" s="70">
        <f ca="1">('TUSD BE'!$AM$22+'TUSD BF'!$AM$22+'TUSD CVA'!$AM$22)*1*(1-0.02)</f>
        <v>1763.14935965871</v>
      </c>
      <c r="AA358" s="70">
        <f>('TE BE'!$AA$7+'TE BF'!$AA$7+'TE CVA'!$AA$7)*1*(1-0.02)</f>
        <v>415.4185945530557</v>
      </c>
      <c r="AB358" s="70">
        <f>(SUBSIDIO!$J$358*SUBSIDIO!$V$358)*(0.04)/(1-0.04)</f>
        <v>0</v>
      </c>
      <c r="AC358" s="70">
        <f>((SUBSIDIO!$L$358*SUBSIDIO!$W$358)+(SUBSIDIO!$N$358*SUBSIDIO!$X$358))*(0.04)/(1-0.04)</f>
        <v>-1.7520019999999998</v>
      </c>
      <c r="AD358" s="70">
        <f>(SUBSIDIO!$J$358*SUBSIDIO!$Y$358)*(0.02)/(1-0.02)</f>
        <v>0</v>
      </c>
      <c r="AE358" s="70">
        <f ca="1">((SUBSIDIO!$L$358*SUBSIDIO!$Z$358)+(SUBSIDIO!$N$358*SUBSIDIO!$AA$358))*(0.02)/(1-0.02)</f>
        <v>-1.0225931213647064</v>
      </c>
      <c r="AF358" s="3" t="s">
        <v>951</v>
      </c>
    </row>
    <row r="359" spans="1:32" ht="11.25" customHeight="1" x14ac:dyDescent="0.25">
      <c r="A359" s="3" t="s">
        <v>21</v>
      </c>
      <c r="B359" s="3" t="s">
        <v>33</v>
      </c>
      <c r="C359" s="3" t="s">
        <v>34</v>
      </c>
      <c r="D359" s="3" t="s">
        <v>45</v>
      </c>
      <c r="E359" s="3" t="s">
        <v>53</v>
      </c>
      <c r="F359" s="3" t="s">
        <v>25</v>
      </c>
      <c r="G359" s="3" t="s">
        <v>25</v>
      </c>
      <c r="H359" s="3" t="s">
        <v>35</v>
      </c>
      <c r="I359" s="6">
        <v>44378</v>
      </c>
      <c r="J359" s="4">
        <v>0</v>
      </c>
      <c r="K359" s="70">
        <v>0</v>
      </c>
      <c r="L359" s="4">
        <v>8.4969999999999999</v>
      </c>
      <c r="M359" s="70">
        <v>8.4969999999999999</v>
      </c>
      <c r="N359" s="4">
        <v>8.4969999999999999</v>
      </c>
      <c r="O359" s="70">
        <v>8.4969999999999999</v>
      </c>
      <c r="P359" s="4">
        <v>0</v>
      </c>
      <c r="Q359" s="3" t="s">
        <v>26</v>
      </c>
      <c r="R359" s="3">
        <v>0</v>
      </c>
      <c r="S359" s="3">
        <v>0</v>
      </c>
      <c r="T359" s="3">
        <v>8</v>
      </c>
      <c r="U359" s="3">
        <v>72</v>
      </c>
      <c r="V359" s="70">
        <f>IF(ISERROR(VLOOKUP($S$359,'TAR FIN'!$A$1:$O$99,15,0)),0,VLOOKUP($S$359,'TAR FIN'!$A$1:$O$99,15,0))</f>
        <v>0</v>
      </c>
      <c r="W359" s="70">
        <f>IF(ISERROR(VLOOKUP($T$359,'TAR FIN'!$A$1:$O$99,15,0)),0,VLOOKUP($T$359,'TAR FIN'!$A$1:$O$99,15,0))*(1-0.04)</f>
        <v>1495.4304</v>
      </c>
      <c r="X359" s="70">
        <f>IF(ISERROR(VLOOKUP($U$359,'TAR FIN'!$A$1:$O$99,15,0)),0,VLOOKUP($U$359,'TAR FIN'!$A$1:$O$99,15,0))*(1-0.04)</f>
        <v>332.74560000000002</v>
      </c>
      <c r="Y359" s="70"/>
      <c r="Z359" s="70">
        <f ca="1">('TUSD BE'!$AM$22+'TUSD BF'!$AM$22+'TUSD CVA'!$AM$22)*1*(1-0.02)</f>
        <v>1763.14935965871</v>
      </c>
      <c r="AA359" s="70">
        <f>('TE BE'!$AA$7+'TE BF'!$AA$7+'TE CVA'!$AA$7)*1*(1-0.02)</f>
        <v>415.4185945530557</v>
      </c>
      <c r="AB359" s="70">
        <f>(SUBSIDIO!$J$359*SUBSIDIO!$V$359)*(0.04)/(1-0.04)</f>
        <v>0</v>
      </c>
      <c r="AC359" s="70">
        <f>((SUBSIDIO!$L$359*SUBSIDIO!$W$359)+(SUBSIDIO!$N$359*SUBSIDIO!$X$359))*(0.04)/(1-0.04)</f>
        <v>647.25047800000004</v>
      </c>
      <c r="AD359" s="70">
        <f>(SUBSIDIO!$J$359*SUBSIDIO!$Y$359)*(0.02)/(1-0.02)</f>
        <v>0</v>
      </c>
      <c r="AE359" s="70">
        <f ca="1">((SUBSIDIO!$L$359*SUBSIDIO!$Z$359)+(SUBSIDIO!$N$359*SUBSIDIO!$AA$359))*(0.02)/(1-0.02)</f>
        <v>377.78146748851776</v>
      </c>
      <c r="AF359" s="3" t="s">
        <v>951</v>
      </c>
    </row>
    <row r="360" spans="1:32" ht="11.25" customHeight="1" x14ac:dyDescent="0.25">
      <c r="A360" s="3" t="s">
        <v>27</v>
      </c>
      <c r="B360" s="3" t="s">
        <v>33</v>
      </c>
      <c r="C360" s="3" t="s">
        <v>34</v>
      </c>
      <c r="D360" s="3" t="s">
        <v>45</v>
      </c>
      <c r="E360" s="3" t="s">
        <v>53</v>
      </c>
      <c r="F360" s="3" t="s">
        <v>25</v>
      </c>
      <c r="G360" s="3" t="s">
        <v>25</v>
      </c>
      <c r="H360" s="3" t="s">
        <v>35</v>
      </c>
      <c r="I360" s="6">
        <v>44378</v>
      </c>
      <c r="J360" s="4">
        <v>0</v>
      </c>
      <c r="K360" s="70">
        <v>0</v>
      </c>
      <c r="L360" s="4">
        <v>-5.5E-2</v>
      </c>
      <c r="M360" s="70">
        <v>-5.5E-2</v>
      </c>
      <c r="N360" s="4">
        <v>-5.5E-2</v>
      </c>
      <c r="O360" s="70">
        <v>-5.5E-2</v>
      </c>
      <c r="P360" s="4">
        <v>0</v>
      </c>
      <c r="Q360" s="3" t="s">
        <v>26</v>
      </c>
      <c r="R360" s="3">
        <v>0</v>
      </c>
      <c r="S360" s="3">
        <v>0</v>
      </c>
      <c r="T360" s="3">
        <v>8</v>
      </c>
      <c r="U360" s="3">
        <v>72</v>
      </c>
      <c r="V360" s="70">
        <f>IF(ISERROR(VLOOKUP($S$360,'TAR FIN'!$A$1:$O$99,15,0)),0,VLOOKUP($S$360,'TAR FIN'!$A$1:$O$99,15,0))</f>
        <v>0</v>
      </c>
      <c r="W360" s="70">
        <f>IF(ISERROR(VLOOKUP($T$360,'TAR FIN'!$A$1:$O$99,15,0)),0,VLOOKUP($T$360,'TAR FIN'!$A$1:$O$99,15,0))*(1-0.04)</f>
        <v>1495.4304</v>
      </c>
      <c r="X360" s="70">
        <f>IF(ISERROR(VLOOKUP($U$360,'TAR FIN'!$A$1:$O$99,15,0)),0,VLOOKUP($U$360,'TAR FIN'!$A$1:$O$99,15,0))*(1-0.04)</f>
        <v>332.74560000000002</v>
      </c>
      <c r="Y360" s="70"/>
      <c r="Z360" s="70">
        <f ca="1">('TUSD BE'!$AM$22+'TUSD BF'!$AM$22+'TUSD CVA'!$AM$22)*1*(1-0.02)</f>
        <v>1763.14935965871</v>
      </c>
      <c r="AA360" s="70">
        <f>('TE BE'!$AA$7+'TE BF'!$AA$7+'TE CVA'!$AA$7)*1*(1-0.02)</f>
        <v>415.4185945530557</v>
      </c>
      <c r="AB360" s="70">
        <f>(SUBSIDIO!$J$360*SUBSIDIO!$V$360)*(0.04)/(1-0.04)</f>
        <v>0</v>
      </c>
      <c r="AC360" s="70">
        <f>((SUBSIDIO!$L$360*SUBSIDIO!$W$360)+(SUBSIDIO!$N$360*SUBSIDIO!$X$360))*(0.04)/(1-0.04)</f>
        <v>-4.1895699999999998</v>
      </c>
      <c r="AD360" s="70">
        <f>(SUBSIDIO!$J$360*SUBSIDIO!$Y$360)*(0.02)/(1-0.02)</f>
        <v>0</v>
      </c>
      <c r="AE360" s="70">
        <f ca="1">((SUBSIDIO!$L$360*SUBSIDIO!$Z$360)+(SUBSIDIO!$N$360*SUBSIDIO!$AA$360))*(0.02)/(1-0.02)</f>
        <v>-2.4453313771764713</v>
      </c>
      <c r="AF360" s="3" t="s">
        <v>951</v>
      </c>
    </row>
    <row r="361" spans="1:32" ht="11.25" customHeight="1" x14ac:dyDescent="0.25">
      <c r="A361" s="3" t="s">
        <v>21</v>
      </c>
      <c r="B361" s="3" t="s">
        <v>33</v>
      </c>
      <c r="C361" s="3" t="s">
        <v>34</v>
      </c>
      <c r="D361" s="3" t="s">
        <v>45</v>
      </c>
      <c r="E361" s="3" t="s">
        <v>53</v>
      </c>
      <c r="F361" s="3" t="s">
        <v>25</v>
      </c>
      <c r="G361" s="3" t="s">
        <v>25</v>
      </c>
      <c r="H361" s="3" t="s">
        <v>35</v>
      </c>
      <c r="I361" s="6">
        <v>44409</v>
      </c>
      <c r="J361" s="4">
        <v>0</v>
      </c>
      <c r="K361" s="70">
        <v>0</v>
      </c>
      <c r="L361" s="4">
        <v>15.045999999999999</v>
      </c>
      <c r="M361" s="70">
        <v>15.045999999999999</v>
      </c>
      <c r="N361" s="4">
        <v>15.045999999999999</v>
      </c>
      <c r="O361" s="70">
        <v>15.045999999999999</v>
      </c>
      <c r="P361" s="4">
        <v>0</v>
      </c>
      <c r="Q361" s="3" t="s">
        <v>26</v>
      </c>
      <c r="R361" s="3">
        <v>0</v>
      </c>
      <c r="S361" s="3">
        <v>0</v>
      </c>
      <c r="T361" s="3">
        <v>8</v>
      </c>
      <c r="U361" s="3">
        <v>72</v>
      </c>
      <c r="V361" s="70">
        <f>IF(ISERROR(VLOOKUP($S$361,'TAR FIN'!$A$1:$O$99,15,0)),0,VLOOKUP($S$361,'TAR FIN'!$A$1:$O$99,15,0))</f>
        <v>0</v>
      </c>
      <c r="W361" s="70">
        <f>IF(ISERROR(VLOOKUP($T$361,'TAR FIN'!$A$1:$O$99,15,0)),0,VLOOKUP($T$361,'TAR FIN'!$A$1:$O$99,15,0))*(1-0.04)</f>
        <v>1495.4304</v>
      </c>
      <c r="X361" s="70">
        <f>IF(ISERROR(VLOOKUP($U$361,'TAR FIN'!$A$1:$O$99,15,0)),0,VLOOKUP($U$361,'TAR FIN'!$A$1:$O$99,15,0))*(1-0.04)</f>
        <v>332.74560000000002</v>
      </c>
      <c r="Y361" s="70"/>
      <c r="Z361" s="70">
        <f ca="1">('TUSD BE'!$AM$22+'TUSD BF'!$AM$22+'TUSD CVA'!$AM$22)*1*(1-0.02)</f>
        <v>1763.14935965871</v>
      </c>
      <c r="AA361" s="70">
        <f>('TE BE'!$AA$7+'TE BF'!$AA$7+'TE CVA'!$AA$7)*1*(1-0.02)</f>
        <v>415.4185945530557</v>
      </c>
      <c r="AB361" s="70">
        <f>(SUBSIDIO!$J$361*SUBSIDIO!$V$361)*(0.04)/(1-0.04)</f>
        <v>0</v>
      </c>
      <c r="AC361" s="70">
        <f>((SUBSIDIO!$L$361*SUBSIDIO!$W$361)+(SUBSIDIO!$N$361*SUBSIDIO!$X$361))*(0.04)/(1-0.04)</f>
        <v>1146.1140040000003</v>
      </c>
      <c r="AD361" s="70">
        <f>(SUBSIDIO!$J$361*SUBSIDIO!$Y$361)*(0.02)/(1-0.02)</f>
        <v>0</v>
      </c>
      <c r="AE361" s="70">
        <f ca="1">((SUBSIDIO!$L$361*SUBSIDIO!$Z$361)+(SUBSIDIO!$N$361*SUBSIDIO!$AA$361))*(0.02)/(1-0.02)</f>
        <v>668.95374365449436</v>
      </c>
      <c r="AF361" s="3" t="s">
        <v>951</v>
      </c>
    </row>
    <row r="362" spans="1:32" ht="11.25" customHeight="1" x14ac:dyDescent="0.25">
      <c r="A362" s="3" t="s">
        <v>27</v>
      </c>
      <c r="B362" s="3" t="s">
        <v>33</v>
      </c>
      <c r="C362" s="3" t="s">
        <v>34</v>
      </c>
      <c r="D362" s="3" t="s">
        <v>45</v>
      </c>
      <c r="E362" s="3" t="s">
        <v>53</v>
      </c>
      <c r="F362" s="3" t="s">
        <v>25</v>
      </c>
      <c r="G362" s="3" t="s">
        <v>25</v>
      </c>
      <c r="H362" s="3" t="s">
        <v>35</v>
      </c>
      <c r="I362" s="6">
        <v>44409</v>
      </c>
      <c r="J362" s="4">
        <v>0</v>
      </c>
      <c r="K362" s="70">
        <v>0</v>
      </c>
      <c r="L362" s="4">
        <v>-0.93300000000000005</v>
      </c>
      <c r="M362" s="70">
        <v>-0.93300000000000005</v>
      </c>
      <c r="N362" s="4">
        <v>-0.93300000000000005</v>
      </c>
      <c r="O362" s="70">
        <v>-0.93300000000000005</v>
      </c>
      <c r="P362" s="4">
        <v>0</v>
      </c>
      <c r="Q362" s="3" t="s">
        <v>26</v>
      </c>
      <c r="R362" s="3">
        <v>0</v>
      </c>
      <c r="S362" s="3">
        <v>0</v>
      </c>
      <c r="T362" s="3">
        <v>8</v>
      </c>
      <c r="U362" s="3">
        <v>72</v>
      </c>
      <c r="V362" s="70">
        <f>IF(ISERROR(VLOOKUP($S$362,'TAR FIN'!$A$1:$O$99,15,0)),0,VLOOKUP($S$362,'TAR FIN'!$A$1:$O$99,15,0))</f>
        <v>0</v>
      </c>
      <c r="W362" s="70">
        <f>IF(ISERROR(VLOOKUP($T$362,'TAR FIN'!$A$1:$O$99,15,0)),0,VLOOKUP($T$362,'TAR FIN'!$A$1:$O$99,15,0))*(1-0.04)</f>
        <v>1495.4304</v>
      </c>
      <c r="X362" s="70">
        <f>IF(ISERROR(VLOOKUP($U$362,'TAR FIN'!$A$1:$O$99,15,0)),0,VLOOKUP($U$362,'TAR FIN'!$A$1:$O$99,15,0))*(1-0.04)</f>
        <v>332.74560000000002</v>
      </c>
      <c r="Y362" s="70"/>
      <c r="Z362" s="70">
        <f ca="1">('TUSD BE'!$AM$22+'TUSD BF'!$AM$22+'TUSD CVA'!$AM$22)*1*(1-0.02)</f>
        <v>1763.14935965871</v>
      </c>
      <c r="AA362" s="70">
        <f>('TE BE'!$AA$7+'TE BF'!$AA$7+'TE CVA'!$AA$7)*1*(1-0.02)</f>
        <v>415.4185945530557</v>
      </c>
      <c r="AB362" s="70">
        <f>(SUBSIDIO!$J$362*SUBSIDIO!$V$362)*(0.04)/(1-0.04)</f>
        <v>0</v>
      </c>
      <c r="AC362" s="70">
        <f>((SUBSIDIO!$L$362*SUBSIDIO!$W$362)+(SUBSIDIO!$N$362*SUBSIDIO!$X$362))*(0.04)/(1-0.04)</f>
        <v>-71.070342000000011</v>
      </c>
      <c r="AD362" s="70">
        <f>(SUBSIDIO!$J$362*SUBSIDIO!$Y$362)*(0.02)/(1-0.02)</f>
        <v>0</v>
      </c>
      <c r="AE362" s="70">
        <f ca="1">((SUBSIDIO!$L$362*SUBSIDIO!$Z$362)+(SUBSIDIO!$N$362*SUBSIDIO!$AA$362))*(0.02)/(1-0.02)</f>
        <v>-41.481712271011787</v>
      </c>
      <c r="AF362" s="3" t="s">
        <v>951</v>
      </c>
    </row>
    <row r="363" spans="1:32" ht="11.25" customHeight="1" x14ac:dyDescent="0.25">
      <c r="A363" s="3" t="s">
        <v>21</v>
      </c>
      <c r="B363" s="3" t="s">
        <v>33</v>
      </c>
      <c r="C363" s="3" t="s">
        <v>34</v>
      </c>
      <c r="D363" s="3" t="s">
        <v>45</v>
      </c>
      <c r="E363" s="3" t="s">
        <v>53</v>
      </c>
      <c r="F363" s="3" t="s">
        <v>25</v>
      </c>
      <c r="G363" s="3" t="s">
        <v>25</v>
      </c>
      <c r="H363" s="3" t="s">
        <v>35</v>
      </c>
      <c r="I363" s="6">
        <v>44440</v>
      </c>
      <c r="J363" s="4">
        <v>0</v>
      </c>
      <c r="K363" s="70">
        <v>0</v>
      </c>
      <c r="L363" s="4">
        <v>19.14</v>
      </c>
      <c r="M363" s="70">
        <v>19.14</v>
      </c>
      <c r="N363" s="4">
        <v>19.14</v>
      </c>
      <c r="O363" s="70">
        <v>19.14</v>
      </c>
      <c r="P363" s="4">
        <v>0</v>
      </c>
      <c r="Q363" s="3" t="s">
        <v>26</v>
      </c>
      <c r="R363" s="3">
        <v>0</v>
      </c>
      <c r="S363" s="3">
        <v>0</v>
      </c>
      <c r="T363" s="3">
        <v>8</v>
      </c>
      <c r="U363" s="3">
        <v>72</v>
      </c>
      <c r="V363" s="70">
        <f>IF(ISERROR(VLOOKUP($S$363,'TAR FIN'!$A$1:$O$99,15,0)),0,VLOOKUP($S$363,'TAR FIN'!$A$1:$O$99,15,0))</f>
        <v>0</v>
      </c>
      <c r="W363" s="70">
        <f>IF(ISERROR(VLOOKUP($T$363,'TAR FIN'!$A$1:$O$99,15,0)),0,VLOOKUP($T$363,'TAR FIN'!$A$1:$O$99,15,0))*(1-0.04)</f>
        <v>1495.4304</v>
      </c>
      <c r="X363" s="70">
        <f>IF(ISERROR(VLOOKUP($U$363,'TAR FIN'!$A$1:$O$99,15,0)),0,VLOOKUP($U$363,'TAR FIN'!$A$1:$O$99,15,0))*(1-0.04)</f>
        <v>332.74560000000002</v>
      </c>
      <c r="Y363" s="70"/>
      <c r="Z363" s="70">
        <f ca="1">('TUSD BE'!$AM$22+'TUSD BF'!$AM$22+'TUSD CVA'!$AM$22)*1*(1-0.02)</f>
        <v>1763.14935965871</v>
      </c>
      <c r="AA363" s="70">
        <f>('TE BE'!$AA$7+'TE BF'!$AA$7+'TE CVA'!$AA$7)*1*(1-0.02)</f>
        <v>415.4185945530557</v>
      </c>
      <c r="AB363" s="70">
        <f>(SUBSIDIO!$J$363*SUBSIDIO!$V$363)*(0.04)/(1-0.04)</f>
        <v>0</v>
      </c>
      <c r="AC363" s="70">
        <f>((SUBSIDIO!$L$363*SUBSIDIO!$W$363)+(SUBSIDIO!$N$363*SUBSIDIO!$X$363))*(0.04)/(1-0.04)</f>
        <v>1457.97036</v>
      </c>
      <c r="AD363" s="70">
        <f>(SUBSIDIO!$J$363*SUBSIDIO!$Y$363)*(0.02)/(1-0.02)</f>
        <v>0</v>
      </c>
      <c r="AE363" s="70">
        <f ca="1">((SUBSIDIO!$L$363*SUBSIDIO!$Z$363)+(SUBSIDIO!$N$363*SUBSIDIO!$AA$363))*(0.02)/(1-0.02)</f>
        <v>850.97531925741214</v>
      </c>
      <c r="AF363" s="3" t="s">
        <v>951</v>
      </c>
    </row>
    <row r="364" spans="1:32" ht="11.25" customHeight="1" x14ac:dyDescent="0.25">
      <c r="A364" s="3" t="s">
        <v>21</v>
      </c>
      <c r="B364" s="3" t="s">
        <v>33</v>
      </c>
      <c r="C364" s="3" t="s">
        <v>34</v>
      </c>
      <c r="D364" s="3" t="s">
        <v>45</v>
      </c>
      <c r="E364" s="3" t="s">
        <v>53</v>
      </c>
      <c r="F364" s="3" t="s">
        <v>25</v>
      </c>
      <c r="G364" s="3" t="s">
        <v>25</v>
      </c>
      <c r="H364" s="3" t="s">
        <v>35</v>
      </c>
      <c r="I364" s="6">
        <v>44470</v>
      </c>
      <c r="J364" s="4">
        <v>0</v>
      </c>
      <c r="K364" s="70">
        <v>0</v>
      </c>
      <c r="L364" s="4">
        <v>29.234999999999999</v>
      </c>
      <c r="M364" s="70">
        <v>29.234999999999999</v>
      </c>
      <c r="N364" s="4">
        <v>29.234999999999999</v>
      </c>
      <c r="O364" s="70">
        <v>29.234999999999999</v>
      </c>
      <c r="P364" s="4">
        <v>0</v>
      </c>
      <c r="Q364" s="3" t="s">
        <v>26</v>
      </c>
      <c r="R364" s="3">
        <v>0</v>
      </c>
      <c r="S364" s="3">
        <v>0</v>
      </c>
      <c r="T364" s="3">
        <v>8</v>
      </c>
      <c r="U364" s="3">
        <v>72</v>
      </c>
      <c r="V364" s="70">
        <f>IF(ISERROR(VLOOKUP($S$364,'TAR FIN'!$A$1:$O$99,15,0)),0,VLOOKUP($S$364,'TAR FIN'!$A$1:$O$99,15,0))</f>
        <v>0</v>
      </c>
      <c r="W364" s="70">
        <f>IF(ISERROR(VLOOKUP($T$364,'TAR FIN'!$A$1:$O$99,15,0)),0,VLOOKUP($T$364,'TAR FIN'!$A$1:$O$99,15,0))*(1-0.04)</f>
        <v>1495.4304</v>
      </c>
      <c r="X364" s="70">
        <f>IF(ISERROR(VLOOKUP($U$364,'TAR FIN'!$A$1:$O$99,15,0)),0,VLOOKUP($U$364,'TAR FIN'!$A$1:$O$99,15,0))*(1-0.04)</f>
        <v>332.74560000000002</v>
      </c>
      <c r="Y364" s="70"/>
      <c r="Z364" s="70">
        <f ca="1">('TUSD BE'!$AM$22+'TUSD BF'!$AM$22+'TUSD CVA'!$AM$22)*1*(1-0.02)</f>
        <v>1763.14935965871</v>
      </c>
      <c r="AA364" s="70">
        <f>('TE BE'!$AA$7+'TE BF'!$AA$7+'TE CVA'!$AA$7)*1*(1-0.02)</f>
        <v>415.4185945530557</v>
      </c>
      <c r="AB364" s="70">
        <f>(SUBSIDIO!$J$364*SUBSIDIO!$V$364)*(0.04)/(1-0.04)</f>
        <v>0</v>
      </c>
      <c r="AC364" s="70">
        <f>((SUBSIDIO!$L$364*SUBSIDIO!$W$364)+(SUBSIDIO!$N$364*SUBSIDIO!$X$364))*(0.04)/(1-0.04)</f>
        <v>2226.9468899999997</v>
      </c>
      <c r="AD364" s="70">
        <f>(SUBSIDIO!$J$364*SUBSIDIO!$Y$364)*(0.02)/(1-0.02)</f>
        <v>0</v>
      </c>
      <c r="AE364" s="70">
        <f ca="1">((SUBSIDIO!$L$364*SUBSIDIO!$Z$364)+(SUBSIDIO!$N$364*SUBSIDIO!$AA$364))*(0.02)/(1-0.02)</f>
        <v>1299.8047783955299</v>
      </c>
      <c r="AF364" s="3" t="s">
        <v>951</v>
      </c>
    </row>
    <row r="365" spans="1:32" ht="11.25" customHeight="1" x14ac:dyDescent="0.25">
      <c r="A365" s="3" t="s">
        <v>21</v>
      </c>
      <c r="B365" s="3" t="s">
        <v>33</v>
      </c>
      <c r="C365" s="3" t="s">
        <v>34</v>
      </c>
      <c r="D365" s="3" t="s">
        <v>45</v>
      </c>
      <c r="E365" s="3" t="s">
        <v>53</v>
      </c>
      <c r="F365" s="3" t="s">
        <v>25</v>
      </c>
      <c r="G365" s="3" t="s">
        <v>25</v>
      </c>
      <c r="H365" s="3" t="s">
        <v>35</v>
      </c>
      <c r="I365" s="6">
        <v>44501</v>
      </c>
      <c r="J365" s="4">
        <v>0</v>
      </c>
      <c r="K365" s="70">
        <v>0</v>
      </c>
      <c r="L365" s="4">
        <v>43.805999999999997</v>
      </c>
      <c r="M365" s="70">
        <v>43.805999999999997</v>
      </c>
      <c r="N365" s="4">
        <v>43.805999999999997</v>
      </c>
      <c r="O365" s="70">
        <v>43.805999999999997</v>
      </c>
      <c r="P365" s="4">
        <v>0</v>
      </c>
      <c r="Q365" s="3" t="s">
        <v>26</v>
      </c>
      <c r="R365" s="3">
        <v>0</v>
      </c>
      <c r="S365" s="3">
        <v>0</v>
      </c>
      <c r="T365" s="3">
        <v>8</v>
      </c>
      <c r="U365" s="3">
        <v>72</v>
      </c>
      <c r="V365" s="70">
        <f>IF(ISERROR(VLOOKUP($S$365,'TAR FIN'!$A$1:$O$99,15,0)),0,VLOOKUP($S$365,'TAR FIN'!$A$1:$O$99,15,0))</f>
        <v>0</v>
      </c>
      <c r="W365" s="70">
        <f>IF(ISERROR(VLOOKUP($T$365,'TAR FIN'!$A$1:$O$99,15,0)),0,VLOOKUP($T$365,'TAR FIN'!$A$1:$O$99,15,0))*(1-0.04)</f>
        <v>1495.4304</v>
      </c>
      <c r="X365" s="70">
        <f>IF(ISERROR(VLOOKUP($U$365,'TAR FIN'!$A$1:$O$99,15,0)),0,VLOOKUP($U$365,'TAR FIN'!$A$1:$O$99,15,0))*(1-0.04)</f>
        <v>332.74560000000002</v>
      </c>
      <c r="Y365" s="70"/>
      <c r="Z365" s="70">
        <f ca="1">('TUSD BE'!$AM$22+'TUSD BF'!$AM$22+'TUSD CVA'!$AM$22)*1*(1-0.02)</f>
        <v>1763.14935965871</v>
      </c>
      <c r="AA365" s="70">
        <f>('TE BE'!$AA$7+'TE BF'!$AA$7+'TE CVA'!$AA$7)*1*(1-0.02)</f>
        <v>415.4185945530557</v>
      </c>
      <c r="AB365" s="70">
        <f>(SUBSIDIO!$J$365*SUBSIDIO!$V$365)*(0.04)/(1-0.04)</f>
        <v>0</v>
      </c>
      <c r="AC365" s="70">
        <f>((SUBSIDIO!$L$365*SUBSIDIO!$W$365)+(SUBSIDIO!$N$365*SUBSIDIO!$X$365))*(0.04)/(1-0.04)</f>
        <v>3336.8782439999995</v>
      </c>
      <c r="AD365" s="70">
        <f>(SUBSIDIO!$J$365*SUBSIDIO!$Y$365)*(0.02)/(1-0.02)</f>
        <v>0</v>
      </c>
      <c r="AE365" s="70">
        <f ca="1">((SUBSIDIO!$L$365*SUBSIDIO!$Z$365)+(SUBSIDIO!$N$365*SUBSIDIO!$AA$365))*(0.02)/(1-0.02)</f>
        <v>1947.6397510653183</v>
      </c>
      <c r="AF365" s="3" t="s">
        <v>951</v>
      </c>
    </row>
    <row r="366" spans="1:32" ht="11.25" customHeight="1" x14ac:dyDescent="0.25">
      <c r="A366" s="3" t="s">
        <v>21</v>
      </c>
      <c r="B366" s="3" t="s">
        <v>33</v>
      </c>
      <c r="C366" s="3" t="s">
        <v>34</v>
      </c>
      <c r="D366" s="3" t="s">
        <v>45</v>
      </c>
      <c r="E366" s="3" t="s">
        <v>53</v>
      </c>
      <c r="F366" s="3" t="s">
        <v>25</v>
      </c>
      <c r="G366" s="3" t="s">
        <v>25</v>
      </c>
      <c r="H366" s="3" t="s">
        <v>35</v>
      </c>
      <c r="I366" s="6">
        <v>44531</v>
      </c>
      <c r="J366" s="4">
        <v>0</v>
      </c>
      <c r="K366" s="70">
        <v>0</v>
      </c>
      <c r="L366" s="4">
        <v>34.412999999999997</v>
      </c>
      <c r="M366" s="70">
        <v>34.412999999999997</v>
      </c>
      <c r="N366" s="4">
        <v>34.412999999999997</v>
      </c>
      <c r="O366" s="70">
        <v>34.412999999999997</v>
      </c>
      <c r="P366" s="4">
        <v>0</v>
      </c>
      <c r="Q366" s="3" t="s">
        <v>26</v>
      </c>
      <c r="R366" s="3">
        <v>0</v>
      </c>
      <c r="S366" s="3">
        <v>0</v>
      </c>
      <c r="T366" s="3">
        <v>8</v>
      </c>
      <c r="U366" s="3">
        <v>72</v>
      </c>
      <c r="V366" s="70">
        <f>IF(ISERROR(VLOOKUP($S$366,'TAR FIN'!$A$1:$O$99,15,0)),0,VLOOKUP($S$366,'TAR FIN'!$A$1:$O$99,15,0))</f>
        <v>0</v>
      </c>
      <c r="W366" s="70">
        <f>IF(ISERROR(VLOOKUP($T$366,'TAR FIN'!$A$1:$O$99,15,0)),0,VLOOKUP($T$366,'TAR FIN'!$A$1:$O$99,15,0))*(1-0.04)</f>
        <v>1495.4304</v>
      </c>
      <c r="X366" s="70">
        <f>IF(ISERROR(VLOOKUP($U$366,'TAR FIN'!$A$1:$O$99,15,0)),0,VLOOKUP($U$366,'TAR FIN'!$A$1:$O$99,15,0))*(1-0.04)</f>
        <v>332.74560000000002</v>
      </c>
      <c r="Y366" s="70"/>
      <c r="Z366" s="70">
        <f ca="1">('TUSD BE'!$AM$22+'TUSD BF'!$AM$22+'TUSD CVA'!$AM$22)*1*(1-0.02)</f>
        <v>1763.14935965871</v>
      </c>
      <c r="AA366" s="70">
        <f>('TE BE'!$AA$7+'TE BF'!$AA$7+'TE CVA'!$AA$7)*1*(1-0.02)</f>
        <v>415.4185945530557</v>
      </c>
      <c r="AB366" s="70">
        <f>(SUBSIDIO!$J$366*SUBSIDIO!$V$366)*(0.04)/(1-0.04)</f>
        <v>0</v>
      </c>
      <c r="AC366" s="70">
        <f>((SUBSIDIO!$L$366*SUBSIDIO!$W$366)+(SUBSIDIO!$N$366*SUBSIDIO!$X$366))*(0.04)/(1-0.04)</f>
        <v>2621.3758619999999</v>
      </c>
      <c r="AD366" s="70">
        <f>(SUBSIDIO!$J$366*SUBSIDIO!$Y$366)*(0.02)/(1-0.02)</f>
        <v>0</v>
      </c>
      <c r="AE366" s="70">
        <f ca="1">((SUBSIDIO!$L$366*SUBSIDIO!$Z$366)+(SUBSIDIO!$N$366*SUBSIDIO!$AA$366))*(0.02)/(1-0.02)</f>
        <v>1530.0216124140711</v>
      </c>
      <c r="AF366" s="3" t="s">
        <v>951</v>
      </c>
    </row>
    <row r="367" spans="1:32" ht="11.25" customHeight="1" x14ac:dyDescent="0.25">
      <c r="A367" s="3" t="s">
        <v>21</v>
      </c>
      <c r="B367" s="3" t="s">
        <v>33</v>
      </c>
      <c r="C367" s="3" t="s">
        <v>34</v>
      </c>
      <c r="D367" s="3" t="s">
        <v>45</v>
      </c>
      <c r="E367" s="3" t="s">
        <v>53</v>
      </c>
      <c r="F367" s="3" t="s">
        <v>25</v>
      </c>
      <c r="G367" s="3" t="s">
        <v>25</v>
      </c>
      <c r="H367" s="3" t="s">
        <v>35</v>
      </c>
      <c r="I367" s="6">
        <v>44562</v>
      </c>
      <c r="J367" s="4">
        <v>0</v>
      </c>
      <c r="K367" s="70">
        <v>0</v>
      </c>
      <c r="L367" s="4">
        <v>46.701999999999998</v>
      </c>
      <c r="M367" s="70">
        <v>46.701999999999998</v>
      </c>
      <c r="N367" s="4">
        <v>46.701999999999998</v>
      </c>
      <c r="O367" s="70">
        <v>46.701999999999998</v>
      </c>
      <c r="P367" s="4">
        <v>0</v>
      </c>
      <c r="Q367" s="3" t="s">
        <v>26</v>
      </c>
      <c r="R367" s="3">
        <v>0</v>
      </c>
      <c r="S367" s="3">
        <v>0</v>
      </c>
      <c r="T367" s="3">
        <v>8</v>
      </c>
      <c r="U367" s="3">
        <v>72</v>
      </c>
      <c r="V367" s="70">
        <f>IF(ISERROR(VLOOKUP($S$367,'TAR FIN'!$A$1:$O$99,15,0)),0,VLOOKUP($S$367,'TAR FIN'!$A$1:$O$99,15,0))</f>
        <v>0</v>
      </c>
      <c r="W367" s="70">
        <f>IF(ISERROR(VLOOKUP($T$367,'TAR FIN'!$A$1:$O$99,15,0)),0,VLOOKUP($T$367,'TAR FIN'!$A$1:$O$99,15,0))*(1-0.04)</f>
        <v>1495.4304</v>
      </c>
      <c r="X367" s="70">
        <f>IF(ISERROR(VLOOKUP($U$367,'TAR FIN'!$A$1:$O$99,15,0)),0,VLOOKUP($U$367,'TAR FIN'!$A$1:$O$99,15,0))*(1-0.04)</f>
        <v>332.74560000000002</v>
      </c>
      <c r="Y367" s="70"/>
      <c r="Z367" s="70">
        <f ca="1">('TUSD BE'!$AM$22+'TUSD BF'!$AM$22+'TUSD CVA'!$AM$22)*1*(1-0.02)</f>
        <v>1763.14935965871</v>
      </c>
      <c r="AA367" s="70">
        <f>('TE BE'!$AA$7+'TE BF'!$AA$7+'TE CVA'!$AA$7)*1*(1-0.02)</f>
        <v>415.4185945530557</v>
      </c>
      <c r="AB367" s="70">
        <f>(SUBSIDIO!$J$367*SUBSIDIO!$V$367)*(0.04)/(1-0.04)</f>
        <v>0</v>
      </c>
      <c r="AC367" s="70">
        <f>((SUBSIDIO!$L$367*SUBSIDIO!$W$367)+(SUBSIDIO!$N$367*SUBSIDIO!$X$367))*(0.04)/(1-0.04)</f>
        <v>3557.4781479999997</v>
      </c>
      <c r="AD367" s="70">
        <f>(SUBSIDIO!$J$367*SUBSIDIO!$Y$367)*(0.02)/(1-0.02)</f>
        <v>0</v>
      </c>
      <c r="AE367" s="70">
        <f ca="1">((SUBSIDIO!$L$367*SUBSIDIO!$Z$367)+(SUBSIDIO!$N$367*SUBSIDIO!$AA$367))*(0.02)/(1-0.02)</f>
        <v>2076.3975632162833</v>
      </c>
      <c r="AF367" s="3" t="s">
        <v>951</v>
      </c>
    </row>
    <row r="368" spans="1:32" ht="11.25" customHeight="1" x14ac:dyDescent="0.25">
      <c r="A368" s="3" t="s">
        <v>21</v>
      </c>
      <c r="B368" s="3" t="s">
        <v>33</v>
      </c>
      <c r="C368" s="3" t="s">
        <v>34</v>
      </c>
      <c r="D368" s="3" t="s">
        <v>45</v>
      </c>
      <c r="E368" s="3" t="s">
        <v>53</v>
      </c>
      <c r="F368" s="3" t="s">
        <v>25</v>
      </c>
      <c r="G368" s="3" t="s">
        <v>25</v>
      </c>
      <c r="H368" s="3" t="s">
        <v>35</v>
      </c>
      <c r="I368" s="6">
        <v>44593</v>
      </c>
      <c r="J368" s="4">
        <v>0</v>
      </c>
      <c r="K368" s="70">
        <v>0</v>
      </c>
      <c r="L368" s="4">
        <v>38.884999999999998</v>
      </c>
      <c r="M368" s="70">
        <v>38.884999999999998</v>
      </c>
      <c r="N368" s="4">
        <v>38.884999999999998</v>
      </c>
      <c r="O368" s="70">
        <v>38.884999999999998</v>
      </c>
      <c r="P368" s="4">
        <v>0</v>
      </c>
      <c r="Q368" s="3" t="s">
        <v>26</v>
      </c>
      <c r="R368" s="3">
        <v>0</v>
      </c>
      <c r="S368" s="3">
        <v>0</v>
      </c>
      <c r="T368" s="3">
        <v>8</v>
      </c>
      <c r="U368" s="3">
        <v>72</v>
      </c>
      <c r="V368" s="70">
        <f>IF(ISERROR(VLOOKUP($S$368,'TAR FIN'!$A$1:$O$99,15,0)),0,VLOOKUP($S$368,'TAR FIN'!$A$1:$O$99,15,0))</f>
        <v>0</v>
      </c>
      <c r="W368" s="70">
        <f>IF(ISERROR(VLOOKUP($T$368,'TAR FIN'!$A$1:$O$99,15,0)),0,VLOOKUP($T$368,'TAR FIN'!$A$1:$O$99,15,0))*(1-0.04)</f>
        <v>1495.4304</v>
      </c>
      <c r="X368" s="70">
        <f>IF(ISERROR(VLOOKUP($U$368,'TAR FIN'!$A$1:$O$99,15,0)),0,VLOOKUP($U$368,'TAR FIN'!$A$1:$O$99,15,0))*(1-0.04)</f>
        <v>332.74560000000002</v>
      </c>
      <c r="Y368" s="70"/>
      <c r="Z368" s="70">
        <f ca="1">('TUSD BE'!$AM$22+'TUSD BF'!$AM$22+'TUSD CVA'!$AM$22)*1*(1-0.02)</f>
        <v>1763.14935965871</v>
      </c>
      <c r="AA368" s="70">
        <f>('TE BE'!$AA$7+'TE BF'!$AA$7+'TE CVA'!$AA$7)*1*(1-0.02)</f>
        <v>415.4185945530557</v>
      </c>
      <c r="AB368" s="70">
        <f>(SUBSIDIO!$J$368*SUBSIDIO!$V$368)*(0.04)/(1-0.04)</f>
        <v>0</v>
      </c>
      <c r="AC368" s="70">
        <f>((SUBSIDIO!$L$368*SUBSIDIO!$W$368)+(SUBSIDIO!$N$368*SUBSIDIO!$X$368))*(0.04)/(1-0.04)</f>
        <v>2962.0259899999996</v>
      </c>
      <c r="AD368" s="70">
        <f>(SUBSIDIO!$J$368*SUBSIDIO!$Y$368)*(0.02)/(1-0.02)</f>
        <v>0</v>
      </c>
      <c r="AE368" s="70">
        <f ca="1">((SUBSIDIO!$L$368*SUBSIDIO!$Z$368)+(SUBSIDIO!$N$368*SUBSIDIO!$AA$368))*(0.02)/(1-0.02)</f>
        <v>1728.8492836637656</v>
      </c>
      <c r="AF368" s="3" t="s">
        <v>951</v>
      </c>
    </row>
    <row r="369" spans="1:32" ht="11.25" customHeight="1" x14ac:dyDescent="0.25">
      <c r="A369" s="3" t="s">
        <v>21</v>
      </c>
      <c r="B369" s="3" t="s">
        <v>33</v>
      </c>
      <c r="C369" s="3" t="s">
        <v>34</v>
      </c>
      <c r="D369" s="3" t="s">
        <v>45</v>
      </c>
      <c r="E369" s="3" t="s">
        <v>53</v>
      </c>
      <c r="F369" s="3" t="s">
        <v>25</v>
      </c>
      <c r="G369" s="3" t="s">
        <v>25</v>
      </c>
      <c r="H369" s="3" t="s">
        <v>35</v>
      </c>
      <c r="I369" s="6">
        <v>44621</v>
      </c>
      <c r="J369" s="4">
        <v>0</v>
      </c>
      <c r="K369" s="70">
        <v>0</v>
      </c>
      <c r="L369" s="4">
        <v>23.085000000000001</v>
      </c>
      <c r="M369" s="70">
        <v>23.085000000000001</v>
      </c>
      <c r="N369" s="4">
        <v>23.085000000000001</v>
      </c>
      <c r="O369" s="70">
        <v>23.085000000000001</v>
      </c>
      <c r="P369" s="4">
        <v>0</v>
      </c>
      <c r="Q369" s="3" t="s">
        <v>26</v>
      </c>
      <c r="R369" s="3">
        <v>0</v>
      </c>
      <c r="S369" s="3">
        <v>0</v>
      </c>
      <c r="T369" s="3">
        <v>8</v>
      </c>
      <c r="U369" s="3">
        <v>72</v>
      </c>
      <c r="V369" s="70">
        <f>IF(ISERROR(VLOOKUP($S$369,'TAR FIN'!$A$1:$O$99,15,0)),0,VLOOKUP($S$369,'TAR FIN'!$A$1:$O$99,15,0))</f>
        <v>0</v>
      </c>
      <c r="W369" s="70">
        <f>IF(ISERROR(VLOOKUP($T$369,'TAR FIN'!$A$1:$O$99,15,0)),0,VLOOKUP($T$369,'TAR FIN'!$A$1:$O$99,15,0))*(1-0.04)</f>
        <v>1495.4304</v>
      </c>
      <c r="X369" s="70">
        <f>IF(ISERROR(VLOOKUP($U$369,'TAR FIN'!$A$1:$O$99,15,0)),0,VLOOKUP($U$369,'TAR FIN'!$A$1:$O$99,15,0))*(1-0.04)</f>
        <v>332.74560000000002</v>
      </c>
      <c r="Y369" s="70"/>
      <c r="Z369" s="70">
        <f ca="1">('TUSD BE'!$AM$22+'TUSD BF'!$AM$22+'TUSD CVA'!$AM$22)*1*(1-0.02)</f>
        <v>1763.14935965871</v>
      </c>
      <c r="AA369" s="70">
        <f>('TE BE'!$AA$7+'TE BF'!$AA$7+'TE CVA'!$AA$7)*1*(1-0.02)</f>
        <v>415.4185945530557</v>
      </c>
      <c r="AB369" s="70">
        <f>(SUBSIDIO!$J$369*SUBSIDIO!$V$369)*(0.04)/(1-0.04)</f>
        <v>0</v>
      </c>
      <c r="AC369" s="70">
        <f>((SUBSIDIO!$L$369*SUBSIDIO!$W$369)+(SUBSIDIO!$N$369*SUBSIDIO!$X$369))*(0.04)/(1-0.04)</f>
        <v>1758.4767900000002</v>
      </c>
      <c r="AD369" s="70">
        <f>(SUBSIDIO!$J$369*SUBSIDIO!$Y$369)*(0.02)/(1-0.02)</f>
        <v>0</v>
      </c>
      <c r="AE369" s="70">
        <f ca="1">((SUBSIDIO!$L$369*SUBSIDIO!$Z$369)+(SUBSIDIO!$N$369*SUBSIDIO!$AA$369))*(0.02)/(1-0.02)</f>
        <v>1026.3722698567065</v>
      </c>
      <c r="AF369" s="3" t="s">
        <v>951</v>
      </c>
    </row>
    <row r="370" spans="1:32" ht="11.25" customHeight="1" x14ac:dyDescent="0.25">
      <c r="A370" s="3" t="s">
        <v>27</v>
      </c>
      <c r="B370" s="3" t="s">
        <v>33</v>
      </c>
      <c r="C370" s="3" t="s">
        <v>34</v>
      </c>
      <c r="D370" s="3" t="s">
        <v>45</v>
      </c>
      <c r="E370" s="3" t="s">
        <v>53</v>
      </c>
      <c r="F370" s="3" t="s">
        <v>25</v>
      </c>
      <c r="G370" s="3" t="s">
        <v>25</v>
      </c>
      <c r="H370" s="3" t="s">
        <v>35</v>
      </c>
      <c r="I370" s="6">
        <v>44621</v>
      </c>
      <c r="J370" s="4">
        <v>0</v>
      </c>
      <c r="K370" s="70">
        <v>0</v>
      </c>
      <c r="L370" s="4">
        <v>-11.449</v>
      </c>
      <c r="M370" s="70">
        <v>-11.449</v>
      </c>
      <c r="N370" s="4">
        <v>-11.449</v>
      </c>
      <c r="O370" s="70">
        <v>-11.449</v>
      </c>
      <c r="P370" s="4">
        <v>0</v>
      </c>
      <c r="Q370" s="3" t="s">
        <v>26</v>
      </c>
      <c r="R370" s="3">
        <v>0</v>
      </c>
      <c r="S370" s="3">
        <v>0</v>
      </c>
      <c r="T370" s="3">
        <v>8</v>
      </c>
      <c r="U370" s="3">
        <v>72</v>
      </c>
      <c r="V370" s="70">
        <f>IF(ISERROR(VLOOKUP($S$370,'TAR FIN'!$A$1:$O$99,15,0)),0,VLOOKUP($S$370,'TAR FIN'!$A$1:$O$99,15,0))</f>
        <v>0</v>
      </c>
      <c r="W370" s="70">
        <f>IF(ISERROR(VLOOKUP($T$370,'TAR FIN'!$A$1:$O$99,15,0)),0,VLOOKUP($T$370,'TAR FIN'!$A$1:$O$99,15,0))*(1-0.04)</f>
        <v>1495.4304</v>
      </c>
      <c r="X370" s="70">
        <f>IF(ISERROR(VLOOKUP($U$370,'TAR FIN'!$A$1:$O$99,15,0)),0,VLOOKUP($U$370,'TAR FIN'!$A$1:$O$99,15,0))*(1-0.04)</f>
        <v>332.74560000000002</v>
      </c>
      <c r="Y370" s="70"/>
      <c r="Z370" s="70">
        <f ca="1">('TUSD BE'!$AM$22+'TUSD BF'!$AM$22+'TUSD CVA'!$AM$22)*1*(1-0.02)</f>
        <v>1763.14935965871</v>
      </c>
      <c r="AA370" s="70">
        <f>('TE BE'!$AA$7+'TE BF'!$AA$7+'TE CVA'!$AA$7)*1*(1-0.02)</f>
        <v>415.4185945530557</v>
      </c>
      <c r="AB370" s="70">
        <f>(SUBSIDIO!$J$370*SUBSIDIO!$V$370)*(0.04)/(1-0.04)</f>
        <v>0</v>
      </c>
      <c r="AC370" s="70">
        <f>((SUBSIDIO!$L$370*SUBSIDIO!$W$370)+(SUBSIDIO!$N$370*SUBSIDIO!$X$370))*(0.04)/(1-0.04)</f>
        <v>-872.11612600000012</v>
      </c>
      <c r="AD370" s="70">
        <f>(SUBSIDIO!$J$370*SUBSIDIO!$Y$370)*(0.02)/(1-0.02)</f>
        <v>0</v>
      </c>
      <c r="AE370" s="70">
        <f ca="1">((SUBSIDIO!$L$370*SUBSIDIO!$Z$370)+(SUBSIDIO!$N$370*SUBSIDIO!$AA$370))*(0.02)/(1-0.02)</f>
        <v>-509.02907158715317</v>
      </c>
      <c r="AF370" s="3" t="s">
        <v>951</v>
      </c>
    </row>
    <row r="371" spans="1:32" ht="11.25" customHeight="1" x14ac:dyDescent="0.25">
      <c r="A371" s="3" t="s">
        <v>56</v>
      </c>
      <c r="B371" s="3" t="s">
        <v>33</v>
      </c>
      <c r="C371" s="3" t="s">
        <v>34</v>
      </c>
      <c r="D371" s="3" t="s">
        <v>45</v>
      </c>
      <c r="E371" s="3" t="s">
        <v>53</v>
      </c>
      <c r="F371" s="3" t="s">
        <v>25</v>
      </c>
      <c r="G371" s="3" t="s">
        <v>25</v>
      </c>
      <c r="H371" s="3" t="s">
        <v>35</v>
      </c>
      <c r="I371" s="6">
        <v>44652</v>
      </c>
      <c r="J371" s="4">
        <v>0</v>
      </c>
      <c r="K371" s="70">
        <v>0</v>
      </c>
      <c r="L371" s="4">
        <v>23.085000000000001</v>
      </c>
      <c r="M371" s="70">
        <v>23.085000000000001</v>
      </c>
      <c r="N371" s="4">
        <v>23.085000000000001</v>
      </c>
      <c r="O371" s="70">
        <v>23.085000000000001</v>
      </c>
      <c r="P371" s="4">
        <v>0</v>
      </c>
      <c r="Q371" s="3" t="s">
        <v>26</v>
      </c>
      <c r="R371" s="3">
        <v>0</v>
      </c>
      <c r="S371" s="3">
        <v>0</v>
      </c>
      <c r="T371" s="3">
        <v>8</v>
      </c>
      <c r="U371" s="3">
        <v>72</v>
      </c>
      <c r="V371" s="70">
        <f>IF(ISERROR(VLOOKUP($S$371,'TAR FIN'!$A$1:$O$99,15,0)),0,VLOOKUP($S$371,'TAR FIN'!$A$1:$O$99,15,0))</f>
        <v>0</v>
      </c>
      <c r="W371" s="70">
        <f>IF(ISERROR(VLOOKUP($T$371,'TAR FIN'!$A$1:$O$99,15,0)),0,VLOOKUP($T$371,'TAR FIN'!$A$1:$O$99,15,0))*(1-0.04)</f>
        <v>1495.4304</v>
      </c>
      <c r="X371" s="70">
        <f>IF(ISERROR(VLOOKUP($U$371,'TAR FIN'!$A$1:$O$99,15,0)),0,VLOOKUP($U$371,'TAR FIN'!$A$1:$O$99,15,0))*(1-0.04)</f>
        <v>332.74560000000002</v>
      </c>
      <c r="Y371" s="70"/>
      <c r="Z371" s="70">
        <f ca="1">('TUSD BE'!$AM$22+'TUSD BF'!$AM$22+'TUSD CVA'!$AM$22)*1*(1-0.02)</f>
        <v>1763.14935965871</v>
      </c>
      <c r="AA371" s="70">
        <f>('TE BE'!$AA$7+'TE BF'!$AA$7+'TE CVA'!$AA$7)*1*(1-0.02)</f>
        <v>415.4185945530557</v>
      </c>
      <c r="AB371" s="70">
        <f>(SUBSIDIO!$J$371*SUBSIDIO!$V$371)*(0.04)/(1-0.04)</f>
        <v>0</v>
      </c>
      <c r="AC371" s="70">
        <f>((SUBSIDIO!$L$371*SUBSIDIO!$W$371)+(SUBSIDIO!$N$371*SUBSIDIO!$X$371))*(0.04)/(1-0.04)</f>
        <v>1758.4767900000002</v>
      </c>
      <c r="AD371" s="70">
        <f>(SUBSIDIO!$J$371*SUBSIDIO!$Y$371)*(0.02)/(1-0.02)</f>
        <v>0</v>
      </c>
      <c r="AE371" s="70">
        <f ca="1">((SUBSIDIO!$L$371*SUBSIDIO!$Z$371)+(SUBSIDIO!$N$371*SUBSIDIO!$AA$371))*(0.02)/(1-0.02)</f>
        <v>1026.3722698567065</v>
      </c>
      <c r="AF371" s="3" t="s">
        <v>951</v>
      </c>
    </row>
    <row r="372" spans="1:32" ht="11.25" customHeight="1" x14ac:dyDescent="0.25">
      <c r="A372" s="3" t="s">
        <v>56</v>
      </c>
      <c r="B372" s="3" t="s">
        <v>33</v>
      </c>
      <c r="C372" s="3" t="s">
        <v>34</v>
      </c>
      <c r="D372" s="3" t="s">
        <v>45</v>
      </c>
      <c r="E372" s="3" t="s">
        <v>53</v>
      </c>
      <c r="F372" s="3" t="s">
        <v>25</v>
      </c>
      <c r="G372" s="3" t="s">
        <v>25</v>
      </c>
      <c r="H372" s="3" t="s">
        <v>35</v>
      </c>
      <c r="I372" s="6">
        <v>44652</v>
      </c>
      <c r="J372" s="4">
        <v>0</v>
      </c>
      <c r="K372" s="70">
        <v>0</v>
      </c>
      <c r="L372" s="4">
        <v>-11.449</v>
      </c>
      <c r="M372" s="70">
        <v>-11.449</v>
      </c>
      <c r="N372" s="4">
        <v>-11.449</v>
      </c>
      <c r="O372" s="70">
        <v>-11.449</v>
      </c>
      <c r="P372" s="4">
        <v>0</v>
      </c>
      <c r="Q372" s="3" t="s">
        <v>26</v>
      </c>
      <c r="R372" s="3">
        <v>0</v>
      </c>
      <c r="S372" s="3">
        <v>0</v>
      </c>
      <c r="T372" s="3">
        <v>8</v>
      </c>
      <c r="U372" s="3">
        <v>72</v>
      </c>
      <c r="V372" s="70">
        <f>IF(ISERROR(VLOOKUP($S$372,'TAR FIN'!$A$1:$O$99,15,0)),0,VLOOKUP($S$372,'TAR FIN'!$A$1:$O$99,15,0))</f>
        <v>0</v>
      </c>
      <c r="W372" s="70">
        <f>IF(ISERROR(VLOOKUP($T$372,'TAR FIN'!$A$1:$O$99,15,0)),0,VLOOKUP($T$372,'TAR FIN'!$A$1:$O$99,15,0))*(1-0.04)</f>
        <v>1495.4304</v>
      </c>
      <c r="X372" s="70">
        <f>IF(ISERROR(VLOOKUP($U$372,'TAR FIN'!$A$1:$O$99,15,0)),0,VLOOKUP($U$372,'TAR FIN'!$A$1:$O$99,15,0))*(1-0.04)</f>
        <v>332.74560000000002</v>
      </c>
      <c r="Y372" s="70"/>
      <c r="Z372" s="70">
        <f ca="1">('TUSD BE'!$AM$22+'TUSD BF'!$AM$22+'TUSD CVA'!$AM$22)*1*(1-0.02)</f>
        <v>1763.14935965871</v>
      </c>
      <c r="AA372" s="70">
        <f>('TE BE'!$AA$7+'TE BF'!$AA$7+'TE CVA'!$AA$7)*1*(1-0.02)</f>
        <v>415.4185945530557</v>
      </c>
      <c r="AB372" s="70">
        <f>(SUBSIDIO!$J$372*SUBSIDIO!$V$372)*(0.04)/(1-0.04)</f>
        <v>0</v>
      </c>
      <c r="AC372" s="70">
        <f>((SUBSIDIO!$L$372*SUBSIDIO!$W$372)+(SUBSIDIO!$N$372*SUBSIDIO!$X$372))*(0.04)/(1-0.04)</f>
        <v>-872.11612600000012</v>
      </c>
      <c r="AD372" s="70">
        <f>(SUBSIDIO!$J$372*SUBSIDIO!$Y$372)*(0.02)/(1-0.02)</f>
        <v>0</v>
      </c>
      <c r="AE372" s="70">
        <f ca="1">((SUBSIDIO!$L$372*SUBSIDIO!$Z$372)+(SUBSIDIO!$N$372*SUBSIDIO!$AA$372))*(0.02)/(1-0.02)</f>
        <v>-509.02907158715317</v>
      </c>
      <c r="AF372" s="3" t="s">
        <v>951</v>
      </c>
    </row>
    <row r="373" spans="1:32" ht="11.25" customHeight="1" x14ac:dyDescent="0.25">
      <c r="A373" s="3" t="s">
        <v>21</v>
      </c>
      <c r="B373" s="3" t="s">
        <v>33</v>
      </c>
      <c r="C373" s="3" t="s">
        <v>34</v>
      </c>
      <c r="D373" s="3" t="s">
        <v>45</v>
      </c>
      <c r="E373" s="3" t="s">
        <v>25</v>
      </c>
      <c r="F373" s="3" t="s">
        <v>25</v>
      </c>
      <c r="G373" s="3" t="s">
        <v>25</v>
      </c>
      <c r="H373" s="3" t="s">
        <v>36</v>
      </c>
      <c r="I373" s="6">
        <v>44317</v>
      </c>
      <c r="J373" s="4">
        <v>0</v>
      </c>
      <c r="K373" s="70">
        <v>0</v>
      </c>
      <c r="L373" s="4">
        <v>1020.134</v>
      </c>
      <c r="M373" s="70">
        <v>1020.134</v>
      </c>
      <c r="N373" s="4">
        <v>1020.134</v>
      </c>
      <c r="O373" s="70">
        <v>1020.134</v>
      </c>
      <c r="P373" s="4">
        <v>0</v>
      </c>
      <c r="Q373" s="3" t="s">
        <v>26</v>
      </c>
      <c r="R373" s="3">
        <v>0</v>
      </c>
      <c r="S373" s="3">
        <v>0</v>
      </c>
      <c r="T373" s="3">
        <v>29</v>
      </c>
      <c r="U373" s="3">
        <v>73</v>
      </c>
      <c r="V373" s="70">
        <f>IF(ISERROR(VLOOKUP($S$373,'TAR FIN'!$A$1:$O$99,15,0)),0,VLOOKUP($S$373,'TAR FIN'!$A$1:$O$99,15,0))</f>
        <v>0</v>
      </c>
      <c r="W373" s="70">
        <f>IF(ISERROR(VLOOKUP($T$373,'TAR FIN'!$A$1:$O$99,15,0)),0,VLOOKUP($T$373,'TAR FIN'!$A$1:$O$99,15,0))*(1-0.04)</f>
        <v>93.70559999999999</v>
      </c>
      <c r="X373" s="70">
        <f>IF(ISERROR(VLOOKUP($U$373,'TAR FIN'!$A$1:$O$99,15,0)),0,VLOOKUP($U$373,'TAR FIN'!$A$1:$O$99,15,0))*(1-0.04)</f>
        <v>211.1712</v>
      </c>
      <c r="Y373" s="70"/>
      <c r="Z373" s="70">
        <f ca="1">('TUSD BE'!$AM$23+'TUSD BF'!$AM$23+'TUSD CVA'!$AM$23)*1*(1-0.02)</f>
        <v>115.23932238737589</v>
      </c>
      <c r="AA373" s="70">
        <f>('TE BE'!$AA$8+'TE BF'!$AA$8+'TE CVA'!$AA$8)*1*(1-0.02)</f>
        <v>265.71632769942346</v>
      </c>
      <c r="AB373" s="70">
        <f>(SUBSIDIO!$J$373*SUBSIDIO!$V$373)*(0.04)/(1-0.04)</f>
        <v>0</v>
      </c>
      <c r="AC373" s="70">
        <f>((SUBSIDIO!$L$373*SUBSIDIO!$W$373)+(SUBSIDIO!$N$373*SUBSIDIO!$X$373))*(0.04)/(1-0.04)</f>
        <v>12958.9662288</v>
      </c>
      <c r="AD373" s="70">
        <f>(SUBSIDIO!$J$373*SUBSIDIO!$Y$373)*(0.02)/(1-0.02)</f>
        <v>0</v>
      </c>
      <c r="AE373" s="70">
        <f ca="1">((SUBSIDIO!$L$373*SUBSIDIO!$Z$373)+(SUBSIDIO!$N$373*SUBSIDIO!$AA$373))*(0.02)/(1-0.02)</f>
        <v>7931.1390029723871</v>
      </c>
      <c r="AF373" s="3" t="s">
        <v>951</v>
      </c>
    </row>
    <row r="374" spans="1:32" ht="11.25" customHeight="1" x14ac:dyDescent="0.25">
      <c r="A374" s="3" t="s">
        <v>28</v>
      </c>
      <c r="B374" s="3" t="s">
        <v>33</v>
      </c>
      <c r="C374" s="3" t="s">
        <v>34</v>
      </c>
      <c r="D374" s="3" t="s">
        <v>45</v>
      </c>
      <c r="E374" s="3" t="s">
        <v>25</v>
      </c>
      <c r="F374" s="3" t="s">
        <v>25</v>
      </c>
      <c r="G374" s="3" t="s">
        <v>25</v>
      </c>
      <c r="H374" s="3" t="s">
        <v>36</v>
      </c>
      <c r="I374" s="6">
        <v>44317</v>
      </c>
      <c r="J374" s="4">
        <v>0</v>
      </c>
      <c r="K374" s="70">
        <v>0</v>
      </c>
      <c r="L374" s="4">
        <v>4.2039999999999997</v>
      </c>
      <c r="M374" s="70">
        <v>4.2039999999999997</v>
      </c>
      <c r="N374" s="4">
        <v>4.2039999999999997</v>
      </c>
      <c r="O374" s="70">
        <v>4.2039999999999997</v>
      </c>
      <c r="P374" s="4">
        <v>0</v>
      </c>
      <c r="Q374" s="3" t="s">
        <v>26</v>
      </c>
      <c r="R374" s="3">
        <v>0</v>
      </c>
      <c r="S374" s="3">
        <v>0</v>
      </c>
      <c r="T374" s="3">
        <v>29</v>
      </c>
      <c r="U374" s="3">
        <v>73</v>
      </c>
      <c r="V374" s="70">
        <f>IF(ISERROR(VLOOKUP($S$374,'TAR FIN'!$A$1:$O$99,15,0)),0,VLOOKUP($S$374,'TAR FIN'!$A$1:$O$99,15,0))</f>
        <v>0</v>
      </c>
      <c r="W374" s="70">
        <f>IF(ISERROR(VLOOKUP($T$374,'TAR FIN'!$A$1:$O$99,15,0)),0,VLOOKUP($T$374,'TAR FIN'!$A$1:$O$99,15,0))*(1-0.04)</f>
        <v>93.70559999999999</v>
      </c>
      <c r="X374" s="70">
        <f>IF(ISERROR(VLOOKUP($U$374,'TAR FIN'!$A$1:$O$99,15,0)),0,VLOOKUP($U$374,'TAR FIN'!$A$1:$O$99,15,0))*(1-0.04)</f>
        <v>211.1712</v>
      </c>
      <c r="Y374" s="70"/>
      <c r="Z374" s="70">
        <f ca="1">('TUSD BE'!$AM$23+'TUSD BF'!$AM$23+'TUSD CVA'!$AM$23)*1*(1-0.02)</f>
        <v>115.23932238737589</v>
      </c>
      <c r="AA374" s="70">
        <f>('TE BE'!$AA$8+'TE BF'!$AA$8+'TE CVA'!$AA$8)*1*(1-0.02)</f>
        <v>265.71632769942346</v>
      </c>
      <c r="AB374" s="70">
        <f>(SUBSIDIO!$J$374*SUBSIDIO!$V$374)*(0.04)/(1-0.04)</f>
        <v>0</v>
      </c>
      <c r="AC374" s="70">
        <f>((SUBSIDIO!$L$374*SUBSIDIO!$W$374)+(SUBSIDIO!$N$374*SUBSIDIO!$X$374))*(0.04)/(1-0.04)</f>
        <v>53.404252799999995</v>
      </c>
      <c r="AD374" s="70">
        <f>(SUBSIDIO!$J$374*SUBSIDIO!$Y$374)*(0.02)/(1-0.02)</f>
        <v>0</v>
      </c>
      <c r="AE374" s="70">
        <f ca="1">((SUBSIDIO!$L$374*SUBSIDIO!$Z$374)+(SUBSIDIO!$N$374*SUBSIDIO!$AA$374))*(0.02)/(1-0.02)</f>
        <v>32.684439856426614</v>
      </c>
      <c r="AF374" s="3" t="s">
        <v>951</v>
      </c>
    </row>
    <row r="375" spans="1:32" ht="11.25" customHeight="1" x14ac:dyDescent="0.25">
      <c r="A375" s="3" t="s">
        <v>21</v>
      </c>
      <c r="B375" s="3" t="s">
        <v>33</v>
      </c>
      <c r="C375" s="3" t="s">
        <v>34</v>
      </c>
      <c r="D375" s="3" t="s">
        <v>45</v>
      </c>
      <c r="E375" s="3" t="s">
        <v>25</v>
      </c>
      <c r="F375" s="3" t="s">
        <v>25</v>
      </c>
      <c r="G375" s="3" t="s">
        <v>25</v>
      </c>
      <c r="H375" s="3" t="s">
        <v>36</v>
      </c>
      <c r="I375" s="6">
        <v>44348</v>
      </c>
      <c r="J375" s="4">
        <v>0</v>
      </c>
      <c r="K375" s="70">
        <v>0</v>
      </c>
      <c r="L375" s="4">
        <v>996.875</v>
      </c>
      <c r="M375" s="70">
        <v>996.875</v>
      </c>
      <c r="N375" s="4">
        <v>996.875</v>
      </c>
      <c r="O375" s="70">
        <v>996.875</v>
      </c>
      <c r="P375" s="4">
        <v>0</v>
      </c>
      <c r="Q375" s="3" t="s">
        <v>26</v>
      </c>
      <c r="R375" s="3">
        <v>0</v>
      </c>
      <c r="S375" s="3">
        <v>0</v>
      </c>
      <c r="T375" s="3">
        <v>29</v>
      </c>
      <c r="U375" s="3">
        <v>73</v>
      </c>
      <c r="V375" s="70">
        <f>IF(ISERROR(VLOOKUP($S$375,'TAR FIN'!$A$1:$O$99,15,0)),0,VLOOKUP($S$375,'TAR FIN'!$A$1:$O$99,15,0))</f>
        <v>0</v>
      </c>
      <c r="W375" s="70">
        <f>IF(ISERROR(VLOOKUP($T$375,'TAR FIN'!$A$1:$O$99,15,0)),0,VLOOKUP($T$375,'TAR FIN'!$A$1:$O$99,15,0))*(1-0.04)</f>
        <v>93.70559999999999</v>
      </c>
      <c r="X375" s="70">
        <f>IF(ISERROR(VLOOKUP($U$375,'TAR FIN'!$A$1:$O$99,15,0)),0,VLOOKUP($U$375,'TAR FIN'!$A$1:$O$99,15,0))*(1-0.04)</f>
        <v>211.1712</v>
      </c>
      <c r="Y375" s="70"/>
      <c r="Z375" s="70">
        <f ca="1">('TUSD BE'!$AM$23+'TUSD BF'!$AM$23+'TUSD CVA'!$AM$23)*1*(1-0.02)</f>
        <v>115.23932238737589</v>
      </c>
      <c r="AA375" s="70">
        <f>('TE BE'!$AA$8+'TE BF'!$AA$8+'TE CVA'!$AA$8)*1*(1-0.02)</f>
        <v>265.71632769942346</v>
      </c>
      <c r="AB375" s="70">
        <f>(SUBSIDIO!$J$375*SUBSIDIO!$V$375)*(0.04)/(1-0.04)</f>
        <v>0</v>
      </c>
      <c r="AC375" s="70">
        <f>((SUBSIDIO!$L$375*SUBSIDIO!$W$375)+(SUBSIDIO!$N$375*SUBSIDIO!$X$375))*(0.04)/(1-0.04)</f>
        <v>12663.502500000001</v>
      </c>
      <c r="AD375" s="70">
        <f>(SUBSIDIO!$J$375*SUBSIDIO!$Y$375)*(0.02)/(1-0.02)</f>
        <v>0</v>
      </c>
      <c r="AE375" s="70">
        <f ca="1">((SUBSIDIO!$L$375*SUBSIDIO!$Z$375)+(SUBSIDIO!$N$375*SUBSIDIO!$AA$375))*(0.02)/(1-0.02)</f>
        <v>7750.3094628628187</v>
      </c>
      <c r="AF375" s="3" t="s">
        <v>951</v>
      </c>
    </row>
    <row r="376" spans="1:32" ht="11.25" customHeight="1" x14ac:dyDescent="0.25">
      <c r="A376" s="3" t="s">
        <v>28</v>
      </c>
      <c r="B376" s="3" t="s">
        <v>33</v>
      </c>
      <c r="C376" s="3" t="s">
        <v>34</v>
      </c>
      <c r="D376" s="3" t="s">
        <v>45</v>
      </c>
      <c r="E376" s="3" t="s">
        <v>25</v>
      </c>
      <c r="F376" s="3" t="s">
        <v>25</v>
      </c>
      <c r="G376" s="3" t="s">
        <v>25</v>
      </c>
      <c r="H376" s="3" t="s">
        <v>36</v>
      </c>
      <c r="I376" s="6">
        <v>44348</v>
      </c>
      <c r="J376" s="4">
        <v>0</v>
      </c>
      <c r="K376" s="70">
        <v>0</v>
      </c>
      <c r="L376" s="4">
        <v>-5.6360000000000001</v>
      </c>
      <c r="M376" s="70">
        <v>-5.6360000000000001</v>
      </c>
      <c r="N376" s="4">
        <v>-5.6360000000000001</v>
      </c>
      <c r="O376" s="70">
        <v>-5.6360000000000001</v>
      </c>
      <c r="P376" s="4">
        <v>0</v>
      </c>
      <c r="Q376" s="3" t="s">
        <v>26</v>
      </c>
      <c r="R376" s="3">
        <v>0</v>
      </c>
      <c r="S376" s="3">
        <v>0</v>
      </c>
      <c r="T376" s="3">
        <v>29</v>
      </c>
      <c r="U376" s="3">
        <v>73</v>
      </c>
      <c r="V376" s="70">
        <f>IF(ISERROR(VLOOKUP($S$376,'TAR FIN'!$A$1:$O$99,15,0)),0,VLOOKUP($S$376,'TAR FIN'!$A$1:$O$99,15,0))</f>
        <v>0</v>
      </c>
      <c r="W376" s="70">
        <f>IF(ISERROR(VLOOKUP($T$376,'TAR FIN'!$A$1:$O$99,15,0)),0,VLOOKUP($T$376,'TAR FIN'!$A$1:$O$99,15,0))*(1-0.04)</f>
        <v>93.70559999999999</v>
      </c>
      <c r="X376" s="70">
        <f>IF(ISERROR(VLOOKUP($U$376,'TAR FIN'!$A$1:$O$99,15,0)),0,VLOOKUP($U$376,'TAR FIN'!$A$1:$O$99,15,0))*(1-0.04)</f>
        <v>211.1712</v>
      </c>
      <c r="Y376" s="70"/>
      <c r="Z376" s="70">
        <f ca="1">('TUSD BE'!$AM$23+'TUSD BF'!$AM$23+'TUSD CVA'!$AM$23)*1*(1-0.02)</f>
        <v>115.23932238737589</v>
      </c>
      <c r="AA376" s="70">
        <f>('TE BE'!$AA$8+'TE BF'!$AA$8+'TE CVA'!$AA$8)*1*(1-0.02)</f>
        <v>265.71632769942346</v>
      </c>
      <c r="AB376" s="70">
        <f>(SUBSIDIO!$J$376*SUBSIDIO!$V$376)*(0.04)/(1-0.04)</f>
        <v>0</v>
      </c>
      <c r="AC376" s="70">
        <f>((SUBSIDIO!$L$376*SUBSIDIO!$W$376)+(SUBSIDIO!$N$376*SUBSIDIO!$X$376))*(0.04)/(1-0.04)</f>
        <v>-71.595235200000005</v>
      </c>
      <c r="AD376" s="70">
        <f>(SUBSIDIO!$J$376*SUBSIDIO!$Y$376)*(0.02)/(1-0.02)</f>
        <v>0</v>
      </c>
      <c r="AE376" s="70">
        <f ca="1">((SUBSIDIO!$L$376*SUBSIDIO!$Z$376)+(SUBSIDIO!$N$376*SUBSIDIO!$AA$376))*(0.02)/(1-0.02)</f>
        <v>-43.817674365085736</v>
      </c>
      <c r="AF376" s="3" t="s">
        <v>951</v>
      </c>
    </row>
    <row r="377" spans="1:32" ht="11.25" customHeight="1" x14ac:dyDescent="0.25">
      <c r="A377" s="3" t="s">
        <v>21</v>
      </c>
      <c r="B377" s="3" t="s">
        <v>33</v>
      </c>
      <c r="C377" s="3" t="s">
        <v>34</v>
      </c>
      <c r="D377" s="3" t="s">
        <v>45</v>
      </c>
      <c r="E377" s="3" t="s">
        <v>25</v>
      </c>
      <c r="F377" s="3" t="s">
        <v>25</v>
      </c>
      <c r="G377" s="3" t="s">
        <v>25</v>
      </c>
      <c r="H377" s="3" t="s">
        <v>36</v>
      </c>
      <c r="I377" s="6">
        <v>44378</v>
      </c>
      <c r="J377" s="4">
        <v>0</v>
      </c>
      <c r="K377" s="70">
        <v>0</v>
      </c>
      <c r="L377" s="4">
        <v>1004.29</v>
      </c>
      <c r="M377" s="70">
        <v>1004.29</v>
      </c>
      <c r="N377" s="4">
        <v>1004.29</v>
      </c>
      <c r="O377" s="70">
        <v>1004.29</v>
      </c>
      <c r="P377" s="4">
        <v>0</v>
      </c>
      <c r="Q377" s="3" t="s">
        <v>26</v>
      </c>
      <c r="R377" s="3">
        <v>0</v>
      </c>
      <c r="S377" s="3">
        <v>0</v>
      </c>
      <c r="T377" s="3">
        <v>29</v>
      </c>
      <c r="U377" s="3">
        <v>73</v>
      </c>
      <c r="V377" s="70">
        <f>IF(ISERROR(VLOOKUP($S$377,'TAR FIN'!$A$1:$O$99,15,0)),0,VLOOKUP($S$377,'TAR FIN'!$A$1:$O$99,15,0))</f>
        <v>0</v>
      </c>
      <c r="W377" s="70">
        <f>IF(ISERROR(VLOOKUP($T$377,'TAR FIN'!$A$1:$O$99,15,0)),0,VLOOKUP($T$377,'TAR FIN'!$A$1:$O$99,15,0))*(1-0.04)</f>
        <v>93.70559999999999</v>
      </c>
      <c r="X377" s="70">
        <f>IF(ISERROR(VLOOKUP($U$377,'TAR FIN'!$A$1:$O$99,15,0)),0,VLOOKUP($U$377,'TAR FIN'!$A$1:$O$99,15,0))*(1-0.04)</f>
        <v>211.1712</v>
      </c>
      <c r="Y377" s="70"/>
      <c r="Z377" s="70">
        <f ca="1">('TUSD BE'!$AM$23+'TUSD BF'!$AM$23+'TUSD CVA'!$AM$23)*1*(1-0.02)</f>
        <v>115.23932238737589</v>
      </c>
      <c r="AA377" s="70">
        <f>('TE BE'!$AA$8+'TE BF'!$AA$8+'TE CVA'!$AA$8)*1*(1-0.02)</f>
        <v>265.71632769942346</v>
      </c>
      <c r="AB377" s="70">
        <f>(SUBSIDIO!$J$377*SUBSIDIO!$V$377)*(0.04)/(1-0.04)</f>
        <v>0</v>
      </c>
      <c r="AC377" s="70">
        <f>((SUBSIDIO!$L$377*SUBSIDIO!$W$377)+(SUBSIDIO!$N$377*SUBSIDIO!$X$377))*(0.04)/(1-0.04)</f>
        <v>12757.696728000001</v>
      </c>
      <c r="AD377" s="70">
        <f>(SUBSIDIO!$J$377*SUBSIDIO!$Y$377)*(0.02)/(1-0.02)</f>
        <v>0</v>
      </c>
      <c r="AE377" s="70">
        <f ca="1">((SUBSIDIO!$L$377*SUBSIDIO!$Z$377)+(SUBSIDIO!$N$377*SUBSIDIO!$AA$377))*(0.02)/(1-0.02)</f>
        <v>7807.9581597075867</v>
      </c>
      <c r="AF377" s="3" t="s">
        <v>951</v>
      </c>
    </row>
    <row r="378" spans="1:32" ht="11.25" customHeight="1" x14ac:dyDescent="0.25">
      <c r="A378" s="3" t="s">
        <v>28</v>
      </c>
      <c r="B378" s="3" t="s">
        <v>33</v>
      </c>
      <c r="C378" s="3" t="s">
        <v>34</v>
      </c>
      <c r="D378" s="3" t="s">
        <v>45</v>
      </c>
      <c r="E378" s="3" t="s">
        <v>25</v>
      </c>
      <c r="F378" s="3" t="s">
        <v>25</v>
      </c>
      <c r="G378" s="3" t="s">
        <v>25</v>
      </c>
      <c r="H378" s="3" t="s">
        <v>36</v>
      </c>
      <c r="I378" s="6">
        <v>44378</v>
      </c>
      <c r="J378" s="4">
        <v>0</v>
      </c>
      <c r="K378" s="70">
        <v>0</v>
      </c>
      <c r="L378" s="4">
        <v>0.54</v>
      </c>
      <c r="M378" s="70">
        <v>0.54</v>
      </c>
      <c r="N378" s="4">
        <v>0.54</v>
      </c>
      <c r="O378" s="70">
        <v>0.54</v>
      </c>
      <c r="P378" s="4">
        <v>0</v>
      </c>
      <c r="Q378" s="3" t="s">
        <v>26</v>
      </c>
      <c r="R378" s="3">
        <v>0</v>
      </c>
      <c r="S378" s="3">
        <v>0</v>
      </c>
      <c r="T378" s="3">
        <v>29</v>
      </c>
      <c r="U378" s="3">
        <v>73</v>
      </c>
      <c r="V378" s="70">
        <f>IF(ISERROR(VLOOKUP($S$378,'TAR FIN'!$A$1:$O$99,15,0)),0,VLOOKUP($S$378,'TAR FIN'!$A$1:$O$99,15,0))</f>
        <v>0</v>
      </c>
      <c r="W378" s="70">
        <f>IF(ISERROR(VLOOKUP($T$378,'TAR FIN'!$A$1:$O$99,15,0)),0,VLOOKUP($T$378,'TAR FIN'!$A$1:$O$99,15,0))*(1-0.04)</f>
        <v>93.70559999999999</v>
      </c>
      <c r="X378" s="70">
        <f>IF(ISERROR(VLOOKUP($U$378,'TAR FIN'!$A$1:$O$99,15,0)),0,VLOOKUP($U$378,'TAR FIN'!$A$1:$O$99,15,0))*(1-0.04)</f>
        <v>211.1712</v>
      </c>
      <c r="Y378" s="70"/>
      <c r="Z378" s="70">
        <f ca="1">('TUSD BE'!$AM$23+'TUSD BF'!$AM$23+'TUSD CVA'!$AM$23)*1*(1-0.02)</f>
        <v>115.23932238737589</v>
      </c>
      <c r="AA378" s="70">
        <f>('TE BE'!$AA$8+'TE BF'!$AA$8+'TE CVA'!$AA$8)*1*(1-0.02)</f>
        <v>265.71632769942346</v>
      </c>
      <c r="AB378" s="70">
        <f>(SUBSIDIO!$J$378*SUBSIDIO!$V$378)*(0.04)/(1-0.04)</f>
        <v>0</v>
      </c>
      <c r="AC378" s="70">
        <f>((SUBSIDIO!$L$378*SUBSIDIO!$W$378)+(SUBSIDIO!$N$378*SUBSIDIO!$X$378))*(0.04)/(1-0.04)</f>
        <v>6.8597279999999996</v>
      </c>
      <c r="AD378" s="70">
        <f>(SUBSIDIO!$J$378*SUBSIDIO!$Y$378)*(0.02)/(1-0.02)</f>
        <v>0</v>
      </c>
      <c r="AE378" s="70">
        <f ca="1">((SUBSIDIO!$L$378*SUBSIDIO!$Z$378)+(SUBSIDIO!$N$378*SUBSIDIO!$AA$378))*(0.02)/(1-0.02)</f>
        <v>4.1982867560586055</v>
      </c>
      <c r="AF378" s="3" t="s">
        <v>951</v>
      </c>
    </row>
    <row r="379" spans="1:32" ht="11.25" customHeight="1" x14ac:dyDescent="0.25">
      <c r="A379" s="3" t="s">
        <v>21</v>
      </c>
      <c r="B379" s="3" t="s">
        <v>33</v>
      </c>
      <c r="C379" s="3" t="s">
        <v>34</v>
      </c>
      <c r="D379" s="3" t="s">
        <v>45</v>
      </c>
      <c r="E379" s="3" t="s">
        <v>25</v>
      </c>
      <c r="F379" s="3" t="s">
        <v>25</v>
      </c>
      <c r="G379" s="3" t="s">
        <v>25</v>
      </c>
      <c r="H379" s="3" t="s">
        <v>36</v>
      </c>
      <c r="I379" s="6">
        <v>44409</v>
      </c>
      <c r="J379" s="4">
        <v>0</v>
      </c>
      <c r="K379" s="70">
        <v>0</v>
      </c>
      <c r="L379" s="4">
        <v>735.94899999999996</v>
      </c>
      <c r="M379" s="70">
        <v>735.94899999999996</v>
      </c>
      <c r="N379" s="4">
        <v>735.94899999999996</v>
      </c>
      <c r="O379" s="70">
        <v>735.94899999999996</v>
      </c>
      <c r="P379" s="4">
        <v>0</v>
      </c>
      <c r="Q379" s="3" t="s">
        <v>26</v>
      </c>
      <c r="R379" s="3">
        <v>0</v>
      </c>
      <c r="S379" s="3">
        <v>0</v>
      </c>
      <c r="T379" s="3">
        <v>29</v>
      </c>
      <c r="U379" s="3">
        <v>73</v>
      </c>
      <c r="V379" s="70">
        <f>IF(ISERROR(VLOOKUP($S$379,'TAR FIN'!$A$1:$O$99,15,0)),0,VLOOKUP($S$379,'TAR FIN'!$A$1:$O$99,15,0))</f>
        <v>0</v>
      </c>
      <c r="W379" s="70">
        <f>IF(ISERROR(VLOOKUP($T$379,'TAR FIN'!$A$1:$O$99,15,0)),0,VLOOKUP($T$379,'TAR FIN'!$A$1:$O$99,15,0))*(1-0.04)</f>
        <v>93.70559999999999</v>
      </c>
      <c r="X379" s="70">
        <f>IF(ISERROR(VLOOKUP($U$379,'TAR FIN'!$A$1:$O$99,15,0)),0,VLOOKUP($U$379,'TAR FIN'!$A$1:$O$99,15,0))*(1-0.04)</f>
        <v>211.1712</v>
      </c>
      <c r="Y379" s="70"/>
      <c r="Z379" s="70">
        <f ca="1">('TUSD BE'!$AM$23+'TUSD BF'!$AM$23+'TUSD CVA'!$AM$23)*1*(1-0.02)</f>
        <v>115.23932238737589</v>
      </c>
      <c r="AA379" s="70">
        <f>('TE BE'!$AA$8+'TE BF'!$AA$8+'TE CVA'!$AA$8)*1*(1-0.02)</f>
        <v>265.71632769942346</v>
      </c>
      <c r="AB379" s="70">
        <f>(SUBSIDIO!$J$379*SUBSIDIO!$V$379)*(0.04)/(1-0.04)</f>
        <v>0</v>
      </c>
      <c r="AC379" s="70">
        <f>((SUBSIDIO!$L$379*SUBSIDIO!$W$379)+(SUBSIDIO!$N$379*SUBSIDIO!$X$379))*(0.04)/(1-0.04)</f>
        <v>9348.9073368000008</v>
      </c>
      <c r="AD379" s="70">
        <f>(SUBSIDIO!$J$379*SUBSIDIO!$Y$379)*(0.02)/(1-0.02)</f>
        <v>0</v>
      </c>
      <c r="AE379" s="70">
        <f ca="1">((SUBSIDIO!$L$379*SUBSIDIO!$Z$379)+(SUBSIDIO!$N$379*SUBSIDIO!$AA$379))*(0.02)/(1-0.02)</f>
        <v>5721.712851545507</v>
      </c>
      <c r="AF379" s="3" t="s">
        <v>951</v>
      </c>
    </row>
    <row r="380" spans="1:32" ht="11.25" customHeight="1" x14ac:dyDescent="0.25">
      <c r="A380" s="3" t="s">
        <v>28</v>
      </c>
      <c r="B380" s="3" t="s">
        <v>33</v>
      </c>
      <c r="C380" s="3" t="s">
        <v>34</v>
      </c>
      <c r="D380" s="3" t="s">
        <v>45</v>
      </c>
      <c r="E380" s="3" t="s">
        <v>25</v>
      </c>
      <c r="F380" s="3" t="s">
        <v>25</v>
      </c>
      <c r="G380" s="3" t="s">
        <v>25</v>
      </c>
      <c r="H380" s="3" t="s">
        <v>36</v>
      </c>
      <c r="I380" s="6">
        <v>44409</v>
      </c>
      <c r="J380" s="4">
        <v>0</v>
      </c>
      <c r="K380" s="70">
        <v>0</v>
      </c>
      <c r="L380" s="4">
        <v>17.625</v>
      </c>
      <c r="M380" s="70">
        <v>17.625</v>
      </c>
      <c r="N380" s="4">
        <v>17.625</v>
      </c>
      <c r="O380" s="70">
        <v>17.625</v>
      </c>
      <c r="P380" s="4">
        <v>0</v>
      </c>
      <c r="Q380" s="3" t="s">
        <v>26</v>
      </c>
      <c r="R380" s="3">
        <v>0</v>
      </c>
      <c r="S380" s="3">
        <v>0</v>
      </c>
      <c r="T380" s="3">
        <v>29</v>
      </c>
      <c r="U380" s="3">
        <v>73</v>
      </c>
      <c r="V380" s="70">
        <f>IF(ISERROR(VLOOKUP($S$380,'TAR FIN'!$A$1:$O$99,15,0)),0,VLOOKUP($S$380,'TAR FIN'!$A$1:$O$99,15,0))</f>
        <v>0</v>
      </c>
      <c r="W380" s="70">
        <f>IF(ISERROR(VLOOKUP($T$380,'TAR FIN'!$A$1:$O$99,15,0)),0,VLOOKUP($T$380,'TAR FIN'!$A$1:$O$99,15,0))*(1-0.04)</f>
        <v>93.70559999999999</v>
      </c>
      <c r="X380" s="70">
        <f>IF(ISERROR(VLOOKUP($U$380,'TAR FIN'!$A$1:$O$99,15,0)),0,VLOOKUP($U$380,'TAR FIN'!$A$1:$O$99,15,0))*(1-0.04)</f>
        <v>211.1712</v>
      </c>
      <c r="Y380" s="70"/>
      <c r="Z380" s="70">
        <f ca="1">('TUSD BE'!$AM$23+'TUSD BF'!$AM$23+'TUSD CVA'!$AM$23)*1*(1-0.02)</f>
        <v>115.23932238737589</v>
      </c>
      <c r="AA380" s="70">
        <f>('TE BE'!$AA$8+'TE BF'!$AA$8+'TE CVA'!$AA$8)*1*(1-0.02)</f>
        <v>265.71632769942346</v>
      </c>
      <c r="AB380" s="70">
        <f>(SUBSIDIO!$J$380*SUBSIDIO!$V$380)*(0.04)/(1-0.04)</f>
        <v>0</v>
      </c>
      <c r="AC380" s="70">
        <f>((SUBSIDIO!$L$380*SUBSIDIO!$W$380)+(SUBSIDIO!$N$380*SUBSIDIO!$X$380))*(0.04)/(1-0.04)</f>
        <v>223.8939</v>
      </c>
      <c r="AD380" s="70">
        <f>(SUBSIDIO!$J$380*SUBSIDIO!$Y$380)*(0.02)/(1-0.02)</f>
        <v>0</v>
      </c>
      <c r="AE380" s="70">
        <f ca="1">((SUBSIDIO!$L$380*SUBSIDIO!$Z$380)+(SUBSIDIO!$N$380*SUBSIDIO!$AA$380))*(0.02)/(1-0.02)</f>
        <v>137.02741495469058</v>
      </c>
      <c r="AF380" s="3" t="s">
        <v>951</v>
      </c>
    </row>
    <row r="381" spans="1:32" ht="11.25" customHeight="1" x14ac:dyDescent="0.25">
      <c r="A381" s="3" t="s">
        <v>21</v>
      </c>
      <c r="B381" s="3" t="s">
        <v>33</v>
      </c>
      <c r="C381" s="3" t="s">
        <v>34</v>
      </c>
      <c r="D381" s="3" t="s">
        <v>45</v>
      </c>
      <c r="E381" s="3" t="s">
        <v>25</v>
      </c>
      <c r="F381" s="3" t="s">
        <v>25</v>
      </c>
      <c r="G381" s="3" t="s">
        <v>25</v>
      </c>
      <c r="H381" s="3" t="s">
        <v>36</v>
      </c>
      <c r="I381" s="6">
        <v>44440</v>
      </c>
      <c r="J381" s="4">
        <v>0</v>
      </c>
      <c r="K381" s="70">
        <v>0</v>
      </c>
      <c r="L381" s="4">
        <v>690.42499999999995</v>
      </c>
      <c r="M381" s="70">
        <v>690.42499999999995</v>
      </c>
      <c r="N381" s="4">
        <v>690.42499999999995</v>
      </c>
      <c r="O381" s="70">
        <v>690.42499999999995</v>
      </c>
      <c r="P381" s="4">
        <v>0</v>
      </c>
      <c r="Q381" s="3" t="s">
        <v>26</v>
      </c>
      <c r="R381" s="3">
        <v>0</v>
      </c>
      <c r="S381" s="3">
        <v>0</v>
      </c>
      <c r="T381" s="3">
        <v>29</v>
      </c>
      <c r="U381" s="3">
        <v>73</v>
      </c>
      <c r="V381" s="70">
        <f>IF(ISERROR(VLOOKUP($S$381,'TAR FIN'!$A$1:$O$99,15,0)),0,VLOOKUP($S$381,'TAR FIN'!$A$1:$O$99,15,0))</f>
        <v>0</v>
      </c>
      <c r="W381" s="70">
        <f>IF(ISERROR(VLOOKUP($T$381,'TAR FIN'!$A$1:$O$99,15,0)),0,VLOOKUP($T$381,'TAR FIN'!$A$1:$O$99,15,0))*(1-0.04)</f>
        <v>93.70559999999999</v>
      </c>
      <c r="X381" s="70">
        <f>IF(ISERROR(VLOOKUP($U$381,'TAR FIN'!$A$1:$O$99,15,0)),0,VLOOKUP($U$381,'TAR FIN'!$A$1:$O$99,15,0))*(1-0.04)</f>
        <v>211.1712</v>
      </c>
      <c r="Y381" s="70"/>
      <c r="Z381" s="70">
        <f ca="1">('TUSD BE'!$AM$23+'TUSD BF'!$AM$23+'TUSD CVA'!$AM$23)*1*(1-0.02)</f>
        <v>115.23932238737589</v>
      </c>
      <c r="AA381" s="70">
        <f>('TE BE'!$AA$8+'TE BF'!$AA$8+'TE CVA'!$AA$8)*1*(1-0.02)</f>
        <v>265.71632769942346</v>
      </c>
      <c r="AB381" s="70">
        <f>(SUBSIDIO!$J$381*SUBSIDIO!$V$381)*(0.04)/(1-0.04)</f>
        <v>0</v>
      </c>
      <c r="AC381" s="70">
        <f>((SUBSIDIO!$L$381*SUBSIDIO!$W$381)+(SUBSIDIO!$N$381*SUBSIDIO!$X$381))*(0.04)/(1-0.04)</f>
        <v>8770.6068599999999</v>
      </c>
      <c r="AD381" s="70">
        <f>(SUBSIDIO!$J$381*SUBSIDIO!$Y$381)*(0.02)/(1-0.02)</f>
        <v>0</v>
      </c>
      <c r="AE381" s="70">
        <f ca="1">((SUBSIDIO!$L$381*SUBSIDIO!$Z$381)+(SUBSIDIO!$N$381*SUBSIDIO!$AA$381))*(0.02)/(1-0.02)</f>
        <v>5367.7817287995604</v>
      </c>
      <c r="AF381" s="3" t="s">
        <v>951</v>
      </c>
    </row>
    <row r="382" spans="1:32" ht="11.25" customHeight="1" x14ac:dyDescent="0.25">
      <c r="A382" s="3" t="s">
        <v>28</v>
      </c>
      <c r="B382" s="3" t="s">
        <v>33</v>
      </c>
      <c r="C382" s="3" t="s">
        <v>34</v>
      </c>
      <c r="D382" s="3" t="s">
        <v>45</v>
      </c>
      <c r="E382" s="3" t="s">
        <v>25</v>
      </c>
      <c r="F382" s="3" t="s">
        <v>25</v>
      </c>
      <c r="G382" s="3" t="s">
        <v>25</v>
      </c>
      <c r="H382" s="3" t="s">
        <v>36</v>
      </c>
      <c r="I382" s="6">
        <v>44440</v>
      </c>
      <c r="J382" s="4">
        <v>0</v>
      </c>
      <c r="K382" s="70">
        <v>0</v>
      </c>
      <c r="L382" s="4">
        <v>105.735</v>
      </c>
      <c r="M382" s="70">
        <v>105.735</v>
      </c>
      <c r="N382" s="4">
        <v>105.735</v>
      </c>
      <c r="O382" s="70">
        <v>105.735</v>
      </c>
      <c r="P382" s="4">
        <v>0</v>
      </c>
      <c r="Q382" s="3" t="s">
        <v>26</v>
      </c>
      <c r="R382" s="3">
        <v>0</v>
      </c>
      <c r="S382" s="3">
        <v>0</v>
      </c>
      <c r="T382" s="3">
        <v>29</v>
      </c>
      <c r="U382" s="3">
        <v>73</v>
      </c>
      <c r="V382" s="70">
        <f>IF(ISERROR(VLOOKUP($S$382,'TAR FIN'!$A$1:$O$99,15,0)),0,VLOOKUP($S$382,'TAR FIN'!$A$1:$O$99,15,0))</f>
        <v>0</v>
      </c>
      <c r="W382" s="70">
        <f>IF(ISERROR(VLOOKUP($T$382,'TAR FIN'!$A$1:$O$99,15,0)),0,VLOOKUP($T$382,'TAR FIN'!$A$1:$O$99,15,0))*(1-0.04)</f>
        <v>93.70559999999999</v>
      </c>
      <c r="X382" s="70">
        <f>IF(ISERROR(VLOOKUP($U$382,'TAR FIN'!$A$1:$O$99,15,0)),0,VLOOKUP($U$382,'TAR FIN'!$A$1:$O$99,15,0))*(1-0.04)</f>
        <v>211.1712</v>
      </c>
      <c r="Y382" s="70"/>
      <c r="Z382" s="70">
        <f ca="1">('TUSD BE'!$AM$23+'TUSD BF'!$AM$23+'TUSD CVA'!$AM$23)*1*(1-0.02)</f>
        <v>115.23932238737589</v>
      </c>
      <c r="AA382" s="70">
        <f>('TE BE'!$AA$8+'TE BF'!$AA$8+'TE CVA'!$AA$8)*1*(1-0.02)</f>
        <v>265.71632769942346</v>
      </c>
      <c r="AB382" s="70">
        <f>(SUBSIDIO!$J$382*SUBSIDIO!$V$382)*(0.04)/(1-0.04)</f>
        <v>0</v>
      </c>
      <c r="AC382" s="70">
        <f>((SUBSIDIO!$L$382*SUBSIDIO!$W$382)+(SUBSIDIO!$N$382*SUBSIDIO!$X$382))*(0.04)/(1-0.04)</f>
        <v>1343.1728520000001</v>
      </c>
      <c r="AD382" s="70">
        <f>(SUBSIDIO!$J$382*SUBSIDIO!$Y$382)*(0.02)/(1-0.02)</f>
        <v>0</v>
      </c>
      <c r="AE382" s="70">
        <f ca="1">((SUBSIDIO!$L$382*SUBSIDIO!$Z$382)+(SUBSIDIO!$N$382*SUBSIDIO!$AA$382))*(0.02)/(1-0.02)</f>
        <v>822.04787065158632</v>
      </c>
      <c r="AF382" s="3" t="s">
        <v>951</v>
      </c>
    </row>
    <row r="383" spans="1:32" ht="11.25" customHeight="1" x14ac:dyDescent="0.25">
      <c r="A383" s="3" t="s">
        <v>21</v>
      </c>
      <c r="B383" s="3" t="s">
        <v>33</v>
      </c>
      <c r="C383" s="3" t="s">
        <v>34</v>
      </c>
      <c r="D383" s="3" t="s">
        <v>45</v>
      </c>
      <c r="E383" s="3" t="s">
        <v>25</v>
      </c>
      <c r="F383" s="3" t="s">
        <v>25</v>
      </c>
      <c r="G383" s="3" t="s">
        <v>25</v>
      </c>
      <c r="H383" s="3" t="s">
        <v>36</v>
      </c>
      <c r="I383" s="6">
        <v>44470</v>
      </c>
      <c r="J383" s="4">
        <v>0</v>
      </c>
      <c r="K383" s="70">
        <v>0</v>
      </c>
      <c r="L383" s="4">
        <v>758.21699999999998</v>
      </c>
      <c r="M383" s="70">
        <v>758.21699999999998</v>
      </c>
      <c r="N383" s="4">
        <v>758.21699999999998</v>
      </c>
      <c r="O383" s="70">
        <v>758.21699999999998</v>
      </c>
      <c r="P383" s="4">
        <v>0</v>
      </c>
      <c r="Q383" s="3" t="s">
        <v>26</v>
      </c>
      <c r="R383" s="3">
        <v>0</v>
      </c>
      <c r="S383" s="3">
        <v>0</v>
      </c>
      <c r="T383" s="3">
        <v>29</v>
      </c>
      <c r="U383" s="3">
        <v>73</v>
      </c>
      <c r="V383" s="70">
        <f>IF(ISERROR(VLOOKUP($S$383,'TAR FIN'!$A$1:$O$99,15,0)),0,VLOOKUP($S$383,'TAR FIN'!$A$1:$O$99,15,0))</f>
        <v>0</v>
      </c>
      <c r="W383" s="70">
        <f>IF(ISERROR(VLOOKUP($T$383,'TAR FIN'!$A$1:$O$99,15,0)),0,VLOOKUP($T$383,'TAR FIN'!$A$1:$O$99,15,0))*(1-0.04)</f>
        <v>93.70559999999999</v>
      </c>
      <c r="X383" s="70">
        <f>IF(ISERROR(VLOOKUP($U$383,'TAR FIN'!$A$1:$O$99,15,0)),0,VLOOKUP($U$383,'TAR FIN'!$A$1:$O$99,15,0))*(1-0.04)</f>
        <v>211.1712</v>
      </c>
      <c r="Y383" s="70"/>
      <c r="Z383" s="70">
        <f ca="1">('TUSD BE'!$AM$23+'TUSD BF'!$AM$23+'TUSD CVA'!$AM$23)*1*(1-0.02)</f>
        <v>115.23932238737589</v>
      </c>
      <c r="AA383" s="70">
        <f>('TE BE'!$AA$8+'TE BF'!$AA$8+'TE CVA'!$AA$8)*1*(1-0.02)</f>
        <v>265.71632769942346</v>
      </c>
      <c r="AB383" s="70">
        <f>(SUBSIDIO!$J$383*SUBSIDIO!$V$383)*(0.04)/(1-0.04)</f>
        <v>0</v>
      </c>
      <c r="AC383" s="70">
        <f>((SUBSIDIO!$L$383*SUBSIDIO!$W$383)+(SUBSIDIO!$N$383*SUBSIDIO!$X$383))*(0.04)/(1-0.04)</f>
        <v>9631.7821944000007</v>
      </c>
      <c r="AD383" s="70">
        <f>(SUBSIDIO!$J$383*SUBSIDIO!$Y$383)*(0.02)/(1-0.02)</f>
        <v>0</v>
      </c>
      <c r="AE383" s="70">
        <f ca="1">((SUBSIDIO!$L$383*SUBSIDIO!$Z$383)+(SUBSIDIO!$N$383*SUBSIDIO!$AA$383))*(0.02)/(1-0.02)</f>
        <v>5894.8377579972002</v>
      </c>
      <c r="AF383" s="3" t="s">
        <v>951</v>
      </c>
    </row>
    <row r="384" spans="1:32" ht="11.25" customHeight="1" x14ac:dyDescent="0.25">
      <c r="A384" s="3" t="s">
        <v>28</v>
      </c>
      <c r="B384" s="3" t="s">
        <v>33</v>
      </c>
      <c r="C384" s="3" t="s">
        <v>34</v>
      </c>
      <c r="D384" s="3" t="s">
        <v>45</v>
      </c>
      <c r="E384" s="3" t="s">
        <v>25</v>
      </c>
      <c r="F384" s="3" t="s">
        <v>25</v>
      </c>
      <c r="G384" s="3" t="s">
        <v>25</v>
      </c>
      <c r="H384" s="3" t="s">
        <v>36</v>
      </c>
      <c r="I384" s="6">
        <v>44470</v>
      </c>
      <c r="J384" s="4">
        <v>0</v>
      </c>
      <c r="K384" s="70">
        <v>0</v>
      </c>
      <c r="L384" s="4">
        <v>237.92599999999999</v>
      </c>
      <c r="M384" s="70">
        <v>237.92599999999999</v>
      </c>
      <c r="N384" s="4">
        <v>237.92599999999999</v>
      </c>
      <c r="O384" s="70">
        <v>237.92599999999999</v>
      </c>
      <c r="P384" s="4">
        <v>0</v>
      </c>
      <c r="Q384" s="3" t="s">
        <v>26</v>
      </c>
      <c r="R384" s="3">
        <v>0</v>
      </c>
      <c r="S384" s="3">
        <v>0</v>
      </c>
      <c r="T384" s="3">
        <v>29</v>
      </c>
      <c r="U384" s="3">
        <v>73</v>
      </c>
      <c r="V384" s="70">
        <f>IF(ISERROR(VLOOKUP($S$384,'TAR FIN'!$A$1:$O$99,15,0)),0,VLOOKUP($S$384,'TAR FIN'!$A$1:$O$99,15,0))</f>
        <v>0</v>
      </c>
      <c r="W384" s="70">
        <f>IF(ISERROR(VLOOKUP($T$384,'TAR FIN'!$A$1:$O$99,15,0)),0,VLOOKUP($T$384,'TAR FIN'!$A$1:$O$99,15,0))*(1-0.04)</f>
        <v>93.70559999999999</v>
      </c>
      <c r="X384" s="70">
        <f>IF(ISERROR(VLOOKUP($U$384,'TAR FIN'!$A$1:$O$99,15,0)),0,VLOOKUP($U$384,'TAR FIN'!$A$1:$O$99,15,0))*(1-0.04)</f>
        <v>211.1712</v>
      </c>
      <c r="Y384" s="70"/>
      <c r="Z384" s="70">
        <f ca="1">('TUSD BE'!$AM$23+'TUSD BF'!$AM$23+'TUSD CVA'!$AM$23)*1*(1-0.02)</f>
        <v>115.23932238737589</v>
      </c>
      <c r="AA384" s="70">
        <f>('TE BE'!$AA$8+'TE BF'!$AA$8+'TE CVA'!$AA$8)*1*(1-0.02)</f>
        <v>265.71632769942346</v>
      </c>
      <c r="AB384" s="70">
        <f>(SUBSIDIO!$J$384*SUBSIDIO!$V$384)*(0.04)/(1-0.04)</f>
        <v>0</v>
      </c>
      <c r="AC384" s="70">
        <f>((SUBSIDIO!$L$384*SUBSIDIO!$W$384)+(SUBSIDIO!$N$384*SUBSIDIO!$X$384))*(0.04)/(1-0.04)</f>
        <v>3022.4215631999996</v>
      </c>
      <c r="AD384" s="70">
        <f>(SUBSIDIO!$J$384*SUBSIDIO!$Y$384)*(0.02)/(1-0.02)</f>
        <v>0</v>
      </c>
      <c r="AE384" s="70">
        <f ca="1">((SUBSIDIO!$L$384*SUBSIDIO!$Z$384)+(SUBSIDIO!$N$384*SUBSIDIO!$AA$384))*(0.02)/(1-0.02)</f>
        <v>1849.7806939296293</v>
      </c>
      <c r="AF384" s="3" t="s">
        <v>951</v>
      </c>
    </row>
    <row r="385" spans="1:32" ht="11.25" customHeight="1" x14ac:dyDescent="0.25">
      <c r="A385" s="3" t="s">
        <v>21</v>
      </c>
      <c r="B385" s="3" t="s">
        <v>33</v>
      </c>
      <c r="C385" s="3" t="s">
        <v>34</v>
      </c>
      <c r="D385" s="3" t="s">
        <v>45</v>
      </c>
      <c r="E385" s="3" t="s">
        <v>25</v>
      </c>
      <c r="F385" s="3" t="s">
        <v>25</v>
      </c>
      <c r="G385" s="3" t="s">
        <v>25</v>
      </c>
      <c r="H385" s="3" t="s">
        <v>36</v>
      </c>
      <c r="I385" s="6">
        <v>44501</v>
      </c>
      <c r="J385" s="4">
        <v>0</v>
      </c>
      <c r="K385" s="70">
        <v>0</v>
      </c>
      <c r="L385" s="4">
        <v>752.76700000000005</v>
      </c>
      <c r="M385" s="70">
        <v>752.76700000000005</v>
      </c>
      <c r="N385" s="4">
        <v>752.76700000000005</v>
      </c>
      <c r="O385" s="70">
        <v>752.76700000000005</v>
      </c>
      <c r="P385" s="4">
        <v>0</v>
      </c>
      <c r="Q385" s="3" t="s">
        <v>26</v>
      </c>
      <c r="R385" s="3">
        <v>0</v>
      </c>
      <c r="S385" s="3">
        <v>0</v>
      </c>
      <c r="T385" s="3">
        <v>29</v>
      </c>
      <c r="U385" s="3">
        <v>73</v>
      </c>
      <c r="V385" s="70">
        <f>IF(ISERROR(VLOOKUP($S$385,'TAR FIN'!$A$1:$O$99,15,0)),0,VLOOKUP($S$385,'TAR FIN'!$A$1:$O$99,15,0))</f>
        <v>0</v>
      </c>
      <c r="W385" s="70">
        <f>IF(ISERROR(VLOOKUP($T$385,'TAR FIN'!$A$1:$O$99,15,0)),0,VLOOKUP($T$385,'TAR FIN'!$A$1:$O$99,15,0))*(1-0.04)</f>
        <v>93.70559999999999</v>
      </c>
      <c r="X385" s="70">
        <f>IF(ISERROR(VLOOKUP($U$385,'TAR FIN'!$A$1:$O$99,15,0)),0,VLOOKUP($U$385,'TAR FIN'!$A$1:$O$99,15,0))*(1-0.04)</f>
        <v>211.1712</v>
      </c>
      <c r="Y385" s="70"/>
      <c r="Z385" s="70">
        <f ca="1">('TUSD BE'!$AM$23+'TUSD BF'!$AM$23+'TUSD CVA'!$AM$23)*1*(1-0.02)</f>
        <v>115.23932238737589</v>
      </c>
      <c r="AA385" s="70">
        <f>('TE BE'!$AA$8+'TE BF'!$AA$8+'TE CVA'!$AA$8)*1*(1-0.02)</f>
        <v>265.71632769942346</v>
      </c>
      <c r="AB385" s="70">
        <f>(SUBSIDIO!$J$385*SUBSIDIO!$V$385)*(0.04)/(1-0.04)</f>
        <v>0</v>
      </c>
      <c r="AC385" s="70">
        <f>((SUBSIDIO!$L$385*SUBSIDIO!$W$385)+(SUBSIDIO!$N$385*SUBSIDIO!$X$385))*(0.04)/(1-0.04)</f>
        <v>9562.5497544000009</v>
      </c>
      <c r="AD385" s="70">
        <f>(SUBSIDIO!$J$385*SUBSIDIO!$Y$385)*(0.02)/(1-0.02)</f>
        <v>0</v>
      </c>
      <c r="AE385" s="70">
        <f ca="1">((SUBSIDIO!$L$385*SUBSIDIO!$Z$385)+(SUBSIDIO!$N$385*SUBSIDIO!$AA$385))*(0.02)/(1-0.02)</f>
        <v>5852.4661601814232</v>
      </c>
      <c r="AF385" s="3" t="s">
        <v>951</v>
      </c>
    </row>
    <row r="386" spans="1:32" ht="11.25" customHeight="1" x14ac:dyDescent="0.25">
      <c r="A386" s="3" t="s">
        <v>28</v>
      </c>
      <c r="B386" s="3" t="s">
        <v>33</v>
      </c>
      <c r="C386" s="3" t="s">
        <v>34</v>
      </c>
      <c r="D386" s="3" t="s">
        <v>45</v>
      </c>
      <c r="E386" s="3" t="s">
        <v>25</v>
      </c>
      <c r="F386" s="3" t="s">
        <v>25</v>
      </c>
      <c r="G386" s="3" t="s">
        <v>25</v>
      </c>
      <c r="H386" s="3" t="s">
        <v>36</v>
      </c>
      <c r="I386" s="6">
        <v>44501</v>
      </c>
      <c r="J386" s="4">
        <v>0</v>
      </c>
      <c r="K386" s="70">
        <v>0</v>
      </c>
      <c r="L386" s="4">
        <v>516.38599999999997</v>
      </c>
      <c r="M386" s="70">
        <v>516.38599999999997</v>
      </c>
      <c r="N386" s="4">
        <v>516.38599999999997</v>
      </c>
      <c r="O386" s="70">
        <v>516.38599999999997</v>
      </c>
      <c r="P386" s="4">
        <v>0</v>
      </c>
      <c r="Q386" s="3" t="s">
        <v>26</v>
      </c>
      <c r="R386" s="3">
        <v>0</v>
      </c>
      <c r="S386" s="3">
        <v>0</v>
      </c>
      <c r="T386" s="3">
        <v>29</v>
      </c>
      <c r="U386" s="3">
        <v>73</v>
      </c>
      <c r="V386" s="70">
        <f>IF(ISERROR(VLOOKUP($S$386,'TAR FIN'!$A$1:$O$99,15,0)),0,VLOOKUP($S$386,'TAR FIN'!$A$1:$O$99,15,0))</f>
        <v>0</v>
      </c>
      <c r="W386" s="70">
        <f>IF(ISERROR(VLOOKUP($T$386,'TAR FIN'!$A$1:$O$99,15,0)),0,VLOOKUP($T$386,'TAR FIN'!$A$1:$O$99,15,0))*(1-0.04)</f>
        <v>93.70559999999999</v>
      </c>
      <c r="X386" s="70">
        <f>IF(ISERROR(VLOOKUP($U$386,'TAR FIN'!$A$1:$O$99,15,0)),0,VLOOKUP($U$386,'TAR FIN'!$A$1:$O$99,15,0))*(1-0.04)</f>
        <v>211.1712</v>
      </c>
      <c r="Y386" s="70"/>
      <c r="Z386" s="70">
        <f ca="1">('TUSD BE'!$AM$23+'TUSD BF'!$AM$23+'TUSD CVA'!$AM$23)*1*(1-0.02)</f>
        <v>115.23932238737589</v>
      </c>
      <c r="AA386" s="70">
        <f>('TE BE'!$AA$8+'TE BF'!$AA$8+'TE CVA'!$AA$8)*1*(1-0.02)</f>
        <v>265.71632769942346</v>
      </c>
      <c r="AB386" s="70">
        <f>(SUBSIDIO!$J$386*SUBSIDIO!$V$386)*(0.04)/(1-0.04)</f>
        <v>0</v>
      </c>
      <c r="AC386" s="70">
        <f>((SUBSIDIO!$L$386*SUBSIDIO!$W$386)+(SUBSIDIO!$N$386*SUBSIDIO!$X$386))*(0.04)/(1-0.04)</f>
        <v>6559.7546351999999</v>
      </c>
      <c r="AD386" s="70">
        <f>(SUBSIDIO!$J$386*SUBSIDIO!$Y$386)*(0.02)/(1-0.02)</f>
        <v>0</v>
      </c>
      <c r="AE386" s="70">
        <f ca="1">((SUBSIDIO!$L$386*SUBSIDIO!$Z$386)+(SUBSIDIO!$N$386*SUBSIDIO!$AA$386))*(0.02)/(1-0.02)</f>
        <v>4014.6972311371833</v>
      </c>
      <c r="AF386" s="3" t="s">
        <v>951</v>
      </c>
    </row>
    <row r="387" spans="1:32" ht="11.25" customHeight="1" x14ac:dyDescent="0.25">
      <c r="A387" s="3" t="s">
        <v>21</v>
      </c>
      <c r="B387" s="3" t="s">
        <v>33</v>
      </c>
      <c r="C387" s="3" t="s">
        <v>34</v>
      </c>
      <c r="D387" s="3" t="s">
        <v>45</v>
      </c>
      <c r="E387" s="3" t="s">
        <v>25</v>
      </c>
      <c r="F387" s="3" t="s">
        <v>25</v>
      </c>
      <c r="G387" s="3" t="s">
        <v>25</v>
      </c>
      <c r="H387" s="3" t="s">
        <v>36</v>
      </c>
      <c r="I387" s="6">
        <v>44531</v>
      </c>
      <c r="J387" s="4">
        <v>0</v>
      </c>
      <c r="K387" s="70">
        <v>0</v>
      </c>
      <c r="L387" s="4">
        <v>775.32399999999996</v>
      </c>
      <c r="M387" s="70">
        <v>775.32399999999996</v>
      </c>
      <c r="N387" s="4">
        <v>775.32399999999996</v>
      </c>
      <c r="O387" s="70">
        <v>775.32399999999996</v>
      </c>
      <c r="P387" s="4">
        <v>0</v>
      </c>
      <c r="Q387" s="3" t="s">
        <v>26</v>
      </c>
      <c r="R387" s="3">
        <v>0</v>
      </c>
      <c r="S387" s="3">
        <v>0</v>
      </c>
      <c r="T387" s="3">
        <v>29</v>
      </c>
      <c r="U387" s="3">
        <v>73</v>
      </c>
      <c r="V387" s="70">
        <f>IF(ISERROR(VLOOKUP($S$387,'TAR FIN'!$A$1:$O$99,15,0)),0,VLOOKUP($S$387,'TAR FIN'!$A$1:$O$99,15,0))</f>
        <v>0</v>
      </c>
      <c r="W387" s="70">
        <f>IF(ISERROR(VLOOKUP($T$387,'TAR FIN'!$A$1:$O$99,15,0)),0,VLOOKUP($T$387,'TAR FIN'!$A$1:$O$99,15,0))*(1-0.04)</f>
        <v>93.70559999999999</v>
      </c>
      <c r="X387" s="70">
        <f>IF(ISERROR(VLOOKUP($U$387,'TAR FIN'!$A$1:$O$99,15,0)),0,VLOOKUP($U$387,'TAR FIN'!$A$1:$O$99,15,0))*(1-0.04)</f>
        <v>211.1712</v>
      </c>
      <c r="Y387" s="70"/>
      <c r="Z387" s="70">
        <f ca="1">('TUSD BE'!$AM$23+'TUSD BF'!$AM$23+'TUSD CVA'!$AM$23)*1*(1-0.02)</f>
        <v>115.23932238737589</v>
      </c>
      <c r="AA387" s="70">
        <f>('TE BE'!$AA$8+'TE BF'!$AA$8+'TE CVA'!$AA$8)*1*(1-0.02)</f>
        <v>265.71632769942346</v>
      </c>
      <c r="AB387" s="70">
        <f>(SUBSIDIO!$J$387*SUBSIDIO!$V$387)*(0.04)/(1-0.04)</f>
        <v>0</v>
      </c>
      <c r="AC387" s="70">
        <f>((SUBSIDIO!$L$387*SUBSIDIO!$W$387)+(SUBSIDIO!$N$387*SUBSIDIO!$X$387))*(0.04)/(1-0.04)</f>
        <v>9849.0958367999992</v>
      </c>
      <c r="AD387" s="70">
        <f>(SUBSIDIO!$J$387*SUBSIDIO!$Y$387)*(0.02)/(1-0.02)</f>
        <v>0</v>
      </c>
      <c r="AE387" s="70">
        <f ca="1">((SUBSIDIO!$L$387*SUBSIDIO!$Z$387)+(SUBSIDIO!$N$387*SUBSIDIO!$AA$387))*(0.02)/(1-0.02)</f>
        <v>6027.8379275081143</v>
      </c>
      <c r="AF387" s="3" t="s">
        <v>951</v>
      </c>
    </row>
    <row r="388" spans="1:32" ht="11.25" customHeight="1" x14ac:dyDescent="0.25">
      <c r="A388" s="3" t="s">
        <v>28</v>
      </c>
      <c r="B388" s="3" t="s">
        <v>33</v>
      </c>
      <c r="C388" s="3" t="s">
        <v>34</v>
      </c>
      <c r="D388" s="3" t="s">
        <v>45</v>
      </c>
      <c r="E388" s="3" t="s">
        <v>25</v>
      </c>
      <c r="F388" s="3" t="s">
        <v>25</v>
      </c>
      <c r="G388" s="3" t="s">
        <v>25</v>
      </c>
      <c r="H388" s="3" t="s">
        <v>36</v>
      </c>
      <c r="I388" s="6">
        <v>44531</v>
      </c>
      <c r="J388" s="4">
        <v>0</v>
      </c>
      <c r="K388" s="70">
        <v>0</v>
      </c>
      <c r="L388" s="4">
        <v>539.37</v>
      </c>
      <c r="M388" s="70">
        <v>539.37</v>
      </c>
      <c r="N388" s="4">
        <v>539.37</v>
      </c>
      <c r="O388" s="70">
        <v>539.37</v>
      </c>
      <c r="P388" s="4">
        <v>0</v>
      </c>
      <c r="Q388" s="3" t="s">
        <v>26</v>
      </c>
      <c r="R388" s="3">
        <v>0</v>
      </c>
      <c r="S388" s="3">
        <v>0</v>
      </c>
      <c r="T388" s="3">
        <v>29</v>
      </c>
      <c r="U388" s="3">
        <v>73</v>
      </c>
      <c r="V388" s="70">
        <f>IF(ISERROR(VLOOKUP($S$388,'TAR FIN'!$A$1:$O$99,15,0)),0,VLOOKUP($S$388,'TAR FIN'!$A$1:$O$99,15,0))</f>
        <v>0</v>
      </c>
      <c r="W388" s="70">
        <f>IF(ISERROR(VLOOKUP($T$388,'TAR FIN'!$A$1:$O$99,15,0)),0,VLOOKUP($T$388,'TAR FIN'!$A$1:$O$99,15,0))*(1-0.04)</f>
        <v>93.70559999999999</v>
      </c>
      <c r="X388" s="70">
        <f>IF(ISERROR(VLOOKUP($U$388,'TAR FIN'!$A$1:$O$99,15,0)),0,VLOOKUP($U$388,'TAR FIN'!$A$1:$O$99,15,0))*(1-0.04)</f>
        <v>211.1712</v>
      </c>
      <c r="Y388" s="70"/>
      <c r="Z388" s="70">
        <f ca="1">('TUSD BE'!$AM$23+'TUSD BF'!$AM$23+'TUSD CVA'!$AM$23)*1*(1-0.02)</f>
        <v>115.23932238737589</v>
      </c>
      <c r="AA388" s="70">
        <f>('TE BE'!$AA$8+'TE BF'!$AA$8+'TE CVA'!$AA$8)*1*(1-0.02)</f>
        <v>265.71632769942346</v>
      </c>
      <c r="AB388" s="70">
        <f>(SUBSIDIO!$J$388*SUBSIDIO!$V$388)*(0.04)/(1-0.04)</f>
        <v>0</v>
      </c>
      <c r="AC388" s="70">
        <f>((SUBSIDIO!$L$388*SUBSIDIO!$W$388)+(SUBSIDIO!$N$388*SUBSIDIO!$X$388))*(0.04)/(1-0.04)</f>
        <v>6851.7249839999995</v>
      </c>
      <c r="AD388" s="70">
        <f>(SUBSIDIO!$J$388*SUBSIDIO!$Y$388)*(0.02)/(1-0.02)</f>
        <v>0</v>
      </c>
      <c r="AE388" s="70">
        <f ca="1">((SUBSIDIO!$L$388*SUBSIDIO!$Z$388)+(SUBSIDIO!$N$388*SUBSIDIO!$AA$388))*(0.02)/(1-0.02)</f>
        <v>4193.388754843204</v>
      </c>
      <c r="AF388" s="3" t="s">
        <v>951</v>
      </c>
    </row>
    <row r="389" spans="1:32" ht="11.25" customHeight="1" x14ac:dyDescent="0.25">
      <c r="A389" s="3" t="s">
        <v>21</v>
      </c>
      <c r="B389" s="3" t="s">
        <v>33</v>
      </c>
      <c r="C389" s="3" t="s">
        <v>34</v>
      </c>
      <c r="D389" s="3" t="s">
        <v>45</v>
      </c>
      <c r="E389" s="3" t="s">
        <v>25</v>
      </c>
      <c r="F389" s="3" t="s">
        <v>25</v>
      </c>
      <c r="G389" s="3" t="s">
        <v>25</v>
      </c>
      <c r="H389" s="3" t="s">
        <v>36</v>
      </c>
      <c r="I389" s="6">
        <v>44562</v>
      </c>
      <c r="J389" s="4">
        <v>0</v>
      </c>
      <c r="K389" s="70">
        <v>0</v>
      </c>
      <c r="L389" s="4">
        <v>698.18299999999999</v>
      </c>
      <c r="M389" s="70">
        <v>698.18299999999999</v>
      </c>
      <c r="N389" s="4">
        <v>698.18299999999999</v>
      </c>
      <c r="O389" s="70">
        <v>698.18299999999999</v>
      </c>
      <c r="P389" s="4">
        <v>0</v>
      </c>
      <c r="Q389" s="3" t="s">
        <v>26</v>
      </c>
      <c r="R389" s="3">
        <v>0</v>
      </c>
      <c r="S389" s="3">
        <v>0</v>
      </c>
      <c r="T389" s="3">
        <v>29</v>
      </c>
      <c r="U389" s="3">
        <v>73</v>
      </c>
      <c r="V389" s="70">
        <f>IF(ISERROR(VLOOKUP($S$389,'TAR FIN'!$A$1:$O$99,15,0)),0,VLOOKUP($S$389,'TAR FIN'!$A$1:$O$99,15,0))</f>
        <v>0</v>
      </c>
      <c r="W389" s="70">
        <f>IF(ISERROR(VLOOKUP($T$389,'TAR FIN'!$A$1:$O$99,15,0)),0,VLOOKUP($T$389,'TAR FIN'!$A$1:$O$99,15,0))*(1-0.04)</f>
        <v>93.70559999999999</v>
      </c>
      <c r="X389" s="70">
        <f>IF(ISERROR(VLOOKUP($U$389,'TAR FIN'!$A$1:$O$99,15,0)),0,VLOOKUP($U$389,'TAR FIN'!$A$1:$O$99,15,0))*(1-0.04)</f>
        <v>211.1712</v>
      </c>
      <c r="Y389" s="70"/>
      <c r="Z389" s="70">
        <f ca="1">('TUSD BE'!$AM$23+'TUSD BF'!$AM$23+'TUSD CVA'!$AM$23)*1*(1-0.02)</f>
        <v>115.23932238737589</v>
      </c>
      <c r="AA389" s="70">
        <f>('TE BE'!$AA$8+'TE BF'!$AA$8+'TE CVA'!$AA$8)*1*(1-0.02)</f>
        <v>265.71632769942346</v>
      </c>
      <c r="AB389" s="70">
        <f>(SUBSIDIO!$J$389*SUBSIDIO!$V$389)*(0.04)/(1-0.04)</f>
        <v>0</v>
      </c>
      <c r="AC389" s="70">
        <f>((SUBSIDIO!$L$389*SUBSIDIO!$W$389)+(SUBSIDIO!$N$389*SUBSIDIO!$X$389))*(0.04)/(1-0.04)</f>
        <v>8869.1582856000005</v>
      </c>
      <c r="AD389" s="70">
        <f>(SUBSIDIO!$J$389*SUBSIDIO!$Y$389)*(0.02)/(1-0.02)</f>
        <v>0</v>
      </c>
      <c r="AE389" s="70">
        <f ca="1">((SUBSIDIO!$L$389*SUBSIDIO!$Z$389)+(SUBSIDIO!$N$389*SUBSIDIO!$AA$389))*(0.02)/(1-0.02)</f>
        <v>5428.0971151949361</v>
      </c>
      <c r="AF389" s="3" t="s">
        <v>951</v>
      </c>
    </row>
    <row r="390" spans="1:32" ht="11.25" customHeight="1" x14ac:dyDescent="0.25">
      <c r="A390" s="3" t="s">
        <v>28</v>
      </c>
      <c r="B390" s="3" t="s">
        <v>33</v>
      </c>
      <c r="C390" s="3" t="s">
        <v>34</v>
      </c>
      <c r="D390" s="3" t="s">
        <v>45</v>
      </c>
      <c r="E390" s="3" t="s">
        <v>25</v>
      </c>
      <c r="F390" s="3" t="s">
        <v>25</v>
      </c>
      <c r="G390" s="3" t="s">
        <v>25</v>
      </c>
      <c r="H390" s="3" t="s">
        <v>36</v>
      </c>
      <c r="I390" s="6">
        <v>44562</v>
      </c>
      <c r="J390" s="4">
        <v>0</v>
      </c>
      <c r="K390" s="70">
        <v>0</v>
      </c>
      <c r="L390" s="4">
        <v>273.089</v>
      </c>
      <c r="M390" s="70">
        <v>273.089</v>
      </c>
      <c r="N390" s="4">
        <v>273.089</v>
      </c>
      <c r="O390" s="70">
        <v>273.089</v>
      </c>
      <c r="P390" s="4">
        <v>0</v>
      </c>
      <c r="Q390" s="3" t="s">
        <v>26</v>
      </c>
      <c r="R390" s="3">
        <v>0</v>
      </c>
      <c r="S390" s="3">
        <v>0</v>
      </c>
      <c r="T390" s="3">
        <v>29</v>
      </c>
      <c r="U390" s="3">
        <v>73</v>
      </c>
      <c r="V390" s="70">
        <f>IF(ISERROR(VLOOKUP($S$390,'TAR FIN'!$A$1:$O$99,15,0)),0,VLOOKUP($S$390,'TAR FIN'!$A$1:$O$99,15,0))</f>
        <v>0</v>
      </c>
      <c r="W390" s="70">
        <f>IF(ISERROR(VLOOKUP($T$390,'TAR FIN'!$A$1:$O$99,15,0)),0,VLOOKUP($T$390,'TAR FIN'!$A$1:$O$99,15,0))*(1-0.04)</f>
        <v>93.70559999999999</v>
      </c>
      <c r="X390" s="70">
        <f>IF(ISERROR(VLOOKUP($U$390,'TAR FIN'!$A$1:$O$99,15,0)),0,VLOOKUP($U$390,'TAR FIN'!$A$1:$O$99,15,0))*(1-0.04)</f>
        <v>211.1712</v>
      </c>
      <c r="Y390" s="70"/>
      <c r="Z390" s="70">
        <f ca="1">('TUSD BE'!$AM$23+'TUSD BF'!$AM$23+'TUSD CVA'!$AM$23)*1*(1-0.02)</f>
        <v>115.23932238737589</v>
      </c>
      <c r="AA390" s="70">
        <f>('TE BE'!$AA$8+'TE BF'!$AA$8+'TE CVA'!$AA$8)*1*(1-0.02)</f>
        <v>265.71632769942346</v>
      </c>
      <c r="AB390" s="70">
        <f>(SUBSIDIO!$J$390*SUBSIDIO!$V$390)*(0.04)/(1-0.04)</f>
        <v>0</v>
      </c>
      <c r="AC390" s="70">
        <f>((SUBSIDIO!$L$390*SUBSIDIO!$W$390)+(SUBSIDIO!$N$390*SUBSIDIO!$X$390))*(0.04)/(1-0.04)</f>
        <v>3469.1041848</v>
      </c>
      <c r="AD390" s="70">
        <f>(SUBSIDIO!$J$390*SUBSIDIO!$Y$390)*(0.02)/(1-0.02)</f>
        <v>0</v>
      </c>
      <c r="AE390" s="70">
        <f ca="1">((SUBSIDIO!$L$390*SUBSIDIO!$Z$390)+(SUBSIDIO!$N$390*SUBSIDIO!$AA$390))*(0.02)/(1-0.02)</f>
        <v>2123.1591331949789</v>
      </c>
      <c r="AF390" s="3" t="s">
        <v>951</v>
      </c>
    </row>
    <row r="391" spans="1:32" ht="11.25" customHeight="1" x14ac:dyDescent="0.25">
      <c r="A391" s="3" t="s">
        <v>21</v>
      </c>
      <c r="B391" s="3" t="s">
        <v>33</v>
      </c>
      <c r="C391" s="3" t="s">
        <v>34</v>
      </c>
      <c r="D391" s="3" t="s">
        <v>45</v>
      </c>
      <c r="E391" s="3" t="s">
        <v>25</v>
      </c>
      <c r="F391" s="3" t="s">
        <v>25</v>
      </c>
      <c r="G391" s="3" t="s">
        <v>25</v>
      </c>
      <c r="H391" s="3" t="s">
        <v>36</v>
      </c>
      <c r="I391" s="6">
        <v>44593</v>
      </c>
      <c r="J391" s="4">
        <v>0</v>
      </c>
      <c r="K391" s="70">
        <v>0</v>
      </c>
      <c r="L391" s="4">
        <v>667.37599999999998</v>
      </c>
      <c r="M391" s="70">
        <v>667.37599999999998</v>
      </c>
      <c r="N391" s="4">
        <v>667.37599999999998</v>
      </c>
      <c r="O391" s="70">
        <v>667.37599999999998</v>
      </c>
      <c r="P391" s="4">
        <v>0</v>
      </c>
      <c r="Q391" s="3" t="s">
        <v>26</v>
      </c>
      <c r="R391" s="3">
        <v>0</v>
      </c>
      <c r="S391" s="3">
        <v>0</v>
      </c>
      <c r="T391" s="3">
        <v>29</v>
      </c>
      <c r="U391" s="3">
        <v>73</v>
      </c>
      <c r="V391" s="70">
        <f>IF(ISERROR(VLOOKUP($S$391,'TAR FIN'!$A$1:$O$99,15,0)),0,VLOOKUP($S$391,'TAR FIN'!$A$1:$O$99,15,0))</f>
        <v>0</v>
      </c>
      <c r="W391" s="70">
        <f>IF(ISERROR(VLOOKUP($T$391,'TAR FIN'!$A$1:$O$99,15,0)),0,VLOOKUP($T$391,'TAR FIN'!$A$1:$O$99,15,0))*(1-0.04)</f>
        <v>93.70559999999999</v>
      </c>
      <c r="X391" s="70">
        <f>IF(ISERROR(VLOOKUP($U$391,'TAR FIN'!$A$1:$O$99,15,0)),0,VLOOKUP($U$391,'TAR FIN'!$A$1:$O$99,15,0))*(1-0.04)</f>
        <v>211.1712</v>
      </c>
      <c r="Y391" s="70"/>
      <c r="Z391" s="70">
        <f ca="1">('TUSD BE'!$AM$23+'TUSD BF'!$AM$23+'TUSD CVA'!$AM$23)*1*(1-0.02)</f>
        <v>115.23932238737589</v>
      </c>
      <c r="AA391" s="70">
        <f>('TE BE'!$AA$8+'TE BF'!$AA$8+'TE CVA'!$AA$8)*1*(1-0.02)</f>
        <v>265.71632769942346</v>
      </c>
      <c r="AB391" s="70">
        <f>(SUBSIDIO!$J$391*SUBSIDIO!$V$391)*(0.04)/(1-0.04)</f>
        <v>0</v>
      </c>
      <c r="AC391" s="70">
        <f>((SUBSIDIO!$L$391*SUBSIDIO!$W$391)+(SUBSIDIO!$N$391*SUBSIDIO!$X$391))*(0.04)/(1-0.04)</f>
        <v>8477.8108032</v>
      </c>
      <c r="AD391" s="70">
        <f>(SUBSIDIO!$J$391*SUBSIDIO!$Y$391)*(0.02)/(1-0.02)</f>
        <v>0</v>
      </c>
      <c r="AE391" s="70">
        <f ca="1">((SUBSIDIO!$L$391*SUBSIDIO!$Z$391)+(SUBSIDIO!$N$391*SUBSIDIO!$AA$391))*(0.02)/(1-0.02)</f>
        <v>5188.584855761791</v>
      </c>
      <c r="AF391" s="3" t="s">
        <v>951</v>
      </c>
    </row>
    <row r="392" spans="1:32" ht="11.25" customHeight="1" x14ac:dyDescent="0.25">
      <c r="A392" s="3" t="s">
        <v>28</v>
      </c>
      <c r="B392" s="3" t="s">
        <v>33</v>
      </c>
      <c r="C392" s="3" t="s">
        <v>34</v>
      </c>
      <c r="D392" s="3" t="s">
        <v>45</v>
      </c>
      <c r="E392" s="3" t="s">
        <v>25</v>
      </c>
      <c r="F392" s="3" t="s">
        <v>25</v>
      </c>
      <c r="G392" s="3" t="s">
        <v>25</v>
      </c>
      <c r="H392" s="3" t="s">
        <v>36</v>
      </c>
      <c r="I392" s="6">
        <v>44593</v>
      </c>
      <c r="J392" s="4">
        <v>0</v>
      </c>
      <c r="K392" s="70">
        <v>0</v>
      </c>
      <c r="L392" s="4">
        <v>477.92899999999997</v>
      </c>
      <c r="M392" s="70">
        <v>477.92899999999997</v>
      </c>
      <c r="N392" s="4">
        <v>477.92899999999997</v>
      </c>
      <c r="O392" s="70">
        <v>477.92899999999997</v>
      </c>
      <c r="P392" s="4">
        <v>0</v>
      </c>
      <c r="Q392" s="3" t="s">
        <v>26</v>
      </c>
      <c r="R392" s="3">
        <v>0</v>
      </c>
      <c r="S392" s="3">
        <v>0</v>
      </c>
      <c r="T392" s="3">
        <v>29</v>
      </c>
      <c r="U392" s="3">
        <v>73</v>
      </c>
      <c r="V392" s="70">
        <f>IF(ISERROR(VLOOKUP($S$392,'TAR FIN'!$A$1:$O$99,15,0)),0,VLOOKUP($S$392,'TAR FIN'!$A$1:$O$99,15,0))</f>
        <v>0</v>
      </c>
      <c r="W392" s="70">
        <f>IF(ISERROR(VLOOKUP($T$392,'TAR FIN'!$A$1:$O$99,15,0)),0,VLOOKUP($T$392,'TAR FIN'!$A$1:$O$99,15,0))*(1-0.04)</f>
        <v>93.70559999999999</v>
      </c>
      <c r="X392" s="70">
        <f>IF(ISERROR(VLOOKUP($U$392,'TAR FIN'!$A$1:$O$99,15,0)),0,VLOOKUP($U$392,'TAR FIN'!$A$1:$O$99,15,0))*(1-0.04)</f>
        <v>211.1712</v>
      </c>
      <c r="Y392" s="70"/>
      <c r="Z392" s="70">
        <f ca="1">('TUSD BE'!$AM$23+'TUSD BF'!$AM$23+'TUSD CVA'!$AM$23)*1*(1-0.02)</f>
        <v>115.23932238737589</v>
      </c>
      <c r="AA392" s="70">
        <f>('TE BE'!$AA$8+'TE BF'!$AA$8+'TE CVA'!$AA$8)*1*(1-0.02)</f>
        <v>265.71632769942346</v>
      </c>
      <c r="AB392" s="70">
        <f>(SUBSIDIO!$J$392*SUBSIDIO!$V$392)*(0.04)/(1-0.04)</f>
        <v>0</v>
      </c>
      <c r="AC392" s="70">
        <f>((SUBSIDIO!$L$392*SUBSIDIO!$W$392)+(SUBSIDIO!$N$392*SUBSIDIO!$X$392))*(0.04)/(1-0.04)</f>
        <v>6071.2276727999997</v>
      </c>
      <c r="AD392" s="70">
        <f>(SUBSIDIO!$J$392*SUBSIDIO!$Y$392)*(0.02)/(1-0.02)</f>
        <v>0</v>
      </c>
      <c r="AE392" s="70">
        <f ca="1">((SUBSIDIO!$L$392*SUBSIDIO!$Z$392)+(SUBSIDIO!$N$392*SUBSIDIO!$AA$392))*(0.02)/(1-0.02)</f>
        <v>3715.7092426598761</v>
      </c>
      <c r="AF392" s="3" t="s">
        <v>951</v>
      </c>
    </row>
    <row r="393" spans="1:32" ht="11.25" customHeight="1" x14ac:dyDescent="0.25">
      <c r="A393" s="3" t="s">
        <v>21</v>
      </c>
      <c r="B393" s="3" t="s">
        <v>33</v>
      </c>
      <c r="C393" s="3" t="s">
        <v>34</v>
      </c>
      <c r="D393" s="3" t="s">
        <v>45</v>
      </c>
      <c r="E393" s="3" t="s">
        <v>25</v>
      </c>
      <c r="F393" s="3" t="s">
        <v>25</v>
      </c>
      <c r="G393" s="3" t="s">
        <v>25</v>
      </c>
      <c r="H393" s="3" t="s">
        <v>36</v>
      </c>
      <c r="I393" s="6">
        <v>44621</v>
      </c>
      <c r="J393" s="4">
        <v>0</v>
      </c>
      <c r="K393" s="70">
        <v>0</v>
      </c>
      <c r="L393" s="4">
        <v>688.91700000000003</v>
      </c>
      <c r="M393" s="70">
        <v>688.91700000000003</v>
      </c>
      <c r="N393" s="4">
        <v>688.91700000000003</v>
      </c>
      <c r="O393" s="70">
        <v>688.91700000000003</v>
      </c>
      <c r="P393" s="4">
        <v>0</v>
      </c>
      <c r="Q393" s="3" t="s">
        <v>26</v>
      </c>
      <c r="R393" s="3">
        <v>0</v>
      </c>
      <c r="S393" s="3">
        <v>0</v>
      </c>
      <c r="T393" s="3">
        <v>29</v>
      </c>
      <c r="U393" s="3">
        <v>73</v>
      </c>
      <c r="V393" s="70">
        <f>IF(ISERROR(VLOOKUP($S$393,'TAR FIN'!$A$1:$O$99,15,0)),0,VLOOKUP($S$393,'TAR FIN'!$A$1:$O$99,15,0))</f>
        <v>0</v>
      </c>
      <c r="W393" s="70">
        <f>IF(ISERROR(VLOOKUP($T$393,'TAR FIN'!$A$1:$O$99,15,0)),0,VLOOKUP($T$393,'TAR FIN'!$A$1:$O$99,15,0))*(1-0.04)</f>
        <v>93.70559999999999</v>
      </c>
      <c r="X393" s="70">
        <f>IF(ISERROR(VLOOKUP($U$393,'TAR FIN'!$A$1:$O$99,15,0)),0,VLOOKUP($U$393,'TAR FIN'!$A$1:$O$99,15,0))*(1-0.04)</f>
        <v>211.1712</v>
      </c>
      <c r="Y393" s="70"/>
      <c r="Z393" s="70">
        <f ca="1">('TUSD BE'!$AM$23+'TUSD BF'!$AM$23+'TUSD CVA'!$AM$23)*1*(1-0.02)</f>
        <v>115.23932238737589</v>
      </c>
      <c r="AA393" s="70">
        <f>('TE BE'!$AA$8+'TE BF'!$AA$8+'TE CVA'!$AA$8)*1*(1-0.02)</f>
        <v>265.71632769942346</v>
      </c>
      <c r="AB393" s="70">
        <f>(SUBSIDIO!$J$393*SUBSIDIO!$V$393)*(0.04)/(1-0.04)</f>
        <v>0</v>
      </c>
      <c r="AC393" s="70">
        <f>((SUBSIDIO!$L$393*SUBSIDIO!$W$393)+(SUBSIDIO!$N$393*SUBSIDIO!$X$393))*(0.04)/(1-0.04)</f>
        <v>8751.4504344000015</v>
      </c>
      <c r="AD393" s="70">
        <f>(SUBSIDIO!$J$393*SUBSIDIO!$Y$393)*(0.02)/(1-0.02)</f>
        <v>0</v>
      </c>
      <c r="AE393" s="70">
        <f ca="1">((SUBSIDIO!$L$393*SUBSIDIO!$Z$393)+(SUBSIDIO!$N$393*SUBSIDIO!$AA$393))*(0.02)/(1-0.02)</f>
        <v>5356.0576243030109</v>
      </c>
      <c r="AF393" s="3" t="s">
        <v>951</v>
      </c>
    </row>
    <row r="394" spans="1:32" ht="11.25" customHeight="1" x14ac:dyDescent="0.25">
      <c r="A394" s="3" t="s">
        <v>28</v>
      </c>
      <c r="B394" s="3" t="s">
        <v>33</v>
      </c>
      <c r="C394" s="3" t="s">
        <v>34</v>
      </c>
      <c r="D394" s="3" t="s">
        <v>45</v>
      </c>
      <c r="E394" s="3" t="s">
        <v>25</v>
      </c>
      <c r="F394" s="3" t="s">
        <v>25</v>
      </c>
      <c r="G394" s="3" t="s">
        <v>25</v>
      </c>
      <c r="H394" s="3" t="s">
        <v>36</v>
      </c>
      <c r="I394" s="6">
        <v>44621</v>
      </c>
      <c r="J394" s="4">
        <v>0</v>
      </c>
      <c r="K394" s="70">
        <v>0</v>
      </c>
      <c r="L394" s="4">
        <v>156.30500000000001</v>
      </c>
      <c r="M394" s="70">
        <v>156.30500000000001</v>
      </c>
      <c r="N394" s="4">
        <v>156.30500000000001</v>
      </c>
      <c r="O394" s="70">
        <v>156.30500000000001</v>
      </c>
      <c r="P394" s="4">
        <v>0</v>
      </c>
      <c r="Q394" s="3" t="s">
        <v>26</v>
      </c>
      <c r="R394" s="3">
        <v>0</v>
      </c>
      <c r="S394" s="3">
        <v>0</v>
      </c>
      <c r="T394" s="3">
        <v>29</v>
      </c>
      <c r="U394" s="3">
        <v>73</v>
      </c>
      <c r="V394" s="70">
        <f>IF(ISERROR(VLOOKUP($S$394,'TAR FIN'!$A$1:$O$99,15,0)),0,VLOOKUP($S$394,'TAR FIN'!$A$1:$O$99,15,0))</f>
        <v>0</v>
      </c>
      <c r="W394" s="70">
        <f>IF(ISERROR(VLOOKUP($T$394,'TAR FIN'!$A$1:$O$99,15,0)),0,VLOOKUP($T$394,'TAR FIN'!$A$1:$O$99,15,0))*(1-0.04)</f>
        <v>93.70559999999999</v>
      </c>
      <c r="X394" s="70">
        <f>IF(ISERROR(VLOOKUP($U$394,'TAR FIN'!$A$1:$O$99,15,0)),0,VLOOKUP($U$394,'TAR FIN'!$A$1:$O$99,15,0))*(1-0.04)</f>
        <v>211.1712</v>
      </c>
      <c r="Y394" s="70"/>
      <c r="Z394" s="70">
        <f ca="1">('TUSD BE'!$AM$23+'TUSD BF'!$AM$23+'TUSD CVA'!$AM$23)*1*(1-0.02)</f>
        <v>115.23932238737589</v>
      </c>
      <c r="AA394" s="70">
        <f>('TE BE'!$AA$8+'TE BF'!$AA$8+'TE CVA'!$AA$8)*1*(1-0.02)</f>
        <v>265.71632769942346</v>
      </c>
      <c r="AB394" s="70">
        <f>(SUBSIDIO!$J$394*SUBSIDIO!$V$394)*(0.04)/(1-0.04)</f>
        <v>0</v>
      </c>
      <c r="AC394" s="70">
        <f>((SUBSIDIO!$L$394*SUBSIDIO!$W$394)+(SUBSIDIO!$N$394*SUBSIDIO!$X$394))*(0.04)/(1-0.04)</f>
        <v>1985.573676</v>
      </c>
      <c r="AD394" s="70">
        <f>(SUBSIDIO!$J$394*SUBSIDIO!$Y$394)*(0.02)/(1-0.02)</f>
        <v>0</v>
      </c>
      <c r="AE394" s="70">
        <f ca="1">((SUBSIDIO!$L$394*SUBSIDIO!$Z$394)+(SUBSIDIO!$N$394*SUBSIDIO!$AA$394))*(0.02)/(1-0.02)</f>
        <v>1215.2096507513709</v>
      </c>
      <c r="AF394" s="3" t="s">
        <v>951</v>
      </c>
    </row>
    <row r="395" spans="1:32" ht="11.25" customHeight="1" x14ac:dyDescent="0.25">
      <c r="A395" s="3" t="s">
        <v>56</v>
      </c>
      <c r="B395" s="3" t="s">
        <v>33</v>
      </c>
      <c r="C395" s="3" t="s">
        <v>34</v>
      </c>
      <c r="D395" s="3" t="s">
        <v>45</v>
      </c>
      <c r="E395" s="3" t="s">
        <v>25</v>
      </c>
      <c r="F395" s="3" t="s">
        <v>25</v>
      </c>
      <c r="G395" s="3" t="s">
        <v>25</v>
      </c>
      <c r="H395" s="3" t="s">
        <v>36</v>
      </c>
      <c r="I395" s="6">
        <v>44652</v>
      </c>
      <c r="J395" s="4">
        <v>0</v>
      </c>
      <c r="K395" s="70">
        <v>0</v>
      </c>
      <c r="L395" s="4">
        <v>688.91700000000003</v>
      </c>
      <c r="M395" s="70">
        <v>688.91700000000003</v>
      </c>
      <c r="N395" s="4">
        <v>688.91700000000003</v>
      </c>
      <c r="O395" s="70">
        <v>688.91700000000003</v>
      </c>
      <c r="P395" s="4">
        <v>0</v>
      </c>
      <c r="Q395" s="3" t="s">
        <v>26</v>
      </c>
      <c r="R395" s="3">
        <v>0</v>
      </c>
      <c r="S395" s="3">
        <v>0</v>
      </c>
      <c r="T395" s="3">
        <v>29</v>
      </c>
      <c r="U395" s="3">
        <v>73</v>
      </c>
      <c r="V395" s="70">
        <f>IF(ISERROR(VLOOKUP($S$395,'TAR FIN'!$A$1:$O$99,15,0)),0,VLOOKUP($S$395,'TAR FIN'!$A$1:$O$99,15,0))</f>
        <v>0</v>
      </c>
      <c r="W395" s="70">
        <f>IF(ISERROR(VLOOKUP($T$395,'TAR FIN'!$A$1:$O$99,15,0)),0,VLOOKUP($T$395,'TAR FIN'!$A$1:$O$99,15,0))*(1-0.04)</f>
        <v>93.70559999999999</v>
      </c>
      <c r="X395" s="70">
        <f>IF(ISERROR(VLOOKUP($U$395,'TAR FIN'!$A$1:$O$99,15,0)),0,VLOOKUP($U$395,'TAR FIN'!$A$1:$O$99,15,0))*(1-0.04)</f>
        <v>211.1712</v>
      </c>
      <c r="Y395" s="70"/>
      <c r="Z395" s="70">
        <f ca="1">('TUSD BE'!$AM$23+'TUSD BF'!$AM$23+'TUSD CVA'!$AM$23)*1*(1-0.02)</f>
        <v>115.23932238737589</v>
      </c>
      <c r="AA395" s="70">
        <f>('TE BE'!$AA$8+'TE BF'!$AA$8+'TE CVA'!$AA$8)*1*(1-0.02)</f>
        <v>265.71632769942346</v>
      </c>
      <c r="AB395" s="70">
        <f>(SUBSIDIO!$J$395*SUBSIDIO!$V$395)*(0.04)/(1-0.04)</f>
        <v>0</v>
      </c>
      <c r="AC395" s="70">
        <f>((SUBSIDIO!$L$395*SUBSIDIO!$W$395)+(SUBSIDIO!$N$395*SUBSIDIO!$X$395))*(0.04)/(1-0.04)</f>
        <v>8751.4504344000015</v>
      </c>
      <c r="AD395" s="70">
        <f>(SUBSIDIO!$J$395*SUBSIDIO!$Y$395)*(0.02)/(1-0.02)</f>
        <v>0</v>
      </c>
      <c r="AE395" s="70">
        <f ca="1">((SUBSIDIO!$L$395*SUBSIDIO!$Z$395)+(SUBSIDIO!$N$395*SUBSIDIO!$AA$395))*(0.02)/(1-0.02)</f>
        <v>5356.0576243030109</v>
      </c>
      <c r="AF395" s="3" t="s">
        <v>951</v>
      </c>
    </row>
    <row r="396" spans="1:32" ht="11.25" customHeight="1" x14ac:dyDescent="0.25">
      <c r="A396" s="3" t="s">
        <v>56</v>
      </c>
      <c r="B396" s="3" t="s">
        <v>33</v>
      </c>
      <c r="C396" s="3" t="s">
        <v>34</v>
      </c>
      <c r="D396" s="3" t="s">
        <v>45</v>
      </c>
      <c r="E396" s="3" t="s">
        <v>25</v>
      </c>
      <c r="F396" s="3" t="s">
        <v>25</v>
      </c>
      <c r="G396" s="3" t="s">
        <v>25</v>
      </c>
      <c r="H396" s="3" t="s">
        <v>36</v>
      </c>
      <c r="I396" s="6">
        <v>44652</v>
      </c>
      <c r="J396" s="4">
        <v>0</v>
      </c>
      <c r="K396" s="70">
        <v>0</v>
      </c>
      <c r="L396" s="4">
        <v>156.30500000000001</v>
      </c>
      <c r="M396" s="70">
        <v>156.30500000000001</v>
      </c>
      <c r="N396" s="4">
        <v>156.30500000000001</v>
      </c>
      <c r="O396" s="70">
        <v>156.30500000000001</v>
      </c>
      <c r="P396" s="4">
        <v>0</v>
      </c>
      <c r="Q396" s="3" t="s">
        <v>26</v>
      </c>
      <c r="R396" s="3">
        <v>0</v>
      </c>
      <c r="S396" s="3">
        <v>0</v>
      </c>
      <c r="T396" s="3">
        <v>29</v>
      </c>
      <c r="U396" s="3">
        <v>73</v>
      </c>
      <c r="V396" s="70">
        <f>IF(ISERROR(VLOOKUP($S$396,'TAR FIN'!$A$1:$O$99,15,0)),0,VLOOKUP($S$396,'TAR FIN'!$A$1:$O$99,15,0))</f>
        <v>0</v>
      </c>
      <c r="W396" s="70">
        <f>IF(ISERROR(VLOOKUP($T$396,'TAR FIN'!$A$1:$O$99,15,0)),0,VLOOKUP($T$396,'TAR FIN'!$A$1:$O$99,15,0))*(1-0.04)</f>
        <v>93.70559999999999</v>
      </c>
      <c r="X396" s="70">
        <f>IF(ISERROR(VLOOKUP($U$396,'TAR FIN'!$A$1:$O$99,15,0)),0,VLOOKUP($U$396,'TAR FIN'!$A$1:$O$99,15,0))*(1-0.04)</f>
        <v>211.1712</v>
      </c>
      <c r="Y396" s="70"/>
      <c r="Z396" s="70">
        <f ca="1">('TUSD BE'!$AM$23+'TUSD BF'!$AM$23+'TUSD CVA'!$AM$23)*1*(1-0.02)</f>
        <v>115.23932238737589</v>
      </c>
      <c r="AA396" s="70">
        <f>('TE BE'!$AA$8+'TE BF'!$AA$8+'TE CVA'!$AA$8)*1*(1-0.02)</f>
        <v>265.71632769942346</v>
      </c>
      <c r="AB396" s="70">
        <f>(SUBSIDIO!$J$396*SUBSIDIO!$V$396)*(0.04)/(1-0.04)</f>
        <v>0</v>
      </c>
      <c r="AC396" s="70">
        <f>((SUBSIDIO!$L$396*SUBSIDIO!$W$396)+(SUBSIDIO!$N$396*SUBSIDIO!$X$396))*(0.04)/(1-0.04)</f>
        <v>1985.573676</v>
      </c>
      <c r="AD396" s="70">
        <f>(SUBSIDIO!$J$396*SUBSIDIO!$Y$396)*(0.02)/(1-0.02)</f>
        <v>0</v>
      </c>
      <c r="AE396" s="70">
        <f ca="1">((SUBSIDIO!$L$396*SUBSIDIO!$Z$396)+(SUBSIDIO!$N$396*SUBSIDIO!$AA$396))*(0.02)/(1-0.02)</f>
        <v>1215.2096507513709</v>
      </c>
      <c r="AF396" s="3" t="s">
        <v>951</v>
      </c>
    </row>
    <row r="397" spans="1:32" ht="11.25" customHeight="1" x14ac:dyDescent="0.25">
      <c r="A397" s="3" t="s">
        <v>21</v>
      </c>
      <c r="B397" s="3" t="s">
        <v>33</v>
      </c>
      <c r="C397" s="3" t="s">
        <v>34</v>
      </c>
      <c r="D397" s="3" t="s">
        <v>45</v>
      </c>
      <c r="E397" s="3" t="s">
        <v>25</v>
      </c>
      <c r="F397" s="3" t="s">
        <v>25</v>
      </c>
      <c r="G397" s="3" t="s">
        <v>25</v>
      </c>
      <c r="H397" s="3" t="s">
        <v>25</v>
      </c>
      <c r="I397" s="6">
        <v>44317</v>
      </c>
      <c r="J397" s="4">
        <v>5550</v>
      </c>
      <c r="K397" s="70">
        <v>5550</v>
      </c>
      <c r="L397" s="4">
        <v>0</v>
      </c>
      <c r="M397" s="70">
        <v>0</v>
      </c>
      <c r="N397" s="4">
        <v>0</v>
      </c>
      <c r="O397" s="70">
        <v>0</v>
      </c>
      <c r="P397" s="4">
        <v>41</v>
      </c>
      <c r="Q397" s="3" t="s">
        <v>26</v>
      </c>
      <c r="R397" s="3">
        <v>0</v>
      </c>
      <c r="S397" s="3">
        <v>7</v>
      </c>
      <c r="T397" s="3">
        <v>0</v>
      </c>
      <c r="U397" s="3">
        <v>0</v>
      </c>
      <c r="V397" s="70">
        <f>IF(ISERROR(VLOOKUP($S$397,'TAR FIN'!$A$1:$O$99,15,0)),0,VLOOKUP($S$397,'TAR FIN'!$A$1:$O$99,15,0))*(1-0.04)</f>
        <v>20.975999999999999</v>
      </c>
      <c r="W397" s="70">
        <f>IF(ISERROR(VLOOKUP($T$397,'TAR FIN'!$A$1:$O$99,15,0)),0,VLOOKUP($T$397,'TAR FIN'!$A$1:$O$99,15,0))</f>
        <v>0</v>
      </c>
      <c r="X397" s="70">
        <f>IF(ISERROR(VLOOKUP($U$397,'TAR FIN'!$A$1:$O$99,15,0)),0,VLOOKUP($U$397,'TAR FIN'!$A$1:$O$99,15,0))</f>
        <v>0</v>
      </c>
      <c r="Y397" s="70">
        <f ca="1">('TUSD BE'!$AM$21+'TUSD BF'!$AM$21+'TUSD CVA'!$AM$21)*1*(1-0.02)</f>
        <v>24.176010844852033</v>
      </c>
      <c r="Z397" s="70"/>
      <c r="AA397" s="70"/>
      <c r="AB397" s="70">
        <f>(SUBSIDIO!$J$397*SUBSIDIO!$V$397)*(0.04)/(1-0.04)</f>
        <v>4850.7</v>
      </c>
      <c r="AC397" s="70">
        <f>((SUBSIDIO!$L$397*SUBSIDIO!$W$397)+(SUBSIDIO!$N$397*SUBSIDIO!$X$397))*(0.04)/(1-0.04)</f>
        <v>0</v>
      </c>
      <c r="AD397" s="70">
        <f ca="1">(SUBSIDIO!$J$397*SUBSIDIO!$Y$397)*(0.02)/(1-0.02)</f>
        <v>2738.3032691618118</v>
      </c>
      <c r="AE397" s="70">
        <f>((SUBSIDIO!$L$397*SUBSIDIO!$Z$397)+(SUBSIDIO!$N$397*SUBSIDIO!$AA$397))*(0.02)/(1-0.02)</f>
        <v>0</v>
      </c>
      <c r="AF397" s="3" t="s">
        <v>951</v>
      </c>
    </row>
    <row r="398" spans="1:32" ht="11.25" customHeight="1" x14ac:dyDescent="0.25">
      <c r="A398" s="3" t="s">
        <v>28</v>
      </c>
      <c r="B398" s="3" t="s">
        <v>33</v>
      </c>
      <c r="C398" s="3" t="s">
        <v>34</v>
      </c>
      <c r="D398" s="3" t="s">
        <v>45</v>
      </c>
      <c r="E398" s="3" t="s">
        <v>25</v>
      </c>
      <c r="F398" s="3" t="s">
        <v>25</v>
      </c>
      <c r="G398" s="3" t="s">
        <v>25</v>
      </c>
      <c r="H398" s="3" t="s">
        <v>25</v>
      </c>
      <c r="I398" s="6">
        <v>44317</v>
      </c>
      <c r="J398" s="4">
        <v>32</v>
      </c>
      <c r="K398" s="70">
        <v>32</v>
      </c>
      <c r="L398" s="4">
        <v>0</v>
      </c>
      <c r="M398" s="70">
        <v>0</v>
      </c>
      <c r="N398" s="4">
        <v>0</v>
      </c>
      <c r="O398" s="70">
        <v>0</v>
      </c>
      <c r="P398" s="4">
        <v>3</v>
      </c>
      <c r="Q398" s="3" t="s">
        <v>26</v>
      </c>
      <c r="R398" s="3">
        <v>0</v>
      </c>
      <c r="S398" s="3">
        <v>7</v>
      </c>
      <c r="T398" s="3">
        <v>0</v>
      </c>
      <c r="U398" s="3">
        <v>0</v>
      </c>
      <c r="V398" s="70">
        <f>IF(ISERROR(VLOOKUP($S$398,'TAR FIN'!$A$1:$O$99,15,0)),0,VLOOKUP($S$398,'TAR FIN'!$A$1:$O$99,15,0))*(1-0.04)</f>
        <v>20.975999999999999</v>
      </c>
      <c r="W398" s="70">
        <f>IF(ISERROR(VLOOKUP($T$398,'TAR FIN'!$A$1:$O$99,15,0)),0,VLOOKUP($T$398,'TAR FIN'!$A$1:$O$99,15,0))</f>
        <v>0</v>
      </c>
      <c r="X398" s="70">
        <f>IF(ISERROR(VLOOKUP($U$398,'TAR FIN'!$A$1:$O$99,15,0)),0,VLOOKUP($U$398,'TAR FIN'!$A$1:$O$99,15,0))</f>
        <v>0</v>
      </c>
      <c r="Y398" s="70">
        <f ca="1">('TUSD BE'!$AM$21+'TUSD BF'!$AM$21+'TUSD CVA'!$AM$21)*1*(1-0.02)</f>
        <v>24.176010844852033</v>
      </c>
      <c r="Z398" s="70"/>
      <c r="AA398" s="70"/>
      <c r="AB398" s="70">
        <f>(SUBSIDIO!$J$398*SUBSIDIO!$V$398)*(0.04)/(1-0.04)</f>
        <v>27.968</v>
      </c>
      <c r="AC398" s="70">
        <f>((SUBSIDIO!$L$398*SUBSIDIO!$W$398)+(SUBSIDIO!$N$398*SUBSIDIO!$X$398))*(0.04)/(1-0.04)</f>
        <v>0</v>
      </c>
      <c r="AD398" s="70">
        <f ca="1">(SUBSIDIO!$J$398*SUBSIDIO!$Y$398)*(0.02)/(1-0.02)</f>
        <v>15.788415245617655</v>
      </c>
      <c r="AE398" s="70">
        <f>((SUBSIDIO!$L$398*SUBSIDIO!$Z$398)+(SUBSIDIO!$N$398*SUBSIDIO!$AA$398))*(0.02)/(1-0.02)</f>
        <v>0</v>
      </c>
      <c r="AF398" s="3" t="s">
        <v>951</v>
      </c>
    </row>
    <row r="399" spans="1:32" ht="11.25" customHeight="1" x14ac:dyDescent="0.25">
      <c r="A399" s="3" t="s">
        <v>21</v>
      </c>
      <c r="B399" s="3" t="s">
        <v>33</v>
      </c>
      <c r="C399" s="3" t="s">
        <v>34</v>
      </c>
      <c r="D399" s="3" t="s">
        <v>45</v>
      </c>
      <c r="E399" s="3" t="s">
        <v>25</v>
      </c>
      <c r="F399" s="3" t="s">
        <v>25</v>
      </c>
      <c r="G399" s="3" t="s">
        <v>25</v>
      </c>
      <c r="H399" s="3" t="s">
        <v>25</v>
      </c>
      <c r="I399" s="6">
        <v>44348</v>
      </c>
      <c r="J399" s="4">
        <v>4018</v>
      </c>
      <c r="K399" s="70">
        <v>4018</v>
      </c>
      <c r="L399" s="4">
        <v>0</v>
      </c>
      <c r="M399" s="70">
        <v>0</v>
      </c>
      <c r="N399" s="4">
        <v>0</v>
      </c>
      <c r="O399" s="70">
        <v>0</v>
      </c>
      <c r="P399" s="4">
        <v>41</v>
      </c>
      <c r="Q399" s="3" t="s">
        <v>26</v>
      </c>
      <c r="R399" s="3">
        <v>0</v>
      </c>
      <c r="S399" s="3">
        <v>7</v>
      </c>
      <c r="T399" s="3">
        <v>0</v>
      </c>
      <c r="U399" s="3">
        <v>0</v>
      </c>
      <c r="V399" s="70">
        <f>IF(ISERROR(VLOOKUP($S$399,'TAR FIN'!$A$1:$O$99,15,0)),0,VLOOKUP($S$399,'TAR FIN'!$A$1:$O$99,15,0))*(1-0.04)</f>
        <v>20.975999999999999</v>
      </c>
      <c r="W399" s="70">
        <f>IF(ISERROR(VLOOKUP($T$399,'TAR FIN'!$A$1:$O$99,15,0)),0,VLOOKUP($T$399,'TAR FIN'!$A$1:$O$99,15,0))</f>
        <v>0</v>
      </c>
      <c r="X399" s="70">
        <f>IF(ISERROR(VLOOKUP($U$399,'TAR FIN'!$A$1:$O$99,15,0)),0,VLOOKUP($U$399,'TAR FIN'!$A$1:$O$99,15,0))</f>
        <v>0</v>
      </c>
      <c r="Y399" s="70">
        <f ca="1">('TUSD BE'!$AM$21+'TUSD BF'!$AM$21+'TUSD CVA'!$AM$21)*1*(1-0.02)</f>
        <v>24.176010844852033</v>
      </c>
      <c r="Z399" s="70"/>
      <c r="AA399" s="70"/>
      <c r="AB399" s="70">
        <f>(SUBSIDIO!$J$399*SUBSIDIO!$V$399)*(0.04)/(1-0.04)</f>
        <v>3511.7320000000004</v>
      </c>
      <c r="AC399" s="70">
        <f>((SUBSIDIO!$L$399*SUBSIDIO!$W$399)+(SUBSIDIO!$N$399*SUBSIDIO!$X$399))*(0.04)/(1-0.04)</f>
        <v>0</v>
      </c>
      <c r="AD399" s="70">
        <f ca="1">(SUBSIDIO!$J$399*SUBSIDIO!$Y$399)*(0.02)/(1-0.02)</f>
        <v>1982.4328892778669</v>
      </c>
      <c r="AE399" s="70">
        <f>((SUBSIDIO!$L$399*SUBSIDIO!$Z$399)+(SUBSIDIO!$N$399*SUBSIDIO!$AA$399))*(0.02)/(1-0.02)</f>
        <v>0</v>
      </c>
      <c r="AF399" s="3" t="s">
        <v>951</v>
      </c>
    </row>
    <row r="400" spans="1:32" ht="11.25" customHeight="1" x14ac:dyDescent="0.25">
      <c r="A400" s="3" t="s">
        <v>28</v>
      </c>
      <c r="B400" s="3" t="s">
        <v>33</v>
      </c>
      <c r="C400" s="3" t="s">
        <v>34</v>
      </c>
      <c r="D400" s="3" t="s">
        <v>45</v>
      </c>
      <c r="E400" s="3" t="s">
        <v>25</v>
      </c>
      <c r="F400" s="3" t="s">
        <v>25</v>
      </c>
      <c r="G400" s="3" t="s">
        <v>25</v>
      </c>
      <c r="H400" s="3" t="s">
        <v>25</v>
      </c>
      <c r="I400" s="6">
        <v>44348</v>
      </c>
      <c r="J400" s="4">
        <v>539</v>
      </c>
      <c r="K400" s="70">
        <v>539</v>
      </c>
      <c r="L400" s="4">
        <v>0</v>
      </c>
      <c r="M400" s="70">
        <v>0</v>
      </c>
      <c r="N400" s="4">
        <v>0</v>
      </c>
      <c r="O400" s="70">
        <v>0</v>
      </c>
      <c r="P400" s="4">
        <v>3</v>
      </c>
      <c r="Q400" s="3" t="s">
        <v>26</v>
      </c>
      <c r="R400" s="3">
        <v>0</v>
      </c>
      <c r="S400" s="3">
        <v>7</v>
      </c>
      <c r="T400" s="3">
        <v>0</v>
      </c>
      <c r="U400" s="3">
        <v>0</v>
      </c>
      <c r="V400" s="70">
        <f>IF(ISERROR(VLOOKUP($S$400,'TAR FIN'!$A$1:$O$99,15,0)),0,VLOOKUP($S$400,'TAR FIN'!$A$1:$O$99,15,0))*(1-0.04)</f>
        <v>20.975999999999999</v>
      </c>
      <c r="W400" s="70">
        <f>IF(ISERROR(VLOOKUP($T$400,'TAR FIN'!$A$1:$O$99,15,0)),0,VLOOKUP($T$400,'TAR FIN'!$A$1:$O$99,15,0))</f>
        <v>0</v>
      </c>
      <c r="X400" s="70">
        <f>IF(ISERROR(VLOOKUP($U$400,'TAR FIN'!$A$1:$O$99,15,0)),0,VLOOKUP($U$400,'TAR FIN'!$A$1:$O$99,15,0))</f>
        <v>0</v>
      </c>
      <c r="Y400" s="70">
        <f ca="1">('TUSD BE'!$AM$21+'TUSD BF'!$AM$21+'TUSD CVA'!$AM$21)*1*(1-0.02)</f>
        <v>24.176010844852033</v>
      </c>
      <c r="Z400" s="70"/>
      <c r="AA400" s="70"/>
      <c r="AB400" s="70">
        <f>(SUBSIDIO!$J$400*SUBSIDIO!$V$400)*(0.04)/(1-0.04)</f>
        <v>471.08600000000007</v>
      </c>
      <c r="AC400" s="70">
        <f>((SUBSIDIO!$L$400*SUBSIDIO!$W$400)+(SUBSIDIO!$N$400*SUBSIDIO!$X$400))*(0.04)/(1-0.04)</f>
        <v>0</v>
      </c>
      <c r="AD400" s="70">
        <f ca="1">(SUBSIDIO!$J$400*SUBSIDIO!$Y$400)*(0.02)/(1-0.02)</f>
        <v>265.93611929337237</v>
      </c>
      <c r="AE400" s="70">
        <f>((SUBSIDIO!$L$400*SUBSIDIO!$Z$400)+(SUBSIDIO!$N$400*SUBSIDIO!$AA$400))*(0.02)/(1-0.02)</f>
        <v>0</v>
      </c>
      <c r="AF400" s="3" t="s">
        <v>951</v>
      </c>
    </row>
    <row r="401" spans="1:32" ht="11.25" customHeight="1" x14ac:dyDescent="0.25">
      <c r="A401" s="3" t="s">
        <v>21</v>
      </c>
      <c r="B401" s="3" t="s">
        <v>33</v>
      </c>
      <c r="C401" s="3" t="s">
        <v>34</v>
      </c>
      <c r="D401" s="3" t="s">
        <v>45</v>
      </c>
      <c r="E401" s="3" t="s">
        <v>25</v>
      </c>
      <c r="F401" s="3" t="s">
        <v>25</v>
      </c>
      <c r="G401" s="3" t="s">
        <v>25</v>
      </c>
      <c r="H401" s="3" t="s">
        <v>25</v>
      </c>
      <c r="I401" s="6">
        <v>44378</v>
      </c>
      <c r="J401" s="4">
        <v>4255</v>
      </c>
      <c r="K401" s="70">
        <v>4255</v>
      </c>
      <c r="L401" s="4">
        <v>0</v>
      </c>
      <c r="M401" s="70">
        <v>0</v>
      </c>
      <c r="N401" s="4">
        <v>0</v>
      </c>
      <c r="O401" s="70">
        <v>0</v>
      </c>
      <c r="P401" s="4">
        <v>41</v>
      </c>
      <c r="Q401" s="3" t="s">
        <v>26</v>
      </c>
      <c r="R401" s="3">
        <v>0</v>
      </c>
      <c r="S401" s="3">
        <v>7</v>
      </c>
      <c r="T401" s="3">
        <v>0</v>
      </c>
      <c r="U401" s="3">
        <v>0</v>
      </c>
      <c r="V401" s="70">
        <f>IF(ISERROR(VLOOKUP($S$401,'TAR FIN'!$A$1:$O$99,15,0)),0,VLOOKUP($S$401,'TAR FIN'!$A$1:$O$99,15,0))*(1-0.04)</f>
        <v>20.975999999999999</v>
      </c>
      <c r="W401" s="70">
        <f>IF(ISERROR(VLOOKUP($T$401,'TAR FIN'!$A$1:$O$99,15,0)),0,VLOOKUP($T$401,'TAR FIN'!$A$1:$O$99,15,0))</f>
        <v>0</v>
      </c>
      <c r="X401" s="70">
        <f>IF(ISERROR(VLOOKUP($U$401,'TAR FIN'!$A$1:$O$99,15,0)),0,VLOOKUP($U$401,'TAR FIN'!$A$1:$O$99,15,0))</f>
        <v>0</v>
      </c>
      <c r="Y401" s="70">
        <f ca="1">('TUSD BE'!$AM$21+'TUSD BF'!$AM$21+'TUSD CVA'!$AM$21)*1*(1-0.02)</f>
        <v>24.176010844852033</v>
      </c>
      <c r="Z401" s="70"/>
      <c r="AA401" s="70"/>
      <c r="AB401" s="70">
        <f>(SUBSIDIO!$J$401*SUBSIDIO!$V$401)*(0.04)/(1-0.04)</f>
        <v>3718.87</v>
      </c>
      <c r="AC401" s="70">
        <f>((SUBSIDIO!$L$401*SUBSIDIO!$W$401)+(SUBSIDIO!$N$401*SUBSIDIO!$X$401))*(0.04)/(1-0.04)</f>
        <v>0</v>
      </c>
      <c r="AD401" s="70">
        <f ca="1">(SUBSIDIO!$J$401*SUBSIDIO!$Y$401)*(0.02)/(1-0.02)</f>
        <v>2099.3658396907226</v>
      </c>
      <c r="AE401" s="70">
        <f>((SUBSIDIO!$L$401*SUBSIDIO!$Z$401)+(SUBSIDIO!$N$401*SUBSIDIO!$AA$401))*(0.02)/(1-0.02)</f>
        <v>0</v>
      </c>
      <c r="AF401" s="3" t="s">
        <v>951</v>
      </c>
    </row>
    <row r="402" spans="1:32" ht="11.25" customHeight="1" x14ac:dyDescent="0.25">
      <c r="A402" s="3" t="s">
        <v>28</v>
      </c>
      <c r="B402" s="3" t="s">
        <v>33</v>
      </c>
      <c r="C402" s="3" t="s">
        <v>34</v>
      </c>
      <c r="D402" s="3" t="s">
        <v>45</v>
      </c>
      <c r="E402" s="3" t="s">
        <v>25</v>
      </c>
      <c r="F402" s="3" t="s">
        <v>25</v>
      </c>
      <c r="G402" s="3" t="s">
        <v>25</v>
      </c>
      <c r="H402" s="3" t="s">
        <v>25</v>
      </c>
      <c r="I402" s="6">
        <v>44378</v>
      </c>
      <c r="J402" s="4">
        <v>1</v>
      </c>
      <c r="K402" s="70">
        <v>1</v>
      </c>
      <c r="L402" s="4">
        <v>0</v>
      </c>
      <c r="M402" s="70">
        <v>0</v>
      </c>
      <c r="N402" s="4">
        <v>0</v>
      </c>
      <c r="O402" s="70">
        <v>0</v>
      </c>
      <c r="P402" s="4">
        <v>2</v>
      </c>
      <c r="Q402" s="3" t="s">
        <v>26</v>
      </c>
      <c r="R402" s="3">
        <v>0</v>
      </c>
      <c r="S402" s="3">
        <v>7</v>
      </c>
      <c r="T402" s="3">
        <v>0</v>
      </c>
      <c r="U402" s="3">
        <v>0</v>
      </c>
      <c r="V402" s="70">
        <f>IF(ISERROR(VLOOKUP($S$402,'TAR FIN'!$A$1:$O$99,15,0)),0,VLOOKUP($S$402,'TAR FIN'!$A$1:$O$99,15,0))*(1-0.04)</f>
        <v>20.975999999999999</v>
      </c>
      <c r="W402" s="70">
        <f>IF(ISERROR(VLOOKUP($T$402,'TAR FIN'!$A$1:$O$99,15,0)),0,VLOOKUP($T$402,'TAR FIN'!$A$1:$O$99,15,0))</f>
        <v>0</v>
      </c>
      <c r="X402" s="70">
        <f>IF(ISERROR(VLOOKUP($U$402,'TAR FIN'!$A$1:$O$99,15,0)),0,VLOOKUP($U$402,'TAR FIN'!$A$1:$O$99,15,0))</f>
        <v>0</v>
      </c>
      <c r="Y402" s="70">
        <f ca="1">('TUSD BE'!$AM$21+'TUSD BF'!$AM$21+'TUSD CVA'!$AM$21)*1*(1-0.02)</f>
        <v>24.176010844852033</v>
      </c>
      <c r="Z402" s="70"/>
      <c r="AA402" s="70"/>
      <c r="AB402" s="70">
        <f>(SUBSIDIO!$J$402*SUBSIDIO!$V$402)*(0.04)/(1-0.04)</f>
        <v>0.874</v>
      </c>
      <c r="AC402" s="70">
        <f>((SUBSIDIO!$L$402*SUBSIDIO!$W$402)+(SUBSIDIO!$N$402*SUBSIDIO!$X$402))*(0.04)/(1-0.04)</f>
        <v>0</v>
      </c>
      <c r="AD402" s="70">
        <f ca="1">(SUBSIDIO!$J$402*SUBSIDIO!$Y$402)*(0.02)/(1-0.02)</f>
        <v>0.49338797642555171</v>
      </c>
      <c r="AE402" s="70">
        <f>((SUBSIDIO!$L$402*SUBSIDIO!$Z$402)+(SUBSIDIO!$N$402*SUBSIDIO!$AA$402))*(0.02)/(1-0.02)</f>
        <v>0</v>
      </c>
      <c r="AF402" s="3" t="s">
        <v>951</v>
      </c>
    </row>
    <row r="403" spans="1:32" ht="11.25" customHeight="1" x14ac:dyDescent="0.25">
      <c r="A403" s="3" t="s">
        <v>21</v>
      </c>
      <c r="B403" s="3" t="s">
        <v>33</v>
      </c>
      <c r="C403" s="3" t="s">
        <v>34</v>
      </c>
      <c r="D403" s="3" t="s">
        <v>45</v>
      </c>
      <c r="E403" s="3" t="s">
        <v>25</v>
      </c>
      <c r="F403" s="3" t="s">
        <v>25</v>
      </c>
      <c r="G403" s="3" t="s">
        <v>25</v>
      </c>
      <c r="H403" s="3" t="s">
        <v>25</v>
      </c>
      <c r="I403" s="6">
        <v>44409</v>
      </c>
      <c r="J403" s="4">
        <v>4170</v>
      </c>
      <c r="K403" s="70">
        <v>4170</v>
      </c>
      <c r="L403" s="4">
        <v>0</v>
      </c>
      <c r="M403" s="70">
        <v>0</v>
      </c>
      <c r="N403" s="4">
        <v>0</v>
      </c>
      <c r="O403" s="70">
        <v>0</v>
      </c>
      <c r="P403" s="4">
        <v>41</v>
      </c>
      <c r="Q403" s="3" t="s">
        <v>26</v>
      </c>
      <c r="R403" s="3">
        <v>0</v>
      </c>
      <c r="S403" s="3">
        <v>7</v>
      </c>
      <c r="T403" s="3">
        <v>0</v>
      </c>
      <c r="U403" s="3">
        <v>0</v>
      </c>
      <c r="V403" s="70">
        <f>IF(ISERROR(VLOOKUP($S$403,'TAR FIN'!$A$1:$O$99,15,0)),0,VLOOKUP($S$403,'TAR FIN'!$A$1:$O$99,15,0))*(1-0.04)</f>
        <v>20.975999999999999</v>
      </c>
      <c r="W403" s="70">
        <f>IF(ISERROR(VLOOKUP($T$403,'TAR FIN'!$A$1:$O$99,15,0)),0,VLOOKUP($T$403,'TAR FIN'!$A$1:$O$99,15,0))</f>
        <v>0</v>
      </c>
      <c r="X403" s="70">
        <f>IF(ISERROR(VLOOKUP($U$403,'TAR FIN'!$A$1:$O$99,15,0)),0,VLOOKUP($U$403,'TAR FIN'!$A$1:$O$99,15,0))</f>
        <v>0</v>
      </c>
      <c r="Y403" s="70">
        <f ca="1">('TUSD BE'!$AM$21+'TUSD BF'!$AM$21+'TUSD CVA'!$AM$21)*1*(1-0.02)</f>
        <v>24.176010844852033</v>
      </c>
      <c r="Z403" s="70"/>
      <c r="AA403" s="70"/>
      <c r="AB403" s="70">
        <f>(SUBSIDIO!$J$403*SUBSIDIO!$V$403)*(0.04)/(1-0.04)</f>
        <v>3644.5800000000004</v>
      </c>
      <c r="AC403" s="70">
        <f>((SUBSIDIO!$L$403*SUBSIDIO!$W$403)+(SUBSIDIO!$N$403*SUBSIDIO!$X$403))*(0.04)/(1-0.04)</f>
        <v>0</v>
      </c>
      <c r="AD403" s="70">
        <f ca="1">(SUBSIDIO!$J$403*SUBSIDIO!$Y$403)*(0.02)/(1-0.02)</f>
        <v>2057.4278616945508</v>
      </c>
      <c r="AE403" s="70">
        <f>((SUBSIDIO!$L$403*SUBSIDIO!$Z$403)+(SUBSIDIO!$N$403*SUBSIDIO!$AA$403))*(0.02)/(1-0.02)</f>
        <v>0</v>
      </c>
      <c r="AF403" s="3" t="s">
        <v>951</v>
      </c>
    </row>
    <row r="404" spans="1:32" ht="11.25" customHeight="1" x14ac:dyDescent="0.25">
      <c r="A404" s="3" t="s">
        <v>28</v>
      </c>
      <c r="B404" s="3" t="s">
        <v>33</v>
      </c>
      <c r="C404" s="3" t="s">
        <v>34</v>
      </c>
      <c r="D404" s="3" t="s">
        <v>45</v>
      </c>
      <c r="E404" s="3" t="s">
        <v>25</v>
      </c>
      <c r="F404" s="3" t="s">
        <v>25</v>
      </c>
      <c r="G404" s="3" t="s">
        <v>25</v>
      </c>
      <c r="H404" s="3" t="s">
        <v>25</v>
      </c>
      <c r="I404" s="6">
        <v>44409</v>
      </c>
      <c r="J404" s="4">
        <v>225</v>
      </c>
      <c r="K404" s="70">
        <v>225</v>
      </c>
      <c r="L404" s="4">
        <v>0</v>
      </c>
      <c r="M404" s="70">
        <v>0</v>
      </c>
      <c r="N404" s="4">
        <v>0</v>
      </c>
      <c r="O404" s="70">
        <v>0</v>
      </c>
      <c r="P404" s="4">
        <v>3</v>
      </c>
      <c r="Q404" s="3" t="s">
        <v>26</v>
      </c>
      <c r="R404" s="3">
        <v>0</v>
      </c>
      <c r="S404" s="3">
        <v>7</v>
      </c>
      <c r="T404" s="3">
        <v>0</v>
      </c>
      <c r="U404" s="3">
        <v>0</v>
      </c>
      <c r="V404" s="70">
        <f>IF(ISERROR(VLOOKUP($S$404,'TAR FIN'!$A$1:$O$99,15,0)),0,VLOOKUP($S$404,'TAR FIN'!$A$1:$O$99,15,0))*(1-0.04)</f>
        <v>20.975999999999999</v>
      </c>
      <c r="W404" s="70">
        <f>IF(ISERROR(VLOOKUP($T$404,'TAR FIN'!$A$1:$O$99,15,0)),0,VLOOKUP($T$404,'TAR FIN'!$A$1:$O$99,15,0))</f>
        <v>0</v>
      </c>
      <c r="X404" s="70">
        <f>IF(ISERROR(VLOOKUP($U$404,'TAR FIN'!$A$1:$O$99,15,0)),0,VLOOKUP($U$404,'TAR FIN'!$A$1:$O$99,15,0))</f>
        <v>0</v>
      </c>
      <c r="Y404" s="70">
        <f ca="1">('TUSD BE'!$AM$21+'TUSD BF'!$AM$21+'TUSD CVA'!$AM$21)*1*(1-0.02)</f>
        <v>24.176010844852033</v>
      </c>
      <c r="Z404" s="70"/>
      <c r="AA404" s="70"/>
      <c r="AB404" s="70">
        <f>(SUBSIDIO!$J$404*SUBSIDIO!$V$404)*(0.04)/(1-0.04)</f>
        <v>196.65</v>
      </c>
      <c r="AC404" s="70">
        <f>((SUBSIDIO!$L$404*SUBSIDIO!$W$404)+(SUBSIDIO!$N$404*SUBSIDIO!$X$404))*(0.04)/(1-0.04)</f>
        <v>0</v>
      </c>
      <c r="AD404" s="70">
        <f ca="1">(SUBSIDIO!$J$404*SUBSIDIO!$Y$404)*(0.02)/(1-0.02)</f>
        <v>111.01229469574913</v>
      </c>
      <c r="AE404" s="70">
        <f>((SUBSIDIO!$L$404*SUBSIDIO!$Z$404)+(SUBSIDIO!$N$404*SUBSIDIO!$AA$404))*(0.02)/(1-0.02)</f>
        <v>0</v>
      </c>
      <c r="AF404" s="3" t="s">
        <v>951</v>
      </c>
    </row>
    <row r="405" spans="1:32" ht="11.25" customHeight="1" x14ac:dyDescent="0.25">
      <c r="A405" s="3" t="s">
        <v>21</v>
      </c>
      <c r="B405" s="3" t="s">
        <v>33</v>
      </c>
      <c r="C405" s="3" t="s">
        <v>34</v>
      </c>
      <c r="D405" s="3" t="s">
        <v>45</v>
      </c>
      <c r="E405" s="3" t="s">
        <v>25</v>
      </c>
      <c r="F405" s="3" t="s">
        <v>25</v>
      </c>
      <c r="G405" s="3" t="s">
        <v>25</v>
      </c>
      <c r="H405" s="3" t="s">
        <v>25</v>
      </c>
      <c r="I405" s="6">
        <v>44440</v>
      </c>
      <c r="J405" s="4">
        <v>3013</v>
      </c>
      <c r="K405" s="70">
        <v>3013</v>
      </c>
      <c r="L405" s="4">
        <v>0</v>
      </c>
      <c r="M405" s="70">
        <v>0</v>
      </c>
      <c r="N405" s="4">
        <v>0</v>
      </c>
      <c r="O405" s="70">
        <v>0</v>
      </c>
      <c r="P405" s="4">
        <v>42</v>
      </c>
      <c r="Q405" s="3" t="s">
        <v>26</v>
      </c>
      <c r="R405" s="3">
        <v>0</v>
      </c>
      <c r="S405" s="3">
        <v>7</v>
      </c>
      <c r="T405" s="3">
        <v>0</v>
      </c>
      <c r="U405" s="3">
        <v>0</v>
      </c>
      <c r="V405" s="70">
        <f>IF(ISERROR(VLOOKUP($S$405,'TAR FIN'!$A$1:$O$99,15,0)),0,VLOOKUP($S$405,'TAR FIN'!$A$1:$O$99,15,0))*(1-0.04)</f>
        <v>20.975999999999999</v>
      </c>
      <c r="W405" s="70">
        <f>IF(ISERROR(VLOOKUP($T$405,'TAR FIN'!$A$1:$O$99,15,0)),0,VLOOKUP($T$405,'TAR FIN'!$A$1:$O$99,15,0))</f>
        <v>0</v>
      </c>
      <c r="X405" s="70">
        <f>IF(ISERROR(VLOOKUP($U$405,'TAR FIN'!$A$1:$O$99,15,0)),0,VLOOKUP($U$405,'TAR FIN'!$A$1:$O$99,15,0))</f>
        <v>0</v>
      </c>
      <c r="Y405" s="70">
        <f ca="1">('TUSD BE'!$AM$21+'TUSD BF'!$AM$21+'TUSD CVA'!$AM$21)*1*(1-0.02)</f>
        <v>24.176010844852033</v>
      </c>
      <c r="Z405" s="70"/>
      <c r="AA405" s="70"/>
      <c r="AB405" s="70">
        <f>(SUBSIDIO!$J$405*SUBSIDIO!$V$405)*(0.04)/(1-0.04)</f>
        <v>2633.3619999999996</v>
      </c>
      <c r="AC405" s="70">
        <f>((SUBSIDIO!$L$405*SUBSIDIO!$W$405)+(SUBSIDIO!$N$405*SUBSIDIO!$X$405))*(0.04)/(1-0.04)</f>
        <v>0</v>
      </c>
      <c r="AD405" s="70">
        <f ca="1">(SUBSIDIO!$J$405*SUBSIDIO!$Y$405)*(0.02)/(1-0.02)</f>
        <v>1486.5779729701874</v>
      </c>
      <c r="AE405" s="70">
        <f>((SUBSIDIO!$L$405*SUBSIDIO!$Z$405)+(SUBSIDIO!$N$405*SUBSIDIO!$AA$405))*(0.02)/(1-0.02)</f>
        <v>0</v>
      </c>
      <c r="AF405" s="3" t="s">
        <v>951</v>
      </c>
    </row>
    <row r="406" spans="1:32" ht="11.25" customHeight="1" x14ac:dyDescent="0.25">
      <c r="A406" s="3" t="s">
        <v>28</v>
      </c>
      <c r="B406" s="3" t="s">
        <v>33</v>
      </c>
      <c r="C406" s="3" t="s">
        <v>34</v>
      </c>
      <c r="D406" s="3" t="s">
        <v>45</v>
      </c>
      <c r="E406" s="3" t="s">
        <v>25</v>
      </c>
      <c r="F406" s="3" t="s">
        <v>25</v>
      </c>
      <c r="G406" s="3" t="s">
        <v>25</v>
      </c>
      <c r="H406" s="3" t="s">
        <v>25</v>
      </c>
      <c r="I406" s="6">
        <v>44440</v>
      </c>
      <c r="J406" s="4">
        <v>312</v>
      </c>
      <c r="K406" s="70">
        <v>312</v>
      </c>
      <c r="L406" s="4">
        <v>0</v>
      </c>
      <c r="M406" s="70">
        <v>0</v>
      </c>
      <c r="N406" s="4">
        <v>0</v>
      </c>
      <c r="O406" s="70">
        <v>0</v>
      </c>
      <c r="P406" s="4">
        <v>3</v>
      </c>
      <c r="Q406" s="3" t="s">
        <v>26</v>
      </c>
      <c r="R406" s="3">
        <v>0</v>
      </c>
      <c r="S406" s="3">
        <v>7</v>
      </c>
      <c r="T406" s="3">
        <v>0</v>
      </c>
      <c r="U406" s="3">
        <v>0</v>
      </c>
      <c r="V406" s="70">
        <f>IF(ISERROR(VLOOKUP($S$406,'TAR FIN'!$A$1:$O$99,15,0)),0,VLOOKUP($S$406,'TAR FIN'!$A$1:$O$99,15,0))*(1-0.04)</f>
        <v>20.975999999999999</v>
      </c>
      <c r="W406" s="70">
        <f>IF(ISERROR(VLOOKUP($T$406,'TAR FIN'!$A$1:$O$99,15,0)),0,VLOOKUP($T$406,'TAR FIN'!$A$1:$O$99,15,0))</f>
        <v>0</v>
      </c>
      <c r="X406" s="70">
        <f>IF(ISERROR(VLOOKUP($U$406,'TAR FIN'!$A$1:$O$99,15,0)),0,VLOOKUP($U$406,'TAR FIN'!$A$1:$O$99,15,0))</f>
        <v>0</v>
      </c>
      <c r="Y406" s="70">
        <f ca="1">('TUSD BE'!$AM$21+'TUSD BF'!$AM$21+'TUSD CVA'!$AM$21)*1*(1-0.02)</f>
        <v>24.176010844852033</v>
      </c>
      <c r="Z406" s="70"/>
      <c r="AA406" s="70"/>
      <c r="AB406" s="70">
        <f>(SUBSIDIO!$J$406*SUBSIDIO!$V$406)*(0.04)/(1-0.04)</f>
        <v>272.68800000000005</v>
      </c>
      <c r="AC406" s="70">
        <f>((SUBSIDIO!$L$406*SUBSIDIO!$W$406)+(SUBSIDIO!$N$406*SUBSIDIO!$X$406))*(0.04)/(1-0.04)</f>
        <v>0</v>
      </c>
      <c r="AD406" s="70">
        <f ca="1">(SUBSIDIO!$J$406*SUBSIDIO!$Y$406)*(0.02)/(1-0.02)</f>
        <v>153.93704864477212</v>
      </c>
      <c r="AE406" s="70">
        <f>((SUBSIDIO!$L$406*SUBSIDIO!$Z$406)+(SUBSIDIO!$N$406*SUBSIDIO!$AA$406))*(0.02)/(1-0.02)</f>
        <v>0</v>
      </c>
      <c r="AF406" s="3" t="s">
        <v>951</v>
      </c>
    </row>
    <row r="407" spans="1:32" ht="11.25" customHeight="1" x14ac:dyDescent="0.25">
      <c r="A407" s="3" t="s">
        <v>21</v>
      </c>
      <c r="B407" s="3" t="s">
        <v>33</v>
      </c>
      <c r="C407" s="3" t="s">
        <v>34</v>
      </c>
      <c r="D407" s="3" t="s">
        <v>45</v>
      </c>
      <c r="E407" s="3" t="s">
        <v>25</v>
      </c>
      <c r="F407" s="3" t="s">
        <v>25</v>
      </c>
      <c r="G407" s="3" t="s">
        <v>25</v>
      </c>
      <c r="H407" s="3" t="s">
        <v>25</v>
      </c>
      <c r="I407" s="6">
        <v>44470</v>
      </c>
      <c r="J407" s="4">
        <v>2672</v>
      </c>
      <c r="K407" s="70">
        <v>2672</v>
      </c>
      <c r="L407" s="4">
        <v>0</v>
      </c>
      <c r="M407" s="70">
        <v>0</v>
      </c>
      <c r="N407" s="4">
        <v>0</v>
      </c>
      <c r="O407" s="70">
        <v>0</v>
      </c>
      <c r="P407" s="4">
        <v>38</v>
      </c>
      <c r="Q407" s="3" t="s">
        <v>26</v>
      </c>
      <c r="R407" s="3">
        <v>0</v>
      </c>
      <c r="S407" s="3">
        <v>7</v>
      </c>
      <c r="T407" s="3">
        <v>0</v>
      </c>
      <c r="U407" s="3">
        <v>0</v>
      </c>
      <c r="V407" s="70">
        <f>IF(ISERROR(VLOOKUP($S$407,'TAR FIN'!$A$1:$O$99,15,0)),0,VLOOKUP($S$407,'TAR FIN'!$A$1:$O$99,15,0))*(1-0.04)</f>
        <v>20.975999999999999</v>
      </c>
      <c r="W407" s="70">
        <f>IF(ISERROR(VLOOKUP($T$407,'TAR FIN'!$A$1:$O$99,15,0)),0,VLOOKUP($T$407,'TAR FIN'!$A$1:$O$99,15,0))</f>
        <v>0</v>
      </c>
      <c r="X407" s="70">
        <f>IF(ISERROR(VLOOKUP($U$407,'TAR FIN'!$A$1:$O$99,15,0)),0,VLOOKUP($U$407,'TAR FIN'!$A$1:$O$99,15,0))</f>
        <v>0</v>
      </c>
      <c r="Y407" s="70">
        <f ca="1">('TUSD BE'!$AM$21+'TUSD BF'!$AM$21+'TUSD CVA'!$AM$21)*1*(1-0.02)</f>
        <v>24.176010844852033</v>
      </c>
      <c r="Z407" s="70"/>
      <c r="AA407" s="70"/>
      <c r="AB407" s="70">
        <f>(SUBSIDIO!$J$407*SUBSIDIO!$V$407)*(0.04)/(1-0.04)</f>
        <v>2335.328</v>
      </c>
      <c r="AC407" s="70">
        <f>((SUBSIDIO!$L$407*SUBSIDIO!$W$407)+(SUBSIDIO!$N$407*SUBSIDIO!$X$407))*(0.04)/(1-0.04)</f>
        <v>0</v>
      </c>
      <c r="AD407" s="70">
        <f ca="1">(SUBSIDIO!$J$407*SUBSIDIO!$Y$407)*(0.02)/(1-0.02)</f>
        <v>1318.3326730090741</v>
      </c>
      <c r="AE407" s="70">
        <f>((SUBSIDIO!$L$407*SUBSIDIO!$Z$407)+(SUBSIDIO!$N$407*SUBSIDIO!$AA$407))*(0.02)/(1-0.02)</f>
        <v>0</v>
      </c>
      <c r="AF407" s="3" t="s">
        <v>951</v>
      </c>
    </row>
    <row r="408" spans="1:32" ht="11.25" customHeight="1" x14ac:dyDescent="0.25">
      <c r="A408" s="3" t="s">
        <v>28</v>
      </c>
      <c r="B408" s="3" t="s">
        <v>33</v>
      </c>
      <c r="C408" s="3" t="s">
        <v>34</v>
      </c>
      <c r="D408" s="3" t="s">
        <v>45</v>
      </c>
      <c r="E408" s="3" t="s">
        <v>25</v>
      </c>
      <c r="F408" s="3" t="s">
        <v>25</v>
      </c>
      <c r="G408" s="3" t="s">
        <v>25</v>
      </c>
      <c r="H408" s="3" t="s">
        <v>25</v>
      </c>
      <c r="I408" s="6">
        <v>44470</v>
      </c>
      <c r="J408" s="4">
        <v>235</v>
      </c>
      <c r="K408" s="70">
        <v>235</v>
      </c>
      <c r="L408" s="4">
        <v>0</v>
      </c>
      <c r="M408" s="70">
        <v>0</v>
      </c>
      <c r="N408" s="4">
        <v>0</v>
      </c>
      <c r="O408" s="70">
        <v>0</v>
      </c>
      <c r="P408" s="4">
        <v>3</v>
      </c>
      <c r="Q408" s="3" t="s">
        <v>26</v>
      </c>
      <c r="R408" s="3">
        <v>0</v>
      </c>
      <c r="S408" s="3">
        <v>7</v>
      </c>
      <c r="T408" s="3">
        <v>0</v>
      </c>
      <c r="U408" s="3">
        <v>0</v>
      </c>
      <c r="V408" s="70">
        <f>IF(ISERROR(VLOOKUP($S$408,'TAR FIN'!$A$1:$O$99,15,0)),0,VLOOKUP($S$408,'TAR FIN'!$A$1:$O$99,15,0))*(1-0.04)</f>
        <v>20.975999999999999</v>
      </c>
      <c r="W408" s="70">
        <f>IF(ISERROR(VLOOKUP($T$408,'TAR FIN'!$A$1:$O$99,15,0)),0,VLOOKUP($T$408,'TAR FIN'!$A$1:$O$99,15,0))</f>
        <v>0</v>
      </c>
      <c r="X408" s="70">
        <f>IF(ISERROR(VLOOKUP($U$408,'TAR FIN'!$A$1:$O$99,15,0)),0,VLOOKUP($U$408,'TAR FIN'!$A$1:$O$99,15,0))</f>
        <v>0</v>
      </c>
      <c r="Y408" s="70">
        <f ca="1">('TUSD BE'!$AM$21+'TUSD BF'!$AM$21+'TUSD CVA'!$AM$21)*1*(1-0.02)</f>
        <v>24.176010844852033</v>
      </c>
      <c r="Z408" s="70"/>
      <c r="AA408" s="70"/>
      <c r="AB408" s="70">
        <f>(SUBSIDIO!$J$408*SUBSIDIO!$V$408)*(0.04)/(1-0.04)</f>
        <v>205.39</v>
      </c>
      <c r="AC408" s="70">
        <f>((SUBSIDIO!$L$408*SUBSIDIO!$W$408)+(SUBSIDIO!$N$408*SUBSIDIO!$X$408))*(0.04)/(1-0.04)</f>
        <v>0</v>
      </c>
      <c r="AD408" s="70">
        <f ca="1">(SUBSIDIO!$J$408*SUBSIDIO!$Y$408)*(0.02)/(1-0.02)</f>
        <v>115.94617446000466</v>
      </c>
      <c r="AE408" s="70">
        <f>((SUBSIDIO!$L$408*SUBSIDIO!$Z$408)+(SUBSIDIO!$N$408*SUBSIDIO!$AA$408))*(0.02)/(1-0.02)</f>
        <v>0</v>
      </c>
      <c r="AF408" s="3" t="s">
        <v>951</v>
      </c>
    </row>
    <row r="409" spans="1:32" ht="11.25" customHeight="1" x14ac:dyDescent="0.25">
      <c r="A409" s="3" t="s">
        <v>21</v>
      </c>
      <c r="B409" s="3" t="s">
        <v>33</v>
      </c>
      <c r="C409" s="3" t="s">
        <v>34</v>
      </c>
      <c r="D409" s="3" t="s">
        <v>45</v>
      </c>
      <c r="E409" s="3" t="s">
        <v>25</v>
      </c>
      <c r="F409" s="3" t="s">
        <v>25</v>
      </c>
      <c r="G409" s="3" t="s">
        <v>25</v>
      </c>
      <c r="H409" s="3" t="s">
        <v>25</v>
      </c>
      <c r="I409" s="6">
        <v>44501</v>
      </c>
      <c r="J409" s="4">
        <v>3283</v>
      </c>
      <c r="K409" s="70">
        <v>3283</v>
      </c>
      <c r="L409" s="4">
        <v>0</v>
      </c>
      <c r="M409" s="70">
        <v>0</v>
      </c>
      <c r="N409" s="4">
        <v>0</v>
      </c>
      <c r="O409" s="70">
        <v>0</v>
      </c>
      <c r="P409" s="4">
        <v>43</v>
      </c>
      <c r="Q409" s="3" t="s">
        <v>26</v>
      </c>
      <c r="R409" s="3">
        <v>0</v>
      </c>
      <c r="S409" s="3">
        <v>7</v>
      </c>
      <c r="T409" s="3">
        <v>0</v>
      </c>
      <c r="U409" s="3">
        <v>0</v>
      </c>
      <c r="V409" s="70">
        <f>IF(ISERROR(VLOOKUP($S$409,'TAR FIN'!$A$1:$O$99,15,0)),0,VLOOKUP($S$409,'TAR FIN'!$A$1:$O$99,15,0))*(1-0.04)</f>
        <v>20.975999999999999</v>
      </c>
      <c r="W409" s="70">
        <f>IF(ISERROR(VLOOKUP($T$409,'TAR FIN'!$A$1:$O$99,15,0)),0,VLOOKUP($T$409,'TAR FIN'!$A$1:$O$99,15,0))</f>
        <v>0</v>
      </c>
      <c r="X409" s="70">
        <f>IF(ISERROR(VLOOKUP($U$409,'TAR FIN'!$A$1:$O$99,15,0)),0,VLOOKUP($U$409,'TAR FIN'!$A$1:$O$99,15,0))</f>
        <v>0</v>
      </c>
      <c r="Y409" s="70">
        <f ca="1">('TUSD BE'!$AM$21+'TUSD BF'!$AM$21+'TUSD CVA'!$AM$21)*1*(1-0.02)</f>
        <v>24.176010844852033</v>
      </c>
      <c r="Z409" s="70"/>
      <c r="AA409" s="70"/>
      <c r="AB409" s="70">
        <f>(SUBSIDIO!$J$409*SUBSIDIO!$V$409)*(0.04)/(1-0.04)</f>
        <v>2869.3420000000001</v>
      </c>
      <c r="AC409" s="70">
        <f>((SUBSIDIO!$L$409*SUBSIDIO!$W$409)+(SUBSIDIO!$N$409*SUBSIDIO!$X$409))*(0.04)/(1-0.04)</f>
        <v>0</v>
      </c>
      <c r="AD409" s="70">
        <f ca="1">(SUBSIDIO!$J$409*SUBSIDIO!$Y$409)*(0.02)/(1-0.02)</f>
        <v>1619.7927266050863</v>
      </c>
      <c r="AE409" s="70">
        <f>((SUBSIDIO!$L$409*SUBSIDIO!$Z$409)+(SUBSIDIO!$N$409*SUBSIDIO!$AA$409))*(0.02)/(1-0.02)</f>
        <v>0</v>
      </c>
      <c r="AF409" s="3" t="s">
        <v>951</v>
      </c>
    </row>
    <row r="410" spans="1:32" ht="11.25" customHeight="1" x14ac:dyDescent="0.25">
      <c r="A410" s="3" t="s">
        <v>28</v>
      </c>
      <c r="B410" s="3" t="s">
        <v>33</v>
      </c>
      <c r="C410" s="3" t="s">
        <v>34</v>
      </c>
      <c r="D410" s="3" t="s">
        <v>45</v>
      </c>
      <c r="E410" s="3" t="s">
        <v>25</v>
      </c>
      <c r="F410" s="3" t="s">
        <v>25</v>
      </c>
      <c r="G410" s="3" t="s">
        <v>25</v>
      </c>
      <c r="H410" s="3" t="s">
        <v>25</v>
      </c>
      <c r="I410" s="6">
        <v>44501</v>
      </c>
      <c r="J410" s="4">
        <v>359</v>
      </c>
      <c r="K410" s="70">
        <v>359</v>
      </c>
      <c r="L410" s="4">
        <v>0</v>
      </c>
      <c r="M410" s="70">
        <v>0</v>
      </c>
      <c r="N410" s="4">
        <v>0</v>
      </c>
      <c r="O410" s="70">
        <v>0</v>
      </c>
      <c r="P410" s="4">
        <v>3</v>
      </c>
      <c r="Q410" s="3" t="s">
        <v>26</v>
      </c>
      <c r="R410" s="3">
        <v>0</v>
      </c>
      <c r="S410" s="3">
        <v>7</v>
      </c>
      <c r="T410" s="3">
        <v>0</v>
      </c>
      <c r="U410" s="3">
        <v>0</v>
      </c>
      <c r="V410" s="70">
        <f>IF(ISERROR(VLOOKUP($S$410,'TAR FIN'!$A$1:$O$99,15,0)),0,VLOOKUP($S$410,'TAR FIN'!$A$1:$O$99,15,0))*(1-0.04)</f>
        <v>20.975999999999999</v>
      </c>
      <c r="W410" s="70">
        <f>IF(ISERROR(VLOOKUP($T$410,'TAR FIN'!$A$1:$O$99,15,0)),0,VLOOKUP($T$410,'TAR FIN'!$A$1:$O$99,15,0))</f>
        <v>0</v>
      </c>
      <c r="X410" s="70">
        <f>IF(ISERROR(VLOOKUP($U$410,'TAR FIN'!$A$1:$O$99,15,0)),0,VLOOKUP($U$410,'TAR FIN'!$A$1:$O$99,15,0))</f>
        <v>0</v>
      </c>
      <c r="Y410" s="70">
        <f ca="1">('TUSD BE'!$AM$21+'TUSD BF'!$AM$21+'TUSD CVA'!$AM$21)*1*(1-0.02)</f>
        <v>24.176010844852033</v>
      </c>
      <c r="Z410" s="70"/>
      <c r="AA410" s="70"/>
      <c r="AB410" s="70">
        <f>(SUBSIDIO!$J$410*SUBSIDIO!$V$410)*(0.04)/(1-0.04)</f>
        <v>313.76600000000002</v>
      </c>
      <c r="AC410" s="70">
        <f>((SUBSIDIO!$L$410*SUBSIDIO!$W$410)+(SUBSIDIO!$N$410*SUBSIDIO!$X$410))*(0.04)/(1-0.04)</f>
        <v>0</v>
      </c>
      <c r="AD410" s="70">
        <f ca="1">(SUBSIDIO!$J$410*SUBSIDIO!$Y$410)*(0.02)/(1-0.02)</f>
        <v>177.12628353677306</v>
      </c>
      <c r="AE410" s="70">
        <f>((SUBSIDIO!$L$410*SUBSIDIO!$Z$410)+(SUBSIDIO!$N$410*SUBSIDIO!$AA$410))*(0.02)/(1-0.02)</f>
        <v>0</v>
      </c>
      <c r="AF410" s="3" t="s">
        <v>951</v>
      </c>
    </row>
    <row r="411" spans="1:32" ht="11.25" customHeight="1" x14ac:dyDescent="0.25">
      <c r="A411" s="3" t="s">
        <v>21</v>
      </c>
      <c r="B411" s="3" t="s">
        <v>33</v>
      </c>
      <c r="C411" s="3" t="s">
        <v>34</v>
      </c>
      <c r="D411" s="3" t="s">
        <v>45</v>
      </c>
      <c r="E411" s="3" t="s">
        <v>25</v>
      </c>
      <c r="F411" s="3" t="s">
        <v>25</v>
      </c>
      <c r="G411" s="3" t="s">
        <v>25</v>
      </c>
      <c r="H411" s="3" t="s">
        <v>25</v>
      </c>
      <c r="I411" s="6">
        <v>44531</v>
      </c>
      <c r="J411" s="4">
        <v>3104</v>
      </c>
      <c r="K411" s="70">
        <v>3104</v>
      </c>
      <c r="L411" s="4">
        <v>0</v>
      </c>
      <c r="M411" s="70">
        <v>0</v>
      </c>
      <c r="N411" s="4">
        <v>0</v>
      </c>
      <c r="O411" s="70">
        <v>0</v>
      </c>
      <c r="P411" s="4">
        <v>40</v>
      </c>
      <c r="Q411" s="3" t="s">
        <v>26</v>
      </c>
      <c r="R411" s="3">
        <v>0</v>
      </c>
      <c r="S411" s="3">
        <v>7</v>
      </c>
      <c r="T411" s="3">
        <v>0</v>
      </c>
      <c r="U411" s="3">
        <v>0</v>
      </c>
      <c r="V411" s="70">
        <f>IF(ISERROR(VLOOKUP($S$411,'TAR FIN'!$A$1:$O$99,15,0)),0,VLOOKUP($S$411,'TAR FIN'!$A$1:$O$99,15,0))*(1-0.04)</f>
        <v>20.975999999999999</v>
      </c>
      <c r="W411" s="70">
        <f>IF(ISERROR(VLOOKUP($T$411,'TAR FIN'!$A$1:$O$99,15,0)),0,VLOOKUP($T$411,'TAR FIN'!$A$1:$O$99,15,0))</f>
        <v>0</v>
      </c>
      <c r="X411" s="70">
        <f>IF(ISERROR(VLOOKUP($U$411,'TAR FIN'!$A$1:$O$99,15,0)),0,VLOOKUP($U$411,'TAR FIN'!$A$1:$O$99,15,0))</f>
        <v>0</v>
      </c>
      <c r="Y411" s="70">
        <f ca="1">('TUSD BE'!$AM$21+'TUSD BF'!$AM$21+'TUSD CVA'!$AM$21)*1*(1-0.02)</f>
        <v>24.176010844852033</v>
      </c>
      <c r="Z411" s="70"/>
      <c r="AA411" s="70"/>
      <c r="AB411" s="70">
        <f>(SUBSIDIO!$J$411*SUBSIDIO!$V$411)*(0.04)/(1-0.04)</f>
        <v>2712.8960000000002</v>
      </c>
      <c r="AC411" s="70">
        <f>((SUBSIDIO!$L$411*SUBSIDIO!$W$411)+(SUBSIDIO!$N$411*SUBSIDIO!$X$411))*(0.04)/(1-0.04)</f>
        <v>0</v>
      </c>
      <c r="AD411" s="70">
        <f ca="1">(SUBSIDIO!$J$411*SUBSIDIO!$Y$411)*(0.02)/(1-0.02)</f>
        <v>1531.4762788249127</v>
      </c>
      <c r="AE411" s="70">
        <f>((SUBSIDIO!$L$411*SUBSIDIO!$Z$411)+(SUBSIDIO!$N$411*SUBSIDIO!$AA$411))*(0.02)/(1-0.02)</f>
        <v>0</v>
      </c>
      <c r="AF411" s="3" t="s">
        <v>951</v>
      </c>
    </row>
    <row r="412" spans="1:32" ht="11.25" customHeight="1" x14ac:dyDescent="0.25">
      <c r="A412" s="3" t="s">
        <v>28</v>
      </c>
      <c r="B412" s="3" t="s">
        <v>33</v>
      </c>
      <c r="C412" s="3" t="s">
        <v>34</v>
      </c>
      <c r="D412" s="3" t="s">
        <v>45</v>
      </c>
      <c r="E412" s="3" t="s">
        <v>25</v>
      </c>
      <c r="F412" s="3" t="s">
        <v>25</v>
      </c>
      <c r="G412" s="3" t="s">
        <v>25</v>
      </c>
      <c r="H412" s="3" t="s">
        <v>25</v>
      </c>
      <c r="I412" s="6">
        <v>44531</v>
      </c>
      <c r="J412" s="4">
        <v>355</v>
      </c>
      <c r="K412" s="70">
        <v>355</v>
      </c>
      <c r="L412" s="4">
        <v>0</v>
      </c>
      <c r="M412" s="70">
        <v>0</v>
      </c>
      <c r="N412" s="4">
        <v>0</v>
      </c>
      <c r="O412" s="70">
        <v>0</v>
      </c>
      <c r="P412" s="4">
        <v>3</v>
      </c>
      <c r="Q412" s="3" t="s">
        <v>26</v>
      </c>
      <c r="R412" s="3">
        <v>0</v>
      </c>
      <c r="S412" s="3">
        <v>7</v>
      </c>
      <c r="T412" s="3">
        <v>0</v>
      </c>
      <c r="U412" s="3">
        <v>0</v>
      </c>
      <c r="V412" s="70">
        <f>IF(ISERROR(VLOOKUP($S$412,'TAR FIN'!$A$1:$O$99,15,0)),0,VLOOKUP($S$412,'TAR FIN'!$A$1:$O$99,15,0))*(1-0.04)</f>
        <v>20.975999999999999</v>
      </c>
      <c r="W412" s="70">
        <f>IF(ISERROR(VLOOKUP($T$412,'TAR FIN'!$A$1:$O$99,15,0)),0,VLOOKUP($T$412,'TAR FIN'!$A$1:$O$99,15,0))</f>
        <v>0</v>
      </c>
      <c r="X412" s="70">
        <f>IF(ISERROR(VLOOKUP($U$412,'TAR FIN'!$A$1:$O$99,15,0)),0,VLOOKUP($U$412,'TAR FIN'!$A$1:$O$99,15,0))</f>
        <v>0</v>
      </c>
      <c r="Y412" s="70">
        <f ca="1">('TUSD BE'!$AM$21+'TUSD BF'!$AM$21+'TUSD CVA'!$AM$21)*1*(1-0.02)</f>
        <v>24.176010844852033</v>
      </c>
      <c r="Z412" s="70"/>
      <c r="AA412" s="70"/>
      <c r="AB412" s="70">
        <f>(SUBSIDIO!$J$412*SUBSIDIO!$V$412)*(0.04)/(1-0.04)</f>
        <v>310.27</v>
      </c>
      <c r="AC412" s="70">
        <f>((SUBSIDIO!$L$412*SUBSIDIO!$W$412)+(SUBSIDIO!$N$412*SUBSIDIO!$X$412))*(0.04)/(1-0.04)</f>
        <v>0</v>
      </c>
      <c r="AD412" s="70">
        <f ca="1">(SUBSIDIO!$J$412*SUBSIDIO!$Y$412)*(0.02)/(1-0.02)</f>
        <v>175.15273163107085</v>
      </c>
      <c r="AE412" s="70">
        <f>((SUBSIDIO!$L$412*SUBSIDIO!$Z$412)+(SUBSIDIO!$N$412*SUBSIDIO!$AA$412))*(0.02)/(1-0.02)</f>
        <v>0</v>
      </c>
      <c r="AF412" s="3" t="s">
        <v>951</v>
      </c>
    </row>
    <row r="413" spans="1:32" ht="11.25" customHeight="1" x14ac:dyDescent="0.25">
      <c r="A413" s="3" t="s">
        <v>21</v>
      </c>
      <c r="B413" s="3" t="s">
        <v>33</v>
      </c>
      <c r="C413" s="3" t="s">
        <v>34</v>
      </c>
      <c r="D413" s="3" t="s">
        <v>45</v>
      </c>
      <c r="E413" s="3" t="s">
        <v>25</v>
      </c>
      <c r="F413" s="3" t="s">
        <v>25</v>
      </c>
      <c r="G413" s="3" t="s">
        <v>25</v>
      </c>
      <c r="H413" s="3" t="s">
        <v>25</v>
      </c>
      <c r="I413" s="6">
        <v>44562</v>
      </c>
      <c r="J413" s="4">
        <v>3706</v>
      </c>
      <c r="K413" s="70">
        <v>3706</v>
      </c>
      <c r="L413" s="4">
        <v>0</v>
      </c>
      <c r="M413" s="70">
        <v>0</v>
      </c>
      <c r="N413" s="4">
        <v>0</v>
      </c>
      <c r="O413" s="70">
        <v>0</v>
      </c>
      <c r="P413" s="4">
        <v>42</v>
      </c>
      <c r="Q413" s="3" t="s">
        <v>26</v>
      </c>
      <c r="R413" s="3">
        <v>0</v>
      </c>
      <c r="S413" s="3">
        <v>7</v>
      </c>
      <c r="T413" s="3">
        <v>0</v>
      </c>
      <c r="U413" s="3">
        <v>0</v>
      </c>
      <c r="V413" s="70">
        <f>IF(ISERROR(VLOOKUP($S$413,'TAR FIN'!$A$1:$O$99,15,0)),0,VLOOKUP($S$413,'TAR FIN'!$A$1:$O$99,15,0))*(1-0.04)</f>
        <v>20.975999999999999</v>
      </c>
      <c r="W413" s="70">
        <f>IF(ISERROR(VLOOKUP($T$413,'TAR FIN'!$A$1:$O$99,15,0)),0,VLOOKUP($T$413,'TAR FIN'!$A$1:$O$99,15,0))</f>
        <v>0</v>
      </c>
      <c r="X413" s="70">
        <f>IF(ISERROR(VLOOKUP($U$413,'TAR FIN'!$A$1:$O$99,15,0)),0,VLOOKUP($U$413,'TAR FIN'!$A$1:$O$99,15,0))</f>
        <v>0</v>
      </c>
      <c r="Y413" s="70">
        <f ca="1">('TUSD BE'!$AM$21+'TUSD BF'!$AM$21+'TUSD CVA'!$AM$21)*1*(1-0.02)</f>
        <v>24.176010844852033</v>
      </c>
      <c r="Z413" s="70"/>
      <c r="AA413" s="70"/>
      <c r="AB413" s="70">
        <f>(SUBSIDIO!$J$413*SUBSIDIO!$V$413)*(0.04)/(1-0.04)</f>
        <v>3239.0439999999999</v>
      </c>
      <c r="AC413" s="70">
        <f>((SUBSIDIO!$L$413*SUBSIDIO!$W$413)+(SUBSIDIO!$N$413*SUBSIDIO!$X$413))*(0.04)/(1-0.04)</f>
        <v>0</v>
      </c>
      <c r="AD413" s="70">
        <f ca="1">(SUBSIDIO!$J$413*SUBSIDIO!$Y$413)*(0.02)/(1-0.02)</f>
        <v>1828.4958406330948</v>
      </c>
      <c r="AE413" s="70">
        <f>((SUBSIDIO!$L$413*SUBSIDIO!$Z$413)+(SUBSIDIO!$N$413*SUBSIDIO!$AA$413))*(0.02)/(1-0.02)</f>
        <v>0</v>
      </c>
      <c r="AF413" s="3" t="s">
        <v>951</v>
      </c>
    </row>
    <row r="414" spans="1:32" ht="11.25" customHeight="1" x14ac:dyDescent="0.25">
      <c r="A414" s="3" t="s">
        <v>28</v>
      </c>
      <c r="B414" s="3" t="s">
        <v>33</v>
      </c>
      <c r="C414" s="3" t="s">
        <v>34</v>
      </c>
      <c r="D414" s="3" t="s">
        <v>45</v>
      </c>
      <c r="E414" s="3" t="s">
        <v>25</v>
      </c>
      <c r="F414" s="3" t="s">
        <v>25</v>
      </c>
      <c r="G414" s="3" t="s">
        <v>25</v>
      </c>
      <c r="H414" s="3" t="s">
        <v>25</v>
      </c>
      <c r="I414" s="6">
        <v>44562</v>
      </c>
      <c r="J414" s="4">
        <v>367</v>
      </c>
      <c r="K414" s="70">
        <v>367</v>
      </c>
      <c r="L414" s="4">
        <v>0</v>
      </c>
      <c r="M414" s="70">
        <v>0</v>
      </c>
      <c r="N414" s="4">
        <v>0</v>
      </c>
      <c r="O414" s="70">
        <v>0</v>
      </c>
      <c r="P414" s="4">
        <v>3</v>
      </c>
      <c r="Q414" s="3" t="s">
        <v>26</v>
      </c>
      <c r="R414" s="3">
        <v>0</v>
      </c>
      <c r="S414" s="3">
        <v>7</v>
      </c>
      <c r="T414" s="3">
        <v>0</v>
      </c>
      <c r="U414" s="3">
        <v>0</v>
      </c>
      <c r="V414" s="70">
        <f>IF(ISERROR(VLOOKUP($S$414,'TAR FIN'!$A$1:$O$99,15,0)),0,VLOOKUP($S$414,'TAR FIN'!$A$1:$O$99,15,0))*(1-0.04)</f>
        <v>20.975999999999999</v>
      </c>
      <c r="W414" s="70">
        <f>IF(ISERROR(VLOOKUP($T$414,'TAR FIN'!$A$1:$O$99,15,0)),0,VLOOKUP($T$414,'TAR FIN'!$A$1:$O$99,15,0))</f>
        <v>0</v>
      </c>
      <c r="X414" s="70">
        <f>IF(ISERROR(VLOOKUP($U$414,'TAR FIN'!$A$1:$O$99,15,0)),0,VLOOKUP($U$414,'TAR FIN'!$A$1:$O$99,15,0))</f>
        <v>0</v>
      </c>
      <c r="Y414" s="70">
        <f ca="1">('TUSD BE'!$AM$21+'TUSD BF'!$AM$21+'TUSD CVA'!$AM$21)*1*(1-0.02)</f>
        <v>24.176010844852033</v>
      </c>
      <c r="Z414" s="70"/>
      <c r="AA414" s="70"/>
      <c r="AB414" s="70">
        <f>(SUBSIDIO!$J$414*SUBSIDIO!$V$414)*(0.04)/(1-0.04)</f>
        <v>320.75800000000004</v>
      </c>
      <c r="AC414" s="70">
        <f>((SUBSIDIO!$L$414*SUBSIDIO!$W$414)+(SUBSIDIO!$N$414*SUBSIDIO!$X$414))*(0.04)/(1-0.04)</f>
        <v>0</v>
      </c>
      <c r="AD414" s="70">
        <f ca="1">(SUBSIDIO!$J$414*SUBSIDIO!$Y$414)*(0.02)/(1-0.02)</f>
        <v>181.07338734817748</v>
      </c>
      <c r="AE414" s="70">
        <f>((SUBSIDIO!$L$414*SUBSIDIO!$Z$414)+(SUBSIDIO!$N$414*SUBSIDIO!$AA$414))*(0.02)/(1-0.02)</f>
        <v>0</v>
      </c>
      <c r="AF414" s="3" t="s">
        <v>951</v>
      </c>
    </row>
    <row r="415" spans="1:32" ht="11.25" customHeight="1" x14ac:dyDescent="0.25">
      <c r="A415" s="3" t="s">
        <v>21</v>
      </c>
      <c r="B415" s="3" t="s">
        <v>33</v>
      </c>
      <c r="C415" s="3" t="s">
        <v>34</v>
      </c>
      <c r="D415" s="3" t="s">
        <v>45</v>
      </c>
      <c r="E415" s="3" t="s">
        <v>25</v>
      </c>
      <c r="F415" s="3" t="s">
        <v>25</v>
      </c>
      <c r="G415" s="3" t="s">
        <v>25</v>
      </c>
      <c r="H415" s="3" t="s">
        <v>25</v>
      </c>
      <c r="I415" s="6">
        <v>44593</v>
      </c>
      <c r="J415" s="4">
        <v>2629</v>
      </c>
      <c r="K415" s="70">
        <v>2629</v>
      </c>
      <c r="L415" s="4">
        <v>0</v>
      </c>
      <c r="M415" s="70">
        <v>0</v>
      </c>
      <c r="N415" s="4">
        <v>0</v>
      </c>
      <c r="O415" s="70">
        <v>0</v>
      </c>
      <c r="P415" s="4">
        <v>38</v>
      </c>
      <c r="Q415" s="3" t="s">
        <v>26</v>
      </c>
      <c r="R415" s="3">
        <v>0</v>
      </c>
      <c r="S415" s="3">
        <v>7</v>
      </c>
      <c r="T415" s="3">
        <v>0</v>
      </c>
      <c r="U415" s="3">
        <v>0</v>
      </c>
      <c r="V415" s="70">
        <f>IF(ISERROR(VLOOKUP($S$415,'TAR FIN'!$A$1:$O$99,15,0)),0,VLOOKUP($S$415,'TAR FIN'!$A$1:$O$99,15,0))*(1-0.04)</f>
        <v>20.975999999999999</v>
      </c>
      <c r="W415" s="70">
        <f>IF(ISERROR(VLOOKUP($T$415,'TAR FIN'!$A$1:$O$99,15,0)),0,VLOOKUP($T$415,'TAR FIN'!$A$1:$O$99,15,0))</f>
        <v>0</v>
      </c>
      <c r="X415" s="70">
        <f>IF(ISERROR(VLOOKUP($U$415,'TAR FIN'!$A$1:$O$99,15,0)),0,VLOOKUP($U$415,'TAR FIN'!$A$1:$O$99,15,0))</f>
        <v>0</v>
      </c>
      <c r="Y415" s="70">
        <f ca="1">('TUSD BE'!$AM$21+'TUSD BF'!$AM$21+'TUSD CVA'!$AM$21)*1*(1-0.02)</f>
        <v>24.176010844852033</v>
      </c>
      <c r="Z415" s="70"/>
      <c r="AA415" s="70"/>
      <c r="AB415" s="70">
        <f>(SUBSIDIO!$J$415*SUBSIDIO!$V$415)*(0.04)/(1-0.04)</f>
        <v>2297.7460000000001</v>
      </c>
      <c r="AC415" s="70">
        <f>((SUBSIDIO!$L$415*SUBSIDIO!$W$415)+(SUBSIDIO!$N$415*SUBSIDIO!$X$415))*(0.04)/(1-0.04)</f>
        <v>0</v>
      </c>
      <c r="AD415" s="70">
        <f ca="1">(SUBSIDIO!$J$415*SUBSIDIO!$Y$415)*(0.02)/(1-0.02)</f>
        <v>1297.1169900227756</v>
      </c>
      <c r="AE415" s="70">
        <f>((SUBSIDIO!$L$415*SUBSIDIO!$Z$415)+(SUBSIDIO!$N$415*SUBSIDIO!$AA$415))*(0.02)/(1-0.02)</f>
        <v>0</v>
      </c>
      <c r="AF415" s="3" t="s">
        <v>951</v>
      </c>
    </row>
    <row r="416" spans="1:32" ht="11.25" customHeight="1" x14ac:dyDescent="0.25">
      <c r="A416" s="3" t="s">
        <v>28</v>
      </c>
      <c r="B416" s="3" t="s">
        <v>33</v>
      </c>
      <c r="C416" s="3" t="s">
        <v>34</v>
      </c>
      <c r="D416" s="3" t="s">
        <v>45</v>
      </c>
      <c r="E416" s="3" t="s">
        <v>25</v>
      </c>
      <c r="F416" s="3" t="s">
        <v>25</v>
      </c>
      <c r="G416" s="3" t="s">
        <v>25</v>
      </c>
      <c r="H416" s="3" t="s">
        <v>25</v>
      </c>
      <c r="I416" s="6">
        <v>44593</v>
      </c>
      <c r="J416" s="4">
        <v>371</v>
      </c>
      <c r="K416" s="70">
        <v>371</v>
      </c>
      <c r="L416" s="4">
        <v>0</v>
      </c>
      <c r="M416" s="70">
        <v>0</v>
      </c>
      <c r="N416" s="4">
        <v>0</v>
      </c>
      <c r="O416" s="70">
        <v>0</v>
      </c>
      <c r="P416" s="4">
        <v>3</v>
      </c>
      <c r="Q416" s="3" t="s">
        <v>26</v>
      </c>
      <c r="R416" s="3">
        <v>0</v>
      </c>
      <c r="S416" s="3">
        <v>7</v>
      </c>
      <c r="T416" s="3">
        <v>0</v>
      </c>
      <c r="U416" s="3">
        <v>0</v>
      </c>
      <c r="V416" s="70">
        <f>IF(ISERROR(VLOOKUP($S$416,'TAR FIN'!$A$1:$O$99,15,0)),0,VLOOKUP($S$416,'TAR FIN'!$A$1:$O$99,15,0))*(1-0.04)</f>
        <v>20.975999999999999</v>
      </c>
      <c r="W416" s="70">
        <f>IF(ISERROR(VLOOKUP($T$416,'TAR FIN'!$A$1:$O$99,15,0)),0,VLOOKUP($T$416,'TAR FIN'!$A$1:$O$99,15,0))</f>
        <v>0</v>
      </c>
      <c r="X416" s="70">
        <f>IF(ISERROR(VLOOKUP($U$416,'TAR FIN'!$A$1:$O$99,15,0)),0,VLOOKUP($U$416,'TAR FIN'!$A$1:$O$99,15,0))</f>
        <v>0</v>
      </c>
      <c r="Y416" s="70">
        <f ca="1">('TUSD BE'!$AM$21+'TUSD BF'!$AM$21+'TUSD CVA'!$AM$21)*1*(1-0.02)</f>
        <v>24.176010844852033</v>
      </c>
      <c r="Z416" s="70"/>
      <c r="AA416" s="70"/>
      <c r="AB416" s="70">
        <f>(SUBSIDIO!$J$416*SUBSIDIO!$V$416)*(0.04)/(1-0.04)</f>
        <v>324.25400000000002</v>
      </c>
      <c r="AC416" s="70">
        <f>((SUBSIDIO!$L$416*SUBSIDIO!$W$416)+(SUBSIDIO!$N$416*SUBSIDIO!$X$416))*(0.04)/(1-0.04)</f>
        <v>0</v>
      </c>
      <c r="AD416" s="70">
        <f ca="1">(SUBSIDIO!$J$416*SUBSIDIO!$Y$416)*(0.02)/(1-0.02)</f>
        <v>183.04693925387969</v>
      </c>
      <c r="AE416" s="70">
        <f>((SUBSIDIO!$L$416*SUBSIDIO!$Z$416)+(SUBSIDIO!$N$416*SUBSIDIO!$AA$416))*(0.02)/(1-0.02)</f>
        <v>0</v>
      </c>
      <c r="AF416" s="3" t="s">
        <v>951</v>
      </c>
    </row>
    <row r="417" spans="1:32" ht="11.25" customHeight="1" x14ac:dyDescent="0.25">
      <c r="A417" s="3" t="s">
        <v>21</v>
      </c>
      <c r="B417" s="3" t="s">
        <v>33</v>
      </c>
      <c r="C417" s="3" t="s">
        <v>34</v>
      </c>
      <c r="D417" s="3" t="s">
        <v>45</v>
      </c>
      <c r="E417" s="3" t="s">
        <v>25</v>
      </c>
      <c r="F417" s="3" t="s">
        <v>25</v>
      </c>
      <c r="G417" s="3" t="s">
        <v>25</v>
      </c>
      <c r="H417" s="3" t="s">
        <v>25</v>
      </c>
      <c r="I417" s="6">
        <v>44621</v>
      </c>
      <c r="J417" s="4">
        <v>3744</v>
      </c>
      <c r="K417" s="70">
        <v>3744</v>
      </c>
      <c r="L417" s="4">
        <v>0</v>
      </c>
      <c r="M417" s="70">
        <v>0</v>
      </c>
      <c r="N417" s="4">
        <v>0</v>
      </c>
      <c r="O417" s="70">
        <v>0</v>
      </c>
      <c r="P417" s="4">
        <v>41</v>
      </c>
      <c r="Q417" s="3" t="s">
        <v>26</v>
      </c>
      <c r="R417" s="3">
        <v>0</v>
      </c>
      <c r="S417" s="3">
        <v>7</v>
      </c>
      <c r="T417" s="3">
        <v>0</v>
      </c>
      <c r="U417" s="3">
        <v>0</v>
      </c>
      <c r="V417" s="70">
        <f>IF(ISERROR(VLOOKUP($S$417,'TAR FIN'!$A$1:$O$99,15,0)),0,VLOOKUP($S$417,'TAR FIN'!$A$1:$O$99,15,0))*(1-0.04)</f>
        <v>20.975999999999999</v>
      </c>
      <c r="W417" s="70">
        <f>IF(ISERROR(VLOOKUP($T$417,'TAR FIN'!$A$1:$O$99,15,0)),0,VLOOKUP($T$417,'TAR FIN'!$A$1:$O$99,15,0))</f>
        <v>0</v>
      </c>
      <c r="X417" s="70">
        <f>IF(ISERROR(VLOOKUP($U$417,'TAR FIN'!$A$1:$O$99,15,0)),0,VLOOKUP($U$417,'TAR FIN'!$A$1:$O$99,15,0))</f>
        <v>0</v>
      </c>
      <c r="Y417" s="70">
        <f ca="1">('TUSD BE'!$AM$21+'TUSD BF'!$AM$21+'TUSD CVA'!$AM$21)*1*(1-0.02)</f>
        <v>24.176010844852033</v>
      </c>
      <c r="Z417" s="70"/>
      <c r="AA417" s="70"/>
      <c r="AB417" s="70">
        <f>(SUBSIDIO!$J$417*SUBSIDIO!$V$417)*(0.04)/(1-0.04)</f>
        <v>3272.2560000000003</v>
      </c>
      <c r="AC417" s="70">
        <f>((SUBSIDIO!$L$417*SUBSIDIO!$W$417)+(SUBSIDIO!$N$417*SUBSIDIO!$X$417))*(0.04)/(1-0.04)</f>
        <v>0</v>
      </c>
      <c r="AD417" s="70">
        <f ca="1">(SUBSIDIO!$J$417*SUBSIDIO!$Y$417)*(0.02)/(1-0.02)</f>
        <v>1847.2445837372657</v>
      </c>
      <c r="AE417" s="70">
        <f>((SUBSIDIO!$L$417*SUBSIDIO!$Z$417)+(SUBSIDIO!$N$417*SUBSIDIO!$AA$417))*(0.02)/(1-0.02)</f>
        <v>0</v>
      </c>
      <c r="AF417" s="3" t="s">
        <v>951</v>
      </c>
    </row>
    <row r="418" spans="1:32" ht="11.25" customHeight="1" x14ac:dyDescent="0.25">
      <c r="A418" s="3" t="s">
        <v>28</v>
      </c>
      <c r="B418" s="3" t="s">
        <v>33</v>
      </c>
      <c r="C418" s="3" t="s">
        <v>34</v>
      </c>
      <c r="D418" s="3" t="s">
        <v>45</v>
      </c>
      <c r="E418" s="3" t="s">
        <v>25</v>
      </c>
      <c r="F418" s="3" t="s">
        <v>25</v>
      </c>
      <c r="G418" s="3" t="s">
        <v>25</v>
      </c>
      <c r="H418" s="3" t="s">
        <v>25</v>
      </c>
      <c r="I418" s="6">
        <v>44621</v>
      </c>
      <c r="J418" s="4">
        <v>878</v>
      </c>
      <c r="K418" s="70">
        <v>878</v>
      </c>
      <c r="L418" s="4">
        <v>0</v>
      </c>
      <c r="M418" s="70">
        <v>0</v>
      </c>
      <c r="N418" s="4">
        <v>0</v>
      </c>
      <c r="O418" s="70">
        <v>0</v>
      </c>
      <c r="P418" s="4">
        <v>4</v>
      </c>
      <c r="Q418" s="3" t="s">
        <v>26</v>
      </c>
      <c r="R418" s="3">
        <v>0</v>
      </c>
      <c r="S418" s="3">
        <v>7</v>
      </c>
      <c r="T418" s="3">
        <v>0</v>
      </c>
      <c r="U418" s="3">
        <v>0</v>
      </c>
      <c r="V418" s="70">
        <f>IF(ISERROR(VLOOKUP($S$418,'TAR FIN'!$A$1:$O$99,15,0)),0,VLOOKUP($S$418,'TAR FIN'!$A$1:$O$99,15,0))*(1-0.04)</f>
        <v>20.975999999999999</v>
      </c>
      <c r="W418" s="70">
        <f>IF(ISERROR(VLOOKUP($T$418,'TAR FIN'!$A$1:$O$99,15,0)),0,VLOOKUP($T$418,'TAR FIN'!$A$1:$O$99,15,0))</f>
        <v>0</v>
      </c>
      <c r="X418" s="70">
        <f>IF(ISERROR(VLOOKUP($U$418,'TAR FIN'!$A$1:$O$99,15,0)),0,VLOOKUP($U$418,'TAR FIN'!$A$1:$O$99,15,0))</f>
        <v>0</v>
      </c>
      <c r="Y418" s="70">
        <f ca="1">('TUSD BE'!$AM$21+'TUSD BF'!$AM$21+'TUSD CVA'!$AM$21)*1*(1-0.02)</f>
        <v>24.176010844852033</v>
      </c>
      <c r="Z418" s="70"/>
      <c r="AA418" s="70"/>
      <c r="AB418" s="70">
        <f>(SUBSIDIO!$J$418*SUBSIDIO!$V$418)*(0.04)/(1-0.04)</f>
        <v>767.37200000000007</v>
      </c>
      <c r="AC418" s="70">
        <f>((SUBSIDIO!$L$418*SUBSIDIO!$W$418)+(SUBSIDIO!$N$418*SUBSIDIO!$X$418))*(0.04)/(1-0.04)</f>
        <v>0</v>
      </c>
      <c r="AD418" s="70">
        <f ca="1">(SUBSIDIO!$J$418*SUBSIDIO!$Y$418)*(0.02)/(1-0.02)</f>
        <v>433.19464330163447</v>
      </c>
      <c r="AE418" s="70">
        <f>((SUBSIDIO!$L$418*SUBSIDIO!$Z$418)+(SUBSIDIO!$N$418*SUBSIDIO!$AA$418))*(0.02)/(1-0.02)</f>
        <v>0</v>
      </c>
      <c r="AF418" s="3" t="s">
        <v>951</v>
      </c>
    </row>
    <row r="419" spans="1:32" ht="11.25" customHeight="1" x14ac:dyDescent="0.25">
      <c r="A419" s="3" t="s">
        <v>56</v>
      </c>
      <c r="B419" s="3" t="s">
        <v>33</v>
      </c>
      <c r="C419" s="3" t="s">
        <v>34</v>
      </c>
      <c r="D419" s="3" t="s">
        <v>45</v>
      </c>
      <c r="E419" s="3" t="s">
        <v>25</v>
      </c>
      <c r="F419" s="3" t="s">
        <v>25</v>
      </c>
      <c r="G419" s="3" t="s">
        <v>25</v>
      </c>
      <c r="H419" s="3" t="s">
        <v>25</v>
      </c>
      <c r="I419" s="6">
        <v>44652</v>
      </c>
      <c r="J419" s="4">
        <v>3744</v>
      </c>
      <c r="K419" s="70">
        <v>3744</v>
      </c>
      <c r="L419" s="4">
        <v>0</v>
      </c>
      <c r="M419" s="70">
        <v>0</v>
      </c>
      <c r="N419" s="4">
        <v>0</v>
      </c>
      <c r="O419" s="70">
        <v>0</v>
      </c>
      <c r="P419" s="4">
        <v>41</v>
      </c>
      <c r="Q419" s="3" t="s">
        <v>26</v>
      </c>
      <c r="R419" s="3">
        <v>0</v>
      </c>
      <c r="S419" s="3">
        <v>7</v>
      </c>
      <c r="T419" s="3">
        <v>0</v>
      </c>
      <c r="U419" s="3">
        <v>0</v>
      </c>
      <c r="V419" s="70">
        <f>IF(ISERROR(VLOOKUP($S$419,'TAR FIN'!$A$1:$O$99,15,0)),0,VLOOKUP($S$419,'TAR FIN'!$A$1:$O$99,15,0))*(1-0.04)</f>
        <v>20.975999999999999</v>
      </c>
      <c r="W419" s="70">
        <f>IF(ISERROR(VLOOKUP($T$419,'TAR FIN'!$A$1:$O$99,15,0)),0,VLOOKUP($T$419,'TAR FIN'!$A$1:$O$99,15,0))</f>
        <v>0</v>
      </c>
      <c r="X419" s="70">
        <f>IF(ISERROR(VLOOKUP($U$419,'TAR FIN'!$A$1:$O$99,15,0)),0,VLOOKUP($U$419,'TAR FIN'!$A$1:$O$99,15,0))</f>
        <v>0</v>
      </c>
      <c r="Y419" s="70">
        <f ca="1">('TUSD BE'!$AM$21+'TUSD BF'!$AM$21+'TUSD CVA'!$AM$21)*1*(1-0.02)</f>
        <v>24.176010844852033</v>
      </c>
      <c r="Z419" s="70"/>
      <c r="AA419" s="70"/>
      <c r="AB419" s="70">
        <f>(SUBSIDIO!$J$419*SUBSIDIO!$V$419)*(0.04)/(1-0.04)</f>
        <v>3272.2560000000003</v>
      </c>
      <c r="AC419" s="70">
        <f>((SUBSIDIO!$L$419*SUBSIDIO!$W$419)+(SUBSIDIO!$N$419*SUBSIDIO!$X$419))*(0.04)/(1-0.04)</f>
        <v>0</v>
      </c>
      <c r="AD419" s="70">
        <f ca="1">(SUBSIDIO!$J$419*SUBSIDIO!$Y$419)*(0.02)/(1-0.02)</f>
        <v>1847.2445837372657</v>
      </c>
      <c r="AE419" s="70">
        <f>((SUBSIDIO!$L$419*SUBSIDIO!$Z$419)+(SUBSIDIO!$N$419*SUBSIDIO!$AA$419))*(0.02)/(1-0.02)</f>
        <v>0</v>
      </c>
      <c r="AF419" s="3" t="s">
        <v>951</v>
      </c>
    </row>
    <row r="420" spans="1:32" ht="11.25" customHeight="1" x14ac:dyDescent="0.25">
      <c r="A420" s="3" t="s">
        <v>56</v>
      </c>
      <c r="B420" s="3" t="s">
        <v>33</v>
      </c>
      <c r="C420" s="3" t="s">
        <v>34</v>
      </c>
      <c r="D420" s="3" t="s">
        <v>45</v>
      </c>
      <c r="E420" s="3" t="s">
        <v>25</v>
      </c>
      <c r="F420" s="3" t="s">
        <v>25</v>
      </c>
      <c r="G420" s="3" t="s">
        <v>25</v>
      </c>
      <c r="H420" s="3" t="s">
        <v>25</v>
      </c>
      <c r="I420" s="6">
        <v>44652</v>
      </c>
      <c r="J420" s="4">
        <v>878</v>
      </c>
      <c r="K420" s="70">
        <v>878</v>
      </c>
      <c r="L420" s="4">
        <v>0</v>
      </c>
      <c r="M420" s="70">
        <v>0</v>
      </c>
      <c r="N420" s="4">
        <v>0</v>
      </c>
      <c r="O420" s="70">
        <v>0</v>
      </c>
      <c r="P420" s="4">
        <v>4</v>
      </c>
      <c r="Q420" s="3" t="s">
        <v>26</v>
      </c>
      <c r="R420" s="3">
        <v>0</v>
      </c>
      <c r="S420" s="3">
        <v>7</v>
      </c>
      <c r="T420" s="3">
        <v>0</v>
      </c>
      <c r="U420" s="3">
        <v>0</v>
      </c>
      <c r="V420" s="70">
        <f>IF(ISERROR(VLOOKUP($S$420,'TAR FIN'!$A$1:$O$99,15,0)),0,VLOOKUP($S$420,'TAR FIN'!$A$1:$O$99,15,0))*(1-0.04)</f>
        <v>20.975999999999999</v>
      </c>
      <c r="W420" s="70">
        <f>IF(ISERROR(VLOOKUP($T$420,'TAR FIN'!$A$1:$O$99,15,0)),0,VLOOKUP($T$420,'TAR FIN'!$A$1:$O$99,15,0))</f>
        <v>0</v>
      </c>
      <c r="X420" s="70">
        <f>IF(ISERROR(VLOOKUP($U$420,'TAR FIN'!$A$1:$O$99,15,0)),0,VLOOKUP($U$420,'TAR FIN'!$A$1:$O$99,15,0))</f>
        <v>0</v>
      </c>
      <c r="Y420" s="70">
        <f ca="1">('TUSD BE'!$AM$21+'TUSD BF'!$AM$21+'TUSD CVA'!$AM$21)*1*(1-0.02)</f>
        <v>24.176010844852033</v>
      </c>
      <c r="Z420" s="70"/>
      <c r="AA420" s="70"/>
      <c r="AB420" s="70">
        <f>(SUBSIDIO!$J$420*SUBSIDIO!$V$420)*(0.04)/(1-0.04)</f>
        <v>767.37200000000007</v>
      </c>
      <c r="AC420" s="70">
        <f>((SUBSIDIO!$L$420*SUBSIDIO!$W$420)+(SUBSIDIO!$N$420*SUBSIDIO!$X$420))*(0.04)/(1-0.04)</f>
        <v>0</v>
      </c>
      <c r="AD420" s="70">
        <f ca="1">(SUBSIDIO!$J$420*SUBSIDIO!$Y$420)*(0.02)/(1-0.02)</f>
        <v>433.19464330163447</v>
      </c>
      <c r="AE420" s="70">
        <f>((SUBSIDIO!$L$420*SUBSIDIO!$Z$420)+(SUBSIDIO!$N$420*SUBSIDIO!$AA$420))*(0.02)/(1-0.02)</f>
        <v>0</v>
      </c>
      <c r="AF420" s="3" t="s">
        <v>951</v>
      </c>
    </row>
    <row r="421" spans="1:32" ht="11.25" customHeight="1" x14ac:dyDescent="0.25">
      <c r="A421" s="3" t="s">
        <v>21</v>
      </c>
      <c r="B421" s="3" t="s">
        <v>33</v>
      </c>
      <c r="C421" s="3" t="s">
        <v>34</v>
      </c>
      <c r="D421" s="3" t="s">
        <v>45</v>
      </c>
      <c r="E421" s="3" t="s">
        <v>25</v>
      </c>
      <c r="F421" s="3" t="s">
        <v>25</v>
      </c>
      <c r="G421" s="3" t="s">
        <v>25</v>
      </c>
      <c r="H421" s="3" t="s">
        <v>35</v>
      </c>
      <c r="I421" s="6">
        <v>44317</v>
      </c>
      <c r="J421" s="4">
        <v>0</v>
      </c>
      <c r="K421" s="70">
        <v>0</v>
      </c>
      <c r="L421" s="4">
        <v>60.104999999999997</v>
      </c>
      <c r="M421" s="70">
        <v>60.104999999999997</v>
      </c>
      <c r="N421" s="4">
        <v>60.104999999999997</v>
      </c>
      <c r="O421" s="70">
        <v>60.104999999999997</v>
      </c>
      <c r="P421" s="4">
        <v>0</v>
      </c>
      <c r="Q421" s="3" t="s">
        <v>26</v>
      </c>
      <c r="R421" s="3">
        <v>0</v>
      </c>
      <c r="S421" s="3">
        <v>0</v>
      </c>
      <c r="T421" s="3">
        <v>8</v>
      </c>
      <c r="U421" s="3">
        <v>72</v>
      </c>
      <c r="V421" s="70">
        <f>IF(ISERROR(VLOOKUP($S$421,'TAR FIN'!$A$1:$O$99,15,0)),0,VLOOKUP($S$421,'TAR FIN'!$A$1:$O$99,15,0))</f>
        <v>0</v>
      </c>
      <c r="W421" s="70">
        <f>IF(ISERROR(VLOOKUP($T$421,'TAR FIN'!$A$1:$O$99,15,0)),0,VLOOKUP($T$421,'TAR FIN'!$A$1:$O$99,15,0))*(1-0.04)</f>
        <v>1495.4304</v>
      </c>
      <c r="X421" s="70">
        <f>IF(ISERROR(VLOOKUP($U$421,'TAR FIN'!$A$1:$O$99,15,0)),0,VLOOKUP($U$421,'TAR FIN'!$A$1:$O$99,15,0))*(1-0.04)</f>
        <v>332.74560000000002</v>
      </c>
      <c r="Y421" s="70"/>
      <c r="Z421" s="70">
        <f ca="1">('TUSD BE'!$AM$22+'TUSD BF'!$AM$22+'TUSD CVA'!$AM$22)*1*(1-0.02)</f>
        <v>1763.14935965871</v>
      </c>
      <c r="AA421" s="70">
        <f>('TE BE'!$AA$7+'TE BF'!$AA$7+'TE CVA'!$AA$7)*1*(1-0.02)</f>
        <v>415.4185945530557</v>
      </c>
      <c r="AB421" s="70">
        <f>(SUBSIDIO!$J$421*SUBSIDIO!$V$421)*(0.04)/(1-0.04)</f>
        <v>0</v>
      </c>
      <c r="AC421" s="70">
        <f>((SUBSIDIO!$L$421*SUBSIDIO!$W$421)+(SUBSIDIO!$N$421*SUBSIDIO!$X$421))*(0.04)/(1-0.04)</f>
        <v>4578.4382700000006</v>
      </c>
      <c r="AD421" s="70">
        <f>(SUBSIDIO!$J$421*SUBSIDIO!$Y$421)*(0.02)/(1-0.02)</f>
        <v>0</v>
      </c>
      <c r="AE421" s="70">
        <f ca="1">((SUBSIDIO!$L$421*SUBSIDIO!$Z$421)+(SUBSIDIO!$N$421*SUBSIDIO!$AA$421))*(0.02)/(1-0.02)</f>
        <v>2672.3025895489423</v>
      </c>
      <c r="AF421" s="3" t="s">
        <v>951</v>
      </c>
    </row>
    <row r="422" spans="1:32" ht="11.25" customHeight="1" x14ac:dyDescent="0.25">
      <c r="A422" s="3" t="s">
        <v>28</v>
      </c>
      <c r="B422" s="3" t="s">
        <v>33</v>
      </c>
      <c r="C422" s="3" t="s">
        <v>34</v>
      </c>
      <c r="D422" s="3" t="s">
        <v>45</v>
      </c>
      <c r="E422" s="3" t="s">
        <v>25</v>
      </c>
      <c r="F422" s="3" t="s">
        <v>25</v>
      </c>
      <c r="G422" s="3" t="s">
        <v>25</v>
      </c>
      <c r="H422" s="3" t="s">
        <v>35</v>
      </c>
      <c r="I422" s="6">
        <v>44317</v>
      </c>
      <c r="J422" s="4">
        <v>0</v>
      </c>
      <c r="K422" s="70">
        <v>0</v>
      </c>
      <c r="L422" s="4">
        <v>6.0999999999999999E-2</v>
      </c>
      <c r="M422" s="70">
        <v>6.0999999999999999E-2</v>
      </c>
      <c r="N422" s="4">
        <v>6.0999999999999999E-2</v>
      </c>
      <c r="O422" s="70">
        <v>6.0999999999999999E-2</v>
      </c>
      <c r="P422" s="4">
        <v>0</v>
      </c>
      <c r="Q422" s="3" t="s">
        <v>26</v>
      </c>
      <c r="R422" s="3">
        <v>0</v>
      </c>
      <c r="S422" s="3">
        <v>0</v>
      </c>
      <c r="T422" s="3">
        <v>8</v>
      </c>
      <c r="U422" s="3">
        <v>72</v>
      </c>
      <c r="V422" s="70">
        <f>IF(ISERROR(VLOOKUP($S$422,'TAR FIN'!$A$1:$O$99,15,0)),0,VLOOKUP($S$422,'TAR FIN'!$A$1:$O$99,15,0))</f>
        <v>0</v>
      </c>
      <c r="W422" s="70">
        <f>IF(ISERROR(VLOOKUP($T$422,'TAR FIN'!$A$1:$O$99,15,0)),0,VLOOKUP($T$422,'TAR FIN'!$A$1:$O$99,15,0))*(1-0.04)</f>
        <v>1495.4304</v>
      </c>
      <c r="X422" s="70">
        <f>IF(ISERROR(VLOOKUP($U$422,'TAR FIN'!$A$1:$O$99,15,0)),0,VLOOKUP($U$422,'TAR FIN'!$A$1:$O$99,15,0))*(1-0.04)</f>
        <v>332.74560000000002</v>
      </c>
      <c r="Y422" s="70"/>
      <c r="Z422" s="70">
        <f ca="1">('TUSD BE'!$AM$22+'TUSD BF'!$AM$22+'TUSD CVA'!$AM$22)*1*(1-0.02)</f>
        <v>1763.14935965871</v>
      </c>
      <c r="AA422" s="70">
        <f>('TE BE'!$AA$7+'TE BF'!$AA$7+'TE CVA'!$AA$7)*1*(1-0.02)</f>
        <v>415.4185945530557</v>
      </c>
      <c r="AB422" s="70">
        <f>(SUBSIDIO!$J$422*SUBSIDIO!$V$422)*(0.04)/(1-0.04)</f>
        <v>0</v>
      </c>
      <c r="AC422" s="70">
        <f>((SUBSIDIO!$L$422*SUBSIDIO!$W$422)+(SUBSIDIO!$N$422*SUBSIDIO!$X$422))*(0.04)/(1-0.04)</f>
        <v>4.6466139999999996</v>
      </c>
      <c r="AD422" s="70">
        <f>(SUBSIDIO!$J$422*SUBSIDIO!$Y$422)*(0.02)/(1-0.02)</f>
        <v>0</v>
      </c>
      <c r="AE422" s="70">
        <f ca="1">((SUBSIDIO!$L$422*SUBSIDIO!$Z$422)+(SUBSIDIO!$N$422*SUBSIDIO!$AA$422))*(0.02)/(1-0.02)</f>
        <v>2.7120948001411778</v>
      </c>
      <c r="AF422" s="3" t="s">
        <v>951</v>
      </c>
    </row>
    <row r="423" spans="1:32" ht="11.25" customHeight="1" x14ac:dyDescent="0.25">
      <c r="A423" s="3" t="s">
        <v>21</v>
      </c>
      <c r="B423" s="3" t="s">
        <v>33</v>
      </c>
      <c r="C423" s="3" t="s">
        <v>34</v>
      </c>
      <c r="D423" s="3" t="s">
        <v>45</v>
      </c>
      <c r="E423" s="3" t="s">
        <v>25</v>
      </c>
      <c r="F423" s="3" t="s">
        <v>25</v>
      </c>
      <c r="G423" s="3" t="s">
        <v>25</v>
      </c>
      <c r="H423" s="3" t="s">
        <v>35</v>
      </c>
      <c r="I423" s="6">
        <v>44348</v>
      </c>
      <c r="J423" s="4">
        <v>0</v>
      </c>
      <c r="K423" s="70">
        <v>0</v>
      </c>
      <c r="L423" s="4">
        <v>56.448999999999998</v>
      </c>
      <c r="M423" s="70">
        <v>56.448999999999998</v>
      </c>
      <c r="N423" s="4">
        <v>56.448999999999998</v>
      </c>
      <c r="O423" s="70">
        <v>56.448999999999998</v>
      </c>
      <c r="P423" s="4">
        <v>0</v>
      </c>
      <c r="Q423" s="3" t="s">
        <v>26</v>
      </c>
      <c r="R423" s="3">
        <v>0</v>
      </c>
      <c r="S423" s="3">
        <v>0</v>
      </c>
      <c r="T423" s="3">
        <v>8</v>
      </c>
      <c r="U423" s="3">
        <v>72</v>
      </c>
      <c r="V423" s="70">
        <f>IF(ISERROR(VLOOKUP($S$423,'TAR FIN'!$A$1:$O$99,15,0)),0,VLOOKUP($S$423,'TAR FIN'!$A$1:$O$99,15,0))</f>
        <v>0</v>
      </c>
      <c r="W423" s="70">
        <f>IF(ISERROR(VLOOKUP($T$423,'TAR FIN'!$A$1:$O$99,15,0)),0,VLOOKUP($T$423,'TAR FIN'!$A$1:$O$99,15,0))*(1-0.04)</f>
        <v>1495.4304</v>
      </c>
      <c r="X423" s="70">
        <f>IF(ISERROR(VLOOKUP($U$423,'TAR FIN'!$A$1:$O$99,15,0)),0,VLOOKUP($U$423,'TAR FIN'!$A$1:$O$99,15,0))*(1-0.04)</f>
        <v>332.74560000000002</v>
      </c>
      <c r="Y423" s="70"/>
      <c r="Z423" s="70">
        <f ca="1">('TUSD BE'!$AM$22+'TUSD BF'!$AM$22+'TUSD CVA'!$AM$22)*1*(1-0.02)</f>
        <v>1763.14935965871</v>
      </c>
      <c r="AA423" s="70">
        <f>('TE BE'!$AA$7+'TE BF'!$AA$7+'TE CVA'!$AA$7)*1*(1-0.02)</f>
        <v>415.4185945530557</v>
      </c>
      <c r="AB423" s="70">
        <f>(SUBSIDIO!$J$423*SUBSIDIO!$V$423)*(0.04)/(1-0.04)</f>
        <v>0</v>
      </c>
      <c r="AC423" s="70">
        <f>((SUBSIDIO!$L$423*SUBSIDIO!$W$423)+(SUBSIDIO!$N$423*SUBSIDIO!$X$423))*(0.04)/(1-0.04)</f>
        <v>4299.9461260000007</v>
      </c>
      <c r="AD423" s="70">
        <f>(SUBSIDIO!$J$423*SUBSIDIO!$Y$423)*(0.02)/(1-0.02)</f>
        <v>0</v>
      </c>
      <c r="AE423" s="70">
        <f ca="1">((SUBSIDIO!$L$423*SUBSIDIO!$Z$423)+(SUBSIDIO!$N$423*SUBSIDIO!$AA$423))*(0.02)/(1-0.02)</f>
        <v>2509.7547438224478</v>
      </c>
      <c r="AF423" s="3" t="s">
        <v>951</v>
      </c>
    </row>
    <row r="424" spans="1:32" ht="11.25" customHeight="1" x14ac:dyDescent="0.25">
      <c r="A424" s="3" t="s">
        <v>28</v>
      </c>
      <c r="B424" s="3" t="s">
        <v>33</v>
      </c>
      <c r="C424" s="3" t="s">
        <v>34</v>
      </c>
      <c r="D424" s="3" t="s">
        <v>45</v>
      </c>
      <c r="E424" s="3" t="s">
        <v>25</v>
      </c>
      <c r="F424" s="3" t="s">
        <v>25</v>
      </c>
      <c r="G424" s="3" t="s">
        <v>25</v>
      </c>
      <c r="H424" s="3" t="s">
        <v>35</v>
      </c>
      <c r="I424" s="6">
        <v>44348</v>
      </c>
      <c r="J424" s="4">
        <v>0</v>
      </c>
      <c r="K424" s="70">
        <v>0</v>
      </c>
      <c r="L424" s="4">
        <v>-1.0489999999999999</v>
      </c>
      <c r="M424" s="70">
        <v>-1.0489999999999999</v>
      </c>
      <c r="N424" s="4">
        <v>-1.0489999999999999</v>
      </c>
      <c r="O424" s="70">
        <v>-1.0489999999999999</v>
      </c>
      <c r="P424" s="4">
        <v>0</v>
      </c>
      <c r="Q424" s="3" t="s">
        <v>26</v>
      </c>
      <c r="R424" s="3">
        <v>0</v>
      </c>
      <c r="S424" s="3">
        <v>0</v>
      </c>
      <c r="T424" s="3">
        <v>8</v>
      </c>
      <c r="U424" s="3">
        <v>72</v>
      </c>
      <c r="V424" s="70">
        <f>IF(ISERROR(VLOOKUP($S$424,'TAR FIN'!$A$1:$O$99,15,0)),0,VLOOKUP($S$424,'TAR FIN'!$A$1:$O$99,15,0))</f>
        <v>0</v>
      </c>
      <c r="W424" s="70">
        <f>IF(ISERROR(VLOOKUP($T$424,'TAR FIN'!$A$1:$O$99,15,0)),0,VLOOKUP($T$424,'TAR FIN'!$A$1:$O$99,15,0))*(1-0.04)</f>
        <v>1495.4304</v>
      </c>
      <c r="X424" s="70">
        <f>IF(ISERROR(VLOOKUP($U$424,'TAR FIN'!$A$1:$O$99,15,0)),0,VLOOKUP($U$424,'TAR FIN'!$A$1:$O$99,15,0))*(1-0.04)</f>
        <v>332.74560000000002</v>
      </c>
      <c r="Y424" s="70"/>
      <c r="Z424" s="70">
        <f ca="1">('TUSD BE'!$AM$22+'TUSD BF'!$AM$22+'TUSD CVA'!$AM$22)*1*(1-0.02)</f>
        <v>1763.14935965871</v>
      </c>
      <c r="AA424" s="70">
        <f>('TE BE'!$AA$7+'TE BF'!$AA$7+'TE CVA'!$AA$7)*1*(1-0.02)</f>
        <v>415.4185945530557</v>
      </c>
      <c r="AB424" s="70">
        <f>(SUBSIDIO!$J$424*SUBSIDIO!$V$424)*(0.04)/(1-0.04)</f>
        <v>0</v>
      </c>
      <c r="AC424" s="70">
        <f>((SUBSIDIO!$L$424*SUBSIDIO!$W$424)+(SUBSIDIO!$N$424*SUBSIDIO!$X$424))*(0.04)/(1-0.04)</f>
        <v>-79.906525999999999</v>
      </c>
      <c r="AD424" s="70">
        <f>(SUBSIDIO!$J$424*SUBSIDIO!$Y$424)*(0.02)/(1-0.02)</f>
        <v>0</v>
      </c>
      <c r="AE424" s="70">
        <f ca="1">((SUBSIDIO!$L$424*SUBSIDIO!$Z$424)+(SUBSIDIO!$N$424*SUBSIDIO!$AA$424))*(0.02)/(1-0.02)</f>
        <v>-46.639138448329433</v>
      </c>
      <c r="AF424" s="3" t="s">
        <v>951</v>
      </c>
    </row>
    <row r="425" spans="1:32" ht="11.25" customHeight="1" x14ac:dyDescent="0.25">
      <c r="A425" s="3" t="s">
        <v>21</v>
      </c>
      <c r="B425" s="3" t="s">
        <v>33</v>
      </c>
      <c r="C425" s="3" t="s">
        <v>34</v>
      </c>
      <c r="D425" s="3" t="s">
        <v>45</v>
      </c>
      <c r="E425" s="3" t="s">
        <v>25</v>
      </c>
      <c r="F425" s="3" t="s">
        <v>25</v>
      </c>
      <c r="G425" s="3" t="s">
        <v>25</v>
      </c>
      <c r="H425" s="3" t="s">
        <v>35</v>
      </c>
      <c r="I425" s="6">
        <v>44378</v>
      </c>
      <c r="J425" s="4">
        <v>0</v>
      </c>
      <c r="K425" s="70">
        <v>0</v>
      </c>
      <c r="L425" s="4">
        <v>60.249000000000002</v>
      </c>
      <c r="M425" s="70">
        <v>60.249000000000002</v>
      </c>
      <c r="N425" s="4">
        <v>60.249000000000002</v>
      </c>
      <c r="O425" s="70">
        <v>60.249000000000002</v>
      </c>
      <c r="P425" s="4">
        <v>0</v>
      </c>
      <c r="Q425" s="3" t="s">
        <v>26</v>
      </c>
      <c r="R425" s="3">
        <v>0</v>
      </c>
      <c r="S425" s="3">
        <v>0</v>
      </c>
      <c r="T425" s="3">
        <v>8</v>
      </c>
      <c r="U425" s="3">
        <v>72</v>
      </c>
      <c r="V425" s="70">
        <f>IF(ISERROR(VLOOKUP($S$425,'TAR FIN'!$A$1:$O$99,15,0)),0,VLOOKUP($S$425,'TAR FIN'!$A$1:$O$99,15,0))</f>
        <v>0</v>
      </c>
      <c r="W425" s="70">
        <f>IF(ISERROR(VLOOKUP($T$425,'TAR FIN'!$A$1:$O$99,15,0)),0,VLOOKUP($T$425,'TAR FIN'!$A$1:$O$99,15,0))*(1-0.04)</f>
        <v>1495.4304</v>
      </c>
      <c r="X425" s="70">
        <f>IF(ISERROR(VLOOKUP($U$425,'TAR FIN'!$A$1:$O$99,15,0)),0,VLOOKUP($U$425,'TAR FIN'!$A$1:$O$99,15,0))*(1-0.04)</f>
        <v>332.74560000000002</v>
      </c>
      <c r="Y425" s="70"/>
      <c r="Z425" s="70">
        <f ca="1">('TUSD BE'!$AM$22+'TUSD BF'!$AM$22+'TUSD CVA'!$AM$22)*1*(1-0.02)</f>
        <v>1763.14935965871</v>
      </c>
      <c r="AA425" s="70">
        <f>('TE BE'!$AA$7+'TE BF'!$AA$7+'TE CVA'!$AA$7)*1*(1-0.02)</f>
        <v>415.4185945530557</v>
      </c>
      <c r="AB425" s="70">
        <f>(SUBSIDIO!$J$425*SUBSIDIO!$V$425)*(0.04)/(1-0.04)</f>
        <v>0</v>
      </c>
      <c r="AC425" s="70">
        <f>((SUBSIDIO!$L$425*SUBSIDIO!$W$425)+(SUBSIDIO!$N$425*SUBSIDIO!$X$425))*(0.04)/(1-0.04)</f>
        <v>4589.4073260000005</v>
      </c>
      <c r="AD425" s="70">
        <f>(SUBSIDIO!$J$425*SUBSIDIO!$Y$425)*(0.02)/(1-0.02)</f>
        <v>0</v>
      </c>
      <c r="AE425" s="70">
        <f ca="1">((SUBSIDIO!$L$425*SUBSIDIO!$Z$425)+(SUBSIDIO!$N$425*SUBSIDIO!$AA$425))*(0.02)/(1-0.02)</f>
        <v>2678.7049117000956</v>
      </c>
      <c r="AF425" s="3" t="s">
        <v>951</v>
      </c>
    </row>
    <row r="426" spans="1:32" ht="11.25" customHeight="1" x14ac:dyDescent="0.25">
      <c r="A426" s="3" t="s">
        <v>28</v>
      </c>
      <c r="B426" s="3" t="s">
        <v>33</v>
      </c>
      <c r="C426" s="3" t="s">
        <v>34</v>
      </c>
      <c r="D426" s="3" t="s">
        <v>45</v>
      </c>
      <c r="E426" s="3" t="s">
        <v>25</v>
      </c>
      <c r="F426" s="3" t="s">
        <v>25</v>
      </c>
      <c r="G426" s="3" t="s">
        <v>25</v>
      </c>
      <c r="H426" s="3" t="s">
        <v>35</v>
      </c>
      <c r="I426" s="6">
        <v>44378</v>
      </c>
      <c r="J426" s="4">
        <v>0</v>
      </c>
      <c r="K426" s="70">
        <v>0</v>
      </c>
      <c r="L426" s="4">
        <v>0.105</v>
      </c>
      <c r="M426" s="70">
        <v>0.105</v>
      </c>
      <c r="N426" s="4">
        <v>0.105</v>
      </c>
      <c r="O426" s="70">
        <v>0.105</v>
      </c>
      <c r="P426" s="4">
        <v>0</v>
      </c>
      <c r="Q426" s="3" t="s">
        <v>26</v>
      </c>
      <c r="R426" s="3">
        <v>0</v>
      </c>
      <c r="S426" s="3">
        <v>0</v>
      </c>
      <c r="T426" s="3">
        <v>8</v>
      </c>
      <c r="U426" s="3">
        <v>72</v>
      </c>
      <c r="V426" s="70">
        <f>IF(ISERROR(VLOOKUP($S$426,'TAR FIN'!$A$1:$O$99,15,0)),0,VLOOKUP($S$426,'TAR FIN'!$A$1:$O$99,15,0))</f>
        <v>0</v>
      </c>
      <c r="W426" s="70">
        <f>IF(ISERROR(VLOOKUP($T$426,'TAR FIN'!$A$1:$O$99,15,0)),0,VLOOKUP($T$426,'TAR FIN'!$A$1:$O$99,15,0))*(1-0.04)</f>
        <v>1495.4304</v>
      </c>
      <c r="X426" s="70">
        <f>IF(ISERROR(VLOOKUP($U$426,'TAR FIN'!$A$1:$O$99,15,0)),0,VLOOKUP($U$426,'TAR FIN'!$A$1:$O$99,15,0))*(1-0.04)</f>
        <v>332.74560000000002</v>
      </c>
      <c r="Y426" s="70"/>
      <c r="Z426" s="70">
        <f ca="1">('TUSD BE'!$AM$22+'TUSD BF'!$AM$22+'TUSD CVA'!$AM$22)*1*(1-0.02)</f>
        <v>1763.14935965871</v>
      </c>
      <c r="AA426" s="70">
        <f>('TE BE'!$AA$7+'TE BF'!$AA$7+'TE CVA'!$AA$7)*1*(1-0.02)</f>
        <v>415.4185945530557</v>
      </c>
      <c r="AB426" s="70">
        <f>(SUBSIDIO!$J$426*SUBSIDIO!$V$426)*(0.04)/(1-0.04)</f>
        <v>0</v>
      </c>
      <c r="AC426" s="70">
        <f>((SUBSIDIO!$L$426*SUBSIDIO!$W$426)+(SUBSIDIO!$N$426*SUBSIDIO!$X$426))*(0.04)/(1-0.04)</f>
        <v>7.9982699999999989</v>
      </c>
      <c r="AD426" s="70">
        <f>(SUBSIDIO!$J$426*SUBSIDIO!$Y$426)*(0.02)/(1-0.02)</f>
        <v>0</v>
      </c>
      <c r="AE426" s="70">
        <f ca="1">((SUBSIDIO!$L$426*SUBSIDIO!$Z$426)+(SUBSIDIO!$N$426*SUBSIDIO!$AA$426))*(0.02)/(1-0.02)</f>
        <v>4.6683599018823552</v>
      </c>
      <c r="AF426" s="3" t="s">
        <v>951</v>
      </c>
    </row>
    <row r="427" spans="1:32" ht="11.25" customHeight="1" x14ac:dyDescent="0.25">
      <c r="A427" s="3" t="s">
        <v>21</v>
      </c>
      <c r="B427" s="3" t="s">
        <v>33</v>
      </c>
      <c r="C427" s="3" t="s">
        <v>34</v>
      </c>
      <c r="D427" s="3" t="s">
        <v>45</v>
      </c>
      <c r="E427" s="3" t="s">
        <v>25</v>
      </c>
      <c r="F427" s="3" t="s">
        <v>25</v>
      </c>
      <c r="G427" s="3" t="s">
        <v>25</v>
      </c>
      <c r="H427" s="3" t="s">
        <v>35</v>
      </c>
      <c r="I427" s="6">
        <v>44409</v>
      </c>
      <c r="J427" s="4">
        <v>0</v>
      </c>
      <c r="K427" s="70">
        <v>0</v>
      </c>
      <c r="L427" s="4">
        <v>51.003999999999998</v>
      </c>
      <c r="M427" s="70">
        <v>51.003999999999998</v>
      </c>
      <c r="N427" s="4">
        <v>51.003999999999998</v>
      </c>
      <c r="O427" s="70">
        <v>51.003999999999998</v>
      </c>
      <c r="P427" s="4">
        <v>0</v>
      </c>
      <c r="Q427" s="3" t="s">
        <v>26</v>
      </c>
      <c r="R427" s="3">
        <v>0</v>
      </c>
      <c r="S427" s="3">
        <v>0</v>
      </c>
      <c r="T427" s="3">
        <v>8</v>
      </c>
      <c r="U427" s="3">
        <v>72</v>
      </c>
      <c r="V427" s="70">
        <f>IF(ISERROR(VLOOKUP($S$427,'TAR FIN'!$A$1:$O$99,15,0)),0,VLOOKUP($S$427,'TAR FIN'!$A$1:$O$99,15,0))</f>
        <v>0</v>
      </c>
      <c r="W427" s="70">
        <f>IF(ISERROR(VLOOKUP($T$427,'TAR FIN'!$A$1:$O$99,15,0)),0,VLOOKUP($T$427,'TAR FIN'!$A$1:$O$99,15,0))*(1-0.04)</f>
        <v>1495.4304</v>
      </c>
      <c r="X427" s="70">
        <f>IF(ISERROR(VLOOKUP($U$427,'TAR FIN'!$A$1:$O$99,15,0)),0,VLOOKUP($U$427,'TAR FIN'!$A$1:$O$99,15,0))*(1-0.04)</f>
        <v>332.74560000000002</v>
      </c>
      <c r="Y427" s="70"/>
      <c r="Z427" s="70">
        <f ca="1">('TUSD BE'!$AM$22+'TUSD BF'!$AM$22+'TUSD CVA'!$AM$22)*1*(1-0.02)</f>
        <v>1763.14935965871</v>
      </c>
      <c r="AA427" s="70">
        <f>('TE BE'!$AA$7+'TE BF'!$AA$7+'TE CVA'!$AA$7)*1*(1-0.02)</f>
        <v>415.4185945530557</v>
      </c>
      <c r="AB427" s="70">
        <f>(SUBSIDIO!$J$427*SUBSIDIO!$V$427)*(0.04)/(1-0.04)</f>
        <v>0</v>
      </c>
      <c r="AC427" s="70">
        <f>((SUBSIDIO!$L$427*SUBSIDIO!$W$427)+(SUBSIDIO!$N$427*SUBSIDIO!$X$427))*(0.04)/(1-0.04)</f>
        <v>3885.1786959999999</v>
      </c>
      <c r="AD427" s="70">
        <f>(SUBSIDIO!$J$427*SUBSIDIO!$Y$427)*(0.02)/(1-0.02)</f>
        <v>0</v>
      </c>
      <c r="AE427" s="70">
        <f ca="1">((SUBSIDIO!$L$427*SUBSIDIO!$Z$427)+(SUBSIDIO!$N$427*SUBSIDIO!$AA$427))*(0.02)/(1-0.02)</f>
        <v>2267.6669374819771</v>
      </c>
      <c r="AF427" s="3" t="s">
        <v>951</v>
      </c>
    </row>
    <row r="428" spans="1:32" ht="11.25" customHeight="1" x14ac:dyDescent="0.25">
      <c r="A428" s="3" t="s">
        <v>28</v>
      </c>
      <c r="B428" s="3" t="s">
        <v>33</v>
      </c>
      <c r="C428" s="3" t="s">
        <v>34</v>
      </c>
      <c r="D428" s="3" t="s">
        <v>45</v>
      </c>
      <c r="E428" s="3" t="s">
        <v>25</v>
      </c>
      <c r="F428" s="3" t="s">
        <v>25</v>
      </c>
      <c r="G428" s="3" t="s">
        <v>25</v>
      </c>
      <c r="H428" s="3" t="s">
        <v>35</v>
      </c>
      <c r="I428" s="6">
        <v>44409</v>
      </c>
      <c r="J428" s="4">
        <v>0</v>
      </c>
      <c r="K428" s="70">
        <v>0</v>
      </c>
      <c r="L428" s="4">
        <v>1.103</v>
      </c>
      <c r="M428" s="70">
        <v>1.103</v>
      </c>
      <c r="N428" s="4">
        <v>1.103</v>
      </c>
      <c r="O428" s="70">
        <v>1.103</v>
      </c>
      <c r="P428" s="4">
        <v>0</v>
      </c>
      <c r="Q428" s="3" t="s">
        <v>26</v>
      </c>
      <c r="R428" s="3">
        <v>0</v>
      </c>
      <c r="S428" s="3">
        <v>0</v>
      </c>
      <c r="T428" s="3">
        <v>8</v>
      </c>
      <c r="U428" s="3">
        <v>72</v>
      </c>
      <c r="V428" s="70">
        <f>IF(ISERROR(VLOOKUP($S$428,'TAR FIN'!$A$1:$O$99,15,0)),0,VLOOKUP($S$428,'TAR FIN'!$A$1:$O$99,15,0))</f>
        <v>0</v>
      </c>
      <c r="W428" s="70">
        <f>IF(ISERROR(VLOOKUP($T$428,'TAR FIN'!$A$1:$O$99,15,0)),0,VLOOKUP($T$428,'TAR FIN'!$A$1:$O$99,15,0))*(1-0.04)</f>
        <v>1495.4304</v>
      </c>
      <c r="X428" s="70">
        <f>IF(ISERROR(VLOOKUP($U$428,'TAR FIN'!$A$1:$O$99,15,0)),0,VLOOKUP($U$428,'TAR FIN'!$A$1:$O$99,15,0))*(1-0.04)</f>
        <v>332.74560000000002</v>
      </c>
      <c r="Y428" s="70"/>
      <c r="Z428" s="70">
        <f ca="1">('TUSD BE'!$AM$22+'TUSD BF'!$AM$22+'TUSD CVA'!$AM$22)*1*(1-0.02)</f>
        <v>1763.14935965871</v>
      </c>
      <c r="AA428" s="70">
        <f>('TE BE'!$AA$7+'TE BF'!$AA$7+'TE CVA'!$AA$7)*1*(1-0.02)</f>
        <v>415.4185945530557</v>
      </c>
      <c r="AB428" s="70">
        <f>(SUBSIDIO!$J$428*SUBSIDIO!$V$428)*(0.04)/(1-0.04)</f>
        <v>0</v>
      </c>
      <c r="AC428" s="70">
        <f>((SUBSIDIO!$L$428*SUBSIDIO!$W$428)+(SUBSIDIO!$N$428*SUBSIDIO!$X$428))*(0.04)/(1-0.04)</f>
        <v>84.019921999999994</v>
      </c>
      <c r="AD428" s="70">
        <f>(SUBSIDIO!$J$428*SUBSIDIO!$Y$428)*(0.02)/(1-0.02)</f>
        <v>0</v>
      </c>
      <c r="AE428" s="70">
        <f ca="1">((SUBSIDIO!$L$428*SUBSIDIO!$Z$428)+(SUBSIDIO!$N$428*SUBSIDIO!$AA$428))*(0.02)/(1-0.02)</f>
        <v>49.040009255011789</v>
      </c>
      <c r="AF428" s="3" t="s">
        <v>951</v>
      </c>
    </row>
    <row r="429" spans="1:32" ht="11.25" customHeight="1" x14ac:dyDescent="0.25">
      <c r="A429" s="3" t="s">
        <v>21</v>
      </c>
      <c r="B429" s="3" t="s">
        <v>33</v>
      </c>
      <c r="C429" s="3" t="s">
        <v>34</v>
      </c>
      <c r="D429" s="3" t="s">
        <v>45</v>
      </c>
      <c r="E429" s="3" t="s">
        <v>25</v>
      </c>
      <c r="F429" s="3" t="s">
        <v>25</v>
      </c>
      <c r="G429" s="3" t="s">
        <v>25</v>
      </c>
      <c r="H429" s="3" t="s">
        <v>35</v>
      </c>
      <c r="I429" s="6">
        <v>44440</v>
      </c>
      <c r="J429" s="4">
        <v>0</v>
      </c>
      <c r="K429" s="70">
        <v>0</v>
      </c>
      <c r="L429" s="4">
        <v>47.575000000000003</v>
      </c>
      <c r="M429" s="70">
        <v>47.575000000000003</v>
      </c>
      <c r="N429" s="4">
        <v>47.575000000000003</v>
      </c>
      <c r="O429" s="70">
        <v>47.575000000000003</v>
      </c>
      <c r="P429" s="4">
        <v>0</v>
      </c>
      <c r="Q429" s="3" t="s">
        <v>26</v>
      </c>
      <c r="R429" s="3">
        <v>0</v>
      </c>
      <c r="S429" s="3">
        <v>0</v>
      </c>
      <c r="T429" s="3">
        <v>8</v>
      </c>
      <c r="U429" s="3">
        <v>72</v>
      </c>
      <c r="V429" s="70">
        <f>IF(ISERROR(VLOOKUP($S$429,'TAR FIN'!$A$1:$O$99,15,0)),0,VLOOKUP($S$429,'TAR FIN'!$A$1:$O$99,15,0))</f>
        <v>0</v>
      </c>
      <c r="W429" s="70">
        <f>IF(ISERROR(VLOOKUP($T$429,'TAR FIN'!$A$1:$O$99,15,0)),0,VLOOKUP($T$429,'TAR FIN'!$A$1:$O$99,15,0))*(1-0.04)</f>
        <v>1495.4304</v>
      </c>
      <c r="X429" s="70">
        <f>IF(ISERROR(VLOOKUP($U$429,'TAR FIN'!$A$1:$O$99,15,0)),0,VLOOKUP($U$429,'TAR FIN'!$A$1:$O$99,15,0))*(1-0.04)</f>
        <v>332.74560000000002</v>
      </c>
      <c r="Y429" s="70"/>
      <c r="Z429" s="70">
        <f ca="1">('TUSD BE'!$AM$22+'TUSD BF'!$AM$22+'TUSD CVA'!$AM$22)*1*(1-0.02)</f>
        <v>1763.14935965871</v>
      </c>
      <c r="AA429" s="70">
        <f>('TE BE'!$AA$7+'TE BF'!$AA$7+'TE CVA'!$AA$7)*1*(1-0.02)</f>
        <v>415.4185945530557</v>
      </c>
      <c r="AB429" s="70">
        <f>(SUBSIDIO!$J$429*SUBSIDIO!$V$429)*(0.04)/(1-0.04)</f>
        <v>0</v>
      </c>
      <c r="AC429" s="70">
        <f>((SUBSIDIO!$L$429*SUBSIDIO!$W$429)+(SUBSIDIO!$N$429*SUBSIDIO!$X$429))*(0.04)/(1-0.04)</f>
        <v>3623.9780500000006</v>
      </c>
      <c r="AD429" s="70">
        <f>(SUBSIDIO!$J$429*SUBSIDIO!$Y$429)*(0.02)/(1-0.02)</f>
        <v>0</v>
      </c>
      <c r="AE429" s="70">
        <f ca="1">((SUBSIDIO!$L$429*SUBSIDIO!$Z$429)+(SUBSIDIO!$N$429*SUBSIDIO!$AA$429))*(0.02)/(1-0.02)</f>
        <v>2115.2116412576484</v>
      </c>
      <c r="AF429" s="3" t="s">
        <v>951</v>
      </c>
    </row>
    <row r="430" spans="1:32" ht="11.25" customHeight="1" x14ac:dyDescent="0.25">
      <c r="A430" s="3" t="s">
        <v>28</v>
      </c>
      <c r="B430" s="3" t="s">
        <v>33</v>
      </c>
      <c r="C430" s="3" t="s">
        <v>34</v>
      </c>
      <c r="D430" s="3" t="s">
        <v>45</v>
      </c>
      <c r="E430" s="3" t="s">
        <v>25</v>
      </c>
      <c r="F430" s="3" t="s">
        <v>25</v>
      </c>
      <c r="G430" s="3" t="s">
        <v>25</v>
      </c>
      <c r="H430" s="3" t="s">
        <v>35</v>
      </c>
      <c r="I430" s="6">
        <v>44440</v>
      </c>
      <c r="J430" s="4">
        <v>0</v>
      </c>
      <c r="K430" s="70">
        <v>0</v>
      </c>
      <c r="L430" s="4">
        <v>5.2469999999999999</v>
      </c>
      <c r="M430" s="70">
        <v>5.2469999999999999</v>
      </c>
      <c r="N430" s="4">
        <v>5.2469999999999999</v>
      </c>
      <c r="O430" s="70">
        <v>5.2469999999999999</v>
      </c>
      <c r="P430" s="4">
        <v>0</v>
      </c>
      <c r="Q430" s="3" t="s">
        <v>26</v>
      </c>
      <c r="R430" s="3">
        <v>0</v>
      </c>
      <c r="S430" s="3">
        <v>0</v>
      </c>
      <c r="T430" s="3">
        <v>8</v>
      </c>
      <c r="U430" s="3">
        <v>72</v>
      </c>
      <c r="V430" s="70">
        <f>IF(ISERROR(VLOOKUP($S$430,'TAR FIN'!$A$1:$O$99,15,0)),0,VLOOKUP($S$430,'TAR FIN'!$A$1:$O$99,15,0))</f>
        <v>0</v>
      </c>
      <c r="W430" s="70">
        <f>IF(ISERROR(VLOOKUP($T$430,'TAR FIN'!$A$1:$O$99,15,0)),0,VLOOKUP($T$430,'TAR FIN'!$A$1:$O$99,15,0))*(1-0.04)</f>
        <v>1495.4304</v>
      </c>
      <c r="X430" s="70">
        <f>IF(ISERROR(VLOOKUP($U$430,'TAR FIN'!$A$1:$O$99,15,0)),0,VLOOKUP($U$430,'TAR FIN'!$A$1:$O$99,15,0))*(1-0.04)</f>
        <v>332.74560000000002</v>
      </c>
      <c r="Y430" s="70"/>
      <c r="Z430" s="70">
        <f ca="1">('TUSD BE'!$AM$22+'TUSD BF'!$AM$22+'TUSD CVA'!$AM$22)*1*(1-0.02)</f>
        <v>1763.14935965871</v>
      </c>
      <c r="AA430" s="70">
        <f>('TE BE'!$AA$7+'TE BF'!$AA$7+'TE CVA'!$AA$7)*1*(1-0.02)</f>
        <v>415.4185945530557</v>
      </c>
      <c r="AB430" s="70">
        <f>(SUBSIDIO!$J$430*SUBSIDIO!$V$430)*(0.04)/(1-0.04)</f>
        <v>0</v>
      </c>
      <c r="AC430" s="70">
        <f>((SUBSIDIO!$L$430*SUBSIDIO!$W$430)+(SUBSIDIO!$N$430*SUBSIDIO!$X$430))*(0.04)/(1-0.04)</f>
        <v>399.68497800000006</v>
      </c>
      <c r="AD430" s="70">
        <f>(SUBSIDIO!$J$430*SUBSIDIO!$Y$430)*(0.02)/(1-0.02)</f>
        <v>0</v>
      </c>
      <c r="AE430" s="70">
        <f ca="1">((SUBSIDIO!$L$430*SUBSIDIO!$Z$430)+(SUBSIDIO!$N$430*SUBSIDIO!$AA$430))*(0.02)/(1-0.02)</f>
        <v>233.2846133826354</v>
      </c>
      <c r="AF430" s="3" t="s">
        <v>951</v>
      </c>
    </row>
    <row r="431" spans="1:32" ht="11.25" customHeight="1" x14ac:dyDescent="0.25">
      <c r="A431" s="3" t="s">
        <v>21</v>
      </c>
      <c r="B431" s="3" t="s">
        <v>33</v>
      </c>
      <c r="C431" s="3" t="s">
        <v>34</v>
      </c>
      <c r="D431" s="3" t="s">
        <v>45</v>
      </c>
      <c r="E431" s="3" t="s">
        <v>25</v>
      </c>
      <c r="F431" s="3" t="s">
        <v>25</v>
      </c>
      <c r="G431" s="3" t="s">
        <v>25</v>
      </c>
      <c r="H431" s="3" t="s">
        <v>35</v>
      </c>
      <c r="I431" s="6">
        <v>44470</v>
      </c>
      <c r="J431" s="4">
        <v>0</v>
      </c>
      <c r="K431" s="70">
        <v>0</v>
      </c>
      <c r="L431" s="4">
        <v>50.600999999999999</v>
      </c>
      <c r="M431" s="70">
        <v>50.600999999999999</v>
      </c>
      <c r="N431" s="4">
        <v>50.600999999999999</v>
      </c>
      <c r="O431" s="70">
        <v>50.600999999999999</v>
      </c>
      <c r="P431" s="4">
        <v>0</v>
      </c>
      <c r="Q431" s="3" t="s">
        <v>26</v>
      </c>
      <c r="R431" s="3">
        <v>0</v>
      </c>
      <c r="S431" s="3">
        <v>0</v>
      </c>
      <c r="T431" s="3">
        <v>8</v>
      </c>
      <c r="U431" s="3">
        <v>72</v>
      </c>
      <c r="V431" s="70">
        <f>IF(ISERROR(VLOOKUP($S$431,'TAR FIN'!$A$1:$O$99,15,0)),0,VLOOKUP($S$431,'TAR FIN'!$A$1:$O$99,15,0))</f>
        <v>0</v>
      </c>
      <c r="W431" s="70">
        <f>IF(ISERROR(VLOOKUP($T$431,'TAR FIN'!$A$1:$O$99,15,0)),0,VLOOKUP($T$431,'TAR FIN'!$A$1:$O$99,15,0))*(1-0.04)</f>
        <v>1495.4304</v>
      </c>
      <c r="X431" s="70">
        <f>IF(ISERROR(VLOOKUP($U$431,'TAR FIN'!$A$1:$O$99,15,0)),0,VLOOKUP($U$431,'TAR FIN'!$A$1:$O$99,15,0))*(1-0.04)</f>
        <v>332.74560000000002</v>
      </c>
      <c r="Y431" s="70"/>
      <c r="Z431" s="70">
        <f ca="1">('TUSD BE'!$AM$22+'TUSD BF'!$AM$22+'TUSD CVA'!$AM$22)*1*(1-0.02)</f>
        <v>1763.14935965871</v>
      </c>
      <c r="AA431" s="70">
        <f>('TE BE'!$AA$7+'TE BF'!$AA$7+'TE CVA'!$AA$7)*1*(1-0.02)</f>
        <v>415.4185945530557</v>
      </c>
      <c r="AB431" s="70">
        <f>(SUBSIDIO!$J$431*SUBSIDIO!$V$431)*(0.04)/(1-0.04)</f>
        <v>0</v>
      </c>
      <c r="AC431" s="70">
        <f>((SUBSIDIO!$L$431*SUBSIDIO!$W$431)+(SUBSIDIO!$N$431*SUBSIDIO!$X$431))*(0.04)/(1-0.04)</f>
        <v>3854.4805740000002</v>
      </c>
      <c r="AD431" s="70">
        <f>(SUBSIDIO!$J$431*SUBSIDIO!$Y$431)*(0.02)/(1-0.02)</f>
        <v>0</v>
      </c>
      <c r="AE431" s="70">
        <f ca="1">((SUBSIDIO!$L$431*SUBSIDIO!$Z$431)+(SUBSIDIO!$N$431*SUBSIDIO!$AA$431))*(0.02)/(1-0.02)</f>
        <v>2249.749327572848</v>
      </c>
      <c r="AF431" s="3" t="s">
        <v>951</v>
      </c>
    </row>
    <row r="432" spans="1:32" ht="11.25" customHeight="1" x14ac:dyDescent="0.25">
      <c r="A432" s="3" t="s">
        <v>28</v>
      </c>
      <c r="B432" s="3" t="s">
        <v>33</v>
      </c>
      <c r="C432" s="3" t="s">
        <v>34</v>
      </c>
      <c r="D432" s="3" t="s">
        <v>45</v>
      </c>
      <c r="E432" s="3" t="s">
        <v>25</v>
      </c>
      <c r="F432" s="3" t="s">
        <v>25</v>
      </c>
      <c r="G432" s="3" t="s">
        <v>25</v>
      </c>
      <c r="H432" s="3" t="s">
        <v>35</v>
      </c>
      <c r="I432" s="6">
        <v>44470</v>
      </c>
      <c r="J432" s="4">
        <v>0</v>
      </c>
      <c r="K432" s="70">
        <v>0</v>
      </c>
      <c r="L432" s="4">
        <v>12.153</v>
      </c>
      <c r="M432" s="70">
        <v>12.153</v>
      </c>
      <c r="N432" s="4">
        <v>12.153</v>
      </c>
      <c r="O432" s="70">
        <v>12.153</v>
      </c>
      <c r="P432" s="4">
        <v>0</v>
      </c>
      <c r="Q432" s="3" t="s">
        <v>26</v>
      </c>
      <c r="R432" s="3">
        <v>0</v>
      </c>
      <c r="S432" s="3">
        <v>0</v>
      </c>
      <c r="T432" s="3">
        <v>8</v>
      </c>
      <c r="U432" s="3">
        <v>72</v>
      </c>
      <c r="V432" s="70">
        <f>IF(ISERROR(VLOOKUP($S$432,'TAR FIN'!$A$1:$O$99,15,0)),0,VLOOKUP($S$432,'TAR FIN'!$A$1:$O$99,15,0))</f>
        <v>0</v>
      </c>
      <c r="W432" s="70">
        <f>IF(ISERROR(VLOOKUP($T$432,'TAR FIN'!$A$1:$O$99,15,0)),0,VLOOKUP($T$432,'TAR FIN'!$A$1:$O$99,15,0))*(1-0.04)</f>
        <v>1495.4304</v>
      </c>
      <c r="X432" s="70">
        <f>IF(ISERROR(VLOOKUP($U$432,'TAR FIN'!$A$1:$O$99,15,0)),0,VLOOKUP($U$432,'TAR FIN'!$A$1:$O$99,15,0))*(1-0.04)</f>
        <v>332.74560000000002</v>
      </c>
      <c r="Y432" s="70"/>
      <c r="Z432" s="70">
        <f ca="1">('TUSD BE'!$AM$22+'TUSD BF'!$AM$22+'TUSD CVA'!$AM$22)*1*(1-0.02)</f>
        <v>1763.14935965871</v>
      </c>
      <c r="AA432" s="70">
        <f>('TE BE'!$AA$7+'TE BF'!$AA$7+'TE CVA'!$AA$7)*1*(1-0.02)</f>
        <v>415.4185945530557</v>
      </c>
      <c r="AB432" s="70">
        <f>(SUBSIDIO!$J$432*SUBSIDIO!$V$432)*(0.04)/(1-0.04)</f>
        <v>0</v>
      </c>
      <c r="AC432" s="70">
        <f>((SUBSIDIO!$L$432*SUBSIDIO!$W$432)+(SUBSIDIO!$N$432*SUBSIDIO!$X$432))*(0.04)/(1-0.04)</f>
        <v>925.7426220000001</v>
      </c>
      <c r="AD432" s="70">
        <f>(SUBSIDIO!$J$432*SUBSIDIO!$Y$432)*(0.02)/(1-0.02)</f>
        <v>0</v>
      </c>
      <c r="AE432" s="70">
        <f ca="1">((SUBSIDIO!$L$432*SUBSIDIO!$Z$432)+(SUBSIDIO!$N$432*SUBSIDIO!$AA$432))*(0.02)/(1-0.02)</f>
        <v>540.32931321501201</v>
      </c>
      <c r="AF432" s="3" t="s">
        <v>951</v>
      </c>
    </row>
    <row r="433" spans="1:32" ht="11.25" customHeight="1" x14ac:dyDescent="0.25">
      <c r="A433" s="3" t="s">
        <v>21</v>
      </c>
      <c r="B433" s="3" t="s">
        <v>33</v>
      </c>
      <c r="C433" s="3" t="s">
        <v>34</v>
      </c>
      <c r="D433" s="3" t="s">
        <v>45</v>
      </c>
      <c r="E433" s="3" t="s">
        <v>25</v>
      </c>
      <c r="F433" s="3" t="s">
        <v>25</v>
      </c>
      <c r="G433" s="3" t="s">
        <v>25</v>
      </c>
      <c r="H433" s="3" t="s">
        <v>35</v>
      </c>
      <c r="I433" s="6">
        <v>44501</v>
      </c>
      <c r="J433" s="4">
        <v>0</v>
      </c>
      <c r="K433" s="70">
        <v>0</v>
      </c>
      <c r="L433" s="4">
        <v>53.113999999999997</v>
      </c>
      <c r="M433" s="70">
        <v>53.113999999999997</v>
      </c>
      <c r="N433" s="4">
        <v>53.113999999999997</v>
      </c>
      <c r="O433" s="70">
        <v>53.113999999999997</v>
      </c>
      <c r="P433" s="4">
        <v>0</v>
      </c>
      <c r="Q433" s="3" t="s">
        <v>26</v>
      </c>
      <c r="R433" s="3">
        <v>0</v>
      </c>
      <c r="S433" s="3">
        <v>0</v>
      </c>
      <c r="T433" s="3">
        <v>8</v>
      </c>
      <c r="U433" s="3">
        <v>72</v>
      </c>
      <c r="V433" s="70">
        <f>IF(ISERROR(VLOOKUP($S$433,'TAR FIN'!$A$1:$O$99,15,0)),0,VLOOKUP($S$433,'TAR FIN'!$A$1:$O$99,15,0))</f>
        <v>0</v>
      </c>
      <c r="W433" s="70">
        <f>IF(ISERROR(VLOOKUP($T$433,'TAR FIN'!$A$1:$O$99,15,0)),0,VLOOKUP($T$433,'TAR FIN'!$A$1:$O$99,15,0))*(1-0.04)</f>
        <v>1495.4304</v>
      </c>
      <c r="X433" s="70">
        <f>IF(ISERROR(VLOOKUP($U$433,'TAR FIN'!$A$1:$O$99,15,0)),0,VLOOKUP($U$433,'TAR FIN'!$A$1:$O$99,15,0))*(1-0.04)</f>
        <v>332.74560000000002</v>
      </c>
      <c r="Y433" s="70"/>
      <c r="Z433" s="70">
        <f ca="1">('TUSD BE'!$AM$22+'TUSD BF'!$AM$22+'TUSD CVA'!$AM$22)*1*(1-0.02)</f>
        <v>1763.14935965871</v>
      </c>
      <c r="AA433" s="70">
        <f>('TE BE'!$AA$7+'TE BF'!$AA$7+'TE CVA'!$AA$7)*1*(1-0.02)</f>
        <v>415.4185945530557</v>
      </c>
      <c r="AB433" s="70">
        <f>(SUBSIDIO!$J$433*SUBSIDIO!$V$433)*(0.04)/(1-0.04)</f>
        <v>0</v>
      </c>
      <c r="AC433" s="70">
        <f>((SUBSIDIO!$L$433*SUBSIDIO!$W$433)+(SUBSIDIO!$N$433*SUBSIDIO!$X$433))*(0.04)/(1-0.04)</f>
        <v>4045.9058360000004</v>
      </c>
      <c r="AD433" s="70">
        <f>(SUBSIDIO!$J$433*SUBSIDIO!$Y$433)*(0.02)/(1-0.02)</f>
        <v>0</v>
      </c>
      <c r="AE433" s="70">
        <f ca="1">((SUBSIDIO!$L$433*SUBSIDIO!$Z$433)+(SUBSIDIO!$N$433*SUBSIDIO!$AA$433))*(0.02)/(1-0.02)</f>
        <v>2361.478741224566</v>
      </c>
      <c r="AF433" s="3" t="s">
        <v>951</v>
      </c>
    </row>
    <row r="434" spans="1:32" ht="11.25" customHeight="1" x14ac:dyDescent="0.25">
      <c r="A434" s="3" t="s">
        <v>28</v>
      </c>
      <c r="B434" s="3" t="s">
        <v>33</v>
      </c>
      <c r="C434" s="3" t="s">
        <v>34</v>
      </c>
      <c r="D434" s="3" t="s">
        <v>45</v>
      </c>
      <c r="E434" s="3" t="s">
        <v>25</v>
      </c>
      <c r="F434" s="3" t="s">
        <v>25</v>
      </c>
      <c r="G434" s="3" t="s">
        <v>25</v>
      </c>
      <c r="H434" s="3" t="s">
        <v>35</v>
      </c>
      <c r="I434" s="6">
        <v>44501</v>
      </c>
      <c r="J434" s="4">
        <v>0</v>
      </c>
      <c r="K434" s="70">
        <v>0</v>
      </c>
      <c r="L434" s="4">
        <v>28.7</v>
      </c>
      <c r="M434" s="70">
        <v>28.7</v>
      </c>
      <c r="N434" s="4">
        <v>28.7</v>
      </c>
      <c r="O434" s="70">
        <v>28.7</v>
      </c>
      <c r="P434" s="4">
        <v>0</v>
      </c>
      <c r="Q434" s="3" t="s">
        <v>26</v>
      </c>
      <c r="R434" s="3">
        <v>0</v>
      </c>
      <c r="S434" s="3">
        <v>0</v>
      </c>
      <c r="T434" s="3">
        <v>8</v>
      </c>
      <c r="U434" s="3">
        <v>72</v>
      </c>
      <c r="V434" s="70">
        <f>IF(ISERROR(VLOOKUP($S$434,'TAR FIN'!$A$1:$O$99,15,0)),0,VLOOKUP($S$434,'TAR FIN'!$A$1:$O$99,15,0))</f>
        <v>0</v>
      </c>
      <c r="W434" s="70">
        <f>IF(ISERROR(VLOOKUP($T$434,'TAR FIN'!$A$1:$O$99,15,0)),0,VLOOKUP($T$434,'TAR FIN'!$A$1:$O$99,15,0))*(1-0.04)</f>
        <v>1495.4304</v>
      </c>
      <c r="X434" s="70">
        <f>IF(ISERROR(VLOOKUP($U$434,'TAR FIN'!$A$1:$O$99,15,0)),0,VLOOKUP($U$434,'TAR FIN'!$A$1:$O$99,15,0))*(1-0.04)</f>
        <v>332.74560000000002</v>
      </c>
      <c r="Y434" s="70"/>
      <c r="Z434" s="70">
        <f ca="1">('TUSD BE'!$AM$22+'TUSD BF'!$AM$22+'TUSD CVA'!$AM$22)*1*(1-0.02)</f>
        <v>1763.14935965871</v>
      </c>
      <c r="AA434" s="70">
        <f>('TE BE'!$AA$7+'TE BF'!$AA$7+'TE CVA'!$AA$7)*1*(1-0.02)</f>
        <v>415.4185945530557</v>
      </c>
      <c r="AB434" s="70">
        <f>(SUBSIDIO!$J$434*SUBSIDIO!$V$434)*(0.04)/(1-0.04)</f>
        <v>0</v>
      </c>
      <c r="AC434" s="70">
        <f>((SUBSIDIO!$L$434*SUBSIDIO!$W$434)+(SUBSIDIO!$N$434*SUBSIDIO!$X$434))*(0.04)/(1-0.04)</f>
        <v>2186.1938</v>
      </c>
      <c r="AD434" s="70">
        <f>(SUBSIDIO!$J$434*SUBSIDIO!$Y$434)*(0.02)/(1-0.02)</f>
        <v>0</v>
      </c>
      <c r="AE434" s="70">
        <f ca="1">((SUBSIDIO!$L$434*SUBSIDIO!$Z$434)+(SUBSIDIO!$N$434*SUBSIDIO!$AA$434))*(0.02)/(1-0.02)</f>
        <v>1276.0183731811771</v>
      </c>
      <c r="AF434" s="3" t="s">
        <v>951</v>
      </c>
    </row>
    <row r="435" spans="1:32" ht="11.25" customHeight="1" x14ac:dyDescent="0.25">
      <c r="A435" s="3" t="s">
        <v>21</v>
      </c>
      <c r="B435" s="3" t="s">
        <v>33</v>
      </c>
      <c r="C435" s="3" t="s">
        <v>34</v>
      </c>
      <c r="D435" s="3" t="s">
        <v>45</v>
      </c>
      <c r="E435" s="3" t="s">
        <v>25</v>
      </c>
      <c r="F435" s="3" t="s">
        <v>25</v>
      </c>
      <c r="G435" s="3" t="s">
        <v>25</v>
      </c>
      <c r="H435" s="3" t="s">
        <v>35</v>
      </c>
      <c r="I435" s="6">
        <v>44531</v>
      </c>
      <c r="J435" s="4">
        <v>0</v>
      </c>
      <c r="K435" s="70">
        <v>0</v>
      </c>
      <c r="L435" s="4">
        <v>57.963000000000001</v>
      </c>
      <c r="M435" s="70">
        <v>57.963000000000001</v>
      </c>
      <c r="N435" s="4">
        <v>57.963000000000001</v>
      </c>
      <c r="O435" s="70">
        <v>57.963000000000001</v>
      </c>
      <c r="P435" s="4">
        <v>0</v>
      </c>
      <c r="Q435" s="3" t="s">
        <v>26</v>
      </c>
      <c r="R435" s="3">
        <v>0</v>
      </c>
      <c r="S435" s="3">
        <v>0</v>
      </c>
      <c r="T435" s="3">
        <v>8</v>
      </c>
      <c r="U435" s="3">
        <v>72</v>
      </c>
      <c r="V435" s="70">
        <f>IF(ISERROR(VLOOKUP($S$435,'TAR FIN'!$A$1:$O$99,15,0)),0,VLOOKUP($S$435,'TAR FIN'!$A$1:$O$99,15,0))</f>
        <v>0</v>
      </c>
      <c r="W435" s="70">
        <f>IF(ISERROR(VLOOKUP($T$435,'TAR FIN'!$A$1:$O$99,15,0)),0,VLOOKUP($T$435,'TAR FIN'!$A$1:$O$99,15,0))*(1-0.04)</f>
        <v>1495.4304</v>
      </c>
      <c r="X435" s="70">
        <f>IF(ISERROR(VLOOKUP($U$435,'TAR FIN'!$A$1:$O$99,15,0)),0,VLOOKUP($U$435,'TAR FIN'!$A$1:$O$99,15,0))*(1-0.04)</f>
        <v>332.74560000000002</v>
      </c>
      <c r="Y435" s="70"/>
      <c r="Z435" s="70">
        <f ca="1">('TUSD BE'!$AM$22+'TUSD BF'!$AM$22+'TUSD CVA'!$AM$22)*1*(1-0.02)</f>
        <v>1763.14935965871</v>
      </c>
      <c r="AA435" s="70">
        <f>('TE BE'!$AA$7+'TE BF'!$AA$7+'TE CVA'!$AA$7)*1*(1-0.02)</f>
        <v>415.4185945530557</v>
      </c>
      <c r="AB435" s="70">
        <f>(SUBSIDIO!$J$435*SUBSIDIO!$V$435)*(0.04)/(1-0.04)</f>
        <v>0</v>
      </c>
      <c r="AC435" s="70">
        <f>((SUBSIDIO!$L$435*SUBSIDIO!$W$435)+(SUBSIDIO!$N$435*SUBSIDIO!$X$435))*(0.04)/(1-0.04)</f>
        <v>4415.2735619999994</v>
      </c>
      <c r="AD435" s="70">
        <f>(SUBSIDIO!$J$435*SUBSIDIO!$Y$435)*(0.02)/(1-0.02)</f>
        <v>0</v>
      </c>
      <c r="AE435" s="70">
        <f ca="1">((SUBSIDIO!$L$435*SUBSIDIO!$Z$435)+(SUBSIDIO!$N$435*SUBSIDIO!$AA$435))*(0.02)/(1-0.02)</f>
        <v>2577.0680475505424</v>
      </c>
      <c r="AF435" s="3" t="s">
        <v>951</v>
      </c>
    </row>
    <row r="436" spans="1:32" ht="11.25" customHeight="1" x14ac:dyDescent="0.25">
      <c r="A436" s="3" t="s">
        <v>28</v>
      </c>
      <c r="B436" s="3" t="s">
        <v>33</v>
      </c>
      <c r="C436" s="3" t="s">
        <v>34</v>
      </c>
      <c r="D436" s="3" t="s">
        <v>45</v>
      </c>
      <c r="E436" s="3" t="s">
        <v>25</v>
      </c>
      <c r="F436" s="3" t="s">
        <v>25</v>
      </c>
      <c r="G436" s="3" t="s">
        <v>25</v>
      </c>
      <c r="H436" s="3" t="s">
        <v>35</v>
      </c>
      <c r="I436" s="6">
        <v>44531</v>
      </c>
      <c r="J436" s="4">
        <v>0</v>
      </c>
      <c r="K436" s="70">
        <v>0</v>
      </c>
      <c r="L436" s="4">
        <v>32.121000000000002</v>
      </c>
      <c r="M436" s="70">
        <v>32.121000000000002</v>
      </c>
      <c r="N436" s="4">
        <v>32.121000000000002</v>
      </c>
      <c r="O436" s="70">
        <v>32.121000000000002</v>
      </c>
      <c r="P436" s="4">
        <v>0</v>
      </c>
      <c r="Q436" s="3" t="s">
        <v>26</v>
      </c>
      <c r="R436" s="3">
        <v>0</v>
      </c>
      <c r="S436" s="3">
        <v>0</v>
      </c>
      <c r="T436" s="3">
        <v>8</v>
      </c>
      <c r="U436" s="3">
        <v>72</v>
      </c>
      <c r="V436" s="70">
        <f>IF(ISERROR(VLOOKUP($S$436,'TAR FIN'!$A$1:$O$99,15,0)),0,VLOOKUP($S$436,'TAR FIN'!$A$1:$O$99,15,0))</f>
        <v>0</v>
      </c>
      <c r="W436" s="70">
        <f>IF(ISERROR(VLOOKUP($T$436,'TAR FIN'!$A$1:$O$99,15,0)),0,VLOOKUP($T$436,'TAR FIN'!$A$1:$O$99,15,0))*(1-0.04)</f>
        <v>1495.4304</v>
      </c>
      <c r="X436" s="70">
        <f>IF(ISERROR(VLOOKUP($U$436,'TAR FIN'!$A$1:$O$99,15,0)),0,VLOOKUP($U$436,'TAR FIN'!$A$1:$O$99,15,0))*(1-0.04)</f>
        <v>332.74560000000002</v>
      </c>
      <c r="Y436" s="70"/>
      <c r="Z436" s="70">
        <f ca="1">('TUSD BE'!$AM$22+'TUSD BF'!$AM$22+'TUSD CVA'!$AM$22)*1*(1-0.02)</f>
        <v>1763.14935965871</v>
      </c>
      <c r="AA436" s="70">
        <f>('TE BE'!$AA$7+'TE BF'!$AA$7+'TE CVA'!$AA$7)*1*(1-0.02)</f>
        <v>415.4185945530557</v>
      </c>
      <c r="AB436" s="70">
        <f>(SUBSIDIO!$J$436*SUBSIDIO!$V$436)*(0.04)/(1-0.04)</f>
        <v>0</v>
      </c>
      <c r="AC436" s="70">
        <f>((SUBSIDIO!$L$436*SUBSIDIO!$W$436)+(SUBSIDIO!$N$436*SUBSIDIO!$X$436))*(0.04)/(1-0.04)</f>
        <v>2446.7850539999999</v>
      </c>
      <c r="AD436" s="70">
        <f>(SUBSIDIO!$J$436*SUBSIDIO!$Y$436)*(0.02)/(1-0.02)</f>
        <v>0</v>
      </c>
      <c r="AE436" s="70">
        <f ca="1">((SUBSIDIO!$L$436*SUBSIDIO!$Z$436)+(SUBSIDIO!$N$436*SUBSIDIO!$AA$436))*(0.02)/(1-0.02)</f>
        <v>1428.1179848415538</v>
      </c>
      <c r="AF436" s="3" t="s">
        <v>951</v>
      </c>
    </row>
    <row r="437" spans="1:32" ht="11.25" customHeight="1" x14ac:dyDescent="0.25">
      <c r="A437" s="3" t="s">
        <v>21</v>
      </c>
      <c r="B437" s="3" t="s">
        <v>33</v>
      </c>
      <c r="C437" s="3" t="s">
        <v>34</v>
      </c>
      <c r="D437" s="3" t="s">
        <v>45</v>
      </c>
      <c r="E437" s="3" t="s">
        <v>25</v>
      </c>
      <c r="F437" s="3" t="s">
        <v>25</v>
      </c>
      <c r="G437" s="3" t="s">
        <v>25</v>
      </c>
      <c r="H437" s="3" t="s">
        <v>35</v>
      </c>
      <c r="I437" s="6">
        <v>44562</v>
      </c>
      <c r="J437" s="4">
        <v>0</v>
      </c>
      <c r="K437" s="70">
        <v>0</v>
      </c>
      <c r="L437" s="4">
        <v>50.191000000000003</v>
      </c>
      <c r="M437" s="70">
        <v>50.191000000000003</v>
      </c>
      <c r="N437" s="4">
        <v>50.191000000000003</v>
      </c>
      <c r="O437" s="70">
        <v>50.191000000000003</v>
      </c>
      <c r="P437" s="4">
        <v>0</v>
      </c>
      <c r="Q437" s="3" t="s">
        <v>26</v>
      </c>
      <c r="R437" s="3">
        <v>0</v>
      </c>
      <c r="S437" s="3">
        <v>0</v>
      </c>
      <c r="T437" s="3">
        <v>8</v>
      </c>
      <c r="U437" s="3">
        <v>72</v>
      </c>
      <c r="V437" s="70">
        <f>IF(ISERROR(VLOOKUP($S$437,'TAR FIN'!$A$1:$O$99,15,0)),0,VLOOKUP($S$437,'TAR FIN'!$A$1:$O$99,15,0))</f>
        <v>0</v>
      </c>
      <c r="W437" s="70">
        <f>IF(ISERROR(VLOOKUP($T$437,'TAR FIN'!$A$1:$O$99,15,0)),0,VLOOKUP($T$437,'TAR FIN'!$A$1:$O$99,15,0))*(1-0.04)</f>
        <v>1495.4304</v>
      </c>
      <c r="X437" s="70">
        <f>IF(ISERROR(VLOOKUP($U$437,'TAR FIN'!$A$1:$O$99,15,0)),0,VLOOKUP($U$437,'TAR FIN'!$A$1:$O$99,15,0))*(1-0.04)</f>
        <v>332.74560000000002</v>
      </c>
      <c r="Y437" s="70"/>
      <c r="Z437" s="70">
        <f ca="1">('TUSD BE'!$AM$22+'TUSD BF'!$AM$22+'TUSD CVA'!$AM$22)*1*(1-0.02)</f>
        <v>1763.14935965871</v>
      </c>
      <c r="AA437" s="70">
        <f>('TE BE'!$AA$7+'TE BF'!$AA$7+'TE CVA'!$AA$7)*1*(1-0.02)</f>
        <v>415.4185945530557</v>
      </c>
      <c r="AB437" s="70">
        <f>(SUBSIDIO!$J$437*SUBSIDIO!$V$437)*(0.04)/(1-0.04)</f>
        <v>0</v>
      </c>
      <c r="AC437" s="70">
        <f>((SUBSIDIO!$L$437*SUBSIDIO!$W$437)+(SUBSIDIO!$N$437*SUBSIDIO!$X$437))*(0.04)/(1-0.04)</f>
        <v>3823.2492340000003</v>
      </c>
      <c r="AD437" s="70">
        <f>(SUBSIDIO!$J$437*SUBSIDIO!$Y$437)*(0.02)/(1-0.02)</f>
        <v>0</v>
      </c>
      <c r="AE437" s="70">
        <f ca="1">((SUBSIDIO!$L$437*SUBSIDIO!$Z$437)+(SUBSIDIO!$N$437*SUBSIDIO!$AA$437))*(0.02)/(1-0.02)</f>
        <v>2231.5204936702603</v>
      </c>
      <c r="AF437" s="3" t="s">
        <v>951</v>
      </c>
    </row>
    <row r="438" spans="1:32" ht="11.25" customHeight="1" x14ac:dyDescent="0.25">
      <c r="A438" s="3" t="s">
        <v>28</v>
      </c>
      <c r="B438" s="3" t="s">
        <v>33</v>
      </c>
      <c r="C438" s="3" t="s">
        <v>34</v>
      </c>
      <c r="D438" s="3" t="s">
        <v>45</v>
      </c>
      <c r="E438" s="3" t="s">
        <v>25</v>
      </c>
      <c r="F438" s="3" t="s">
        <v>25</v>
      </c>
      <c r="G438" s="3" t="s">
        <v>25</v>
      </c>
      <c r="H438" s="3" t="s">
        <v>35</v>
      </c>
      <c r="I438" s="6">
        <v>44562</v>
      </c>
      <c r="J438" s="4">
        <v>0</v>
      </c>
      <c r="K438" s="70">
        <v>0</v>
      </c>
      <c r="L438" s="4">
        <v>17.806999999999999</v>
      </c>
      <c r="M438" s="70">
        <v>17.806999999999999</v>
      </c>
      <c r="N438" s="4">
        <v>17.806999999999999</v>
      </c>
      <c r="O438" s="70">
        <v>17.806999999999999</v>
      </c>
      <c r="P438" s="4">
        <v>0</v>
      </c>
      <c r="Q438" s="3" t="s">
        <v>26</v>
      </c>
      <c r="R438" s="3">
        <v>0</v>
      </c>
      <c r="S438" s="3">
        <v>0</v>
      </c>
      <c r="T438" s="3">
        <v>8</v>
      </c>
      <c r="U438" s="3">
        <v>72</v>
      </c>
      <c r="V438" s="70">
        <f>IF(ISERROR(VLOOKUP($S$438,'TAR FIN'!$A$1:$O$99,15,0)),0,VLOOKUP($S$438,'TAR FIN'!$A$1:$O$99,15,0))</f>
        <v>0</v>
      </c>
      <c r="W438" s="70">
        <f>IF(ISERROR(VLOOKUP($T$438,'TAR FIN'!$A$1:$O$99,15,0)),0,VLOOKUP($T$438,'TAR FIN'!$A$1:$O$99,15,0))*(1-0.04)</f>
        <v>1495.4304</v>
      </c>
      <c r="X438" s="70">
        <f>IF(ISERROR(VLOOKUP($U$438,'TAR FIN'!$A$1:$O$99,15,0)),0,VLOOKUP($U$438,'TAR FIN'!$A$1:$O$99,15,0))*(1-0.04)</f>
        <v>332.74560000000002</v>
      </c>
      <c r="Y438" s="70"/>
      <c r="Z438" s="70">
        <f ca="1">('TUSD BE'!$AM$22+'TUSD BF'!$AM$22+'TUSD CVA'!$AM$22)*1*(1-0.02)</f>
        <v>1763.14935965871</v>
      </c>
      <c r="AA438" s="70">
        <f>('TE BE'!$AA$7+'TE BF'!$AA$7+'TE CVA'!$AA$7)*1*(1-0.02)</f>
        <v>415.4185945530557</v>
      </c>
      <c r="AB438" s="70">
        <f>(SUBSIDIO!$J$438*SUBSIDIO!$V$438)*(0.04)/(1-0.04)</f>
        <v>0</v>
      </c>
      <c r="AC438" s="70">
        <f>((SUBSIDIO!$L$438*SUBSIDIO!$W$438)+(SUBSIDIO!$N$438*SUBSIDIO!$X$438))*(0.04)/(1-0.04)</f>
        <v>1356.4304180000001</v>
      </c>
      <c r="AD438" s="70">
        <f>(SUBSIDIO!$J$438*SUBSIDIO!$Y$438)*(0.02)/(1-0.02)</f>
        <v>0</v>
      </c>
      <c r="AE438" s="70">
        <f ca="1">((SUBSIDIO!$L$438*SUBSIDIO!$Z$438)+(SUBSIDIO!$N$438*SUBSIDIO!$AA$438))*(0.02)/(1-0.02)</f>
        <v>791.70937878875327</v>
      </c>
      <c r="AF438" s="3" t="s">
        <v>951</v>
      </c>
    </row>
    <row r="439" spans="1:32" ht="11.25" customHeight="1" x14ac:dyDescent="0.25">
      <c r="A439" s="3" t="s">
        <v>21</v>
      </c>
      <c r="B439" s="3" t="s">
        <v>33</v>
      </c>
      <c r="C439" s="3" t="s">
        <v>34</v>
      </c>
      <c r="D439" s="3" t="s">
        <v>45</v>
      </c>
      <c r="E439" s="3" t="s">
        <v>25</v>
      </c>
      <c r="F439" s="3" t="s">
        <v>25</v>
      </c>
      <c r="G439" s="3" t="s">
        <v>25</v>
      </c>
      <c r="H439" s="3" t="s">
        <v>35</v>
      </c>
      <c r="I439" s="6">
        <v>44593</v>
      </c>
      <c r="J439" s="4">
        <v>0</v>
      </c>
      <c r="K439" s="70">
        <v>0</v>
      </c>
      <c r="L439" s="4">
        <v>47.332000000000001</v>
      </c>
      <c r="M439" s="70">
        <v>47.332000000000001</v>
      </c>
      <c r="N439" s="4">
        <v>47.332000000000001</v>
      </c>
      <c r="O439" s="70">
        <v>47.332000000000001</v>
      </c>
      <c r="P439" s="4">
        <v>0</v>
      </c>
      <c r="Q439" s="3" t="s">
        <v>26</v>
      </c>
      <c r="R439" s="3">
        <v>0</v>
      </c>
      <c r="S439" s="3">
        <v>0</v>
      </c>
      <c r="T439" s="3">
        <v>8</v>
      </c>
      <c r="U439" s="3">
        <v>72</v>
      </c>
      <c r="V439" s="70">
        <f>IF(ISERROR(VLOOKUP($S$439,'TAR FIN'!$A$1:$O$99,15,0)),0,VLOOKUP($S$439,'TAR FIN'!$A$1:$O$99,15,0))</f>
        <v>0</v>
      </c>
      <c r="W439" s="70">
        <f>IF(ISERROR(VLOOKUP($T$439,'TAR FIN'!$A$1:$O$99,15,0)),0,VLOOKUP($T$439,'TAR FIN'!$A$1:$O$99,15,0))*(1-0.04)</f>
        <v>1495.4304</v>
      </c>
      <c r="X439" s="70">
        <f>IF(ISERROR(VLOOKUP($U$439,'TAR FIN'!$A$1:$O$99,15,0)),0,VLOOKUP($U$439,'TAR FIN'!$A$1:$O$99,15,0))*(1-0.04)</f>
        <v>332.74560000000002</v>
      </c>
      <c r="Y439" s="70"/>
      <c r="Z439" s="70">
        <f ca="1">('TUSD BE'!$AM$22+'TUSD BF'!$AM$22+'TUSD CVA'!$AM$22)*1*(1-0.02)</f>
        <v>1763.14935965871</v>
      </c>
      <c r="AA439" s="70">
        <f>('TE BE'!$AA$7+'TE BF'!$AA$7+'TE CVA'!$AA$7)*1*(1-0.02)</f>
        <v>415.4185945530557</v>
      </c>
      <c r="AB439" s="70">
        <f>(SUBSIDIO!$J$439*SUBSIDIO!$V$439)*(0.04)/(1-0.04)</f>
        <v>0</v>
      </c>
      <c r="AC439" s="70">
        <f>((SUBSIDIO!$L$439*SUBSIDIO!$W$439)+(SUBSIDIO!$N$439*SUBSIDIO!$X$439))*(0.04)/(1-0.04)</f>
        <v>3605.4677680000009</v>
      </c>
      <c r="AD439" s="70">
        <f>(SUBSIDIO!$J$439*SUBSIDIO!$Y$439)*(0.02)/(1-0.02)</f>
        <v>0</v>
      </c>
      <c r="AE439" s="70">
        <f ca="1">((SUBSIDIO!$L$439*SUBSIDIO!$Z$439)+(SUBSIDIO!$N$439*SUBSIDIO!$AA$439))*(0.02)/(1-0.02)</f>
        <v>2104.4077226275772</v>
      </c>
      <c r="AF439" s="3" t="s">
        <v>951</v>
      </c>
    </row>
    <row r="440" spans="1:32" ht="11.25" customHeight="1" x14ac:dyDescent="0.25">
      <c r="A440" s="3" t="s">
        <v>28</v>
      </c>
      <c r="B440" s="3" t="s">
        <v>33</v>
      </c>
      <c r="C440" s="3" t="s">
        <v>34</v>
      </c>
      <c r="D440" s="3" t="s">
        <v>45</v>
      </c>
      <c r="E440" s="3" t="s">
        <v>25</v>
      </c>
      <c r="F440" s="3" t="s">
        <v>25</v>
      </c>
      <c r="G440" s="3" t="s">
        <v>25</v>
      </c>
      <c r="H440" s="3" t="s">
        <v>35</v>
      </c>
      <c r="I440" s="6">
        <v>44593</v>
      </c>
      <c r="J440" s="4">
        <v>0</v>
      </c>
      <c r="K440" s="70">
        <v>0</v>
      </c>
      <c r="L440" s="4">
        <v>27.065000000000001</v>
      </c>
      <c r="M440" s="70">
        <v>27.065000000000001</v>
      </c>
      <c r="N440" s="4">
        <v>27.065000000000001</v>
      </c>
      <c r="O440" s="70">
        <v>27.065000000000001</v>
      </c>
      <c r="P440" s="4">
        <v>0</v>
      </c>
      <c r="Q440" s="3" t="s">
        <v>26</v>
      </c>
      <c r="R440" s="3">
        <v>0</v>
      </c>
      <c r="S440" s="3">
        <v>0</v>
      </c>
      <c r="T440" s="3">
        <v>8</v>
      </c>
      <c r="U440" s="3">
        <v>72</v>
      </c>
      <c r="V440" s="70">
        <f>IF(ISERROR(VLOOKUP($S$440,'TAR FIN'!$A$1:$O$99,15,0)),0,VLOOKUP($S$440,'TAR FIN'!$A$1:$O$99,15,0))</f>
        <v>0</v>
      </c>
      <c r="W440" s="70">
        <f>IF(ISERROR(VLOOKUP($T$440,'TAR FIN'!$A$1:$O$99,15,0)),0,VLOOKUP($T$440,'TAR FIN'!$A$1:$O$99,15,0))*(1-0.04)</f>
        <v>1495.4304</v>
      </c>
      <c r="X440" s="70">
        <f>IF(ISERROR(VLOOKUP($U$440,'TAR FIN'!$A$1:$O$99,15,0)),0,VLOOKUP($U$440,'TAR FIN'!$A$1:$O$99,15,0))*(1-0.04)</f>
        <v>332.74560000000002</v>
      </c>
      <c r="Y440" s="70"/>
      <c r="Z440" s="70">
        <f ca="1">('TUSD BE'!$AM$22+'TUSD BF'!$AM$22+'TUSD CVA'!$AM$22)*1*(1-0.02)</f>
        <v>1763.14935965871</v>
      </c>
      <c r="AA440" s="70">
        <f>('TE BE'!$AA$7+'TE BF'!$AA$7+'TE CVA'!$AA$7)*1*(1-0.02)</f>
        <v>415.4185945530557</v>
      </c>
      <c r="AB440" s="70">
        <f>(SUBSIDIO!$J$440*SUBSIDIO!$V$440)*(0.04)/(1-0.04)</f>
        <v>0</v>
      </c>
      <c r="AC440" s="70">
        <f>((SUBSIDIO!$L$440*SUBSIDIO!$W$440)+(SUBSIDIO!$N$440*SUBSIDIO!$X$440))*(0.04)/(1-0.04)</f>
        <v>2061.6493100000002</v>
      </c>
      <c r="AD440" s="70">
        <f>(SUBSIDIO!$J$440*SUBSIDIO!$Y$440)*(0.02)/(1-0.02)</f>
        <v>0</v>
      </c>
      <c r="AE440" s="70">
        <f ca="1">((SUBSIDIO!$L$440*SUBSIDIO!$Z$440)+(SUBSIDIO!$N$440*SUBSIDIO!$AA$440))*(0.02)/(1-0.02)</f>
        <v>1203.3253404232946</v>
      </c>
      <c r="AF440" s="3" t="s">
        <v>951</v>
      </c>
    </row>
    <row r="441" spans="1:32" ht="11.25" customHeight="1" x14ac:dyDescent="0.25">
      <c r="A441" s="3" t="s">
        <v>21</v>
      </c>
      <c r="B441" s="3" t="s">
        <v>33</v>
      </c>
      <c r="C441" s="3" t="s">
        <v>34</v>
      </c>
      <c r="D441" s="3" t="s">
        <v>45</v>
      </c>
      <c r="E441" s="3" t="s">
        <v>25</v>
      </c>
      <c r="F441" s="3" t="s">
        <v>25</v>
      </c>
      <c r="G441" s="3" t="s">
        <v>25</v>
      </c>
      <c r="H441" s="3" t="s">
        <v>35</v>
      </c>
      <c r="I441" s="6">
        <v>44621</v>
      </c>
      <c r="J441" s="4">
        <v>0</v>
      </c>
      <c r="K441" s="70">
        <v>0</v>
      </c>
      <c r="L441" s="4">
        <v>44.673999999999999</v>
      </c>
      <c r="M441" s="70">
        <v>44.673999999999999</v>
      </c>
      <c r="N441" s="4">
        <v>44.673999999999999</v>
      </c>
      <c r="O441" s="70">
        <v>44.673999999999999</v>
      </c>
      <c r="P441" s="4">
        <v>0</v>
      </c>
      <c r="Q441" s="3" t="s">
        <v>26</v>
      </c>
      <c r="R441" s="3">
        <v>0</v>
      </c>
      <c r="S441" s="3">
        <v>0</v>
      </c>
      <c r="T441" s="3">
        <v>8</v>
      </c>
      <c r="U441" s="3">
        <v>72</v>
      </c>
      <c r="V441" s="70">
        <f>IF(ISERROR(VLOOKUP($S$441,'TAR FIN'!$A$1:$O$99,15,0)),0,VLOOKUP($S$441,'TAR FIN'!$A$1:$O$99,15,0))</f>
        <v>0</v>
      </c>
      <c r="W441" s="70">
        <f>IF(ISERROR(VLOOKUP($T$441,'TAR FIN'!$A$1:$O$99,15,0)),0,VLOOKUP($T$441,'TAR FIN'!$A$1:$O$99,15,0))*(1-0.04)</f>
        <v>1495.4304</v>
      </c>
      <c r="X441" s="70">
        <f>IF(ISERROR(VLOOKUP($U$441,'TAR FIN'!$A$1:$O$99,15,0)),0,VLOOKUP($U$441,'TAR FIN'!$A$1:$O$99,15,0))*(1-0.04)</f>
        <v>332.74560000000002</v>
      </c>
      <c r="Y441" s="70"/>
      <c r="Z441" s="70">
        <f ca="1">('TUSD BE'!$AM$22+'TUSD BF'!$AM$22+'TUSD CVA'!$AM$22)*1*(1-0.02)</f>
        <v>1763.14935965871</v>
      </c>
      <c r="AA441" s="70">
        <f>('TE BE'!$AA$7+'TE BF'!$AA$7+'TE CVA'!$AA$7)*1*(1-0.02)</f>
        <v>415.4185945530557</v>
      </c>
      <c r="AB441" s="70">
        <f>(SUBSIDIO!$J$441*SUBSIDIO!$V$441)*(0.04)/(1-0.04)</f>
        <v>0</v>
      </c>
      <c r="AC441" s="70">
        <f>((SUBSIDIO!$L$441*SUBSIDIO!$W$441)+(SUBSIDIO!$N$441*SUBSIDIO!$X$441))*(0.04)/(1-0.04)</f>
        <v>3402.9972760000005</v>
      </c>
      <c r="AD441" s="70">
        <f>(SUBSIDIO!$J$441*SUBSIDIO!$Y$441)*(0.02)/(1-0.02)</f>
        <v>0</v>
      </c>
      <c r="AE441" s="70">
        <f ca="1">((SUBSIDIO!$L$441*SUBSIDIO!$Z$441)+(SUBSIDIO!$N$441*SUBSIDIO!$AA$441))*(0.02)/(1-0.02)</f>
        <v>1986.2315262542124</v>
      </c>
      <c r="AF441" s="3" t="s">
        <v>951</v>
      </c>
    </row>
    <row r="442" spans="1:32" ht="11.25" customHeight="1" x14ac:dyDescent="0.25">
      <c r="A442" s="3" t="s">
        <v>28</v>
      </c>
      <c r="B442" s="3" t="s">
        <v>33</v>
      </c>
      <c r="C442" s="3" t="s">
        <v>34</v>
      </c>
      <c r="D442" s="3" t="s">
        <v>45</v>
      </c>
      <c r="E442" s="3" t="s">
        <v>25</v>
      </c>
      <c r="F442" s="3" t="s">
        <v>25</v>
      </c>
      <c r="G442" s="3" t="s">
        <v>25</v>
      </c>
      <c r="H442" s="3" t="s">
        <v>35</v>
      </c>
      <c r="I442" s="6">
        <v>44621</v>
      </c>
      <c r="J442" s="4">
        <v>0</v>
      </c>
      <c r="K442" s="70">
        <v>0</v>
      </c>
      <c r="L442" s="4">
        <v>8.4009999999999998</v>
      </c>
      <c r="M442" s="70">
        <v>8.4009999999999998</v>
      </c>
      <c r="N442" s="4">
        <v>8.4009999999999998</v>
      </c>
      <c r="O442" s="70">
        <v>8.4009999999999998</v>
      </c>
      <c r="P442" s="4">
        <v>0</v>
      </c>
      <c r="Q442" s="3" t="s">
        <v>26</v>
      </c>
      <c r="R442" s="3">
        <v>0</v>
      </c>
      <c r="S442" s="3">
        <v>0</v>
      </c>
      <c r="T442" s="3">
        <v>8</v>
      </c>
      <c r="U442" s="3">
        <v>72</v>
      </c>
      <c r="V442" s="70">
        <f>IF(ISERROR(VLOOKUP($S$442,'TAR FIN'!$A$1:$O$99,15,0)),0,VLOOKUP($S$442,'TAR FIN'!$A$1:$O$99,15,0))</f>
        <v>0</v>
      </c>
      <c r="W442" s="70">
        <f>IF(ISERROR(VLOOKUP($T$442,'TAR FIN'!$A$1:$O$99,15,0)),0,VLOOKUP($T$442,'TAR FIN'!$A$1:$O$99,15,0))*(1-0.04)</f>
        <v>1495.4304</v>
      </c>
      <c r="X442" s="70">
        <f>IF(ISERROR(VLOOKUP($U$442,'TAR FIN'!$A$1:$O$99,15,0)),0,VLOOKUP($U$442,'TAR FIN'!$A$1:$O$99,15,0))*(1-0.04)</f>
        <v>332.74560000000002</v>
      </c>
      <c r="Y442" s="70"/>
      <c r="Z442" s="70">
        <f ca="1">('TUSD BE'!$AM$22+'TUSD BF'!$AM$22+'TUSD CVA'!$AM$22)*1*(1-0.02)</f>
        <v>1763.14935965871</v>
      </c>
      <c r="AA442" s="70">
        <f>('TE BE'!$AA$7+'TE BF'!$AA$7+'TE CVA'!$AA$7)*1*(1-0.02)</f>
        <v>415.4185945530557</v>
      </c>
      <c r="AB442" s="70">
        <f>(SUBSIDIO!$J$442*SUBSIDIO!$V$442)*(0.04)/(1-0.04)</f>
        <v>0</v>
      </c>
      <c r="AC442" s="70">
        <f>((SUBSIDIO!$L$442*SUBSIDIO!$W$442)+(SUBSIDIO!$N$442*SUBSIDIO!$X$442))*(0.04)/(1-0.04)</f>
        <v>639.93777399999999</v>
      </c>
      <c r="AD442" s="70">
        <f>(SUBSIDIO!$J$442*SUBSIDIO!$Y$442)*(0.02)/(1-0.02)</f>
        <v>0</v>
      </c>
      <c r="AE442" s="70">
        <f ca="1">((SUBSIDIO!$L$442*SUBSIDIO!$Z$442)+(SUBSIDIO!$N$442*SUBSIDIO!$AA$442))*(0.02)/(1-0.02)</f>
        <v>373.51325272108249</v>
      </c>
      <c r="AF442" s="3" t="s">
        <v>951</v>
      </c>
    </row>
    <row r="443" spans="1:32" ht="11.25" customHeight="1" x14ac:dyDescent="0.25">
      <c r="A443" s="3" t="s">
        <v>56</v>
      </c>
      <c r="B443" s="3" t="s">
        <v>33</v>
      </c>
      <c r="C443" s="3" t="s">
        <v>34</v>
      </c>
      <c r="D443" s="3" t="s">
        <v>45</v>
      </c>
      <c r="E443" s="3" t="s">
        <v>25</v>
      </c>
      <c r="F443" s="3" t="s">
        <v>25</v>
      </c>
      <c r="G443" s="3" t="s">
        <v>25</v>
      </c>
      <c r="H443" s="3" t="s">
        <v>35</v>
      </c>
      <c r="I443" s="6">
        <v>44652</v>
      </c>
      <c r="J443" s="4">
        <v>0</v>
      </c>
      <c r="K443" s="70">
        <v>0</v>
      </c>
      <c r="L443" s="4">
        <v>44.673999999999999</v>
      </c>
      <c r="M443" s="70">
        <v>44.673999999999999</v>
      </c>
      <c r="N443" s="4">
        <v>44.673999999999999</v>
      </c>
      <c r="O443" s="70">
        <v>44.673999999999999</v>
      </c>
      <c r="P443" s="4">
        <v>0</v>
      </c>
      <c r="Q443" s="3" t="s">
        <v>26</v>
      </c>
      <c r="R443" s="3">
        <v>0</v>
      </c>
      <c r="S443" s="3">
        <v>0</v>
      </c>
      <c r="T443" s="3">
        <v>8</v>
      </c>
      <c r="U443" s="3">
        <v>72</v>
      </c>
      <c r="V443" s="70">
        <f>IF(ISERROR(VLOOKUP($S$443,'TAR FIN'!$A$1:$O$99,15,0)),0,VLOOKUP($S$443,'TAR FIN'!$A$1:$O$99,15,0))</f>
        <v>0</v>
      </c>
      <c r="W443" s="70">
        <f>IF(ISERROR(VLOOKUP($T$443,'TAR FIN'!$A$1:$O$99,15,0)),0,VLOOKUP($T$443,'TAR FIN'!$A$1:$O$99,15,0))*(1-0.04)</f>
        <v>1495.4304</v>
      </c>
      <c r="X443" s="70">
        <f>IF(ISERROR(VLOOKUP($U$443,'TAR FIN'!$A$1:$O$99,15,0)),0,VLOOKUP($U$443,'TAR FIN'!$A$1:$O$99,15,0))*(1-0.04)</f>
        <v>332.74560000000002</v>
      </c>
      <c r="Y443" s="70"/>
      <c r="Z443" s="70">
        <f ca="1">('TUSD BE'!$AM$22+'TUSD BF'!$AM$22+'TUSD CVA'!$AM$22)*1*(1-0.02)</f>
        <v>1763.14935965871</v>
      </c>
      <c r="AA443" s="70">
        <f>('TE BE'!$AA$7+'TE BF'!$AA$7+'TE CVA'!$AA$7)*1*(1-0.02)</f>
        <v>415.4185945530557</v>
      </c>
      <c r="AB443" s="70">
        <f>(SUBSIDIO!$J$443*SUBSIDIO!$V$443)*(0.04)/(1-0.04)</f>
        <v>0</v>
      </c>
      <c r="AC443" s="70">
        <f>((SUBSIDIO!$L$443*SUBSIDIO!$W$443)+(SUBSIDIO!$N$443*SUBSIDIO!$X$443))*(0.04)/(1-0.04)</f>
        <v>3402.9972760000005</v>
      </c>
      <c r="AD443" s="70">
        <f>(SUBSIDIO!$J$443*SUBSIDIO!$Y$443)*(0.02)/(1-0.02)</f>
        <v>0</v>
      </c>
      <c r="AE443" s="70">
        <f ca="1">((SUBSIDIO!$L$443*SUBSIDIO!$Z$443)+(SUBSIDIO!$N$443*SUBSIDIO!$AA$443))*(0.02)/(1-0.02)</f>
        <v>1986.2315262542124</v>
      </c>
      <c r="AF443" s="3" t="s">
        <v>951</v>
      </c>
    </row>
    <row r="444" spans="1:32" ht="11.25" customHeight="1" x14ac:dyDescent="0.25">
      <c r="A444" s="3" t="s">
        <v>56</v>
      </c>
      <c r="B444" s="3" t="s">
        <v>33</v>
      </c>
      <c r="C444" s="3" t="s">
        <v>34</v>
      </c>
      <c r="D444" s="3" t="s">
        <v>45</v>
      </c>
      <c r="E444" s="3" t="s">
        <v>25</v>
      </c>
      <c r="F444" s="3" t="s">
        <v>25</v>
      </c>
      <c r="G444" s="3" t="s">
        <v>25</v>
      </c>
      <c r="H444" s="3" t="s">
        <v>35</v>
      </c>
      <c r="I444" s="6">
        <v>44652</v>
      </c>
      <c r="J444" s="4">
        <v>0</v>
      </c>
      <c r="K444" s="70">
        <v>0</v>
      </c>
      <c r="L444" s="4">
        <v>8.4009999999999998</v>
      </c>
      <c r="M444" s="70">
        <v>8.4009999999999998</v>
      </c>
      <c r="N444" s="4">
        <v>8.4009999999999998</v>
      </c>
      <c r="O444" s="70">
        <v>8.4009999999999998</v>
      </c>
      <c r="P444" s="4">
        <v>0</v>
      </c>
      <c r="Q444" s="3" t="s">
        <v>26</v>
      </c>
      <c r="R444" s="3">
        <v>0</v>
      </c>
      <c r="S444" s="3">
        <v>0</v>
      </c>
      <c r="T444" s="3">
        <v>8</v>
      </c>
      <c r="U444" s="3">
        <v>72</v>
      </c>
      <c r="V444" s="70">
        <f>IF(ISERROR(VLOOKUP($S$444,'TAR FIN'!$A$1:$O$99,15,0)),0,VLOOKUP($S$444,'TAR FIN'!$A$1:$O$99,15,0))</f>
        <v>0</v>
      </c>
      <c r="W444" s="70">
        <f>IF(ISERROR(VLOOKUP($T$444,'TAR FIN'!$A$1:$O$99,15,0)),0,VLOOKUP($T$444,'TAR FIN'!$A$1:$O$99,15,0))*(1-0.04)</f>
        <v>1495.4304</v>
      </c>
      <c r="X444" s="70">
        <f>IF(ISERROR(VLOOKUP($U$444,'TAR FIN'!$A$1:$O$99,15,0)),0,VLOOKUP($U$444,'TAR FIN'!$A$1:$O$99,15,0))*(1-0.04)</f>
        <v>332.74560000000002</v>
      </c>
      <c r="Y444" s="70"/>
      <c r="Z444" s="70">
        <f ca="1">('TUSD BE'!$AM$22+'TUSD BF'!$AM$22+'TUSD CVA'!$AM$22)*1*(1-0.02)</f>
        <v>1763.14935965871</v>
      </c>
      <c r="AA444" s="70">
        <f>('TE BE'!$AA$7+'TE BF'!$AA$7+'TE CVA'!$AA$7)*1*(1-0.02)</f>
        <v>415.4185945530557</v>
      </c>
      <c r="AB444" s="70">
        <f>(SUBSIDIO!$J$444*SUBSIDIO!$V$444)*(0.04)/(1-0.04)</f>
        <v>0</v>
      </c>
      <c r="AC444" s="70">
        <f>((SUBSIDIO!$L$444*SUBSIDIO!$W$444)+(SUBSIDIO!$N$444*SUBSIDIO!$X$444))*(0.04)/(1-0.04)</f>
        <v>639.93777399999999</v>
      </c>
      <c r="AD444" s="70">
        <f>(SUBSIDIO!$J$444*SUBSIDIO!$Y$444)*(0.02)/(1-0.02)</f>
        <v>0</v>
      </c>
      <c r="AE444" s="70">
        <f ca="1">((SUBSIDIO!$L$444*SUBSIDIO!$Z$444)+(SUBSIDIO!$N$444*SUBSIDIO!$AA$444))*(0.02)/(1-0.02)</f>
        <v>373.51325272108249</v>
      </c>
      <c r="AF444" s="3" t="s">
        <v>951</v>
      </c>
    </row>
    <row r="445" spans="1:32" ht="11.25" customHeight="1" x14ac:dyDescent="0.25">
      <c r="A445" s="3" t="s">
        <v>21</v>
      </c>
      <c r="B445" s="3" t="s">
        <v>33</v>
      </c>
      <c r="C445" s="3" t="s">
        <v>34</v>
      </c>
      <c r="D445" s="3" t="s">
        <v>50</v>
      </c>
      <c r="E445" s="3" t="s">
        <v>51</v>
      </c>
      <c r="F445" s="3" t="s">
        <v>25</v>
      </c>
      <c r="G445" s="3" t="s">
        <v>25</v>
      </c>
      <c r="H445" s="3" t="s">
        <v>36</v>
      </c>
      <c r="I445" s="6">
        <v>44317</v>
      </c>
      <c r="J445" s="4">
        <v>0</v>
      </c>
      <c r="K445" s="70">
        <v>0</v>
      </c>
      <c r="L445" s="4">
        <v>4641.6940000000004</v>
      </c>
      <c r="M445" s="70">
        <v>4641.6940000000004</v>
      </c>
      <c r="N445" s="4">
        <v>4641.6940000000004</v>
      </c>
      <c r="O445" s="70">
        <v>4641.6940000000004</v>
      </c>
      <c r="P445" s="4">
        <v>0</v>
      </c>
      <c r="Q445" s="3" t="s">
        <v>26</v>
      </c>
      <c r="R445" s="3">
        <v>0</v>
      </c>
      <c r="S445" s="3">
        <v>0</v>
      </c>
      <c r="T445" s="3">
        <v>29</v>
      </c>
      <c r="U445" s="3">
        <v>73</v>
      </c>
      <c r="V445" s="70">
        <f>IF(ISERROR(VLOOKUP($S$445,'TAR FIN'!$A$1:$O$99,15,0)),0,VLOOKUP($S$445,'TAR FIN'!$A$1:$O$99,15,0))</f>
        <v>0</v>
      </c>
      <c r="W445" s="70">
        <f>IF(ISERROR(VLOOKUP($T$445,'TAR FIN'!$A$1:$O$99,15,0)),0,VLOOKUP($T$445,'TAR FIN'!$A$1:$O$99,15,0))*(1-0.06)</f>
        <v>91.753399999999999</v>
      </c>
      <c r="X445" s="70">
        <f>IF(ISERROR(VLOOKUP($U$445,'TAR FIN'!$A$1:$O$99,15,0)),0,VLOOKUP($U$445,'TAR FIN'!$A$1:$O$99,15,0))*(1-0.06)</f>
        <v>206.77179999999998</v>
      </c>
      <c r="Y445" s="70"/>
      <c r="Z445" s="70">
        <f ca="1">('TUSD BE'!$AM$23+'TUSD BF'!$AM$23+'TUSD CVA'!$AM$23)*1*(1-0.03)</f>
        <v>114.0634109344435</v>
      </c>
      <c r="AA445" s="70">
        <f>('TE BE'!$AA$8+'TE BF'!$AA$8+'TE CVA'!$AA$8)*1*(1-0.03)</f>
        <v>263.00493660044975</v>
      </c>
      <c r="AB445" s="70">
        <f>(SUBSIDIO!$J$445*SUBSIDIO!$V$445)*(0.06)/(1-0.06)</f>
        <v>0</v>
      </c>
      <c r="AC445" s="70">
        <f>((SUBSIDIO!$L$445*SUBSIDIO!$W$445)+(SUBSIDIO!$N$445*SUBSIDIO!$X$445))*(0.06)/(1-0.06)</f>
        <v>88446.550831200017</v>
      </c>
      <c r="AD445" s="70">
        <f>(SUBSIDIO!$J$445*SUBSIDIO!$Y$445)*(0.03)/(1-0.03)</f>
        <v>0</v>
      </c>
      <c r="AE445" s="70">
        <f ca="1">((SUBSIDIO!$L$445*SUBSIDIO!$Z$445)+(SUBSIDIO!$N$445*SUBSIDIO!$AA$445))*(0.03)/(1-0.03)</f>
        <v>54131.006794101922</v>
      </c>
      <c r="AF445" s="3" t="s">
        <v>953</v>
      </c>
    </row>
    <row r="446" spans="1:32" ht="11.25" customHeight="1" x14ac:dyDescent="0.25">
      <c r="A446" s="3" t="s">
        <v>21</v>
      </c>
      <c r="B446" s="3" t="s">
        <v>33</v>
      </c>
      <c r="C446" s="3" t="s">
        <v>34</v>
      </c>
      <c r="D446" s="3" t="s">
        <v>50</v>
      </c>
      <c r="E446" s="3" t="s">
        <v>51</v>
      </c>
      <c r="F446" s="3" t="s">
        <v>25</v>
      </c>
      <c r="G446" s="3" t="s">
        <v>25</v>
      </c>
      <c r="H446" s="3" t="s">
        <v>36</v>
      </c>
      <c r="I446" s="6">
        <v>44348</v>
      </c>
      <c r="J446" s="4">
        <v>0</v>
      </c>
      <c r="K446" s="70">
        <v>0</v>
      </c>
      <c r="L446" s="4">
        <v>4329.7560000000003</v>
      </c>
      <c r="M446" s="70">
        <v>4329.7560000000003</v>
      </c>
      <c r="N446" s="4">
        <v>4329.7560000000003</v>
      </c>
      <c r="O446" s="70">
        <v>4329.7560000000003</v>
      </c>
      <c r="P446" s="4">
        <v>0</v>
      </c>
      <c r="Q446" s="3" t="s">
        <v>26</v>
      </c>
      <c r="R446" s="3">
        <v>0</v>
      </c>
      <c r="S446" s="3">
        <v>0</v>
      </c>
      <c r="T446" s="3">
        <v>29</v>
      </c>
      <c r="U446" s="3">
        <v>73</v>
      </c>
      <c r="V446" s="70">
        <f>IF(ISERROR(VLOOKUP($S$446,'TAR FIN'!$A$1:$O$99,15,0)),0,VLOOKUP($S$446,'TAR FIN'!$A$1:$O$99,15,0))</f>
        <v>0</v>
      </c>
      <c r="W446" s="70">
        <f>IF(ISERROR(VLOOKUP($T$446,'TAR FIN'!$A$1:$O$99,15,0)),0,VLOOKUP($T$446,'TAR FIN'!$A$1:$O$99,15,0))*(1-0.06)</f>
        <v>91.753399999999999</v>
      </c>
      <c r="X446" s="70">
        <f>IF(ISERROR(VLOOKUP($U$446,'TAR FIN'!$A$1:$O$99,15,0)),0,VLOOKUP($U$446,'TAR FIN'!$A$1:$O$99,15,0))*(1-0.06)</f>
        <v>206.77179999999998</v>
      </c>
      <c r="Y446" s="70"/>
      <c r="Z446" s="70">
        <f ca="1">('TUSD BE'!$AM$23+'TUSD BF'!$AM$23+'TUSD CVA'!$AM$23)*1*(1-0.03)</f>
        <v>114.0634109344435</v>
      </c>
      <c r="AA446" s="70">
        <f>('TE BE'!$AA$8+'TE BF'!$AA$8+'TE CVA'!$AA$8)*1*(1-0.03)</f>
        <v>263.00493660044975</v>
      </c>
      <c r="AB446" s="70">
        <f>(SUBSIDIO!$J$446*SUBSIDIO!$V$446)*(0.06)/(1-0.06)</f>
        <v>0</v>
      </c>
      <c r="AC446" s="70">
        <f>((SUBSIDIO!$L$446*SUBSIDIO!$W$446)+(SUBSIDIO!$N$446*SUBSIDIO!$X$446))*(0.06)/(1-0.06)</f>
        <v>82502.634628800006</v>
      </c>
      <c r="AD446" s="70">
        <f>(SUBSIDIO!$J$446*SUBSIDIO!$Y$446)*(0.03)/(1-0.03)</f>
        <v>0</v>
      </c>
      <c r="AE446" s="70">
        <f ca="1">((SUBSIDIO!$L$446*SUBSIDIO!$Z$446)+(SUBSIDIO!$N$446*SUBSIDIO!$AA$446))*(0.03)/(1-0.03)</f>
        <v>50493.21464379246</v>
      </c>
      <c r="AF446" s="3" t="s">
        <v>953</v>
      </c>
    </row>
    <row r="447" spans="1:32" ht="11.25" customHeight="1" x14ac:dyDescent="0.25">
      <c r="A447" s="3" t="s">
        <v>28</v>
      </c>
      <c r="B447" s="3" t="s">
        <v>33</v>
      </c>
      <c r="C447" s="3" t="s">
        <v>34</v>
      </c>
      <c r="D447" s="3" t="s">
        <v>50</v>
      </c>
      <c r="E447" s="3" t="s">
        <v>51</v>
      </c>
      <c r="F447" s="3" t="s">
        <v>25</v>
      </c>
      <c r="G447" s="3" t="s">
        <v>25</v>
      </c>
      <c r="H447" s="3" t="s">
        <v>36</v>
      </c>
      <c r="I447" s="6">
        <v>44348</v>
      </c>
      <c r="J447" s="4">
        <v>0</v>
      </c>
      <c r="K447" s="70">
        <v>0</v>
      </c>
      <c r="L447" s="4">
        <v>16.446999999999999</v>
      </c>
      <c r="M447" s="70">
        <v>16.446999999999999</v>
      </c>
      <c r="N447" s="4">
        <v>16.446999999999999</v>
      </c>
      <c r="O447" s="70">
        <v>16.446999999999999</v>
      </c>
      <c r="P447" s="4">
        <v>0</v>
      </c>
      <c r="Q447" s="3" t="s">
        <v>26</v>
      </c>
      <c r="R447" s="3">
        <v>0</v>
      </c>
      <c r="S447" s="3">
        <v>0</v>
      </c>
      <c r="T447" s="3">
        <v>29</v>
      </c>
      <c r="U447" s="3">
        <v>73</v>
      </c>
      <c r="V447" s="70">
        <f>IF(ISERROR(VLOOKUP($S$447,'TAR FIN'!$A$1:$O$99,15,0)),0,VLOOKUP($S$447,'TAR FIN'!$A$1:$O$99,15,0))</f>
        <v>0</v>
      </c>
      <c r="W447" s="70">
        <f>IF(ISERROR(VLOOKUP($T$447,'TAR FIN'!$A$1:$O$99,15,0)),0,VLOOKUP($T$447,'TAR FIN'!$A$1:$O$99,15,0))*(1-0.06)</f>
        <v>91.753399999999999</v>
      </c>
      <c r="X447" s="70">
        <f>IF(ISERROR(VLOOKUP($U$447,'TAR FIN'!$A$1:$O$99,15,0)),0,VLOOKUP($U$447,'TAR FIN'!$A$1:$O$99,15,0))*(1-0.06)</f>
        <v>206.77179999999998</v>
      </c>
      <c r="Y447" s="70"/>
      <c r="Z447" s="70">
        <f ca="1">('TUSD BE'!$AM$23+'TUSD BF'!$AM$23+'TUSD CVA'!$AM$23)*1*(1-0.03)</f>
        <v>114.0634109344435</v>
      </c>
      <c r="AA447" s="70">
        <f>('TE BE'!$AA$8+'TE BF'!$AA$8+'TE CVA'!$AA$8)*1*(1-0.03)</f>
        <v>263.00493660044975</v>
      </c>
      <c r="AB447" s="70">
        <f>(SUBSIDIO!$J$447*SUBSIDIO!$V$447)*(0.06)/(1-0.06)</f>
        <v>0</v>
      </c>
      <c r="AC447" s="70">
        <f>((SUBSIDIO!$L$447*SUBSIDIO!$W$447)+(SUBSIDIO!$N$447*SUBSIDIO!$X$447))*(0.06)/(1-0.06)</f>
        <v>313.39429559999991</v>
      </c>
      <c r="AD447" s="70">
        <f>(SUBSIDIO!$J$447*SUBSIDIO!$Y$447)*(0.03)/(1-0.03)</f>
        <v>0</v>
      </c>
      <c r="AE447" s="70">
        <f ca="1">((SUBSIDIO!$L$447*SUBSIDIO!$Z$447)+(SUBSIDIO!$N$447*SUBSIDIO!$AA$447))*(0.03)/(1-0.03)</f>
        <v>191.80339521359966</v>
      </c>
      <c r="AF447" s="3" t="s">
        <v>953</v>
      </c>
    </row>
    <row r="448" spans="1:32" ht="11.25" customHeight="1" x14ac:dyDescent="0.25">
      <c r="A448" s="3" t="s">
        <v>21</v>
      </c>
      <c r="B448" s="3" t="s">
        <v>33</v>
      </c>
      <c r="C448" s="3" t="s">
        <v>34</v>
      </c>
      <c r="D448" s="3" t="s">
        <v>50</v>
      </c>
      <c r="E448" s="3" t="s">
        <v>51</v>
      </c>
      <c r="F448" s="3" t="s">
        <v>25</v>
      </c>
      <c r="G448" s="3" t="s">
        <v>25</v>
      </c>
      <c r="H448" s="3" t="s">
        <v>36</v>
      </c>
      <c r="I448" s="6">
        <v>44378</v>
      </c>
      <c r="J448" s="4">
        <v>0</v>
      </c>
      <c r="K448" s="70">
        <v>0</v>
      </c>
      <c r="L448" s="4">
        <v>4514.2030000000004</v>
      </c>
      <c r="M448" s="70">
        <v>4514.2030000000004</v>
      </c>
      <c r="N448" s="4">
        <v>4514.2030000000004</v>
      </c>
      <c r="O448" s="70">
        <v>4514.2030000000004</v>
      </c>
      <c r="P448" s="4">
        <v>0</v>
      </c>
      <c r="Q448" s="3" t="s">
        <v>26</v>
      </c>
      <c r="R448" s="3">
        <v>0</v>
      </c>
      <c r="S448" s="3">
        <v>0</v>
      </c>
      <c r="T448" s="3">
        <v>29</v>
      </c>
      <c r="U448" s="3">
        <v>73</v>
      </c>
      <c r="V448" s="70">
        <f>IF(ISERROR(VLOOKUP($S$448,'TAR FIN'!$A$1:$O$99,15,0)),0,VLOOKUP($S$448,'TAR FIN'!$A$1:$O$99,15,0))</f>
        <v>0</v>
      </c>
      <c r="W448" s="70">
        <f>IF(ISERROR(VLOOKUP($T$448,'TAR FIN'!$A$1:$O$99,15,0)),0,VLOOKUP($T$448,'TAR FIN'!$A$1:$O$99,15,0))*(1-0.06)</f>
        <v>91.753399999999999</v>
      </c>
      <c r="X448" s="70">
        <f>IF(ISERROR(VLOOKUP($U$448,'TAR FIN'!$A$1:$O$99,15,0)),0,VLOOKUP($U$448,'TAR FIN'!$A$1:$O$99,15,0))*(1-0.06)</f>
        <v>206.77179999999998</v>
      </c>
      <c r="Y448" s="70"/>
      <c r="Z448" s="70">
        <f ca="1">('TUSD BE'!$AM$23+'TUSD BF'!$AM$23+'TUSD CVA'!$AM$23)*1*(1-0.03)</f>
        <v>114.0634109344435</v>
      </c>
      <c r="AA448" s="70">
        <f>('TE BE'!$AA$8+'TE BF'!$AA$8+'TE CVA'!$AA$8)*1*(1-0.03)</f>
        <v>263.00493660044975</v>
      </c>
      <c r="AB448" s="70">
        <f>(SUBSIDIO!$J$448*SUBSIDIO!$V$448)*(0.06)/(1-0.06)</f>
        <v>0</v>
      </c>
      <c r="AC448" s="70">
        <f>((SUBSIDIO!$L$448*SUBSIDIO!$W$448)+(SUBSIDIO!$N$448*SUBSIDIO!$X$448))*(0.06)/(1-0.06)</f>
        <v>86017.235324400011</v>
      </c>
      <c r="AD448" s="70">
        <f>(SUBSIDIO!$J$448*SUBSIDIO!$Y$448)*(0.03)/(1-0.03)</f>
        <v>0</v>
      </c>
      <c r="AE448" s="70">
        <f ca="1">((SUBSIDIO!$L$448*SUBSIDIO!$Z$448)+(SUBSIDIO!$N$448*SUBSIDIO!$AA$448))*(0.03)/(1-0.03)</f>
        <v>52644.21852516674</v>
      </c>
      <c r="AF448" s="3" t="s">
        <v>953</v>
      </c>
    </row>
    <row r="449" spans="1:32" ht="11.25" customHeight="1" x14ac:dyDescent="0.25">
      <c r="A449" s="3" t="s">
        <v>28</v>
      </c>
      <c r="B449" s="3" t="s">
        <v>33</v>
      </c>
      <c r="C449" s="3" t="s">
        <v>34</v>
      </c>
      <c r="D449" s="3" t="s">
        <v>50</v>
      </c>
      <c r="E449" s="3" t="s">
        <v>51</v>
      </c>
      <c r="F449" s="3" t="s">
        <v>25</v>
      </c>
      <c r="G449" s="3" t="s">
        <v>25</v>
      </c>
      <c r="H449" s="3" t="s">
        <v>36</v>
      </c>
      <c r="I449" s="6">
        <v>44378</v>
      </c>
      <c r="J449" s="4">
        <v>0</v>
      </c>
      <c r="K449" s="70">
        <v>0</v>
      </c>
      <c r="L449" s="4">
        <v>16.873000000000001</v>
      </c>
      <c r="M449" s="70">
        <v>16.873000000000001</v>
      </c>
      <c r="N449" s="4">
        <v>16.873000000000001</v>
      </c>
      <c r="O449" s="70">
        <v>16.873000000000001</v>
      </c>
      <c r="P449" s="4">
        <v>0</v>
      </c>
      <c r="Q449" s="3" t="s">
        <v>26</v>
      </c>
      <c r="R449" s="3">
        <v>0</v>
      </c>
      <c r="S449" s="3">
        <v>0</v>
      </c>
      <c r="T449" s="3">
        <v>29</v>
      </c>
      <c r="U449" s="3">
        <v>73</v>
      </c>
      <c r="V449" s="70">
        <f>IF(ISERROR(VLOOKUP($S$449,'TAR FIN'!$A$1:$O$99,15,0)),0,VLOOKUP($S$449,'TAR FIN'!$A$1:$O$99,15,0))</f>
        <v>0</v>
      </c>
      <c r="W449" s="70">
        <f>IF(ISERROR(VLOOKUP($T$449,'TAR FIN'!$A$1:$O$99,15,0)),0,VLOOKUP($T$449,'TAR FIN'!$A$1:$O$99,15,0))*(1-0.06)</f>
        <v>91.753399999999999</v>
      </c>
      <c r="X449" s="70">
        <f>IF(ISERROR(VLOOKUP($U$449,'TAR FIN'!$A$1:$O$99,15,0)),0,VLOOKUP($U$449,'TAR FIN'!$A$1:$O$99,15,0))*(1-0.06)</f>
        <v>206.77179999999998</v>
      </c>
      <c r="Y449" s="70"/>
      <c r="Z449" s="70">
        <f ca="1">('TUSD BE'!$AM$23+'TUSD BF'!$AM$23+'TUSD CVA'!$AM$23)*1*(1-0.03)</f>
        <v>114.0634109344435</v>
      </c>
      <c r="AA449" s="70">
        <f>('TE BE'!$AA$8+'TE BF'!$AA$8+'TE CVA'!$AA$8)*1*(1-0.03)</f>
        <v>263.00493660044975</v>
      </c>
      <c r="AB449" s="70">
        <f>(SUBSIDIO!$J$449*SUBSIDIO!$V$449)*(0.06)/(1-0.06)</f>
        <v>0</v>
      </c>
      <c r="AC449" s="70">
        <f>((SUBSIDIO!$L$449*SUBSIDIO!$W$449)+(SUBSIDIO!$N$449*SUBSIDIO!$X$449))*(0.06)/(1-0.06)</f>
        <v>321.51164039999998</v>
      </c>
      <c r="AD449" s="70">
        <f>(SUBSIDIO!$J$449*SUBSIDIO!$Y$449)*(0.03)/(1-0.03)</f>
        <v>0</v>
      </c>
      <c r="AE449" s="70">
        <f ca="1">((SUBSIDIO!$L$449*SUBSIDIO!$Z$449)+(SUBSIDIO!$N$449*SUBSIDIO!$AA$449))*(0.03)/(1-0.03)</f>
        <v>196.77136787493572</v>
      </c>
      <c r="AF449" s="3" t="s">
        <v>953</v>
      </c>
    </row>
    <row r="450" spans="1:32" ht="11.25" customHeight="1" x14ac:dyDescent="0.25">
      <c r="A450" s="3" t="s">
        <v>21</v>
      </c>
      <c r="B450" s="3" t="s">
        <v>33</v>
      </c>
      <c r="C450" s="3" t="s">
        <v>34</v>
      </c>
      <c r="D450" s="3" t="s">
        <v>50</v>
      </c>
      <c r="E450" s="3" t="s">
        <v>51</v>
      </c>
      <c r="F450" s="3" t="s">
        <v>25</v>
      </c>
      <c r="G450" s="3" t="s">
        <v>25</v>
      </c>
      <c r="H450" s="3" t="s">
        <v>36</v>
      </c>
      <c r="I450" s="6">
        <v>44409</v>
      </c>
      <c r="J450" s="4">
        <v>0</v>
      </c>
      <c r="K450" s="70">
        <v>0</v>
      </c>
      <c r="L450" s="4">
        <v>4537.826</v>
      </c>
      <c r="M450" s="70">
        <v>4537.826</v>
      </c>
      <c r="N450" s="4">
        <v>4537.826</v>
      </c>
      <c r="O450" s="70">
        <v>4537.826</v>
      </c>
      <c r="P450" s="4">
        <v>0</v>
      </c>
      <c r="Q450" s="3" t="s">
        <v>26</v>
      </c>
      <c r="R450" s="3">
        <v>0</v>
      </c>
      <c r="S450" s="3">
        <v>0</v>
      </c>
      <c r="T450" s="3">
        <v>29</v>
      </c>
      <c r="U450" s="3">
        <v>73</v>
      </c>
      <c r="V450" s="70">
        <f>IF(ISERROR(VLOOKUP($S$450,'TAR FIN'!$A$1:$O$99,15,0)),0,VLOOKUP($S$450,'TAR FIN'!$A$1:$O$99,15,0))</f>
        <v>0</v>
      </c>
      <c r="W450" s="70">
        <f>IF(ISERROR(VLOOKUP($T$450,'TAR FIN'!$A$1:$O$99,15,0)),0,VLOOKUP($T$450,'TAR FIN'!$A$1:$O$99,15,0))*(1-0.06)</f>
        <v>91.753399999999999</v>
      </c>
      <c r="X450" s="70">
        <f>IF(ISERROR(VLOOKUP($U$450,'TAR FIN'!$A$1:$O$99,15,0)),0,VLOOKUP($U$450,'TAR FIN'!$A$1:$O$99,15,0))*(1-0.06)</f>
        <v>206.77179999999998</v>
      </c>
      <c r="Y450" s="70"/>
      <c r="Z450" s="70">
        <f ca="1">('TUSD BE'!$AM$23+'TUSD BF'!$AM$23+'TUSD CVA'!$AM$23)*1*(1-0.03)</f>
        <v>114.0634109344435</v>
      </c>
      <c r="AA450" s="70">
        <f>('TE BE'!$AA$8+'TE BF'!$AA$8+'TE CVA'!$AA$8)*1*(1-0.03)</f>
        <v>263.00493660044975</v>
      </c>
      <c r="AB450" s="70">
        <f>(SUBSIDIO!$J$450*SUBSIDIO!$V$450)*(0.06)/(1-0.06)</f>
        <v>0</v>
      </c>
      <c r="AC450" s="70">
        <f>((SUBSIDIO!$L$450*SUBSIDIO!$W$450)+(SUBSIDIO!$N$450*SUBSIDIO!$X$450))*(0.06)/(1-0.06)</f>
        <v>86467.366864799988</v>
      </c>
      <c r="AD450" s="70">
        <f>(SUBSIDIO!$J$450*SUBSIDIO!$Y$450)*(0.03)/(1-0.03)</f>
        <v>0</v>
      </c>
      <c r="AE450" s="70">
        <f ca="1">((SUBSIDIO!$L$450*SUBSIDIO!$Z$450)+(SUBSIDIO!$N$450*SUBSIDIO!$AA$450))*(0.03)/(1-0.03)</f>
        <v>52919.707769717759</v>
      </c>
      <c r="AF450" s="3" t="s">
        <v>953</v>
      </c>
    </row>
    <row r="451" spans="1:32" ht="11.25" customHeight="1" x14ac:dyDescent="0.25">
      <c r="A451" s="3" t="s">
        <v>28</v>
      </c>
      <c r="B451" s="3" t="s">
        <v>33</v>
      </c>
      <c r="C451" s="3" t="s">
        <v>34</v>
      </c>
      <c r="D451" s="3" t="s">
        <v>50</v>
      </c>
      <c r="E451" s="3" t="s">
        <v>51</v>
      </c>
      <c r="F451" s="3" t="s">
        <v>25</v>
      </c>
      <c r="G451" s="3" t="s">
        <v>25</v>
      </c>
      <c r="H451" s="3" t="s">
        <v>36</v>
      </c>
      <c r="I451" s="6">
        <v>44409</v>
      </c>
      <c r="J451" s="4">
        <v>0</v>
      </c>
      <c r="K451" s="70">
        <v>0</v>
      </c>
      <c r="L451" s="4">
        <v>18.643999999999998</v>
      </c>
      <c r="M451" s="70">
        <v>18.643999999999998</v>
      </c>
      <c r="N451" s="4">
        <v>18.643999999999998</v>
      </c>
      <c r="O451" s="70">
        <v>18.643999999999998</v>
      </c>
      <c r="P451" s="4">
        <v>0</v>
      </c>
      <c r="Q451" s="3" t="s">
        <v>26</v>
      </c>
      <c r="R451" s="3">
        <v>0</v>
      </c>
      <c r="S451" s="3">
        <v>0</v>
      </c>
      <c r="T451" s="3">
        <v>29</v>
      </c>
      <c r="U451" s="3">
        <v>73</v>
      </c>
      <c r="V451" s="70">
        <f>IF(ISERROR(VLOOKUP($S$451,'TAR FIN'!$A$1:$O$99,15,0)),0,VLOOKUP($S$451,'TAR FIN'!$A$1:$O$99,15,0))</f>
        <v>0</v>
      </c>
      <c r="W451" s="70">
        <f>IF(ISERROR(VLOOKUP($T$451,'TAR FIN'!$A$1:$O$99,15,0)),0,VLOOKUP($T$451,'TAR FIN'!$A$1:$O$99,15,0))*(1-0.06)</f>
        <v>91.753399999999999</v>
      </c>
      <c r="X451" s="70">
        <f>IF(ISERROR(VLOOKUP($U$451,'TAR FIN'!$A$1:$O$99,15,0)),0,VLOOKUP($U$451,'TAR FIN'!$A$1:$O$99,15,0))*(1-0.06)</f>
        <v>206.77179999999998</v>
      </c>
      <c r="Y451" s="70"/>
      <c r="Z451" s="70">
        <f ca="1">('TUSD BE'!$AM$23+'TUSD BF'!$AM$23+'TUSD CVA'!$AM$23)*1*(1-0.03)</f>
        <v>114.0634109344435</v>
      </c>
      <c r="AA451" s="70">
        <f>('TE BE'!$AA$8+'TE BF'!$AA$8+'TE CVA'!$AA$8)*1*(1-0.03)</f>
        <v>263.00493660044975</v>
      </c>
      <c r="AB451" s="70">
        <f>(SUBSIDIO!$J$451*SUBSIDIO!$V$451)*(0.06)/(1-0.06)</f>
        <v>0</v>
      </c>
      <c r="AC451" s="70">
        <f>((SUBSIDIO!$L$451*SUBSIDIO!$W$451)+(SUBSIDIO!$N$451*SUBSIDIO!$X$451))*(0.06)/(1-0.06)</f>
        <v>355.25769120000001</v>
      </c>
      <c r="AD451" s="70">
        <f>(SUBSIDIO!$J$451*SUBSIDIO!$Y$451)*(0.03)/(1-0.03)</f>
        <v>0</v>
      </c>
      <c r="AE451" s="70">
        <f ca="1">((SUBSIDIO!$L$451*SUBSIDIO!$Z$451)+(SUBSIDIO!$N$451*SUBSIDIO!$AA$451))*(0.03)/(1-0.03)</f>
        <v>217.42460633321286</v>
      </c>
      <c r="AF451" s="3" t="s">
        <v>953</v>
      </c>
    </row>
    <row r="452" spans="1:32" ht="11.25" customHeight="1" x14ac:dyDescent="0.25">
      <c r="A452" s="3" t="s">
        <v>21</v>
      </c>
      <c r="B452" s="3" t="s">
        <v>33</v>
      </c>
      <c r="C452" s="3" t="s">
        <v>34</v>
      </c>
      <c r="D452" s="3" t="s">
        <v>50</v>
      </c>
      <c r="E452" s="3" t="s">
        <v>51</v>
      </c>
      <c r="F452" s="3" t="s">
        <v>25</v>
      </c>
      <c r="G452" s="3" t="s">
        <v>25</v>
      </c>
      <c r="H452" s="3" t="s">
        <v>36</v>
      </c>
      <c r="I452" s="6">
        <v>44440</v>
      </c>
      <c r="J452" s="4">
        <v>0</v>
      </c>
      <c r="K452" s="70">
        <v>0</v>
      </c>
      <c r="L452" s="4">
        <v>4334.0870000000004</v>
      </c>
      <c r="M452" s="70">
        <v>4334.0870000000004</v>
      </c>
      <c r="N452" s="4">
        <v>4334.0870000000004</v>
      </c>
      <c r="O452" s="70">
        <v>4334.0870000000004</v>
      </c>
      <c r="P452" s="4">
        <v>0</v>
      </c>
      <c r="Q452" s="3" t="s">
        <v>26</v>
      </c>
      <c r="R452" s="3">
        <v>0</v>
      </c>
      <c r="S452" s="3">
        <v>0</v>
      </c>
      <c r="T452" s="3">
        <v>29</v>
      </c>
      <c r="U452" s="3">
        <v>73</v>
      </c>
      <c r="V452" s="70">
        <f>IF(ISERROR(VLOOKUP($S$452,'TAR FIN'!$A$1:$O$99,15,0)),0,VLOOKUP($S$452,'TAR FIN'!$A$1:$O$99,15,0))</f>
        <v>0</v>
      </c>
      <c r="W452" s="70">
        <f>IF(ISERROR(VLOOKUP($T$452,'TAR FIN'!$A$1:$O$99,15,0)),0,VLOOKUP($T$452,'TAR FIN'!$A$1:$O$99,15,0))*(1-0.06)</f>
        <v>91.753399999999999</v>
      </c>
      <c r="X452" s="70">
        <f>IF(ISERROR(VLOOKUP($U$452,'TAR FIN'!$A$1:$O$99,15,0)),0,VLOOKUP($U$452,'TAR FIN'!$A$1:$O$99,15,0))*(1-0.06)</f>
        <v>206.77179999999998</v>
      </c>
      <c r="Y452" s="70"/>
      <c r="Z452" s="70">
        <f ca="1">('TUSD BE'!$AM$23+'TUSD BF'!$AM$23+'TUSD CVA'!$AM$23)*1*(1-0.03)</f>
        <v>114.0634109344435</v>
      </c>
      <c r="AA452" s="70">
        <f>('TE BE'!$AA$8+'TE BF'!$AA$8+'TE CVA'!$AA$8)*1*(1-0.03)</f>
        <v>263.00493660044975</v>
      </c>
      <c r="AB452" s="70">
        <f>(SUBSIDIO!$J$452*SUBSIDIO!$V$452)*(0.06)/(1-0.06)</f>
        <v>0</v>
      </c>
      <c r="AC452" s="70">
        <f>((SUBSIDIO!$L$452*SUBSIDIO!$W$452)+(SUBSIDIO!$N$452*SUBSIDIO!$X$452))*(0.06)/(1-0.06)</f>
        <v>82585.160967600008</v>
      </c>
      <c r="AD452" s="70">
        <f>(SUBSIDIO!$J$452*SUBSIDIO!$Y$452)*(0.03)/(1-0.03)</f>
        <v>0</v>
      </c>
      <c r="AE452" s="70">
        <f ca="1">((SUBSIDIO!$L$452*SUBSIDIO!$Z$452)+(SUBSIDIO!$N$452*SUBSIDIO!$AA$452))*(0.03)/(1-0.03)</f>
        <v>50543.722365849368</v>
      </c>
      <c r="AF452" s="3" t="s">
        <v>953</v>
      </c>
    </row>
    <row r="453" spans="1:32" ht="11.25" customHeight="1" x14ac:dyDescent="0.25">
      <c r="A453" s="3" t="s">
        <v>28</v>
      </c>
      <c r="B453" s="3" t="s">
        <v>33</v>
      </c>
      <c r="C453" s="3" t="s">
        <v>34</v>
      </c>
      <c r="D453" s="3" t="s">
        <v>50</v>
      </c>
      <c r="E453" s="3" t="s">
        <v>51</v>
      </c>
      <c r="F453" s="3" t="s">
        <v>25</v>
      </c>
      <c r="G453" s="3" t="s">
        <v>25</v>
      </c>
      <c r="H453" s="3" t="s">
        <v>36</v>
      </c>
      <c r="I453" s="6">
        <v>44440</v>
      </c>
      <c r="J453" s="4">
        <v>0</v>
      </c>
      <c r="K453" s="70">
        <v>0</v>
      </c>
      <c r="L453" s="4">
        <v>17.384</v>
      </c>
      <c r="M453" s="70">
        <v>17.384</v>
      </c>
      <c r="N453" s="4">
        <v>17.384</v>
      </c>
      <c r="O453" s="70">
        <v>17.384</v>
      </c>
      <c r="P453" s="4">
        <v>0</v>
      </c>
      <c r="Q453" s="3" t="s">
        <v>26</v>
      </c>
      <c r="R453" s="3">
        <v>0</v>
      </c>
      <c r="S453" s="3">
        <v>0</v>
      </c>
      <c r="T453" s="3">
        <v>29</v>
      </c>
      <c r="U453" s="3">
        <v>73</v>
      </c>
      <c r="V453" s="70">
        <f>IF(ISERROR(VLOOKUP($S$453,'TAR FIN'!$A$1:$O$99,15,0)),0,VLOOKUP($S$453,'TAR FIN'!$A$1:$O$99,15,0))</f>
        <v>0</v>
      </c>
      <c r="W453" s="70">
        <f>IF(ISERROR(VLOOKUP($T$453,'TAR FIN'!$A$1:$O$99,15,0)),0,VLOOKUP($T$453,'TAR FIN'!$A$1:$O$99,15,0))*(1-0.06)</f>
        <v>91.753399999999999</v>
      </c>
      <c r="X453" s="70">
        <f>IF(ISERROR(VLOOKUP($U$453,'TAR FIN'!$A$1:$O$99,15,0)),0,VLOOKUP($U$453,'TAR FIN'!$A$1:$O$99,15,0))*(1-0.06)</f>
        <v>206.77179999999998</v>
      </c>
      <c r="Y453" s="70"/>
      <c r="Z453" s="70">
        <f ca="1">('TUSD BE'!$AM$23+'TUSD BF'!$AM$23+'TUSD CVA'!$AM$23)*1*(1-0.03)</f>
        <v>114.0634109344435</v>
      </c>
      <c r="AA453" s="70">
        <f>('TE BE'!$AA$8+'TE BF'!$AA$8+'TE CVA'!$AA$8)*1*(1-0.03)</f>
        <v>263.00493660044975</v>
      </c>
      <c r="AB453" s="70">
        <f>(SUBSIDIO!$J$453*SUBSIDIO!$V$453)*(0.06)/(1-0.06)</f>
        <v>0</v>
      </c>
      <c r="AC453" s="70">
        <f>((SUBSIDIO!$L$453*SUBSIDIO!$W$453)+(SUBSIDIO!$N$453*SUBSIDIO!$X$453))*(0.06)/(1-0.06)</f>
        <v>331.2486432</v>
      </c>
      <c r="AD453" s="70">
        <f>(SUBSIDIO!$J$453*SUBSIDIO!$Y$453)*(0.03)/(1-0.03)</f>
        <v>0</v>
      </c>
      <c r="AE453" s="70">
        <f ca="1">((SUBSIDIO!$L$453*SUBSIDIO!$Z$453)+(SUBSIDIO!$N$453*SUBSIDIO!$AA$453))*(0.03)/(1-0.03)</f>
        <v>202.73060268700777</v>
      </c>
      <c r="AF453" s="3" t="s">
        <v>953</v>
      </c>
    </row>
    <row r="454" spans="1:32" ht="11.25" customHeight="1" x14ac:dyDescent="0.25">
      <c r="A454" s="3" t="s">
        <v>21</v>
      </c>
      <c r="B454" s="3" t="s">
        <v>33</v>
      </c>
      <c r="C454" s="3" t="s">
        <v>34</v>
      </c>
      <c r="D454" s="3" t="s">
        <v>50</v>
      </c>
      <c r="E454" s="3" t="s">
        <v>51</v>
      </c>
      <c r="F454" s="3" t="s">
        <v>25</v>
      </c>
      <c r="G454" s="3" t="s">
        <v>25</v>
      </c>
      <c r="H454" s="3" t="s">
        <v>36</v>
      </c>
      <c r="I454" s="6">
        <v>44470</v>
      </c>
      <c r="J454" s="4">
        <v>0</v>
      </c>
      <c r="K454" s="70">
        <v>0</v>
      </c>
      <c r="L454" s="4">
        <v>4657.0370000000003</v>
      </c>
      <c r="M454" s="70">
        <v>4657.0370000000003</v>
      </c>
      <c r="N454" s="4">
        <v>4657.0370000000003</v>
      </c>
      <c r="O454" s="70">
        <v>4657.0370000000003</v>
      </c>
      <c r="P454" s="4">
        <v>0</v>
      </c>
      <c r="Q454" s="3" t="s">
        <v>26</v>
      </c>
      <c r="R454" s="3">
        <v>0</v>
      </c>
      <c r="S454" s="3">
        <v>0</v>
      </c>
      <c r="T454" s="3">
        <v>29</v>
      </c>
      <c r="U454" s="3">
        <v>73</v>
      </c>
      <c r="V454" s="70">
        <f>IF(ISERROR(VLOOKUP($S$454,'TAR FIN'!$A$1:$O$99,15,0)),0,VLOOKUP($S$454,'TAR FIN'!$A$1:$O$99,15,0))</f>
        <v>0</v>
      </c>
      <c r="W454" s="70">
        <f>IF(ISERROR(VLOOKUP($T$454,'TAR FIN'!$A$1:$O$99,15,0)),0,VLOOKUP($T$454,'TAR FIN'!$A$1:$O$99,15,0))*(1-0.06)</f>
        <v>91.753399999999999</v>
      </c>
      <c r="X454" s="70">
        <f>IF(ISERROR(VLOOKUP($U$454,'TAR FIN'!$A$1:$O$99,15,0)),0,VLOOKUP($U$454,'TAR FIN'!$A$1:$O$99,15,0))*(1-0.06)</f>
        <v>206.77179999999998</v>
      </c>
      <c r="Y454" s="70"/>
      <c r="Z454" s="70">
        <f ca="1">('TUSD BE'!$AM$23+'TUSD BF'!$AM$23+'TUSD CVA'!$AM$23)*1*(1-0.03)</f>
        <v>114.0634109344435</v>
      </c>
      <c r="AA454" s="70">
        <f>('TE BE'!$AA$8+'TE BF'!$AA$8+'TE CVA'!$AA$8)*1*(1-0.03)</f>
        <v>263.00493660044975</v>
      </c>
      <c r="AB454" s="70">
        <f>(SUBSIDIO!$J$454*SUBSIDIO!$V$454)*(0.06)/(1-0.06)</f>
        <v>0</v>
      </c>
      <c r="AC454" s="70">
        <f>((SUBSIDIO!$L$454*SUBSIDIO!$W$454)+(SUBSIDIO!$N$454*SUBSIDIO!$X$454))*(0.06)/(1-0.06)</f>
        <v>88738.908627600002</v>
      </c>
      <c r="AD454" s="70">
        <f>(SUBSIDIO!$J$454*SUBSIDIO!$Y$454)*(0.03)/(1-0.03)</f>
        <v>0</v>
      </c>
      <c r="AE454" s="70">
        <f ca="1">((SUBSIDIO!$L$454*SUBSIDIO!$Z$454)+(SUBSIDIO!$N$454*SUBSIDIO!$AA$454))*(0.03)/(1-0.03)</f>
        <v>54309.93544326361</v>
      </c>
      <c r="AF454" s="3" t="s">
        <v>953</v>
      </c>
    </row>
    <row r="455" spans="1:32" ht="11.25" customHeight="1" x14ac:dyDescent="0.25">
      <c r="A455" s="3" t="s">
        <v>28</v>
      </c>
      <c r="B455" s="3" t="s">
        <v>33</v>
      </c>
      <c r="C455" s="3" t="s">
        <v>34</v>
      </c>
      <c r="D455" s="3" t="s">
        <v>50</v>
      </c>
      <c r="E455" s="3" t="s">
        <v>51</v>
      </c>
      <c r="F455" s="3" t="s">
        <v>25</v>
      </c>
      <c r="G455" s="3" t="s">
        <v>25</v>
      </c>
      <c r="H455" s="3" t="s">
        <v>36</v>
      </c>
      <c r="I455" s="6">
        <v>44470</v>
      </c>
      <c r="J455" s="4">
        <v>0</v>
      </c>
      <c r="K455" s="70">
        <v>0</v>
      </c>
      <c r="L455" s="4">
        <v>22.382999999999999</v>
      </c>
      <c r="M455" s="70">
        <v>22.382999999999999</v>
      </c>
      <c r="N455" s="4">
        <v>22.382999999999999</v>
      </c>
      <c r="O455" s="70">
        <v>22.382999999999999</v>
      </c>
      <c r="P455" s="4">
        <v>0</v>
      </c>
      <c r="Q455" s="3" t="s">
        <v>26</v>
      </c>
      <c r="R455" s="3">
        <v>0</v>
      </c>
      <c r="S455" s="3">
        <v>0</v>
      </c>
      <c r="T455" s="3">
        <v>29</v>
      </c>
      <c r="U455" s="3">
        <v>73</v>
      </c>
      <c r="V455" s="70">
        <f>IF(ISERROR(VLOOKUP($S$455,'TAR FIN'!$A$1:$O$99,15,0)),0,VLOOKUP($S$455,'TAR FIN'!$A$1:$O$99,15,0))</f>
        <v>0</v>
      </c>
      <c r="W455" s="70">
        <f>IF(ISERROR(VLOOKUP($T$455,'TAR FIN'!$A$1:$O$99,15,0)),0,VLOOKUP($T$455,'TAR FIN'!$A$1:$O$99,15,0))*(1-0.06)</f>
        <v>91.753399999999999</v>
      </c>
      <c r="X455" s="70">
        <f>IF(ISERROR(VLOOKUP($U$455,'TAR FIN'!$A$1:$O$99,15,0)),0,VLOOKUP($U$455,'TAR FIN'!$A$1:$O$99,15,0))*(1-0.06)</f>
        <v>206.77179999999998</v>
      </c>
      <c r="Y455" s="70"/>
      <c r="Z455" s="70">
        <f ca="1">('TUSD BE'!$AM$23+'TUSD BF'!$AM$23+'TUSD CVA'!$AM$23)*1*(1-0.03)</f>
        <v>114.0634109344435</v>
      </c>
      <c r="AA455" s="70">
        <f>('TE BE'!$AA$8+'TE BF'!$AA$8+'TE CVA'!$AA$8)*1*(1-0.03)</f>
        <v>263.00493660044975</v>
      </c>
      <c r="AB455" s="70">
        <f>(SUBSIDIO!$J$455*SUBSIDIO!$V$455)*(0.06)/(1-0.06)</f>
        <v>0</v>
      </c>
      <c r="AC455" s="70">
        <f>((SUBSIDIO!$L$455*SUBSIDIO!$W$455)+(SUBSIDIO!$N$455*SUBSIDIO!$X$455))*(0.06)/(1-0.06)</f>
        <v>426.50358839999996</v>
      </c>
      <c r="AD455" s="70">
        <f>(SUBSIDIO!$J$455*SUBSIDIO!$Y$455)*(0.03)/(1-0.03)</f>
        <v>0</v>
      </c>
      <c r="AE455" s="70">
        <f ca="1">((SUBSIDIO!$L$455*SUBSIDIO!$Z$455)+(SUBSIDIO!$N$455*SUBSIDIO!$AA$455))*(0.03)/(1-0.03)</f>
        <v>261.02847905794374</v>
      </c>
      <c r="AF455" s="3" t="s">
        <v>953</v>
      </c>
    </row>
    <row r="456" spans="1:32" ht="11.25" customHeight="1" x14ac:dyDescent="0.25">
      <c r="A456" s="3" t="s">
        <v>21</v>
      </c>
      <c r="B456" s="3" t="s">
        <v>33</v>
      </c>
      <c r="C456" s="3" t="s">
        <v>34</v>
      </c>
      <c r="D456" s="3" t="s">
        <v>50</v>
      </c>
      <c r="E456" s="3" t="s">
        <v>51</v>
      </c>
      <c r="F456" s="3" t="s">
        <v>25</v>
      </c>
      <c r="G456" s="3" t="s">
        <v>25</v>
      </c>
      <c r="H456" s="3" t="s">
        <v>36</v>
      </c>
      <c r="I456" s="6">
        <v>44501</v>
      </c>
      <c r="J456" s="4">
        <v>0</v>
      </c>
      <c r="K456" s="70">
        <v>0</v>
      </c>
      <c r="L456" s="4">
        <v>4427.6210000000001</v>
      </c>
      <c r="M456" s="70">
        <v>4427.6210000000001</v>
      </c>
      <c r="N456" s="4">
        <v>4427.6210000000001</v>
      </c>
      <c r="O456" s="70">
        <v>4427.6210000000001</v>
      </c>
      <c r="P456" s="4">
        <v>0</v>
      </c>
      <c r="Q456" s="3" t="s">
        <v>26</v>
      </c>
      <c r="R456" s="3">
        <v>0</v>
      </c>
      <c r="S456" s="3">
        <v>0</v>
      </c>
      <c r="T456" s="3">
        <v>29</v>
      </c>
      <c r="U456" s="3">
        <v>73</v>
      </c>
      <c r="V456" s="70">
        <f>IF(ISERROR(VLOOKUP($S$456,'TAR FIN'!$A$1:$O$99,15,0)),0,VLOOKUP($S$456,'TAR FIN'!$A$1:$O$99,15,0))</f>
        <v>0</v>
      </c>
      <c r="W456" s="70">
        <f>IF(ISERROR(VLOOKUP($T$456,'TAR FIN'!$A$1:$O$99,15,0)),0,VLOOKUP($T$456,'TAR FIN'!$A$1:$O$99,15,0))*(1-0.06)</f>
        <v>91.753399999999999</v>
      </c>
      <c r="X456" s="70">
        <f>IF(ISERROR(VLOOKUP($U$456,'TAR FIN'!$A$1:$O$99,15,0)),0,VLOOKUP($U$456,'TAR FIN'!$A$1:$O$99,15,0))*(1-0.06)</f>
        <v>206.77179999999998</v>
      </c>
      <c r="Y456" s="70"/>
      <c r="Z456" s="70">
        <f ca="1">('TUSD BE'!$AM$23+'TUSD BF'!$AM$23+'TUSD CVA'!$AM$23)*1*(1-0.03)</f>
        <v>114.0634109344435</v>
      </c>
      <c r="AA456" s="70">
        <f>('TE BE'!$AA$8+'TE BF'!$AA$8+'TE CVA'!$AA$8)*1*(1-0.03)</f>
        <v>263.00493660044975</v>
      </c>
      <c r="AB456" s="70">
        <f>(SUBSIDIO!$J$456*SUBSIDIO!$V$456)*(0.06)/(1-0.06)</f>
        <v>0</v>
      </c>
      <c r="AC456" s="70">
        <f>((SUBSIDIO!$L$456*SUBSIDIO!$W$456)+(SUBSIDIO!$N$456*SUBSIDIO!$X$456))*(0.06)/(1-0.06)</f>
        <v>84367.432630800002</v>
      </c>
      <c r="AD456" s="70">
        <f>(SUBSIDIO!$J$456*SUBSIDIO!$Y$456)*(0.03)/(1-0.03)</f>
        <v>0</v>
      </c>
      <c r="AE456" s="70">
        <f ca="1">((SUBSIDIO!$L$456*SUBSIDIO!$Z$456)+(SUBSIDIO!$N$456*SUBSIDIO!$AA$456))*(0.03)/(1-0.03)</f>
        <v>51634.507236519326</v>
      </c>
      <c r="AF456" s="3" t="s">
        <v>953</v>
      </c>
    </row>
    <row r="457" spans="1:32" ht="11.25" customHeight="1" x14ac:dyDescent="0.25">
      <c r="A457" s="3" t="s">
        <v>27</v>
      </c>
      <c r="B457" s="3" t="s">
        <v>33</v>
      </c>
      <c r="C457" s="3" t="s">
        <v>34</v>
      </c>
      <c r="D457" s="3" t="s">
        <v>50</v>
      </c>
      <c r="E457" s="3" t="s">
        <v>51</v>
      </c>
      <c r="F457" s="3" t="s">
        <v>25</v>
      </c>
      <c r="G457" s="3" t="s">
        <v>25</v>
      </c>
      <c r="H457" s="3" t="s">
        <v>36</v>
      </c>
      <c r="I457" s="6">
        <v>44501</v>
      </c>
      <c r="J457" s="4">
        <v>0</v>
      </c>
      <c r="K457" s="70">
        <v>0</v>
      </c>
      <c r="L457" s="4">
        <v>2.161</v>
      </c>
      <c r="M457" s="70">
        <v>2.161</v>
      </c>
      <c r="N457" s="4">
        <v>2.161</v>
      </c>
      <c r="O457" s="70">
        <v>2.161</v>
      </c>
      <c r="P457" s="4">
        <v>0</v>
      </c>
      <c r="Q457" s="3" t="s">
        <v>26</v>
      </c>
      <c r="R457" s="3">
        <v>0</v>
      </c>
      <c r="S457" s="3">
        <v>0</v>
      </c>
      <c r="T457" s="3">
        <v>29</v>
      </c>
      <c r="U457" s="3">
        <v>73</v>
      </c>
      <c r="V457" s="70">
        <f>IF(ISERROR(VLOOKUP($S$457,'TAR FIN'!$A$1:$O$99,15,0)),0,VLOOKUP($S$457,'TAR FIN'!$A$1:$O$99,15,0))</f>
        <v>0</v>
      </c>
      <c r="W457" s="70">
        <f>IF(ISERROR(VLOOKUP($T$457,'TAR FIN'!$A$1:$O$99,15,0)),0,VLOOKUP($T$457,'TAR FIN'!$A$1:$O$99,15,0))*(1-0.06)</f>
        <v>91.753399999999999</v>
      </c>
      <c r="X457" s="70">
        <f>IF(ISERROR(VLOOKUP($U$457,'TAR FIN'!$A$1:$O$99,15,0)),0,VLOOKUP($U$457,'TAR FIN'!$A$1:$O$99,15,0))*(1-0.06)</f>
        <v>206.77179999999998</v>
      </c>
      <c r="Y457" s="70"/>
      <c r="Z457" s="70">
        <f ca="1">('TUSD BE'!$AM$23+'TUSD BF'!$AM$23+'TUSD CVA'!$AM$23)*1*(1-0.03)</f>
        <v>114.0634109344435</v>
      </c>
      <c r="AA457" s="70">
        <f>('TE BE'!$AA$8+'TE BF'!$AA$8+'TE CVA'!$AA$8)*1*(1-0.03)</f>
        <v>263.00493660044975</v>
      </c>
      <c r="AB457" s="70">
        <f>(SUBSIDIO!$J$457*SUBSIDIO!$V$457)*(0.06)/(1-0.06)</f>
        <v>0</v>
      </c>
      <c r="AC457" s="70">
        <f>((SUBSIDIO!$L$457*SUBSIDIO!$W$457)+(SUBSIDIO!$N$457*SUBSIDIO!$X$457))*(0.06)/(1-0.06)</f>
        <v>41.177422799999995</v>
      </c>
      <c r="AD457" s="70">
        <f>(SUBSIDIO!$J$457*SUBSIDIO!$Y$457)*(0.03)/(1-0.03)</f>
        <v>0</v>
      </c>
      <c r="AE457" s="70">
        <f ca="1">((SUBSIDIO!$L$457*SUBSIDIO!$Z$457)+(SUBSIDIO!$N$457*SUBSIDIO!$AA$457))*(0.03)/(1-0.03)</f>
        <v>25.201382444007347</v>
      </c>
      <c r="AF457" s="3" t="s">
        <v>953</v>
      </c>
    </row>
    <row r="458" spans="1:32" ht="11.25" customHeight="1" x14ac:dyDescent="0.25">
      <c r="A458" s="3" t="s">
        <v>28</v>
      </c>
      <c r="B458" s="3" t="s">
        <v>33</v>
      </c>
      <c r="C458" s="3" t="s">
        <v>34</v>
      </c>
      <c r="D458" s="3" t="s">
        <v>50</v>
      </c>
      <c r="E458" s="3" t="s">
        <v>51</v>
      </c>
      <c r="F458" s="3" t="s">
        <v>25</v>
      </c>
      <c r="G458" s="3" t="s">
        <v>25</v>
      </c>
      <c r="H458" s="3" t="s">
        <v>36</v>
      </c>
      <c r="I458" s="6">
        <v>44501</v>
      </c>
      <c r="J458" s="4">
        <v>0</v>
      </c>
      <c r="K458" s="70">
        <v>0</v>
      </c>
      <c r="L458" s="4">
        <v>13.494999999999999</v>
      </c>
      <c r="M458" s="70">
        <v>13.494999999999999</v>
      </c>
      <c r="N458" s="4">
        <v>13.494999999999999</v>
      </c>
      <c r="O458" s="70">
        <v>13.494999999999999</v>
      </c>
      <c r="P458" s="4">
        <v>0</v>
      </c>
      <c r="Q458" s="3" t="s">
        <v>26</v>
      </c>
      <c r="R458" s="3">
        <v>0</v>
      </c>
      <c r="S458" s="3">
        <v>0</v>
      </c>
      <c r="T458" s="3">
        <v>29</v>
      </c>
      <c r="U458" s="3">
        <v>73</v>
      </c>
      <c r="V458" s="70">
        <f>IF(ISERROR(VLOOKUP($S$458,'TAR FIN'!$A$1:$O$99,15,0)),0,VLOOKUP($S$458,'TAR FIN'!$A$1:$O$99,15,0))</f>
        <v>0</v>
      </c>
      <c r="W458" s="70">
        <f>IF(ISERROR(VLOOKUP($T$458,'TAR FIN'!$A$1:$O$99,15,0)),0,VLOOKUP($T$458,'TAR FIN'!$A$1:$O$99,15,0))*(1-0.06)</f>
        <v>91.753399999999999</v>
      </c>
      <c r="X458" s="70">
        <f>IF(ISERROR(VLOOKUP($U$458,'TAR FIN'!$A$1:$O$99,15,0)),0,VLOOKUP($U$458,'TAR FIN'!$A$1:$O$99,15,0))*(1-0.06)</f>
        <v>206.77179999999998</v>
      </c>
      <c r="Y458" s="70"/>
      <c r="Z458" s="70">
        <f ca="1">('TUSD BE'!$AM$23+'TUSD BF'!$AM$23+'TUSD CVA'!$AM$23)*1*(1-0.03)</f>
        <v>114.0634109344435</v>
      </c>
      <c r="AA458" s="70">
        <f>('TE BE'!$AA$8+'TE BF'!$AA$8+'TE CVA'!$AA$8)*1*(1-0.03)</f>
        <v>263.00493660044975</v>
      </c>
      <c r="AB458" s="70">
        <f>(SUBSIDIO!$J$458*SUBSIDIO!$V$458)*(0.06)/(1-0.06)</f>
        <v>0</v>
      </c>
      <c r="AC458" s="70">
        <f>((SUBSIDIO!$L$458*SUBSIDIO!$W$458)+(SUBSIDIO!$N$458*SUBSIDIO!$X$458))*(0.06)/(1-0.06)</f>
        <v>257.14452599999998</v>
      </c>
      <c r="AD458" s="70">
        <f>(SUBSIDIO!$J$458*SUBSIDIO!$Y$458)*(0.03)/(1-0.03)</f>
        <v>0</v>
      </c>
      <c r="AE458" s="70">
        <f ca="1">((SUBSIDIO!$L$458*SUBSIDIO!$Z$458)+(SUBSIDIO!$N$458*SUBSIDIO!$AA$458))*(0.03)/(1-0.03)</f>
        <v>157.37744381391911</v>
      </c>
      <c r="AF458" s="3" t="s">
        <v>953</v>
      </c>
    </row>
    <row r="459" spans="1:32" ht="11.25" customHeight="1" x14ac:dyDescent="0.25">
      <c r="A459" s="3" t="s">
        <v>21</v>
      </c>
      <c r="B459" s="3" t="s">
        <v>33</v>
      </c>
      <c r="C459" s="3" t="s">
        <v>34</v>
      </c>
      <c r="D459" s="3" t="s">
        <v>50</v>
      </c>
      <c r="E459" s="3" t="s">
        <v>51</v>
      </c>
      <c r="F459" s="3" t="s">
        <v>25</v>
      </c>
      <c r="G459" s="3" t="s">
        <v>25</v>
      </c>
      <c r="H459" s="3" t="s">
        <v>36</v>
      </c>
      <c r="I459" s="6">
        <v>44531</v>
      </c>
      <c r="J459" s="4">
        <v>0</v>
      </c>
      <c r="K459" s="70">
        <v>0</v>
      </c>
      <c r="L459" s="4">
        <v>4464.2560000000003</v>
      </c>
      <c r="M459" s="70">
        <v>4464.2560000000003</v>
      </c>
      <c r="N459" s="4">
        <v>4464.2560000000003</v>
      </c>
      <c r="O459" s="70">
        <v>4464.2560000000003</v>
      </c>
      <c r="P459" s="4">
        <v>0</v>
      </c>
      <c r="Q459" s="3" t="s">
        <v>26</v>
      </c>
      <c r="R459" s="3">
        <v>0</v>
      </c>
      <c r="S459" s="3">
        <v>0</v>
      </c>
      <c r="T459" s="3">
        <v>29</v>
      </c>
      <c r="U459" s="3">
        <v>73</v>
      </c>
      <c r="V459" s="70">
        <f>IF(ISERROR(VLOOKUP($S$459,'TAR FIN'!$A$1:$O$99,15,0)),0,VLOOKUP($S$459,'TAR FIN'!$A$1:$O$99,15,0))</f>
        <v>0</v>
      </c>
      <c r="W459" s="70">
        <f>IF(ISERROR(VLOOKUP($T$459,'TAR FIN'!$A$1:$O$99,15,0)),0,VLOOKUP($T$459,'TAR FIN'!$A$1:$O$99,15,0))*(1-0.06)</f>
        <v>91.753399999999999</v>
      </c>
      <c r="X459" s="70">
        <f>IF(ISERROR(VLOOKUP($U$459,'TAR FIN'!$A$1:$O$99,15,0)),0,VLOOKUP($U$459,'TAR FIN'!$A$1:$O$99,15,0))*(1-0.06)</f>
        <v>206.77179999999998</v>
      </c>
      <c r="Y459" s="70"/>
      <c r="Z459" s="70">
        <f ca="1">('TUSD BE'!$AM$23+'TUSD BF'!$AM$23+'TUSD CVA'!$AM$23)*1*(1-0.03)</f>
        <v>114.0634109344435</v>
      </c>
      <c r="AA459" s="70">
        <f>('TE BE'!$AA$8+'TE BF'!$AA$8+'TE CVA'!$AA$8)*1*(1-0.03)</f>
        <v>263.00493660044975</v>
      </c>
      <c r="AB459" s="70">
        <f>(SUBSIDIO!$J$459*SUBSIDIO!$V$459)*(0.06)/(1-0.06)</f>
        <v>0</v>
      </c>
      <c r="AC459" s="70">
        <f>((SUBSIDIO!$L$459*SUBSIDIO!$W$459)+(SUBSIDIO!$N$459*SUBSIDIO!$X$459))*(0.06)/(1-0.06)</f>
        <v>85065.505228800015</v>
      </c>
      <c r="AD459" s="70">
        <f>(SUBSIDIO!$J$459*SUBSIDIO!$Y$459)*(0.03)/(1-0.03)</f>
        <v>0</v>
      </c>
      <c r="AE459" s="70">
        <f ca="1">((SUBSIDIO!$L$459*SUBSIDIO!$Z$459)+(SUBSIDIO!$N$459*SUBSIDIO!$AA$459))*(0.03)/(1-0.03)</f>
        <v>52061.74122348657</v>
      </c>
      <c r="AF459" s="3" t="s">
        <v>953</v>
      </c>
    </row>
    <row r="460" spans="1:32" ht="11.25" customHeight="1" x14ac:dyDescent="0.25">
      <c r="A460" s="3" t="s">
        <v>27</v>
      </c>
      <c r="B460" s="3" t="s">
        <v>33</v>
      </c>
      <c r="C460" s="3" t="s">
        <v>34</v>
      </c>
      <c r="D460" s="3" t="s">
        <v>50</v>
      </c>
      <c r="E460" s="3" t="s">
        <v>51</v>
      </c>
      <c r="F460" s="3" t="s">
        <v>25</v>
      </c>
      <c r="G460" s="3" t="s">
        <v>25</v>
      </c>
      <c r="H460" s="3" t="s">
        <v>36</v>
      </c>
      <c r="I460" s="6">
        <v>44531</v>
      </c>
      <c r="J460" s="4">
        <v>0</v>
      </c>
      <c r="K460" s="70">
        <v>0</v>
      </c>
      <c r="L460" s="4">
        <v>1.657</v>
      </c>
      <c r="M460" s="70">
        <v>1.657</v>
      </c>
      <c r="N460" s="4">
        <v>1.657</v>
      </c>
      <c r="O460" s="70">
        <v>1.657</v>
      </c>
      <c r="P460" s="4">
        <v>0</v>
      </c>
      <c r="Q460" s="3" t="s">
        <v>26</v>
      </c>
      <c r="R460" s="3">
        <v>0</v>
      </c>
      <c r="S460" s="3">
        <v>0</v>
      </c>
      <c r="T460" s="3">
        <v>29</v>
      </c>
      <c r="U460" s="3">
        <v>73</v>
      </c>
      <c r="V460" s="70">
        <f>IF(ISERROR(VLOOKUP($S$460,'TAR FIN'!$A$1:$O$99,15,0)),0,VLOOKUP($S$460,'TAR FIN'!$A$1:$O$99,15,0))</f>
        <v>0</v>
      </c>
      <c r="W460" s="70">
        <f>IF(ISERROR(VLOOKUP($T$460,'TAR FIN'!$A$1:$O$99,15,0)),0,VLOOKUP($T$460,'TAR FIN'!$A$1:$O$99,15,0))*(1-0.06)</f>
        <v>91.753399999999999</v>
      </c>
      <c r="X460" s="70">
        <f>IF(ISERROR(VLOOKUP($U$460,'TAR FIN'!$A$1:$O$99,15,0)),0,VLOOKUP($U$460,'TAR FIN'!$A$1:$O$99,15,0))*(1-0.06)</f>
        <v>206.77179999999998</v>
      </c>
      <c r="Y460" s="70"/>
      <c r="Z460" s="70">
        <f ca="1">('TUSD BE'!$AM$23+'TUSD BF'!$AM$23+'TUSD CVA'!$AM$23)*1*(1-0.03)</f>
        <v>114.0634109344435</v>
      </c>
      <c r="AA460" s="70">
        <f>('TE BE'!$AA$8+'TE BF'!$AA$8+'TE CVA'!$AA$8)*1*(1-0.03)</f>
        <v>263.00493660044975</v>
      </c>
      <c r="AB460" s="70">
        <f>(SUBSIDIO!$J$460*SUBSIDIO!$V$460)*(0.06)/(1-0.06)</f>
        <v>0</v>
      </c>
      <c r="AC460" s="70">
        <f>((SUBSIDIO!$L$460*SUBSIDIO!$W$460)+(SUBSIDIO!$N$460*SUBSIDIO!$X$460))*(0.06)/(1-0.06)</f>
        <v>31.573803599999998</v>
      </c>
      <c r="AD460" s="70">
        <f>(SUBSIDIO!$J$460*SUBSIDIO!$Y$460)*(0.03)/(1-0.03)</f>
        <v>0</v>
      </c>
      <c r="AE460" s="70">
        <f ca="1">((SUBSIDIO!$L$460*SUBSIDIO!$Z$460)+(SUBSIDIO!$N$460*SUBSIDIO!$AA$460))*(0.03)/(1-0.03)</f>
        <v>19.323780985525303</v>
      </c>
      <c r="AF460" s="3" t="s">
        <v>953</v>
      </c>
    </row>
    <row r="461" spans="1:32" ht="11.25" customHeight="1" x14ac:dyDescent="0.25">
      <c r="A461" s="3" t="s">
        <v>28</v>
      </c>
      <c r="B461" s="3" t="s">
        <v>33</v>
      </c>
      <c r="C461" s="3" t="s">
        <v>34</v>
      </c>
      <c r="D461" s="3" t="s">
        <v>50</v>
      </c>
      <c r="E461" s="3" t="s">
        <v>51</v>
      </c>
      <c r="F461" s="3" t="s">
        <v>25</v>
      </c>
      <c r="G461" s="3" t="s">
        <v>25</v>
      </c>
      <c r="H461" s="3" t="s">
        <v>36</v>
      </c>
      <c r="I461" s="6">
        <v>44531</v>
      </c>
      <c r="J461" s="4">
        <v>0</v>
      </c>
      <c r="K461" s="70">
        <v>0</v>
      </c>
      <c r="L461" s="4">
        <v>22.876999999999999</v>
      </c>
      <c r="M461" s="70">
        <v>22.876999999999999</v>
      </c>
      <c r="N461" s="4">
        <v>22.876999999999999</v>
      </c>
      <c r="O461" s="70">
        <v>22.876999999999999</v>
      </c>
      <c r="P461" s="4">
        <v>0</v>
      </c>
      <c r="Q461" s="3" t="s">
        <v>26</v>
      </c>
      <c r="R461" s="3">
        <v>0</v>
      </c>
      <c r="S461" s="3">
        <v>0</v>
      </c>
      <c r="T461" s="3">
        <v>29</v>
      </c>
      <c r="U461" s="3">
        <v>73</v>
      </c>
      <c r="V461" s="70">
        <f>IF(ISERROR(VLOOKUP($S$461,'TAR FIN'!$A$1:$O$99,15,0)),0,VLOOKUP($S$461,'TAR FIN'!$A$1:$O$99,15,0))</f>
        <v>0</v>
      </c>
      <c r="W461" s="70">
        <f>IF(ISERROR(VLOOKUP($T$461,'TAR FIN'!$A$1:$O$99,15,0)),0,VLOOKUP($T$461,'TAR FIN'!$A$1:$O$99,15,0))*(1-0.06)</f>
        <v>91.753399999999999</v>
      </c>
      <c r="X461" s="70">
        <f>IF(ISERROR(VLOOKUP($U$461,'TAR FIN'!$A$1:$O$99,15,0)),0,VLOOKUP($U$461,'TAR FIN'!$A$1:$O$99,15,0))*(1-0.06)</f>
        <v>206.77179999999998</v>
      </c>
      <c r="Y461" s="70"/>
      <c r="Z461" s="70">
        <f ca="1">('TUSD BE'!$AM$23+'TUSD BF'!$AM$23+'TUSD CVA'!$AM$23)*1*(1-0.03)</f>
        <v>114.0634109344435</v>
      </c>
      <c r="AA461" s="70">
        <f>('TE BE'!$AA$8+'TE BF'!$AA$8+'TE CVA'!$AA$8)*1*(1-0.03)</f>
        <v>263.00493660044975</v>
      </c>
      <c r="AB461" s="70">
        <f>(SUBSIDIO!$J$461*SUBSIDIO!$V$461)*(0.06)/(1-0.06)</f>
        <v>0</v>
      </c>
      <c r="AC461" s="70">
        <f>((SUBSIDIO!$L$461*SUBSIDIO!$W$461)+(SUBSIDIO!$N$461*SUBSIDIO!$X$461))*(0.06)/(1-0.06)</f>
        <v>435.91665959999995</v>
      </c>
      <c r="AD461" s="70">
        <f>(SUBSIDIO!$J$461*SUBSIDIO!$Y$461)*(0.03)/(1-0.03)</f>
        <v>0</v>
      </c>
      <c r="AE461" s="70">
        <f ca="1">((SUBSIDIO!$L$461*SUBSIDIO!$Z$461)+(SUBSIDIO!$N$461*SUBSIDIO!$AA$461))*(0.03)/(1-0.03)</f>
        <v>266.78946143986866</v>
      </c>
      <c r="AF461" s="3" t="s">
        <v>953</v>
      </c>
    </row>
    <row r="462" spans="1:32" ht="11.25" customHeight="1" x14ac:dyDescent="0.25">
      <c r="A462" s="3" t="s">
        <v>21</v>
      </c>
      <c r="B462" s="3" t="s">
        <v>33</v>
      </c>
      <c r="C462" s="3" t="s">
        <v>34</v>
      </c>
      <c r="D462" s="3" t="s">
        <v>50</v>
      </c>
      <c r="E462" s="3" t="s">
        <v>51</v>
      </c>
      <c r="F462" s="3" t="s">
        <v>25</v>
      </c>
      <c r="G462" s="3" t="s">
        <v>25</v>
      </c>
      <c r="H462" s="3" t="s">
        <v>36</v>
      </c>
      <c r="I462" s="6">
        <v>44562</v>
      </c>
      <c r="J462" s="4">
        <v>0</v>
      </c>
      <c r="K462" s="70">
        <v>0</v>
      </c>
      <c r="L462" s="4">
        <v>4503.6189999999997</v>
      </c>
      <c r="M462" s="70">
        <v>4503.6189999999997</v>
      </c>
      <c r="N462" s="4">
        <v>4503.6189999999997</v>
      </c>
      <c r="O462" s="70">
        <v>4503.6189999999997</v>
      </c>
      <c r="P462" s="4">
        <v>0</v>
      </c>
      <c r="Q462" s="3" t="s">
        <v>26</v>
      </c>
      <c r="R462" s="3">
        <v>0</v>
      </c>
      <c r="S462" s="3">
        <v>0</v>
      </c>
      <c r="T462" s="3">
        <v>29</v>
      </c>
      <c r="U462" s="3">
        <v>73</v>
      </c>
      <c r="V462" s="70">
        <f>IF(ISERROR(VLOOKUP($S$462,'TAR FIN'!$A$1:$O$99,15,0)),0,VLOOKUP($S$462,'TAR FIN'!$A$1:$O$99,15,0))</f>
        <v>0</v>
      </c>
      <c r="W462" s="70">
        <f>IF(ISERROR(VLOOKUP($T$462,'TAR FIN'!$A$1:$O$99,15,0)),0,VLOOKUP($T$462,'TAR FIN'!$A$1:$O$99,15,0))*(1-0.06)</f>
        <v>91.753399999999999</v>
      </c>
      <c r="X462" s="70">
        <f>IF(ISERROR(VLOOKUP($U$462,'TAR FIN'!$A$1:$O$99,15,0)),0,VLOOKUP($U$462,'TAR FIN'!$A$1:$O$99,15,0))*(1-0.06)</f>
        <v>206.77179999999998</v>
      </c>
      <c r="Y462" s="70"/>
      <c r="Z462" s="70">
        <f ca="1">('TUSD BE'!$AM$23+'TUSD BF'!$AM$23+'TUSD CVA'!$AM$23)*1*(1-0.03)</f>
        <v>114.0634109344435</v>
      </c>
      <c r="AA462" s="70">
        <f>('TE BE'!$AA$8+'TE BF'!$AA$8+'TE CVA'!$AA$8)*1*(1-0.03)</f>
        <v>263.00493660044975</v>
      </c>
      <c r="AB462" s="70">
        <f>(SUBSIDIO!$J$462*SUBSIDIO!$V$462)*(0.06)/(1-0.06)</f>
        <v>0</v>
      </c>
      <c r="AC462" s="70">
        <f>((SUBSIDIO!$L$462*SUBSIDIO!$W$462)+(SUBSIDIO!$N$462*SUBSIDIO!$X$462))*(0.06)/(1-0.06)</f>
        <v>85815.559321199995</v>
      </c>
      <c r="AD462" s="70">
        <f>(SUBSIDIO!$J$462*SUBSIDIO!$Y$462)*(0.03)/(1-0.03)</f>
        <v>0</v>
      </c>
      <c r="AE462" s="70">
        <f ca="1">((SUBSIDIO!$L$462*SUBSIDIO!$Z$462)+(SUBSIDIO!$N$462*SUBSIDIO!$AA$462))*(0.03)/(1-0.03)</f>
        <v>52520.788894538608</v>
      </c>
      <c r="AF462" s="3" t="s">
        <v>953</v>
      </c>
    </row>
    <row r="463" spans="1:32" ht="11.25" customHeight="1" x14ac:dyDescent="0.25">
      <c r="A463" s="3" t="s">
        <v>28</v>
      </c>
      <c r="B463" s="3" t="s">
        <v>33</v>
      </c>
      <c r="C463" s="3" t="s">
        <v>34</v>
      </c>
      <c r="D463" s="3" t="s">
        <v>50</v>
      </c>
      <c r="E463" s="3" t="s">
        <v>51</v>
      </c>
      <c r="F463" s="3" t="s">
        <v>25</v>
      </c>
      <c r="G463" s="3" t="s">
        <v>25</v>
      </c>
      <c r="H463" s="3" t="s">
        <v>36</v>
      </c>
      <c r="I463" s="6">
        <v>44562</v>
      </c>
      <c r="J463" s="4">
        <v>0</v>
      </c>
      <c r="K463" s="70">
        <v>0</v>
      </c>
      <c r="L463" s="4">
        <v>22.722000000000001</v>
      </c>
      <c r="M463" s="70">
        <v>22.722000000000001</v>
      </c>
      <c r="N463" s="4">
        <v>22.722000000000001</v>
      </c>
      <c r="O463" s="70">
        <v>22.722000000000001</v>
      </c>
      <c r="P463" s="4">
        <v>0</v>
      </c>
      <c r="Q463" s="3" t="s">
        <v>26</v>
      </c>
      <c r="R463" s="3">
        <v>0</v>
      </c>
      <c r="S463" s="3">
        <v>0</v>
      </c>
      <c r="T463" s="3">
        <v>29</v>
      </c>
      <c r="U463" s="3">
        <v>73</v>
      </c>
      <c r="V463" s="70">
        <f>IF(ISERROR(VLOOKUP($S$463,'TAR FIN'!$A$1:$O$99,15,0)),0,VLOOKUP($S$463,'TAR FIN'!$A$1:$O$99,15,0))</f>
        <v>0</v>
      </c>
      <c r="W463" s="70">
        <f>IF(ISERROR(VLOOKUP($T$463,'TAR FIN'!$A$1:$O$99,15,0)),0,VLOOKUP($T$463,'TAR FIN'!$A$1:$O$99,15,0))*(1-0.06)</f>
        <v>91.753399999999999</v>
      </c>
      <c r="X463" s="70">
        <f>IF(ISERROR(VLOOKUP($U$463,'TAR FIN'!$A$1:$O$99,15,0)),0,VLOOKUP($U$463,'TAR FIN'!$A$1:$O$99,15,0))*(1-0.06)</f>
        <v>206.77179999999998</v>
      </c>
      <c r="Y463" s="70"/>
      <c r="Z463" s="70">
        <f ca="1">('TUSD BE'!$AM$23+'TUSD BF'!$AM$23+'TUSD CVA'!$AM$23)*1*(1-0.03)</f>
        <v>114.0634109344435</v>
      </c>
      <c r="AA463" s="70">
        <f>('TE BE'!$AA$8+'TE BF'!$AA$8+'TE CVA'!$AA$8)*1*(1-0.03)</f>
        <v>263.00493660044975</v>
      </c>
      <c r="AB463" s="70">
        <f>(SUBSIDIO!$J$463*SUBSIDIO!$V$463)*(0.06)/(1-0.06)</f>
        <v>0</v>
      </c>
      <c r="AC463" s="70">
        <f>((SUBSIDIO!$L$463*SUBSIDIO!$W$463)+(SUBSIDIO!$N$463*SUBSIDIO!$X$463))*(0.06)/(1-0.06)</f>
        <v>432.96316560000002</v>
      </c>
      <c r="AD463" s="70">
        <f>(SUBSIDIO!$J$463*SUBSIDIO!$Y$463)*(0.03)/(1-0.03)</f>
        <v>0</v>
      </c>
      <c r="AE463" s="70">
        <f ca="1">((SUBSIDIO!$L$463*SUBSIDIO!$Z$463)+(SUBSIDIO!$N$463*SUBSIDIO!$AA$463))*(0.03)/(1-0.03)</f>
        <v>264.98186575323228</v>
      </c>
      <c r="AF463" s="3" t="s">
        <v>953</v>
      </c>
    </row>
    <row r="464" spans="1:32" ht="11.25" customHeight="1" x14ac:dyDescent="0.25">
      <c r="A464" s="3" t="s">
        <v>21</v>
      </c>
      <c r="B464" s="3" t="s">
        <v>33</v>
      </c>
      <c r="C464" s="3" t="s">
        <v>34</v>
      </c>
      <c r="D464" s="3" t="s">
        <v>50</v>
      </c>
      <c r="E464" s="3" t="s">
        <v>51</v>
      </c>
      <c r="F464" s="3" t="s">
        <v>25</v>
      </c>
      <c r="G464" s="3" t="s">
        <v>25</v>
      </c>
      <c r="H464" s="3" t="s">
        <v>36</v>
      </c>
      <c r="I464" s="6">
        <v>44593</v>
      </c>
      <c r="J464" s="4">
        <v>0</v>
      </c>
      <c r="K464" s="70">
        <v>0</v>
      </c>
      <c r="L464" s="4">
        <v>3935.6869999999999</v>
      </c>
      <c r="M464" s="70">
        <v>3935.6869999999999</v>
      </c>
      <c r="N464" s="4">
        <v>3935.6869999999999</v>
      </c>
      <c r="O464" s="70">
        <v>3935.6869999999999</v>
      </c>
      <c r="P464" s="4">
        <v>0</v>
      </c>
      <c r="Q464" s="3" t="s">
        <v>26</v>
      </c>
      <c r="R464" s="3">
        <v>0</v>
      </c>
      <c r="S464" s="3">
        <v>0</v>
      </c>
      <c r="T464" s="3">
        <v>29</v>
      </c>
      <c r="U464" s="3">
        <v>73</v>
      </c>
      <c r="V464" s="70">
        <f>IF(ISERROR(VLOOKUP($S$464,'TAR FIN'!$A$1:$O$99,15,0)),0,VLOOKUP($S$464,'TAR FIN'!$A$1:$O$99,15,0))</f>
        <v>0</v>
      </c>
      <c r="W464" s="70">
        <f>IF(ISERROR(VLOOKUP($T$464,'TAR FIN'!$A$1:$O$99,15,0)),0,VLOOKUP($T$464,'TAR FIN'!$A$1:$O$99,15,0))*(1-0.06)</f>
        <v>91.753399999999999</v>
      </c>
      <c r="X464" s="70">
        <f>IF(ISERROR(VLOOKUP($U$464,'TAR FIN'!$A$1:$O$99,15,0)),0,VLOOKUP($U$464,'TAR FIN'!$A$1:$O$99,15,0))*(1-0.06)</f>
        <v>206.77179999999998</v>
      </c>
      <c r="Y464" s="70"/>
      <c r="Z464" s="70">
        <f ca="1">('TUSD BE'!$AM$23+'TUSD BF'!$AM$23+'TUSD CVA'!$AM$23)*1*(1-0.03)</f>
        <v>114.0634109344435</v>
      </c>
      <c r="AA464" s="70">
        <f>('TE BE'!$AA$8+'TE BF'!$AA$8+'TE CVA'!$AA$8)*1*(1-0.03)</f>
        <v>263.00493660044975</v>
      </c>
      <c r="AB464" s="70">
        <f>(SUBSIDIO!$J$464*SUBSIDIO!$V$464)*(0.06)/(1-0.06)</f>
        <v>0</v>
      </c>
      <c r="AC464" s="70">
        <f>((SUBSIDIO!$L$464*SUBSIDIO!$W$464)+(SUBSIDIO!$N$464*SUBSIDIO!$X$464))*(0.06)/(1-0.06)</f>
        <v>74993.728647599986</v>
      </c>
      <c r="AD464" s="70">
        <f>(SUBSIDIO!$J$464*SUBSIDIO!$Y$464)*(0.03)/(1-0.03)</f>
        <v>0</v>
      </c>
      <c r="AE464" s="70">
        <f ca="1">((SUBSIDIO!$L$464*SUBSIDIO!$Z$464)+(SUBSIDIO!$N$464*SUBSIDIO!$AA$464))*(0.03)/(1-0.03)</f>
        <v>45897.618355811181</v>
      </c>
      <c r="AF464" s="3" t="s">
        <v>953</v>
      </c>
    </row>
    <row r="465" spans="1:32" ht="11.25" customHeight="1" x14ac:dyDescent="0.25">
      <c r="A465" s="3" t="s">
        <v>28</v>
      </c>
      <c r="B465" s="3" t="s">
        <v>33</v>
      </c>
      <c r="C465" s="3" t="s">
        <v>34</v>
      </c>
      <c r="D465" s="3" t="s">
        <v>50</v>
      </c>
      <c r="E465" s="3" t="s">
        <v>51</v>
      </c>
      <c r="F465" s="3" t="s">
        <v>25</v>
      </c>
      <c r="G465" s="3" t="s">
        <v>25</v>
      </c>
      <c r="H465" s="3" t="s">
        <v>36</v>
      </c>
      <c r="I465" s="6">
        <v>44593</v>
      </c>
      <c r="J465" s="4">
        <v>0</v>
      </c>
      <c r="K465" s="70">
        <v>0</v>
      </c>
      <c r="L465" s="4">
        <v>12.218</v>
      </c>
      <c r="M465" s="70">
        <v>12.218</v>
      </c>
      <c r="N465" s="4">
        <v>12.218</v>
      </c>
      <c r="O465" s="70">
        <v>12.218</v>
      </c>
      <c r="P465" s="4">
        <v>0</v>
      </c>
      <c r="Q465" s="3" t="s">
        <v>26</v>
      </c>
      <c r="R465" s="3">
        <v>0</v>
      </c>
      <c r="S465" s="3">
        <v>0</v>
      </c>
      <c r="T465" s="3">
        <v>29</v>
      </c>
      <c r="U465" s="3">
        <v>73</v>
      </c>
      <c r="V465" s="70">
        <f>IF(ISERROR(VLOOKUP($S$465,'TAR FIN'!$A$1:$O$99,15,0)),0,VLOOKUP($S$465,'TAR FIN'!$A$1:$O$99,15,0))</f>
        <v>0</v>
      </c>
      <c r="W465" s="70">
        <f>IF(ISERROR(VLOOKUP($T$465,'TAR FIN'!$A$1:$O$99,15,0)),0,VLOOKUP($T$465,'TAR FIN'!$A$1:$O$99,15,0))*(1-0.06)</f>
        <v>91.753399999999999</v>
      </c>
      <c r="X465" s="70">
        <f>IF(ISERROR(VLOOKUP($U$465,'TAR FIN'!$A$1:$O$99,15,0)),0,VLOOKUP($U$465,'TAR FIN'!$A$1:$O$99,15,0))*(1-0.06)</f>
        <v>206.77179999999998</v>
      </c>
      <c r="Y465" s="70"/>
      <c r="Z465" s="70">
        <f ca="1">('TUSD BE'!$AM$23+'TUSD BF'!$AM$23+'TUSD CVA'!$AM$23)*1*(1-0.03)</f>
        <v>114.0634109344435</v>
      </c>
      <c r="AA465" s="70">
        <f>('TE BE'!$AA$8+'TE BF'!$AA$8+'TE CVA'!$AA$8)*1*(1-0.03)</f>
        <v>263.00493660044975</v>
      </c>
      <c r="AB465" s="70">
        <f>(SUBSIDIO!$J$465*SUBSIDIO!$V$465)*(0.06)/(1-0.06)</f>
        <v>0</v>
      </c>
      <c r="AC465" s="70">
        <f>((SUBSIDIO!$L$465*SUBSIDIO!$W$465)+(SUBSIDIO!$N$465*SUBSIDIO!$X$465))*(0.06)/(1-0.06)</f>
        <v>232.8115464</v>
      </c>
      <c r="AD465" s="70">
        <f>(SUBSIDIO!$J$465*SUBSIDIO!$Y$465)*(0.03)/(1-0.03)</f>
        <v>0</v>
      </c>
      <c r="AE465" s="70">
        <f ca="1">((SUBSIDIO!$L$465*SUBSIDIO!$Z$465)+(SUBSIDIO!$N$465*SUBSIDIO!$AA$465))*(0.03)/(1-0.03)</f>
        <v>142.48518773756678</v>
      </c>
      <c r="AF465" s="3" t="s">
        <v>953</v>
      </c>
    </row>
    <row r="466" spans="1:32" ht="11.25" customHeight="1" x14ac:dyDescent="0.25">
      <c r="A466" s="3" t="s">
        <v>21</v>
      </c>
      <c r="B466" s="3" t="s">
        <v>33</v>
      </c>
      <c r="C466" s="3" t="s">
        <v>34</v>
      </c>
      <c r="D466" s="3" t="s">
        <v>50</v>
      </c>
      <c r="E466" s="3" t="s">
        <v>51</v>
      </c>
      <c r="F466" s="3" t="s">
        <v>25</v>
      </c>
      <c r="G466" s="3" t="s">
        <v>25</v>
      </c>
      <c r="H466" s="3" t="s">
        <v>36</v>
      </c>
      <c r="I466" s="6">
        <v>44621</v>
      </c>
      <c r="J466" s="4">
        <v>0</v>
      </c>
      <c r="K466" s="70">
        <v>0</v>
      </c>
      <c r="L466" s="4">
        <v>4499.54</v>
      </c>
      <c r="M466" s="70">
        <v>4499.54</v>
      </c>
      <c r="N466" s="4">
        <v>4499.54</v>
      </c>
      <c r="O466" s="70">
        <v>4499.54</v>
      </c>
      <c r="P466" s="4">
        <v>0</v>
      </c>
      <c r="Q466" s="3" t="s">
        <v>26</v>
      </c>
      <c r="R466" s="3">
        <v>0</v>
      </c>
      <c r="S466" s="3">
        <v>0</v>
      </c>
      <c r="T466" s="3">
        <v>29</v>
      </c>
      <c r="U466" s="3">
        <v>73</v>
      </c>
      <c r="V466" s="70">
        <f>IF(ISERROR(VLOOKUP($S$466,'TAR FIN'!$A$1:$O$99,15,0)),0,VLOOKUP($S$466,'TAR FIN'!$A$1:$O$99,15,0))</f>
        <v>0</v>
      </c>
      <c r="W466" s="70">
        <f>IF(ISERROR(VLOOKUP($T$466,'TAR FIN'!$A$1:$O$99,15,0)),0,VLOOKUP($T$466,'TAR FIN'!$A$1:$O$99,15,0))*(1-0.06)</f>
        <v>91.753399999999999</v>
      </c>
      <c r="X466" s="70">
        <f>IF(ISERROR(VLOOKUP($U$466,'TAR FIN'!$A$1:$O$99,15,0)),0,VLOOKUP($U$466,'TAR FIN'!$A$1:$O$99,15,0))*(1-0.06)</f>
        <v>206.77179999999998</v>
      </c>
      <c r="Y466" s="70"/>
      <c r="Z466" s="70">
        <f ca="1">('TUSD BE'!$AM$23+'TUSD BF'!$AM$23+'TUSD CVA'!$AM$23)*1*(1-0.03)</f>
        <v>114.0634109344435</v>
      </c>
      <c r="AA466" s="70">
        <f>('TE BE'!$AA$8+'TE BF'!$AA$8+'TE CVA'!$AA$8)*1*(1-0.03)</f>
        <v>263.00493660044975</v>
      </c>
      <c r="AB466" s="70">
        <f>(SUBSIDIO!$J$466*SUBSIDIO!$V$466)*(0.06)/(1-0.06)</f>
        <v>0</v>
      </c>
      <c r="AC466" s="70">
        <f>((SUBSIDIO!$L$466*SUBSIDIO!$W$466)+(SUBSIDIO!$N$466*SUBSIDIO!$X$466))*(0.06)/(1-0.06)</f>
        <v>85737.834791999994</v>
      </c>
      <c r="AD466" s="70">
        <f>(SUBSIDIO!$J$466*SUBSIDIO!$Y$466)*(0.03)/(1-0.03)</f>
        <v>0</v>
      </c>
      <c r="AE466" s="70">
        <f ca="1">((SUBSIDIO!$L$466*SUBSIDIO!$Z$466)+(SUBSIDIO!$N$466*SUBSIDIO!$AA$466))*(0.03)/(1-0.03)</f>
        <v>52473.219973210937</v>
      </c>
      <c r="AF466" s="3" t="s">
        <v>953</v>
      </c>
    </row>
    <row r="467" spans="1:32" ht="11.25" customHeight="1" x14ac:dyDescent="0.25">
      <c r="A467" s="3" t="s">
        <v>28</v>
      </c>
      <c r="B467" s="3" t="s">
        <v>33</v>
      </c>
      <c r="C467" s="3" t="s">
        <v>34</v>
      </c>
      <c r="D467" s="3" t="s">
        <v>50</v>
      </c>
      <c r="E467" s="3" t="s">
        <v>51</v>
      </c>
      <c r="F467" s="3" t="s">
        <v>25</v>
      </c>
      <c r="G467" s="3" t="s">
        <v>25</v>
      </c>
      <c r="H467" s="3" t="s">
        <v>36</v>
      </c>
      <c r="I467" s="6">
        <v>44621</v>
      </c>
      <c r="J467" s="4">
        <v>0</v>
      </c>
      <c r="K467" s="70">
        <v>0</v>
      </c>
      <c r="L467" s="4">
        <v>23.904</v>
      </c>
      <c r="M467" s="70">
        <v>23.904</v>
      </c>
      <c r="N467" s="4">
        <v>23.904</v>
      </c>
      <c r="O467" s="70">
        <v>23.904</v>
      </c>
      <c r="P467" s="4">
        <v>0</v>
      </c>
      <c r="Q467" s="3" t="s">
        <v>26</v>
      </c>
      <c r="R467" s="3">
        <v>0</v>
      </c>
      <c r="S467" s="3">
        <v>0</v>
      </c>
      <c r="T467" s="3">
        <v>29</v>
      </c>
      <c r="U467" s="3">
        <v>73</v>
      </c>
      <c r="V467" s="70">
        <f>IF(ISERROR(VLOOKUP($S$467,'TAR FIN'!$A$1:$O$99,15,0)),0,VLOOKUP($S$467,'TAR FIN'!$A$1:$O$99,15,0))</f>
        <v>0</v>
      </c>
      <c r="W467" s="70">
        <f>IF(ISERROR(VLOOKUP($T$467,'TAR FIN'!$A$1:$O$99,15,0)),0,VLOOKUP($T$467,'TAR FIN'!$A$1:$O$99,15,0))*(1-0.06)</f>
        <v>91.753399999999999</v>
      </c>
      <c r="X467" s="70">
        <f>IF(ISERROR(VLOOKUP($U$467,'TAR FIN'!$A$1:$O$99,15,0)),0,VLOOKUP($U$467,'TAR FIN'!$A$1:$O$99,15,0))*(1-0.06)</f>
        <v>206.77179999999998</v>
      </c>
      <c r="Y467" s="70"/>
      <c r="Z467" s="70">
        <f ca="1">('TUSD BE'!$AM$23+'TUSD BF'!$AM$23+'TUSD CVA'!$AM$23)*1*(1-0.03)</f>
        <v>114.0634109344435</v>
      </c>
      <c r="AA467" s="70">
        <f>('TE BE'!$AA$8+'TE BF'!$AA$8+'TE CVA'!$AA$8)*1*(1-0.03)</f>
        <v>263.00493660044975</v>
      </c>
      <c r="AB467" s="70">
        <f>(SUBSIDIO!$J$467*SUBSIDIO!$V$467)*(0.06)/(1-0.06)</f>
        <v>0</v>
      </c>
      <c r="AC467" s="70">
        <f>((SUBSIDIO!$L$467*SUBSIDIO!$W$467)+(SUBSIDIO!$N$467*SUBSIDIO!$X$467))*(0.06)/(1-0.06)</f>
        <v>455.48593919999996</v>
      </c>
      <c r="AD467" s="70">
        <f>(SUBSIDIO!$J$467*SUBSIDIO!$Y$467)*(0.03)/(1-0.03)</f>
        <v>0</v>
      </c>
      <c r="AE467" s="70">
        <f ca="1">((SUBSIDIO!$L$467*SUBSIDIO!$Z$467)+(SUBSIDIO!$N$467*SUBSIDIO!$AA$467))*(0.03)/(1-0.03)</f>
        <v>278.76624060229136</v>
      </c>
      <c r="AF467" s="3" t="s">
        <v>953</v>
      </c>
    </row>
    <row r="468" spans="1:32" ht="11.25" customHeight="1" x14ac:dyDescent="0.25">
      <c r="A468" s="3" t="s">
        <v>56</v>
      </c>
      <c r="B468" s="3" t="s">
        <v>33</v>
      </c>
      <c r="C468" s="3" t="s">
        <v>34</v>
      </c>
      <c r="D468" s="3" t="s">
        <v>50</v>
      </c>
      <c r="E468" s="3" t="s">
        <v>51</v>
      </c>
      <c r="F468" s="3" t="s">
        <v>25</v>
      </c>
      <c r="G468" s="3" t="s">
        <v>25</v>
      </c>
      <c r="H468" s="3" t="s">
        <v>36</v>
      </c>
      <c r="I468" s="6">
        <v>44652</v>
      </c>
      <c r="J468" s="4">
        <v>0</v>
      </c>
      <c r="K468" s="70">
        <v>0</v>
      </c>
      <c r="L468" s="4">
        <v>4499.54</v>
      </c>
      <c r="M468" s="70">
        <v>4499.54</v>
      </c>
      <c r="N468" s="4">
        <v>4499.54</v>
      </c>
      <c r="O468" s="70">
        <v>4499.54</v>
      </c>
      <c r="P468" s="4">
        <v>0</v>
      </c>
      <c r="Q468" s="3" t="s">
        <v>26</v>
      </c>
      <c r="R468" s="3">
        <v>0</v>
      </c>
      <c r="S468" s="3">
        <v>0</v>
      </c>
      <c r="T468" s="3">
        <v>29</v>
      </c>
      <c r="U468" s="3">
        <v>73</v>
      </c>
      <c r="V468" s="70">
        <f>IF(ISERROR(VLOOKUP($S$468,'TAR FIN'!$A$1:$O$99,15,0)),0,VLOOKUP($S$468,'TAR FIN'!$A$1:$O$99,15,0))</f>
        <v>0</v>
      </c>
      <c r="W468" s="70">
        <f>IF(ISERROR(VLOOKUP($T$468,'TAR FIN'!$A$1:$O$99,15,0)),0,VLOOKUP($T$468,'TAR FIN'!$A$1:$O$99,15,0))*(1-0.06)</f>
        <v>91.753399999999999</v>
      </c>
      <c r="X468" s="70">
        <f>IF(ISERROR(VLOOKUP($U$468,'TAR FIN'!$A$1:$O$99,15,0)),0,VLOOKUP($U$468,'TAR FIN'!$A$1:$O$99,15,0))*(1-0.06)</f>
        <v>206.77179999999998</v>
      </c>
      <c r="Y468" s="70"/>
      <c r="Z468" s="70">
        <f ca="1">('TUSD BE'!$AM$23+'TUSD BF'!$AM$23+'TUSD CVA'!$AM$23)*1*(1-0.03)</f>
        <v>114.0634109344435</v>
      </c>
      <c r="AA468" s="70">
        <f>('TE BE'!$AA$8+'TE BF'!$AA$8+'TE CVA'!$AA$8)*1*(1-0.03)</f>
        <v>263.00493660044975</v>
      </c>
      <c r="AB468" s="70">
        <f>(SUBSIDIO!$J$468*SUBSIDIO!$V$468)*(0.06)/(1-0.06)</f>
        <v>0</v>
      </c>
      <c r="AC468" s="70">
        <f>((SUBSIDIO!$L$468*SUBSIDIO!$W$468)+(SUBSIDIO!$N$468*SUBSIDIO!$X$468))*(0.06)/(1-0.06)</f>
        <v>85737.834791999994</v>
      </c>
      <c r="AD468" s="70">
        <f>(SUBSIDIO!$J$468*SUBSIDIO!$Y$468)*(0.03)/(1-0.03)</f>
        <v>0</v>
      </c>
      <c r="AE468" s="70">
        <f ca="1">((SUBSIDIO!$L$468*SUBSIDIO!$Z$468)+(SUBSIDIO!$N$468*SUBSIDIO!$AA$468))*(0.03)/(1-0.03)</f>
        <v>52473.219973210937</v>
      </c>
      <c r="AF468" s="3" t="s">
        <v>953</v>
      </c>
    </row>
    <row r="469" spans="1:32" ht="11.25" customHeight="1" x14ac:dyDescent="0.25">
      <c r="A469" s="3" t="s">
        <v>56</v>
      </c>
      <c r="B469" s="3" t="s">
        <v>33</v>
      </c>
      <c r="C469" s="3" t="s">
        <v>34</v>
      </c>
      <c r="D469" s="3" t="s">
        <v>50</v>
      </c>
      <c r="E469" s="3" t="s">
        <v>51</v>
      </c>
      <c r="F469" s="3" t="s">
        <v>25</v>
      </c>
      <c r="G469" s="3" t="s">
        <v>25</v>
      </c>
      <c r="H469" s="3" t="s">
        <v>36</v>
      </c>
      <c r="I469" s="6">
        <v>44652</v>
      </c>
      <c r="J469" s="4">
        <v>0</v>
      </c>
      <c r="K469" s="70">
        <v>0</v>
      </c>
      <c r="L469" s="4">
        <v>23.904</v>
      </c>
      <c r="M469" s="70">
        <v>23.904</v>
      </c>
      <c r="N469" s="4">
        <v>23.904</v>
      </c>
      <c r="O469" s="70">
        <v>23.904</v>
      </c>
      <c r="P469" s="4">
        <v>0</v>
      </c>
      <c r="Q469" s="3" t="s">
        <v>26</v>
      </c>
      <c r="R469" s="3">
        <v>0</v>
      </c>
      <c r="S469" s="3">
        <v>0</v>
      </c>
      <c r="T469" s="3">
        <v>29</v>
      </c>
      <c r="U469" s="3">
        <v>73</v>
      </c>
      <c r="V469" s="70">
        <f>IF(ISERROR(VLOOKUP($S$469,'TAR FIN'!$A$1:$O$99,15,0)),0,VLOOKUP($S$469,'TAR FIN'!$A$1:$O$99,15,0))</f>
        <v>0</v>
      </c>
      <c r="W469" s="70">
        <f>IF(ISERROR(VLOOKUP($T$469,'TAR FIN'!$A$1:$O$99,15,0)),0,VLOOKUP($T$469,'TAR FIN'!$A$1:$O$99,15,0))*(1-0.06)</f>
        <v>91.753399999999999</v>
      </c>
      <c r="X469" s="70">
        <f>IF(ISERROR(VLOOKUP($U$469,'TAR FIN'!$A$1:$O$99,15,0)),0,VLOOKUP($U$469,'TAR FIN'!$A$1:$O$99,15,0))*(1-0.06)</f>
        <v>206.77179999999998</v>
      </c>
      <c r="Y469" s="70"/>
      <c r="Z469" s="70">
        <f ca="1">('TUSD BE'!$AM$23+'TUSD BF'!$AM$23+'TUSD CVA'!$AM$23)*1*(1-0.03)</f>
        <v>114.0634109344435</v>
      </c>
      <c r="AA469" s="70">
        <f>('TE BE'!$AA$8+'TE BF'!$AA$8+'TE CVA'!$AA$8)*1*(1-0.03)</f>
        <v>263.00493660044975</v>
      </c>
      <c r="AB469" s="70">
        <f>(SUBSIDIO!$J$469*SUBSIDIO!$V$469)*(0.06)/(1-0.06)</f>
        <v>0</v>
      </c>
      <c r="AC469" s="70">
        <f>((SUBSIDIO!$L$469*SUBSIDIO!$W$469)+(SUBSIDIO!$N$469*SUBSIDIO!$X$469))*(0.06)/(1-0.06)</f>
        <v>455.48593919999996</v>
      </c>
      <c r="AD469" s="70">
        <f>(SUBSIDIO!$J$469*SUBSIDIO!$Y$469)*(0.03)/(1-0.03)</f>
        <v>0</v>
      </c>
      <c r="AE469" s="70">
        <f ca="1">((SUBSIDIO!$L$469*SUBSIDIO!$Z$469)+(SUBSIDIO!$N$469*SUBSIDIO!$AA$469))*(0.03)/(1-0.03)</f>
        <v>278.76624060229136</v>
      </c>
      <c r="AF469" s="3" t="s">
        <v>953</v>
      </c>
    </row>
    <row r="470" spans="1:32" ht="11.25" customHeight="1" x14ac:dyDescent="0.25">
      <c r="A470" s="3" t="s">
        <v>21</v>
      </c>
      <c r="B470" s="3" t="s">
        <v>33</v>
      </c>
      <c r="C470" s="3" t="s">
        <v>34</v>
      </c>
      <c r="D470" s="3" t="s">
        <v>50</v>
      </c>
      <c r="E470" s="3" t="s">
        <v>51</v>
      </c>
      <c r="F470" s="3" t="s">
        <v>25</v>
      </c>
      <c r="G470" s="3" t="s">
        <v>25</v>
      </c>
      <c r="H470" s="3" t="s">
        <v>25</v>
      </c>
      <c r="I470" s="6">
        <v>44317</v>
      </c>
      <c r="J470" s="4">
        <v>13518</v>
      </c>
      <c r="K470" s="71">
        <v>13518</v>
      </c>
      <c r="L470" s="4">
        <v>0</v>
      </c>
      <c r="M470" s="70">
        <v>0</v>
      </c>
      <c r="N470" s="4">
        <v>0</v>
      </c>
      <c r="O470" s="70">
        <v>0</v>
      </c>
      <c r="P470" s="4">
        <v>220</v>
      </c>
      <c r="Q470" s="3" t="s">
        <v>26</v>
      </c>
      <c r="R470" s="3">
        <v>0</v>
      </c>
      <c r="S470" s="3">
        <v>7</v>
      </c>
      <c r="T470" s="3">
        <v>0</v>
      </c>
      <c r="U470" s="3">
        <v>0</v>
      </c>
      <c r="V470" s="70">
        <f>IF(ISERROR(VLOOKUP($S$470,'TAR FIN'!$A$1:$O$99,15,0)),0,VLOOKUP($S$470,'TAR FIN'!$A$1:$O$99,15,0))*(1-0.06)</f>
        <v>20.539000000000001</v>
      </c>
      <c r="W470" s="70">
        <f>IF(ISERROR(VLOOKUP($T$470,'TAR FIN'!$A$1:$O$99,15,0)),0,VLOOKUP($T$470,'TAR FIN'!$A$1:$O$99,15,0))</f>
        <v>0</v>
      </c>
      <c r="X470" s="70">
        <f>IF(ISERROR(VLOOKUP($U$470,'TAR FIN'!$A$1:$O$99,15,0)),0,VLOOKUP($U$470,'TAR FIN'!$A$1:$O$99,15,0))</f>
        <v>0</v>
      </c>
      <c r="Y470" s="70">
        <f ca="1">('TUSD BE'!$AM$21+'TUSD BF'!$AM$21+'TUSD CVA'!$AM$21)*1*(1-0.03)</f>
        <v>23.929316856639257</v>
      </c>
      <c r="Z470" s="70"/>
      <c r="AA470" s="70"/>
      <c r="AB470" s="70">
        <f>(SUBSIDIO!$J$470*SUBSIDIO!$V$470)*(0.06)/(1-0.06)</f>
        <v>17722.098000000002</v>
      </c>
      <c r="AC470" s="70">
        <f>((SUBSIDIO!$L$470*SUBSIDIO!$W$470)+(SUBSIDIO!$N$470*SUBSIDIO!$X$470))*(0.06)/(1-0.06)</f>
        <v>0</v>
      </c>
      <c r="AD470" s="70">
        <f ca="1">(SUBSIDIO!$J$470*SUBSIDIO!$Y$470)*(0.03)/(1-0.03)</f>
        <v>10004.427997980913</v>
      </c>
      <c r="AE470" s="70">
        <f>((SUBSIDIO!$L$470*SUBSIDIO!$Z$470)+(SUBSIDIO!$N$470*SUBSIDIO!$AA$470))*(0.03)/(1-0.03)</f>
        <v>0</v>
      </c>
      <c r="AF470" s="3" t="s">
        <v>953</v>
      </c>
    </row>
    <row r="471" spans="1:32" ht="11.25" customHeight="1" x14ac:dyDescent="0.25">
      <c r="A471" s="3" t="s">
        <v>21</v>
      </c>
      <c r="B471" s="3" t="s">
        <v>33</v>
      </c>
      <c r="C471" s="3" t="s">
        <v>34</v>
      </c>
      <c r="D471" s="3" t="s">
        <v>50</v>
      </c>
      <c r="E471" s="3" t="s">
        <v>51</v>
      </c>
      <c r="F471" s="3" t="s">
        <v>25</v>
      </c>
      <c r="G471" s="3" t="s">
        <v>25</v>
      </c>
      <c r="H471" s="3" t="s">
        <v>25</v>
      </c>
      <c r="I471" s="6">
        <v>44348</v>
      </c>
      <c r="J471" s="4">
        <v>13284</v>
      </c>
      <c r="K471" s="71">
        <v>13284</v>
      </c>
      <c r="L471" s="4">
        <v>0</v>
      </c>
      <c r="M471" s="70">
        <v>0</v>
      </c>
      <c r="N471" s="4">
        <v>0</v>
      </c>
      <c r="O471" s="70">
        <v>0</v>
      </c>
      <c r="P471" s="4">
        <v>216</v>
      </c>
      <c r="Q471" s="3" t="s">
        <v>26</v>
      </c>
      <c r="R471" s="3">
        <v>0</v>
      </c>
      <c r="S471" s="3">
        <v>7</v>
      </c>
      <c r="T471" s="3">
        <v>0</v>
      </c>
      <c r="U471" s="3">
        <v>0</v>
      </c>
      <c r="V471" s="70">
        <f>IF(ISERROR(VLOOKUP($S$471,'TAR FIN'!$A$1:$O$99,15,0)),0,VLOOKUP($S$471,'TAR FIN'!$A$1:$O$99,15,0))*(1-0.06)</f>
        <v>20.539000000000001</v>
      </c>
      <c r="W471" s="70">
        <f>IF(ISERROR(VLOOKUP($T$471,'TAR FIN'!$A$1:$O$99,15,0)),0,VLOOKUP($T$471,'TAR FIN'!$A$1:$O$99,15,0))</f>
        <v>0</v>
      </c>
      <c r="X471" s="70">
        <f>IF(ISERROR(VLOOKUP($U$471,'TAR FIN'!$A$1:$O$99,15,0)),0,VLOOKUP($U$471,'TAR FIN'!$A$1:$O$99,15,0))</f>
        <v>0</v>
      </c>
      <c r="Y471" s="70">
        <f ca="1">('TUSD BE'!$AM$21+'TUSD BF'!$AM$21+'TUSD CVA'!$AM$21)*1*(1-0.03)</f>
        <v>23.929316856639257</v>
      </c>
      <c r="Z471" s="70"/>
      <c r="AA471" s="70"/>
      <c r="AB471" s="70">
        <f>(SUBSIDIO!$J$471*SUBSIDIO!$V$471)*(0.06)/(1-0.06)</f>
        <v>17415.324000000001</v>
      </c>
      <c r="AC471" s="70">
        <f>((SUBSIDIO!$L$471*SUBSIDIO!$W$471)+(SUBSIDIO!$N$471*SUBSIDIO!$X$471))*(0.06)/(1-0.06)</f>
        <v>0</v>
      </c>
      <c r="AD471" s="70">
        <f ca="1">(SUBSIDIO!$J$471*SUBSIDIO!$Y$471)*(0.03)/(1-0.03)</f>
        <v>9831.2488182555444</v>
      </c>
      <c r="AE471" s="70">
        <f>((SUBSIDIO!$L$471*SUBSIDIO!$Z$471)+(SUBSIDIO!$N$471*SUBSIDIO!$AA$471))*(0.03)/(1-0.03)</f>
        <v>0</v>
      </c>
      <c r="AF471" s="3" t="s">
        <v>953</v>
      </c>
    </row>
    <row r="472" spans="1:32" ht="11.25" customHeight="1" x14ac:dyDescent="0.25">
      <c r="A472" s="3" t="s">
        <v>28</v>
      </c>
      <c r="B472" s="3" t="s">
        <v>33</v>
      </c>
      <c r="C472" s="3" t="s">
        <v>34</v>
      </c>
      <c r="D472" s="3" t="s">
        <v>50</v>
      </c>
      <c r="E472" s="3" t="s">
        <v>51</v>
      </c>
      <c r="F472" s="3" t="s">
        <v>25</v>
      </c>
      <c r="G472" s="3" t="s">
        <v>25</v>
      </c>
      <c r="H472" s="3" t="s">
        <v>25</v>
      </c>
      <c r="I472" s="6">
        <v>44348</v>
      </c>
      <c r="J472" s="4">
        <v>50</v>
      </c>
      <c r="K472" s="71">
        <v>50</v>
      </c>
      <c r="L472" s="4">
        <v>0</v>
      </c>
      <c r="M472" s="70">
        <v>0</v>
      </c>
      <c r="N472" s="4">
        <v>0</v>
      </c>
      <c r="O472" s="70">
        <v>0</v>
      </c>
      <c r="P472" s="4">
        <v>1</v>
      </c>
      <c r="Q472" s="3" t="s">
        <v>26</v>
      </c>
      <c r="R472" s="3">
        <v>0</v>
      </c>
      <c r="S472" s="3">
        <v>7</v>
      </c>
      <c r="T472" s="3">
        <v>0</v>
      </c>
      <c r="U472" s="3">
        <v>0</v>
      </c>
      <c r="V472" s="70">
        <f>IF(ISERROR(VLOOKUP($S$472,'TAR FIN'!$A$1:$O$99,15,0)),0,VLOOKUP($S$472,'TAR FIN'!$A$1:$O$99,15,0))*(1-0.06)</f>
        <v>20.539000000000001</v>
      </c>
      <c r="W472" s="70">
        <f>IF(ISERROR(VLOOKUP($T$472,'TAR FIN'!$A$1:$O$99,15,0)),0,VLOOKUP($T$472,'TAR FIN'!$A$1:$O$99,15,0))</f>
        <v>0</v>
      </c>
      <c r="X472" s="70">
        <f>IF(ISERROR(VLOOKUP($U$472,'TAR FIN'!$A$1:$O$99,15,0)),0,VLOOKUP($U$472,'TAR FIN'!$A$1:$O$99,15,0))</f>
        <v>0</v>
      </c>
      <c r="Y472" s="70">
        <f ca="1">('TUSD BE'!$AM$21+'TUSD BF'!$AM$21+'TUSD CVA'!$AM$21)*1*(1-0.03)</f>
        <v>23.929316856639257</v>
      </c>
      <c r="Z472" s="70"/>
      <c r="AA472" s="70"/>
      <c r="AB472" s="70">
        <f>(SUBSIDIO!$J$472*SUBSIDIO!$V$472)*(0.06)/(1-0.06)</f>
        <v>65.55</v>
      </c>
      <c r="AC472" s="70">
        <f>((SUBSIDIO!$L$472*SUBSIDIO!$W$472)+(SUBSIDIO!$N$472*SUBSIDIO!$X$472))*(0.06)/(1-0.06)</f>
        <v>0</v>
      </c>
      <c r="AD472" s="70">
        <f ca="1">(SUBSIDIO!$J$472*SUBSIDIO!$Y$472)*(0.03)/(1-0.03)</f>
        <v>37.004098231916373</v>
      </c>
      <c r="AE472" s="70">
        <f>((SUBSIDIO!$L$472*SUBSIDIO!$Z$472)+(SUBSIDIO!$N$472*SUBSIDIO!$AA$472))*(0.03)/(1-0.03)</f>
        <v>0</v>
      </c>
      <c r="AF472" s="3" t="s">
        <v>953</v>
      </c>
    </row>
    <row r="473" spans="1:32" ht="11.25" customHeight="1" x14ac:dyDescent="0.25">
      <c r="A473" s="3" t="s">
        <v>21</v>
      </c>
      <c r="B473" s="3" t="s">
        <v>33</v>
      </c>
      <c r="C473" s="3" t="s">
        <v>34</v>
      </c>
      <c r="D473" s="3" t="s">
        <v>50</v>
      </c>
      <c r="E473" s="3" t="s">
        <v>51</v>
      </c>
      <c r="F473" s="3" t="s">
        <v>25</v>
      </c>
      <c r="G473" s="3" t="s">
        <v>25</v>
      </c>
      <c r="H473" s="3" t="s">
        <v>25</v>
      </c>
      <c r="I473" s="6">
        <v>44378</v>
      </c>
      <c r="J473" s="4">
        <v>13127</v>
      </c>
      <c r="K473" s="71">
        <v>13127</v>
      </c>
      <c r="L473" s="4">
        <v>0</v>
      </c>
      <c r="M473" s="70">
        <v>0</v>
      </c>
      <c r="N473" s="4">
        <v>0</v>
      </c>
      <c r="O473" s="70">
        <v>0</v>
      </c>
      <c r="P473" s="4">
        <v>215</v>
      </c>
      <c r="Q473" s="3" t="s">
        <v>26</v>
      </c>
      <c r="R473" s="3">
        <v>0</v>
      </c>
      <c r="S473" s="3">
        <v>7</v>
      </c>
      <c r="T473" s="3">
        <v>0</v>
      </c>
      <c r="U473" s="3">
        <v>0</v>
      </c>
      <c r="V473" s="70">
        <f>IF(ISERROR(VLOOKUP($S$473,'TAR FIN'!$A$1:$O$99,15,0)),0,VLOOKUP($S$473,'TAR FIN'!$A$1:$O$99,15,0))*(1-0.06)</f>
        <v>20.539000000000001</v>
      </c>
      <c r="W473" s="70">
        <f>IF(ISERROR(VLOOKUP($T$473,'TAR FIN'!$A$1:$O$99,15,0)),0,VLOOKUP($T$473,'TAR FIN'!$A$1:$O$99,15,0))</f>
        <v>0</v>
      </c>
      <c r="X473" s="70">
        <f>IF(ISERROR(VLOOKUP($U$473,'TAR FIN'!$A$1:$O$99,15,0)),0,VLOOKUP($U$473,'TAR FIN'!$A$1:$O$99,15,0))</f>
        <v>0</v>
      </c>
      <c r="Y473" s="70">
        <f ca="1">('TUSD BE'!$AM$21+'TUSD BF'!$AM$21+'TUSD CVA'!$AM$21)*1*(1-0.03)</f>
        <v>23.929316856639257</v>
      </c>
      <c r="Z473" s="70"/>
      <c r="AA473" s="70"/>
      <c r="AB473" s="70">
        <f>(SUBSIDIO!$J$473*SUBSIDIO!$V$473)*(0.06)/(1-0.06)</f>
        <v>17209.497000000003</v>
      </c>
      <c r="AC473" s="70">
        <f>((SUBSIDIO!$L$473*SUBSIDIO!$W$473)+(SUBSIDIO!$N$473*SUBSIDIO!$X$473))*(0.06)/(1-0.06)</f>
        <v>0</v>
      </c>
      <c r="AD473" s="70">
        <f ca="1">(SUBSIDIO!$J$473*SUBSIDIO!$Y$473)*(0.03)/(1-0.03)</f>
        <v>9715.0559498073253</v>
      </c>
      <c r="AE473" s="70">
        <f>((SUBSIDIO!$L$473*SUBSIDIO!$Z$473)+(SUBSIDIO!$N$473*SUBSIDIO!$AA$473))*(0.03)/(1-0.03)</f>
        <v>0</v>
      </c>
      <c r="AF473" s="3" t="s">
        <v>953</v>
      </c>
    </row>
    <row r="474" spans="1:32" ht="11.25" customHeight="1" x14ac:dyDescent="0.25">
      <c r="A474" s="3" t="s">
        <v>28</v>
      </c>
      <c r="B474" s="3" t="s">
        <v>33</v>
      </c>
      <c r="C474" s="3" t="s">
        <v>34</v>
      </c>
      <c r="D474" s="3" t="s">
        <v>50</v>
      </c>
      <c r="E474" s="3" t="s">
        <v>51</v>
      </c>
      <c r="F474" s="3" t="s">
        <v>25</v>
      </c>
      <c r="G474" s="3" t="s">
        <v>25</v>
      </c>
      <c r="H474" s="3" t="s">
        <v>25</v>
      </c>
      <c r="I474" s="6">
        <v>44378</v>
      </c>
      <c r="J474" s="4">
        <v>59</v>
      </c>
      <c r="K474" s="71">
        <v>59</v>
      </c>
      <c r="L474" s="4">
        <v>0</v>
      </c>
      <c r="M474" s="70">
        <v>0</v>
      </c>
      <c r="N474" s="4">
        <v>0</v>
      </c>
      <c r="O474" s="70">
        <v>0</v>
      </c>
      <c r="P474" s="4">
        <v>1</v>
      </c>
      <c r="Q474" s="3" t="s">
        <v>26</v>
      </c>
      <c r="R474" s="3">
        <v>0</v>
      </c>
      <c r="S474" s="3">
        <v>7</v>
      </c>
      <c r="T474" s="3">
        <v>0</v>
      </c>
      <c r="U474" s="3">
        <v>0</v>
      </c>
      <c r="V474" s="70">
        <f>IF(ISERROR(VLOOKUP($S$474,'TAR FIN'!$A$1:$O$99,15,0)),0,VLOOKUP($S$474,'TAR FIN'!$A$1:$O$99,15,0))*(1-0.06)</f>
        <v>20.539000000000001</v>
      </c>
      <c r="W474" s="70">
        <f>IF(ISERROR(VLOOKUP($T$474,'TAR FIN'!$A$1:$O$99,15,0)),0,VLOOKUP($T$474,'TAR FIN'!$A$1:$O$99,15,0))</f>
        <v>0</v>
      </c>
      <c r="X474" s="70">
        <f>IF(ISERROR(VLOOKUP($U$474,'TAR FIN'!$A$1:$O$99,15,0)),0,VLOOKUP($U$474,'TAR FIN'!$A$1:$O$99,15,0))</f>
        <v>0</v>
      </c>
      <c r="Y474" s="70">
        <f ca="1">('TUSD BE'!$AM$21+'TUSD BF'!$AM$21+'TUSD CVA'!$AM$21)*1*(1-0.03)</f>
        <v>23.929316856639257</v>
      </c>
      <c r="Z474" s="70"/>
      <c r="AA474" s="70"/>
      <c r="AB474" s="70">
        <f>(SUBSIDIO!$J$474*SUBSIDIO!$V$474)*(0.06)/(1-0.06)</f>
        <v>77.349000000000004</v>
      </c>
      <c r="AC474" s="70">
        <f>((SUBSIDIO!$L$474*SUBSIDIO!$W$474)+(SUBSIDIO!$N$474*SUBSIDIO!$X$474))*(0.06)/(1-0.06)</f>
        <v>0</v>
      </c>
      <c r="AD474" s="70">
        <f ca="1">(SUBSIDIO!$J$474*SUBSIDIO!$Y$474)*(0.03)/(1-0.03)</f>
        <v>43.664835913661328</v>
      </c>
      <c r="AE474" s="70">
        <f>((SUBSIDIO!$L$474*SUBSIDIO!$Z$474)+(SUBSIDIO!$N$474*SUBSIDIO!$AA$474))*(0.03)/(1-0.03)</f>
        <v>0</v>
      </c>
      <c r="AF474" s="3" t="s">
        <v>953</v>
      </c>
    </row>
    <row r="475" spans="1:32" ht="11.25" customHeight="1" x14ac:dyDescent="0.25">
      <c r="A475" s="3" t="s">
        <v>21</v>
      </c>
      <c r="B475" s="3" t="s">
        <v>33</v>
      </c>
      <c r="C475" s="3" t="s">
        <v>34</v>
      </c>
      <c r="D475" s="3" t="s">
        <v>50</v>
      </c>
      <c r="E475" s="3" t="s">
        <v>51</v>
      </c>
      <c r="F475" s="3" t="s">
        <v>25</v>
      </c>
      <c r="G475" s="3" t="s">
        <v>25</v>
      </c>
      <c r="H475" s="3" t="s">
        <v>25</v>
      </c>
      <c r="I475" s="6">
        <v>44409</v>
      </c>
      <c r="J475" s="4">
        <v>13536</v>
      </c>
      <c r="K475" s="71">
        <v>13536</v>
      </c>
      <c r="L475" s="4">
        <v>0</v>
      </c>
      <c r="M475" s="70">
        <v>0</v>
      </c>
      <c r="N475" s="4">
        <v>0</v>
      </c>
      <c r="O475" s="70">
        <v>0</v>
      </c>
      <c r="P475" s="4">
        <v>215</v>
      </c>
      <c r="Q475" s="3" t="s">
        <v>26</v>
      </c>
      <c r="R475" s="3">
        <v>0</v>
      </c>
      <c r="S475" s="3">
        <v>7</v>
      </c>
      <c r="T475" s="3">
        <v>0</v>
      </c>
      <c r="U475" s="3">
        <v>0</v>
      </c>
      <c r="V475" s="70">
        <f>IF(ISERROR(VLOOKUP($S$475,'TAR FIN'!$A$1:$O$99,15,0)),0,VLOOKUP($S$475,'TAR FIN'!$A$1:$O$99,15,0))*(1-0.06)</f>
        <v>20.539000000000001</v>
      </c>
      <c r="W475" s="70">
        <f>IF(ISERROR(VLOOKUP($T$475,'TAR FIN'!$A$1:$O$99,15,0)),0,VLOOKUP($T$475,'TAR FIN'!$A$1:$O$99,15,0))</f>
        <v>0</v>
      </c>
      <c r="X475" s="70">
        <f>IF(ISERROR(VLOOKUP($U$475,'TAR FIN'!$A$1:$O$99,15,0)),0,VLOOKUP($U$475,'TAR FIN'!$A$1:$O$99,15,0))</f>
        <v>0</v>
      </c>
      <c r="Y475" s="70">
        <f ca="1">('TUSD BE'!$AM$21+'TUSD BF'!$AM$21+'TUSD CVA'!$AM$21)*1*(1-0.03)</f>
        <v>23.929316856639257</v>
      </c>
      <c r="Z475" s="70"/>
      <c r="AA475" s="70"/>
      <c r="AB475" s="70">
        <f>(SUBSIDIO!$J$475*SUBSIDIO!$V$475)*(0.06)/(1-0.06)</f>
        <v>17745.696000000004</v>
      </c>
      <c r="AC475" s="70">
        <f>((SUBSIDIO!$L$475*SUBSIDIO!$W$475)+(SUBSIDIO!$N$475*SUBSIDIO!$X$475))*(0.06)/(1-0.06)</f>
        <v>0</v>
      </c>
      <c r="AD475" s="70">
        <f ca="1">(SUBSIDIO!$J$475*SUBSIDIO!$Y$475)*(0.03)/(1-0.03)</f>
        <v>10017.749473344402</v>
      </c>
      <c r="AE475" s="70">
        <f>((SUBSIDIO!$L$475*SUBSIDIO!$Z$475)+(SUBSIDIO!$N$475*SUBSIDIO!$AA$475))*(0.03)/(1-0.03)</f>
        <v>0</v>
      </c>
      <c r="AF475" s="3" t="s">
        <v>953</v>
      </c>
    </row>
    <row r="476" spans="1:32" ht="11.25" customHeight="1" x14ac:dyDescent="0.25">
      <c r="A476" s="3" t="s">
        <v>28</v>
      </c>
      <c r="B476" s="3" t="s">
        <v>33</v>
      </c>
      <c r="C476" s="3" t="s">
        <v>34</v>
      </c>
      <c r="D476" s="3" t="s">
        <v>50</v>
      </c>
      <c r="E476" s="3" t="s">
        <v>51</v>
      </c>
      <c r="F476" s="3" t="s">
        <v>25</v>
      </c>
      <c r="G476" s="3" t="s">
        <v>25</v>
      </c>
      <c r="H476" s="3" t="s">
        <v>25</v>
      </c>
      <c r="I476" s="6">
        <v>44409</v>
      </c>
      <c r="J476" s="4">
        <v>57</v>
      </c>
      <c r="K476" s="71">
        <v>57</v>
      </c>
      <c r="L476" s="4">
        <v>0</v>
      </c>
      <c r="M476" s="70">
        <v>0</v>
      </c>
      <c r="N476" s="4">
        <v>0</v>
      </c>
      <c r="O476" s="70">
        <v>0</v>
      </c>
      <c r="P476" s="4">
        <v>1</v>
      </c>
      <c r="Q476" s="3" t="s">
        <v>26</v>
      </c>
      <c r="R476" s="3">
        <v>0</v>
      </c>
      <c r="S476" s="3">
        <v>7</v>
      </c>
      <c r="T476" s="3">
        <v>0</v>
      </c>
      <c r="U476" s="3">
        <v>0</v>
      </c>
      <c r="V476" s="70">
        <f>IF(ISERROR(VLOOKUP($S$476,'TAR FIN'!$A$1:$O$99,15,0)),0,VLOOKUP($S$476,'TAR FIN'!$A$1:$O$99,15,0))*(1-0.06)</f>
        <v>20.539000000000001</v>
      </c>
      <c r="W476" s="70">
        <f>IF(ISERROR(VLOOKUP($T$476,'TAR FIN'!$A$1:$O$99,15,0)),0,VLOOKUP($T$476,'TAR FIN'!$A$1:$O$99,15,0))</f>
        <v>0</v>
      </c>
      <c r="X476" s="70">
        <f>IF(ISERROR(VLOOKUP($U$476,'TAR FIN'!$A$1:$O$99,15,0)),0,VLOOKUP($U$476,'TAR FIN'!$A$1:$O$99,15,0))</f>
        <v>0</v>
      </c>
      <c r="Y476" s="70">
        <f ca="1">('TUSD BE'!$AM$21+'TUSD BF'!$AM$21+'TUSD CVA'!$AM$21)*1*(1-0.03)</f>
        <v>23.929316856639257</v>
      </c>
      <c r="Z476" s="70"/>
      <c r="AA476" s="70"/>
      <c r="AB476" s="70">
        <f>(SUBSIDIO!$J$476*SUBSIDIO!$V$476)*(0.06)/(1-0.06)</f>
        <v>74.727000000000004</v>
      </c>
      <c r="AC476" s="70">
        <f>((SUBSIDIO!$L$476*SUBSIDIO!$W$476)+(SUBSIDIO!$N$476*SUBSIDIO!$X$476))*(0.06)/(1-0.06)</f>
        <v>0</v>
      </c>
      <c r="AD476" s="70">
        <f ca="1">(SUBSIDIO!$J$476*SUBSIDIO!$Y$476)*(0.03)/(1-0.03)</f>
        <v>42.184671984384671</v>
      </c>
      <c r="AE476" s="70">
        <f>((SUBSIDIO!$L$476*SUBSIDIO!$Z$476)+(SUBSIDIO!$N$476*SUBSIDIO!$AA$476))*(0.03)/(1-0.03)</f>
        <v>0</v>
      </c>
      <c r="AF476" s="3" t="s">
        <v>953</v>
      </c>
    </row>
    <row r="477" spans="1:32" ht="11.25" customHeight="1" x14ac:dyDescent="0.25">
      <c r="A477" s="3" t="s">
        <v>21</v>
      </c>
      <c r="B477" s="3" t="s">
        <v>33</v>
      </c>
      <c r="C477" s="3" t="s">
        <v>34</v>
      </c>
      <c r="D477" s="3" t="s">
        <v>50</v>
      </c>
      <c r="E477" s="3" t="s">
        <v>51</v>
      </c>
      <c r="F477" s="3" t="s">
        <v>25</v>
      </c>
      <c r="G477" s="3" t="s">
        <v>25</v>
      </c>
      <c r="H477" s="3" t="s">
        <v>25</v>
      </c>
      <c r="I477" s="6">
        <v>44440</v>
      </c>
      <c r="J477" s="4">
        <v>13015</v>
      </c>
      <c r="K477" s="71">
        <v>13015</v>
      </c>
      <c r="L477" s="4">
        <v>0</v>
      </c>
      <c r="M477" s="70">
        <v>0</v>
      </c>
      <c r="N477" s="4">
        <v>0</v>
      </c>
      <c r="O477" s="70">
        <v>0</v>
      </c>
      <c r="P477" s="4">
        <v>217</v>
      </c>
      <c r="Q477" s="3" t="s">
        <v>26</v>
      </c>
      <c r="R477" s="3">
        <v>0</v>
      </c>
      <c r="S477" s="3">
        <v>7</v>
      </c>
      <c r="T477" s="3">
        <v>0</v>
      </c>
      <c r="U477" s="3">
        <v>0</v>
      </c>
      <c r="V477" s="70">
        <f>IF(ISERROR(VLOOKUP($S$477,'TAR FIN'!$A$1:$O$99,15,0)),0,VLOOKUP($S$477,'TAR FIN'!$A$1:$O$99,15,0))*(1-0.06)</f>
        <v>20.539000000000001</v>
      </c>
      <c r="W477" s="70">
        <f>IF(ISERROR(VLOOKUP($T$477,'TAR FIN'!$A$1:$O$99,15,0)),0,VLOOKUP($T$477,'TAR FIN'!$A$1:$O$99,15,0))</f>
        <v>0</v>
      </c>
      <c r="X477" s="70">
        <f>IF(ISERROR(VLOOKUP($U$477,'TAR FIN'!$A$1:$O$99,15,0)),0,VLOOKUP($U$477,'TAR FIN'!$A$1:$O$99,15,0))</f>
        <v>0</v>
      </c>
      <c r="Y477" s="70">
        <f ca="1">('TUSD BE'!$AM$21+'TUSD BF'!$AM$21+'TUSD CVA'!$AM$21)*1*(1-0.03)</f>
        <v>23.929316856639257</v>
      </c>
      <c r="Z477" s="70"/>
      <c r="AA477" s="70"/>
      <c r="AB477" s="70">
        <f>(SUBSIDIO!$J$477*SUBSIDIO!$V$477)*(0.06)/(1-0.06)</f>
        <v>17062.665000000001</v>
      </c>
      <c r="AC477" s="70">
        <f>((SUBSIDIO!$L$477*SUBSIDIO!$W$477)+(SUBSIDIO!$N$477*SUBSIDIO!$X$477))*(0.06)/(1-0.06)</f>
        <v>0</v>
      </c>
      <c r="AD477" s="70">
        <f ca="1">(SUBSIDIO!$J$477*SUBSIDIO!$Y$477)*(0.03)/(1-0.03)</f>
        <v>9632.1667697678331</v>
      </c>
      <c r="AE477" s="70">
        <f>((SUBSIDIO!$L$477*SUBSIDIO!$Z$477)+(SUBSIDIO!$N$477*SUBSIDIO!$AA$477))*(0.03)/(1-0.03)</f>
        <v>0</v>
      </c>
      <c r="AF477" s="3" t="s">
        <v>953</v>
      </c>
    </row>
    <row r="478" spans="1:32" ht="11.25" customHeight="1" x14ac:dyDescent="0.25">
      <c r="A478" s="3" t="s">
        <v>28</v>
      </c>
      <c r="B478" s="3" t="s">
        <v>33</v>
      </c>
      <c r="C478" s="3" t="s">
        <v>34</v>
      </c>
      <c r="D478" s="3" t="s">
        <v>50</v>
      </c>
      <c r="E478" s="3" t="s">
        <v>51</v>
      </c>
      <c r="F478" s="3" t="s">
        <v>25</v>
      </c>
      <c r="G478" s="3" t="s">
        <v>25</v>
      </c>
      <c r="H478" s="3" t="s">
        <v>25</v>
      </c>
      <c r="I478" s="6">
        <v>44440</v>
      </c>
      <c r="J478" s="4">
        <v>65</v>
      </c>
      <c r="K478" s="71">
        <v>65</v>
      </c>
      <c r="L478" s="4">
        <v>0</v>
      </c>
      <c r="M478" s="70">
        <v>0</v>
      </c>
      <c r="N478" s="4">
        <v>0</v>
      </c>
      <c r="O478" s="70">
        <v>0</v>
      </c>
      <c r="P478" s="4">
        <v>1</v>
      </c>
      <c r="Q478" s="3" t="s">
        <v>26</v>
      </c>
      <c r="R478" s="3">
        <v>0</v>
      </c>
      <c r="S478" s="3">
        <v>7</v>
      </c>
      <c r="T478" s="3">
        <v>0</v>
      </c>
      <c r="U478" s="3">
        <v>0</v>
      </c>
      <c r="V478" s="70">
        <f>IF(ISERROR(VLOOKUP($S$478,'TAR FIN'!$A$1:$O$99,15,0)),0,VLOOKUP($S$478,'TAR FIN'!$A$1:$O$99,15,0))*(1-0.06)</f>
        <v>20.539000000000001</v>
      </c>
      <c r="W478" s="70">
        <f>IF(ISERROR(VLOOKUP($T$478,'TAR FIN'!$A$1:$O$99,15,0)),0,VLOOKUP($T$478,'TAR FIN'!$A$1:$O$99,15,0))</f>
        <v>0</v>
      </c>
      <c r="X478" s="70">
        <f>IF(ISERROR(VLOOKUP($U$478,'TAR FIN'!$A$1:$O$99,15,0)),0,VLOOKUP($U$478,'TAR FIN'!$A$1:$O$99,15,0))</f>
        <v>0</v>
      </c>
      <c r="Y478" s="70">
        <f ca="1">('TUSD BE'!$AM$21+'TUSD BF'!$AM$21+'TUSD CVA'!$AM$21)*1*(1-0.03)</f>
        <v>23.929316856639257</v>
      </c>
      <c r="Z478" s="70"/>
      <c r="AA478" s="70"/>
      <c r="AB478" s="70">
        <f>(SUBSIDIO!$J$478*SUBSIDIO!$V$478)*(0.06)/(1-0.06)</f>
        <v>85.215000000000018</v>
      </c>
      <c r="AC478" s="70">
        <f>((SUBSIDIO!$L$478*SUBSIDIO!$W$478)+(SUBSIDIO!$N$478*SUBSIDIO!$X$478))*(0.06)/(1-0.06)</f>
        <v>0</v>
      </c>
      <c r="AD478" s="70">
        <f ca="1">(SUBSIDIO!$J$478*SUBSIDIO!$Y$478)*(0.03)/(1-0.03)</f>
        <v>48.105327701491284</v>
      </c>
      <c r="AE478" s="70">
        <f>((SUBSIDIO!$L$478*SUBSIDIO!$Z$478)+(SUBSIDIO!$N$478*SUBSIDIO!$AA$478))*(0.03)/(1-0.03)</f>
        <v>0</v>
      </c>
      <c r="AF478" s="3" t="s">
        <v>953</v>
      </c>
    </row>
    <row r="479" spans="1:32" ht="11.25" customHeight="1" x14ac:dyDescent="0.25">
      <c r="A479" s="3" t="s">
        <v>21</v>
      </c>
      <c r="B479" s="3" t="s">
        <v>33</v>
      </c>
      <c r="C479" s="3" t="s">
        <v>34</v>
      </c>
      <c r="D479" s="3" t="s">
        <v>50</v>
      </c>
      <c r="E479" s="3" t="s">
        <v>51</v>
      </c>
      <c r="F479" s="3" t="s">
        <v>25</v>
      </c>
      <c r="G479" s="3" t="s">
        <v>25</v>
      </c>
      <c r="H479" s="3" t="s">
        <v>25</v>
      </c>
      <c r="I479" s="6">
        <v>44470</v>
      </c>
      <c r="J479" s="4">
        <v>14089</v>
      </c>
      <c r="K479" s="71">
        <v>14089</v>
      </c>
      <c r="L479" s="4">
        <v>0</v>
      </c>
      <c r="M479" s="70">
        <v>0</v>
      </c>
      <c r="N479" s="4">
        <v>0</v>
      </c>
      <c r="O479" s="70">
        <v>0</v>
      </c>
      <c r="P479" s="4">
        <v>206</v>
      </c>
      <c r="Q479" s="3" t="s">
        <v>26</v>
      </c>
      <c r="R479" s="3">
        <v>0</v>
      </c>
      <c r="S479" s="3">
        <v>7</v>
      </c>
      <c r="T479" s="3">
        <v>0</v>
      </c>
      <c r="U479" s="3">
        <v>0</v>
      </c>
      <c r="V479" s="70">
        <f>IF(ISERROR(VLOOKUP($S$479,'TAR FIN'!$A$1:$O$99,15,0)),0,VLOOKUP($S$479,'TAR FIN'!$A$1:$O$99,15,0))*(1-0.06)</f>
        <v>20.539000000000001</v>
      </c>
      <c r="W479" s="70">
        <f>IF(ISERROR(VLOOKUP($T$479,'TAR FIN'!$A$1:$O$99,15,0)),0,VLOOKUP($T$479,'TAR FIN'!$A$1:$O$99,15,0))</f>
        <v>0</v>
      </c>
      <c r="X479" s="70">
        <f>IF(ISERROR(VLOOKUP($U$479,'TAR FIN'!$A$1:$O$99,15,0)),0,VLOOKUP($U$479,'TAR FIN'!$A$1:$O$99,15,0))</f>
        <v>0</v>
      </c>
      <c r="Y479" s="70">
        <f ca="1">('TUSD BE'!$AM$21+'TUSD BF'!$AM$21+'TUSD CVA'!$AM$21)*1*(1-0.03)</f>
        <v>23.929316856639257</v>
      </c>
      <c r="Z479" s="70"/>
      <c r="AA479" s="70"/>
      <c r="AB479" s="70">
        <f>(SUBSIDIO!$J$479*SUBSIDIO!$V$479)*(0.06)/(1-0.06)</f>
        <v>18470.679</v>
      </c>
      <c r="AC479" s="70">
        <f>((SUBSIDIO!$L$479*SUBSIDIO!$W$479)+(SUBSIDIO!$N$479*SUBSIDIO!$X$479))*(0.06)/(1-0.06)</f>
        <v>0</v>
      </c>
      <c r="AD479" s="70">
        <f ca="1">(SUBSIDIO!$J$479*SUBSIDIO!$Y$479)*(0.03)/(1-0.03)</f>
        <v>10427.014799789396</v>
      </c>
      <c r="AE479" s="70">
        <f>((SUBSIDIO!$L$479*SUBSIDIO!$Z$479)+(SUBSIDIO!$N$479*SUBSIDIO!$AA$479))*(0.03)/(1-0.03)</f>
        <v>0</v>
      </c>
      <c r="AF479" s="3" t="s">
        <v>953</v>
      </c>
    </row>
    <row r="480" spans="1:32" ht="11.25" customHeight="1" x14ac:dyDescent="0.25">
      <c r="A480" s="3" t="s">
        <v>28</v>
      </c>
      <c r="B480" s="3" t="s">
        <v>33</v>
      </c>
      <c r="C480" s="3" t="s">
        <v>34</v>
      </c>
      <c r="D480" s="3" t="s">
        <v>50</v>
      </c>
      <c r="E480" s="3" t="s">
        <v>51</v>
      </c>
      <c r="F480" s="3" t="s">
        <v>25</v>
      </c>
      <c r="G480" s="3" t="s">
        <v>25</v>
      </c>
      <c r="H480" s="3" t="s">
        <v>25</v>
      </c>
      <c r="I480" s="6">
        <v>44470</v>
      </c>
      <c r="J480" s="4">
        <v>61</v>
      </c>
      <c r="K480" s="71">
        <v>61</v>
      </c>
      <c r="L480" s="4">
        <v>0</v>
      </c>
      <c r="M480" s="70">
        <v>0</v>
      </c>
      <c r="N480" s="4">
        <v>0</v>
      </c>
      <c r="O480" s="70">
        <v>0</v>
      </c>
      <c r="P480" s="4">
        <v>1</v>
      </c>
      <c r="Q480" s="3" t="s">
        <v>26</v>
      </c>
      <c r="R480" s="3">
        <v>0</v>
      </c>
      <c r="S480" s="3">
        <v>7</v>
      </c>
      <c r="T480" s="3">
        <v>0</v>
      </c>
      <c r="U480" s="3">
        <v>0</v>
      </c>
      <c r="V480" s="70">
        <f>IF(ISERROR(VLOOKUP($S$480,'TAR FIN'!$A$1:$O$99,15,0)),0,VLOOKUP($S$480,'TAR FIN'!$A$1:$O$99,15,0))*(1-0.06)</f>
        <v>20.539000000000001</v>
      </c>
      <c r="W480" s="70">
        <f>IF(ISERROR(VLOOKUP($T$480,'TAR FIN'!$A$1:$O$99,15,0)),0,VLOOKUP($T$480,'TAR FIN'!$A$1:$O$99,15,0))</f>
        <v>0</v>
      </c>
      <c r="X480" s="70">
        <f>IF(ISERROR(VLOOKUP($U$480,'TAR FIN'!$A$1:$O$99,15,0)),0,VLOOKUP($U$480,'TAR FIN'!$A$1:$O$99,15,0))</f>
        <v>0</v>
      </c>
      <c r="Y480" s="70">
        <f ca="1">('TUSD BE'!$AM$21+'TUSD BF'!$AM$21+'TUSD CVA'!$AM$21)*1*(1-0.03)</f>
        <v>23.929316856639257</v>
      </c>
      <c r="Z480" s="70"/>
      <c r="AA480" s="70"/>
      <c r="AB480" s="70">
        <f>(SUBSIDIO!$J$480*SUBSIDIO!$V$480)*(0.06)/(1-0.06)</f>
        <v>79.971000000000004</v>
      </c>
      <c r="AC480" s="70">
        <f>((SUBSIDIO!$L$480*SUBSIDIO!$W$480)+(SUBSIDIO!$N$480*SUBSIDIO!$X$480))*(0.06)/(1-0.06)</f>
        <v>0</v>
      </c>
      <c r="AD480" s="70">
        <f ca="1">(SUBSIDIO!$J$480*SUBSIDIO!$Y$480)*(0.03)/(1-0.03)</f>
        <v>45.144999842937978</v>
      </c>
      <c r="AE480" s="70">
        <f>((SUBSIDIO!$L$480*SUBSIDIO!$Z$480)+(SUBSIDIO!$N$480*SUBSIDIO!$AA$480))*(0.03)/(1-0.03)</f>
        <v>0</v>
      </c>
      <c r="AF480" s="3" t="s">
        <v>953</v>
      </c>
    </row>
    <row r="481" spans="1:32" ht="11.25" customHeight="1" x14ac:dyDescent="0.25">
      <c r="A481" s="3" t="s">
        <v>21</v>
      </c>
      <c r="B481" s="3" t="s">
        <v>33</v>
      </c>
      <c r="C481" s="3" t="s">
        <v>34</v>
      </c>
      <c r="D481" s="3" t="s">
        <v>50</v>
      </c>
      <c r="E481" s="3" t="s">
        <v>51</v>
      </c>
      <c r="F481" s="3" t="s">
        <v>25</v>
      </c>
      <c r="G481" s="3" t="s">
        <v>25</v>
      </c>
      <c r="H481" s="3" t="s">
        <v>25</v>
      </c>
      <c r="I481" s="6">
        <v>44501</v>
      </c>
      <c r="J481" s="4">
        <v>14911</v>
      </c>
      <c r="K481" s="71">
        <v>14911</v>
      </c>
      <c r="L481" s="4">
        <v>0</v>
      </c>
      <c r="M481" s="70">
        <v>0</v>
      </c>
      <c r="N481" s="4">
        <v>0</v>
      </c>
      <c r="O481" s="70">
        <v>0</v>
      </c>
      <c r="P481" s="4">
        <v>207</v>
      </c>
      <c r="Q481" s="3" t="s">
        <v>26</v>
      </c>
      <c r="R481" s="3">
        <v>0</v>
      </c>
      <c r="S481" s="3">
        <v>7</v>
      </c>
      <c r="T481" s="3">
        <v>0</v>
      </c>
      <c r="U481" s="3">
        <v>0</v>
      </c>
      <c r="V481" s="70">
        <f>IF(ISERROR(VLOOKUP($S$481,'TAR FIN'!$A$1:$O$99,15,0)),0,VLOOKUP($S$481,'TAR FIN'!$A$1:$O$99,15,0))*(1-0.06)</f>
        <v>20.539000000000001</v>
      </c>
      <c r="W481" s="70">
        <f>IF(ISERROR(VLOOKUP($T$481,'TAR FIN'!$A$1:$O$99,15,0)),0,VLOOKUP($T$481,'TAR FIN'!$A$1:$O$99,15,0))</f>
        <v>0</v>
      </c>
      <c r="X481" s="70">
        <f>IF(ISERROR(VLOOKUP($U$481,'TAR FIN'!$A$1:$O$99,15,0)),0,VLOOKUP($U$481,'TAR FIN'!$A$1:$O$99,15,0))</f>
        <v>0</v>
      </c>
      <c r="Y481" s="70">
        <f ca="1">('TUSD BE'!$AM$21+'TUSD BF'!$AM$21+'TUSD CVA'!$AM$21)*1*(1-0.03)</f>
        <v>23.929316856639257</v>
      </c>
      <c r="Z481" s="70"/>
      <c r="AA481" s="70"/>
      <c r="AB481" s="70">
        <f>(SUBSIDIO!$J$481*SUBSIDIO!$V$481)*(0.06)/(1-0.06)</f>
        <v>19548.321000000004</v>
      </c>
      <c r="AC481" s="70">
        <f>((SUBSIDIO!$L$481*SUBSIDIO!$W$481)+(SUBSIDIO!$N$481*SUBSIDIO!$X$481))*(0.06)/(1-0.06)</f>
        <v>0</v>
      </c>
      <c r="AD481" s="70">
        <f ca="1">(SUBSIDIO!$J$481*SUBSIDIO!$Y$481)*(0.03)/(1-0.03)</f>
        <v>11035.362174722102</v>
      </c>
      <c r="AE481" s="70">
        <f>((SUBSIDIO!$L$481*SUBSIDIO!$Z$481)+(SUBSIDIO!$N$481*SUBSIDIO!$AA$481))*(0.03)/(1-0.03)</f>
        <v>0</v>
      </c>
      <c r="AF481" s="3" t="s">
        <v>953</v>
      </c>
    </row>
    <row r="482" spans="1:32" ht="11.25" customHeight="1" x14ac:dyDescent="0.25">
      <c r="A482" s="3" t="s">
        <v>27</v>
      </c>
      <c r="B482" s="3" t="s">
        <v>33</v>
      </c>
      <c r="C482" s="3" t="s">
        <v>34</v>
      </c>
      <c r="D482" s="3" t="s">
        <v>50</v>
      </c>
      <c r="E482" s="3" t="s">
        <v>51</v>
      </c>
      <c r="F482" s="3" t="s">
        <v>25</v>
      </c>
      <c r="G482" s="3" t="s">
        <v>25</v>
      </c>
      <c r="H482" s="3" t="s">
        <v>25</v>
      </c>
      <c r="I482" s="6">
        <v>44501</v>
      </c>
      <c r="J482" s="4">
        <v>91</v>
      </c>
      <c r="K482" s="71">
        <v>91</v>
      </c>
      <c r="L482" s="4">
        <v>0</v>
      </c>
      <c r="M482" s="70">
        <v>0</v>
      </c>
      <c r="N482" s="4">
        <v>0</v>
      </c>
      <c r="O482" s="70">
        <v>0</v>
      </c>
      <c r="P482" s="4">
        <v>1</v>
      </c>
      <c r="Q482" s="3" t="s">
        <v>26</v>
      </c>
      <c r="R482" s="3">
        <v>0</v>
      </c>
      <c r="S482" s="3">
        <v>7</v>
      </c>
      <c r="T482" s="3">
        <v>0</v>
      </c>
      <c r="U482" s="3">
        <v>0</v>
      </c>
      <c r="V482" s="70">
        <f>IF(ISERROR(VLOOKUP($S$482,'TAR FIN'!$A$1:$O$99,15,0)),0,VLOOKUP($S$482,'TAR FIN'!$A$1:$O$99,15,0))*(1-0.06)</f>
        <v>20.539000000000001</v>
      </c>
      <c r="W482" s="70">
        <f>IF(ISERROR(VLOOKUP($T$482,'TAR FIN'!$A$1:$O$99,15,0)),0,VLOOKUP($T$482,'TAR FIN'!$A$1:$O$99,15,0))</f>
        <v>0</v>
      </c>
      <c r="X482" s="70">
        <f>IF(ISERROR(VLOOKUP($U$482,'TAR FIN'!$A$1:$O$99,15,0)),0,VLOOKUP($U$482,'TAR FIN'!$A$1:$O$99,15,0))</f>
        <v>0</v>
      </c>
      <c r="Y482" s="70">
        <f ca="1">('TUSD BE'!$AM$21+'TUSD BF'!$AM$21+'TUSD CVA'!$AM$21)*1*(1-0.03)</f>
        <v>23.929316856639257</v>
      </c>
      <c r="Z482" s="70"/>
      <c r="AA482" s="70"/>
      <c r="AB482" s="70">
        <f>(SUBSIDIO!$J$482*SUBSIDIO!$V$482)*(0.06)/(1-0.06)</f>
        <v>119.30100000000002</v>
      </c>
      <c r="AC482" s="70">
        <f>((SUBSIDIO!$L$482*SUBSIDIO!$W$482)+(SUBSIDIO!$N$482*SUBSIDIO!$X$482))*(0.06)/(1-0.06)</f>
        <v>0</v>
      </c>
      <c r="AD482" s="70">
        <f ca="1">(SUBSIDIO!$J$482*SUBSIDIO!$Y$482)*(0.03)/(1-0.03)</f>
        <v>67.347458782087799</v>
      </c>
      <c r="AE482" s="70">
        <f>((SUBSIDIO!$L$482*SUBSIDIO!$Z$482)+(SUBSIDIO!$N$482*SUBSIDIO!$AA$482))*(0.03)/(1-0.03)</f>
        <v>0</v>
      </c>
      <c r="AF482" s="3" t="s">
        <v>953</v>
      </c>
    </row>
    <row r="483" spans="1:32" ht="11.25" customHeight="1" x14ac:dyDescent="0.25">
      <c r="A483" s="3" t="s">
        <v>28</v>
      </c>
      <c r="B483" s="3" t="s">
        <v>33</v>
      </c>
      <c r="C483" s="3" t="s">
        <v>34</v>
      </c>
      <c r="D483" s="3" t="s">
        <v>50</v>
      </c>
      <c r="E483" s="3" t="s">
        <v>51</v>
      </c>
      <c r="F483" s="3" t="s">
        <v>25</v>
      </c>
      <c r="G483" s="3" t="s">
        <v>25</v>
      </c>
      <c r="H483" s="3" t="s">
        <v>25</v>
      </c>
      <c r="I483" s="6">
        <v>44501</v>
      </c>
      <c r="J483" s="4">
        <v>60</v>
      </c>
      <c r="K483" s="71">
        <v>60</v>
      </c>
      <c r="L483" s="4">
        <v>0</v>
      </c>
      <c r="M483" s="70">
        <v>0</v>
      </c>
      <c r="N483" s="4">
        <v>0</v>
      </c>
      <c r="O483" s="70">
        <v>0</v>
      </c>
      <c r="P483" s="4">
        <v>1</v>
      </c>
      <c r="Q483" s="3" t="s">
        <v>26</v>
      </c>
      <c r="R483" s="3">
        <v>0</v>
      </c>
      <c r="S483" s="3">
        <v>7</v>
      </c>
      <c r="T483" s="3">
        <v>0</v>
      </c>
      <c r="U483" s="3">
        <v>0</v>
      </c>
      <c r="V483" s="70">
        <f>IF(ISERROR(VLOOKUP($S$483,'TAR FIN'!$A$1:$O$99,15,0)),0,VLOOKUP($S$483,'TAR FIN'!$A$1:$O$99,15,0))*(1-0.06)</f>
        <v>20.539000000000001</v>
      </c>
      <c r="W483" s="70">
        <f>IF(ISERROR(VLOOKUP($T$483,'TAR FIN'!$A$1:$O$99,15,0)),0,VLOOKUP($T$483,'TAR FIN'!$A$1:$O$99,15,0))</f>
        <v>0</v>
      </c>
      <c r="X483" s="70">
        <f>IF(ISERROR(VLOOKUP($U$483,'TAR FIN'!$A$1:$O$99,15,0)),0,VLOOKUP($U$483,'TAR FIN'!$A$1:$O$99,15,0))</f>
        <v>0</v>
      </c>
      <c r="Y483" s="70">
        <f ca="1">('TUSD BE'!$AM$21+'TUSD BF'!$AM$21+'TUSD CVA'!$AM$21)*1*(1-0.03)</f>
        <v>23.929316856639257</v>
      </c>
      <c r="Z483" s="70"/>
      <c r="AA483" s="70"/>
      <c r="AB483" s="70">
        <f>(SUBSIDIO!$J$483*SUBSIDIO!$V$483)*(0.06)/(1-0.06)</f>
        <v>78.660000000000011</v>
      </c>
      <c r="AC483" s="70">
        <f>((SUBSIDIO!$L$483*SUBSIDIO!$W$483)+(SUBSIDIO!$N$483*SUBSIDIO!$X$483))*(0.06)/(1-0.06)</f>
        <v>0</v>
      </c>
      <c r="AD483" s="70">
        <f ca="1">(SUBSIDIO!$J$483*SUBSIDIO!$Y$483)*(0.03)/(1-0.03)</f>
        <v>44.404917878299649</v>
      </c>
      <c r="AE483" s="70">
        <f>((SUBSIDIO!$L$483*SUBSIDIO!$Z$483)+(SUBSIDIO!$N$483*SUBSIDIO!$AA$483))*(0.03)/(1-0.03)</f>
        <v>0</v>
      </c>
      <c r="AF483" s="3" t="s">
        <v>953</v>
      </c>
    </row>
    <row r="484" spans="1:32" ht="11.25" customHeight="1" x14ac:dyDescent="0.25">
      <c r="A484" s="3" t="s">
        <v>21</v>
      </c>
      <c r="B484" s="3" t="s">
        <v>33</v>
      </c>
      <c r="C484" s="3" t="s">
        <v>34</v>
      </c>
      <c r="D484" s="3" t="s">
        <v>50</v>
      </c>
      <c r="E484" s="3" t="s">
        <v>51</v>
      </c>
      <c r="F484" s="3" t="s">
        <v>25</v>
      </c>
      <c r="G484" s="3" t="s">
        <v>25</v>
      </c>
      <c r="H484" s="3" t="s">
        <v>25</v>
      </c>
      <c r="I484" s="6">
        <v>44531</v>
      </c>
      <c r="J484" s="4">
        <v>15382</v>
      </c>
      <c r="K484" s="71">
        <v>15382</v>
      </c>
      <c r="L484" s="4">
        <v>0</v>
      </c>
      <c r="M484" s="70">
        <v>0</v>
      </c>
      <c r="N484" s="4">
        <v>0</v>
      </c>
      <c r="O484" s="70">
        <v>0</v>
      </c>
      <c r="P484" s="4">
        <v>207</v>
      </c>
      <c r="Q484" s="3" t="s">
        <v>26</v>
      </c>
      <c r="R484" s="3">
        <v>0</v>
      </c>
      <c r="S484" s="3">
        <v>7</v>
      </c>
      <c r="T484" s="3">
        <v>0</v>
      </c>
      <c r="U484" s="3">
        <v>0</v>
      </c>
      <c r="V484" s="70">
        <f>IF(ISERROR(VLOOKUP($S$484,'TAR FIN'!$A$1:$O$99,15,0)),0,VLOOKUP($S$484,'TAR FIN'!$A$1:$O$99,15,0))*(1-0.06)</f>
        <v>20.539000000000001</v>
      </c>
      <c r="W484" s="70">
        <f>IF(ISERROR(VLOOKUP($T$484,'TAR FIN'!$A$1:$O$99,15,0)),0,VLOOKUP($T$484,'TAR FIN'!$A$1:$O$99,15,0))</f>
        <v>0</v>
      </c>
      <c r="X484" s="70">
        <f>IF(ISERROR(VLOOKUP($U$484,'TAR FIN'!$A$1:$O$99,15,0)),0,VLOOKUP($U$484,'TAR FIN'!$A$1:$O$99,15,0))</f>
        <v>0</v>
      </c>
      <c r="Y484" s="70">
        <f ca="1">('TUSD BE'!$AM$21+'TUSD BF'!$AM$21+'TUSD CVA'!$AM$21)*1*(1-0.03)</f>
        <v>23.929316856639257</v>
      </c>
      <c r="Z484" s="70"/>
      <c r="AA484" s="70"/>
      <c r="AB484" s="70">
        <f>(SUBSIDIO!$J$484*SUBSIDIO!$V$484)*(0.06)/(1-0.06)</f>
        <v>20165.802000000003</v>
      </c>
      <c r="AC484" s="70">
        <f>((SUBSIDIO!$L$484*SUBSIDIO!$W$484)+(SUBSIDIO!$N$484*SUBSIDIO!$X$484))*(0.06)/(1-0.06)</f>
        <v>0</v>
      </c>
      <c r="AD484" s="70">
        <f ca="1">(SUBSIDIO!$J$484*SUBSIDIO!$Y$484)*(0.03)/(1-0.03)</f>
        <v>11383.940780066754</v>
      </c>
      <c r="AE484" s="70">
        <f>((SUBSIDIO!$L$484*SUBSIDIO!$Z$484)+(SUBSIDIO!$N$484*SUBSIDIO!$AA$484))*(0.03)/(1-0.03)</f>
        <v>0</v>
      </c>
      <c r="AF484" s="3" t="s">
        <v>953</v>
      </c>
    </row>
    <row r="485" spans="1:32" ht="11.25" customHeight="1" x14ac:dyDescent="0.25">
      <c r="A485" s="3" t="s">
        <v>27</v>
      </c>
      <c r="B485" s="3" t="s">
        <v>33</v>
      </c>
      <c r="C485" s="3" t="s">
        <v>34</v>
      </c>
      <c r="D485" s="3" t="s">
        <v>50</v>
      </c>
      <c r="E485" s="3" t="s">
        <v>51</v>
      </c>
      <c r="F485" s="3" t="s">
        <v>25</v>
      </c>
      <c r="G485" s="3" t="s">
        <v>25</v>
      </c>
      <c r="H485" s="3" t="s">
        <v>25</v>
      </c>
      <c r="I485" s="6">
        <v>44531</v>
      </c>
      <c r="J485" s="4">
        <v>70</v>
      </c>
      <c r="K485" s="71">
        <v>70</v>
      </c>
      <c r="L485" s="4">
        <v>0</v>
      </c>
      <c r="M485" s="70">
        <v>0</v>
      </c>
      <c r="N485" s="4">
        <v>0</v>
      </c>
      <c r="O485" s="70">
        <v>0</v>
      </c>
      <c r="P485" s="4">
        <v>0</v>
      </c>
      <c r="Q485" s="3" t="s">
        <v>26</v>
      </c>
      <c r="R485" s="3">
        <v>0</v>
      </c>
      <c r="S485" s="3">
        <v>7</v>
      </c>
      <c r="T485" s="3">
        <v>0</v>
      </c>
      <c r="U485" s="3">
        <v>0</v>
      </c>
      <c r="V485" s="70">
        <f>IF(ISERROR(VLOOKUP($S$485,'TAR FIN'!$A$1:$O$99,15,0)),0,VLOOKUP($S$485,'TAR FIN'!$A$1:$O$99,15,0))*(1-0.06)</f>
        <v>20.539000000000001</v>
      </c>
      <c r="W485" s="70">
        <f>IF(ISERROR(VLOOKUP($T$485,'TAR FIN'!$A$1:$O$99,15,0)),0,VLOOKUP($T$485,'TAR FIN'!$A$1:$O$99,15,0))</f>
        <v>0</v>
      </c>
      <c r="X485" s="70">
        <f>IF(ISERROR(VLOOKUP($U$485,'TAR FIN'!$A$1:$O$99,15,0)),0,VLOOKUP($U$485,'TAR FIN'!$A$1:$O$99,15,0))</f>
        <v>0</v>
      </c>
      <c r="Y485" s="70">
        <f ca="1">('TUSD BE'!$AM$21+'TUSD BF'!$AM$21+'TUSD CVA'!$AM$21)*1*(1-0.03)</f>
        <v>23.929316856639257</v>
      </c>
      <c r="Z485" s="70"/>
      <c r="AA485" s="70"/>
      <c r="AB485" s="70">
        <f>(SUBSIDIO!$J$485*SUBSIDIO!$V$485)*(0.06)/(1-0.06)</f>
        <v>91.77000000000001</v>
      </c>
      <c r="AC485" s="70">
        <f>((SUBSIDIO!$L$485*SUBSIDIO!$W$485)+(SUBSIDIO!$N$485*SUBSIDIO!$X$485))*(0.06)/(1-0.06)</f>
        <v>0</v>
      </c>
      <c r="AD485" s="70">
        <f ca="1">(SUBSIDIO!$J$485*SUBSIDIO!$Y$485)*(0.03)/(1-0.03)</f>
        <v>51.805737524682925</v>
      </c>
      <c r="AE485" s="70">
        <f>((SUBSIDIO!$L$485*SUBSIDIO!$Z$485)+(SUBSIDIO!$N$485*SUBSIDIO!$AA$485))*(0.03)/(1-0.03)</f>
        <v>0</v>
      </c>
      <c r="AF485" s="3" t="s">
        <v>953</v>
      </c>
    </row>
    <row r="486" spans="1:32" ht="11.25" customHeight="1" x14ac:dyDescent="0.25">
      <c r="A486" s="3" t="s">
        <v>28</v>
      </c>
      <c r="B486" s="3" t="s">
        <v>33</v>
      </c>
      <c r="C486" s="3" t="s">
        <v>34</v>
      </c>
      <c r="D486" s="3" t="s">
        <v>50</v>
      </c>
      <c r="E486" s="3" t="s">
        <v>51</v>
      </c>
      <c r="F486" s="3" t="s">
        <v>25</v>
      </c>
      <c r="G486" s="3" t="s">
        <v>25</v>
      </c>
      <c r="H486" s="3" t="s">
        <v>25</v>
      </c>
      <c r="I486" s="6">
        <v>44531</v>
      </c>
      <c r="J486" s="4">
        <v>60</v>
      </c>
      <c r="K486" s="71">
        <v>60</v>
      </c>
      <c r="L486" s="4">
        <v>0</v>
      </c>
      <c r="M486" s="70">
        <v>0</v>
      </c>
      <c r="N486" s="4">
        <v>0</v>
      </c>
      <c r="O486" s="70">
        <v>0</v>
      </c>
      <c r="P486" s="4">
        <v>1</v>
      </c>
      <c r="Q486" s="3" t="s">
        <v>26</v>
      </c>
      <c r="R486" s="3">
        <v>0</v>
      </c>
      <c r="S486" s="3">
        <v>7</v>
      </c>
      <c r="T486" s="3">
        <v>0</v>
      </c>
      <c r="U486" s="3">
        <v>0</v>
      </c>
      <c r="V486" s="70">
        <f>IF(ISERROR(VLOOKUP($S$486,'TAR FIN'!$A$1:$O$99,15,0)),0,VLOOKUP($S$486,'TAR FIN'!$A$1:$O$99,15,0))*(1-0.06)</f>
        <v>20.539000000000001</v>
      </c>
      <c r="W486" s="70">
        <f>IF(ISERROR(VLOOKUP($T$486,'TAR FIN'!$A$1:$O$99,15,0)),0,VLOOKUP($T$486,'TAR FIN'!$A$1:$O$99,15,0))</f>
        <v>0</v>
      </c>
      <c r="X486" s="70">
        <f>IF(ISERROR(VLOOKUP($U$486,'TAR FIN'!$A$1:$O$99,15,0)),0,VLOOKUP($U$486,'TAR FIN'!$A$1:$O$99,15,0))</f>
        <v>0</v>
      </c>
      <c r="Y486" s="70">
        <f ca="1">('TUSD BE'!$AM$21+'TUSD BF'!$AM$21+'TUSD CVA'!$AM$21)*1*(1-0.03)</f>
        <v>23.929316856639257</v>
      </c>
      <c r="Z486" s="70"/>
      <c r="AA486" s="70"/>
      <c r="AB486" s="70">
        <f>(SUBSIDIO!$J$486*SUBSIDIO!$V$486)*(0.06)/(1-0.06)</f>
        <v>78.660000000000011</v>
      </c>
      <c r="AC486" s="70">
        <f>((SUBSIDIO!$L$486*SUBSIDIO!$W$486)+(SUBSIDIO!$N$486*SUBSIDIO!$X$486))*(0.06)/(1-0.06)</f>
        <v>0</v>
      </c>
      <c r="AD486" s="70">
        <f ca="1">(SUBSIDIO!$J$486*SUBSIDIO!$Y$486)*(0.03)/(1-0.03)</f>
        <v>44.404917878299649</v>
      </c>
      <c r="AE486" s="70">
        <f>((SUBSIDIO!$L$486*SUBSIDIO!$Z$486)+(SUBSIDIO!$N$486*SUBSIDIO!$AA$486))*(0.03)/(1-0.03)</f>
        <v>0</v>
      </c>
      <c r="AF486" s="3" t="s">
        <v>953</v>
      </c>
    </row>
    <row r="487" spans="1:32" ht="11.25" customHeight="1" x14ac:dyDescent="0.25">
      <c r="A487" s="3" t="s">
        <v>21</v>
      </c>
      <c r="B487" s="3" t="s">
        <v>33</v>
      </c>
      <c r="C487" s="3" t="s">
        <v>34</v>
      </c>
      <c r="D487" s="3" t="s">
        <v>50</v>
      </c>
      <c r="E487" s="3" t="s">
        <v>51</v>
      </c>
      <c r="F487" s="3" t="s">
        <v>25</v>
      </c>
      <c r="G487" s="3" t="s">
        <v>25</v>
      </c>
      <c r="H487" s="3" t="s">
        <v>25</v>
      </c>
      <c r="I487" s="6">
        <v>44562</v>
      </c>
      <c r="J487" s="4">
        <v>15474</v>
      </c>
      <c r="K487" s="71">
        <v>15474</v>
      </c>
      <c r="L487" s="4">
        <v>0</v>
      </c>
      <c r="M487" s="70">
        <v>0</v>
      </c>
      <c r="N487" s="4">
        <v>0</v>
      </c>
      <c r="O487" s="70">
        <v>0</v>
      </c>
      <c r="P487" s="4">
        <v>207</v>
      </c>
      <c r="Q487" s="3" t="s">
        <v>26</v>
      </c>
      <c r="R487" s="3">
        <v>0</v>
      </c>
      <c r="S487" s="3">
        <v>7</v>
      </c>
      <c r="T487" s="3">
        <v>0</v>
      </c>
      <c r="U487" s="3">
        <v>0</v>
      </c>
      <c r="V487" s="70">
        <f>IF(ISERROR(VLOOKUP($S$487,'TAR FIN'!$A$1:$O$99,15,0)),0,VLOOKUP($S$487,'TAR FIN'!$A$1:$O$99,15,0))*(1-0.06)</f>
        <v>20.539000000000001</v>
      </c>
      <c r="W487" s="70">
        <f>IF(ISERROR(VLOOKUP($T$487,'TAR FIN'!$A$1:$O$99,15,0)),0,VLOOKUP($T$487,'TAR FIN'!$A$1:$O$99,15,0))</f>
        <v>0</v>
      </c>
      <c r="X487" s="70">
        <f>IF(ISERROR(VLOOKUP($U$487,'TAR FIN'!$A$1:$O$99,15,0)),0,VLOOKUP($U$487,'TAR FIN'!$A$1:$O$99,15,0))</f>
        <v>0</v>
      </c>
      <c r="Y487" s="70">
        <f ca="1">('TUSD BE'!$AM$21+'TUSD BF'!$AM$21+'TUSD CVA'!$AM$21)*1*(1-0.03)</f>
        <v>23.929316856639257</v>
      </c>
      <c r="Z487" s="70"/>
      <c r="AA487" s="70"/>
      <c r="AB487" s="70">
        <f>(SUBSIDIO!$J$487*SUBSIDIO!$V$487)*(0.06)/(1-0.06)</f>
        <v>20286.414000000004</v>
      </c>
      <c r="AC487" s="70">
        <f>((SUBSIDIO!$L$487*SUBSIDIO!$W$487)+(SUBSIDIO!$N$487*SUBSIDIO!$X$487))*(0.06)/(1-0.06)</f>
        <v>0</v>
      </c>
      <c r="AD487" s="70">
        <f ca="1">(SUBSIDIO!$J$487*SUBSIDIO!$Y$487)*(0.03)/(1-0.03)</f>
        <v>11452.028320813481</v>
      </c>
      <c r="AE487" s="70">
        <f>((SUBSIDIO!$L$487*SUBSIDIO!$Z$487)+(SUBSIDIO!$N$487*SUBSIDIO!$AA$487))*(0.03)/(1-0.03)</f>
        <v>0</v>
      </c>
      <c r="AF487" s="3" t="s">
        <v>953</v>
      </c>
    </row>
    <row r="488" spans="1:32" ht="11.25" customHeight="1" x14ac:dyDescent="0.25">
      <c r="A488" s="3" t="s">
        <v>28</v>
      </c>
      <c r="B488" s="3" t="s">
        <v>33</v>
      </c>
      <c r="C488" s="3" t="s">
        <v>34</v>
      </c>
      <c r="D488" s="3" t="s">
        <v>50</v>
      </c>
      <c r="E488" s="3" t="s">
        <v>51</v>
      </c>
      <c r="F488" s="3" t="s">
        <v>25</v>
      </c>
      <c r="G488" s="3" t="s">
        <v>25</v>
      </c>
      <c r="H488" s="3" t="s">
        <v>25</v>
      </c>
      <c r="I488" s="6">
        <v>44562</v>
      </c>
      <c r="J488" s="4">
        <v>57</v>
      </c>
      <c r="K488" s="71">
        <v>57</v>
      </c>
      <c r="L488" s="4">
        <v>0</v>
      </c>
      <c r="M488" s="70">
        <v>0</v>
      </c>
      <c r="N488" s="4">
        <v>0</v>
      </c>
      <c r="O488" s="70">
        <v>0</v>
      </c>
      <c r="P488" s="4">
        <v>1</v>
      </c>
      <c r="Q488" s="3" t="s">
        <v>26</v>
      </c>
      <c r="R488" s="3">
        <v>0</v>
      </c>
      <c r="S488" s="3">
        <v>7</v>
      </c>
      <c r="T488" s="3">
        <v>0</v>
      </c>
      <c r="U488" s="3">
        <v>0</v>
      </c>
      <c r="V488" s="70">
        <f>IF(ISERROR(VLOOKUP($S$488,'TAR FIN'!$A$1:$O$99,15,0)),0,VLOOKUP($S$488,'TAR FIN'!$A$1:$O$99,15,0))*(1-0.06)</f>
        <v>20.539000000000001</v>
      </c>
      <c r="W488" s="70">
        <f>IF(ISERROR(VLOOKUP($T$488,'TAR FIN'!$A$1:$O$99,15,0)),0,VLOOKUP($T$488,'TAR FIN'!$A$1:$O$99,15,0))</f>
        <v>0</v>
      </c>
      <c r="X488" s="70">
        <f>IF(ISERROR(VLOOKUP($U$488,'TAR FIN'!$A$1:$O$99,15,0)),0,VLOOKUP($U$488,'TAR FIN'!$A$1:$O$99,15,0))</f>
        <v>0</v>
      </c>
      <c r="Y488" s="70">
        <f ca="1">('TUSD BE'!$AM$21+'TUSD BF'!$AM$21+'TUSD CVA'!$AM$21)*1*(1-0.03)</f>
        <v>23.929316856639257</v>
      </c>
      <c r="Z488" s="70"/>
      <c r="AA488" s="70"/>
      <c r="AB488" s="70">
        <f>(SUBSIDIO!$J$488*SUBSIDIO!$V$488)*(0.06)/(1-0.06)</f>
        <v>74.727000000000004</v>
      </c>
      <c r="AC488" s="70">
        <f>((SUBSIDIO!$L$488*SUBSIDIO!$W$488)+(SUBSIDIO!$N$488*SUBSIDIO!$X$488))*(0.06)/(1-0.06)</f>
        <v>0</v>
      </c>
      <c r="AD488" s="70">
        <f ca="1">(SUBSIDIO!$J$488*SUBSIDIO!$Y$488)*(0.03)/(1-0.03)</f>
        <v>42.184671984384671</v>
      </c>
      <c r="AE488" s="70">
        <f>((SUBSIDIO!$L$488*SUBSIDIO!$Z$488)+(SUBSIDIO!$N$488*SUBSIDIO!$AA$488))*(0.03)/(1-0.03)</f>
        <v>0</v>
      </c>
      <c r="AF488" s="3" t="s">
        <v>953</v>
      </c>
    </row>
    <row r="489" spans="1:32" ht="11.25" customHeight="1" x14ac:dyDescent="0.25">
      <c r="A489" s="3" t="s">
        <v>21</v>
      </c>
      <c r="B489" s="3" t="s">
        <v>33</v>
      </c>
      <c r="C489" s="3" t="s">
        <v>34</v>
      </c>
      <c r="D489" s="3" t="s">
        <v>50</v>
      </c>
      <c r="E489" s="3" t="s">
        <v>51</v>
      </c>
      <c r="F489" s="3" t="s">
        <v>25</v>
      </c>
      <c r="G489" s="3" t="s">
        <v>25</v>
      </c>
      <c r="H489" s="3" t="s">
        <v>25</v>
      </c>
      <c r="I489" s="6">
        <v>44593</v>
      </c>
      <c r="J489" s="4">
        <v>15164</v>
      </c>
      <c r="K489" s="71">
        <v>15164</v>
      </c>
      <c r="L489" s="4">
        <v>0</v>
      </c>
      <c r="M489" s="70">
        <v>0</v>
      </c>
      <c r="N489" s="4">
        <v>0</v>
      </c>
      <c r="O489" s="70">
        <v>0</v>
      </c>
      <c r="P489" s="4">
        <v>207</v>
      </c>
      <c r="Q489" s="3" t="s">
        <v>26</v>
      </c>
      <c r="R489" s="3">
        <v>0</v>
      </c>
      <c r="S489" s="3">
        <v>7</v>
      </c>
      <c r="T489" s="3">
        <v>0</v>
      </c>
      <c r="U489" s="3">
        <v>0</v>
      </c>
      <c r="V489" s="70">
        <f>IF(ISERROR(VLOOKUP($S$489,'TAR FIN'!$A$1:$O$99,15,0)),0,VLOOKUP($S$489,'TAR FIN'!$A$1:$O$99,15,0))*(1-0.06)</f>
        <v>20.539000000000001</v>
      </c>
      <c r="W489" s="70">
        <f>IF(ISERROR(VLOOKUP($T$489,'TAR FIN'!$A$1:$O$99,15,0)),0,VLOOKUP($T$489,'TAR FIN'!$A$1:$O$99,15,0))</f>
        <v>0</v>
      </c>
      <c r="X489" s="70">
        <f>IF(ISERROR(VLOOKUP($U$489,'TAR FIN'!$A$1:$O$99,15,0)),0,VLOOKUP($U$489,'TAR FIN'!$A$1:$O$99,15,0))</f>
        <v>0</v>
      </c>
      <c r="Y489" s="70">
        <f ca="1">('TUSD BE'!$AM$21+'TUSD BF'!$AM$21+'TUSD CVA'!$AM$21)*1*(1-0.03)</f>
        <v>23.929316856639257</v>
      </c>
      <c r="Z489" s="70"/>
      <c r="AA489" s="70"/>
      <c r="AB489" s="70">
        <f>(SUBSIDIO!$J$489*SUBSIDIO!$V$489)*(0.06)/(1-0.06)</f>
        <v>19880.004000000001</v>
      </c>
      <c r="AC489" s="70">
        <f>((SUBSIDIO!$L$489*SUBSIDIO!$W$489)+(SUBSIDIO!$N$489*SUBSIDIO!$X$489))*(0.06)/(1-0.06)</f>
        <v>0</v>
      </c>
      <c r="AD489" s="70">
        <f ca="1">(SUBSIDIO!$J$489*SUBSIDIO!$Y$489)*(0.03)/(1-0.03)</f>
        <v>11222.602911775599</v>
      </c>
      <c r="AE489" s="70">
        <f>((SUBSIDIO!$L$489*SUBSIDIO!$Z$489)+(SUBSIDIO!$N$489*SUBSIDIO!$AA$489))*(0.03)/(1-0.03)</f>
        <v>0</v>
      </c>
      <c r="AF489" s="3" t="s">
        <v>953</v>
      </c>
    </row>
    <row r="490" spans="1:32" ht="11.25" customHeight="1" x14ac:dyDescent="0.25">
      <c r="A490" s="3" t="s">
        <v>28</v>
      </c>
      <c r="B490" s="3" t="s">
        <v>33</v>
      </c>
      <c r="C490" s="3" t="s">
        <v>34</v>
      </c>
      <c r="D490" s="3" t="s">
        <v>50</v>
      </c>
      <c r="E490" s="3" t="s">
        <v>51</v>
      </c>
      <c r="F490" s="3" t="s">
        <v>25</v>
      </c>
      <c r="G490" s="3" t="s">
        <v>25</v>
      </c>
      <c r="H490" s="3" t="s">
        <v>25</v>
      </c>
      <c r="I490" s="6">
        <v>44593</v>
      </c>
      <c r="J490" s="4">
        <v>59</v>
      </c>
      <c r="K490" s="71">
        <v>59</v>
      </c>
      <c r="L490" s="4">
        <v>0</v>
      </c>
      <c r="M490" s="70">
        <v>0</v>
      </c>
      <c r="N490" s="4">
        <v>0</v>
      </c>
      <c r="O490" s="70">
        <v>0</v>
      </c>
      <c r="P490" s="4">
        <v>1</v>
      </c>
      <c r="Q490" s="3" t="s">
        <v>26</v>
      </c>
      <c r="R490" s="3">
        <v>0</v>
      </c>
      <c r="S490" s="3">
        <v>7</v>
      </c>
      <c r="T490" s="3">
        <v>0</v>
      </c>
      <c r="U490" s="3">
        <v>0</v>
      </c>
      <c r="V490" s="70">
        <f>IF(ISERROR(VLOOKUP($S$490,'TAR FIN'!$A$1:$O$99,15,0)),0,VLOOKUP($S$490,'TAR FIN'!$A$1:$O$99,15,0))*(1-0.06)</f>
        <v>20.539000000000001</v>
      </c>
      <c r="W490" s="70">
        <f>IF(ISERROR(VLOOKUP($T$490,'TAR FIN'!$A$1:$O$99,15,0)),0,VLOOKUP($T$490,'TAR FIN'!$A$1:$O$99,15,0))</f>
        <v>0</v>
      </c>
      <c r="X490" s="70">
        <f>IF(ISERROR(VLOOKUP($U$490,'TAR FIN'!$A$1:$O$99,15,0)),0,VLOOKUP($U$490,'TAR FIN'!$A$1:$O$99,15,0))</f>
        <v>0</v>
      </c>
      <c r="Y490" s="70">
        <f ca="1">('TUSD BE'!$AM$21+'TUSD BF'!$AM$21+'TUSD CVA'!$AM$21)*1*(1-0.03)</f>
        <v>23.929316856639257</v>
      </c>
      <c r="Z490" s="70"/>
      <c r="AA490" s="70"/>
      <c r="AB490" s="70">
        <f>(SUBSIDIO!$J$490*SUBSIDIO!$V$490)*(0.06)/(1-0.06)</f>
        <v>77.349000000000004</v>
      </c>
      <c r="AC490" s="70">
        <f>((SUBSIDIO!$L$490*SUBSIDIO!$W$490)+(SUBSIDIO!$N$490*SUBSIDIO!$X$490))*(0.06)/(1-0.06)</f>
        <v>0</v>
      </c>
      <c r="AD490" s="70">
        <f ca="1">(SUBSIDIO!$J$490*SUBSIDIO!$Y$490)*(0.03)/(1-0.03)</f>
        <v>43.664835913661328</v>
      </c>
      <c r="AE490" s="70">
        <f>((SUBSIDIO!$L$490*SUBSIDIO!$Z$490)+(SUBSIDIO!$N$490*SUBSIDIO!$AA$490))*(0.03)/(1-0.03)</f>
        <v>0</v>
      </c>
      <c r="AF490" s="3" t="s">
        <v>953</v>
      </c>
    </row>
    <row r="491" spans="1:32" ht="11.25" customHeight="1" x14ac:dyDescent="0.25">
      <c r="A491" s="3" t="s">
        <v>21</v>
      </c>
      <c r="B491" s="3" t="s">
        <v>33</v>
      </c>
      <c r="C491" s="3" t="s">
        <v>34</v>
      </c>
      <c r="D491" s="3" t="s">
        <v>50</v>
      </c>
      <c r="E491" s="3" t="s">
        <v>51</v>
      </c>
      <c r="F491" s="3" t="s">
        <v>25</v>
      </c>
      <c r="G491" s="3" t="s">
        <v>25</v>
      </c>
      <c r="H491" s="3" t="s">
        <v>25</v>
      </c>
      <c r="I491" s="6">
        <v>44621</v>
      </c>
      <c r="J491" s="4">
        <v>15309</v>
      </c>
      <c r="K491" s="71">
        <v>15309</v>
      </c>
      <c r="L491" s="4">
        <v>0</v>
      </c>
      <c r="M491" s="70">
        <v>0</v>
      </c>
      <c r="N491" s="4">
        <v>0</v>
      </c>
      <c r="O491" s="70">
        <v>0</v>
      </c>
      <c r="P491" s="4">
        <v>207</v>
      </c>
      <c r="Q491" s="3" t="s">
        <v>26</v>
      </c>
      <c r="R491" s="3">
        <v>0</v>
      </c>
      <c r="S491" s="3">
        <v>7</v>
      </c>
      <c r="T491" s="3">
        <v>0</v>
      </c>
      <c r="U491" s="3">
        <v>0</v>
      </c>
      <c r="V491" s="70">
        <f>IF(ISERROR(VLOOKUP($S$491,'TAR FIN'!$A$1:$O$99,15,0)),0,VLOOKUP($S$491,'TAR FIN'!$A$1:$O$99,15,0))*(1-0.06)</f>
        <v>20.539000000000001</v>
      </c>
      <c r="W491" s="70">
        <f>IF(ISERROR(VLOOKUP($T$491,'TAR FIN'!$A$1:$O$99,15,0)),0,VLOOKUP($T$491,'TAR FIN'!$A$1:$O$99,15,0))</f>
        <v>0</v>
      </c>
      <c r="X491" s="70">
        <f>IF(ISERROR(VLOOKUP($U$491,'TAR FIN'!$A$1:$O$99,15,0)),0,VLOOKUP($U$491,'TAR FIN'!$A$1:$O$99,15,0))</f>
        <v>0</v>
      </c>
      <c r="Y491" s="70">
        <f ca="1">('TUSD BE'!$AM$21+'TUSD BF'!$AM$21+'TUSD CVA'!$AM$21)*1*(1-0.03)</f>
        <v>23.929316856639257</v>
      </c>
      <c r="Z491" s="70"/>
      <c r="AA491" s="70"/>
      <c r="AB491" s="70">
        <f>(SUBSIDIO!$J$491*SUBSIDIO!$V$491)*(0.06)/(1-0.06)</f>
        <v>20070.099000000002</v>
      </c>
      <c r="AC491" s="70">
        <f>((SUBSIDIO!$L$491*SUBSIDIO!$W$491)+(SUBSIDIO!$N$491*SUBSIDIO!$X$491))*(0.06)/(1-0.06)</f>
        <v>0</v>
      </c>
      <c r="AD491" s="70">
        <f ca="1">(SUBSIDIO!$J$491*SUBSIDIO!$Y$491)*(0.03)/(1-0.03)</f>
        <v>11329.914796648156</v>
      </c>
      <c r="AE491" s="70">
        <f>((SUBSIDIO!$L$491*SUBSIDIO!$Z$491)+(SUBSIDIO!$N$491*SUBSIDIO!$AA$491))*(0.03)/(1-0.03)</f>
        <v>0</v>
      </c>
      <c r="AF491" s="3" t="s">
        <v>953</v>
      </c>
    </row>
    <row r="492" spans="1:32" ht="11.25" customHeight="1" x14ac:dyDescent="0.25">
      <c r="A492" s="3" t="s">
        <v>28</v>
      </c>
      <c r="B492" s="3" t="s">
        <v>33</v>
      </c>
      <c r="C492" s="3" t="s">
        <v>34</v>
      </c>
      <c r="D492" s="3" t="s">
        <v>50</v>
      </c>
      <c r="E492" s="3" t="s">
        <v>51</v>
      </c>
      <c r="F492" s="3" t="s">
        <v>25</v>
      </c>
      <c r="G492" s="3" t="s">
        <v>25</v>
      </c>
      <c r="H492" s="3" t="s">
        <v>25</v>
      </c>
      <c r="I492" s="6">
        <v>44621</v>
      </c>
      <c r="J492" s="4">
        <v>59</v>
      </c>
      <c r="K492" s="71">
        <v>59</v>
      </c>
      <c r="L492" s="4">
        <v>0</v>
      </c>
      <c r="M492" s="70">
        <v>0</v>
      </c>
      <c r="N492" s="4">
        <v>0</v>
      </c>
      <c r="O492" s="70">
        <v>0</v>
      </c>
      <c r="P492" s="4">
        <v>1</v>
      </c>
      <c r="Q492" s="3" t="s">
        <v>26</v>
      </c>
      <c r="R492" s="3">
        <v>0</v>
      </c>
      <c r="S492" s="3">
        <v>7</v>
      </c>
      <c r="T492" s="3">
        <v>0</v>
      </c>
      <c r="U492" s="3">
        <v>0</v>
      </c>
      <c r="V492" s="70">
        <f>IF(ISERROR(VLOOKUP($S$492,'TAR FIN'!$A$1:$O$99,15,0)),0,VLOOKUP($S$492,'TAR FIN'!$A$1:$O$99,15,0))*(1-0.06)</f>
        <v>20.539000000000001</v>
      </c>
      <c r="W492" s="70">
        <f>IF(ISERROR(VLOOKUP($T$492,'TAR FIN'!$A$1:$O$99,15,0)),0,VLOOKUP($T$492,'TAR FIN'!$A$1:$O$99,15,0))</f>
        <v>0</v>
      </c>
      <c r="X492" s="70">
        <f>IF(ISERROR(VLOOKUP($U$492,'TAR FIN'!$A$1:$O$99,15,0)),0,VLOOKUP($U$492,'TAR FIN'!$A$1:$O$99,15,0))</f>
        <v>0</v>
      </c>
      <c r="Y492" s="70">
        <f ca="1">('TUSD BE'!$AM$21+'TUSD BF'!$AM$21+'TUSD CVA'!$AM$21)*1*(1-0.03)</f>
        <v>23.929316856639257</v>
      </c>
      <c r="Z492" s="70"/>
      <c r="AA492" s="70"/>
      <c r="AB492" s="70">
        <f>(SUBSIDIO!$J$492*SUBSIDIO!$V$492)*(0.06)/(1-0.06)</f>
        <v>77.349000000000004</v>
      </c>
      <c r="AC492" s="70">
        <f>((SUBSIDIO!$L$492*SUBSIDIO!$W$492)+(SUBSIDIO!$N$492*SUBSIDIO!$X$492))*(0.06)/(1-0.06)</f>
        <v>0</v>
      </c>
      <c r="AD492" s="70">
        <f ca="1">(SUBSIDIO!$J$492*SUBSIDIO!$Y$492)*(0.03)/(1-0.03)</f>
        <v>43.664835913661328</v>
      </c>
      <c r="AE492" s="70">
        <f>((SUBSIDIO!$L$492*SUBSIDIO!$Z$492)+(SUBSIDIO!$N$492*SUBSIDIO!$AA$492))*(0.03)/(1-0.03)</f>
        <v>0</v>
      </c>
      <c r="AF492" s="3" t="s">
        <v>953</v>
      </c>
    </row>
    <row r="493" spans="1:32" ht="11.25" customHeight="1" x14ac:dyDescent="0.25">
      <c r="A493" s="3" t="s">
        <v>56</v>
      </c>
      <c r="B493" s="3" t="s">
        <v>33</v>
      </c>
      <c r="C493" s="3" t="s">
        <v>34</v>
      </c>
      <c r="D493" s="3" t="s">
        <v>50</v>
      </c>
      <c r="E493" s="3" t="s">
        <v>51</v>
      </c>
      <c r="F493" s="3" t="s">
        <v>25</v>
      </c>
      <c r="G493" s="3" t="s">
        <v>25</v>
      </c>
      <c r="H493" s="3" t="s">
        <v>25</v>
      </c>
      <c r="I493" s="6">
        <v>44652</v>
      </c>
      <c r="J493" s="4">
        <v>15309</v>
      </c>
      <c r="K493" s="71">
        <v>15309</v>
      </c>
      <c r="L493" s="4">
        <v>0</v>
      </c>
      <c r="M493" s="70">
        <v>0</v>
      </c>
      <c r="N493" s="4">
        <v>0</v>
      </c>
      <c r="O493" s="70">
        <v>0</v>
      </c>
      <c r="P493" s="4">
        <v>207</v>
      </c>
      <c r="Q493" s="3" t="s">
        <v>26</v>
      </c>
      <c r="R493" s="3">
        <v>0</v>
      </c>
      <c r="S493" s="3">
        <v>7</v>
      </c>
      <c r="T493" s="3">
        <v>0</v>
      </c>
      <c r="U493" s="3">
        <v>0</v>
      </c>
      <c r="V493" s="70">
        <f>IF(ISERROR(VLOOKUP($S$493,'TAR FIN'!$A$1:$O$99,15,0)),0,VLOOKUP($S$493,'TAR FIN'!$A$1:$O$99,15,0))*(1-0.06)</f>
        <v>20.539000000000001</v>
      </c>
      <c r="W493" s="70">
        <f>IF(ISERROR(VLOOKUP($T$493,'TAR FIN'!$A$1:$O$99,15,0)),0,VLOOKUP($T$493,'TAR FIN'!$A$1:$O$99,15,0))</f>
        <v>0</v>
      </c>
      <c r="X493" s="70">
        <f>IF(ISERROR(VLOOKUP($U$493,'TAR FIN'!$A$1:$O$99,15,0)),0,VLOOKUP($U$493,'TAR FIN'!$A$1:$O$99,15,0))</f>
        <v>0</v>
      </c>
      <c r="Y493" s="70">
        <f ca="1">('TUSD BE'!$AM$21+'TUSD BF'!$AM$21+'TUSD CVA'!$AM$21)*1*(1-0.03)</f>
        <v>23.929316856639257</v>
      </c>
      <c r="Z493" s="70"/>
      <c r="AA493" s="70"/>
      <c r="AB493" s="70">
        <f>(SUBSIDIO!$J$493*SUBSIDIO!$V$493)*(0.06)/(1-0.06)</f>
        <v>20070.099000000002</v>
      </c>
      <c r="AC493" s="70">
        <f>((SUBSIDIO!$L$493*SUBSIDIO!$W$493)+(SUBSIDIO!$N$493*SUBSIDIO!$X$493))*(0.06)/(1-0.06)</f>
        <v>0</v>
      </c>
      <c r="AD493" s="70">
        <f ca="1">(SUBSIDIO!$J$493*SUBSIDIO!$Y$493)*(0.03)/(1-0.03)</f>
        <v>11329.914796648156</v>
      </c>
      <c r="AE493" s="70">
        <f>((SUBSIDIO!$L$493*SUBSIDIO!$Z$493)+(SUBSIDIO!$N$493*SUBSIDIO!$AA$493))*(0.03)/(1-0.03)</f>
        <v>0</v>
      </c>
      <c r="AF493" s="3" t="s">
        <v>953</v>
      </c>
    </row>
    <row r="494" spans="1:32" ht="11.25" customHeight="1" x14ac:dyDescent="0.25">
      <c r="A494" s="3" t="s">
        <v>56</v>
      </c>
      <c r="B494" s="3" t="s">
        <v>33</v>
      </c>
      <c r="C494" s="3" t="s">
        <v>34</v>
      </c>
      <c r="D494" s="3" t="s">
        <v>50</v>
      </c>
      <c r="E494" s="3" t="s">
        <v>51</v>
      </c>
      <c r="F494" s="3" t="s">
        <v>25</v>
      </c>
      <c r="G494" s="3" t="s">
        <v>25</v>
      </c>
      <c r="H494" s="3" t="s">
        <v>25</v>
      </c>
      <c r="I494" s="6">
        <v>44652</v>
      </c>
      <c r="J494" s="4">
        <v>59</v>
      </c>
      <c r="K494" s="71">
        <v>59</v>
      </c>
      <c r="L494" s="4">
        <v>0</v>
      </c>
      <c r="M494" s="70">
        <v>0</v>
      </c>
      <c r="N494" s="4">
        <v>0</v>
      </c>
      <c r="O494" s="70">
        <v>0</v>
      </c>
      <c r="P494" s="4">
        <v>1</v>
      </c>
      <c r="Q494" s="3" t="s">
        <v>26</v>
      </c>
      <c r="R494" s="3">
        <v>0</v>
      </c>
      <c r="S494" s="3">
        <v>7</v>
      </c>
      <c r="T494" s="3">
        <v>0</v>
      </c>
      <c r="U494" s="3">
        <v>0</v>
      </c>
      <c r="V494" s="70">
        <f>IF(ISERROR(VLOOKUP($S$494,'TAR FIN'!$A$1:$O$99,15,0)),0,VLOOKUP($S$494,'TAR FIN'!$A$1:$O$99,15,0))*(1-0.06)</f>
        <v>20.539000000000001</v>
      </c>
      <c r="W494" s="70">
        <f>IF(ISERROR(VLOOKUP($T$494,'TAR FIN'!$A$1:$O$99,15,0)),0,VLOOKUP($T$494,'TAR FIN'!$A$1:$O$99,15,0))</f>
        <v>0</v>
      </c>
      <c r="X494" s="70">
        <f>IF(ISERROR(VLOOKUP($U$494,'TAR FIN'!$A$1:$O$99,15,0)),0,VLOOKUP($U$494,'TAR FIN'!$A$1:$O$99,15,0))</f>
        <v>0</v>
      </c>
      <c r="Y494" s="70">
        <f ca="1">('TUSD BE'!$AM$21+'TUSD BF'!$AM$21+'TUSD CVA'!$AM$21)*1*(1-0.03)</f>
        <v>23.929316856639257</v>
      </c>
      <c r="Z494" s="70"/>
      <c r="AA494" s="70"/>
      <c r="AB494" s="70">
        <f>(SUBSIDIO!$J$494*SUBSIDIO!$V$494)*(0.06)/(1-0.06)</f>
        <v>77.349000000000004</v>
      </c>
      <c r="AC494" s="70">
        <f>((SUBSIDIO!$L$494*SUBSIDIO!$W$494)+(SUBSIDIO!$N$494*SUBSIDIO!$X$494))*(0.06)/(1-0.06)</f>
        <v>0</v>
      </c>
      <c r="AD494" s="70">
        <f ca="1">(SUBSIDIO!$J$494*SUBSIDIO!$Y$494)*(0.03)/(1-0.03)</f>
        <v>43.664835913661328</v>
      </c>
      <c r="AE494" s="70">
        <f>((SUBSIDIO!$L$494*SUBSIDIO!$Z$494)+(SUBSIDIO!$N$494*SUBSIDIO!$AA$494))*(0.03)/(1-0.03)</f>
        <v>0</v>
      </c>
      <c r="AF494" s="3" t="s">
        <v>953</v>
      </c>
    </row>
    <row r="495" spans="1:32" ht="11.25" customHeight="1" x14ac:dyDescent="0.25">
      <c r="A495" s="3" t="s">
        <v>21</v>
      </c>
      <c r="B495" s="3" t="s">
        <v>33</v>
      </c>
      <c r="C495" s="3" t="s">
        <v>34</v>
      </c>
      <c r="D495" s="3" t="s">
        <v>50</v>
      </c>
      <c r="E495" s="3" t="s">
        <v>51</v>
      </c>
      <c r="F495" s="3" t="s">
        <v>25</v>
      </c>
      <c r="G495" s="3" t="s">
        <v>25</v>
      </c>
      <c r="H495" s="3" t="s">
        <v>35</v>
      </c>
      <c r="I495" s="6">
        <v>44317</v>
      </c>
      <c r="J495" s="4">
        <v>0</v>
      </c>
      <c r="K495" s="70">
        <v>0</v>
      </c>
      <c r="L495" s="4">
        <v>429.45600000000002</v>
      </c>
      <c r="M495" s="70">
        <v>429.45600000000002</v>
      </c>
      <c r="N495" s="4">
        <v>429.45600000000002</v>
      </c>
      <c r="O495" s="70">
        <v>429.45600000000002</v>
      </c>
      <c r="P495" s="4">
        <v>0</v>
      </c>
      <c r="Q495" s="3" t="s">
        <v>26</v>
      </c>
      <c r="R495" s="3">
        <v>0</v>
      </c>
      <c r="S495" s="3">
        <v>0</v>
      </c>
      <c r="T495" s="3">
        <v>8</v>
      </c>
      <c r="U495" s="3">
        <v>72</v>
      </c>
      <c r="V495" s="70">
        <f>IF(ISERROR(VLOOKUP($S$495,'TAR FIN'!$A$1:$O$99,15,0)),0,VLOOKUP($S$495,'TAR FIN'!$A$1:$O$99,15,0))</f>
        <v>0</v>
      </c>
      <c r="W495" s="70">
        <f>IF(ISERROR(VLOOKUP($T$495,'TAR FIN'!$A$1:$O$99,15,0)),0,VLOOKUP($T$495,'TAR FIN'!$A$1:$O$99,15,0))*(1-0.06)</f>
        <v>1464.2755999999999</v>
      </c>
      <c r="X495" s="70">
        <f>IF(ISERROR(VLOOKUP($U$495,'TAR FIN'!$A$1:$O$99,15,0)),0,VLOOKUP($U$495,'TAR FIN'!$A$1:$O$99,15,0))*(1-0.06)</f>
        <v>325.8134</v>
      </c>
      <c r="Y495" s="70"/>
      <c r="Z495" s="70">
        <f ca="1">('TUSD BE'!$AM$22+'TUSD BF'!$AM$22+'TUSD CVA'!$AM$22)*1*(1-0.03)</f>
        <v>1745.1580396621926</v>
      </c>
      <c r="AA495" s="70">
        <f>('TE BE'!$AA$7+'TE BF'!$AA$7+'TE CVA'!$AA$7)*1*(1-0.03)</f>
        <v>411.17962930251429</v>
      </c>
      <c r="AB495" s="70">
        <f>(SUBSIDIO!$J$495*SUBSIDIO!$V$495)*(0.06)/(1-0.06)</f>
        <v>0</v>
      </c>
      <c r="AC495" s="70">
        <f>((SUBSIDIO!$L$495*SUBSIDIO!$W$495)+(SUBSIDIO!$N$495*SUBSIDIO!$X$495))*(0.06)/(1-0.06)</f>
        <v>49070.072015999998</v>
      </c>
      <c r="AD495" s="70">
        <f>(SUBSIDIO!$J$495*SUBSIDIO!$Y$495)*(0.03)/(1-0.03)</f>
        <v>0</v>
      </c>
      <c r="AE495" s="70">
        <f ca="1">((SUBSIDIO!$L$495*SUBSIDIO!$Z$495)+(SUBSIDIO!$N$495*SUBSIDIO!$AA$495))*(0.03)/(1-0.03)</f>
        <v>28640.788143182697</v>
      </c>
      <c r="AF495" s="3" t="s">
        <v>953</v>
      </c>
    </row>
    <row r="496" spans="1:32" ht="11.25" customHeight="1" x14ac:dyDescent="0.25">
      <c r="A496" s="3" t="s">
        <v>21</v>
      </c>
      <c r="B496" s="3" t="s">
        <v>33</v>
      </c>
      <c r="C496" s="3" t="s">
        <v>34</v>
      </c>
      <c r="D496" s="3" t="s">
        <v>50</v>
      </c>
      <c r="E496" s="3" t="s">
        <v>51</v>
      </c>
      <c r="F496" s="3" t="s">
        <v>25</v>
      </c>
      <c r="G496" s="3" t="s">
        <v>25</v>
      </c>
      <c r="H496" s="3" t="s">
        <v>35</v>
      </c>
      <c r="I496" s="6">
        <v>44348</v>
      </c>
      <c r="J496" s="4">
        <v>0</v>
      </c>
      <c r="K496" s="70">
        <v>0</v>
      </c>
      <c r="L496" s="4">
        <v>406.90600000000001</v>
      </c>
      <c r="M496" s="70">
        <v>406.90600000000001</v>
      </c>
      <c r="N496" s="4">
        <v>406.90600000000001</v>
      </c>
      <c r="O496" s="70">
        <v>406.90600000000001</v>
      </c>
      <c r="P496" s="4">
        <v>0</v>
      </c>
      <c r="Q496" s="3" t="s">
        <v>26</v>
      </c>
      <c r="R496" s="3">
        <v>0</v>
      </c>
      <c r="S496" s="3">
        <v>0</v>
      </c>
      <c r="T496" s="3">
        <v>8</v>
      </c>
      <c r="U496" s="3">
        <v>72</v>
      </c>
      <c r="V496" s="70">
        <f>IF(ISERROR(VLOOKUP($S$496,'TAR FIN'!$A$1:$O$99,15,0)),0,VLOOKUP($S$496,'TAR FIN'!$A$1:$O$99,15,0))</f>
        <v>0</v>
      </c>
      <c r="W496" s="70">
        <f>IF(ISERROR(VLOOKUP($T$496,'TAR FIN'!$A$1:$O$99,15,0)),0,VLOOKUP($T$496,'TAR FIN'!$A$1:$O$99,15,0))*(1-0.06)</f>
        <v>1464.2755999999999</v>
      </c>
      <c r="X496" s="70">
        <f>IF(ISERROR(VLOOKUP($U$496,'TAR FIN'!$A$1:$O$99,15,0)),0,VLOOKUP($U$496,'TAR FIN'!$A$1:$O$99,15,0))*(1-0.06)</f>
        <v>325.8134</v>
      </c>
      <c r="Y496" s="70"/>
      <c r="Z496" s="70">
        <f ca="1">('TUSD BE'!$AM$22+'TUSD BF'!$AM$22+'TUSD CVA'!$AM$22)*1*(1-0.03)</f>
        <v>1745.1580396621926</v>
      </c>
      <c r="AA496" s="70">
        <f>('TE BE'!$AA$7+'TE BF'!$AA$7+'TE CVA'!$AA$7)*1*(1-0.03)</f>
        <v>411.17962930251429</v>
      </c>
      <c r="AB496" s="70">
        <f>(SUBSIDIO!$J$496*SUBSIDIO!$V$496)*(0.06)/(1-0.06)</f>
        <v>0</v>
      </c>
      <c r="AC496" s="70">
        <f>((SUBSIDIO!$L$496*SUBSIDIO!$W$496)+(SUBSIDIO!$N$496*SUBSIDIO!$X$496))*(0.06)/(1-0.06)</f>
        <v>46493.486466000009</v>
      </c>
      <c r="AD496" s="70">
        <f>(SUBSIDIO!$J$496*SUBSIDIO!$Y$496)*(0.03)/(1-0.03)</f>
        <v>0</v>
      </c>
      <c r="AE496" s="70">
        <f ca="1">((SUBSIDIO!$L$496*SUBSIDIO!$Z$496)+(SUBSIDIO!$N$496*SUBSIDIO!$AA$496))*(0.03)/(1-0.03)</f>
        <v>27136.909346219163</v>
      </c>
      <c r="AF496" s="3" t="s">
        <v>953</v>
      </c>
    </row>
    <row r="497" spans="1:32" ht="11.25" customHeight="1" x14ac:dyDescent="0.25">
      <c r="A497" s="3" t="s">
        <v>28</v>
      </c>
      <c r="B497" s="3" t="s">
        <v>33</v>
      </c>
      <c r="C497" s="3" t="s">
        <v>34</v>
      </c>
      <c r="D497" s="3" t="s">
        <v>50</v>
      </c>
      <c r="E497" s="3" t="s">
        <v>51</v>
      </c>
      <c r="F497" s="3" t="s">
        <v>25</v>
      </c>
      <c r="G497" s="3" t="s">
        <v>25</v>
      </c>
      <c r="H497" s="3" t="s">
        <v>35</v>
      </c>
      <c r="I497" s="6">
        <v>44348</v>
      </c>
      <c r="J497" s="4">
        <v>0</v>
      </c>
      <c r="K497" s="70">
        <v>0</v>
      </c>
      <c r="L497" s="4">
        <v>2.1840000000000002</v>
      </c>
      <c r="M497" s="70">
        <v>2.1840000000000002</v>
      </c>
      <c r="N497" s="4">
        <v>2.1840000000000002</v>
      </c>
      <c r="O497" s="70">
        <v>2.1840000000000002</v>
      </c>
      <c r="P497" s="4">
        <v>0</v>
      </c>
      <c r="Q497" s="3" t="s">
        <v>26</v>
      </c>
      <c r="R497" s="3">
        <v>0</v>
      </c>
      <c r="S497" s="3">
        <v>0</v>
      </c>
      <c r="T497" s="3">
        <v>8</v>
      </c>
      <c r="U497" s="3">
        <v>72</v>
      </c>
      <c r="V497" s="70">
        <f>IF(ISERROR(VLOOKUP($S$497,'TAR FIN'!$A$1:$O$99,15,0)),0,VLOOKUP($S$497,'TAR FIN'!$A$1:$O$99,15,0))</f>
        <v>0</v>
      </c>
      <c r="W497" s="70">
        <f>IF(ISERROR(VLOOKUP($T$497,'TAR FIN'!$A$1:$O$99,15,0)),0,VLOOKUP($T$497,'TAR FIN'!$A$1:$O$99,15,0))*(1-0.06)</f>
        <v>1464.2755999999999</v>
      </c>
      <c r="X497" s="70">
        <f>IF(ISERROR(VLOOKUP($U$497,'TAR FIN'!$A$1:$O$99,15,0)),0,VLOOKUP($U$497,'TAR FIN'!$A$1:$O$99,15,0))*(1-0.06)</f>
        <v>325.8134</v>
      </c>
      <c r="Y497" s="70"/>
      <c r="Z497" s="70">
        <f ca="1">('TUSD BE'!$AM$22+'TUSD BF'!$AM$22+'TUSD CVA'!$AM$22)*1*(1-0.03)</f>
        <v>1745.1580396621926</v>
      </c>
      <c r="AA497" s="70">
        <f>('TE BE'!$AA$7+'TE BF'!$AA$7+'TE CVA'!$AA$7)*1*(1-0.03)</f>
        <v>411.17962930251429</v>
      </c>
      <c r="AB497" s="70">
        <f>(SUBSIDIO!$J$497*SUBSIDIO!$V$497)*(0.06)/(1-0.06)</f>
        <v>0</v>
      </c>
      <c r="AC497" s="70">
        <f>((SUBSIDIO!$L$497*SUBSIDIO!$W$497)+(SUBSIDIO!$N$497*SUBSIDIO!$X$497))*(0.06)/(1-0.06)</f>
        <v>249.54602399999999</v>
      </c>
      <c r="AD497" s="70">
        <f>(SUBSIDIO!$J$497*SUBSIDIO!$Y$497)*(0.03)/(1-0.03)</f>
        <v>0</v>
      </c>
      <c r="AE497" s="70">
        <f ca="1">((SUBSIDIO!$L$497*SUBSIDIO!$Z$497)+(SUBSIDIO!$N$497*SUBSIDIO!$AA$497))*(0.03)/(1-0.03)</f>
        <v>145.6528289387295</v>
      </c>
      <c r="AF497" s="3" t="s">
        <v>953</v>
      </c>
    </row>
    <row r="498" spans="1:32" ht="11.25" customHeight="1" x14ac:dyDescent="0.25">
      <c r="A498" s="3" t="s">
        <v>21</v>
      </c>
      <c r="B498" s="3" t="s">
        <v>33</v>
      </c>
      <c r="C498" s="3" t="s">
        <v>34</v>
      </c>
      <c r="D498" s="3" t="s">
        <v>50</v>
      </c>
      <c r="E498" s="3" t="s">
        <v>51</v>
      </c>
      <c r="F498" s="3" t="s">
        <v>25</v>
      </c>
      <c r="G498" s="3" t="s">
        <v>25</v>
      </c>
      <c r="H498" s="3" t="s">
        <v>35</v>
      </c>
      <c r="I498" s="6">
        <v>44378</v>
      </c>
      <c r="J498" s="4">
        <v>0</v>
      </c>
      <c r="K498" s="70">
        <v>0</v>
      </c>
      <c r="L498" s="4">
        <v>426.63900000000001</v>
      </c>
      <c r="M498" s="70">
        <v>426.63900000000001</v>
      </c>
      <c r="N498" s="4">
        <v>426.63900000000001</v>
      </c>
      <c r="O498" s="70">
        <v>426.63900000000001</v>
      </c>
      <c r="P498" s="4">
        <v>0</v>
      </c>
      <c r="Q498" s="3" t="s">
        <v>26</v>
      </c>
      <c r="R498" s="3">
        <v>0</v>
      </c>
      <c r="S498" s="3">
        <v>0</v>
      </c>
      <c r="T498" s="3">
        <v>8</v>
      </c>
      <c r="U498" s="3">
        <v>72</v>
      </c>
      <c r="V498" s="70">
        <f>IF(ISERROR(VLOOKUP($S$498,'TAR FIN'!$A$1:$O$99,15,0)),0,VLOOKUP($S$498,'TAR FIN'!$A$1:$O$99,15,0))</f>
        <v>0</v>
      </c>
      <c r="W498" s="70">
        <f>IF(ISERROR(VLOOKUP($T$498,'TAR FIN'!$A$1:$O$99,15,0)),0,VLOOKUP($T$498,'TAR FIN'!$A$1:$O$99,15,0))*(1-0.06)</f>
        <v>1464.2755999999999</v>
      </c>
      <c r="X498" s="70">
        <f>IF(ISERROR(VLOOKUP($U$498,'TAR FIN'!$A$1:$O$99,15,0)),0,VLOOKUP($U$498,'TAR FIN'!$A$1:$O$99,15,0))*(1-0.06)</f>
        <v>325.8134</v>
      </c>
      <c r="Y498" s="70"/>
      <c r="Z498" s="70">
        <f ca="1">('TUSD BE'!$AM$22+'TUSD BF'!$AM$22+'TUSD CVA'!$AM$22)*1*(1-0.03)</f>
        <v>1745.1580396621926</v>
      </c>
      <c r="AA498" s="70">
        <f>('TE BE'!$AA$7+'TE BF'!$AA$7+'TE CVA'!$AA$7)*1*(1-0.03)</f>
        <v>411.17962930251429</v>
      </c>
      <c r="AB498" s="70">
        <f>(SUBSIDIO!$J$498*SUBSIDIO!$V$498)*(0.06)/(1-0.06)</f>
        <v>0</v>
      </c>
      <c r="AC498" s="70">
        <f>((SUBSIDIO!$L$498*SUBSIDIO!$W$498)+(SUBSIDIO!$N$498*SUBSIDIO!$X$498))*(0.06)/(1-0.06)</f>
        <v>48748.198778999998</v>
      </c>
      <c r="AD498" s="70">
        <f>(SUBSIDIO!$J$498*SUBSIDIO!$Y$498)*(0.03)/(1-0.03)</f>
        <v>0</v>
      </c>
      <c r="AE498" s="70">
        <f ca="1">((SUBSIDIO!$L$498*SUBSIDIO!$Z$498)+(SUBSIDIO!$N$498*SUBSIDIO!$AA$498))*(0.03)/(1-0.03)</f>
        <v>28452.9200025598</v>
      </c>
      <c r="AF498" s="3" t="s">
        <v>953</v>
      </c>
    </row>
    <row r="499" spans="1:32" ht="11.25" customHeight="1" x14ac:dyDescent="0.25">
      <c r="A499" s="3" t="s">
        <v>28</v>
      </c>
      <c r="B499" s="3" t="s">
        <v>33</v>
      </c>
      <c r="C499" s="3" t="s">
        <v>34</v>
      </c>
      <c r="D499" s="3" t="s">
        <v>50</v>
      </c>
      <c r="E499" s="3" t="s">
        <v>51</v>
      </c>
      <c r="F499" s="3" t="s">
        <v>25</v>
      </c>
      <c r="G499" s="3" t="s">
        <v>25</v>
      </c>
      <c r="H499" s="3" t="s">
        <v>35</v>
      </c>
      <c r="I499" s="6">
        <v>44378</v>
      </c>
      <c r="J499" s="4">
        <v>0</v>
      </c>
      <c r="K499" s="70">
        <v>0</v>
      </c>
      <c r="L499" s="4">
        <v>2.6219999999999999</v>
      </c>
      <c r="M499" s="70">
        <v>2.6219999999999999</v>
      </c>
      <c r="N499" s="4">
        <v>2.6219999999999999</v>
      </c>
      <c r="O499" s="70">
        <v>2.6219999999999999</v>
      </c>
      <c r="P499" s="4">
        <v>0</v>
      </c>
      <c r="Q499" s="3" t="s">
        <v>26</v>
      </c>
      <c r="R499" s="3">
        <v>0</v>
      </c>
      <c r="S499" s="3">
        <v>0</v>
      </c>
      <c r="T499" s="3">
        <v>8</v>
      </c>
      <c r="U499" s="3">
        <v>72</v>
      </c>
      <c r="V499" s="70">
        <f>IF(ISERROR(VLOOKUP($S$499,'TAR FIN'!$A$1:$O$99,15,0)),0,VLOOKUP($S$499,'TAR FIN'!$A$1:$O$99,15,0))</f>
        <v>0</v>
      </c>
      <c r="W499" s="70">
        <f>IF(ISERROR(VLOOKUP($T$499,'TAR FIN'!$A$1:$O$99,15,0)),0,VLOOKUP($T$499,'TAR FIN'!$A$1:$O$99,15,0))*(1-0.06)</f>
        <v>1464.2755999999999</v>
      </c>
      <c r="X499" s="70">
        <f>IF(ISERROR(VLOOKUP($U$499,'TAR FIN'!$A$1:$O$99,15,0)),0,VLOOKUP($U$499,'TAR FIN'!$A$1:$O$99,15,0))*(1-0.06)</f>
        <v>325.8134</v>
      </c>
      <c r="Y499" s="70"/>
      <c r="Z499" s="70">
        <f ca="1">('TUSD BE'!$AM$22+'TUSD BF'!$AM$22+'TUSD CVA'!$AM$22)*1*(1-0.03)</f>
        <v>1745.1580396621926</v>
      </c>
      <c r="AA499" s="70">
        <f>('TE BE'!$AA$7+'TE BF'!$AA$7+'TE CVA'!$AA$7)*1*(1-0.03)</f>
        <v>411.17962930251429</v>
      </c>
      <c r="AB499" s="70">
        <f>(SUBSIDIO!$J$499*SUBSIDIO!$V$499)*(0.06)/(1-0.06)</f>
        <v>0</v>
      </c>
      <c r="AC499" s="70">
        <f>((SUBSIDIO!$L$499*SUBSIDIO!$W$499)+(SUBSIDIO!$N$499*SUBSIDIO!$X$499))*(0.06)/(1-0.06)</f>
        <v>299.59234200000003</v>
      </c>
      <c r="AD499" s="70">
        <f>(SUBSIDIO!$J$499*SUBSIDIO!$Y$499)*(0.03)/(1-0.03)</f>
        <v>0</v>
      </c>
      <c r="AE499" s="70">
        <f ca="1">((SUBSIDIO!$L$499*SUBSIDIO!$Z$499)+(SUBSIDIO!$N$499*SUBSIDIO!$AA$499))*(0.03)/(1-0.03)</f>
        <v>174.86342375336477</v>
      </c>
      <c r="AF499" s="3" t="s">
        <v>953</v>
      </c>
    </row>
    <row r="500" spans="1:32" ht="11.25" customHeight="1" x14ac:dyDescent="0.25">
      <c r="A500" s="3" t="s">
        <v>21</v>
      </c>
      <c r="B500" s="3" t="s">
        <v>33</v>
      </c>
      <c r="C500" s="3" t="s">
        <v>34</v>
      </c>
      <c r="D500" s="3" t="s">
        <v>50</v>
      </c>
      <c r="E500" s="3" t="s">
        <v>51</v>
      </c>
      <c r="F500" s="3" t="s">
        <v>25</v>
      </c>
      <c r="G500" s="3" t="s">
        <v>25</v>
      </c>
      <c r="H500" s="3" t="s">
        <v>35</v>
      </c>
      <c r="I500" s="6">
        <v>44409</v>
      </c>
      <c r="J500" s="4">
        <v>0</v>
      </c>
      <c r="K500" s="70">
        <v>0</v>
      </c>
      <c r="L500" s="4">
        <v>435.65199999999999</v>
      </c>
      <c r="M500" s="70">
        <v>435.65199999999999</v>
      </c>
      <c r="N500" s="4">
        <v>435.65199999999999</v>
      </c>
      <c r="O500" s="70">
        <v>435.65199999999999</v>
      </c>
      <c r="P500" s="4">
        <v>0</v>
      </c>
      <c r="Q500" s="3" t="s">
        <v>26</v>
      </c>
      <c r="R500" s="3">
        <v>0</v>
      </c>
      <c r="S500" s="3">
        <v>0</v>
      </c>
      <c r="T500" s="3">
        <v>8</v>
      </c>
      <c r="U500" s="3">
        <v>72</v>
      </c>
      <c r="V500" s="70">
        <f>IF(ISERROR(VLOOKUP($S$500,'TAR FIN'!$A$1:$O$99,15,0)),0,VLOOKUP($S$500,'TAR FIN'!$A$1:$O$99,15,0))</f>
        <v>0</v>
      </c>
      <c r="W500" s="70">
        <f>IF(ISERROR(VLOOKUP($T$500,'TAR FIN'!$A$1:$O$99,15,0)),0,VLOOKUP($T$500,'TAR FIN'!$A$1:$O$99,15,0))*(1-0.06)</f>
        <v>1464.2755999999999</v>
      </c>
      <c r="X500" s="70">
        <f>IF(ISERROR(VLOOKUP($U$500,'TAR FIN'!$A$1:$O$99,15,0)),0,VLOOKUP($U$500,'TAR FIN'!$A$1:$O$99,15,0))*(1-0.06)</f>
        <v>325.8134</v>
      </c>
      <c r="Y500" s="70"/>
      <c r="Z500" s="70">
        <f ca="1">('TUSD BE'!$AM$22+'TUSD BF'!$AM$22+'TUSD CVA'!$AM$22)*1*(1-0.03)</f>
        <v>1745.1580396621926</v>
      </c>
      <c r="AA500" s="70">
        <f>('TE BE'!$AA$7+'TE BF'!$AA$7+'TE CVA'!$AA$7)*1*(1-0.03)</f>
        <v>411.17962930251429</v>
      </c>
      <c r="AB500" s="70">
        <f>(SUBSIDIO!$J$500*SUBSIDIO!$V$500)*(0.06)/(1-0.06)</f>
        <v>0</v>
      </c>
      <c r="AC500" s="70">
        <f>((SUBSIDIO!$L$500*SUBSIDIO!$W$500)+(SUBSIDIO!$N$500*SUBSIDIO!$X$500))*(0.06)/(1-0.06)</f>
        <v>49778.033171999989</v>
      </c>
      <c r="AD500" s="70">
        <f>(SUBSIDIO!$J$500*SUBSIDIO!$Y$500)*(0.03)/(1-0.03)</f>
        <v>0</v>
      </c>
      <c r="AE500" s="70">
        <f ca="1">((SUBSIDIO!$L$500*SUBSIDIO!$Z$500)+(SUBSIDIO!$N$500*SUBSIDIO!$AA$500))*(0.03)/(1-0.03)</f>
        <v>29054.004685355027</v>
      </c>
      <c r="AF500" s="3" t="s">
        <v>953</v>
      </c>
    </row>
    <row r="501" spans="1:32" ht="11.25" customHeight="1" x14ac:dyDescent="0.25">
      <c r="A501" s="3" t="s">
        <v>28</v>
      </c>
      <c r="B501" s="3" t="s">
        <v>33</v>
      </c>
      <c r="C501" s="3" t="s">
        <v>34</v>
      </c>
      <c r="D501" s="3" t="s">
        <v>50</v>
      </c>
      <c r="E501" s="3" t="s">
        <v>51</v>
      </c>
      <c r="F501" s="3" t="s">
        <v>25</v>
      </c>
      <c r="G501" s="3" t="s">
        <v>25</v>
      </c>
      <c r="H501" s="3" t="s">
        <v>35</v>
      </c>
      <c r="I501" s="6">
        <v>44409</v>
      </c>
      <c r="J501" s="4">
        <v>0</v>
      </c>
      <c r="K501" s="70">
        <v>0</v>
      </c>
      <c r="L501" s="4">
        <v>2.7410000000000001</v>
      </c>
      <c r="M501" s="70">
        <v>2.7410000000000001</v>
      </c>
      <c r="N501" s="4">
        <v>2.7410000000000001</v>
      </c>
      <c r="O501" s="70">
        <v>2.7410000000000001</v>
      </c>
      <c r="P501" s="4">
        <v>0</v>
      </c>
      <c r="Q501" s="3" t="s">
        <v>26</v>
      </c>
      <c r="R501" s="3">
        <v>0</v>
      </c>
      <c r="S501" s="3">
        <v>0</v>
      </c>
      <c r="T501" s="3">
        <v>8</v>
      </c>
      <c r="U501" s="3">
        <v>72</v>
      </c>
      <c r="V501" s="70">
        <f>IF(ISERROR(VLOOKUP($S$501,'TAR FIN'!$A$1:$O$99,15,0)),0,VLOOKUP($S$501,'TAR FIN'!$A$1:$O$99,15,0))</f>
        <v>0</v>
      </c>
      <c r="W501" s="70">
        <f>IF(ISERROR(VLOOKUP($T$501,'TAR FIN'!$A$1:$O$99,15,0)),0,VLOOKUP($T$501,'TAR FIN'!$A$1:$O$99,15,0))*(1-0.06)</f>
        <v>1464.2755999999999</v>
      </c>
      <c r="X501" s="70">
        <f>IF(ISERROR(VLOOKUP($U$501,'TAR FIN'!$A$1:$O$99,15,0)),0,VLOOKUP($U$501,'TAR FIN'!$A$1:$O$99,15,0))*(1-0.06)</f>
        <v>325.8134</v>
      </c>
      <c r="Y501" s="70"/>
      <c r="Z501" s="70">
        <f ca="1">('TUSD BE'!$AM$22+'TUSD BF'!$AM$22+'TUSD CVA'!$AM$22)*1*(1-0.03)</f>
        <v>1745.1580396621926</v>
      </c>
      <c r="AA501" s="70">
        <f>('TE BE'!$AA$7+'TE BF'!$AA$7+'TE CVA'!$AA$7)*1*(1-0.03)</f>
        <v>411.17962930251429</v>
      </c>
      <c r="AB501" s="70">
        <f>(SUBSIDIO!$J$501*SUBSIDIO!$V$501)*(0.06)/(1-0.06)</f>
        <v>0</v>
      </c>
      <c r="AC501" s="70">
        <f>((SUBSIDIO!$L$501*SUBSIDIO!$W$501)+(SUBSIDIO!$N$501*SUBSIDIO!$X$501))*(0.06)/(1-0.06)</f>
        <v>313.18940100000003</v>
      </c>
      <c r="AD501" s="70">
        <f>(SUBSIDIO!$J$501*SUBSIDIO!$Y$501)*(0.03)/(1-0.03)</f>
        <v>0</v>
      </c>
      <c r="AE501" s="70">
        <f ca="1">((SUBSIDIO!$L$501*SUBSIDIO!$Z$501)+(SUBSIDIO!$N$501*SUBSIDIO!$AA$501))*(0.03)/(1-0.03)</f>
        <v>182.79963558656482</v>
      </c>
      <c r="AF501" s="3" t="s">
        <v>953</v>
      </c>
    </row>
    <row r="502" spans="1:32" ht="11.25" customHeight="1" x14ac:dyDescent="0.25">
      <c r="A502" s="3" t="s">
        <v>21</v>
      </c>
      <c r="B502" s="3" t="s">
        <v>33</v>
      </c>
      <c r="C502" s="3" t="s">
        <v>34</v>
      </c>
      <c r="D502" s="3" t="s">
        <v>50</v>
      </c>
      <c r="E502" s="3" t="s">
        <v>51</v>
      </c>
      <c r="F502" s="3" t="s">
        <v>25</v>
      </c>
      <c r="G502" s="3" t="s">
        <v>25</v>
      </c>
      <c r="H502" s="3" t="s">
        <v>35</v>
      </c>
      <c r="I502" s="6">
        <v>44440</v>
      </c>
      <c r="J502" s="4">
        <v>0</v>
      </c>
      <c r="K502" s="70">
        <v>0</v>
      </c>
      <c r="L502" s="4">
        <v>408.01</v>
      </c>
      <c r="M502" s="70">
        <v>408.01</v>
      </c>
      <c r="N502" s="4">
        <v>408.01</v>
      </c>
      <c r="O502" s="70">
        <v>408.01</v>
      </c>
      <c r="P502" s="4">
        <v>0</v>
      </c>
      <c r="Q502" s="3" t="s">
        <v>26</v>
      </c>
      <c r="R502" s="3">
        <v>0</v>
      </c>
      <c r="S502" s="3">
        <v>0</v>
      </c>
      <c r="T502" s="3">
        <v>8</v>
      </c>
      <c r="U502" s="3">
        <v>72</v>
      </c>
      <c r="V502" s="70">
        <f>IF(ISERROR(VLOOKUP($S$502,'TAR FIN'!$A$1:$O$99,15,0)),0,VLOOKUP($S$502,'TAR FIN'!$A$1:$O$99,15,0))</f>
        <v>0</v>
      </c>
      <c r="W502" s="70">
        <f>IF(ISERROR(VLOOKUP($T$502,'TAR FIN'!$A$1:$O$99,15,0)),0,VLOOKUP($T$502,'TAR FIN'!$A$1:$O$99,15,0))*(1-0.06)</f>
        <v>1464.2755999999999</v>
      </c>
      <c r="X502" s="70">
        <f>IF(ISERROR(VLOOKUP($U$502,'TAR FIN'!$A$1:$O$99,15,0)),0,VLOOKUP($U$502,'TAR FIN'!$A$1:$O$99,15,0))*(1-0.06)</f>
        <v>325.8134</v>
      </c>
      <c r="Y502" s="70"/>
      <c r="Z502" s="70">
        <f ca="1">('TUSD BE'!$AM$22+'TUSD BF'!$AM$22+'TUSD CVA'!$AM$22)*1*(1-0.03)</f>
        <v>1745.1580396621926</v>
      </c>
      <c r="AA502" s="70">
        <f>('TE BE'!$AA$7+'TE BF'!$AA$7+'TE CVA'!$AA$7)*1*(1-0.03)</f>
        <v>411.17962930251429</v>
      </c>
      <c r="AB502" s="70">
        <f>(SUBSIDIO!$J$502*SUBSIDIO!$V$502)*(0.06)/(1-0.06)</f>
        <v>0</v>
      </c>
      <c r="AC502" s="70">
        <f>((SUBSIDIO!$L$502*SUBSIDIO!$W$502)+(SUBSIDIO!$N$502*SUBSIDIO!$X$502))*(0.06)/(1-0.06)</f>
        <v>46619.630609999993</v>
      </c>
      <c r="AD502" s="70">
        <f>(SUBSIDIO!$J$502*SUBSIDIO!$Y$502)*(0.03)/(1-0.03)</f>
        <v>0</v>
      </c>
      <c r="AE502" s="70">
        <f ca="1">((SUBSIDIO!$L$502*SUBSIDIO!$Z$502)+(SUBSIDIO!$N$502*SUBSIDIO!$AA$502))*(0.03)/(1-0.03)</f>
        <v>27210.536050957424</v>
      </c>
      <c r="AF502" s="3" t="s">
        <v>953</v>
      </c>
    </row>
    <row r="503" spans="1:32" ht="11.25" customHeight="1" x14ac:dyDescent="0.25">
      <c r="A503" s="3" t="s">
        <v>28</v>
      </c>
      <c r="B503" s="3" t="s">
        <v>33</v>
      </c>
      <c r="C503" s="3" t="s">
        <v>34</v>
      </c>
      <c r="D503" s="3" t="s">
        <v>50</v>
      </c>
      <c r="E503" s="3" t="s">
        <v>51</v>
      </c>
      <c r="F503" s="3" t="s">
        <v>25</v>
      </c>
      <c r="G503" s="3" t="s">
        <v>25</v>
      </c>
      <c r="H503" s="3" t="s">
        <v>35</v>
      </c>
      <c r="I503" s="6">
        <v>44440</v>
      </c>
      <c r="J503" s="4">
        <v>0</v>
      </c>
      <c r="K503" s="70">
        <v>0</v>
      </c>
      <c r="L503" s="4">
        <v>2.5739999999999998</v>
      </c>
      <c r="M503" s="70">
        <v>2.5739999999999998</v>
      </c>
      <c r="N503" s="4">
        <v>2.5739999999999998</v>
      </c>
      <c r="O503" s="70">
        <v>2.5739999999999998</v>
      </c>
      <c r="P503" s="4">
        <v>0</v>
      </c>
      <c r="Q503" s="3" t="s">
        <v>26</v>
      </c>
      <c r="R503" s="3">
        <v>0</v>
      </c>
      <c r="S503" s="3">
        <v>0</v>
      </c>
      <c r="T503" s="3">
        <v>8</v>
      </c>
      <c r="U503" s="3">
        <v>72</v>
      </c>
      <c r="V503" s="70">
        <f>IF(ISERROR(VLOOKUP($S$503,'TAR FIN'!$A$1:$O$99,15,0)),0,VLOOKUP($S$503,'TAR FIN'!$A$1:$O$99,15,0))</f>
        <v>0</v>
      </c>
      <c r="W503" s="70">
        <f>IF(ISERROR(VLOOKUP($T$503,'TAR FIN'!$A$1:$O$99,15,0)),0,VLOOKUP($T$503,'TAR FIN'!$A$1:$O$99,15,0))*(1-0.06)</f>
        <v>1464.2755999999999</v>
      </c>
      <c r="X503" s="70">
        <f>IF(ISERROR(VLOOKUP($U$503,'TAR FIN'!$A$1:$O$99,15,0)),0,VLOOKUP($U$503,'TAR FIN'!$A$1:$O$99,15,0))*(1-0.06)</f>
        <v>325.8134</v>
      </c>
      <c r="Y503" s="70"/>
      <c r="Z503" s="70">
        <f ca="1">('TUSD BE'!$AM$22+'TUSD BF'!$AM$22+'TUSD CVA'!$AM$22)*1*(1-0.03)</f>
        <v>1745.1580396621926</v>
      </c>
      <c r="AA503" s="70">
        <f>('TE BE'!$AA$7+'TE BF'!$AA$7+'TE CVA'!$AA$7)*1*(1-0.03)</f>
        <v>411.17962930251429</v>
      </c>
      <c r="AB503" s="70">
        <f>(SUBSIDIO!$J$503*SUBSIDIO!$V$503)*(0.06)/(1-0.06)</f>
        <v>0</v>
      </c>
      <c r="AC503" s="70">
        <f>((SUBSIDIO!$L$503*SUBSIDIO!$W$503)+(SUBSIDIO!$N$503*SUBSIDIO!$X$503))*(0.06)/(1-0.06)</f>
        <v>294.10781399999996</v>
      </c>
      <c r="AD503" s="70">
        <f>(SUBSIDIO!$J$503*SUBSIDIO!$Y$503)*(0.03)/(1-0.03)</f>
        <v>0</v>
      </c>
      <c r="AE503" s="70">
        <f ca="1">((SUBSIDIO!$L$503*SUBSIDIO!$Z$503)+(SUBSIDIO!$N$503*SUBSIDIO!$AA$503))*(0.03)/(1-0.03)</f>
        <v>171.66226267778831</v>
      </c>
      <c r="AF503" s="3" t="s">
        <v>953</v>
      </c>
    </row>
    <row r="504" spans="1:32" ht="11.25" customHeight="1" x14ac:dyDescent="0.25">
      <c r="A504" s="3" t="s">
        <v>21</v>
      </c>
      <c r="B504" s="3" t="s">
        <v>33</v>
      </c>
      <c r="C504" s="3" t="s">
        <v>34</v>
      </c>
      <c r="D504" s="3" t="s">
        <v>50</v>
      </c>
      <c r="E504" s="3" t="s">
        <v>51</v>
      </c>
      <c r="F504" s="3" t="s">
        <v>25</v>
      </c>
      <c r="G504" s="3" t="s">
        <v>25</v>
      </c>
      <c r="H504" s="3" t="s">
        <v>35</v>
      </c>
      <c r="I504" s="6">
        <v>44470</v>
      </c>
      <c r="J504" s="4">
        <v>0</v>
      </c>
      <c r="K504" s="70">
        <v>0</v>
      </c>
      <c r="L504" s="4">
        <v>397.70100000000002</v>
      </c>
      <c r="M504" s="70">
        <v>397.70100000000002</v>
      </c>
      <c r="N504" s="4">
        <v>397.70100000000002</v>
      </c>
      <c r="O504" s="70">
        <v>397.70100000000002</v>
      </c>
      <c r="P504" s="4">
        <v>0</v>
      </c>
      <c r="Q504" s="3" t="s">
        <v>26</v>
      </c>
      <c r="R504" s="3">
        <v>0</v>
      </c>
      <c r="S504" s="3">
        <v>0</v>
      </c>
      <c r="T504" s="3">
        <v>8</v>
      </c>
      <c r="U504" s="3">
        <v>72</v>
      </c>
      <c r="V504" s="70">
        <f>IF(ISERROR(VLOOKUP($S$504,'TAR FIN'!$A$1:$O$99,15,0)),0,VLOOKUP($S$504,'TAR FIN'!$A$1:$O$99,15,0))</f>
        <v>0</v>
      </c>
      <c r="W504" s="70">
        <f>IF(ISERROR(VLOOKUP($T$504,'TAR FIN'!$A$1:$O$99,15,0)),0,VLOOKUP($T$504,'TAR FIN'!$A$1:$O$99,15,0))*(1-0.06)</f>
        <v>1464.2755999999999</v>
      </c>
      <c r="X504" s="70">
        <f>IF(ISERROR(VLOOKUP($U$504,'TAR FIN'!$A$1:$O$99,15,0)),0,VLOOKUP($U$504,'TAR FIN'!$A$1:$O$99,15,0))*(1-0.06)</f>
        <v>325.8134</v>
      </c>
      <c r="Y504" s="70"/>
      <c r="Z504" s="70">
        <f ca="1">('TUSD BE'!$AM$22+'TUSD BF'!$AM$22+'TUSD CVA'!$AM$22)*1*(1-0.03)</f>
        <v>1745.1580396621926</v>
      </c>
      <c r="AA504" s="70">
        <f>('TE BE'!$AA$7+'TE BF'!$AA$7+'TE CVA'!$AA$7)*1*(1-0.03)</f>
        <v>411.17962930251429</v>
      </c>
      <c r="AB504" s="70">
        <f>(SUBSIDIO!$J$504*SUBSIDIO!$V$504)*(0.06)/(1-0.06)</f>
        <v>0</v>
      </c>
      <c r="AC504" s="70">
        <f>((SUBSIDIO!$L$504*SUBSIDIO!$W$504)+(SUBSIDIO!$N$504*SUBSIDIO!$X$504))*(0.06)/(1-0.06)</f>
        <v>45441.713961000001</v>
      </c>
      <c r="AD504" s="70">
        <f>(SUBSIDIO!$J$504*SUBSIDIO!$Y$504)*(0.03)/(1-0.03)</f>
        <v>0</v>
      </c>
      <c r="AE504" s="70">
        <f ca="1">((SUBSIDIO!$L$504*SUBSIDIO!$Z$504)+(SUBSIDIO!$N$504*SUBSIDIO!$AA$504))*(0.03)/(1-0.03)</f>
        <v>26523.020019121635</v>
      </c>
      <c r="AF504" s="3" t="s">
        <v>953</v>
      </c>
    </row>
    <row r="505" spans="1:32" ht="11.25" customHeight="1" x14ac:dyDescent="0.25">
      <c r="A505" s="3" t="s">
        <v>28</v>
      </c>
      <c r="B505" s="3" t="s">
        <v>33</v>
      </c>
      <c r="C505" s="3" t="s">
        <v>34</v>
      </c>
      <c r="D505" s="3" t="s">
        <v>50</v>
      </c>
      <c r="E505" s="3" t="s">
        <v>51</v>
      </c>
      <c r="F505" s="3" t="s">
        <v>25</v>
      </c>
      <c r="G505" s="3" t="s">
        <v>25</v>
      </c>
      <c r="H505" s="3" t="s">
        <v>35</v>
      </c>
      <c r="I505" s="6">
        <v>44470</v>
      </c>
      <c r="J505" s="4">
        <v>0</v>
      </c>
      <c r="K505" s="70">
        <v>0</v>
      </c>
      <c r="L505" s="4">
        <v>2.9830000000000001</v>
      </c>
      <c r="M505" s="70">
        <v>2.9830000000000001</v>
      </c>
      <c r="N505" s="4">
        <v>2.9830000000000001</v>
      </c>
      <c r="O505" s="70">
        <v>2.9830000000000001</v>
      </c>
      <c r="P505" s="4">
        <v>0</v>
      </c>
      <c r="Q505" s="3" t="s">
        <v>26</v>
      </c>
      <c r="R505" s="3">
        <v>0</v>
      </c>
      <c r="S505" s="3">
        <v>0</v>
      </c>
      <c r="T505" s="3">
        <v>8</v>
      </c>
      <c r="U505" s="3">
        <v>72</v>
      </c>
      <c r="V505" s="70">
        <f>IF(ISERROR(VLOOKUP($S$505,'TAR FIN'!$A$1:$O$99,15,0)),0,VLOOKUP($S$505,'TAR FIN'!$A$1:$O$99,15,0))</f>
        <v>0</v>
      </c>
      <c r="W505" s="70">
        <f>IF(ISERROR(VLOOKUP($T$505,'TAR FIN'!$A$1:$O$99,15,0)),0,VLOOKUP($T$505,'TAR FIN'!$A$1:$O$99,15,0))*(1-0.06)</f>
        <v>1464.2755999999999</v>
      </c>
      <c r="X505" s="70">
        <f>IF(ISERROR(VLOOKUP($U$505,'TAR FIN'!$A$1:$O$99,15,0)),0,VLOOKUP($U$505,'TAR FIN'!$A$1:$O$99,15,0))*(1-0.06)</f>
        <v>325.8134</v>
      </c>
      <c r="Y505" s="70"/>
      <c r="Z505" s="70">
        <f ca="1">('TUSD BE'!$AM$22+'TUSD BF'!$AM$22+'TUSD CVA'!$AM$22)*1*(1-0.03)</f>
        <v>1745.1580396621926</v>
      </c>
      <c r="AA505" s="70">
        <f>('TE BE'!$AA$7+'TE BF'!$AA$7+'TE CVA'!$AA$7)*1*(1-0.03)</f>
        <v>411.17962930251429</v>
      </c>
      <c r="AB505" s="70">
        <f>(SUBSIDIO!$J$505*SUBSIDIO!$V$505)*(0.06)/(1-0.06)</f>
        <v>0</v>
      </c>
      <c r="AC505" s="70">
        <f>((SUBSIDIO!$L$505*SUBSIDIO!$W$505)+(SUBSIDIO!$N$505*SUBSIDIO!$X$505))*(0.06)/(1-0.06)</f>
        <v>340.84056300000003</v>
      </c>
      <c r="AD505" s="70">
        <f>(SUBSIDIO!$J$505*SUBSIDIO!$Y$505)*(0.03)/(1-0.03)</f>
        <v>0</v>
      </c>
      <c r="AE505" s="70">
        <f ca="1">((SUBSIDIO!$L$505*SUBSIDIO!$Z$505)+(SUBSIDIO!$N$505*SUBSIDIO!$AA$505))*(0.03)/(1-0.03)</f>
        <v>198.93882267592952</v>
      </c>
      <c r="AF505" s="3" t="s">
        <v>953</v>
      </c>
    </row>
    <row r="506" spans="1:32" ht="11.25" customHeight="1" x14ac:dyDescent="0.25">
      <c r="A506" s="3" t="s">
        <v>21</v>
      </c>
      <c r="B506" s="3" t="s">
        <v>33</v>
      </c>
      <c r="C506" s="3" t="s">
        <v>34</v>
      </c>
      <c r="D506" s="3" t="s">
        <v>50</v>
      </c>
      <c r="E506" s="3" t="s">
        <v>51</v>
      </c>
      <c r="F506" s="3" t="s">
        <v>25</v>
      </c>
      <c r="G506" s="3" t="s">
        <v>25</v>
      </c>
      <c r="H506" s="3" t="s">
        <v>35</v>
      </c>
      <c r="I506" s="6">
        <v>44501</v>
      </c>
      <c r="J506" s="4">
        <v>0</v>
      </c>
      <c r="K506" s="70">
        <v>0</v>
      </c>
      <c r="L506" s="4">
        <v>385.101</v>
      </c>
      <c r="M506" s="70">
        <v>385.101</v>
      </c>
      <c r="N506" s="4">
        <v>385.101</v>
      </c>
      <c r="O506" s="70">
        <v>385.101</v>
      </c>
      <c r="P506" s="4">
        <v>0</v>
      </c>
      <c r="Q506" s="3" t="s">
        <v>26</v>
      </c>
      <c r="R506" s="3">
        <v>0</v>
      </c>
      <c r="S506" s="3">
        <v>0</v>
      </c>
      <c r="T506" s="3">
        <v>8</v>
      </c>
      <c r="U506" s="3">
        <v>72</v>
      </c>
      <c r="V506" s="70">
        <f>IF(ISERROR(VLOOKUP($S$506,'TAR FIN'!$A$1:$O$99,15,0)),0,VLOOKUP($S$506,'TAR FIN'!$A$1:$O$99,15,0))</f>
        <v>0</v>
      </c>
      <c r="W506" s="70">
        <f>IF(ISERROR(VLOOKUP($T$506,'TAR FIN'!$A$1:$O$99,15,0)),0,VLOOKUP($T$506,'TAR FIN'!$A$1:$O$99,15,0))*(1-0.06)</f>
        <v>1464.2755999999999</v>
      </c>
      <c r="X506" s="70">
        <f>IF(ISERROR(VLOOKUP($U$506,'TAR FIN'!$A$1:$O$99,15,0)),0,VLOOKUP($U$506,'TAR FIN'!$A$1:$O$99,15,0))*(1-0.06)</f>
        <v>325.8134</v>
      </c>
      <c r="Y506" s="70"/>
      <c r="Z506" s="70">
        <f ca="1">('TUSD BE'!$AM$22+'TUSD BF'!$AM$22+'TUSD CVA'!$AM$22)*1*(1-0.03)</f>
        <v>1745.1580396621926</v>
      </c>
      <c r="AA506" s="70">
        <f>('TE BE'!$AA$7+'TE BF'!$AA$7+'TE CVA'!$AA$7)*1*(1-0.03)</f>
        <v>411.17962930251429</v>
      </c>
      <c r="AB506" s="70">
        <f>(SUBSIDIO!$J$506*SUBSIDIO!$V$506)*(0.06)/(1-0.06)</f>
        <v>0</v>
      </c>
      <c r="AC506" s="70">
        <f>((SUBSIDIO!$L$506*SUBSIDIO!$W$506)+(SUBSIDIO!$N$506*SUBSIDIO!$X$506))*(0.06)/(1-0.06)</f>
        <v>44002.025361</v>
      </c>
      <c r="AD506" s="70">
        <f>(SUBSIDIO!$J$506*SUBSIDIO!$Y$506)*(0.03)/(1-0.03)</f>
        <v>0</v>
      </c>
      <c r="AE506" s="70">
        <f ca="1">((SUBSIDIO!$L$506*SUBSIDIO!$Z$506)+(SUBSIDIO!$N$506*SUBSIDIO!$AA$506))*(0.03)/(1-0.03)</f>
        <v>25682.715236782809</v>
      </c>
      <c r="AF506" s="3" t="s">
        <v>953</v>
      </c>
    </row>
    <row r="507" spans="1:32" ht="11.25" customHeight="1" x14ac:dyDescent="0.25">
      <c r="A507" s="3" t="s">
        <v>27</v>
      </c>
      <c r="B507" s="3" t="s">
        <v>33</v>
      </c>
      <c r="C507" s="3" t="s">
        <v>34</v>
      </c>
      <c r="D507" s="3" t="s">
        <v>50</v>
      </c>
      <c r="E507" s="3" t="s">
        <v>51</v>
      </c>
      <c r="F507" s="3" t="s">
        <v>25</v>
      </c>
      <c r="G507" s="3" t="s">
        <v>25</v>
      </c>
      <c r="H507" s="3" t="s">
        <v>35</v>
      </c>
      <c r="I507" s="6">
        <v>44501</v>
      </c>
      <c r="J507" s="4">
        <v>0</v>
      </c>
      <c r="K507" s="70">
        <v>0</v>
      </c>
      <c r="L507" s="4">
        <v>0.19</v>
      </c>
      <c r="M507" s="70">
        <v>0.19</v>
      </c>
      <c r="N507" s="4">
        <v>0.19</v>
      </c>
      <c r="O507" s="70">
        <v>0.19</v>
      </c>
      <c r="P507" s="4">
        <v>0</v>
      </c>
      <c r="Q507" s="3" t="s">
        <v>26</v>
      </c>
      <c r="R507" s="3">
        <v>0</v>
      </c>
      <c r="S507" s="3">
        <v>0</v>
      </c>
      <c r="T507" s="3">
        <v>8</v>
      </c>
      <c r="U507" s="3">
        <v>72</v>
      </c>
      <c r="V507" s="70">
        <f>IF(ISERROR(VLOOKUP($S$507,'TAR FIN'!$A$1:$O$99,15,0)),0,VLOOKUP($S$507,'TAR FIN'!$A$1:$O$99,15,0))</f>
        <v>0</v>
      </c>
      <c r="W507" s="70">
        <f>IF(ISERROR(VLOOKUP($T$507,'TAR FIN'!$A$1:$O$99,15,0)),0,VLOOKUP($T$507,'TAR FIN'!$A$1:$O$99,15,0))*(1-0.06)</f>
        <v>1464.2755999999999</v>
      </c>
      <c r="X507" s="70">
        <f>IF(ISERROR(VLOOKUP($U$507,'TAR FIN'!$A$1:$O$99,15,0)),0,VLOOKUP($U$507,'TAR FIN'!$A$1:$O$99,15,0))*(1-0.06)</f>
        <v>325.8134</v>
      </c>
      <c r="Y507" s="70"/>
      <c r="Z507" s="70">
        <f ca="1">('TUSD BE'!$AM$22+'TUSD BF'!$AM$22+'TUSD CVA'!$AM$22)*1*(1-0.03)</f>
        <v>1745.1580396621926</v>
      </c>
      <c r="AA507" s="70">
        <f>('TE BE'!$AA$7+'TE BF'!$AA$7+'TE CVA'!$AA$7)*1*(1-0.03)</f>
        <v>411.17962930251429</v>
      </c>
      <c r="AB507" s="70">
        <f>(SUBSIDIO!$J$507*SUBSIDIO!$V$507)*(0.06)/(1-0.06)</f>
        <v>0</v>
      </c>
      <c r="AC507" s="70">
        <f>((SUBSIDIO!$L$507*SUBSIDIO!$W$507)+(SUBSIDIO!$N$507*SUBSIDIO!$X$507))*(0.06)/(1-0.06)</f>
        <v>21.709589999999999</v>
      </c>
      <c r="AD507" s="70">
        <f>(SUBSIDIO!$J$507*SUBSIDIO!$Y$507)*(0.03)/(1-0.03)</f>
        <v>0</v>
      </c>
      <c r="AE507" s="70">
        <f ca="1">((SUBSIDIO!$L$507*SUBSIDIO!$Z$507)+(SUBSIDIO!$N$507*SUBSIDIO!$AA$507))*(0.03)/(1-0.03)</f>
        <v>12.671262590823536</v>
      </c>
      <c r="AF507" s="3" t="s">
        <v>953</v>
      </c>
    </row>
    <row r="508" spans="1:32" ht="11.25" customHeight="1" x14ac:dyDescent="0.25">
      <c r="A508" s="3" t="s">
        <v>28</v>
      </c>
      <c r="B508" s="3" t="s">
        <v>33</v>
      </c>
      <c r="C508" s="3" t="s">
        <v>34</v>
      </c>
      <c r="D508" s="3" t="s">
        <v>50</v>
      </c>
      <c r="E508" s="3" t="s">
        <v>51</v>
      </c>
      <c r="F508" s="3" t="s">
        <v>25</v>
      </c>
      <c r="G508" s="3" t="s">
        <v>25</v>
      </c>
      <c r="H508" s="3" t="s">
        <v>35</v>
      </c>
      <c r="I508" s="6">
        <v>44501</v>
      </c>
      <c r="J508" s="4">
        <v>0</v>
      </c>
      <c r="K508" s="70">
        <v>0</v>
      </c>
      <c r="L508" s="4">
        <v>2.0249999999999999</v>
      </c>
      <c r="M508" s="70">
        <v>2.0249999999999999</v>
      </c>
      <c r="N508" s="4">
        <v>2.0249999999999999</v>
      </c>
      <c r="O508" s="70">
        <v>2.0249999999999999</v>
      </c>
      <c r="P508" s="4">
        <v>0</v>
      </c>
      <c r="Q508" s="3" t="s">
        <v>26</v>
      </c>
      <c r="R508" s="3">
        <v>0</v>
      </c>
      <c r="S508" s="3">
        <v>0</v>
      </c>
      <c r="T508" s="3">
        <v>8</v>
      </c>
      <c r="U508" s="3">
        <v>72</v>
      </c>
      <c r="V508" s="70">
        <f>IF(ISERROR(VLOOKUP($S$508,'TAR FIN'!$A$1:$O$99,15,0)),0,VLOOKUP($S$508,'TAR FIN'!$A$1:$O$99,15,0))</f>
        <v>0</v>
      </c>
      <c r="W508" s="70">
        <f>IF(ISERROR(VLOOKUP($T$508,'TAR FIN'!$A$1:$O$99,15,0)),0,VLOOKUP($T$508,'TAR FIN'!$A$1:$O$99,15,0))*(1-0.06)</f>
        <v>1464.2755999999999</v>
      </c>
      <c r="X508" s="70">
        <f>IF(ISERROR(VLOOKUP($U$508,'TAR FIN'!$A$1:$O$99,15,0)),0,VLOOKUP($U$508,'TAR FIN'!$A$1:$O$99,15,0))*(1-0.06)</f>
        <v>325.8134</v>
      </c>
      <c r="Y508" s="70"/>
      <c r="Z508" s="70">
        <f ca="1">('TUSD BE'!$AM$22+'TUSD BF'!$AM$22+'TUSD CVA'!$AM$22)*1*(1-0.03)</f>
        <v>1745.1580396621926</v>
      </c>
      <c r="AA508" s="70">
        <f>('TE BE'!$AA$7+'TE BF'!$AA$7+'TE CVA'!$AA$7)*1*(1-0.03)</f>
        <v>411.17962930251429</v>
      </c>
      <c r="AB508" s="70">
        <f>(SUBSIDIO!$J$508*SUBSIDIO!$V$508)*(0.06)/(1-0.06)</f>
        <v>0</v>
      </c>
      <c r="AC508" s="70">
        <f>((SUBSIDIO!$L$508*SUBSIDIO!$W$508)+(SUBSIDIO!$N$508*SUBSIDIO!$X$508))*(0.06)/(1-0.06)</f>
        <v>231.378525</v>
      </c>
      <c r="AD508" s="70">
        <f>(SUBSIDIO!$J$508*SUBSIDIO!$Y$508)*(0.03)/(1-0.03)</f>
        <v>0</v>
      </c>
      <c r="AE508" s="70">
        <f ca="1">((SUBSIDIO!$L$508*SUBSIDIO!$Z$508)+(SUBSIDIO!$N$508*SUBSIDIO!$AA$508))*(0.03)/(1-0.03)</f>
        <v>135.04898287588242</v>
      </c>
      <c r="AF508" s="3" t="s">
        <v>953</v>
      </c>
    </row>
    <row r="509" spans="1:32" ht="11.25" customHeight="1" x14ac:dyDescent="0.25">
      <c r="A509" s="3" t="s">
        <v>21</v>
      </c>
      <c r="B509" s="3" t="s">
        <v>33</v>
      </c>
      <c r="C509" s="3" t="s">
        <v>34</v>
      </c>
      <c r="D509" s="3" t="s">
        <v>50</v>
      </c>
      <c r="E509" s="3" t="s">
        <v>51</v>
      </c>
      <c r="F509" s="3" t="s">
        <v>25</v>
      </c>
      <c r="G509" s="3" t="s">
        <v>25</v>
      </c>
      <c r="H509" s="3" t="s">
        <v>35</v>
      </c>
      <c r="I509" s="6">
        <v>44531</v>
      </c>
      <c r="J509" s="4">
        <v>0</v>
      </c>
      <c r="K509" s="70">
        <v>0</v>
      </c>
      <c r="L509" s="4">
        <v>442.82</v>
      </c>
      <c r="M509" s="70">
        <v>442.82</v>
      </c>
      <c r="N509" s="4">
        <v>442.82</v>
      </c>
      <c r="O509" s="70">
        <v>442.82</v>
      </c>
      <c r="P509" s="4">
        <v>0</v>
      </c>
      <c r="Q509" s="3" t="s">
        <v>26</v>
      </c>
      <c r="R509" s="3">
        <v>0</v>
      </c>
      <c r="S509" s="3">
        <v>0</v>
      </c>
      <c r="T509" s="3">
        <v>8</v>
      </c>
      <c r="U509" s="3">
        <v>72</v>
      </c>
      <c r="V509" s="70">
        <f>IF(ISERROR(VLOOKUP($S$509,'TAR FIN'!$A$1:$O$99,15,0)),0,VLOOKUP($S$509,'TAR FIN'!$A$1:$O$99,15,0))</f>
        <v>0</v>
      </c>
      <c r="W509" s="70">
        <f>IF(ISERROR(VLOOKUP($T$509,'TAR FIN'!$A$1:$O$99,15,0)),0,VLOOKUP($T$509,'TAR FIN'!$A$1:$O$99,15,0))*(1-0.06)</f>
        <v>1464.2755999999999</v>
      </c>
      <c r="X509" s="70">
        <f>IF(ISERROR(VLOOKUP($U$509,'TAR FIN'!$A$1:$O$99,15,0)),0,VLOOKUP($U$509,'TAR FIN'!$A$1:$O$99,15,0))*(1-0.06)</f>
        <v>325.8134</v>
      </c>
      <c r="Y509" s="70"/>
      <c r="Z509" s="70">
        <f ca="1">('TUSD BE'!$AM$22+'TUSD BF'!$AM$22+'TUSD CVA'!$AM$22)*1*(1-0.03)</f>
        <v>1745.1580396621926</v>
      </c>
      <c r="AA509" s="70">
        <f>('TE BE'!$AA$7+'TE BF'!$AA$7+'TE CVA'!$AA$7)*1*(1-0.03)</f>
        <v>411.17962930251429</v>
      </c>
      <c r="AB509" s="70">
        <f>(SUBSIDIO!$J$509*SUBSIDIO!$V$509)*(0.06)/(1-0.06)</f>
        <v>0</v>
      </c>
      <c r="AC509" s="70">
        <f>((SUBSIDIO!$L$509*SUBSIDIO!$W$509)+(SUBSIDIO!$N$509*SUBSIDIO!$X$509))*(0.06)/(1-0.06)</f>
        <v>50597.056020000004</v>
      </c>
      <c r="AD509" s="70">
        <f>(SUBSIDIO!$J$509*SUBSIDIO!$Y$509)*(0.03)/(1-0.03)</f>
        <v>0</v>
      </c>
      <c r="AE509" s="70">
        <f ca="1">((SUBSIDIO!$L$509*SUBSIDIO!$Z$509)+(SUBSIDIO!$N$509*SUBSIDIO!$AA$509))*(0.03)/(1-0.03)</f>
        <v>29532.044739307777</v>
      </c>
      <c r="AF509" s="3" t="s">
        <v>953</v>
      </c>
    </row>
    <row r="510" spans="1:32" ht="11.25" customHeight="1" x14ac:dyDescent="0.25">
      <c r="A510" s="3" t="s">
        <v>27</v>
      </c>
      <c r="B510" s="3" t="s">
        <v>33</v>
      </c>
      <c r="C510" s="3" t="s">
        <v>34</v>
      </c>
      <c r="D510" s="3" t="s">
        <v>50</v>
      </c>
      <c r="E510" s="3" t="s">
        <v>51</v>
      </c>
      <c r="F510" s="3" t="s">
        <v>25</v>
      </c>
      <c r="G510" s="3" t="s">
        <v>25</v>
      </c>
      <c r="H510" s="3" t="s">
        <v>35</v>
      </c>
      <c r="I510" s="6">
        <v>44531</v>
      </c>
      <c r="J510" s="4">
        <v>0</v>
      </c>
      <c r="K510" s="70">
        <v>0</v>
      </c>
      <c r="L510" s="4">
        <v>8.7999999999999995E-2</v>
      </c>
      <c r="M510" s="70">
        <v>8.7999999999999995E-2</v>
      </c>
      <c r="N510" s="4">
        <v>8.7999999999999995E-2</v>
      </c>
      <c r="O510" s="70">
        <v>8.7999999999999995E-2</v>
      </c>
      <c r="P510" s="4">
        <v>0</v>
      </c>
      <c r="Q510" s="3" t="s">
        <v>26</v>
      </c>
      <c r="R510" s="3">
        <v>0</v>
      </c>
      <c r="S510" s="3">
        <v>0</v>
      </c>
      <c r="T510" s="3">
        <v>8</v>
      </c>
      <c r="U510" s="3">
        <v>72</v>
      </c>
      <c r="V510" s="70">
        <f>IF(ISERROR(VLOOKUP($S$510,'TAR FIN'!$A$1:$O$99,15,0)),0,VLOOKUP($S$510,'TAR FIN'!$A$1:$O$99,15,0))</f>
        <v>0</v>
      </c>
      <c r="W510" s="70">
        <f>IF(ISERROR(VLOOKUP($T$510,'TAR FIN'!$A$1:$O$99,15,0)),0,VLOOKUP($T$510,'TAR FIN'!$A$1:$O$99,15,0))*(1-0.06)</f>
        <v>1464.2755999999999</v>
      </c>
      <c r="X510" s="70">
        <f>IF(ISERROR(VLOOKUP($U$510,'TAR FIN'!$A$1:$O$99,15,0)),0,VLOOKUP($U$510,'TAR FIN'!$A$1:$O$99,15,0))*(1-0.06)</f>
        <v>325.8134</v>
      </c>
      <c r="Y510" s="70"/>
      <c r="Z510" s="70">
        <f ca="1">('TUSD BE'!$AM$22+'TUSD BF'!$AM$22+'TUSD CVA'!$AM$22)*1*(1-0.03)</f>
        <v>1745.1580396621926</v>
      </c>
      <c r="AA510" s="70">
        <f>('TE BE'!$AA$7+'TE BF'!$AA$7+'TE CVA'!$AA$7)*1*(1-0.03)</f>
        <v>411.17962930251429</v>
      </c>
      <c r="AB510" s="70">
        <f>(SUBSIDIO!$J$510*SUBSIDIO!$V$510)*(0.06)/(1-0.06)</f>
        <v>0</v>
      </c>
      <c r="AC510" s="70">
        <f>((SUBSIDIO!$L$510*SUBSIDIO!$W$510)+(SUBSIDIO!$N$510*SUBSIDIO!$X$510))*(0.06)/(1-0.06)</f>
        <v>10.054967999999999</v>
      </c>
      <c r="AD510" s="70">
        <f>(SUBSIDIO!$J$510*SUBSIDIO!$Y$510)*(0.03)/(1-0.03)</f>
        <v>0</v>
      </c>
      <c r="AE510" s="70">
        <f ca="1">((SUBSIDIO!$L$510*SUBSIDIO!$Z$510)+(SUBSIDIO!$N$510*SUBSIDIO!$AA$510))*(0.03)/(1-0.03)</f>
        <v>5.8687953052235313</v>
      </c>
      <c r="AF510" s="3" t="s">
        <v>953</v>
      </c>
    </row>
    <row r="511" spans="1:32" ht="11.25" customHeight="1" x14ac:dyDescent="0.25">
      <c r="A511" s="3" t="s">
        <v>28</v>
      </c>
      <c r="B511" s="3" t="s">
        <v>33</v>
      </c>
      <c r="C511" s="3" t="s">
        <v>34</v>
      </c>
      <c r="D511" s="3" t="s">
        <v>50</v>
      </c>
      <c r="E511" s="3" t="s">
        <v>51</v>
      </c>
      <c r="F511" s="3" t="s">
        <v>25</v>
      </c>
      <c r="G511" s="3" t="s">
        <v>25</v>
      </c>
      <c r="H511" s="3" t="s">
        <v>35</v>
      </c>
      <c r="I511" s="6">
        <v>44531</v>
      </c>
      <c r="J511" s="4">
        <v>0</v>
      </c>
      <c r="K511" s="70">
        <v>0</v>
      </c>
      <c r="L511" s="4">
        <v>3.5739999999999998</v>
      </c>
      <c r="M511" s="70">
        <v>3.5739999999999998</v>
      </c>
      <c r="N511" s="4">
        <v>3.5739999999999998</v>
      </c>
      <c r="O511" s="70">
        <v>3.5739999999999998</v>
      </c>
      <c r="P511" s="4">
        <v>0</v>
      </c>
      <c r="Q511" s="3" t="s">
        <v>26</v>
      </c>
      <c r="R511" s="3">
        <v>0</v>
      </c>
      <c r="S511" s="3">
        <v>0</v>
      </c>
      <c r="T511" s="3">
        <v>8</v>
      </c>
      <c r="U511" s="3">
        <v>72</v>
      </c>
      <c r="V511" s="70">
        <f>IF(ISERROR(VLOOKUP($S$511,'TAR FIN'!$A$1:$O$99,15,0)),0,VLOOKUP($S$511,'TAR FIN'!$A$1:$O$99,15,0))</f>
        <v>0</v>
      </c>
      <c r="W511" s="70">
        <f>IF(ISERROR(VLOOKUP($T$511,'TAR FIN'!$A$1:$O$99,15,0)),0,VLOOKUP($T$511,'TAR FIN'!$A$1:$O$99,15,0))*(1-0.06)</f>
        <v>1464.2755999999999</v>
      </c>
      <c r="X511" s="70">
        <f>IF(ISERROR(VLOOKUP($U$511,'TAR FIN'!$A$1:$O$99,15,0)),0,VLOOKUP($U$511,'TAR FIN'!$A$1:$O$99,15,0))*(1-0.06)</f>
        <v>325.8134</v>
      </c>
      <c r="Y511" s="70"/>
      <c r="Z511" s="70">
        <f ca="1">('TUSD BE'!$AM$22+'TUSD BF'!$AM$22+'TUSD CVA'!$AM$22)*1*(1-0.03)</f>
        <v>1745.1580396621926</v>
      </c>
      <c r="AA511" s="70">
        <f>('TE BE'!$AA$7+'TE BF'!$AA$7+'TE CVA'!$AA$7)*1*(1-0.03)</f>
        <v>411.17962930251429</v>
      </c>
      <c r="AB511" s="70">
        <f>(SUBSIDIO!$J$511*SUBSIDIO!$V$511)*(0.06)/(1-0.06)</f>
        <v>0</v>
      </c>
      <c r="AC511" s="70">
        <f>((SUBSIDIO!$L$511*SUBSIDIO!$W$511)+(SUBSIDIO!$N$511*SUBSIDIO!$X$511))*(0.06)/(1-0.06)</f>
        <v>408.36881399999999</v>
      </c>
      <c r="AD511" s="70">
        <f>(SUBSIDIO!$J$511*SUBSIDIO!$Y$511)*(0.03)/(1-0.03)</f>
        <v>0</v>
      </c>
      <c r="AE511" s="70">
        <f ca="1">((SUBSIDIO!$L$511*SUBSIDIO!$Z$511)+(SUBSIDIO!$N$511*SUBSIDIO!$AA$511))*(0.03)/(1-0.03)</f>
        <v>238.35311841896478</v>
      </c>
      <c r="AF511" s="3" t="s">
        <v>953</v>
      </c>
    </row>
    <row r="512" spans="1:32" ht="11.25" customHeight="1" x14ac:dyDescent="0.25">
      <c r="A512" s="3" t="s">
        <v>21</v>
      </c>
      <c r="B512" s="3" t="s">
        <v>33</v>
      </c>
      <c r="C512" s="3" t="s">
        <v>34</v>
      </c>
      <c r="D512" s="3" t="s">
        <v>50</v>
      </c>
      <c r="E512" s="3" t="s">
        <v>51</v>
      </c>
      <c r="F512" s="3" t="s">
        <v>25</v>
      </c>
      <c r="G512" s="3" t="s">
        <v>25</v>
      </c>
      <c r="H512" s="3" t="s">
        <v>35</v>
      </c>
      <c r="I512" s="6">
        <v>44562</v>
      </c>
      <c r="J512" s="4">
        <v>0</v>
      </c>
      <c r="K512" s="70">
        <v>0</v>
      </c>
      <c r="L512" s="4">
        <v>402.59899999999999</v>
      </c>
      <c r="M512" s="70">
        <v>402.59899999999999</v>
      </c>
      <c r="N512" s="4">
        <v>402.59899999999999</v>
      </c>
      <c r="O512" s="70">
        <v>402.59899999999999</v>
      </c>
      <c r="P512" s="4">
        <v>0</v>
      </c>
      <c r="Q512" s="3" t="s">
        <v>26</v>
      </c>
      <c r="R512" s="3">
        <v>0</v>
      </c>
      <c r="S512" s="3">
        <v>0</v>
      </c>
      <c r="T512" s="3">
        <v>8</v>
      </c>
      <c r="U512" s="3">
        <v>72</v>
      </c>
      <c r="V512" s="70">
        <f>IF(ISERROR(VLOOKUP($S$512,'TAR FIN'!$A$1:$O$99,15,0)),0,VLOOKUP($S$512,'TAR FIN'!$A$1:$O$99,15,0))</f>
        <v>0</v>
      </c>
      <c r="W512" s="70">
        <f>IF(ISERROR(VLOOKUP($T$512,'TAR FIN'!$A$1:$O$99,15,0)),0,VLOOKUP($T$512,'TAR FIN'!$A$1:$O$99,15,0))*(1-0.06)</f>
        <v>1464.2755999999999</v>
      </c>
      <c r="X512" s="70">
        <f>IF(ISERROR(VLOOKUP($U$512,'TAR FIN'!$A$1:$O$99,15,0)),0,VLOOKUP($U$512,'TAR FIN'!$A$1:$O$99,15,0))*(1-0.06)</f>
        <v>325.8134</v>
      </c>
      <c r="Y512" s="70"/>
      <c r="Z512" s="70">
        <f ca="1">('TUSD BE'!$AM$22+'TUSD BF'!$AM$22+'TUSD CVA'!$AM$22)*1*(1-0.03)</f>
        <v>1745.1580396621926</v>
      </c>
      <c r="AA512" s="70">
        <f>('TE BE'!$AA$7+'TE BF'!$AA$7+'TE CVA'!$AA$7)*1*(1-0.03)</f>
        <v>411.17962930251429</v>
      </c>
      <c r="AB512" s="70">
        <f>(SUBSIDIO!$J$512*SUBSIDIO!$V$512)*(0.06)/(1-0.06)</f>
        <v>0</v>
      </c>
      <c r="AC512" s="70">
        <f>((SUBSIDIO!$L$512*SUBSIDIO!$W$512)+(SUBSIDIO!$N$512*SUBSIDIO!$X$512))*(0.06)/(1-0.06)</f>
        <v>46001.364339</v>
      </c>
      <c r="AD512" s="70">
        <f>(SUBSIDIO!$J$512*SUBSIDIO!$Y$512)*(0.03)/(1-0.03)</f>
        <v>0</v>
      </c>
      <c r="AE512" s="70">
        <f ca="1">((SUBSIDIO!$L$512*SUBSIDIO!$Z$512)+(SUBSIDIO!$N$512*SUBSIDIO!$AA$512))*(0.03)/(1-0.03)</f>
        <v>26849.671830541916</v>
      </c>
      <c r="AF512" s="3" t="s">
        <v>953</v>
      </c>
    </row>
    <row r="513" spans="1:32" ht="11.25" customHeight="1" x14ac:dyDescent="0.25">
      <c r="A513" s="3" t="s">
        <v>28</v>
      </c>
      <c r="B513" s="3" t="s">
        <v>33</v>
      </c>
      <c r="C513" s="3" t="s">
        <v>34</v>
      </c>
      <c r="D513" s="3" t="s">
        <v>50</v>
      </c>
      <c r="E513" s="3" t="s">
        <v>51</v>
      </c>
      <c r="F513" s="3" t="s">
        <v>25</v>
      </c>
      <c r="G513" s="3" t="s">
        <v>25</v>
      </c>
      <c r="H513" s="3" t="s">
        <v>35</v>
      </c>
      <c r="I513" s="6">
        <v>44562</v>
      </c>
      <c r="J513" s="4">
        <v>0</v>
      </c>
      <c r="K513" s="70">
        <v>0</v>
      </c>
      <c r="L513" s="4">
        <v>3.2610000000000001</v>
      </c>
      <c r="M513" s="70">
        <v>3.2610000000000001</v>
      </c>
      <c r="N513" s="4">
        <v>3.2610000000000001</v>
      </c>
      <c r="O513" s="70">
        <v>3.2610000000000001</v>
      </c>
      <c r="P513" s="4">
        <v>0</v>
      </c>
      <c r="Q513" s="3" t="s">
        <v>26</v>
      </c>
      <c r="R513" s="3">
        <v>0</v>
      </c>
      <c r="S513" s="3">
        <v>0</v>
      </c>
      <c r="T513" s="3">
        <v>8</v>
      </c>
      <c r="U513" s="3">
        <v>72</v>
      </c>
      <c r="V513" s="70">
        <f>IF(ISERROR(VLOOKUP($S$513,'TAR FIN'!$A$1:$O$99,15,0)),0,VLOOKUP($S$513,'TAR FIN'!$A$1:$O$99,15,0))</f>
        <v>0</v>
      </c>
      <c r="W513" s="70">
        <f>IF(ISERROR(VLOOKUP($T$513,'TAR FIN'!$A$1:$O$99,15,0)),0,VLOOKUP($T$513,'TAR FIN'!$A$1:$O$99,15,0))*(1-0.06)</f>
        <v>1464.2755999999999</v>
      </c>
      <c r="X513" s="70">
        <f>IF(ISERROR(VLOOKUP($U$513,'TAR FIN'!$A$1:$O$99,15,0)),0,VLOOKUP($U$513,'TAR FIN'!$A$1:$O$99,15,0))*(1-0.06)</f>
        <v>325.8134</v>
      </c>
      <c r="Y513" s="70"/>
      <c r="Z513" s="70">
        <f ca="1">('TUSD BE'!$AM$22+'TUSD BF'!$AM$22+'TUSD CVA'!$AM$22)*1*(1-0.03)</f>
        <v>1745.1580396621926</v>
      </c>
      <c r="AA513" s="70">
        <f>('TE BE'!$AA$7+'TE BF'!$AA$7+'TE CVA'!$AA$7)*1*(1-0.03)</f>
        <v>411.17962930251429</v>
      </c>
      <c r="AB513" s="70">
        <f>(SUBSIDIO!$J$513*SUBSIDIO!$V$513)*(0.06)/(1-0.06)</f>
        <v>0</v>
      </c>
      <c r="AC513" s="70">
        <f>((SUBSIDIO!$L$513*SUBSIDIO!$W$513)+(SUBSIDIO!$N$513*SUBSIDIO!$X$513))*(0.06)/(1-0.06)</f>
        <v>372.60512099999994</v>
      </c>
      <c r="AD513" s="70">
        <f>(SUBSIDIO!$J$513*SUBSIDIO!$Y$513)*(0.03)/(1-0.03)</f>
        <v>0</v>
      </c>
      <c r="AE513" s="70">
        <f ca="1">((SUBSIDIO!$L$513*SUBSIDIO!$Z$513)+(SUBSIDIO!$N$513*SUBSIDIO!$AA$513))*(0.03)/(1-0.03)</f>
        <v>217.47888057197656</v>
      </c>
      <c r="AF513" s="3" t="s">
        <v>953</v>
      </c>
    </row>
    <row r="514" spans="1:32" ht="11.25" customHeight="1" x14ac:dyDescent="0.25">
      <c r="A514" s="3" t="s">
        <v>21</v>
      </c>
      <c r="B514" s="3" t="s">
        <v>33</v>
      </c>
      <c r="C514" s="3" t="s">
        <v>34</v>
      </c>
      <c r="D514" s="3" t="s">
        <v>50</v>
      </c>
      <c r="E514" s="3" t="s">
        <v>51</v>
      </c>
      <c r="F514" s="3" t="s">
        <v>25</v>
      </c>
      <c r="G514" s="3" t="s">
        <v>25</v>
      </c>
      <c r="H514" s="3" t="s">
        <v>35</v>
      </c>
      <c r="I514" s="6">
        <v>44593</v>
      </c>
      <c r="J514" s="4">
        <v>0</v>
      </c>
      <c r="K514" s="70">
        <v>0</v>
      </c>
      <c r="L514" s="4">
        <v>375.17599999999999</v>
      </c>
      <c r="M514" s="70">
        <v>375.17599999999999</v>
      </c>
      <c r="N514" s="4">
        <v>375.17599999999999</v>
      </c>
      <c r="O514" s="70">
        <v>375.17599999999999</v>
      </c>
      <c r="P514" s="4">
        <v>0</v>
      </c>
      <c r="Q514" s="3" t="s">
        <v>26</v>
      </c>
      <c r="R514" s="3">
        <v>0</v>
      </c>
      <c r="S514" s="3">
        <v>0</v>
      </c>
      <c r="T514" s="3">
        <v>8</v>
      </c>
      <c r="U514" s="3">
        <v>72</v>
      </c>
      <c r="V514" s="70">
        <f>IF(ISERROR(VLOOKUP($S$514,'TAR FIN'!$A$1:$O$99,15,0)),0,VLOOKUP($S$514,'TAR FIN'!$A$1:$O$99,15,0))</f>
        <v>0</v>
      </c>
      <c r="W514" s="70">
        <f>IF(ISERROR(VLOOKUP($T$514,'TAR FIN'!$A$1:$O$99,15,0)),0,VLOOKUP($T$514,'TAR FIN'!$A$1:$O$99,15,0))*(1-0.06)</f>
        <v>1464.2755999999999</v>
      </c>
      <c r="X514" s="70">
        <f>IF(ISERROR(VLOOKUP($U$514,'TAR FIN'!$A$1:$O$99,15,0)),0,VLOOKUP($U$514,'TAR FIN'!$A$1:$O$99,15,0))*(1-0.06)</f>
        <v>325.8134</v>
      </c>
      <c r="Y514" s="70"/>
      <c r="Z514" s="70">
        <f ca="1">('TUSD BE'!$AM$22+'TUSD BF'!$AM$22+'TUSD CVA'!$AM$22)*1*(1-0.03)</f>
        <v>1745.1580396621926</v>
      </c>
      <c r="AA514" s="70">
        <f>('TE BE'!$AA$7+'TE BF'!$AA$7+'TE CVA'!$AA$7)*1*(1-0.03)</f>
        <v>411.17962930251429</v>
      </c>
      <c r="AB514" s="70">
        <f>(SUBSIDIO!$J$514*SUBSIDIO!$V$514)*(0.06)/(1-0.06)</f>
        <v>0</v>
      </c>
      <c r="AC514" s="70">
        <f>((SUBSIDIO!$L$514*SUBSIDIO!$W$514)+(SUBSIDIO!$N$514*SUBSIDIO!$X$514))*(0.06)/(1-0.06)</f>
        <v>42867.984935999993</v>
      </c>
      <c r="AD514" s="70">
        <f>(SUBSIDIO!$J$514*SUBSIDIO!$Y$514)*(0.03)/(1-0.03)</f>
        <v>0</v>
      </c>
      <c r="AE514" s="70">
        <f ca="1">((SUBSIDIO!$L$514*SUBSIDIO!$Z$514)+(SUBSIDIO!$N$514*SUBSIDIO!$AA$514))*(0.03)/(1-0.03)</f>
        <v>25020.808493551631</v>
      </c>
      <c r="AF514" s="3" t="s">
        <v>953</v>
      </c>
    </row>
    <row r="515" spans="1:32" ht="11.25" customHeight="1" x14ac:dyDescent="0.25">
      <c r="A515" s="3" t="s">
        <v>28</v>
      </c>
      <c r="B515" s="3" t="s">
        <v>33</v>
      </c>
      <c r="C515" s="3" t="s">
        <v>34</v>
      </c>
      <c r="D515" s="3" t="s">
        <v>50</v>
      </c>
      <c r="E515" s="3" t="s">
        <v>51</v>
      </c>
      <c r="F515" s="3" t="s">
        <v>25</v>
      </c>
      <c r="G515" s="3" t="s">
        <v>25</v>
      </c>
      <c r="H515" s="3" t="s">
        <v>35</v>
      </c>
      <c r="I515" s="6">
        <v>44593</v>
      </c>
      <c r="J515" s="4">
        <v>0</v>
      </c>
      <c r="K515" s="70">
        <v>0</v>
      </c>
      <c r="L515" s="4">
        <v>1.9770000000000001</v>
      </c>
      <c r="M515" s="70">
        <v>1.9770000000000001</v>
      </c>
      <c r="N515" s="4">
        <v>1.9770000000000001</v>
      </c>
      <c r="O515" s="70">
        <v>1.9770000000000001</v>
      </c>
      <c r="P515" s="4">
        <v>0</v>
      </c>
      <c r="Q515" s="3" t="s">
        <v>26</v>
      </c>
      <c r="R515" s="3">
        <v>0</v>
      </c>
      <c r="S515" s="3">
        <v>0</v>
      </c>
      <c r="T515" s="3">
        <v>8</v>
      </c>
      <c r="U515" s="3">
        <v>72</v>
      </c>
      <c r="V515" s="70">
        <f>IF(ISERROR(VLOOKUP($S$515,'TAR FIN'!$A$1:$O$99,15,0)),0,VLOOKUP($S$515,'TAR FIN'!$A$1:$O$99,15,0))</f>
        <v>0</v>
      </c>
      <c r="W515" s="70">
        <f>IF(ISERROR(VLOOKUP($T$515,'TAR FIN'!$A$1:$O$99,15,0)),0,VLOOKUP($T$515,'TAR FIN'!$A$1:$O$99,15,0))*(1-0.06)</f>
        <v>1464.2755999999999</v>
      </c>
      <c r="X515" s="70">
        <f>IF(ISERROR(VLOOKUP($U$515,'TAR FIN'!$A$1:$O$99,15,0)),0,VLOOKUP($U$515,'TAR FIN'!$A$1:$O$99,15,0))*(1-0.06)</f>
        <v>325.8134</v>
      </c>
      <c r="Y515" s="70"/>
      <c r="Z515" s="70">
        <f ca="1">('TUSD BE'!$AM$22+'TUSD BF'!$AM$22+'TUSD CVA'!$AM$22)*1*(1-0.03)</f>
        <v>1745.1580396621926</v>
      </c>
      <c r="AA515" s="70">
        <f>('TE BE'!$AA$7+'TE BF'!$AA$7+'TE CVA'!$AA$7)*1*(1-0.03)</f>
        <v>411.17962930251429</v>
      </c>
      <c r="AB515" s="70">
        <f>(SUBSIDIO!$J$515*SUBSIDIO!$V$515)*(0.06)/(1-0.06)</f>
        <v>0</v>
      </c>
      <c r="AC515" s="70">
        <f>((SUBSIDIO!$L$515*SUBSIDIO!$W$515)+(SUBSIDIO!$N$515*SUBSIDIO!$X$515))*(0.06)/(1-0.06)</f>
        <v>225.89399699999998</v>
      </c>
      <c r="AD515" s="70">
        <f>(SUBSIDIO!$J$515*SUBSIDIO!$Y$515)*(0.03)/(1-0.03)</f>
        <v>0</v>
      </c>
      <c r="AE515" s="70">
        <f ca="1">((SUBSIDIO!$L$515*SUBSIDIO!$Z$515)+(SUBSIDIO!$N$515*SUBSIDIO!$AA$515))*(0.03)/(1-0.03)</f>
        <v>131.84782180030592</v>
      </c>
      <c r="AF515" s="3" t="s">
        <v>953</v>
      </c>
    </row>
    <row r="516" spans="1:32" ht="11.25" customHeight="1" x14ac:dyDescent="0.25">
      <c r="A516" s="3" t="s">
        <v>21</v>
      </c>
      <c r="B516" s="3" t="s">
        <v>33</v>
      </c>
      <c r="C516" s="3" t="s">
        <v>34</v>
      </c>
      <c r="D516" s="3" t="s">
        <v>50</v>
      </c>
      <c r="E516" s="3" t="s">
        <v>51</v>
      </c>
      <c r="F516" s="3" t="s">
        <v>25</v>
      </c>
      <c r="G516" s="3" t="s">
        <v>25</v>
      </c>
      <c r="H516" s="3" t="s">
        <v>35</v>
      </c>
      <c r="I516" s="6">
        <v>44621</v>
      </c>
      <c r="J516" s="4">
        <v>0</v>
      </c>
      <c r="K516" s="70">
        <v>0</v>
      </c>
      <c r="L516" s="4">
        <v>440.09699999999998</v>
      </c>
      <c r="M516" s="70">
        <v>440.09699999999998</v>
      </c>
      <c r="N516" s="4">
        <v>440.09699999999998</v>
      </c>
      <c r="O516" s="70">
        <v>440.09699999999998</v>
      </c>
      <c r="P516" s="4">
        <v>0</v>
      </c>
      <c r="Q516" s="3" t="s">
        <v>26</v>
      </c>
      <c r="R516" s="3">
        <v>0</v>
      </c>
      <c r="S516" s="3">
        <v>0</v>
      </c>
      <c r="T516" s="3">
        <v>8</v>
      </c>
      <c r="U516" s="3">
        <v>72</v>
      </c>
      <c r="V516" s="70">
        <f>IF(ISERROR(VLOOKUP($S$516,'TAR FIN'!$A$1:$O$99,15,0)),0,VLOOKUP($S$516,'TAR FIN'!$A$1:$O$99,15,0))</f>
        <v>0</v>
      </c>
      <c r="W516" s="70">
        <f>IF(ISERROR(VLOOKUP($T$516,'TAR FIN'!$A$1:$O$99,15,0)),0,VLOOKUP($T$516,'TAR FIN'!$A$1:$O$99,15,0))*(1-0.06)</f>
        <v>1464.2755999999999</v>
      </c>
      <c r="X516" s="70">
        <f>IF(ISERROR(VLOOKUP($U$516,'TAR FIN'!$A$1:$O$99,15,0)),0,VLOOKUP($U$516,'TAR FIN'!$A$1:$O$99,15,0))*(1-0.06)</f>
        <v>325.8134</v>
      </c>
      <c r="Y516" s="70"/>
      <c r="Z516" s="70">
        <f ca="1">('TUSD BE'!$AM$22+'TUSD BF'!$AM$22+'TUSD CVA'!$AM$22)*1*(1-0.03)</f>
        <v>1745.1580396621926</v>
      </c>
      <c r="AA516" s="70">
        <f>('TE BE'!$AA$7+'TE BF'!$AA$7+'TE CVA'!$AA$7)*1*(1-0.03)</f>
        <v>411.17962930251429</v>
      </c>
      <c r="AB516" s="70">
        <f>(SUBSIDIO!$J$516*SUBSIDIO!$V$516)*(0.06)/(1-0.06)</f>
        <v>0</v>
      </c>
      <c r="AC516" s="70">
        <f>((SUBSIDIO!$L$516*SUBSIDIO!$W$516)+(SUBSIDIO!$N$516*SUBSIDIO!$X$516))*(0.06)/(1-0.06)</f>
        <v>50285.923316999993</v>
      </c>
      <c r="AD516" s="70">
        <f>(SUBSIDIO!$J$516*SUBSIDIO!$Y$516)*(0.03)/(1-0.03)</f>
        <v>0</v>
      </c>
      <c r="AE516" s="70">
        <f ca="1">((SUBSIDIO!$L$516*SUBSIDIO!$Z$516)+(SUBSIDIO!$N$516*SUBSIDIO!$AA$516))*(0.03)/(1-0.03)</f>
        <v>29350.445539124554</v>
      </c>
      <c r="AF516" s="3" t="s">
        <v>953</v>
      </c>
    </row>
    <row r="517" spans="1:32" ht="11.25" customHeight="1" x14ac:dyDescent="0.25">
      <c r="A517" s="3" t="s">
        <v>28</v>
      </c>
      <c r="B517" s="3" t="s">
        <v>33</v>
      </c>
      <c r="C517" s="3" t="s">
        <v>34</v>
      </c>
      <c r="D517" s="3" t="s">
        <v>50</v>
      </c>
      <c r="E517" s="3" t="s">
        <v>51</v>
      </c>
      <c r="F517" s="3" t="s">
        <v>25</v>
      </c>
      <c r="G517" s="3" t="s">
        <v>25</v>
      </c>
      <c r="H517" s="3" t="s">
        <v>35</v>
      </c>
      <c r="I517" s="6">
        <v>44621</v>
      </c>
      <c r="J517" s="4">
        <v>0</v>
      </c>
      <c r="K517" s="70">
        <v>0</v>
      </c>
      <c r="L517" s="4">
        <v>3.238</v>
      </c>
      <c r="M517" s="70">
        <v>3.238</v>
      </c>
      <c r="N517" s="4">
        <v>3.238</v>
      </c>
      <c r="O517" s="70">
        <v>3.238</v>
      </c>
      <c r="P517" s="4">
        <v>0</v>
      </c>
      <c r="Q517" s="3" t="s">
        <v>26</v>
      </c>
      <c r="R517" s="3">
        <v>0</v>
      </c>
      <c r="S517" s="3">
        <v>0</v>
      </c>
      <c r="T517" s="3">
        <v>8</v>
      </c>
      <c r="U517" s="3">
        <v>72</v>
      </c>
      <c r="V517" s="70">
        <f>IF(ISERROR(VLOOKUP($S$517,'TAR FIN'!$A$1:$O$99,15,0)),0,VLOOKUP($S$517,'TAR FIN'!$A$1:$O$99,15,0))</f>
        <v>0</v>
      </c>
      <c r="W517" s="70">
        <f>IF(ISERROR(VLOOKUP($T$517,'TAR FIN'!$A$1:$O$99,15,0)),0,VLOOKUP($T$517,'TAR FIN'!$A$1:$O$99,15,0))*(1-0.06)</f>
        <v>1464.2755999999999</v>
      </c>
      <c r="X517" s="70">
        <f>IF(ISERROR(VLOOKUP($U$517,'TAR FIN'!$A$1:$O$99,15,0)),0,VLOOKUP($U$517,'TAR FIN'!$A$1:$O$99,15,0))*(1-0.06)</f>
        <v>325.8134</v>
      </c>
      <c r="Y517" s="70"/>
      <c r="Z517" s="70">
        <f ca="1">('TUSD BE'!$AM$22+'TUSD BF'!$AM$22+'TUSD CVA'!$AM$22)*1*(1-0.03)</f>
        <v>1745.1580396621926</v>
      </c>
      <c r="AA517" s="70">
        <f>('TE BE'!$AA$7+'TE BF'!$AA$7+'TE CVA'!$AA$7)*1*(1-0.03)</f>
        <v>411.17962930251429</v>
      </c>
      <c r="AB517" s="70">
        <f>(SUBSIDIO!$J$517*SUBSIDIO!$V$517)*(0.06)/(1-0.06)</f>
        <v>0</v>
      </c>
      <c r="AC517" s="70">
        <f>((SUBSIDIO!$L$517*SUBSIDIO!$W$517)+(SUBSIDIO!$N$517*SUBSIDIO!$X$517))*(0.06)/(1-0.06)</f>
        <v>369.97711800000002</v>
      </c>
      <c r="AD517" s="70">
        <f>(SUBSIDIO!$J$517*SUBSIDIO!$Y$517)*(0.03)/(1-0.03)</f>
        <v>0</v>
      </c>
      <c r="AE517" s="70">
        <f ca="1">((SUBSIDIO!$L$517*SUBSIDIO!$Z$517)+(SUBSIDIO!$N$517*SUBSIDIO!$AA$517))*(0.03)/(1-0.03)</f>
        <v>215.9449908899295</v>
      </c>
      <c r="AF517" s="3" t="s">
        <v>953</v>
      </c>
    </row>
    <row r="518" spans="1:32" ht="11.25" customHeight="1" x14ac:dyDescent="0.25">
      <c r="A518" s="3" t="s">
        <v>56</v>
      </c>
      <c r="B518" s="3" t="s">
        <v>33</v>
      </c>
      <c r="C518" s="3" t="s">
        <v>34</v>
      </c>
      <c r="D518" s="3" t="s">
        <v>50</v>
      </c>
      <c r="E518" s="3" t="s">
        <v>51</v>
      </c>
      <c r="F518" s="3" t="s">
        <v>25</v>
      </c>
      <c r="G518" s="3" t="s">
        <v>25</v>
      </c>
      <c r="H518" s="3" t="s">
        <v>35</v>
      </c>
      <c r="I518" s="6">
        <v>44652</v>
      </c>
      <c r="J518" s="4">
        <v>0</v>
      </c>
      <c r="K518" s="70">
        <v>0</v>
      </c>
      <c r="L518" s="4">
        <v>440.09699999999998</v>
      </c>
      <c r="M518" s="70">
        <v>440.09699999999998</v>
      </c>
      <c r="N518" s="4">
        <v>440.09699999999998</v>
      </c>
      <c r="O518" s="70">
        <v>440.09699999999998</v>
      </c>
      <c r="P518" s="4">
        <v>0</v>
      </c>
      <c r="Q518" s="3" t="s">
        <v>26</v>
      </c>
      <c r="R518" s="3">
        <v>0</v>
      </c>
      <c r="S518" s="3">
        <v>0</v>
      </c>
      <c r="T518" s="3">
        <v>8</v>
      </c>
      <c r="U518" s="3">
        <v>72</v>
      </c>
      <c r="V518" s="70">
        <f>IF(ISERROR(VLOOKUP($S$518,'TAR FIN'!$A$1:$O$99,15,0)),0,VLOOKUP($S$518,'TAR FIN'!$A$1:$O$99,15,0))</f>
        <v>0</v>
      </c>
      <c r="W518" s="70">
        <f>IF(ISERROR(VLOOKUP($T$518,'TAR FIN'!$A$1:$O$99,15,0)),0,VLOOKUP($T$518,'TAR FIN'!$A$1:$O$99,15,0))*(1-0.06)</f>
        <v>1464.2755999999999</v>
      </c>
      <c r="X518" s="70">
        <f>IF(ISERROR(VLOOKUP($U$518,'TAR FIN'!$A$1:$O$99,15,0)),0,VLOOKUP($U$518,'TAR FIN'!$A$1:$O$99,15,0))*(1-0.06)</f>
        <v>325.8134</v>
      </c>
      <c r="Y518" s="70"/>
      <c r="Z518" s="70">
        <f ca="1">('TUSD BE'!$AM$22+'TUSD BF'!$AM$22+'TUSD CVA'!$AM$22)*1*(1-0.03)</f>
        <v>1745.1580396621926</v>
      </c>
      <c r="AA518" s="70">
        <f>('TE BE'!$AA$7+'TE BF'!$AA$7+'TE CVA'!$AA$7)*1*(1-0.03)</f>
        <v>411.17962930251429</v>
      </c>
      <c r="AB518" s="70">
        <f>(SUBSIDIO!$J$518*SUBSIDIO!$V$518)*(0.06)/(1-0.06)</f>
        <v>0</v>
      </c>
      <c r="AC518" s="70">
        <f>((SUBSIDIO!$L$518*SUBSIDIO!$W$518)+(SUBSIDIO!$N$518*SUBSIDIO!$X$518))*(0.06)/(1-0.06)</f>
        <v>50285.923316999993</v>
      </c>
      <c r="AD518" s="70">
        <f>(SUBSIDIO!$J$518*SUBSIDIO!$Y$518)*(0.03)/(1-0.03)</f>
        <v>0</v>
      </c>
      <c r="AE518" s="70">
        <f ca="1">((SUBSIDIO!$L$518*SUBSIDIO!$Z$518)+(SUBSIDIO!$N$518*SUBSIDIO!$AA$518))*(0.03)/(1-0.03)</f>
        <v>29350.445539124554</v>
      </c>
      <c r="AF518" s="3" t="s">
        <v>953</v>
      </c>
    </row>
    <row r="519" spans="1:32" ht="11.25" customHeight="1" x14ac:dyDescent="0.25">
      <c r="A519" s="3" t="s">
        <v>56</v>
      </c>
      <c r="B519" s="3" t="s">
        <v>33</v>
      </c>
      <c r="C519" s="3" t="s">
        <v>34</v>
      </c>
      <c r="D519" s="3" t="s">
        <v>50</v>
      </c>
      <c r="E519" s="3" t="s">
        <v>51</v>
      </c>
      <c r="F519" s="3" t="s">
        <v>25</v>
      </c>
      <c r="G519" s="3" t="s">
        <v>25</v>
      </c>
      <c r="H519" s="3" t="s">
        <v>35</v>
      </c>
      <c r="I519" s="6">
        <v>44652</v>
      </c>
      <c r="J519" s="4">
        <v>0</v>
      </c>
      <c r="K519" s="70">
        <v>0</v>
      </c>
      <c r="L519" s="4">
        <v>3.238</v>
      </c>
      <c r="M519" s="70">
        <v>3.238</v>
      </c>
      <c r="N519" s="4">
        <v>3.238</v>
      </c>
      <c r="O519" s="70">
        <v>3.238</v>
      </c>
      <c r="P519" s="4">
        <v>0</v>
      </c>
      <c r="Q519" s="3" t="s">
        <v>26</v>
      </c>
      <c r="R519" s="3">
        <v>0</v>
      </c>
      <c r="S519" s="3">
        <v>0</v>
      </c>
      <c r="T519" s="3">
        <v>8</v>
      </c>
      <c r="U519" s="3">
        <v>72</v>
      </c>
      <c r="V519" s="70">
        <f>IF(ISERROR(VLOOKUP($S$519,'TAR FIN'!$A$1:$O$99,15,0)),0,VLOOKUP($S$519,'TAR FIN'!$A$1:$O$99,15,0))</f>
        <v>0</v>
      </c>
      <c r="W519" s="70">
        <f>IF(ISERROR(VLOOKUP($T$519,'TAR FIN'!$A$1:$O$99,15,0)),0,VLOOKUP($T$519,'TAR FIN'!$A$1:$O$99,15,0))*(1-0.06)</f>
        <v>1464.2755999999999</v>
      </c>
      <c r="X519" s="70">
        <f>IF(ISERROR(VLOOKUP($U$519,'TAR FIN'!$A$1:$O$99,15,0)),0,VLOOKUP($U$519,'TAR FIN'!$A$1:$O$99,15,0))*(1-0.06)</f>
        <v>325.8134</v>
      </c>
      <c r="Y519" s="70"/>
      <c r="Z519" s="70">
        <f ca="1">('TUSD BE'!$AM$22+'TUSD BF'!$AM$22+'TUSD CVA'!$AM$22)*1*(1-0.03)</f>
        <v>1745.1580396621926</v>
      </c>
      <c r="AA519" s="70">
        <f>('TE BE'!$AA$7+'TE BF'!$AA$7+'TE CVA'!$AA$7)*1*(1-0.03)</f>
        <v>411.17962930251429</v>
      </c>
      <c r="AB519" s="70">
        <f>(SUBSIDIO!$J$519*SUBSIDIO!$V$519)*(0.06)/(1-0.06)</f>
        <v>0</v>
      </c>
      <c r="AC519" s="70">
        <f>((SUBSIDIO!$L$519*SUBSIDIO!$W$519)+(SUBSIDIO!$N$519*SUBSIDIO!$X$519))*(0.06)/(1-0.06)</f>
        <v>369.97711800000002</v>
      </c>
      <c r="AD519" s="70">
        <f>(SUBSIDIO!$J$519*SUBSIDIO!$Y$519)*(0.03)/(1-0.03)</f>
        <v>0</v>
      </c>
      <c r="AE519" s="70">
        <f ca="1">((SUBSIDIO!$L$519*SUBSIDIO!$Z$519)+(SUBSIDIO!$N$519*SUBSIDIO!$AA$519))*(0.03)/(1-0.03)</f>
        <v>215.9449908899295</v>
      </c>
      <c r="AF519" s="3" t="s">
        <v>953</v>
      </c>
    </row>
    <row r="520" spans="1:32" ht="11.25" customHeight="1" x14ac:dyDescent="0.25">
      <c r="A520" s="3" t="s">
        <v>21</v>
      </c>
      <c r="B520" s="3" t="s">
        <v>22</v>
      </c>
      <c r="C520" s="3" t="s">
        <v>23</v>
      </c>
      <c r="D520" s="3" t="s">
        <v>24</v>
      </c>
      <c r="E520" s="3" t="s">
        <v>24</v>
      </c>
      <c r="F520" s="3" t="s">
        <v>25</v>
      </c>
      <c r="G520" s="3" t="s">
        <v>25</v>
      </c>
      <c r="H520" s="3" t="s">
        <v>25</v>
      </c>
      <c r="I520" s="6">
        <v>44317</v>
      </c>
      <c r="J520" s="4">
        <v>0</v>
      </c>
      <c r="K520" s="4">
        <v>0</v>
      </c>
      <c r="L520" s="4">
        <v>99925.642999999996</v>
      </c>
      <c r="M520" s="4">
        <v>99925.642999999996</v>
      </c>
      <c r="N520" s="4">
        <v>99925.642999999996</v>
      </c>
      <c r="O520" s="4">
        <v>99925.642999999996</v>
      </c>
      <c r="P520" s="4">
        <v>720359</v>
      </c>
      <c r="Q520" s="3" t="s">
        <v>26</v>
      </c>
      <c r="R520" s="3">
        <v>0</v>
      </c>
      <c r="S520" s="3">
        <v>0</v>
      </c>
      <c r="T520" s="3">
        <v>13</v>
      </c>
      <c r="U520" s="3">
        <v>53</v>
      </c>
      <c r="V520" s="4">
        <f>IF(ISERROR(VLOOKUP($S$520,'TAR FIN'!$A$1:$O$99,15,0)),0,VLOOKUP($S$520,'TAR FIN'!$A$1:$O$99,15,0))</f>
        <v>0</v>
      </c>
      <c r="W520" s="4">
        <f>IF(ISERROR(VLOOKUP($T$520,'TAR FIN'!$A$1:$O$99,15,0)),0,VLOOKUP($T$520,'TAR FIN'!$A$1:$O$99,15,0))</f>
        <v>395.58</v>
      </c>
      <c r="X520" s="4">
        <f>IF(ISERROR(VLOOKUP($U$520,'TAR FIN'!$A$1:$O$99,15,0)),0,VLOOKUP($U$520,'TAR FIN'!$A$1:$O$99,15,0))</f>
        <v>230.53</v>
      </c>
      <c r="Y520" s="4"/>
      <c r="Z520" s="4">
        <f ca="1">('TUSD BE'!$AM$31+'TUSD BF'!$AM$31+'TUSD CVA'!$AM$31)*1</f>
        <v>466.61942630573992</v>
      </c>
      <c r="AA520" s="4">
        <f>('TE BE'!$AA$13+'TE BF'!$AA$13+'TE CVA'!$AA$13)*1</f>
        <v>283.86889449376815</v>
      </c>
      <c r="AB520" s="4">
        <f t="shared" ref="AB520:AB577" si="22">(J520-K520)*V520</f>
        <v>0</v>
      </c>
      <c r="AC520" s="4">
        <f t="shared" ref="AC520" si="23">(L520-M520)*W520+(N520-O520)*X520</f>
        <v>0</v>
      </c>
      <c r="AD520" s="4">
        <f t="shared" ref="AD520:AD577" si="24">(J520-K520)*Y520</f>
        <v>0</v>
      </c>
      <c r="AE520" s="4">
        <f t="shared" ref="AE520" ca="1" si="25">(L520-M520)*Z520+(N520-O520)*AA520</f>
        <v>0</v>
      </c>
    </row>
    <row r="521" spans="1:32" ht="11.25" customHeight="1" x14ac:dyDescent="0.25">
      <c r="A521" s="3" t="s">
        <v>21</v>
      </c>
      <c r="B521" s="3" t="s">
        <v>22</v>
      </c>
      <c r="C521" s="3" t="s">
        <v>23</v>
      </c>
      <c r="D521" s="3" t="s">
        <v>24</v>
      </c>
      <c r="E521" s="3" t="s">
        <v>29</v>
      </c>
      <c r="F521" s="3" t="s">
        <v>25</v>
      </c>
      <c r="G521" s="3" t="s">
        <v>25</v>
      </c>
      <c r="H521" s="3" t="s">
        <v>25</v>
      </c>
      <c r="I521" s="6">
        <v>44317</v>
      </c>
      <c r="J521" s="4">
        <v>0</v>
      </c>
      <c r="K521" s="4">
        <v>0</v>
      </c>
      <c r="L521" s="4">
        <v>10455.143</v>
      </c>
      <c r="M521" s="4">
        <v>10455.143</v>
      </c>
      <c r="N521" s="4">
        <v>10455.143</v>
      </c>
      <c r="O521" s="4">
        <v>10455.143</v>
      </c>
      <c r="P521" s="4">
        <v>44935</v>
      </c>
      <c r="Q521" s="3" t="s">
        <v>26</v>
      </c>
      <c r="R521" s="3">
        <v>0</v>
      </c>
      <c r="S521" s="3">
        <v>0</v>
      </c>
      <c r="T521" s="3">
        <v>14</v>
      </c>
      <c r="U521" s="3">
        <v>74</v>
      </c>
      <c r="V521" s="4">
        <f>IF(ISERROR(VLOOKUP($S$521,'TAR FIN'!$A$1:$O$99,15,0)),0,VLOOKUP($S$521,'TAR FIN'!$A$1:$O$99,15,0))</f>
        <v>0</v>
      </c>
      <c r="W521" s="4">
        <f>IF(ISERROR(VLOOKUP($T$521,'TAR FIN'!$A$1:$O$99,15,0)),0,VLOOKUP($T$521,'TAR FIN'!$A$1:$O$99,15,0))</f>
        <v>118.67</v>
      </c>
      <c r="X521" s="4">
        <f>IF(ISERROR(VLOOKUP($U$521,'TAR FIN'!$A$1:$O$99,15,0)),0,VLOOKUP($U$521,'TAR FIN'!$A$1:$O$99,15,0))</f>
        <v>80.680000000000007</v>
      </c>
      <c r="Y521" s="4"/>
      <c r="Z521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21" s="4">
        <f>('TE BE'!$AA$14+'TE BF'!$AA$14+'TE CVA'!$AA$14)*(1-CUSTOS!$M$34)</f>
        <v>99.354113072818848</v>
      </c>
      <c r="AB521" s="4">
        <f t="shared" si="22"/>
        <v>0</v>
      </c>
      <c r="AC521" s="4">
        <f>(L521-M521)*(W521+X521)+($W$557+$X$557-$W$521-$X$521)*(L521)</f>
        <v>3870912.14432</v>
      </c>
      <c r="AD521" s="4">
        <f t="shared" si="24"/>
        <v>0</v>
      </c>
      <c r="AE521" s="4">
        <f ca="1">(L521-M521)*(Z521+AA521)+($Z$557+$AA$557-$Z$521-$AA$521)*(L521)</f>
        <v>4639616.9277348118</v>
      </c>
      <c r="AF521" s="3" t="s">
        <v>955</v>
      </c>
    </row>
    <row r="522" spans="1:32" ht="11.25" customHeight="1" x14ac:dyDescent="0.25">
      <c r="A522" s="3" t="s">
        <v>21</v>
      </c>
      <c r="B522" s="3" t="s">
        <v>22</v>
      </c>
      <c r="C522" s="3" t="s">
        <v>23</v>
      </c>
      <c r="D522" s="3" t="s">
        <v>24</v>
      </c>
      <c r="E522" s="3" t="s">
        <v>29</v>
      </c>
      <c r="F522" s="3" t="s">
        <v>25</v>
      </c>
      <c r="G522" s="3" t="s">
        <v>25</v>
      </c>
      <c r="H522" s="3" t="s">
        <v>25</v>
      </c>
      <c r="I522" s="6">
        <v>44348</v>
      </c>
      <c r="J522" s="4">
        <v>0</v>
      </c>
      <c r="K522" s="4">
        <v>0</v>
      </c>
      <c r="L522" s="4">
        <v>10561.165999999999</v>
      </c>
      <c r="M522" s="4">
        <v>10561.165999999999</v>
      </c>
      <c r="N522" s="4">
        <v>10561.165999999999</v>
      </c>
      <c r="O522" s="4">
        <v>10561.165999999999</v>
      </c>
      <c r="P522" s="4">
        <v>47300</v>
      </c>
      <c r="Q522" s="3" t="s">
        <v>26</v>
      </c>
      <c r="R522" s="3">
        <v>0</v>
      </c>
      <c r="S522" s="3">
        <v>0</v>
      </c>
      <c r="T522" s="3">
        <v>14</v>
      </c>
      <c r="U522" s="3">
        <v>74</v>
      </c>
      <c r="V522" s="4">
        <f>IF(ISERROR(VLOOKUP($S$522,'TAR FIN'!$A$1:$O$99,15,0)),0,VLOOKUP($S$522,'TAR FIN'!$A$1:$O$99,15,0))</f>
        <v>0</v>
      </c>
      <c r="W522" s="4">
        <f>IF(ISERROR(VLOOKUP($T$522,'TAR FIN'!$A$1:$O$99,15,0)),0,VLOOKUP($T$522,'TAR FIN'!$A$1:$O$99,15,0))</f>
        <v>118.67</v>
      </c>
      <c r="X522" s="4">
        <f>IF(ISERROR(VLOOKUP($U$522,'TAR FIN'!$A$1:$O$99,15,0)),0,VLOOKUP($U$522,'TAR FIN'!$A$1:$O$99,15,0))</f>
        <v>80.680000000000007</v>
      </c>
      <c r="Y522" s="4"/>
      <c r="Z522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22" s="4">
        <f>('TE BE'!$AA$14+'TE BF'!$AA$14+'TE CVA'!$AA$14)*(1-CUSTOS!$M$34)</f>
        <v>99.354113072818848</v>
      </c>
      <c r="AB522" s="4">
        <f t="shared" si="22"/>
        <v>0</v>
      </c>
      <c r="AC522" s="4">
        <f>(L522-M522)*(W522+X522)+($W$557+$X$557-$W$522-$X$522)*(L522)</f>
        <v>3910166.0998399998</v>
      </c>
      <c r="AD522" s="4">
        <f t="shared" si="24"/>
        <v>0</v>
      </c>
      <c r="AE522" s="4">
        <f ca="1">(L522-M522)*(Z522+AA522)+($Z$557+$AA$557-$Z$522-$AA$522)*(L522)</f>
        <v>4686666.1269212049</v>
      </c>
      <c r="AF522" s="3" t="s">
        <v>955</v>
      </c>
    </row>
    <row r="523" spans="1:32" ht="11.25" customHeight="1" x14ac:dyDescent="0.25">
      <c r="A523" s="3" t="s">
        <v>21</v>
      </c>
      <c r="B523" s="3" t="s">
        <v>22</v>
      </c>
      <c r="C523" s="3" t="s">
        <v>23</v>
      </c>
      <c r="D523" s="3" t="s">
        <v>24</v>
      </c>
      <c r="E523" s="3" t="s">
        <v>29</v>
      </c>
      <c r="F523" s="3" t="s">
        <v>25</v>
      </c>
      <c r="G523" s="3" t="s">
        <v>25</v>
      </c>
      <c r="H523" s="3" t="s">
        <v>25</v>
      </c>
      <c r="I523" s="6">
        <v>44378</v>
      </c>
      <c r="J523" s="4">
        <v>0</v>
      </c>
      <c r="K523" s="4">
        <v>0</v>
      </c>
      <c r="L523" s="4">
        <v>10647.829</v>
      </c>
      <c r="M523" s="4">
        <v>10647.829</v>
      </c>
      <c r="N523" s="4">
        <v>10647.829</v>
      </c>
      <c r="O523" s="4">
        <v>10647.829</v>
      </c>
      <c r="P523" s="4">
        <v>49835</v>
      </c>
      <c r="Q523" s="3" t="s">
        <v>26</v>
      </c>
      <c r="R523" s="3">
        <v>0</v>
      </c>
      <c r="S523" s="3">
        <v>0</v>
      </c>
      <c r="T523" s="3">
        <v>14</v>
      </c>
      <c r="U523" s="3">
        <v>74</v>
      </c>
      <c r="V523" s="4">
        <f>IF(ISERROR(VLOOKUP($S$523,'TAR FIN'!$A$1:$O$99,15,0)),0,VLOOKUP($S$523,'TAR FIN'!$A$1:$O$99,15,0))</f>
        <v>0</v>
      </c>
      <c r="W523" s="4">
        <f>IF(ISERROR(VLOOKUP($T$523,'TAR FIN'!$A$1:$O$99,15,0)),0,VLOOKUP($T$523,'TAR FIN'!$A$1:$O$99,15,0))</f>
        <v>118.67</v>
      </c>
      <c r="X523" s="4">
        <f>IF(ISERROR(VLOOKUP($U$523,'TAR FIN'!$A$1:$O$99,15,0)),0,VLOOKUP($U$523,'TAR FIN'!$A$1:$O$99,15,0))</f>
        <v>80.680000000000007</v>
      </c>
      <c r="Y523" s="4"/>
      <c r="Z523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23" s="4">
        <f>('TE BE'!$AA$14+'TE BF'!$AA$14+'TE CVA'!$AA$14)*(1-CUSTOS!$M$34)</f>
        <v>99.354113072818848</v>
      </c>
      <c r="AB523" s="4">
        <f t="shared" si="22"/>
        <v>0</v>
      </c>
      <c r="AC523" s="4">
        <f>(L523-M523)*(W523+X523)+($W$557+$X$557-$W$523-$X$523)*(L523)</f>
        <v>3942252.20896</v>
      </c>
      <c r="AD523" s="4">
        <f t="shared" si="24"/>
        <v>0</v>
      </c>
      <c r="AE523" s="4">
        <f ca="1">(L523-M523)*(Z523+AA523)+($Z$557+$AA$557-$Z$523-$AA$523)*(L523)</f>
        <v>4725124.0534945941</v>
      </c>
      <c r="AF523" s="3" t="s">
        <v>955</v>
      </c>
    </row>
    <row r="524" spans="1:32" ht="11.25" customHeight="1" x14ac:dyDescent="0.25">
      <c r="A524" s="3" t="s">
        <v>21</v>
      </c>
      <c r="B524" s="3" t="s">
        <v>22</v>
      </c>
      <c r="C524" s="3" t="s">
        <v>23</v>
      </c>
      <c r="D524" s="3" t="s">
        <v>24</v>
      </c>
      <c r="E524" s="3" t="s">
        <v>29</v>
      </c>
      <c r="F524" s="3" t="s">
        <v>25</v>
      </c>
      <c r="G524" s="3" t="s">
        <v>25</v>
      </c>
      <c r="H524" s="3" t="s">
        <v>25</v>
      </c>
      <c r="I524" s="6">
        <v>44409</v>
      </c>
      <c r="J524" s="4">
        <v>0</v>
      </c>
      <c r="K524" s="4">
        <v>0</v>
      </c>
      <c r="L524" s="4">
        <v>10783.445</v>
      </c>
      <c r="M524" s="4">
        <v>10783.445</v>
      </c>
      <c r="N524" s="4">
        <v>10783.445</v>
      </c>
      <c r="O524" s="4">
        <v>10783.445</v>
      </c>
      <c r="P524" s="4">
        <v>51526</v>
      </c>
      <c r="Q524" s="3" t="s">
        <v>26</v>
      </c>
      <c r="R524" s="3">
        <v>0</v>
      </c>
      <c r="S524" s="3">
        <v>0</v>
      </c>
      <c r="T524" s="3">
        <v>14</v>
      </c>
      <c r="U524" s="3">
        <v>74</v>
      </c>
      <c r="V524" s="4">
        <f>IF(ISERROR(VLOOKUP($S$524,'TAR FIN'!$A$1:$O$99,15,0)),0,VLOOKUP($S$524,'TAR FIN'!$A$1:$O$99,15,0))</f>
        <v>0</v>
      </c>
      <c r="W524" s="4">
        <f>IF(ISERROR(VLOOKUP($T$524,'TAR FIN'!$A$1:$O$99,15,0)),0,VLOOKUP($T$524,'TAR FIN'!$A$1:$O$99,15,0))</f>
        <v>118.67</v>
      </c>
      <c r="X524" s="4">
        <f>IF(ISERROR(VLOOKUP($U$524,'TAR FIN'!$A$1:$O$99,15,0)),0,VLOOKUP($U$524,'TAR FIN'!$A$1:$O$99,15,0))</f>
        <v>80.680000000000007</v>
      </c>
      <c r="Y524" s="4"/>
      <c r="Z524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24" s="4">
        <f>('TE BE'!$AA$14+'TE BF'!$AA$14+'TE CVA'!$AA$14)*(1-CUSTOS!$M$34)</f>
        <v>99.354113072818848</v>
      </c>
      <c r="AB524" s="4">
        <f t="shared" si="22"/>
        <v>0</v>
      </c>
      <c r="AC524" s="4">
        <f>(L524-M524)*(W524+X524)+($W$557+$X$557-$W$524-$X$524)*(L524)</f>
        <v>3992462.6768</v>
      </c>
      <c r="AD524" s="4">
        <f t="shared" si="24"/>
        <v>0</v>
      </c>
      <c r="AE524" s="4">
        <f ca="1">(L524-M524)*(Z524+AA524)+($Z$557+$AA$557-$Z$524-$AA$524)*(L524)</f>
        <v>4785305.563137426</v>
      </c>
      <c r="AF524" s="3" t="s">
        <v>955</v>
      </c>
    </row>
    <row r="525" spans="1:32" ht="11.25" customHeight="1" x14ac:dyDescent="0.25">
      <c r="A525" s="3" t="s">
        <v>21</v>
      </c>
      <c r="B525" s="3" t="s">
        <v>22</v>
      </c>
      <c r="C525" s="3" t="s">
        <v>23</v>
      </c>
      <c r="D525" s="3" t="s">
        <v>24</v>
      </c>
      <c r="E525" s="3" t="s">
        <v>29</v>
      </c>
      <c r="F525" s="3" t="s">
        <v>25</v>
      </c>
      <c r="G525" s="3" t="s">
        <v>25</v>
      </c>
      <c r="H525" s="3" t="s">
        <v>25</v>
      </c>
      <c r="I525" s="6">
        <v>44440</v>
      </c>
      <c r="J525" s="4">
        <v>0</v>
      </c>
      <c r="K525" s="4">
        <v>0</v>
      </c>
      <c r="L525" s="4">
        <v>10870.652</v>
      </c>
      <c r="M525" s="4">
        <v>10870.652</v>
      </c>
      <c r="N525" s="4">
        <v>10870.652</v>
      </c>
      <c r="O525" s="4">
        <v>10870.652</v>
      </c>
      <c r="P525" s="4">
        <v>50080</v>
      </c>
      <c r="Q525" s="3" t="s">
        <v>26</v>
      </c>
      <c r="R525" s="3">
        <v>0</v>
      </c>
      <c r="S525" s="3">
        <v>0</v>
      </c>
      <c r="T525" s="3">
        <v>14</v>
      </c>
      <c r="U525" s="3">
        <v>74</v>
      </c>
      <c r="V525" s="4">
        <f>IF(ISERROR(VLOOKUP($S$525,'TAR FIN'!$A$1:$O$99,15,0)),0,VLOOKUP($S$525,'TAR FIN'!$A$1:$O$99,15,0))</f>
        <v>0</v>
      </c>
      <c r="W525" s="4">
        <f>IF(ISERROR(VLOOKUP($T$525,'TAR FIN'!$A$1:$O$99,15,0)),0,VLOOKUP($T$525,'TAR FIN'!$A$1:$O$99,15,0))</f>
        <v>118.67</v>
      </c>
      <c r="X525" s="4">
        <f>IF(ISERROR(VLOOKUP($U$525,'TAR FIN'!$A$1:$O$99,15,0)),0,VLOOKUP($U$525,'TAR FIN'!$A$1:$O$99,15,0))</f>
        <v>80.680000000000007</v>
      </c>
      <c r="Y525" s="4"/>
      <c r="Z525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25" s="4">
        <f>('TE BE'!$AA$14+'TE BF'!$AA$14+'TE CVA'!$AA$14)*(1-CUSTOS!$M$34)</f>
        <v>99.354113072818848</v>
      </c>
      <c r="AB525" s="4">
        <f t="shared" si="22"/>
        <v>0</v>
      </c>
      <c r="AC525" s="4">
        <f>(L525-M525)*(W525+X525)+($W$557+$X$557-$W$525-$X$525)*(L525)</f>
        <v>4024750.1964799999</v>
      </c>
      <c r="AD525" s="4">
        <f t="shared" si="24"/>
        <v>0</v>
      </c>
      <c r="AE525" s="4">
        <f ca="1">(L525-M525)*(Z525+AA525)+($Z$557+$AA$557-$Z$525-$AA$525)*(L525)</f>
        <v>4824004.8973710155</v>
      </c>
      <c r="AF525" s="3" t="s">
        <v>955</v>
      </c>
    </row>
    <row r="526" spans="1:32" ht="11.25" customHeight="1" x14ac:dyDescent="0.25">
      <c r="A526" s="3" t="s">
        <v>21</v>
      </c>
      <c r="B526" s="3" t="s">
        <v>22</v>
      </c>
      <c r="C526" s="3" t="s">
        <v>23</v>
      </c>
      <c r="D526" s="3" t="s">
        <v>24</v>
      </c>
      <c r="E526" s="3" t="s">
        <v>29</v>
      </c>
      <c r="F526" s="3" t="s">
        <v>25</v>
      </c>
      <c r="G526" s="3" t="s">
        <v>25</v>
      </c>
      <c r="H526" s="3" t="s">
        <v>25</v>
      </c>
      <c r="I526" s="6">
        <v>44470</v>
      </c>
      <c r="J526" s="4">
        <v>0</v>
      </c>
      <c r="K526" s="4">
        <v>0</v>
      </c>
      <c r="L526" s="4">
        <v>10861.496999999999</v>
      </c>
      <c r="M526" s="4">
        <v>10861.496999999999</v>
      </c>
      <c r="N526" s="4">
        <v>10861.496999999999</v>
      </c>
      <c r="O526" s="4">
        <v>10861.496999999999</v>
      </c>
      <c r="P526" s="4">
        <v>47881</v>
      </c>
      <c r="Q526" s="3" t="s">
        <v>26</v>
      </c>
      <c r="R526" s="3">
        <v>0</v>
      </c>
      <c r="S526" s="3">
        <v>0</v>
      </c>
      <c r="T526" s="3">
        <v>14</v>
      </c>
      <c r="U526" s="3">
        <v>74</v>
      </c>
      <c r="V526" s="4">
        <f>IF(ISERROR(VLOOKUP($S$526,'TAR FIN'!$A$1:$O$99,15,0)),0,VLOOKUP($S$526,'TAR FIN'!$A$1:$O$99,15,0))</f>
        <v>0</v>
      </c>
      <c r="W526" s="4">
        <f>IF(ISERROR(VLOOKUP($T$526,'TAR FIN'!$A$1:$O$99,15,0)),0,VLOOKUP($T$526,'TAR FIN'!$A$1:$O$99,15,0))</f>
        <v>118.67</v>
      </c>
      <c r="X526" s="4">
        <f>IF(ISERROR(VLOOKUP($U$526,'TAR FIN'!$A$1:$O$99,15,0)),0,VLOOKUP($U$526,'TAR FIN'!$A$1:$O$99,15,0))</f>
        <v>80.680000000000007</v>
      </c>
      <c r="Y526" s="4"/>
      <c r="Z526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26" s="4">
        <f>('TE BE'!$AA$14+'TE BF'!$AA$14+'TE CVA'!$AA$14)*(1-CUSTOS!$M$34)</f>
        <v>99.354113072818848</v>
      </c>
      <c r="AB526" s="4">
        <f t="shared" si="22"/>
        <v>0</v>
      </c>
      <c r="AC526" s="4">
        <f>(L526-M526)*(W526+X526)+($W$557+$X$557-$W$526-$X$526)*(L526)</f>
        <v>4021360.64928</v>
      </c>
      <c r="AD526" s="4">
        <f t="shared" si="24"/>
        <v>0</v>
      </c>
      <c r="AE526" s="4">
        <f ca="1">(L526-M526)*(Z526+AA526)+($Z$557+$AA$557-$Z$526-$AA$526)*(L526)</f>
        <v>4819942.2372071687</v>
      </c>
      <c r="AF526" s="3" t="s">
        <v>955</v>
      </c>
    </row>
    <row r="527" spans="1:32" ht="11.25" customHeight="1" x14ac:dyDescent="0.25">
      <c r="A527" s="3" t="s">
        <v>21</v>
      </c>
      <c r="B527" s="3" t="s">
        <v>22</v>
      </c>
      <c r="C527" s="3" t="s">
        <v>23</v>
      </c>
      <c r="D527" s="3" t="s">
        <v>24</v>
      </c>
      <c r="E527" s="3" t="s">
        <v>29</v>
      </c>
      <c r="F527" s="3" t="s">
        <v>25</v>
      </c>
      <c r="G527" s="3" t="s">
        <v>25</v>
      </c>
      <c r="H527" s="3" t="s">
        <v>25</v>
      </c>
      <c r="I527" s="6">
        <v>44501</v>
      </c>
      <c r="J527" s="4">
        <v>0</v>
      </c>
      <c r="K527" s="4">
        <v>0</v>
      </c>
      <c r="L527" s="4">
        <v>10916.983</v>
      </c>
      <c r="M527" s="4">
        <v>10916.983</v>
      </c>
      <c r="N527" s="4">
        <v>10916.983</v>
      </c>
      <c r="O527" s="4">
        <v>10916.983</v>
      </c>
      <c r="P527" s="4">
        <v>46469</v>
      </c>
      <c r="Q527" s="3" t="s">
        <v>26</v>
      </c>
      <c r="R527" s="3">
        <v>0</v>
      </c>
      <c r="S527" s="3">
        <v>0</v>
      </c>
      <c r="T527" s="3">
        <v>14</v>
      </c>
      <c r="U527" s="3">
        <v>74</v>
      </c>
      <c r="V527" s="4">
        <f>IF(ISERROR(VLOOKUP($S$527,'TAR FIN'!$A$1:$O$99,15,0)),0,VLOOKUP($S$527,'TAR FIN'!$A$1:$O$99,15,0))</f>
        <v>0</v>
      </c>
      <c r="W527" s="4">
        <f>IF(ISERROR(VLOOKUP($T$527,'TAR FIN'!$A$1:$O$99,15,0)),0,VLOOKUP($T$527,'TAR FIN'!$A$1:$O$99,15,0))</f>
        <v>118.67</v>
      </c>
      <c r="X527" s="4">
        <f>IF(ISERROR(VLOOKUP($U$527,'TAR FIN'!$A$1:$O$99,15,0)),0,VLOOKUP($U$527,'TAR FIN'!$A$1:$O$99,15,0))</f>
        <v>80.680000000000007</v>
      </c>
      <c r="Y527" s="4"/>
      <c r="Z527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27" s="4">
        <f>('TE BE'!$AA$14+'TE BF'!$AA$14+'TE CVA'!$AA$14)*(1-CUSTOS!$M$34)</f>
        <v>99.354113072818848</v>
      </c>
      <c r="AB527" s="4">
        <f t="shared" si="22"/>
        <v>0</v>
      </c>
      <c r="AC527" s="4">
        <f>(L527-M527)*(W527+X527)+($W$557+$X$557-$W$527-$X$527)*(L527)</f>
        <v>4041903.7859200002</v>
      </c>
      <c r="AD527" s="4">
        <f t="shared" si="24"/>
        <v>0</v>
      </c>
      <c r="AE527" s="4">
        <f ca="1">(L527-M527)*(Z527+AA527)+($Z$557+$AA$557-$Z$527-$AA$527)*(L527)</f>
        <v>4844564.9310194198</v>
      </c>
      <c r="AF527" s="3" t="s">
        <v>955</v>
      </c>
    </row>
    <row r="528" spans="1:32" ht="11.25" customHeight="1" x14ac:dyDescent="0.25">
      <c r="A528" s="3" t="s">
        <v>21</v>
      </c>
      <c r="B528" s="3" t="s">
        <v>22</v>
      </c>
      <c r="C528" s="3" t="s">
        <v>23</v>
      </c>
      <c r="D528" s="3" t="s">
        <v>24</v>
      </c>
      <c r="E528" s="3" t="s">
        <v>29</v>
      </c>
      <c r="F528" s="3" t="s">
        <v>25</v>
      </c>
      <c r="G528" s="3" t="s">
        <v>25</v>
      </c>
      <c r="H528" s="3" t="s">
        <v>25</v>
      </c>
      <c r="I528" s="6">
        <v>44531</v>
      </c>
      <c r="J528" s="4">
        <v>0</v>
      </c>
      <c r="K528" s="4">
        <v>0</v>
      </c>
      <c r="L528" s="4">
        <v>11470.518</v>
      </c>
      <c r="M528" s="4">
        <v>11470.518</v>
      </c>
      <c r="N528" s="4">
        <v>11470.518</v>
      </c>
      <c r="O528" s="4">
        <v>11470.518</v>
      </c>
      <c r="P528" s="4">
        <v>47685</v>
      </c>
      <c r="Q528" s="3" t="s">
        <v>26</v>
      </c>
      <c r="R528" s="3">
        <v>0</v>
      </c>
      <c r="S528" s="3">
        <v>0</v>
      </c>
      <c r="T528" s="3">
        <v>14</v>
      </c>
      <c r="U528" s="3">
        <v>74</v>
      </c>
      <c r="V528" s="4">
        <f>IF(ISERROR(VLOOKUP($S$528,'TAR FIN'!$A$1:$O$99,15,0)),0,VLOOKUP($S$528,'TAR FIN'!$A$1:$O$99,15,0))</f>
        <v>0</v>
      </c>
      <c r="W528" s="4">
        <f>IF(ISERROR(VLOOKUP($T$528,'TAR FIN'!$A$1:$O$99,15,0)),0,VLOOKUP($T$528,'TAR FIN'!$A$1:$O$99,15,0))</f>
        <v>118.67</v>
      </c>
      <c r="X528" s="4">
        <f>IF(ISERROR(VLOOKUP($U$528,'TAR FIN'!$A$1:$O$99,15,0)),0,VLOOKUP($U$528,'TAR FIN'!$A$1:$O$99,15,0))</f>
        <v>80.680000000000007</v>
      </c>
      <c r="Y528" s="4"/>
      <c r="Z528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28" s="4">
        <f>('TE BE'!$AA$14+'TE BF'!$AA$14+'TE CVA'!$AA$14)*(1-CUSTOS!$M$34)</f>
        <v>99.354113072818848</v>
      </c>
      <c r="AB528" s="4">
        <f t="shared" si="22"/>
        <v>0</v>
      </c>
      <c r="AC528" s="4">
        <f>(L528-M528)*(W528+X528)+($W$557+$X$557-$W$528-$X$528)*(L528)</f>
        <v>4246844.5843200004</v>
      </c>
      <c r="AD528" s="4">
        <f t="shared" si="24"/>
        <v>0</v>
      </c>
      <c r="AE528" s="4">
        <f ca="1">(L528-M528)*(Z528+AA528)+($Z$557+$AA$557-$Z$528-$AA$528)*(L528)</f>
        <v>5090203.8817342678</v>
      </c>
      <c r="AF528" s="3" t="s">
        <v>955</v>
      </c>
    </row>
    <row r="529" spans="1:32" ht="11.25" customHeight="1" x14ac:dyDescent="0.25">
      <c r="A529" s="3" t="s">
        <v>21</v>
      </c>
      <c r="B529" s="3" t="s">
        <v>22</v>
      </c>
      <c r="C529" s="3" t="s">
        <v>23</v>
      </c>
      <c r="D529" s="3" t="s">
        <v>24</v>
      </c>
      <c r="E529" s="3" t="s">
        <v>29</v>
      </c>
      <c r="F529" s="3" t="s">
        <v>25</v>
      </c>
      <c r="G529" s="3" t="s">
        <v>25</v>
      </c>
      <c r="H529" s="3" t="s">
        <v>25</v>
      </c>
      <c r="I529" s="6">
        <v>44562</v>
      </c>
      <c r="J529" s="4">
        <v>0</v>
      </c>
      <c r="K529" s="4">
        <v>0</v>
      </c>
      <c r="L529" s="4">
        <v>12009.77</v>
      </c>
      <c r="M529" s="4">
        <v>12009.77</v>
      </c>
      <c r="N529" s="4">
        <v>12009.77</v>
      </c>
      <c r="O529" s="4">
        <v>12009.77</v>
      </c>
      <c r="P529" s="4">
        <v>51375</v>
      </c>
      <c r="Q529" s="3" t="s">
        <v>26</v>
      </c>
      <c r="R529" s="3">
        <v>0</v>
      </c>
      <c r="S529" s="3">
        <v>0</v>
      </c>
      <c r="T529" s="3">
        <v>14</v>
      </c>
      <c r="U529" s="3">
        <v>74</v>
      </c>
      <c r="V529" s="4">
        <f>IF(ISERROR(VLOOKUP($S$529,'TAR FIN'!$A$1:$O$99,15,0)),0,VLOOKUP($S$529,'TAR FIN'!$A$1:$O$99,15,0))</f>
        <v>0</v>
      </c>
      <c r="W529" s="4">
        <f>IF(ISERROR(VLOOKUP($T$529,'TAR FIN'!$A$1:$O$99,15,0)),0,VLOOKUP($T$529,'TAR FIN'!$A$1:$O$99,15,0))</f>
        <v>118.67</v>
      </c>
      <c r="X529" s="4">
        <f>IF(ISERROR(VLOOKUP($U$529,'TAR FIN'!$A$1:$O$99,15,0)),0,VLOOKUP($U$529,'TAR FIN'!$A$1:$O$99,15,0))</f>
        <v>80.680000000000007</v>
      </c>
      <c r="Y529" s="4"/>
      <c r="Z529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29" s="4">
        <f>('TE BE'!$AA$14+'TE BF'!$AA$14+'TE CVA'!$AA$14)*(1-CUSTOS!$M$34)</f>
        <v>99.354113072818848</v>
      </c>
      <c r="AB529" s="4">
        <f t="shared" si="22"/>
        <v>0</v>
      </c>
      <c r="AC529" s="4">
        <f>(L529-M529)*(W529+X529)+($W$557+$X$557-$W$529-$X$529)*(L529)</f>
        <v>4446497.2448000005</v>
      </c>
      <c r="AD529" s="4">
        <f t="shared" si="24"/>
        <v>0</v>
      </c>
      <c r="AE529" s="4">
        <f ca="1">(L529-M529)*(Z529+AA529)+($Z$557+$AA$557-$Z$529-$AA$529)*(L529)</f>
        <v>5329504.5500766188</v>
      </c>
      <c r="AF529" s="3" t="s">
        <v>955</v>
      </c>
    </row>
    <row r="530" spans="1:32" ht="11.25" customHeight="1" x14ac:dyDescent="0.25">
      <c r="A530" s="3" t="s">
        <v>21</v>
      </c>
      <c r="B530" s="3" t="s">
        <v>22</v>
      </c>
      <c r="C530" s="3" t="s">
        <v>23</v>
      </c>
      <c r="D530" s="3" t="s">
        <v>24</v>
      </c>
      <c r="E530" s="3" t="s">
        <v>29</v>
      </c>
      <c r="F530" s="3" t="s">
        <v>25</v>
      </c>
      <c r="G530" s="3" t="s">
        <v>25</v>
      </c>
      <c r="H530" s="3" t="s">
        <v>25</v>
      </c>
      <c r="I530" s="6">
        <v>44593</v>
      </c>
      <c r="J530" s="4">
        <v>0</v>
      </c>
      <c r="K530" s="4">
        <v>0</v>
      </c>
      <c r="L530" s="4">
        <v>11899.406999999999</v>
      </c>
      <c r="M530" s="4">
        <v>11899.406999999999</v>
      </c>
      <c r="N530" s="4">
        <v>11899.406999999999</v>
      </c>
      <c r="O530" s="4">
        <v>11899.406999999999</v>
      </c>
      <c r="P530" s="4">
        <v>51716</v>
      </c>
      <c r="Q530" s="3" t="s">
        <v>26</v>
      </c>
      <c r="R530" s="3">
        <v>0</v>
      </c>
      <c r="S530" s="3">
        <v>0</v>
      </c>
      <c r="T530" s="3">
        <v>14</v>
      </c>
      <c r="U530" s="3">
        <v>74</v>
      </c>
      <c r="V530" s="4">
        <f>IF(ISERROR(VLOOKUP($S$530,'TAR FIN'!$A$1:$O$99,15,0)),0,VLOOKUP($S$530,'TAR FIN'!$A$1:$O$99,15,0))</f>
        <v>0</v>
      </c>
      <c r="W530" s="4">
        <f>IF(ISERROR(VLOOKUP($T$530,'TAR FIN'!$A$1:$O$99,15,0)),0,VLOOKUP($T$530,'TAR FIN'!$A$1:$O$99,15,0))</f>
        <v>118.67</v>
      </c>
      <c r="X530" s="4">
        <f>IF(ISERROR(VLOOKUP($U$530,'TAR FIN'!$A$1:$O$99,15,0)),0,VLOOKUP($U$530,'TAR FIN'!$A$1:$O$99,15,0))</f>
        <v>80.680000000000007</v>
      </c>
      <c r="Y530" s="4"/>
      <c r="Z530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30" s="4">
        <f>('TE BE'!$AA$14+'TE BF'!$AA$14+'TE CVA'!$AA$14)*(1-CUSTOS!$M$34)</f>
        <v>99.354113072818848</v>
      </c>
      <c r="AB530" s="4">
        <f t="shared" si="22"/>
        <v>0</v>
      </c>
      <c r="AC530" s="4">
        <f>(L530-M530)*(W530+X530)+($W$557+$X$557-$W$530-$X$530)*(L530)</f>
        <v>4405636.4476800002</v>
      </c>
      <c r="AD530" s="4">
        <f t="shared" si="24"/>
        <v>0</v>
      </c>
      <c r="AE530" s="4">
        <f ca="1">(L530-M530)*(Z530+AA530)+($Z$557+$AA$557-$Z$530-$AA$530)*(L530)</f>
        <v>5280529.4147775993</v>
      </c>
      <c r="AF530" s="3" t="s">
        <v>955</v>
      </c>
    </row>
    <row r="531" spans="1:32" ht="11.25" customHeight="1" x14ac:dyDescent="0.25">
      <c r="A531" s="3" t="s">
        <v>21</v>
      </c>
      <c r="B531" s="3" t="s">
        <v>22</v>
      </c>
      <c r="C531" s="3" t="s">
        <v>23</v>
      </c>
      <c r="D531" s="3" t="s">
        <v>24</v>
      </c>
      <c r="E531" s="3" t="s">
        <v>29</v>
      </c>
      <c r="F531" s="3" t="s">
        <v>25</v>
      </c>
      <c r="G531" s="3" t="s">
        <v>25</v>
      </c>
      <c r="H531" s="3" t="s">
        <v>25</v>
      </c>
      <c r="I531" s="6">
        <v>44621</v>
      </c>
      <c r="J531" s="4">
        <v>0</v>
      </c>
      <c r="K531" s="4">
        <v>0</v>
      </c>
      <c r="L531" s="4">
        <v>11920.166999999999</v>
      </c>
      <c r="M531" s="4">
        <v>11920.166999999999</v>
      </c>
      <c r="N531" s="4">
        <v>11920.166999999999</v>
      </c>
      <c r="O531" s="4">
        <v>11920.166999999999</v>
      </c>
      <c r="P531" s="4">
        <v>48796</v>
      </c>
      <c r="Q531" s="3" t="s">
        <v>26</v>
      </c>
      <c r="R531" s="3">
        <v>0</v>
      </c>
      <c r="S531" s="3">
        <v>0</v>
      </c>
      <c r="T531" s="3">
        <v>14</v>
      </c>
      <c r="U531" s="3">
        <v>74</v>
      </c>
      <c r="V531" s="4">
        <f>IF(ISERROR(VLOOKUP($S$531,'TAR FIN'!$A$1:$O$99,15,0)),0,VLOOKUP($S$531,'TAR FIN'!$A$1:$O$99,15,0))</f>
        <v>0</v>
      </c>
      <c r="W531" s="4">
        <f>IF(ISERROR(VLOOKUP($T$531,'TAR FIN'!$A$1:$O$99,15,0)),0,VLOOKUP($T$531,'TAR FIN'!$A$1:$O$99,15,0))</f>
        <v>118.67</v>
      </c>
      <c r="X531" s="4">
        <f>IF(ISERROR(VLOOKUP($U$531,'TAR FIN'!$A$1:$O$99,15,0)),0,VLOOKUP($U$531,'TAR FIN'!$A$1:$O$99,15,0))</f>
        <v>80.680000000000007</v>
      </c>
      <c r="Y531" s="4"/>
      <c r="Z531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31" s="4">
        <f>('TE BE'!$AA$14+'TE BF'!$AA$14+'TE CVA'!$AA$14)*(1-CUSTOS!$M$34)</f>
        <v>99.354113072818848</v>
      </c>
      <c r="AB531" s="4">
        <f t="shared" si="22"/>
        <v>0</v>
      </c>
      <c r="AC531" s="4">
        <f>(L531-M531)*(W531+X531)+($W$557+$X$557-$W$531-$X$531)*(L531)</f>
        <v>4413322.6300799996</v>
      </c>
      <c r="AD531" s="4">
        <f t="shared" si="24"/>
        <v>0</v>
      </c>
      <c r="AE531" s="4">
        <f ca="1">(L531-M531)*(Z531+AA531)+($Z$557+$AA$557-$Z$531-$AA$531)*(L531)</f>
        <v>5289741.9571043542</v>
      </c>
      <c r="AF531" s="3" t="s">
        <v>955</v>
      </c>
    </row>
    <row r="532" spans="1:32" ht="11.25" customHeight="1" x14ac:dyDescent="0.25">
      <c r="A532" s="3" t="s">
        <v>56</v>
      </c>
      <c r="B532" s="3" t="s">
        <v>22</v>
      </c>
      <c r="C532" s="3" t="s">
        <v>23</v>
      </c>
      <c r="D532" s="3" t="s">
        <v>24</v>
      </c>
      <c r="E532" s="3" t="s">
        <v>29</v>
      </c>
      <c r="F532" s="3" t="s">
        <v>25</v>
      </c>
      <c r="G532" s="3" t="s">
        <v>25</v>
      </c>
      <c r="H532" s="3" t="s">
        <v>25</v>
      </c>
      <c r="I532" s="6">
        <v>44652</v>
      </c>
      <c r="J532" s="4">
        <v>0</v>
      </c>
      <c r="K532" s="4">
        <v>0</v>
      </c>
      <c r="L532" s="4">
        <v>11920.166999999999</v>
      </c>
      <c r="M532" s="4">
        <v>11920.166999999999</v>
      </c>
      <c r="N532" s="4">
        <v>11920.166999999999</v>
      </c>
      <c r="O532" s="4">
        <v>11920.166999999999</v>
      </c>
      <c r="P532" s="4">
        <v>48796</v>
      </c>
      <c r="Q532" s="3" t="s">
        <v>26</v>
      </c>
      <c r="R532" s="3">
        <v>0</v>
      </c>
      <c r="S532" s="3">
        <v>0</v>
      </c>
      <c r="T532" s="3">
        <v>14</v>
      </c>
      <c r="U532" s="3">
        <v>74</v>
      </c>
      <c r="V532" s="4">
        <f>IF(ISERROR(VLOOKUP($S$532,'TAR FIN'!$A$1:$O$99,15,0)),0,VLOOKUP($S$532,'TAR FIN'!$A$1:$O$99,15,0))</f>
        <v>0</v>
      </c>
      <c r="W532" s="4">
        <f>IF(ISERROR(VLOOKUP($T$532,'TAR FIN'!$A$1:$O$99,15,0)),0,VLOOKUP($T$532,'TAR FIN'!$A$1:$O$99,15,0))</f>
        <v>118.67</v>
      </c>
      <c r="X532" s="4">
        <f>IF(ISERROR(VLOOKUP($U$532,'TAR FIN'!$A$1:$O$99,15,0)),0,VLOOKUP($U$532,'TAR FIN'!$A$1:$O$99,15,0))</f>
        <v>80.680000000000007</v>
      </c>
      <c r="Y532" s="4"/>
      <c r="Z532" s="4">
        <f ca="1">('TUSD BE'!$AM$32+'TUSD BF'!$AM$32+'TUSD CVA'!$AM$32-('TUSD BE'!$P$32+'TUSD BF'!$P$32+'TUSD CVA'!$P$32)-('TUSD BE'!$Q$32+'TUSD BF'!$Q$32+'TUSD CVA'!$Q$32)-('TUSD BE'!$R$32+'TUSD BF'!$R$32+'TUSD CVA'!$R$32))*(1-CUSTOS!$M$34)</f>
        <v>139.59577683115313</v>
      </c>
      <c r="AA532" s="4">
        <f>('TE BE'!$AA$14+'TE BF'!$AA$14+'TE CVA'!$AA$14)*(1-CUSTOS!$M$34)</f>
        <v>99.354113072818848</v>
      </c>
      <c r="AB532" s="4">
        <f t="shared" si="22"/>
        <v>0</v>
      </c>
      <c r="AC532" s="4">
        <f>(L532-M532)*(W532+X532)+($W$557+$X$557-$W$532-$X$532)*(L532)</f>
        <v>4413322.6300799996</v>
      </c>
      <c r="AD532" s="4">
        <f t="shared" si="24"/>
        <v>0</v>
      </c>
      <c r="AE532" s="4">
        <f ca="1">(L532-M532)*(Z532+AA532)+($Z$557+$AA$557-$Z$532-$AA$532)*(L532)</f>
        <v>5289741.9571043542</v>
      </c>
      <c r="AF532" s="3" t="s">
        <v>955</v>
      </c>
    </row>
    <row r="533" spans="1:32" ht="11.25" customHeight="1" x14ac:dyDescent="0.25">
      <c r="A533" s="3" t="s">
        <v>21</v>
      </c>
      <c r="B533" s="3" t="s">
        <v>22</v>
      </c>
      <c r="C533" s="3" t="s">
        <v>23</v>
      </c>
      <c r="D533" s="3" t="s">
        <v>24</v>
      </c>
      <c r="E533" s="3" t="s">
        <v>30</v>
      </c>
      <c r="F533" s="3" t="s">
        <v>25</v>
      </c>
      <c r="G533" s="3" t="s">
        <v>25</v>
      </c>
      <c r="H533" s="3" t="s">
        <v>25</v>
      </c>
      <c r="I533" s="6">
        <v>44317</v>
      </c>
      <c r="J533" s="4">
        <v>0</v>
      </c>
      <c r="K533" s="4">
        <v>0</v>
      </c>
      <c r="L533" s="4">
        <v>16077.365</v>
      </c>
      <c r="M533" s="4">
        <v>16077.365</v>
      </c>
      <c r="N533" s="4">
        <v>16077.365</v>
      </c>
      <c r="O533" s="4">
        <v>16077.365</v>
      </c>
      <c r="P533" s="4">
        <v>170033</v>
      </c>
      <c r="Q533" s="3" t="s">
        <v>26</v>
      </c>
      <c r="R533" s="3">
        <v>0</v>
      </c>
      <c r="S533" s="3">
        <v>0</v>
      </c>
      <c r="T533" s="3">
        <v>15</v>
      </c>
      <c r="U533" s="3">
        <v>75</v>
      </c>
      <c r="V533" s="4">
        <f>IF(ISERROR(VLOOKUP($S$533,'TAR FIN'!$A$1:$O$99,15,0)),0,VLOOKUP($S$533,'TAR FIN'!$A$1:$O$99,15,0))</f>
        <v>0</v>
      </c>
      <c r="W533" s="4">
        <f>IF(ISERROR(VLOOKUP($T$533,'TAR FIN'!$A$1:$O$99,15,0)),0,VLOOKUP($T$533,'TAR FIN'!$A$1:$O$99,15,0))</f>
        <v>203.44</v>
      </c>
      <c r="X533" s="4">
        <f>IF(ISERROR(VLOOKUP($U$533,'TAR FIN'!$A$1:$O$99,15,0)),0,VLOOKUP($U$533,'TAR FIN'!$A$1:$O$99,15,0))</f>
        <v>138.32</v>
      </c>
      <c r="Y533" s="4"/>
      <c r="Z533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33" s="4">
        <f>('TE BE'!$AA$15+'TE BF'!$AA$15+'TE CVA'!$AA$15)*(1-CUSTOS!$M$35)</f>
        <v>170.32133669626089</v>
      </c>
      <c r="AB533" s="4">
        <f t="shared" si="22"/>
        <v>0</v>
      </c>
      <c r="AC533" s="4">
        <f>(L533-M533)*(W533+X533)+($W$557+$X$557-$W$533-$X$533)*(L533)</f>
        <v>3662906.0679500005</v>
      </c>
      <c r="AD533" s="4">
        <f t="shared" si="24"/>
        <v>0</v>
      </c>
      <c r="AE533" s="4">
        <f ca="1">(L533-M533)*(Z533+AA533)+($Z$557+$AA$557-$Z$533-$AA$533)*(L533)</f>
        <v>4390496.6819382543</v>
      </c>
      <c r="AF533" s="3" t="s">
        <v>955</v>
      </c>
    </row>
    <row r="534" spans="1:32" ht="11.25" customHeight="1" x14ac:dyDescent="0.25">
      <c r="A534" s="3" t="s">
        <v>21</v>
      </c>
      <c r="B534" s="3" t="s">
        <v>22</v>
      </c>
      <c r="C534" s="3" t="s">
        <v>23</v>
      </c>
      <c r="D534" s="3" t="s">
        <v>24</v>
      </c>
      <c r="E534" s="3" t="s">
        <v>30</v>
      </c>
      <c r="F534" s="3" t="s">
        <v>25</v>
      </c>
      <c r="G534" s="3" t="s">
        <v>25</v>
      </c>
      <c r="H534" s="3" t="s">
        <v>25</v>
      </c>
      <c r="I534" s="6">
        <v>44348</v>
      </c>
      <c r="J534" s="4">
        <v>0</v>
      </c>
      <c r="K534" s="4">
        <v>0</v>
      </c>
      <c r="L534" s="4">
        <v>15612.285</v>
      </c>
      <c r="M534" s="4">
        <v>15612.285</v>
      </c>
      <c r="N534" s="4">
        <v>15612.285</v>
      </c>
      <c r="O534" s="4">
        <v>15612.285</v>
      </c>
      <c r="P534" s="4">
        <v>181675</v>
      </c>
      <c r="Q534" s="3" t="s">
        <v>26</v>
      </c>
      <c r="R534" s="3">
        <v>0</v>
      </c>
      <c r="S534" s="3">
        <v>0</v>
      </c>
      <c r="T534" s="3">
        <v>15</v>
      </c>
      <c r="U534" s="3">
        <v>75</v>
      </c>
      <c r="V534" s="4">
        <f>IF(ISERROR(VLOOKUP($S$534,'TAR FIN'!$A$1:$O$99,15,0)),0,VLOOKUP($S$534,'TAR FIN'!$A$1:$O$99,15,0))</f>
        <v>0</v>
      </c>
      <c r="W534" s="4">
        <f>IF(ISERROR(VLOOKUP($T$534,'TAR FIN'!$A$1:$O$99,15,0)),0,VLOOKUP($T$534,'TAR FIN'!$A$1:$O$99,15,0))</f>
        <v>203.44</v>
      </c>
      <c r="X534" s="4">
        <f>IF(ISERROR(VLOOKUP($U$534,'TAR FIN'!$A$1:$O$99,15,0)),0,VLOOKUP($U$534,'TAR FIN'!$A$1:$O$99,15,0))</f>
        <v>138.32</v>
      </c>
      <c r="Y534" s="4"/>
      <c r="Z534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34" s="4">
        <f>('TE BE'!$AA$15+'TE BF'!$AA$15+'TE CVA'!$AA$15)*(1-CUSTOS!$M$35)</f>
        <v>170.32133669626089</v>
      </c>
      <c r="AB534" s="4">
        <f t="shared" si="22"/>
        <v>0</v>
      </c>
      <c r="AC534" s="4">
        <f>(L534-M534)*(W534+X534)+($W$557+$X$557-$W$534-$X$534)*(L534)</f>
        <v>3556946.8915500008</v>
      </c>
      <c r="AD534" s="4">
        <f t="shared" si="24"/>
        <v>0</v>
      </c>
      <c r="AE534" s="4">
        <f ca="1">(L534-M534)*(Z534+AA534)+($Z$557+$AA$557-$Z$534-$AA$534)*(L534)</f>
        <v>4263490.0364564955</v>
      </c>
      <c r="AF534" s="3" t="s">
        <v>955</v>
      </c>
    </row>
    <row r="535" spans="1:32" ht="11.25" customHeight="1" x14ac:dyDescent="0.25">
      <c r="A535" s="3" t="s">
        <v>21</v>
      </c>
      <c r="B535" s="3" t="s">
        <v>22</v>
      </c>
      <c r="C535" s="3" t="s">
        <v>23</v>
      </c>
      <c r="D535" s="3" t="s">
        <v>24</v>
      </c>
      <c r="E535" s="3" t="s">
        <v>30</v>
      </c>
      <c r="F535" s="3" t="s">
        <v>25</v>
      </c>
      <c r="G535" s="3" t="s">
        <v>25</v>
      </c>
      <c r="H535" s="3" t="s">
        <v>25</v>
      </c>
      <c r="I535" s="6">
        <v>44378</v>
      </c>
      <c r="J535" s="4">
        <v>0</v>
      </c>
      <c r="K535" s="4">
        <v>0</v>
      </c>
      <c r="L535" s="4">
        <v>14934.215</v>
      </c>
      <c r="M535" s="4">
        <v>14934.215</v>
      </c>
      <c r="N535" s="4">
        <v>14934.215</v>
      </c>
      <c r="O535" s="4">
        <v>14934.215</v>
      </c>
      <c r="P535" s="4">
        <v>197966</v>
      </c>
      <c r="Q535" s="3" t="s">
        <v>26</v>
      </c>
      <c r="R535" s="3">
        <v>0</v>
      </c>
      <c r="S535" s="3">
        <v>0</v>
      </c>
      <c r="T535" s="3">
        <v>15</v>
      </c>
      <c r="U535" s="3">
        <v>75</v>
      </c>
      <c r="V535" s="4">
        <f>IF(ISERROR(VLOOKUP($S$535,'TAR FIN'!$A$1:$O$99,15,0)),0,VLOOKUP($S$535,'TAR FIN'!$A$1:$O$99,15,0))</f>
        <v>0</v>
      </c>
      <c r="W535" s="4">
        <f>IF(ISERROR(VLOOKUP($T$535,'TAR FIN'!$A$1:$O$99,15,0)),0,VLOOKUP($T$535,'TAR FIN'!$A$1:$O$99,15,0))</f>
        <v>203.44</v>
      </c>
      <c r="X535" s="4">
        <f>IF(ISERROR(VLOOKUP($U$535,'TAR FIN'!$A$1:$O$99,15,0)),0,VLOOKUP($U$535,'TAR FIN'!$A$1:$O$99,15,0))</f>
        <v>138.32</v>
      </c>
      <c r="Y535" s="4"/>
      <c r="Z535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35" s="4">
        <f>('TE BE'!$AA$15+'TE BF'!$AA$15+'TE CVA'!$AA$15)*(1-CUSTOS!$M$35)</f>
        <v>170.32133669626089</v>
      </c>
      <c r="AB535" s="4">
        <f t="shared" si="22"/>
        <v>0</v>
      </c>
      <c r="AC535" s="4">
        <f>(L535-M535)*(W535+X535)+($W$557+$X$557-$W$535-$X$535)*(L535)</f>
        <v>3402462.2034500008</v>
      </c>
      <c r="AD535" s="4">
        <f t="shared" si="24"/>
        <v>0</v>
      </c>
      <c r="AE535" s="4">
        <f ca="1">(L535-M535)*(Z535+AA535)+($Z$557+$AA$557-$Z$535-$AA$535)*(L535)</f>
        <v>4078318.8914882825</v>
      </c>
      <c r="AF535" s="3" t="s">
        <v>955</v>
      </c>
    </row>
    <row r="536" spans="1:32" ht="11.25" customHeight="1" x14ac:dyDescent="0.25">
      <c r="A536" s="3" t="s">
        <v>21</v>
      </c>
      <c r="B536" s="3" t="s">
        <v>22</v>
      </c>
      <c r="C536" s="3" t="s">
        <v>23</v>
      </c>
      <c r="D536" s="3" t="s">
        <v>24</v>
      </c>
      <c r="E536" s="3" t="s">
        <v>30</v>
      </c>
      <c r="F536" s="3" t="s">
        <v>25</v>
      </c>
      <c r="G536" s="3" t="s">
        <v>25</v>
      </c>
      <c r="H536" s="3" t="s">
        <v>25</v>
      </c>
      <c r="I536" s="6">
        <v>44409</v>
      </c>
      <c r="J536" s="4">
        <v>0</v>
      </c>
      <c r="K536" s="4">
        <v>0</v>
      </c>
      <c r="L536" s="4">
        <v>14767.232</v>
      </c>
      <c r="M536" s="4">
        <v>14767.232</v>
      </c>
      <c r="N536" s="4">
        <v>14767.232</v>
      </c>
      <c r="O536" s="4">
        <v>14767.232</v>
      </c>
      <c r="P536" s="4">
        <v>205798</v>
      </c>
      <c r="Q536" s="3" t="s">
        <v>26</v>
      </c>
      <c r="R536" s="3">
        <v>0</v>
      </c>
      <c r="S536" s="3">
        <v>0</v>
      </c>
      <c r="T536" s="3">
        <v>15</v>
      </c>
      <c r="U536" s="3">
        <v>75</v>
      </c>
      <c r="V536" s="4">
        <f>IF(ISERROR(VLOOKUP($S$536,'TAR FIN'!$A$1:$O$99,15,0)),0,VLOOKUP($S$536,'TAR FIN'!$A$1:$O$99,15,0))</f>
        <v>0</v>
      </c>
      <c r="W536" s="4">
        <f>IF(ISERROR(VLOOKUP($T$536,'TAR FIN'!$A$1:$O$99,15,0)),0,VLOOKUP($T$536,'TAR FIN'!$A$1:$O$99,15,0))</f>
        <v>203.44</v>
      </c>
      <c r="X536" s="4">
        <f>IF(ISERROR(VLOOKUP($U$536,'TAR FIN'!$A$1:$O$99,15,0)),0,VLOOKUP($U$536,'TAR FIN'!$A$1:$O$99,15,0))</f>
        <v>138.32</v>
      </c>
      <c r="Y536" s="4"/>
      <c r="Z536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36" s="4">
        <f>('TE BE'!$AA$15+'TE BF'!$AA$15+'TE CVA'!$AA$15)*(1-CUSTOS!$M$35)</f>
        <v>170.32133669626089</v>
      </c>
      <c r="AB536" s="4">
        <f t="shared" si="22"/>
        <v>0</v>
      </c>
      <c r="AC536" s="4">
        <f>(L536-M536)*(W536+X536)+($W$557+$X$557-$W$536-$X$536)*(L536)</f>
        <v>3364418.4665600006</v>
      </c>
      <c r="AD536" s="4">
        <f t="shared" si="24"/>
        <v>0</v>
      </c>
      <c r="AE536" s="4">
        <f ca="1">(L536-M536)*(Z536+AA536)+($Z$557+$AA$557-$Z$536-$AA$536)*(L536)</f>
        <v>4032718.2406701851</v>
      </c>
      <c r="AF536" s="3" t="s">
        <v>955</v>
      </c>
    </row>
    <row r="537" spans="1:32" ht="11.25" customHeight="1" x14ac:dyDescent="0.25">
      <c r="A537" s="3" t="s">
        <v>21</v>
      </c>
      <c r="B537" s="3" t="s">
        <v>22</v>
      </c>
      <c r="C537" s="3" t="s">
        <v>23</v>
      </c>
      <c r="D537" s="3" t="s">
        <v>24</v>
      </c>
      <c r="E537" s="3" t="s">
        <v>30</v>
      </c>
      <c r="F537" s="3" t="s">
        <v>25</v>
      </c>
      <c r="G537" s="3" t="s">
        <v>25</v>
      </c>
      <c r="H537" s="3" t="s">
        <v>25</v>
      </c>
      <c r="I537" s="6">
        <v>44440</v>
      </c>
      <c r="J537" s="4">
        <v>0</v>
      </c>
      <c r="K537" s="4">
        <v>0</v>
      </c>
      <c r="L537" s="4">
        <v>15543.1</v>
      </c>
      <c r="M537" s="4">
        <v>15543.1</v>
      </c>
      <c r="N537" s="4">
        <v>15543.1</v>
      </c>
      <c r="O537" s="4">
        <v>15543.1</v>
      </c>
      <c r="P537" s="4">
        <v>197336</v>
      </c>
      <c r="Q537" s="3" t="s">
        <v>26</v>
      </c>
      <c r="R537" s="3">
        <v>0</v>
      </c>
      <c r="S537" s="3">
        <v>0</v>
      </c>
      <c r="T537" s="3">
        <v>15</v>
      </c>
      <c r="U537" s="3">
        <v>75</v>
      </c>
      <c r="V537" s="4">
        <f>IF(ISERROR(VLOOKUP($S$537,'TAR FIN'!$A$1:$O$99,15,0)),0,VLOOKUP($S$537,'TAR FIN'!$A$1:$O$99,15,0))</f>
        <v>0</v>
      </c>
      <c r="W537" s="4">
        <f>IF(ISERROR(VLOOKUP($T$537,'TAR FIN'!$A$1:$O$99,15,0)),0,VLOOKUP($T$537,'TAR FIN'!$A$1:$O$99,15,0))</f>
        <v>203.44</v>
      </c>
      <c r="X537" s="4">
        <f>IF(ISERROR(VLOOKUP($U$537,'TAR FIN'!$A$1:$O$99,15,0)),0,VLOOKUP($U$537,'TAR FIN'!$A$1:$O$99,15,0))</f>
        <v>138.32</v>
      </c>
      <c r="Y537" s="4"/>
      <c r="Z537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37" s="4">
        <f>('TE BE'!$AA$15+'TE BF'!$AA$15+'TE CVA'!$AA$15)*(1-CUSTOS!$M$35)</f>
        <v>170.32133669626089</v>
      </c>
      <c r="AB537" s="4">
        <f t="shared" si="22"/>
        <v>0</v>
      </c>
      <c r="AC537" s="4">
        <f>(L537-M537)*(W537+X537)+($W$557+$X$557-$W$537-$X$537)*(L537)</f>
        <v>3541184.4730000007</v>
      </c>
      <c r="AD537" s="4">
        <f t="shared" si="24"/>
        <v>0</v>
      </c>
      <c r="AE537" s="4">
        <f ca="1">(L537-M537)*(Z537+AA537)+($Z$557+$AA$557-$Z$537-$AA$537)*(L537)</f>
        <v>4244596.6100187739</v>
      </c>
      <c r="AF537" s="3" t="s">
        <v>955</v>
      </c>
    </row>
    <row r="538" spans="1:32" ht="11.25" customHeight="1" x14ac:dyDescent="0.25">
      <c r="A538" s="3" t="s">
        <v>21</v>
      </c>
      <c r="B538" s="3" t="s">
        <v>22</v>
      </c>
      <c r="C538" s="3" t="s">
        <v>23</v>
      </c>
      <c r="D538" s="3" t="s">
        <v>24</v>
      </c>
      <c r="E538" s="3" t="s">
        <v>30</v>
      </c>
      <c r="F538" s="3" t="s">
        <v>25</v>
      </c>
      <c r="G538" s="3" t="s">
        <v>25</v>
      </c>
      <c r="H538" s="3" t="s">
        <v>25</v>
      </c>
      <c r="I538" s="6">
        <v>44470</v>
      </c>
      <c r="J538" s="4">
        <v>0</v>
      </c>
      <c r="K538" s="4">
        <v>0</v>
      </c>
      <c r="L538" s="4">
        <v>16294.031000000001</v>
      </c>
      <c r="M538" s="4">
        <v>16294.031000000001</v>
      </c>
      <c r="N538" s="4">
        <v>16294.031000000001</v>
      </c>
      <c r="O538" s="4">
        <v>16294.031000000001</v>
      </c>
      <c r="P538" s="4">
        <v>184733</v>
      </c>
      <c r="Q538" s="3" t="s">
        <v>26</v>
      </c>
      <c r="R538" s="3">
        <v>0</v>
      </c>
      <c r="S538" s="3">
        <v>0</v>
      </c>
      <c r="T538" s="3">
        <v>15</v>
      </c>
      <c r="U538" s="3">
        <v>75</v>
      </c>
      <c r="V538" s="4">
        <f>IF(ISERROR(VLOOKUP($S$538,'TAR FIN'!$A$1:$O$99,15,0)),0,VLOOKUP($S$538,'TAR FIN'!$A$1:$O$99,15,0))</f>
        <v>0</v>
      </c>
      <c r="W538" s="4">
        <f>IF(ISERROR(VLOOKUP($T$538,'TAR FIN'!$A$1:$O$99,15,0)),0,VLOOKUP($T$538,'TAR FIN'!$A$1:$O$99,15,0))</f>
        <v>203.44</v>
      </c>
      <c r="X538" s="4">
        <f>IF(ISERROR(VLOOKUP($U$538,'TAR FIN'!$A$1:$O$99,15,0)),0,VLOOKUP($U$538,'TAR FIN'!$A$1:$O$99,15,0))</f>
        <v>138.32</v>
      </c>
      <c r="Y538" s="4"/>
      <c r="Z538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38" s="4">
        <f>('TE BE'!$AA$15+'TE BF'!$AA$15+'TE CVA'!$AA$15)*(1-CUSTOS!$M$35)</f>
        <v>170.32133669626089</v>
      </c>
      <c r="AB538" s="4">
        <f t="shared" si="22"/>
        <v>0</v>
      </c>
      <c r="AC538" s="4">
        <f>(L538-M538)*(W538+X538)+($W$557+$X$557-$W$538-$X$538)*(L538)</f>
        <v>3712269.0827300008</v>
      </c>
      <c r="AD538" s="4">
        <f t="shared" si="24"/>
        <v>0</v>
      </c>
      <c r="AE538" s="4">
        <f ca="1">(L538-M538)*(Z538+AA538)+($Z$557+$AA$557-$Z$538-$AA$538)*(L538)</f>
        <v>4449665.044047894</v>
      </c>
      <c r="AF538" s="3" t="s">
        <v>955</v>
      </c>
    </row>
    <row r="539" spans="1:32" ht="11.25" customHeight="1" x14ac:dyDescent="0.25">
      <c r="A539" s="3" t="s">
        <v>21</v>
      </c>
      <c r="B539" s="3" t="s">
        <v>22</v>
      </c>
      <c r="C539" s="3" t="s">
        <v>23</v>
      </c>
      <c r="D539" s="3" t="s">
        <v>24</v>
      </c>
      <c r="E539" s="3" t="s">
        <v>30</v>
      </c>
      <c r="F539" s="3" t="s">
        <v>25</v>
      </c>
      <c r="G539" s="3" t="s">
        <v>25</v>
      </c>
      <c r="H539" s="3" t="s">
        <v>25</v>
      </c>
      <c r="I539" s="6">
        <v>44501</v>
      </c>
      <c r="J539" s="4">
        <v>0</v>
      </c>
      <c r="K539" s="4">
        <v>0</v>
      </c>
      <c r="L539" s="4">
        <v>17100.547999999999</v>
      </c>
      <c r="M539" s="4">
        <v>17100.547999999999</v>
      </c>
      <c r="N539" s="4">
        <v>17100.547999999999</v>
      </c>
      <c r="O539" s="4">
        <v>17100.547999999999</v>
      </c>
      <c r="P539" s="4">
        <v>172211</v>
      </c>
      <c r="Q539" s="3" t="s">
        <v>26</v>
      </c>
      <c r="R539" s="3">
        <v>0</v>
      </c>
      <c r="S539" s="3">
        <v>0</v>
      </c>
      <c r="T539" s="3">
        <v>15</v>
      </c>
      <c r="U539" s="3">
        <v>75</v>
      </c>
      <c r="V539" s="4">
        <f>IF(ISERROR(VLOOKUP($S$539,'TAR FIN'!$A$1:$O$99,15,0)),0,VLOOKUP($S$539,'TAR FIN'!$A$1:$O$99,15,0))</f>
        <v>0</v>
      </c>
      <c r="W539" s="4">
        <f>IF(ISERROR(VLOOKUP($T$539,'TAR FIN'!$A$1:$O$99,15,0)),0,VLOOKUP($T$539,'TAR FIN'!$A$1:$O$99,15,0))</f>
        <v>203.44</v>
      </c>
      <c r="X539" s="4">
        <f>IF(ISERROR(VLOOKUP($U$539,'TAR FIN'!$A$1:$O$99,15,0)),0,VLOOKUP($U$539,'TAR FIN'!$A$1:$O$99,15,0))</f>
        <v>138.32</v>
      </c>
      <c r="Y539" s="4"/>
      <c r="Z539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39" s="4">
        <f>('TE BE'!$AA$15+'TE BF'!$AA$15+'TE CVA'!$AA$15)*(1-CUSTOS!$M$35)</f>
        <v>170.32133669626089</v>
      </c>
      <c r="AB539" s="4">
        <f t="shared" si="22"/>
        <v>0</v>
      </c>
      <c r="AC539" s="4">
        <f>(L539-M539)*(W539+X539)+($W$557+$X$557-$W$539-$X$539)*(L539)</f>
        <v>3896017.8508400004</v>
      </c>
      <c r="AD539" s="4">
        <f t="shared" si="24"/>
        <v>0</v>
      </c>
      <c r="AE539" s="4">
        <f ca="1">(L539-M539)*(Z539+AA539)+($Z$557+$AA$557-$Z$539-$AA$539)*(L539)</f>
        <v>4669913.2135972437</v>
      </c>
      <c r="AF539" s="3" t="s">
        <v>955</v>
      </c>
    </row>
    <row r="540" spans="1:32" ht="11.25" customHeight="1" x14ac:dyDescent="0.25">
      <c r="A540" s="3" t="s">
        <v>21</v>
      </c>
      <c r="B540" s="3" t="s">
        <v>22</v>
      </c>
      <c r="C540" s="3" t="s">
        <v>23</v>
      </c>
      <c r="D540" s="3" t="s">
        <v>24</v>
      </c>
      <c r="E540" s="3" t="s">
        <v>30</v>
      </c>
      <c r="F540" s="3" t="s">
        <v>25</v>
      </c>
      <c r="G540" s="3" t="s">
        <v>25</v>
      </c>
      <c r="H540" s="3" t="s">
        <v>25</v>
      </c>
      <c r="I540" s="6">
        <v>44531</v>
      </c>
      <c r="J540" s="4">
        <v>0</v>
      </c>
      <c r="K540" s="4">
        <v>0</v>
      </c>
      <c r="L540" s="4">
        <v>18353.892</v>
      </c>
      <c r="M540" s="4">
        <v>18353.892</v>
      </c>
      <c r="N540" s="4">
        <v>18353.892</v>
      </c>
      <c r="O540" s="4">
        <v>18353.892</v>
      </c>
      <c r="P540" s="4">
        <v>173327</v>
      </c>
      <c r="Q540" s="3" t="s">
        <v>26</v>
      </c>
      <c r="R540" s="3">
        <v>0</v>
      </c>
      <c r="S540" s="3">
        <v>0</v>
      </c>
      <c r="T540" s="3">
        <v>15</v>
      </c>
      <c r="U540" s="3">
        <v>75</v>
      </c>
      <c r="V540" s="4">
        <f>IF(ISERROR(VLOOKUP($S$540,'TAR FIN'!$A$1:$O$99,15,0)),0,VLOOKUP($S$540,'TAR FIN'!$A$1:$O$99,15,0))</f>
        <v>0</v>
      </c>
      <c r="W540" s="4">
        <f>IF(ISERROR(VLOOKUP($T$540,'TAR FIN'!$A$1:$O$99,15,0)),0,VLOOKUP($T$540,'TAR FIN'!$A$1:$O$99,15,0))</f>
        <v>203.44</v>
      </c>
      <c r="X540" s="4">
        <f>IF(ISERROR(VLOOKUP($U$540,'TAR FIN'!$A$1:$O$99,15,0)),0,VLOOKUP($U$540,'TAR FIN'!$A$1:$O$99,15,0))</f>
        <v>138.32</v>
      </c>
      <c r="Y540" s="4"/>
      <c r="Z540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40" s="4">
        <f>('TE BE'!$AA$15+'TE BF'!$AA$15+'TE CVA'!$AA$15)*(1-CUSTOS!$M$35)</f>
        <v>170.32133669626089</v>
      </c>
      <c r="AB540" s="4">
        <f t="shared" si="22"/>
        <v>0</v>
      </c>
      <c r="AC540" s="4">
        <f>(L540-M540)*(W540+X540)+($W$557+$X$557-$W$540-$X$540)*(L540)</f>
        <v>4181567.2143600006</v>
      </c>
      <c r="AD540" s="4">
        <f t="shared" si="24"/>
        <v>0</v>
      </c>
      <c r="AE540" s="4">
        <f ca="1">(L540-M540)*(Z540+AA540)+($Z$557+$AA$557-$Z$540-$AA$540)*(L540)</f>
        <v>5012183.3973821625</v>
      </c>
      <c r="AF540" s="3" t="s">
        <v>955</v>
      </c>
    </row>
    <row r="541" spans="1:32" ht="11.25" customHeight="1" x14ac:dyDescent="0.25">
      <c r="A541" s="3" t="s">
        <v>21</v>
      </c>
      <c r="B541" s="3" t="s">
        <v>22</v>
      </c>
      <c r="C541" s="3" t="s">
        <v>23</v>
      </c>
      <c r="D541" s="3" t="s">
        <v>24</v>
      </c>
      <c r="E541" s="3" t="s">
        <v>30</v>
      </c>
      <c r="F541" s="3" t="s">
        <v>25</v>
      </c>
      <c r="G541" s="3" t="s">
        <v>25</v>
      </c>
      <c r="H541" s="3" t="s">
        <v>25</v>
      </c>
      <c r="I541" s="6">
        <v>44562</v>
      </c>
      <c r="J541" s="4">
        <v>0</v>
      </c>
      <c r="K541" s="4">
        <v>0</v>
      </c>
      <c r="L541" s="4">
        <v>18870.63</v>
      </c>
      <c r="M541" s="4">
        <v>18870.63</v>
      </c>
      <c r="N541" s="4">
        <v>18870.63</v>
      </c>
      <c r="O541" s="4">
        <v>18870.63</v>
      </c>
      <c r="P541" s="4">
        <v>186656</v>
      </c>
      <c r="Q541" s="3" t="s">
        <v>26</v>
      </c>
      <c r="R541" s="3">
        <v>0</v>
      </c>
      <c r="S541" s="3">
        <v>0</v>
      </c>
      <c r="T541" s="3">
        <v>15</v>
      </c>
      <c r="U541" s="3">
        <v>75</v>
      </c>
      <c r="V541" s="4">
        <f>IF(ISERROR(VLOOKUP($S$541,'TAR FIN'!$A$1:$O$99,15,0)),0,VLOOKUP($S$541,'TAR FIN'!$A$1:$O$99,15,0))</f>
        <v>0</v>
      </c>
      <c r="W541" s="4">
        <f>IF(ISERROR(VLOOKUP($T$541,'TAR FIN'!$A$1:$O$99,15,0)),0,VLOOKUP($T$541,'TAR FIN'!$A$1:$O$99,15,0))</f>
        <v>203.44</v>
      </c>
      <c r="X541" s="4">
        <f>IF(ISERROR(VLOOKUP($U$541,'TAR FIN'!$A$1:$O$99,15,0)),0,VLOOKUP($U$541,'TAR FIN'!$A$1:$O$99,15,0))</f>
        <v>138.32</v>
      </c>
      <c r="Y541" s="4"/>
      <c r="Z541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41" s="4">
        <f>('TE BE'!$AA$15+'TE BF'!$AA$15+'TE CVA'!$AA$15)*(1-CUSTOS!$M$35)</f>
        <v>170.32133669626089</v>
      </c>
      <c r="AB541" s="4">
        <f t="shared" si="22"/>
        <v>0</v>
      </c>
      <c r="AC541" s="4">
        <f>(L541-M541)*(W541+X541)+($W$557+$X$557-$W$541-$X$541)*(L541)</f>
        <v>4299295.6329000005</v>
      </c>
      <c r="AD541" s="4">
        <f t="shared" si="24"/>
        <v>0</v>
      </c>
      <c r="AE541" s="4">
        <f ca="1">(L541-M541)*(Z541+AA541)+($Z$557+$AA$557-$Z$541-$AA$541)*(L541)</f>
        <v>5153297.098192676</v>
      </c>
      <c r="AF541" s="3" t="s">
        <v>955</v>
      </c>
    </row>
    <row r="542" spans="1:32" ht="11.25" customHeight="1" x14ac:dyDescent="0.25">
      <c r="A542" s="3" t="s">
        <v>21</v>
      </c>
      <c r="B542" s="3" t="s">
        <v>22</v>
      </c>
      <c r="C542" s="3" t="s">
        <v>23</v>
      </c>
      <c r="D542" s="3" t="s">
        <v>24</v>
      </c>
      <c r="E542" s="3" t="s">
        <v>30</v>
      </c>
      <c r="F542" s="3" t="s">
        <v>25</v>
      </c>
      <c r="G542" s="3" t="s">
        <v>25</v>
      </c>
      <c r="H542" s="3" t="s">
        <v>25</v>
      </c>
      <c r="I542" s="6">
        <v>44593</v>
      </c>
      <c r="J542" s="4">
        <v>0</v>
      </c>
      <c r="K542" s="4">
        <v>0</v>
      </c>
      <c r="L542" s="4">
        <v>19059.675999999999</v>
      </c>
      <c r="M542" s="4">
        <v>19059.675999999999</v>
      </c>
      <c r="N542" s="4">
        <v>19059.675999999999</v>
      </c>
      <c r="O542" s="4">
        <v>19059.675999999999</v>
      </c>
      <c r="P542" s="4">
        <v>193424</v>
      </c>
      <c r="Q542" s="3" t="s">
        <v>26</v>
      </c>
      <c r="R542" s="3">
        <v>0</v>
      </c>
      <c r="S542" s="3">
        <v>0</v>
      </c>
      <c r="T542" s="3">
        <v>15</v>
      </c>
      <c r="U542" s="3">
        <v>75</v>
      </c>
      <c r="V542" s="4">
        <f>IF(ISERROR(VLOOKUP($S$542,'TAR FIN'!$A$1:$O$99,15,0)),0,VLOOKUP($S$542,'TAR FIN'!$A$1:$O$99,15,0))</f>
        <v>0</v>
      </c>
      <c r="W542" s="4">
        <f>IF(ISERROR(VLOOKUP($T$542,'TAR FIN'!$A$1:$O$99,15,0)),0,VLOOKUP($T$542,'TAR FIN'!$A$1:$O$99,15,0))</f>
        <v>203.44</v>
      </c>
      <c r="X542" s="4">
        <f>IF(ISERROR(VLOOKUP($U$542,'TAR FIN'!$A$1:$O$99,15,0)),0,VLOOKUP($U$542,'TAR FIN'!$A$1:$O$99,15,0))</f>
        <v>138.32</v>
      </c>
      <c r="Y542" s="4"/>
      <c r="Z542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42" s="4">
        <f>('TE BE'!$AA$15+'TE BF'!$AA$15+'TE CVA'!$AA$15)*(1-CUSTOS!$M$35)</f>
        <v>170.32133669626089</v>
      </c>
      <c r="AB542" s="4">
        <f t="shared" si="22"/>
        <v>0</v>
      </c>
      <c r="AC542" s="4">
        <f>(L542-M542)*(W542+X542)+($W$557+$X$557-$W$542-$X$542)*(L542)</f>
        <v>4342365.9830800006</v>
      </c>
      <c r="AD542" s="4">
        <f t="shared" si="24"/>
        <v>0</v>
      </c>
      <c r="AE542" s="4">
        <f ca="1">(L542-M542)*(Z542+AA542)+($Z$557+$AA$557-$Z$542-$AA$542)*(L542)</f>
        <v>5204922.8363490021</v>
      </c>
      <c r="AF542" s="3" t="s">
        <v>955</v>
      </c>
    </row>
    <row r="543" spans="1:32" ht="11.25" customHeight="1" x14ac:dyDescent="0.25">
      <c r="A543" s="3" t="s">
        <v>21</v>
      </c>
      <c r="B543" s="3" t="s">
        <v>22</v>
      </c>
      <c r="C543" s="3" t="s">
        <v>23</v>
      </c>
      <c r="D543" s="3" t="s">
        <v>24</v>
      </c>
      <c r="E543" s="3" t="s">
        <v>30</v>
      </c>
      <c r="F543" s="3" t="s">
        <v>25</v>
      </c>
      <c r="G543" s="3" t="s">
        <v>25</v>
      </c>
      <c r="H543" s="3" t="s">
        <v>25</v>
      </c>
      <c r="I543" s="6">
        <v>44621</v>
      </c>
      <c r="J543" s="4">
        <v>0</v>
      </c>
      <c r="K543" s="4">
        <v>0</v>
      </c>
      <c r="L543" s="4">
        <v>20407.688999999998</v>
      </c>
      <c r="M543" s="4">
        <v>20407.688999999998</v>
      </c>
      <c r="N543" s="4">
        <v>20407.688999999998</v>
      </c>
      <c r="O543" s="4">
        <v>20407.688999999998</v>
      </c>
      <c r="P543" s="4">
        <v>177677</v>
      </c>
      <c r="Q543" s="3" t="s">
        <v>26</v>
      </c>
      <c r="R543" s="3">
        <v>0</v>
      </c>
      <c r="S543" s="3">
        <v>0</v>
      </c>
      <c r="T543" s="3">
        <v>15</v>
      </c>
      <c r="U543" s="3">
        <v>75</v>
      </c>
      <c r="V543" s="4">
        <f>IF(ISERROR(VLOOKUP($S$543,'TAR FIN'!$A$1:$O$99,15,0)),0,VLOOKUP($S$543,'TAR FIN'!$A$1:$O$99,15,0))</f>
        <v>0</v>
      </c>
      <c r="W543" s="4">
        <f>IF(ISERROR(VLOOKUP($T$543,'TAR FIN'!$A$1:$O$99,15,0)),0,VLOOKUP($T$543,'TAR FIN'!$A$1:$O$99,15,0))</f>
        <v>203.44</v>
      </c>
      <c r="X543" s="4">
        <f>IF(ISERROR(VLOOKUP($U$543,'TAR FIN'!$A$1:$O$99,15,0)),0,VLOOKUP($U$543,'TAR FIN'!$A$1:$O$99,15,0))</f>
        <v>138.32</v>
      </c>
      <c r="Y543" s="4"/>
      <c r="Z543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43" s="4">
        <f>('TE BE'!$AA$15+'TE BF'!$AA$15+'TE CVA'!$AA$15)*(1-CUSTOS!$M$35)</f>
        <v>170.32133669626089</v>
      </c>
      <c r="AB543" s="4">
        <f t="shared" si="22"/>
        <v>0</v>
      </c>
      <c r="AC543" s="4">
        <f>(L543-M543)*(W543+X543)+($W$557+$X$557-$W$543-$X$543)*(L543)</f>
        <v>4649483.7848700006</v>
      </c>
      <c r="AD543" s="4">
        <f t="shared" si="24"/>
        <v>0</v>
      </c>
      <c r="AE543" s="4">
        <f ca="1">(L543-M543)*(Z543+AA543)+($Z$557+$AA$557-$Z$543-$AA$543)*(L543)</f>
        <v>5573045.7597080003</v>
      </c>
      <c r="AF543" s="3" t="s">
        <v>955</v>
      </c>
    </row>
    <row r="544" spans="1:32" ht="11.25" customHeight="1" x14ac:dyDescent="0.25">
      <c r="A544" s="3" t="s">
        <v>56</v>
      </c>
      <c r="B544" s="3" t="s">
        <v>22</v>
      </c>
      <c r="C544" s="3" t="s">
        <v>23</v>
      </c>
      <c r="D544" s="3" t="s">
        <v>24</v>
      </c>
      <c r="E544" s="3" t="s">
        <v>30</v>
      </c>
      <c r="F544" s="3" t="s">
        <v>25</v>
      </c>
      <c r="G544" s="3" t="s">
        <v>25</v>
      </c>
      <c r="H544" s="3" t="s">
        <v>25</v>
      </c>
      <c r="I544" s="6">
        <v>44652</v>
      </c>
      <c r="J544" s="4">
        <v>0</v>
      </c>
      <c r="K544" s="4">
        <v>0</v>
      </c>
      <c r="L544" s="4">
        <v>20407.688999999998</v>
      </c>
      <c r="M544" s="4">
        <v>20407.688999999998</v>
      </c>
      <c r="N544" s="4">
        <v>20407.688999999998</v>
      </c>
      <c r="O544" s="4">
        <v>20407.688999999998</v>
      </c>
      <c r="P544" s="4">
        <v>177677</v>
      </c>
      <c r="Q544" s="3" t="s">
        <v>26</v>
      </c>
      <c r="R544" s="3">
        <v>0</v>
      </c>
      <c r="S544" s="3">
        <v>0</v>
      </c>
      <c r="T544" s="3">
        <v>15</v>
      </c>
      <c r="U544" s="3">
        <v>75</v>
      </c>
      <c r="V544" s="4">
        <f>IF(ISERROR(VLOOKUP($S$544,'TAR FIN'!$A$1:$O$99,15,0)),0,VLOOKUP($S$544,'TAR FIN'!$A$1:$O$99,15,0))</f>
        <v>0</v>
      </c>
      <c r="W544" s="4">
        <f>IF(ISERROR(VLOOKUP($T$544,'TAR FIN'!$A$1:$O$99,15,0)),0,VLOOKUP($T$544,'TAR FIN'!$A$1:$O$99,15,0))</f>
        <v>203.44</v>
      </c>
      <c r="X544" s="4">
        <f>IF(ISERROR(VLOOKUP($U$544,'TAR FIN'!$A$1:$O$99,15,0)),0,VLOOKUP($U$544,'TAR FIN'!$A$1:$O$99,15,0))</f>
        <v>138.32</v>
      </c>
      <c r="Y544" s="4"/>
      <c r="Z544" s="4">
        <f ca="1">('TUSD BE'!$AM$33+'TUSD BF'!$AM$33+'TUSD CVA'!$AM$33-('TUSD BE'!$P$33+'TUSD BF'!$P$33+'TUSD CVA'!$P$33)-('TUSD BE'!$Q$33+'TUSD BF'!$Q$33+'TUSD CVA'!$Q$33)-('TUSD BE'!$R$33+'TUSD BF'!$R$33+'TUSD CVA'!$R$33))*(1-CUSTOS!$M$35)</f>
        <v>239.3070459962625</v>
      </c>
      <c r="AA544" s="4">
        <f>('TE BE'!$AA$15+'TE BF'!$AA$15+'TE CVA'!$AA$15)*(1-CUSTOS!$M$35)</f>
        <v>170.32133669626089</v>
      </c>
      <c r="AB544" s="4">
        <f t="shared" si="22"/>
        <v>0</v>
      </c>
      <c r="AC544" s="4">
        <f>(L544-M544)*(W544+X544)+($W$557+$X$557-$W$544-$X$544)*(L544)</f>
        <v>4649483.7848700006</v>
      </c>
      <c r="AD544" s="4">
        <f t="shared" si="24"/>
        <v>0</v>
      </c>
      <c r="AE544" s="4">
        <f ca="1">(L544-M544)*(Z544+AA544)+($Z$557+$AA$557-$Z$544-$AA$544)*(L544)</f>
        <v>5573045.7597080003</v>
      </c>
      <c r="AF544" s="3" t="s">
        <v>955</v>
      </c>
    </row>
    <row r="545" spans="1:32" ht="11.25" customHeight="1" x14ac:dyDescent="0.25">
      <c r="A545" s="3" t="s">
        <v>21</v>
      </c>
      <c r="B545" s="3" t="s">
        <v>22</v>
      </c>
      <c r="C545" s="3" t="s">
        <v>23</v>
      </c>
      <c r="D545" s="3" t="s">
        <v>24</v>
      </c>
      <c r="E545" s="3" t="s">
        <v>31</v>
      </c>
      <c r="F545" s="3" t="s">
        <v>25</v>
      </c>
      <c r="G545" s="3" t="s">
        <v>25</v>
      </c>
      <c r="H545" s="3" t="s">
        <v>25</v>
      </c>
      <c r="I545" s="6">
        <v>44317</v>
      </c>
      <c r="J545" s="4">
        <v>0</v>
      </c>
      <c r="K545" s="4">
        <v>0</v>
      </c>
      <c r="L545" s="4">
        <v>6241.5249999999996</v>
      </c>
      <c r="M545" s="4">
        <v>6241.5249999999996</v>
      </c>
      <c r="N545" s="4">
        <v>6241.5249999999996</v>
      </c>
      <c r="O545" s="4">
        <v>6241.5249999999996</v>
      </c>
      <c r="P545" s="4">
        <v>120572</v>
      </c>
      <c r="Q545" s="3" t="s">
        <v>26</v>
      </c>
      <c r="R545" s="3">
        <v>0</v>
      </c>
      <c r="S545" s="3">
        <v>0</v>
      </c>
      <c r="T545" s="3">
        <v>33</v>
      </c>
      <c r="U545" s="3">
        <v>54</v>
      </c>
      <c r="V545" s="4">
        <f>IF(ISERROR(VLOOKUP($S$545,'TAR FIN'!$A$1:$O$99,15,0)),0,VLOOKUP($S$545,'TAR FIN'!$A$1:$O$99,15,0))</f>
        <v>0</v>
      </c>
      <c r="W545" s="4">
        <f>IF(ISERROR(VLOOKUP($T$545,'TAR FIN'!$A$1:$O$99,15,0)),0,VLOOKUP($T$545,'TAR FIN'!$A$1:$O$99,15,0))</f>
        <v>305.14999999999998</v>
      </c>
      <c r="X545" s="4">
        <f>IF(ISERROR(VLOOKUP($U$545,'TAR FIN'!$A$1:$O$99,15,0)),0,VLOOKUP($U$545,'TAR FIN'!$A$1:$O$99,15,0))</f>
        <v>207.47</v>
      </c>
      <c r="Y545" s="4"/>
      <c r="Z545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45" s="4">
        <f>('TE BE'!$AA$16+'TE BF'!$AA$16+'TE CVA'!$AA$16)*(1-CUSTOS!$M$36)</f>
        <v>255.48200504439134</v>
      </c>
      <c r="AB545" s="4">
        <f t="shared" si="22"/>
        <v>0</v>
      </c>
      <c r="AC545" s="4">
        <f>(L545-M545)*(W545+X545)+($W$557+$X$557-$W$545-$X$545)*(L545)</f>
        <v>355579.67925000034</v>
      </c>
      <c r="AD545" s="4">
        <f t="shared" si="24"/>
        <v>0</v>
      </c>
      <c r="AE545" s="4">
        <f ca="1">(L545-M545)*(Z545+AA545)+($Z$557+$AA$557-$Z$545-$AA$545)*(L545)</f>
        <v>426117.63188082498</v>
      </c>
      <c r="AF545" s="3" t="s">
        <v>955</v>
      </c>
    </row>
    <row r="546" spans="1:32" ht="11.25" customHeight="1" x14ac:dyDescent="0.25">
      <c r="A546" s="3" t="s">
        <v>21</v>
      </c>
      <c r="B546" s="3" t="s">
        <v>22</v>
      </c>
      <c r="C546" s="3" t="s">
        <v>23</v>
      </c>
      <c r="D546" s="3" t="s">
        <v>24</v>
      </c>
      <c r="E546" s="3" t="s">
        <v>31</v>
      </c>
      <c r="F546" s="3" t="s">
        <v>25</v>
      </c>
      <c r="G546" s="3" t="s">
        <v>25</v>
      </c>
      <c r="H546" s="3" t="s">
        <v>25</v>
      </c>
      <c r="I546" s="6">
        <v>44348</v>
      </c>
      <c r="J546" s="4">
        <v>0</v>
      </c>
      <c r="K546" s="4">
        <v>0</v>
      </c>
      <c r="L546" s="4">
        <v>5574.6679999999997</v>
      </c>
      <c r="M546" s="4">
        <v>5574.6679999999997</v>
      </c>
      <c r="N546" s="4">
        <v>5574.6679999999997</v>
      </c>
      <c r="O546" s="4">
        <v>5574.6679999999997</v>
      </c>
      <c r="P546" s="4">
        <v>112012</v>
      </c>
      <c r="Q546" s="3" t="s">
        <v>26</v>
      </c>
      <c r="R546" s="3">
        <v>0</v>
      </c>
      <c r="S546" s="3">
        <v>0</v>
      </c>
      <c r="T546" s="3">
        <v>33</v>
      </c>
      <c r="U546" s="3">
        <v>54</v>
      </c>
      <c r="V546" s="4">
        <f>IF(ISERROR(VLOOKUP($S$546,'TAR FIN'!$A$1:$O$99,15,0)),0,VLOOKUP($S$546,'TAR FIN'!$A$1:$O$99,15,0))</f>
        <v>0</v>
      </c>
      <c r="W546" s="4">
        <f>IF(ISERROR(VLOOKUP($T$546,'TAR FIN'!$A$1:$O$99,15,0)),0,VLOOKUP($T$546,'TAR FIN'!$A$1:$O$99,15,0))</f>
        <v>305.14999999999998</v>
      </c>
      <c r="X546" s="4">
        <f>IF(ISERROR(VLOOKUP($U$546,'TAR FIN'!$A$1:$O$99,15,0)),0,VLOOKUP($U$546,'TAR FIN'!$A$1:$O$99,15,0))</f>
        <v>207.47</v>
      </c>
      <c r="Y546" s="4"/>
      <c r="Z546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46" s="4">
        <f>('TE BE'!$AA$16+'TE BF'!$AA$16+'TE CVA'!$AA$16)*(1-CUSTOS!$M$36)</f>
        <v>255.48200504439134</v>
      </c>
      <c r="AB546" s="4">
        <f t="shared" si="22"/>
        <v>0</v>
      </c>
      <c r="AC546" s="4">
        <f>(L546-M546)*(W546+X546)+($W$557+$X$557-$W$546-$X$546)*(L546)</f>
        <v>317588.83596000029</v>
      </c>
      <c r="AD546" s="4">
        <f t="shared" si="24"/>
        <v>0</v>
      </c>
      <c r="AE546" s="4">
        <f ca="1">(L546-M546)*(Z546+AA546)+($Z$557+$AA$557-$Z$546-$AA$546)*(L546)</f>
        <v>380590.37281462702</v>
      </c>
      <c r="AF546" s="3" t="s">
        <v>955</v>
      </c>
    </row>
    <row r="547" spans="1:32" ht="11.25" customHeight="1" x14ac:dyDescent="0.25">
      <c r="A547" s="3" t="s">
        <v>21</v>
      </c>
      <c r="B547" s="3" t="s">
        <v>22</v>
      </c>
      <c r="C547" s="3" t="s">
        <v>23</v>
      </c>
      <c r="D547" s="3" t="s">
        <v>24</v>
      </c>
      <c r="E547" s="3" t="s">
        <v>31</v>
      </c>
      <c r="F547" s="3" t="s">
        <v>25</v>
      </c>
      <c r="G547" s="3" t="s">
        <v>25</v>
      </c>
      <c r="H547" s="3" t="s">
        <v>25</v>
      </c>
      <c r="I547" s="6">
        <v>44378</v>
      </c>
      <c r="J547" s="4">
        <v>0</v>
      </c>
      <c r="K547" s="4">
        <v>0</v>
      </c>
      <c r="L547" s="4">
        <v>4570.7780000000002</v>
      </c>
      <c r="M547" s="4">
        <v>4570.7780000000002</v>
      </c>
      <c r="N547" s="4">
        <v>4570.7780000000002</v>
      </c>
      <c r="O547" s="4">
        <v>4570.7780000000002</v>
      </c>
      <c r="P547" s="4">
        <v>98967</v>
      </c>
      <c r="Q547" s="3" t="s">
        <v>26</v>
      </c>
      <c r="R547" s="3">
        <v>0</v>
      </c>
      <c r="S547" s="3">
        <v>0</v>
      </c>
      <c r="T547" s="3">
        <v>33</v>
      </c>
      <c r="U547" s="3">
        <v>54</v>
      </c>
      <c r="V547" s="4">
        <f>IF(ISERROR(VLOOKUP($S$547,'TAR FIN'!$A$1:$O$99,15,0)),0,VLOOKUP($S$547,'TAR FIN'!$A$1:$O$99,15,0))</f>
        <v>0</v>
      </c>
      <c r="W547" s="4">
        <f>IF(ISERROR(VLOOKUP($T$547,'TAR FIN'!$A$1:$O$99,15,0)),0,VLOOKUP($T$547,'TAR FIN'!$A$1:$O$99,15,0))</f>
        <v>305.14999999999998</v>
      </c>
      <c r="X547" s="4">
        <f>IF(ISERROR(VLOOKUP($U$547,'TAR FIN'!$A$1:$O$99,15,0)),0,VLOOKUP($U$547,'TAR FIN'!$A$1:$O$99,15,0))</f>
        <v>207.47</v>
      </c>
      <c r="Y547" s="4"/>
      <c r="Z547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47" s="4">
        <f>('TE BE'!$AA$16+'TE BF'!$AA$16+'TE CVA'!$AA$16)*(1-CUSTOS!$M$36)</f>
        <v>255.48200504439134</v>
      </c>
      <c r="AB547" s="4">
        <f t="shared" si="22"/>
        <v>0</v>
      </c>
      <c r="AC547" s="4">
        <f>(L547-M547)*(W547+X547)+($W$557+$X$557-$W$547-$X$547)*(L547)</f>
        <v>260397.22266000026</v>
      </c>
      <c r="AD547" s="4">
        <f t="shared" si="24"/>
        <v>0</v>
      </c>
      <c r="AE547" s="4">
        <f ca="1">(L547-M547)*(Z547+AA547)+($Z$557+$AA$557-$Z$547-$AA$547)*(L547)</f>
        <v>312053.39996442758</v>
      </c>
      <c r="AF547" s="3" t="s">
        <v>955</v>
      </c>
    </row>
    <row r="548" spans="1:32" ht="11.25" customHeight="1" x14ac:dyDescent="0.25">
      <c r="A548" s="3" t="s">
        <v>21</v>
      </c>
      <c r="B548" s="3" t="s">
        <v>22</v>
      </c>
      <c r="C548" s="3" t="s">
        <v>23</v>
      </c>
      <c r="D548" s="3" t="s">
        <v>24</v>
      </c>
      <c r="E548" s="3" t="s">
        <v>31</v>
      </c>
      <c r="F548" s="3" t="s">
        <v>25</v>
      </c>
      <c r="G548" s="3" t="s">
        <v>25</v>
      </c>
      <c r="H548" s="3" t="s">
        <v>25</v>
      </c>
      <c r="I548" s="6">
        <v>44409</v>
      </c>
      <c r="J548" s="4">
        <v>0</v>
      </c>
      <c r="K548" s="4">
        <v>0</v>
      </c>
      <c r="L548" s="4">
        <v>4280.3370000000004</v>
      </c>
      <c r="M548" s="4">
        <v>4280.3370000000004</v>
      </c>
      <c r="N548" s="4">
        <v>4280.3370000000004</v>
      </c>
      <c r="O548" s="4">
        <v>4280.3370000000004</v>
      </c>
      <c r="P548" s="4">
        <v>94626</v>
      </c>
      <c r="Q548" s="3" t="s">
        <v>26</v>
      </c>
      <c r="R548" s="3">
        <v>0</v>
      </c>
      <c r="S548" s="3">
        <v>0</v>
      </c>
      <c r="T548" s="3">
        <v>33</v>
      </c>
      <c r="U548" s="3">
        <v>54</v>
      </c>
      <c r="V548" s="4">
        <f>IF(ISERROR(VLOOKUP($S$548,'TAR FIN'!$A$1:$O$99,15,0)),0,VLOOKUP($S$548,'TAR FIN'!$A$1:$O$99,15,0))</f>
        <v>0</v>
      </c>
      <c r="W548" s="4">
        <f>IF(ISERROR(VLOOKUP($T$548,'TAR FIN'!$A$1:$O$99,15,0)),0,VLOOKUP($T$548,'TAR FIN'!$A$1:$O$99,15,0))</f>
        <v>305.14999999999998</v>
      </c>
      <c r="X548" s="4">
        <f>IF(ISERROR(VLOOKUP($U$548,'TAR FIN'!$A$1:$O$99,15,0)),0,VLOOKUP($U$548,'TAR FIN'!$A$1:$O$99,15,0))</f>
        <v>207.47</v>
      </c>
      <c r="Y548" s="4"/>
      <c r="Z548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48" s="4">
        <f>('TE BE'!$AA$16+'TE BF'!$AA$16+'TE CVA'!$AA$16)*(1-CUSTOS!$M$36)</f>
        <v>255.48200504439134</v>
      </c>
      <c r="AB548" s="4">
        <f t="shared" si="22"/>
        <v>0</v>
      </c>
      <c r="AC548" s="4">
        <f>(L548-M548)*(W548+X548)+($W$557+$X$557-$W$548-$X$548)*(L548)</f>
        <v>243850.79889000027</v>
      </c>
      <c r="AD548" s="4">
        <f t="shared" si="24"/>
        <v>0</v>
      </c>
      <c r="AE548" s="4">
        <f ca="1">(L548-M548)*(Z548+AA548)+($Z$557+$AA$557-$Z$548-$AA$548)*(L548)</f>
        <v>292224.58711482771</v>
      </c>
      <c r="AF548" s="3" t="s">
        <v>955</v>
      </c>
    </row>
    <row r="549" spans="1:32" ht="11.25" customHeight="1" x14ac:dyDescent="0.25">
      <c r="A549" s="3" t="s">
        <v>21</v>
      </c>
      <c r="B549" s="3" t="s">
        <v>22</v>
      </c>
      <c r="C549" s="3" t="s">
        <v>23</v>
      </c>
      <c r="D549" s="3" t="s">
        <v>24</v>
      </c>
      <c r="E549" s="3" t="s">
        <v>31</v>
      </c>
      <c r="F549" s="3" t="s">
        <v>25</v>
      </c>
      <c r="G549" s="3" t="s">
        <v>25</v>
      </c>
      <c r="H549" s="3" t="s">
        <v>25</v>
      </c>
      <c r="I549" s="6">
        <v>44440</v>
      </c>
      <c r="J549" s="4">
        <v>0</v>
      </c>
      <c r="K549" s="4">
        <v>0</v>
      </c>
      <c r="L549" s="4">
        <v>4982.7870000000003</v>
      </c>
      <c r="M549" s="4">
        <v>4982.7870000000003</v>
      </c>
      <c r="N549" s="4">
        <v>4982.7870000000003</v>
      </c>
      <c r="O549" s="4">
        <v>4982.7870000000003</v>
      </c>
      <c r="P549" s="4">
        <v>105531</v>
      </c>
      <c r="Q549" s="3" t="s">
        <v>26</v>
      </c>
      <c r="R549" s="3">
        <v>0</v>
      </c>
      <c r="S549" s="3">
        <v>0</v>
      </c>
      <c r="T549" s="3">
        <v>33</v>
      </c>
      <c r="U549" s="3">
        <v>54</v>
      </c>
      <c r="V549" s="4">
        <f>IF(ISERROR(VLOOKUP($S$549,'TAR FIN'!$A$1:$O$99,15,0)),0,VLOOKUP($S$549,'TAR FIN'!$A$1:$O$99,15,0))</f>
        <v>0</v>
      </c>
      <c r="W549" s="4">
        <f>IF(ISERROR(VLOOKUP($T$549,'TAR FIN'!$A$1:$O$99,15,0)),0,VLOOKUP($T$549,'TAR FIN'!$A$1:$O$99,15,0))</f>
        <v>305.14999999999998</v>
      </c>
      <c r="X549" s="4">
        <f>IF(ISERROR(VLOOKUP($U$549,'TAR FIN'!$A$1:$O$99,15,0)),0,VLOOKUP($U$549,'TAR FIN'!$A$1:$O$99,15,0))</f>
        <v>207.47</v>
      </c>
      <c r="Y549" s="4"/>
      <c r="Z549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49" s="4">
        <f>('TE BE'!$AA$16+'TE BF'!$AA$16+'TE CVA'!$AA$16)*(1-CUSTOS!$M$36)</f>
        <v>255.48200504439134</v>
      </c>
      <c r="AB549" s="4">
        <f t="shared" si="22"/>
        <v>0</v>
      </c>
      <c r="AC549" s="4">
        <f>(L549-M549)*(W549+X549)+($W$557+$X$557-$W$549-$X$549)*(L549)</f>
        <v>283869.37539000029</v>
      </c>
      <c r="AD549" s="4">
        <f t="shared" si="24"/>
        <v>0</v>
      </c>
      <c r="AE549" s="4">
        <f ca="1">(L549-M549)*(Z549+AA549)+($Z$557+$AA$557-$Z$549-$AA$549)*(L549)</f>
        <v>340181.83001855487</v>
      </c>
      <c r="AF549" s="3" t="s">
        <v>955</v>
      </c>
    </row>
    <row r="550" spans="1:32" ht="11.25" customHeight="1" x14ac:dyDescent="0.25">
      <c r="A550" s="3" t="s">
        <v>21</v>
      </c>
      <c r="B550" s="3" t="s">
        <v>22</v>
      </c>
      <c r="C550" s="3" t="s">
        <v>23</v>
      </c>
      <c r="D550" s="3" t="s">
        <v>24</v>
      </c>
      <c r="E550" s="3" t="s">
        <v>31</v>
      </c>
      <c r="F550" s="3" t="s">
        <v>25</v>
      </c>
      <c r="G550" s="3" t="s">
        <v>25</v>
      </c>
      <c r="H550" s="3" t="s">
        <v>25</v>
      </c>
      <c r="I550" s="6">
        <v>44470</v>
      </c>
      <c r="J550" s="4">
        <v>0</v>
      </c>
      <c r="K550" s="4">
        <v>0</v>
      </c>
      <c r="L550" s="4">
        <v>5808.45</v>
      </c>
      <c r="M550" s="4">
        <v>5808.45</v>
      </c>
      <c r="N550" s="4">
        <v>5808.45</v>
      </c>
      <c r="O550" s="4">
        <v>5808.45</v>
      </c>
      <c r="P550" s="4">
        <v>117808</v>
      </c>
      <c r="Q550" s="3" t="s">
        <v>26</v>
      </c>
      <c r="R550" s="3">
        <v>0</v>
      </c>
      <c r="S550" s="3">
        <v>0</v>
      </c>
      <c r="T550" s="3">
        <v>33</v>
      </c>
      <c r="U550" s="3">
        <v>54</v>
      </c>
      <c r="V550" s="4">
        <f>IF(ISERROR(VLOOKUP($S$550,'TAR FIN'!$A$1:$O$99,15,0)),0,VLOOKUP($S$550,'TAR FIN'!$A$1:$O$99,15,0))</f>
        <v>0</v>
      </c>
      <c r="W550" s="4">
        <f>IF(ISERROR(VLOOKUP($T$550,'TAR FIN'!$A$1:$O$99,15,0)),0,VLOOKUP($T$550,'TAR FIN'!$A$1:$O$99,15,0))</f>
        <v>305.14999999999998</v>
      </c>
      <c r="X550" s="4">
        <f>IF(ISERROR(VLOOKUP($U$550,'TAR FIN'!$A$1:$O$99,15,0)),0,VLOOKUP($U$550,'TAR FIN'!$A$1:$O$99,15,0))</f>
        <v>207.47</v>
      </c>
      <c r="Y550" s="4"/>
      <c r="Z550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50" s="4">
        <f>('TE BE'!$AA$16+'TE BF'!$AA$16+'TE CVA'!$AA$16)*(1-CUSTOS!$M$36)</f>
        <v>255.48200504439134</v>
      </c>
      <c r="AB550" s="4">
        <f t="shared" si="22"/>
        <v>0</v>
      </c>
      <c r="AC550" s="4">
        <f>(L550-M550)*(W550+X550)+($W$557+$X$557-$W$550-$X$550)*(L550)</f>
        <v>330907.39650000032</v>
      </c>
      <c r="AD550" s="4">
        <f t="shared" si="24"/>
        <v>0</v>
      </c>
      <c r="AE550" s="4">
        <f ca="1">(L550-M550)*(Z550+AA550)+($Z$557+$AA$557-$Z$550-$AA$550)*(L550)</f>
        <v>396550.99657506426</v>
      </c>
      <c r="AF550" s="3" t="s">
        <v>955</v>
      </c>
    </row>
    <row r="551" spans="1:32" ht="11.25" customHeight="1" x14ac:dyDescent="0.25">
      <c r="A551" s="3" t="s">
        <v>21</v>
      </c>
      <c r="B551" s="3" t="s">
        <v>22</v>
      </c>
      <c r="C551" s="3" t="s">
        <v>23</v>
      </c>
      <c r="D551" s="3" t="s">
        <v>24</v>
      </c>
      <c r="E551" s="3" t="s">
        <v>31</v>
      </c>
      <c r="F551" s="3" t="s">
        <v>25</v>
      </c>
      <c r="G551" s="3" t="s">
        <v>25</v>
      </c>
      <c r="H551" s="3" t="s">
        <v>25</v>
      </c>
      <c r="I551" s="6">
        <v>44501</v>
      </c>
      <c r="J551" s="4">
        <v>0</v>
      </c>
      <c r="K551" s="4">
        <v>0</v>
      </c>
      <c r="L551" s="4">
        <v>6793.5389999999998</v>
      </c>
      <c r="M551" s="4">
        <v>6793.5389999999998</v>
      </c>
      <c r="N551" s="4">
        <v>6793.5389999999998</v>
      </c>
      <c r="O551" s="4">
        <v>6793.5389999999998</v>
      </c>
      <c r="P551" s="4">
        <v>130909</v>
      </c>
      <c r="Q551" s="3" t="s">
        <v>26</v>
      </c>
      <c r="R551" s="3">
        <v>0</v>
      </c>
      <c r="S551" s="3">
        <v>0</v>
      </c>
      <c r="T551" s="3">
        <v>33</v>
      </c>
      <c r="U551" s="3">
        <v>54</v>
      </c>
      <c r="V551" s="4">
        <f>IF(ISERROR(VLOOKUP($S$551,'TAR FIN'!$A$1:$O$99,15,0)),0,VLOOKUP($S$551,'TAR FIN'!$A$1:$O$99,15,0))</f>
        <v>0</v>
      </c>
      <c r="W551" s="4">
        <f>IF(ISERROR(VLOOKUP($T$551,'TAR FIN'!$A$1:$O$99,15,0)),0,VLOOKUP($T$551,'TAR FIN'!$A$1:$O$99,15,0))</f>
        <v>305.14999999999998</v>
      </c>
      <c r="X551" s="4">
        <f>IF(ISERROR(VLOOKUP($U$551,'TAR FIN'!$A$1:$O$99,15,0)),0,VLOOKUP($U$551,'TAR FIN'!$A$1:$O$99,15,0))</f>
        <v>207.47</v>
      </c>
      <c r="Y551" s="4"/>
      <c r="Z551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51" s="4">
        <f>('TE BE'!$AA$16+'TE BF'!$AA$16+'TE CVA'!$AA$16)*(1-CUSTOS!$M$36)</f>
        <v>255.48200504439134</v>
      </c>
      <c r="AB551" s="4">
        <f t="shared" si="22"/>
        <v>0</v>
      </c>
      <c r="AC551" s="4">
        <f>(L551-M551)*(W551+X551)+($W$557+$X$557-$W$551-$X$551)*(L551)</f>
        <v>387027.91683000035</v>
      </c>
      <c r="AD551" s="4">
        <f t="shared" si="24"/>
        <v>0</v>
      </c>
      <c r="AE551" s="4">
        <f ca="1">(L551-M551)*(Z551+AA551)+($Z$557+$AA$557-$Z$551-$AA$551)*(L551)</f>
        <v>463804.39888809674</v>
      </c>
      <c r="AF551" s="3" t="s">
        <v>955</v>
      </c>
    </row>
    <row r="552" spans="1:32" ht="11.25" customHeight="1" x14ac:dyDescent="0.25">
      <c r="A552" s="3" t="s">
        <v>21</v>
      </c>
      <c r="B552" s="3" t="s">
        <v>22</v>
      </c>
      <c r="C552" s="3" t="s">
        <v>23</v>
      </c>
      <c r="D552" s="3" t="s">
        <v>24</v>
      </c>
      <c r="E552" s="3" t="s">
        <v>31</v>
      </c>
      <c r="F552" s="3" t="s">
        <v>25</v>
      </c>
      <c r="G552" s="3" t="s">
        <v>25</v>
      </c>
      <c r="H552" s="3" t="s">
        <v>25</v>
      </c>
      <c r="I552" s="6">
        <v>44531</v>
      </c>
      <c r="J552" s="4">
        <v>0</v>
      </c>
      <c r="K552" s="4">
        <v>0</v>
      </c>
      <c r="L552" s="4">
        <v>7819.826</v>
      </c>
      <c r="M552" s="4">
        <v>7819.826</v>
      </c>
      <c r="N552" s="4">
        <v>7819.826</v>
      </c>
      <c r="O552" s="4">
        <v>7819.826</v>
      </c>
      <c r="P552" s="4">
        <v>143851</v>
      </c>
      <c r="Q552" s="3" t="s">
        <v>26</v>
      </c>
      <c r="R552" s="3">
        <v>0</v>
      </c>
      <c r="S552" s="3">
        <v>0</v>
      </c>
      <c r="T552" s="3">
        <v>33</v>
      </c>
      <c r="U552" s="3">
        <v>54</v>
      </c>
      <c r="V552" s="4">
        <f>IF(ISERROR(VLOOKUP($S$552,'TAR FIN'!$A$1:$O$99,15,0)),0,VLOOKUP($S$552,'TAR FIN'!$A$1:$O$99,15,0))</f>
        <v>0</v>
      </c>
      <c r="W552" s="4">
        <f>IF(ISERROR(VLOOKUP($T$552,'TAR FIN'!$A$1:$O$99,15,0)),0,VLOOKUP($T$552,'TAR FIN'!$A$1:$O$99,15,0))</f>
        <v>305.14999999999998</v>
      </c>
      <c r="X552" s="4">
        <f>IF(ISERROR(VLOOKUP($U$552,'TAR FIN'!$A$1:$O$99,15,0)),0,VLOOKUP($U$552,'TAR FIN'!$A$1:$O$99,15,0))</f>
        <v>207.47</v>
      </c>
      <c r="Y552" s="4"/>
      <c r="Z552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52" s="4">
        <f>('TE BE'!$AA$16+'TE BF'!$AA$16+'TE CVA'!$AA$16)*(1-CUSTOS!$M$36)</f>
        <v>255.48200504439134</v>
      </c>
      <c r="AB552" s="4">
        <f t="shared" si="22"/>
        <v>0</v>
      </c>
      <c r="AC552" s="4">
        <f>(L552-M552)*(W552+X552)+($W$557+$X$557-$W$552-$X$552)*(L552)</f>
        <v>445495.48722000042</v>
      </c>
      <c r="AD552" s="4">
        <f t="shared" si="24"/>
        <v>0</v>
      </c>
      <c r="AE552" s="4">
        <f ca="1">(L552-M552)*(Z552+AA552)+($Z$557+$AA$557-$Z$552-$AA$552)*(L552)</f>
        <v>533870.44621949038</v>
      </c>
      <c r="AF552" s="3" t="s">
        <v>955</v>
      </c>
    </row>
    <row r="553" spans="1:32" ht="11.25" customHeight="1" x14ac:dyDescent="0.25">
      <c r="A553" s="3" t="s">
        <v>21</v>
      </c>
      <c r="B553" s="3" t="s">
        <v>22</v>
      </c>
      <c r="C553" s="3" t="s">
        <v>23</v>
      </c>
      <c r="D553" s="3" t="s">
        <v>24</v>
      </c>
      <c r="E553" s="3" t="s">
        <v>31</v>
      </c>
      <c r="F553" s="3" t="s">
        <v>25</v>
      </c>
      <c r="G553" s="3" t="s">
        <v>25</v>
      </c>
      <c r="H553" s="3" t="s">
        <v>25</v>
      </c>
      <c r="I553" s="6">
        <v>44562</v>
      </c>
      <c r="J553" s="4">
        <v>0</v>
      </c>
      <c r="K553" s="4">
        <v>0</v>
      </c>
      <c r="L553" s="4">
        <v>7863.6009999999997</v>
      </c>
      <c r="M553" s="4">
        <v>7863.6009999999997</v>
      </c>
      <c r="N553" s="4">
        <v>7863.6009999999997</v>
      </c>
      <c r="O553" s="4">
        <v>7863.6009999999997</v>
      </c>
      <c r="P553" s="4">
        <v>144783</v>
      </c>
      <c r="Q553" s="3" t="s">
        <v>26</v>
      </c>
      <c r="R553" s="3">
        <v>0</v>
      </c>
      <c r="S553" s="3">
        <v>0</v>
      </c>
      <c r="T553" s="3">
        <v>33</v>
      </c>
      <c r="U553" s="3">
        <v>54</v>
      </c>
      <c r="V553" s="4">
        <f>IF(ISERROR(VLOOKUP($S$553,'TAR FIN'!$A$1:$O$99,15,0)),0,VLOOKUP($S$553,'TAR FIN'!$A$1:$O$99,15,0))</f>
        <v>0</v>
      </c>
      <c r="W553" s="4">
        <f>IF(ISERROR(VLOOKUP($T$553,'TAR FIN'!$A$1:$O$99,15,0)),0,VLOOKUP($T$553,'TAR FIN'!$A$1:$O$99,15,0))</f>
        <v>305.14999999999998</v>
      </c>
      <c r="X553" s="4">
        <f>IF(ISERROR(VLOOKUP($U$553,'TAR FIN'!$A$1:$O$99,15,0)),0,VLOOKUP($U$553,'TAR FIN'!$A$1:$O$99,15,0))</f>
        <v>207.47</v>
      </c>
      <c r="Y553" s="4"/>
      <c r="Z553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53" s="4">
        <f>('TE BE'!$AA$16+'TE BF'!$AA$16+'TE CVA'!$AA$16)*(1-CUSTOS!$M$36)</f>
        <v>255.48200504439134</v>
      </c>
      <c r="AB553" s="4">
        <f t="shared" si="22"/>
        <v>0</v>
      </c>
      <c r="AC553" s="4">
        <f>(L553-M553)*(W553+X553)+($W$557+$X$557-$W$553-$X$553)*(L553)</f>
        <v>447989.3489700004</v>
      </c>
      <c r="AD553" s="4">
        <f t="shared" si="24"/>
        <v>0</v>
      </c>
      <c r="AE553" s="4">
        <f ca="1">(L553-M553)*(Z553+AA553)+($Z$557+$AA$557-$Z$553-$AA$553)*(L553)</f>
        <v>536859.02662821789</v>
      </c>
      <c r="AF553" s="3" t="s">
        <v>955</v>
      </c>
    </row>
    <row r="554" spans="1:32" ht="11.25" customHeight="1" x14ac:dyDescent="0.25">
      <c r="A554" s="3" t="s">
        <v>21</v>
      </c>
      <c r="B554" s="3" t="s">
        <v>22</v>
      </c>
      <c r="C554" s="3" t="s">
        <v>23</v>
      </c>
      <c r="D554" s="3" t="s">
        <v>24</v>
      </c>
      <c r="E554" s="3" t="s">
        <v>31</v>
      </c>
      <c r="F554" s="3" t="s">
        <v>25</v>
      </c>
      <c r="G554" s="3" t="s">
        <v>25</v>
      </c>
      <c r="H554" s="3" t="s">
        <v>25</v>
      </c>
      <c r="I554" s="6">
        <v>44593</v>
      </c>
      <c r="J554" s="4">
        <v>0</v>
      </c>
      <c r="K554" s="4">
        <v>0</v>
      </c>
      <c r="L554" s="4">
        <v>7866.2489999999998</v>
      </c>
      <c r="M554" s="4">
        <v>7866.2489999999998</v>
      </c>
      <c r="N554" s="4">
        <v>7866.2489999999998</v>
      </c>
      <c r="O554" s="4">
        <v>7866.2489999999998</v>
      </c>
      <c r="P554" s="4">
        <v>143765</v>
      </c>
      <c r="Q554" s="3" t="s">
        <v>26</v>
      </c>
      <c r="R554" s="3">
        <v>0</v>
      </c>
      <c r="S554" s="3">
        <v>0</v>
      </c>
      <c r="T554" s="3">
        <v>33</v>
      </c>
      <c r="U554" s="3">
        <v>54</v>
      </c>
      <c r="V554" s="4">
        <f>IF(ISERROR(VLOOKUP($S$554,'TAR FIN'!$A$1:$O$99,15,0)),0,VLOOKUP($S$554,'TAR FIN'!$A$1:$O$99,15,0))</f>
        <v>0</v>
      </c>
      <c r="W554" s="4">
        <f>IF(ISERROR(VLOOKUP($T$554,'TAR FIN'!$A$1:$O$99,15,0)),0,VLOOKUP($T$554,'TAR FIN'!$A$1:$O$99,15,0))</f>
        <v>305.14999999999998</v>
      </c>
      <c r="X554" s="4">
        <f>IF(ISERROR(VLOOKUP($U$554,'TAR FIN'!$A$1:$O$99,15,0)),0,VLOOKUP($U$554,'TAR FIN'!$A$1:$O$99,15,0))</f>
        <v>207.47</v>
      </c>
      <c r="Y554" s="4"/>
      <c r="Z554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54" s="4">
        <f>('TE BE'!$AA$16+'TE BF'!$AA$16+'TE CVA'!$AA$16)*(1-CUSTOS!$M$36)</f>
        <v>255.48200504439134</v>
      </c>
      <c r="AB554" s="4">
        <f t="shared" si="22"/>
        <v>0</v>
      </c>
      <c r="AC554" s="4">
        <f>(L554-M554)*(W554+X554)+($W$557+$X$557-$W$554-$X$554)*(L554)</f>
        <v>448140.20553000044</v>
      </c>
      <c r="AD554" s="4">
        <f t="shared" si="24"/>
        <v>0</v>
      </c>
      <c r="AE554" s="4">
        <f ca="1">(L554-M554)*(Z554+AA554)+($Z$557+$AA$557-$Z$554-$AA$554)*(L554)</f>
        <v>537039.8092877795</v>
      </c>
      <c r="AF554" s="3" t="s">
        <v>955</v>
      </c>
    </row>
    <row r="555" spans="1:32" ht="11.25" customHeight="1" x14ac:dyDescent="0.25">
      <c r="A555" s="3" t="s">
        <v>21</v>
      </c>
      <c r="B555" s="3" t="s">
        <v>22</v>
      </c>
      <c r="C555" s="3" t="s">
        <v>23</v>
      </c>
      <c r="D555" s="3" t="s">
        <v>24</v>
      </c>
      <c r="E555" s="3" t="s">
        <v>31</v>
      </c>
      <c r="F555" s="3" t="s">
        <v>25</v>
      </c>
      <c r="G555" s="3" t="s">
        <v>25</v>
      </c>
      <c r="H555" s="3" t="s">
        <v>25</v>
      </c>
      <c r="I555" s="6">
        <v>44621</v>
      </c>
      <c r="J555" s="4">
        <v>0</v>
      </c>
      <c r="K555" s="4">
        <v>0</v>
      </c>
      <c r="L555" s="4">
        <v>9757.3469999999998</v>
      </c>
      <c r="M555" s="4">
        <v>9757.3469999999998</v>
      </c>
      <c r="N555" s="4">
        <v>9757.3469999999998</v>
      </c>
      <c r="O555" s="4">
        <v>9757.3469999999998</v>
      </c>
      <c r="P555" s="4">
        <v>163822</v>
      </c>
      <c r="Q555" s="3" t="s">
        <v>26</v>
      </c>
      <c r="R555" s="3">
        <v>0</v>
      </c>
      <c r="S555" s="3">
        <v>0</v>
      </c>
      <c r="T555" s="3">
        <v>33</v>
      </c>
      <c r="U555" s="3">
        <v>54</v>
      </c>
      <c r="V555" s="4">
        <f>IF(ISERROR(VLOOKUP($S$555,'TAR FIN'!$A$1:$O$99,15,0)),0,VLOOKUP($S$555,'TAR FIN'!$A$1:$O$99,15,0))</f>
        <v>0</v>
      </c>
      <c r="W555" s="4">
        <f>IF(ISERROR(VLOOKUP($T$555,'TAR FIN'!$A$1:$O$99,15,0)),0,VLOOKUP($T$555,'TAR FIN'!$A$1:$O$99,15,0))</f>
        <v>305.14999999999998</v>
      </c>
      <c r="X555" s="4">
        <f>IF(ISERROR(VLOOKUP($U$555,'TAR FIN'!$A$1:$O$99,15,0)),0,VLOOKUP($U$555,'TAR FIN'!$A$1:$O$99,15,0))</f>
        <v>207.47</v>
      </c>
      <c r="Y555" s="4"/>
      <c r="Z555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55" s="4">
        <f>('TE BE'!$AA$16+'TE BF'!$AA$16+'TE CVA'!$AA$16)*(1-CUSTOS!$M$36)</f>
        <v>255.48200504439134</v>
      </c>
      <c r="AB555" s="4">
        <f t="shared" si="22"/>
        <v>0</v>
      </c>
      <c r="AC555" s="4">
        <f>(L555-M555)*(W555+X555)+($W$557+$X$557-$W$555-$X$555)*(L555)</f>
        <v>555876.0585900005</v>
      </c>
      <c r="AD555" s="4">
        <f t="shared" si="24"/>
        <v>0</v>
      </c>
      <c r="AE555" s="4">
        <f ca="1">(L555-M555)*(Z555+AA555)+($Z$557+$AA$557-$Z$555-$AA$555)*(L555)</f>
        <v>666147.71182995697</v>
      </c>
      <c r="AF555" s="3" t="s">
        <v>955</v>
      </c>
    </row>
    <row r="556" spans="1:32" ht="11.25" customHeight="1" x14ac:dyDescent="0.25">
      <c r="A556" s="3" t="s">
        <v>56</v>
      </c>
      <c r="B556" s="3" t="s">
        <v>22</v>
      </c>
      <c r="C556" s="3" t="s">
        <v>23</v>
      </c>
      <c r="D556" s="3" t="s">
        <v>24</v>
      </c>
      <c r="E556" s="3" t="s">
        <v>31</v>
      </c>
      <c r="F556" s="3" t="s">
        <v>25</v>
      </c>
      <c r="G556" s="3" t="s">
        <v>25</v>
      </c>
      <c r="H556" s="3" t="s">
        <v>25</v>
      </c>
      <c r="I556" s="6">
        <v>44652</v>
      </c>
      <c r="J556" s="4">
        <v>0</v>
      </c>
      <c r="K556" s="4">
        <v>0</v>
      </c>
      <c r="L556" s="4">
        <v>9757.3469999999998</v>
      </c>
      <c r="M556" s="4">
        <v>9757.3469999999998</v>
      </c>
      <c r="N556" s="4">
        <v>9757.3469999999998</v>
      </c>
      <c r="O556" s="4">
        <v>9757.3469999999998</v>
      </c>
      <c r="P556" s="4">
        <v>163822</v>
      </c>
      <c r="Q556" s="3" t="s">
        <v>26</v>
      </c>
      <c r="R556" s="3">
        <v>0</v>
      </c>
      <c r="S556" s="3">
        <v>0</v>
      </c>
      <c r="T556" s="3">
        <v>33</v>
      </c>
      <c r="U556" s="3">
        <v>54</v>
      </c>
      <c r="V556" s="4">
        <f>IF(ISERROR(VLOOKUP($S$556,'TAR FIN'!$A$1:$O$99,15,0)),0,VLOOKUP($S$556,'TAR FIN'!$A$1:$O$99,15,0))</f>
        <v>0</v>
      </c>
      <c r="W556" s="4">
        <f>IF(ISERROR(VLOOKUP($T$556,'TAR FIN'!$A$1:$O$99,15,0)),0,VLOOKUP($T$556,'TAR FIN'!$A$1:$O$99,15,0))</f>
        <v>305.14999999999998</v>
      </c>
      <c r="X556" s="4">
        <f>IF(ISERROR(VLOOKUP($U$556,'TAR FIN'!$A$1:$O$99,15,0)),0,VLOOKUP($U$556,'TAR FIN'!$A$1:$O$99,15,0))</f>
        <v>207.47</v>
      </c>
      <c r="Y556" s="4"/>
      <c r="Z556" s="4">
        <f ca="1">('TUSD BE'!$AM$34+'TUSD BF'!$AM$34+'TUSD CVA'!$AM$34-('TUSD BE'!$P$34+'TUSD BF'!$P$34+'TUSD CVA'!$P$34)-('TUSD BE'!$Q$34+'TUSD BF'!$Q$34+'TUSD CVA'!$Q$34)-('TUSD BE'!$R$34+'TUSD BF'!$R$34+'TUSD CVA'!$R$34))*(1-CUSTOS!$M$36)</f>
        <v>358.96056899439378</v>
      </c>
      <c r="AA556" s="4">
        <f>('TE BE'!$AA$16+'TE BF'!$AA$16+'TE CVA'!$AA$16)*(1-CUSTOS!$M$36)</f>
        <v>255.48200504439134</v>
      </c>
      <c r="AB556" s="4">
        <f t="shared" si="22"/>
        <v>0</v>
      </c>
      <c r="AC556" s="4">
        <f>(L556-M556)*(W556+X556)+($W$557+$X$557-$W$556-$X$556)*(L556)</f>
        <v>555876.0585900005</v>
      </c>
      <c r="AD556" s="4">
        <f t="shared" si="24"/>
        <v>0</v>
      </c>
      <c r="AE556" s="4">
        <f ca="1">(L556-M556)*(Z556+AA556)+($Z$557+$AA$557-$Z$556-$AA$556)*(L556)</f>
        <v>666147.71182995697</v>
      </c>
      <c r="AF556" s="3" t="s">
        <v>955</v>
      </c>
    </row>
    <row r="557" spans="1:32" ht="11.25" customHeight="1" x14ac:dyDescent="0.25">
      <c r="A557" s="3" t="s">
        <v>21</v>
      </c>
      <c r="B557" s="3" t="s">
        <v>22</v>
      </c>
      <c r="C557" s="3" t="s">
        <v>23</v>
      </c>
      <c r="D557" s="3" t="s">
        <v>24</v>
      </c>
      <c r="E557" s="3" t="s">
        <v>32</v>
      </c>
      <c r="F557" s="3" t="s">
        <v>25</v>
      </c>
      <c r="G557" s="3" t="s">
        <v>25</v>
      </c>
      <c r="H557" s="3" t="s">
        <v>25</v>
      </c>
      <c r="I557" s="6">
        <v>44317</v>
      </c>
      <c r="J557" s="4">
        <v>0</v>
      </c>
      <c r="K557" s="4">
        <v>0</v>
      </c>
      <c r="L557" s="4">
        <v>1251.383</v>
      </c>
      <c r="M557" s="4">
        <v>1251.383</v>
      </c>
      <c r="N557" s="4">
        <v>1251.383</v>
      </c>
      <c r="O557" s="4">
        <v>1251.383</v>
      </c>
      <c r="P557" s="4">
        <v>13300</v>
      </c>
      <c r="Q557" s="3" t="s">
        <v>26</v>
      </c>
      <c r="R557" s="3">
        <v>0</v>
      </c>
      <c r="S557" s="3">
        <v>0</v>
      </c>
      <c r="T557" s="3">
        <v>34</v>
      </c>
      <c r="U557" s="3">
        <v>55</v>
      </c>
      <c r="V557" s="4">
        <f>IF(ISERROR(VLOOKUP($S$557,'TAR FIN'!$A$1:$O$99,15,0)),0,VLOOKUP($S$557,'TAR FIN'!$A$1:$O$99,15,0))</f>
        <v>0</v>
      </c>
      <c r="W557" s="4">
        <f>IF(ISERROR(VLOOKUP($T$557,'TAR FIN'!$A$1:$O$99,15,0)),0,VLOOKUP($T$557,'TAR FIN'!$A$1:$O$99,15,0))</f>
        <v>339.06</v>
      </c>
      <c r="X557" s="4">
        <f>IF(ISERROR(VLOOKUP($U$557,'TAR FIN'!$A$1:$O$99,15,0)),0,VLOOKUP($U$557,'TAR FIN'!$A$1:$O$99,15,0))</f>
        <v>230.53</v>
      </c>
      <c r="Y557" s="4"/>
      <c r="Z557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57" s="4">
        <f>('TE BE'!$AA$17+'TE BF'!$AA$17+'TE CVA'!$AA$17)*(1-CUSTOS!$M$37)</f>
        <v>283.86889449376815</v>
      </c>
      <c r="AB557" s="4">
        <f t="shared" si="22"/>
        <v>0</v>
      </c>
      <c r="AC557" s="4">
        <f>(L557-M557)*(W557+X557)+($W$557+$X$557-$W$557-$X$557)*(L557)</f>
        <v>3.5566444012147259E-11</v>
      </c>
      <c r="AD557" s="4">
        <f t="shared" si="24"/>
        <v>0</v>
      </c>
      <c r="AE557" s="4">
        <f ca="1">(L557-M557)*(Z557+AA557)+($Z$557+$AA$557-$Z$557-$AA$557)*(L557)</f>
        <v>-7.1132888024294518E-11</v>
      </c>
      <c r="AF557" s="3" t="s">
        <v>955</v>
      </c>
    </row>
    <row r="558" spans="1:32" ht="11.25" customHeight="1" x14ac:dyDescent="0.25">
      <c r="A558" s="3" t="s">
        <v>21</v>
      </c>
      <c r="B558" s="3" t="s">
        <v>22</v>
      </c>
      <c r="C558" s="3" t="s">
        <v>23</v>
      </c>
      <c r="D558" s="3" t="s">
        <v>24</v>
      </c>
      <c r="E558" s="3" t="s">
        <v>32</v>
      </c>
      <c r="F558" s="3" t="s">
        <v>25</v>
      </c>
      <c r="G558" s="3" t="s">
        <v>25</v>
      </c>
      <c r="H558" s="3" t="s">
        <v>25</v>
      </c>
      <c r="I558" s="6">
        <v>44348</v>
      </c>
      <c r="J558" s="4">
        <v>0</v>
      </c>
      <c r="K558" s="4">
        <v>0</v>
      </c>
      <c r="L558" s="4">
        <v>1007.394</v>
      </c>
      <c r="M558" s="4">
        <v>1007.394</v>
      </c>
      <c r="N558" s="4">
        <v>1007.394</v>
      </c>
      <c r="O558" s="4">
        <v>1007.394</v>
      </c>
      <c r="P558" s="4">
        <v>11410</v>
      </c>
      <c r="Q558" s="3" t="s">
        <v>26</v>
      </c>
      <c r="R558" s="3">
        <v>0</v>
      </c>
      <c r="S558" s="3">
        <v>0</v>
      </c>
      <c r="T558" s="3">
        <v>34</v>
      </c>
      <c r="U558" s="3">
        <v>55</v>
      </c>
      <c r="V558" s="4">
        <f>IF(ISERROR(VLOOKUP($S$558,'TAR FIN'!$A$1:$O$99,15,0)),0,VLOOKUP($S$558,'TAR FIN'!$A$1:$O$99,15,0))</f>
        <v>0</v>
      </c>
      <c r="W558" s="4">
        <f>IF(ISERROR(VLOOKUP($T$558,'TAR FIN'!$A$1:$O$99,15,0)),0,VLOOKUP($T$558,'TAR FIN'!$A$1:$O$99,15,0))</f>
        <v>339.06</v>
      </c>
      <c r="X558" s="4">
        <f>IF(ISERROR(VLOOKUP($U$558,'TAR FIN'!$A$1:$O$99,15,0)),0,VLOOKUP($U$558,'TAR FIN'!$A$1:$O$99,15,0))</f>
        <v>230.53</v>
      </c>
      <c r="Y558" s="4"/>
      <c r="Z558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58" s="4">
        <f>('TE BE'!$AA$17+'TE BF'!$AA$17+'TE CVA'!$AA$17)*(1-CUSTOS!$M$37)</f>
        <v>283.86889449376815</v>
      </c>
      <c r="AB558" s="4">
        <f t="shared" si="22"/>
        <v>0</v>
      </c>
      <c r="AC558" s="4">
        <f>(L558-M558)*(W558+X558)+($W$557+$X$557-$W$558-$X$558)*(L558)</f>
        <v>2.8631859549932415E-11</v>
      </c>
      <c r="AD558" s="4">
        <f t="shared" si="24"/>
        <v>0</v>
      </c>
      <c r="AE558" s="4">
        <f ca="1">(L558-M558)*(Z558+AA558)+($Z$557+$AA$557-$Z$558-$AA$558)*(L558)</f>
        <v>-5.726371909986483E-11</v>
      </c>
      <c r="AF558" s="3" t="s">
        <v>955</v>
      </c>
    </row>
    <row r="559" spans="1:32" ht="11.25" customHeight="1" x14ac:dyDescent="0.25">
      <c r="A559" s="3" t="s">
        <v>21</v>
      </c>
      <c r="B559" s="3" t="s">
        <v>22</v>
      </c>
      <c r="C559" s="3" t="s">
        <v>23</v>
      </c>
      <c r="D559" s="3" t="s">
        <v>24</v>
      </c>
      <c r="E559" s="3" t="s">
        <v>32</v>
      </c>
      <c r="F559" s="3" t="s">
        <v>25</v>
      </c>
      <c r="G559" s="3" t="s">
        <v>25</v>
      </c>
      <c r="H559" s="3" t="s">
        <v>25</v>
      </c>
      <c r="I559" s="6">
        <v>44378</v>
      </c>
      <c r="J559" s="4">
        <v>0</v>
      </c>
      <c r="K559" s="4">
        <v>0</v>
      </c>
      <c r="L559" s="4">
        <v>777.51199999999994</v>
      </c>
      <c r="M559" s="4">
        <v>777.51199999999994</v>
      </c>
      <c r="N559" s="4">
        <v>777.51199999999994</v>
      </c>
      <c r="O559" s="4">
        <v>777.51199999999994</v>
      </c>
      <c r="P559" s="4">
        <v>8641</v>
      </c>
      <c r="Q559" s="3" t="s">
        <v>26</v>
      </c>
      <c r="R559" s="3">
        <v>0</v>
      </c>
      <c r="S559" s="3">
        <v>0</v>
      </c>
      <c r="T559" s="3">
        <v>34</v>
      </c>
      <c r="U559" s="3">
        <v>55</v>
      </c>
      <c r="V559" s="4">
        <f>IF(ISERROR(VLOOKUP($S$559,'TAR FIN'!$A$1:$O$99,15,0)),0,VLOOKUP($S$559,'TAR FIN'!$A$1:$O$99,15,0))</f>
        <v>0</v>
      </c>
      <c r="W559" s="4">
        <f>IF(ISERROR(VLOOKUP($T$559,'TAR FIN'!$A$1:$O$99,15,0)),0,VLOOKUP($T$559,'TAR FIN'!$A$1:$O$99,15,0))</f>
        <v>339.06</v>
      </c>
      <c r="X559" s="4">
        <f>IF(ISERROR(VLOOKUP($U$559,'TAR FIN'!$A$1:$O$99,15,0)),0,VLOOKUP($U$559,'TAR FIN'!$A$1:$O$99,15,0))</f>
        <v>230.53</v>
      </c>
      <c r="Y559" s="4"/>
      <c r="Z559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59" s="4">
        <f>('TE BE'!$AA$17+'TE BF'!$AA$17+'TE CVA'!$AA$17)*(1-CUSTOS!$M$37)</f>
        <v>283.86889449376815</v>
      </c>
      <c r="AB559" s="4">
        <f t="shared" si="22"/>
        <v>0</v>
      </c>
      <c r="AC559" s="4">
        <f>(L559-M559)*(W559+X559)+($W$557+$X$557-$W$559-$X$559)*(L559)</f>
        <v>2.2098220142652279E-11</v>
      </c>
      <c r="AD559" s="4">
        <f t="shared" si="24"/>
        <v>0</v>
      </c>
      <c r="AE559" s="4">
        <f ca="1">(L559-M559)*(Z559+AA559)+($Z$557+$AA$557-$Z$559-$AA$559)*(L559)</f>
        <v>-4.4196440285304558E-11</v>
      </c>
      <c r="AF559" s="3" t="s">
        <v>955</v>
      </c>
    </row>
    <row r="560" spans="1:32" ht="11.25" customHeight="1" x14ac:dyDescent="0.25">
      <c r="A560" s="3" t="s">
        <v>27</v>
      </c>
      <c r="B560" s="3" t="s">
        <v>22</v>
      </c>
      <c r="C560" s="3" t="s">
        <v>23</v>
      </c>
      <c r="D560" s="3" t="s">
        <v>24</v>
      </c>
      <c r="E560" s="3" t="s">
        <v>32</v>
      </c>
      <c r="F560" s="3" t="s">
        <v>25</v>
      </c>
      <c r="G560" s="3" t="s">
        <v>25</v>
      </c>
      <c r="H560" s="3" t="s">
        <v>25</v>
      </c>
      <c r="I560" s="6">
        <v>44378</v>
      </c>
      <c r="J560" s="4">
        <v>0</v>
      </c>
      <c r="K560" s="4">
        <v>0</v>
      </c>
      <c r="L560" s="4">
        <v>-1012.818</v>
      </c>
      <c r="M560" s="4">
        <v>-1012.818</v>
      </c>
      <c r="N560" s="4">
        <v>-1012.818</v>
      </c>
      <c r="O560" s="4">
        <v>-1012.818</v>
      </c>
      <c r="P560" s="4">
        <v>-41</v>
      </c>
      <c r="Q560" s="3" t="s">
        <v>26</v>
      </c>
      <c r="R560" s="3">
        <v>0</v>
      </c>
      <c r="S560" s="3">
        <v>0</v>
      </c>
      <c r="T560" s="3">
        <v>34</v>
      </c>
      <c r="U560" s="3">
        <v>55</v>
      </c>
      <c r="V560" s="4">
        <f>IF(ISERROR(VLOOKUP($S$560,'TAR FIN'!$A$1:$O$99,15,0)),0,VLOOKUP($S$560,'TAR FIN'!$A$1:$O$99,15,0))</f>
        <v>0</v>
      </c>
      <c r="W560" s="4">
        <f>IF(ISERROR(VLOOKUP($T$560,'TAR FIN'!$A$1:$O$99,15,0)),0,VLOOKUP($T$560,'TAR FIN'!$A$1:$O$99,15,0))</f>
        <v>339.06</v>
      </c>
      <c r="X560" s="4">
        <f>IF(ISERROR(VLOOKUP($U$560,'TAR FIN'!$A$1:$O$99,15,0)),0,VLOOKUP($U$560,'TAR FIN'!$A$1:$O$99,15,0))</f>
        <v>230.53</v>
      </c>
      <c r="Y560" s="4"/>
      <c r="Z560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0" s="4">
        <f>('TE BE'!$AA$17+'TE BF'!$AA$17+'TE CVA'!$AA$17)*(1-CUSTOS!$M$37)</f>
        <v>283.86889449376815</v>
      </c>
      <c r="AB560" s="4">
        <f t="shared" si="22"/>
        <v>0</v>
      </c>
      <c r="AC560" s="4">
        <f>(L560-M560)*(W560+X560)+($W$557+$X$557-$W$560-$X$560)*(L560)</f>
        <v>-2.8786018901882926E-11</v>
      </c>
      <c r="AD560" s="4">
        <f t="shared" si="24"/>
        <v>0</v>
      </c>
      <c r="AE560" s="4">
        <f ca="1">(L560-M560)*(Z560+AA560)+($Z$557+$AA$557-$Z$560-$AA$560)*(L560)</f>
        <v>5.7572037803765851E-11</v>
      </c>
      <c r="AF560" s="3" t="s">
        <v>955</v>
      </c>
    </row>
    <row r="561" spans="1:32" ht="11.25" customHeight="1" x14ac:dyDescent="0.25">
      <c r="A561" s="3" t="s">
        <v>21</v>
      </c>
      <c r="B561" s="3" t="s">
        <v>22</v>
      </c>
      <c r="C561" s="3" t="s">
        <v>23</v>
      </c>
      <c r="D561" s="3" t="s">
        <v>24</v>
      </c>
      <c r="E561" s="3" t="s">
        <v>32</v>
      </c>
      <c r="F561" s="3" t="s">
        <v>25</v>
      </c>
      <c r="G561" s="3" t="s">
        <v>25</v>
      </c>
      <c r="H561" s="3" t="s">
        <v>25</v>
      </c>
      <c r="I561" s="6">
        <v>44409</v>
      </c>
      <c r="J561" s="4">
        <v>0</v>
      </c>
      <c r="K561" s="4">
        <v>0</v>
      </c>
      <c r="L561" s="4">
        <v>721.98299999999995</v>
      </c>
      <c r="M561" s="4">
        <v>721.98299999999995</v>
      </c>
      <c r="N561" s="4">
        <v>721.98299999999995</v>
      </c>
      <c r="O561" s="4">
        <v>721.98299999999995</v>
      </c>
      <c r="P561" s="4">
        <v>7999</v>
      </c>
      <c r="Q561" s="3" t="s">
        <v>26</v>
      </c>
      <c r="R561" s="3">
        <v>0</v>
      </c>
      <c r="S561" s="3">
        <v>0</v>
      </c>
      <c r="T561" s="3">
        <v>34</v>
      </c>
      <c r="U561" s="3">
        <v>55</v>
      </c>
      <c r="V561" s="4">
        <f>IF(ISERROR(VLOOKUP($S$561,'TAR FIN'!$A$1:$O$99,15,0)),0,VLOOKUP($S$561,'TAR FIN'!$A$1:$O$99,15,0))</f>
        <v>0</v>
      </c>
      <c r="W561" s="4">
        <f>IF(ISERROR(VLOOKUP($T$561,'TAR FIN'!$A$1:$O$99,15,0)),0,VLOOKUP($T$561,'TAR FIN'!$A$1:$O$99,15,0))</f>
        <v>339.06</v>
      </c>
      <c r="X561" s="4">
        <f>IF(ISERROR(VLOOKUP($U$561,'TAR FIN'!$A$1:$O$99,15,0)),0,VLOOKUP($U$561,'TAR FIN'!$A$1:$O$99,15,0))</f>
        <v>230.53</v>
      </c>
      <c r="Y561" s="4"/>
      <c r="Z561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1" s="4">
        <f>('TE BE'!$AA$17+'TE BF'!$AA$17+'TE CVA'!$AA$17)*(1-CUSTOS!$M$37)</f>
        <v>283.86889449376815</v>
      </c>
      <c r="AB561" s="4">
        <f t="shared" si="22"/>
        <v>0</v>
      </c>
      <c r="AC561" s="4">
        <f>(L561-M561)*(W561+X561)+($W$557+$X$557-$W$561-$X$561)*(L561)</f>
        <v>2.0519991039691375E-11</v>
      </c>
      <c r="AD561" s="4">
        <f t="shared" si="24"/>
        <v>0</v>
      </c>
      <c r="AE561" s="4">
        <f ca="1">(L561-M561)*(Z561+AA561)+($Z$557+$AA$557-$Z$561-$AA$561)*(L561)</f>
        <v>-4.103998207938275E-11</v>
      </c>
      <c r="AF561" s="3" t="s">
        <v>955</v>
      </c>
    </row>
    <row r="562" spans="1:32" ht="11.25" customHeight="1" x14ac:dyDescent="0.25">
      <c r="A562" s="3" t="s">
        <v>21</v>
      </c>
      <c r="B562" s="3" t="s">
        <v>22</v>
      </c>
      <c r="C562" s="3" t="s">
        <v>23</v>
      </c>
      <c r="D562" s="3" t="s">
        <v>24</v>
      </c>
      <c r="E562" s="3" t="s">
        <v>32</v>
      </c>
      <c r="F562" s="3" t="s">
        <v>25</v>
      </c>
      <c r="G562" s="3" t="s">
        <v>25</v>
      </c>
      <c r="H562" s="3" t="s">
        <v>25</v>
      </c>
      <c r="I562" s="6">
        <v>44440</v>
      </c>
      <c r="J562" s="4">
        <v>0</v>
      </c>
      <c r="K562" s="4">
        <v>0</v>
      </c>
      <c r="L562" s="4">
        <v>886.71199999999999</v>
      </c>
      <c r="M562" s="4">
        <v>886.71199999999999</v>
      </c>
      <c r="N562" s="4">
        <v>886.71199999999999</v>
      </c>
      <c r="O562" s="4">
        <v>886.71199999999999</v>
      </c>
      <c r="P562" s="4">
        <v>9854</v>
      </c>
      <c r="Q562" s="3" t="s">
        <v>26</v>
      </c>
      <c r="R562" s="3">
        <v>0</v>
      </c>
      <c r="S562" s="3">
        <v>0</v>
      </c>
      <c r="T562" s="3">
        <v>34</v>
      </c>
      <c r="U562" s="3">
        <v>55</v>
      </c>
      <c r="V562" s="4">
        <f>IF(ISERROR(VLOOKUP($S$562,'TAR FIN'!$A$1:$O$99,15,0)),0,VLOOKUP($S$562,'TAR FIN'!$A$1:$O$99,15,0))</f>
        <v>0</v>
      </c>
      <c r="W562" s="4">
        <f>IF(ISERROR(VLOOKUP($T$562,'TAR FIN'!$A$1:$O$99,15,0)),0,VLOOKUP($T$562,'TAR FIN'!$A$1:$O$99,15,0))</f>
        <v>339.06</v>
      </c>
      <c r="X562" s="4">
        <f>IF(ISERROR(VLOOKUP($U$562,'TAR FIN'!$A$1:$O$99,15,0)),0,VLOOKUP($U$562,'TAR FIN'!$A$1:$O$99,15,0))</f>
        <v>230.53</v>
      </c>
      <c r="Y562" s="4"/>
      <c r="Z562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2" s="4">
        <f>('TE BE'!$AA$17+'TE BF'!$AA$17+'TE CVA'!$AA$17)*(1-CUSTOS!$M$37)</f>
        <v>283.86889449376815</v>
      </c>
      <c r="AB562" s="4">
        <f t="shared" si="22"/>
        <v>0</v>
      </c>
      <c r="AC562" s="4">
        <f>(L562-M562)*(W562+X562)+($W$557+$X$557-$W$562-$X$562)*(L562)</f>
        <v>2.5201870812452398E-11</v>
      </c>
      <c r="AD562" s="4">
        <f t="shared" si="24"/>
        <v>0</v>
      </c>
      <c r="AE562" s="4">
        <f ca="1">(L562-M562)*(Z562+AA562)+($Z$557+$AA$557-$Z$562-$AA$562)*(L562)</f>
        <v>-5.0403741624904796E-11</v>
      </c>
      <c r="AF562" s="3" t="s">
        <v>955</v>
      </c>
    </row>
    <row r="563" spans="1:32" ht="11.25" customHeight="1" x14ac:dyDescent="0.25">
      <c r="A563" s="3" t="s">
        <v>21</v>
      </c>
      <c r="B563" s="3" t="s">
        <v>22</v>
      </c>
      <c r="C563" s="3" t="s">
        <v>23</v>
      </c>
      <c r="D563" s="3" t="s">
        <v>24</v>
      </c>
      <c r="E563" s="3" t="s">
        <v>32</v>
      </c>
      <c r="F563" s="3" t="s">
        <v>25</v>
      </c>
      <c r="G563" s="3" t="s">
        <v>25</v>
      </c>
      <c r="H563" s="3" t="s">
        <v>25</v>
      </c>
      <c r="I563" s="6">
        <v>44470</v>
      </c>
      <c r="J563" s="4">
        <v>0</v>
      </c>
      <c r="K563" s="4">
        <v>0</v>
      </c>
      <c r="L563" s="4">
        <v>1087.183</v>
      </c>
      <c r="M563" s="4">
        <v>1087.183</v>
      </c>
      <c r="N563" s="4">
        <v>1087.183</v>
      </c>
      <c r="O563" s="4">
        <v>1087.183</v>
      </c>
      <c r="P563" s="4">
        <v>12032</v>
      </c>
      <c r="Q563" s="3" t="s">
        <v>26</v>
      </c>
      <c r="R563" s="3">
        <v>0</v>
      </c>
      <c r="S563" s="3">
        <v>0</v>
      </c>
      <c r="T563" s="3">
        <v>34</v>
      </c>
      <c r="U563" s="3">
        <v>55</v>
      </c>
      <c r="V563" s="4">
        <f>IF(ISERROR(VLOOKUP($S$563,'TAR FIN'!$A$1:$O$99,15,0)),0,VLOOKUP($S$563,'TAR FIN'!$A$1:$O$99,15,0))</f>
        <v>0</v>
      </c>
      <c r="W563" s="4">
        <f>IF(ISERROR(VLOOKUP($T$563,'TAR FIN'!$A$1:$O$99,15,0)),0,VLOOKUP($T$563,'TAR FIN'!$A$1:$O$99,15,0))</f>
        <v>339.06</v>
      </c>
      <c r="X563" s="4">
        <f>IF(ISERROR(VLOOKUP($U$563,'TAR FIN'!$A$1:$O$99,15,0)),0,VLOOKUP($U$563,'TAR FIN'!$A$1:$O$99,15,0))</f>
        <v>230.53</v>
      </c>
      <c r="Y563" s="4"/>
      <c r="Z563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3" s="4">
        <f>('TE BE'!$AA$17+'TE BF'!$AA$17+'TE CVA'!$AA$17)*(1-CUSTOS!$M$37)</f>
        <v>283.86889449376815</v>
      </c>
      <c r="AB563" s="4">
        <f t="shared" si="22"/>
        <v>0</v>
      </c>
      <c r="AC563" s="4">
        <f>(L563-M563)*(W563+X563)+($W$557+$X$557-$W$563-$X$563)*(L563)</f>
        <v>3.089959932367492E-11</v>
      </c>
      <c r="AD563" s="4">
        <f t="shared" si="24"/>
        <v>0</v>
      </c>
      <c r="AE563" s="4">
        <f ca="1">(L563-M563)*(Z563+AA563)+($Z$557+$AA$557-$Z$563-$AA$563)*(L563)</f>
        <v>-6.179919864734984E-11</v>
      </c>
      <c r="AF563" s="3" t="s">
        <v>955</v>
      </c>
    </row>
    <row r="564" spans="1:32" ht="11.25" customHeight="1" x14ac:dyDescent="0.25">
      <c r="A564" s="3" t="s">
        <v>21</v>
      </c>
      <c r="B564" s="3" t="s">
        <v>22</v>
      </c>
      <c r="C564" s="3" t="s">
        <v>23</v>
      </c>
      <c r="D564" s="3" t="s">
        <v>24</v>
      </c>
      <c r="E564" s="3" t="s">
        <v>32</v>
      </c>
      <c r="F564" s="3" t="s">
        <v>25</v>
      </c>
      <c r="G564" s="3" t="s">
        <v>25</v>
      </c>
      <c r="H564" s="3" t="s">
        <v>25</v>
      </c>
      <c r="I564" s="6">
        <v>44501</v>
      </c>
      <c r="J564" s="4">
        <v>0</v>
      </c>
      <c r="K564" s="4">
        <v>0</v>
      </c>
      <c r="L564" s="4">
        <v>1353.7639999999999</v>
      </c>
      <c r="M564" s="4">
        <v>1353.7639999999999</v>
      </c>
      <c r="N564" s="4">
        <v>1353.7639999999999</v>
      </c>
      <c r="O564" s="4">
        <v>1353.7639999999999</v>
      </c>
      <c r="P564" s="4">
        <v>14736</v>
      </c>
      <c r="Q564" s="3" t="s">
        <v>26</v>
      </c>
      <c r="R564" s="3">
        <v>0</v>
      </c>
      <c r="S564" s="3">
        <v>0</v>
      </c>
      <c r="T564" s="3">
        <v>34</v>
      </c>
      <c r="U564" s="3">
        <v>55</v>
      </c>
      <c r="V564" s="4">
        <f>IF(ISERROR(VLOOKUP($S$564,'TAR FIN'!$A$1:$O$99,15,0)),0,VLOOKUP($S$564,'TAR FIN'!$A$1:$O$99,15,0))</f>
        <v>0</v>
      </c>
      <c r="W564" s="4">
        <f>IF(ISERROR(VLOOKUP($T$564,'TAR FIN'!$A$1:$O$99,15,0)),0,VLOOKUP($T$564,'TAR FIN'!$A$1:$O$99,15,0))</f>
        <v>339.06</v>
      </c>
      <c r="X564" s="4">
        <f>IF(ISERROR(VLOOKUP($U$564,'TAR FIN'!$A$1:$O$99,15,0)),0,VLOOKUP($U$564,'TAR FIN'!$A$1:$O$99,15,0))</f>
        <v>230.53</v>
      </c>
      <c r="Y564" s="4"/>
      <c r="Z564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4" s="4">
        <f>('TE BE'!$AA$17+'TE BF'!$AA$17+'TE CVA'!$AA$17)*(1-CUSTOS!$M$37)</f>
        <v>283.86889449376815</v>
      </c>
      <c r="AB564" s="4">
        <f t="shared" si="22"/>
        <v>0</v>
      </c>
      <c r="AC564" s="4">
        <f>(L564-M564)*(W564+X564)+($W$557+$X$557-$W$564-$X$564)*(L564)</f>
        <v>3.8476287045341448E-11</v>
      </c>
      <c r="AD564" s="4">
        <f t="shared" si="24"/>
        <v>0</v>
      </c>
      <c r="AE564" s="4">
        <f ca="1">(L564-M564)*(Z564+AA564)+($Z$557+$AA$557-$Z$564-$AA$564)*(L564)</f>
        <v>-7.6952574090682896E-11</v>
      </c>
      <c r="AF564" s="3" t="s">
        <v>955</v>
      </c>
    </row>
    <row r="565" spans="1:32" ht="11.25" customHeight="1" x14ac:dyDescent="0.25">
      <c r="A565" s="3" t="s">
        <v>21</v>
      </c>
      <c r="B565" s="3" t="s">
        <v>22</v>
      </c>
      <c r="C565" s="3" t="s">
        <v>23</v>
      </c>
      <c r="D565" s="3" t="s">
        <v>24</v>
      </c>
      <c r="E565" s="3" t="s">
        <v>32</v>
      </c>
      <c r="F565" s="3" t="s">
        <v>25</v>
      </c>
      <c r="G565" s="3" t="s">
        <v>25</v>
      </c>
      <c r="H565" s="3" t="s">
        <v>25</v>
      </c>
      <c r="I565" s="6">
        <v>44531</v>
      </c>
      <c r="J565" s="4">
        <v>0</v>
      </c>
      <c r="K565" s="4">
        <v>0</v>
      </c>
      <c r="L565" s="4">
        <v>1757.1959999999999</v>
      </c>
      <c r="M565" s="4">
        <v>1757.1959999999999</v>
      </c>
      <c r="N565" s="4">
        <v>1757.1959999999999</v>
      </c>
      <c r="O565" s="4">
        <v>1757.1959999999999</v>
      </c>
      <c r="P565" s="4">
        <v>17963</v>
      </c>
      <c r="Q565" s="3" t="s">
        <v>26</v>
      </c>
      <c r="R565" s="3">
        <v>0</v>
      </c>
      <c r="S565" s="3">
        <v>0</v>
      </c>
      <c r="T565" s="3">
        <v>34</v>
      </c>
      <c r="U565" s="3">
        <v>55</v>
      </c>
      <c r="V565" s="4">
        <f>IF(ISERROR(VLOOKUP($S$565,'TAR FIN'!$A$1:$O$99,15,0)),0,VLOOKUP($S$565,'TAR FIN'!$A$1:$O$99,15,0))</f>
        <v>0</v>
      </c>
      <c r="W565" s="4">
        <f>IF(ISERROR(VLOOKUP($T$565,'TAR FIN'!$A$1:$O$99,15,0)),0,VLOOKUP($T$565,'TAR FIN'!$A$1:$O$99,15,0))</f>
        <v>339.06</v>
      </c>
      <c r="X565" s="4">
        <f>IF(ISERROR(VLOOKUP($U$565,'TAR FIN'!$A$1:$O$99,15,0)),0,VLOOKUP($U$565,'TAR FIN'!$A$1:$O$99,15,0))</f>
        <v>230.53</v>
      </c>
      <c r="Y565" s="4"/>
      <c r="Z565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5" s="4">
        <f>('TE BE'!$AA$17+'TE BF'!$AA$17+'TE CVA'!$AA$17)*(1-CUSTOS!$M$37)</f>
        <v>283.86889449376815</v>
      </c>
      <c r="AB565" s="4">
        <f t="shared" si="22"/>
        <v>0</v>
      </c>
      <c r="AC565" s="4">
        <f>(L565-M565)*(W565+X565)+($W$557+$X$557-$W$565-$X$565)*(L565)</f>
        <v>4.9942514124268198E-11</v>
      </c>
      <c r="AD565" s="4">
        <f t="shared" si="24"/>
        <v>0</v>
      </c>
      <c r="AE565" s="4">
        <f ca="1">(L565-M565)*(Z565+AA565)+($Z$557+$AA$557-$Z$565-$AA$565)*(L565)</f>
        <v>-9.9885028248536396E-11</v>
      </c>
      <c r="AF565" s="3" t="s">
        <v>955</v>
      </c>
    </row>
    <row r="566" spans="1:32" ht="11.25" customHeight="1" x14ac:dyDescent="0.25">
      <c r="A566" s="3" t="s">
        <v>21</v>
      </c>
      <c r="B566" s="3" t="s">
        <v>22</v>
      </c>
      <c r="C566" s="3" t="s">
        <v>23</v>
      </c>
      <c r="D566" s="3" t="s">
        <v>24</v>
      </c>
      <c r="E566" s="3" t="s">
        <v>32</v>
      </c>
      <c r="F566" s="3" t="s">
        <v>25</v>
      </c>
      <c r="G566" s="3" t="s">
        <v>25</v>
      </c>
      <c r="H566" s="3" t="s">
        <v>25</v>
      </c>
      <c r="I566" s="6">
        <v>44562</v>
      </c>
      <c r="J566" s="4">
        <v>0</v>
      </c>
      <c r="K566" s="4">
        <v>0</v>
      </c>
      <c r="L566" s="4">
        <v>1811.5360000000001</v>
      </c>
      <c r="M566" s="4">
        <v>1811.5360000000001</v>
      </c>
      <c r="N566" s="4">
        <v>1811.5360000000001</v>
      </c>
      <c r="O566" s="4">
        <v>1811.5360000000001</v>
      </c>
      <c r="P566" s="4">
        <v>18068</v>
      </c>
      <c r="Q566" s="3" t="s">
        <v>26</v>
      </c>
      <c r="R566" s="3">
        <v>0</v>
      </c>
      <c r="S566" s="3">
        <v>0</v>
      </c>
      <c r="T566" s="3">
        <v>34</v>
      </c>
      <c r="U566" s="3">
        <v>55</v>
      </c>
      <c r="V566" s="4">
        <f>IF(ISERROR(VLOOKUP($S$566,'TAR FIN'!$A$1:$O$99,15,0)),0,VLOOKUP($S$566,'TAR FIN'!$A$1:$O$99,15,0))</f>
        <v>0</v>
      </c>
      <c r="W566" s="4">
        <f>IF(ISERROR(VLOOKUP($T$566,'TAR FIN'!$A$1:$O$99,15,0)),0,VLOOKUP($T$566,'TAR FIN'!$A$1:$O$99,15,0))</f>
        <v>339.06</v>
      </c>
      <c r="X566" s="4">
        <f>IF(ISERROR(VLOOKUP($U$566,'TAR FIN'!$A$1:$O$99,15,0)),0,VLOOKUP($U$566,'TAR FIN'!$A$1:$O$99,15,0))</f>
        <v>230.53</v>
      </c>
      <c r="Y566" s="4"/>
      <c r="Z566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6" s="4">
        <f>('TE BE'!$AA$17+'TE BF'!$AA$17+'TE CVA'!$AA$17)*(1-CUSTOS!$M$37)</f>
        <v>283.86889449376815</v>
      </c>
      <c r="AB566" s="4">
        <f t="shared" si="22"/>
        <v>0</v>
      </c>
      <c r="AC566" s="4">
        <f>(L566-M566)*(W566+X566)+($W$557+$X$557-$W$566-$X$566)*(L566)</f>
        <v>5.1486949814716356E-11</v>
      </c>
      <c r="AD566" s="4">
        <f t="shared" si="24"/>
        <v>0</v>
      </c>
      <c r="AE566" s="4">
        <f ca="1">(L566-M566)*(Z566+AA566)+($Z$557+$AA$557-$Z$566-$AA$566)*(L566)</f>
        <v>-1.0297389962943271E-10</v>
      </c>
      <c r="AF566" s="3" t="s">
        <v>955</v>
      </c>
    </row>
    <row r="567" spans="1:32" ht="11.25" customHeight="1" x14ac:dyDescent="0.25">
      <c r="A567" s="3" t="s">
        <v>21</v>
      </c>
      <c r="B567" s="3" t="s">
        <v>22</v>
      </c>
      <c r="C567" s="3" t="s">
        <v>23</v>
      </c>
      <c r="D567" s="3" t="s">
        <v>24</v>
      </c>
      <c r="E567" s="3" t="s">
        <v>32</v>
      </c>
      <c r="F567" s="3" t="s">
        <v>25</v>
      </c>
      <c r="G567" s="3" t="s">
        <v>25</v>
      </c>
      <c r="H567" s="3" t="s">
        <v>25</v>
      </c>
      <c r="I567" s="6">
        <v>44593</v>
      </c>
      <c r="J567" s="4">
        <v>0</v>
      </c>
      <c r="K567" s="4">
        <v>0</v>
      </c>
      <c r="L567" s="4">
        <v>1773.5150000000001</v>
      </c>
      <c r="M567" s="4">
        <v>1773.5150000000001</v>
      </c>
      <c r="N567" s="4">
        <v>1773.5150000000001</v>
      </c>
      <c r="O567" s="4">
        <v>1773.5150000000001</v>
      </c>
      <c r="P567" s="4">
        <v>17479</v>
      </c>
      <c r="Q567" s="3" t="s">
        <v>26</v>
      </c>
      <c r="R567" s="3">
        <v>0</v>
      </c>
      <c r="S567" s="3">
        <v>0</v>
      </c>
      <c r="T567" s="3">
        <v>34</v>
      </c>
      <c r="U567" s="3">
        <v>55</v>
      </c>
      <c r="V567" s="4">
        <f>IF(ISERROR(VLOOKUP($S$567,'TAR FIN'!$A$1:$O$99,15,0)),0,VLOOKUP($S$567,'TAR FIN'!$A$1:$O$99,15,0))</f>
        <v>0</v>
      </c>
      <c r="W567" s="4">
        <f>IF(ISERROR(VLOOKUP($T$567,'TAR FIN'!$A$1:$O$99,15,0)),0,VLOOKUP($T$567,'TAR FIN'!$A$1:$O$99,15,0))</f>
        <v>339.06</v>
      </c>
      <c r="X567" s="4">
        <f>IF(ISERROR(VLOOKUP($U$567,'TAR FIN'!$A$1:$O$99,15,0)),0,VLOOKUP($U$567,'TAR FIN'!$A$1:$O$99,15,0))</f>
        <v>230.53</v>
      </c>
      <c r="Y567" s="4"/>
      <c r="Z567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7" s="4">
        <f>('TE BE'!$AA$17+'TE BF'!$AA$17+'TE CVA'!$AA$17)*(1-CUSTOS!$M$37)</f>
        <v>283.86889449376815</v>
      </c>
      <c r="AB567" s="4">
        <f t="shared" si="22"/>
        <v>0</v>
      </c>
      <c r="AC567" s="4">
        <f>(L567-M567)*(W567+X567)+($W$557+$X$557-$W$567-$X$567)*(L567)</f>
        <v>5.0406328000462966E-11</v>
      </c>
      <c r="AD567" s="4">
        <f t="shared" si="24"/>
        <v>0</v>
      </c>
      <c r="AE567" s="4">
        <f ca="1">(L567-M567)*(Z567+AA567)+($Z$557+$AA$557-$Z$567-$AA$567)*(L567)</f>
        <v>-1.0081265600092593E-10</v>
      </c>
      <c r="AF567" s="3" t="s">
        <v>955</v>
      </c>
    </row>
    <row r="568" spans="1:32" ht="11.25" customHeight="1" x14ac:dyDescent="0.25">
      <c r="A568" s="3" t="s">
        <v>21</v>
      </c>
      <c r="B568" s="3" t="s">
        <v>22</v>
      </c>
      <c r="C568" s="3" t="s">
        <v>23</v>
      </c>
      <c r="D568" s="3" t="s">
        <v>24</v>
      </c>
      <c r="E568" s="3" t="s">
        <v>32</v>
      </c>
      <c r="F568" s="3" t="s">
        <v>25</v>
      </c>
      <c r="G568" s="3" t="s">
        <v>25</v>
      </c>
      <c r="H568" s="3" t="s">
        <v>25</v>
      </c>
      <c r="I568" s="6">
        <v>44621</v>
      </c>
      <c r="J568" s="4">
        <v>0</v>
      </c>
      <c r="K568" s="4">
        <v>0</v>
      </c>
      <c r="L568" s="4">
        <v>2266.096</v>
      </c>
      <c r="M568" s="4">
        <v>2266.096</v>
      </c>
      <c r="N568" s="4">
        <v>2266.096</v>
      </c>
      <c r="O568" s="4">
        <v>2266.096</v>
      </c>
      <c r="P568" s="4">
        <v>23101</v>
      </c>
      <c r="Q568" s="3" t="s">
        <v>26</v>
      </c>
      <c r="R568" s="3">
        <v>0</v>
      </c>
      <c r="S568" s="3">
        <v>0</v>
      </c>
      <c r="T568" s="3">
        <v>34</v>
      </c>
      <c r="U568" s="3">
        <v>55</v>
      </c>
      <c r="V568" s="4">
        <f>IF(ISERROR(VLOOKUP($S$568,'TAR FIN'!$A$1:$O$99,15,0)),0,VLOOKUP($S$568,'TAR FIN'!$A$1:$O$99,15,0))</f>
        <v>0</v>
      </c>
      <c r="W568" s="4">
        <f>IF(ISERROR(VLOOKUP($T$568,'TAR FIN'!$A$1:$O$99,15,0)),0,VLOOKUP($T$568,'TAR FIN'!$A$1:$O$99,15,0))</f>
        <v>339.06</v>
      </c>
      <c r="X568" s="4">
        <f>IF(ISERROR(VLOOKUP($U$568,'TAR FIN'!$A$1:$O$99,15,0)),0,VLOOKUP($U$568,'TAR FIN'!$A$1:$O$99,15,0))</f>
        <v>230.53</v>
      </c>
      <c r="Y568" s="4"/>
      <c r="Z568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8" s="4">
        <f>('TE BE'!$AA$17+'TE BF'!$AA$17+'TE CVA'!$AA$17)*(1-CUSTOS!$M$37)</f>
        <v>283.86889449376815</v>
      </c>
      <c r="AB568" s="4">
        <f t="shared" si="22"/>
        <v>0</v>
      </c>
      <c r="AC568" s="4">
        <f>(L568-M568)*(W568+X568)+($W$557+$X$557-$W$568-$X$568)*(L568)</f>
        <v>6.44063220534008E-11</v>
      </c>
      <c r="AD568" s="4">
        <f t="shared" si="24"/>
        <v>0</v>
      </c>
      <c r="AE568" s="4">
        <f ca="1">(L568-M568)*(Z568+AA568)+($Z$557+$AA$557-$Z$568-$AA$568)*(L568)</f>
        <v>-1.288126441068016E-10</v>
      </c>
      <c r="AF568" s="3" t="s">
        <v>955</v>
      </c>
    </row>
    <row r="569" spans="1:32" ht="11.25" customHeight="1" x14ac:dyDescent="0.25">
      <c r="A569" s="3" t="s">
        <v>56</v>
      </c>
      <c r="B569" s="3" t="s">
        <v>22</v>
      </c>
      <c r="C569" s="3" t="s">
        <v>23</v>
      </c>
      <c r="D569" s="3" t="s">
        <v>24</v>
      </c>
      <c r="E569" s="3" t="s">
        <v>32</v>
      </c>
      <c r="F569" s="3" t="s">
        <v>25</v>
      </c>
      <c r="G569" s="3" t="s">
        <v>25</v>
      </c>
      <c r="H569" s="3" t="s">
        <v>25</v>
      </c>
      <c r="I569" s="6">
        <v>44652</v>
      </c>
      <c r="J569" s="4">
        <v>0</v>
      </c>
      <c r="K569" s="4">
        <v>0</v>
      </c>
      <c r="L569" s="4">
        <v>2266.096</v>
      </c>
      <c r="M569" s="4">
        <v>2266.096</v>
      </c>
      <c r="N569" s="4">
        <v>2266.096</v>
      </c>
      <c r="O569" s="4">
        <v>2266.096</v>
      </c>
      <c r="P569" s="4">
        <v>23101</v>
      </c>
      <c r="Q569" s="3" t="s">
        <v>26</v>
      </c>
      <c r="R569" s="3">
        <v>0</v>
      </c>
      <c r="S569" s="3">
        <v>0</v>
      </c>
      <c r="T569" s="3">
        <v>34</v>
      </c>
      <c r="U569" s="3">
        <v>55</v>
      </c>
      <c r="V569" s="4">
        <f>IF(ISERROR(VLOOKUP($S$569,'TAR FIN'!$A$1:$O$99,15,0)),0,VLOOKUP($S$569,'TAR FIN'!$A$1:$O$99,15,0))</f>
        <v>0</v>
      </c>
      <c r="W569" s="4">
        <f>IF(ISERROR(VLOOKUP($T$569,'TAR FIN'!$A$1:$O$99,15,0)),0,VLOOKUP($T$569,'TAR FIN'!$A$1:$O$99,15,0))</f>
        <v>339.06</v>
      </c>
      <c r="X569" s="4">
        <f>IF(ISERROR(VLOOKUP($U$569,'TAR FIN'!$A$1:$O$99,15,0)),0,VLOOKUP($U$569,'TAR FIN'!$A$1:$O$99,15,0))</f>
        <v>230.53</v>
      </c>
      <c r="Y569" s="4"/>
      <c r="Z569" s="4">
        <f ca="1">('TUSD BE'!$AM$35+'TUSD BF'!$AM$35+'TUSD CVA'!$AM$35-('TUSD BE'!$P$35+'TUSD BF'!$P$35+'TUSD CVA'!$P$35)-('TUSD BE'!$Q$35+'TUSD BF'!$Q$35+'TUSD CVA'!$Q$35)-('TUSD BE'!$R$35+'TUSD BF'!$R$35+'TUSD CVA'!$R$35))*(1-CUSTOS!$M$37)</f>
        <v>398.84507666043754</v>
      </c>
      <c r="AA569" s="4">
        <f>('TE BE'!$AA$17+'TE BF'!$AA$17+'TE CVA'!$AA$17)*(1-CUSTOS!$M$37)</f>
        <v>283.86889449376815</v>
      </c>
      <c r="AB569" s="4">
        <f t="shared" si="22"/>
        <v>0</v>
      </c>
      <c r="AC569" s="4">
        <f>(L569-M569)*(W569+X569)+($W$557+$X$557-$W$569-$X$569)*(L569)</f>
        <v>6.44063220534008E-11</v>
      </c>
      <c r="AD569" s="4">
        <f t="shared" si="24"/>
        <v>0</v>
      </c>
      <c r="AE569" s="4">
        <f ca="1">(L569-M569)*(Z569+AA569)+($Z$557+$AA$557-$Z$569-$AA$569)*(L569)</f>
        <v>-1.288126441068016E-10</v>
      </c>
      <c r="AF569" s="3" t="s">
        <v>955</v>
      </c>
    </row>
    <row r="570" spans="1:32" ht="11.25" customHeight="1" x14ac:dyDescent="0.25">
      <c r="A570" s="3" t="s">
        <v>21</v>
      </c>
      <c r="B570" s="3" t="s">
        <v>44</v>
      </c>
      <c r="C570" s="3" t="s">
        <v>37</v>
      </c>
      <c r="D570" s="3" t="s">
        <v>45</v>
      </c>
      <c r="E570" s="3" t="s">
        <v>25</v>
      </c>
      <c r="F570" s="3" t="s">
        <v>25</v>
      </c>
      <c r="G570" s="3" t="s">
        <v>25</v>
      </c>
      <c r="H570" s="3" t="s">
        <v>36</v>
      </c>
      <c r="I570" s="6">
        <v>44317</v>
      </c>
      <c r="J570" s="4">
        <v>0</v>
      </c>
      <c r="K570" s="4">
        <v>0</v>
      </c>
      <c r="L570" s="4">
        <v>1.2929999999999999</v>
      </c>
      <c r="M570" s="4">
        <v>1.2929999999999999</v>
      </c>
      <c r="N570" s="4">
        <v>1.2929999999999999</v>
      </c>
      <c r="O570" s="4">
        <v>1.2929999999999999</v>
      </c>
      <c r="P570" s="4">
        <v>0</v>
      </c>
      <c r="Q570" s="3" t="s">
        <v>26</v>
      </c>
      <c r="R570" s="3">
        <v>0</v>
      </c>
      <c r="S570" s="3">
        <v>0</v>
      </c>
      <c r="T570" s="3">
        <v>21</v>
      </c>
      <c r="U570" s="3">
        <v>61</v>
      </c>
      <c r="V570" s="4">
        <f>IF(ISERROR(VLOOKUP($S$570,'TAR FIN'!$A$1:$O$99,15,0)),0,VLOOKUP($S$570,'TAR FIN'!$A$1:$O$99,15,0))</f>
        <v>0</v>
      </c>
      <c r="W570" s="4">
        <f>IF(ISERROR(VLOOKUP($T$570,'TAR FIN'!$A$1:$O$99,15,0)),0,VLOOKUP($T$570,'TAR FIN'!$A$1:$O$99,15,0))</f>
        <v>268.14</v>
      </c>
      <c r="X570" s="4">
        <f>IF(ISERROR(VLOOKUP($U$570,'TAR FIN'!$A$1:$O$99,15,0)),0,VLOOKUP($U$570,'TAR FIN'!$A$1:$O$99,15,0))</f>
        <v>193.58</v>
      </c>
      <c r="Y570" s="4"/>
      <c r="Z570" s="4">
        <f ca="1">('TUSD BE'!$AM$43+'TUSD BF'!$AM$43+'TUSD CVA'!$AM$43)*(1-CUSTOS!$M$38)</f>
        <v>339.74521806585051</v>
      </c>
      <c r="AA570" s="4">
        <f>('TE BE'!$AA$25+'TE BF'!$AA$25+'TE CVA'!$AA$25)*(1-CUSTOS!$M$38)</f>
        <v>254.87076330352861</v>
      </c>
      <c r="AB570" s="4">
        <f t="shared" si="22"/>
        <v>0</v>
      </c>
      <c r="AC570" s="4">
        <f>(L570*W570+M570*X570)/(1-CUSTOS!$M$38)*CUSTOS!$M$38</f>
        <v>38.106635744680858</v>
      </c>
      <c r="AD570" s="4">
        <f t="shared" si="24"/>
        <v>0</v>
      </c>
      <c r="AE570" s="4">
        <f ca="1">(L570*Z570+N570*AA570)/(1-CUSTOS!$M$38)*CUSTOS!$M$38</f>
        <v>49.074795568762156</v>
      </c>
      <c r="AF570" s="3" t="s">
        <v>951</v>
      </c>
    </row>
    <row r="571" spans="1:32" ht="11.25" customHeight="1" x14ac:dyDescent="0.25">
      <c r="A571" s="3" t="s">
        <v>21</v>
      </c>
      <c r="B571" s="3" t="s">
        <v>44</v>
      </c>
      <c r="C571" s="3" t="s">
        <v>37</v>
      </c>
      <c r="D571" s="3" t="s">
        <v>45</v>
      </c>
      <c r="E571" s="3" t="s">
        <v>25</v>
      </c>
      <c r="F571" s="3" t="s">
        <v>25</v>
      </c>
      <c r="G571" s="3" t="s">
        <v>25</v>
      </c>
      <c r="H571" s="3" t="s">
        <v>36</v>
      </c>
      <c r="I571" s="6">
        <v>44348</v>
      </c>
      <c r="J571" s="4">
        <v>0</v>
      </c>
      <c r="K571" s="4">
        <v>0</v>
      </c>
      <c r="L571" s="4">
        <v>0.1</v>
      </c>
      <c r="M571" s="4">
        <v>0.1</v>
      </c>
      <c r="N571" s="4">
        <v>0.1</v>
      </c>
      <c r="O571" s="4">
        <v>0.1</v>
      </c>
      <c r="P571" s="4">
        <v>0</v>
      </c>
      <c r="Q571" s="3" t="s">
        <v>26</v>
      </c>
      <c r="R571" s="3">
        <v>0</v>
      </c>
      <c r="S571" s="3">
        <v>0</v>
      </c>
      <c r="T571" s="3">
        <v>21</v>
      </c>
      <c r="U571" s="3">
        <v>61</v>
      </c>
      <c r="V571" s="4">
        <f>IF(ISERROR(VLOOKUP($S$571,'TAR FIN'!$A$1:$O$99,15,0)),0,VLOOKUP($S$571,'TAR FIN'!$A$1:$O$99,15,0))</f>
        <v>0</v>
      </c>
      <c r="W571" s="4">
        <f>IF(ISERROR(VLOOKUP($T$571,'TAR FIN'!$A$1:$O$99,15,0)),0,VLOOKUP($T$571,'TAR FIN'!$A$1:$O$99,15,0))</f>
        <v>268.14</v>
      </c>
      <c r="X571" s="4">
        <f>IF(ISERROR(VLOOKUP($U$571,'TAR FIN'!$A$1:$O$99,15,0)),0,VLOOKUP($U$571,'TAR FIN'!$A$1:$O$99,15,0))</f>
        <v>193.58</v>
      </c>
      <c r="Y571" s="4"/>
      <c r="Z571" s="4">
        <f ca="1">('TUSD BE'!$AM$43+'TUSD BF'!$AM$43+'TUSD CVA'!$AM$43)*(1-CUSTOS!$M$38)</f>
        <v>339.74521806585051</v>
      </c>
      <c r="AA571" s="4">
        <f>('TE BE'!$AA$25+'TE BF'!$AA$25+'TE CVA'!$AA$25)*(1-CUSTOS!$M$38)</f>
        <v>254.87076330352861</v>
      </c>
      <c r="AB571" s="4">
        <f t="shared" si="22"/>
        <v>0</v>
      </c>
      <c r="AC571" s="4">
        <f>(L571*W571+M571*X571)/(1-CUSTOS!$M$38)*CUSTOS!$M$38</f>
        <v>2.9471489361702132</v>
      </c>
      <c r="AD571" s="4">
        <f t="shared" si="24"/>
        <v>0</v>
      </c>
      <c r="AE571" s="4">
        <f ca="1">(L571*Z571+N571*AA571)/(1-CUSTOS!$M$38)*CUSTOS!$M$38</f>
        <v>3.7954211576768881</v>
      </c>
      <c r="AF571" s="3" t="s">
        <v>951</v>
      </c>
    </row>
    <row r="572" spans="1:32" ht="11.25" customHeight="1" x14ac:dyDescent="0.25">
      <c r="A572" s="3" t="s">
        <v>21</v>
      </c>
      <c r="B572" s="3" t="s">
        <v>44</v>
      </c>
      <c r="C572" s="3" t="s">
        <v>37</v>
      </c>
      <c r="D572" s="3" t="s">
        <v>45</v>
      </c>
      <c r="E572" s="3" t="s">
        <v>25</v>
      </c>
      <c r="F572" s="3" t="s">
        <v>25</v>
      </c>
      <c r="G572" s="3" t="s">
        <v>25</v>
      </c>
      <c r="H572" s="3" t="s">
        <v>36</v>
      </c>
      <c r="I572" s="6">
        <v>44378</v>
      </c>
      <c r="J572" s="4">
        <v>0</v>
      </c>
      <c r="K572" s="4">
        <v>0</v>
      </c>
      <c r="L572" s="4">
        <v>0.1</v>
      </c>
      <c r="M572" s="4">
        <v>0.1</v>
      </c>
      <c r="N572" s="4">
        <v>0.1</v>
      </c>
      <c r="O572" s="4">
        <v>0.1</v>
      </c>
      <c r="P572" s="4">
        <v>0</v>
      </c>
      <c r="Q572" s="3" t="s">
        <v>26</v>
      </c>
      <c r="R572" s="3">
        <v>0</v>
      </c>
      <c r="S572" s="3">
        <v>0</v>
      </c>
      <c r="T572" s="3">
        <v>21</v>
      </c>
      <c r="U572" s="3">
        <v>61</v>
      </c>
      <c r="V572" s="4">
        <f>IF(ISERROR(VLOOKUP($S$572,'TAR FIN'!$A$1:$O$99,15,0)),0,VLOOKUP($S$572,'TAR FIN'!$A$1:$O$99,15,0))</f>
        <v>0</v>
      </c>
      <c r="W572" s="4">
        <f>IF(ISERROR(VLOOKUP($T$572,'TAR FIN'!$A$1:$O$99,15,0)),0,VLOOKUP($T$572,'TAR FIN'!$A$1:$O$99,15,0))</f>
        <v>268.14</v>
      </c>
      <c r="X572" s="4">
        <f>IF(ISERROR(VLOOKUP($U$572,'TAR FIN'!$A$1:$O$99,15,0)),0,VLOOKUP($U$572,'TAR FIN'!$A$1:$O$99,15,0))</f>
        <v>193.58</v>
      </c>
      <c r="Y572" s="4"/>
      <c r="Z572" s="4">
        <f ca="1">('TUSD BE'!$AM$43+'TUSD BF'!$AM$43+'TUSD CVA'!$AM$43)*(1-CUSTOS!$M$38)</f>
        <v>339.74521806585051</v>
      </c>
      <c r="AA572" s="4">
        <f>('TE BE'!$AA$25+'TE BF'!$AA$25+'TE CVA'!$AA$25)*(1-CUSTOS!$M$38)</f>
        <v>254.87076330352861</v>
      </c>
      <c r="AB572" s="4">
        <f t="shared" si="22"/>
        <v>0</v>
      </c>
      <c r="AC572" s="4">
        <f>(L572*W572+M572*X572)/(1-CUSTOS!$M$38)*CUSTOS!$M$38</f>
        <v>2.9471489361702132</v>
      </c>
      <c r="AD572" s="4">
        <f t="shared" si="24"/>
        <v>0</v>
      </c>
      <c r="AE572" s="4">
        <f ca="1">(L572*Z572+N572*AA572)/(1-CUSTOS!$M$38)*CUSTOS!$M$38</f>
        <v>3.7954211576768881</v>
      </c>
      <c r="AF572" s="3" t="s">
        <v>951</v>
      </c>
    </row>
    <row r="573" spans="1:32" ht="11.25" customHeight="1" x14ac:dyDescent="0.25">
      <c r="A573" s="3" t="s">
        <v>21</v>
      </c>
      <c r="B573" s="3" t="s">
        <v>44</v>
      </c>
      <c r="C573" s="3" t="s">
        <v>37</v>
      </c>
      <c r="D573" s="3" t="s">
        <v>45</v>
      </c>
      <c r="E573" s="3" t="s">
        <v>25</v>
      </c>
      <c r="F573" s="3" t="s">
        <v>25</v>
      </c>
      <c r="G573" s="3" t="s">
        <v>25</v>
      </c>
      <c r="H573" s="3" t="s">
        <v>36</v>
      </c>
      <c r="I573" s="6">
        <v>44409</v>
      </c>
      <c r="J573" s="4">
        <v>0</v>
      </c>
      <c r="K573" s="4">
        <v>0</v>
      </c>
      <c r="L573" s="4">
        <v>0.1</v>
      </c>
      <c r="M573" s="4">
        <v>0.1</v>
      </c>
      <c r="N573" s="4">
        <v>0.1</v>
      </c>
      <c r="O573" s="4">
        <v>0.1</v>
      </c>
      <c r="P573" s="4">
        <v>0</v>
      </c>
      <c r="Q573" s="3" t="s">
        <v>26</v>
      </c>
      <c r="R573" s="3">
        <v>0</v>
      </c>
      <c r="S573" s="3">
        <v>0</v>
      </c>
      <c r="T573" s="3">
        <v>21</v>
      </c>
      <c r="U573" s="3">
        <v>61</v>
      </c>
      <c r="V573" s="4">
        <f>IF(ISERROR(VLOOKUP($S$573,'TAR FIN'!$A$1:$O$99,15,0)),0,VLOOKUP($S$573,'TAR FIN'!$A$1:$O$99,15,0))</f>
        <v>0</v>
      </c>
      <c r="W573" s="4">
        <f>IF(ISERROR(VLOOKUP($T$573,'TAR FIN'!$A$1:$O$99,15,0)),0,VLOOKUP($T$573,'TAR FIN'!$A$1:$O$99,15,0))</f>
        <v>268.14</v>
      </c>
      <c r="X573" s="4">
        <f>IF(ISERROR(VLOOKUP($U$573,'TAR FIN'!$A$1:$O$99,15,0)),0,VLOOKUP($U$573,'TAR FIN'!$A$1:$O$99,15,0))</f>
        <v>193.58</v>
      </c>
      <c r="Y573" s="4"/>
      <c r="Z573" s="4">
        <f ca="1">('TUSD BE'!$AM$43+'TUSD BF'!$AM$43+'TUSD CVA'!$AM$43)*(1-CUSTOS!$M$38)</f>
        <v>339.74521806585051</v>
      </c>
      <c r="AA573" s="4">
        <f>('TE BE'!$AA$25+'TE BF'!$AA$25+'TE CVA'!$AA$25)*(1-CUSTOS!$M$38)</f>
        <v>254.87076330352861</v>
      </c>
      <c r="AB573" s="4">
        <f t="shared" si="22"/>
        <v>0</v>
      </c>
      <c r="AC573" s="4">
        <f>(L573*W573+M573*X573)/(1-CUSTOS!$M$38)*CUSTOS!$M$38</f>
        <v>2.9471489361702132</v>
      </c>
      <c r="AD573" s="4">
        <f t="shared" si="24"/>
        <v>0</v>
      </c>
      <c r="AE573" s="4">
        <f ca="1">(L573*Z573+N573*AA573)/(1-CUSTOS!$M$38)*CUSTOS!$M$38</f>
        <v>3.7954211576768881</v>
      </c>
      <c r="AF573" s="3" t="s">
        <v>951</v>
      </c>
    </row>
    <row r="574" spans="1:32" ht="11.25" customHeight="1" x14ac:dyDescent="0.25">
      <c r="A574" s="3" t="s">
        <v>21</v>
      </c>
      <c r="B574" s="3" t="s">
        <v>44</v>
      </c>
      <c r="C574" s="3" t="s">
        <v>37</v>
      </c>
      <c r="D574" s="3" t="s">
        <v>45</v>
      </c>
      <c r="E574" s="3" t="s">
        <v>25</v>
      </c>
      <c r="F574" s="3" t="s">
        <v>25</v>
      </c>
      <c r="G574" s="3" t="s">
        <v>25</v>
      </c>
      <c r="H574" s="3" t="s">
        <v>36</v>
      </c>
      <c r="I574" s="6">
        <v>44470</v>
      </c>
      <c r="J574" s="4">
        <v>0</v>
      </c>
      <c r="K574" s="4">
        <v>0</v>
      </c>
      <c r="L574" s="4">
        <v>1.0640000000000001</v>
      </c>
      <c r="M574" s="4">
        <v>1.0640000000000001</v>
      </c>
      <c r="N574" s="4">
        <v>1.0640000000000001</v>
      </c>
      <c r="O574" s="4">
        <v>1.0640000000000001</v>
      </c>
      <c r="P574" s="4">
        <v>0</v>
      </c>
      <c r="Q574" s="3" t="s">
        <v>26</v>
      </c>
      <c r="R574" s="3">
        <v>0</v>
      </c>
      <c r="S574" s="3">
        <v>0</v>
      </c>
      <c r="T574" s="3">
        <v>21</v>
      </c>
      <c r="U574" s="3">
        <v>61</v>
      </c>
      <c r="V574" s="4">
        <f>IF(ISERROR(VLOOKUP($S$574,'TAR FIN'!$A$1:$O$99,15,0)),0,VLOOKUP($S$574,'TAR FIN'!$A$1:$O$99,15,0))</f>
        <v>0</v>
      </c>
      <c r="W574" s="4">
        <f>IF(ISERROR(VLOOKUP($T$574,'TAR FIN'!$A$1:$O$99,15,0)),0,VLOOKUP($T$574,'TAR FIN'!$A$1:$O$99,15,0))</f>
        <v>268.14</v>
      </c>
      <c r="X574" s="4">
        <f>IF(ISERROR(VLOOKUP($U$574,'TAR FIN'!$A$1:$O$99,15,0)),0,VLOOKUP($U$574,'TAR FIN'!$A$1:$O$99,15,0))</f>
        <v>193.58</v>
      </c>
      <c r="Y574" s="4"/>
      <c r="Z574" s="4">
        <f ca="1">('TUSD BE'!$AM$43+'TUSD BF'!$AM$43+'TUSD CVA'!$AM$43)*(1-CUSTOS!$M$38)</f>
        <v>339.74521806585051</v>
      </c>
      <c r="AA574" s="4">
        <f>('TE BE'!$AA$25+'TE BF'!$AA$25+'TE CVA'!$AA$25)*(1-CUSTOS!$M$38)</f>
        <v>254.87076330352861</v>
      </c>
      <c r="AB574" s="4">
        <f t="shared" si="22"/>
        <v>0</v>
      </c>
      <c r="AC574" s="4">
        <f>(L574*W574+M574*X574)/(1-CUSTOS!$M$38)*CUSTOS!$M$38</f>
        <v>31.35766468085107</v>
      </c>
      <c r="AD574" s="4">
        <f t="shared" si="24"/>
        <v>0</v>
      </c>
      <c r="AE574" s="4">
        <f ca="1">(L574*Z574+N574*AA574)/(1-CUSTOS!$M$38)*CUSTOS!$M$38</f>
        <v>40.383281117682095</v>
      </c>
      <c r="AF574" s="3" t="s">
        <v>951</v>
      </c>
    </row>
    <row r="575" spans="1:32" ht="11.25" customHeight="1" x14ac:dyDescent="0.25">
      <c r="A575" s="3" t="s">
        <v>21</v>
      </c>
      <c r="B575" s="3" t="s">
        <v>44</v>
      </c>
      <c r="C575" s="3" t="s">
        <v>37</v>
      </c>
      <c r="D575" s="3" t="s">
        <v>45</v>
      </c>
      <c r="E575" s="3" t="s">
        <v>25</v>
      </c>
      <c r="F575" s="3" t="s">
        <v>25</v>
      </c>
      <c r="G575" s="3" t="s">
        <v>25</v>
      </c>
      <c r="H575" s="3" t="s">
        <v>36</v>
      </c>
      <c r="I575" s="6">
        <v>44501</v>
      </c>
      <c r="J575" s="4">
        <v>0</v>
      </c>
      <c r="K575" s="4">
        <v>0</v>
      </c>
      <c r="L575" s="4">
        <v>1.5489999999999999</v>
      </c>
      <c r="M575" s="4">
        <v>1.5489999999999999</v>
      </c>
      <c r="N575" s="4">
        <v>1.5489999999999999</v>
      </c>
      <c r="O575" s="4">
        <v>1.5489999999999999</v>
      </c>
      <c r="P575" s="4">
        <v>0</v>
      </c>
      <c r="Q575" s="3" t="s">
        <v>26</v>
      </c>
      <c r="R575" s="3">
        <v>0</v>
      </c>
      <c r="S575" s="3">
        <v>0</v>
      </c>
      <c r="T575" s="3">
        <v>21</v>
      </c>
      <c r="U575" s="3">
        <v>61</v>
      </c>
      <c r="V575" s="4">
        <f>IF(ISERROR(VLOOKUP($S$575,'TAR FIN'!$A$1:$O$99,15,0)),0,VLOOKUP($S$575,'TAR FIN'!$A$1:$O$99,15,0))</f>
        <v>0</v>
      </c>
      <c r="W575" s="4">
        <f>IF(ISERROR(VLOOKUP($T$575,'TAR FIN'!$A$1:$O$99,15,0)),0,VLOOKUP($T$575,'TAR FIN'!$A$1:$O$99,15,0))</f>
        <v>268.14</v>
      </c>
      <c r="X575" s="4">
        <f>IF(ISERROR(VLOOKUP($U$575,'TAR FIN'!$A$1:$O$99,15,0)),0,VLOOKUP($U$575,'TAR FIN'!$A$1:$O$99,15,0))</f>
        <v>193.58</v>
      </c>
      <c r="Y575" s="4"/>
      <c r="Z575" s="4">
        <f ca="1">('TUSD BE'!$AM$43+'TUSD BF'!$AM$43+'TUSD CVA'!$AM$43)*(1-CUSTOS!$M$38)</f>
        <v>339.74521806585051</v>
      </c>
      <c r="AA575" s="4">
        <f>('TE BE'!$AA$25+'TE BF'!$AA$25+'TE CVA'!$AA$25)*(1-CUSTOS!$M$38)</f>
        <v>254.87076330352861</v>
      </c>
      <c r="AB575" s="4">
        <f t="shared" si="22"/>
        <v>0</v>
      </c>
      <c r="AC575" s="4">
        <f>(L575*W575+M575*X575)/(1-CUSTOS!$M$38)*CUSTOS!$M$38</f>
        <v>45.651337021276589</v>
      </c>
      <c r="AD575" s="4">
        <f t="shared" si="24"/>
        <v>0</v>
      </c>
      <c r="AE575" s="4">
        <f ca="1">(L575*Z575+N575*AA575)/(1-CUSTOS!$M$38)*CUSTOS!$M$38</f>
        <v>58.791073732414993</v>
      </c>
      <c r="AF575" s="3" t="s">
        <v>951</v>
      </c>
    </row>
    <row r="576" spans="1:32" ht="11.25" customHeight="1" x14ac:dyDescent="0.25">
      <c r="A576" s="3" t="s">
        <v>21</v>
      </c>
      <c r="B576" s="3" t="s">
        <v>44</v>
      </c>
      <c r="C576" s="3" t="s">
        <v>37</v>
      </c>
      <c r="D576" s="3" t="s">
        <v>45</v>
      </c>
      <c r="E576" s="3" t="s">
        <v>25</v>
      </c>
      <c r="F576" s="3" t="s">
        <v>25</v>
      </c>
      <c r="G576" s="3" t="s">
        <v>25</v>
      </c>
      <c r="H576" s="3" t="s">
        <v>36</v>
      </c>
      <c r="I576" s="6">
        <v>44531</v>
      </c>
      <c r="J576" s="4">
        <v>0</v>
      </c>
      <c r="K576" s="4">
        <v>0</v>
      </c>
      <c r="L576" s="4">
        <v>1.798</v>
      </c>
      <c r="M576" s="4">
        <v>1.798</v>
      </c>
      <c r="N576" s="4">
        <v>1.798</v>
      </c>
      <c r="O576" s="4">
        <v>1.798</v>
      </c>
      <c r="P576" s="4">
        <v>0</v>
      </c>
      <c r="Q576" s="3" t="s">
        <v>26</v>
      </c>
      <c r="R576" s="3">
        <v>0</v>
      </c>
      <c r="S576" s="3">
        <v>0</v>
      </c>
      <c r="T576" s="3">
        <v>21</v>
      </c>
      <c r="U576" s="3">
        <v>61</v>
      </c>
      <c r="V576" s="4">
        <f>IF(ISERROR(VLOOKUP($S$576,'TAR FIN'!$A$1:$O$99,15,0)),0,VLOOKUP($S$576,'TAR FIN'!$A$1:$O$99,15,0))</f>
        <v>0</v>
      </c>
      <c r="W576" s="4">
        <f>IF(ISERROR(VLOOKUP($T$576,'TAR FIN'!$A$1:$O$99,15,0)),0,VLOOKUP($T$576,'TAR FIN'!$A$1:$O$99,15,0))</f>
        <v>268.14</v>
      </c>
      <c r="X576" s="4">
        <f>IF(ISERROR(VLOOKUP($U$576,'TAR FIN'!$A$1:$O$99,15,0)),0,VLOOKUP($U$576,'TAR FIN'!$A$1:$O$99,15,0))</f>
        <v>193.58</v>
      </c>
      <c r="Y576" s="4"/>
      <c r="Z576" s="4">
        <f ca="1">('TUSD BE'!$AM$43+'TUSD BF'!$AM$43+'TUSD CVA'!$AM$43)*(1-CUSTOS!$M$38)</f>
        <v>339.74521806585051</v>
      </c>
      <c r="AA576" s="4">
        <f>('TE BE'!$AA$25+'TE BF'!$AA$25+'TE CVA'!$AA$25)*(1-CUSTOS!$M$38)</f>
        <v>254.87076330352861</v>
      </c>
      <c r="AB576" s="4">
        <f t="shared" si="22"/>
        <v>0</v>
      </c>
      <c r="AC576" s="4">
        <f>(L576*W576+M576*X576)/(1-CUSTOS!$M$38)*CUSTOS!$M$38</f>
        <v>52.989737872340427</v>
      </c>
      <c r="AD576" s="4">
        <f t="shared" si="24"/>
        <v>0</v>
      </c>
      <c r="AE576" s="4">
        <f ca="1">(L576*Z576+N576*AA576)/(1-CUSTOS!$M$38)*CUSTOS!$M$38</f>
        <v>68.241672415030436</v>
      </c>
      <c r="AF576" s="3" t="s">
        <v>951</v>
      </c>
    </row>
    <row r="577" spans="1:32" ht="11.25" customHeight="1" x14ac:dyDescent="0.25">
      <c r="A577" s="3" t="s">
        <v>21</v>
      </c>
      <c r="B577" s="3" t="s">
        <v>44</v>
      </c>
      <c r="C577" s="3" t="s">
        <v>37</v>
      </c>
      <c r="D577" s="3" t="s">
        <v>45</v>
      </c>
      <c r="E577" s="3" t="s">
        <v>25</v>
      </c>
      <c r="F577" s="3" t="s">
        <v>25</v>
      </c>
      <c r="G577" s="3" t="s">
        <v>25</v>
      </c>
      <c r="H577" s="3" t="s">
        <v>36</v>
      </c>
      <c r="I577" s="6">
        <v>44562</v>
      </c>
      <c r="J577" s="4">
        <v>0</v>
      </c>
      <c r="K577" s="4">
        <v>0</v>
      </c>
      <c r="L577" s="4">
        <v>0.55000000000000004</v>
      </c>
      <c r="M577" s="4">
        <v>0.55000000000000004</v>
      </c>
      <c r="N577" s="4">
        <v>0.55000000000000004</v>
      </c>
      <c r="O577" s="4">
        <v>0.55000000000000004</v>
      </c>
      <c r="P577" s="4">
        <v>0</v>
      </c>
      <c r="Q577" s="3" t="s">
        <v>26</v>
      </c>
      <c r="R577" s="3">
        <v>0</v>
      </c>
      <c r="S577" s="3">
        <v>0</v>
      </c>
      <c r="T577" s="3">
        <v>21</v>
      </c>
      <c r="U577" s="3">
        <v>61</v>
      </c>
      <c r="V577" s="4">
        <f>IF(ISERROR(VLOOKUP($S$577,'TAR FIN'!$A$1:$O$99,15,0)),0,VLOOKUP($S$577,'TAR FIN'!$A$1:$O$99,15,0))</f>
        <v>0</v>
      </c>
      <c r="W577" s="4">
        <f>IF(ISERROR(VLOOKUP($T$577,'TAR FIN'!$A$1:$O$99,15,0)),0,VLOOKUP($T$577,'TAR FIN'!$A$1:$O$99,15,0))</f>
        <v>268.14</v>
      </c>
      <c r="X577" s="4">
        <f>IF(ISERROR(VLOOKUP($U$577,'TAR FIN'!$A$1:$O$99,15,0)),0,VLOOKUP($U$577,'TAR FIN'!$A$1:$O$99,15,0))</f>
        <v>193.58</v>
      </c>
      <c r="Y577" s="4"/>
      <c r="Z577" s="4">
        <f ca="1">('TUSD BE'!$AM$43+'TUSD BF'!$AM$43+'TUSD CVA'!$AM$43)*(1-CUSTOS!$M$38)</f>
        <v>339.74521806585051</v>
      </c>
      <c r="AA577" s="4">
        <f>('TE BE'!$AA$25+'TE BF'!$AA$25+'TE CVA'!$AA$25)*(1-CUSTOS!$M$38)</f>
        <v>254.87076330352861</v>
      </c>
      <c r="AB577" s="4">
        <f t="shared" si="22"/>
        <v>0</v>
      </c>
      <c r="AC577" s="4">
        <f>(L577*W577+M577*X577)/(1-CUSTOS!$M$38)*CUSTOS!$M$38</f>
        <v>16.209319148936171</v>
      </c>
      <c r="AD577" s="4">
        <f t="shared" si="24"/>
        <v>0</v>
      </c>
      <c r="AE577" s="4">
        <f ca="1">(L577*Z577+N577*AA577)/(1-CUSTOS!$M$38)*CUSTOS!$M$38</f>
        <v>20.874816367222884</v>
      </c>
      <c r="AF577" s="3" t="s">
        <v>951</v>
      </c>
    </row>
    <row r="578" spans="1:32" ht="11.25" customHeight="1" x14ac:dyDescent="0.25">
      <c r="A578" s="3" t="s">
        <v>21</v>
      </c>
      <c r="B578" s="3" t="s">
        <v>44</v>
      </c>
      <c r="C578" s="3" t="s">
        <v>37</v>
      </c>
      <c r="D578" s="3" t="s">
        <v>45</v>
      </c>
      <c r="E578" s="3" t="s">
        <v>25</v>
      </c>
      <c r="F578" s="3" t="s">
        <v>25</v>
      </c>
      <c r="G578" s="3" t="s">
        <v>25</v>
      </c>
      <c r="H578" s="3" t="s">
        <v>36</v>
      </c>
      <c r="I578" s="6">
        <v>44593</v>
      </c>
      <c r="J578" s="4">
        <v>0</v>
      </c>
      <c r="K578" s="4">
        <v>0</v>
      </c>
      <c r="L578" s="4">
        <v>0.38300000000000001</v>
      </c>
      <c r="M578" s="4">
        <v>0.38300000000000001</v>
      </c>
      <c r="N578" s="4">
        <v>0.38300000000000001</v>
      </c>
      <c r="O578" s="4">
        <v>0.38300000000000001</v>
      </c>
      <c r="P578" s="4">
        <v>0</v>
      </c>
      <c r="Q578" s="3" t="s">
        <v>26</v>
      </c>
      <c r="R578" s="3">
        <v>0</v>
      </c>
      <c r="S578" s="3">
        <v>0</v>
      </c>
      <c r="T578" s="3">
        <v>21</v>
      </c>
      <c r="U578" s="3">
        <v>61</v>
      </c>
      <c r="V578" s="4">
        <f>IF(ISERROR(VLOOKUP($S$578,'TAR FIN'!$A$1:$O$99,15,0)),0,VLOOKUP($S$578,'TAR FIN'!$A$1:$O$99,15,0))</f>
        <v>0</v>
      </c>
      <c r="W578" s="4">
        <f>IF(ISERROR(VLOOKUP($T$578,'TAR FIN'!$A$1:$O$99,15,0)),0,VLOOKUP($T$578,'TAR FIN'!$A$1:$O$99,15,0))</f>
        <v>268.14</v>
      </c>
      <c r="X578" s="4">
        <f>IF(ISERROR(VLOOKUP($U$578,'TAR FIN'!$A$1:$O$99,15,0)),0,VLOOKUP($U$578,'TAR FIN'!$A$1:$O$99,15,0))</f>
        <v>193.58</v>
      </c>
      <c r="Y578" s="4"/>
      <c r="Z578" s="4">
        <f ca="1">('TUSD BE'!$AM$43+'TUSD BF'!$AM$43+'TUSD CVA'!$AM$43)*(1-CUSTOS!$M$38)</f>
        <v>339.74521806585051</v>
      </c>
      <c r="AA578" s="4">
        <f>('TE BE'!$AA$25+'TE BF'!$AA$25+'TE CVA'!$AA$25)*(1-CUSTOS!$M$38)</f>
        <v>254.87076330352861</v>
      </c>
      <c r="AB578" s="4">
        <f t="shared" ref="AB578:AB641" si="26">(J578-K578)*V578</f>
        <v>0</v>
      </c>
      <c r="AC578" s="4">
        <f>(L578*W578+M578*X578)/(1-CUSTOS!$M$38)*CUSTOS!$M$38</f>
        <v>11.287580425531916</v>
      </c>
      <c r="AD578" s="4">
        <f t="shared" ref="AD578:AD641" si="27">(J578-K578)*Y578</f>
        <v>0</v>
      </c>
      <c r="AE578" s="4">
        <f ca="1">(L578*Z578+N578*AA578)/(1-CUSTOS!$M$38)*CUSTOS!$M$38</f>
        <v>14.536463033902482</v>
      </c>
      <c r="AF578" s="3" t="s">
        <v>951</v>
      </c>
    </row>
    <row r="579" spans="1:32" ht="11.25" customHeight="1" x14ac:dyDescent="0.25">
      <c r="A579" s="3" t="s">
        <v>21</v>
      </c>
      <c r="B579" s="3" t="s">
        <v>44</v>
      </c>
      <c r="C579" s="3" t="s">
        <v>37</v>
      </c>
      <c r="D579" s="3" t="s">
        <v>45</v>
      </c>
      <c r="E579" s="3" t="s">
        <v>25</v>
      </c>
      <c r="F579" s="3" t="s">
        <v>25</v>
      </c>
      <c r="G579" s="3" t="s">
        <v>25</v>
      </c>
      <c r="H579" s="3" t="s">
        <v>36</v>
      </c>
      <c r="I579" s="6">
        <v>44621</v>
      </c>
      <c r="J579" s="4">
        <v>0</v>
      </c>
      <c r="K579" s="4">
        <v>0</v>
      </c>
      <c r="L579" s="4">
        <v>1.01</v>
      </c>
      <c r="M579" s="4">
        <v>1.01</v>
      </c>
      <c r="N579" s="4">
        <v>1.01</v>
      </c>
      <c r="O579" s="4">
        <v>1.01</v>
      </c>
      <c r="P579" s="4">
        <v>0</v>
      </c>
      <c r="Q579" s="3" t="s">
        <v>26</v>
      </c>
      <c r="R579" s="3">
        <v>0</v>
      </c>
      <c r="S579" s="3">
        <v>0</v>
      </c>
      <c r="T579" s="3">
        <v>21</v>
      </c>
      <c r="U579" s="3">
        <v>61</v>
      </c>
      <c r="V579" s="4">
        <f>IF(ISERROR(VLOOKUP($S$579,'TAR FIN'!$A$1:$O$99,15,0)),0,VLOOKUP($S$579,'TAR FIN'!$A$1:$O$99,15,0))</f>
        <v>0</v>
      </c>
      <c r="W579" s="4">
        <f>IF(ISERROR(VLOOKUP($T$579,'TAR FIN'!$A$1:$O$99,15,0)),0,VLOOKUP($T$579,'TAR FIN'!$A$1:$O$99,15,0))</f>
        <v>268.14</v>
      </c>
      <c r="X579" s="4">
        <f>IF(ISERROR(VLOOKUP($U$579,'TAR FIN'!$A$1:$O$99,15,0)),0,VLOOKUP($U$579,'TAR FIN'!$A$1:$O$99,15,0))</f>
        <v>193.58</v>
      </c>
      <c r="Y579" s="4"/>
      <c r="Z579" s="4">
        <f ca="1">('TUSD BE'!$AM$43+'TUSD BF'!$AM$43+'TUSD CVA'!$AM$43)*(1-CUSTOS!$M$38)</f>
        <v>339.74521806585051</v>
      </c>
      <c r="AA579" s="4">
        <f>('TE BE'!$AA$25+'TE BF'!$AA$25+'TE CVA'!$AA$25)*(1-CUSTOS!$M$38)</f>
        <v>254.87076330352861</v>
      </c>
      <c r="AB579" s="4">
        <f t="shared" si="26"/>
        <v>0</v>
      </c>
      <c r="AC579" s="4">
        <f>(L579*W579+M579*X579)/(1-CUSTOS!$M$38)*CUSTOS!$M$38</f>
        <v>29.766204255319149</v>
      </c>
      <c r="AD579" s="4">
        <f t="shared" si="27"/>
        <v>0</v>
      </c>
      <c r="AE579" s="4">
        <f ca="1">(L579*Z579+N579*AA579)/(1-CUSTOS!$M$38)*CUSTOS!$M$38</f>
        <v>38.333753692536561</v>
      </c>
      <c r="AF579" s="3" t="s">
        <v>951</v>
      </c>
    </row>
    <row r="580" spans="1:32" ht="11.25" customHeight="1" x14ac:dyDescent="0.25">
      <c r="A580" s="3" t="s">
        <v>56</v>
      </c>
      <c r="B580" s="3" t="s">
        <v>44</v>
      </c>
      <c r="C580" s="3" t="s">
        <v>37</v>
      </c>
      <c r="D580" s="3" t="s">
        <v>45</v>
      </c>
      <c r="E580" s="3" t="s">
        <v>25</v>
      </c>
      <c r="F580" s="3" t="s">
        <v>25</v>
      </c>
      <c r="G580" s="3" t="s">
        <v>25</v>
      </c>
      <c r="H580" s="3" t="s">
        <v>36</v>
      </c>
      <c r="I580" s="6">
        <v>44652</v>
      </c>
      <c r="J580" s="4">
        <v>0</v>
      </c>
      <c r="K580" s="4">
        <v>0</v>
      </c>
      <c r="L580" s="4">
        <v>1.01</v>
      </c>
      <c r="M580" s="4">
        <v>1.01</v>
      </c>
      <c r="N580" s="4">
        <v>1.01</v>
      </c>
      <c r="O580" s="4">
        <v>1.01</v>
      </c>
      <c r="P580" s="4">
        <v>0</v>
      </c>
      <c r="Q580" s="3" t="s">
        <v>26</v>
      </c>
      <c r="R580" s="3">
        <v>0</v>
      </c>
      <c r="S580" s="3">
        <v>0</v>
      </c>
      <c r="T580" s="3">
        <v>21</v>
      </c>
      <c r="U580" s="3">
        <v>61</v>
      </c>
      <c r="V580" s="4">
        <f>IF(ISERROR(VLOOKUP($S$580,'TAR FIN'!$A$1:$O$99,15,0)),0,VLOOKUP($S$580,'TAR FIN'!$A$1:$O$99,15,0))</f>
        <v>0</v>
      </c>
      <c r="W580" s="4">
        <f>IF(ISERROR(VLOOKUP($T$580,'TAR FIN'!$A$1:$O$99,15,0)),0,VLOOKUP($T$580,'TAR FIN'!$A$1:$O$99,15,0))</f>
        <v>268.14</v>
      </c>
      <c r="X580" s="4">
        <f>IF(ISERROR(VLOOKUP($U$580,'TAR FIN'!$A$1:$O$99,15,0)),0,VLOOKUP($U$580,'TAR FIN'!$A$1:$O$99,15,0))</f>
        <v>193.58</v>
      </c>
      <c r="Y580" s="4"/>
      <c r="Z580" s="4">
        <f ca="1">('TUSD BE'!$AM$43+'TUSD BF'!$AM$43+'TUSD CVA'!$AM$43)*(1-CUSTOS!$M$38)</f>
        <v>339.74521806585051</v>
      </c>
      <c r="AA580" s="4">
        <f>('TE BE'!$AA$25+'TE BF'!$AA$25+'TE CVA'!$AA$25)*(1-CUSTOS!$M$38)</f>
        <v>254.87076330352861</v>
      </c>
      <c r="AB580" s="4">
        <f t="shared" si="26"/>
        <v>0</v>
      </c>
      <c r="AC580" s="4">
        <f>(L580*W580+M580*X580)/(1-CUSTOS!$M$38)*CUSTOS!$M$38</f>
        <v>29.766204255319149</v>
      </c>
      <c r="AD580" s="4">
        <f t="shared" si="27"/>
        <v>0</v>
      </c>
      <c r="AE580" s="4">
        <f ca="1">(L580*Z580+N580*AA580)/(1-CUSTOS!$M$38)*CUSTOS!$M$38</f>
        <v>38.333753692536561</v>
      </c>
      <c r="AF580" s="3" t="s">
        <v>951</v>
      </c>
    </row>
    <row r="581" spans="1:32" ht="11.25" customHeight="1" x14ac:dyDescent="0.25">
      <c r="A581" s="3" t="s">
        <v>21</v>
      </c>
      <c r="B581" s="3" t="s">
        <v>44</v>
      </c>
      <c r="C581" s="3" t="s">
        <v>37</v>
      </c>
      <c r="D581" s="3" t="s">
        <v>45</v>
      </c>
      <c r="E581" s="3" t="s">
        <v>25</v>
      </c>
      <c r="F581" s="3" t="s">
        <v>25</v>
      </c>
      <c r="G581" s="3" t="s">
        <v>25</v>
      </c>
      <c r="H581" s="3" t="s">
        <v>38</v>
      </c>
      <c r="I581" s="6">
        <v>44317</v>
      </c>
      <c r="J581" s="4">
        <v>0</v>
      </c>
      <c r="K581" s="4">
        <v>0</v>
      </c>
      <c r="L581" s="4">
        <v>6.0000000000000001E-3</v>
      </c>
      <c r="M581" s="4">
        <v>6.0000000000000001E-3</v>
      </c>
      <c r="N581" s="4">
        <v>6.0000000000000001E-3</v>
      </c>
      <c r="O581" s="4">
        <v>6.0000000000000001E-3</v>
      </c>
      <c r="P581" s="4">
        <v>0</v>
      </c>
      <c r="Q581" s="3" t="s">
        <v>26</v>
      </c>
      <c r="R581" s="3">
        <v>0</v>
      </c>
      <c r="S581" s="3">
        <v>0</v>
      </c>
      <c r="T581" s="3">
        <v>20</v>
      </c>
      <c r="U581" s="3">
        <v>60</v>
      </c>
      <c r="V581" s="4">
        <f>IF(ISERROR(VLOOKUP($S$581,'TAR FIN'!$A$1:$O$99,15,0)),0,VLOOKUP($S$581,'TAR FIN'!$A$1:$O$99,15,0))</f>
        <v>0</v>
      </c>
      <c r="W581" s="4">
        <f>IF(ISERROR(VLOOKUP($T$581,'TAR FIN'!$A$1:$O$99,15,0)),0,VLOOKUP($T$581,'TAR FIN'!$A$1:$O$99,15,0))</f>
        <v>578.61</v>
      </c>
      <c r="X581" s="4">
        <f>IF(ISERROR(VLOOKUP($U$581,'TAR FIN'!$A$1:$O$99,15,0)),0,VLOOKUP($U$581,'TAR FIN'!$A$1:$O$99,15,0))</f>
        <v>193.58</v>
      </c>
      <c r="Y581" s="4"/>
      <c r="Z581" s="4">
        <f ca="1">('TUSD BE'!$AM$42+'TUSD BF'!$AM$42+'TUSD CVA'!$AM$42)*(1-CUSTOS!$M$38)</f>
        <v>723.62147717195421</v>
      </c>
      <c r="AA581" s="4">
        <f>('TE BE'!$AA$24+'TE BF'!$AA$24+'TE CVA'!$AA$24)*(1-CUSTOS!$M$38)</f>
        <v>254.87076330352861</v>
      </c>
      <c r="AB581" s="4">
        <f t="shared" si="26"/>
        <v>0</v>
      </c>
      <c r="AC581" s="4">
        <f>(L581*W581+M581*X581)/(1-CUSTOS!$M$38)*CUSTOS!$M$38</f>
        <v>0.29573234042553193</v>
      </c>
      <c r="AD581" s="4">
        <f t="shared" si="27"/>
        <v>0</v>
      </c>
      <c r="AE581" s="4">
        <f ca="1">(L581*Z581+N581*AA581)/(1-CUSTOS!$M$38)*CUSTOS!$M$38</f>
        <v>0.37474170911826998</v>
      </c>
      <c r="AF581" s="3" t="s">
        <v>951</v>
      </c>
    </row>
    <row r="582" spans="1:32" ht="11.25" customHeight="1" x14ac:dyDescent="0.25">
      <c r="A582" s="3" t="s">
        <v>21</v>
      </c>
      <c r="B582" s="3" t="s">
        <v>44</v>
      </c>
      <c r="C582" s="3" t="s">
        <v>37</v>
      </c>
      <c r="D582" s="3" t="s">
        <v>45</v>
      </c>
      <c r="E582" s="3" t="s">
        <v>25</v>
      </c>
      <c r="F582" s="3" t="s">
        <v>25</v>
      </c>
      <c r="G582" s="3" t="s">
        <v>25</v>
      </c>
      <c r="H582" s="3" t="s">
        <v>38</v>
      </c>
      <c r="I582" s="6">
        <v>44470</v>
      </c>
      <c r="J582" s="4">
        <v>0</v>
      </c>
      <c r="K582" s="4">
        <v>0</v>
      </c>
      <c r="L582" s="4">
        <v>4.0000000000000001E-3</v>
      </c>
      <c r="M582" s="4">
        <v>4.0000000000000001E-3</v>
      </c>
      <c r="N582" s="4">
        <v>4.0000000000000001E-3</v>
      </c>
      <c r="O582" s="4">
        <v>4.0000000000000001E-3</v>
      </c>
      <c r="P582" s="4">
        <v>0</v>
      </c>
      <c r="Q582" s="3" t="s">
        <v>26</v>
      </c>
      <c r="R582" s="3">
        <v>0</v>
      </c>
      <c r="S582" s="3">
        <v>0</v>
      </c>
      <c r="T582" s="3">
        <v>20</v>
      </c>
      <c r="U582" s="3">
        <v>60</v>
      </c>
      <c r="V582" s="4">
        <f>IF(ISERROR(VLOOKUP($S$582,'TAR FIN'!$A$1:$O$99,15,0)),0,VLOOKUP($S$582,'TAR FIN'!$A$1:$O$99,15,0))</f>
        <v>0</v>
      </c>
      <c r="W582" s="4">
        <f>IF(ISERROR(VLOOKUP($T$582,'TAR FIN'!$A$1:$O$99,15,0)),0,VLOOKUP($T$582,'TAR FIN'!$A$1:$O$99,15,0))</f>
        <v>578.61</v>
      </c>
      <c r="X582" s="4">
        <f>IF(ISERROR(VLOOKUP($U$582,'TAR FIN'!$A$1:$O$99,15,0)),0,VLOOKUP($U$582,'TAR FIN'!$A$1:$O$99,15,0))</f>
        <v>193.58</v>
      </c>
      <c r="Y582" s="4"/>
      <c r="Z582" s="4">
        <f ca="1">('TUSD BE'!$AM$42+'TUSD BF'!$AM$42+'TUSD CVA'!$AM$42)*(1-CUSTOS!$M$38)</f>
        <v>723.62147717195421</v>
      </c>
      <c r="AA582" s="4">
        <f>('TE BE'!$AA$24+'TE BF'!$AA$24+'TE CVA'!$AA$24)*(1-CUSTOS!$M$38)</f>
        <v>254.87076330352861</v>
      </c>
      <c r="AB582" s="4">
        <f t="shared" si="26"/>
        <v>0</v>
      </c>
      <c r="AC582" s="4">
        <f>(L582*W582+M582*X582)/(1-CUSTOS!$M$38)*CUSTOS!$M$38</f>
        <v>0.19715489361702132</v>
      </c>
      <c r="AD582" s="4">
        <f t="shared" si="27"/>
        <v>0</v>
      </c>
      <c r="AE582" s="4">
        <f ca="1">(L582*Z582+N582*AA582)/(1-CUSTOS!$M$38)*CUSTOS!$M$38</f>
        <v>0.24982780607884669</v>
      </c>
      <c r="AF582" s="3" t="s">
        <v>951</v>
      </c>
    </row>
    <row r="583" spans="1:32" ht="11.25" customHeight="1" x14ac:dyDescent="0.25">
      <c r="A583" s="3" t="s">
        <v>21</v>
      </c>
      <c r="B583" s="3" t="s">
        <v>44</v>
      </c>
      <c r="C583" s="3" t="s">
        <v>37</v>
      </c>
      <c r="D583" s="3" t="s">
        <v>45</v>
      </c>
      <c r="E583" s="3" t="s">
        <v>25</v>
      </c>
      <c r="F583" s="3" t="s">
        <v>25</v>
      </c>
      <c r="G583" s="3" t="s">
        <v>25</v>
      </c>
      <c r="H583" s="3" t="s">
        <v>38</v>
      </c>
      <c r="I583" s="6">
        <v>44501</v>
      </c>
      <c r="J583" s="4">
        <v>0</v>
      </c>
      <c r="K583" s="4">
        <v>0</v>
      </c>
      <c r="L583" s="4">
        <v>1.2999999999999999E-2</v>
      </c>
      <c r="M583" s="4">
        <v>1.2999999999999999E-2</v>
      </c>
      <c r="N583" s="4">
        <v>1.2999999999999999E-2</v>
      </c>
      <c r="O583" s="4">
        <v>1.2999999999999999E-2</v>
      </c>
      <c r="P583" s="4">
        <v>0</v>
      </c>
      <c r="Q583" s="3" t="s">
        <v>26</v>
      </c>
      <c r="R583" s="3">
        <v>0</v>
      </c>
      <c r="S583" s="3">
        <v>0</v>
      </c>
      <c r="T583" s="3">
        <v>20</v>
      </c>
      <c r="U583" s="3">
        <v>60</v>
      </c>
      <c r="V583" s="4">
        <f>IF(ISERROR(VLOOKUP($S$583,'TAR FIN'!$A$1:$O$99,15,0)),0,VLOOKUP($S$583,'TAR FIN'!$A$1:$O$99,15,0))</f>
        <v>0</v>
      </c>
      <c r="W583" s="4">
        <f>IF(ISERROR(VLOOKUP($T$583,'TAR FIN'!$A$1:$O$99,15,0)),0,VLOOKUP($T$583,'TAR FIN'!$A$1:$O$99,15,0))</f>
        <v>578.61</v>
      </c>
      <c r="X583" s="4">
        <f>IF(ISERROR(VLOOKUP($U$583,'TAR FIN'!$A$1:$O$99,15,0)),0,VLOOKUP($U$583,'TAR FIN'!$A$1:$O$99,15,0))</f>
        <v>193.58</v>
      </c>
      <c r="Y583" s="4"/>
      <c r="Z583" s="4">
        <f ca="1">('TUSD BE'!$AM$42+'TUSD BF'!$AM$42+'TUSD CVA'!$AM$42)*(1-CUSTOS!$M$38)</f>
        <v>723.62147717195421</v>
      </c>
      <c r="AA583" s="4">
        <f>('TE BE'!$AA$24+'TE BF'!$AA$24+'TE CVA'!$AA$24)*(1-CUSTOS!$M$38)</f>
        <v>254.87076330352861</v>
      </c>
      <c r="AB583" s="4">
        <f t="shared" si="26"/>
        <v>0</v>
      </c>
      <c r="AC583" s="4">
        <f>(L583*W583+M583*X583)/(1-CUSTOS!$M$38)*CUSTOS!$M$38</f>
        <v>0.64075340425531913</v>
      </c>
      <c r="AD583" s="4">
        <f t="shared" si="27"/>
        <v>0</v>
      </c>
      <c r="AE583" s="4">
        <f ca="1">(L583*Z583+N583*AA583)/(1-CUSTOS!$M$38)*CUSTOS!$M$38</f>
        <v>0.81194036975625172</v>
      </c>
      <c r="AF583" s="3" t="s">
        <v>951</v>
      </c>
    </row>
    <row r="584" spans="1:32" ht="11.25" customHeight="1" x14ac:dyDescent="0.25">
      <c r="A584" s="3" t="s">
        <v>21</v>
      </c>
      <c r="B584" s="3" t="s">
        <v>44</v>
      </c>
      <c r="C584" s="3" t="s">
        <v>37</v>
      </c>
      <c r="D584" s="3" t="s">
        <v>45</v>
      </c>
      <c r="E584" s="3" t="s">
        <v>25</v>
      </c>
      <c r="F584" s="3" t="s">
        <v>25</v>
      </c>
      <c r="G584" s="3" t="s">
        <v>25</v>
      </c>
      <c r="H584" s="3" t="s">
        <v>38</v>
      </c>
      <c r="I584" s="6">
        <v>44531</v>
      </c>
      <c r="J584" s="4">
        <v>0</v>
      </c>
      <c r="K584" s="4">
        <v>0</v>
      </c>
      <c r="L584" s="4">
        <v>6.0000000000000001E-3</v>
      </c>
      <c r="M584" s="4">
        <v>6.0000000000000001E-3</v>
      </c>
      <c r="N584" s="4">
        <v>6.0000000000000001E-3</v>
      </c>
      <c r="O584" s="4">
        <v>6.0000000000000001E-3</v>
      </c>
      <c r="P584" s="4">
        <v>0</v>
      </c>
      <c r="Q584" s="3" t="s">
        <v>26</v>
      </c>
      <c r="R584" s="3">
        <v>0</v>
      </c>
      <c r="S584" s="3">
        <v>0</v>
      </c>
      <c r="T584" s="3">
        <v>20</v>
      </c>
      <c r="U584" s="3">
        <v>60</v>
      </c>
      <c r="V584" s="4">
        <f>IF(ISERROR(VLOOKUP($S$584,'TAR FIN'!$A$1:$O$99,15,0)),0,VLOOKUP($S$584,'TAR FIN'!$A$1:$O$99,15,0))</f>
        <v>0</v>
      </c>
      <c r="W584" s="4">
        <f>IF(ISERROR(VLOOKUP($T$584,'TAR FIN'!$A$1:$O$99,15,0)),0,VLOOKUP($T$584,'TAR FIN'!$A$1:$O$99,15,0))</f>
        <v>578.61</v>
      </c>
      <c r="X584" s="4">
        <f>IF(ISERROR(VLOOKUP($U$584,'TAR FIN'!$A$1:$O$99,15,0)),0,VLOOKUP($U$584,'TAR FIN'!$A$1:$O$99,15,0))</f>
        <v>193.58</v>
      </c>
      <c r="Y584" s="4"/>
      <c r="Z584" s="4">
        <f ca="1">('TUSD BE'!$AM$42+'TUSD BF'!$AM$42+'TUSD CVA'!$AM$42)*(1-CUSTOS!$M$38)</f>
        <v>723.62147717195421</v>
      </c>
      <c r="AA584" s="4">
        <f>('TE BE'!$AA$24+'TE BF'!$AA$24+'TE CVA'!$AA$24)*(1-CUSTOS!$M$38)</f>
        <v>254.87076330352861</v>
      </c>
      <c r="AB584" s="4">
        <f t="shared" si="26"/>
        <v>0</v>
      </c>
      <c r="AC584" s="4">
        <f>(L584*W584+M584*X584)/(1-CUSTOS!$M$38)*CUSTOS!$M$38</f>
        <v>0.29573234042553193</v>
      </c>
      <c r="AD584" s="4">
        <f t="shared" si="27"/>
        <v>0</v>
      </c>
      <c r="AE584" s="4">
        <f ca="1">(L584*Z584+N584*AA584)/(1-CUSTOS!$M$38)*CUSTOS!$M$38</f>
        <v>0.37474170911826998</v>
      </c>
      <c r="AF584" s="3" t="s">
        <v>951</v>
      </c>
    </row>
    <row r="585" spans="1:32" ht="11.25" customHeight="1" x14ac:dyDescent="0.25">
      <c r="A585" s="3" t="s">
        <v>21</v>
      </c>
      <c r="B585" s="3" t="s">
        <v>44</v>
      </c>
      <c r="C585" s="3" t="s">
        <v>37</v>
      </c>
      <c r="D585" s="3" t="s">
        <v>45</v>
      </c>
      <c r="E585" s="3" t="s">
        <v>25</v>
      </c>
      <c r="F585" s="3" t="s">
        <v>25</v>
      </c>
      <c r="G585" s="3" t="s">
        <v>25</v>
      </c>
      <c r="H585" s="3" t="s">
        <v>38</v>
      </c>
      <c r="I585" s="6">
        <v>44621</v>
      </c>
      <c r="J585" s="4">
        <v>0</v>
      </c>
      <c r="K585" s="4">
        <v>0</v>
      </c>
      <c r="L585" s="4">
        <v>1E-3</v>
      </c>
      <c r="M585" s="4">
        <v>1E-3</v>
      </c>
      <c r="N585" s="4">
        <v>1E-3</v>
      </c>
      <c r="O585" s="4">
        <v>1E-3</v>
      </c>
      <c r="P585" s="4">
        <v>0</v>
      </c>
      <c r="Q585" s="3" t="s">
        <v>26</v>
      </c>
      <c r="R585" s="3">
        <v>0</v>
      </c>
      <c r="S585" s="3">
        <v>0</v>
      </c>
      <c r="T585" s="3">
        <v>20</v>
      </c>
      <c r="U585" s="3">
        <v>60</v>
      </c>
      <c r="V585" s="4">
        <f>IF(ISERROR(VLOOKUP($S$585,'TAR FIN'!$A$1:$O$99,15,0)),0,VLOOKUP($S$585,'TAR FIN'!$A$1:$O$99,15,0))</f>
        <v>0</v>
      </c>
      <c r="W585" s="4">
        <f>IF(ISERROR(VLOOKUP($T$585,'TAR FIN'!$A$1:$O$99,15,0)),0,VLOOKUP($T$585,'TAR FIN'!$A$1:$O$99,15,0))</f>
        <v>578.61</v>
      </c>
      <c r="X585" s="4">
        <f>IF(ISERROR(VLOOKUP($U$585,'TAR FIN'!$A$1:$O$99,15,0)),0,VLOOKUP($U$585,'TAR FIN'!$A$1:$O$99,15,0))</f>
        <v>193.58</v>
      </c>
      <c r="Y585" s="4"/>
      <c r="Z585" s="4">
        <f ca="1">('TUSD BE'!$AM$42+'TUSD BF'!$AM$42+'TUSD CVA'!$AM$42)*(1-CUSTOS!$M$38)</f>
        <v>723.62147717195421</v>
      </c>
      <c r="AA585" s="4">
        <f>('TE BE'!$AA$24+'TE BF'!$AA$24+'TE CVA'!$AA$24)*(1-CUSTOS!$M$38)</f>
        <v>254.87076330352861</v>
      </c>
      <c r="AB585" s="4">
        <f t="shared" si="26"/>
        <v>0</v>
      </c>
      <c r="AC585" s="4">
        <f>(L585*W585+M585*X585)/(1-CUSTOS!$M$38)*CUSTOS!$M$38</f>
        <v>4.928872340425533E-2</v>
      </c>
      <c r="AD585" s="4">
        <f t="shared" si="27"/>
        <v>0</v>
      </c>
      <c r="AE585" s="4">
        <f ca="1">(L585*Z585+N585*AA585)/(1-CUSTOS!$M$38)*CUSTOS!$M$38</f>
        <v>6.2456951519711673E-2</v>
      </c>
      <c r="AF585" s="3" t="s">
        <v>951</v>
      </c>
    </row>
    <row r="586" spans="1:32" ht="11.25" customHeight="1" x14ac:dyDescent="0.25">
      <c r="A586" s="3" t="s">
        <v>56</v>
      </c>
      <c r="B586" s="3" t="s">
        <v>44</v>
      </c>
      <c r="C586" s="3" t="s">
        <v>37</v>
      </c>
      <c r="D586" s="3" t="s">
        <v>45</v>
      </c>
      <c r="E586" s="3" t="s">
        <v>25</v>
      </c>
      <c r="F586" s="3" t="s">
        <v>25</v>
      </c>
      <c r="G586" s="3" t="s">
        <v>25</v>
      </c>
      <c r="H586" s="3" t="s">
        <v>38</v>
      </c>
      <c r="I586" s="6">
        <v>44652</v>
      </c>
      <c r="J586" s="4">
        <v>0</v>
      </c>
      <c r="K586" s="4">
        <v>0</v>
      </c>
      <c r="L586" s="4">
        <v>1E-3</v>
      </c>
      <c r="M586" s="4">
        <v>1E-3</v>
      </c>
      <c r="N586" s="4">
        <v>1E-3</v>
      </c>
      <c r="O586" s="4">
        <v>1E-3</v>
      </c>
      <c r="P586" s="4">
        <v>0</v>
      </c>
      <c r="Q586" s="3" t="s">
        <v>26</v>
      </c>
      <c r="R586" s="3">
        <v>0</v>
      </c>
      <c r="S586" s="3">
        <v>0</v>
      </c>
      <c r="T586" s="3">
        <v>20</v>
      </c>
      <c r="U586" s="3">
        <v>60</v>
      </c>
      <c r="V586" s="4">
        <f>IF(ISERROR(VLOOKUP($S$586,'TAR FIN'!$A$1:$O$99,15,0)),0,VLOOKUP($S$586,'TAR FIN'!$A$1:$O$99,15,0))</f>
        <v>0</v>
      </c>
      <c r="W586" s="4">
        <f>IF(ISERROR(VLOOKUP($T$586,'TAR FIN'!$A$1:$O$99,15,0)),0,VLOOKUP($T$586,'TAR FIN'!$A$1:$O$99,15,0))</f>
        <v>578.61</v>
      </c>
      <c r="X586" s="4">
        <f>IF(ISERROR(VLOOKUP($U$586,'TAR FIN'!$A$1:$O$99,15,0)),0,VLOOKUP($U$586,'TAR FIN'!$A$1:$O$99,15,0))</f>
        <v>193.58</v>
      </c>
      <c r="Y586" s="4"/>
      <c r="Z586" s="4">
        <f ca="1">('TUSD BE'!$AM$42+'TUSD BF'!$AM$42+'TUSD CVA'!$AM$42)*(1-CUSTOS!$M$38)</f>
        <v>723.62147717195421</v>
      </c>
      <c r="AA586" s="4">
        <f>('TE BE'!$AA$24+'TE BF'!$AA$24+'TE CVA'!$AA$24)*(1-CUSTOS!$M$38)</f>
        <v>254.87076330352861</v>
      </c>
      <c r="AB586" s="4">
        <f t="shared" si="26"/>
        <v>0</v>
      </c>
      <c r="AC586" s="4">
        <f>(L586*W586+M586*X586)/(1-CUSTOS!$M$38)*CUSTOS!$M$38</f>
        <v>4.928872340425533E-2</v>
      </c>
      <c r="AD586" s="4">
        <f t="shared" si="27"/>
        <v>0</v>
      </c>
      <c r="AE586" s="4">
        <f ca="1">(L586*Z586+N586*AA586)/(1-CUSTOS!$M$38)*CUSTOS!$M$38</f>
        <v>6.2456951519711673E-2</v>
      </c>
      <c r="AF586" s="3" t="s">
        <v>951</v>
      </c>
    </row>
    <row r="587" spans="1:32" ht="11.25" customHeight="1" x14ac:dyDescent="0.25">
      <c r="A587" s="3" t="s">
        <v>21</v>
      </c>
      <c r="B587" s="3" t="s">
        <v>44</v>
      </c>
      <c r="C587" s="3" t="s">
        <v>37</v>
      </c>
      <c r="D587" s="3" t="s">
        <v>45</v>
      </c>
      <c r="E587" s="3" t="s">
        <v>25</v>
      </c>
      <c r="F587" s="3" t="s">
        <v>25</v>
      </c>
      <c r="G587" s="3" t="s">
        <v>25</v>
      </c>
      <c r="H587" s="3" t="s">
        <v>35</v>
      </c>
      <c r="I587" s="6">
        <v>44470</v>
      </c>
      <c r="J587" s="4">
        <v>0</v>
      </c>
      <c r="K587" s="4">
        <v>0</v>
      </c>
      <c r="L587" s="4">
        <v>1E-3</v>
      </c>
      <c r="M587" s="4">
        <v>1E-3</v>
      </c>
      <c r="N587" s="4">
        <v>1E-3</v>
      </c>
      <c r="O587" s="4">
        <v>1E-3</v>
      </c>
      <c r="P587" s="4">
        <v>0</v>
      </c>
      <c r="Q587" s="3" t="s">
        <v>26</v>
      </c>
      <c r="R587" s="3">
        <v>0</v>
      </c>
      <c r="S587" s="3">
        <v>0</v>
      </c>
      <c r="T587" s="3">
        <v>19</v>
      </c>
      <c r="U587" s="3">
        <v>59</v>
      </c>
      <c r="V587" s="4">
        <f>IF(ISERROR(VLOOKUP($S$587,'TAR FIN'!$A$1:$O$99,15,0)),0,VLOOKUP($S$587,'TAR FIN'!$A$1:$O$99,15,0))</f>
        <v>0</v>
      </c>
      <c r="W587" s="4">
        <f>IF(ISERROR(VLOOKUP($T$587,'TAR FIN'!$A$1:$O$99,15,0)),0,VLOOKUP($T$587,'TAR FIN'!$A$1:$O$99,15,0))</f>
        <v>889.08</v>
      </c>
      <c r="X587" s="4">
        <f>IF(ISERROR(VLOOKUP($U$587,'TAR FIN'!$A$1:$O$99,15,0)),0,VLOOKUP($U$587,'TAR FIN'!$A$1:$O$99,15,0))</f>
        <v>305.02</v>
      </c>
      <c r="Y587" s="4"/>
      <c r="Z587" s="4">
        <f ca="1">('TUSD BE'!$AM$41+'TUSD BF'!$AM$41+'TUSD CVA'!$AM$41)*(1-CUSTOS!$M$38)</f>
        <v>1107.4974266789945</v>
      </c>
      <c r="AA587" s="4">
        <f>('TE BE'!$AA$23+'TE BF'!$AA$23+'TE CVA'!$AA$23)*(1-CUSTOS!$M$38)</f>
        <v>398.46273355089011</v>
      </c>
      <c r="AB587" s="4">
        <f t="shared" si="26"/>
        <v>0</v>
      </c>
      <c r="AC587" s="4">
        <f>(L587*W587+M587*X587)/(1-CUSTOS!$M$38)*CUSTOS!$M$38</f>
        <v>7.6219148936170225E-2</v>
      </c>
      <c r="AD587" s="4">
        <f t="shared" si="27"/>
        <v>0</v>
      </c>
      <c r="AE587" s="4">
        <f ca="1">(L587*Z587+N587*AA587)/(1-CUSTOS!$M$38)*CUSTOS!$M$38</f>
        <v>9.6125116610418171E-2</v>
      </c>
      <c r="AF587" s="3" t="s">
        <v>951</v>
      </c>
    </row>
    <row r="588" spans="1:32" ht="11.25" customHeight="1" x14ac:dyDescent="0.25">
      <c r="A588" s="3" t="s">
        <v>21</v>
      </c>
      <c r="B588" s="3" t="s">
        <v>44</v>
      </c>
      <c r="C588" s="3" t="s">
        <v>37</v>
      </c>
      <c r="D588" s="3" t="s">
        <v>45</v>
      </c>
      <c r="E588" s="3" t="s">
        <v>25</v>
      </c>
      <c r="F588" s="3" t="s">
        <v>25</v>
      </c>
      <c r="G588" s="3" t="s">
        <v>25</v>
      </c>
      <c r="H588" s="3" t="s">
        <v>35</v>
      </c>
      <c r="I588" s="6">
        <v>44501</v>
      </c>
      <c r="J588" s="4">
        <v>0</v>
      </c>
      <c r="K588" s="4">
        <v>0</v>
      </c>
      <c r="L588" s="4">
        <v>1E-3</v>
      </c>
      <c r="M588" s="4">
        <v>1E-3</v>
      </c>
      <c r="N588" s="4">
        <v>1E-3</v>
      </c>
      <c r="O588" s="4">
        <v>1E-3</v>
      </c>
      <c r="P588" s="4">
        <v>0</v>
      </c>
      <c r="Q588" s="3" t="s">
        <v>26</v>
      </c>
      <c r="R588" s="3">
        <v>0</v>
      </c>
      <c r="S588" s="3">
        <v>0</v>
      </c>
      <c r="T588" s="3">
        <v>19</v>
      </c>
      <c r="U588" s="3">
        <v>59</v>
      </c>
      <c r="V588" s="4">
        <f>IF(ISERROR(VLOOKUP($S$588,'TAR FIN'!$A$1:$O$99,15,0)),0,VLOOKUP($S$588,'TAR FIN'!$A$1:$O$99,15,0))</f>
        <v>0</v>
      </c>
      <c r="W588" s="4">
        <f>IF(ISERROR(VLOOKUP($T$588,'TAR FIN'!$A$1:$O$99,15,0)),0,VLOOKUP($T$588,'TAR FIN'!$A$1:$O$99,15,0))</f>
        <v>889.08</v>
      </c>
      <c r="X588" s="4">
        <f>IF(ISERROR(VLOOKUP($U$588,'TAR FIN'!$A$1:$O$99,15,0)),0,VLOOKUP($U$588,'TAR FIN'!$A$1:$O$99,15,0))</f>
        <v>305.02</v>
      </c>
      <c r="Y588" s="4"/>
      <c r="Z588" s="4">
        <f ca="1">('TUSD BE'!$AM$41+'TUSD BF'!$AM$41+'TUSD CVA'!$AM$41)*(1-CUSTOS!$M$38)</f>
        <v>1107.4974266789945</v>
      </c>
      <c r="AA588" s="4">
        <f>('TE BE'!$AA$23+'TE BF'!$AA$23+'TE CVA'!$AA$23)*(1-CUSTOS!$M$38)</f>
        <v>398.46273355089011</v>
      </c>
      <c r="AB588" s="4">
        <f t="shared" si="26"/>
        <v>0</v>
      </c>
      <c r="AC588" s="4">
        <f>(L588*W588+M588*X588)/(1-CUSTOS!$M$38)*CUSTOS!$M$38</f>
        <v>7.6219148936170225E-2</v>
      </c>
      <c r="AD588" s="4">
        <f t="shared" si="27"/>
        <v>0</v>
      </c>
      <c r="AE588" s="4">
        <f ca="1">(L588*Z588+N588*AA588)/(1-CUSTOS!$M$38)*CUSTOS!$M$38</f>
        <v>9.6125116610418171E-2</v>
      </c>
      <c r="AF588" s="3" t="s">
        <v>951</v>
      </c>
    </row>
    <row r="589" spans="1:32" ht="11.25" customHeight="1" x14ac:dyDescent="0.25">
      <c r="A589" s="3" t="s">
        <v>21</v>
      </c>
      <c r="B589" s="3" t="s">
        <v>44</v>
      </c>
      <c r="C589" s="3" t="s">
        <v>37</v>
      </c>
      <c r="D589" s="3" t="s">
        <v>45</v>
      </c>
      <c r="E589" s="3" t="s">
        <v>25</v>
      </c>
      <c r="F589" s="3" t="s">
        <v>25</v>
      </c>
      <c r="G589" s="3" t="s">
        <v>25</v>
      </c>
      <c r="H589" s="3" t="s">
        <v>35</v>
      </c>
      <c r="I589" s="6">
        <v>44531</v>
      </c>
      <c r="J589" s="4">
        <v>0</v>
      </c>
      <c r="K589" s="4">
        <v>0</v>
      </c>
      <c r="L589" s="4">
        <v>1E-3</v>
      </c>
      <c r="M589" s="4">
        <v>1E-3</v>
      </c>
      <c r="N589" s="4">
        <v>1E-3</v>
      </c>
      <c r="O589" s="4">
        <v>1E-3</v>
      </c>
      <c r="P589" s="4">
        <v>0</v>
      </c>
      <c r="Q589" s="3" t="s">
        <v>26</v>
      </c>
      <c r="R589" s="3">
        <v>0</v>
      </c>
      <c r="S589" s="3">
        <v>0</v>
      </c>
      <c r="T589" s="3">
        <v>19</v>
      </c>
      <c r="U589" s="3">
        <v>59</v>
      </c>
      <c r="V589" s="4">
        <f>IF(ISERROR(VLOOKUP($S$589,'TAR FIN'!$A$1:$O$99,15,0)),0,VLOOKUP($S$589,'TAR FIN'!$A$1:$O$99,15,0))</f>
        <v>0</v>
      </c>
      <c r="W589" s="4">
        <f>IF(ISERROR(VLOOKUP($T$589,'TAR FIN'!$A$1:$O$99,15,0)),0,VLOOKUP($T$589,'TAR FIN'!$A$1:$O$99,15,0))</f>
        <v>889.08</v>
      </c>
      <c r="X589" s="4">
        <f>IF(ISERROR(VLOOKUP($U$589,'TAR FIN'!$A$1:$O$99,15,0)),0,VLOOKUP($U$589,'TAR FIN'!$A$1:$O$99,15,0))</f>
        <v>305.02</v>
      </c>
      <c r="Y589" s="4"/>
      <c r="Z589" s="4">
        <f ca="1">('TUSD BE'!$AM$41+'TUSD BF'!$AM$41+'TUSD CVA'!$AM$41)*(1-CUSTOS!$M$38)</f>
        <v>1107.4974266789945</v>
      </c>
      <c r="AA589" s="4">
        <f>('TE BE'!$AA$23+'TE BF'!$AA$23+'TE CVA'!$AA$23)*(1-CUSTOS!$M$38)</f>
        <v>398.46273355089011</v>
      </c>
      <c r="AB589" s="4">
        <f t="shared" si="26"/>
        <v>0</v>
      </c>
      <c r="AC589" s="4">
        <f>(L589*W589+M589*X589)/(1-CUSTOS!$M$38)*CUSTOS!$M$38</f>
        <v>7.6219148936170225E-2</v>
      </c>
      <c r="AD589" s="4">
        <f t="shared" si="27"/>
        <v>0</v>
      </c>
      <c r="AE589" s="4">
        <f ca="1">(L589*Z589+N589*AA589)/(1-CUSTOS!$M$38)*CUSTOS!$M$38</f>
        <v>9.6125116610418171E-2</v>
      </c>
      <c r="AF589" s="3" t="s">
        <v>951</v>
      </c>
    </row>
    <row r="590" spans="1:32" ht="11.25" customHeight="1" x14ac:dyDescent="0.25">
      <c r="A590" s="3" t="s">
        <v>21</v>
      </c>
      <c r="B590" s="3" t="s">
        <v>44</v>
      </c>
      <c r="C590" s="3" t="s">
        <v>23</v>
      </c>
      <c r="D590" s="3" t="s">
        <v>45</v>
      </c>
      <c r="E590" s="3" t="s">
        <v>53</v>
      </c>
      <c r="F590" s="3" t="s">
        <v>54</v>
      </c>
      <c r="G590" s="3" t="s">
        <v>25</v>
      </c>
      <c r="H590" s="3" t="s">
        <v>25</v>
      </c>
      <c r="I590" s="6">
        <v>44317</v>
      </c>
      <c r="J590" s="4">
        <v>0</v>
      </c>
      <c r="K590" s="4">
        <v>0</v>
      </c>
      <c r="L590" s="4">
        <v>15.4</v>
      </c>
      <c r="M590" s="4">
        <v>15.4</v>
      </c>
      <c r="N590" s="4">
        <v>15.4</v>
      </c>
      <c r="O590" s="4">
        <v>15.4</v>
      </c>
      <c r="P590" s="4">
        <v>0</v>
      </c>
      <c r="Q590" s="3" t="s">
        <v>26</v>
      </c>
      <c r="R590" s="3">
        <v>0</v>
      </c>
      <c r="S590" s="3">
        <v>0</v>
      </c>
      <c r="T590" s="3">
        <v>37</v>
      </c>
      <c r="U590" s="3">
        <v>78</v>
      </c>
      <c r="V590" s="4">
        <f>IF(ISERROR(VLOOKUP($S$590,'TAR FIN'!$A$1:$O$99,15,0)),0,VLOOKUP($S$590,'TAR FIN'!$A$1:$O$99,15,0))</f>
        <v>0</v>
      </c>
      <c r="W590" s="4">
        <f>IF(ISERROR(VLOOKUP($T$590,'TAR FIN'!$A$1:$O$99,15,0)),0,VLOOKUP($T$590,'TAR FIN'!$A$1:$O$99,15,0))</f>
        <v>348.11</v>
      </c>
      <c r="X590" s="4">
        <f>IF(ISERROR(VLOOKUP($U$590,'TAR FIN'!$A$1:$O$99,15,0)),0,VLOOKUP($U$590,'TAR FIN'!$A$1:$O$99,15,0))</f>
        <v>202.86</v>
      </c>
      <c r="Y590" s="4"/>
      <c r="Z590" s="4">
        <f ca="1">('TUSD BE'!$AM$44+'TUSD BF'!$AM$44+'TUSD CVA'!$AM$44)*(1-CUSTOS!$M$38)</f>
        <v>438.62226072739548</v>
      </c>
      <c r="AA590" s="4">
        <f>('TE BE'!$AA$26+'TE BF'!$AA$26+'TE CVA'!$AA$26)*(1-CUSTOS!$M$38)</f>
        <v>266.83676082414206</v>
      </c>
      <c r="AB590" s="4">
        <f t="shared" si="26"/>
        <v>0</v>
      </c>
      <c r="AC590" s="4">
        <f>(L590-M590)*(W590+X590)+($W$520+$X$520-$W$590-$X$590)*(L590)</f>
        <v>1157.1559999999997</v>
      </c>
      <c r="AD590" s="4">
        <f t="shared" si="27"/>
        <v>0</v>
      </c>
      <c r="AE590" s="4">
        <f ca="1">(L590-M590)*(Z590+AA590)+($Z$520+$AA$520-$Z$590-$AA$590)*(L590)</f>
        <v>693.45120841874609</v>
      </c>
      <c r="AF590" s="3" t="s">
        <v>951</v>
      </c>
    </row>
    <row r="591" spans="1:32" ht="11.25" customHeight="1" x14ac:dyDescent="0.25">
      <c r="A591" s="3" t="s">
        <v>21</v>
      </c>
      <c r="B591" s="3" t="s">
        <v>44</v>
      </c>
      <c r="C591" s="3" t="s">
        <v>23</v>
      </c>
      <c r="D591" s="3" t="s">
        <v>45</v>
      </c>
      <c r="E591" s="3" t="s">
        <v>53</v>
      </c>
      <c r="F591" s="3" t="s">
        <v>54</v>
      </c>
      <c r="G591" s="3" t="s">
        <v>25</v>
      </c>
      <c r="H591" s="3" t="s">
        <v>25</v>
      </c>
      <c r="I591" s="6">
        <v>44348</v>
      </c>
      <c r="J591" s="4">
        <v>0</v>
      </c>
      <c r="K591" s="4">
        <v>0</v>
      </c>
      <c r="L591" s="4">
        <v>17.745000000000001</v>
      </c>
      <c r="M591" s="4">
        <v>17.745000000000001</v>
      </c>
      <c r="N591" s="4">
        <v>17.745000000000001</v>
      </c>
      <c r="O591" s="4">
        <v>17.745000000000001</v>
      </c>
      <c r="P591" s="4">
        <v>0</v>
      </c>
      <c r="Q591" s="3" t="s">
        <v>26</v>
      </c>
      <c r="R591" s="3">
        <v>0</v>
      </c>
      <c r="S591" s="3">
        <v>0</v>
      </c>
      <c r="T591" s="3">
        <v>37</v>
      </c>
      <c r="U591" s="3">
        <v>78</v>
      </c>
      <c r="V591" s="4">
        <f>IF(ISERROR(VLOOKUP($S$591,'TAR FIN'!$A$1:$O$99,15,0)),0,VLOOKUP($S$591,'TAR FIN'!$A$1:$O$99,15,0))</f>
        <v>0</v>
      </c>
      <c r="W591" s="4">
        <f>IF(ISERROR(VLOOKUP($T$591,'TAR FIN'!$A$1:$O$99,15,0)),0,VLOOKUP($T$591,'TAR FIN'!$A$1:$O$99,15,0))</f>
        <v>348.11</v>
      </c>
      <c r="X591" s="4">
        <f>IF(ISERROR(VLOOKUP($U$591,'TAR FIN'!$A$1:$O$99,15,0)),0,VLOOKUP($U$591,'TAR FIN'!$A$1:$O$99,15,0))</f>
        <v>202.86</v>
      </c>
      <c r="Y591" s="4"/>
      <c r="Z591" s="4">
        <f ca="1">('TUSD BE'!$AM$44+'TUSD BF'!$AM$44+'TUSD CVA'!$AM$44)*(1-CUSTOS!$M$38)</f>
        <v>438.62226072739548</v>
      </c>
      <c r="AA591" s="4">
        <f>('TE BE'!$AA$26+'TE BF'!$AA$26+'TE CVA'!$AA$26)*(1-CUSTOS!$M$38)</f>
        <v>266.83676082414206</v>
      </c>
      <c r="AB591" s="4">
        <f t="shared" si="26"/>
        <v>0</v>
      </c>
      <c r="AC591" s="4">
        <f>(L591-M591)*(W591+X591)+($W$520+$X$520-$W$591-$X$591)*(L591)</f>
        <v>1333.3592999999998</v>
      </c>
      <c r="AD591" s="4">
        <f t="shared" si="27"/>
        <v>0</v>
      </c>
      <c r="AE591" s="4">
        <f ca="1">(L591-M591)*(Z591+AA591)+($Z$520+$AA$520-$Z$591-$AA$591)*(L591)</f>
        <v>799.04491515523705</v>
      </c>
      <c r="AF591" s="3" t="s">
        <v>951</v>
      </c>
    </row>
    <row r="592" spans="1:32" ht="11.25" customHeight="1" x14ac:dyDescent="0.25">
      <c r="A592" s="3" t="s">
        <v>27</v>
      </c>
      <c r="B592" s="3" t="s">
        <v>44</v>
      </c>
      <c r="C592" s="3" t="s">
        <v>23</v>
      </c>
      <c r="D592" s="3" t="s">
        <v>45</v>
      </c>
      <c r="E592" s="3" t="s">
        <v>53</v>
      </c>
      <c r="F592" s="3" t="s">
        <v>54</v>
      </c>
      <c r="G592" s="3" t="s">
        <v>25</v>
      </c>
      <c r="H592" s="3" t="s">
        <v>25</v>
      </c>
      <c r="I592" s="6">
        <v>44348</v>
      </c>
      <c r="J592" s="4">
        <v>0</v>
      </c>
      <c r="K592" s="4">
        <v>0</v>
      </c>
      <c r="L592" s="4">
        <v>-19.623999999999999</v>
      </c>
      <c r="M592" s="4">
        <v>-19.623999999999999</v>
      </c>
      <c r="N592" s="4">
        <v>-19.623999999999999</v>
      </c>
      <c r="O592" s="4">
        <v>-19.623999999999999</v>
      </c>
      <c r="P592" s="4">
        <v>0</v>
      </c>
      <c r="Q592" s="3" t="s">
        <v>26</v>
      </c>
      <c r="R592" s="3">
        <v>0</v>
      </c>
      <c r="S592" s="3">
        <v>0</v>
      </c>
      <c r="T592" s="3">
        <v>37</v>
      </c>
      <c r="U592" s="3">
        <v>78</v>
      </c>
      <c r="V592" s="4">
        <f>IF(ISERROR(VLOOKUP($S$592,'TAR FIN'!$A$1:$O$99,15,0)),0,VLOOKUP($S$592,'TAR FIN'!$A$1:$O$99,15,0))</f>
        <v>0</v>
      </c>
      <c r="W592" s="4">
        <f>IF(ISERROR(VLOOKUP($T$592,'TAR FIN'!$A$1:$O$99,15,0)),0,VLOOKUP($T$592,'TAR FIN'!$A$1:$O$99,15,0))</f>
        <v>348.11</v>
      </c>
      <c r="X592" s="4">
        <f>IF(ISERROR(VLOOKUP($U$592,'TAR FIN'!$A$1:$O$99,15,0)),0,VLOOKUP($U$592,'TAR FIN'!$A$1:$O$99,15,0))</f>
        <v>202.86</v>
      </c>
      <c r="Y592" s="4"/>
      <c r="Z592" s="4">
        <f ca="1">('TUSD BE'!$AM$44+'TUSD BF'!$AM$44+'TUSD CVA'!$AM$44)*(1-CUSTOS!$M$38)</f>
        <v>438.62226072739548</v>
      </c>
      <c r="AA592" s="4">
        <f>('TE BE'!$AA$26+'TE BF'!$AA$26+'TE CVA'!$AA$26)*(1-CUSTOS!$M$38)</f>
        <v>266.83676082414206</v>
      </c>
      <c r="AB592" s="4">
        <f t="shared" si="26"/>
        <v>0</v>
      </c>
      <c r="AC592" s="4">
        <f>(L592-M592)*(W592+X592)+($W$520+$X$520-$W$592-$X$592)*(L592)</f>
        <v>-1474.5473599999996</v>
      </c>
      <c r="AD592" s="4">
        <f t="shared" si="27"/>
        <v>0</v>
      </c>
      <c r="AE592" s="4">
        <f ca="1">(L592-M592)*(Z592+AA592)+($Z$520+$AA$520-$Z$592-$AA$592)*(L592)</f>
        <v>-883.65496844217353</v>
      </c>
      <c r="AF592" s="3" t="s">
        <v>951</v>
      </c>
    </row>
    <row r="593" spans="1:32" ht="11.25" customHeight="1" x14ac:dyDescent="0.25">
      <c r="A593" s="3" t="s">
        <v>21</v>
      </c>
      <c r="B593" s="3" t="s">
        <v>44</v>
      </c>
      <c r="C593" s="3" t="s">
        <v>23</v>
      </c>
      <c r="D593" s="3" t="s">
        <v>45</v>
      </c>
      <c r="E593" s="3" t="s">
        <v>53</v>
      </c>
      <c r="F593" s="3" t="s">
        <v>54</v>
      </c>
      <c r="G593" s="3" t="s">
        <v>25</v>
      </c>
      <c r="H593" s="3" t="s">
        <v>25</v>
      </c>
      <c r="I593" s="6">
        <v>44378</v>
      </c>
      <c r="J593" s="4">
        <v>0</v>
      </c>
      <c r="K593" s="4">
        <v>0</v>
      </c>
      <c r="L593" s="4">
        <v>22.635999999999999</v>
      </c>
      <c r="M593" s="4">
        <v>22.635999999999999</v>
      </c>
      <c r="N593" s="4">
        <v>22.635999999999999</v>
      </c>
      <c r="O593" s="4">
        <v>22.635999999999999</v>
      </c>
      <c r="P593" s="4">
        <v>0</v>
      </c>
      <c r="Q593" s="3" t="s">
        <v>26</v>
      </c>
      <c r="R593" s="3">
        <v>0</v>
      </c>
      <c r="S593" s="3">
        <v>0</v>
      </c>
      <c r="T593" s="3">
        <v>37</v>
      </c>
      <c r="U593" s="3">
        <v>78</v>
      </c>
      <c r="V593" s="4">
        <f>IF(ISERROR(VLOOKUP($S$593,'TAR FIN'!$A$1:$O$99,15,0)),0,VLOOKUP($S$593,'TAR FIN'!$A$1:$O$99,15,0))</f>
        <v>0</v>
      </c>
      <c r="W593" s="4">
        <f>IF(ISERROR(VLOOKUP($T$593,'TAR FIN'!$A$1:$O$99,15,0)),0,VLOOKUP($T$593,'TAR FIN'!$A$1:$O$99,15,0))</f>
        <v>348.11</v>
      </c>
      <c r="X593" s="4">
        <f>IF(ISERROR(VLOOKUP($U$593,'TAR FIN'!$A$1:$O$99,15,0)),0,VLOOKUP($U$593,'TAR FIN'!$A$1:$O$99,15,0))</f>
        <v>202.86</v>
      </c>
      <c r="Y593" s="4"/>
      <c r="Z593" s="4">
        <f ca="1">('TUSD BE'!$AM$44+'TUSD BF'!$AM$44+'TUSD CVA'!$AM$44)*(1-CUSTOS!$M$38)</f>
        <v>438.62226072739548</v>
      </c>
      <c r="AA593" s="4">
        <f>('TE BE'!$AA$26+'TE BF'!$AA$26+'TE CVA'!$AA$26)*(1-CUSTOS!$M$38)</f>
        <v>266.83676082414206</v>
      </c>
      <c r="AB593" s="4">
        <f t="shared" si="26"/>
        <v>0</v>
      </c>
      <c r="AC593" s="4">
        <f>(L593-M593)*(W593+X593)+($W$520+$X$520-$W$593-$X$593)*(L593)</f>
        <v>1700.8690399999996</v>
      </c>
      <c r="AD593" s="4">
        <f t="shared" si="27"/>
        <v>0</v>
      </c>
      <c r="AE593" s="4">
        <f ca="1">(L593-M593)*(Z593+AA593)+($Z$520+$AA$520-$Z$593-$AA$593)*(L593)</f>
        <v>1019.2832177770608</v>
      </c>
      <c r="AF593" s="3" t="s">
        <v>951</v>
      </c>
    </row>
    <row r="594" spans="1:32" ht="11.25" customHeight="1" x14ac:dyDescent="0.25">
      <c r="A594" s="3" t="s">
        <v>27</v>
      </c>
      <c r="B594" s="3" t="s">
        <v>44</v>
      </c>
      <c r="C594" s="3" t="s">
        <v>23</v>
      </c>
      <c r="D594" s="3" t="s">
        <v>45</v>
      </c>
      <c r="E594" s="3" t="s">
        <v>53</v>
      </c>
      <c r="F594" s="3" t="s">
        <v>54</v>
      </c>
      <c r="G594" s="3" t="s">
        <v>25</v>
      </c>
      <c r="H594" s="3" t="s">
        <v>25</v>
      </c>
      <c r="I594" s="6">
        <v>44378</v>
      </c>
      <c r="J594" s="4">
        <v>0</v>
      </c>
      <c r="K594" s="4">
        <v>0</v>
      </c>
      <c r="L594" s="4">
        <v>-0.39600000000000002</v>
      </c>
      <c r="M594" s="4">
        <v>-0.39600000000000002</v>
      </c>
      <c r="N594" s="4">
        <v>-0.39600000000000002</v>
      </c>
      <c r="O594" s="4">
        <v>-0.39600000000000002</v>
      </c>
      <c r="P594" s="4">
        <v>0</v>
      </c>
      <c r="Q594" s="3" t="s">
        <v>26</v>
      </c>
      <c r="R594" s="3">
        <v>0</v>
      </c>
      <c r="S594" s="3">
        <v>0</v>
      </c>
      <c r="T594" s="3">
        <v>37</v>
      </c>
      <c r="U594" s="3">
        <v>78</v>
      </c>
      <c r="V594" s="4">
        <f>IF(ISERROR(VLOOKUP($S$594,'TAR FIN'!$A$1:$O$99,15,0)),0,VLOOKUP($S$594,'TAR FIN'!$A$1:$O$99,15,0))</f>
        <v>0</v>
      </c>
      <c r="W594" s="4">
        <f>IF(ISERROR(VLOOKUP($T$594,'TAR FIN'!$A$1:$O$99,15,0)),0,VLOOKUP($T$594,'TAR FIN'!$A$1:$O$99,15,0))</f>
        <v>348.11</v>
      </c>
      <c r="X594" s="4">
        <f>IF(ISERROR(VLOOKUP($U$594,'TAR FIN'!$A$1:$O$99,15,0)),0,VLOOKUP($U$594,'TAR FIN'!$A$1:$O$99,15,0))</f>
        <v>202.86</v>
      </c>
      <c r="Y594" s="4"/>
      <c r="Z594" s="4">
        <f ca="1">('TUSD BE'!$AM$44+'TUSD BF'!$AM$44+'TUSD CVA'!$AM$44)*(1-CUSTOS!$M$38)</f>
        <v>438.62226072739548</v>
      </c>
      <c r="AA594" s="4">
        <f>('TE BE'!$AA$26+'TE BF'!$AA$26+'TE CVA'!$AA$26)*(1-CUSTOS!$M$38)</f>
        <v>266.83676082414206</v>
      </c>
      <c r="AB594" s="4">
        <f t="shared" si="26"/>
        <v>0</v>
      </c>
      <c r="AC594" s="4">
        <f>(L594-M594)*(W594+X594)+($W$520+$X$520-$W$594-$X$594)*(L594)</f>
        <v>-29.755439999999997</v>
      </c>
      <c r="AD594" s="4">
        <f t="shared" si="27"/>
        <v>0</v>
      </c>
      <c r="AE594" s="4">
        <f ca="1">(L594-M594)*(Z594+AA594)+($Z$520+$AA$520-$Z$594-$AA$594)*(L594)</f>
        <v>-17.831602502196329</v>
      </c>
      <c r="AF594" s="3" t="s">
        <v>951</v>
      </c>
    </row>
    <row r="595" spans="1:32" ht="11.25" customHeight="1" x14ac:dyDescent="0.25">
      <c r="A595" s="3" t="s">
        <v>21</v>
      </c>
      <c r="B595" s="3" t="s">
        <v>44</v>
      </c>
      <c r="C595" s="3" t="s">
        <v>23</v>
      </c>
      <c r="D595" s="3" t="s">
        <v>45</v>
      </c>
      <c r="E595" s="3" t="s">
        <v>53</v>
      </c>
      <c r="F595" s="3" t="s">
        <v>54</v>
      </c>
      <c r="G595" s="3" t="s">
        <v>25</v>
      </c>
      <c r="H595" s="3" t="s">
        <v>25</v>
      </c>
      <c r="I595" s="6">
        <v>44409</v>
      </c>
      <c r="J595" s="4">
        <v>0</v>
      </c>
      <c r="K595" s="4">
        <v>0</v>
      </c>
      <c r="L595" s="4">
        <v>19.344999999999999</v>
      </c>
      <c r="M595" s="4">
        <v>19.344999999999999</v>
      </c>
      <c r="N595" s="4">
        <v>19.344999999999999</v>
      </c>
      <c r="O595" s="4">
        <v>19.344999999999999</v>
      </c>
      <c r="P595" s="4">
        <v>0</v>
      </c>
      <c r="Q595" s="3" t="s">
        <v>26</v>
      </c>
      <c r="R595" s="3">
        <v>0</v>
      </c>
      <c r="S595" s="3">
        <v>0</v>
      </c>
      <c r="T595" s="3">
        <v>37</v>
      </c>
      <c r="U595" s="3">
        <v>78</v>
      </c>
      <c r="V595" s="4">
        <f>IF(ISERROR(VLOOKUP($S$595,'TAR FIN'!$A$1:$O$99,15,0)),0,VLOOKUP($S$595,'TAR FIN'!$A$1:$O$99,15,0))</f>
        <v>0</v>
      </c>
      <c r="W595" s="4">
        <f>IF(ISERROR(VLOOKUP($T$595,'TAR FIN'!$A$1:$O$99,15,0)),0,VLOOKUP($T$595,'TAR FIN'!$A$1:$O$99,15,0))</f>
        <v>348.11</v>
      </c>
      <c r="X595" s="4">
        <f>IF(ISERROR(VLOOKUP($U$595,'TAR FIN'!$A$1:$O$99,15,0)),0,VLOOKUP($U$595,'TAR FIN'!$A$1:$O$99,15,0))</f>
        <v>202.86</v>
      </c>
      <c r="Y595" s="4"/>
      <c r="Z595" s="4">
        <f ca="1">('TUSD BE'!$AM$44+'TUSD BF'!$AM$44+'TUSD CVA'!$AM$44)*(1-CUSTOS!$M$38)</f>
        <v>438.62226072739548</v>
      </c>
      <c r="AA595" s="4">
        <f>('TE BE'!$AA$26+'TE BF'!$AA$26+'TE CVA'!$AA$26)*(1-CUSTOS!$M$38)</f>
        <v>266.83676082414206</v>
      </c>
      <c r="AB595" s="4">
        <f t="shared" si="26"/>
        <v>0</v>
      </c>
      <c r="AC595" s="4">
        <f>(L595-M595)*(W595+X595)+($W$520+$X$520-$W$595-$X$595)*(L595)</f>
        <v>1453.5832999999996</v>
      </c>
      <c r="AD595" s="4">
        <f t="shared" si="27"/>
        <v>0</v>
      </c>
      <c r="AE595" s="4">
        <f ca="1">(L595-M595)*(Z595+AA595)+($Z$520+$AA$520-$Z$595-$AA$595)*(L595)</f>
        <v>871.09179395198976</v>
      </c>
      <c r="AF595" s="3" t="s">
        <v>951</v>
      </c>
    </row>
    <row r="596" spans="1:32" ht="11.25" customHeight="1" x14ac:dyDescent="0.25">
      <c r="A596" s="3" t="s">
        <v>27</v>
      </c>
      <c r="B596" s="3" t="s">
        <v>44</v>
      </c>
      <c r="C596" s="3" t="s">
        <v>23</v>
      </c>
      <c r="D596" s="3" t="s">
        <v>45</v>
      </c>
      <c r="E596" s="3" t="s">
        <v>53</v>
      </c>
      <c r="F596" s="3" t="s">
        <v>54</v>
      </c>
      <c r="G596" s="3" t="s">
        <v>25</v>
      </c>
      <c r="H596" s="3" t="s">
        <v>25</v>
      </c>
      <c r="I596" s="6">
        <v>44409</v>
      </c>
      <c r="J596" s="4">
        <v>0</v>
      </c>
      <c r="K596" s="4">
        <v>0</v>
      </c>
      <c r="L596" s="4">
        <v>-0.14099999999999999</v>
      </c>
      <c r="M596" s="4">
        <v>-0.14099999999999999</v>
      </c>
      <c r="N596" s="4">
        <v>-0.14099999999999999</v>
      </c>
      <c r="O596" s="4">
        <v>-0.14099999999999999</v>
      </c>
      <c r="P596" s="4">
        <v>0</v>
      </c>
      <c r="Q596" s="3" t="s">
        <v>26</v>
      </c>
      <c r="R596" s="3">
        <v>0</v>
      </c>
      <c r="S596" s="3">
        <v>0</v>
      </c>
      <c r="T596" s="3">
        <v>37</v>
      </c>
      <c r="U596" s="3">
        <v>78</v>
      </c>
      <c r="V596" s="4">
        <f>IF(ISERROR(VLOOKUP($S$596,'TAR FIN'!$A$1:$O$99,15,0)),0,VLOOKUP($S$596,'TAR FIN'!$A$1:$O$99,15,0))</f>
        <v>0</v>
      </c>
      <c r="W596" s="4">
        <f>IF(ISERROR(VLOOKUP($T$596,'TAR FIN'!$A$1:$O$99,15,0)),0,VLOOKUP($T$596,'TAR FIN'!$A$1:$O$99,15,0))</f>
        <v>348.11</v>
      </c>
      <c r="X596" s="4">
        <f>IF(ISERROR(VLOOKUP($U$596,'TAR FIN'!$A$1:$O$99,15,0)),0,VLOOKUP($U$596,'TAR FIN'!$A$1:$O$99,15,0))</f>
        <v>202.86</v>
      </c>
      <c r="Y596" s="4"/>
      <c r="Z596" s="4">
        <f ca="1">('TUSD BE'!$AM$44+'TUSD BF'!$AM$44+'TUSD CVA'!$AM$44)*(1-CUSTOS!$M$38)</f>
        <v>438.62226072739548</v>
      </c>
      <c r="AA596" s="4">
        <f>('TE BE'!$AA$26+'TE BF'!$AA$26+'TE CVA'!$AA$26)*(1-CUSTOS!$M$38)</f>
        <v>266.83676082414206</v>
      </c>
      <c r="AB596" s="4">
        <f t="shared" si="26"/>
        <v>0</v>
      </c>
      <c r="AC596" s="4">
        <f>(L596-M596)*(W596+X596)+($W$520+$X$520-$W$596-$X$596)*(L596)</f>
        <v>-10.594739999999996</v>
      </c>
      <c r="AD596" s="4">
        <f t="shared" si="27"/>
        <v>0</v>
      </c>
      <c r="AE596" s="4">
        <f ca="1">(L596-M596)*(Z596+AA596)+($Z$520+$AA$520-$Z$596-$AA$596)*(L596)</f>
        <v>-6.349131193963844</v>
      </c>
      <c r="AF596" s="3" t="s">
        <v>951</v>
      </c>
    </row>
    <row r="597" spans="1:32" ht="11.25" customHeight="1" x14ac:dyDescent="0.25">
      <c r="A597" s="3" t="s">
        <v>21</v>
      </c>
      <c r="B597" s="3" t="s">
        <v>44</v>
      </c>
      <c r="C597" s="3" t="s">
        <v>23</v>
      </c>
      <c r="D597" s="3" t="s">
        <v>45</v>
      </c>
      <c r="E597" s="3" t="s">
        <v>53</v>
      </c>
      <c r="F597" s="3" t="s">
        <v>54</v>
      </c>
      <c r="G597" s="3" t="s">
        <v>25</v>
      </c>
      <c r="H597" s="3" t="s">
        <v>25</v>
      </c>
      <c r="I597" s="6">
        <v>44440</v>
      </c>
      <c r="J597" s="4">
        <v>0</v>
      </c>
      <c r="K597" s="4">
        <v>0</v>
      </c>
      <c r="L597" s="4">
        <v>32.347000000000001</v>
      </c>
      <c r="M597" s="4">
        <v>32.347000000000001</v>
      </c>
      <c r="N597" s="4">
        <v>32.347000000000001</v>
      </c>
      <c r="O597" s="4">
        <v>32.347000000000001</v>
      </c>
      <c r="P597" s="4">
        <v>0</v>
      </c>
      <c r="Q597" s="3" t="s">
        <v>26</v>
      </c>
      <c r="R597" s="3">
        <v>0</v>
      </c>
      <c r="S597" s="3">
        <v>0</v>
      </c>
      <c r="T597" s="3">
        <v>37</v>
      </c>
      <c r="U597" s="3">
        <v>78</v>
      </c>
      <c r="V597" s="4">
        <f>IF(ISERROR(VLOOKUP($S$597,'TAR FIN'!$A$1:$O$99,15,0)),0,VLOOKUP($S$597,'TAR FIN'!$A$1:$O$99,15,0))</f>
        <v>0</v>
      </c>
      <c r="W597" s="4">
        <f>IF(ISERROR(VLOOKUP($T$597,'TAR FIN'!$A$1:$O$99,15,0)),0,VLOOKUP($T$597,'TAR FIN'!$A$1:$O$99,15,0))</f>
        <v>348.11</v>
      </c>
      <c r="X597" s="4">
        <f>IF(ISERROR(VLOOKUP($U$597,'TAR FIN'!$A$1:$O$99,15,0)),0,VLOOKUP($U$597,'TAR FIN'!$A$1:$O$99,15,0))</f>
        <v>202.86</v>
      </c>
      <c r="Y597" s="4"/>
      <c r="Z597" s="4">
        <f ca="1">('TUSD BE'!$AM$44+'TUSD BF'!$AM$44+'TUSD CVA'!$AM$44)*(1-CUSTOS!$M$38)</f>
        <v>438.62226072739548</v>
      </c>
      <c r="AA597" s="4">
        <f>('TE BE'!$AA$26+'TE BF'!$AA$26+'TE CVA'!$AA$26)*(1-CUSTOS!$M$38)</f>
        <v>266.83676082414206</v>
      </c>
      <c r="AB597" s="4">
        <f t="shared" si="26"/>
        <v>0</v>
      </c>
      <c r="AC597" s="4">
        <f>(L597-M597)*(W597+X597)+($W$520+$X$520-$W$597-$X$597)*(L597)</f>
        <v>2430.5535799999998</v>
      </c>
      <c r="AD597" s="4">
        <f t="shared" si="27"/>
        <v>0</v>
      </c>
      <c r="AE597" s="4">
        <f ca="1">(L597-M597)*(Z597+AA597)+($Z$520+$AA$520-$Z$597-$AA$597)*(L597)</f>
        <v>1456.5627427741026</v>
      </c>
      <c r="AF597" s="3" t="s">
        <v>951</v>
      </c>
    </row>
    <row r="598" spans="1:32" ht="11.25" customHeight="1" x14ac:dyDescent="0.25">
      <c r="A598" s="3" t="s">
        <v>27</v>
      </c>
      <c r="B598" s="3" t="s">
        <v>44</v>
      </c>
      <c r="C598" s="3" t="s">
        <v>23</v>
      </c>
      <c r="D598" s="3" t="s">
        <v>45</v>
      </c>
      <c r="E598" s="3" t="s">
        <v>53</v>
      </c>
      <c r="F598" s="3" t="s">
        <v>54</v>
      </c>
      <c r="G598" s="3" t="s">
        <v>25</v>
      </c>
      <c r="H598" s="3" t="s">
        <v>25</v>
      </c>
      <c r="I598" s="6">
        <v>44440</v>
      </c>
      <c r="J598" s="4">
        <v>0</v>
      </c>
      <c r="K598" s="4">
        <v>0</v>
      </c>
      <c r="L598" s="4">
        <v>-3.976</v>
      </c>
      <c r="M598" s="4">
        <v>-3.976</v>
      </c>
      <c r="N598" s="4">
        <v>-3.976</v>
      </c>
      <c r="O598" s="4">
        <v>-3.976</v>
      </c>
      <c r="P598" s="4">
        <v>0</v>
      </c>
      <c r="Q598" s="3" t="s">
        <v>26</v>
      </c>
      <c r="R598" s="3">
        <v>0</v>
      </c>
      <c r="S598" s="3">
        <v>0</v>
      </c>
      <c r="T598" s="3">
        <v>37</v>
      </c>
      <c r="U598" s="3">
        <v>78</v>
      </c>
      <c r="V598" s="4">
        <f>IF(ISERROR(VLOOKUP($S$598,'TAR FIN'!$A$1:$O$99,15,0)),0,VLOOKUP($S$598,'TAR FIN'!$A$1:$O$99,15,0))</f>
        <v>0</v>
      </c>
      <c r="W598" s="4">
        <f>IF(ISERROR(VLOOKUP($T$598,'TAR FIN'!$A$1:$O$99,15,0)),0,VLOOKUP($T$598,'TAR FIN'!$A$1:$O$99,15,0))</f>
        <v>348.11</v>
      </c>
      <c r="X598" s="4">
        <f>IF(ISERROR(VLOOKUP($U$598,'TAR FIN'!$A$1:$O$99,15,0)),0,VLOOKUP($U$598,'TAR FIN'!$A$1:$O$99,15,0))</f>
        <v>202.86</v>
      </c>
      <c r="Y598" s="4"/>
      <c r="Z598" s="4">
        <f ca="1">('TUSD BE'!$AM$44+'TUSD BF'!$AM$44+'TUSD CVA'!$AM$44)*(1-CUSTOS!$M$38)</f>
        <v>438.62226072739548</v>
      </c>
      <c r="AA598" s="4">
        <f>('TE BE'!$AA$26+'TE BF'!$AA$26+'TE CVA'!$AA$26)*(1-CUSTOS!$M$38)</f>
        <v>266.83676082414206</v>
      </c>
      <c r="AB598" s="4">
        <f t="shared" si="26"/>
        <v>0</v>
      </c>
      <c r="AC598" s="4">
        <f>(L598-M598)*(W598+X598)+($W$520+$X$520-$W$598-$X$598)*(L598)</f>
        <v>-298.75663999999995</v>
      </c>
      <c r="AD598" s="4">
        <f t="shared" si="27"/>
        <v>0</v>
      </c>
      <c r="AE598" s="4">
        <f ca="1">(L598-M598)*(Z598+AA598)+($Z$520+$AA$520-$Z$598-$AA$598)*(L598)</f>
        <v>-179.03649380993082</v>
      </c>
      <c r="AF598" s="3" t="s">
        <v>951</v>
      </c>
    </row>
    <row r="599" spans="1:32" ht="11.25" customHeight="1" x14ac:dyDescent="0.25">
      <c r="A599" s="3" t="s">
        <v>21</v>
      </c>
      <c r="B599" s="3" t="s">
        <v>44</v>
      </c>
      <c r="C599" s="3" t="s">
        <v>23</v>
      </c>
      <c r="D599" s="3" t="s">
        <v>45</v>
      </c>
      <c r="E599" s="3" t="s">
        <v>53</v>
      </c>
      <c r="F599" s="3" t="s">
        <v>54</v>
      </c>
      <c r="G599" s="3" t="s">
        <v>25</v>
      </c>
      <c r="H599" s="3" t="s">
        <v>25</v>
      </c>
      <c r="I599" s="6">
        <v>44470</v>
      </c>
      <c r="J599" s="4">
        <v>0</v>
      </c>
      <c r="K599" s="4">
        <v>0</v>
      </c>
      <c r="L599" s="4">
        <v>48.305999999999997</v>
      </c>
      <c r="M599" s="4">
        <v>48.305999999999997</v>
      </c>
      <c r="N599" s="4">
        <v>48.305999999999997</v>
      </c>
      <c r="O599" s="4">
        <v>48.305999999999997</v>
      </c>
      <c r="P599" s="4">
        <v>0</v>
      </c>
      <c r="Q599" s="3" t="s">
        <v>26</v>
      </c>
      <c r="R599" s="3">
        <v>0</v>
      </c>
      <c r="S599" s="3">
        <v>0</v>
      </c>
      <c r="T599" s="3">
        <v>37</v>
      </c>
      <c r="U599" s="3">
        <v>78</v>
      </c>
      <c r="V599" s="4">
        <f>IF(ISERROR(VLOOKUP($S$599,'TAR FIN'!$A$1:$O$99,15,0)),0,VLOOKUP($S$599,'TAR FIN'!$A$1:$O$99,15,0))</f>
        <v>0</v>
      </c>
      <c r="W599" s="4">
        <f>IF(ISERROR(VLOOKUP($T$599,'TAR FIN'!$A$1:$O$99,15,0)),0,VLOOKUP($T$599,'TAR FIN'!$A$1:$O$99,15,0))</f>
        <v>348.11</v>
      </c>
      <c r="X599" s="4">
        <f>IF(ISERROR(VLOOKUP($U$599,'TAR FIN'!$A$1:$O$99,15,0)),0,VLOOKUP($U$599,'TAR FIN'!$A$1:$O$99,15,0))</f>
        <v>202.86</v>
      </c>
      <c r="Y599" s="4"/>
      <c r="Z599" s="4">
        <f ca="1">('TUSD BE'!$AM$44+'TUSD BF'!$AM$44+'TUSD CVA'!$AM$44)*(1-CUSTOS!$M$38)</f>
        <v>438.62226072739548</v>
      </c>
      <c r="AA599" s="4">
        <f>('TE BE'!$AA$26+'TE BF'!$AA$26+'TE CVA'!$AA$26)*(1-CUSTOS!$M$38)</f>
        <v>266.83676082414206</v>
      </c>
      <c r="AB599" s="4">
        <f t="shared" si="26"/>
        <v>0</v>
      </c>
      <c r="AC599" s="4">
        <f>(L599-M599)*(W599+X599)+($W$520+$X$520-$W$599-$X$599)*(L599)</f>
        <v>3629.7128399999992</v>
      </c>
      <c r="AD599" s="4">
        <f t="shared" si="27"/>
        <v>0</v>
      </c>
      <c r="AE599" s="4">
        <f ca="1">(L599-M599)*(Z599+AA599)+($Z$520+$AA$520-$Z$599-$AA$599)*(L599)</f>
        <v>2175.1853294724642</v>
      </c>
      <c r="AF599" s="3" t="s">
        <v>951</v>
      </c>
    </row>
    <row r="600" spans="1:32" ht="11.25" customHeight="1" x14ac:dyDescent="0.25">
      <c r="A600" s="3" t="s">
        <v>27</v>
      </c>
      <c r="B600" s="3" t="s">
        <v>44</v>
      </c>
      <c r="C600" s="3" t="s">
        <v>23</v>
      </c>
      <c r="D600" s="3" t="s">
        <v>45</v>
      </c>
      <c r="E600" s="3" t="s">
        <v>53</v>
      </c>
      <c r="F600" s="3" t="s">
        <v>54</v>
      </c>
      <c r="G600" s="3" t="s">
        <v>25</v>
      </c>
      <c r="H600" s="3" t="s">
        <v>25</v>
      </c>
      <c r="I600" s="6">
        <v>44470</v>
      </c>
      <c r="J600" s="4">
        <v>0</v>
      </c>
      <c r="K600" s="4">
        <v>0</v>
      </c>
      <c r="L600" s="4">
        <v>-1.3149999999999999</v>
      </c>
      <c r="M600" s="4">
        <v>-1.3149999999999999</v>
      </c>
      <c r="N600" s="4">
        <v>-1.3149999999999999</v>
      </c>
      <c r="O600" s="4">
        <v>-1.3149999999999999</v>
      </c>
      <c r="P600" s="4">
        <v>0</v>
      </c>
      <c r="Q600" s="3" t="s">
        <v>26</v>
      </c>
      <c r="R600" s="3">
        <v>0</v>
      </c>
      <c r="S600" s="3">
        <v>0</v>
      </c>
      <c r="T600" s="3">
        <v>37</v>
      </c>
      <c r="U600" s="3">
        <v>78</v>
      </c>
      <c r="V600" s="4">
        <f>IF(ISERROR(VLOOKUP($S$600,'TAR FIN'!$A$1:$O$99,15,0)),0,VLOOKUP($S$600,'TAR FIN'!$A$1:$O$99,15,0))</f>
        <v>0</v>
      </c>
      <c r="W600" s="4">
        <f>IF(ISERROR(VLOOKUP($T$600,'TAR FIN'!$A$1:$O$99,15,0)),0,VLOOKUP($T$600,'TAR FIN'!$A$1:$O$99,15,0))</f>
        <v>348.11</v>
      </c>
      <c r="X600" s="4">
        <f>IF(ISERROR(VLOOKUP($U$600,'TAR FIN'!$A$1:$O$99,15,0)),0,VLOOKUP($U$600,'TAR FIN'!$A$1:$O$99,15,0))</f>
        <v>202.86</v>
      </c>
      <c r="Y600" s="4"/>
      <c r="Z600" s="4">
        <f ca="1">('TUSD BE'!$AM$44+'TUSD BF'!$AM$44+'TUSD CVA'!$AM$44)*(1-CUSTOS!$M$38)</f>
        <v>438.62226072739548</v>
      </c>
      <c r="AA600" s="4">
        <f>('TE BE'!$AA$26+'TE BF'!$AA$26+'TE CVA'!$AA$26)*(1-CUSTOS!$M$38)</f>
        <v>266.83676082414206</v>
      </c>
      <c r="AB600" s="4">
        <f t="shared" si="26"/>
        <v>0</v>
      </c>
      <c r="AC600" s="4">
        <f>(L600-M600)*(W600+X600)+($W$520+$X$520-$W$600-$X$600)*(L600)</f>
        <v>-98.809099999999972</v>
      </c>
      <c r="AD600" s="4">
        <f t="shared" si="27"/>
        <v>0</v>
      </c>
      <c r="AE600" s="4">
        <f ca="1">(L600-M600)*(Z600+AA600)+($Z$520+$AA$520-$Z$600-$AA$600)*(L600)</f>
        <v>-59.213528511081243</v>
      </c>
      <c r="AF600" s="3" t="s">
        <v>951</v>
      </c>
    </row>
    <row r="601" spans="1:32" ht="11.25" customHeight="1" x14ac:dyDescent="0.25">
      <c r="A601" s="3" t="s">
        <v>21</v>
      </c>
      <c r="B601" s="3" t="s">
        <v>44</v>
      </c>
      <c r="C601" s="3" t="s">
        <v>23</v>
      </c>
      <c r="D601" s="3" t="s">
        <v>45</v>
      </c>
      <c r="E601" s="3" t="s">
        <v>53</v>
      </c>
      <c r="F601" s="3" t="s">
        <v>54</v>
      </c>
      <c r="G601" s="3" t="s">
        <v>25</v>
      </c>
      <c r="H601" s="3" t="s">
        <v>25</v>
      </c>
      <c r="I601" s="6">
        <v>44501</v>
      </c>
      <c r="J601" s="4">
        <v>0</v>
      </c>
      <c r="K601" s="4">
        <v>0</v>
      </c>
      <c r="L601" s="4">
        <v>61.534999999999997</v>
      </c>
      <c r="M601" s="4">
        <v>61.534999999999997</v>
      </c>
      <c r="N601" s="4">
        <v>61.534999999999997</v>
      </c>
      <c r="O601" s="4">
        <v>61.534999999999997</v>
      </c>
      <c r="P601" s="4">
        <v>0</v>
      </c>
      <c r="Q601" s="3" t="s">
        <v>26</v>
      </c>
      <c r="R601" s="3">
        <v>0</v>
      </c>
      <c r="S601" s="3">
        <v>0</v>
      </c>
      <c r="T601" s="3">
        <v>37</v>
      </c>
      <c r="U601" s="3">
        <v>78</v>
      </c>
      <c r="V601" s="4">
        <f>IF(ISERROR(VLOOKUP($S$601,'TAR FIN'!$A$1:$O$99,15,0)),0,VLOOKUP($S$601,'TAR FIN'!$A$1:$O$99,15,0))</f>
        <v>0</v>
      </c>
      <c r="W601" s="4">
        <f>IF(ISERROR(VLOOKUP($T$601,'TAR FIN'!$A$1:$O$99,15,0)),0,VLOOKUP($T$601,'TAR FIN'!$A$1:$O$99,15,0))</f>
        <v>348.11</v>
      </c>
      <c r="X601" s="4">
        <f>IF(ISERROR(VLOOKUP($U$601,'TAR FIN'!$A$1:$O$99,15,0)),0,VLOOKUP($U$601,'TAR FIN'!$A$1:$O$99,15,0))</f>
        <v>202.86</v>
      </c>
      <c r="Y601" s="4"/>
      <c r="Z601" s="4">
        <f ca="1">('TUSD BE'!$AM$44+'TUSD BF'!$AM$44+'TUSD CVA'!$AM$44)*(1-CUSTOS!$M$38)</f>
        <v>438.62226072739548</v>
      </c>
      <c r="AA601" s="4">
        <f>('TE BE'!$AA$26+'TE BF'!$AA$26+'TE CVA'!$AA$26)*(1-CUSTOS!$M$38)</f>
        <v>266.83676082414206</v>
      </c>
      <c r="AB601" s="4">
        <f t="shared" si="26"/>
        <v>0</v>
      </c>
      <c r="AC601" s="4">
        <f>(L601-M601)*(W601+X601)+($W$520+$X$520-$W$601-$X$601)*(L601)</f>
        <v>4623.7398999999987</v>
      </c>
      <c r="AD601" s="4">
        <f t="shared" si="27"/>
        <v>0</v>
      </c>
      <c r="AE601" s="4">
        <f ca="1">(L601-M601)*(Z601+AA601)+($Z$520+$AA$520-$Z$601-$AA$601)*(L601)</f>
        <v>2770.8779292238664</v>
      </c>
      <c r="AF601" s="3" t="s">
        <v>951</v>
      </c>
    </row>
    <row r="602" spans="1:32" ht="11.25" customHeight="1" x14ac:dyDescent="0.25">
      <c r="A602" s="3" t="s">
        <v>21</v>
      </c>
      <c r="B602" s="3" t="s">
        <v>44</v>
      </c>
      <c r="C602" s="3" t="s">
        <v>23</v>
      </c>
      <c r="D602" s="3" t="s">
        <v>45</v>
      </c>
      <c r="E602" s="3" t="s">
        <v>53</v>
      </c>
      <c r="F602" s="3" t="s">
        <v>54</v>
      </c>
      <c r="G602" s="3" t="s">
        <v>25</v>
      </c>
      <c r="H602" s="3" t="s">
        <v>25</v>
      </c>
      <c r="I602" s="6">
        <v>44531</v>
      </c>
      <c r="J602" s="4">
        <v>0</v>
      </c>
      <c r="K602" s="4">
        <v>0</v>
      </c>
      <c r="L602" s="4">
        <v>61.465000000000003</v>
      </c>
      <c r="M602" s="4">
        <v>61.465000000000003</v>
      </c>
      <c r="N602" s="4">
        <v>61.465000000000003</v>
      </c>
      <c r="O602" s="4">
        <v>61.465000000000003</v>
      </c>
      <c r="P602" s="4">
        <v>0</v>
      </c>
      <c r="Q602" s="3" t="s">
        <v>26</v>
      </c>
      <c r="R602" s="3">
        <v>0</v>
      </c>
      <c r="S602" s="3">
        <v>0</v>
      </c>
      <c r="T602" s="3">
        <v>37</v>
      </c>
      <c r="U602" s="3">
        <v>78</v>
      </c>
      <c r="V602" s="4">
        <f>IF(ISERROR(VLOOKUP($S$602,'TAR FIN'!$A$1:$O$99,15,0)),0,VLOOKUP($S$602,'TAR FIN'!$A$1:$O$99,15,0))</f>
        <v>0</v>
      </c>
      <c r="W602" s="4">
        <f>IF(ISERROR(VLOOKUP($T$602,'TAR FIN'!$A$1:$O$99,15,0)),0,VLOOKUP($T$602,'TAR FIN'!$A$1:$O$99,15,0))</f>
        <v>348.11</v>
      </c>
      <c r="X602" s="4">
        <f>IF(ISERROR(VLOOKUP($U$602,'TAR FIN'!$A$1:$O$99,15,0)),0,VLOOKUP($U$602,'TAR FIN'!$A$1:$O$99,15,0))</f>
        <v>202.86</v>
      </c>
      <c r="Y602" s="4"/>
      <c r="Z602" s="4">
        <f ca="1">('TUSD BE'!$AM$44+'TUSD BF'!$AM$44+'TUSD CVA'!$AM$44)*(1-CUSTOS!$M$38)</f>
        <v>438.62226072739548</v>
      </c>
      <c r="AA602" s="4">
        <f>('TE BE'!$AA$26+'TE BF'!$AA$26+'TE CVA'!$AA$26)*(1-CUSTOS!$M$38)</f>
        <v>266.83676082414206</v>
      </c>
      <c r="AB602" s="4">
        <f t="shared" si="26"/>
        <v>0</v>
      </c>
      <c r="AC602" s="4">
        <f>(L602-M602)*(W602+X602)+($W$520+$X$520-$W$602-$X$602)*(L602)</f>
        <v>4618.4800999999998</v>
      </c>
      <c r="AD602" s="4">
        <f t="shared" si="27"/>
        <v>0</v>
      </c>
      <c r="AE602" s="4">
        <f ca="1">(L602-M602)*(Z602+AA602)+($Z$520+$AA$520-$Z$602-$AA$602)*(L602)</f>
        <v>2767.7258782765084</v>
      </c>
      <c r="AF602" s="3" t="s">
        <v>951</v>
      </c>
    </row>
    <row r="603" spans="1:32" ht="11.25" customHeight="1" x14ac:dyDescent="0.25">
      <c r="A603" s="3" t="s">
        <v>21</v>
      </c>
      <c r="B603" s="3" t="s">
        <v>44</v>
      </c>
      <c r="C603" s="3" t="s">
        <v>23</v>
      </c>
      <c r="D603" s="3" t="s">
        <v>45</v>
      </c>
      <c r="E603" s="3" t="s">
        <v>53</v>
      </c>
      <c r="F603" s="3" t="s">
        <v>54</v>
      </c>
      <c r="G603" s="3" t="s">
        <v>25</v>
      </c>
      <c r="H603" s="3" t="s">
        <v>25</v>
      </c>
      <c r="I603" s="6">
        <v>44562</v>
      </c>
      <c r="J603" s="4">
        <v>0</v>
      </c>
      <c r="K603" s="4">
        <v>0</v>
      </c>
      <c r="L603" s="4">
        <v>54.213000000000001</v>
      </c>
      <c r="M603" s="4">
        <v>54.213000000000001</v>
      </c>
      <c r="N603" s="4">
        <v>54.213000000000001</v>
      </c>
      <c r="O603" s="4">
        <v>54.213000000000001</v>
      </c>
      <c r="P603" s="4">
        <v>0</v>
      </c>
      <c r="Q603" s="3" t="s">
        <v>26</v>
      </c>
      <c r="R603" s="3">
        <v>0</v>
      </c>
      <c r="S603" s="3">
        <v>0</v>
      </c>
      <c r="T603" s="3">
        <v>37</v>
      </c>
      <c r="U603" s="3">
        <v>78</v>
      </c>
      <c r="V603" s="4">
        <f>IF(ISERROR(VLOOKUP($S$603,'TAR FIN'!$A$1:$O$99,15,0)),0,VLOOKUP($S$603,'TAR FIN'!$A$1:$O$99,15,0))</f>
        <v>0</v>
      </c>
      <c r="W603" s="4">
        <f>IF(ISERROR(VLOOKUP($T$603,'TAR FIN'!$A$1:$O$99,15,0)),0,VLOOKUP($T$603,'TAR FIN'!$A$1:$O$99,15,0))</f>
        <v>348.11</v>
      </c>
      <c r="X603" s="4">
        <f>IF(ISERROR(VLOOKUP($U$603,'TAR FIN'!$A$1:$O$99,15,0)),0,VLOOKUP($U$603,'TAR FIN'!$A$1:$O$99,15,0))</f>
        <v>202.86</v>
      </c>
      <c r="Y603" s="4"/>
      <c r="Z603" s="4">
        <f ca="1">('TUSD BE'!$AM$44+'TUSD BF'!$AM$44+'TUSD CVA'!$AM$44)*(1-CUSTOS!$M$38)</f>
        <v>438.62226072739548</v>
      </c>
      <c r="AA603" s="4">
        <f>('TE BE'!$AA$26+'TE BF'!$AA$26+'TE CVA'!$AA$26)*(1-CUSTOS!$M$38)</f>
        <v>266.83676082414206</v>
      </c>
      <c r="AB603" s="4">
        <f t="shared" si="26"/>
        <v>0</v>
      </c>
      <c r="AC603" s="4">
        <f>(L603-M603)*(W603+X603)+($W$520+$X$520-$W$603-$X$603)*(L603)</f>
        <v>4073.5648199999991</v>
      </c>
      <c r="AD603" s="4">
        <f t="shared" si="27"/>
        <v>0</v>
      </c>
      <c r="AE603" s="4">
        <f ca="1">(L603-M603)*(Z603+AA603)+($Z$520+$AA$520-$Z$603-$AA$603)*(L603)</f>
        <v>2441.1734001302261</v>
      </c>
      <c r="AF603" s="3" t="s">
        <v>951</v>
      </c>
    </row>
    <row r="604" spans="1:32" ht="11.25" customHeight="1" x14ac:dyDescent="0.25">
      <c r="A604" s="3" t="s">
        <v>21</v>
      </c>
      <c r="B604" s="3" t="s">
        <v>44</v>
      </c>
      <c r="C604" s="3" t="s">
        <v>23</v>
      </c>
      <c r="D604" s="3" t="s">
        <v>45</v>
      </c>
      <c r="E604" s="3" t="s">
        <v>53</v>
      </c>
      <c r="F604" s="3" t="s">
        <v>54</v>
      </c>
      <c r="G604" s="3" t="s">
        <v>25</v>
      </c>
      <c r="H604" s="3" t="s">
        <v>25</v>
      </c>
      <c r="I604" s="6">
        <v>44593</v>
      </c>
      <c r="J604" s="4">
        <v>0</v>
      </c>
      <c r="K604" s="4">
        <v>0</v>
      </c>
      <c r="L604" s="4">
        <v>52.506999999999998</v>
      </c>
      <c r="M604" s="4">
        <v>52.506999999999998</v>
      </c>
      <c r="N604" s="4">
        <v>52.506999999999998</v>
      </c>
      <c r="O604" s="4">
        <v>52.506999999999998</v>
      </c>
      <c r="P604" s="4">
        <v>0</v>
      </c>
      <c r="Q604" s="3" t="s">
        <v>26</v>
      </c>
      <c r="R604" s="3">
        <v>0</v>
      </c>
      <c r="S604" s="3">
        <v>0</v>
      </c>
      <c r="T604" s="3">
        <v>37</v>
      </c>
      <c r="U604" s="3">
        <v>78</v>
      </c>
      <c r="V604" s="4">
        <f>IF(ISERROR(VLOOKUP($S$604,'TAR FIN'!$A$1:$O$99,15,0)),0,VLOOKUP($S$604,'TAR FIN'!$A$1:$O$99,15,0))</f>
        <v>0</v>
      </c>
      <c r="W604" s="4">
        <f>IF(ISERROR(VLOOKUP($T$604,'TAR FIN'!$A$1:$O$99,15,0)),0,VLOOKUP($T$604,'TAR FIN'!$A$1:$O$99,15,0))</f>
        <v>348.11</v>
      </c>
      <c r="X604" s="4">
        <f>IF(ISERROR(VLOOKUP($U$604,'TAR FIN'!$A$1:$O$99,15,0)),0,VLOOKUP($U$604,'TAR FIN'!$A$1:$O$99,15,0))</f>
        <v>202.86</v>
      </c>
      <c r="Y604" s="4"/>
      <c r="Z604" s="4">
        <f ca="1">('TUSD BE'!$AM$44+'TUSD BF'!$AM$44+'TUSD CVA'!$AM$44)*(1-CUSTOS!$M$38)</f>
        <v>438.62226072739548</v>
      </c>
      <c r="AA604" s="4">
        <f>('TE BE'!$AA$26+'TE BF'!$AA$26+'TE CVA'!$AA$26)*(1-CUSTOS!$M$38)</f>
        <v>266.83676082414206</v>
      </c>
      <c r="AB604" s="4">
        <f t="shared" si="26"/>
        <v>0</v>
      </c>
      <c r="AC604" s="4">
        <f>(L604-M604)*(W604+X604)+($W$520+$X$520-$W$604-$X$604)*(L604)</f>
        <v>3945.3759799999993</v>
      </c>
      <c r="AD604" s="4">
        <f t="shared" si="27"/>
        <v>0</v>
      </c>
      <c r="AE604" s="4">
        <f ca="1">(L604-M604)*(Z604+AA604)+($Z$520+$AA$520-$Z$604-$AA$604)*(L604)</f>
        <v>2364.3534156131882</v>
      </c>
      <c r="AF604" s="3" t="s">
        <v>951</v>
      </c>
    </row>
    <row r="605" spans="1:32" ht="11.25" customHeight="1" x14ac:dyDescent="0.25">
      <c r="A605" s="3" t="s">
        <v>27</v>
      </c>
      <c r="B605" s="3" t="s">
        <v>44</v>
      </c>
      <c r="C605" s="3" t="s">
        <v>23</v>
      </c>
      <c r="D605" s="3" t="s">
        <v>45</v>
      </c>
      <c r="E605" s="3" t="s">
        <v>53</v>
      </c>
      <c r="F605" s="3" t="s">
        <v>54</v>
      </c>
      <c r="G605" s="3" t="s">
        <v>25</v>
      </c>
      <c r="H605" s="3" t="s">
        <v>25</v>
      </c>
      <c r="I605" s="6">
        <v>44593</v>
      </c>
      <c r="J605" s="4">
        <v>0</v>
      </c>
      <c r="K605" s="4">
        <v>0</v>
      </c>
      <c r="L605" s="4">
        <v>0.23499999999999999</v>
      </c>
      <c r="M605" s="4">
        <v>0.23499999999999999</v>
      </c>
      <c r="N605" s="4">
        <v>0.23499999999999999</v>
      </c>
      <c r="O605" s="4">
        <v>0.23499999999999999</v>
      </c>
      <c r="P605" s="4">
        <v>0</v>
      </c>
      <c r="Q605" s="3" t="s">
        <v>26</v>
      </c>
      <c r="R605" s="3">
        <v>0</v>
      </c>
      <c r="S605" s="3">
        <v>0</v>
      </c>
      <c r="T605" s="3">
        <v>37</v>
      </c>
      <c r="U605" s="3">
        <v>78</v>
      </c>
      <c r="V605" s="4">
        <f>IF(ISERROR(VLOOKUP($S$605,'TAR FIN'!$A$1:$O$99,15,0)),0,VLOOKUP($S$605,'TAR FIN'!$A$1:$O$99,15,0))</f>
        <v>0</v>
      </c>
      <c r="W605" s="4">
        <f>IF(ISERROR(VLOOKUP($T$605,'TAR FIN'!$A$1:$O$99,15,0)),0,VLOOKUP($T$605,'TAR FIN'!$A$1:$O$99,15,0))</f>
        <v>348.11</v>
      </c>
      <c r="X605" s="4">
        <f>IF(ISERROR(VLOOKUP($U$605,'TAR FIN'!$A$1:$O$99,15,0)),0,VLOOKUP($U$605,'TAR FIN'!$A$1:$O$99,15,0))</f>
        <v>202.86</v>
      </c>
      <c r="Y605" s="4"/>
      <c r="Z605" s="4">
        <f ca="1">('TUSD BE'!$AM$44+'TUSD BF'!$AM$44+'TUSD CVA'!$AM$44)*(1-CUSTOS!$M$38)</f>
        <v>438.62226072739548</v>
      </c>
      <c r="AA605" s="4">
        <f>('TE BE'!$AA$26+'TE BF'!$AA$26+'TE CVA'!$AA$26)*(1-CUSTOS!$M$38)</f>
        <v>266.83676082414206</v>
      </c>
      <c r="AB605" s="4">
        <f t="shared" si="26"/>
        <v>0</v>
      </c>
      <c r="AC605" s="4">
        <f>(L605-M605)*(W605+X605)+($W$520+$X$520-$W$605-$X$605)*(L605)</f>
        <v>17.657899999999994</v>
      </c>
      <c r="AD605" s="4">
        <f t="shared" si="27"/>
        <v>0</v>
      </c>
      <c r="AE605" s="4">
        <f ca="1">(L605-M605)*(Z605+AA605)+($Z$520+$AA$520-$Z$605-$AA$605)*(L605)</f>
        <v>10.581885323273074</v>
      </c>
      <c r="AF605" s="3" t="s">
        <v>951</v>
      </c>
    </row>
    <row r="606" spans="1:32" ht="11.25" customHeight="1" x14ac:dyDescent="0.25">
      <c r="A606" s="3" t="s">
        <v>21</v>
      </c>
      <c r="B606" s="3" t="s">
        <v>44</v>
      </c>
      <c r="C606" s="3" t="s">
        <v>23</v>
      </c>
      <c r="D606" s="3" t="s">
        <v>45</v>
      </c>
      <c r="E606" s="3" t="s">
        <v>53</v>
      </c>
      <c r="F606" s="3" t="s">
        <v>54</v>
      </c>
      <c r="G606" s="3" t="s">
        <v>25</v>
      </c>
      <c r="H606" s="3" t="s">
        <v>25</v>
      </c>
      <c r="I606" s="6">
        <v>44621</v>
      </c>
      <c r="J606" s="4">
        <v>0</v>
      </c>
      <c r="K606" s="4">
        <v>0</v>
      </c>
      <c r="L606" s="4">
        <v>37.521000000000001</v>
      </c>
      <c r="M606" s="4">
        <v>37.521000000000001</v>
      </c>
      <c r="N606" s="4">
        <v>37.521000000000001</v>
      </c>
      <c r="O606" s="4">
        <v>37.521000000000001</v>
      </c>
      <c r="P606" s="4">
        <v>0</v>
      </c>
      <c r="Q606" s="3" t="s">
        <v>26</v>
      </c>
      <c r="R606" s="3">
        <v>0</v>
      </c>
      <c r="S606" s="3">
        <v>0</v>
      </c>
      <c r="T606" s="3">
        <v>37</v>
      </c>
      <c r="U606" s="3">
        <v>78</v>
      </c>
      <c r="V606" s="4">
        <f>IF(ISERROR(VLOOKUP($S$606,'TAR FIN'!$A$1:$O$99,15,0)),0,VLOOKUP($S$606,'TAR FIN'!$A$1:$O$99,15,0))</f>
        <v>0</v>
      </c>
      <c r="W606" s="4">
        <f>IF(ISERROR(VLOOKUP($T$606,'TAR FIN'!$A$1:$O$99,15,0)),0,VLOOKUP($T$606,'TAR FIN'!$A$1:$O$99,15,0))</f>
        <v>348.11</v>
      </c>
      <c r="X606" s="4">
        <f>IF(ISERROR(VLOOKUP($U$606,'TAR FIN'!$A$1:$O$99,15,0)),0,VLOOKUP($U$606,'TAR FIN'!$A$1:$O$99,15,0))</f>
        <v>202.86</v>
      </c>
      <c r="Y606" s="4"/>
      <c r="Z606" s="4">
        <f ca="1">('TUSD BE'!$AM$44+'TUSD BF'!$AM$44+'TUSD CVA'!$AM$44)*(1-CUSTOS!$M$38)</f>
        <v>438.62226072739548</v>
      </c>
      <c r="AA606" s="4">
        <f>('TE BE'!$AA$26+'TE BF'!$AA$26+'TE CVA'!$AA$26)*(1-CUSTOS!$M$38)</f>
        <v>266.83676082414206</v>
      </c>
      <c r="AB606" s="4">
        <f t="shared" si="26"/>
        <v>0</v>
      </c>
      <c r="AC606" s="4">
        <f>(L606-M606)*(W606+X606)+($W$520+$X$520-$W$606-$X$606)*(L606)</f>
        <v>2819.3279399999997</v>
      </c>
      <c r="AD606" s="4">
        <f t="shared" si="27"/>
        <v>0</v>
      </c>
      <c r="AE606" s="4">
        <f ca="1">(L606-M606)*(Z606+AA606)+($Z$520+$AA$520-$Z$606-$AA$606)*(L606)</f>
        <v>1689.5443370831022</v>
      </c>
      <c r="AF606" s="3" t="s">
        <v>951</v>
      </c>
    </row>
    <row r="607" spans="1:32" ht="11.25" customHeight="1" x14ac:dyDescent="0.25">
      <c r="A607" s="3" t="s">
        <v>56</v>
      </c>
      <c r="B607" s="3" t="s">
        <v>44</v>
      </c>
      <c r="C607" s="3" t="s">
        <v>23</v>
      </c>
      <c r="D607" s="3" t="s">
        <v>45</v>
      </c>
      <c r="E607" s="3" t="s">
        <v>53</v>
      </c>
      <c r="F607" s="3" t="s">
        <v>54</v>
      </c>
      <c r="G607" s="3" t="s">
        <v>25</v>
      </c>
      <c r="H607" s="3" t="s">
        <v>25</v>
      </c>
      <c r="I607" s="6">
        <v>44652</v>
      </c>
      <c r="J607" s="4">
        <v>0</v>
      </c>
      <c r="K607" s="4">
        <v>0</v>
      </c>
      <c r="L607" s="4">
        <v>37.521000000000001</v>
      </c>
      <c r="M607" s="4">
        <v>37.521000000000001</v>
      </c>
      <c r="N607" s="4">
        <v>37.521000000000001</v>
      </c>
      <c r="O607" s="4">
        <v>37.521000000000001</v>
      </c>
      <c r="P607" s="4">
        <v>0</v>
      </c>
      <c r="Q607" s="3" t="s">
        <v>26</v>
      </c>
      <c r="R607" s="3">
        <v>0</v>
      </c>
      <c r="S607" s="3">
        <v>0</v>
      </c>
      <c r="T607" s="3">
        <v>37</v>
      </c>
      <c r="U607" s="3">
        <v>78</v>
      </c>
      <c r="V607" s="4">
        <f>IF(ISERROR(VLOOKUP($S$607,'TAR FIN'!$A$1:$O$99,15,0)),0,VLOOKUP($S$607,'TAR FIN'!$A$1:$O$99,15,0))</f>
        <v>0</v>
      </c>
      <c r="W607" s="4">
        <f>IF(ISERROR(VLOOKUP($T$607,'TAR FIN'!$A$1:$O$99,15,0)),0,VLOOKUP($T$607,'TAR FIN'!$A$1:$O$99,15,0))</f>
        <v>348.11</v>
      </c>
      <c r="X607" s="4">
        <f>IF(ISERROR(VLOOKUP($U$607,'TAR FIN'!$A$1:$O$99,15,0)),0,VLOOKUP($U$607,'TAR FIN'!$A$1:$O$99,15,0))</f>
        <v>202.86</v>
      </c>
      <c r="Y607" s="4"/>
      <c r="Z607" s="4">
        <f ca="1">('TUSD BE'!$AM$44+'TUSD BF'!$AM$44+'TUSD CVA'!$AM$44)*(1-CUSTOS!$M$38)</f>
        <v>438.62226072739548</v>
      </c>
      <c r="AA607" s="4">
        <f>('TE BE'!$AA$26+'TE BF'!$AA$26+'TE CVA'!$AA$26)*(1-CUSTOS!$M$38)</f>
        <v>266.83676082414206</v>
      </c>
      <c r="AB607" s="4">
        <f t="shared" si="26"/>
        <v>0</v>
      </c>
      <c r="AC607" s="4">
        <f>(L607-M607)*(W607+X607)+($W$520+$X$520-$W$607-$X$607)*(L607)</f>
        <v>2819.3279399999997</v>
      </c>
      <c r="AD607" s="4">
        <f t="shared" si="27"/>
        <v>0</v>
      </c>
      <c r="AE607" s="4">
        <f ca="1">(L607-M607)*(Z607+AA607)+($Z$520+$AA$520-$Z$607-$AA$607)*(L607)</f>
        <v>1689.5443370831022</v>
      </c>
      <c r="AF607" s="3" t="s">
        <v>951</v>
      </c>
    </row>
    <row r="608" spans="1:32" ht="11.25" customHeight="1" x14ac:dyDescent="0.25">
      <c r="A608" s="3" t="s">
        <v>21</v>
      </c>
      <c r="B608" s="3" t="s">
        <v>44</v>
      </c>
      <c r="C608" s="3" t="s">
        <v>23</v>
      </c>
      <c r="D608" s="3" t="s">
        <v>45</v>
      </c>
      <c r="E608" s="3" t="s">
        <v>53</v>
      </c>
      <c r="F608" s="3" t="s">
        <v>55</v>
      </c>
      <c r="G608" s="3" t="s">
        <v>25</v>
      </c>
      <c r="H608" s="3" t="s">
        <v>25</v>
      </c>
      <c r="I608" s="6">
        <v>44317</v>
      </c>
      <c r="J608" s="4">
        <v>0</v>
      </c>
      <c r="K608" s="4">
        <v>0</v>
      </c>
      <c r="L608" s="4">
        <v>23.552</v>
      </c>
      <c r="M608" s="4">
        <v>6.3590400000000002</v>
      </c>
      <c r="N608" s="4">
        <v>23.552</v>
      </c>
      <c r="O608" s="4">
        <v>6.3590400000000002</v>
      </c>
      <c r="P608" s="4">
        <v>0</v>
      </c>
      <c r="Q608" s="3" t="s">
        <v>26</v>
      </c>
      <c r="R608" s="3">
        <v>0</v>
      </c>
      <c r="S608" s="3">
        <v>0</v>
      </c>
      <c r="T608" s="3">
        <v>24</v>
      </c>
      <c r="U608" s="3">
        <v>78</v>
      </c>
      <c r="V608" s="4">
        <f>IF(ISERROR(VLOOKUP($S$608,'TAR FIN'!$A$1:$O$99,15,0)),0,VLOOKUP($S$608,'TAR FIN'!$A$1:$O$99,15,0))</f>
        <v>0</v>
      </c>
      <c r="W608" s="4">
        <f>IF(ISERROR(VLOOKUP($T$608,'TAR FIN'!$A$1:$O$99,15,0)),0,VLOOKUP($T$608,'TAR FIN'!$A$1:$O$99,15,0))</f>
        <v>348.11</v>
      </c>
      <c r="X608" s="4">
        <f>IF(ISERROR(VLOOKUP($U$608,'TAR FIN'!$A$1:$O$99,15,0)),0,VLOOKUP($U$608,'TAR FIN'!$A$1:$O$99,15,0))</f>
        <v>202.86</v>
      </c>
      <c r="Y608" s="4"/>
      <c r="Z608" s="4">
        <f ca="1">('TUSD BE'!$AM$44+'TUSD BF'!$AM$44+'TUSD CVA'!$AM$44)*(1-CUSTOS!$M$38)</f>
        <v>438.62226072739548</v>
      </c>
      <c r="AA608" s="4">
        <f>('TE BE'!$AA$26+'TE BF'!$AA$26+'TE CVA'!$AA$26)*(1-CUSTOS!$M$38)</f>
        <v>266.83676082414206</v>
      </c>
      <c r="AB608" s="4">
        <f t="shared" si="26"/>
        <v>0</v>
      </c>
      <c r="AC608" s="4">
        <f>(L608-M608)*(W608+X608)+($W$520+$X$520-$W$608-$X$608)*(L608)</f>
        <v>11242.5024512</v>
      </c>
      <c r="AD608" s="4">
        <f t="shared" si="27"/>
        <v>0</v>
      </c>
      <c r="AE608" s="4">
        <f ca="1">(L608-M608)*(Z608+AA608)+($Z$520+$AA$520-$Z$608-$AA$608)*(L608)</f>
        <v>13189.458795062925</v>
      </c>
      <c r="AF608" s="3" t="s">
        <v>952</v>
      </c>
    </row>
    <row r="609" spans="1:32" ht="11.25" customHeight="1" x14ac:dyDescent="0.25">
      <c r="A609" s="3" t="s">
        <v>21</v>
      </c>
      <c r="B609" s="3" t="s">
        <v>44</v>
      </c>
      <c r="C609" s="3" t="s">
        <v>23</v>
      </c>
      <c r="D609" s="3" t="s">
        <v>45</v>
      </c>
      <c r="E609" s="3" t="s">
        <v>53</v>
      </c>
      <c r="F609" s="3" t="s">
        <v>55</v>
      </c>
      <c r="G609" s="3" t="s">
        <v>25</v>
      </c>
      <c r="H609" s="3" t="s">
        <v>25</v>
      </c>
      <c r="I609" s="6">
        <v>44348</v>
      </c>
      <c r="J609" s="4">
        <v>0</v>
      </c>
      <c r="K609" s="4">
        <v>0</v>
      </c>
      <c r="L609" s="4">
        <v>30.077999999999999</v>
      </c>
      <c r="M609" s="4">
        <v>8.1210599999999999</v>
      </c>
      <c r="N609" s="4">
        <v>30.077999999999999</v>
      </c>
      <c r="O609" s="4">
        <v>8.1210599999999999</v>
      </c>
      <c r="P609" s="4">
        <v>0</v>
      </c>
      <c r="Q609" s="3" t="s">
        <v>26</v>
      </c>
      <c r="R609" s="3">
        <v>0</v>
      </c>
      <c r="S609" s="3">
        <v>0</v>
      </c>
      <c r="T609" s="3">
        <v>24</v>
      </c>
      <c r="U609" s="3">
        <v>78</v>
      </c>
      <c r="V609" s="4">
        <f>IF(ISERROR(VLOOKUP($S$609,'TAR FIN'!$A$1:$O$99,15,0)),0,VLOOKUP($S$609,'TAR FIN'!$A$1:$O$99,15,0))</f>
        <v>0</v>
      </c>
      <c r="W609" s="4">
        <f>IF(ISERROR(VLOOKUP($T$609,'TAR FIN'!$A$1:$O$99,15,0)),0,VLOOKUP($T$609,'TAR FIN'!$A$1:$O$99,15,0))</f>
        <v>348.11</v>
      </c>
      <c r="X609" s="4">
        <f>IF(ISERROR(VLOOKUP($U$609,'TAR FIN'!$A$1:$O$99,15,0)),0,VLOOKUP($U$609,'TAR FIN'!$A$1:$O$99,15,0))</f>
        <v>202.86</v>
      </c>
      <c r="Y609" s="4"/>
      <c r="Z609" s="4">
        <f ca="1">('TUSD BE'!$AM$44+'TUSD BF'!$AM$44+'TUSD CVA'!$AM$44)*(1-CUSTOS!$M$38)</f>
        <v>438.62226072739548</v>
      </c>
      <c r="AA609" s="4">
        <f>('TE BE'!$AA$26+'TE BF'!$AA$26+'TE CVA'!$AA$26)*(1-CUSTOS!$M$38)</f>
        <v>266.83676082414206</v>
      </c>
      <c r="AB609" s="4">
        <f t="shared" si="26"/>
        <v>0</v>
      </c>
      <c r="AC609" s="4">
        <f>(L609-M609)*(W609+X609)+($W$520+$X$520-$W$609-$X$609)*(L609)</f>
        <v>14357.6761518</v>
      </c>
      <c r="AD609" s="4">
        <f t="shared" si="27"/>
        <v>0</v>
      </c>
      <c r="AE609" s="4">
        <f ca="1">(L609-M609)*(Z609+AA609)+($Z$520+$AA$520-$Z$609-$AA$609)*(L609)</f>
        <v>16844.112671446273</v>
      </c>
      <c r="AF609" s="3" t="s">
        <v>952</v>
      </c>
    </row>
    <row r="610" spans="1:32" ht="11.25" customHeight="1" x14ac:dyDescent="0.25">
      <c r="A610" s="3" t="s">
        <v>27</v>
      </c>
      <c r="B610" s="3" t="s">
        <v>44</v>
      </c>
      <c r="C610" s="3" t="s">
        <v>23</v>
      </c>
      <c r="D610" s="3" t="s">
        <v>45</v>
      </c>
      <c r="E610" s="3" t="s">
        <v>53</v>
      </c>
      <c r="F610" s="3" t="s">
        <v>55</v>
      </c>
      <c r="G610" s="3" t="s">
        <v>25</v>
      </c>
      <c r="H610" s="3" t="s">
        <v>25</v>
      </c>
      <c r="I610" s="6">
        <v>44348</v>
      </c>
      <c r="J610" s="4">
        <v>0</v>
      </c>
      <c r="K610" s="4">
        <v>0</v>
      </c>
      <c r="L610" s="4">
        <v>20.071000000000002</v>
      </c>
      <c r="M610" s="4">
        <v>5.4191700000000003</v>
      </c>
      <c r="N610" s="4">
        <v>20.071000000000002</v>
      </c>
      <c r="O610" s="4">
        <v>5.4191700000000003</v>
      </c>
      <c r="P610" s="4">
        <v>0</v>
      </c>
      <c r="Q610" s="3" t="s">
        <v>26</v>
      </c>
      <c r="R610" s="3">
        <v>0</v>
      </c>
      <c r="S610" s="3">
        <v>0</v>
      </c>
      <c r="T610" s="3">
        <v>24</v>
      </c>
      <c r="U610" s="3">
        <v>78</v>
      </c>
      <c r="V610" s="4">
        <f>IF(ISERROR(VLOOKUP($S$610,'TAR FIN'!$A$1:$O$99,15,0)),0,VLOOKUP($S$610,'TAR FIN'!$A$1:$O$99,15,0))</f>
        <v>0</v>
      </c>
      <c r="W610" s="4">
        <f>IF(ISERROR(VLOOKUP($T$610,'TAR FIN'!$A$1:$O$99,15,0)),0,VLOOKUP($T$610,'TAR FIN'!$A$1:$O$99,15,0))</f>
        <v>348.11</v>
      </c>
      <c r="X610" s="4">
        <f>IF(ISERROR(VLOOKUP($U$610,'TAR FIN'!$A$1:$O$99,15,0)),0,VLOOKUP($U$610,'TAR FIN'!$A$1:$O$99,15,0))</f>
        <v>202.86</v>
      </c>
      <c r="Y610" s="4"/>
      <c r="Z610" s="4">
        <f ca="1">('TUSD BE'!$AM$44+'TUSD BF'!$AM$44+'TUSD CVA'!$AM$44)*(1-CUSTOS!$M$38)</f>
        <v>438.62226072739548</v>
      </c>
      <c r="AA610" s="4">
        <f>('TE BE'!$AA$26+'TE BF'!$AA$26+'TE CVA'!$AA$26)*(1-CUSTOS!$M$38)</f>
        <v>266.83676082414206</v>
      </c>
      <c r="AB610" s="4">
        <f t="shared" si="26"/>
        <v>0</v>
      </c>
      <c r="AC610" s="4">
        <f>(L610-M610)*(W610+X610)+($W$520+$X$520-$W$610-$X$610)*(L610)</f>
        <v>9580.8537151000019</v>
      </c>
      <c r="AD610" s="4">
        <f t="shared" si="27"/>
        <v>0</v>
      </c>
      <c r="AE610" s="4">
        <f ca="1">(L610-M610)*(Z610+AA610)+($Z$520+$AA$520-$Z$610-$AA$610)*(L610)</f>
        <v>11240.04872094548</v>
      </c>
      <c r="AF610" s="3" t="s">
        <v>952</v>
      </c>
    </row>
    <row r="611" spans="1:32" ht="11.25" customHeight="1" x14ac:dyDescent="0.25">
      <c r="A611" s="3" t="s">
        <v>21</v>
      </c>
      <c r="B611" s="3" t="s">
        <v>44</v>
      </c>
      <c r="C611" s="3" t="s">
        <v>23</v>
      </c>
      <c r="D611" s="3" t="s">
        <v>45</v>
      </c>
      <c r="E611" s="3" t="s">
        <v>53</v>
      </c>
      <c r="F611" s="3" t="s">
        <v>55</v>
      </c>
      <c r="G611" s="3" t="s">
        <v>25</v>
      </c>
      <c r="H611" s="3" t="s">
        <v>25</v>
      </c>
      <c r="I611" s="6">
        <v>44378</v>
      </c>
      <c r="J611" s="4">
        <v>0</v>
      </c>
      <c r="K611" s="4">
        <v>0</v>
      </c>
      <c r="L611" s="4">
        <v>30.792999999999999</v>
      </c>
      <c r="M611" s="4">
        <v>8.3141099999999994</v>
      </c>
      <c r="N611" s="4">
        <v>30.792999999999999</v>
      </c>
      <c r="O611" s="4">
        <v>8.3141099999999994</v>
      </c>
      <c r="P611" s="4">
        <v>0</v>
      </c>
      <c r="Q611" s="3" t="s">
        <v>26</v>
      </c>
      <c r="R611" s="3">
        <v>0</v>
      </c>
      <c r="S611" s="3">
        <v>0</v>
      </c>
      <c r="T611" s="3">
        <v>24</v>
      </c>
      <c r="U611" s="3">
        <v>78</v>
      </c>
      <c r="V611" s="4">
        <f>IF(ISERROR(VLOOKUP($S$611,'TAR FIN'!$A$1:$O$99,15,0)),0,VLOOKUP($S$611,'TAR FIN'!$A$1:$O$99,15,0))</f>
        <v>0</v>
      </c>
      <c r="W611" s="4">
        <f>IF(ISERROR(VLOOKUP($T$611,'TAR FIN'!$A$1:$O$99,15,0)),0,VLOOKUP($T$611,'TAR FIN'!$A$1:$O$99,15,0))</f>
        <v>348.11</v>
      </c>
      <c r="X611" s="4">
        <f>IF(ISERROR(VLOOKUP($U$611,'TAR FIN'!$A$1:$O$99,15,0)),0,VLOOKUP($U$611,'TAR FIN'!$A$1:$O$99,15,0))</f>
        <v>202.86</v>
      </c>
      <c r="Y611" s="4"/>
      <c r="Z611" s="4">
        <f ca="1">('TUSD BE'!$AM$44+'TUSD BF'!$AM$44+'TUSD CVA'!$AM$44)*(1-CUSTOS!$M$38)</f>
        <v>438.62226072739548</v>
      </c>
      <c r="AA611" s="4">
        <f>('TE BE'!$AA$26+'TE BF'!$AA$26+'TE CVA'!$AA$26)*(1-CUSTOS!$M$38)</f>
        <v>266.83676082414206</v>
      </c>
      <c r="AB611" s="4">
        <f t="shared" si="26"/>
        <v>0</v>
      </c>
      <c r="AC611" s="4">
        <f>(L611-M611)*(W611+X611)+($W$520+$X$520-$W$611-$X$611)*(L611)</f>
        <v>14698.9800433</v>
      </c>
      <c r="AD611" s="4">
        <f t="shared" si="27"/>
        <v>0</v>
      </c>
      <c r="AE611" s="4">
        <f ca="1">(L611-M611)*(Z611+AA611)+($Z$520+$AA$520-$Z$611-$AA$611)*(L611)</f>
        <v>17244.522956707395</v>
      </c>
      <c r="AF611" s="3" t="s">
        <v>952</v>
      </c>
    </row>
    <row r="612" spans="1:32" ht="11.25" customHeight="1" x14ac:dyDescent="0.25">
      <c r="A612" s="3" t="s">
        <v>27</v>
      </c>
      <c r="B612" s="3" t="s">
        <v>44</v>
      </c>
      <c r="C612" s="3" t="s">
        <v>23</v>
      </c>
      <c r="D612" s="3" t="s">
        <v>45</v>
      </c>
      <c r="E612" s="3" t="s">
        <v>53</v>
      </c>
      <c r="F612" s="3" t="s">
        <v>55</v>
      </c>
      <c r="G612" s="3" t="s">
        <v>25</v>
      </c>
      <c r="H612" s="3" t="s">
        <v>25</v>
      </c>
      <c r="I612" s="6">
        <v>44378</v>
      </c>
      <c r="J612" s="4">
        <v>0</v>
      </c>
      <c r="K612" s="4">
        <v>0</v>
      </c>
      <c r="L612" s="4">
        <v>-0.95299999999999996</v>
      </c>
      <c r="M612" s="4">
        <v>-0.25730999999999998</v>
      </c>
      <c r="N612" s="4">
        <v>-0.95299999999999996</v>
      </c>
      <c r="O612" s="4">
        <v>-0.25730999999999998</v>
      </c>
      <c r="P612" s="4">
        <v>0</v>
      </c>
      <c r="Q612" s="3" t="s">
        <v>26</v>
      </c>
      <c r="R612" s="3">
        <v>0</v>
      </c>
      <c r="S612" s="3">
        <v>0</v>
      </c>
      <c r="T612" s="3">
        <v>24</v>
      </c>
      <c r="U612" s="3">
        <v>78</v>
      </c>
      <c r="V612" s="4">
        <f>IF(ISERROR(VLOOKUP($S$612,'TAR FIN'!$A$1:$O$99,15,0)),0,VLOOKUP($S$612,'TAR FIN'!$A$1:$O$99,15,0))</f>
        <v>0</v>
      </c>
      <c r="W612" s="4">
        <f>IF(ISERROR(VLOOKUP($T$612,'TAR FIN'!$A$1:$O$99,15,0)),0,VLOOKUP($T$612,'TAR FIN'!$A$1:$O$99,15,0))</f>
        <v>348.11</v>
      </c>
      <c r="X612" s="4">
        <f>IF(ISERROR(VLOOKUP($U$612,'TAR FIN'!$A$1:$O$99,15,0)),0,VLOOKUP($U$612,'TAR FIN'!$A$1:$O$99,15,0))</f>
        <v>202.86</v>
      </c>
      <c r="Y612" s="4"/>
      <c r="Z612" s="4">
        <f ca="1">('TUSD BE'!$AM$44+'TUSD BF'!$AM$44+'TUSD CVA'!$AM$44)*(1-CUSTOS!$M$38)</f>
        <v>438.62226072739548</v>
      </c>
      <c r="AA612" s="4">
        <f>('TE BE'!$AA$26+'TE BF'!$AA$26+'TE CVA'!$AA$26)*(1-CUSTOS!$M$38)</f>
        <v>266.83676082414206</v>
      </c>
      <c r="AB612" s="4">
        <f t="shared" si="26"/>
        <v>0</v>
      </c>
      <c r="AC612" s="4">
        <f>(L612-M612)*(W612+X612)+($W$520+$X$520-$W$612-$X$612)*(L612)</f>
        <v>-454.91273929999994</v>
      </c>
      <c r="AD612" s="4">
        <f t="shared" si="27"/>
        <v>0</v>
      </c>
      <c r="AE612" s="4">
        <f ca="1">(L612-M612)*(Z612+AA612)+($Z$520+$AA$520-$Z$612-$AA$612)*(L612)</f>
        <v>-533.69370888650496</v>
      </c>
      <c r="AF612" s="3" t="s">
        <v>952</v>
      </c>
    </row>
    <row r="613" spans="1:32" ht="11.25" customHeight="1" x14ac:dyDescent="0.25">
      <c r="A613" s="3" t="s">
        <v>21</v>
      </c>
      <c r="B613" s="3" t="s">
        <v>44</v>
      </c>
      <c r="C613" s="3" t="s">
        <v>23</v>
      </c>
      <c r="D613" s="3" t="s">
        <v>45</v>
      </c>
      <c r="E613" s="3" t="s">
        <v>53</v>
      </c>
      <c r="F613" s="3" t="s">
        <v>55</v>
      </c>
      <c r="G613" s="3" t="s">
        <v>25</v>
      </c>
      <c r="H613" s="3" t="s">
        <v>25</v>
      </c>
      <c r="I613" s="6">
        <v>44409</v>
      </c>
      <c r="J613" s="4">
        <v>0</v>
      </c>
      <c r="K613" s="4">
        <v>0</v>
      </c>
      <c r="L613" s="4">
        <v>31.149000000000001</v>
      </c>
      <c r="M613" s="4">
        <v>8.4102300000000003</v>
      </c>
      <c r="N613" s="4">
        <v>31.149000000000001</v>
      </c>
      <c r="O613" s="4">
        <v>8.4102300000000003</v>
      </c>
      <c r="P613" s="4">
        <v>0</v>
      </c>
      <c r="Q613" s="3" t="s">
        <v>26</v>
      </c>
      <c r="R613" s="3">
        <v>0</v>
      </c>
      <c r="S613" s="3">
        <v>0</v>
      </c>
      <c r="T613" s="3">
        <v>24</v>
      </c>
      <c r="U613" s="3">
        <v>78</v>
      </c>
      <c r="V613" s="4">
        <f>IF(ISERROR(VLOOKUP($S$613,'TAR FIN'!$A$1:$O$99,15,0)),0,VLOOKUP($S$613,'TAR FIN'!$A$1:$O$99,15,0))</f>
        <v>0</v>
      </c>
      <c r="W613" s="4">
        <f>IF(ISERROR(VLOOKUP($T$613,'TAR FIN'!$A$1:$O$99,15,0)),0,VLOOKUP($T$613,'TAR FIN'!$A$1:$O$99,15,0))</f>
        <v>348.11</v>
      </c>
      <c r="X613" s="4">
        <f>IF(ISERROR(VLOOKUP($U$613,'TAR FIN'!$A$1:$O$99,15,0)),0,VLOOKUP($U$613,'TAR FIN'!$A$1:$O$99,15,0))</f>
        <v>202.86</v>
      </c>
      <c r="Y613" s="4"/>
      <c r="Z613" s="4">
        <f ca="1">('TUSD BE'!$AM$44+'TUSD BF'!$AM$44+'TUSD CVA'!$AM$44)*(1-CUSTOS!$M$38)</f>
        <v>438.62226072739548</v>
      </c>
      <c r="AA613" s="4">
        <f>('TE BE'!$AA$26+'TE BF'!$AA$26+'TE CVA'!$AA$26)*(1-CUSTOS!$M$38)</f>
        <v>266.83676082414206</v>
      </c>
      <c r="AB613" s="4">
        <f t="shared" si="26"/>
        <v>0</v>
      </c>
      <c r="AC613" s="4">
        <f>(L613-M613)*(W613+X613)+($W$520+$X$520-$W$613-$X$613)*(L613)</f>
        <v>14868.915966900002</v>
      </c>
      <c r="AD613" s="4">
        <f t="shared" si="27"/>
        <v>0</v>
      </c>
      <c r="AE613" s="4">
        <f ca="1">(L613-M613)*(Z613+AA613)+($Z$520+$AA$520-$Z$613-$AA$613)*(L613)</f>
        <v>17443.88807776049</v>
      </c>
      <c r="AF613" s="3" t="s">
        <v>952</v>
      </c>
    </row>
    <row r="614" spans="1:32" ht="11.25" customHeight="1" x14ac:dyDescent="0.25">
      <c r="A614" s="3" t="s">
        <v>27</v>
      </c>
      <c r="B614" s="3" t="s">
        <v>44</v>
      </c>
      <c r="C614" s="3" t="s">
        <v>23</v>
      </c>
      <c r="D614" s="3" t="s">
        <v>45</v>
      </c>
      <c r="E614" s="3" t="s">
        <v>53</v>
      </c>
      <c r="F614" s="3" t="s">
        <v>55</v>
      </c>
      <c r="G614" s="3" t="s">
        <v>25</v>
      </c>
      <c r="H614" s="3" t="s">
        <v>25</v>
      </c>
      <c r="I614" s="6">
        <v>44409</v>
      </c>
      <c r="J614" s="4">
        <v>0</v>
      </c>
      <c r="K614" s="4">
        <v>0</v>
      </c>
      <c r="L614" s="4">
        <v>-2.5870000000000002</v>
      </c>
      <c r="M614" s="4">
        <v>-0.69849000000000006</v>
      </c>
      <c r="N614" s="4">
        <v>-2.5870000000000002</v>
      </c>
      <c r="O614" s="4">
        <v>-0.69849000000000006</v>
      </c>
      <c r="P614" s="4">
        <v>0</v>
      </c>
      <c r="Q614" s="3" t="s">
        <v>26</v>
      </c>
      <c r="R614" s="3">
        <v>0</v>
      </c>
      <c r="S614" s="3">
        <v>0</v>
      </c>
      <c r="T614" s="3">
        <v>24</v>
      </c>
      <c r="U614" s="3">
        <v>78</v>
      </c>
      <c r="V614" s="4">
        <f>IF(ISERROR(VLOOKUP($S$614,'TAR FIN'!$A$1:$O$99,15,0)),0,VLOOKUP($S$614,'TAR FIN'!$A$1:$O$99,15,0))</f>
        <v>0</v>
      </c>
      <c r="W614" s="4">
        <f>IF(ISERROR(VLOOKUP($T$614,'TAR FIN'!$A$1:$O$99,15,0)),0,VLOOKUP($T$614,'TAR FIN'!$A$1:$O$99,15,0))</f>
        <v>348.11</v>
      </c>
      <c r="X614" s="4">
        <f>IF(ISERROR(VLOOKUP($U$614,'TAR FIN'!$A$1:$O$99,15,0)),0,VLOOKUP($U$614,'TAR FIN'!$A$1:$O$99,15,0))</f>
        <v>202.86</v>
      </c>
      <c r="Y614" s="4"/>
      <c r="Z614" s="4">
        <f ca="1">('TUSD BE'!$AM$44+'TUSD BF'!$AM$44+'TUSD CVA'!$AM$44)*(1-CUSTOS!$M$38)</f>
        <v>438.62226072739548</v>
      </c>
      <c r="AA614" s="4">
        <f>('TE BE'!$AA$26+'TE BF'!$AA$26+'TE CVA'!$AA$26)*(1-CUSTOS!$M$38)</f>
        <v>266.83676082414206</v>
      </c>
      <c r="AB614" s="4">
        <f t="shared" si="26"/>
        <v>0</v>
      </c>
      <c r="AC614" s="4">
        <f>(L614-M614)*(W614+X614)+($W$520+$X$520-$W$614-$X$614)*(L614)</f>
        <v>-1234.8995347</v>
      </c>
      <c r="AD614" s="4">
        <f t="shared" si="27"/>
        <v>0</v>
      </c>
      <c r="AE614" s="4">
        <f ca="1">(L614-M614)*(Z614+AA614)+($Z$520+$AA$520-$Z$614-$AA$614)*(L614)</f>
        <v>-1448.7572139447939</v>
      </c>
      <c r="AF614" s="3" t="s">
        <v>952</v>
      </c>
    </row>
    <row r="615" spans="1:32" ht="11.25" customHeight="1" x14ac:dyDescent="0.25">
      <c r="A615" s="3" t="s">
        <v>21</v>
      </c>
      <c r="B615" s="3" t="s">
        <v>44</v>
      </c>
      <c r="C615" s="3" t="s">
        <v>23</v>
      </c>
      <c r="D615" s="3" t="s">
        <v>45</v>
      </c>
      <c r="E615" s="3" t="s">
        <v>53</v>
      </c>
      <c r="F615" s="3" t="s">
        <v>55</v>
      </c>
      <c r="G615" s="3" t="s">
        <v>25</v>
      </c>
      <c r="H615" s="3" t="s">
        <v>25</v>
      </c>
      <c r="I615" s="6">
        <v>44440</v>
      </c>
      <c r="J615" s="4">
        <v>0</v>
      </c>
      <c r="K615" s="4">
        <v>0</v>
      </c>
      <c r="L615" s="4">
        <v>65.122</v>
      </c>
      <c r="M615" s="4">
        <v>17.582940000000001</v>
      </c>
      <c r="N615" s="4">
        <v>65.122</v>
      </c>
      <c r="O615" s="4">
        <v>17.582940000000001</v>
      </c>
      <c r="P615" s="4">
        <v>0</v>
      </c>
      <c r="Q615" s="3" t="s">
        <v>26</v>
      </c>
      <c r="R615" s="3">
        <v>0</v>
      </c>
      <c r="S615" s="3">
        <v>0</v>
      </c>
      <c r="T615" s="3">
        <v>24</v>
      </c>
      <c r="U615" s="3">
        <v>78</v>
      </c>
      <c r="V615" s="4">
        <f>IF(ISERROR(VLOOKUP($S$615,'TAR FIN'!$A$1:$O$99,15,0)),0,VLOOKUP($S$615,'TAR FIN'!$A$1:$O$99,15,0))</f>
        <v>0</v>
      </c>
      <c r="W615" s="4">
        <f>IF(ISERROR(VLOOKUP($T$615,'TAR FIN'!$A$1:$O$99,15,0)),0,VLOOKUP($T$615,'TAR FIN'!$A$1:$O$99,15,0))</f>
        <v>348.11</v>
      </c>
      <c r="X615" s="4">
        <f>IF(ISERROR(VLOOKUP($U$615,'TAR FIN'!$A$1:$O$99,15,0)),0,VLOOKUP($U$615,'TAR FIN'!$A$1:$O$99,15,0))</f>
        <v>202.86</v>
      </c>
      <c r="Y615" s="4"/>
      <c r="Z615" s="4">
        <f ca="1">('TUSD BE'!$AM$44+'TUSD BF'!$AM$44+'TUSD CVA'!$AM$44)*(1-CUSTOS!$M$38)</f>
        <v>438.62226072739548</v>
      </c>
      <c r="AA615" s="4">
        <f>('TE BE'!$AA$26+'TE BF'!$AA$26+'TE CVA'!$AA$26)*(1-CUSTOS!$M$38)</f>
        <v>266.83676082414206</v>
      </c>
      <c r="AB615" s="4">
        <f t="shared" si="26"/>
        <v>0</v>
      </c>
      <c r="AC615" s="4">
        <f>(L615-M615)*(W615+X615)+($W$520+$X$520-$W$615-$X$615)*(L615)</f>
        <v>31085.862968199999</v>
      </c>
      <c r="AD615" s="4">
        <f t="shared" si="27"/>
        <v>0</v>
      </c>
      <c r="AE615" s="4">
        <f ca="1">(L615-M615)*(Z615+AA615)+($Z$520+$AA$520-$Z$615-$AA$615)*(L615)</f>
        <v>36469.256778706171</v>
      </c>
      <c r="AF615" s="3" t="s">
        <v>952</v>
      </c>
    </row>
    <row r="616" spans="1:32" ht="11.25" customHeight="1" x14ac:dyDescent="0.25">
      <c r="A616" s="3" t="s">
        <v>27</v>
      </c>
      <c r="B616" s="3" t="s">
        <v>44</v>
      </c>
      <c r="C616" s="3" t="s">
        <v>23</v>
      </c>
      <c r="D616" s="3" t="s">
        <v>45</v>
      </c>
      <c r="E616" s="3" t="s">
        <v>53</v>
      </c>
      <c r="F616" s="3" t="s">
        <v>55</v>
      </c>
      <c r="G616" s="3" t="s">
        <v>25</v>
      </c>
      <c r="H616" s="3" t="s">
        <v>25</v>
      </c>
      <c r="I616" s="6">
        <v>44440</v>
      </c>
      <c r="J616" s="4">
        <v>0</v>
      </c>
      <c r="K616" s="4">
        <v>0</v>
      </c>
      <c r="L616" s="4">
        <v>-7.5190000000000001</v>
      </c>
      <c r="M616" s="4">
        <v>-2.0301300000000002</v>
      </c>
      <c r="N616" s="4">
        <v>-7.5190000000000001</v>
      </c>
      <c r="O616" s="4">
        <v>-2.0301300000000002</v>
      </c>
      <c r="P616" s="4">
        <v>0</v>
      </c>
      <c r="Q616" s="3" t="s">
        <v>26</v>
      </c>
      <c r="R616" s="3">
        <v>0</v>
      </c>
      <c r="S616" s="3">
        <v>0</v>
      </c>
      <c r="T616" s="3">
        <v>24</v>
      </c>
      <c r="U616" s="3">
        <v>78</v>
      </c>
      <c r="V616" s="4">
        <f>IF(ISERROR(VLOOKUP($S$616,'TAR FIN'!$A$1:$O$99,15,0)),0,VLOOKUP($S$616,'TAR FIN'!$A$1:$O$99,15,0))</f>
        <v>0</v>
      </c>
      <c r="W616" s="4">
        <f>IF(ISERROR(VLOOKUP($T$616,'TAR FIN'!$A$1:$O$99,15,0)),0,VLOOKUP($T$616,'TAR FIN'!$A$1:$O$99,15,0))</f>
        <v>348.11</v>
      </c>
      <c r="X616" s="4">
        <f>IF(ISERROR(VLOOKUP($U$616,'TAR FIN'!$A$1:$O$99,15,0)),0,VLOOKUP($U$616,'TAR FIN'!$A$1:$O$99,15,0))</f>
        <v>202.86</v>
      </c>
      <c r="Y616" s="4"/>
      <c r="Z616" s="4">
        <f ca="1">('TUSD BE'!$AM$44+'TUSD BF'!$AM$44+'TUSD CVA'!$AM$44)*(1-CUSTOS!$M$38)</f>
        <v>438.62226072739548</v>
      </c>
      <c r="AA616" s="4">
        <f>('TE BE'!$AA$26+'TE BF'!$AA$26+'TE CVA'!$AA$26)*(1-CUSTOS!$M$38)</f>
        <v>266.83676082414206</v>
      </c>
      <c r="AB616" s="4">
        <f t="shared" si="26"/>
        <v>0</v>
      </c>
      <c r="AC616" s="4">
        <f>(L616-M616)*(W616+X616)+($W$520+$X$520-$W$616-$X$616)*(L616)</f>
        <v>-3589.1803639000004</v>
      </c>
      <c r="AD616" s="4">
        <f t="shared" si="27"/>
        <v>0</v>
      </c>
      <c r="AE616" s="4">
        <f ca="1">(L616-M616)*(Z616+AA616)+($Z$520+$AA$520-$Z$616-$AA$616)*(L616)</f>
        <v>-4210.7481606690781</v>
      </c>
      <c r="AF616" s="3" t="s">
        <v>952</v>
      </c>
    </row>
    <row r="617" spans="1:32" ht="11.25" customHeight="1" x14ac:dyDescent="0.25">
      <c r="A617" s="3" t="s">
        <v>21</v>
      </c>
      <c r="B617" s="3" t="s">
        <v>44</v>
      </c>
      <c r="C617" s="3" t="s">
        <v>23</v>
      </c>
      <c r="D617" s="3" t="s">
        <v>45</v>
      </c>
      <c r="E617" s="3" t="s">
        <v>53</v>
      </c>
      <c r="F617" s="3" t="s">
        <v>55</v>
      </c>
      <c r="G617" s="3" t="s">
        <v>25</v>
      </c>
      <c r="H617" s="3" t="s">
        <v>25</v>
      </c>
      <c r="I617" s="6">
        <v>44470</v>
      </c>
      <c r="J617" s="4">
        <v>0</v>
      </c>
      <c r="K617" s="4">
        <v>0</v>
      </c>
      <c r="L617" s="4">
        <v>79.238</v>
      </c>
      <c r="M617" s="4">
        <v>21.394259999999999</v>
      </c>
      <c r="N617" s="4">
        <v>79.238</v>
      </c>
      <c r="O617" s="4">
        <v>21.394259999999999</v>
      </c>
      <c r="P617" s="4">
        <v>0</v>
      </c>
      <c r="Q617" s="3" t="s">
        <v>26</v>
      </c>
      <c r="R617" s="3">
        <v>0</v>
      </c>
      <c r="S617" s="3">
        <v>0</v>
      </c>
      <c r="T617" s="3">
        <v>24</v>
      </c>
      <c r="U617" s="3">
        <v>78</v>
      </c>
      <c r="V617" s="4">
        <f>IF(ISERROR(VLOOKUP($S$617,'TAR FIN'!$A$1:$O$99,15,0)),0,VLOOKUP($S$617,'TAR FIN'!$A$1:$O$99,15,0))</f>
        <v>0</v>
      </c>
      <c r="W617" s="4">
        <f>IF(ISERROR(VLOOKUP($T$617,'TAR FIN'!$A$1:$O$99,15,0)),0,VLOOKUP($T$617,'TAR FIN'!$A$1:$O$99,15,0))</f>
        <v>348.11</v>
      </c>
      <c r="X617" s="4">
        <f>IF(ISERROR(VLOOKUP($U$617,'TAR FIN'!$A$1:$O$99,15,0)),0,VLOOKUP($U$617,'TAR FIN'!$A$1:$O$99,15,0))</f>
        <v>202.86</v>
      </c>
      <c r="Y617" s="4"/>
      <c r="Z617" s="4">
        <f ca="1">('TUSD BE'!$AM$44+'TUSD BF'!$AM$44+'TUSD CVA'!$AM$44)*(1-CUSTOS!$M$38)</f>
        <v>438.62226072739548</v>
      </c>
      <c r="AA617" s="4">
        <f>('TE BE'!$AA$26+'TE BF'!$AA$26+'TE CVA'!$AA$26)*(1-CUSTOS!$M$38)</f>
        <v>266.83676082414206</v>
      </c>
      <c r="AB617" s="4">
        <f t="shared" si="26"/>
        <v>0</v>
      </c>
      <c r="AC617" s="4">
        <f>(L617-M617)*(W617+X617)+($W$520+$X$520-$W$617-$X$617)*(L617)</f>
        <v>37824.108747799997</v>
      </c>
      <c r="AD617" s="4">
        <f t="shared" si="27"/>
        <v>0</v>
      </c>
      <c r="AE617" s="4">
        <f ca="1">(L617-M617)*(Z617+AA617)+($Z$520+$AA$520-$Z$617-$AA$617)*(L617)</f>
        <v>44374.419837092217</v>
      </c>
      <c r="AF617" s="3" t="s">
        <v>952</v>
      </c>
    </row>
    <row r="618" spans="1:32" ht="11.25" customHeight="1" x14ac:dyDescent="0.25">
      <c r="A618" s="3" t="s">
        <v>27</v>
      </c>
      <c r="B618" s="3" t="s">
        <v>44</v>
      </c>
      <c r="C618" s="3" t="s">
        <v>23</v>
      </c>
      <c r="D618" s="3" t="s">
        <v>45</v>
      </c>
      <c r="E618" s="3" t="s">
        <v>53</v>
      </c>
      <c r="F618" s="3" t="s">
        <v>55</v>
      </c>
      <c r="G618" s="3" t="s">
        <v>25</v>
      </c>
      <c r="H618" s="3" t="s">
        <v>25</v>
      </c>
      <c r="I618" s="6">
        <v>44470</v>
      </c>
      <c r="J618" s="4">
        <v>0</v>
      </c>
      <c r="K618" s="4">
        <v>0</v>
      </c>
      <c r="L618" s="4">
        <v>-0.97299999999999998</v>
      </c>
      <c r="M618" s="4">
        <v>-0.26271</v>
      </c>
      <c r="N618" s="4">
        <v>-0.97299999999999998</v>
      </c>
      <c r="O618" s="4">
        <v>-0.26271</v>
      </c>
      <c r="P618" s="4">
        <v>0</v>
      </c>
      <c r="Q618" s="3" t="s">
        <v>26</v>
      </c>
      <c r="R618" s="3">
        <v>0</v>
      </c>
      <c r="S618" s="3">
        <v>0</v>
      </c>
      <c r="T618" s="3">
        <v>24</v>
      </c>
      <c r="U618" s="3">
        <v>78</v>
      </c>
      <c r="V618" s="4">
        <f>IF(ISERROR(VLOOKUP($S$618,'TAR FIN'!$A$1:$O$99,15,0)),0,VLOOKUP($S$618,'TAR FIN'!$A$1:$O$99,15,0))</f>
        <v>0</v>
      </c>
      <c r="W618" s="4">
        <f>IF(ISERROR(VLOOKUP($T$618,'TAR FIN'!$A$1:$O$99,15,0)),0,VLOOKUP($T$618,'TAR FIN'!$A$1:$O$99,15,0))</f>
        <v>348.11</v>
      </c>
      <c r="X618" s="4">
        <f>IF(ISERROR(VLOOKUP($U$618,'TAR FIN'!$A$1:$O$99,15,0)),0,VLOOKUP($U$618,'TAR FIN'!$A$1:$O$99,15,0))</f>
        <v>202.86</v>
      </c>
      <c r="Y618" s="4"/>
      <c r="Z618" s="4">
        <f ca="1">('TUSD BE'!$AM$44+'TUSD BF'!$AM$44+'TUSD CVA'!$AM$44)*(1-CUSTOS!$M$38)</f>
        <v>438.62226072739548</v>
      </c>
      <c r="AA618" s="4">
        <f>('TE BE'!$AA$26+'TE BF'!$AA$26+'TE CVA'!$AA$26)*(1-CUSTOS!$M$38)</f>
        <v>266.83676082414206</v>
      </c>
      <c r="AB618" s="4">
        <f t="shared" si="26"/>
        <v>0</v>
      </c>
      <c r="AC618" s="4">
        <f>(L618-M618)*(W618+X618)+($W$520+$X$520-$W$618-$X$618)*(L618)</f>
        <v>-464.45970130000001</v>
      </c>
      <c r="AD618" s="4">
        <f t="shared" si="27"/>
        <v>0</v>
      </c>
      <c r="AE618" s="4">
        <f ca="1">(L618-M618)*(Z618+AA618)+($Z$520+$AA$520-$Z$618-$AA$618)*(L618)</f>
        <v>-544.89399658611683</v>
      </c>
      <c r="AF618" s="3" t="s">
        <v>952</v>
      </c>
    </row>
    <row r="619" spans="1:32" ht="11.25" customHeight="1" x14ac:dyDescent="0.25">
      <c r="A619" s="3" t="s">
        <v>21</v>
      </c>
      <c r="B619" s="3" t="s">
        <v>44</v>
      </c>
      <c r="C619" s="3" t="s">
        <v>23</v>
      </c>
      <c r="D619" s="3" t="s">
        <v>45</v>
      </c>
      <c r="E619" s="3" t="s">
        <v>53</v>
      </c>
      <c r="F619" s="3" t="s">
        <v>55</v>
      </c>
      <c r="G619" s="3" t="s">
        <v>25</v>
      </c>
      <c r="H619" s="3" t="s">
        <v>25</v>
      </c>
      <c r="I619" s="6">
        <v>44501</v>
      </c>
      <c r="J619" s="4">
        <v>0</v>
      </c>
      <c r="K619" s="4">
        <v>0</v>
      </c>
      <c r="L619" s="4">
        <v>123.11499999999999</v>
      </c>
      <c r="M619" s="4">
        <v>33.241050000000001</v>
      </c>
      <c r="N619" s="4">
        <v>123.11499999999999</v>
      </c>
      <c r="O619" s="4">
        <v>33.241050000000001</v>
      </c>
      <c r="P619" s="4">
        <v>0</v>
      </c>
      <c r="Q619" s="3" t="s">
        <v>26</v>
      </c>
      <c r="R619" s="3">
        <v>0</v>
      </c>
      <c r="S619" s="3">
        <v>0</v>
      </c>
      <c r="T619" s="3">
        <v>24</v>
      </c>
      <c r="U619" s="3">
        <v>78</v>
      </c>
      <c r="V619" s="4">
        <f>IF(ISERROR(VLOOKUP($S$619,'TAR FIN'!$A$1:$O$99,15,0)),0,VLOOKUP($S$619,'TAR FIN'!$A$1:$O$99,15,0))</f>
        <v>0</v>
      </c>
      <c r="W619" s="4">
        <f>IF(ISERROR(VLOOKUP($T$619,'TAR FIN'!$A$1:$O$99,15,0)),0,VLOOKUP($T$619,'TAR FIN'!$A$1:$O$99,15,0))</f>
        <v>348.11</v>
      </c>
      <c r="X619" s="4">
        <f>IF(ISERROR(VLOOKUP($U$619,'TAR FIN'!$A$1:$O$99,15,0)),0,VLOOKUP($U$619,'TAR FIN'!$A$1:$O$99,15,0))</f>
        <v>202.86</v>
      </c>
      <c r="Y619" s="4"/>
      <c r="Z619" s="4">
        <f ca="1">('TUSD BE'!$AM$44+'TUSD BF'!$AM$44+'TUSD CVA'!$AM$44)*(1-CUSTOS!$M$38)</f>
        <v>438.62226072739548</v>
      </c>
      <c r="AA619" s="4">
        <f>('TE BE'!$AA$26+'TE BF'!$AA$26+'TE CVA'!$AA$26)*(1-CUSTOS!$M$38)</f>
        <v>266.83676082414206</v>
      </c>
      <c r="AB619" s="4">
        <f t="shared" si="26"/>
        <v>0</v>
      </c>
      <c r="AC619" s="4">
        <f>(L619-M619)*(W619+X619)+($W$520+$X$520-$W$619-$X$619)*(L619)</f>
        <v>58768.711331500002</v>
      </c>
      <c r="AD619" s="4">
        <f t="shared" si="27"/>
        <v>0</v>
      </c>
      <c r="AE619" s="4">
        <f ca="1">(L619-M619)*(Z619+AA619)+($Z$520+$AA$520-$Z$619-$AA$619)*(L619)</f>
        <v>68946.171006885692</v>
      </c>
      <c r="AF619" s="3" t="s">
        <v>952</v>
      </c>
    </row>
    <row r="620" spans="1:32" ht="11.25" customHeight="1" x14ac:dyDescent="0.25">
      <c r="A620" s="3" t="s">
        <v>27</v>
      </c>
      <c r="B620" s="3" t="s">
        <v>44</v>
      </c>
      <c r="C620" s="3" t="s">
        <v>23</v>
      </c>
      <c r="D620" s="3" t="s">
        <v>45</v>
      </c>
      <c r="E620" s="3" t="s">
        <v>53</v>
      </c>
      <c r="F620" s="3" t="s">
        <v>55</v>
      </c>
      <c r="G620" s="3" t="s">
        <v>25</v>
      </c>
      <c r="H620" s="3" t="s">
        <v>25</v>
      </c>
      <c r="I620" s="6">
        <v>44501</v>
      </c>
      <c r="J620" s="4">
        <v>0</v>
      </c>
      <c r="K620" s="4">
        <v>0</v>
      </c>
      <c r="L620" s="4">
        <v>-0.2</v>
      </c>
      <c r="M620" s="4">
        <v>-5.3999999999999999E-2</v>
      </c>
      <c r="N620" s="4">
        <v>-0.2</v>
      </c>
      <c r="O620" s="4">
        <v>-5.3999999999999999E-2</v>
      </c>
      <c r="P620" s="4">
        <v>0</v>
      </c>
      <c r="Q620" s="3" t="s">
        <v>26</v>
      </c>
      <c r="R620" s="3">
        <v>0</v>
      </c>
      <c r="S620" s="3">
        <v>0</v>
      </c>
      <c r="T620" s="3">
        <v>24</v>
      </c>
      <c r="U620" s="3">
        <v>78</v>
      </c>
      <c r="V620" s="4">
        <f>IF(ISERROR(VLOOKUP($S$620,'TAR FIN'!$A$1:$O$99,15,0)),0,VLOOKUP($S$620,'TAR FIN'!$A$1:$O$99,15,0))</f>
        <v>0</v>
      </c>
      <c r="W620" s="4">
        <f>IF(ISERROR(VLOOKUP($T$620,'TAR FIN'!$A$1:$O$99,15,0)),0,VLOOKUP($T$620,'TAR FIN'!$A$1:$O$99,15,0))</f>
        <v>348.11</v>
      </c>
      <c r="X620" s="4">
        <f>IF(ISERROR(VLOOKUP($U$620,'TAR FIN'!$A$1:$O$99,15,0)),0,VLOOKUP($U$620,'TAR FIN'!$A$1:$O$99,15,0))</f>
        <v>202.86</v>
      </c>
      <c r="Y620" s="4"/>
      <c r="Z620" s="4">
        <f ca="1">('TUSD BE'!$AM$44+'TUSD BF'!$AM$44+'TUSD CVA'!$AM$44)*(1-CUSTOS!$M$38)</f>
        <v>438.62226072739548</v>
      </c>
      <c r="AA620" s="4">
        <f>('TE BE'!$AA$26+'TE BF'!$AA$26+'TE CVA'!$AA$26)*(1-CUSTOS!$M$38)</f>
        <v>266.83676082414206</v>
      </c>
      <c r="AB620" s="4">
        <f t="shared" si="26"/>
        <v>0</v>
      </c>
      <c r="AC620" s="4">
        <f>(L620-M620)*(W620+X620)+($W$520+$X$520-$W$620-$X$620)*(L620)</f>
        <v>-95.46962000000002</v>
      </c>
      <c r="AD620" s="4">
        <f t="shared" si="27"/>
        <v>0</v>
      </c>
      <c r="AE620" s="4">
        <f ca="1">(L620-M620)*(Z620+AA620)+($Z$520+$AA$520-$Z$620-$AA$620)*(L620)</f>
        <v>-112.00287699611859</v>
      </c>
      <c r="AF620" s="3" t="s">
        <v>952</v>
      </c>
    </row>
    <row r="621" spans="1:32" ht="11.25" customHeight="1" x14ac:dyDescent="0.25">
      <c r="A621" s="3" t="s">
        <v>21</v>
      </c>
      <c r="B621" s="3" t="s">
        <v>44</v>
      </c>
      <c r="C621" s="3" t="s">
        <v>23</v>
      </c>
      <c r="D621" s="3" t="s">
        <v>45</v>
      </c>
      <c r="E621" s="3" t="s">
        <v>53</v>
      </c>
      <c r="F621" s="3" t="s">
        <v>55</v>
      </c>
      <c r="G621" s="3" t="s">
        <v>25</v>
      </c>
      <c r="H621" s="3" t="s">
        <v>25</v>
      </c>
      <c r="I621" s="6">
        <v>44531</v>
      </c>
      <c r="J621" s="4">
        <v>0</v>
      </c>
      <c r="K621" s="4">
        <v>0</v>
      </c>
      <c r="L621" s="4">
        <v>125.746</v>
      </c>
      <c r="M621" s="4">
        <v>33.951419999999999</v>
      </c>
      <c r="N621" s="4">
        <v>125.746</v>
      </c>
      <c r="O621" s="4">
        <v>33.951419999999999</v>
      </c>
      <c r="P621" s="4">
        <v>0</v>
      </c>
      <c r="Q621" s="3" t="s">
        <v>26</v>
      </c>
      <c r="R621" s="3">
        <v>0</v>
      </c>
      <c r="S621" s="3">
        <v>0</v>
      </c>
      <c r="T621" s="3">
        <v>24</v>
      </c>
      <c r="U621" s="3">
        <v>78</v>
      </c>
      <c r="V621" s="4">
        <f>IF(ISERROR(VLOOKUP($S$621,'TAR FIN'!$A$1:$O$99,15,0)),0,VLOOKUP($S$621,'TAR FIN'!$A$1:$O$99,15,0))</f>
        <v>0</v>
      </c>
      <c r="W621" s="4">
        <f>IF(ISERROR(VLOOKUP($T$621,'TAR FIN'!$A$1:$O$99,15,0)),0,VLOOKUP($T$621,'TAR FIN'!$A$1:$O$99,15,0))</f>
        <v>348.11</v>
      </c>
      <c r="X621" s="4">
        <f>IF(ISERROR(VLOOKUP($U$621,'TAR FIN'!$A$1:$O$99,15,0)),0,VLOOKUP($U$621,'TAR FIN'!$A$1:$O$99,15,0))</f>
        <v>202.86</v>
      </c>
      <c r="Y621" s="4"/>
      <c r="Z621" s="4">
        <f ca="1">('TUSD BE'!$AM$44+'TUSD BF'!$AM$44+'TUSD CVA'!$AM$44)*(1-CUSTOS!$M$38)</f>
        <v>438.62226072739548</v>
      </c>
      <c r="AA621" s="4">
        <f>('TE BE'!$AA$26+'TE BF'!$AA$26+'TE CVA'!$AA$26)*(1-CUSTOS!$M$38)</f>
        <v>266.83676082414206</v>
      </c>
      <c r="AB621" s="4">
        <f t="shared" si="26"/>
        <v>0</v>
      </c>
      <c r="AC621" s="4">
        <f>(L621-M621)*(W621+X621)+($W$520+$X$520-$W$621-$X$621)*(L621)</f>
        <v>60024.614182600002</v>
      </c>
      <c r="AD621" s="4">
        <f t="shared" si="27"/>
        <v>0</v>
      </c>
      <c r="AE621" s="4">
        <f ca="1">(L621-M621)*(Z621+AA621)+($Z$520+$AA$520-$Z$621-$AA$621)*(L621)</f>
        <v>70419.568853769626</v>
      </c>
      <c r="AF621" s="3" t="s">
        <v>952</v>
      </c>
    </row>
    <row r="622" spans="1:32" ht="11.25" customHeight="1" x14ac:dyDescent="0.25">
      <c r="A622" s="3" t="s">
        <v>21</v>
      </c>
      <c r="B622" s="3" t="s">
        <v>44</v>
      </c>
      <c r="C622" s="3" t="s">
        <v>23</v>
      </c>
      <c r="D622" s="3" t="s">
        <v>45</v>
      </c>
      <c r="E622" s="3" t="s">
        <v>53</v>
      </c>
      <c r="F622" s="3" t="s">
        <v>55</v>
      </c>
      <c r="G622" s="3" t="s">
        <v>25</v>
      </c>
      <c r="H622" s="3" t="s">
        <v>25</v>
      </c>
      <c r="I622" s="6">
        <v>44562</v>
      </c>
      <c r="J622" s="4">
        <v>0</v>
      </c>
      <c r="K622" s="4">
        <v>0</v>
      </c>
      <c r="L622" s="4">
        <v>89.790999999999997</v>
      </c>
      <c r="M622" s="4">
        <v>24.243569999999998</v>
      </c>
      <c r="N622" s="4">
        <v>89.790999999999997</v>
      </c>
      <c r="O622" s="4">
        <v>24.243569999999998</v>
      </c>
      <c r="P622" s="4">
        <v>0</v>
      </c>
      <c r="Q622" s="3" t="s">
        <v>26</v>
      </c>
      <c r="R622" s="3">
        <v>0</v>
      </c>
      <c r="S622" s="3">
        <v>0</v>
      </c>
      <c r="T622" s="3">
        <v>24</v>
      </c>
      <c r="U622" s="3">
        <v>78</v>
      </c>
      <c r="V622" s="4">
        <f>IF(ISERROR(VLOOKUP($S$622,'TAR FIN'!$A$1:$O$99,15,0)),0,VLOOKUP($S$622,'TAR FIN'!$A$1:$O$99,15,0))</f>
        <v>0</v>
      </c>
      <c r="W622" s="4">
        <f>IF(ISERROR(VLOOKUP($T$622,'TAR FIN'!$A$1:$O$99,15,0)),0,VLOOKUP($T$622,'TAR FIN'!$A$1:$O$99,15,0))</f>
        <v>348.11</v>
      </c>
      <c r="X622" s="4">
        <f>IF(ISERROR(VLOOKUP($U$622,'TAR FIN'!$A$1:$O$99,15,0)),0,VLOOKUP($U$622,'TAR FIN'!$A$1:$O$99,15,0))</f>
        <v>202.86</v>
      </c>
      <c r="Y622" s="4"/>
      <c r="Z622" s="4">
        <f ca="1">('TUSD BE'!$AM$44+'TUSD BF'!$AM$44+'TUSD CVA'!$AM$44)*(1-CUSTOS!$M$38)</f>
        <v>438.62226072739548</v>
      </c>
      <c r="AA622" s="4">
        <f>('TE BE'!$AA$26+'TE BF'!$AA$26+'TE CVA'!$AA$26)*(1-CUSTOS!$M$38)</f>
        <v>266.83676082414206</v>
      </c>
      <c r="AB622" s="4">
        <f t="shared" si="26"/>
        <v>0</v>
      </c>
      <c r="AC622" s="4">
        <f>(L622-M622)*(W622+X622)+($W$520+$X$520-$W$622-$X$622)*(L622)</f>
        <v>42861.563247099999</v>
      </c>
      <c r="AD622" s="4">
        <f t="shared" si="27"/>
        <v>0</v>
      </c>
      <c r="AE622" s="4">
        <f ca="1">(L622-M622)*(Z622+AA622)+($Z$520+$AA$520-$Z$622-$AA$622)*(L622)</f>
        <v>50284.251641792413</v>
      </c>
      <c r="AF622" s="3" t="s">
        <v>952</v>
      </c>
    </row>
    <row r="623" spans="1:32" ht="11.25" customHeight="1" x14ac:dyDescent="0.25">
      <c r="A623" s="3" t="s">
        <v>21</v>
      </c>
      <c r="B623" s="3" t="s">
        <v>44</v>
      </c>
      <c r="C623" s="3" t="s">
        <v>23</v>
      </c>
      <c r="D623" s="3" t="s">
        <v>45</v>
      </c>
      <c r="E623" s="3" t="s">
        <v>53</v>
      </c>
      <c r="F623" s="3" t="s">
        <v>55</v>
      </c>
      <c r="G623" s="3" t="s">
        <v>25</v>
      </c>
      <c r="H623" s="3" t="s">
        <v>25</v>
      </c>
      <c r="I623" s="6">
        <v>44593</v>
      </c>
      <c r="J623" s="4">
        <v>0</v>
      </c>
      <c r="K623" s="4">
        <v>0</v>
      </c>
      <c r="L623" s="4">
        <v>103.61199999999999</v>
      </c>
      <c r="M623" s="4">
        <v>27.975239999999999</v>
      </c>
      <c r="N623" s="4">
        <v>103.61199999999999</v>
      </c>
      <c r="O623" s="4">
        <v>27.975239999999999</v>
      </c>
      <c r="P623" s="4">
        <v>0</v>
      </c>
      <c r="Q623" s="3" t="s">
        <v>26</v>
      </c>
      <c r="R623" s="3">
        <v>0</v>
      </c>
      <c r="S623" s="3">
        <v>0</v>
      </c>
      <c r="T623" s="3">
        <v>24</v>
      </c>
      <c r="U623" s="3">
        <v>78</v>
      </c>
      <c r="V623" s="4">
        <f>IF(ISERROR(VLOOKUP($S$623,'TAR FIN'!$A$1:$O$99,15,0)),0,VLOOKUP($S$623,'TAR FIN'!$A$1:$O$99,15,0))</f>
        <v>0</v>
      </c>
      <c r="W623" s="4">
        <f>IF(ISERROR(VLOOKUP($T$623,'TAR FIN'!$A$1:$O$99,15,0)),0,VLOOKUP($T$623,'TAR FIN'!$A$1:$O$99,15,0))</f>
        <v>348.11</v>
      </c>
      <c r="X623" s="4">
        <f>IF(ISERROR(VLOOKUP($U$623,'TAR FIN'!$A$1:$O$99,15,0)),0,VLOOKUP($U$623,'TAR FIN'!$A$1:$O$99,15,0))</f>
        <v>202.86</v>
      </c>
      <c r="Y623" s="4"/>
      <c r="Z623" s="4">
        <f ca="1">('TUSD BE'!$AM$44+'TUSD BF'!$AM$44+'TUSD CVA'!$AM$44)*(1-CUSTOS!$M$38)</f>
        <v>438.62226072739548</v>
      </c>
      <c r="AA623" s="4">
        <f>('TE BE'!$AA$26+'TE BF'!$AA$26+'TE CVA'!$AA$26)*(1-CUSTOS!$M$38)</f>
        <v>266.83676082414206</v>
      </c>
      <c r="AB623" s="4">
        <f t="shared" si="26"/>
        <v>0</v>
      </c>
      <c r="AC623" s="4">
        <f>(L623-M623)*(W623+X623)+($W$520+$X$520-$W$623-$X$623)*(L623)</f>
        <v>49458.991337199994</v>
      </c>
      <c r="AD623" s="4">
        <f t="shared" si="27"/>
        <v>0</v>
      </c>
      <c r="AE623" s="4">
        <f ca="1">(L623-M623)*(Z623+AA623)+($Z$520+$AA$520-$Z$623-$AA$623)*(L623)</f>
        <v>58024.210456609188</v>
      </c>
      <c r="AF623" s="3" t="s">
        <v>952</v>
      </c>
    </row>
    <row r="624" spans="1:32" ht="11.25" customHeight="1" x14ac:dyDescent="0.25">
      <c r="A624" s="3" t="s">
        <v>27</v>
      </c>
      <c r="B624" s="3" t="s">
        <v>44</v>
      </c>
      <c r="C624" s="3" t="s">
        <v>23</v>
      </c>
      <c r="D624" s="3" t="s">
        <v>45</v>
      </c>
      <c r="E624" s="3" t="s">
        <v>53</v>
      </c>
      <c r="F624" s="3" t="s">
        <v>55</v>
      </c>
      <c r="G624" s="3" t="s">
        <v>25</v>
      </c>
      <c r="H624" s="3" t="s">
        <v>25</v>
      </c>
      <c r="I624" s="6">
        <v>44593</v>
      </c>
      <c r="J624" s="4">
        <v>0</v>
      </c>
      <c r="K624" s="4">
        <v>0</v>
      </c>
      <c r="L624" s="4">
        <v>0.1</v>
      </c>
      <c r="M624" s="4">
        <v>2.7E-2</v>
      </c>
      <c r="N624" s="4">
        <v>0.1</v>
      </c>
      <c r="O624" s="4">
        <v>2.7E-2</v>
      </c>
      <c r="P624" s="4">
        <v>0</v>
      </c>
      <c r="Q624" s="3" t="s">
        <v>26</v>
      </c>
      <c r="R624" s="3">
        <v>0</v>
      </c>
      <c r="S624" s="3">
        <v>0</v>
      </c>
      <c r="T624" s="3">
        <v>24</v>
      </c>
      <c r="U624" s="3">
        <v>78</v>
      </c>
      <c r="V624" s="4">
        <f>IF(ISERROR(VLOOKUP($S$624,'TAR FIN'!$A$1:$O$99,15,0)),0,VLOOKUP($S$624,'TAR FIN'!$A$1:$O$99,15,0))</f>
        <v>0</v>
      </c>
      <c r="W624" s="4">
        <f>IF(ISERROR(VLOOKUP($T$624,'TAR FIN'!$A$1:$O$99,15,0)),0,VLOOKUP($T$624,'TAR FIN'!$A$1:$O$99,15,0))</f>
        <v>348.11</v>
      </c>
      <c r="X624" s="4">
        <f>IF(ISERROR(VLOOKUP($U$624,'TAR FIN'!$A$1:$O$99,15,0)),0,VLOOKUP($U$624,'TAR FIN'!$A$1:$O$99,15,0))</f>
        <v>202.86</v>
      </c>
      <c r="Y624" s="4"/>
      <c r="Z624" s="4">
        <f ca="1">('TUSD BE'!$AM$44+'TUSD BF'!$AM$44+'TUSD CVA'!$AM$44)*(1-CUSTOS!$M$38)</f>
        <v>438.62226072739548</v>
      </c>
      <c r="AA624" s="4">
        <f>('TE BE'!$AA$26+'TE BF'!$AA$26+'TE CVA'!$AA$26)*(1-CUSTOS!$M$38)</f>
        <v>266.83676082414206</v>
      </c>
      <c r="AB624" s="4">
        <f t="shared" si="26"/>
        <v>0</v>
      </c>
      <c r="AC624" s="4">
        <f>(L624-M624)*(W624+X624)+($W$520+$X$520-$W$624-$X$624)*(L624)</f>
        <v>47.73481000000001</v>
      </c>
      <c r="AD624" s="4">
        <f t="shared" si="27"/>
        <v>0</v>
      </c>
      <c r="AE624" s="4">
        <f ca="1">(L624-M624)*(Z624+AA624)+($Z$520+$AA$520-$Z$624-$AA$624)*(L624)</f>
        <v>56.001438498059294</v>
      </c>
      <c r="AF624" s="3" t="s">
        <v>952</v>
      </c>
    </row>
    <row r="625" spans="1:32" ht="11.25" customHeight="1" x14ac:dyDescent="0.25">
      <c r="A625" s="3" t="s">
        <v>21</v>
      </c>
      <c r="B625" s="3" t="s">
        <v>44</v>
      </c>
      <c r="C625" s="3" t="s">
        <v>23</v>
      </c>
      <c r="D625" s="3" t="s">
        <v>45</v>
      </c>
      <c r="E625" s="3" t="s">
        <v>53</v>
      </c>
      <c r="F625" s="3" t="s">
        <v>55</v>
      </c>
      <c r="G625" s="3" t="s">
        <v>25</v>
      </c>
      <c r="H625" s="3" t="s">
        <v>25</v>
      </c>
      <c r="I625" s="6">
        <v>44621</v>
      </c>
      <c r="J625" s="4">
        <v>0</v>
      </c>
      <c r="K625" s="4">
        <v>0</v>
      </c>
      <c r="L625" s="4">
        <v>85.393000000000001</v>
      </c>
      <c r="M625" s="4">
        <v>23.05611</v>
      </c>
      <c r="N625" s="4">
        <v>85.393000000000001</v>
      </c>
      <c r="O625" s="4">
        <v>23.05611</v>
      </c>
      <c r="P625" s="4">
        <v>0</v>
      </c>
      <c r="Q625" s="3" t="s">
        <v>26</v>
      </c>
      <c r="R625" s="3">
        <v>0</v>
      </c>
      <c r="S625" s="3">
        <v>0</v>
      </c>
      <c r="T625" s="3">
        <v>24</v>
      </c>
      <c r="U625" s="3">
        <v>78</v>
      </c>
      <c r="V625" s="4">
        <f>IF(ISERROR(VLOOKUP($S$625,'TAR FIN'!$A$1:$O$99,15,0)),0,VLOOKUP($S$625,'TAR FIN'!$A$1:$O$99,15,0))</f>
        <v>0</v>
      </c>
      <c r="W625" s="4">
        <f>IF(ISERROR(VLOOKUP($T$625,'TAR FIN'!$A$1:$O$99,15,0)),0,VLOOKUP($T$625,'TAR FIN'!$A$1:$O$99,15,0))</f>
        <v>348.11</v>
      </c>
      <c r="X625" s="4">
        <f>IF(ISERROR(VLOOKUP($U$625,'TAR FIN'!$A$1:$O$99,15,0)),0,VLOOKUP($U$625,'TAR FIN'!$A$1:$O$99,15,0))</f>
        <v>202.86</v>
      </c>
      <c r="Y625" s="4"/>
      <c r="Z625" s="4">
        <f ca="1">('TUSD BE'!$AM$44+'TUSD BF'!$AM$44+'TUSD CVA'!$AM$44)*(1-CUSTOS!$M$38)</f>
        <v>438.62226072739548</v>
      </c>
      <c r="AA625" s="4">
        <f>('TE BE'!$AA$26+'TE BF'!$AA$26+'TE CVA'!$AA$26)*(1-CUSTOS!$M$38)</f>
        <v>266.83676082414206</v>
      </c>
      <c r="AB625" s="4">
        <f t="shared" si="26"/>
        <v>0</v>
      </c>
      <c r="AC625" s="4">
        <f>(L625-M625)*(W625+X625)+($W$520+$X$520-$W$625-$X$625)*(L625)</f>
        <v>40762.186303299997</v>
      </c>
      <c r="AD625" s="4">
        <f t="shared" si="27"/>
        <v>0</v>
      </c>
      <c r="AE625" s="4">
        <f ca="1">(L625-M625)*(Z625+AA625)+($Z$520+$AA$520-$Z$625-$AA$625)*(L625)</f>
        <v>47821.308376647772</v>
      </c>
      <c r="AF625" s="3" t="s">
        <v>952</v>
      </c>
    </row>
    <row r="626" spans="1:32" ht="11.25" customHeight="1" x14ac:dyDescent="0.25">
      <c r="A626" s="3" t="s">
        <v>56</v>
      </c>
      <c r="B626" s="3" t="s">
        <v>44</v>
      </c>
      <c r="C626" s="3" t="s">
        <v>23</v>
      </c>
      <c r="D626" s="3" t="s">
        <v>45</v>
      </c>
      <c r="E626" s="3" t="s">
        <v>53</v>
      </c>
      <c r="F626" s="3" t="s">
        <v>55</v>
      </c>
      <c r="G626" s="3" t="s">
        <v>25</v>
      </c>
      <c r="H626" s="3" t="s">
        <v>25</v>
      </c>
      <c r="I626" s="6">
        <v>44652</v>
      </c>
      <c r="J626" s="4">
        <v>0</v>
      </c>
      <c r="K626" s="4">
        <v>0</v>
      </c>
      <c r="L626" s="4">
        <v>85.393000000000001</v>
      </c>
      <c r="M626" s="4">
        <v>23.05611</v>
      </c>
      <c r="N626" s="4">
        <v>85.393000000000001</v>
      </c>
      <c r="O626" s="4">
        <v>23.05611</v>
      </c>
      <c r="P626" s="4">
        <v>0</v>
      </c>
      <c r="Q626" s="3" t="s">
        <v>26</v>
      </c>
      <c r="R626" s="3">
        <v>0</v>
      </c>
      <c r="S626" s="3">
        <v>0</v>
      </c>
      <c r="T626" s="3">
        <v>24</v>
      </c>
      <c r="U626" s="3">
        <v>78</v>
      </c>
      <c r="V626" s="4">
        <f>IF(ISERROR(VLOOKUP($S$626,'TAR FIN'!$A$1:$O$99,15,0)),0,VLOOKUP($S$626,'TAR FIN'!$A$1:$O$99,15,0))</f>
        <v>0</v>
      </c>
      <c r="W626" s="4">
        <f>IF(ISERROR(VLOOKUP($T$626,'TAR FIN'!$A$1:$O$99,15,0)),0,VLOOKUP($T$626,'TAR FIN'!$A$1:$O$99,15,0))</f>
        <v>348.11</v>
      </c>
      <c r="X626" s="4">
        <f>IF(ISERROR(VLOOKUP($U$626,'TAR FIN'!$A$1:$O$99,15,0)),0,VLOOKUP($U$626,'TAR FIN'!$A$1:$O$99,15,0))</f>
        <v>202.86</v>
      </c>
      <c r="Y626" s="4"/>
      <c r="Z626" s="4">
        <f ca="1">('TUSD BE'!$AM$44+'TUSD BF'!$AM$44+'TUSD CVA'!$AM$44)*(1-CUSTOS!$M$38)</f>
        <v>438.62226072739548</v>
      </c>
      <c r="AA626" s="4">
        <f>('TE BE'!$AA$26+'TE BF'!$AA$26+'TE CVA'!$AA$26)*(1-CUSTOS!$M$38)</f>
        <v>266.83676082414206</v>
      </c>
      <c r="AB626" s="4">
        <f t="shared" si="26"/>
        <v>0</v>
      </c>
      <c r="AC626" s="4">
        <f>(L626-M626)*(W626+X626)+($W$520+$X$520-$W$626-$X$626)*(L626)</f>
        <v>40762.186303299997</v>
      </c>
      <c r="AD626" s="4">
        <f t="shared" si="27"/>
        <v>0</v>
      </c>
      <c r="AE626" s="4">
        <f ca="1">(L626-M626)*(Z626+AA626)+($Z$520+$AA$520-$Z$626-$AA$626)*(L626)</f>
        <v>47821.308376647772</v>
      </c>
      <c r="AF626" s="3" t="s">
        <v>952</v>
      </c>
    </row>
    <row r="627" spans="1:32" ht="11.25" customHeight="1" x14ac:dyDescent="0.25">
      <c r="A627" s="3" t="s">
        <v>21</v>
      </c>
      <c r="B627" s="3" t="s">
        <v>44</v>
      </c>
      <c r="C627" s="3" t="s">
        <v>23</v>
      </c>
      <c r="D627" s="3" t="s">
        <v>45</v>
      </c>
      <c r="E627" s="3" t="s">
        <v>25</v>
      </c>
      <c r="F627" s="3" t="s">
        <v>25</v>
      </c>
      <c r="G627" s="3" t="s">
        <v>25</v>
      </c>
      <c r="H627" s="3" t="s">
        <v>25</v>
      </c>
      <c r="I627" s="6">
        <v>44317</v>
      </c>
      <c r="J627" s="4">
        <v>0</v>
      </c>
      <c r="K627" s="4">
        <v>0</v>
      </c>
      <c r="L627" s="4">
        <v>5510.0290000000005</v>
      </c>
      <c r="M627" s="4">
        <v>5510.0290000000005</v>
      </c>
      <c r="N627" s="4">
        <v>5510.0290000000005</v>
      </c>
      <c r="O627" s="4">
        <v>5510.0290000000005</v>
      </c>
      <c r="P627" s="4">
        <v>33405</v>
      </c>
      <c r="Q627" s="3" t="s">
        <v>26</v>
      </c>
      <c r="R627" s="3">
        <v>0</v>
      </c>
      <c r="S627" s="3">
        <v>0</v>
      </c>
      <c r="T627" s="3">
        <v>37</v>
      </c>
      <c r="U627" s="3">
        <v>78</v>
      </c>
      <c r="V627" s="4">
        <f>IF(ISERROR(VLOOKUP($S$627,'TAR FIN'!$A$1:$O$99,15,0)),0,VLOOKUP($S$627,'TAR FIN'!$A$1:$O$99,15,0))</f>
        <v>0</v>
      </c>
      <c r="W627" s="4">
        <f>IF(ISERROR(VLOOKUP($T$627,'TAR FIN'!$A$1:$O$99,15,0)),0,VLOOKUP($T$627,'TAR FIN'!$A$1:$O$99,15,0))</f>
        <v>348.11</v>
      </c>
      <c r="X627" s="4">
        <f>IF(ISERROR(VLOOKUP($U$627,'TAR FIN'!$A$1:$O$99,15,0)),0,VLOOKUP($U$627,'TAR FIN'!$A$1:$O$99,15,0))</f>
        <v>202.86</v>
      </c>
      <c r="Y627" s="4"/>
      <c r="Z627" s="4">
        <f ca="1">('TUSD BE'!$AM$44+'TUSD BF'!$AM$44+'TUSD CVA'!$AM$44)*(1-CUSTOS!$M$38)</f>
        <v>438.62226072739548</v>
      </c>
      <c r="AA627" s="4">
        <f>('TE BE'!$AA$26+'TE BF'!$AA$26+'TE CVA'!$AA$26)*(1-CUSTOS!$M$38)</f>
        <v>266.83676082414206</v>
      </c>
      <c r="AB627" s="4">
        <f t="shared" si="26"/>
        <v>0</v>
      </c>
      <c r="AC627" s="4">
        <f>(L627-M627)*(W627+X627)+($W$520+$X$520-$W$627-$X$627)*(L627)</f>
        <v>414023.57905999996</v>
      </c>
      <c r="AD627" s="4">
        <f t="shared" si="27"/>
        <v>0</v>
      </c>
      <c r="AE627" s="4">
        <f ca="1">(L627-M627)*(Z627+AA627)+($Z$520+$AA$520-$Z$627-$AA$627)*(L627)</f>
        <v>248112.74470599581</v>
      </c>
      <c r="AF627" s="3" t="s">
        <v>951</v>
      </c>
    </row>
    <row r="628" spans="1:32" ht="11.25" customHeight="1" x14ac:dyDescent="0.25">
      <c r="A628" s="3" t="s">
        <v>27</v>
      </c>
      <c r="B628" s="3" t="s">
        <v>44</v>
      </c>
      <c r="C628" s="3" t="s">
        <v>23</v>
      </c>
      <c r="D628" s="3" t="s">
        <v>45</v>
      </c>
      <c r="E628" s="3" t="s">
        <v>25</v>
      </c>
      <c r="F628" s="3" t="s">
        <v>25</v>
      </c>
      <c r="G628" s="3" t="s">
        <v>25</v>
      </c>
      <c r="H628" s="3" t="s">
        <v>25</v>
      </c>
      <c r="I628" s="6">
        <v>44317</v>
      </c>
      <c r="J628" s="4">
        <v>0</v>
      </c>
      <c r="K628" s="4">
        <v>0</v>
      </c>
      <c r="L628" s="4">
        <v>147.43600000000001</v>
      </c>
      <c r="M628" s="4">
        <v>147.43600000000001</v>
      </c>
      <c r="N628" s="4">
        <v>147.43600000000001</v>
      </c>
      <c r="O628" s="4">
        <v>147.43600000000001</v>
      </c>
      <c r="P628" s="4">
        <v>-141</v>
      </c>
      <c r="Q628" s="3" t="s">
        <v>26</v>
      </c>
      <c r="R628" s="3">
        <v>0</v>
      </c>
      <c r="S628" s="3">
        <v>0</v>
      </c>
      <c r="T628" s="3">
        <v>37</v>
      </c>
      <c r="U628" s="3">
        <v>78</v>
      </c>
      <c r="V628" s="4">
        <f>IF(ISERROR(VLOOKUP($S$628,'TAR FIN'!$A$1:$O$99,15,0)),0,VLOOKUP($S$628,'TAR FIN'!$A$1:$O$99,15,0))</f>
        <v>0</v>
      </c>
      <c r="W628" s="4">
        <f>IF(ISERROR(VLOOKUP($T$628,'TAR FIN'!$A$1:$O$99,15,0)),0,VLOOKUP($T$628,'TAR FIN'!$A$1:$O$99,15,0))</f>
        <v>348.11</v>
      </c>
      <c r="X628" s="4">
        <f>IF(ISERROR(VLOOKUP($U$628,'TAR FIN'!$A$1:$O$99,15,0)),0,VLOOKUP($U$628,'TAR FIN'!$A$1:$O$99,15,0))</f>
        <v>202.86</v>
      </c>
      <c r="Y628" s="4"/>
      <c r="Z628" s="4">
        <f ca="1">('TUSD BE'!$AM$44+'TUSD BF'!$AM$44+'TUSD CVA'!$AM$44)*(1-CUSTOS!$M$38)</f>
        <v>438.62226072739548</v>
      </c>
      <c r="AA628" s="4">
        <f>('TE BE'!$AA$26+'TE BF'!$AA$26+'TE CVA'!$AA$26)*(1-CUSTOS!$M$38)</f>
        <v>266.83676082414206</v>
      </c>
      <c r="AB628" s="4">
        <f t="shared" si="26"/>
        <v>0</v>
      </c>
      <c r="AC628" s="4">
        <f>(L628-M628)*(W628+X628)+($W$520+$X$520-$W$628-$X$628)*(L628)</f>
        <v>11078.341039999999</v>
      </c>
      <c r="AD628" s="4">
        <f t="shared" si="27"/>
        <v>0</v>
      </c>
      <c r="AE628" s="4">
        <f ca="1">(L628-M628)*(Z628+AA628)+($Z$520+$AA$520-$Z$628-$AA$628)*(L628)</f>
        <v>6638.9397639237832</v>
      </c>
      <c r="AF628" s="3" t="s">
        <v>951</v>
      </c>
    </row>
    <row r="629" spans="1:32" ht="11.25" customHeight="1" x14ac:dyDescent="0.25">
      <c r="A629" s="3" t="s">
        <v>28</v>
      </c>
      <c r="B629" s="3" t="s">
        <v>44</v>
      </c>
      <c r="C629" s="3" t="s">
        <v>23</v>
      </c>
      <c r="D629" s="3" t="s">
        <v>45</v>
      </c>
      <c r="E629" s="3" t="s">
        <v>25</v>
      </c>
      <c r="F629" s="3" t="s">
        <v>25</v>
      </c>
      <c r="G629" s="3" t="s">
        <v>25</v>
      </c>
      <c r="H629" s="3" t="s">
        <v>25</v>
      </c>
      <c r="I629" s="6">
        <v>44317</v>
      </c>
      <c r="J629" s="4">
        <v>0</v>
      </c>
      <c r="K629" s="4">
        <v>0</v>
      </c>
      <c r="L629" s="4">
        <v>65.212999999999994</v>
      </c>
      <c r="M629" s="4">
        <v>65.212999999999994</v>
      </c>
      <c r="N629" s="4">
        <v>65.212999999999994</v>
      </c>
      <c r="O629" s="4">
        <v>65.212999999999994</v>
      </c>
      <c r="P629" s="4">
        <v>145</v>
      </c>
      <c r="Q629" s="3" t="s">
        <v>26</v>
      </c>
      <c r="R629" s="3">
        <v>0</v>
      </c>
      <c r="S629" s="3">
        <v>0</v>
      </c>
      <c r="T629" s="3">
        <v>37</v>
      </c>
      <c r="U629" s="3">
        <v>78</v>
      </c>
      <c r="V629" s="4">
        <f>IF(ISERROR(VLOOKUP($S$629,'TAR FIN'!$A$1:$O$99,15,0)),0,VLOOKUP($S$629,'TAR FIN'!$A$1:$O$99,15,0))</f>
        <v>0</v>
      </c>
      <c r="W629" s="4">
        <f>IF(ISERROR(VLOOKUP($T$629,'TAR FIN'!$A$1:$O$99,15,0)),0,VLOOKUP($T$629,'TAR FIN'!$A$1:$O$99,15,0))</f>
        <v>348.11</v>
      </c>
      <c r="X629" s="4">
        <f>IF(ISERROR(VLOOKUP($U$629,'TAR FIN'!$A$1:$O$99,15,0)),0,VLOOKUP($U$629,'TAR FIN'!$A$1:$O$99,15,0))</f>
        <v>202.86</v>
      </c>
      <c r="Y629" s="4"/>
      <c r="Z629" s="4">
        <f ca="1">('TUSD BE'!$AM$44+'TUSD BF'!$AM$44+'TUSD CVA'!$AM$44)*(1-CUSTOS!$M$38)</f>
        <v>438.62226072739548</v>
      </c>
      <c r="AA629" s="4">
        <f>('TE BE'!$AA$26+'TE BF'!$AA$26+'TE CVA'!$AA$26)*(1-CUSTOS!$M$38)</f>
        <v>266.83676082414206</v>
      </c>
      <c r="AB629" s="4">
        <f t="shared" si="26"/>
        <v>0</v>
      </c>
      <c r="AC629" s="4">
        <f>(L629-M629)*(W629+X629)+($W$520+$X$520-$W$629-$X$629)*(L629)</f>
        <v>4900.1048199999987</v>
      </c>
      <c r="AD629" s="4">
        <f t="shared" si="27"/>
        <v>0</v>
      </c>
      <c r="AE629" s="4">
        <f ca="1">(L629-M629)*(Z629+AA629)+($Z$520+$AA$520-$Z$629-$AA$629)*(L629)</f>
        <v>2936.4956918579019</v>
      </c>
      <c r="AF629" s="3" t="s">
        <v>951</v>
      </c>
    </row>
    <row r="630" spans="1:32" ht="11.25" customHeight="1" x14ac:dyDescent="0.25">
      <c r="A630" s="3" t="s">
        <v>21</v>
      </c>
      <c r="B630" s="3" t="s">
        <v>44</v>
      </c>
      <c r="C630" s="3" t="s">
        <v>23</v>
      </c>
      <c r="D630" s="3" t="s">
        <v>45</v>
      </c>
      <c r="E630" s="3" t="s">
        <v>25</v>
      </c>
      <c r="F630" s="3" t="s">
        <v>25</v>
      </c>
      <c r="G630" s="3" t="s">
        <v>25</v>
      </c>
      <c r="H630" s="3" t="s">
        <v>25</v>
      </c>
      <c r="I630" s="6">
        <v>44348</v>
      </c>
      <c r="J630" s="4">
        <v>0</v>
      </c>
      <c r="K630" s="4">
        <v>0</v>
      </c>
      <c r="L630" s="4">
        <v>4772.8140000000003</v>
      </c>
      <c r="M630" s="4">
        <v>4772.8140000000003</v>
      </c>
      <c r="N630" s="4">
        <v>4772.8140000000003</v>
      </c>
      <c r="O630" s="4">
        <v>4772.8140000000003</v>
      </c>
      <c r="P630" s="4">
        <v>34326</v>
      </c>
      <c r="Q630" s="3" t="s">
        <v>26</v>
      </c>
      <c r="R630" s="3">
        <v>0</v>
      </c>
      <c r="S630" s="3">
        <v>0</v>
      </c>
      <c r="T630" s="3">
        <v>37</v>
      </c>
      <c r="U630" s="3">
        <v>78</v>
      </c>
      <c r="V630" s="4">
        <f>IF(ISERROR(VLOOKUP($S$630,'TAR FIN'!$A$1:$O$99,15,0)),0,VLOOKUP($S$630,'TAR FIN'!$A$1:$O$99,15,0))</f>
        <v>0</v>
      </c>
      <c r="W630" s="4">
        <f>IF(ISERROR(VLOOKUP($T$630,'TAR FIN'!$A$1:$O$99,15,0)),0,VLOOKUP($T$630,'TAR FIN'!$A$1:$O$99,15,0))</f>
        <v>348.11</v>
      </c>
      <c r="X630" s="4">
        <f>IF(ISERROR(VLOOKUP($U$630,'TAR FIN'!$A$1:$O$99,15,0)),0,VLOOKUP($U$630,'TAR FIN'!$A$1:$O$99,15,0))</f>
        <v>202.86</v>
      </c>
      <c r="Y630" s="4"/>
      <c r="Z630" s="4">
        <f ca="1">('TUSD BE'!$AM$44+'TUSD BF'!$AM$44+'TUSD CVA'!$AM$44)*(1-CUSTOS!$M$38)</f>
        <v>438.62226072739548</v>
      </c>
      <c r="AA630" s="4">
        <f>('TE BE'!$AA$26+'TE BF'!$AA$26+'TE CVA'!$AA$26)*(1-CUSTOS!$M$38)</f>
        <v>266.83676082414206</v>
      </c>
      <c r="AB630" s="4">
        <f t="shared" si="26"/>
        <v>0</v>
      </c>
      <c r="AC630" s="4">
        <f>(L630-M630)*(W630+X630)+($W$520+$X$520-$W$630-$X$630)*(L630)</f>
        <v>358629.24395999993</v>
      </c>
      <c r="AD630" s="4">
        <f t="shared" si="27"/>
        <v>0</v>
      </c>
      <c r="AE630" s="4">
        <f ca="1">(L630-M630)*(Z630+AA630)+($Z$520+$AA$520-$Z$630-$AA$630)*(L630)</f>
        <v>214916.46986090322</v>
      </c>
      <c r="AF630" s="3" t="s">
        <v>951</v>
      </c>
    </row>
    <row r="631" spans="1:32" ht="11.25" customHeight="1" x14ac:dyDescent="0.25">
      <c r="A631" s="3" t="s">
        <v>27</v>
      </c>
      <c r="B631" s="3" t="s">
        <v>44</v>
      </c>
      <c r="C631" s="3" t="s">
        <v>23</v>
      </c>
      <c r="D631" s="3" t="s">
        <v>45</v>
      </c>
      <c r="E631" s="3" t="s">
        <v>25</v>
      </c>
      <c r="F631" s="3" t="s">
        <v>25</v>
      </c>
      <c r="G631" s="3" t="s">
        <v>25</v>
      </c>
      <c r="H631" s="3" t="s">
        <v>25</v>
      </c>
      <c r="I631" s="6">
        <v>44348</v>
      </c>
      <c r="J631" s="4">
        <v>0</v>
      </c>
      <c r="K631" s="4">
        <v>0</v>
      </c>
      <c r="L631" s="4">
        <v>-671.23400000000004</v>
      </c>
      <c r="M631" s="4">
        <v>-671.23400000000004</v>
      </c>
      <c r="N631" s="4">
        <v>-671.23400000000004</v>
      </c>
      <c r="O631" s="4">
        <v>-671.23400000000004</v>
      </c>
      <c r="P631" s="4">
        <v>-265</v>
      </c>
      <c r="Q631" s="3" t="s">
        <v>26</v>
      </c>
      <c r="R631" s="3">
        <v>0</v>
      </c>
      <c r="S631" s="3">
        <v>0</v>
      </c>
      <c r="T631" s="3">
        <v>37</v>
      </c>
      <c r="U631" s="3">
        <v>78</v>
      </c>
      <c r="V631" s="4">
        <f>IF(ISERROR(VLOOKUP($S$631,'TAR FIN'!$A$1:$O$99,15,0)),0,VLOOKUP($S$631,'TAR FIN'!$A$1:$O$99,15,0))</f>
        <v>0</v>
      </c>
      <c r="W631" s="4">
        <f>IF(ISERROR(VLOOKUP($T$631,'TAR FIN'!$A$1:$O$99,15,0)),0,VLOOKUP($T$631,'TAR FIN'!$A$1:$O$99,15,0))</f>
        <v>348.11</v>
      </c>
      <c r="X631" s="4">
        <f>IF(ISERROR(VLOOKUP($U$631,'TAR FIN'!$A$1:$O$99,15,0)),0,VLOOKUP($U$631,'TAR FIN'!$A$1:$O$99,15,0))</f>
        <v>202.86</v>
      </c>
      <c r="Y631" s="4"/>
      <c r="Z631" s="4">
        <f ca="1">('TUSD BE'!$AM$44+'TUSD BF'!$AM$44+'TUSD CVA'!$AM$44)*(1-CUSTOS!$M$38)</f>
        <v>438.62226072739548</v>
      </c>
      <c r="AA631" s="4">
        <f>('TE BE'!$AA$26+'TE BF'!$AA$26+'TE CVA'!$AA$26)*(1-CUSTOS!$M$38)</f>
        <v>266.83676082414206</v>
      </c>
      <c r="AB631" s="4">
        <f t="shared" si="26"/>
        <v>0</v>
      </c>
      <c r="AC631" s="4">
        <f>(L631-M631)*(W631+X631)+($W$520+$X$520-$W$631-$X$631)*(L631)</f>
        <v>-50436.522759999993</v>
      </c>
      <c r="AD631" s="4">
        <f t="shared" si="27"/>
        <v>0</v>
      </c>
      <c r="AE631" s="4">
        <f ca="1">(L631-M631)*(Z631+AA631)+($Z$520+$AA$520-$Z$631-$AA$631)*(L631)</f>
        <v>-30225.196651412251</v>
      </c>
      <c r="AF631" s="3" t="s">
        <v>951</v>
      </c>
    </row>
    <row r="632" spans="1:32" ht="11.25" customHeight="1" x14ac:dyDescent="0.25">
      <c r="A632" s="3" t="s">
        <v>28</v>
      </c>
      <c r="B632" s="3" t="s">
        <v>44</v>
      </c>
      <c r="C632" s="3" t="s">
        <v>23</v>
      </c>
      <c r="D632" s="3" t="s">
        <v>45</v>
      </c>
      <c r="E632" s="3" t="s">
        <v>25</v>
      </c>
      <c r="F632" s="3" t="s">
        <v>25</v>
      </c>
      <c r="G632" s="3" t="s">
        <v>25</v>
      </c>
      <c r="H632" s="3" t="s">
        <v>25</v>
      </c>
      <c r="I632" s="6">
        <v>44348</v>
      </c>
      <c r="J632" s="4">
        <v>0</v>
      </c>
      <c r="K632" s="4">
        <v>0</v>
      </c>
      <c r="L632" s="4">
        <v>66.16</v>
      </c>
      <c r="M632" s="4">
        <v>66.16</v>
      </c>
      <c r="N632" s="4">
        <v>66.16</v>
      </c>
      <c r="O632" s="4">
        <v>66.16</v>
      </c>
      <c r="P632" s="4">
        <v>153</v>
      </c>
      <c r="Q632" s="3" t="s">
        <v>26</v>
      </c>
      <c r="R632" s="3">
        <v>0</v>
      </c>
      <c r="S632" s="3">
        <v>0</v>
      </c>
      <c r="T632" s="3">
        <v>37</v>
      </c>
      <c r="U632" s="3">
        <v>78</v>
      </c>
      <c r="V632" s="4">
        <f>IF(ISERROR(VLOOKUP($S$632,'TAR FIN'!$A$1:$O$99,15,0)),0,VLOOKUP($S$632,'TAR FIN'!$A$1:$O$99,15,0))</f>
        <v>0</v>
      </c>
      <c r="W632" s="4">
        <f>IF(ISERROR(VLOOKUP($T$632,'TAR FIN'!$A$1:$O$99,15,0)),0,VLOOKUP($T$632,'TAR FIN'!$A$1:$O$99,15,0))</f>
        <v>348.11</v>
      </c>
      <c r="X632" s="4">
        <f>IF(ISERROR(VLOOKUP($U$632,'TAR FIN'!$A$1:$O$99,15,0)),0,VLOOKUP($U$632,'TAR FIN'!$A$1:$O$99,15,0))</f>
        <v>202.86</v>
      </c>
      <c r="Y632" s="4"/>
      <c r="Z632" s="4">
        <f ca="1">('TUSD BE'!$AM$44+'TUSD BF'!$AM$44+'TUSD CVA'!$AM$44)*(1-CUSTOS!$M$38)</f>
        <v>438.62226072739548</v>
      </c>
      <c r="AA632" s="4">
        <f>('TE BE'!$AA$26+'TE BF'!$AA$26+'TE CVA'!$AA$26)*(1-CUSTOS!$M$38)</f>
        <v>266.83676082414206</v>
      </c>
      <c r="AB632" s="4">
        <f t="shared" si="26"/>
        <v>0</v>
      </c>
      <c r="AC632" s="4">
        <f>(L632-M632)*(W632+X632)+($W$520+$X$520-$W$632-$X$632)*(L632)</f>
        <v>4971.2623999999987</v>
      </c>
      <c r="AD632" s="4">
        <f t="shared" si="27"/>
        <v>0</v>
      </c>
      <c r="AE632" s="4">
        <f ca="1">(L632-M632)*(Z632+AA632)+($Z$520+$AA$520-$Z$632-$AA$632)*(L632)</f>
        <v>2979.13843824573</v>
      </c>
      <c r="AF632" s="3" t="s">
        <v>951</v>
      </c>
    </row>
    <row r="633" spans="1:32" ht="11.25" customHeight="1" x14ac:dyDescent="0.25">
      <c r="A633" s="3" t="s">
        <v>21</v>
      </c>
      <c r="B633" s="3" t="s">
        <v>44</v>
      </c>
      <c r="C633" s="3" t="s">
        <v>23</v>
      </c>
      <c r="D633" s="3" t="s">
        <v>45</v>
      </c>
      <c r="E633" s="3" t="s">
        <v>25</v>
      </c>
      <c r="F633" s="3" t="s">
        <v>25</v>
      </c>
      <c r="G633" s="3" t="s">
        <v>25</v>
      </c>
      <c r="H633" s="3" t="s">
        <v>25</v>
      </c>
      <c r="I633" s="6">
        <v>44378</v>
      </c>
      <c r="J633" s="4">
        <v>0</v>
      </c>
      <c r="K633" s="4">
        <v>0</v>
      </c>
      <c r="L633" s="4">
        <v>4605.8450000000003</v>
      </c>
      <c r="M633" s="4">
        <v>4605.8450000000003</v>
      </c>
      <c r="N633" s="4">
        <v>4605.8450000000003</v>
      </c>
      <c r="O633" s="4">
        <v>4605.8450000000003</v>
      </c>
      <c r="P633" s="4">
        <v>34905</v>
      </c>
      <c r="Q633" s="3" t="s">
        <v>26</v>
      </c>
      <c r="R633" s="3">
        <v>0</v>
      </c>
      <c r="S633" s="3">
        <v>0</v>
      </c>
      <c r="T633" s="3">
        <v>37</v>
      </c>
      <c r="U633" s="3">
        <v>78</v>
      </c>
      <c r="V633" s="4">
        <f>IF(ISERROR(VLOOKUP($S$633,'TAR FIN'!$A$1:$O$99,15,0)),0,VLOOKUP($S$633,'TAR FIN'!$A$1:$O$99,15,0))</f>
        <v>0</v>
      </c>
      <c r="W633" s="4">
        <f>IF(ISERROR(VLOOKUP($T$633,'TAR FIN'!$A$1:$O$99,15,0)),0,VLOOKUP($T$633,'TAR FIN'!$A$1:$O$99,15,0))</f>
        <v>348.11</v>
      </c>
      <c r="X633" s="4">
        <f>IF(ISERROR(VLOOKUP($U$633,'TAR FIN'!$A$1:$O$99,15,0)),0,VLOOKUP($U$633,'TAR FIN'!$A$1:$O$99,15,0))</f>
        <v>202.86</v>
      </c>
      <c r="Y633" s="4"/>
      <c r="Z633" s="4">
        <f ca="1">('TUSD BE'!$AM$44+'TUSD BF'!$AM$44+'TUSD CVA'!$AM$44)*(1-CUSTOS!$M$38)</f>
        <v>438.62226072739548</v>
      </c>
      <c r="AA633" s="4">
        <f>('TE BE'!$AA$26+'TE BF'!$AA$26+'TE CVA'!$AA$26)*(1-CUSTOS!$M$38)</f>
        <v>266.83676082414206</v>
      </c>
      <c r="AB633" s="4">
        <f t="shared" si="26"/>
        <v>0</v>
      </c>
      <c r="AC633" s="4">
        <f>(L633-M633)*(W633+X633)+($W$520+$X$520-$W$633-$X$633)*(L633)</f>
        <v>346083.19329999998</v>
      </c>
      <c r="AD633" s="4">
        <f t="shared" si="27"/>
        <v>0</v>
      </c>
      <c r="AE633" s="4">
        <f ca="1">(L633-M633)*(Z633+AA633)+($Z$520+$AA$520-$Z$633-$AA$633)*(L633)</f>
        <v>207397.97279476884</v>
      </c>
      <c r="AF633" s="3" t="s">
        <v>951</v>
      </c>
    </row>
    <row r="634" spans="1:32" ht="11.25" customHeight="1" x14ac:dyDescent="0.25">
      <c r="A634" s="3" t="s">
        <v>27</v>
      </c>
      <c r="B634" s="3" t="s">
        <v>44</v>
      </c>
      <c r="C634" s="3" t="s">
        <v>23</v>
      </c>
      <c r="D634" s="3" t="s">
        <v>45</v>
      </c>
      <c r="E634" s="3" t="s">
        <v>25</v>
      </c>
      <c r="F634" s="3" t="s">
        <v>25</v>
      </c>
      <c r="G634" s="3" t="s">
        <v>25</v>
      </c>
      <c r="H634" s="3" t="s">
        <v>25</v>
      </c>
      <c r="I634" s="6">
        <v>44378</v>
      </c>
      <c r="J634" s="4">
        <v>0</v>
      </c>
      <c r="K634" s="4">
        <v>0</v>
      </c>
      <c r="L634" s="4">
        <v>-78.144000000000005</v>
      </c>
      <c r="M634" s="4">
        <v>-78.144000000000005</v>
      </c>
      <c r="N634" s="4">
        <v>-78.144000000000005</v>
      </c>
      <c r="O634" s="4">
        <v>-78.144000000000005</v>
      </c>
      <c r="P634" s="4">
        <v>-106</v>
      </c>
      <c r="Q634" s="3" t="s">
        <v>26</v>
      </c>
      <c r="R634" s="3">
        <v>0</v>
      </c>
      <c r="S634" s="3">
        <v>0</v>
      </c>
      <c r="T634" s="3">
        <v>37</v>
      </c>
      <c r="U634" s="3">
        <v>78</v>
      </c>
      <c r="V634" s="4">
        <f>IF(ISERROR(VLOOKUP($S$634,'TAR FIN'!$A$1:$O$99,15,0)),0,VLOOKUP($S$634,'TAR FIN'!$A$1:$O$99,15,0))</f>
        <v>0</v>
      </c>
      <c r="W634" s="4">
        <f>IF(ISERROR(VLOOKUP($T$634,'TAR FIN'!$A$1:$O$99,15,0)),0,VLOOKUP($T$634,'TAR FIN'!$A$1:$O$99,15,0))</f>
        <v>348.11</v>
      </c>
      <c r="X634" s="4">
        <f>IF(ISERROR(VLOOKUP($U$634,'TAR FIN'!$A$1:$O$99,15,0)),0,VLOOKUP($U$634,'TAR FIN'!$A$1:$O$99,15,0))</f>
        <v>202.86</v>
      </c>
      <c r="Y634" s="4"/>
      <c r="Z634" s="4">
        <f ca="1">('TUSD BE'!$AM$44+'TUSD BF'!$AM$44+'TUSD CVA'!$AM$44)*(1-CUSTOS!$M$38)</f>
        <v>438.62226072739548</v>
      </c>
      <c r="AA634" s="4">
        <f>('TE BE'!$AA$26+'TE BF'!$AA$26+'TE CVA'!$AA$26)*(1-CUSTOS!$M$38)</f>
        <v>266.83676082414206</v>
      </c>
      <c r="AB634" s="4">
        <f t="shared" si="26"/>
        <v>0</v>
      </c>
      <c r="AC634" s="4">
        <f>(L634-M634)*(W634+X634)+($W$520+$X$520-$W$634-$X$634)*(L634)</f>
        <v>-5871.7401599999994</v>
      </c>
      <c r="AD634" s="4">
        <f t="shared" si="27"/>
        <v>0</v>
      </c>
      <c r="AE634" s="4">
        <f ca="1">(L634-M634)*(Z634+AA634)+($Z$520+$AA$520-$Z$634-$AA$634)*(L634)</f>
        <v>-3518.769560433409</v>
      </c>
      <c r="AF634" s="3" t="s">
        <v>951</v>
      </c>
    </row>
    <row r="635" spans="1:32" ht="11.25" customHeight="1" x14ac:dyDescent="0.25">
      <c r="A635" s="3" t="s">
        <v>28</v>
      </c>
      <c r="B635" s="3" t="s">
        <v>44</v>
      </c>
      <c r="C635" s="3" t="s">
        <v>23</v>
      </c>
      <c r="D635" s="3" t="s">
        <v>45</v>
      </c>
      <c r="E635" s="3" t="s">
        <v>25</v>
      </c>
      <c r="F635" s="3" t="s">
        <v>25</v>
      </c>
      <c r="G635" s="3" t="s">
        <v>25</v>
      </c>
      <c r="H635" s="3" t="s">
        <v>25</v>
      </c>
      <c r="I635" s="6">
        <v>44378</v>
      </c>
      <c r="J635" s="4">
        <v>0</v>
      </c>
      <c r="K635" s="4">
        <v>0</v>
      </c>
      <c r="L635" s="4">
        <v>59.048999999999999</v>
      </c>
      <c r="M635" s="4">
        <v>59.048999999999999</v>
      </c>
      <c r="N635" s="4">
        <v>59.048999999999999</v>
      </c>
      <c r="O635" s="4">
        <v>59.048999999999999</v>
      </c>
      <c r="P635" s="4">
        <v>163</v>
      </c>
      <c r="Q635" s="3" t="s">
        <v>26</v>
      </c>
      <c r="R635" s="3">
        <v>0</v>
      </c>
      <c r="S635" s="3">
        <v>0</v>
      </c>
      <c r="T635" s="3">
        <v>37</v>
      </c>
      <c r="U635" s="3">
        <v>78</v>
      </c>
      <c r="V635" s="4">
        <f>IF(ISERROR(VLOOKUP($S$635,'TAR FIN'!$A$1:$O$99,15,0)),0,VLOOKUP($S$635,'TAR FIN'!$A$1:$O$99,15,0))</f>
        <v>0</v>
      </c>
      <c r="W635" s="4">
        <f>IF(ISERROR(VLOOKUP($T$635,'TAR FIN'!$A$1:$O$99,15,0)),0,VLOOKUP($T$635,'TAR FIN'!$A$1:$O$99,15,0))</f>
        <v>348.11</v>
      </c>
      <c r="X635" s="4">
        <f>IF(ISERROR(VLOOKUP($U$635,'TAR FIN'!$A$1:$O$99,15,0)),0,VLOOKUP($U$635,'TAR FIN'!$A$1:$O$99,15,0))</f>
        <v>202.86</v>
      </c>
      <c r="Y635" s="4"/>
      <c r="Z635" s="4">
        <f ca="1">('TUSD BE'!$AM$44+'TUSD BF'!$AM$44+'TUSD CVA'!$AM$44)*(1-CUSTOS!$M$38)</f>
        <v>438.62226072739548</v>
      </c>
      <c r="AA635" s="4">
        <f>('TE BE'!$AA$26+'TE BF'!$AA$26+'TE CVA'!$AA$26)*(1-CUSTOS!$M$38)</f>
        <v>266.83676082414206</v>
      </c>
      <c r="AB635" s="4">
        <f t="shared" si="26"/>
        <v>0</v>
      </c>
      <c r="AC635" s="4">
        <f>(L635-M635)*(W635+X635)+($W$520+$X$520-$W$635-$X$635)*(L635)</f>
        <v>4436.941859999999</v>
      </c>
      <c r="AD635" s="4">
        <f t="shared" si="27"/>
        <v>0</v>
      </c>
      <c r="AE635" s="4">
        <f ca="1">(L635-M635)*(Z635+AA635)+($Z$520+$AA$520-$Z$635-$AA$635)*(L635)</f>
        <v>2658.9350912934115</v>
      </c>
      <c r="AF635" s="3" t="s">
        <v>951</v>
      </c>
    </row>
    <row r="636" spans="1:32" ht="11.25" customHeight="1" x14ac:dyDescent="0.25">
      <c r="A636" s="3" t="s">
        <v>28</v>
      </c>
      <c r="B636" s="3" t="s">
        <v>44</v>
      </c>
      <c r="C636" s="3" t="s">
        <v>23</v>
      </c>
      <c r="D636" s="3" t="s">
        <v>45</v>
      </c>
      <c r="E636" s="3" t="s">
        <v>25</v>
      </c>
      <c r="F636" s="3" t="s">
        <v>25</v>
      </c>
      <c r="G636" s="3" t="s">
        <v>25</v>
      </c>
      <c r="H636" s="3" t="s">
        <v>25</v>
      </c>
      <c r="I636" s="6">
        <v>44378</v>
      </c>
      <c r="J636" s="4">
        <v>0</v>
      </c>
      <c r="K636" s="4">
        <v>0</v>
      </c>
      <c r="L636" s="4">
        <v>1.486</v>
      </c>
      <c r="M636" s="4">
        <v>1.486</v>
      </c>
      <c r="N636" s="4">
        <v>1.486</v>
      </c>
      <c r="O636" s="4">
        <v>1.486</v>
      </c>
      <c r="P636" s="4">
        <v>4</v>
      </c>
      <c r="Q636" s="3" t="s">
        <v>26</v>
      </c>
      <c r="R636" s="3">
        <v>0</v>
      </c>
      <c r="S636" s="3">
        <v>0</v>
      </c>
      <c r="T636" s="3">
        <v>37</v>
      </c>
      <c r="U636" s="3">
        <v>78</v>
      </c>
      <c r="V636" s="4">
        <f>IF(ISERROR(VLOOKUP($S$636,'TAR FIN'!$A$1:$O$99,15,0)),0,VLOOKUP($S$636,'TAR FIN'!$A$1:$O$99,15,0))</f>
        <v>0</v>
      </c>
      <c r="W636" s="4">
        <f>IF(ISERROR(VLOOKUP($T$636,'TAR FIN'!$A$1:$O$99,15,0)),0,VLOOKUP($T$636,'TAR FIN'!$A$1:$O$99,15,0))</f>
        <v>348.11</v>
      </c>
      <c r="X636" s="4">
        <f>IF(ISERROR(VLOOKUP($U$636,'TAR FIN'!$A$1:$O$99,15,0)),0,VLOOKUP($U$636,'TAR FIN'!$A$1:$O$99,15,0))</f>
        <v>202.86</v>
      </c>
      <c r="Y636" s="4"/>
      <c r="Z636" s="4">
        <f ca="1">('TUSD BE'!$AM$44+'TUSD BF'!$AM$44+'TUSD CVA'!$AM$44)*(1-CUSTOS!$M$38)</f>
        <v>438.62226072739548</v>
      </c>
      <c r="AA636" s="4">
        <f>('TE BE'!$AA$26+'TE BF'!$AA$26+'TE CVA'!$AA$26)*(1-CUSTOS!$M$38)</f>
        <v>266.83676082414206</v>
      </c>
      <c r="AB636" s="4">
        <f t="shared" si="26"/>
        <v>0</v>
      </c>
      <c r="AC636" s="4">
        <f>(L636-M636)*(W636+X636)+($W$520+$X$520-$W$636-$X$636)*(L636)</f>
        <v>111.65803999999999</v>
      </c>
      <c r="AD636" s="4">
        <f t="shared" si="27"/>
        <v>0</v>
      </c>
      <c r="AE636" s="4">
        <f ca="1">(L636-M636)*(Z636+AA636)+($Z$520+$AA$520-$Z$636-$AA$636)*(L636)</f>
        <v>66.913538682484202</v>
      </c>
      <c r="AF636" s="3" t="s">
        <v>951</v>
      </c>
    </row>
    <row r="637" spans="1:32" ht="11.25" customHeight="1" x14ac:dyDescent="0.25">
      <c r="A637" s="3" t="s">
        <v>21</v>
      </c>
      <c r="B637" s="3" t="s">
        <v>44</v>
      </c>
      <c r="C637" s="3" t="s">
        <v>23</v>
      </c>
      <c r="D637" s="3" t="s">
        <v>45</v>
      </c>
      <c r="E637" s="3" t="s">
        <v>25</v>
      </c>
      <c r="F637" s="3" t="s">
        <v>25</v>
      </c>
      <c r="G637" s="3" t="s">
        <v>25</v>
      </c>
      <c r="H637" s="3" t="s">
        <v>25</v>
      </c>
      <c r="I637" s="6">
        <v>44409</v>
      </c>
      <c r="J637" s="4">
        <v>0</v>
      </c>
      <c r="K637" s="4">
        <v>0</v>
      </c>
      <c r="L637" s="4">
        <v>4522.3689999999997</v>
      </c>
      <c r="M637" s="4">
        <v>4522.3689999999997</v>
      </c>
      <c r="N637" s="4">
        <v>4522.3689999999997</v>
      </c>
      <c r="O637" s="4">
        <v>4522.3689999999997</v>
      </c>
      <c r="P637" s="4">
        <v>35161</v>
      </c>
      <c r="Q637" s="3" t="s">
        <v>26</v>
      </c>
      <c r="R637" s="3">
        <v>0</v>
      </c>
      <c r="S637" s="3">
        <v>0</v>
      </c>
      <c r="T637" s="3">
        <v>37</v>
      </c>
      <c r="U637" s="3">
        <v>78</v>
      </c>
      <c r="V637" s="4">
        <f>IF(ISERROR(VLOOKUP($S$637,'TAR FIN'!$A$1:$O$99,15,0)),0,VLOOKUP($S$637,'TAR FIN'!$A$1:$O$99,15,0))</f>
        <v>0</v>
      </c>
      <c r="W637" s="4">
        <f>IF(ISERROR(VLOOKUP($T$637,'TAR FIN'!$A$1:$O$99,15,0)),0,VLOOKUP($T$637,'TAR FIN'!$A$1:$O$99,15,0))</f>
        <v>348.11</v>
      </c>
      <c r="X637" s="4">
        <f>IF(ISERROR(VLOOKUP($U$637,'TAR FIN'!$A$1:$O$99,15,0)),0,VLOOKUP($U$637,'TAR FIN'!$A$1:$O$99,15,0))</f>
        <v>202.86</v>
      </c>
      <c r="Y637" s="4"/>
      <c r="Z637" s="4">
        <f ca="1">('TUSD BE'!$AM$44+'TUSD BF'!$AM$44+'TUSD CVA'!$AM$44)*(1-CUSTOS!$M$38)</f>
        <v>438.62226072739548</v>
      </c>
      <c r="AA637" s="4">
        <f>('TE BE'!$AA$26+'TE BF'!$AA$26+'TE CVA'!$AA$26)*(1-CUSTOS!$M$38)</f>
        <v>266.83676082414206</v>
      </c>
      <c r="AB637" s="4">
        <f t="shared" si="26"/>
        <v>0</v>
      </c>
      <c r="AC637" s="4">
        <f>(L637-M637)*(W637+X637)+($W$520+$X$520-$W$637-$X$637)*(L637)</f>
        <v>339810.80665999994</v>
      </c>
      <c r="AD637" s="4">
        <f t="shared" si="27"/>
        <v>0</v>
      </c>
      <c r="AE637" s="4">
        <f ca="1">(L637-M637)*(Z637+AA637)+($Z$520+$AA$520-$Z$637-$AA$637)*(L637)</f>
        <v>203639.10701074521</v>
      </c>
      <c r="AF637" s="3" t="s">
        <v>951</v>
      </c>
    </row>
    <row r="638" spans="1:32" ht="11.25" customHeight="1" x14ac:dyDescent="0.25">
      <c r="A638" s="3" t="s">
        <v>27</v>
      </c>
      <c r="B638" s="3" t="s">
        <v>44</v>
      </c>
      <c r="C638" s="3" t="s">
        <v>23</v>
      </c>
      <c r="D638" s="3" t="s">
        <v>45</v>
      </c>
      <c r="E638" s="3" t="s">
        <v>25</v>
      </c>
      <c r="F638" s="3" t="s">
        <v>25</v>
      </c>
      <c r="G638" s="3" t="s">
        <v>25</v>
      </c>
      <c r="H638" s="3" t="s">
        <v>25</v>
      </c>
      <c r="I638" s="6">
        <v>44409</v>
      </c>
      <c r="J638" s="4">
        <v>0</v>
      </c>
      <c r="K638" s="4">
        <v>0</v>
      </c>
      <c r="L638" s="4">
        <v>-36.036000000000001</v>
      </c>
      <c r="M638" s="4">
        <v>-36.036000000000001</v>
      </c>
      <c r="N638" s="4">
        <v>-36.036000000000001</v>
      </c>
      <c r="O638" s="4">
        <v>-36.036000000000001</v>
      </c>
      <c r="P638" s="4">
        <v>-171</v>
      </c>
      <c r="Q638" s="3" t="s">
        <v>26</v>
      </c>
      <c r="R638" s="3">
        <v>0</v>
      </c>
      <c r="S638" s="3">
        <v>0</v>
      </c>
      <c r="T638" s="3">
        <v>37</v>
      </c>
      <c r="U638" s="3">
        <v>78</v>
      </c>
      <c r="V638" s="4">
        <f>IF(ISERROR(VLOOKUP($S$638,'TAR FIN'!$A$1:$O$99,15,0)),0,VLOOKUP($S$638,'TAR FIN'!$A$1:$O$99,15,0))</f>
        <v>0</v>
      </c>
      <c r="W638" s="4">
        <f>IF(ISERROR(VLOOKUP($T$638,'TAR FIN'!$A$1:$O$99,15,0)),0,VLOOKUP($T$638,'TAR FIN'!$A$1:$O$99,15,0))</f>
        <v>348.11</v>
      </c>
      <c r="X638" s="4">
        <f>IF(ISERROR(VLOOKUP($U$638,'TAR FIN'!$A$1:$O$99,15,0)),0,VLOOKUP($U$638,'TAR FIN'!$A$1:$O$99,15,0))</f>
        <v>202.86</v>
      </c>
      <c r="Y638" s="4"/>
      <c r="Z638" s="4">
        <f ca="1">('TUSD BE'!$AM$44+'TUSD BF'!$AM$44+'TUSD CVA'!$AM$44)*(1-CUSTOS!$M$38)</f>
        <v>438.62226072739548</v>
      </c>
      <c r="AA638" s="4">
        <f>('TE BE'!$AA$26+'TE BF'!$AA$26+'TE CVA'!$AA$26)*(1-CUSTOS!$M$38)</f>
        <v>266.83676082414206</v>
      </c>
      <c r="AB638" s="4">
        <f t="shared" si="26"/>
        <v>0</v>
      </c>
      <c r="AC638" s="4">
        <f>(L638-M638)*(W638+X638)+($W$520+$X$520-$W$638-$X$638)*(L638)</f>
        <v>-2707.7450399999998</v>
      </c>
      <c r="AD638" s="4">
        <f t="shared" si="27"/>
        <v>0</v>
      </c>
      <c r="AE638" s="4">
        <f ca="1">(L638-M638)*(Z638+AA638)+($Z$520+$AA$520-$Z$638-$AA$638)*(L638)</f>
        <v>-1622.675827699866</v>
      </c>
      <c r="AF638" s="3" t="s">
        <v>951</v>
      </c>
    </row>
    <row r="639" spans="1:32" ht="11.25" customHeight="1" x14ac:dyDescent="0.25">
      <c r="A639" s="3" t="s">
        <v>28</v>
      </c>
      <c r="B639" s="3" t="s">
        <v>44</v>
      </c>
      <c r="C639" s="3" t="s">
        <v>23</v>
      </c>
      <c r="D639" s="3" t="s">
        <v>45</v>
      </c>
      <c r="E639" s="3" t="s">
        <v>25</v>
      </c>
      <c r="F639" s="3" t="s">
        <v>25</v>
      </c>
      <c r="G639" s="3" t="s">
        <v>25</v>
      </c>
      <c r="H639" s="3" t="s">
        <v>25</v>
      </c>
      <c r="I639" s="6">
        <v>44409</v>
      </c>
      <c r="J639" s="4">
        <v>0</v>
      </c>
      <c r="K639" s="4">
        <v>0</v>
      </c>
      <c r="L639" s="4">
        <v>56.956000000000003</v>
      </c>
      <c r="M639" s="4">
        <v>56.956000000000003</v>
      </c>
      <c r="N639" s="4">
        <v>56.956000000000003</v>
      </c>
      <c r="O639" s="4">
        <v>56.956000000000003</v>
      </c>
      <c r="P639" s="4">
        <v>176</v>
      </c>
      <c r="Q639" s="3" t="s">
        <v>26</v>
      </c>
      <c r="R639" s="3">
        <v>0</v>
      </c>
      <c r="S639" s="3">
        <v>0</v>
      </c>
      <c r="T639" s="3">
        <v>37</v>
      </c>
      <c r="U639" s="3">
        <v>78</v>
      </c>
      <c r="V639" s="4">
        <f>IF(ISERROR(VLOOKUP($S$639,'TAR FIN'!$A$1:$O$99,15,0)),0,VLOOKUP($S$639,'TAR FIN'!$A$1:$O$99,15,0))</f>
        <v>0</v>
      </c>
      <c r="W639" s="4">
        <f>IF(ISERROR(VLOOKUP($T$639,'TAR FIN'!$A$1:$O$99,15,0)),0,VLOOKUP($T$639,'TAR FIN'!$A$1:$O$99,15,0))</f>
        <v>348.11</v>
      </c>
      <c r="X639" s="4">
        <f>IF(ISERROR(VLOOKUP($U$639,'TAR FIN'!$A$1:$O$99,15,0)),0,VLOOKUP($U$639,'TAR FIN'!$A$1:$O$99,15,0))</f>
        <v>202.86</v>
      </c>
      <c r="Y639" s="4"/>
      <c r="Z639" s="4">
        <f ca="1">('TUSD BE'!$AM$44+'TUSD BF'!$AM$44+'TUSD CVA'!$AM$44)*(1-CUSTOS!$M$38)</f>
        <v>438.62226072739548</v>
      </c>
      <c r="AA639" s="4">
        <f>('TE BE'!$AA$26+'TE BF'!$AA$26+'TE CVA'!$AA$26)*(1-CUSTOS!$M$38)</f>
        <v>266.83676082414206</v>
      </c>
      <c r="AB639" s="4">
        <f t="shared" si="26"/>
        <v>0</v>
      </c>
      <c r="AC639" s="4">
        <f>(L639-M639)*(W639+X639)+($W$520+$X$520-$W$639-$X$639)*(L639)</f>
        <v>4279.6738399999995</v>
      </c>
      <c r="AD639" s="4">
        <f t="shared" si="27"/>
        <v>0</v>
      </c>
      <c r="AE639" s="4">
        <f ca="1">(L639-M639)*(Z639+AA639)+($Z$520+$AA$520-$Z$639-$AA$639)*(L639)</f>
        <v>2564.6887679674096</v>
      </c>
      <c r="AF639" s="3" t="s">
        <v>951</v>
      </c>
    </row>
    <row r="640" spans="1:32" ht="11.25" customHeight="1" x14ac:dyDescent="0.25">
      <c r="A640" s="3" t="s">
        <v>21</v>
      </c>
      <c r="B640" s="3" t="s">
        <v>44</v>
      </c>
      <c r="C640" s="3" t="s">
        <v>23</v>
      </c>
      <c r="D640" s="3" t="s">
        <v>45</v>
      </c>
      <c r="E640" s="3" t="s">
        <v>25</v>
      </c>
      <c r="F640" s="3" t="s">
        <v>25</v>
      </c>
      <c r="G640" s="3" t="s">
        <v>25</v>
      </c>
      <c r="H640" s="3" t="s">
        <v>25</v>
      </c>
      <c r="I640" s="6">
        <v>44440</v>
      </c>
      <c r="J640" s="4">
        <v>0</v>
      </c>
      <c r="K640" s="4">
        <v>0</v>
      </c>
      <c r="L640" s="4">
        <v>4763.1229999999996</v>
      </c>
      <c r="M640" s="4">
        <v>4763.1229999999996</v>
      </c>
      <c r="N640" s="4">
        <v>4763.1229999999996</v>
      </c>
      <c r="O640" s="4">
        <v>4763.1229999999996</v>
      </c>
      <c r="P640" s="4">
        <v>34970</v>
      </c>
      <c r="Q640" s="3" t="s">
        <v>26</v>
      </c>
      <c r="R640" s="3">
        <v>0</v>
      </c>
      <c r="S640" s="3">
        <v>0</v>
      </c>
      <c r="T640" s="3">
        <v>37</v>
      </c>
      <c r="U640" s="3">
        <v>78</v>
      </c>
      <c r="V640" s="4">
        <f>IF(ISERROR(VLOOKUP($S$640,'TAR FIN'!$A$1:$O$99,15,0)),0,VLOOKUP($S$640,'TAR FIN'!$A$1:$O$99,15,0))</f>
        <v>0</v>
      </c>
      <c r="W640" s="4">
        <f>IF(ISERROR(VLOOKUP($T$640,'TAR FIN'!$A$1:$O$99,15,0)),0,VLOOKUP($T$640,'TAR FIN'!$A$1:$O$99,15,0))</f>
        <v>348.11</v>
      </c>
      <c r="X640" s="4">
        <f>IF(ISERROR(VLOOKUP($U$640,'TAR FIN'!$A$1:$O$99,15,0)),0,VLOOKUP($U$640,'TAR FIN'!$A$1:$O$99,15,0))</f>
        <v>202.86</v>
      </c>
      <c r="Y640" s="4"/>
      <c r="Z640" s="4">
        <f ca="1">('TUSD BE'!$AM$44+'TUSD BF'!$AM$44+'TUSD CVA'!$AM$44)*(1-CUSTOS!$M$38)</f>
        <v>438.62226072739548</v>
      </c>
      <c r="AA640" s="4">
        <f>('TE BE'!$AA$26+'TE BF'!$AA$26+'TE CVA'!$AA$26)*(1-CUSTOS!$M$38)</f>
        <v>266.83676082414206</v>
      </c>
      <c r="AB640" s="4">
        <f t="shared" si="26"/>
        <v>0</v>
      </c>
      <c r="AC640" s="4">
        <f>(L640-M640)*(W640+X640)+($W$520+$X$520-$W$640-$X$640)*(L640)</f>
        <v>357901.06221999991</v>
      </c>
      <c r="AD640" s="4">
        <f t="shared" si="27"/>
        <v>0</v>
      </c>
      <c r="AE640" s="4">
        <f ca="1">(L640-M640)*(Z640+AA640)+($Z$520+$AA$520-$Z$640-$AA$640)*(L640)</f>
        <v>214480.0909218911</v>
      </c>
      <c r="AF640" s="3" t="s">
        <v>951</v>
      </c>
    </row>
    <row r="641" spans="1:32" ht="11.25" customHeight="1" x14ac:dyDescent="0.25">
      <c r="A641" s="3" t="s">
        <v>27</v>
      </c>
      <c r="B641" s="3" t="s">
        <v>44</v>
      </c>
      <c r="C641" s="3" t="s">
        <v>23</v>
      </c>
      <c r="D641" s="3" t="s">
        <v>45</v>
      </c>
      <c r="E641" s="3" t="s">
        <v>25</v>
      </c>
      <c r="F641" s="3" t="s">
        <v>25</v>
      </c>
      <c r="G641" s="3" t="s">
        <v>25</v>
      </c>
      <c r="H641" s="3" t="s">
        <v>25</v>
      </c>
      <c r="I641" s="6">
        <v>44440</v>
      </c>
      <c r="J641" s="4">
        <v>0</v>
      </c>
      <c r="K641" s="4">
        <v>0</v>
      </c>
      <c r="L641" s="4">
        <v>-9.7279999999999998</v>
      </c>
      <c r="M641" s="4">
        <v>-9.7279999999999998</v>
      </c>
      <c r="N641" s="4">
        <v>-9.7279999999999998</v>
      </c>
      <c r="O641" s="4">
        <v>-9.7279999999999998</v>
      </c>
      <c r="P641" s="4">
        <v>-113</v>
      </c>
      <c r="Q641" s="3" t="s">
        <v>26</v>
      </c>
      <c r="R641" s="3">
        <v>0</v>
      </c>
      <c r="S641" s="3">
        <v>0</v>
      </c>
      <c r="T641" s="3">
        <v>37</v>
      </c>
      <c r="U641" s="3">
        <v>78</v>
      </c>
      <c r="V641" s="4">
        <f>IF(ISERROR(VLOOKUP($S$641,'TAR FIN'!$A$1:$O$99,15,0)),0,VLOOKUP($S$641,'TAR FIN'!$A$1:$O$99,15,0))</f>
        <v>0</v>
      </c>
      <c r="W641" s="4">
        <f>IF(ISERROR(VLOOKUP($T$641,'TAR FIN'!$A$1:$O$99,15,0)),0,VLOOKUP($T$641,'TAR FIN'!$A$1:$O$99,15,0))</f>
        <v>348.11</v>
      </c>
      <c r="X641" s="4">
        <f>IF(ISERROR(VLOOKUP($U$641,'TAR FIN'!$A$1:$O$99,15,0)),0,VLOOKUP($U$641,'TAR FIN'!$A$1:$O$99,15,0))</f>
        <v>202.86</v>
      </c>
      <c r="Y641" s="4"/>
      <c r="Z641" s="4">
        <f ca="1">('TUSD BE'!$AM$44+'TUSD BF'!$AM$44+'TUSD CVA'!$AM$44)*(1-CUSTOS!$M$38)</f>
        <v>438.62226072739548</v>
      </c>
      <c r="AA641" s="4">
        <f>('TE BE'!$AA$26+'TE BF'!$AA$26+'TE CVA'!$AA$26)*(1-CUSTOS!$M$38)</f>
        <v>266.83676082414206</v>
      </c>
      <c r="AB641" s="4">
        <f t="shared" si="26"/>
        <v>0</v>
      </c>
      <c r="AC641" s="4">
        <f>(L641-M641)*(W641+X641)+($W$520+$X$520-$W$641-$X$641)*(L641)</f>
        <v>-730.96191999999985</v>
      </c>
      <c r="AD641" s="4">
        <f t="shared" si="27"/>
        <v>0</v>
      </c>
      <c r="AE641" s="4">
        <f ca="1">(L641-M641)*(Z641+AA641)+($Z$520+$AA$520-$Z$641-$AA$641)*(L641)</f>
        <v>-438.04502308425731</v>
      </c>
      <c r="AF641" s="3" t="s">
        <v>951</v>
      </c>
    </row>
    <row r="642" spans="1:32" ht="11.25" customHeight="1" x14ac:dyDescent="0.25">
      <c r="A642" s="3" t="s">
        <v>28</v>
      </c>
      <c r="B642" s="3" t="s">
        <v>44</v>
      </c>
      <c r="C642" s="3" t="s">
        <v>23</v>
      </c>
      <c r="D642" s="3" t="s">
        <v>45</v>
      </c>
      <c r="E642" s="3" t="s">
        <v>25</v>
      </c>
      <c r="F642" s="3" t="s">
        <v>25</v>
      </c>
      <c r="G642" s="3" t="s">
        <v>25</v>
      </c>
      <c r="H642" s="3" t="s">
        <v>25</v>
      </c>
      <c r="I642" s="6">
        <v>44440</v>
      </c>
      <c r="J642" s="4">
        <v>0</v>
      </c>
      <c r="K642" s="4">
        <v>0</v>
      </c>
      <c r="L642" s="4">
        <v>98.608000000000004</v>
      </c>
      <c r="M642" s="4">
        <v>98.608000000000004</v>
      </c>
      <c r="N642" s="4">
        <v>98.608000000000004</v>
      </c>
      <c r="O642" s="4">
        <v>98.608000000000004</v>
      </c>
      <c r="P642" s="4">
        <v>189</v>
      </c>
      <c r="Q642" s="3" t="s">
        <v>26</v>
      </c>
      <c r="R642" s="3">
        <v>0</v>
      </c>
      <c r="S642" s="3">
        <v>0</v>
      </c>
      <c r="T642" s="3">
        <v>37</v>
      </c>
      <c r="U642" s="3">
        <v>78</v>
      </c>
      <c r="V642" s="4">
        <f>IF(ISERROR(VLOOKUP($S$642,'TAR FIN'!$A$1:$O$99,15,0)),0,VLOOKUP($S$642,'TAR FIN'!$A$1:$O$99,15,0))</f>
        <v>0</v>
      </c>
      <c r="W642" s="4">
        <f>IF(ISERROR(VLOOKUP($T$642,'TAR FIN'!$A$1:$O$99,15,0)),0,VLOOKUP($T$642,'TAR FIN'!$A$1:$O$99,15,0))</f>
        <v>348.11</v>
      </c>
      <c r="X642" s="4">
        <f>IF(ISERROR(VLOOKUP($U$642,'TAR FIN'!$A$1:$O$99,15,0)),0,VLOOKUP($U$642,'TAR FIN'!$A$1:$O$99,15,0))</f>
        <v>202.86</v>
      </c>
      <c r="Y642" s="4"/>
      <c r="Z642" s="4">
        <f ca="1">('TUSD BE'!$AM$44+'TUSD BF'!$AM$44+'TUSD CVA'!$AM$44)*(1-CUSTOS!$M$38)</f>
        <v>438.62226072739548</v>
      </c>
      <c r="AA642" s="4">
        <f>('TE BE'!$AA$26+'TE BF'!$AA$26+'TE CVA'!$AA$26)*(1-CUSTOS!$M$38)</f>
        <v>266.83676082414206</v>
      </c>
      <c r="AB642" s="4">
        <f t="shared" ref="AB642:AB668" si="28">(J642-K642)*V642</f>
        <v>0</v>
      </c>
      <c r="AC642" s="4">
        <f>(L642-M642)*(W642+X642)+($W$520+$X$520-$W$642-$X$642)*(L642)</f>
        <v>7409.4051199999985</v>
      </c>
      <c r="AD642" s="4">
        <f t="shared" ref="AD642:AD668" si="29">(J642-K642)*Y642</f>
        <v>0</v>
      </c>
      <c r="AE642" s="4">
        <f ca="1">(L642-M642)*(Z642+AA642)+($Z$520+$AA$520-$Z$642-$AA$642)*(L642)</f>
        <v>4440.2491402438782</v>
      </c>
      <c r="AF642" s="3" t="s">
        <v>951</v>
      </c>
    </row>
    <row r="643" spans="1:32" ht="11.25" customHeight="1" x14ac:dyDescent="0.25">
      <c r="A643" s="3" t="s">
        <v>28</v>
      </c>
      <c r="B643" s="3" t="s">
        <v>44</v>
      </c>
      <c r="C643" s="3" t="s">
        <v>23</v>
      </c>
      <c r="D643" s="3" t="s">
        <v>45</v>
      </c>
      <c r="E643" s="3" t="s">
        <v>25</v>
      </c>
      <c r="F643" s="3" t="s">
        <v>25</v>
      </c>
      <c r="G643" s="3" t="s">
        <v>25</v>
      </c>
      <c r="H643" s="3" t="s">
        <v>25</v>
      </c>
      <c r="I643" s="6">
        <v>44440</v>
      </c>
      <c r="J643" s="4">
        <v>0</v>
      </c>
      <c r="K643" s="4">
        <v>0</v>
      </c>
      <c r="L643" s="4">
        <v>1.9890000000000001</v>
      </c>
      <c r="M643" s="4">
        <v>1.9890000000000001</v>
      </c>
      <c r="N643" s="4">
        <v>1.9890000000000001</v>
      </c>
      <c r="O643" s="4">
        <v>1.9890000000000001</v>
      </c>
      <c r="P643" s="4">
        <v>0</v>
      </c>
      <c r="Q643" s="3" t="s">
        <v>26</v>
      </c>
      <c r="R643" s="3">
        <v>0</v>
      </c>
      <c r="S643" s="3">
        <v>0</v>
      </c>
      <c r="T643" s="3">
        <v>37</v>
      </c>
      <c r="U643" s="3">
        <v>78</v>
      </c>
      <c r="V643" s="4">
        <f>IF(ISERROR(VLOOKUP($S$643,'TAR FIN'!$A$1:$O$99,15,0)),0,VLOOKUP($S$643,'TAR FIN'!$A$1:$O$99,15,0))</f>
        <v>0</v>
      </c>
      <c r="W643" s="4">
        <f>IF(ISERROR(VLOOKUP($T$643,'TAR FIN'!$A$1:$O$99,15,0)),0,VLOOKUP($T$643,'TAR FIN'!$A$1:$O$99,15,0))</f>
        <v>348.11</v>
      </c>
      <c r="X643" s="4">
        <f>IF(ISERROR(VLOOKUP($U$643,'TAR FIN'!$A$1:$O$99,15,0)),0,VLOOKUP($U$643,'TAR FIN'!$A$1:$O$99,15,0))</f>
        <v>202.86</v>
      </c>
      <c r="Y643" s="4"/>
      <c r="Z643" s="4">
        <f ca="1">('TUSD BE'!$AM$44+'TUSD BF'!$AM$44+'TUSD CVA'!$AM$44)*(1-CUSTOS!$M$38)</f>
        <v>438.62226072739548</v>
      </c>
      <c r="AA643" s="4">
        <f>('TE BE'!$AA$26+'TE BF'!$AA$26+'TE CVA'!$AA$26)*(1-CUSTOS!$M$38)</f>
        <v>266.83676082414206</v>
      </c>
      <c r="AB643" s="4">
        <f t="shared" si="28"/>
        <v>0</v>
      </c>
      <c r="AC643" s="4">
        <f>(L643-M643)*(W643+X643)+($W$520+$X$520-$W$643-$X$643)*(L643)</f>
        <v>149.45345999999998</v>
      </c>
      <c r="AD643" s="4">
        <f t="shared" si="29"/>
        <v>0</v>
      </c>
      <c r="AE643" s="4">
        <f ca="1">(L643-M643)*(Z643+AA643)+($Z$520+$AA$520-$Z$643-$AA$643)*(L643)</f>
        <v>89.563276204213381</v>
      </c>
      <c r="AF643" s="3" t="s">
        <v>951</v>
      </c>
    </row>
    <row r="644" spans="1:32" ht="11.25" customHeight="1" x14ac:dyDescent="0.25">
      <c r="A644" s="3" t="s">
        <v>21</v>
      </c>
      <c r="B644" s="3" t="s">
        <v>44</v>
      </c>
      <c r="C644" s="3" t="s">
        <v>23</v>
      </c>
      <c r="D644" s="3" t="s">
        <v>45</v>
      </c>
      <c r="E644" s="3" t="s">
        <v>25</v>
      </c>
      <c r="F644" s="3" t="s">
        <v>25</v>
      </c>
      <c r="G644" s="3" t="s">
        <v>25</v>
      </c>
      <c r="H644" s="3" t="s">
        <v>25</v>
      </c>
      <c r="I644" s="6">
        <v>44470</v>
      </c>
      <c r="J644" s="4">
        <v>0</v>
      </c>
      <c r="K644" s="4">
        <v>0</v>
      </c>
      <c r="L644" s="4">
        <v>5162.3419999999996</v>
      </c>
      <c r="M644" s="4">
        <v>5162.3419999999996</v>
      </c>
      <c r="N644" s="4">
        <v>5162.3419999999996</v>
      </c>
      <c r="O644" s="4">
        <v>5162.3419999999996</v>
      </c>
      <c r="P644" s="4">
        <v>35908</v>
      </c>
      <c r="Q644" s="3" t="s">
        <v>26</v>
      </c>
      <c r="R644" s="3">
        <v>0</v>
      </c>
      <c r="S644" s="3">
        <v>0</v>
      </c>
      <c r="T644" s="3">
        <v>37</v>
      </c>
      <c r="U644" s="3">
        <v>78</v>
      </c>
      <c r="V644" s="4">
        <f>IF(ISERROR(VLOOKUP($S$644,'TAR FIN'!$A$1:$O$99,15,0)),0,VLOOKUP($S$644,'TAR FIN'!$A$1:$O$99,15,0))</f>
        <v>0</v>
      </c>
      <c r="W644" s="4">
        <f>IF(ISERROR(VLOOKUP($T$644,'TAR FIN'!$A$1:$O$99,15,0)),0,VLOOKUP($T$644,'TAR FIN'!$A$1:$O$99,15,0))</f>
        <v>348.11</v>
      </c>
      <c r="X644" s="4">
        <f>IF(ISERROR(VLOOKUP($U$644,'TAR FIN'!$A$1:$O$99,15,0)),0,VLOOKUP($U$644,'TAR FIN'!$A$1:$O$99,15,0))</f>
        <v>202.86</v>
      </c>
      <c r="Y644" s="4"/>
      <c r="Z644" s="4">
        <f ca="1">('TUSD BE'!$AM$44+'TUSD BF'!$AM$44+'TUSD CVA'!$AM$44)*(1-CUSTOS!$M$38)</f>
        <v>438.62226072739548</v>
      </c>
      <c r="AA644" s="4">
        <f>('TE BE'!$AA$26+'TE BF'!$AA$26+'TE CVA'!$AA$26)*(1-CUSTOS!$M$38)</f>
        <v>266.83676082414206</v>
      </c>
      <c r="AB644" s="4">
        <f t="shared" si="28"/>
        <v>0</v>
      </c>
      <c r="AC644" s="4">
        <f>(L644-M644)*(W644+X644)+($W$520+$X$520-$W$644-$X$644)*(L644)</f>
        <v>387898.37787999993</v>
      </c>
      <c r="AD644" s="4">
        <f t="shared" si="29"/>
        <v>0</v>
      </c>
      <c r="AE644" s="4">
        <f ca="1">(L644-M644)*(Z644+AA644)+($Z$520+$AA$520-$Z$644-$AA$644)*(L644)</f>
        <v>232456.64273836665</v>
      </c>
      <c r="AF644" s="3" t="s">
        <v>951</v>
      </c>
    </row>
    <row r="645" spans="1:32" ht="11.25" customHeight="1" x14ac:dyDescent="0.25">
      <c r="A645" s="3" t="s">
        <v>27</v>
      </c>
      <c r="B645" s="3" t="s">
        <v>44</v>
      </c>
      <c r="C645" s="3" t="s">
        <v>23</v>
      </c>
      <c r="D645" s="3" t="s">
        <v>45</v>
      </c>
      <c r="E645" s="3" t="s">
        <v>25</v>
      </c>
      <c r="F645" s="3" t="s">
        <v>25</v>
      </c>
      <c r="G645" s="3" t="s">
        <v>25</v>
      </c>
      <c r="H645" s="3" t="s">
        <v>25</v>
      </c>
      <c r="I645" s="6">
        <v>44470</v>
      </c>
      <c r="J645" s="4">
        <v>0</v>
      </c>
      <c r="K645" s="4">
        <v>0</v>
      </c>
      <c r="L645" s="4">
        <v>-13.669</v>
      </c>
      <c r="M645" s="4">
        <v>-13.669</v>
      </c>
      <c r="N645" s="4">
        <v>-13.669</v>
      </c>
      <c r="O645" s="4">
        <v>-13.669</v>
      </c>
      <c r="P645" s="4">
        <v>-133</v>
      </c>
      <c r="Q645" s="3" t="s">
        <v>26</v>
      </c>
      <c r="R645" s="3">
        <v>0</v>
      </c>
      <c r="S645" s="3">
        <v>0</v>
      </c>
      <c r="T645" s="3">
        <v>37</v>
      </c>
      <c r="U645" s="3">
        <v>78</v>
      </c>
      <c r="V645" s="4">
        <f>IF(ISERROR(VLOOKUP($S$645,'TAR FIN'!$A$1:$O$99,15,0)),0,VLOOKUP($S$645,'TAR FIN'!$A$1:$O$99,15,0))</f>
        <v>0</v>
      </c>
      <c r="W645" s="4">
        <f>IF(ISERROR(VLOOKUP($T$645,'TAR FIN'!$A$1:$O$99,15,0)),0,VLOOKUP($T$645,'TAR FIN'!$A$1:$O$99,15,0))</f>
        <v>348.11</v>
      </c>
      <c r="X645" s="4">
        <f>IF(ISERROR(VLOOKUP($U$645,'TAR FIN'!$A$1:$O$99,15,0)),0,VLOOKUP($U$645,'TAR FIN'!$A$1:$O$99,15,0))</f>
        <v>202.86</v>
      </c>
      <c r="Y645" s="4"/>
      <c r="Z645" s="4">
        <f ca="1">('TUSD BE'!$AM$44+'TUSD BF'!$AM$44+'TUSD CVA'!$AM$44)*(1-CUSTOS!$M$38)</f>
        <v>438.62226072739548</v>
      </c>
      <c r="AA645" s="4">
        <f>('TE BE'!$AA$26+'TE BF'!$AA$26+'TE CVA'!$AA$26)*(1-CUSTOS!$M$38)</f>
        <v>266.83676082414206</v>
      </c>
      <c r="AB645" s="4">
        <f t="shared" si="28"/>
        <v>0</v>
      </c>
      <c r="AC645" s="4">
        <f>(L645-M645)*(W645+X645)+($W$520+$X$520-$W$645-$X$645)*(L645)</f>
        <v>-1027.0886599999999</v>
      </c>
      <c r="AD645" s="4">
        <f t="shared" si="29"/>
        <v>0</v>
      </c>
      <c r="AE645" s="4">
        <f ca="1">(L645-M645)*(Z645+AA645)+($Z$520+$AA$520-$Z$645-$AA$645)*(L645)</f>
        <v>-615.5054914205092</v>
      </c>
      <c r="AF645" s="3" t="s">
        <v>951</v>
      </c>
    </row>
    <row r="646" spans="1:32" ht="11.25" customHeight="1" x14ac:dyDescent="0.25">
      <c r="A646" s="3" t="s">
        <v>28</v>
      </c>
      <c r="B646" s="3" t="s">
        <v>44</v>
      </c>
      <c r="C646" s="3" t="s">
        <v>23</v>
      </c>
      <c r="D646" s="3" t="s">
        <v>45</v>
      </c>
      <c r="E646" s="3" t="s">
        <v>25</v>
      </c>
      <c r="F646" s="3" t="s">
        <v>25</v>
      </c>
      <c r="G646" s="3" t="s">
        <v>25</v>
      </c>
      <c r="H646" s="3" t="s">
        <v>25</v>
      </c>
      <c r="I646" s="6">
        <v>44470</v>
      </c>
      <c r="J646" s="4">
        <v>0</v>
      </c>
      <c r="K646" s="4">
        <v>0</v>
      </c>
      <c r="L646" s="4">
        <v>118</v>
      </c>
      <c r="M646" s="4">
        <v>118</v>
      </c>
      <c r="N646" s="4">
        <v>118</v>
      </c>
      <c r="O646" s="4">
        <v>118</v>
      </c>
      <c r="P646" s="4">
        <v>206</v>
      </c>
      <c r="Q646" s="3" t="s">
        <v>26</v>
      </c>
      <c r="R646" s="3">
        <v>0</v>
      </c>
      <c r="S646" s="3">
        <v>0</v>
      </c>
      <c r="T646" s="3">
        <v>37</v>
      </c>
      <c r="U646" s="3">
        <v>78</v>
      </c>
      <c r="V646" s="4">
        <f>IF(ISERROR(VLOOKUP($S$646,'TAR FIN'!$A$1:$O$99,15,0)),0,VLOOKUP($S$646,'TAR FIN'!$A$1:$O$99,15,0))</f>
        <v>0</v>
      </c>
      <c r="W646" s="4">
        <f>IF(ISERROR(VLOOKUP($T$646,'TAR FIN'!$A$1:$O$99,15,0)),0,VLOOKUP($T$646,'TAR FIN'!$A$1:$O$99,15,0))</f>
        <v>348.11</v>
      </c>
      <c r="X646" s="4">
        <f>IF(ISERROR(VLOOKUP($U$646,'TAR FIN'!$A$1:$O$99,15,0)),0,VLOOKUP($U$646,'TAR FIN'!$A$1:$O$99,15,0))</f>
        <v>202.86</v>
      </c>
      <c r="Y646" s="4"/>
      <c r="Z646" s="4">
        <f ca="1">('TUSD BE'!$AM$44+'TUSD BF'!$AM$44+'TUSD CVA'!$AM$44)*(1-CUSTOS!$M$38)</f>
        <v>438.62226072739548</v>
      </c>
      <c r="AA646" s="4">
        <f>('TE BE'!$AA$26+'TE BF'!$AA$26+'TE CVA'!$AA$26)*(1-CUSTOS!$M$38)</f>
        <v>266.83676082414206</v>
      </c>
      <c r="AB646" s="4">
        <f t="shared" si="28"/>
        <v>0</v>
      </c>
      <c r="AC646" s="4">
        <f>(L646-M646)*(W646+X646)+($W$520+$X$520-$W$646-$X$646)*(L646)</f>
        <v>8866.5199999999986</v>
      </c>
      <c r="AD646" s="4">
        <f t="shared" si="29"/>
        <v>0</v>
      </c>
      <c r="AE646" s="4">
        <f ca="1">(L646-M646)*(Z646+AA646)+($Z$520+$AA$520-$Z$646-$AA$646)*(L646)</f>
        <v>5313.4573112605221</v>
      </c>
      <c r="AF646" s="3" t="s">
        <v>951</v>
      </c>
    </row>
    <row r="647" spans="1:32" ht="11.25" customHeight="1" x14ac:dyDescent="0.25">
      <c r="A647" s="3" t="s">
        <v>28</v>
      </c>
      <c r="B647" s="3" t="s">
        <v>44</v>
      </c>
      <c r="C647" s="3" t="s">
        <v>23</v>
      </c>
      <c r="D647" s="3" t="s">
        <v>45</v>
      </c>
      <c r="E647" s="3" t="s">
        <v>25</v>
      </c>
      <c r="F647" s="3" t="s">
        <v>25</v>
      </c>
      <c r="G647" s="3" t="s">
        <v>25</v>
      </c>
      <c r="H647" s="3" t="s">
        <v>25</v>
      </c>
      <c r="I647" s="6">
        <v>44470</v>
      </c>
      <c r="J647" s="4">
        <v>0</v>
      </c>
      <c r="K647" s="4">
        <v>0</v>
      </c>
      <c r="L647" s="4">
        <v>-1.65</v>
      </c>
      <c r="M647" s="4">
        <v>-1.65</v>
      </c>
      <c r="N647" s="4">
        <v>-1.65</v>
      </c>
      <c r="O647" s="4">
        <v>-1.65</v>
      </c>
      <c r="P647" s="4">
        <v>-9</v>
      </c>
      <c r="Q647" s="3" t="s">
        <v>26</v>
      </c>
      <c r="R647" s="3">
        <v>0</v>
      </c>
      <c r="S647" s="3">
        <v>0</v>
      </c>
      <c r="T647" s="3">
        <v>37</v>
      </c>
      <c r="U647" s="3">
        <v>78</v>
      </c>
      <c r="V647" s="4">
        <f>IF(ISERROR(VLOOKUP($S$647,'TAR FIN'!$A$1:$O$99,15,0)),0,VLOOKUP($S$647,'TAR FIN'!$A$1:$O$99,15,0))</f>
        <v>0</v>
      </c>
      <c r="W647" s="4">
        <f>IF(ISERROR(VLOOKUP($T$647,'TAR FIN'!$A$1:$O$99,15,0)),0,VLOOKUP($T$647,'TAR FIN'!$A$1:$O$99,15,0))</f>
        <v>348.11</v>
      </c>
      <c r="X647" s="4">
        <f>IF(ISERROR(VLOOKUP($U$647,'TAR FIN'!$A$1:$O$99,15,0)),0,VLOOKUP($U$647,'TAR FIN'!$A$1:$O$99,15,0))</f>
        <v>202.86</v>
      </c>
      <c r="Y647" s="4"/>
      <c r="Z647" s="4">
        <f ca="1">('TUSD BE'!$AM$44+'TUSD BF'!$AM$44+'TUSD CVA'!$AM$44)*(1-CUSTOS!$M$38)</f>
        <v>438.62226072739548</v>
      </c>
      <c r="AA647" s="4">
        <f>('TE BE'!$AA$26+'TE BF'!$AA$26+'TE CVA'!$AA$26)*(1-CUSTOS!$M$38)</f>
        <v>266.83676082414206</v>
      </c>
      <c r="AB647" s="4">
        <f t="shared" si="28"/>
        <v>0</v>
      </c>
      <c r="AC647" s="4">
        <f>(L647-M647)*(W647+X647)+($W$520+$X$520-$W$647-$X$647)*(L647)</f>
        <v>-123.98099999999997</v>
      </c>
      <c r="AD647" s="4">
        <f t="shared" si="29"/>
        <v>0</v>
      </c>
      <c r="AE647" s="4">
        <f ca="1">(L647-M647)*(Z647+AA647)+($Z$520+$AA$520-$Z$647-$AA$647)*(L647)</f>
        <v>-74.298343759151365</v>
      </c>
      <c r="AF647" s="3" t="s">
        <v>951</v>
      </c>
    </row>
    <row r="648" spans="1:32" ht="11.25" customHeight="1" x14ac:dyDescent="0.25">
      <c r="A648" s="3" t="s">
        <v>21</v>
      </c>
      <c r="B648" s="3" t="s">
        <v>44</v>
      </c>
      <c r="C648" s="3" t="s">
        <v>23</v>
      </c>
      <c r="D648" s="3" t="s">
        <v>45</v>
      </c>
      <c r="E648" s="3" t="s">
        <v>25</v>
      </c>
      <c r="F648" s="3" t="s">
        <v>25</v>
      </c>
      <c r="G648" s="3" t="s">
        <v>25</v>
      </c>
      <c r="H648" s="3" t="s">
        <v>25</v>
      </c>
      <c r="I648" s="6">
        <v>44501</v>
      </c>
      <c r="J648" s="4">
        <v>0</v>
      </c>
      <c r="K648" s="4">
        <v>0</v>
      </c>
      <c r="L648" s="4">
        <v>5692.7060000000001</v>
      </c>
      <c r="M648" s="4">
        <v>5692.7060000000001</v>
      </c>
      <c r="N648" s="4">
        <v>5692.7060000000001</v>
      </c>
      <c r="O648" s="4">
        <v>5692.7060000000001</v>
      </c>
      <c r="P648" s="4">
        <v>36116</v>
      </c>
      <c r="Q648" s="3" t="s">
        <v>26</v>
      </c>
      <c r="R648" s="3">
        <v>0</v>
      </c>
      <c r="S648" s="3">
        <v>0</v>
      </c>
      <c r="T648" s="3">
        <v>37</v>
      </c>
      <c r="U648" s="3">
        <v>78</v>
      </c>
      <c r="V648" s="4">
        <f>IF(ISERROR(VLOOKUP($S$648,'TAR FIN'!$A$1:$O$99,15,0)),0,VLOOKUP($S$648,'TAR FIN'!$A$1:$O$99,15,0))</f>
        <v>0</v>
      </c>
      <c r="W648" s="4">
        <f>IF(ISERROR(VLOOKUP($T$648,'TAR FIN'!$A$1:$O$99,15,0)),0,VLOOKUP($T$648,'TAR FIN'!$A$1:$O$99,15,0))</f>
        <v>348.11</v>
      </c>
      <c r="X648" s="4">
        <f>IF(ISERROR(VLOOKUP($U$648,'TAR FIN'!$A$1:$O$99,15,0)),0,VLOOKUP($U$648,'TAR FIN'!$A$1:$O$99,15,0))</f>
        <v>202.86</v>
      </c>
      <c r="Y648" s="4"/>
      <c r="Z648" s="4">
        <f ca="1">('TUSD BE'!$AM$44+'TUSD BF'!$AM$44+'TUSD CVA'!$AM$44)*(1-CUSTOS!$M$38)</f>
        <v>438.62226072739548</v>
      </c>
      <c r="AA648" s="4">
        <f>('TE BE'!$AA$26+'TE BF'!$AA$26+'TE CVA'!$AA$26)*(1-CUSTOS!$M$38)</f>
        <v>266.83676082414206</v>
      </c>
      <c r="AB648" s="4">
        <f t="shared" si="28"/>
        <v>0</v>
      </c>
      <c r="AC648" s="4">
        <f>(L648-M648)*(W648+X648)+($W$520+$X$520-$W$648-$X$648)*(L648)</f>
        <v>427749.92883999995</v>
      </c>
      <c r="AD648" s="4">
        <f t="shared" si="29"/>
        <v>0</v>
      </c>
      <c r="AE648" s="4">
        <f ca="1">(L648-M648)*(Z648+AA648)+($Z$520+$AA$520-$Z$648-$AA$648)*(L648)</f>
        <v>256338.56200471733</v>
      </c>
      <c r="AF648" s="3" t="s">
        <v>951</v>
      </c>
    </row>
    <row r="649" spans="1:32" ht="11.25" customHeight="1" x14ac:dyDescent="0.25">
      <c r="A649" s="3" t="s">
        <v>27</v>
      </c>
      <c r="B649" s="3" t="s">
        <v>44</v>
      </c>
      <c r="C649" s="3" t="s">
        <v>23</v>
      </c>
      <c r="D649" s="3" t="s">
        <v>45</v>
      </c>
      <c r="E649" s="3" t="s">
        <v>25</v>
      </c>
      <c r="F649" s="3" t="s">
        <v>25</v>
      </c>
      <c r="G649" s="3" t="s">
        <v>25</v>
      </c>
      <c r="H649" s="3" t="s">
        <v>25</v>
      </c>
      <c r="I649" s="6">
        <v>44501</v>
      </c>
      <c r="J649" s="4">
        <v>0</v>
      </c>
      <c r="K649" s="4">
        <v>0</v>
      </c>
      <c r="L649" s="4">
        <v>-17.8</v>
      </c>
      <c r="M649" s="4">
        <v>-17.8</v>
      </c>
      <c r="N649" s="4">
        <v>-17.8</v>
      </c>
      <c r="O649" s="4">
        <v>-17.8</v>
      </c>
      <c r="P649" s="4">
        <v>-176</v>
      </c>
      <c r="Q649" s="3" t="s">
        <v>26</v>
      </c>
      <c r="R649" s="3">
        <v>0</v>
      </c>
      <c r="S649" s="3">
        <v>0</v>
      </c>
      <c r="T649" s="3">
        <v>37</v>
      </c>
      <c r="U649" s="3">
        <v>78</v>
      </c>
      <c r="V649" s="4">
        <f>IF(ISERROR(VLOOKUP($S$649,'TAR FIN'!$A$1:$O$99,15,0)),0,VLOOKUP($S$649,'TAR FIN'!$A$1:$O$99,15,0))</f>
        <v>0</v>
      </c>
      <c r="W649" s="4">
        <f>IF(ISERROR(VLOOKUP($T$649,'TAR FIN'!$A$1:$O$99,15,0)),0,VLOOKUP($T$649,'TAR FIN'!$A$1:$O$99,15,0))</f>
        <v>348.11</v>
      </c>
      <c r="X649" s="4">
        <f>IF(ISERROR(VLOOKUP($U$649,'TAR FIN'!$A$1:$O$99,15,0)),0,VLOOKUP($U$649,'TAR FIN'!$A$1:$O$99,15,0))</f>
        <v>202.86</v>
      </c>
      <c r="Y649" s="4"/>
      <c r="Z649" s="4">
        <f ca="1">('TUSD BE'!$AM$44+'TUSD BF'!$AM$44+'TUSD CVA'!$AM$44)*(1-CUSTOS!$M$38)</f>
        <v>438.62226072739548</v>
      </c>
      <c r="AA649" s="4">
        <f>('TE BE'!$AA$26+'TE BF'!$AA$26+'TE CVA'!$AA$26)*(1-CUSTOS!$M$38)</f>
        <v>266.83676082414206</v>
      </c>
      <c r="AB649" s="4">
        <f t="shared" si="28"/>
        <v>0</v>
      </c>
      <c r="AC649" s="4">
        <f>(L649-M649)*(W649+X649)+($W$520+$X$520-$W$649-$X$649)*(L649)</f>
        <v>-1337.4919999999997</v>
      </c>
      <c r="AD649" s="4">
        <f t="shared" si="29"/>
        <v>0</v>
      </c>
      <c r="AE649" s="4">
        <f ca="1">(L649-M649)*(Z649+AA649)+($Z$520+$AA$520-$Z$649-$AA$649)*(L649)</f>
        <v>-801.52152661387538</v>
      </c>
      <c r="AF649" s="3" t="s">
        <v>951</v>
      </c>
    </row>
    <row r="650" spans="1:32" ht="11.25" customHeight="1" x14ac:dyDescent="0.25">
      <c r="A650" s="3" t="s">
        <v>28</v>
      </c>
      <c r="B650" s="3" t="s">
        <v>44</v>
      </c>
      <c r="C650" s="3" t="s">
        <v>23</v>
      </c>
      <c r="D650" s="3" t="s">
        <v>45</v>
      </c>
      <c r="E650" s="3" t="s">
        <v>25</v>
      </c>
      <c r="F650" s="3" t="s">
        <v>25</v>
      </c>
      <c r="G650" s="3" t="s">
        <v>25</v>
      </c>
      <c r="H650" s="3" t="s">
        <v>25</v>
      </c>
      <c r="I650" s="6">
        <v>44501</v>
      </c>
      <c r="J650" s="4">
        <v>0</v>
      </c>
      <c r="K650" s="4">
        <v>0</v>
      </c>
      <c r="L650" s="4">
        <v>110.271</v>
      </c>
      <c r="M650" s="4">
        <v>110.271</v>
      </c>
      <c r="N650" s="4">
        <v>110.271</v>
      </c>
      <c r="O650" s="4">
        <v>110.271</v>
      </c>
      <c r="P650" s="4">
        <v>212</v>
      </c>
      <c r="Q650" s="3" t="s">
        <v>26</v>
      </c>
      <c r="R650" s="3">
        <v>0</v>
      </c>
      <c r="S650" s="3">
        <v>0</v>
      </c>
      <c r="T650" s="3">
        <v>37</v>
      </c>
      <c r="U650" s="3">
        <v>78</v>
      </c>
      <c r="V650" s="4">
        <f>IF(ISERROR(VLOOKUP($S$650,'TAR FIN'!$A$1:$O$99,15,0)),0,VLOOKUP($S$650,'TAR FIN'!$A$1:$O$99,15,0))</f>
        <v>0</v>
      </c>
      <c r="W650" s="4">
        <f>IF(ISERROR(VLOOKUP($T$650,'TAR FIN'!$A$1:$O$99,15,0)),0,VLOOKUP($T$650,'TAR FIN'!$A$1:$O$99,15,0))</f>
        <v>348.11</v>
      </c>
      <c r="X650" s="4">
        <f>IF(ISERROR(VLOOKUP($U$650,'TAR FIN'!$A$1:$O$99,15,0)),0,VLOOKUP($U$650,'TAR FIN'!$A$1:$O$99,15,0))</f>
        <v>202.86</v>
      </c>
      <c r="Y650" s="4"/>
      <c r="Z650" s="4">
        <f ca="1">('TUSD BE'!$AM$44+'TUSD BF'!$AM$44+'TUSD CVA'!$AM$44)*(1-CUSTOS!$M$38)</f>
        <v>438.62226072739548</v>
      </c>
      <c r="AA650" s="4">
        <f>('TE BE'!$AA$26+'TE BF'!$AA$26+'TE CVA'!$AA$26)*(1-CUSTOS!$M$38)</f>
        <v>266.83676082414206</v>
      </c>
      <c r="AB650" s="4">
        <f t="shared" si="28"/>
        <v>0</v>
      </c>
      <c r="AC650" s="4">
        <f>(L650-M650)*(W650+X650)+($W$520+$X$520-$W$650-$X$650)*(L650)</f>
        <v>8285.7629399999987</v>
      </c>
      <c r="AD650" s="4">
        <f t="shared" si="29"/>
        <v>0</v>
      </c>
      <c r="AE650" s="4">
        <f ca="1">(L650-M650)*(Z650+AA650)+($Z$520+$AA$520-$Z$650-$AA$650)*(L650)</f>
        <v>4965.4258573729585</v>
      </c>
      <c r="AF650" s="3" t="s">
        <v>951</v>
      </c>
    </row>
    <row r="651" spans="1:32" ht="11.25" customHeight="1" x14ac:dyDescent="0.25">
      <c r="A651" s="3" t="s">
        <v>28</v>
      </c>
      <c r="B651" s="3" t="s">
        <v>44</v>
      </c>
      <c r="C651" s="3" t="s">
        <v>23</v>
      </c>
      <c r="D651" s="3" t="s">
        <v>45</v>
      </c>
      <c r="E651" s="3" t="s">
        <v>25</v>
      </c>
      <c r="F651" s="3" t="s">
        <v>25</v>
      </c>
      <c r="G651" s="3" t="s">
        <v>25</v>
      </c>
      <c r="H651" s="3" t="s">
        <v>25</v>
      </c>
      <c r="I651" s="6">
        <v>44501</v>
      </c>
      <c r="J651" s="4">
        <v>0</v>
      </c>
      <c r="K651" s="4">
        <v>0</v>
      </c>
      <c r="L651" s="4">
        <v>0.49</v>
      </c>
      <c r="M651" s="4">
        <v>0.49</v>
      </c>
      <c r="N651" s="4">
        <v>0.49</v>
      </c>
      <c r="O651" s="4">
        <v>0.49</v>
      </c>
      <c r="P651" s="4">
        <v>0</v>
      </c>
      <c r="Q651" s="3" t="s">
        <v>26</v>
      </c>
      <c r="R651" s="3">
        <v>0</v>
      </c>
      <c r="S651" s="3">
        <v>0</v>
      </c>
      <c r="T651" s="3">
        <v>37</v>
      </c>
      <c r="U651" s="3">
        <v>78</v>
      </c>
      <c r="V651" s="4">
        <f>IF(ISERROR(VLOOKUP($S$651,'TAR FIN'!$A$1:$O$99,15,0)),0,VLOOKUP($S$651,'TAR FIN'!$A$1:$O$99,15,0))</f>
        <v>0</v>
      </c>
      <c r="W651" s="4">
        <f>IF(ISERROR(VLOOKUP($T$651,'TAR FIN'!$A$1:$O$99,15,0)),0,VLOOKUP($T$651,'TAR FIN'!$A$1:$O$99,15,0))</f>
        <v>348.11</v>
      </c>
      <c r="X651" s="4">
        <f>IF(ISERROR(VLOOKUP($U$651,'TAR FIN'!$A$1:$O$99,15,0)),0,VLOOKUP($U$651,'TAR FIN'!$A$1:$O$99,15,0))</f>
        <v>202.86</v>
      </c>
      <c r="Y651" s="4"/>
      <c r="Z651" s="4">
        <f ca="1">('TUSD BE'!$AM$44+'TUSD BF'!$AM$44+'TUSD CVA'!$AM$44)*(1-CUSTOS!$M$38)</f>
        <v>438.62226072739548</v>
      </c>
      <c r="AA651" s="4">
        <f>('TE BE'!$AA$26+'TE BF'!$AA$26+'TE CVA'!$AA$26)*(1-CUSTOS!$M$38)</f>
        <v>266.83676082414206</v>
      </c>
      <c r="AB651" s="4">
        <f t="shared" si="28"/>
        <v>0</v>
      </c>
      <c r="AC651" s="4">
        <f>(L651-M651)*(W651+X651)+($W$520+$X$520-$W$651-$X$651)*(L651)</f>
        <v>36.818599999999989</v>
      </c>
      <c r="AD651" s="4">
        <f t="shared" si="29"/>
        <v>0</v>
      </c>
      <c r="AE651" s="4">
        <f ca="1">(L651-M651)*(Z651+AA651)+($Z$520+$AA$520-$Z$651-$AA$651)*(L651)</f>
        <v>22.064356631505557</v>
      </c>
      <c r="AF651" s="3" t="s">
        <v>951</v>
      </c>
    </row>
    <row r="652" spans="1:32" ht="11.25" customHeight="1" x14ac:dyDescent="0.25">
      <c r="A652" s="3" t="s">
        <v>21</v>
      </c>
      <c r="B652" s="3" t="s">
        <v>44</v>
      </c>
      <c r="C652" s="3" t="s">
        <v>23</v>
      </c>
      <c r="D652" s="3" t="s">
        <v>45</v>
      </c>
      <c r="E652" s="3" t="s">
        <v>25</v>
      </c>
      <c r="F652" s="3" t="s">
        <v>25</v>
      </c>
      <c r="G652" s="3" t="s">
        <v>25</v>
      </c>
      <c r="H652" s="3" t="s">
        <v>25</v>
      </c>
      <c r="I652" s="6">
        <v>44531</v>
      </c>
      <c r="J652" s="4">
        <v>0</v>
      </c>
      <c r="K652" s="4">
        <v>0</v>
      </c>
      <c r="L652" s="4">
        <v>5372.299</v>
      </c>
      <c r="M652" s="4">
        <v>5372.299</v>
      </c>
      <c r="N652" s="4">
        <v>5372.299</v>
      </c>
      <c r="O652" s="4">
        <v>5372.299</v>
      </c>
      <c r="P652" s="4">
        <v>33159</v>
      </c>
      <c r="Q652" s="3" t="s">
        <v>26</v>
      </c>
      <c r="R652" s="3">
        <v>0</v>
      </c>
      <c r="S652" s="3">
        <v>0</v>
      </c>
      <c r="T652" s="3">
        <v>37</v>
      </c>
      <c r="U652" s="3">
        <v>78</v>
      </c>
      <c r="V652" s="4">
        <f>IF(ISERROR(VLOOKUP($S$652,'TAR FIN'!$A$1:$O$99,15,0)),0,VLOOKUP($S$652,'TAR FIN'!$A$1:$O$99,15,0))</f>
        <v>0</v>
      </c>
      <c r="W652" s="4">
        <f>IF(ISERROR(VLOOKUP($T$652,'TAR FIN'!$A$1:$O$99,15,0)),0,VLOOKUP($T$652,'TAR FIN'!$A$1:$O$99,15,0))</f>
        <v>348.11</v>
      </c>
      <c r="X652" s="4">
        <f>IF(ISERROR(VLOOKUP($U$652,'TAR FIN'!$A$1:$O$99,15,0)),0,VLOOKUP($U$652,'TAR FIN'!$A$1:$O$99,15,0))</f>
        <v>202.86</v>
      </c>
      <c r="Y652" s="4"/>
      <c r="Z652" s="4">
        <f ca="1">('TUSD BE'!$AM$44+'TUSD BF'!$AM$44+'TUSD CVA'!$AM$44)*(1-CUSTOS!$M$38)</f>
        <v>438.62226072739548</v>
      </c>
      <c r="AA652" s="4">
        <f>('TE BE'!$AA$26+'TE BF'!$AA$26+'TE CVA'!$AA$26)*(1-CUSTOS!$M$38)</f>
        <v>266.83676082414206</v>
      </c>
      <c r="AB652" s="4">
        <f t="shared" si="28"/>
        <v>0</v>
      </c>
      <c r="AC652" s="4">
        <f>(L652-M652)*(W652+X652)+($W$520+$X$520-$W$652-$X$652)*(L652)</f>
        <v>403674.54685999994</v>
      </c>
      <c r="AD652" s="4">
        <f t="shared" si="29"/>
        <v>0</v>
      </c>
      <c r="AE652" s="4">
        <f ca="1">(L652-M652)*(Z652+AA652)+($Z$520+$AA$520-$Z$652-$AA$652)*(L652)</f>
        <v>241910.85932057281</v>
      </c>
      <c r="AF652" s="3" t="s">
        <v>951</v>
      </c>
    </row>
    <row r="653" spans="1:32" ht="11.25" customHeight="1" x14ac:dyDescent="0.25">
      <c r="A653" s="3" t="s">
        <v>27</v>
      </c>
      <c r="B653" s="3" t="s">
        <v>44</v>
      </c>
      <c r="C653" s="3" t="s">
        <v>23</v>
      </c>
      <c r="D653" s="3" t="s">
        <v>45</v>
      </c>
      <c r="E653" s="3" t="s">
        <v>25</v>
      </c>
      <c r="F653" s="3" t="s">
        <v>25</v>
      </c>
      <c r="G653" s="3" t="s">
        <v>25</v>
      </c>
      <c r="H653" s="3" t="s">
        <v>25</v>
      </c>
      <c r="I653" s="6">
        <v>44531</v>
      </c>
      <c r="J653" s="4">
        <v>0</v>
      </c>
      <c r="K653" s="4">
        <v>0</v>
      </c>
      <c r="L653" s="4">
        <v>-19.481000000000002</v>
      </c>
      <c r="M653" s="4">
        <v>-19.481000000000002</v>
      </c>
      <c r="N653" s="4">
        <v>-19.481000000000002</v>
      </c>
      <c r="O653" s="4">
        <v>-19.481000000000002</v>
      </c>
      <c r="P653" s="4">
        <v>-106</v>
      </c>
      <c r="Q653" s="3" t="s">
        <v>26</v>
      </c>
      <c r="R653" s="3">
        <v>0</v>
      </c>
      <c r="S653" s="3">
        <v>0</v>
      </c>
      <c r="T653" s="3">
        <v>37</v>
      </c>
      <c r="U653" s="3">
        <v>78</v>
      </c>
      <c r="V653" s="4">
        <f>IF(ISERROR(VLOOKUP($S$653,'TAR FIN'!$A$1:$O$99,15,0)),0,VLOOKUP($S$653,'TAR FIN'!$A$1:$O$99,15,0))</f>
        <v>0</v>
      </c>
      <c r="W653" s="4">
        <f>IF(ISERROR(VLOOKUP($T$653,'TAR FIN'!$A$1:$O$99,15,0)),0,VLOOKUP($T$653,'TAR FIN'!$A$1:$O$99,15,0))</f>
        <v>348.11</v>
      </c>
      <c r="X653" s="4">
        <f>IF(ISERROR(VLOOKUP($U$653,'TAR FIN'!$A$1:$O$99,15,0)),0,VLOOKUP($U$653,'TAR FIN'!$A$1:$O$99,15,0))</f>
        <v>202.86</v>
      </c>
      <c r="Y653" s="4"/>
      <c r="Z653" s="4">
        <f ca="1">('TUSD BE'!$AM$44+'TUSD BF'!$AM$44+'TUSD CVA'!$AM$44)*(1-CUSTOS!$M$38)</f>
        <v>438.62226072739548</v>
      </c>
      <c r="AA653" s="4">
        <f>('TE BE'!$AA$26+'TE BF'!$AA$26+'TE CVA'!$AA$26)*(1-CUSTOS!$M$38)</f>
        <v>266.83676082414206</v>
      </c>
      <c r="AB653" s="4">
        <f t="shared" si="28"/>
        <v>0</v>
      </c>
      <c r="AC653" s="4">
        <f>(L653-M653)*(W653+X653)+($W$520+$X$520-$W$653-$X$653)*(L653)</f>
        <v>-1463.80234</v>
      </c>
      <c r="AD653" s="4">
        <f t="shared" si="29"/>
        <v>0</v>
      </c>
      <c r="AE653" s="4">
        <f ca="1">(L653-M653)*(Z653+AA653)+($Z$520+$AA$520-$Z$653-$AA$653)*(L653)</f>
        <v>-877.21577864971391</v>
      </c>
      <c r="AF653" s="3" t="s">
        <v>951</v>
      </c>
    </row>
    <row r="654" spans="1:32" ht="11.25" customHeight="1" x14ac:dyDescent="0.25">
      <c r="A654" s="3" t="s">
        <v>28</v>
      </c>
      <c r="B654" s="3" t="s">
        <v>44</v>
      </c>
      <c r="C654" s="3" t="s">
        <v>23</v>
      </c>
      <c r="D654" s="3" t="s">
        <v>45</v>
      </c>
      <c r="E654" s="3" t="s">
        <v>25</v>
      </c>
      <c r="F654" s="3" t="s">
        <v>25</v>
      </c>
      <c r="G654" s="3" t="s">
        <v>25</v>
      </c>
      <c r="H654" s="3" t="s">
        <v>25</v>
      </c>
      <c r="I654" s="6">
        <v>44531</v>
      </c>
      <c r="J654" s="4">
        <v>0</v>
      </c>
      <c r="K654" s="4">
        <v>0</v>
      </c>
      <c r="L654" s="4">
        <v>118.617</v>
      </c>
      <c r="M654" s="4">
        <v>118.617</v>
      </c>
      <c r="N654" s="4">
        <v>118.617</v>
      </c>
      <c r="O654" s="4">
        <v>118.617</v>
      </c>
      <c r="P654" s="4">
        <v>226</v>
      </c>
      <c r="Q654" s="3" t="s">
        <v>26</v>
      </c>
      <c r="R654" s="3">
        <v>0</v>
      </c>
      <c r="S654" s="3">
        <v>0</v>
      </c>
      <c r="T654" s="3">
        <v>37</v>
      </c>
      <c r="U654" s="3">
        <v>78</v>
      </c>
      <c r="V654" s="4">
        <f>IF(ISERROR(VLOOKUP($S$654,'TAR FIN'!$A$1:$O$99,15,0)),0,VLOOKUP($S$654,'TAR FIN'!$A$1:$O$99,15,0))</f>
        <v>0</v>
      </c>
      <c r="W654" s="4">
        <f>IF(ISERROR(VLOOKUP($T$654,'TAR FIN'!$A$1:$O$99,15,0)),0,VLOOKUP($T$654,'TAR FIN'!$A$1:$O$99,15,0))</f>
        <v>348.11</v>
      </c>
      <c r="X654" s="4">
        <f>IF(ISERROR(VLOOKUP($U$654,'TAR FIN'!$A$1:$O$99,15,0)),0,VLOOKUP($U$654,'TAR FIN'!$A$1:$O$99,15,0))</f>
        <v>202.86</v>
      </c>
      <c r="Y654" s="4"/>
      <c r="Z654" s="4">
        <f ca="1">('TUSD BE'!$AM$44+'TUSD BF'!$AM$44+'TUSD CVA'!$AM$44)*(1-CUSTOS!$M$38)</f>
        <v>438.62226072739548</v>
      </c>
      <c r="AA654" s="4">
        <f>('TE BE'!$AA$26+'TE BF'!$AA$26+'TE CVA'!$AA$26)*(1-CUSTOS!$M$38)</f>
        <v>266.83676082414206</v>
      </c>
      <c r="AB654" s="4">
        <f t="shared" si="28"/>
        <v>0</v>
      </c>
      <c r="AC654" s="4">
        <f>(L654-M654)*(W654+X654)+($W$520+$X$520-$W$654-$X$654)*(L654)</f>
        <v>8912.8813799999989</v>
      </c>
      <c r="AD654" s="4">
        <f t="shared" si="29"/>
        <v>0</v>
      </c>
      <c r="AE654" s="4">
        <f ca="1">(L654-M654)*(Z654+AA654)+($Z$520+$AA$520-$Z$654-$AA$654)*(L654)</f>
        <v>5341.24038889652</v>
      </c>
      <c r="AF654" s="3" t="s">
        <v>951</v>
      </c>
    </row>
    <row r="655" spans="1:32" ht="11.25" customHeight="1" x14ac:dyDescent="0.25">
      <c r="A655" s="3" t="s">
        <v>21</v>
      </c>
      <c r="B655" s="3" t="s">
        <v>44</v>
      </c>
      <c r="C655" s="3" t="s">
        <v>23</v>
      </c>
      <c r="D655" s="3" t="s">
        <v>45</v>
      </c>
      <c r="E655" s="3" t="s">
        <v>25</v>
      </c>
      <c r="F655" s="3" t="s">
        <v>25</v>
      </c>
      <c r="G655" s="3" t="s">
        <v>25</v>
      </c>
      <c r="H655" s="3" t="s">
        <v>25</v>
      </c>
      <c r="I655" s="6">
        <v>44562</v>
      </c>
      <c r="J655" s="4">
        <v>0</v>
      </c>
      <c r="K655" s="4">
        <v>0</v>
      </c>
      <c r="L655" s="4">
        <v>4777.3860000000004</v>
      </c>
      <c r="M655" s="4">
        <v>4777.3860000000004</v>
      </c>
      <c r="N655" s="4">
        <v>4777.3860000000004</v>
      </c>
      <c r="O655" s="4">
        <v>4777.3860000000004</v>
      </c>
      <c r="P655" s="4">
        <v>30763</v>
      </c>
      <c r="Q655" s="3" t="s">
        <v>26</v>
      </c>
      <c r="R655" s="3">
        <v>0</v>
      </c>
      <c r="S655" s="3">
        <v>0</v>
      </c>
      <c r="T655" s="3">
        <v>37</v>
      </c>
      <c r="U655" s="3">
        <v>78</v>
      </c>
      <c r="V655" s="4">
        <f>IF(ISERROR(VLOOKUP($S$655,'TAR FIN'!$A$1:$O$99,15,0)),0,VLOOKUP($S$655,'TAR FIN'!$A$1:$O$99,15,0))</f>
        <v>0</v>
      </c>
      <c r="W655" s="4">
        <f>IF(ISERROR(VLOOKUP($T$655,'TAR FIN'!$A$1:$O$99,15,0)),0,VLOOKUP($T$655,'TAR FIN'!$A$1:$O$99,15,0))</f>
        <v>348.11</v>
      </c>
      <c r="X655" s="4">
        <f>IF(ISERROR(VLOOKUP($U$655,'TAR FIN'!$A$1:$O$99,15,0)),0,VLOOKUP($U$655,'TAR FIN'!$A$1:$O$99,15,0))</f>
        <v>202.86</v>
      </c>
      <c r="Y655" s="4"/>
      <c r="Z655" s="4">
        <f ca="1">('TUSD BE'!$AM$44+'TUSD BF'!$AM$44+'TUSD CVA'!$AM$44)*(1-CUSTOS!$M$38)</f>
        <v>438.62226072739548</v>
      </c>
      <c r="AA655" s="4">
        <f>('TE BE'!$AA$26+'TE BF'!$AA$26+'TE CVA'!$AA$26)*(1-CUSTOS!$M$38)</f>
        <v>266.83676082414206</v>
      </c>
      <c r="AB655" s="4">
        <f t="shared" si="28"/>
        <v>0</v>
      </c>
      <c r="AC655" s="4">
        <f>(L655-M655)*(W655+X655)+($W$520+$X$520-$W$655-$X$655)*(L655)</f>
        <v>358972.78403999994</v>
      </c>
      <c r="AD655" s="4">
        <f t="shared" si="29"/>
        <v>0</v>
      </c>
      <c r="AE655" s="4">
        <f ca="1">(L655-M655)*(Z655+AA655)+($Z$520+$AA$520-$Z$655-$AA$655)*(L655)</f>
        <v>215122.34381706495</v>
      </c>
      <c r="AF655" s="3" t="s">
        <v>951</v>
      </c>
    </row>
    <row r="656" spans="1:32" ht="11.25" customHeight="1" x14ac:dyDescent="0.25">
      <c r="A656" s="3" t="s">
        <v>27</v>
      </c>
      <c r="B656" s="3" t="s">
        <v>44</v>
      </c>
      <c r="C656" s="3" t="s">
        <v>23</v>
      </c>
      <c r="D656" s="3" t="s">
        <v>45</v>
      </c>
      <c r="E656" s="3" t="s">
        <v>25</v>
      </c>
      <c r="F656" s="3" t="s">
        <v>25</v>
      </c>
      <c r="G656" s="3" t="s">
        <v>25</v>
      </c>
      <c r="H656" s="3" t="s">
        <v>25</v>
      </c>
      <c r="I656" s="6">
        <v>44562</v>
      </c>
      <c r="J656" s="4">
        <v>0</v>
      </c>
      <c r="K656" s="4">
        <v>0</v>
      </c>
      <c r="L656" s="4">
        <v>-21.193999999999999</v>
      </c>
      <c r="M656" s="4">
        <v>-21.193999999999999</v>
      </c>
      <c r="N656" s="4">
        <v>-21.193999999999999</v>
      </c>
      <c r="O656" s="4">
        <v>-21.193999999999999</v>
      </c>
      <c r="P656" s="4">
        <v>-179</v>
      </c>
      <c r="Q656" s="3" t="s">
        <v>26</v>
      </c>
      <c r="R656" s="3">
        <v>0</v>
      </c>
      <c r="S656" s="3">
        <v>0</v>
      </c>
      <c r="T656" s="3">
        <v>37</v>
      </c>
      <c r="U656" s="3">
        <v>78</v>
      </c>
      <c r="V656" s="4">
        <f>IF(ISERROR(VLOOKUP($S$656,'TAR FIN'!$A$1:$O$99,15,0)),0,VLOOKUP($S$656,'TAR FIN'!$A$1:$O$99,15,0))</f>
        <v>0</v>
      </c>
      <c r="W656" s="4">
        <f>IF(ISERROR(VLOOKUP($T$656,'TAR FIN'!$A$1:$O$99,15,0)),0,VLOOKUP($T$656,'TAR FIN'!$A$1:$O$99,15,0))</f>
        <v>348.11</v>
      </c>
      <c r="X656" s="4">
        <f>IF(ISERROR(VLOOKUP($U$656,'TAR FIN'!$A$1:$O$99,15,0)),0,VLOOKUP($U$656,'TAR FIN'!$A$1:$O$99,15,0))</f>
        <v>202.86</v>
      </c>
      <c r="Y656" s="4"/>
      <c r="Z656" s="4">
        <f ca="1">('TUSD BE'!$AM$44+'TUSD BF'!$AM$44+'TUSD CVA'!$AM$44)*(1-CUSTOS!$M$38)</f>
        <v>438.62226072739548</v>
      </c>
      <c r="AA656" s="4">
        <f>('TE BE'!$AA$26+'TE BF'!$AA$26+'TE CVA'!$AA$26)*(1-CUSTOS!$M$38)</f>
        <v>266.83676082414206</v>
      </c>
      <c r="AB656" s="4">
        <f t="shared" si="28"/>
        <v>0</v>
      </c>
      <c r="AC656" s="4">
        <f>(L656-M656)*(W656+X656)+($W$520+$X$520-$W$656-$X$656)*(L656)</f>
        <v>-1592.5171599999996</v>
      </c>
      <c r="AD656" s="4">
        <f t="shared" si="29"/>
        <v>0</v>
      </c>
      <c r="AE656" s="4">
        <f ca="1">(L656-M656)*(Z656+AA656)+($Z$520+$AA$520-$Z$656-$AA$656)*(L656)</f>
        <v>-954.35096826148731</v>
      </c>
      <c r="AF656" s="3" t="s">
        <v>951</v>
      </c>
    </row>
    <row r="657" spans="1:32" ht="11.25" customHeight="1" x14ac:dyDescent="0.25">
      <c r="A657" s="3" t="s">
        <v>28</v>
      </c>
      <c r="B657" s="3" t="s">
        <v>44</v>
      </c>
      <c r="C657" s="3" t="s">
        <v>23</v>
      </c>
      <c r="D657" s="3" t="s">
        <v>45</v>
      </c>
      <c r="E657" s="3" t="s">
        <v>25</v>
      </c>
      <c r="F657" s="3" t="s">
        <v>25</v>
      </c>
      <c r="G657" s="3" t="s">
        <v>25</v>
      </c>
      <c r="H657" s="3" t="s">
        <v>25</v>
      </c>
      <c r="I657" s="6">
        <v>44562</v>
      </c>
      <c r="J657" s="4">
        <v>0</v>
      </c>
      <c r="K657" s="4">
        <v>0</v>
      </c>
      <c r="L657" s="4">
        <v>107.86</v>
      </c>
      <c r="M657" s="4">
        <v>107.86</v>
      </c>
      <c r="N657" s="4">
        <v>107.86</v>
      </c>
      <c r="O657" s="4">
        <v>107.86</v>
      </c>
      <c r="P657" s="4">
        <v>241</v>
      </c>
      <c r="Q657" s="3" t="s">
        <v>26</v>
      </c>
      <c r="R657" s="3">
        <v>0</v>
      </c>
      <c r="S657" s="3">
        <v>0</v>
      </c>
      <c r="T657" s="3">
        <v>37</v>
      </c>
      <c r="U657" s="3">
        <v>78</v>
      </c>
      <c r="V657" s="4">
        <f>IF(ISERROR(VLOOKUP($S$657,'TAR FIN'!$A$1:$O$99,15,0)),0,VLOOKUP($S$657,'TAR FIN'!$A$1:$O$99,15,0))</f>
        <v>0</v>
      </c>
      <c r="W657" s="4">
        <f>IF(ISERROR(VLOOKUP($T$657,'TAR FIN'!$A$1:$O$99,15,0)),0,VLOOKUP($T$657,'TAR FIN'!$A$1:$O$99,15,0))</f>
        <v>348.11</v>
      </c>
      <c r="X657" s="4">
        <f>IF(ISERROR(VLOOKUP($U$657,'TAR FIN'!$A$1:$O$99,15,0)),0,VLOOKUP($U$657,'TAR FIN'!$A$1:$O$99,15,0))</f>
        <v>202.86</v>
      </c>
      <c r="Y657" s="4"/>
      <c r="Z657" s="4">
        <f ca="1">('TUSD BE'!$AM$44+'TUSD BF'!$AM$44+'TUSD CVA'!$AM$44)*(1-CUSTOS!$M$38)</f>
        <v>438.62226072739548</v>
      </c>
      <c r="AA657" s="4">
        <f>('TE BE'!$AA$26+'TE BF'!$AA$26+'TE CVA'!$AA$26)*(1-CUSTOS!$M$38)</f>
        <v>266.83676082414206</v>
      </c>
      <c r="AB657" s="4">
        <f t="shared" si="28"/>
        <v>0</v>
      </c>
      <c r="AC657" s="4">
        <f>(L657-M657)*(W657+X657)+($W$520+$X$520-$W$657-$X$657)*(L657)</f>
        <v>8104.6003999999984</v>
      </c>
      <c r="AD657" s="4">
        <f t="shared" si="29"/>
        <v>0</v>
      </c>
      <c r="AE657" s="4">
        <f ca="1">(L657-M657)*(Z657+AA657)+($Z$520+$AA$520-$Z$657-$AA$657)*(L657)</f>
        <v>4856.8602168861007</v>
      </c>
      <c r="AF657" s="3" t="s">
        <v>951</v>
      </c>
    </row>
    <row r="658" spans="1:32" ht="11.25" customHeight="1" x14ac:dyDescent="0.25">
      <c r="A658" s="3" t="s">
        <v>21</v>
      </c>
      <c r="B658" s="3" t="s">
        <v>44</v>
      </c>
      <c r="C658" s="3" t="s">
        <v>23</v>
      </c>
      <c r="D658" s="3" t="s">
        <v>45</v>
      </c>
      <c r="E658" s="3" t="s">
        <v>25</v>
      </c>
      <c r="F658" s="3" t="s">
        <v>25</v>
      </c>
      <c r="G658" s="3" t="s">
        <v>25</v>
      </c>
      <c r="H658" s="3" t="s">
        <v>25</v>
      </c>
      <c r="I658" s="6">
        <v>44593</v>
      </c>
      <c r="J658" s="4">
        <v>0</v>
      </c>
      <c r="K658" s="4">
        <v>0</v>
      </c>
      <c r="L658" s="4">
        <v>4650.3680000000004</v>
      </c>
      <c r="M658" s="4">
        <v>4650.3680000000004</v>
      </c>
      <c r="N658" s="4">
        <v>4650.3680000000004</v>
      </c>
      <c r="O658" s="4">
        <v>4650.3680000000004</v>
      </c>
      <c r="P658" s="4">
        <v>30365</v>
      </c>
      <c r="Q658" s="3" t="s">
        <v>26</v>
      </c>
      <c r="R658" s="3">
        <v>0</v>
      </c>
      <c r="S658" s="3">
        <v>0</v>
      </c>
      <c r="T658" s="3">
        <v>37</v>
      </c>
      <c r="U658" s="3">
        <v>78</v>
      </c>
      <c r="V658" s="4">
        <f>IF(ISERROR(VLOOKUP($S$658,'TAR FIN'!$A$1:$O$99,15,0)),0,VLOOKUP($S$658,'TAR FIN'!$A$1:$O$99,15,0))</f>
        <v>0</v>
      </c>
      <c r="W658" s="4">
        <f>IF(ISERROR(VLOOKUP($T$658,'TAR FIN'!$A$1:$O$99,15,0)),0,VLOOKUP($T$658,'TAR FIN'!$A$1:$O$99,15,0))</f>
        <v>348.11</v>
      </c>
      <c r="X658" s="4">
        <f>IF(ISERROR(VLOOKUP($U$658,'TAR FIN'!$A$1:$O$99,15,0)),0,VLOOKUP($U$658,'TAR FIN'!$A$1:$O$99,15,0))</f>
        <v>202.86</v>
      </c>
      <c r="Y658" s="4"/>
      <c r="Z658" s="4">
        <f ca="1">('TUSD BE'!$AM$44+'TUSD BF'!$AM$44+'TUSD CVA'!$AM$44)*(1-CUSTOS!$M$38)</f>
        <v>438.62226072739548</v>
      </c>
      <c r="AA658" s="4">
        <f>('TE BE'!$AA$26+'TE BF'!$AA$26+'TE CVA'!$AA$26)*(1-CUSTOS!$M$38)</f>
        <v>266.83676082414206</v>
      </c>
      <c r="AB658" s="4">
        <f t="shared" si="28"/>
        <v>0</v>
      </c>
      <c r="AC658" s="4">
        <f>(L658-M658)*(W658+X658)+($W$520+$X$520-$W$658-$X$658)*(L658)</f>
        <v>349428.65151999996</v>
      </c>
      <c r="AD658" s="4">
        <f t="shared" si="29"/>
        <v>0</v>
      </c>
      <c r="AE658" s="4">
        <f ca="1">(L658-M658)*(Z658+AA658)+($Z$520+$AA$520-$Z$658-$AA$658)*(L658)</f>
        <v>209402.81228518623</v>
      </c>
      <c r="AF658" s="3" t="s">
        <v>951</v>
      </c>
    </row>
    <row r="659" spans="1:32" ht="11.25" customHeight="1" x14ac:dyDescent="0.25">
      <c r="A659" s="3" t="s">
        <v>27</v>
      </c>
      <c r="B659" s="3" t="s">
        <v>44</v>
      </c>
      <c r="C659" s="3" t="s">
        <v>23</v>
      </c>
      <c r="D659" s="3" t="s">
        <v>45</v>
      </c>
      <c r="E659" s="3" t="s">
        <v>25</v>
      </c>
      <c r="F659" s="3" t="s">
        <v>25</v>
      </c>
      <c r="G659" s="3" t="s">
        <v>25</v>
      </c>
      <c r="H659" s="3" t="s">
        <v>25</v>
      </c>
      <c r="I659" s="6">
        <v>44593</v>
      </c>
      <c r="J659" s="4">
        <v>0</v>
      </c>
      <c r="K659" s="4">
        <v>0</v>
      </c>
      <c r="L659" s="4">
        <v>-13.035</v>
      </c>
      <c r="M659" s="4">
        <v>-13.035</v>
      </c>
      <c r="N659" s="4">
        <v>-13.035</v>
      </c>
      <c r="O659" s="4">
        <v>-13.035</v>
      </c>
      <c r="P659" s="4">
        <v>-129</v>
      </c>
      <c r="Q659" s="3" t="s">
        <v>26</v>
      </c>
      <c r="R659" s="3">
        <v>0</v>
      </c>
      <c r="S659" s="3">
        <v>0</v>
      </c>
      <c r="T659" s="3">
        <v>37</v>
      </c>
      <c r="U659" s="3">
        <v>78</v>
      </c>
      <c r="V659" s="4">
        <f>IF(ISERROR(VLOOKUP($S$659,'TAR FIN'!$A$1:$O$99,15,0)),0,VLOOKUP($S$659,'TAR FIN'!$A$1:$O$99,15,0))</f>
        <v>0</v>
      </c>
      <c r="W659" s="4">
        <f>IF(ISERROR(VLOOKUP($T$659,'TAR FIN'!$A$1:$O$99,15,0)),0,VLOOKUP($T$659,'TAR FIN'!$A$1:$O$99,15,0))</f>
        <v>348.11</v>
      </c>
      <c r="X659" s="4">
        <f>IF(ISERROR(VLOOKUP($U$659,'TAR FIN'!$A$1:$O$99,15,0)),0,VLOOKUP($U$659,'TAR FIN'!$A$1:$O$99,15,0))</f>
        <v>202.86</v>
      </c>
      <c r="Y659" s="4"/>
      <c r="Z659" s="4">
        <f ca="1">('TUSD BE'!$AM$44+'TUSD BF'!$AM$44+'TUSD CVA'!$AM$44)*(1-CUSTOS!$M$38)</f>
        <v>438.62226072739548</v>
      </c>
      <c r="AA659" s="4">
        <f>('TE BE'!$AA$26+'TE BF'!$AA$26+'TE CVA'!$AA$26)*(1-CUSTOS!$M$38)</f>
        <v>266.83676082414206</v>
      </c>
      <c r="AB659" s="4">
        <f t="shared" si="28"/>
        <v>0</v>
      </c>
      <c r="AC659" s="4">
        <f>(L659-M659)*(W659+X659)+($W$520+$X$520-$W$659-$X$659)*(L659)</f>
        <v>-979.44989999999984</v>
      </c>
      <c r="AD659" s="4">
        <f t="shared" si="29"/>
        <v>0</v>
      </c>
      <c r="AE659" s="4">
        <f ca="1">(L659-M659)*(Z659+AA659)+($Z$520+$AA$520-$Z$659-$AA$659)*(L659)</f>
        <v>-586.95691569729581</v>
      </c>
      <c r="AF659" s="3" t="s">
        <v>951</v>
      </c>
    </row>
    <row r="660" spans="1:32" ht="11.25" customHeight="1" x14ac:dyDescent="0.25">
      <c r="A660" s="3" t="s">
        <v>28</v>
      </c>
      <c r="B660" s="3" t="s">
        <v>44</v>
      </c>
      <c r="C660" s="3" t="s">
        <v>23</v>
      </c>
      <c r="D660" s="3" t="s">
        <v>45</v>
      </c>
      <c r="E660" s="3" t="s">
        <v>25</v>
      </c>
      <c r="F660" s="3" t="s">
        <v>25</v>
      </c>
      <c r="G660" s="3" t="s">
        <v>25</v>
      </c>
      <c r="H660" s="3" t="s">
        <v>25</v>
      </c>
      <c r="I660" s="6">
        <v>44593</v>
      </c>
      <c r="J660" s="4">
        <v>0</v>
      </c>
      <c r="K660" s="4">
        <v>0</v>
      </c>
      <c r="L660" s="4">
        <v>105.203</v>
      </c>
      <c r="M660" s="4">
        <v>105.203</v>
      </c>
      <c r="N660" s="4">
        <v>105.203</v>
      </c>
      <c r="O660" s="4">
        <v>105.203</v>
      </c>
      <c r="P660" s="4">
        <v>256</v>
      </c>
      <c r="Q660" s="3" t="s">
        <v>26</v>
      </c>
      <c r="R660" s="3">
        <v>0</v>
      </c>
      <c r="S660" s="3">
        <v>0</v>
      </c>
      <c r="T660" s="3">
        <v>37</v>
      </c>
      <c r="U660" s="3">
        <v>78</v>
      </c>
      <c r="V660" s="4">
        <f>IF(ISERROR(VLOOKUP($S$660,'TAR FIN'!$A$1:$O$99,15,0)),0,VLOOKUP($S$660,'TAR FIN'!$A$1:$O$99,15,0))</f>
        <v>0</v>
      </c>
      <c r="W660" s="4">
        <f>IF(ISERROR(VLOOKUP($T$660,'TAR FIN'!$A$1:$O$99,15,0)),0,VLOOKUP($T$660,'TAR FIN'!$A$1:$O$99,15,0))</f>
        <v>348.11</v>
      </c>
      <c r="X660" s="4">
        <f>IF(ISERROR(VLOOKUP($U$660,'TAR FIN'!$A$1:$O$99,15,0)),0,VLOOKUP($U$660,'TAR FIN'!$A$1:$O$99,15,0))</f>
        <v>202.86</v>
      </c>
      <c r="Y660" s="4"/>
      <c r="Z660" s="4">
        <f ca="1">('TUSD BE'!$AM$44+'TUSD BF'!$AM$44+'TUSD CVA'!$AM$44)*(1-CUSTOS!$M$38)</f>
        <v>438.62226072739548</v>
      </c>
      <c r="AA660" s="4">
        <f>('TE BE'!$AA$26+'TE BF'!$AA$26+'TE CVA'!$AA$26)*(1-CUSTOS!$M$38)</f>
        <v>266.83676082414206</v>
      </c>
      <c r="AB660" s="4">
        <f t="shared" si="28"/>
        <v>0</v>
      </c>
      <c r="AC660" s="4">
        <f>(L660-M660)*(W660+X660)+($W$520+$X$520-$W$660-$X$660)*(L660)</f>
        <v>7904.9534199999989</v>
      </c>
      <c r="AD660" s="4">
        <f t="shared" si="29"/>
        <v>0</v>
      </c>
      <c r="AE660" s="4">
        <f ca="1">(L660-M660)*(Z660+AA660)+($Z$520+$AA$520-$Z$660-$AA$660)*(L660)</f>
        <v>4737.2173687842433</v>
      </c>
      <c r="AF660" s="3" t="s">
        <v>951</v>
      </c>
    </row>
    <row r="661" spans="1:32" ht="11.25" customHeight="1" x14ac:dyDescent="0.25">
      <c r="A661" s="3" t="s">
        <v>21</v>
      </c>
      <c r="B661" s="3" t="s">
        <v>44</v>
      </c>
      <c r="C661" s="3" t="s">
        <v>23</v>
      </c>
      <c r="D661" s="3" t="s">
        <v>45</v>
      </c>
      <c r="E661" s="3" t="s">
        <v>25</v>
      </c>
      <c r="F661" s="3" t="s">
        <v>25</v>
      </c>
      <c r="G661" s="3" t="s">
        <v>25</v>
      </c>
      <c r="H661" s="3" t="s">
        <v>25</v>
      </c>
      <c r="I661" s="6">
        <v>44621</v>
      </c>
      <c r="J661" s="4">
        <v>0</v>
      </c>
      <c r="K661" s="4">
        <v>0</v>
      </c>
      <c r="L661" s="4">
        <v>4715.38</v>
      </c>
      <c r="M661" s="4">
        <v>4715.38</v>
      </c>
      <c r="N661" s="4">
        <v>4715.38</v>
      </c>
      <c r="O661" s="4">
        <v>4715.38</v>
      </c>
      <c r="P661" s="4">
        <v>29947</v>
      </c>
      <c r="Q661" s="3" t="s">
        <v>26</v>
      </c>
      <c r="R661" s="3">
        <v>0</v>
      </c>
      <c r="S661" s="3">
        <v>0</v>
      </c>
      <c r="T661" s="3">
        <v>37</v>
      </c>
      <c r="U661" s="3">
        <v>78</v>
      </c>
      <c r="V661" s="4">
        <f>IF(ISERROR(VLOOKUP($S$661,'TAR FIN'!$A$1:$O$99,15,0)),0,VLOOKUP($S$661,'TAR FIN'!$A$1:$O$99,15,0))</f>
        <v>0</v>
      </c>
      <c r="W661" s="4">
        <f>IF(ISERROR(VLOOKUP($T$661,'TAR FIN'!$A$1:$O$99,15,0)),0,VLOOKUP($T$661,'TAR FIN'!$A$1:$O$99,15,0))</f>
        <v>348.11</v>
      </c>
      <c r="X661" s="4">
        <f>IF(ISERROR(VLOOKUP($U$661,'TAR FIN'!$A$1:$O$99,15,0)),0,VLOOKUP($U$661,'TAR FIN'!$A$1:$O$99,15,0))</f>
        <v>202.86</v>
      </c>
      <c r="Y661" s="4"/>
      <c r="Z661" s="4">
        <f ca="1">('TUSD BE'!$AM$44+'TUSD BF'!$AM$44+'TUSD CVA'!$AM$44)*(1-CUSTOS!$M$38)</f>
        <v>438.62226072739548</v>
      </c>
      <c r="AA661" s="4">
        <f>('TE BE'!$AA$26+'TE BF'!$AA$26+'TE CVA'!$AA$26)*(1-CUSTOS!$M$38)</f>
        <v>266.83676082414206</v>
      </c>
      <c r="AB661" s="4">
        <f t="shared" si="28"/>
        <v>0</v>
      </c>
      <c r="AC661" s="4">
        <f>(L661-M661)*(W661+X661)+($W$520+$X$520-$W$661-$X$661)*(L661)</f>
        <v>354313.65319999994</v>
      </c>
      <c r="AD661" s="4">
        <f t="shared" si="29"/>
        <v>0</v>
      </c>
      <c r="AE661" s="4">
        <f ca="1">(L661-M661)*(Z661+AA661)+($Z$520+$AA$520-$Z$661-$AA$661)*(L661)</f>
        <v>212330.25708789527</v>
      </c>
      <c r="AF661" s="3" t="s">
        <v>951</v>
      </c>
    </row>
    <row r="662" spans="1:32" ht="11.25" customHeight="1" x14ac:dyDescent="0.25">
      <c r="A662" s="3" t="s">
        <v>27</v>
      </c>
      <c r="B662" s="3" t="s">
        <v>44</v>
      </c>
      <c r="C662" s="3" t="s">
        <v>23</v>
      </c>
      <c r="D662" s="3" t="s">
        <v>45</v>
      </c>
      <c r="E662" s="3" t="s">
        <v>25</v>
      </c>
      <c r="F662" s="3" t="s">
        <v>25</v>
      </c>
      <c r="G662" s="3" t="s">
        <v>25</v>
      </c>
      <c r="H662" s="3" t="s">
        <v>25</v>
      </c>
      <c r="I662" s="6">
        <v>44621</v>
      </c>
      <c r="J662" s="4">
        <v>0</v>
      </c>
      <c r="K662" s="4">
        <v>0</v>
      </c>
      <c r="L662" s="4">
        <v>-43.738</v>
      </c>
      <c r="M662" s="4">
        <v>-43.738</v>
      </c>
      <c r="N662" s="4">
        <v>-43.738</v>
      </c>
      <c r="O662" s="4">
        <v>-43.738</v>
      </c>
      <c r="P662" s="4">
        <v>-8</v>
      </c>
      <c r="Q662" s="3" t="s">
        <v>26</v>
      </c>
      <c r="R662" s="3">
        <v>0</v>
      </c>
      <c r="S662" s="3">
        <v>0</v>
      </c>
      <c r="T662" s="3">
        <v>37</v>
      </c>
      <c r="U662" s="3">
        <v>78</v>
      </c>
      <c r="V662" s="4">
        <f>IF(ISERROR(VLOOKUP($S$662,'TAR FIN'!$A$1:$O$99,15,0)),0,VLOOKUP($S$662,'TAR FIN'!$A$1:$O$99,15,0))</f>
        <v>0</v>
      </c>
      <c r="W662" s="4">
        <f>IF(ISERROR(VLOOKUP($T$662,'TAR FIN'!$A$1:$O$99,15,0)),0,VLOOKUP($T$662,'TAR FIN'!$A$1:$O$99,15,0))</f>
        <v>348.11</v>
      </c>
      <c r="X662" s="4">
        <f>IF(ISERROR(VLOOKUP($U$662,'TAR FIN'!$A$1:$O$99,15,0)),0,VLOOKUP($U$662,'TAR FIN'!$A$1:$O$99,15,0))</f>
        <v>202.86</v>
      </c>
      <c r="Y662" s="4"/>
      <c r="Z662" s="4">
        <f ca="1">('TUSD BE'!$AM$44+'TUSD BF'!$AM$44+'TUSD CVA'!$AM$44)*(1-CUSTOS!$M$38)</f>
        <v>438.62226072739548</v>
      </c>
      <c r="AA662" s="4">
        <f>('TE BE'!$AA$26+'TE BF'!$AA$26+'TE CVA'!$AA$26)*(1-CUSTOS!$M$38)</f>
        <v>266.83676082414206</v>
      </c>
      <c r="AB662" s="4">
        <f t="shared" si="28"/>
        <v>0</v>
      </c>
      <c r="AC662" s="4">
        <f>(L662-M662)*(W662+X662)+($W$520+$X$520-$W$662-$X$662)*(L662)</f>
        <v>-3286.4733199999991</v>
      </c>
      <c r="AD662" s="4">
        <f t="shared" si="29"/>
        <v>0</v>
      </c>
      <c r="AE662" s="4">
        <f ca="1">(L662-M662)*(Z662+AA662)+($Z$520+$AA$520-$Z$662-$AA$662)*(L662)</f>
        <v>-1969.4914905077349</v>
      </c>
      <c r="AF662" s="3" t="s">
        <v>951</v>
      </c>
    </row>
    <row r="663" spans="1:32" ht="11.25" customHeight="1" x14ac:dyDescent="0.25">
      <c r="A663" s="3" t="s">
        <v>28</v>
      </c>
      <c r="B663" s="3" t="s">
        <v>44</v>
      </c>
      <c r="C663" s="3" t="s">
        <v>23</v>
      </c>
      <c r="D663" s="3" t="s">
        <v>45</v>
      </c>
      <c r="E663" s="3" t="s">
        <v>25</v>
      </c>
      <c r="F663" s="3" t="s">
        <v>25</v>
      </c>
      <c r="G663" s="3" t="s">
        <v>25</v>
      </c>
      <c r="H663" s="3" t="s">
        <v>25</v>
      </c>
      <c r="I663" s="6">
        <v>44621</v>
      </c>
      <c r="J663" s="4">
        <v>0</v>
      </c>
      <c r="K663" s="4">
        <v>0</v>
      </c>
      <c r="L663" s="4">
        <v>113.006</v>
      </c>
      <c r="M663" s="4">
        <v>113.006</v>
      </c>
      <c r="N663" s="4">
        <v>113.006</v>
      </c>
      <c r="O663" s="4">
        <v>113.006</v>
      </c>
      <c r="P663" s="4">
        <v>282</v>
      </c>
      <c r="Q663" s="3" t="s">
        <v>26</v>
      </c>
      <c r="R663" s="3">
        <v>0</v>
      </c>
      <c r="S663" s="3">
        <v>0</v>
      </c>
      <c r="T663" s="3">
        <v>37</v>
      </c>
      <c r="U663" s="3">
        <v>78</v>
      </c>
      <c r="V663" s="4">
        <f>IF(ISERROR(VLOOKUP($S$663,'TAR FIN'!$A$1:$O$99,15,0)),0,VLOOKUP($S$663,'TAR FIN'!$A$1:$O$99,15,0))</f>
        <v>0</v>
      </c>
      <c r="W663" s="4">
        <f>IF(ISERROR(VLOOKUP($T$663,'TAR FIN'!$A$1:$O$99,15,0)),0,VLOOKUP($T$663,'TAR FIN'!$A$1:$O$99,15,0))</f>
        <v>348.11</v>
      </c>
      <c r="X663" s="4">
        <f>IF(ISERROR(VLOOKUP($U$663,'TAR FIN'!$A$1:$O$99,15,0)),0,VLOOKUP($U$663,'TAR FIN'!$A$1:$O$99,15,0))</f>
        <v>202.86</v>
      </c>
      <c r="Y663" s="4"/>
      <c r="Z663" s="4">
        <f ca="1">('TUSD BE'!$AM$44+'TUSD BF'!$AM$44+'TUSD CVA'!$AM$44)*(1-CUSTOS!$M$38)</f>
        <v>438.62226072739548</v>
      </c>
      <c r="AA663" s="4">
        <f>('TE BE'!$AA$26+'TE BF'!$AA$26+'TE CVA'!$AA$26)*(1-CUSTOS!$M$38)</f>
        <v>266.83676082414206</v>
      </c>
      <c r="AB663" s="4">
        <f t="shared" si="28"/>
        <v>0</v>
      </c>
      <c r="AC663" s="4">
        <f>(L663-M663)*(W663+X663)+($W$520+$X$520-$W$663-$X$663)*(L663)</f>
        <v>8491.2708399999992</v>
      </c>
      <c r="AD663" s="4">
        <f t="shared" si="29"/>
        <v>0</v>
      </c>
      <c r="AE663" s="4">
        <f ca="1">(L663-M663)*(Z663+AA663)+($Z$520+$AA$520-$Z$663-$AA$663)*(L663)</f>
        <v>5088.5809908161573</v>
      </c>
      <c r="AF663" s="3" t="s">
        <v>951</v>
      </c>
    </row>
    <row r="664" spans="1:32" ht="11.25" customHeight="1" x14ac:dyDescent="0.25">
      <c r="A664" s="3" t="s">
        <v>28</v>
      </c>
      <c r="B664" s="3" t="s">
        <v>44</v>
      </c>
      <c r="C664" s="3" t="s">
        <v>23</v>
      </c>
      <c r="D664" s="3" t="s">
        <v>45</v>
      </c>
      <c r="E664" s="3" t="s">
        <v>25</v>
      </c>
      <c r="F664" s="3" t="s">
        <v>25</v>
      </c>
      <c r="G664" s="3" t="s">
        <v>25</v>
      </c>
      <c r="H664" s="3" t="s">
        <v>25</v>
      </c>
      <c r="I664" s="6">
        <v>44621</v>
      </c>
      <c r="J664" s="4">
        <v>0</v>
      </c>
      <c r="K664" s="4">
        <v>0</v>
      </c>
      <c r="L664" s="4">
        <v>7.0640000000000001</v>
      </c>
      <c r="M664" s="4">
        <v>7.0640000000000001</v>
      </c>
      <c r="N664" s="4">
        <v>7.0640000000000001</v>
      </c>
      <c r="O664" s="4">
        <v>7.0640000000000001</v>
      </c>
      <c r="P664" s="4">
        <v>2</v>
      </c>
      <c r="Q664" s="3" t="s">
        <v>26</v>
      </c>
      <c r="R664" s="3">
        <v>0</v>
      </c>
      <c r="S664" s="3">
        <v>0</v>
      </c>
      <c r="T664" s="3">
        <v>37</v>
      </c>
      <c r="U664" s="3">
        <v>78</v>
      </c>
      <c r="V664" s="4">
        <f>IF(ISERROR(VLOOKUP($S$664,'TAR FIN'!$A$1:$O$99,15,0)),0,VLOOKUP($S$664,'TAR FIN'!$A$1:$O$99,15,0))</f>
        <v>0</v>
      </c>
      <c r="W664" s="4">
        <f>IF(ISERROR(VLOOKUP($T$664,'TAR FIN'!$A$1:$O$99,15,0)),0,VLOOKUP($T$664,'TAR FIN'!$A$1:$O$99,15,0))</f>
        <v>348.11</v>
      </c>
      <c r="X664" s="4">
        <f>IF(ISERROR(VLOOKUP($U$664,'TAR FIN'!$A$1:$O$99,15,0)),0,VLOOKUP($U$664,'TAR FIN'!$A$1:$O$99,15,0))</f>
        <v>202.86</v>
      </c>
      <c r="Y664" s="4"/>
      <c r="Z664" s="4">
        <f ca="1">('TUSD BE'!$AM$44+'TUSD BF'!$AM$44+'TUSD CVA'!$AM$44)*(1-CUSTOS!$M$38)</f>
        <v>438.62226072739548</v>
      </c>
      <c r="AA664" s="4">
        <f>('TE BE'!$AA$26+'TE BF'!$AA$26+'TE CVA'!$AA$26)*(1-CUSTOS!$M$38)</f>
        <v>266.83676082414206</v>
      </c>
      <c r="AB664" s="4">
        <f t="shared" si="28"/>
        <v>0</v>
      </c>
      <c r="AC664" s="4">
        <f>(L664-M664)*(W664+X664)+($W$520+$X$520-$W$664-$X$664)*(L664)</f>
        <v>530.78895999999986</v>
      </c>
      <c r="AD664" s="4">
        <f t="shared" si="29"/>
        <v>0</v>
      </c>
      <c r="AE664" s="4">
        <f ca="1">(L664-M664)*(Z664+AA664)+($Z$520+$AA$520-$Z$664-$AA$664)*(L664)</f>
        <v>318.08696988766383</v>
      </c>
      <c r="AF664" s="3" t="s">
        <v>951</v>
      </c>
    </row>
    <row r="665" spans="1:32" ht="11.25" customHeight="1" x14ac:dyDescent="0.25">
      <c r="A665" s="3" t="s">
        <v>56</v>
      </c>
      <c r="B665" s="3" t="s">
        <v>44</v>
      </c>
      <c r="C665" s="3" t="s">
        <v>23</v>
      </c>
      <c r="D665" s="3" t="s">
        <v>45</v>
      </c>
      <c r="E665" s="3" t="s">
        <v>25</v>
      </c>
      <c r="F665" s="3" t="s">
        <v>25</v>
      </c>
      <c r="G665" s="3" t="s">
        <v>25</v>
      </c>
      <c r="H665" s="3" t="s">
        <v>25</v>
      </c>
      <c r="I665" s="6">
        <v>44652</v>
      </c>
      <c r="J665" s="4">
        <v>0</v>
      </c>
      <c r="K665" s="4">
        <v>0</v>
      </c>
      <c r="L665" s="4">
        <v>4715.38</v>
      </c>
      <c r="M665" s="4">
        <v>4715.38</v>
      </c>
      <c r="N665" s="4">
        <v>4715.38</v>
      </c>
      <c r="O665" s="4">
        <v>4715.38</v>
      </c>
      <c r="P665" s="4">
        <v>29947</v>
      </c>
      <c r="Q665" s="3" t="s">
        <v>26</v>
      </c>
      <c r="R665" s="3">
        <v>0</v>
      </c>
      <c r="S665" s="3">
        <v>0</v>
      </c>
      <c r="T665" s="3">
        <v>37</v>
      </c>
      <c r="U665" s="3">
        <v>78</v>
      </c>
      <c r="V665" s="4">
        <f>IF(ISERROR(VLOOKUP($S$665,'TAR FIN'!$A$1:$O$99,15,0)),0,VLOOKUP($S$665,'TAR FIN'!$A$1:$O$99,15,0))</f>
        <v>0</v>
      </c>
      <c r="W665" s="4">
        <f>IF(ISERROR(VLOOKUP($T$665,'TAR FIN'!$A$1:$O$99,15,0)),0,VLOOKUP($T$665,'TAR FIN'!$A$1:$O$99,15,0))</f>
        <v>348.11</v>
      </c>
      <c r="X665" s="4">
        <f>IF(ISERROR(VLOOKUP($U$665,'TAR FIN'!$A$1:$O$99,15,0)),0,VLOOKUP($U$665,'TAR FIN'!$A$1:$O$99,15,0))</f>
        <v>202.86</v>
      </c>
      <c r="Y665" s="4"/>
      <c r="Z665" s="4">
        <f ca="1">('TUSD BE'!$AM$44+'TUSD BF'!$AM$44+'TUSD CVA'!$AM$44)*(1-CUSTOS!$M$38)</f>
        <v>438.62226072739548</v>
      </c>
      <c r="AA665" s="4">
        <f>('TE BE'!$AA$26+'TE BF'!$AA$26+'TE CVA'!$AA$26)*(1-CUSTOS!$M$38)</f>
        <v>266.83676082414206</v>
      </c>
      <c r="AB665" s="4">
        <f t="shared" si="28"/>
        <v>0</v>
      </c>
      <c r="AC665" s="4">
        <f>(L665-M665)*(W665+X665)+($W$520+$X$520-$W$665-$X$665)*(L665)</f>
        <v>354313.65319999994</v>
      </c>
      <c r="AD665" s="4">
        <f t="shared" si="29"/>
        <v>0</v>
      </c>
      <c r="AE665" s="4">
        <f ca="1">(L665-M665)*(Z665+AA665)+($Z$520+$AA$520-$Z$665-$AA$665)*(L665)</f>
        <v>212330.25708789527</v>
      </c>
      <c r="AF665" s="3" t="s">
        <v>951</v>
      </c>
    </row>
    <row r="666" spans="1:32" ht="11.25" customHeight="1" x14ac:dyDescent="0.25">
      <c r="A666" s="3" t="s">
        <v>56</v>
      </c>
      <c r="B666" s="3" t="s">
        <v>44</v>
      </c>
      <c r="C666" s="3" t="s">
        <v>23</v>
      </c>
      <c r="D666" s="3" t="s">
        <v>45</v>
      </c>
      <c r="E666" s="3" t="s">
        <v>25</v>
      </c>
      <c r="F666" s="3" t="s">
        <v>25</v>
      </c>
      <c r="G666" s="3" t="s">
        <v>25</v>
      </c>
      <c r="H666" s="3" t="s">
        <v>25</v>
      </c>
      <c r="I666" s="6">
        <v>44652</v>
      </c>
      <c r="J666" s="4">
        <v>0</v>
      </c>
      <c r="K666" s="4">
        <v>0</v>
      </c>
      <c r="L666" s="4">
        <v>-43.738</v>
      </c>
      <c r="M666" s="4">
        <v>-43.738</v>
      </c>
      <c r="N666" s="4">
        <v>-43.738</v>
      </c>
      <c r="O666" s="4">
        <v>-43.738</v>
      </c>
      <c r="P666" s="4">
        <v>-8</v>
      </c>
      <c r="Q666" s="3" t="s">
        <v>26</v>
      </c>
      <c r="R666" s="3">
        <v>0</v>
      </c>
      <c r="S666" s="3">
        <v>0</v>
      </c>
      <c r="T666" s="3">
        <v>37</v>
      </c>
      <c r="U666" s="3">
        <v>78</v>
      </c>
      <c r="V666" s="4">
        <f>IF(ISERROR(VLOOKUP($S$666,'TAR FIN'!$A$1:$O$99,15,0)),0,VLOOKUP($S$666,'TAR FIN'!$A$1:$O$99,15,0))</f>
        <v>0</v>
      </c>
      <c r="W666" s="4">
        <f>IF(ISERROR(VLOOKUP($T$666,'TAR FIN'!$A$1:$O$99,15,0)),0,VLOOKUP($T$666,'TAR FIN'!$A$1:$O$99,15,0))</f>
        <v>348.11</v>
      </c>
      <c r="X666" s="4">
        <f>IF(ISERROR(VLOOKUP($U$666,'TAR FIN'!$A$1:$O$99,15,0)),0,VLOOKUP($U$666,'TAR FIN'!$A$1:$O$99,15,0))</f>
        <v>202.86</v>
      </c>
      <c r="Y666" s="4"/>
      <c r="Z666" s="4">
        <f ca="1">('TUSD BE'!$AM$44+'TUSD BF'!$AM$44+'TUSD CVA'!$AM$44)*(1-CUSTOS!$M$38)</f>
        <v>438.62226072739548</v>
      </c>
      <c r="AA666" s="4">
        <f>('TE BE'!$AA$26+'TE BF'!$AA$26+'TE CVA'!$AA$26)*(1-CUSTOS!$M$38)</f>
        <v>266.83676082414206</v>
      </c>
      <c r="AB666" s="4">
        <f t="shared" si="28"/>
        <v>0</v>
      </c>
      <c r="AC666" s="4">
        <f>(L666-M666)*(W666+X666)+($W$520+$X$520-$W$666-$X$666)*(L666)</f>
        <v>-3286.4733199999991</v>
      </c>
      <c r="AD666" s="4">
        <f t="shared" si="29"/>
        <v>0</v>
      </c>
      <c r="AE666" s="4">
        <f ca="1">(L666-M666)*(Z666+AA666)+($Z$520+$AA$520-$Z$666-$AA$666)*(L666)</f>
        <v>-1969.4914905077349</v>
      </c>
      <c r="AF666" s="3" t="s">
        <v>951</v>
      </c>
    </row>
    <row r="667" spans="1:32" ht="11.25" customHeight="1" x14ac:dyDescent="0.25">
      <c r="A667" s="3" t="s">
        <v>56</v>
      </c>
      <c r="B667" s="3" t="s">
        <v>44</v>
      </c>
      <c r="C667" s="3" t="s">
        <v>23</v>
      </c>
      <c r="D667" s="3" t="s">
        <v>45</v>
      </c>
      <c r="E667" s="3" t="s">
        <v>25</v>
      </c>
      <c r="F667" s="3" t="s">
        <v>25</v>
      </c>
      <c r="G667" s="3" t="s">
        <v>25</v>
      </c>
      <c r="H667" s="3" t="s">
        <v>25</v>
      </c>
      <c r="I667" s="6">
        <v>44652</v>
      </c>
      <c r="J667" s="4">
        <v>0</v>
      </c>
      <c r="K667" s="4">
        <v>0</v>
      </c>
      <c r="L667" s="4">
        <v>113.006</v>
      </c>
      <c r="M667" s="4">
        <v>113.006</v>
      </c>
      <c r="N667" s="4">
        <v>113.006</v>
      </c>
      <c r="O667" s="4">
        <v>113.006</v>
      </c>
      <c r="P667" s="4">
        <v>282</v>
      </c>
      <c r="Q667" s="3" t="s">
        <v>26</v>
      </c>
      <c r="R667" s="3">
        <v>0</v>
      </c>
      <c r="S667" s="3">
        <v>0</v>
      </c>
      <c r="T667" s="3">
        <v>37</v>
      </c>
      <c r="U667" s="3">
        <v>78</v>
      </c>
      <c r="V667" s="4">
        <f>IF(ISERROR(VLOOKUP($S$667,'TAR FIN'!$A$1:$O$99,15,0)),0,VLOOKUP($S$667,'TAR FIN'!$A$1:$O$99,15,0))</f>
        <v>0</v>
      </c>
      <c r="W667" s="4">
        <f>IF(ISERROR(VLOOKUP($T$667,'TAR FIN'!$A$1:$O$99,15,0)),0,VLOOKUP($T$667,'TAR FIN'!$A$1:$O$99,15,0))</f>
        <v>348.11</v>
      </c>
      <c r="X667" s="4">
        <f>IF(ISERROR(VLOOKUP($U$667,'TAR FIN'!$A$1:$O$99,15,0)),0,VLOOKUP($U$667,'TAR FIN'!$A$1:$O$99,15,0))</f>
        <v>202.86</v>
      </c>
      <c r="Y667" s="4"/>
      <c r="Z667" s="4">
        <f ca="1">('TUSD BE'!$AM$44+'TUSD BF'!$AM$44+'TUSD CVA'!$AM$44)*(1-CUSTOS!$M$38)</f>
        <v>438.62226072739548</v>
      </c>
      <c r="AA667" s="4">
        <f>('TE BE'!$AA$26+'TE BF'!$AA$26+'TE CVA'!$AA$26)*(1-CUSTOS!$M$38)</f>
        <v>266.83676082414206</v>
      </c>
      <c r="AB667" s="4">
        <f t="shared" si="28"/>
        <v>0</v>
      </c>
      <c r="AC667" s="4">
        <f>(L667-M667)*(W667+X667)+($W$520+$X$520-$W$667-$X$667)*(L667)</f>
        <v>8491.2708399999992</v>
      </c>
      <c r="AD667" s="4">
        <f t="shared" si="29"/>
        <v>0</v>
      </c>
      <c r="AE667" s="4">
        <f ca="1">(L667-M667)*(Z667+AA667)+($Z$520+$AA$520-$Z$667-$AA$667)*(L667)</f>
        <v>5088.5809908161573</v>
      </c>
      <c r="AF667" s="3" t="s">
        <v>951</v>
      </c>
    </row>
    <row r="668" spans="1:32" ht="11.25" customHeight="1" x14ac:dyDescent="0.25">
      <c r="A668" s="3" t="s">
        <v>56</v>
      </c>
      <c r="B668" s="3" t="s">
        <v>44</v>
      </c>
      <c r="C668" s="3" t="s">
        <v>23</v>
      </c>
      <c r="D668" s="3" t="s">
        <v>45</v>
      </c>
      <c r="E668" s="3" t="s">
        <v>25</v>
      </c>
      <c r="F668" s="3" t="s">
        <v>25</v>
      </c>
      <c r="G668" s="3" t="s">
        <v>25</v>
      </c>
      <c r="H668" s="3" t="s">
        <v>25</v>
      </c>
      <c r="I668" s="6">
        <v>44652</v>
      </c>
      <c r="J668" s="4">
        <v>0</v>
      </c>
      <c r="K668" s="4">
        <v>0</v>
      </c>
      <c r="L668" s="4">
        <v>7.0640000000000001</v>
      </c>
      <c r="M668" s="4">
        <v>7.0640000000000001</v>
      </c>
      <c r="N668" s="4">
        <v>7.0640000000000001</v>
      </c>
      <c r="O668" s="4">
        <v>7.0640000000000001</v>
      </c>
      <c r="P668" s="4">
        <v>2</v>
      </c>
      <c r="Q668" s="3" t="s">
        <v>26</v>
      </c>
      <c r="R668" s="3">
        <v>0</v>
      </c>
      <c r="S668" s="3">
        <v>0</v>
      </c>
      <c r="T668" s="3">
        <v>37</v>
      </c>
      <c r="U668" s="3">
        <v>78</v>
      </c>
      <c r="V668" s="4">
        <f>IF(ISERROR(VLOOKUP($S$668,'TAR FIN'!$A$1:$O$99,15,0)),0,VLOOKUP($S$668,'TAR FIN'!$A$1:$O$99,15,0))</f>
        <v>0</v>
      </c>
      <c r="W668" s="4">
        <f>IF(ISERROR(VLOOKUP($T$668,'TAR FIN'!$A$1:$O$99,15,0)),0,VLOOKUP($T$668,'TAR FIN'!$A$1:$O$99,15,0))</f>
        <v>348.11</v>
      </c>
      <c r="X668" s="4">
        <f>IF(ISERROR(VLOOKUP($U$668,'TAR FIN'!$A$1:$O$99,15,0)),0,VLOOKUP($U$668,'TAR FIN'!$A$1:$O$99,15,0))</f>
        <v>202.86</v>
      </c>
      <c r="Y668" s="4"/>
      <c r="Z668" s="4">
        <f ca="1">('TUSD BE'!$AM$44+'TUSD BF'!$AM$44+'TUSD CVA'!$AM$44)*(1-CUSTOS!$M$38)</f>
        <v>438.62226072739548</v>
      </c>
      <c r="AA668" s="4">
        <f>('TE BE'!$AA$26+'TE BF'!$AA$26+'TE CVA'!$AA$26)*(1-CUSTOS!$M$38)</f>
        <v>266.83676082414206</v>
      </c>
      <c r="AB668" s="4">
        <f t="shared" si="28"/>
        <v>0</v>
      </c>
      <c r="AC668" s="4">
        <f>(L668-M668)*(W668+X668)+($W$520+$X$520-$W$668-$X$668)*(L668)</f>
        <v>530.78895999999986</v>
      </c>
      <c r="AD668" s="4">
        <f t="shared" si="29"/>
        <v>0</v>
      </c>
      <c r="AE668" s="4">
        <f ca="1">(L668-M668)*(Z668+AA668)+($Z$520+$AA$520-$Z$668-$AA$668)*(L668)</f>
        <v>318.08696988766383</v>
      </c>
      <c r="AF668" s="3" t="s">
        <v>951</v>
      </c>
    </row>
    <row r="669" spans="1:32" ht="11.25" customHeight="1" x14ac:dyDescent="0.25">
      <c r="A669" s="3" t="s">
        <v>21</v>
      </c>
      <c r="B669" s="3" t="s">
        <v>39</v>
      </c>
      <c r="C669" s="3" t="s">
        <v>23</v>
      </c>
      <c r="D669" s="3" t="s">
        <v>50</v>
      </c>
      <c r="E669" s="3" t="s">
        <v>51</v>
      </c>
      <c r="F669" s="3" t="s">
        <v>25</v>
      </c>
      <c r="G669" s="3" t="s">
        <v>25</v>
      </c>
      <c r="H669" s="3" t="s">
        <v>25</v>
      </c>
      <c r="I669" s="6">
        <v>44317</v>
      </c>
      <c r="J669" s="4">
        <v>0</v>
      </c>
      <c r="K669" s="70">
        <v>0</v>
      </c>
      <c r="L669" s="4">
        <v>3092.855</v>
      </c>
      <c r="M669" s="70">
        <v>3092.855</v>
      </c>
      <c r="N669" s="4">
        <v>3092.855</v>
      </c>
      <c r="O669" s="70">
        <v>3092.855</v>
      </c>
      <c r="P669" s="4">
        <v>1547</v>
      </c>
      <c r="Q669" s="3" t="s">
        <v>26</v>
      </c>
      <c r="R669" s="3">
        <v>0</v>
      </c>
      <c r="S669" s="3">
        <v>0</v>
      </c>
      <c r="T669" s="3">
        <v>45</v>
      </c>
      <c r="U669" s="3">
        <v>85</v>
      </c>
      <c r="V669" s="70">
        <f>IF(ISERROR(VLOOKUP($S$669,'TAR FIN'!$A$1:$O$99,15,0)),0,VLOOKUP($S$669,'TAR FIN'!$A$1:$O$99,15,0))</f>
        <v>0</v>
      </c>
      <c r="W669" s="70">
        <f>IF(ISERROR(VLOOKUP($T$669,'TAR FIN'!$A$1:$O$99,15,0)),0,VLOOKUP($T$669,'TAR FIN'!$A$1:$O$99,15,0))*(1-0.06)</f>
        <v>371.84519999999998</v>
      </c>
      <c r="X669" s="70">
        <f>IF(ISERROR(VLOOKUP($U$669,'TAR FIN'!$A$1:$O$99,15,0)),0,VLOOKUP($U$669,'TAR FIN'!$A$1:$O$99,15,0))*(1-0.06)</f>
        <v>216.69819999999999</v>
      </c>
      <c r="Y669" s="70"/>
      <c r="Z669" s="70">
        <f ca="1">('TUSD BE'!$AM$59+'TUSD BF'!$AM$59+'TUSD CVA'!$AM$59)*1*(1-0.03)</f>
        <v>452.62084351656773</v>
      </c>
      <c r="AA669" s="70">
        <f>('TE BE'!$AA$41+'TE BF'!$AA$41+'TE CVA'!$AA$41)*1*(1-0.03)</f>
        <v>275.35282765895511</v>
      </c>
      <c r="AB669" s="70">
        <f>(SUBSIDIO!$J$669*SUBSIDIO!$V$669)*(0.06)/(1-0.06)</f>
        <v>0</v>
      </c>
      <c r="AC669" s="70">
        <f>((SUBSIDIO!$L$669*SUBSIDIO!$W$669)+(SUBSIDIO!$N$669*SUBSIDIO!$X$669))*(0.06)/(1-0.06)</f>
        <v>116188.04664300001</v>
      </c>
      <c r="AD669" s="70">
        <f>(SUBSIDIO!$J$669*SUBSIDIO!$Y$669)*(0.03)/(1-0.03)</f>
        <v>0</v>
      </c>
      <c r="AE669" s="70">
        <f ca="1">((SUBSIDIO!$L$669*SUBSIDIO!$Z$669)+(SUBSIDIO!$N$669*SUBSIDIO!$AA$669))*(0.03)/(1-0.03)</f>
        <v>69634.546662790875</v>
      </c>
      <c r="AF669" s="3" t="s">
        <v>953</v>
      </c>
    </row>
    <row r="670" spans="1:32" ht="11.25" customHeight="1" x14ac:dyDescent="0.25">
      <c r="A670" s="3" t="s">
        <v>27</v>
      </c>
      <c r="B670" s="3" t="s">
        <v>39</v>
      </c>
      <c r="C670" s="3" t="s">
        <v>23</v>
      </c>
      <c r="D670" s="3" t="s">
        <v>50</v>
      </c>
      <c r="E670" s="3" t="s">
        <v>51</v>
      </c>
      <c r="F670" s="3" t="s">
        <v>25</v>
      </c>
      <c r="G670" s="3" t="s">
        <v>25</v>
      </c>
      <c r="H670" s="3" t="s">
        <v>25</v>
      </c>
      <c r="I670" s="6">
        <v>44317</v>
      </c>
      <c r="J670" s="4">
        <v>0</v>
      </c>
      <c r="K670" s="70">
        <v>0</v>
      </c>
      <c r="L670" s="4">
        <v>6.59</v>
      </c>
      <c r="M670" s="70">
        <v>6.59</v>
      </c>
      <c r="N670" s="4">
        <v>6.59</v>
      </c>
      <c r="O670" s="70">
        <v>6.59</v>
      </c>
      <c r="P670" s="4">
        <v>1</v>
      </c>
      <c r="Q670" s="3" t="s">
        <v>26</v>
      </c>
      <c r="R670" s="3">
        <v>0</v>
      </c>
      <c r="S670" s="3">
        <v>0</v>
      </c>
      <c r="T670" s="3">
        <v>45</v>
      </c>
      <c r="U670" s="3">
        <v>85</v>
      </c>
      <c r="V670" s="70">
        <f>IF(ISERROR(VLOOKUP($S$670,'TAR FIN'!$A$1:$O$99,15,0)),0,VLOOKUP($S$670,'TAR FIN'!$A$1:$O$99,15,0))</f>
        <v>0</v>
      </c>
      <c r="W670" s="70">
        <f>IF(ISERROR(VLOOKUP($T$670,'TAR FIN'!$A$1:$O$99,15,0)),0,VLOOKUP($T$670,'TAR FIN'!$A$1:$O$99,15,0))*(1-0.06)</f>
        <v>371.84519999999998</v>
      </c>
      <c r="X670" s="70">
        <f>IF(ISERROR(VLOOKUP($U$670,'TAR FIN'!$A$1:$O$99,15,0)),0,VLOOKUP($U$670,'TAR FIN'!$A$1:$O$99,15,0))*(1-0.06)</f>
        <v>216.69819999999999</v>
      </c>
      <c r="Y670" s="70"/>
      <c r="Z670" s="70">
        <f ca="1">('TUSD BE'!$AM$59+'TUSD BF'!$AM$59+'TUSD CVA'!$AM$59)*1*(1-0.03)</f>
        <v>452.62084351656773</v>
      </c>
      <c r="AA670" s="70">
        <f>('TE BE'!$AA$41+'TE BF'!$AA$41+'TE CVA'!$AA$41)*1*(1-0.03)</f>
        <v>275.35282765895511</v>
      </c>
      <c r="AB670" s="70">
        <f>(SUBSIDIO!$J$670*SUBSIDIO!$V$670)*(0.06)/(1-0.06)</f>
        <v>0</v>
      </c>
      <c r="AC670" s="70">
        <f>((SUBSIDIO!$L$670*SUBSIDIO!$W$670)+(SUBSIDIO!$N$670*SUBSIDIO!$X$670))*(0.06)/(1-0.06)</f>
        <v>247.56389399999998</v>
      </c>
      <c r="AD670" s="70">
        <f>(SUBSIDIO!$J$670*SUBSIDIO!$Y$670)*(0.03)/(1-0.03)</f>
        <v>0</v>
      </c>
      <c r="AE670" s="70">
        <f ca="1">((SUBSIDIO!$L$670*SUBSIDIO!$Z$670)+(SUBSIDIO!$N$670*SUBSIDIO!$AA$670))*(0.03)/(1-0.03)</f>
        <v>148.37154102206276</v>
      </c>
      <c r="AF670" s="3" t="s">
        <v>953</v>
      </c>
    </row>
    <row r="671" spans="1:32" ht="11.25" customHeight="1" x14ac:dyDescent="0.25">
      <c r="A671" s="3" t="s">
        <v>21</v>
      </c>
      <c r="B671" s="3" t="s">
        <v>39</v>
      </c>
      <c r="C671" s="3" t="s">
        <v>23</v>
      </c>
      <c r="D671" s="3" t="s">
        <v>50</v>
      </c>
      <c r="E671" s="3" t="s">
        <v>51</v>
      </c>
      <c r="F671" s="3" t="s">
        <v>25</v>
      </c>
      <c r="G671" s="3" t="s">
        <v>25</v>
      </c>
      <c r="H671" s="3" t="s">
        <v>25</v>
      </c>
      <c r="I671" s="6">
        <v>44348</v>
      </c>
      <c r="J671" s="4">
        <v>0</v>
      </c>
      <c r="K671" s="70">
        <v>0</v>
      </c>
      <c r="L671" s="4">
        <v>3094.5010000000002</v>
      </c>
      <c r="M671" s="70">
        <v>3094.5010000000002</v>
      </c>
      <c r="N671" s="4">
        <v>3094.5010000000002</v>
      </c>
      <c r="O671" s="70">
        <v>3094.5010000000002</v>
      </c>
      <c r="P671" s="4">
        <v>1570</v>
      </c>
      <c r="Q671" s="3" t="s">
        <v>26</v>
      </c>
      <c r="R671" s="3">
        <v>0</v>
      </c>
      <c r="S671" s="3">
        <v>0</v>
      </c>
      <c r="T671" s="3">
        <v>45</v>
      </c>
      <c r="U671" s="3">
        <v>85</v>
      </c>
      <c r="V671" s="70">
        <f>IF(ISERROR(VLOOKUP($S$671,'TAR FIN'!$A$1:$O$99,15,0)),0,VLOOKUP($S$671,'TAR FIN'!$A$1:$O$99,15,0))</f>
        <v>0</v>
      </c>
      <c r="W671" s="70">
        <f>IF(ISERROR(VLOOKUP($T$671,'TAR FIN'!$A$1:$O$99,15,0)),0,VLOOKUP($T$671,'TAR FIN'!$A$1:$O$99,15,0))*(1-0.06)</f>
        <v>371.84519999999998</v>
      </c>
      <c r="X671" s="70">
        <f>IF(ISERROR(VLOOKUP($U$671,'TAR FIN'!$A$1:$O$99,15,0)),0,VLOOKUP($U$671,'TAR FIN'!$A$1:$O$99,15,0))*(1-0.06)</f>
        <v>216.69819999999999</v>
      </c>
      <c r="Y671" s="70"/>
      <c r="Z671" s="70">
        <f ca="1">('TUSD BE'!$AM$59+'TUSD BF'!$AM$59+'TUSD CVA'!$AM$59)*1*(1-0.03)</f>
        <v>452.62084351656773</v>
      </c>
      <c r="AA671" s="70">
        <f>('TE BE'!$AA$41+'TE BF'!$AA$41+'TE CVA'!$AA$41)*1*(1-0.03)</f>
        <v>275.35282765895511</v>
      </c>
      <c r="AB671" s="70">
        <f>(SUBSIDIO!$J$671*SUBSIDIO!$V$671)*(0.06)/(1-0.06)</f>
        <v>0</v>
      </c>
      <c r="AC671" s="70">
        <f>((SUBSIDIO!$L$671*SUBSIDIO!$W$671)+(SUBSIDIO!$N$671*SUBSIDIO!$X$671))*(0.06)/(1-0.06)</f>
        <v>116249.8812666</v>
      </c>
      <c r="AD671" s="70">
        <f>(SUBSIDIO!$J$671*SUBSIDIO!$Y$671)*(0.03)/(1-0.03)</f>
        <v>0</v>
      </c>
      <c r="AE671" s="70">
        <f ca="1">((SUBSIDIO!$L$671*SUBSIDIO!$Z$671)+(SUBSIDIO!$N$671*SUBSIDIO!$AA$671))*(0.03)/(1-0.03)</f>
        <v>69671.605776071941</v>
      </c>
      <c r="AF671" s="3" t="s">
        <v>953</v>
      </c>
    </row>
    <row r="672" spans="1:32" ht="11.25" customHeight="1" x14ac:dyDescent="0.25">
      <c r="A672" s="3" t="s">
        <v>27</v>
      </c>
      <c r="B672" s="3" t="s">
        <v>39</v>
      </c>
      <c r="C672" s="3" t="s">
        <v>23</v>
      </c>
      <c r="D672" s="3" t="s">
        <v>50</v>
      </c>
      <c r="E672" s="3" t="s">
        <v>51</v>
      </c>
      <c r="F672" s="3" t="s">
        <v>25</v>
      </c>
      <c r="G672" s="3" t="s">
        <v>25</v>
      </c>
      <c r="H672" s="3" t="s">
        <v>25</v>
      </c>
      <c r="I672" s="6">
        <v>44348</v>
      </c>
      <c r="J672" s="4">
        <v>0</v>
      </c>
      <c r="K672" s="70">
        <v>0</v>
      </c>
      <c r="L672" s="4">
        <v>-2.7E-2</v>
      </c>
      <c r="M672" s="70">
        <v>-2.7E-2</v>
      </c>
      <c r="N672" s="4">
        <v>-2.7E-2</v>
      </c>
      <c r="O672" s="70">
        <v>-2.7E-2</v>
      </c>
      <c r="P672" s="4">
        <v>0</v>
      </c>
      <c r="Q672" s="3" t="s">
        <v>26</v>
      </c>
      <c r="R672" s="3">
        <v>0</v>
      </c>
      <c r="S672" s="3">
        <v>0</v>
      </c>
      <c r="T672" s="3">
        <v>45</v>
      </c>
      <c r="U672" s="3">
        <v>85</v>
      </c>
      <c r="V672" s="70">
        <f>IF(ISERROR(VLOOKUP($S$672,'TAR FIN'!$A$1:$O$99,15,0)),0,VLOOKUP($S$672,'TAR FIN'!$A$1:$O$99,15,0))</f>
        <v>0</v>
      </c>
      <c r="W672" s="70">
        <f>IF(ISERROR(VLOOKUP($T$672,'TAR FIN'!$A$1:$O$99,15,0)),0,VLOOKUP($T$672,'TAR FIN'!$A$1:$O$99,15,0))*(1-0.06)</f>
        <v>371.84519999999998</v>
      </c>
      <c r="X672" s="70">
        <f>IF(ISERROR(VLOOKUP($U$672,'TAR FIN'!$A$1:$O$99,15,0)),0,VLOOKUP($U$672,'TAR FIN'!$A$1:$O$99,15,0))*(1-0.06)</f>
        <v>216.69819999999999</v>
      </c>
      <c r="Y672" s="70"/>
      <c r="Z672" s="70">
        <f ca="1">('TUSD BE'!$AM$59+'TUSD BF'!$AM$59+'TUSD CVA'!$AM$59)*1*(1-0.03)</f>
        <v>452.62084351656773</v>
      </c>
      <c r="AA672" s="70">
        <f>('TE BE'!$AA$41+'TE BF'!$AA$41+'TE CVA'!$AA$41)*1*(1-0.03)</f>
        <v>275.35282765895511</v>
      </c>
      <c r="AB672" s="70">
        <f>(SUBSIDIO!$J$672*SUBSIDIO!$V$672)*(0.06)/(1-0.06)</f>
        <v>0</v>
      </c>
      <c r="AC672" s="70">
        <f>((SUBSIDIO!$L$672*SUBSIDIO!$W$672)+(SUBSIDIO!$N$672*SUBSIDIO!$X$672))*(0.06)/(1-0.06)</f>
        <v>-1.0142982</v>
      </c>
      <c r="AD672" s="70">
        <f>(SUBSIDIO!$J$672*SUBSIDIO!$Y$672)*(0.03)/(1-0.03)</f>
        <v>0</v>
      </c>
      <c r="AE672" s="70">
        <f ca="1">((SUBSIDIO!$L$672*SUBSIDIO!$Z$672)+(SUBSIDIO!$N$672*SUBSIDIO!$AA$672))*(0.03)/(1-0.03)</f>
        <v>-0.60789553984760158</v>
      </c>
      <c r="AF672" s="3" t="s">
        <v>953</v>
      </c>
    </row>
    <row r="673" spans="1:32" ht="11.25" customHeight="1" x14ac:dyDescent="0.25">
      <c r="A673" s="3" t="s">
        <v>21</v>
      </c>
      <c r="B673" s="3" t="s">
        <v>39</v>
      </c>
      <c r="C673" s="3" t="s">
        <v>23</v>
      </c>
      <c r="D673" s="3" t="s">
        <v>50</v>
      </c>
      <c r="E673" s="3" t="s">
        <v>51</v>
      </c>
      <c r="F673" s="3" t="s">
        <v>25</v>
      </c>
      <c r="G673" s="3" t="s">
        <v>25</v>
      </c>
      <c r="H673" s="3" t="s">
        <v>25</v>
      </c>
      <c r="I673" s="6">
        <v>44378</v>
      </c>
      <c r="J673" s="4">
        <v>0</v>
      </c>
      <c r="K673" s="70">
        <v>0</v>
      </c>
      <c r="L673" s="4">
        <v>2929.2640000000001</v>
      </c>
      <c r="M673" s="70">
        <v>2929.2640000000001</v>
      </c>
      <c r="N673" s="4">
        <v>2929.2640000000001</v>
      </c>
      <c r="O673" s="70">
        <v>2929.2640000000001</v>
      </c>
      <c r="P673" s="4">
        <v>1550</v>
      </c>
      <c r="Q673" s="3" t="s">
        <v>26</v>
      </c>
      <c r="R673" s="3">
        <v>0</v>
      </c>
      <c r="S673" s="3">
        <v>0</v>
      </c>
      <c r="T673" s="3">
        <v>45</v>
      </c>
      <c r="U673" s="3">
        <v>85</v>
      </c>
      <c r="V673" s="70">
        <f>IF(ISERROR(VLOOKUP($S$673,'TAR FIN'!$A$1:$O$99,15,0)),0,VLOOKUP($S$673,'TAR FIN'!$A$1:$O$99,15,0))</f>
        <v>0</v>
      </c>
      <c r="W673" s="70">
        <f>IF(ISERROR(VLOOKUP($T$673,'TAR FIN'!$A$1:$O$99,15,0)),0,VLOOKUP($T$673,'TAR FIN'!$A$1:$O$99,15,0))*(1-0.06)</f>
        <v>371.84519999999998</v>
      </c>
      <c r="X673" s="70">
        <f>IF(ISERROR(VLOOKUP($U$673,'TAR FIN'!$A$1:$O$99,15,0)),0,VLOOKUP($U$673,'TAR FIN'!$A$1:$O$99,15,0))*(1-0.06)</f>
        <v>216.69819999999999</v>
      </c>
      <c r="Y673" s="70"/>
      <c r="Z673" s="70">
        <f ca="1">('TUSD BE'!$AM$59+'TUSD BF'!$AM$59+'TUSD CVA'!$AM$59)*1*(1-0.03)</f>
        <v>452.62084351656773</v>
      </c>
      <c r="AA673" s="70">
        <f>('TE BE'!$AA$41+'TE BF'!$AA$41+'TE CVA'!$AA$41)*1*(1-0.03)</f>
        <v>275.35282765895511</v>
      </c>
      <c r="AB673" s="70">
        <f>(SUBSIDIO!$J$673*SUBSIDIO!$V$673)*(0.06)/(1-0.06)</f>
        <v>0</v>
      </c>
      <c r="AC673" s="70">
        <f>((SUBSIDIO!$L$673*SUBSIDIO!$W$673)+(SUBSIDIO!$N$673*SUBSIDIO!$X$673))*(0.06)/(1-0.06)</f>
        <v>110042.4889824</v>
      </c>
      <c r="AD673" s="70">
        <f>(SUBSIDIO!$J$673*SUBSIDIO!$Y$673)*(0.03)/(1-0.03)</f>
        <v>0</v>
      </c>
      <c r="AE673" s="70">
        <f ca="1">((SUBSIDIO!$L$673*SUBSIDIO!$Z$673)+(SUBSIDIO!$N$673*SUBSIDIO!$AA$673))*(0.03)/(1-0.03)</f>
        <v>65951.352616153512</v>
      </c>
      <c r="AF673" s="3" t="s">
        <v>953</v>
      </c>
    </row>
    <row r="674" spans="1:32" ht="11.25" customHeight="1" x14ac:dyDescent="0.25">
      <c r="A674" s="3" t="s">
        <v>27</v>
      </c>
      <c r="B674" s="3" t="s">
        <v>39</v>
      </c>
      <c r="C674" s="3" t="s">
        <v>23</v>
      </c>
      <c r="D674" s="3" t="s">
        <v>50</v>
      </c>
      <c r="E674" s="3" t="s">
        <v>51</v>
      </c>
      <c r="F674" s="3" t="s">
        <v>25</v>
      </c>
      <c r="G674" s="3" t="s">
        <v>25</v>
      </c>
      <c r="H674" s="3" t="s">
        <v>25</v>
      </c>
      <c r="I674" s="6">
        <v>44378</v>
      </c>
      <c r="J674" s="4">
        <v>0</v>
      </c>
      <c r="K674" s="70">
        <v>0</v>
      </c>
      <c r="L674" s="4">
        <v>-6.7169999999999996</v>
      </c>
      <c r="M674" s="70">
        <v>-6.7169999999999996</v>
      </c>
      <c r="N674" s="4">
        <v>-6.7169999999999996</v>
      </c>
      <c r="O674" s="70">
        <v>-6.7169999999999996</v>
      </c>
      <c r="P674" s="4">
        <v>2</v>
      </c>
      <c r="Q674" s="3" t="s">
        <v>26</v>
      </c>
      <c r="R674" s="3">
        <v>0</v>
      </c>
      <c r="S674" s="3">
        <v>0</v>
      </c>
      <c r="T674" s="3">
        <v>45</v>
      </c>
      <c r="U674" s="3">
        <v>85</v>
      </c>
      <c r="V674" s="70">
        <f>IF(ISERROR(VLOOKUP($S$674,'TAR FIN'!$A$1:$O$99,15,0)),0,VLOOKUP($S$674,'TAR FIN'!$A$1:$O$99,15,0))</f>
        <v>0</v>
      </c>
      <c r="W674" s="70">
        <f>IF(ISERROR(VLOOKUP($T$674,'TAR FIN'!$A$1:$O$99,15,0)),0,VLOOKUP($T$674,'TAR FIN'!$A$1:$O$99,15,0))*(1-0.06)</f>
        <v>371.84519999999998</v>
      </c>
      <c r="X674" s="70">
        <f>IF(ISERROR(VLOOKUP($U$674,'TAR FIN'!$A$1:$O$99,15,0)),0,VLOOKUP($U$674,'TAR FIN'!$A$1:$O$99,15,0))*(1-0.06)</f>
        <v>216.69819999999999</v>
      </c>
      <c r="Y674" s="70"/>
      <c r="Z674" s="70">
        <f ca="1">('TUSD BE'!$AM$59+'TUSD BF'!$AM$59+'TUSD CVA'!$AM$59)*1*(1-0.03)</f>
        <v>452.62084351656773</v>
      </c>
      <c r="AA674" s="70">
        <f>('TE BE'!$AA$41+'TE BF'!$AA$41+'TE CVA'!$AA$41)*1*(1-0.03)</f>
        <v>275.35282765895511</v>
      </c>
      <c r="AB674" s="70">
        <f>(SUBSIDIO!$J$674*SUBSIDIO!$V$674)*(0.06)/(1-0.06)</f>
        <v>0</v>
      </c>
      <c r="AC674" s="70">
        <f>((SUBSIDIO!$L$674*SUBSIDIO!$W$674)+(SUBSIDIO!$N$674*SUBSIDIO!$X$674))*(0.06)/(1-0.06)</f>
        <v>-252.33485219999994</v>
      </c>
      <c r="AD674" s="70">
        <f>(SUBSIDIO!$J$674*SUBSIDIO!$Y$674)*(0.03)/(1-0.03)</f>
        <v>0</v>
      </c>
      <c r="AE674" s="70">
        <f ca="1">((SUBSIDIO!$L$674*SUBSIDIO!$Z$674)+(SUBSIDIO!$N$674*SUBSIDIO!$AA$674))*(0.03)/(1-0.03)</f>
        <v>-151.23090152430885</v>
      </c>
      <c r="AF674" s="3" t="s">
        <v>953</v>
      </c>
    </row>
    <row r="675" spans="1:32" ht="11.25" customHeight="1" x14ac:dyDescent="0.25">
      <c r="A675" s="3" t="s">
        <v>21</v>
      </c>
      <c r="B675" s="3" t="s">
        <v>39</v>
      </c>
      <c r="C675" s="3" t="s">
        <v>23</v>
      </c>
      <c r="D675" s="3" t="s">
        <v>50</v>
      </c>
      <c r="E675" s="3" t="s">
        <v>51</v>
      </c>
      <c r="F675" s="3" t="s">
        <v>25</v>
      </c>
      <c r="G675" s="3" t="s">
        <v>25</v>
      </c>
      <c r="H675" s="3" t="s">
        <v>25</v>
      </c>
      <c r="I675" s="6">
        <v>44409</v>
      </c>
      <c r="J675" s="4">
        <v>0</v>
      </c>
      <c r="K675" s="70">
        <v>0</v>
      </c>
      <c r="L675" s="4">
        <v>2958.587</v>
      </c>
      <c r="M675" s="70">
        <v>2958.587</v>
      </c>
      <c r="N675" s="4">
        <v>2958.587</v>
      </c>
      <c r="O675" s="70">
        <v>2958.587</v>
      </c>
      <c r="P675" s="4">
        <v>1556</v>
      </c>
      <c r="Q675" s="3" t="s">
        <v>26</v>
      </c>
      <c r="R675" s="3">
        <v>0</v>
      </c>
      <c r="S675" s="3">
        <v>0</v>
      </c>
      <c r="T675" s="3">
        <v>45</v>
      </c>
      <c r="U675" s="3">
        <v>85</v>
      </c>
      <c r="V675" s="70">
        <f>IF(ISERROR(VLOOKUP($S$675,'TAR FIN'!$A$1:$O$99,15,0)),0,VLOOKUP($S$675,'TAR FIN'!$A$1:$O$99,15,0))</f>
        <v>0</v>
      </c>
      <c r="W675" s="70">
        <f>IF(ISERROR(VLOOKUP($T$675,'TAR FIN'!$A$1:$O$99,15,0)),0,VLOOKUP($T$675,'TAR FIN'!$A$1:$O$99,15,0))*(1-0.06)</f>
        <v>371.84519999999998</v>
      </c>
      <c r="X675" s="70">
        <f>IF(ISERROR(VLOOKUP($U$675,'TAR FIN'!$A$1:$O$99,15,0)),0,VLOOKUP($U$675,'TAR FIN'!$A$1:$O$99,15,0))*(1-0.06)</f>
        <v>216.69819999999999</v>
      </c>
      <c r="Y675" s="70"/>
      <c r="Z675" s="70">
        <f ca="1">('TUSD BE'!$AM$59+'TUSD BF'!$AM$59+'TUSD CVA'!$AM$59)*1*(1-0.03)</f>
        <v>452.62084351656773</v>
      </c>
      <c r="AA675" s="70">
        <f>('TE BE'!$AA$41+'TE BF'!$AA$41+'TE CVA'!$AA$41)*1*(1-0.03)</f>
        <v>275.35282765895511</v>
      </c>
      <c r="AB675" s="70">
        <f>(SUBSIDIO!$J$675*SUBSIDIO!$V$675)*(0.06)/(1-0.06)</f>
        <v>0</v>
      </c>
      <c r="AC675" s="70">
        <f>((SUBSIDIO!$L$675*SUBSIDIO!$W$675)+(SUBSIDIO!$N$675*SUBSIDIO!$X$675))*(0.06)/(1-0.06)</f>
        <v>111144.05439419998</v>
      </c>
      <c r="AD675" s="70">
        <f>(SUBSIDIO!$J$675*SUBSIDIO!$Y$675)*(0.03)/(1-0.03)</f>
        <v>0</v>
      </c>
      <c r="AE675" s="70">
        <f ca="1">((SUBSIDIO!$L$675*SUBSIDIO!$Z$675)+(SUBSIDIO!$N$675*SUBSIDIO!$AA$675))*(0.03)/(1-0.03)</f>
        <v>66611.549687077626</v>
      </c>
      <c r="AF675" s="3" t="s">
        <v>953</v>
      </c>
    </row>
    <row r="676" spans="1:32" ht="11.25" customHeight="1" x14ac:dyDescent="0.25">
      <c r="A676" s="3" t="s">
        <v>27</v>
      </c>
      <c r="B676" s="3" t="s">
        <v>39</v>
      </c>
      <c r="C676" s="3" t="s">
        <v>23</v>
      </c>
      <c r="D676" s="3" t="s">
        <v>50</v>
      </c>
      <c r="E676" s="3" t="s">
        <v>51</v>
      </c>
      <c r="F676" s="3" t="s">
        <v>25</v>
      </c>
      <c r="G676" s="3" t="s">
        <v>25</v>
      </c>
      <c r="H676" s="3" t="s">
        <v>25</v>
      </c>
      <c r="I676" s="6">
        <v>44409</v>
      </c>
      <c r="J676" s="4">
        <v>0</v>
      </c>
      <c r="K676" s="70">
        <v>0</v>
      </c>
      <c r="L676" s="4">
        <v>2.613</v>
      </c>
      <c r="M676" s="70">
        <v>2.613</v>
      </c>
      <c r="N676" s="4">
        <v>2.613</v>
      </c>
      <c r="O676" s="70">
        <v>2.613</v>
      </c>
      <c r="P676" s="4">
        <v>0</v>
      </c>
      <c r="Q676" s="3" t="s">
        <v>26</v>
      </c>
      <c r="R676" s="3">
        <v>0</v>
      </c>
      <c r="S676" s="3">
        <v>0</v>
      </c>
      <c r="T676" s="3">
        <v>45</v>
      </c>
      <c r="U676" s="3">
        <v>85</v>
      </c>
      <c r="V676" s="70">
        <f>IF(ISERROR(VLOOKUP($S$676,'TAR FIN'!$A$1:$O$99,15,0)),0,VLOOKUP($S$676,'TAR FIN'!$A$1:$O$99,15,0))</f>
        <v>0</v>
      </c>
      <c r="W676" s="70">
        <f>IF(ISERROR(VLOOKUP($T$676,'TAR FIN'!$A$1:$O$99,15,0)),0,VLOOKUP($T$676,'TAR FIN'!$A$1:$O$99,15,0))*(1-0.06)</f>
        <v>371.84519999999998</v>
      </c>
      <c r="X676" s="70">
        <f>IF(ISERROR(VLOOKUP($U$676,'TAR FIN'!$A$1:$O$99,15,0)),0,VLOOKUP($U$676,'TAR FIN'!$A$1:$O$99,15,0))*(1-0.06)</f>
        <v>216.69819999999999</v>
      </c>
      <c r="Y676" s="70"/>
      <c r="Z676" s="70">
        <f ca="1">('TUSD BE'!$AM$59+'TUSD BF'!$AM$59+'TUSD CVA'!$AM$59)*1*(1-0.03)</f>
        <v>452.62084351656773</v>
      </c>
      <c r="AA676" s="70">
        <f>('TE BE'!$AA$41+'TE BF'!$AA$41+'TE CVA'!$AA$41)*1*(1-0.03)</f>
        <v>275.35282765895511</v>
      </c>
      <c r="AB676" s="70">
        <f>(SUBSIDIO!$J$676*SUBSIDIO!$V$676)*(0.06)/(1-0.06)</f>
        <v>0</v>
      </c>
      <c r="AC676" s="70">
        <f>((SUBSIDIO!$L$676*SUBSIDIO!$W$676)+(SUBSIDIO!$N$676*SUBSIDIO!$X$676))*(0.06)/(1-0.06)</f>
        <v>98.161525799999993</v>
      </c>
      <c r="AD676" s="70">
        <f>(SUBSIDIO!$J$676*SUBSIDIO!$Y$676)*(0.03)/(1-0.03)</f>
        <v>0</v>
      </c>
      <c r="AE676" s="70">
        <f ca="1">((SUBSIDIO!$L$676*SUBSIDIO!$Z$676)+(SUBSIDIO!$N$676*SUBSIDIO!$AA$676))*(0.03)/(1-0.03)</f>
        <v>58.830779467473441</v>
      </c>
      <c r="AF676" s="3" t="s">
        <v>953</v>
      </c>
    </row>
    <row r="677" spans="1:32" ht="11.25" customHeight="1" x14ac:dyDescent="0.25">
      <c r="A677" s="3" t="s">
        <v>28</v>
      </c>
      <c r="B677" s="3" t="s">
        <v>39</v>
      </c>
      <c r="C677" s="3" t="s">
        <v>23</v>
      </c>
      <c r="D677" s="3" t="s">
        <v>50</v>
      </c>
      <c r="E677" s="3" t="s">
        <v>51</v>
      </c>
      <c r="F677" s="3" t="s">
        <v>25</v>
      </c>
      <c r="G677" s="3" t="s">
        <v>25</v>
      </c>
      <c r="H677" s="3" t="s">
        <v>25</v>
      </c>
      <c r="I677" s="6">
        <v>44409</v>
      </c>
      <c r="J677" s="4">
        <v>0</v>
      </c>
      <c r="K677" s="70">
        <v>0</v>
      </c>
      <c r="L677" s="4">
        <v>13.978</v>
      </c>
      <c r="M677" s="70">
        <v>13.978</v>
      </c>
      <c r="N677" s="4">
        <v>13.978</v>
      </c>
      <c r="O677" s="70">
        <v>13.978</v>
      </c>
      <c r="P677" s="4">
        <v>5</v>
      </c>
      <c r="Q677" s="3" t="s">
        <v>26</v>
      </c>
      <c r="R677" s="3">
        <v>0</v>
      </c>
      <c r="S677" s="3">
        <v>0</v>
      </c>
      <c r="T677" s="3">
        <v>45</v>
      </c>
      <c r="U677" s="3">
        <v>85</v>
      </c>
      <c r="V677" s="70">
        <f>IF(ISERROR(VLOOKUP($S$677,'TAR FIN'!$A$1:$O$99,15,0)),0,VLOOKUP($S$677,'TAR FIN'!$A$1:$O$99,15,0))</f>
        <v>0</v>
      </c>
      <c r="W677" s="70">
        <f>IF(ISERROR(VLOOKUP($T$677,'TAR FIN'!$A$1:$O$99,15,0)),0,VLOOKUP($T$677,'TAR FIN'!$A$1:$O$99,15,0))*(1-0.06)</f>
        <v>371.84519999999998</v>
      </c>
      <c r="X677" s="70">
        <f>IF(ISERROR(VLOOKUP($U$677,'TAR FIN'!$A$1:$O$99,15,0)),0,VLOOKUP($U$677,'TAR FIN'!$A$1:$O$99,15,0))*(1-0.06)</f>
        <v>216.69819999999999</v>
      </c>
      <c r="Y677" s="70"/>
      <c r="Z677" s="70">
        <f ca="1">('TUSD BE'!$AM$59+'TUSD BF'!$AM$59+'TUSD CVA'!$AM$59)*1*(1-0.03)</f>
        <v>452.62084351656773</v>
      </c>
      <c r="AA677" s="70">
        <f>('TE BE'!$AA$41+'TE BF'!$AA$41+'TE CVA'!$AA$41)*1*(1-0.03)</f>
        <v>275.35282765895511</v>
      </c>
      <c r="AB677" s="70">
        <f>(SUBSIDIO!$J$677*SUBSIDIO!$V$677)*(0.06)/(1-0.06)</f>
        <v>0</v>
      </c>
      <c r="AC677" s="70">
        <f>((SUBSIDIO!$L$677*SUBSIDIO!$W$677)+(SUBSIDIO!$N$677*SUBSIDIO!$X$677))*(0.06)/(1-0.06)</f>
        <v>525.1059348</v>
      </c>
      <c r="AD677" s="70">
        <f>(SUBSIDIO!$J$677*SUBSIDIO!$Y$677)*(0.03)/(1-0.03)</f>
        <v>0</v>
      </c>
      <c r="AE677" s="70">
        <f ca="1">((SUBSIDIO!$L$677*SUBSIDIO!$Z$677)+(SUBSIDIO!$N$677*SUBSIDIO!$AA$677))*(0.03)/(1-0.03)</f>
        <v>314.70977244406566</v>
      </c>
      <c r="AF677" s="3" t="s">
        <v>953</v>
      </c>
    </row>
    <row r="678" spans="1:32" ht="11.25" customHeight="1" x14ac:dyDescent="0.25">
      <c r="A678" s="3" t="s">
        <v>21</v>
      </c>
      <c r="B678" s="3" t="s">
        <v>39</v>
      </c>
      <c r="C678" s="3" t="s">
        <v>23</v>
      </c>
      <c r="D678" s="3" t="s">
        <v>50</v>
      </c>
      <c r="E678" s="3" t="s">
        <v>51</v>
      </c>
      <c r="F678" s="3" t="s">
        <v>25</v>
      </c>
      <c r="G678" s="3" t="s">
        <v>25</v>
      </c>
      <c r="H678" s="3" t="s">
        <v>25</v>
      </c>
      <c r="I678" s="6">
        <v>44440</v>
      </c>
      <c r="J678" s="4">
        <v>0</v>
      </c>
      <c r="K678" s="70">
        <v>0</v>
      </c>
      <c r="L678" s="4">
        <v>2312.0279999999998</v>
      </c>
      <c r="M678" s="70">
        <v>2312.0279999999998</v>
      </c>
      <c r="N678" s="4">
        <v>2312.0279999999998</v>
      </c>
      <c r="O678" s="70">
        <v>2312.0279999999998</v>
      </c>
      <c r="P678" s="4">
        <v>1408</v>
      </c>
      <c r="Q678" s="3" t="s">
        <v>26</v>
      </c>
      <c r="R678" s="3">
        <v>0</v>
      </c>
      <c r="S678" s="3">
        <v>0</v>
      </c>
      <c r="T678" s="3">
        <v>45</v>
      </c>
      <c r="U678" s="3">
        <v>85</v>
      </c>
      <c r="V678" s="70">
        <f>IF(ISERROR(VLOOKUP($S$678,'TAR FIN'!$A$1:$O$99,15,0)),0,VLOOKUP($S$678,'TAR FIN'!$A$1:$O$99,15,0))</f>
        <v>0</v>
      </c>
      <c r="W678" s="70">
        <f>IF(ISERROR(VLOOKUP($T$678,'TAR FIN'!$A$1:$O$99,15,0)),0,VLOOKUP($T$678,'TAR FIN'!$A$1:$O$99,15,0))*(1-0.06)</f>
        <v>371.84519999999998</v>
      </c>
      <c r="X678" s="70">
        <f>IF(ISERROR(VLOOKUP($U$678,'TAR FIN'!$A$1:$O$99,15,0)),0,VLOOKUP($U$678,'TAR FIN'!$A$1:$O$99,15,0))*(1-0.06)</f>
        <v>216.69819999999999</v>
      </c>
      <c r="Y678" s="70"/>
      <c r="Z678" s="70">
        <f ca="1">('TUSD BE'!$AM$59+'TUSD BF'!$AM$59+'TUSD CVA'!$AM$59)*1*(1-0.03)</f>
        <v>452.62084351656773</v>
      </c>
      <c r="AA678" s="70">
        <f>('TE BE'!$AA$41+'TE BF'!$AA$41+'TE CVA'!$AA$41)*1*(1-0.03)</f>
        <v>275.35282765895511</v>
      </c>
      <c r="AB678" s="70">
        <f>(SUBSIDIO!$J$678*SUBSIDIO!$V$678)*(0.06)/(1-0.06)</f>
        <v>0</v>
      </c>
      <c r="AC678" s="70">
        <f>((SUBSIDIO!$L$678*SUBSIDIO!$W$678)+(SUBSIDIO!$N$678*SUBSIDIO!$X$678))*(0.06)/(1-0.06)</f>
        <v>86855.031064800001</v>
      </c>
      <c r="AD678" s="70">
        <f>(SUBSIDIO!$J$678*SUBSIDIO!$Y$678)*(0.03)/(1-0.03)</f>
        <v>0</v>
      </c>
      <c r="AE678" s="70">
        <f ca="1">((SUBSIDIO!$L$678*SUBSIDIO!$Z$678)+(SUBSIDIO!$N$678*SUBSIDIO!$AA$678))*(0.03)/(1-0.03)</f>
        <v>52054.500340843355</v>
      </c>
      <c r="AF678" s="3" t="s">
        <v>953</v>
      </c>
    </row>
    <row r="679" spans="1:32" ht="11.25" customHeight="1" x14ac:dyDescent="0.25">
      <c r="A679" s="3" t="s">
        <v>28</v>
      </c>
      <c r="B679" s="3" t="s">
        <v>39</v>
      </c>
      <c r="C679" s="3" t="s">
        <v>23</v>
      </c>
      <c r="D679" s="3" t="s">
        <v>50</v>
      </c>
      <c r="E679" s="3" t="s">
        <v>51</v>
      </c>
      <c r="F679" s="3" t="s">
        <v>25</v>
      </c>
      <c r="G679" s="3" t="s">
        <v>25</v>
      </c>
      <c r="H679" s="3" t="s">
        <v>25</v>
      </c>
      <c r="I679" s="6">
        <v>44440</v>
      </c>
      <c r="J679" s="4">
        <v>0</v>
      </c>
      <c r="K679" s="70">
        <v>0</v>
      </c>
      <c r="L679" s="4">
        <v>373.048</v>
      </c>
      <c r="M679" s="70">
        <v>373.048</v>
      </c>
      <c r="N679" s="4">
        <v>373.048</v>
      </c>
      <c r="O679" s="70">
        <v>373.048</v>
      </c>
      <c r="P679" s="4">
        <v>134</v>
      </c>
      <c r="Q679" s="3" t="s">
        <v>26</v>
      </c>
      <c r="R679" s="3">
        <v>0</v>
      </c>
      <c r="S679" s="3">
        <v>0</v>
      </c>
      <c r="T679" s="3">
        <v>45</v>
      </c>
      <c r="U679" s="3">
        <v>85</v>
      </c>
      <c r="V679" s="70">
        <f>IF(ISERROR(VLOOKUP($S$679,'TAR FIN'!$A$1:$O$99,15,0)),0,VLOOKUP($S$679,'TAR FIN'!$A$1:$O$99,15,0))</f>
        <v>0</v>
      </c>
      <c r="W679" s="70">
        <f>IF(ISERROR(VLOOKUP($T$679,'TAR FIN'!$A$1:$O$99,15,0)),0,VLOOKUP($T$679,'TAR FIN'!$A$1:$O$99,15,0))*(1-0.06)</f>
        <v>371.84519999999998</v>
      </c>
      <c r="X679" s="70">
        <f>IF(ISERROR(VLOOKUP($U$679,'TAR FIN'!$A$1:$O$99,15,0)),0,VLOOKUP($U$679,'TAR FIN'!$A$1:$O$99,15,0))*(1-0.06)</f>
        <v>216.69819999999999</v>
      </c>
      <c r="Y679" s="70"/>
      <c r="Z679" s="70">
        <f ca="1">('TUSD BE'!$AM$59+'TUSD BF'!$AM$59+'TUSD CVA'!$AM$59)*1*(1-0.03)</f>
        <v>452.62084351656773</v>
      </c>
      <c r="AA679" s="70">
        <f>('TE BE'!$AA$41+'TE BF'!$AA$41+'TE CVA'!$AA$41)*1*(1-0.03)</f>
        <v>275.35282765895511</v>
      </c>
      <c r="AB679" s="70">
        <f>(SUBSIDIO!$J$679*SUBSIDIO!$V$679)*(0.06)/(1-0.06)</f>
        <v>0</v>
      </c>
      <c r="AC679" s="70">
        <f>((SUBSIDIO!$L$679*SUBSIDIO!$W$679)+(SUBSIDIO!$N$679*SUBSIDIO!$X$679))*(0.06)/(1-0.06)</f>
        <v>14014.144996799998</v>
      </c>
      <c r="AD679" s="70">
        <f>(SUBSIDIO!$J$679*SUBSIDIO!$Y$679)*(0.03)/(1-0.03)</f>
        <v>0</v>
      </c>
      <c r="AE679" s="70">
        <f ca="1">((SUBSIDIO!$L$679*SUBSIDIO!$Z$679)+(SUBSIDIO!$N$679*SUBSIDIO!$AA$679))*(0.03)/(1-0.03)</f>
        <v>8399.0450129284454</v>
      </c>
      <c r="AF679" s="3" t="s">
        <v>953</v>
      </c>
    </row>
    <row r="680" spans="1:32" ht="11.25" customHeight="1" x14ac:dyDescent="0.25">
      <c r="A680" s="3" t="s">
        <v>21</v>
      </c>
      <c r="B680" s="3" t="s">
        <v>39</v>
      </c>
      <c r="C680" s="3" t="s">
        <v>23</v>
      </c>
      <c r="D680" s="3" t="s">
        <v>50</v>
      </c>
      <c r="E680" s="3" t="s">
        <v>51</v>
      </c>
      <c r="F680" s="3" t="s">
        <v>25</v>
      </c>
      <c r="G680" s="3" t="s">
        <v>25</v>
      </c>
      <c r="H680" s="3" t="s">
        <v>25</v>
      </c>
      <c r="I680" s="6">
        <v>44470</v>
      </c>
      <c r="J680" s="4">
        <v>0</v>
      </c>
      <c r="K680" s="70">
        <v>0</v>
      </c>
      <c r="L680" s="4">
        <v>2505.9850000000001</v>
      </c>
      <c r="M680" s="70">
        <v>2505.9850000000001</v>
      </c>
      <c r="N680" s="4">
        <v>2505.9850000000001</v>
      </c>
      <c r="O680" s="70">
        <v>2505.9850000000001</v>
      </c>
      <c r="P680" s="4">
        <v>1402</v>
      </c>
      <c r="Q680" s="3" t="s">
        <v>26</v>
      </c>
      <c r="R680" s="3">
        <v>0</v>
      </c>
      <c r="S680" s="3">
        <v>0</v>
      </c>
      <c r="T680" s="3">
        <v>45</v>
      </c>
      <c r="U680" s="3">
        <v>85</v>
      </c>
      <c r="V680" s="70">
        <f>IF(ISERROR(VLOOKUP($S$680,'TAR FIN'!$A$1:$O$99,15,0)),0,VLOOKUP($S$680,'TAR FIN'!$A$1:$O$99,15,0))</f>
        <v>0</v>
      </c>
      <c r="W680" s="70">
        <f>IF(ISERROR(VLOOKUP($T$680,'TAR FIN'!$A$1:$O$99,15,0)),0,VLOOKUP($T$680,'TAR FIN'!$A$1:$O$99,15,0))*(1-0.06)</f>
        <v>371.84519999999998</v>
      </c>
      <c r="X680" s="70">
        <f>IF(ISERROR(VLOOKUP($U$680,'TAR FIN'!$A$1:$O$99,15,0)),0,VLOOKUP($U$680,'TAR FIN'!$A$1:$O$99,15,0))*(1-0.06)</f>
        <v>216.69819999999999</v>
      </c>
      <c r="Y680" s="70"/>
      <c r="Z680" s="70">
        <f ca="1">('TUSD BE'!$AM$59+'TUSD BF'!$AM$59+'TUSD CVA'!$AM$59)*1*(1-0.03)</f>
        <v>452.62084351656773</v>
      </c>
      <c r="AA680" s="70">
        <f>('TE BE'!$AA$41+'TE BF'!$AA$41+'TE CVA'!$AA$41)*1*(1-0.03)</f>
        <v>275.35282765895511</v>
      </c>
      <c r="AB680" s="70">
        <f>(SUBSIDIO!$J$680*SUBSIDIO!$V$680)*(0.06)/(1-0.06)</f>
        <v>0</v>
      </c>
      <c r="AC680" s="70">
        <f>((SUBSIDIO!$L$680*SUBSIDIO!$W$680)+(SUBSIDIO!$N$680*SUBSIDIO!$X$680))*(0.06)/(1-0.06)</f>
        <v>94141.336101000008</v>
      </c>
      <c r="AD680" s="70">
        <f>(SUBSIDIO!$J$680*SUBSIDIO!$Y$680)*(0.03)/(1-0.03)</f>
        <v>0</v>
      </c>
      <c r="AE680" s="70">
        <f ca="1">((SUBSIDIO!$L$680*SUBSIDIO!$Z$680)+(SUBSIDIO!$N$680*SUBSIDIO!$AA$680))*(0.03)/(1-0.03)</f>
        <v>56421.374237962656</v>
      </c>
      <c r="AF680" s="3" t="s">
        <v>953</v>
      </c>
    </row>
    <row r="681" spans="1:32" ht="11.25" customHeight="1" x14ac:dyDescent="0.25">
      <c r="A681" s="3" t="s">
        <v>28</v>
      </c>
      <c r="B681" s="3" t="s">
        <v>39</v>
      </c>
      <c r="C681" s="3" t="s">
        <v>23</v>
      </c>
      <c r="D681" s="3" t="s">
        <v>50</v>
      </c>
      <c r="E681" s="3" t="s">
        <v>51</v>
      </c>
      <c r="F681" s="3" t="s">
        <v>25</v>
      </c>
      <c r="G681" s="3" t="s">
        <v>25</v>
      </c>
      <c r="H681" s="3" t="s">
        <v>25</v>
      </c>
      <c r="I681" s="6">
        <v>44470</v>
      </c>
      <c r="J681" s="4">
        <v>0</v>
      </c>
      <c r="K681" s="70">
        <v>0</v>
      </c>
      <c r="L681" s="4">
        <v>196.49299999999999</v>
      </c>
      <c r="M681" s="70">
        <v>196.49299999999999</v>
      </c>
      <c r="N681" s="4">
        <v>196.49299999999999</v>
      </c>
      <c r="O681" s="70">
        <v>196.49299999999999</v>
      </c>
      <c r="P681" s="4">
        <v>173</v>
      </c>
      <c r="Q681" s="3" t="s">
        <v>26</v>
      </c>
      <c r="R681" s="3">
        <v>0</v>
      </c>
      <c r="S681" s="3">
        <v>0</v>
      </c>
      <c r="T681" s="3">
        <v>45</v>
      </c>
      <c r="U681" s="3">
        <v>85</v>
      </c>
      <c r="V681" s="70">
        <f>IF(ISERROR(VLOOKUP($S$681,'TAR FIN'!$A$1:$O$99,15,0)),0,VLOOKUP($S$681,'TAR FIN'!$A$1:$O$99,15,0))</f>
        <v>0</v>
      </c>
      <c r="W681" s="70">
        <f>IF(ISERROR(VLOOKUP($T$681,'TAR FIN'!$A$1:$O$99,15,0)),0,VLOOKUP($T$681,'TAR FIN'!$A$1:$O$99,15,0))*(1-0.06)</f>
        <v>371.84519999999998</v>
      </c>
      <c r="X681" s="70">
        <f>IF(ISERROR(VLOOKUP($U$681,'TAR FIN'!$A$1:$O$99,15,0)),0,VLOOKUP($U$681,'TAR FIN'!$A$1:$O$99,15,0))*(1-0.06)</f>
        <v>216.69819999999999</v>
      </c>
      <c r="Y681" s="70"/>
      <c r="Z681" s="70">
        <f ca="1">('TUSD BE'!$AM$59+'TUSD BF'!$AM$59+'TUSD CVA'!$AM$59)*1*(1-0.03)</f>
        <v>452.62084351656773</v>
      </c>
      <c r="AA681" s="70">
        <f>('TE BE'!$AA$41+'TE BF'!$AA$41+'TE CVA'!$AA$41)*1*(1-0.03)</f>
        <v>275.35282765895511</v>
      </c>
      <c r="AB681" s="70">
        <f>(SUBSIDIO!$J$681*SUBSIDIO!$V$681)*(0.06)/(1-0.06)</f>
        <v>0</v>
      </c>
      <c r="AC681" s="70">
        <f>((SUBSIDIO!$L$681*SUBSIDIO!$W$681)+(SUBSIDIO!$N$681*SUBSIDIO!$X$681))*(0.06)/(1-0.06)</f>
        <v>7381.5739337999985</v>
      </c>
      <c r="AD681" s="70">
        <f>(SUBSIDIO!$J$681*SUBSIDIO!$Y$681)*(0.03)/(1-0.03)</f>
        <v>0</v>
      </c>
      <c r="AE681" s="70">
        <f ca="1">((SUBSIDIO!$L$681*SUBSIDIO!$Z$681)+(SUBSIDIO!$N$681*SUBSIDIO!$AA$681))*(0.03)/(1-0.03)</f>
        <v>4423.9710485657315</v>
      </c>
      <c r="AF681" s="3" t="s">
        <v>953</v>
      </c>
    </row>
    <row r="682" spans="1:32" ht="11.25" customHeight="1" x14ac:dyDescent="0.25">
      <c r="A682" s="3" t="s">
        <v>28</v>
      </c>
      <c r="B682" s="3" t="s">
        <v>39</v>
      </c>
      <c r="C682" s="3" t="s">
        <v>23</v>
      </c>
      <c r="D682" s="3" t="s">
        <v>50</v>
      </c>
      <c r="E682" s="3" t="s">
        <v>51</v>
      </c>
      <c r="F682" s="3" t="s">
        <v>25</v>
      </c>
      <c r="G682" s="3" t="s">
        <v>25</v>
      </c>
      <c r="H682" s="3" t="s">
        <v>25</v>
      </c>
      <c r="I682" s="6">
        <v>44470</v>
      </c>
      <c r="J682" s="4">
        <v>0</v>
      </c>
      <c r="K682" s="70">
        <v>0</v>
      </c>
      <c r="L682" s="4">
        <v>2.5070000000000001</v>
      </c>
      <c r="M682" s="70">
        <v>2.5070000000000001</v>
      </c>
      <c r="N682" s="4">
        <v>2.5070000000000001</v>
      </c>
      <c r="O682" s="70">
        <v>2.5070000000000001</v>
      </c>
      <c r="P682" s="4">
        <v>0</v>
      </c>
      <c r="Q682" s="3" t="s">
        <v>26</v>
      </c>
      <c r="R682" s="3">
        <v>0</v>
      </c>
      <c r="S682" s="3">
        <v>0</v>
      </c>
      <c r="T682" s="3">
        <v>45</v>
      </c>
      <c r="U682" s="3">
        <v>85</v>
      </c>
      <c r="V682" s="70">
        <f>IF(ISERROR(VLOOKUP($S$682,'TAR FIN'!$A$1:$O$99,15,0)),0,VLOOKUP($S$682,'TAR FIN'!$A$1:$O$99,15,0))</f>
        <v>0</v>
      </c>
      <c r="W682" s="70">
        <f>IF(ISERROR(VLOOKUP($T$682,'TAR FIN'!$A$1:$O$99,15,0)),0,VLOOKUP($T$682,'TAR FIN'!$A$1:$O$99,15,0))*(1-0.06)</f>
        <v>371.84519999999998</v>
      </c>
      <c r="X682" s="70">
        <f>IF(ISERROR(VLOOKUP($U$682,'TAR FIN'!$A$1:$O$99,15,0)),0,VLOOKUP($U$682,'TAR FIN'!$A$1:$O$99,15,0))*(1-0.06)</f>
        <v>216.69819999999999</v>
      </c>
      <c r="Y682" s="70"/>
      <c r="Z682" s="70">
        <f ca="1">('TUSD BE'!$AM$59+'TUSD BF'!$AM$59+'TUSD CVA'!$AM$59)*1*(1-0.03)</f>
        <v>452.62084351656773</v>
      </c>
      <c r="AA682" s="70">
        <f>('TE BE'!$AA$41+'TE BF'!$AA$41+'TE CVA'!$AA$41)*1*(1-0.03)</f>
        <v>275.35282765895511</v>
      </c>
      <c r="AB682" s="70">
        <f>(SUBSIDIO!$J$682*SUBSIDIO!$V$682)*(0.06)/(1-0.06)</f>
        <v>0</v>
      </c>
      <c r="AC682" s="70">
        <f>((SUBSIDIO!$L$682*SUBSIDIO!$W$682)+(SUBSIDIO!$N$682*SUBSIDIO!$X$682))*(0.06)/(1-0.06)</f>
        <v>94.179466200000007</v>
      </c>
      <c r="AD682" s="70">
        <f>(SUBSIDIO!$J$682*SUBSIDIO!$Y$682)*(0.03)/(1-0.03)</f>
        <v>0</v>
      </c>
      <c r="AE682" s="70">
        <f ca="1">((SUBSIDIO!$L$682*SUBSIDIO!$Z$682)+(SUBSIDIO!$N$682*SUBSIDIO!$AA$682))*(0.03)/(1-0.03)</f>
        <v>56.444226607331004</v>
      </c>
      <c r="AF682" s="3" t="s">
        <v>953</v>
      </c>
    </row>
    <row r="683" spans="1:32" ht="11.25" customHeight="1" x14ac:dyDescent="0.25">
      <c r="A683" s="3" t="s">
        <v>21</v>
      </c>
      <c r="B683" s="3" t="s">
        <v>39</v>
      </c>
      <c r="C683" s="3" t="s">
        <v>23</v>
      </c>
      <c r="D683" s="3" t="s">
        <v>50</v>
      </c>
      <c r="E683" s="3" t="s">
        <v>51</v>
      </c>
      <c r="F683" s="3" t="s">
        <v>25</v>
      </c>
      <c r="G683" s="3" t="s">
        <v>25</v>
      </c>
      <c r="H683" s="3" t="s">
        <v>25</v>
      </c>
      <c r="I683" s="6">
        <v>44501</v>
      </c>
      <c r="J683" s="4">
        <v>0</v>
      </c>
      <c r="K683" s="70">
        <v>0</v>
      </c>
      <c r="L683" s="4">
        <v>2475.7399999999998</v>
      </c>
      <c r="M683" s="70">
        <v>2475.7399999999998</v>
      </c>
      <c r="N683" s="4">
        <v>2475.7399999999998</v>
      </c>
      <c r="O683" s="70">
        <v>2475.7399999999998</v>
      </c>
      <c r="P683" s="4">
        <v>1419</v>
      </c>
      <c r="Q683" s="3" t="s">
        <v>26</v>
      </c>
      <c r="R683" s="3">
        <v>0</v>
      </c>
      <c r="S683" s="3">
        <v>0</v>
      </c>
      <c r="T683" s="3">
        <v>45</v>
      </c>
      <c r="U683" s="3">
        <v>85</v>
      </c>
      <c r="V683" s="70">
        <f>IF(ISERROR(VLOOKUP($S$683,'TAR FIN'!$A$1:$O$99,15,0)),0,VLOOKUP($S$683,'TAR FIN'!$A$1:$O$99,15,0))</f>
        <v>0</v>
      </c>
      <c r="W683" s="70">
        <f>IF(ISERROR(VLOOKUP($T$683,'TAR FIN'!$A$1:$O$99,15,0)),0,VLOOKUP($T$683,'TAR FIN'!$A$1:$O$99,15,0))*(1-0.06)</f>
        <v>371.84519999999998</v>
      </c>
      <c r="X683" s="70">
        <f>IF(ISERROR(VLOOKUP($U$683,'TAR FIN'!$A$1:$O$99,15,0)),0,VLOOKUP($U$683,'TAR FIN'!$A$1:$O$99,15,0))*(1-0.06)</f>
        <v>216.69819999999999</v>
      </c>
      <c r="Y683" s="70"/>
      <c r="Z683" s="70">
        <f ca="1">('TUSD BE'!$AM$59+'TUSD BF'!$AM$59+'TUSD CVA'!$AM$59)*1*(1-0.03)</f>
        <v>452.62084351656773</v>
      </c>
      <c r="AA683" s="70">
        <f>('TE BE'!$AA$41+'TE BF'!$AA$41+'TE CVA'!$AA$41)*1*(1-0.03)</f>
        <v>275.35282765895511</v>
      </c>
      <c r="AB683" s="70">
        <f>(SUBSIDIO!$J$683*SUBSIDIO!$V$683)*(0.06)/(1-0.06)</f>
        <v>0</v>
      </c>
      <c r="AC683" s="70">
        <f>((SUBSIDIO!$L$683*SUBSIDIO!$W$683)+(SUBSIDIO!$N$683*SUBSIDIO!$X$683))*(0.06)/(1-0.06)</f>
        <v>93005.134284</v>
      </c>
      <c r="AD683" s="70">
        <f>(SUBSIDIO!$J$683*SUBSIDIO!$Y$683)*(0.03)/(1-0.03)</f>
        <v>0</v>
      </c>
      <c r="AE683" s="70">
        <f ca="1">((SUBSIDIO!$L$683*SUBSIDIO!$Z$683)+(SUBSIDIO!$N$683*SUBSIDIO!$AA$683))*(0.03)/(1-0.03)</f>
        <v>55740.418660085219</v>
      </c>
      <c r="AF683" s="3" t="s">
        <v>953</v>
      </c>
    </row>
    <row r="684" spans="1:32" ht="11.25" customHeight="1" x14ac:dyDescent="0.25">
      <c r="A684" s="3" t="s">
        <v>28</v>
      </c>
      <c r="B684" s="3" t="s">
        <v>39</v>
      </c>
      <c r="C684" s="3" t="s">
        <v>23</v>
      </c>
      <c r="D684" s="3" t="s">
        <v>50</v>
      </c>
      <c r="E684" s="3" t="s">
        <v>51</v>
      </c>
      <c r="F684" s="3" t="s">
        <v>25</v>
      </c>
      <c r="G684" s="3" t="s">
        <v>25</v>
      </c>
      <c r="H684" s="3" t="s">
        <v>25</v>
      </c>
      <c r="I684" s="6">
        <v>44501</v>
      </c>
      <c r="J684" s="4">
        <v>0</v>
      </c>
      <c r="K684" s="70">
        <v>0</v>
      </c>
      <c r="L684" s="4">
        <v>85.683000000000007</v>
      </c>
      <c r="M684" s="70">
        <v>85.683000000000007</v>
      </c>
      <c r="N684" s="4">
        <v>85.683000000000007</v>
      </c>
      <c r="O684" s="70">
        <v>85.683000000000007</v>
      </c>
      <c r="P684" s="4">
        <v>178</v>
      </c>
      <c r="Q684" s="3" t="s">
        <v>26</v>
      </c>
      <c r="R684" s="3">
        <v>0</v>
      </c>
      <c r="S684" s="3">
        <v>0</v>
      </c>
      <c r="T684" s="3">
        <v>45</v>
      </c>
      <c r="U684" s="3">
        <v>85</v>
      </c>
      <c r="V684" s="70">
        <f>IF(ISERROR(VLOOKUP($S$684,'TAR FIN'!$A$1:$O$99,15,0)),0,VLOOKUP($S$684,'TAR FIN'!$A$1:$O$99,15,0))</f>
        <v>0</v>
      </c>
      <c r="W684" s="70">
        <f>IF(ISERROR(VLOOKUP($T$684,'TAR FIN'!$A$1:$O$99,15,0)),0,VLOOKUP($T$684,'TAR FIN'!$A$1:$O$99,15,0))*(1-0.06)</f>
        <v>371.84519999999998</v>
      </c>
      <c r="X684" s="70">
        <f>IF(ISERROR(VLOOKUP($U$684,'TAR FIN'!$A$1:$O$99,15,0)),0,VLOOKUP($U$684,'TAR FIN'!$A$1:$O$99,15,0))*(1-0.06)</f>
        <v>216.69819999999999</v>
      </c>
      <c r="Y684" s="70"/>
      <c r="Z684" s="70">
        <f ca="1">('TUSD BE'!$AM$59+'TUSD BF'!$AM$59+'TUSD CVA'!$AM$59)*1*(1-0.03)</f>
        <v>452.62084351656773</v>
      </c>
      <c r="AA684" s="70">
        <f>('TE BE'!$AA$41+'TE BF'!$AA$41+'TE CVA'!$AA$41)*1*(1-0.03)</f>
        <v>275.35282765895511</v>
      </c>
      <c r="AB684" s="70">
        <f>(SUBSIDIO!$J$684*SUBSIDIO!$V$684)*(0.06)/(1-0.06)</f>
        <v>0</v>
      </c>
      <c r="AC684" s="70">
        <f>((SUBSIDIO!$L$684*SUBSIDIO!$W$684)+(SUBSIDIO!$N$684*SUBSIDIO!$X$684))*(0.06)/(1-0.06)</f>
        <v>3218.8189877999998</v>
      </c>
      <c r="AD684" s="70">
        <f>(SUBSIDIO!$J$684*SUBSIDIO!$Y$684)*(0.03)/(1-0.03)</f>
        <v>0</v>
      </c>
      <c r="AE684" s="70">
        <f ca="1">((SUBSIDIO!$L$684*SUBSIDIO!$Z$684)+(SUBSIDIO!$N$684*SUBSIDIO!$AA$684))*(0.03)/(1-0.03)</f>
        <v>1929.1227237319276</v>
      </c>
      <c r="AF684" s="3" t="s">
        <v>953</v>
      </c>
    </row>
    <row r="685" spans="1:32" ht="11.25" customHeight="1" x14ac:dyDescent="0.25">
      <c r="A685" s="3" t="s">
        <v>21</v>
      </c>
      <c r="B685" s="3" t="s">
        <v>39</v>
      </c>
      <c r="C685" s="3" t="s">
        <v>23</v>
      </c>
      <c r="D685" s="3" t="s">
        <v>50</v>
      </c>
      <c r="E685" s="3" t="s">
        <v>51</v>
      </c>
      <c r="F685" s="3" t="s">
        <v>25</v>
      </c>
      <c r="G685" s="3" t="s">
        <v>25</v>
      </c>
      <c r="H685" s="3" t="s">
        <v>25</v>
      </c>
      <c r="I685" s="6">
        <v>44531</v>
      </c>
      <c r="J685" s="4">
        <v>0</v>
      </c>
      <c r="K685" s="70">
        <v>0</v>
      </c>
      <c r="L685" s="4">
        <v>2496.7779999999998</v>
      </c>
      <c r="M685" s="70">
        <v>2496.7779999999998</v>
      </c>
      <c r="N685" s="4">
        <v>2496.7779999999998</v>
      </c>
      <c r="O685" s="70">
        <v>2496.7779999999998</v>
      </c>
      <c r="P685" s="4">
        <v>1414</v>
      </c>
      <c r="Q685" s="3" t="s">
        <v>26</v>
      </c>
      <c r="R685" s="3">
        <v>0</v>
      </c>
      <c r="S685" s="3">
        <v>0</v>
      </c>
      <c r="T685" s="3">
        <v>45</v>
      </c>
      <c r="U685" s="3">
        <v>85</v>
      </c>
      <c r="V685" s="70">
        <f>IF(ISERROR(VLOOKUP($S$685,'TAR FIN'!$A$1:$O$99,15,0)),0,VLOOKUP($S$685,'TAR FIN'!$A$1:$O$99,15,0))</f>
        <v>0</v>
      </c>
      <c r="W685" s="70">
        <f>IF(ISERROR(VLOOKUP($T$685,'TAR FIN'!$A$1:$O$99,15,0)),0,VLOOKUP($T$685,'TAR FIN'!$A$1:$O$99,15,0))*(1-0.06)</f>
        <v>371.84519999999998</v>
      </c>
      <c r="X685" s="70">
        <f>IF(ISERROR(VLOOKUP($U$685,'TAR FIN'!$A$1:$O$99,15,0)),0,VLOOKUP($U$685,'TAR FIN'!$A$1:$O$99,15,0))*(1-0.06)</f>
        <v>216.69819999999999</v>
      </c>
      <c r="Y685" s="70"/>
      <c r="Z685" s="70">
        <f ca="1">('TUSD BE'!$AM$59+'TUSD BF'!$AM$59+'TUSD CVA'!$AM$59)*1*(1-0.03)</f>
        <v>452.62084351656773</v>
      </c>
      <c r="AA685" s="70">
        <f>('TE BE'!$AA$41+'TE BF'!$AA$41+'TE CVA'!$AA$41)*1*(1-0.03)</f>
        <v>275.35282765895511</v>
      </c>
      <c r="AB685" s="70">
        <f>(SUBSIDIO!$J$685*SUBSIDIO!$V$685)*(0.06)/(1-0.06)</f>
        <v>0</v>
      </c>
      <c r="AC685" s="70">
        <f>((SUBSIDIO!$L$685*SUBSIDIO!$W$685)+(SUBSIDIO!$N$685*SUBSIDIO!$X$685))*(0.06)/(1-0.06)</f>
        <v>93795.460414799993</v>
      </c>
      <c r="AD685" s="70">
        <f>(SUBSIDIO!$J$685*SUBSIDIO!$Y$685)*(0.03)/(1-0.03)</f>
        <v>0</v>
      </c>
      <c r="AE685" s="70">
        <f ca="1">((SUBSIDIO!$L$685*SUBSIDIO!$Z$685)+(SUBSIDIO!$N$685*SUBSIDIO!$AA$685))*(0.03)/(1-0.03)</f>
        <v>56214.081858874619</v>
      </c>
      <c r="AF685" s="3" t="s">
        <v>953</v>
      </c>
    </row>
    <row r="686" spans="1:32" ht="11.25" customHeight="1" x14ac:dyDescent="0.25">
      <c r="A686" s="3" t="s">
        <v>27</v>
      </c>
      <c r="B686" s="3" t="s">
        <v>39</v>
      </c>
      <c r="C686" s="3" t="s">
        <v>23</v>
      </c>
      <c r="D686" s="3" t="s">
        <v>50</v>
      </c>
      <c r="E686" s="3" t="s">
        <v>51</v>
      </c>
      <c r="F686" s="3" t="s">
        <v>25</v>
      </c>
      <c r="G686" s="3" t="s">
        <v>25</v>
      </c>
      <c r="H686" s="3" t="s">
        <v>25</v>
      </c>
      <c r="I686" s="6">
        <v>44531</v>
      </c>
      <c r="J686" s="4">
        <v>0</v>
      </c>
      <c r="K686" s="70">
        <v>0</v>
      </c>
      <c r="L686" s="4">
        <v>-5.0000000000000001E-3</v>
      </c>
      <c r="M686" s="70">
        <v>-5.0000000000000001E-3</v>
      </c>
      <c r="N686" s="4">
        <v>-5.0000000000000001E-3</v>
      </c>
      <c r="O686" s="70">
        <v>-5.0000000000000001E-3</v>
      </c>
      <c r="P686" s="4">
        <v>0</v>
      </c>
      <c r="Q686" s="3" t="s">
        <v>26</v>
      </c>
      <c r="R686" s="3">
        <v>0</v>
      </c>
      <c r="S686" s="3">
        <v>0</v>
      </c>
      <c r="T686" s="3">
        <v>45</v>
      </c>
      <c r="U686" s="3">
        <v>85</v>
      </c>
      <c r="V686" s="70">
        <f>IF(ISERROR(VLOOKUP($S$686,'TAR FIN'!$A$1:$O$99,15,0)),0,VLOOKUP($S$686,'TAR FIN'!$A$1:$O$99,15,0))</f>
        <v>0</v>
      </c>
      <c r="W686" s="70">
        <f>IF(ISERROR(VLOOKUP($T$686,'TAR FIN'!$A$1:$O$99,15,0)),0,VLOOKUP($T$686,'TAR FIN'!$A$1:$O$99,15,0))*(1-0.06)</f>
        <v>371.84519999999998</v>
      </c>
      <c r="X686" s="70">
        <f>IF(ISERROR(VLOOKUP($U$686,'TAR FIN'!$A$1:$O$99,15,0)),0,VLOOKUP($U$686,'TAR FIN'!$A$1:$O$99,15,0))*(1-0.06)</f>
        <v>216.69819999999999</v>
      </c>
      <c r="Y686" s="70"/>
      <c r="Z686" s="70">
        <f ca="1">('TUSD BE'!$AM$59+'TUSD BF'!$AM$59+'TUSD CVA'!$AM$59)*1*(1-0.03)</f>
        <v>452.62084351656773</v>
      </c>
      <c r="AA686" s="70">
        <f>('TE BE'!$AA$41+'TE BF'!$AA$41+'TE CVA'!$AA$41)*1*(1-0.03)</f>
        <v>275.35282765895511</v>
      </c>
      <c r="AB686" s="70">
        <f>(SUBSIDIO!$J$686*SUBSIDIO!$V$686)*(0.06)/(1-0.06)</f>
        <v>0</v>
      </c>
      <c r="AC686" s="70">
        <f>((SUBSIDIO!$L$686*SUBSIDIO!$W$686)+(SUBSIDIO!$N$686*SUBSIDIO!$X$686))*(0.06)/(1-0.06)</f>
        <v>-0.187833</v>
      </c>
      <c r="AD686" s="70">
        <f>(SUBSIDIO!$J$686*SUBSIDIO!$Y$686)*(0.03)/(1-0.03)</f>
        <v>0</v>
      </c>
      <c r="AE686" s="70">
        <f ca="1">((SUBSIDIO!$L$686*SUBSIDIO!$Z$686)+(SUBSIDIO!$N$686*SUBSIDIO!$AA$686))*(0.03)/(1-0.03)</f>
        <v>-0.11257324811992622</v>
      </c>
      <c r="AF686" s="3" t="s">
        <v>953</v>
      </c>
    </row>
    <row r="687" spans="1:32" ht="11.25" customHeight="1" x14ac:dyDescent="0.25">
      <c r="A687" s="3" t="s">
        <v>28</v>
      </c>
      <c r="B687" s="3" t="s">
        <v>39</v>
      </c>
      <c r="C687" s="3" t="s">
        <v>23</v>
      </c>
      <c r="D687" s="3" t="s">
        <v>50</v>
      </c>
      <c r="E687" s="3" t="s">
        <v>51</v>
      </c>
      <c r="F687" s="3" t="s">
        <v>25</v>
      </c>
      <c r="G687" s="3" t="s">
        <v>25</v>
      </c>
      <c r="H687" s="3" t="s">
        <v>25</v>
      </c>
      <c r="I687" s="6">
        <v>44531</v>
      </c>
      <c r="J687" s="4">
        <v>0</v>
      </c>
      <c r="K687" s="70">
        <v>0</v>
      </c>
      <c r="L687" s="4">
        <v>149.88900000000001</v>
      </c>
      <c r="M687" s="70">
        <v>149.88900000000001</v>
      </c>
      <c r="N687" s="4">
        <v>149.88900000000001</v>
      </c>
      <c r="O687" s="70">
        <v>149.88900000000001</v>
      </c>
      <c r="P687" s="4">
        <v>196</v>
      </c>
      <c r="Q687" s="3" t="s">
        <v>26</v>
      </c>
      <c r="R687" s="3">
        <v>0</v>
      </c>
      <c r="S687" s="3">
        <v>0</v>
      </c>
      <c r="T687" s="3">
        <v>45</v>
      </c>
      <c r="U687" s="3">
        <v>85</v>
      </c>
      <c r="V687" s="70">
        <f>IF(ISERROR(VLOOKUP($S$687,'TAR FIN'!$A$1:$O$99,15,0)),0,VLOOKUP($S$687,'TAR FIN'!$A$1:$O$99,15,0))</f>
        <v>0</v>
      </c>
      <c r="W687" s="70">
        <f>IF(ISERROR(VLOOKUP($T$687,'TAR FIN'!$A$1:$O$99,15,0)),0,VLOOKUP($T$687,'TAR FIN'!$A$1:$O$99,15,0))*(1-0.06)</f>
        <v>371.84519999999998</v>
      </c>
      <c r="X687" s="70">
        <f>IF(ISERROR(VLOOKUP($U$687,'TAR FIN'!$A$1:$O$99,15,0)),0,VLOOKUP($U$687,'TAR FIN'!$A$1:$O$99,15,0))*(1-0.06)</f>
        <v>216.69819999999999</v>
      </c>
      <c r="Y687" s="70"/>
      <c r="Z687" s="70">
        <f ca="1">('TUSD BE'!$AM$59+'TUSD BF'!$AM$59+'TUSD CVA'!$AM$59)*1*(1-0.03)</f>
        <v>452.62084351656773</v>
      </c>
      <c r="AA687" s="70">
        <f>('TE BE'!$AA$41+'TE BF'!$AA$41+'TE CVA'!$AA$41)*1*(1-0.03)</f>
        <v>275.35282765895511</v>
      </c>
      <c r="AB687" s="70">
        <f>(SUBSIDIO!$J$687*SUBSIDIO!$V$687)*(0.06)/(1-0.06)</f>
        <v>0</v>
      </c>
      <c r="AC687" s="70">
        <f>((SUBSIDIO!$L$687*SUBSIDIO!$W$687)+(SUBSIDIO!$N$687*SUBSIDIO!$X$687))*(0.06)/(1-0.06)</f>
        <v>5630.8201074000008</v>
      </c>
      <c r="AD687" s="70">
        <f>(SUBSIDIO!$J$687*SUBSIDIO!$Y$687)*(0.03)/(1-0.03)</f>
        <v>0</v>
      </c>
      <c r="AE687" s="70">
        <f ca="1">((SUBSIDIO!$L$687*SUBSIDIO!$Z$687)+(SUBSIDIO!$N$687*SUBSIDIO!$AA$687))*(0.03)/(1-0.03)</f>
        <v>3374.698317489524</v>
      </c>
      <c r="AF687" s="3" t="s">
        <v>953</v>
      </c>
    </row>
    <row r="688" spans="1:32" ht="11.25" customHeight="1" x14ac:dyDescent="0.25">
      <c r="A688" s="3" t="s">
        <v>28</v>
      </c>
      <c r="B688" s="3" t="s">
        <v>39</v>
      </c>
      <c r="C688" s="3" t="s">
        <v>23</v>
      </c>
      <c r="D688" s="3" t="s">
        <v>50</v>
      </c>
      <c r="E688" s="3" t="s">
        <v>51</v>
      </c>
      <c r="F688" s="3" t="s">
        <v>25</v>
      </c>
      <c r="G688" s="3" t="s">
        <v>25</v>
      </c>
      <c r="H688" s="3" t="s">
        <v>25</v>
      </c>
      <c r="I688" s="6">
        <v>44531</v>
      </c>
      <c r="J688" s="4">
        <v>0</v>
      </c>
      <c r="K688" s="70">
        <v>0</v>
      </c>
      <c r="L688" s="4">
        <v>0.86899999999999999</v>
      </c>
      <c r="M688" s="70">
        <v>0.86899999999999999</v>
      </c>
      <c r="N688" s="4">
        <v>0.86899999999999999</v>
      </c>
      <c r="O688" s="70">
        <v>0.86899999999999999</v>
      </c>
      <c r="P688" s="4">
        <v>1</v>
      </c>
      <c r="Q688" s="3" t="s">
        <v>26</v>
      </c>
      <c r="R688" s="3">
        <v>0</v>
      </c>
      <c r="S688" s="3">
        <v>0</v>
      </c>
      <c r="T688" s="3">
        <v>45</v>
      </c>
      <c r="U688" s="3">
        <v>85</v>
      </c>
      <c r="V688" s="70">
        <f>IF(ISERROR(VLOOKUP($S$688,'TAR FIN'!$A$1:$O$99,15,0)),0,VLOOKUP($S$688,'TAR FIN'!$A$1:$O$99,15,0))</f>
        <v>0</v>
      </c>
      <c r="W688" s="70">
        <f>IF(ISERROR(VLOOKUP($T$688,'TAR FIN'!$A$1:$O$99,15,0)),0,VLOOKUP($T$688,'TAR FIN'!$A$1:$O$99,15,0))*(1-0.06)</f>
        <v>371.84519999999998</v>
      </c>
      <c r="X688" s="70">
        <f>IF(ISERROR(VLOOKUP($U$688,'TAR FIN'!$A$1:$O$99,15,0)),0,VLOOKUP($U$688,'TAR FIN'!$A$1:$O$99,15,0))*(1-0.06)</f>
        <v>216.69819999999999</v>
      </c>
      <c r="Y688" s="70"/>
      <c r="Z688" s="70">
        <f ca="1">('TUSD BE'!$AM$59+'TUSD BF'!$AM$59+'TUSD CVA'!$AM$59)*1*(1-0.03)</f>
        <v>452.62084351656773</v>
      </c>
      <c r="AA688" s="70">
        <f>('TE BE'!$AA$41+'TE BF'!$AA$41+'TE CVA'!$AA$41)*1*(1-0.03)</f>
        <v>275.35282765895511</v>
      </c>
      <c r="AB688" s="70">
        <f>(SUBSIDIO!$J$688*SUBSIDIO!$V$688)*(0.06)/(1-0.06)</f>
        <v>0</v>
      </c>
      <c r="AC688" s="70">
        <f>((SUBSIDIO!$L$688*SUBSIDIO!$W$688)+(SUBSIDIO!$N$688*SUBSIDIO!$X$688))*(0.06)/(1-0.06)</f>
        <v>32.645375399999999</v>
      </c>
      <c r="AD688" s="70">
        <f>(SUBSIDIO!$J$688*SUBSIDIO!$Y$688)*(0.03)/(1-0.03)</f>
        <v>0</v>
      </c>
      <c r="AE688" s="70">
        <f ca="1">((SUBSIDIO!$L$688*SUBSIDIO!$Z$688)+(SUBSIDIO!$N$688*SUBSIDIO!$AA$688))*(0.03)/(1-0.03)</f>
        <v>19.565230523243176</v>
      </c>
      <c r="AF688" s="3" t="s">
        <v>953</v>
      </c>
    </row>
    <row r="689" spans="1:32" ht="11.25" customHeight="1" x14ac:dyDescent="0.25">
      <c r="A689" s="3" t="s">
        <v>21</v>
      </c>
      <c r="B689" s="3" t="s">
        <v>39</v>
      </c>
      <c r="C689" s="3" t="s">
        <v>23</v>
      </c>
      <c r="D689" s="3" t="s">
        <v>50</v>
      </c>
      <c r="E689" s="3" t="s">
        <v>51</v>
      </c>
      <c r="F689" s="3" t="s">
        <v>25</v>
      </c>
      <c r="G689" s="3" t="s">
        <v>25</v>
      </c>
      <c r="H689" s="3" t="s">
        <v>25</v>
      </c>
      <c r="I689" s="6">
        <v>44562</v>
      </c>
      <c r="J689" s="4">
        <v>0</v>
      </c>
      <c r="K689" s="70">
        <v>0</v>
      </c>
      <c r="L689" s="4">
        <v>2330.549</v>
      </c>
      <c r="M689" s="70">
        <v>2330.549</v>
      </c>
      <c r="N689" s="4">
        <v>2330.549</v>
      </c>
      <c r="O689" s="70">
        <v>2330.549</v>
      </c>
      <c r="P689" s="4">
        <v>1382</v>
      </c>
      <c r="Q689" s="3" t="s">
        <v>26</v>
      </c>
      <c r="R689" s="3">
        <v>0</v>
      </c>
      <c r="S689" s="3">
        <v>0</v>
      </c>
      <c r="T689" s="3">
        <v>45</v>
      </c>
      <c r="U689" s="3">
        <v>85</v>
      </c>
      <c r="V689" s="70">
        <f>IF(ISERROR(VLOOKUP($S$689,'TAR FIN'!$A$1:$O$99,15,0)),0,VLOOKUP($S$689,'TAR FIN'!$A$1:$O$99,15,0))</f>
        <v>0</v>
      </c>
      <c r="W689" s="70">
        <f>IF(ISERROR(VLOOKUP($T$689,'TAR FIN'!$A$1:$O$99,15,0)),0,VLOOKUP($T$689,'TAR FIN'!$A$1:$O$99,15,0))*(1-0.06)</f>
        <v>371.84519999999998</v>
      </c>
      <c r="X689" s="70">
        <f>IF(ISERROR(VLOOKUP($U$689,'TAR FIN'!$A$1:$O$99,15,0)),0,VLOOKUP($U$689,'TAR FIN'!$A$1:$O$99,15,0))*(1-0.06)</f>
        <v>216.69819999999999</v>
      </c>
      <c r="Y689" s="70"/>
      <c r="Z689" s="70">
        <f ca="1">('TUSD BE'!$AM$59+'TUSD BF'!$AM$59+'TUSD CVA'!$AM$59)*1*(1-0.03)</f>
        <v>452.62084351656773</v>
      </c>
      <c r="AA689" s="70">
        <f>('TE BE'!$AA$41+'TE BF'!$AA$41+'TE CVA'!$AA$41)*1*(1-0.03)</f>
        <v>275.35282765895511</v>
      </c>
      <c r="AB689" s="70">
        <f>(SUBSIDIO!$J$689*SUBSIDIO!$V$689)*(0.06)/(1-0.06)</f>
        <v>0</v>
      </c>
      <c r="AC689" s="70">
        <f>((SUBSIDIO!$L$689*SUBSIDIO!$W$689)+(SUBSIDIO!$N$689*SUBSIDIO!$X$689))*(0.06)/(1-0.06)</f>
        <v>87550.802063399999</v>
      </c>
      <c r="AD689" s="70">
        <f>(SUBSIDIO!$J$689*SUBSIDIO!$Y$689)*(0.03)/(1-0.03)</f>
        <v>0</v>
      </c>
      <c r="AE689" s="70">
        <f ca="1">((SUBSIDIO!$L$689*SUBSIDIO!$Z$689)+(SUBSIDIO!$N$689*SUBSIDIO!$AA$689))*(0.03)/(1-0.03)</f>
        <v>52471.494166529177</v>
      </c>
      <c r="AF689" s="3" t="s">
        <v>953</v>
      </c>
    </row>
    <row r="690" spans="1:32" ht="11.25" customHeight="1" x14ac:dyDescent="0.25">
      <c r="A690" s="3" t="s">
        <v>27</v>
      </c>
      <c r="B690" s="3" t="s">
        <v>39</v>
      </c>
      <c r="C690" s="3" t="s">
        <v>23</v>
      </c>
      <c r="D690" s="3" t="s">
        <v>50</v>
      </c>
      <c r="E690" s="3" t="s">
        <v>51</v>
      </c>
      <c r="F690" s="3" t="s">
        <v>25</v>
      </c>
      <c r="G690" s="3" t="s">
        <v>25</v>
      </c>
      <c r="H690" s="3" t="s">
        <v>25</v>
      </c>
      <c r="I690" s="6">
        <v>44562</v>
      </c>
      <c r="J690" s="4">
        <v>0</v>
      </c>
      <c r="K690" s="70">
        <v>0</v>
      </c>
      <c r="L690" s="4">
        <v>12.458</v>
      </c>
      <c r="M690" s="70">
        <v>12.458</v>
      </c>
      <c r="N690" s="4">
        <v>12.458</v>
      </c>
      <c r="O690" s="70">
        <v>12.458</v>
      </c>
      <c r="P690" s="4">
        <v>0</v>
      </c>
      <c r="Q690" s="3" t="s">
        <v>26</v>
      </c>
      <c r="R690" s="3">
        <v>0</v>
      </c>
      <c r="S690" s="3">
        <v>0</v>
      </c>
      <c r="T690" s="3">
        <v>45</v>
      </c>
      <c r="U690" s="3">
        <v>85</v>
      </c>
      <c r="V690" s="70">
        <f>IF(ISERROR(VLOOKUP($S$690,'TAR FIN'!$A$1:$O$99,15,0)),0,VLOOKUP($S$690,'TAR FIN'!$A$1:$O$99,15,0))</f>
        <v>0</v>
      </c>
      <c r="W690" s="70">
        <f>IF(ISERROR(VLOOKUP($T$690,'TAR FIN'!$A$1:$O$99,15,0)),0,VLOOKUP($T$690,'TAR FIN'!$A$1:$O$99,15,0))*(1-0.06)</f>
        <v>371.84519999999998</v>
      </c>
      <c r="X690" s="70">
        <f>IF(ISERROR(VLOOKUP($U$690,'TAR FIN'!$A$1:$O$99,15,0)),0,VLOOKUP($U$690,'TAR FIN'!$A$1:$O$99,15,0))*(1-0.06)</f>
        <v>216.69819999999999</v>
      </c>
      <c r="Y690" s="70"/>
      <c r="Z690" s="70">
        <f ca="1">('TUSD BE'!$AM$59+'TUSD BF'!$AM$59+'TUSD CVA'!$AM$59)*1*(1-0.03)</f>
        <v>452.62084351656773</v>
      </c>
      <c r="AA690" s="70">
        <f>('TE BE'!$AA$41+'TE BF'!$AA$41+'TE CVA'!$AA$41)*1*(1-0.03)</f>
        <v>275.35282765895511</v>
      </c>
      <c r="AB690" s="70">
        <f>(SUBSIDIO!$J$690*SUBSIDIO!$V$690)*(0.06)/(1-0.06)</f>
        <v>0</v>
      </c>
      <c r="AC690" s="70">
        <f>((SUBSIDIO!$L$690*SUBSIDIO!$W$690)+(SUBSIDIO!$N$690*SUBSIDIO!$X$690))*(0.06)/(1-0.06)</f>
        <v>468.00470279999996</v>
      </c>
      <c r="AD690" s="70">
        <f>(SUBSIDIO!$J$690*SUBSIDIO!$Y$690)*(0.03)/(1-0.03)</f>
        <v>0</v>
      </c>
      <c r="AE690" s="70">
        <f ca="1">((SUBSIDIO!$L$690*SUBSIDIO!$Z$690)+(SUBSIDIO!$N$690*SUBSIDIO!$AA$690))*(0.03)/(1-0.03)</f>
        <v>280.48750501560812</v>
      </c>
      <c r="AF690" s="3" t="s">
        <v>953</v>
      </c>
    </row>
    <row r="691" spans="1:32" ht="11.25" customHeight="1" x14ac:dyDescent="0.25">
      <c r="A691" s="3" t="s">
        <v>28</v>
      </c>
      <c r="B691" s="3" t="s">
        <v>39</v>
      </c>
      <c r="C691" s="3" t="s">
        <v>23</v>
      </c>
      <c r="D691" s="3" t="s">
        <v>50</v>
      </c>
      <c r="E691" s="3" t="s">
        <v>51</v>
      </c>
      <c r="F691" s="3" t="s">
        <v>25</v>
      </c>
      <c r="G691" s="3" t="s">
        <v>25</v>
      </c>
      <c r="H691" s="3" t="s">
        <v>25</v>
      </c>
      <c r="I691" s="6">
        <v>44562</v>
      </c>
      <c r="J691" s="4">
        <v>0</v>
      </c>
      <c r="K691" s="70">
        <v>0</v>
      </c>
      <c r="L691" s="4">
        <v>55.753999999999998</v>
      </c>
      <c r="M691" s="70">
        <v>55.753999999999998</v>
      </c>
      <c r="N691" s="4">
        <v>55.753999999999998</v>
      </c>
      <c r="O691" s="70">
        <v>55.753999999999998</v>
      </c>
      <c r="P691" s="4">
        <v>210</v>
      </c>
      <c r="Q691" s="3" t="s">
        <v>26</v>
      </c>
      <c r="R691" s="3">
        <v>0</v>
      </c>
      <c r="S691" s="3">
        <v>0</v>
      </c>
      <c r="T691" s="3">
        <v>45</v>
      </c>
      <c r="U691" s="3">
        <v>85</v>
      </c>
      <c r="V691" s="70">
        <f>IF(ISERROR(VLOOKUP($S$691,'TAR FIN'!$A$1:$O$99,15,0)),0,VLOOKUP($S$691,'TAR FIN'!$A$1:$O$99,15,0))</f>
        <v>0</v>
      </c>
      <c r="W691" s="70">
        <f>IF(ISERROR(VLOOKUP($T$691,'TAR FIN'!$A$1:$O$99,15,0)),0,VLOOKUP($T$691,'TAR FIN'!$A$1:$O$99,15,0))*(1-0.06)</f>
        <v>371.84519999999998</v>
      </c>
      <c r="X691" s="70">
        <f>IF(ISERROR(VLOOKUP($U$691,'TAR FIN'!$A$1:$O$99,15,0)),0,VLOOKUP($U$691,'TAR FIN'!$A$1:$O$99,15,0))*(1-0.06)</f>
        <v>216.69819999999999</v>
      </c>
      <c r="Y691" s="70"/>
      <c r="Z691" s="70">
        <f ca="1">('TUSD BE'!$AM$59+'TUSD BF'!$AM$59+'TUSD CVA'!$AM$59)*1*(1-0.03)</f>
        <v>452.62084351656773</v>
      </c>
      <c r="AA691" s="70">
        <f>('TE BE'!$AA$41+'TE BF'!$AA$41+'TE CVA'!$AA$41)*1*(1-0.03)</f>
        <v>275.35282765895511</v>
      </c>
      <c r="AB691" s="70">
        <f>(SUBSIDIO!$J$691*SUBSIDIO!$V$691)*(0.06)/(1-0.06)</f>
        <v>0</v>
      </c>
      <c r="AC691" s="70">
        <f>((SUBSIDIO!$L$691*SUBSIDIO!$W$691)+(SUBSIDIO!$N$691*SUBSIDIO!$X$691))*(0.06)/(1-0.06)</f>
        <v>2094.4882164000001</v>
      </c>
      <c r="AD691" s="70">
        <f>(SUBSIDIO!$J$691*SUBSIDIO!$Y$691)*(0.03)/(1-0.03)</f>
        <v>0</v>
      </c>
      <c r="AE691" s="70">
        <f ca="1">((SUBSIDIO!$L$691*SUBSIDIO!$Z$691)+(SUBSIDIO!$N$691*SUBSIDIO!$AA$691))*(0.03)/(1-0.03)</f>
        <v>1255.2817751356731</v>
      </c>
      <c r="AF691" s="3" t="s">
        <v>953</v>
      </c>
    </row>
    <row r="692" spans="1:32" ht="11.25" customHeight="1" x14ac:dyDescent="0.25">
      <c r="A692" s="3" t="s">
        <v>28</v>
      </c>
      <c r="B692" s="3" t="s">
        <v>39</v>
      </c>
      <c r="C692" s="3" t="s">
        <v>23</v>
      </c>
      <c r="D692" s="3" t="s">
        <v>50</v>
      </c>
      <c r="E692" s="3" t="s">
        <v>51</v>
      </c>
      <c r="F692" s="3" t="s">
        <v>25</v>
      </c>
      <c r="G692" s="3" t="s">
        <v>25</v>
      </c>
      <c r="H692" s="3" t="s">
        <v>25</v>
      </c>
      <c r="I692" s="6">
        <v>44562</v>
      </c>
      <c r="J692" s="4">
        <v>0</v>
      </c>
      <c r="K692" s="70">
        <v>0</v>
      </c>
      <c r="L692" s="4">
        <v>7.665</v>
      </c>
      <c r="M692" s="70">
        <v>7.665</v>
      </c>
      <c r="N692" s="4">
        <v>7.665</v>
      </c>
      <c r="O692" s="70">
        <v>7.665</v>
      </c>
      <c r="P692" s="4">
        <v>0</v>
      </c>
      <c r="Q692" s="3" t="s">
        <v>26</v>
      </c>
      <c r="R692" s="3">
        <v>0</v>
      </c>
      <c r="S692" s="3">
        <v>0</v>
      </c>
      <c r="T692" s="3">
        <v>45</v>
      </c>
      <c r="U692" s="3">
        <v>85</v>
      </c>
      <c r="V692" s="70">
        <f>IF(ISERROR(VLOOKUP($S$692,'TAR FIN'!$A$1:$O$99,15,0)),0,VLOOKUP($S$692,'TAR FIN'!$A$1:$O$99,15,0))</f>
        <v>0</v>
      </c>
      <c r="W692" s="70">
        <f>IF(ISERROR(VLOOKUP($T$692,'TAR FIN'!$A$1:$O$99,15,0)),0,VLOOKUP($T$692,'TAR FIN'!$A$1:$O$99,15,0))*(1-0.06)</f>
        <v>371.84519999999998</v>
      </c>
      <c r="X692" s="70">
        <f>IF(ISERROR(VLOOKUP($U$692,'TAR FIN'!$A$1:$O$99,15,0)),0,VLOOKUP($U$692,'TAR FIN'!$A$1:$O$99,15,0))*(1-0.06)</f>
        <v>216.69819999999999</v>
      </c>
      <c r="Y692" s="70"/>
      <c r="Z692" s="70">
        <f ca="1">('TUSD BE'!$AM$59+'TUSD BF'!$AM$59+'TUSD CVA'!$AM$59)*1*(1-0.03)</f>
        <v>452.62084351656773</v>
      </c>
      <c r="AA692" s="70">
        <f>('TE BE'!$AA$41+'TE BF'!$AA$41+'TE CVA'!$AA$41)*1*(1-0.03)</f>
        <v>275.35282765895511</v>
      </c>
      <c r="AB692" s="70">
        <f>(SUBSIDIO!$J$692*SUBSIDIO!$V$692)*(0.06)/(1-0.06)</f>
        <v>0</v>
      </c>
      <c r="AC692" s="70">
        <f>((SUBSIDIO!$L$692*SUBSIDIO!$W$692)+(SUBSIDIO!$N$692*SUBSIDIO!$X$692))*(0.06)/(1-0.06)</f>
        <v>287.94798899999995</v>
      </c>
      <c r="AD692" s="70">
        <f>(SUBSIDIO!$J$692*SUBSIDIO!$Y$692)*(0.03)/(1-0.03)</f>
        <v>0</v>
      </c>
      <c r="AE692" s="70">
        <f ca="1">((SUBSIDIO!$L$692*SUBSIDIO!$Z$692)+(SUBSIDIO!$N$692*SUBSIDIO!$AA$692))*(0.03)/(1-0.03)</f>
        <v>172.57478936784688</v>
      </c>
      <c r="AF692" s="3" t="s">
        <v>953</v>
      </c>
    </row>
    <row r="693" spans="1:32" ht="11.25" customHeight="1" x14ac:dyDescent="0.25">
      <c r="A693" s="3" t="s">
        <v>21</v>
      </c>
      <c r="B693" s="3" t="s">
        <v>39</v>
      </c>
      <c r="C693" s="3" t="s">
        <v>23</v>
      </c>
      <c r="D693" s="3" t="s">
        <v>50</v>
      </c>
      <c r="E693" s="3" t="s">
        <v>51</v>
      </c>
      <c r="F693" s="3" t="s">
        <v>25</v>
      </c>
      <c r="G693" s="3" t="s">
        <v>25</v>
      </c>
      <c r="H693" s="3" t="s">
        <v>25</v>
      </c>
      <c r="I693" s="6">
        <v>44593</v>
      </c>
      <c r="J693" s="4">
        <v>0</v>
      </c>
      <c r="K693" s="70">
        <v>0</v>
      </c>
      <c r="L693" s="4">
        <v>2281.1390000000001</v>
      </c>
      <c r="M693" s="70">
        <v>2281.1390000000001</v>
      </c>
      <c r="N693" s="4">
        <v>2281.1390000000001</v>
      </c>
      <c r="O693" s="70">
        <v>2281.1390000000001</v>
      </c>
      <c r="P693" s="4">
        <v>1417</v>
      </c>
      <c r="Q693" s="3" t="s">
        <v>26</v>
      </c>
      <c r="R693" s="3">
        <v>0</v>
      </c>
      <c r="S693" s="3">
        <v>0</v>
      </c>
      <c r="T693" s="3">
        <v>45</v>
      </c>
      <c r="U693" s="3">
        <v>85</v>
      </c>
      <c r="V693" s="70">
        <f>IF(ISERROR(VLOOKUP($S$693,'TAR FIN'!$A$1:$O$99,15,0)),0,VLOOKUP($S$693,'TAR FIN'!$A$1:$O$99,15,0))</f>
        <v>0</v>
      </c>
      <c r="W693" s="70">
        <f>IF(ISERROR(VLOOKUP($T$693,'TAR FIN'!$A$1:$O$99,15,0)),0,VLOOKUP($T$693,'TAR FIN'!$A$1:$O$99,15,0))*(1-0.06)</f>
        <v>371.84519999999998</v>
      </c>
      <c r="X693" s="70">
        <f>IF(ISERROR(VLOOKUP($U$693,'TAR FIN'!$A$1:$O$99,15,0)),0,VLOOKUP($U$693,'TAR FIN'!$A$1:$O$99,15,0))*(1-0.06)</f>
        <v>216.69819999999999</v>
      </c>
      <c r="Y693" s="70"/>
      <c r="Z693" s="70">
        <f ca="1">('TUSD BE'!$AM$59+'TUSD BF'!$AM$59+'TUSD CVA'!$AM$59)*1*(1-0.03)</f>
        <v>452.62084351656773</v>
      </c>
      <c r="AA693" s="70">
        <f>('TE BE'!$AA$41+'TE BF'!$AA$41+'TE CVA'!$AA$41)*1*(1-0.03)</f>
        <v>275.35282765895511</v>
      </c>
      <c r="AB693" s="70">
        <f>(SUBSIDIO!$J$693*SUBSIDIO!$V$693)*(0.06)/(1-0.06)</f>
        <v>0</v>
      </c>
      <c r="AC693" s="70">
        <f>((SUBSIDIO!$L$693*SUBSIDIO!$W$693)+(SUBSIDIO!$N$693*SUBSIDIO!$X$693))*(0.06)/(1-0.06)</f>
        <v>85694.636357399999</v>
      </c>
      <c r="AD693" s="70">
        <f>(SUBSIDIO!$J$693*SUBSIDIO!$Y$693)*(0.03)/(1-0.03)</f>
        <v>0</v>
      </c>
      <c r="AE693" s="70">
        <f ca="1">((SUBSIDIO!$L$693*SUBSIDIO!$Z$693)+(SUBSIDIO!$N$693*SUBSIDIO!$AA$693))*(0.03)/(1-0.03)</f>
        <v>51359.045328608074</v>
      </c>
      <c r="AF693" s="3" t="s">
        <v>953</v>
      </c>
    </row>
    <row r="694" spans="1:32" ht="11.25" customHeight="1" x14ac:dyDescent="0.25">
      <c r="A694" s="3" t="s">
        <v>27</v>
      </c>
      <c r="B694" s="3" t="s">
        <v>39</v>
      </c>
      <c r="C694" s="3" t="s">
        <v>23</v>
      </c>
      <c r="D694" s="3" t="s">
        <v>50</v>
      </c>
      <c r="E694" s="3" t="s">
        <v>51</v>
      </c>
      <c r="F694" s="3" t="s">
        <v>25</v>
      </c>
      <c r="G694" s="3" t="s">
        <v>25</v>
      </c>
      <c r="H694" s="3" t="s">
        <v>25</v>
      </c>
      <c r="I694" s="6">
        <v>44593</v>
      </c>
      <c r="J694" s="4">
        <v>0</v>
      </c>
      <c r="K694" s="70">
        <v>0</v>
      </c>
      <c r="L694" s="4">
        <v>4.6710000000000003</v>
      </c>
      <c r="M694" s="70">
        <v>4.6710000000000003</v>
      </c>
      <c r="N694" s="4">
        <v>4.6710000000000003</v>
      </c>
      <c r="O694" s="70">
        <v>4.6710000000000003</v>
      </c>
      <c r="P694" s="4">
        <v>4</v>
      </c>
      <c r="Q694" s="3" t="s">
        <v>26</v>
      </c>
      <c r="R694" s="3">
        <v>0</v>
      </c>
      <c r="S694" s="3">
        <v>0</v>
      </c>
      <c r="T694" s="3">
        <v>45</v>
      </c>
      <c r="U694" s="3">
        <v>85</v>
      </c>
      <c r="V694" s="70">
        <f>IF(ISERROR(VLOOKUP($S$694,'TAR FIN'!$A$1:$O$99,15,0)),0,VLOOKUP($S$694,'TAR FIN'!$A$1:$O$99,15,0))</f>
        <v>0</v>
      </c>
      <c r="W694" s="70">
        <f>IF(ISERROR(VLOOKUP($T$694,'TAR FIN'!$A$1:$O$99,15,0)),0,VLOOKUP($T$694,'TAR FIN'!$A$1:$O$99,15,0))*(1-0.06)</f>
        <v>371.84519999999998</v>
      </c>
      <c r="X694" s="70">
        <f>IF(ISERROR(VLOOKUP($U$694,'TAR FIN'!$A$1:$O$99,15,0)),0,VLOOKUP($U$694,'TAR FIN'!$A$1:$O$99,15,0))*(1-0.06)</f>
        <v>216.69819999999999</v>
      </c>
      <c r="Y694" s="70"/>
      <c r="Z694" s="70">
        <f ca="1">('TUSD BE'!$AM$59+'TUSD BF'!$AM$59+'TUSD CVA'!$AM$59)*1*(1-0.03)</f>
        <v>452.62084351656773</v>
      </c>
      <c r="AA694" s="70">
        <f>('TE BE'!$AA$41+'TE BF'!$AA$41+'TE CVA'!$AA$41)*1*(1-0.03)</f>
        <v>275.35282765895511</v>
      </c>
      <c r="AB694" s="70">
        <f>(SUBSIDIO!$J$694*SUBSIDIO!$V$694)*(0.06)/(1-0.06)</f>
        <v>0</v>
      </c>
      <c r="AC694" s="70">
        <f>((SUBSIDIO!$L$694*SUBSIDIO!$W$694)+(SUBSIDIO!$N$694*SUBSIDIO!$X$694))*(0.06)/(1-0.06)</f>
        <v>175.4735886</v>
      </c>
      <c r="AD694" s="70">
        <f>(SUBSIDIO!$J$694*SUBSIDIO!$Y$694)*(0.03)/(1-0.03)</f>
        <v>0</v>
      </c>
      <c r="AE694" s="70">
        <f ca="1">((SUBSIDIO!$L$694*SUBSIDIO!$Z$694)+(SUBSIDIO!$N$694*SUBSIDIO!$AA$694))*(0.03)/(1-0.03)</f>
        <v>105.16592839363507</v>
      </c>
      <c r="AF694" s="3" t="s">
        <v>953</v>
      </c>
    </row>
    <row r="695" spans="1:32" ht="11.25" customHeight="1" x14ac:dyDescent="0.25">
      <c r="A695" s="3" t="s">
        <v>28</v>
      </c>
      <c r="B695" s="3" t="s">
        <v>39</v>
      </c>
      <c r="C695" s="3" t="s">
        <v>23</v>
      </c>
      <c r="D695" s="3" t="s">
        <v>50</v>
      </c>
      <c r="E695" s="3" t="s">
        <v>51</v>
      </c>
      <c r="F695" s="3" t="s">
        <v>25</v>
      </c>
      <c r="G695" s="3" t="s">
        <v>25</v>
      </c>
      <c r="H695" s="3" t="s">
        <v>25</v>
      </c>
      <c r="I695" s="6">
        <v>44593</v>
      </c>
      <c r="J695" s="4">
        <v>0</v>
      </c>
      <c r="K695" s="70">
        <v>0</v>
      </c>
      <c r="L695" s="4">
        <v>66.58</v>
      </c>
      <c r="M695" s="70">
        <v>66.58</v>
      </c>
      <c r="N695" s="4">
        <v>66.58</v>
      </c>
      <c r="O695" s="70">
        <v>66.58</v>
      </c>
      <c r="P695" s="4">
        <v>214</v>
      </c>
      <c r="Q695" s="3" t="s">
        <v>26</v>
      </c>
      <c r="R695" s="3">
        <v>0</v>
      </c>
      <c r="S695" s="3">
        <v>0</v>
      </c>
      <c r="T695" s="3">
        <v>45</v>
      </c>
      <c r="U695" s="3">
        <v>85</v>
      </c>
      <c r="V695" s="70">
        <f>IF(ISERROR(VLOOKUP($S$695,'TAR FIN'!$A$1:$O$99,15,0)),0,VLOOKUP($S$695,'TAR FIN'!$A$1:$O$99,15,0))</f>
        <v>0</v>
      </c>
      <c r="W695" s="70">
        <f>IF(ISERROR(VLOOKUP($T$695,'TAR FIN'!$A$1:$O$99,15,0)),0,VLOOKUP($T$695,'TAR FIN'!$A$1:$O$99,15,0))*(1-0.06)</f>
        <v>371.84519999999998</v>
      </c>
      <c r="X695" s="70">
        <f>IF(ISERROR(VLOOKUP($U$695,'TAR FIN'!$A$1:$O$99,15,0)),0,VLOOKUP($U$695,'TAR FIN'!$A$1:$O$99,15,0))*(1-0.06)</f>
        <v>216.69819999999999</v>
      </c>
      <c r="Y695" s="70"/>
      <c r="Z695" s="70">
        <f ca="1">('TUSD BE'!$AM$59+'TUSD BF'!$AM$59+'TUSD CVA'!$AM$59)*1*(1-0.03)</f>
        <v>452.62084351656773</v>
      </c>
      <c r="AA695" s="70">
        <f>('TE BE'!$AA$41+'TE BF'!$AA$41+'TE CVA'!$AA$41)*1*(1-0.03)</f>
        <v>275.35282765895511</v>
      </c>
      <c r="AB695" s="70">
        <f>(SUBSIDIO!$J$695*SUBSIDIO!$V$695)*(0.06)/(1-0.06)</f>
        <v>0</v>
      </c>
      <c r="AC695" s="70">
        <f>((SUBSIDIO!$L$695*SUBSIDIO!$W$695)+(SUBSIDIO!$N$695*SUBSIDIO!$X$695))*(0.06)/(1-0.06)</f>
        <v>2501.1842279999996</v>
      </c>
      <c r="AD695" s="70">
        <f>(SUBSIDIO!$J$695*SUBSIDIO!$Y$695)*(0.03)/(1-0.03)</f>
        <v>0</v>
      </c>
      <c r="AE695" s="70">
        <f ca="1">((SUBSIDIO!$L$695*SUBSIDIO!$Z$695)+(SUBSIDIO!$N$695*SUBSIDIO!$AA$695))*(0.03)/(1-0.03)</f>
        <v>1499.0253719649372</v>
      </c>
      <c r="AF695" s="3" t="s">
        <v>953</v>
      </c>
    </row>
    <row r="696" spans="1:32" ht="11.25" customHeight="1" x14ac:dyDescent="0.25">
      <c r="A696" s="3" t="s">
        <v>28</v>
      </c>
      <c r="B696" s="3" t="s">
        <v>39</v>
      </c>
      <c r="C696" s="3" t="s">
        <v>23</v>
      </c>
      <c r="D696" s="3" t="s">
        <v>50</v>
      </c>
      <c r="E696" s="3" t="s">
        <v>51</v>
      </c>
      <c r="F696" s="3" t="s">
        <v>25</v>
      </c>
      <c r="G696" s="3" t="s">
        <v>25</v>
      </c>
      <c r="H696" s="3" t="s">
        <v>25</v>
      </c>
      <c r="I696" s="6">
        <v>44593</v>
      </c>
      <c r="J696" s="4">
        <v>0</v>
      </c>
      <c r="K696" s="70">
        <v>0</v>
      </c>
      <c r="L696" s="4">
        <v>-6.843</v>
      </c>
      <c r="M696" s="70">
        <v>-6.843</v>
      </c>
      <c r="N696" s="4">
        <v>-6.843</v>
      </c>
      <c r="O696" s="70">
        <v>-6.843</v>
      </c>
      <c r="P696" s="4">
        <v>0</v>
      </c>
      <c r="Q696" s="3" t="s">
        <v>26</v>
      </c>
      <c r="R696" s="3">
        <v>0</v>
      </c>
      <c r="S696" s="3">
        <v>0</v>
      </c>
      <c r="T696" s="3">
        <v>45</v>
      </c>
      <c r="U696" s="3">
        <v>85</v>
      </c>
      <c r="V696" s="70">
        <f>IF(ISERROR(VLOOKUP($S$696,'TAR FIN'!$A$1:$O$99,15,0)),0,VLOOKUP($S$696,'TAR FIN'!$A$1:$O$99,15,0))</f>
        <v>0</v>
      </c>
      <c r="W696" s="70">
        <f>IF(ISERROR(VLOOKUP($T$696,'TAR FIN'!$A$1:$O$99,15,0)),0,VLOOKUP($T$696,'TAR FIN'!$A$1:$O$99,15,0))*(1-0.06)</f>
        <v>371.84519999999998</v>
      </c>
      <c r="X696" s="70">
        <f>IF(ISERROR(VLOOKUP($U$696,'TAR FIN'!$A$1:$O$99,15,0)),0,VLOOKUP($U$696,'TAR FIN'!$A$1:$O$99,15,0))*(1-0.06)</f>
        <v>216.69819999999999</v>
      </c>
      <c r="Y696" s="70"/>
      <c r="Z696" s="70">
        <f ca="1">('TUSD BE'!$AM$59+'TUSD BF'!$AM$59+'TUSD CVA'!$AM$59)*1*(1-0.03)</f>
        <v>452.62084351656773</v>
      </c>
      <c r="AA696" s="70">
        <f>('TE BE'!$AA$41+'TE BF'!$AA$41+'TE CVA'!$AA$41)*1*(1-0.03)</f>
        <v>275.35282765895511</v>
      </c>
      <c r="AB696" s="70">
        <f>(SUBSIDIO!$J$696*SUBSIDIO!$V$696)*(0.06)/(1-0.06)</f>
        <v>0</v>
      </c>
      <c r="AC696" s="70">
        <f>((SUBSIDIO!$L$696*SUBSIDIO!$W$696)+(SUBSIDIO!$N$696*SUBSIDIO!$X$696))*(0.06)/(1-0.06)</f>
        <v>-257.0682438</v>
      </c>
      <c r="AD696" s="70">
        <f>(SUBSIDIO!$J$696*SUBSIDIO!$Y$696)*(0.03)/(1-0.03)</f>
        <v>0</v>
      </c>
      <c r="AE696" s="70">
        <f ca="1">((SUBSIDIO!$L$696*SUBSIDIO!$Z$696)+(SUBSIDIO!$N$696*SUBSIDIO!$AA$696))*(0.03)/(1-0.03)</f>
        <v>-154.06774737693101</v>
      </c>
      <c r="AF696" s="3" t="s">
        <v>953</v>
      </c>
    </row>
    <row r="697" spans="1:32" ht="11.25" customHeight="1" x14ac:dyDescent="0.25">
      <c r="A697" s="3" t="s">
        <v>21</v>
      </c>
      <c r="B697" s="3" t="s">
        <v>39</v>
      </c>
      <c r="C697" s="3" t="s">
        <v>23</v>
      </c>
      <c r="D697" s="3" t="s">
        <v>50</v>
      </c>
      <c r="E697" s="3" t="s">
        <v>51</v>
      </c>
      <c r="F697" s="3" t="s">
        <v>25</v>
      </c>
      <c r="G697" s="3" t="s">
        <v>25</v>
      </c>
      <c r="H697" s="3" t="s">
        <v>25</v>
      </c>
      <c r="I697" s="6">
        <v>44621</v>
      </c>
      <c r="J697" s="4">
        <v>0</v>
      </c>
      <c r="K697" s="70">
        <v>0</v>
      </c>
      <c r="L697" s="4">
        <v>2349.0390000000002</v>
      </c>
      <c r="M697" s="70">
        <v>2349.0390000000002</v>
      </c>
      <c r="N697" s="4">
        <v>2349.0390000000002</v>
      </c>
      <c r="O697" s="70">
        <v>2349.0390000000002</v>
      </c>
      <c r="P697" s="4">
        <v>1410</v>
      </c>
      <c r="Q697" s="3" t="s">
        <v>26</v>
      </c>
      <c r="R697" s="3">
        <v>0</v>
      </c>
      <c r="S697" s="3">
        <v>0</v>
      </c>
      <c r="T697" s="3">
        <v>45</v>
      </c>
      <c r="U697" s="3">
        <v>85</v>
      </c>
      <c r="V697" s="70">
        <f>IF(ISERROR(VLOOKUP($S$697,'TAR FIN'!$A$1:$O$99,15,0)),0,VLOOKUP($S$697,'TAR FIN'!$A$1:$O$99,15,0))</f>
        <v>0</v>
      </c>
      <c r="W697" s="70">
        <f>IF(ISERROR(VLOOKUP($T$697,'TAR FIN'!$A$1:$O$99,15,0)),0,VLOOKUP($T$697,'TAR FIN'!$A$1:$O$99,15,0))*(1-0.06)</f>
        <v>371.84519999999998</v>
      </c>
      <c r="X697" s="70">
        <f>IF(ISERROR(VLOOKUP($U$697,'TAR FIN'!$A$1:$O$99,15,0)),0,VLOOKUP($U$697,'TAR FIN'!$A$1:$O$99,15,0))*(1-0.06)</f>
        <v>216.69819999999999</v>
      </c>
      <c r="Y697" s="70"/>
      <c r="Z697" s="70">
        <f ca="1">('TUSD BE'!$AM$59+'TUSD BF'!$AM$59+'TUSD CVA'!$AM$59)*1*(1-0.03)</f>
        <v>452.62084351656773</v>
      </c>
      <c r="AA697" s="70">
        <f>('TE BE'!$AA$41+'TE BF'!$AA$41+'TE CVA'!$AA$41)*1*(1-0.03)</f>
        <v>275.35282765895511</v>
      </c>
      <c r="AB697" s="70">
        <f>(SUBSIDIO!$J$697*SUBSIDIO!$V$697)*(0.06)/(1-0.06)</f>
        <v>0</v>
      </c>
      <c r="AC697" s="70">
        <f>((SUBSIDIO!$L$697*SUBSIDIO!$W$697)+(SUBSIDIO!$N$697*SUBSIDIO!$X$697))*(0.06)/(1-0.06)</f>
        <v>88245.4084974</v>
      </c>
      <c r="AD697" s="70">
        <f>(SUBSIDIO!$J$697*SUBSIDIO!$Y$697)*(0.03)/(1-0.03)</f>
        <v>0</v>
      </c>
      <c r="AE697" s="70">
        <f ca="1">((SUBSIDIO!$L$697*SUBSIDIO!$Z$697)+(SUBSIDIO!$N$697*SUBSIDIO!$AA$697))*(0.03)/(1-0.03)</f>
        <v>52887.790038076673</v>
      </c>
      <c r="AF697" s="3" t="s">
        <v>953</v>
      </c>
    </row>
    <row r="698" spans="1:32" ht="11.25" customHeight="1" x14ac:dyDescent="0.25">
      <c r="A698" s="3" t="s">
        <v>27</v>
      </c>
      <c r="B698" s="3" t="s">
        <v>39</v>
      </c>
      <c r="C698" s="3" t="s">
        <v>23</v>
      </c>
      <c r="D698" s="3" t="s">
        <v>50</v>
      </c>
      <c r="E698" s="3" t="s">
        <v>51</v>
      </c>
      <c r="F698" s="3" t="s">
        <v>25</v>
      </c>
      <c r="G698" s="3" t="s">
        <v>25</v>
      </c>
      <c r="H698" s="3" t="s">
        <v>25</v>
      </c>
      <c r="I698" s="6">
        <v>44621</v>
      </c>
      <c r="J698" s="4">
        <v>0</v>
      </c>
      <c r="K698" s="70">
        <v>0</v>
      </c>
      <c r="L698" s="4">
        <v>-2.8</v>
      </c>
      <c r="M698" s="70">
        <v>-2.8</v>
      </c>
      <c r="N698" s="4">
        <v>-2.8</v>
      </c>
      <c r="O698" s="70">
        <v>-2.8</v>
      </c>
      <c r="P698" s="4">
        <v>1</v>
      </c>
      <c r="Q698" s="3" t="s">
        <v>26</v>
      </c>
      <c r="R698" s="3">
        <v>0</v>
      </c>
      <c r="S698" s="3">
        <v>0</v>
      </c>
      <c r="T698" s="3">
        <v>45</v>
      </c>
      <c r="U698" s="3">
        <v>85</v>
      </c>
      <c r="V698" s="70">
        <f>IF(ISERROR(VLOOKUP($S$698,'TAR FIN'!$A$1:$O$99,15,0)),0,VLOOKUP($S$698,'TAR FIN'!$A$1:$O$99,15,0))</f>
        <v>0</v>
      </c>
      <c r="W698" s="70">
        <f>IF(ISERROR(VLOOKUP($T$698,'TAR FIN'!$A$1:$O$99,15,0)),0,VLOOKUP($T$698,'TAR FIN'!$A$1:$O$99,15,0))*(1-0.06)</f>
        <v>371.84519999999998</v>
      </c>
      <c r="X698" s="70">
        <f>IF(ISERROR(VLOOKUP($U$698,'TAR FIN'!$A$1:$O$99,15,0)),0,VLOOKUP($U$698,'TAR FIN'!$A$1:$O$99,15,0))*(1-0.06)</f>
        <v>216.69819999999999</v>
      </c>
      <c r="Y698" s="70"/>
      <c r="Z698" s="70">
        <f ca="1">('TUSD BE'!$AM$59+'TUSD BF'!$AM$59+'TUSD CVA'!$AM$59)*1*(1-0.03)</f>
        <v>452.62084351656773</v>
      </c>
      <c r="AA698" s="70">
        <f>('TE BE'!$AA$41+'TE BF'!$AA$41+'TE CVA'!$AA$41)*1*(1-0.03)</f>
        <v>275.35282765895511</v>
      </c>
      <c r="AB698" s="70">
        <f>(SUBSIDIO!$J$698*SUBSIDIO!$V$698)*(0.06)/(1-0.06)</f>
        <v>0</v>
      </c>
      <c r="AC698" s="70">
        <f>((SUBSIDIO!$L$698*SUBSIDIO!$W$698)+(SUBSIDIO!$N$698*SUBSIDIO!$X$698))*(0.06)/(1-0.06)</f>
        <v>-105.18648</v>
      </c>
      <c r="AD698" s="70">
        <f>(SUBSIDIO!$J$698*SUBSIDIO!$Y$698)*(0.03)/(1-0.03)</f>
        <v>0</v>
      </c>
      <c r="AE698" s="70">
        <f ca="1">((SUBSIDIO!$L$698*SUBSIDIO!$Z$698)+(SUBSIDIO!$N$698*SUBSIDIO!$AA$698))*(0.03)/(1-0.03)</f>
        <v>-63.041018947158676</v>
      </c>
      <c r="AF698" s="3" t="s">
        <v>953</v>
      </c>
    </row>
    <row r="699" spans="1:32" ht="11.25" customHeight="1" x14ac:dyDescent="0.25">
      <c r="A699" s="3" t="s">
        <v>28</v>
      </c>
      <c r="B699" s="3" t="s">
        <v>39</v>
      </c>
      <c r="C699" s="3" t="s">
        <v>23</v>
      </c>
      <c r="D699" s="3" t="s">
        <v>50</v>
      </c>
      <c r="E699" s="3" t="s">
        <v>51</v>
      </c>
      <c r="F699" s="3" t="s">
        <v>25</v>
      </c>
      <c r="G699" s="3" t="s">
        <v>25</v>
      </c>
      <c r="H699" s="3" t="s">
        <v>25</v>
      </c>
      <c r="I699" s="6">
        <v>44621</v>
      </c>
      <c r="J699" s="4">
        <v>0</v>
      </c>
      <c r="K699" s="70">
        <v>0</v>
      </c>
      <c r="L699" s="4">
        <v>57.878999999999998</v>
      </c>
      <c r="M699" s="70">
        <v>57.878999999999998</v>
      </c>
      <c r="N699" s="4">
        <v>57.878999999999998</v>
      </c>
      <c r="O699" s="70">
        <v>57.878999999999998</v>
      </c>
      <c r="P699" s="4">
        <v>223</v>
      </c>
      <c r="Q699" s="3" t="s">
        <v>26</v>
      </c>
      <c r="R699" s="3">
        <v>0</v>
      </c>
      <c r="S699" s="3">
        <v>0</v>
      </c>
      <c r="T699" s="3">
        <v>45</v>
      </c>
      <c r="U699" s="3">
        <v>85</v>
      </c>
      <c r="V699" s="70">
        <f>IF(ISERROR(VLOOKUP($S$699,'TAR FIN'!$A$1:$O$99,15,0)),0,VLOOKUP($S$699,'TAR FIN'!$A$1:$O$99,15,0))</f>
        <v>0</v>
      </c>
      <c r="W699" s="70">
        <f>IF(ISERROR(VLOOKUP($T$699,'TAR FIN'!$A$1:$O$99,15,0)),0,VLOOKUP($T$699,'TAR FIN'!$A$1:$O$99,15,0))*(1-0.06)</f>
        <v>371.84519999999998</v>
      </c>
      <c r="X699" s="70">
        <f>IF(ISERROR(VLOOKUP($U$699,'TAR FIN'!$A$1:$O$99,15,0)),0,VLOOKUP($U$699,'TAR FIN'!$A$1:$O$99,15,0))*(1-0.06)</f>
        <v>216.69819999999999</v>
      </c>
      <c r="Y699" s="70"/>
      <c r="Z699" s="70">
        <f ca="1">('TUSD BE'!$AM$59+'TUSD BF'!$AM$59+'TUSD CVA'!$AM$59)*1*(1-0.03)</f>
        <v>452.62084351656773</v>
      </c>
      <c r="AA699" s="70">
        <f>('TE BE'!$AA$41+'TE BF'!$AA$41+'TE CVA'!$AA$41)*1*(1-0.03)</f>
        <v>275.35282765895511</v>
      </c>
      <c r="AB699" s="70">
        <f>(SUBSIDIO!$J$699*SUBSIDIO!$V$699)*(0.06)/(1-0.06)</f>
        <v>0</v>
      </c>
      <c r="AC699" s="70">
        <f>((SUBSIDIO!$L$699*SUBSIDIO!$W$699)+(SUBSIDIO!$N$699*SUBSIDIO!$X$699))*(0.06)/(1-0.06)</f>
        <v>2174.3172414000001</v>
      </c>
      <c r="AD699" s="70">
        <f>(SUBSIDIO!$J$699*SUBSIDIO!$Y$699)*(0.03)/(1-0.03)</f>
        <v>0</v>
      </c>
      <c r="AE699" s="70">
        <f ca="1">((SUBSIDIO!$L$699*SUBSIDIO!$Z$699)+(SUBSIDIO!$N$699*SUBSIDIO!$AA$699))*(0.03)/(1-0.03)</f>
        <v>1303.125405586642</v>
      </c>
      <c r="AF699" s="3" t="s">
        <v>953</v>
      </c>
    </row>
    <row r="700" spans="1:32" ht="11.25" customHeight="1" x14ac:dyDescent="0.25">
      <c r="A700" s="3" t="s">
        <v>28</v>
      </c>
      <c r="B700" s="3" t="s">
        <v>39</v>
      </c>
      <c r="C700" s="3" t="s">
        <v>23</v>
      </c>
      <c r="D700" s="3" t="s">
        <v>50</v>
      </c>
      <c r="E700" s="3" t="s">
        <v>51</v>
      </c>
      <c r="F700" s="3" t="s">
        <v>25</v>
      </c>
      <c r="G700" s="3" t="s">
        <v>25</v>
      </c>
      <c r="H700" s="3" t="s">
        <v>25</v>
      </c>
      <c r="I700" s="6">
        <v>44621</v>
      </c>
      <c r="J700" s="4">
        <v>0</v>
      </c>
      <c r="K700" s="70">
        <v>0</v>
      </c>
      <c r="L700" s="4">
        <v>7.2370000000000001</v>
      </c>
      <c r="M700" s="70">
        <v>7.2370000000000001</v>
      </c>
      <c r="N700" s="4">
        <v>7.2370000000000001</v>
      </c>
      <c r="O700" s="70">
        <v>7.2370000000000001</v>
      </c>
      <c r="P700" s="4">
        <v>0</v>
      </c>
      <c r="Q700" s="3" t="s">
        <v>26</v>
      </c>
      <c r="R700" s="3">
        <v>0</v>
      </c>
      <c r="S700" s="3">
        <v>0</v>
      </c>
      <c r="T700" s="3">
        <v>45</v>
      </c>
      <c r="U700" s="3">
        <v>85</v>
      </c>
      <c r="V700" s="70">
        <f>IF(ISERROR(VLOOKUP($S$700,'TAR FIN'!$A$1:$O$99,15,0)),0,VLOOKUP($S$700,'TAR FIN'!$A$1:$O$99,15,0))</f>
        <v>0</v>
      </c>
      <c r="W700" s="70">
        <f>IF(ISERROR(VLOOKUP($T$700,'TAR FIN'!$A$1:$O$99,15,0)),0,VLOOKUP($T$700,'TAR FIN'!$A$1:$O$99,15,0))*(1-0.06)</f>
        <v>371.84519999999998</v>
      </c>
      <c r="X700" s="70">
        <f>IF(ISERROR(VLOOKUP($U$700,'TAR FIN'!$A$1:$O$99,15,0)),0,VLOOKUP($U$700,'TAR FIN'!$A$1:$O$99,15,0))*(1-0.06)</f>
        <v>216.69819999999999</v>
      </c>
      <c r="Y700" s="70"/>
      <c r="Z700" s="70">
        <f ca="1">('TUSD BE'!$AM$59+'TUSD BF'!$AM$59+'TUSD CVA'!$AM$59)*1*(1-0.03)</f>
        <v>452.62084351656773</v>
      </c>
      <c r="AA700" s="70">
        <f>('TE BE'!$AA$41+'TE BF'!$AA$41+'TE CVA'!$AA$41)*1*(1-0.03)</f>
        <v>275.35282765895511</v>
      </c>
      <c r="AB700" s="70">
        <f>(SUBSIDIO!$J$700*SUBSIDIO!$V$700)*(0.06)/(1-0.06)</f>
        <v>0</v>
      </c>
      <c r="AC700" s="70">
        <f>((SUBSIDIO!$L$700*SUBSIDIO!$W$700)+(SUBSIDIO!$N$700*SUBSIDIO!$X$700))*(0.06)/(1-0.06)</f>
        <v>271.86948419999999</v>
      </c>
      <c r="AD700" s="70">
        <f>(SUBSIDIO!$J$700*SUBSIDIO!$Y$700)*(0.03)/(1-0.03)</f>
        <v>0</v>
      </c>
      <c r="AE700" s="70">
        <f ca="1">((SUBSIDIO!$L$700*SUBSIDIO!$Z$700)+(SUBSIDIO!$N$700*SUBSIDIO!$AA$700))*(0.03)/(1-0.03)</f>
        <v>162.93851932878121</v>
      </c>
      <c r="AF700" s="3" t="s">
        <v>953</v>
      </c>
    </row>
    <row r="701" spans="1:32" ht="11.25" customHeight="1" x14ac:dyDescent="0.25">
      <c r="A701" s="3" t="s">
        <v>56</v>
      </c>
      <c r="B701" s="3" t="s">
        <v>39</v>
      </c>
      <c r="C701" s="3" t="s">
        <v>23</v>
      </c>
      <c r="D701" s="3" t="s">
        <v>50</v>
      </c>
      <c r="E701" s="3" t="s">
        <v>51</v>
      </c>
      <c r="F701" s="3" t="s">
        <v>25</v>
      </c>
      <c r="G701" s="3" t="s">
        <v>25</v>
      </c>
      <c r="H701" s="3" t="s">
        <v>25</v>
      </c>
      <c r="I701" s="6">
        <v>44652</v>
      </c>
      <c r="J701" s="4">
        <v>0</v>
      </c>
      <c r="K701" s="70">
        <v>0</v>
      </c>
      <c r="L701" s="4">
        <v>2349.0390000000002</v>
      </c>
      <c r="M701" s="70">
        <v>2349.0390000000002</v>
      </c>
      <c r="N701" s="4">
        <v>2349.0390000000002</v>
      </c>
      <c r="O701" s="70">
        <v>2349.0390000000002</v>
      </c>
      <c r="P701" s="4">
        <v>1410</v>
      </c>
      <c r="Q701" s="3" t="s">
        <v>26</v>
      </c>
      <c r="R701" s="3">
        <v>0</v>
      </c>
      <c r="S701" s="3">
        <v>0</v>
      </c>
      <c r="T701" s="3">
        <v>45</v>
      </c>
      <c r="U701" s="3">
        <v>85</v>
      </c>
      <c r="V701" s="70">
        <f>IF(ISERROR(VLOOKUP($S$701,'TAR FIN'!$A$1:$O$99,15,0)),0,VLOOKUP($S$701,'TAR FIN'!$A$1:$O$99,15,0))</f>
        <v>0</v>
      </c>
      <c r="W701" s="70">
        <f>IF(ISERROR(VLOOKUP($T$701,'TAR FIN'!$A$1:$O$99,15,0)),0,VLOOKUP($T$701,'TAR FIN'!$A$1:$O$99,15,0))*(1-0.06)</f>
        <v>371.84519999999998</v>
      </c>
      <c r="X701" s="70">
        <f>IF(ISERROR(VLOOKUP($U$701,'TAR FIN'!$A$1:$O$99,15,0)),0,VLOOKUP($U$701,'TAR FIN'!$A$1:$O$99,15,0))*(1-0.06)</f>
        <v>216.69819999999999</v>
      </c>
      <c r="Y701" s="70"/>
      <c r="Z701" s="70">
        <f ca="1">('TUSD BE'!$AM$59+'TUSD BF'!$AM$59+'TUSD CVA'!$AM$59)*1*(1-0.03)</f>
        <v>452.62084351656773</v>
      </c>
      <c r="AA701" s="70">
        <f>('TE BE'!$AA$41+'TE BF'!$AA$41+'TE CVA'!$AA$41)*1*(1-0.03)</f>
        <v>275.35282765895511</v>
      </c>
      <c r="AB701" s="70">
        <f>(SUBSIDIO!$J$701*SUBSIDIO!$V$701)*(0.06)/(1-0.06)</f>
        <v>0</v>
      </c>
      <c r="AC701" s="70">
        <f>((SUBSIDIO!$L$701*SUBSIDIO!$W$701)+(SUBSIDIO!$N$701*SUBSIDIO!$X$701))*(0.06)/(1-0.06)</f>
        <v>88245.4084974</v>
      </c>
      <c r="AD701" s="70">
        <f>(SUBSIDIO!$J$701*SUBSIDIO!$Y$701)*(0.03)/(1-0.03)</f>
        <v>0</v>
      </c>
      <c r="AE701" s="70">
        <f ca="1">((SUBSIDIO!$L$701*SUBSIDIO!$Z$701)+(SUBSIDIO!$N$701*SUBSIDIO!$AA$701))*(0.03)/(1-0.03)</f>
        <v>52887.790038076673</v>
      </c>
      <c r="AF701" s="3" t="s">
        <v>953</v>
      </c>
    </row>
    <row r="702" spans="1:32" ht="11.25" customHeight="1" x14ac:dyDescent="0.25">
      <c r="A702" s="3" t="s">
        <v>56</v>
      </c>
      <c r="B702" s="3" t="s">
        <v>39</v>
      </c>
      <c r="C702" s="3" t="s">
        <v>23</v>
      </c>
      <c r="D702" s="3" t="s">
        <v>50</v>
      </c>
      <c r="E702" s="3" t="s">
        <v>51</v>
      </c>
      <c r="F702" s="3" t="s">
        <v>25</v>
      </c>
      <c r="G702" s="3" t="s">
        <v>25</v>
      </c>
      <c r="H702" s="3" t="s">
        <v>25</v>
      </c>
      <c r="I702" s="6">
        <v>44652</v>
      </c>
      <c r="J702" s="4">
        <v>0</v>
      </c>
      <c r="K702" s="70">
        <v>0</v>
      </c>
      <c r="L702" s="4">
        <v>-2.8</v>
      </c>
      <c r="M702" s="70">
        <v>-2.8</v>
      </c>
      <c r="N702" s="4">
        <v>-2.8</v>
      </c>
      <c r="O702" s="70">
        <v>-2.8</v>
      </c>
      <c r="P702" s="4">
        <v>1</v>
      </c>
      <c r="Q702" s="3" t="s">
        <v>26</v>
      </c>
      <c r="R702" s="3">
        <v>0</v>
      </c>
      <c r="S702" s="3">
        <v>0</v>
      </c>
      <c r="T702" s="3">
        <v>45</v>
      </c>
      <c r="U702" s="3">
        <v>85</v>
      </c>
      <c r="V702" s="70">
        <f>IF(ISERROR(VLOOKUP($S$702,'TAR FIN'!$A$1:$O$99,15,0)),0,VLOOKUP($S$702,'TAR FIN'!$A$1:$O$99,15,0))</f>
        <v>0</v>
      </c>
      <c r="W702" s="70">
        <f>IF(ISERROR(VLOOKUP($T$702,'TAR FIN'!$A$1:$O$99,15,0)),0,VLOOKUP($T$702,'TAR FIN'!$A$1:$O$99,15,0))*(1-0.06)</f>
        <v>371.84519999999998</v>
      </c>
      <c r="X702" s="70">
        <f>IF(ISERROR(VLOOKUP($U$702,'TAR FIN'!$A$1:$O$99,15,0)),0,VLOOKUP($U$702,'TAR FIN'!$A$1:$O$99,15,0))*(1-0.06)</f>
        <v>216.69819999999999</v>
      </c>
      <c r="Y702" s="70"/>
      <c r="Z702" s="70">
        <f ca="1">('TUSD BE'!$AM$59+'TUSD BF'!$AM$59+'TUSD CVA'!$AM$59)*1*(1-0.03)</f>
        <v>452.62084351656773</v>
      </c>
      <c r="AA702" s="70">
        <f>('TE BE'!$AA$41+'TE BF'!$AA$41+'TE CVA'!$AA$41)*1*(1-0.03)</f>
        <v>275.35282765895511</v>
      </c>
      <c r="AB702" s="70">
        <f>(SUBSIDIO!$J$702*SUBSIDIO!$V$702)*(0.06)/(1-0.06)</f>
        <v>0</v>
      </c>
      <c r="AC702" s="70">
        <f>((SUBSIDIO!$L$702*SUBSIDIO!$W$702)+(SUBSIDIO!$N$702*SUBSIDIO!$X$702))*(0.06)/(1-0.06)</f>
        <v>-105.18648</v>
      </c>
      <c r="AD702" s="70">
        <f>(SUBSIDIO!$J$702*SUBSIDIO!$Y$702)*(0.03)/(1-0.03)</f>
        <v>0</v>
      </c>
      <c r="AE702" s="70">
        <f ca="1">((SUBSIDIO!$L$702*SUBSIDIO!$Z$702)+(SUBSIDIO!$N$702*SUBSIDIO!$AA$702))*(0.03)/(1-0.03)</f>
        <v>-63.041018947158676</v>
      </c>
      <c r="AF702" s="3" t="s">
        <v>953</v>
      </c>
    </row>
    <row r="703" spans="1:32" ht="11.25" customHeight="1" x14ac:dyDescent="0.25">
      <c r="A703" s="3" t="s">
        <v>56</v>
      </c>
      <c r="B703" s="3" t="s">
        <v>39</v>
      </c>
      <c r="C703" s="3" t="s">
        <v>23</v>
      </c>
      <c r="D703" s="3" t="s">
        <v>50</v>
      </c>
      <c r="E703" s="3" t="s">
        <v>51</v>
      </c>
      <c r="F703" s="3" t="s">
        <v>25</v>
      </c>
      <c r="G703" s="3" t="s">
        <v>25</v>
      </c>
      <c r="H703" s="3" t="s">
        <v>25</v>
      </c>
      <c r="I703" s="6">
        <v>44652</v>
      </c>
      <c r="J703" s="4">
        <v>0</v>
      </c>
      <c r="K703" s="70">
        <v>0</v>
      </c>
      <c r="L703" s="4">
        <v>57.878999999999998</v>
      </c>
      <c r="M703" s="70">
        <v>57.878999999999998</v>
      </c>
      <c r="N703" s="4">
        <v>57.878999999999998</v>
      </c>
      <c r="O703" s="70">
        <v>57.878999999999998</v>
      </c>
      <c r="P703" s="4">
        <v>223</v>
      </c>
      <c r="Q703" s="3" t="s">
        <v>26</v>
      </c>
      <c r="R703" s="3">
        <v>0</v>
      </c>
      <c r="S703" s="3">
        <v>0</v>
      </c>
      <c r="T703" s="3">
        <v>45</v>
      </c>
      <c r="U703" s="3">
        <v>85</v>
      </c>
      <c r="V703" s="70">
        <f>IF(ISERROR(VLOOKUP($S$703,'TAR FIN'!$A$1:$O$99,15,0)),0,VLOOKUP($S$703,'TAR FIN'!$A$1:$O$99,15,0))</f>
        <v>0</v>
      </c>
      <c r="W703" s="70">
        <f>IF(ISERROR(VLOOKUP($T$703,'TAR FIN'!$A$1:$O$99,15,0)),0,VLOOKUP($T$703,'TAR FIN'!$A$1:$O$99,15,0))*(1-0.06)</f>
        <v>371.84519999999998</v>
      </c>
      <c r="X703" s="70">
        <f>IF(ISERROR(VLOOKUP($U$703,'TAR FIN'!$A$1:$O$99,15,0)),0,VLOOKUP($U$703,'TAR FIN'!$A$1:$O$99,15,0))*(1-0.06)</f>
        <v>216.69819999999999</v>
      </c>
      <c r="Y703" s="70"/>
      <c r="Z703" s="70">
        <f ca="1">('TUSD BE'!$AM$59+'TUSD BF'!$AM$59+'TUSD CVA'!$AM$59)*1*(1-0.03)</f>
        <v>452.62084351656773</v>
      </c>
      <c r="AA703" s="70">
        <f>('TE BE'!$AA$41+'TE BF'!$AA$41+'TE CVA'!$AA$41)*1*(1-0.03)</f>
        <v>275.35282765895511</v>
      </c>
      <c r="AB703" s="70">
        <f>(SUBSIDIO!$J$703*SUBSIDIO!$V$703)*(0.06)/(1-0.06)</f>
        <v>0</v>
      </c>
      <c r="AC703" s="70">
        <f>((SUBSIDIO!$L$703*SUBSIDIO!$W$703)+(SUBSIDIO!$N$703*SUBSIDIO!$X$703))*(0.06)/(1-0.06)</f>
        <v>2174.3172414000001</v>
      </c>
      <c r="AD703" s="70">
        <f>(SUBSIDIO!$J$703*SUBSIDIO!$Y$703)*(0.03)/(1-0.03)</f>
        <v>0</v>
      </c>
      <c r="AE703" s="70">
        <f ca="1">((SUBSIDIO!$L$703*SUBSIDIO!$Z$703)+(SUBSIDIO!$N$703*SUBSIDIO!$AA$703))*(0.03)/(1-0.03)</f>
        <v>1303.125405586642</v>
      </c>
      <c r="AF703" s="3" t="s">
        <v>953</v>
      </c>
    </row>
    <row r="704" spans="1:32" ht="11.25" customHeight="1" x14ac:dyDescent="0.25">
      <c r="A704" s="3" t="s">
        <v>56</v>
      </c>
      <c r="B704" s="3" t="s">
        <v>39</v>
      </c>
      <c r="C704" s="3" t="s">
        <v>23</v>
      </c>
      <c r="D704" s="3" t="s">
        <v>50</v>
      </c>
      <c r="E704" s="3" t="s">
        <v>51</v>
      </c>
      <c r="F704" s="3" t="s">
        <v>25</v>
      </c>
      <c r="G704" s="3" t="s">
        <v>25</v>
      </c>
      <c r="H704" s="3" t="s">
        <v>25</v>
      </c>
      <c r="I704" s="6">
        <v>44652</v>
      </c>
      <c r="J704" s="4">
        <v>0</v>
      </c>
      <c r="K704" s="70">
        <v>0</v>
      </c>
      <c r="L704" s="4">
        <v>7.2370000000000001</v>
      </c>
      <c r="M704" s="70">
        <v>7.2370000000000001</v>
      </c>
      <c r="N704" s="4">
        <v>7.2370000000000001</v>
      </c>
      <c r="O704" s="70">
        <v>7.2370000000000001</v>
      </c>
      <c r="P704" s="4">
        <v>0</v>
      </c>
      <c r="Q704" s="3" t="s">
        <v>26</v>
      </c>
      <c r="R704" s="3">
        <v>0</v>
      </c>
      <c r="S704" s="3">
        <v>0</v>
      </c>
      <c r="T704" s="3">
        <v>45</v>
      </c>
      <c r="U704" s="3">
        <v>85</v>
      </c>
      <c r="V704" s="70">
        <f>IF(ISERROR(VLOOKUP($S$704,'TAR FIN'!$A$1:$O$99,15,0)),0,VLOOKUP($S$704,'TAR FIN'!$A$1:$O$99,15,0))</f>
        <v>0</v>
      </c>
      <c r="W704" s="70">
        <f>IF(ISERROR(VLOOKUP($T$704,'TAR FIN'!$A$1:$O$99,15,0)),0,VLOOKUP($T$704,'TAR FIN'!$A$1:$O$99,15,0))*(1-0.06)</f>
        <v>371.84519999999998</v>
      </c>
      <c r="X704" s="70">
        <f>IF(ISERROR(VLOOKUP($U$704,'TAR FIN'!$A$1:$O$99,15,0)),0,VLOOKUP($U$704,'TAR FIN'!$A$1:$O$99,15,0))*(1-0.06)</f>
        <v>216.69819999999999</v>
      </c>
      <c r="Y704" s="70"/>
      <c r="Z704" s="70">
        <f ca="1">('TUSD BE'!$AM$59+'TUSD BF'!$AM$59+'TUSD CVA'!$AM$59)*1*(1-0.03)</f>
        <v>452.62084351656773</v>
      </c>
      <c r="AA704" s="70">
        <f>('TE BE'!$AA$41+'TE BF'!$AA$41+'TE CVA'!$AA$41)*1*(1-0.03)</f>
        <v>275.35282765895511</v>
      </c>
      <c r="AB704" s="70">
        <f>(SUBSIDIO!$J$704*SUBSIDIO!$V$704)*(0.06)/(1-0.06)</f>
        <v>0</v>
      </c>
      <c r="AC704" s="70">
        <f>((SUBSIDIO!$L$704*SUBSIDIO!$W$704)+(SUBSIDIO!$N$704*SUBSIDIO!$X$704))*(0.06)/(1-0.06)</f>
        <v>271.86948419999999</v>
      </c>
      <c r="AD704" s="70">
        <f>(SUBSIDIO!$J$704*SUBSIDIO!$Y$704)*(0.03)/(1-0.03)</f>
        <v>0</v>
      </c>
      <c r="AE704" s="70">
        <f ca="1">((SUBSIDIO!$L$704*SUBSIDIO!$Z$704)+(SUBSIDIO!$N$704*SUBSIDIO!$AA$704))*(0.03)/(1-0.03)</f>
        <v>162.93851932878121</v>
      </c>
      <c r="AF704" s="3" t="s">
        <v>953</v>
      </c>
    </row>
    <row r="705" spans="22:31" ht="11.25" customHeight="1" x14ac:dyDescent="0.25"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22:31" ht="11.25" customHeight="1" x14ac:dyDescent="0.25"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22:31" ht="11.25" customHeight="1" x14ac:dyDescent="0.25"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22:31" ht="11.25" customHeight="1" x14ac:dyDescent="0.25"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22:31" ht="11.25" customHeight="1" x14ac:dyDescent="0.25"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22:31" ht="11.25" customHeight="1" x14ac:dyDescent="0.25"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22:31" ht="11.25" customHeight="1" x14ac:dyDescent="0.25"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22:31" ht="11.25" customHeight="1" x14ac:dyDescent="0.25"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22:31" ht="11.25" customHeight="1" x14ac:dyDescent="0.25"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22:31" ht="11.25" customHeight="1" x14ac:dyDescent="0.25"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22:31" ht="11.25" customHeight="1" x14ac:dyDescent="0.25"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22:31" ht="11.25" customHeight="1" x14ac:dyDescent="0.25"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22:31" ht="11.25" customHeight="1" x14ac:dyDescent="0.25"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22:31" ht="11.25" customHeight="1" x14ac:dyDescent="0.25"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22:31" ht="11.25" customHeight="1" x14ac:dyDescent="0.25"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22:31" ht="11.25" customHeight="1" x14ac:dyDescent="0.25"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22:31" ht="11.25" customHeight="1" x14ac:dyDescent="0.25"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22:31" ht="11.25" customHeight="1" x14ac:dyDescent="0.25"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22:31" ht="11.25" customHeight="1" x14ac:dyDescent="0.25"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22:31" ht="11.25" customHeight="1" x14ac:dyDescent="0.25"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22:31" ht="11.25" customHeight="1" x14ac:dyDescent="0.25"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22:31" ht="11.25" customHeight="1" x14ac:dyDescent="0.25"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22:31" ht="11.25" customHeight="1" x14ac:dyDescent="0.25"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22:31" ht="11.25" customHeight="1" x14ac:dyDescent="0.25"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22:31" ht="11.25" customHeight="1" x14ac:dyDescent="0.25"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22:31" ht="11.25" customHeight="1" x14ac:dyDescent="0.25"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22:31" ht="11.25" customHeight="1" x14ac:dyDescent="0.25"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22:31" ht="11.25" customHeight="1" x14ac:dyDescent="0.25"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22:31" ht="11.25" customHeight="1" x14ac:dyDescent="0.25"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22:31" ht="11.25" customHeight="1" x14ac:dyDescent="0.25"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22:31" ht="11.25" customHeight="1" x14ac:dyDescent="0.25"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22:31" ht="11.25" customHeight="1" x14ac:dyDescent="0.25"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2:31" ht="11.25" customHeight="1" x14ac:dyDescent="0.25"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22:31" ht="11.25" customHeight="1" x14ac:dyDescent="0.25"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22:31" ht="11.25" customHeight="1" x14ac:dyDescent="0.25"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22:31" ht="11.25" customHeight="1" x14ac:dyDescent="0.25"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22:31" ht="11.25" customHeight="1" x14ac:dyDescent="0.25"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22:31" ht="11.25" customHeight="1" x14ac:dyDescent="0.25"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22:31" ht="11.25" customHeight="1" x14ac:dyDescent="0.25"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22:31" ht="11.25" customHeight="1" x14ac:dyDescent="0.25"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22:31" ht="11.25" customHeight="1" x14ac:dyDescent="0.25"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22:31" ht="11.25" customHeight="1" x14ac:dyDescent="0.25"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22:31" ht="11.25" customHeight="1" x14ac:dyDescent="0.25"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22:31" ht="11.25" customHeight="1" x14ac:dyDescent="0.25"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22:31" ht="11.25" customHeight="1" x14ac:dyDescent="0.25"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22:31" ht="11.25" customHeight="1" x14ac:dyDescent="0.25"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22:31" ht="11.25" customHeight="1" x14ac:dyDescent="0.25"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22:31" ht="11.25" customHeight="1" x14ac:dyDescent="0.25"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22:31" ht="11.25" customHeight="1" x14ac:dyDescent="0.25"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22:31" ht="11.25" customHeight="1" x14ac:dyDescent="0.25"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22:31" ht="11.25" customHeight="1" x14ac:dyDescent="0.25"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22:31" ht="11.25" customHeight="1" x14ac:dyDescent="0.25"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22:31" ht="11.25" customHeight="1" x14ac:dyDescent="0.25"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22:31" ht="11.25" customHeight="1" x14ac:dyDescent="0.25"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22:31" ht="11.25" customHeight="1" x14ac:dyDescent="0.25"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22:31" ht="11.25" customHeight="1" x14ac:dyDescent="0.25"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22:31" ht="11.25" customHeight="1" x14ac:dyDescent="0.25"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22:31" ht="11.25" customHeight="1" x14ac:dyDescent="0.25"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22:31" ht="11.25" customHeight="1" x14ac:dyDescent="0.25"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22:31" ht="11.25" customHeight="1" x14ac:dyDescent="0.25"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22:31" ht="11.25" customHeight="1" x14ac:dyDescent="0.25"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22:31" ht="11.25" customHeight="1" x14ac:dyDescent="0.25"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22:31" ht="11.25" customHeight="1" x14ac:dyDescent="0.25"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22:31" ht="11.25" customHeight="1" x14ac:dyDescent="0.25"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22:31" ht="11.25" customHeight="1" x14ac:dyDescent="0.25"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22:31" ht="11.25" customHeight="1" x14ac:dyDescent="0.25"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22:31" ht="11.25" customHeight="1" x14ac:dyDescent="0.25"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22:31" ht="11.25" customHeight="1" x14ac:dyDescent="0.25"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22:31" ht="11.25" customHeight="1" x14ac:dyDescent="0.25"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22:31" ht="11.25" customHeight="1" x14ac:dyDescent="0.25"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22:31" ht="11.25" customHeight="1" x14ac:dyDescent="0.25"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22:31" ht="11.25" customHeight="1" x14ac:dyDescent="0.25"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22:31" ht="11.25" customHeight="1" x14ac:dyDescent="0.25"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22:31" ht="11.25" customHeight="1" x14ac:dyDescent="0.25"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22:31" ht="11.25" customHeight="1" x14ac:dyDescent="0.25"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22:31" ht="11.25" customHeight="1" x14ac:dyDescent="0.25"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22:31" ht="11.25" customHeight="1" x14ac:dyDescent="0.25"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22:31" ht="11.25" customHeight="1" x14ac:dyDescent="0.25"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22:31" ht="11.25" customHeight="1" x14ac:dyDescent="0.25"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22:31" ht="11.25" customHeight="1" x14ac:dyDescent="0.25"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22:31" ht="11.25" customHeight="1" x14ac:dyDescent="0.25"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22:31" ht="11.25" customHeight="1" x14ac:dyDescent="0.25"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22:31" ht="11.25" customHeight="1" x14ac:dyDescent="0.25"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22:31" ht="11.25" customHeight="1" x14ac:dyDescent="0.25"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22:31" ht="11.25" customHeight="1" x14ac:dyDescent="0.25"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22:31" ht="11.25" customHeight="1" x14ac:dyDescent="0.25"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22:31" ht="11.25" customHeight="1" x14ac:dyDescent="0.25"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22:31" ht="11.25" customHeight="1" x14ac:dyDescent="0.25"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22:31" ht="11.25" customHeight="1" x14ac:dyDescent="0.25"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22:31" ht="11.25" customHeight="1" x14ac:dyDescent="0.25"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22:31" ht="11.25" customHeight="1" x14ac:dyDescent="0.25"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22:31" ht="11.25" customHeight="1" x14ac:dyDescent="0.25"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22:31" ht="11.25" customHeight="1" x14ac:dyDescent="0.25"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22:31" ht="11.25" customHeight="1" x14ac:dyDescent="0.25"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22:31" ht="11.25" customHeight="1" x14ac:dyDescent="0.25"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22:31" ht="11.25" customHeight="1" x14ac:dyDescent="0.25"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22:31" ht="11.25" customHeight="1" x14ac:dyDescent="0.25"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22:31" ht="11.25" customHeight="1" x14ac:dyDescent="0.25"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22:31" ht="11.25" customHeight="1" x14ac:dyDescent="0.25"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22:31" ht="11.25" customHeight="1" x14ac:dyDescent="0.25"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22:31" ht="11.25" customHeight="1" x14ac:dyDescent="0.25"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22:31" ht="11.25" customHeight="1" x14ac:dyDescent="0.25"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22:31" ht="11.25" customHeight="1" x14ac:dyDescent="0.25"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22:31" ht="11.25" customHeight="1" x14ac:dyDescent="0.25"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22:31" ht="11.25" customHeight="1" x14ac:dyDescent="0.25"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22:31" ht="11.25" customHeight="1" x14ac:dyDescent="0.25"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22:31" ht="11.25" customHeight="1" x14ac:dyDescent="0.25"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22:31" ht="11.25" customHeight="1" x14ac:dyDescent="0.25"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22:31" ht="11.25" customHeight="1" x14ac:dyDescent="0.25"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22:31" ht="11.25" customHeight="1" x14ac:dyDescent="0.25"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22:31" ht="11.25" customHeight="1" x14ac:dyDescent="0.25"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22:31" ht="11.25" customHeight="1" x14ac:dyDescent="0.25"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22:31" ht="11.25" customHeight="1" x14ac:dyDescent="0.25"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22:31" ht="11.25" customHeight="1" x14ac:dyDescent="0.25"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22:31" ht="11.25" customHeight="1" x14ac:dyDescent="0.25"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22:31" ht="11.25" customHeight="1" x14ac:dyDescent="0.25"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22:31" ht="11.25" customHeight="1" x14ac:dyDescent="0.25"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22:31" ht="11.25" customHeight="1" x14ac:dyDescent="0.25"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22:31" ht="11.25" customHeight="1" x14ac:dyDescent="0.25"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22:31" ht="11.25" customHeight="1" x14ac:dyDescent="0.25"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22:31" ht="11.25" customHeight="1" x14ac:dyDescent="0.25"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22:31" ht="11.25" customHeight="1" x14ac:dyDescent="0.25"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22:31" ht="11.25" customHeight="1" x14ac:dyDescent="0.25"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22:31" ht="11.25" customHeight="1" x14ac:dyDescent="0.25"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22:31" ht="11.25" customHeight="1" x14ac:dyDescent="0.25"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22:31" ht="11.25" customHeight="1" x14ac:dyDescent="0.25"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22:31" ht="11.25" customHeight="1" x14ac:dyDescent="0.25"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22:31" ht="11.25" customHeight="1" x14ac:dyDescent="0.25"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22:31" ht="11.25" customHeight="1" x14ac:dyDescent="0.25"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22:31" ht="11.25" customHeight="1" x14ac:dyDescent="0.25"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22:31" ht="11.25" customHeight="1" x14ac:dyDescent="0.25"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22:31" ht="11.25" customHeight="1" x14ac:dyDescent="0.25"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22:31" ht="11.25" customHeight="1" x14ac:dyDescent="0.25"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22:31" ht="11.25" customHeight="1" x14ac:dyDescent="0.25"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22:31" ht="11.25" customHeight="1" x14ac:dyDescent="0.25"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22:31" ht="11.25" customHeight="1" x14ac:dyDescent="0.25"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22:31" ht="11.25" customHeight="1" x14ac:dyDescent="0.25"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22:31" ht="11.25" customHeight="1" x14ac:dyDescent="0.25"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22:31" ht="11.25" customHeight="1" x14ac:dyDescent="0.25"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22:31" ht="11.25" customHeight="1" x14ac:dyDescent="0.25"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22:31" ht="11.25" customHeight="1" x14ac:dyDescent="0.25"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22:31" ht="11.25" customHeight="1" x14ac:dyDescent="0.25"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22:31" ht="11.25" customHeight="1" x14ac:dyDescent="0.25"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22:31" ht="11.25" customHeight="1" x14ac:dyDescent="0.25"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22:31" ht="11.25" customHeight="1" x14ac:dyDescent="0.25"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22:31" ht="11.25" customHeight="1" x14ac:dyDescent="0.25"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22:31" ht="11.25" customHeight="1" x14ac:dyDescent="0.25"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22:31" ht="11.25" customHeight="1" x14ac:dyDescent="0.25"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22:31" ht="11.25" customHeight="1" x14ac:dyDescent="0.25"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22:31" ht="11.25" customHeight="1" x14ac:dyDescent="0.25"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22:31" ht="11.25" customHeight="1" x14ac:dyDescent="0.25"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22:31" ht="11.25" customHeight="1" x14ac:dyDescent="0.25"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22:31" ht="11.25" customHeight="1" x14ac:dyDescent="0.25"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22:31" ht="11.25" customHeight="1" x14ac:dyDescent="0.25"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22:31" ht="11.25" customHeight="1" x14ac:dyDescent="0.25"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22:31" ht="11.25" customHeight="1" x14ac:dyDescent="0.25"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22:31" ht="11.25" customHeight="1" x14ac:dyDescent="0.25"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22:31" ht="11.25" customHeight="1" x14ac:dyDescent="0.25"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22:31" ht="11.25" customHeight="1" x14ac:dyDescent="0.25"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22:31" ht="11.25" customHeight="1" x14ac:dyDescent="0.25"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22:31" ht="11.25" customHeight="1" x14ac:dyDescent="0.25"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22:31" ht="11.25" customHeight="1" x14ac:dyDescent="0.25"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22:31" ht="11.25" customHeight="1" x14ac:dyDescent="0.25"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22:31" ht="11.25" customHeight="1" x14ac:dyDescent="0.25"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22:31" ht="11.25" customHeight="1" x14ac:dyDescent="0.25"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22:31" ht="11.25" customHeight="1" x14ac:dyDescent="0.25"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22:31" ht="11.25" customHeight="1" x14ac:dyDescent="0.25"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22:31" ht="11.25" customHeight="1" x14ac:dyDescent="0.25"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22:31" ht="11.25" customHeight="1" x14ac:dyDescent="0.25"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22:31" ht="11.25" customHeight="1" x14ac:dyDescent="0.25"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22:31" ht="11.25" customHeight="1" x14ac:dyDescent="0.25"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22:31" ht="11.25" customHeight="1" x14ac:dyDescent="0.25"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22:31" ht="11.25" customHeight="1" x14ac:dyDescent="0.25"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22:31" ht="11.25" customHeight="1" x14ac:dyDescent="0.25"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22:31" ht="11.25" customHeight="1" x14ac:dyDescent="0.25"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22:31" ht="11.25" customHeight="1" x14ac:dyDescent="0.25"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22:31" ht="11.25" customHeight="1" x14ac:dyDescent="0.25"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22:31" ht="11.25" customHeight="1" x14ac:dyDescent="0.25"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22:31" ht="11.25" customHeight="1" x14ac:dyDescent="0.25"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22:31" ht="11.25" customHeight="1" x14ac:dyDescent="0.25"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22:31" ht="11.25" customHeight="1" x14ac:dyDescent="0.25"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22:31" ht="11.25" customHeight="1" x14ac:dyDescent="0.25"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22:31" ht="11.25" customHeight="1" x14ac:dyDescent="0.25"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22:31" ht="11.25" customHeight="1" x14ac:dyDescent="0.25"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22:31" ht="11.25" customHeight="1" x14ac:dyDescent="0.25"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22:31" ht="11.25" customHeight="1" x14ac:dyDescent="0.25"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22:31" ht="11.25" customHeight="1" x14ac:dyDescent="0.25"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22:31" ht="11.25" customHeight="1" x14ac:dyDescent="0.25"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22:31" ht="11.25" customHeight="1" x14ac:dyDescent="0.25"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22:31" ht="11.25" customHeight="1" x14ac:dyDescent="0.25"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22:31" ht="11.25" customHeight="1" x14ac:dyDescent="0.25"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22:31" ht="11.25" customHeight="1" x14ac:dyDescent="0.25"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22:31" ht="11.25" customHeight="1" x14ac:dyDescent="0.25"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22:31" ht="11.25" customHeight="1" x14ac:dyDescent="0.25"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22:31" ht="11.25" customHeight="1" x14ac:dyDescent="0.25"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22:31" ht="11.25" customHeight="1" x14ac:dyDescent="0.25"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22:31" ht="11.25" customHeight="1" x14ac:dyDescent="0.25"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22:31" ht="11.25" customHeight="1" x14ac:dyDescent="0.25"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22:31" ht="11.25" customHeight="1" x14ac:dyDescent="0.25"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22:31" ht="11.25" customHeight="1" x14ac:dyDescent="0.25"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22:31" ht="11.25" customHeight="1" x14ac:dyDescent="0.25"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22:31" ht="11.25" customHeight="1" x14ac:dyDescent="0.25"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22:31" ht="11.25" customHeight="1" x14ac:dyDescent="0.25"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22:31" ht="11.25" customHeight="1" x14ac:dyDescent="0.25"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22:31" ht="11.25" customHeight="1" x14ac:dyDescent="0.25"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22:31" ht="11.25" customHeight="1" x14ac:dyDescent="0.25"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22:31" ht="11.25" customHeight="1" x14ac:dyDescent="0.25"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22:31" ht="11.25" customHeight="1" x14ac:dyDescent="0.25"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22:31" ht="11.25" customHeight="1" x14ac:dyDescent="0.25"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22:31" ht="11.25" customHeight="1" x14ac:dyDescent="0.25"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22:31" ht="11.25" customHeight="1" x14ac:dyDescent="0.25"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22:31" ht="11.25" customHeight="1" x14ac:dyDescent="0.25"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22:31" ht="11.25" customHeight="1" x14ac:dyDescent="0.25"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22:31" ht="11.25" customHeight="1" x14ac:dyDescent="0.25"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22:31" ht="11.25" customHeight="1" x14ac:dyDescent="0.25"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22:31" ht="11.25" customHeight="1" x14ac:dyDescent="0.25"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22:31" ht="11.25" customHeight="1" x14ac:dyDescent="0.25"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22:31" ht="11.25" customHeight="1" x14ac:dyDescent="0.25"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22:31" ht="11.25" customHeight="1" x14ac:dyDescent="0.25"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22:31" ht="11.25" customHeight="1" x14ac:dyDescent="0.25"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22:31" ht="11.25" customHeight="1" x14ac:dyDescent="0.25"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22:31" ht="11.25" customHeight="1" x14ac:dyDescent="0.25"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22:31" ht="11.25" customHeight="1" x14ac:dyDescent="0.25"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22:31" ht="11.25" customHeight="1" x14ac:dyDescent="0.25"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22:31" ht="11.25" customHeight="1" x14ac:dyDescent="0.25"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22:31" ht="11.25" customHeight="1" x14ac:dyDescent="0.25"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22:31" ht="11.25" customHeight="1" x14ac:dyDescent="0.25"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22:31" ht="11.25" customHeight="1" x14ac:dyDescent="0.25"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22:31" ht="11.25" customHeight="1" x14ac:dyDescent="0.25"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22:31" ht="11.25" customHeight="1" x14ac:dyDescent="0.25"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22:31" ht="11.25" customHeight="1" x14ac:dyDescent="0.25"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22:31" ht="11.25" customHeight="1" x14ac:dyDescent="0.25"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22:31" ht="11.25" customHeight="1" x14ac:dyDescent="0.25"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22:31" ht="11.25" customHeight="1" x14ac:dyDescent="0.25"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22:31" ht="11.25" customHeight="1" x14ac:dyDescent="0.25"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22:31" ht="11.25" customHeight="1" x14ac:dyDescent="0.25"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22:31" ht="11.25" customHeight="1" x14ac:dyDescent="0.25"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22:31" ht="11.25" customHeight="1" x14ac:dyDescent="0.25"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22:31" ht="11.25" customHeight="1" x14ac:dyDescent="0.25"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22:31" ht="11.25" customHeight="1" x14ac:dyDescent="0.25"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22:31" ht="11.25" customHeight="1" x14ac:dyDescent="0.25"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22:31" ht="11.25" customHeight="1" x14ac:dyDescent="0.25"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22:31" ht="11.25" customHeight="1" x14ac:dyDescent="0.25"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22:31" ht="11.25" customHeight="1" x14ac:dyDescent="0.25"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22:31" ht="11.25" customHeight="1" x14ac:dyDescent="0.25"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22:31" ht="11.25" customHeight="1" x14ac:dyDescent="0.25"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22:31" ht="11.25" customHeight="1" x14ac:dyDescent="0.25"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22:31" ht="11.25" customHeight="1" x14ac:dyDescent="0.25"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22:31" ht="11.25" customHeight="1" x14ac:dyDescent="0.25"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22:31" ht="11.25" customHeight="1" x14ac:dyDescent="0.25"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22:31" ht="11.25" customHeight="1" x14ac:dyDescent="0.25"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22:31" ht="11.25" customHeight="1" x14ac:dyDescent="0.25"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22:31" ht="11.25" customHeight="1" x14ac:dyDescent="0.25"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22:31" ht="11.25" customHeight="1" x14ac:dyDescent="0.25"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22:31" ht="11.25" customHeight="1" x14ac:dyDescent="0.25"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22:31" ht="11.25" customHeight="1" x14ac:dyDescent="0.25"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22:31" ht="11.25" customHeight="1" x14ac:dyDescent="0.25"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22:31" ht="11.25" customHeight="1" x14ac:dyDescent="0.25"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22:31" ht="11.25" customHeight="1" x14ac:dyDescent="0.25"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22:31" ht="11.25" customHeight="1" x14ac:dyDescent="0.25"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22:31" ht="11.25" customHeight="1" x14ac:dyDescent="0.25"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22:31" ht="11.25" customHeight="1" x14ac:dyDescent="0.25"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22:31" ht="11.25" customHeight="1" x14ac:dyDescent="0.25"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22:31" ht="11.25" customHeight="1" x14ac:dyDescent="0.25"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22:31" ht="11.25" customHeight="1" x14ac:dyDescent="0.25"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22:31" ht="11.25" customHeight="1" x14ac:dyDescent="0.25"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22:31" ht="11.25" customHeight="1" x14ac:dyDescent="0.25"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22:31" ht="11.25" customHeight="1" x14ac:dyDescent="0.25"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22:31" ht="11.25" customHeight="1" x14ac:dyDescent="0.25"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22:31" ht="11.25" customHeight="1" x14ac:dyDescent="0.25"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22:31" ht="11.25" customHeight="1" x14ac:dyDescent="0.25"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22:31" ht="11.25" customHeight="1" x14ac:dyDescent="0.25"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22:31" ht="11.25" customHeight="1" x14ac:dyDescent="0.25"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spans="22:31" ht="11.25" customHeight="1" x14ac:dyDescent="0.25"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spans="22:31" ht="11.25" customHeight="1" x14ac:dyDescent="0.25"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spans="22:31" ht="11.25" customHeight="1" x14ac:dyDescent="0.25"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spans="22:31" ht="11.25" customHeight="1" x14ac:dyDescent="0.25"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spans="22:31" ht="11.25" customHeight="1" x14ac:dyDescent="0.25"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spans="22:31" ht="11.25" customHeight="1" x14ac:dyDescent="0.25"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spans="22:31" ht="11.25" customHeight="1" x14ac:dyDescent="0.25"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spans="22:31" ht="11.25" customHeight="1" x14ac:dyDescent="0.25"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spans="22:31" ht="11.25" customHeight="1" x14ac:dyDescent="0.25"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spans="22:31" ht="11.25" customHeight="1" x14ac:dyDescent="0.25"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spans="22:31" ht="11.25" customHeight="1" x14ac:dyDescent="0.25"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spans="22:31" ht="11.25" customHeight="1" x14ac:dyDescent="0.25"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spans="22:31" ht="11.25" customHeight="1" x14ac:dyDescent="0.25"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spans="22:31" ht="11.25" customHeight="1" x14ac:dyDescent="0.25"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spans="22:31" ht="11.25" customHeight="1" x14ac:dyDescent="0.25"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spans="22:31" ht="11.25" customHeight="1" x14ac:dyDescent="0.25"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spans="22:31" ht="11.25" customHeight="1" x14ac:dyDescent="0.25"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spans="22:31" ht="11.25" customHeight="1" x14ac:dyDescent="0.25"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spans="22:31" ht="11.25" customHeight="1" x14ac:dyDescent="0.25"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spans="22:31" ht="11.25" customHeight="1" x14ac:dyDescent="0.25"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spans="22:31" ht="11.25" customHeight="1" x14ac:dyDescent="0.25"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spans="22:31" ht="11.25" customHeight="1" x14ac:dyDescent="0.25"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spans="22:31" ht="11.25" customHeight="1" x14ac:dyDescent="0.25"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 spans="22:31" ht="11.25" customHeight="1" x14ac:dyDescent="0.25"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</row>
    <row r="1002" spans="22:31" ht="11.25" customHeight="1" x14ac:dyDescent="0.25"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</row>
    <row r="1003" spans="22:31" ht="11.25" customHeight="1" x14ac:dyDescent="0.25"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</row>
    <row r="1004" spans="22:31" ht="11.25" customHeight="1" x14ac:dyDescent="0.25"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</row>
    <row r="1005" spans="22:31" ht="11.25" customHeight="1" x14ac:dyDescent="0.25"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</row>
    <row r="1006" spans="22:31" ht="11.25" customHeight="1" x14ac:dyDescent="0.25"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</row>
    <row r="1007" spans="22:31" ht="11.25" customHeight="1" x14ac:dyDescent="0.25"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</row>
    <row r="1008" spans="22:31" ht="11.25" customHeight="1" x14ac:dyDescent="0.25"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</row>
    <row r="1009" spans="22:31" ht="11.25" customHeight="1" x14ac:dyDescent="0.25"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</row>
    <row r="1010" spans="22:31" ht="11.25" customHeight="1" x14ac:dyDescent="0.25"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</row>
    <row r="1011" spans="22:31" ht="11.25" customHeight="1" x14ac:dyDescent="0.25"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</row>
    <row r="1012" spans="22:31" ht="11.25" customHeight="1" x14ac:dyDescent="0.25"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</row>
    <row r="1013" spans="22:31" ht="11.25" customHeight="1" x14ac:dyDescent="0.25"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</row>
    <row r="1014" spans="22:31" ht="11.25" customHeight="1" x14ac:dyDescent="0.25"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</row>
    <row r="1015" spans="22:31" ht="11.25" customHeight="1" x14ac:dyDescent="0.25"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</row>
    <row r="1016" spans="22:31" ht="11.25" customHeight="1" x14ac:dyDescent="0.25"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</row>
    <row r="1017" spans="22:31" ht="11.25" customHeight="1" x14ac:dyDescent="0.25"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</row>
    <row r="1018" spans="22:31" ht="11.25" customHeight="1" x14ac:dyDescent="0.25"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</row>
    <row r="1019" spans="22:31" ht="11.25" customHeight="1" x14ac:dyDescent="0.25"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</row>
    <row r="1020" spans="22:31" ht="11.25" customHeight="1" x14ac:dyDescent="0.25"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</row>
    <row r="1021" spans="22:31" ht="11.25" customHeight="1" x14ac:dyDescent="0.25"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</row>
    <row r="1022" spans="22:31" ht="11.25" customHeight="1" x14ac:dyDescent="0.25"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</row>
    <row r="1023" spans="22:31" ht="11.25" customHeight="1" x14ac:dyDescent="0.25"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</row>
    <row r="1024" spans="22:31" ht="11.25" customHeight="1" x14ac:dyDescent="0.25"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</row>
    <row r="1025" spans="22:31" ht="11.25" customHeight="1" x14ac:dyDescent="0.25"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</row>
    <row r="1026" spans="22:31" ht="11.25" customHeight="1" x14ac:dyDescent="0.25"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</row>
    <row r="1027" spans="22:31" ht="11.25" customHeight="1" x14ac:dyDescent="0.25"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</row>
    <row r="1028" spans="22:31" ht="11.25" customHeight="1" x14ac:dyDescent="0.25"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</row>
    <row r="1029" spans="22:31" ht="11.25" customHeight="1" x14ac:dyDescent="0.25"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</row>
    <row r="1030" spans="22:31" ht="11.25" customHeight="1" x14ac:dyDescent="0.25"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</row>
    <row r="1031" spans="22:31" ht="11.25" customHeight="1" x14ac:dyDescent="0.25"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</row>
    <row r="1032" spans="22:31" ht="11.25" customHeight="1" x14ac:dyDescent="0.25"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</row>
    <row r="1033" spans="22:31" ht="11.25" customHeight="1" x14ac:dyDescent="0.25"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</row>
    <row r="1034" spans="22:31" ht="11.25" customHeight="1" x14ac:dyDescent="0.25"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</row>
    <row r="1035" spans="22:31" ht="11.25" customHeight="1" x14ac:dyDescent="0.25"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</row>
    <row r="1036" spans="22:31" ht="11.25" customHeight="1" x14ac:dyDescent="0.25"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</row>
    <row r="1037" spans="22:31" ht="11.25" customHeight="1" x14ac:dyDescent="0.25"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</row>
    <row r="1038" spans="22:31" ht="11.25" customHeight="1" x14ac:dyDescent="0.25"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</row>
    <row r="1039" spans="22:31" ht="11.25" customHeight="1" x14ac:dyDescent="0.25"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</row>
    <row r="1040" spans="22:31" ht="11.25" customHeight="1" x14ac:dyDescent="0.25"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</row>
    <row r="1041" spans="22:31" ht="11.25" customHeight="1" x14ac:dyDescent="0.25"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</row>
    <row r="1042" spans="22:31" ht="11.25" customHeight="1" x14ac:dyDescent="0.25"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</row>
    <row r="1043" spans="22:31" ht="11.25" customHeight="1" x14ac:dyDescent="0.25"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</row>
    <row r="1044" spans="22:31" ht="11.25" customHeight="1" x14ac:dyDescent="0.25"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</row>
    <row r="1045" spans="22:31" ht="11.25" customHeight="1" x14ac:dyDescent="0.25"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</row>
    <row r="1046" spans="22:31" ht="11.25" customHeight="1" x14ac:dyDescent="0.25"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</row>
    <row r="1047" spans="22:31" ht="11.25" customHeight="1" x14ac:dyDescent="0.25"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</row>
    <row r="1048" spans="22:31" ht="11.25" customHeight="1" x14ac:dyDescent="0.25"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</row>
    <row r="1049" spans="22:31" ht="11.25" customHeight="1" x14ac:dyDescent="0.25"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</row>
    <row r="1050" spans="22:31" ht="11.25" customHeight="1" x14ac:dyDescent="0.25"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</row>
    <row r="1051" spans="22:31" ht="11.25" customHeight="1" x14ac:dyDescent="0.25"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</row>
    <row r="1052" spans="22:31" ht="11.25" customHeight="1" x14ac:dyDescent="0.25"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</row>
    <row r="1053" spans="22:31" ht="11.25" customHeight="1" x14ac:dyDescent="0.25"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</row>
    <row r="1054" spans="22:31" ht="11.25" customHeight="1" x14ac:dyDescent="0.25"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</row>
    <row r="1055" spans="22:31" ht="11.25" customHeight="1" x14ac:dyDescent="0.25"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</row>
    <row r="1056" spans="22:31" ht="11.25" customHeight="1" x14ac:dyDescent="0.25"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</row>
    <row r="1057" spans="22:31" ht="11.25" customHeight="1" x14ac:dyDescent="0.25"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</row>
    <row r="1058" spans="22:31" ht="11.25" customHeight="1" x14ac:dyDescent="0.25"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</row>
    <row r="1059" spans="22:31" ht="11.25" customHeight="1" x14ac:dyDescent="0.25"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</row>
    <row r="1060" spans="22:31" ht="11.25" customHeight="1" x14ac:dyDescent="0.25"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</row>
    <row r="1061" spans="22:31" ht="11.25" customHeight="1" x14ac:dyDescent="0.25"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</row>
    <row r="1062" spans="22:31" ht="11.25" customHeight="1" x14ac:dyDescent="0.25"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</row>
    <row r="1063" spans="22:31" ht="11.25" customHeight="1" x14ac:dyDescent="0.25"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</row>
    <row r="1064" spans="22:31" ht="11.25" customHeight="1" x14ac:dyDescent="0.25"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</row>
    <row r="1065" spans="22:31" ht="11.25" customHeight="1" x14ac:dyDescent="0.25"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</row>
    <row r="1066" spans="22:31" ht="11.25" customHeight="1" x14ac:dyDescent="0.25"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</row>
    <row r="1067" spans="22:31" ht="11.25" customHeight="1" x14ac:dyDescent="0.25"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</row>
    <row r="1068" spans="22:31" ht="11.25" customHeight="1" x14ac:dyDescent="0.25"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</row>
    <row r="1069" spans="22:31" ht="11.25" customHeight="1" x14ac:dyDescent="0.25"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</row>
    <row r="1070" spans="22:31" ht="11.25" customHeight="1" x14ac:dyDescent="0.25"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</row>
    <row r="1071" spans="22:31" ht="11.25" customHeight="1" x14ac:dyDescent="0.25"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</row>
    <row r="1072" spans="22:31" ht="11.25" customHeight="1" x14ac:dyDescent="0.25"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</row>
    <row r="1073" spans="22:31" ht="11.25" customHeight="1" x14ac:dyDescent="0.25"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</row>
    <row r="1074" spans="22:31" ht="11.25" customHeight="1" x14ac:dyDescent="0.25"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</row>
    <row r="1075" spans="22:31" ht="11.25" customHeight="1" x14ac:dyDescent="0.25"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</row>
    <row r="1076" spans="22:31" ht="11.25" customHeight="1" x14ac:dyDescent="0.25"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</row>
    <row r="1077" spans="22:31" ht="11.25" customHeight="1" x14ac:dyDescent="0.25"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</row>
    <row r="1078" spans="22:31" ht="11.25" customHeight="1" x14ac:dyDescent="0.25"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</row>
    <row r="1079" spans="22:31" ht="11.25" customHeight="1" x14ac:dyDescent="0.25"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</row>
    <row r="1080" spans="22:31" ht="11.25" customHeight="1" x14ac:dyDescent="0.25"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</row>
    <row r="1081" spans="22:31" ht="11.25" customHeight="1" x14ac:dyDescent="0.25"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</row>
    <row r="1082" spans="22:31" ht="11.25" customHeight="1" x14ac:dyDescent="0.25"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</row>
    <row r="1083" spans="22:31" ht="11.25" customHeight="1" x14ac:dyDescent="0.25"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</row>
    <row r="1084" spans="22:31" ht="11.25" customHeight="1" x14ac:dyDescent="0.25"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</row>
    <row r="1085" spans="22:31" ht="11.25" customHeight="1" x14ac:dyDescent="0.25"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</row>
    <row r="1086" spans="22:31" ht="11.25" customHeight="1" x14ac:dyDescent="0.25"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</row>
    <row r="1087" spans="22:31" ht="11.25" customHeight="1" x14ac:dyDescent="0.25"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</row>
    <row r="1088" spans="22:31" ht="11.25" customHeight="1" x14ac:dyDescent="0.25"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</row>
    <row r="1089" spans="22:31" ht="11.25" customHeight="1" x14ac:dyDescent="0.25"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</row>
    <row r="1090" spans="22:31" ht="11.25" customHeight="1" x14ac:dyDescent="0.25"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</row>
    <row r="1091" spans="22:31" ht="11.25" customHeight="1" x14ac:dyDescent="0.25"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</row>
    <row r="1092" spans="22:31" ht="11.25" customHeight="1" x14ac:dyDescent="0.25"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</row>
    <row r="1093" spans="22:31" ht="11.25" customHeight="1" x14ac:dyDescent="0.25"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</row>
    <row r="1094" spans="22:31" ht="11.25" customHeight="1" x14ac:dyDescent="0.25"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</row>
    <row r="1095" spans="22:31" ht="11.25" customHeight="1" x14ac:dyDescent="0.25"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</row>
    <row r="1096" spans="22:31" ht="11.25" customHeight="1" x14ac:dyDescent="0.25"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</row>
    <row r="1097" spans="22:31" ht="11.25" customHeight="1" x14ac:dyDescent="0.25"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</row>
    <row r="1098" spans="22:31" ht="11.25" customHeight="1" x14ac:dyDescent="0.25"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</row>
    <row r="1099" spans="22:31" ht="11.25" customHeight="1" x14ac:dyDescent="0.25"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</row>
    <row r="1100" spans="22:31" ht="11.25" customHeight="1" x14ac:dyDescent="0.25"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</row>
    <row r="1101" spans="22:31" ht="11.25" customHeight="1" x14ac:dyDescent="0.25"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</row>
    <row r="1102" spans="22:31" ht="11.25" customHeight="1" x14ac:dyDescent="0.25"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</row>
    <row r="1103" spans="22:31" ht="11.25" customHeight="1" x14ac:dyDescent="0.25"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</row>
    <row r="1104" spans="22:31" ht="11.25" customHeight="1" x14ac:dyDescent="0.25"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</row>
    <row r="1105" spans="22:31" ht="11.25" customHeight="1" x14ac:dyDescent="0.25"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</row>
    <row r="1106" spans="22:31" ht="11.25" customHeight="1" x14ac:dyDescent="0.25"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</row>
    <row r="1107" spans="22:31" ht="11.25" customHeight="1" x14ac:dyDescent="0.25"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</row>
    <row r="1108" spans="22:31" ht="11.25" customHeight="1" x14ac:dyDescent="0.25"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</row>
    <row r="1109" spans="22:31" ht="11.25" customHeight="1" x14ac:dyDescent="0.25"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</row>
    <row r="1110" spans="22:31" ht="11.25" customHeight="1" x14ac:dyDescent="0.25"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</row>
    <row r="1111" spans="22:31" ht="11.25" customHeight="1" x14ac:dyDescent="0.25"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</row>
    <row r="1112" spans="22:31" ht="11.25" customHeight="1" x14ac:dyDescent="0.25"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</row>
    <row r="1113" spans="22:31" ht="11.25" customHeight="1" x14ac:dyDescent="0.25"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</row>
    <row r="1114" spans="22:31" ht="11.25" customHeight="1" x14ac:dyDescent="0.25"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</row>
    <row r="1115" spans="22:31" ht="11.25" customHeight="1" x14ac:dyDescent="0.25"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</row>
    <row r="1116" spans="22:31" ht="11.25" customHeight="1" x14ac:dyDescent="0.25"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</row>
    <row r="1117" spans="22:31" ht="11.25" customHeight="1" x14ac:dyDescent="0.25"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</row>
    <row r="1118" spans="22:31" ht="11.25" customHeight="1" x14ac:dyDescent="0.25"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</row>
    <row r="1119" spans="22:31" ht="11.25" customHeight="1" x14ac:dyDescent="0.25"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</row>
    <row r="1120" spans="22:31" ht="11.25" customHeight="1" x14ac:dyDescent="0.25"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</row>
    <row r="1121" spans="22:31" ht="11.25" customHeight="1" x14ac:dyDescent="0.25"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</row>
    <row r="1122" spans="22:31" ht="11.25" customHeight="1" x14ac:dyDescent="0.25"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</row>
    <row r="1123" spans="22:31" ht="11.25" customHeight="1" x14ac:dyDescent="0.25"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</row>
    <row r="1124" spans="22:31" ht="11.25" customHeight="1" x14ac:dyDescent="0.25"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</row>
    <row r="1125" spans="22:31" ht="11.25" customHeight="1" x14ac:dyDescent="0.25"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</row>
    <row r="1126" spans="22:31" ht="11.25" customHeight="1" x14ac:dyDescent="0.25"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</row>
    <row r="1127" spans="22:31" ht="11.25" customHeight="1" x14ac:dyDescent="0.25"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</row>
    <row r="1128" spans="22:31" ht="11.25" customHeight="1" x14ac:dyDescent="0.25"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</row>
    <row r="1129" spans="22:31" ht="11.25" customHeight="1" x14ac:dyDescent="0.25"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</row>
    <row r="1130" spans="22:31" ht="11.25" customHeight="1" x14ac:dyDescent="0.25"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</row>
    <row r="1131" spans="22:31" ht="11.25" customHeight="1" x14ac:dyDescent="0.25"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</row>
    <row r="1132" spans="22:31" ht="11.25" customHeight="1" x14ac:dyDescent="0.25"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</row>
    <row r="1133" spans="22:31" ht="11.25" customHeight="1" x14ac:dyDescent="0.25"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</row>
    <row r="1134" spans="22:31" ht="11.25" customHeight="1" x14ac:dyDescent="0.25"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</row>
    <row r="1135" spans="22:31" ht="11.25" customHeight="1" x14ac:dyDescent="0.25"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</row>
    <row r="1136" spans="22:31" ht="11.25" customHeight="1" x14ac:dyDescent="0.25"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</row>
    <row r="1137" spans="22:31" ht="11.25" customHeight="1" x14ac:dyDescent="0.25"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</row>
    <row r="1138" spans="22:31" ht="11.25" customHeight="1" x14ac:dyDescent="0.25"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</row>
    <row r="1139" spans="22:31" ht="11.25" customHeight="1" x14ac:dyDescent="0.25"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</row>
    <row r="1140" spans="22:31" ht="11.25" customHeight="1" x14ac:dyDescent="0.25"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</row>
    <row r="1141" spans="22:31" ht="11.25" customHeight="1" x14ac:dyDescent="0.25"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</row>
    <row r="1142" spans="22:31" ht="11.25" customHeight="1" x14ac:dyDescent="0.25"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</row>
    <row r="1143" spans="22:31" ht="11.25" customHeight="1" x14ac:dyDescent="0.25"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</row>
    <row r="1144" spans="22:31" ht="11.25" customHeight="1" x14ac:dyDescent="0.25"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</row>
    <row r="1145" spans="22:31" ht="11.25" customHeight="1" x14ac:dyDescent="0.25"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</row>
    <row r="1146" spans="22:31" ht="11.25" customHeight="1" x14ac:dyDescent="0.25"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</row>
    <row r="1147" spans="22:31" ht="11.25" customHeight="1" x14ac:dyDescent="0.25"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</row>
    <row r="1148" spans="22:31" ht="11.25" customHeight="1" x14ac:dyDescent="0.25"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</row>
    <row r="1149" spans="22:31" ht="11.25" customHeight="1" x14ac:dyDescent="0.25"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</row>
    <row r="1150" spans="22:31" ht="11.25" customHeight="1" x14ac:dyDescent="0.25"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</row>
    <row r="1151" spans="22:31" ht="11.25" customHeight="1" x14ac:dyDescent="0.25"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</row>
    <row r="1152" spans="22:31" ht="11.25" customHeight="1" x14ac:dyDescent="0.25"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</row>
    <row r="1153" spans="22:31" ht="11.25" customHeight="1" x14ac:dyDescent="0.25"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</row>
    <row r="1154" spans="22:31" ht="11.25" customHeight="1" x14ac:dyDescent="0.25"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</row>
    <row r="1155" spans="22:31" ht="11.25" customHeight="1" x14ac:dyDescent="0.25"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</row>
    <row r="1156" spans="22:31" ht="11.25" customHeight="1" x14ac:dyDescent="0.25"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</row>
    <row r="1157" spans="22:31" ht="11.25" customHeight="1" x14ac:dyDescent="0.25"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</row>
    <row r="1158" spans="22:31" ht="11.25" customHeight="1" x14ac:dyDescent="0.25"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</row>
    <row r="1159" spans="22:31" ht="11.25" customHeight="1" x14ac:dyDescent="0.25"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</row>
    <row r="1160" spans="22:31" ht="11.25" customHeight="1" x14ac:dyDescent="0.25"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</row>
    <row r="1161" spans="22:31" ht="11.25" customHeight="1" x14ac:dyDescent="0.25"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</row>
    <row r="1162" spans="22:31" ht="11.25" customHeight="1" x14ac:dyDescent="0.25"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</row>
    <row r="1163" spans="22:31" ht="11.25" customHeight="1" x14ac:dyDescent="0.25"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</row>
    <row r="1164" spans="22:31" ht="11.25" customHeight="1" x14ac:dyDescent="0.25"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</row>
    <row r="1165" spans="22:31" ht="11.25" customHeight="1" x14ac:dyDescent="0.25"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</row>
    <row r="1166" spans="22:31" ht="11.25" customHeight="1" x14ac:dyDescent="0.25"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</row>
    <row r="1167" spans="22:31" ht="11.25" customHeight="1" x14ac:dyDescent="0.25"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</row>
    <row r="1168" spans="22:31" ht="11.25" customHeight="1" x14ac:dyDescent="0.25"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</row>
    <row r="1169" spans="22:31" ht="11.25" customHeight="1" x14ac:dyDescent="0.25"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</row>
    <row r="1170" spans="22:31" ht="11.25" customHeight="1" x14ac:dyDescent="0.25"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</row>
    <row r="1171" spans="22:31" ht="11.25" customHeight="1" x14ac:dyDescent="0.25"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</row>
    <row r="1172" spans="22:31" ht="11.25" customHeight="1" x14ac:dyDescent="0.25"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</row>
    <row r="1173" spans="22:31" ht="11.25" customHeight="1" x14ac:dyDescent="0.25"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</row>
    <row r="1174" spans="22:31" ht="11.25" customHeight="1" x14ac:dyDescent="0.25"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</row>
    <row r="1175" spans="22:31" ht="11.25" customHeight="1" x14ac:dyDescent="0.25"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</row>
    <row r="1176" spans="22:31" ht="11.25" customHeight="1" x14ac:dyDescent="0.25"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</row>
    <row r="1177" spans="22:31" ht="11.25" customHeight="1" x14ac:dyDescent="0.25"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</row>
    <row r="1178" spans="22:31" ht="11.25" customHeight="1" x14ac:dyDescent="0.25"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</row>
    <row r="1179" spans="22:31" ht="11.25" customHeight="1" x14ac:dyDescent="0.25"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</row>
    <row r="1180" spans="22:31" ht="11.25" customHeight="1" x14ac:dyDescent="0.25"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</row>
    <row r="1181" spans="22:31" ht="11.25" customHeight="1" x14ac:dyDescent="0.25"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</row>
    <row r="1182" spans="22:31" ht="11.25" customHeight="1" x14ac:dyDescent="0.25"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</row>
    <row r="1183" spans="22:31" ht="11.25" customHeight="1" x14ac:dyDescent="0.25"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</row>
    <row r="1184" spans="22:31" ht="11.25" customHeight="1" x14ac:dyDescent="0.25"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</row>
    <row r="1185" spans="22:31" ht="11.25" customHeight="1" x14ac:dyDescent="0.25"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</row>
    <row r="1186" spans="22:31" ht="11.25" customHeight="1" x14ac:dyDescent="0.25"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</row>
    <row r="1187" spans="22:31" ht="11.25" customHeight="1" x14ac:dyDescent="0.25"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</row>
    <row r="1188" spans="22:31" ht="11.25" customHeight="1" x14ac:dyDescent="0.25"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</row>
    <row r="1189" spans="22:31" ht="11.25" customHeight="1" x14ac:dyDescent="0.25"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</row>
    <row r="1190" spans="22:31" ht="11.25" customHeight="1" x14ac:dyDescent="0.25"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</row>
    <row r="1191" spans="22:31" ht="11.25" customHeight="1" x14ac:dyDescent="0.25"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</row>
    <row r="1192" spans="22:31" ht="11.25" customHeight="1" x14ac:dyDescent="0.25"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</row>
    <row r="1193" spans="22:31" ht="11.25" customHeight="1" x14ac:dyDescent="0.25"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</row>
    <row r="1194" spans="22:31" ht="11.25" customHeight="1" x14ac:dyDescent="0.25"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</row>
    <row r="1195" spans="22:31" ht="11.25" customHeight="1" x14ac:dyDescent="0.25"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</row>
    <row r="1196" spans="22:31" ht="11.25" customHeight="1" x14ac:dyDescent="0.25"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</row>
    <row r="1197" spans="22:31" ht="11.25" customHeight="1" x14ac:dyDescent="0.25"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</row>
    <row r="1198" spans="22:31" ht="11.25" customHeight="1" x14ac:dyDescent="0.25"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</row>
    <row r="1199" spans="22:31" ht="11.25" customHeight="1" x14ac:dyDescent="0.25"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</row>
    <row r="1200" spans="22:31" ht="11.25" customHeight="1" x14ac:dyDescent="0.25"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</row>
    <row r="1201" spans="22:31" ht="11.25" customHeight="1" x14ac:dyDescent="0.25"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</row>
    <row r="1202" spans="22:31" ht="11.25" customHeight="1" x14ac:dyDescent="0.25"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</row>
    <row r="1203" spans="22:31" ht="11.25" customHeight="1" x14ac:dyDescent="0.25"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</row>
    <row r="1204" spans="22:31" ht="11.25" customHeight="1" x14ac:dyDescent="0.25"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</row>
    <row r="1205" spans="22:31" ht="11.25" customHeight="1" x14ac:dyDescent="0.25"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</row>
    <row r="1206" spans="22:31" ht="11.25" customHeight="1" x14ac:dyDescent="0.25"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</row>
    <row r="1207" spans="22:31" ht="11.25" customHeight="1" x14ac:dyDescent="0.25"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</row>
    <row r="1208" spans="22:31" ht="11.25" customHeight="1" x14ac:dyDescent="0.25"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</row>
    <row r="1209" spans="22:31" ht="11.25" customHeight="1" x14ac:dyDescent="0.25"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</row>
    <row r="1210" spans="22:31" ht="11.25" customHeight="1" x14ac:dyDescent="0.25"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</row>
    <row r="1211" spans="22:31" ht="11.25" customHeight="1" x14ac:dyDescent="0.25"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</row>
    <row r="1212" spans="22:31" ht="11.25" customHeight="1" x14ac:dyDescent="0.25"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</row>
    <row r="1213" spans="22:31" ht="11.25" customHeight="1" x14ac:dyDescent="0.25"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</row>
    <row r="1214" spans="22:31" ht="11.25" customHeight="1" x14ac:dyDescent="0.25"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</row>
    <row r="1215" spans="22:31" ht="11.25" customHeight="1" x14ac:dyDescent="0.25"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</row>
    <row r="1216" spans="22:31" ht="11.25" customHeight="1" x14ac:dyDescent="0.25"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</row>
    <row r="1217" spans="22:31" ht="11.25" customHeight="1" x14ac:dyDescent="0.25"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</row>
    <row r="1218" spans="22:31" ht="11.25" customHeight="1" x14ac:dyDescent="0.25"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</row>
    <row r="1219" spans="22:31" ht="11.25" customHeight="1" x14ac:dyDescent="0.25"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</row>
    <row r="1220" spans="22:31" ht="11.25" customHeight="1" x14ac:dyDescent="0.25"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</row>
    <row r="1221" spans="22:31" ht="11.25" customHeight="1" x14ac:dyDescent="0.25"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</row>
    <row r="1222" spans="22:31" ht="11.25" customHeight="1" x14ac:dyDescent="0.25"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</row>
    <row r="1223" spans="22:31" ht="11.25" customHeight="1" x14ac:dyDescent="0.25"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</row>
    <row r="1224" spans="22:31" ht="11.25" customHeight="1" x14ac:dyDescent="0.25"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</row>
    <row r="1225" spans="22:31" ht="11.25" customHeight="1" x14ac:dyDescent="0.25"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</row>
    <row r="1226" spans="22:31" ht="11.25" customHeight="1" x14ac:dyDescent="0.25"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</row>
    <row r="1227" spans="22:31" ht="11.25" customHeight="1" x14ac:dyDescent="0.25"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</row>
    <row r="1228" spans="22:31" ht="11.25" customHeight="1" x14ac:dyDescent="0.25"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</row>
    <row r="1229" spans="22:31" ht="11.25" customHeight="1" x14ac:dyDescent="0.25"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</row>
    <row r="1230" spans="22:31" ht="11.25" customHeight="1" x14ac:dyDescent="0.25"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</row>
    <row r="1231" spans="22:31" ht="11.25" customHeight="1" x14ac:dyDescent="0.25"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</row>
    <row r="1232" spans="22:31" ht="11.25" customHeight="1" x14ac:dyDescent="0.25"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</row>
    <row r="1233" spans="22:31" ht="11.25" customHeight="1" x14ac:dyDescent="0.25"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</row>
    <row r="1234" spans="22:31" ht="11.25" customHeight="1" x14ac:dyDescent="0.25"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</row>
    <row r="1235" spans="22:31" ht="11.25" customHeight="1" x14ac:dyDescent="0.25"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</row>
    <row r="1236" spans="22:31" ht="11.25" customHeight="1" x14ac:dyDescent="0.25"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</row>
    <row r="1237" spans="22:31" ht="11.25" customHeight="1" x14ac:dyDescent="0.25"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</row>
    <row r="1238" spans="22:31" ht="11.25" customHeight="1" x14ac:dyDescent="0.25"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</row>
    <row r="1239" spans="22:31" ht="11.25" customHeight="1" x14ac:dyDescent="0.25"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</row>
    <row r="1240" spans="22:31" ht="11.25" customHeight="1" x14ac:dyDescent="0.25"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</row>
    <row r="1241" spans="22:31" ht="11.25" customHeight="1" x14ac:dyDescent="0.25"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</row>
    <row r="1242" spans="22:31" ht="11.25" customHeight="1" x14ac:dyDescent="0.25"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</row>
    <row r="1243" spans="22:31" ht="11.25" customHeight="1" x14ac:dyDescent="0.25"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</row>
    <row r="1244" spans="22:31" ht="11.25" customHeight="1" x14ac:dyDescent="0.25"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</row>
    <row r="1245" spans="22:31" ht="11.25" customHeight="1" x14ac:dyDescent="0.25"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</row>
    <row r="1246" spans="22:31" ht="11.25" customHeight="1" x14ac:dyDescent="0.25"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</row>
    <row r="1247" spans="22:31" ht="11.25" customHeight="1" x14ac:dyDescent="0.25"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</row>
    <row r="1248" spans="22:31" ht="11.25" customHeight="1" x14ac:dyDescent="0.25"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</row>
    <row r="1249" spans="22:31" ht="11.25" customHeight="1" x14ac:dyDescent="0.25"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</row>
    <row r="1250" spans="22:31" ht="11.25" customHeight="1" x14ac:dyDescent="0.25"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</row>
    <row r="1251" spans="22:31" ht="11.25" customHeight="1" x14ac:dyDescent="0.25"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</row>
    <row r="1252" spans="22:31" ht="11.25" customHeight="1" x14ac:dyDescent="0.25"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</row>
    <row r="1253" spans="22:31" ht="11.25" customHeight="1" x14ac:dyDescent="0.25"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</row>
    <row r="1254" spans="22:31" ht="11.25" customHeight="1" x14ac:dyDescent="0.25"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</row>
    <row r="1255" spans="22:31" ht="11.25" customHeight="1" x14ac:dyDescent="0.25"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</row>
    <row r="1256" spans="22:31" ht="11.25" customHeight="1" x14ac:dyDescent="0.25"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</row>
    <row r="1257" spans="22:31" ht="11.25" customHeight="1" x14ac:dyDescent="0.25"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</row>
    <row r="1258" spans="22:31" ht="11.25" customHeight="1" x14ac:dyDescent="0.25"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</row>
    <row r="1259" spans="22:31" ht="11.25" customHeight="1" x14ac:dyDescent="0.25"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</row>
    <row r="1260" spans="22:31" ht="11.25" customHeight="1" x14ac:dyDescent="0.25"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</row>
    <row r="1261" spans="22:31" ht="11.25" customHeight="1" x14ac:dyDescent="0.25"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</row>
    <row r="1262" spans="22:31" ht="11.25" customHeight="1" x14ac:dyDescent="0.25"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</row>
    <row r="1263" spans="22:31" ht="11.25" customHeight="1" x14ac:dyDescent="0.25"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</row>
    <row r="1264" spans="22:31" ht="11.25" customHeight="1" x14ac:dyDescent="0.25"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</row>
    <row r="1265" spans="22:31" ht="11.25" customHeight="1" x14ac:dyDescent="0.25"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</row>
    <row r="1266" spans="22:31" ht="11.25" customHeight="1" x14ac:dyDescent="0.25"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</row>
    <row r="1267" spans="22:31" ht="11.25" customHeight="1" x14ac:dyDescent="0.25"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</row>
    <row r="1268" spans="22:31" ht="11.25" customHeight="1" x14ac:dyDescent="0.25"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</row>
    <row r="1269" spans="22:31" ht="11.25" customHeight="1" x14ac:dyDescent="0.25"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</row>
    <row r="1270" spans="22:31" ht="11.25" customHeight="1" x14ac:dyDescent="0.25"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</row>
    <row r="1271" spans="22:31" ht="11.25" customHeight="1" x14ac:dyDescent="0.25"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</row>
    <row r="1272" spans="22:31" ht="11.25" customHeight="1" x14ac:dyDescent="0.25"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</row>
    <row r="1273" spans="22:31" ht="11.25" customHeight="1" x14ac:dyDescent="0.25"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</row>
    <row r="1274" spans="22:31" ht="11.25" customHeight="1" x14ac:dyDescent="0.25"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</row>
    <row r="1275" spans="22:31" ht="11.25" customHeight="1" x14ac:dyDescent="0.25"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</row>
    <row r="1276" spans="22:31" ht="11.25" customHeight="1" x14ac:dyDescent="0.25"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</row>
    <row r="1277" spans="22:31" ht="11.25" customHeight="1" x14ac:dyDescent="0.25"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</row>
    <row r="1278" spans="22:31" ht="11.25" customHeight="1" x14ac:dyDescent="0.25"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</row>
    <row r="1279" spans="22:31" ht="11.25" customHeight="1" x14ac:dyDescent="0.25"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</row>
    <row r="1280" spans="22:31" ht="11.25" customHeight="1" x14ac:dyDescent="0.25"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</row>
    <row r="1281" spans="22:31" ht="11.25" customHeight="1" x14ac:dyDescent="0.25"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</row>
    <row r="1282" spans="22:31" ht="11.25" customHeight="1" x14ac:dyDescent="0.25"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</row>
    <row r="1283" spans="22:31" ht="11.25" customHeight="1" x14ac:dyDescent="0.25"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</row>
    <row r="1284" spans="22:31" ht="11.25" customHeight="1" x14ac:dyDescent="0.25"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</row>
    <row r="1285" spans="22:31" ht="11.25" customHeight="1" x14ac:dyDescent="0.25"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</row>
    <row r="1286" spans="22:31" ht="11.25" customHeight="1" x14ac:dyDescent="0.25"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</row>
    <row r="1287" spans="22:31" ht="11.25" customHeight="1" x14ac:dyDescent="0.25"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</row>
    <row r="1288" spans="22:31" ht="11.25" customHeight="1" x14ac:dyDescent="0.25"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</row>
    <row r="1289" spans="22:31" ht="11.25" customHeight="1" x14ac:dyDescent="0.25"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</row>
    <row r="1290" spans="22:31" ht="11.25" customHeight="1" x14ac:dyDescent="0.25"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</row>
    <row r="1291" spans="22:31" ht="11.25" customHeight="1" x14ac:dyDescent="0.25"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</row>
    <row r="1292" spans="22:31" ht="11.25" customHeight="1" x14ac:dyDescent="0.25"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</row>
    <row r="1293" spans="22:31" ht="11.25" customHeight="1" x14ac:dyDescent="0.25"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</row>
    <row r="1294" spans="22:31" ht="11.25" customHeight="1" x14ac:dyDescent="0.25"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</row>
    <row r="1295" spans="22:31" ht="11.25" customHeight="1" x14ac:dyDescent="0.25"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</row>
    <row r="1296" spans="22:31" ht="11.25" customHeight="1" x14ac:dyDescent="0.25"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</row>
    <row r="1297" spans="22:31" ht="11.25" customHeight="1" x14ac:dyDescent="0.25"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</row>
    <row r="1298" spans="22:31" ht="11.25" customHeight="1" x14ac:dyDescent="0.25"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</row>
    <row r="1299" spans="22:31" ht="11.25" customHeight="1" x14ac:dyDescent="0.25"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</row>
    <row r="1300" spans="22:31" ht="11.25" customHeight="1" x14ac:dyDescent="0.25"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</row>
    <row r="1301" spans="22:31" ht="11.25" customHeight="1" x14ac:dyDescent="0.25"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</row>
    <row r="1302" spans="22:31" ht="11.25" customHeight="1" x14ac:dyDescent="0.25"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</row>
    <row r="1303" spans="22:31" ht="11.25" customHeight="1" x14ac:dyDescent="0.25"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</row>
    <row r="1304" spans="22:31" ht="11.25" customHeight="1" x14ac:dyDescent="0.25"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</row>
    <row r="1305" spans="22:31" ht="11.25" customHeight="1" x14ac:dyDescent="0.25"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</row>
    <row r="1306" spans="22:31" ht="11.25" customHeight="1" x14ac:dyDescent="0.25"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</row>
    <row r="1307" spans="22:31" ht="11.25" customHeight="1" x14ac:dyDescent="0.25"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</row>
    <row r="1308" spans="22:31" ht="11.25" customHeight="1" x14ac:dyDescent="0.25"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</row>
    <row r="1309" spans="22:31" ht="11.25" customHeight="1" x14ac:dyDescent="0.25"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</row>
    <row r="1310" spans="22:31" ht="11.25" customHeight="1" x14ac:dyDescent="0.25"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</row>
    <row r="1311" spans="22:31" ht="11.25" customHeight="1" x14ac:dyDescent="0.25"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</row>
    <row r="1312" spans="22:31" ht="11.25" customHeight="1" x14ac:dyDescent="0.25"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</row>
    <row r="1313" spans="22:31" ht="11.25" customHeight="1" x14ac:dyDescent="0.25"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</row>
    <row r="1314" spans="22:31" ht="11.25" customHeight="1" x14ac:dyDescent="0.25"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</row>
    <row r="1315" spans="22:31" ht="11.25" customHeight="1" x14ac:dyDescent="0.25"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</row>
    <row r="1316" spans="22:31" ht="11.25" customHeight="1" x14ac:dyDescent="0.25"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</row>
    <row r="1317" spans="22:31" ht="11.25" customHeight="1" x14ac:dyDescent="0.25"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</row>
    <row r="1318" spans="22:31" ht="11.25" customHeight="1" x14ac:dyDescent="0.25"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</row>
    <row r="1319" spans="22:31" ht="11.25" customHeight="1" x14ac:dyDescent="0.25"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</row>
    <row r="1320" spans="22:31" ht="11.25" customHeight="1" x14ac:dyDescent="0.25"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</row>
    <row r="1321" spans="22:31" ht="11.25" customHeight="1" x14ac:dyDescent="0.25"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</row>
    <row r="1322" spans="22:31" ht="11.25" customHeight="1" x14ac:dyDescent="0.25"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</row>
    <row r="1323" spans="22:31" ht="11.25" customHeight="1" x14ac:dyDescent="0.25"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</row>
    <row r="1324" spans="22:31" ht="11.25" customHeight="1" x14ac:dyDescent="0.25"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</row>
    <row r="1325" spans="22:31" ht="11.25" customHeight="1" x14ac:dyDescent="0.25"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</row>
    <row r="1326" spans="22:31" ht="11.25" customHeight="1" x14ac:dyDescent="0.25"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</row>
    <row r="1327" spans="22:31" ht="11.25" customHeight="1" x14ac:dyDescent="0.25"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</row>
    <row r="1328" spans="22:31" ht="11.25" customHeight="1" x14ac:dyDescent="0.25"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</row>
    <row r="1329" spans="22:31" ht="11.25" customHeight="1" x14ac:dyDescent="0.25"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</row>
    <row r="1330" spans="22:31" ht="11.25" customHeight="1" x14ac:dyDescent="0.25"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</row>
    <row r="1331" spans="22:31" ht="11.25" customHeight="1" x14ac:dyDescent="0.25"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</row>
    <row r="1332" spans="22:31" ht="11.25" customHeight="1" x14ac:dyDescent="0.25"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</row>
    <row r="1333" spans="22:31" ht="11.25" customHeight="1" x14ac:dyDescent="0.25"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</row>
    <row r="1334" spans="22:31" ht="11.25" customHeight="1" x14ac:dyDescent="0.25"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</row>
    <row r="1335" spans="22:31" ht="11.25" customHeight="1" x14ac:dyDescent="0.25"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</row>
    <row r="1336" spans="22:31" ht="11.25" customHeight="1" x14ac:dyDescent="0.25"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</row>
    <row r="1337" spans="22:31" ht="11.25" customHeight="1" x14ac:dyDescent="0.25"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</row>
    <row r="1338" spans="22:31" ht="11.25" customHeight="1" x14ac:dyDescent="0.25"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</row>
    <row r="1339" spans="22:31" ht="11.25" customHeight="1" x14ac:dyDescent="0.25"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</row>
    <row r="1340" spans="22:31" ht="11.25" customHeight="1" x14ac:dyDescent="0.25"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</row>
    <row r="1341" spans="22:31" ht="11.25" customHeight="1" x14ac:dyDescent="0.25"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</row>
    <row r="1342" spans="22:31" ht="11.25" customHeight="1" x14ac:dyDescent="0.25"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</row>
    <row r="1343" spans="22:31" ht="11.25" customHeight="1" x14ac:dyDescent="0.25"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</row>
    <row r="1344" spans="22:31" ht="11.25" customHeight="1" x14ac:dyDescent="0.25"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</row>
    <row r="1345" spans="22:31" ht="11.25" customHeight="1" x14ac:dyDescent="0.25"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</row>
    <row r="1346" spans="22:31" ht="11.25" customHeight="1" x14ac:dyDescent="0.25"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</row>
    <row r="1347" spans="22:31" ht="11.25" customHeight="1" x14ac:dyDescent="0.25"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</row>
    <row r="1348" spans="22:31" ht="11.25" customHeight="1" x14ac:dyDescent="0.25"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</row>
    <row r="1349" spans="22:31" ht="11.25" customHeight="1" x14ac:dyDescent="0.25"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</row>
    <row r="1350" spans="22:31" ht="11.25" customHeight="1" x14ac:dyDescent="0.25"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</row>
    <row r="1351" spans="22:31" ht="11.25" customHeight="1" x14ac:dyDescent="0.25"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</row>
    <row r="1352" spans="22:31" ht="11.25" customHeight="1" x14ac:dyDescent="0.25"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</row>
    <row r="1353" spans="22:31" ht="11.25" customHeight="1" x14ac:dyDescent="0.25"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</row>
    <row r="1354" spans="22:31" ht="11.25" customHeight="1" x14ac:dyDescent="0.25"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</row>
    <row r="1355" spans="22:31" ht="11.25" customHeight="1" x14ac:dyDescent="0.25"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</row>
    <row r="1356" spans="22:31" ht="11.25" customHeight="1" x14ac:dyDescent="0.25"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</row>
    <row r="1357" spans="22:31" ht="11.25" customHeight="1" x14ac:dyDescent="0.25"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</row>
    <row r="1358" spans="22:31" ht="11.25" customHeight="1" x14ac:dyDescent="0.25"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</row>
    <row r="1359" spans="22:31" ht="11.25" customHeight="1" x14ac:dyDescent="0.25"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</row>
    <row r="1360" spans="22:31" ht="11.25" customHeight="1" x14ac:dyDescent="0.25"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</row>
    <row r="1361" spans="22:31" ht="11.25" customHeight="1" x14ac:dyDescent="0.25"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</row>
    <row r="1362" spans="22:31" ht="11.25" customHeight="1" x14ac:dyDescent="0.25"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</row>
    <row r="1363" spans="22:31" ht="11.25" customHeight="1" x14ac:dyDescent="0.25"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</row>
    <row r="1364" spans="22:31" ht="11.25" customHeight="1" x14ac:dyDescent="0.25"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</row>
    <row r="1365" spans="22:31" ht="11.25" customHeight="1" x14ac:dyDescent="0.25"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</row>
    <row r="1366" spans="22:31" ht="11.25" customHeight="1" x14ac:dyDescent="0.25"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</row>
    <row r="1367" spans="22:31" ht="11.25" customHeight="1" x14ac:dyDescent="0.25"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</row>
    <row r="1368" spans="22:31" ht="11.25" customHeight="1" x14ac:dyDescent="0.25"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</row>
    <row r="1369" spans="22:31" ht="11.25" customHeight="1" x14ac:dyDescent="0.25"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</row>
    <row r="1370" spans="22:31" ht="11.25" customHeight="1" x14ac:dyDescent="0.25"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</row>
    <row r="1371" spans="22:31" ht="11.25" customHeight="1" x14ac:dyDescent="0.25"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</row>
    <row r="1372" spans="22:31" ht="11.25" customHeight="1" x14ac:dyDescent="0.25"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</row>
    <row r="1373" spans="22:31" ht="11.25" customHeight="1" x14ac:dyDescent="0.25"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</row>
    <row r="1374" spans="22:31" ht="11.25" customHeight="1" x14ac:dyDescent="0.25"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</row>
    <row r="1375" spans="22:31" ht="11.25" customHeight="1" x14ac:dyDescent="0.25"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</row>
    <row r="1376" spans="22:31" ht="11.25" customHeight="1" x14ac:dyDescent="0.25"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</row>
    <row r="1377" spans="22:31" ht="11.25" customHeight="1" x14ac:dyDescent="0.25"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</row>
    <row r="1378" spans="22:31" ht="11.25" customHeight="1" x14ac:dyDescent="0.25"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</row>
    <row r="1379" spans="22:31" ht="11.25" customHeight="1" x14ac:dyDescent="0.25"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</row>
    <row r="1380" spans="22:31" ht="11.25" customHeight="1" x14ac:dyDescent="0.25"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</row>
    <row r="1381" spans="22:31" ht="11.25" customHeight="1" x14ac:dyDescent="0.25"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</row>
    <row r="1382" spans="22:31" ht="11.25" customHeight="1" x14ac:dyDescent="0.25"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</row>
    <row r="1383" spans="22:31" ht="11.25" customHeight="1" x14ac:dyDescent="0.25"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</row>
    <row r="1384" spans="22:31" ht="11.25" customHeight="1" x14ac:dyDescent="0.25"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</row>
    <row r="1385" spans="22:31" ht="11.25" customHeight="1" x14ac:dyDescent="0.25"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</row>
    <row r="1386" spans="22:31" ht="11.25" customHeight="1" x14ac:dyDescent="0.25"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</row>
    <row r="1387" spans="22:31" ht="11.25" customHeight="1" x14ac:dyDescent="0.25"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</row>
    <row r="1388" spans="22:31" ht="11.25" customHeight="1" x14ac:dyDescent="0.25"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</row>
    <row r="1389" spans="22:31" ht="11.25" customHeight="1" x14ac:dyDescent="0.25"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</row>
    <row r="1390" spans="22:31" ht="11.25" customHeight="1" x14ac:dyDescent="0.25"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</row>
    <row r="1391" spans="22:31" ht="11.25" customHeight="1" x14ac:dyDescent="0.25"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</row>
    <row r="1392" spans="22:31" ht="11.25" customHeight="1" x14ac:dyDescent="0.25"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</row>
    <row r="1393" spans="22:31" ht="11.25" customHeight="1" x14ac:dyDescent="0.25"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</row>
    <row r="1394" spans="22:31" ht="11.25" customHeight="1" x14ac:dyDescent="0.25"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</row>
    <row r="1395" spans="22:31" ht="11.25" customHeight="1" x14ac:dyDescent="0.25"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</row>
    <row r="1396" spans="22:31" ht="11.25" customHeight="1" x14ac:dyDescent="0.25"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</row>
    <row r="1397" spans="22:31" ht="11.25" customHeight="1" x14ac:dyDescent="0.25"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</row>
    <row r="1398" spans="22:31" ht="11.25" customHeight="1" x14ac:dyDescent="0.25"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</row>
    <row r="1399" spans="22:31" ht="11.25" customHeight="1" x14ac:dyDescent="0.25"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</row>
    <row r="1400" spans="22:31" ht="11.25" customHeight="1" x14ac:dyDescent="0.25"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</row>
    <row r="1401" spans="22:31" ht="11.25" customHeight="1" x14ac:dyDescent="0.25"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</row>
    <row r="1402" spans="22:31" ht="11.25" customHeight="1" x14ac:dyDescent="0.25"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</row>
    <row r="1403" spans="22:31" ht="11.25" customHeight="1" x14ac:dyDescent="0.25"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</row>
    <row r="1404" spans="22:31" ht="11.25" customHeight="1" x14ac:dyDescent="0.25"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</row>
    <row r="1405" spans="22:31" ht="11.25" customHeight="1" x14ac:dyDescent="0.25"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</row>
    <row r="1406" spans="22:31" ht="11.25" customHeight="1" x14ac:dyDescent="0.25"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</row>
    <row r="1407" spans="22:31" ht="11.25" customHeight="1" x14ac:dyDescent="0.25"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</row>
    <row r="1408" spans="22:31" ht="11.25" customHeight="1" x14ac:dyDescent="0.25"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</row>
    <row r="1409" spans="22:31" ht="11.25" customHeight="1" x14ac:dyDescent="0.25"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</row>
    <row r="1410" spans="22:31" ht="11.25" customHeight="1" x14ac:dyDescent="0.25"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</row>
    <row r="1411" spans="22:31" ht="11.25" customHeight="1" x14ac:dyDescent="0.25"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</row>
    <row r="1412" spans="22:31" ht="11.25" customHeight="1" x14ac:dyDescent="0.25"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</row>
    <row r="1413" spans="22:31" ht="11.25" customHeight="1" x14ac:dyDescent="0.25"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</row>
    <row r="1414" spans="22:31" ht="11.25" customHeight="1" x14ac:dyDescent="0.25"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</row>
    <row r="1415" spans="22:31" ht="11.25" customHeight="1" x14ac:dyDescent="0.25"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</row>
    <row r="1416" spans="22:31" ht="11.25" customHeight="1" x14ac:dyDescent="0.25"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</row>
    <row r="1417" spans="22:31" ht="11.25" customHeight="1" x14ac:dyDescent="0.25"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</row>
    <row r="1418" spans="22:31" ht="11.25" customHeight="1" x14ac:dyDescent="0.25"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</row>
    <row r="1419" spans="22:31" ht="11.25" customHeight="1" x14ac:dyDescent="0.25"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</row>
    <row r="1420" spans="22:31" ht="11.25" customHeight="1" x14ac:dyDescent="0.25"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</row>
    <row r="1421" spans="22:31" ht="11.25" customHeight="1" x14ac:dyDescent="0.25"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</row>
    <row r="1422" spans="22:31" ht="11.25" customHeight="1" x14ac:dyDescent="0.25"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</row>
    <row r="1423" spans="22:31" ht="11.25" customHeight="1" x14ac:dyDescent="0.25"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</row>
    <row r="1424" spans="22:31" ht="11.25" customHeight="1" x14ac:dyDescent="0.25"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</row>
    <row r="1425" spans="22:31" ht="11.25" customHeight="1" x14ac:dyDescent="0.25"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</row>
    <row r="1426" spans="22:31" ht="11.25" customHeight="1" x14ac:dyDescent="0.25"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</row>
    <row r="1427" spans="22:31" ht="11.25" customHeight="1" x14ac:dyDescent="0.25"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</row>
    <row r="1428" spans="22:31" ht="11.25" customHeight="1" x14ac:dyDescent="0.25"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22:31" ht="11.25" customHeight="1" x14ac:dyDescent="0.25"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22:31" ht="11.25" customHeight="1" x14ac:dyDescent="0.25"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22:31" ht="11.25" customHeight="1" x14ac:dyDescent="0.25"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22:31" ht="11.25" customHeight="1" x14ac:dyDescent="0.25"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22:31" ht="11.25" customHeight="1" x14ac:dyDescent="0.25"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22:31" ht="11.25" customHeight="1" x14ac:dyDescent="0.25"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22:31" ht="11.25" customHeight="1" x14ac:dyDescent="0.25"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22:31" ht="11.25" customHeight="1" x14ac:dyDescent="0.25"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22:31" ht="11.25" customHeight="1" x14ac:dyDescent="0.25"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22:31" ht="11.25" customHeight="1" x14ac:dyDescent="0.25"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22:31" ht="11.25" customHeight="1" x14ac:dyDescent="0.25"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22:31" ht="11.25" customHeight="1" x14ac:dyDescent="0.25"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22:31" ht="11.25" customHeight="1" x14ac:dyDescent="0.25"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22:31" ht="11.25" customHeight="1" x14ac:dyDescent="0.25"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22:31" ht="11.25" customHeight="1" x14ac:dyDescent="0.25"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22:31" ht="11.25" customHeight="1" x14ac:dyDescent="0.25"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</row>
    <row r="1445" spans="22:31" ht="11.25" customHeight="1" x14ac:dyDescent="0.25"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</row>
    <row r="1446" spans="22:31" ht="11.25" customHeight="1" x14ac:dyDescent="0.25"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</row>
    <row r="1447" spans="22:31" ht="11.25" customHeight="1" x14ac:dyDescent="0.25"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</row>
    <row r="1448" spans="22:31" ht="11.25" customHeight="1" x14ac:dyDescent="0.25"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</row>
    <row r="1449" spans="22:31" ht="11.25" customHeight="1" x14ac:dyDescent="0.25"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</row>
    <row r="1450" spans="22:31" ht="11.25" customHeight="1" x14ac:dyDescent="0.25"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</row>
    <row r="1451" spans="22:31" ht="11.25" customHeight="1" x14ac:dyDescent="0.25"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</row>
    <row r="1452" spans="22:31" ht="11.25" customHeight="1" x14ac:dyDescent="0.25"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22:31" ht="11.25" customHeight="1" x14ac:dyDescent="0.25"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22:31" ht="11.25" customHeight="1" x14ac:dyDescent="0.25"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22:31" ht="11.25" customHeight="1" x14ac:dyDescent="0.25"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22:31" ht="11.25" customHeight="1" x14ac:dyDescent="0.25"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22:31" ht="11.25" customHeight="1" x14ac:dyDescent="0.25"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22:31" ht="11.25" customHeight="1" x14ac:dyDescent="0.25"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22:31" ht="11.25" customHeight="1" x14ac:dyDescent="0.25"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22:31" ht="11.25" customHeight="1" x14ac:dyDescent="0.25"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22:31" ht="11.25" customHeight="1" x14ac:dyDescent="0.25"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22:31" ht="11.25" customHeight="1" x14ac:dyDescent="0.25"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22:31" ht="11.25" customHeight="1" x14ac:dyDescent="0.25"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22:31" ht="11.25" customHeight="1" x14ac:dyDescent="0.25"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22:31" ht="11.25" customHeight="1" x14ac:dyDescent="0.25"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22:31" ht="11.25" customHeight="1" x14ac:dyDescent="0.25"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22:31" ht="11.25" customHeight="1" x14ac:dyDescent="0.25"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22:31" ht="11.25" customHeight="1" x14ac:dyDescent="0.25"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22:31" ht="11.25" customHeight="1" x14ac:dyDescent="0.25"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22:31" ht="11.25" customHeight="1" x14ac:dyDescent="0.25"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22:31" ht="11.25" customHeight="1" x14ac:dyDescent="0.25"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22:31" ht="11.25" customHeight="1" x14ac:dyDescent="0.25"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22:31" ht="11.25" customHeight="1" x14ac:dyDescent="0.25"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22:31" ht="11.25" customHeight="1" x14ac:dyDescent="0.25"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22:31" ht="11.25" customHeight="1" x14ac:dyDescent="0.25"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22:31" ht="11.25" customHeight="1" x14ac:dyDescent="0.25"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22:31" ht="11.25" customHeight="1" x14ac:dyDescent="0.25"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22:31" ht="11.25" customHeight="1" x14ac:dyDescent="0.25"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22:31" ht="11.25" customHeight="1" x14ac:dyDescent="0.25"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22:31" ht="11.25" customHeight="1" x14ac:dyDescent="0.25"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22:31" ht="11.25" customHeight="1" x14ac:dyDescent="0.25"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22:31" ht="11.25" customHeight="1" x14ac:dyDescent="0.25"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22:31" ht="11.25" customHeight="1" x14ac:dyDescent="0.25"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22:31" ht="11.25" customHeight="1" x14ac:dyDescent="0.25"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22:31" ht="11.25" customHeight="1" x14ac:dyDescent="0.25"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</row>
    <row r="1486" spans="22:31" ht="11.25" customHeight="1" x14ac:dyDescent="0.25"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22:31" ht="11.25" customHeight="1" x14ac:dyDescent="0.25"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22:31" ht="11.25" customHeight="1" x14ac:dyDescent="0.25"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22:31" ht="11.25" customHeight="1" x14ac:dyDescent="0.25"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22:31" ht="11.25" customHeight="1" x14ac:dyDescent="0.25"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22:31" ht="11.25" customHeight="1" x14ac:dyDescent="0.25"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22:31" ht="11.25" customHeight="1" x14ac:dyDescent="0.25"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22:31" ht="11.25" customHeight="1" x14ac:dyDescent="0.25"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22:31" ht="11.25" customHeight="1" x14ac:dyDescent="0.25"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22:31" ht="11.25" customHeight="1" x14ac:dyDescent="0.25"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</row>
    <row r="1496" spans="22:31" ht="11.25" customHeight="1" x14ac:dyDescent="0.25"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22:31" ht="11.25" customHeight="1" x14ac:dyDescent="0.25"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</row>
    <row r="1498" spans="22:31" ht="11.25" customHeight="1" x14ac:dyDescent="0.25"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22:31" ht="11.25" customHeight="1" x14ac:dyDescent="0.25"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</row>
    <row r="1500" spans="22:31" ht="11.25" customHeight="1" x14ac:dyDescent="0.25"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</row>
    <row r="1501" spans="22:31" ht="11.25" customHeight="1" x14ac:dyDescent="0.25"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22:31" ht="11.25" customHeight="1" x14ac:dyDescent="0.25"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22:31" ht="11.25" customHeight="1" x14ac:dyDescent="0.25"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22:31" ht="11.25" customHeight="1" x14ac:dyDescent="0.25"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22:31" ht="11.25" customHeight="1" x14ac:dyDescent="0.25"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22:31" ht="11.25" customHeight="1" x14ac:dyDescent="0.25"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22:31" ht="11.25" customHeight="1" x14ac:dyDescent="0.25"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22:31" ht="11.25" customHeight="1" x14ac:dyDescent="0.25"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</row>
    <row r="1509" spans="22:31" ht="11.25" customHeight="1" x14ac:dyDescent="0.25"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</row>
    <row r="1510" spans="22:31" ht="11.25" customHeight="1" x14ac:dyDescent="0.25"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</row>
    <row r="1511" spans="22:31" ht="11.25" customHeight="1" x14ac:dyDescent="0.25"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22:31" ht="11.25" customHeight="1" x14ac:dyDescent="0.25"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22:31" ht="11.25" customHeight="1" x14ac:dyDescent="0.25"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22:31" ht="11.25" customHeight="1" x14ac:dyDescent="0.25"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</row>
    <row r="1515" spans="22:31" ht="11.25" customHeight="1" x14ac:dyDescent="0.25"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</row>
    <row r="1516" spans="22:31" ht="11.25" customHeight="1" x14ac:dyDescent="0.25"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</row>
    <row r="1517" spans="22:31" ht="11.25" customHeight="1" x14ac:dyDescent="0.25"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</row>
    <row r="1518" spans="22:31" ht="11.25" customHeight="1" x14ac:dyDescent="0.25"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</row>
    <row r="1519" spans="22:31" ht="11.25" customHeight="1" x14ac:dyDescent="0.25"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</row>
    <row r="1520" spans="22:31" ht="11.25" customHeight="1" x14ac:dyDescent="0.25"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</row>
    <row r="1521" spans="22:31" ht="11.25" customHeight="1" x14ac:dyDescent="0.25"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</row>
    <row r="1522" spans="22:31" ht="11.25" customHeight="1" x14ac:dyDescent="0.25"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</row>
    <row r="1523" spans="22:31" ht="11.25" customHeight="1" x14ac:dyDescent="0.25"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</row>
    <row r="1524" spans="22:31" ht="11.25" customHeight="1" x14ac:dyDescent="0.25"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</row>
    <row r="1525" spans="22:31" ht="11.25" customHeight="1" x14ac:dyDescent="0.25"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</row>
    <row r="1526" spans="22:31" ht="11.25" customHeight="1" x14ac:dyDescent="0.25"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</row>
    <row r="1527" spans="22:31" ht="11.25" customHeight="1" x14ac:dyDescent="0.25"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</row>
    <row r="1528" spans="22:31" ht="11.25" customHeight="1" x14ac:dyDescent="0.25"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</row>
    <row r="1529" spans="22:31" ht="11.25" customHeight="1" x14ac:dyDescent="0.25"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</row>
    <row r="1530" spans="22:31" ht="11.25" customHeight="1" x14ac:dyDescent="0.25"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</row>
    <row r="1531" spans="22:31" ht="11.25" customHeight="1" x14ac:dyDescent="0.25"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</row>
    <row r="1532" spans="22:31" ht="11.25" customHeight="1" x14ac:dyDescent="0.25"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</row>
    <row r="1533" spans="22:31" ht="11.25" customHeight="1" x14ac:dyDescent="0.25"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</row>
    <row r="1534" spans="22:31" ht="11.25" customHeight="1" x14ac:dyDescent="0.25"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</row>
    <row r="1535" spans="22:31" ht="11.25" customHeight="1" x14ac:dyDescent="0.25"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</row>
    <row r="1536" spans="22:31" ht="11.25" customHeight="1" x14ac:dyDescent="0.25"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</row>
    <row r="1537" spans="22:31" ht="11.25" customHeight="1" x14ac:dyDescent="0.25"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</row>
    <row r="1538" spans="22:31" ht="11.25" customHeight="1" x14ac:dyDescent="0.25"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</row>
    <row r="1539" spans="22:31" ht="11.25" customHeight="1" x14ac:dyDescent="0.25"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</row>
    <row r="1540" spans="22:31" ht="11.25" customHeight="1" x14ac:dyDescent="0.25"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</row>
    <row r="1541" spans="22:31" ht="11.25" customHeight="1" x14ac:dyDescent="0.25"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</row>
    <row r="1542" spans="22:31" ht="11.25" customHeight="1" x14ac:dyDescent="0.25"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</row>
    <row r="1543" spans="22:31" ht="11.25" customHeight="1" x14ac:dyDescent="0.25"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</row>
    <row r="1544" spans="22:31" ht="11.25" customHeight="1" x14ac:dyDescent="0.25"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</row>
    <row r="1545" spans="22:31" ht="11.25" customHeight="1" x14ac:dyDescent="0.25"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</row>
    <row r="1546" spans="22:31" ht="11.25" customHeight="1" x14ac:dyDescent="0.25"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</row>
    <row r="1547" spans="22:31" ht="11.25" customHeight="1" x14ac:dyDescent="0.25"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</row>
    <row r="1548" spans="22:31" ht="11.25" customHeight="1" x14ac:dyDescent="0.25"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</row>
    <row r="1549" spans="22:31" ht="11.25" customHeight="1" x14ac:dyDescent="0.25"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</row>
    <row r="1550" spans="22:31" ht="11.25" customHeight="1" x14ac:dyDescent="0.25"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</row>
    <row r="1551" spans="22:31" ht="11.25" customHeight="1" x14ac:dyDescent="0.25"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</row>
    <row r="1552" spans="22:31" ht="11.25" customHeight="1" x14ac:dyDescent="0.25"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</row>
    <row r="1553" spans="22:31" ht="11.25" customHeight="1" x14ac:dyDescent="0.25"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</row>
    <row r="1554" spans="22:31" ht="11.25" customHeight="1" x14ac:dyDescent="0.25"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</row>
    <row r="1555" spans="22:31" ht="11.25" customHeight="1" x14ac:dyDescent="0.25"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</row>
    <row r="1556" spans="22:31" ht="11.25" customHeight="1" x14ac:dyDescent="0.25"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</row>
    <row r="1557" spans="22:31" ht="11.25" customHeight="1" x14ac:dyDescent="0.25"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</row>
    <row r="1558" spans="22:31" ht="11.25" customHeight="1" x14ac:dyDescent="0.25"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</row>
    <row r="1559" spans="22:31" ht="11.25" customHeight="1" x14ac:dyDescent="0.25">
      <c r="V1559" s="4"/>
      <c r="W1559" s="4"/>
      <c r="X1559" s="4"/>
      <c r="Y1559" s="4"/>
      <c r="Z1559" s="4"/>
      <c r="AA1559" s="4"/>
      <c r="AB1559" s="4"/>
      <c r="AC1559" s="4"/>
      <c r="AD1559" s="4"/>
      <c r="AE1559" s="4"/>
    </row>
    <row r="1560" spans="22:31" ht="11.25" customHeight="1" x14ac:dyDescent="0.25"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</row>
    <row r="1561" spans="22:31" ht="11.25" customHeight="1" x14ac:dyDescent="0.25">
      <c r="V1561" s="4"/>
      <c r="W1561" s="4"/>
      <c r="X1561" s="4"/>
      <c r="Y1561" s="4"/>
      <c r="Z1561" s="4"/>
      <c r="AA1561" s="4"/>
      <c r="AB1561" s="4"/>
      <c r="AC1561" s="4"/>
      <c r="AD1561" s="4"/>
      <c r="AE1561" s="4"/>
    </row>
    <row r="1562" spans="22:31" ht="11.25" customHeight="1" x14ac:dyDescent="0.25"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</row>
    <row r="1563" spans="22:31" ht="11.25" customHeight="1" x14ac:dyDescent="0.25">
      <c r="V1563" s="4"/>
      <c r="W1563" s="4"/>
      <c r="X1563" s="4"/>
      <c r="Y1563" s="4"/>
      <c r="Z1563" s="4"/>
      <c r="AA1563" s="4"/>
      <c r="AB1563" s="4"/>
      <c r="AC1563" s="4"/>
      <c r="AD1563" s="4"/>
      <c r="AE1563" s="4"/>
    </row>
    <row r="1564" spans="22:31" ht="11.25" customHeight="1" x14ac:dyDescent="0.25">
      <c r="V1564" s="4"/>
      <c r="W1564" s="4"/>
      <c r="X1564" s="4"/>
      <c r="Y1564" s="4"/>
      <c r="Z1564" s="4"/>
      <c r="AA1564" s="4"/>
      <c r="AB1564" s="4"/>
      <c r="AC1564" s="4"/>
      <c r="AD1564" s="4"/>
      <c r="AE1564" s="4"/>
    </row>
    <row r="1565" spans="22:31" ht="11.25" customHeight="1" x14ac:dyDescent="0.25">
      <c r="V1565" s="4"/>
      <c r="W1565" s="4"/>
      <c r="X1565" s="4"/>
      <c r="Y1565" s="4"/>
      <c r="Z1565" s="4"/>
      <c r="AA1565" s="4"/>
      <c r="AB1565" s="4"/>
      <c r="AC1565" s="4"/>
      <c r="AD1565" s="4"/>
      <c r="AE1565" s="4"/>
    </row>
    <row r="1566" spans="22:31" ht="11.25" customHeight="1" x14ac:dyDescent="0.25"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</row>
    <row r="1567" spans="22:31" ht="11.25" customHeight="1" x14ac:dyDescent="0.25">
      <c r="V1567" s="4"/>
      <c r="W1567" s="4"/>
      <c r="X1567" s="4"/>
      <c r="Y1567" s="4"/>
      <c r="Z1567" s="4"/>
      <c r="AA1567" s="4"/>
      <c r="AB1567" s="4"/>
      <c r="AC1567" s="4"/>
      <c r="AD1567" s="4"/>
      <c r="AE1567" s="4"/>
    </row>
    <row r="1568" spans="22:31" ht="11.25" customHeight="1" x14ac:dyDescent="0.25">
      <c r="V1568" s="4"/>
      <c r="W1568" s="4"/>
      <c r="X1568" s="4"/>
      <c r="Y1568" s="4"/>
      <c r="Z1568" s="4"/>
      <c r="AA1568" s="4"/>
      <c r="AB1568" s="4"/>
      <c r="AC1568" s="4"/>
      <c r="AD1568" s="4"/>
      <c r="AE1568" s="4"/>
    </row>
    <row r="1569" spans="22:31" ht="11.25" customHeight="1" x14ac:dyDescent="0.25">
      <c r="V1569" s="4"/>
      <c r="W1569" s="4"/>
      <c r="X1569" s="4"/>
      <c r="Y1569" s="4"/>
      <c r="Z1569" s="4"/>
      <c r="AA1569" s="4"/>
      <c r="AB1569" s="4"/>
      <c r="AC1569" s="4"/>
      <c r="AD1569" s="4"/>
      <c r="AE1569" s="4"/>
    </row>
    <row r="1570" spans="22:31" ht="11.25" customHeight="1" x14ac:dyDescent="0.25">
      <c r="V1570" s="4"/>
      <c r="W1570" s="4"/>
      <c r="X1570" s="4"/>
      <c r="Y1570" s="4"/>
      <c r="Z1570" s="4"/>
      <c r="AA1570" s="4"/>
      <c r="AB1570" s="4"/>
      <c r="AC1570" s="4"/>
      <c r="AD1570" s="4"/>
      <c r="AE1570" s="4"/>
    </row>
    <row r="1571" spans="22:31" ht="11.25" customHeight="1" x14ac:dyDescent="0.25">
      <c r="V1571" s="4"/>
      <c r="W1571" s="4"/>
      <c r="X1571" s="4"/>
      <c r="Y1571" s="4"/>
      <c r="Z1571" s="4"/>
      <c r="AA1571" s="4"/>
      <c r="AB1571" s="4"/>
      <c r="AC1571" s="4"/>
      <c r="AD1571" s="4"/>
      <c r="AE1571" s="4"/>
    </row>
    <row r="1572" spans="22:31" ht="11.25" customHeight="1" x14ac:dyDescent="0.25"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</row>
    <row r="1573" spans="22:31" ht="11.25" customHeight="1" x14ac:dyDescent="0.25"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</row>
    <row r="1574" spans="22:31" ht="11.25" customHeight="1" x14ac:dyDescent="0.25"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</row>
    <row r="1575" spans="22:31" ht="11.25" customHeight="1" x14ac:dyDescent="0.25"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</row>
    <row r="1576" spans="22:31" ht="11.25" customHeight="1" x14ac:dyDescent="0.25"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</row>
    <row r="1577" spans="22:31" ht="11.25" customHeight="1" x14ac:dyDescent="0.25"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</row>
    <row r="1578" spans="22:31" ht="11.25" customHeight="1" x14ac:dyDescent="0.25">
      <c r="V1578" s="4"/>
      <c r="W1578" s="4"/>
      <c r="X1578" s="4"/>
      <c r="Y1578" s="4"/>
      <c r="Z1578" s="4"/>
      <c r="AA1578" s="4"/>
      <c r="AB1578" s="4"/>
      <c r="AC1578" s="4"/>
      <c r="AD1578" s="4"/>
      <c r="AE1578" s="4"/>
    </row>
    <row r="1579" spans="22:31" ht="11.25" customHeight="1" x14ac:dyDescent="0.25">
      <c r="V1579" s="4"/>
      <c r="W1579" s="4"/>
      <c r="X1579" s="4"/>
      <c r="Y1579" s="4"/>
      <c r="Z1579" s="4"/>
      <c r="AA1579" s="4"/>
      <c r="AB1579" s="4"/>
      <c r="AC1579" s="4"/>
      <c r="AD1579" s="4"/>
      <c r="AE1579" s="4"/>
    </row>
    <row r="1580" spans="22:31" ht="11.25" customHeight="1" x14ac:dyDescent="0.25">
      <c r="V1580" s="4"/>
      <c r="W1580" s="4"/>
      <c r="X1580" s="4"/>
      <c r="Y1580" s="4"/>
      <c r="Z1580" s="4"/>
      <c r="AA1580" s="4"/>
      <c r="AB1580" s="4"/>
      <c r="AC1580" s="4"/>
      <c r="AD1580" s="4"/>
      <c r="AE1580" s="4"/>
    </row>
    <row r="1581" spans="22:31" ht="11.25" customHeight="1" x14ac:dyDescent="0.25">
      <c r="V1581" s="4"/>
      <c r="W1581" s="4"/>
      <c r="X1581" s="4"/>
      <c r="Y1581" s="4"/>
      <c r="Z1581" s="4"/>
      <c r="AA1581" s="4"/>
      <c r="AB1581" s="4"/>
      <c r="AC1581" s="4"/>
      <c r="AD1581" s="4"/>
      <c r="AE1581" s="4"/>
    </row>
    <row r="1582" spans="22:31" ht="11.25" customHeight="1" x14ac:dyDescent="0.25">
      <c r="V1582" s="4"/>
      <c r="W1582" s="4"/>
      <c r="X1582" s="4"/>
      <c r="Y1582" s="4"/>
      <c r="Z1582" s="4"/>
      <c r="AA1582" s="4"/>
      <c r="AB1582" s="4"/>
      <c r="AC1582" s="4"/>
      <c r="AD1582" s="4"/>
      <c r="AE1582" s="4"/>
    </row>
    <row r="1583" spans="22:31" ht="11.25" customHeight="1" x14ac:dyDescent="0.25">
      <c r="V1583" s="4"/>
      <c r="W1583" s="4"/>
      <c r="X1583" s="4"/>
      <c r="Y1583" s="4"/>
      <c r="Z1583" s="4"/>
      <c r="AA1583" s="4"/>
      <c r="AB1583" s="4"/>
      <c r="AC1583" s="4"/>
      <c r="AD1583" s="4"/>
      <c r="AE1583" s="4"/>
    </row>
    <row r="1584" spans="22:31" ht="11.25" customHeight="1" x14ac:dyDescent="0.25">
      <c r="V1584" s="4"/>
      <c r="W1584" s="4"/>
      <c r="X1584" s="4"/>
      <c r="Y1584" s="4"/>
      <c r="Z1584" s="4"/>
      <c r="AA1584" s="4"/>
      <c r="AB1584" s="4"/>
      <c r="AC1584" s="4"/>
      <c r="AD1584" s="4"/>
      <c r="AE1584" s="4"/>
    </row>
    <row r="1585" spans="22:31" ht="11.25" customHeight="1" x14ac:dyDescent="0.25">
      <c r="V1585" s="4"/>
      <c r="W1585" s="4"/>
      <c r="X1585" s="4"/>
      <c r="Y1585" s="4"/>
      <c r="Z1585" s="4"/>
      <c r="AA1585" s="4"/>
      <c r="AB1585" s="4"/>
      <c r="AC1585" s="4"/>
      <c r="AD1585" s="4"/>
      <c r="AE1585" s="4"/>
    </row>
    <row r="1586" spans="22:31" ht="11.25" customHeight="1" x14ac:dyDescent="0.25">
      <c r="V1586" s="4"/>
      <c r="W1586" s="4"/>
      <c r="X1586" s="4"/>
      <c r="Y1586" s="4"/>
      <c r="Z1586" s="4"/>
      <c r="AA1586" s="4"/>
      <c r="AB1586" s="4"/>
      <c r="AC1586" s="4"/>
      <c r="AD1586" s="4"/>
      <c r="AE1586" s="4"/>
    </row>
    <row r="1587" spans="22:31" ht="11.25" customHeight="1" x14ac:dyDescent="0.25"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</row>
    <row r="1588" spans="22:31" ht="11.25" customHeight="1" x14ac:dyDescent="0.25"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</row>
    <row r="1589" spans="22:31" ht="11.25" customHeight="1" x14ac:dyDescent="0.25"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</row>
    <row r="1590" spans="22:31" ht="11.25" customHeight="1" x14ac:dyDescent="0.25"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</row>
    <row r="1591" spans="22:31" ht="11.25" customHeight="1" x14ac:dyDescent="0.25"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</row>
    <row r="1592" spans="22:31" ht="11.25" customHeight="1" x14ac:dyDescent="0.25"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</row>
    <row r="1593" spans="22:31" ht="11.25" customHeight="1" x14ac:dyDescent="0.25"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</row>
    <row r="1594" spans="22:31" ht="11.25" customHeight="1" x14ac:dyDescent="0.25"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</row>
    <row r="1595" spans="22:31" ht="11.25" customHeight="1" x14ac:dyDescent="0.25"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</row>
    <row r="1596" spans="22:31" ht="11.25" customHeight="1" x14ac:dyDescent="0.25"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</row>
    <row r="1597" spans="22:31" ht="11.25" customHeight="1" x14ac:dyDescent="0.25"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</row>
    <row r="1598" spans="22:31" ht="11.25" customHeight="1" x14ac:dyDescent="0.25">
      <c r="V1598" s="4"/>
      <c r="W1598" s="4"/>
      <c r="X1598" s="4"/>
      <c r="Y1598" s="4"/>
      <c r="Z1598" s="4"/>
      <c r="AA1598" s="4"/>
      <c r="AB1598" s="4"/>
      <c r="AC1598" s="4"/>
      <c r="AD1598" s="4"/>
      <c r="AE1598" s="4"/>
    </row>
    <row r="1599" spans="22:31" ht="11.25" customHeight="1" x14ac:dyDescent="0.25"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</row>
    <row r="1600" spans="22:31" ht="11.25" customHeight="1" x14ac:dyDescent="0.25"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</row>
    <row r="1601" spans="22:31" ht="11.25" customHeight="1" x14ac:dyDescent="0.25">
      <c r="V1601" s="4"/>
      <c r="W1601" s="4"/>
      <c r="X1601" s="4"/>
      <c r="Y1601" s="4"/>
      <c r="Z1601" s="4"/>
      <c r="AA1601" s="4"/>
      <c r="AB1601" s="4"/>
      <c r="AC1601" s="4"/>
      <c r="AD1601" s="4"/>
      <c r="AE1601" s="4"/>
    </row>
    <row r="1602" spans="22:31" ht="11.25" customHeight="1" x14ac:dyDescent="0.25"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</row>
    <row r="1603" spans="22:31" ht="11.25" customHeight="1" x14ac:dyDescent="0.25"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</row>
    <row r="1604" spans="22:31" ht="11.25" customHeight="1" x14ac:dyDescent="0.25">
      <c r="V1604" s="4"/>
      <c r="W1604" s="4"/>
      <c r="X1604" s="4"/>
      <c r="Y1604" s="4"/>
      <c r="Z1604" s="4"/>
      <c r="AA1604" s="4"/>
      <c r="AB1604" s="4"/>
      <c r="AC1604" s="4"/>
      <c r="AD1604" s="4"/>
      <c r="AE1604" s="4"/>
    </row>
    <row r="1605" spans="22:31" ht="11.25" customHeight="1" x14ac:dyDescent="0.25"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</row>
    <row r="1606" spans="22:31" ht="11.25" customHeight="1" x14ac:dyDescent="0.25">
      <c r="V1606" s="4"/>
      <c r="W1606" s="4"/>
      <c r="X1606" s="4"/>
      <c r="Y1606" s="4"/>
      <c r="Z1606" s="4"/>
      <c r="AA1606" s="4"/>
      <c r="AB1606" s="4"/>
      <c r="AC1606" s="4"/>
      <c r="AD1606" s="4"/>
      <c r="AE1606" s="4"/>
    </row>
    <row r="1607" spans="22:31" ht="11.25" customHeight="1" x14ac:dyDescent="0.25">
      <c r="V1607" s="4"/>
      <c r="W1607" s="4"/>
      <c r="X1607" s="4"/>
      <c r="Y1607" s="4"/>
      <c r="Z1607" s="4"/>
      <c r="AA1607" s="4"/>
      <c r="AB1607" s="4"/>
      <c r="AC1607" s="4"/>
      <c r="AD1607" s="4"/>
      <c r="AE1607" s="4"/>
    </row>
    <row r="1608" spans="22:31" ht="11.25" customHeight="1" x14ac:dyDescent="0.25"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</row>
    <row r="1609" spans="22:31" ht="11.25" customHeight="1" x14ac:dyDescent="0.25">
      <c r="V1609" s="4"/>
      <c r="W1609" s="4"/>
      <c r="X1609" s="4"/>
      <c r="Y1609" s="4"/>
      <c r="Z1609" s="4"/>
      <c r="AA1609" s="4"/>
      <c r="AB1609" s="4"/>
      <c r="AC1609" s="4"/>
      <c r="AD1609" s="4"/>
      <c r="AE1609" s="4"/>
    </row>
    <row r="1610" spans="22:31" ht="11.25" customHeight="1" x14ac:dyDescent="0.25">
      <c r="V1610" s="4"/>
      <c r="W1610" s="4"/>
      <c r="X1610" s="4"/>
      <c r="Y1610" s="4"/>
      <c r="Z1610" s="4"/>
      <c r="AA1610" s="4"/>
      <c r="AB1610" s="4"/>
      <c r="AC1610" s="4"/>
      <c r="AD1610" s="4"/>
      <c r="AE1610" s="4"/>
    </row>
    <row r="1611" spans="22:31" ht="11.25" customHeight="1" x14ac:dyDescent="0.25"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</row>
    <row r="1612" spans="22:31" ht="11.25" customHeight="1" x14ac:dyDescent="0.25">
      <c r="V1612" s="4"/>
      <c r="W1612" s="4"/>
      <c r="X1612" s="4"/>
      <c r="Y1612" s="4"/>
      <c r="Z1612" s="4"/>
      <c r="AA1612" s="4"/>
      <c r="AB1612" s="4"/>
      <c r="AC1612" s="4"/>
      <c r="AD1612" s="4"/>
      <c r="AE1612" s="4"/>
    </row>
    <row r="1613" spans="22:31" ht="11.25" customHeight="1" x14ac:dyDescent="0.25">
      <c r="V1613" s="4"/>
      <c r="W1613" s="4"/>
      <c r="X1613" s="4"/>
      <c r="Y1613" s="4"/>
      <c r="Z1613" s="4"/>
      <c r="AA1613" s="4"/>
      <c r="AB1613" s="4"/>
      <c r="AC1613" s="4"/>
      <c r="AD1613" s="4"/>
      <c r="AE1613" s="4"/>
    </row>
    <row r="1614" spans="22:31" ht="11.25" customHeight="1" x14ac:dyDescent="0.25">
      <c r="V1614" s="4"/>
      <c r="W1614" s="4"/>
      <c r="X1614" s="4"/>
      <c r="Y1614" s="4"/>
      <c r="Z1614" s="4"/>
      <c r="AA1614" s="4"/>
      <c r="AB1614" s="4"/>
      <c r="AC1614" s="4"/>
      <c r="AD1614" s="4"/>
      <c r="AE1614" s="4"/>
    </row>
    <row r="1615" spans="22:31" ht="11.25" customHeight="1" x14ac:dyDescent="0.25">
      <c r="V1615" s="4"/>
      <c r="W1615" s="4"/>
      <c r="X1615" s="4"/>
      <c r="Y1615" s="4"/>
      <c r="Z1615" s="4"/>
      <c r="AA1615" s="4"/>
      <c r="AB1615" s="4"/>
      <c r="AC1615" s="4"/>
      <c r="AD1615" s="4"/>
      <c r="AE1615" s="4"/>
    </row>
    <row r="1616" spans="22:31" ht="11.25" customHeight="1" x14ac:dyDescent="0.25">
      <c r="V1616" s="4"/>
      <c r="W1616" s="4"/>
      <c r="X1616" s="4"/>
      <c r="Y1616" s="4"/>
      <c r="Z1616" s="4"/>
      <c r="AA1616" s="4"/>
      <c r="AB1616" s="4"/>
      <c r="AC1616" s="4"/>
      <c r="AD1616" s="4"/>
      <c r="AE1616" s="4"/>
    </row>
    <row r="1617" spans="22:31" ht="11.25" customHeight="1" x14ac:dyDescent="0.25"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</row>
    <row r="1618" spans="22:31" ht="11.25" customHeight="1" x14ac:dyDescent="0.25"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</row>
    <row r="1619" spans="22:31" ht="11.25" customHeight="1" x14ac:dyDescent="0.25"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</row>
    <row r="1620" spans="22:31" ht="11.25" customHeight="1" x14ac:dyDescent="0.25">
      <c r="V1620" s="4"/>
      <c r="W1620" s="4"/>
      <c r="X1620" s="4"/>
      <c r="Y1620" s="4"/>
      <c r="Z1620" s="4"/>
      <c r="AA1620" s="4"/>
      <c r="AB1620" s="4"/>
      <c r="AC1620" s="4"/>
      <c r="AD1620" s="4"/>
      <c r="AE1620" s="4"/>
    </row>
    <row r="1621" spans="22:31" ht="11.25" customHeight="1" x14ac:dyDescent="0.25">
      <c r="V1621" s="4"/>
      <c r="W1621" s="4"/>
      <c r="X1621" s="4"/>
      <c r="Y1621" s="4"/>
      <c r="Z1621" s="4"/>
      <c r="AA1621" s="4"/>
      <c r="AB1621" s="4"/>
      <c r="AC1621" s="4"/>
      <c r="AD1621" s="4"/>
      <c r="AE1621" s="4"/>
    </row>
    <row r="1622" spans="22:31" ht="11.25" customHeight="1" x14ac:dyDescent="0.25">
      <c r="V1622" s="4"/>
      <c r="W1622" s="4"/>
      <c r="X1622" s="4"/>
      <c r="Y1622" s="4"/>
      <c r="Z1622" s="4"/>
      <c r="AA1622" s="4"/>
      <c r="AB1622" s="4"/>
      <c r="AC1622" s="4"/>
      <c r="AD1622" s="4"/>
      <c r="AE1622" s="4"/>
    </row>
    <row r="1623" spans="22:31" ht="11.25" customHeight="1" x14ac:dyDescent="0.25">
      <c r="V1623" s="4"/>
      <c r="W1623" s="4"/>
      <c r="X1623" s="4"/>
      <c r="Y1623" s="4"/>
      <c r="Z1623" s="4"/>
      <c r="AA1623" s="4"/>
      <c r="AB1623" s="4"/>
      <c r="AC1623" s="4"/>
      <c r="AD1623" s="4"/>
      <c r="AE1623" s="4"/>
    </row>
    <row r="1624" spans="22:31" ht="11.25" customHeight="1" x14ac:dyDescent="0.25">
      <c r="V1624" s="4"/>
      <c r="W1624" s="4"/>
      <c r="X1624" s="4"/>
      <c r="Y1624" s="4"/>
      <c r="Z1624" s="4"/>
      <c r="AA1624" s="4"/>
      <c r="AB1624" s="4"/>
      <c r="AC1624" s="4"/>
      <c r="AD1624" s="4"/>
      <c r="AE1624" s="4"/>
    </row>
    <row r="1625" spans="22:31" ht="11.25" customHeight="1" x14ac:dyDescent="0.25">
      <c r="V1625" s="4"/>
      <c r="W1625" s="4"/>
      <c r="X1625" s="4"/>
      <c r="Y1625" s="4"/>
      <c r="Z1625" s="4"/>
      <c r="AA1625" s="4"/>
      <c r="AB1625" s="4"/>
      <c r="AC1625" s="4"/>
      <c r="AD1625" s="4"/>
      <c r="AE1625" s="4"/>
    </row>
    <row r="1626" spans="22:31" ht="11.25" customHeight="1" x14ac:dyDescent="0.25"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</row>
    <row r="1627" spans="22:31" ht="11.25" customHeight="1" x14ac:dyDescent="0.25">
      <c r="V1627" s="4"/>
      <c r="W1627" s="4"/>
      <c r="X1627" s="4"/>
      <c r="Y1627" s="4"/>
      <c r="Z1627" s="4"/>
      <c r="AA1627" s="4"/>
      <c r="AB1627" s="4"/>
      <c r="AC1627" s="4"/>
      <c r="AD1627" s="4"/>
      <c r="AE1627" s="4"/>
    </row>
    <row r="1628" spans="22:31" ht="11.25" customHeight="1" x14ac:dyDescent="0.25">
      <c r="V1628" s="4"/>
      <c r="W1628" s="4"/>
      <c r="X1628" s="4"/>
      <c r="Y1628" s="4"/>
      <c r="Z1628" s="4"/>
      <c r="AA1628" s="4"/>
      <c r="AB1628" s="4"/>
      <c r="AC1628" s="4"/>
      <c r="AD1628" s="4"/>
      <c r="AE1628" s="4"/>
    </row>
    <row r="1629" spans="22:31" ht="11.25" customHeight="1" x14ac:dyDescent="0.25">
      <c r="V1629" s="4"/>
      <c r="W1629" s="4"/>
      <c r="X1629" s="4"/>
      <c r="Y1629" s="4"/>
      <c r="Z1629" s="4"/>
      <c r="AA1629" s="4"/>
      <c r="AB1629" s="4"/>
      <c r="AC1629" s="4"/>
      <c r="AD1629" s="4"/>
      <c r="AE1629" s="4"/>
    </row>
    <row r="1630" spans="22:31" ht="11.25" customHeight="1" x14ac:dyDescent="0.25"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</row>
    <row r="1631" spans="22:31" ht="11.25" customHeight="1" x14ac:dyDescent="0.25">
      <c r="V1631" s="4"/>
      <c r="W1631" s="4"/>
      <c r="X1631" s="4"/>
      <c r="Y1631" s="4"/>
      <c r="Z1631" s="4"/>
      <c r="AA1631" s="4"/>
      <c r="AB1631" s="4"/>
      <c r="AC1631" s="4"/>
      <c r="AD1631" s="4"/>
      <c r="AE1631" s="4"/>
    </row>
    <row r="1632" spans="22:31" ht="11.25" customHeight="1" x14ac:dyDescent="0.25"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</row>
    <row r="1633" spans="22:31" ht="11.25" customHeight="1" x14ac:dyDescent="0.25">
      <c r="V1633" s="4"/>
      <c r="W1633" s="4"/>
      <c r="X1633" s="4"/>
      <c r="Y1633" s="4"/>
      <c r="Z1633" s="4"/>
      <c r="AA1633" s="4"/>
      <c r="AB1633" s="4"/>
      <c r="AC1633" s="4"/>
      <c r="AD1633" s="4"/>
      <c r="AE1633" s="4"/>
    </row>
    <row r="1634" spans="22:31" ht="11.25" customHeight="1" x14ac:dyDescent="0.25"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</row>
    <row r="1635" spans="22:31" ht="11.25" customHeight="1" x14ac:dyDescent="0.25">
      <c r="V1635" s="4"/>
      <c r="W1635" s="4"/>
      <c r="X1635" s="4"/>
      <c r="Y1635" s="4"/>
      <c r="Z1635" s="4"/>
      <c r="AA1635" s="4"/>
      <c r="AB1635" s="4"/>
      <c r="AC1635" s="4"/>
      <c r="AD1635" s="4"/>
      <c r="AE1635" s="4"/>
    </row>
    <row r="1636" spans="22:31" ht="11.25" customHeight="1" x14ac:dyDescent="0.25">
      <c r="V1636" s="4"/>
      <c r="W1636" s="4"/>
      <c r="X1636" s="4"/>
      <c r="Y1636" s="4"/>
      <c r="Z1636" s="4"/>
      <c r="AA1636" s="4"/>
      <c r="AB1636" s="4"/>
      <c r="AC1636" s="4"/>
      <c r="AD1636" s="4"/>
      <c r="AE1636" s="4"/>
    </row>
    <row r="1637" spans="22:31" ht="11.25" customHeight="1" x14ac:dyDescent="0.25">
      <c r="V1637" s="4"/>
      <c r="W1637" s="4"/>
      <c r="X1637" s="4"/>
      <c r="Y1637" s="4"/>
      <c r="Z1637" s="4"/>
      <c r="AA1637" s="4"/>
      <c r="AB1637" s="4"/>
      <c r="AC1637" s="4"/>
      <c r="AD1637" s="4"/>
      <c r="AE1637" s="4"/>
    </row>
    <row r="1638" spans="22:31" ht="11.25" customHeight="1" x14ac:dyDescent="0.25">
      <c r="V1638" s="4"/>
      <c r="W1638" s="4"/>
      <c r="X1638" s="4"/>
      <c r="Y1638" s="4"/>
      <c r="Z1638" s="4"/>
      <c r="AA1638" s="4"/>
      <c r="AB1638" s="4"/>
      <c r="AC1638" s="4"/>
      <c r="AD1638" s="4"/>
      <c r="AE1638" s="4"/>
    </row>
    <row r="1639" spans="22:31" ht="11.25" customHeight="1" x14ac:dyDescent="0.25">
      <c r="V1639" s="4"/>
      <c r="W1639" s="4"/>
      <c r="X1639" s="4"/>
      <c r="Y1639" s="4"/>
      <c r="Z1639" s="4"/>
      <c r="AA1639" s="4"/>
      <c r="AB1639" s="4"/>
      <c r="AC1639" s="4"/>
      <c r="AD1639" s="4"/>
      <c r="AE1639" s="4"/>
    </row>
    <row r="1640" spans="22:31" ht="11.25" customHeight="1" x14ac:dyDescent="0.25">
      <c r="V1640" s="4"/>
      <c r="W1640" s="4"/>
      <c r="X1640" s="4"/>
      <c r="Y1640" s="4"/>
      <c r="Z1640" s="4"/>
      <c r="AA1640" s="4"/>
      <c r="AB1640" s="4"/>
      <c r="AC1640" s="4"/>
      <c r="AD1640" s="4"/>
      <c r="AE1640" s="4"/>
    </row>
    <row r="1641" spans="22:31" ht="11.25" customHeight="1" x14ac:dyDescent="0.25">
      <c r="V1641" s="4"/>
      <c r="W1641" s="4"/>
      <c r="X1641" s="4"/>
      <c r="Y1641" s="4"/>
      <c r="Z1641" s="4"/>
      <c r="AA1641" s="4"/>
      <c r="AB1641" s="4"/>
      <c r="AC1641" s="4"/>
      <c r="AD1641" s="4"/>
      <c r="AE1641" s="4"/>
    </row>
    <row r="1642" spans="22:31" ht="11.25" customHeight="1" x14ac:dyDescent="0.25">
      <c r="V1642" s="4"/>
      <c r="W1642" s="4"/>
      <c r="X1642" s="4"/>
      <c r="Y1642" s="4"/>
      <c r="Z1642" s="4"/>
      <c r="AA1642" s="4"/>
      <c r="AB1642" s="4"/>
      <c r="AC1642" s="4"/>
      <c r="AD1642" s="4"/>
      <c r="AE1642" s="4"/>
    </row>
    <row r="1643" spans="22:31" ht="11.25" customHeight="1" x14ac:dyDescent="0.25">
      <c r="V1643" s="4"/>
      <c r="W1643" s="4"/>
      <c r="X1643" s="4"/>
      <c r="Y1643" s="4"/>
      <c r="Z1643" s="4"/>
      <c r="AA1643" s="4"/>
      <c r="AB1643" s="4"/>
      <c r="AC1643" s="4"/>
      <c r="AD1643" s="4"/>
      <c r="AE1643" s="4"/>
    </row>
    <row r="1644" spans="22:31" ht="11.25" customHeight="1" x14ac:dyDescent="0.25">
      <c r="V1644" s="4"/>
      <c r="W1644" s="4"/>
      <c r="X1644" s="4"/>
      <c r="Y1644" s="4"/>
      <c r="Z1644" s="4"/>
      <c r="AA1644" s="4"/>
      <c r="AB1644" s="4"/>
      <c r="AC1644" s="4"/>
      <c r="AD1644" s="4"/>
      <c r="AE1644" s="4"/>
    </row>
    <row r="1645" spans="22:31" ht="11.25" customHeight="1" x14ac:dyDescent="0.25">
      <c r="V1645" s="4"/>
      <c r="W1645" s="4"/>
      <c r="X1645" s="4"/>
      <c r="Y1645" s="4"/>
      <c r="Z1645" s="4"/>
      <c r="AA1645" s="4"/>
      <c r="AB1645" s="4"/>
      <c r="AC1645" s="4"/>
      <c r="AD1645" s="4"/>
      <c r="AE1645" s="4"/>
    </row>
    <row r="1646" spans="22:31" ht="11.25" customHeight="1" x14ac:dyDescent="0.25">
      <c r="V1646" s="4"/>
      <c r="W1646" s="4"/>
      <c r="X1646" s="4"/>
      <c r="Y1646" s="4"/>
      <c r="Z1646" s="4"/>
      <c r="AA1646" s="4"/>
      <c r="AB1646" s="4"/>
      <c r="AC1646" s="4"/>
      <c r="AD1646" s="4"/>
      <c r="AE1646" s="4"/>
    </row>
    <row r="1647" spans="22:31" ht="11.25" customHeight="1" x14ac:dyDescent="0.25">
      <c r="V1647" s="4"/>
      <c r="W1647" s="4"/>
      <c r="X1647" s="4"/>
      <c r="Y1647" s="4"/>
      <c r="Z1647" s="4"/>
      <c r="AA1647" s="4"/>
      <c r="AB1647" s="4"/>
      <c r="AC1647" s="4"/>
      <c r="AD1647" s="4"/>
      <c r="AE1647" s="4"/>
    </row>
    <row r="1648" spans="22:31" ht="11.25" customHeight="1" x14ac:dyDescent="0.25">
      <c r="V1648" s="4"/>
      <c r="W1648" s="4"/>
      <c r="X1648" s="4"/>
      <c r="Y1648" s="4"/>
      <c r="Z1648" s="4"/>
      <c r="AA1648" s="4"/>
      <c r="AB1648" s="4"/>
      <c r="AC1648" s="4"/>
      <c r="AD1648" s="4"/>
      <c r="AE1648" s="4"/>
    </row>
    <row r="1649" spans="22:31" ht="11.25" customHeight="1" x14ac:dyDescent="0.25">
      <c r="V1649" s="4"/>
      <c r="W1649" s="4"/>
      <c r="X1649" s="4"/>
      <c r="Y1649" s="4"/>
      <c r="Z1649" s="4"/>
      <c r="AA1649" s="4"/>
      <c r="AB1649" s="4"/>
      <c r="AC1649" s="4"/>
      <c r="AD1649" s="4"/>
      <c r="AE1649" s="4"/>
    </row>
    <row r="1650" spans="22:31" ht="11.25" customHeight="1" x14ac:dyDescent="0.25"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</row>
    <row r="1651" spans="22:31" ht="11.25" customHeight="1" x14ac:dyDescent="0.25">
      <c r="V1651" s="4"/>
      <c r="W1651" s="4"/>
      <c r="X1651" s="4"/>
      <c r="Y1651" s="4"/>
      <c r="Z1651" s="4"/>
      <c r="AA1651" s="4"/>
      <c r="AB1651" s="4"/>
      <c r="AC1651" s="4"/>
      <c r="AD1651" s="4"/>
      <c r="AE1651" s="4"/>
    </row>
    <row r="1652" spans="22:31" ht="11.25" customHeight="1" x14ac:dyDescent="0.25">
      <c r="V1652" s="4"/>
      <c r="W1652" s="4"/>
      <c r="X1652" s="4"/>
      <c r="Y1652" s="4"/>
      <c r="Z1652" s="4"/>
      <c r="AA1652" s="4"/>
      <c r="AB1652" s="4"/>
      <c r="AC1652" s="4"/>
      <c r="AD1652" s="4"/>
      <c r="AE1652" s="4"/>
    </row>
    <row r="1653" spans="22:31" ht="11.25" customHeight="1" x14ac:dyDescent="0.25">
      <c r="V1653" s="4"/>
      <c r="W1653" s="4"/>
      <c r="X1653" s="4"/>
      <c r="Y1653" s="4"/>
      <c r="Z1653" s="4"/>
      <c r="AA1653" s="4"/>
      <c r="AB1653" s="4"/>
      <c r="AC1653" s="4"/>
      <c r="AD1653" s="4"/>
      <c r="AE1653" s="4"/>
    </row>
    <row r="1654" spans="22:31" ht="11.25" customHeight="1" x14ac:dyDescent="0.25"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</row>
    <row r="1655" spans="22:31" ht="11.25" customHeight="1" x14ac:dyDescent="0.25">
      <c r="V1655" s="4"/>
      <c r="W1655" s="4"/>
      <c r="X1655" s="4"/>
      <c r="Y1655" s="4"/>
      <c r="Z1655" s="4"/>
      <c r="AA1655" s="4"/>
      <c r="AB1655" s="4"/>
      <c r="AC1655" s="4"/>
      <c r="AD1655" s="4"/>
      <c r="AE1655" s="4"/>
    </row>
    <row r="1656" spans="22:31" ht="11.25" customHeight="1" x14ac:dyDescent="0.25">
      <c r="V1656" s="4"/>
      <c r="W1656" s="4"/>
      <c r="X1656" s="4"/>
      <c r="Y1656" s="4"/>
      <c r="Z1656" s="4"/>
      <c r="AA1656" s="4"/>
      <c r="AB1656" s="4"/>
      <c r="AC1656" s="4"/>
      <c r="AD1656" s="4"/>
      <c r="AE1656" s="4"/>
    </row>
    <row r="1657" spans="22:31" ht="11.25" customHeight="1" x14ac:dyDescent="0.25">
      <c r="V1657" s="4"/>
      <c r="W1657" s="4"/>
      <c r="X1657" s="4"/>
      <c r="Y1657" s="4"/>
      <c r="Z1657" s="4"/>
      <c r="AA1657" s="4"/>
      <c r="AB1657" s="4"/>
      <c r="AC1657" s="4"/>
      <c r="AD1657" s="4"/>
      <c r="AE1657" s="4"/>
    </row>
    <row r="1658" spans="22:31" ht="11.25" customHeight="1" x14ac:dyDescent="0.25">
      <c r="V1658" s="4"/>
      <c r="W1658" s="4"/>
      <c r="X1658" s="4"/>
      <c r="Y1658" s="4"/>
      <c r="Z1658" s="4"/>
      <c r="AA1658" s="4"/>
      <c r="AB1658" s="4"/>
      <c r="AC1658" s="4"/>
      <c r="AD1658" s="4"/>
      <c r="AE1658" s="4"/>
    </row>
    <row r="1659" spans="22:31" ht="11.25" customHeight="1" x14ac:dyDescent="0.25">
      <c r="V1659" s="4"/>
      <c r="W1659" s="4"/>
      <c r="X1659" s="4"/>
      <c r="Y1659" s="4"/>
      <c r="Z1659" s="4"/>
      <c r="AA1659" s="4"/>
      <c r="AB1659" s="4"/>
      <c r="AC1659" s="4"/>
      <c r="AD1659" s="4"/>
      <c r="AE1659" s="4"/>
    </row>
    <row r="1660" spans="22:31" ht="11.25" customHeight="1" x14ac:dyDescent="0.25"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</row>
    <row r="1661" spans="22:31" ht="11.25" customHeight="1" x14ac:dyDescent="0.25">
      <c r="V1661" s="4"/>
      <c r="W1661" s="4"/>
      <c r="X1661" s="4"/>
      <c r="Y1661" s="4"/>
      <c r="Z1661" s="4"/>
      <c r="AA1661" s="4"/>
      <c r="AB1661" s="4"/>
      <c r="AC1661" s="4"/>
      <c r="AD1661" s="4"/>
      <c r="AE1661" s="4"/>
    </row>
    <row r="1662" spans="22:31" ht="11.25" customHeight="1" x14ac:dyDescent="0.25">
      <c r="V1662" s="4"/>
      <c r="W1662" s="4"/>
      <c r="X1662" s="4"/>
      <c r="Y1662" s="4"/>
      <c r="Z1662" s="4"/>
      <c r="AA1662" s="4"/>
      <c r="AB1662" s="4"/>
      <c r="AC1662" s="4"/>
      <c r="AD1662" s="4"/>
      <c r="AE1662" s="4"/>
    </row>
    <row r="1663" spans="22:31" ht="11.25" customHeight="1" x14ac:dyDescent="0.25">
      <c r="V1663" s="4"/>
      <c r="W1663" s="4"/>
      <c r="X1663" s="4"/>
      <c r="Y1663" s="4"/>
      <c r="Z1663" s="4"/>
      <c r="AA1663" s="4"/>
      <c r="AB1663" s="4"/>
      <c r="AC1663" s="4"/>
      <c r="AD1663" s="4"/>
      <c r="AE1663" s="4"/>
    </row>
    <row r="1664" spans="22:31" ht="11.25" customHeight="1" x14ac:dyDescent="0.25"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</row>
    <row r="1665" spans="22:31" ht="11.25" customHeight="1" x14ac:dyDescent="0.25">
      <c r="V1665" s="4"/>
      <c r="W1665" s="4"/>
      <c r="X1665" s="4"/>
      <c r="Y1665" s="4"/>
      <c r="Z1665" s="4"/>
      <c r="AA1665" s="4"/>
      <c r="AB1665" s="4"/>
      <c r="AC1665" s="4"/>
      <c r="AD1665" s="4"/>
      <c r="AE1665" s="4"/>
    </row>
    <row r="1666" spans="22:31" ht="11.25" customHeight="1" x14ac:dyDescent="0.25">
      <c r="V1666" s="4"/>
      <c r="W1666" s="4"/>
      <c r="X1666" s="4"/>
      <c r="Y1666" s="4"/>
      <c r="Z1666" s="4"/>
      <c r="AA1666" s="4"/>
      <c r="AB1666" s="4"/>
      <c r="AC1666" s="4"/>
      <c r="AD1666" s="4"/>
      <c r="AE1666" s="4"/>
    </row>
    <row r="1667" spans="22:31" ht="11.25" customHeight="1" x14ac:dyDescent="0.25">
      <c r="V1667" s="4"/>
      <c r="W1667" s="4"/>
      <c r="X1667" s="4"/>
      <c r="Y1667" s="4"/>
      <c r="Z1667" s="4"/>
      <c r="AA1667" s="4"/>
      <c r="AB1667" s="4"/>
      <c r="AC1667" s="4"/>
      <c r="AD1667" s="4"/>
      <c r="AE1667" s="4"/>
    </row>
    <row r="1668" spans="22:31" ht="11.25" customHeight="1" x14ac:dyDescent="0.25">
      <c r="V1668" s="4"/>
      <c r="W1668" s="4"/>
      <c r="X1668" s="4"/>
      <c r="Y1668" s="4"/>
      <c r="Z1668" s="4"/>
      <c r="AA1668" s="4"/>
      <c r="AB1668" s="4"/>
      <c r="AC1668" s="4"/>
      <c r="AD1668" s="4"/>
      <c r="AE1668" s="4"/>
    </row>
    <row r="1669" spans="22:31" ht="11.25" customHeight="1" x14ac:dyDescent="0.25">
      <c r="V1669" s="4"/>
      <c r="W1669" s="4"/>
      <c r="X1669" s="4"/>
      <c r="Y1669" s="4"/>
      <c r="Z1669" s="4"/>
      <c r="AA1669" s="4"/>
      <c r="AB1669" s="4"/>
      <c r="AC1669" s="4"/>
      <c r="AD1669" s="4"/>
      <c r="AE1669" s="4"/>
    </row>
    <row r="1670" spans="22:31" ht="11.25" customHeight="1" x14ac:dyDescent="0.25"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</row>
    <row r="1671" spans="22:31" ht="11.25" customHeight="1" x14ac:dyDescent="0.25">
      <c r="V1671" s="4"/>
      <c r="W1671" s="4"/>
      <c r="X1671" s="4"/>
      <c r="Y1671" s="4"/>
      <c r="Z1671" s="4"/>
      <c r="AA1671" s="4"/>
      <c r="AB1671" s="4"/>
      <c r="AC1671" s="4"/>
      <c r="AD1671" s="4"/>
      <c r="AE1671" s="4"/>
    </row>
    <row r="1672" spans="22:31" ht="11.25" customHeight="1" x14ac:dyDescent="0.25">
      <c r="V1672" s="4"/>
      <c r="W1672" s="4"/>
      <c r="X1672" s="4"/>
      <c r="Y1672" s="4"/>
      <c r="Z1672" s="4"/>
      <c r="AA1672" s="4"/>
      <c r="AB1672" s="4"/>
      <c r="AC1672" s="4"/>
      <c r="AD1672" s="4"/>
      <c r="AE1672" s="4"/>
    </row>
    <row r="1673" spans="22:31" ht="11.25" customHeight="1" x14ac:dyDescent="0.25">
      <c r="V1673" s="4"/>
      <c r="W1673" s="4"/>
      <c r="X1673" s="4"/>
      <c r="Y1673" s="4"/>
      <c r="Z1673" s="4"/>
      <c r="AA1673" s="4"/>
      <c r="AB1673" s="4"/>
      <c r="AC1673" s="4"/>
      <c r="AD1673" s="4"/>
      <c r="AE1673" s="4"/>
    </row>
    <row r="1674" spans="22:31" ht="11.25" customHeight="1" x14ac:dyDescent="0.25"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</row>
    <row r="1675" spans="22:31" ht="11.25" customHeight="1" x14ac:dyDescent="0.25">
      <c r="V1675" s="4"/>
      <c r="W1675" s="4"/>
      <c r="X1675" s="4"/>
      <c r="Y1675" s="4"/>
      <c r="Z1675" s="4"/>
      <c r="AA1675" s="4"/>
      <c r="AB1675" s="4"/>
      <c r="AC1675" s="4"/>
      <c r="AD1675" s="4"/>
      <c r="AE1675" s="4"/>
    </row>
    <row r="1676" spans="22:31" ht="11.25" customHeight="1" x14ac:dyDescent="0.25">
      <c r="V1676" s="4"/>
      <c r="W1676" s="4"/>
      <c r="X1676" s="4"/>
      <c r="Y1676" s="4"/>
      <c r="Z1676" s="4"/>
      <c r="AA1676" s="4"/>
      <c r="AB1676" s="4"/>
      <c r="AC1676" s="4"/>
      <c r="AD1676" s="4"/>
      <c r="AE1676" s="4"/>
    </row>
    <row r="1677" spans="22:31" ht="11.25" customHeight="1" x14ac:dyDescent="0.25">
      <c r="V1677" s="4"/>
      <c r="W1677" s="4"/>
      <c r="X1677" s="4"/>
      <c r="Y1677" s="4"/>
      <c r="Z1677" s="4"/>
      <c r="AA1677" s="4"/>
      <c r="AB1677" s="4"/>
      <c r="AC1677" s="4"/>
      <c r="AD1677" s="4"/>
      <c r="AE1677" s="4"/>
    </row>
    <row r="1678" spans="22:31" ht="11.25" customHeight="1" x14ac:dyDescent="0.25">
      <c r="V1678" s="4"/>
      <c r="W1678" s="4"/>
      <c r="X1678" s="4"/>
      <c r="Y1678" s="4"/>
      <c r="Z1678" s="4"/>
      <c r="AA1678" s="4"/>
      <c r="AB1678" s="4"/>
      <c r="AC1678" s="4"/>
      <c r="AD1678" s="4"/>
      <c r="AE1678" s="4"/>
    </row>
    <row r="1679" spans="22:31" ht="11.25" customHeight="1" x14ac:dyDescent="0.25">
      <c r="V1679" s="4"/>
      <c r="W1679" s="4"/>
      <c r="X1679" s="4"/>
      <c r="Y1679" s="4"/>
      <c r="Z1679" s="4"/>
      <c r="AA1679" s="4"/>
      <c r="AB1679" s="4"/>
      <c r="AC1679" s="4"/>
      <c r="AD1679" s="4"/>
      <c r="AE1679" s="4"/>
    </row>
    <row r="1680" spans="22:31" ht="11.25" customHeight="1" x14ac:dyDescent="0.25"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</row>
    <row r="1681" spans="22:31" ht="11.25" customHeight="1" x14ac:dyDescent="0.25"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</row>
    <row r="1682" spans="22:31" ht="11.25" customHeight="1" x14ac:dyDescent="0.25"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</row>
    <row r="1683" spans="22:31" ht="11.25" customHeight="1" x14ac:dyDescent="0.25"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</row>
    <row r="1684" spans="22:31" ht="11.25" customHeight="1" x14ac:dyDescent="0.25"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</row>
    <row r="1685" spans="22:31" ht="11.25" customHeight="1" x14ac:dyDescent="0.25"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</row>
    <row r="1686" spans="22:31" ht="11.25" customHeight="1" x14ac:dyDescent="0.25"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</row>
    <row r="1687" spans="22:31" ht="11.25" customHeight="1" x14ac:dyDescent="0.25"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</row>
    <row r="1688" spans="22:31" ht="11.25" customHeight="1" x14ac:dyDescent="0.25"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</row>
    <row r="1689" spans="22:31" ht="11.25" customHeight="1" x14ac:dyDescent="0.25"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</row>
    <row r="1690" spans="22:31" ht="11.25" customHeight="1" x14ac:dyDescent="0.25"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</row>
    <row r="1691" spans="22:31" ht="11.25" customHeight="1" x14ac:dyDescent="0.25"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</row>
    <row r="1692" spans="22:31" ht="11.25" customHeight="1" x14ac:dyDescent="0.25"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</row>
    <row r="1693" spans="22:31" ht="11.25" customHeight="1" x14ac:dyDescent="0.25"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</row>
    <row r="1694" spans="22:31" ht="11.25" customHeight="1" x14ac:dyDescent="0.25"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</row>
    <row r="1695" spans="22:31" ht="11.25" customHeight="1" x14ac:dyDescent="0.25"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</row>
    <row r="1696" spans="22:31" ht="11.25" customHeight="1" x14ac:dyDescent="0.25"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</row>
    <row r="1697" spans="22:31" ht="11.25" customHeight="1" x14ac:dyDescent="0.25"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</row>
    <row r="1698" spans="22:31" ht="11.25" customHeight="1" x14ac:dyDescent="0.25">
      <c r="V1698" s="4"/>
      <c r="W1698" s="4"/>
      <c r="X1698" s="4"/>
      <c r="Y1698" s="4"/>
      <c r="Z1698" s="4"/>
      <c r="AA1698" s="4"/>
      <c r="AB1698" s="4"/>
      <c r="AC1698" s="4"/>
      <c r="AD1698" s="4"/>
      <c r="AE1698" s="4"/>
    </row>
    <row r="1699" spans="22:31" ht="11.25" customHeight="1" x14ac:dyDescent="0.25">
      <c r="V1699" s="4"/>
      <c r="W1699" s="4"/>
      <c r="X1699" s="4"/>
      <c r="Y1699" s="4"/>
      <c r="Z1699" s="4"/>
      <c r="AA1699" s="4"/>
      <c r="AB1699" s="4"/>
      <c r="AC1699" s="4"/>
      <c r="AD1699" s="4"/>
      <c r="AE1699" s="4"/>
    </row>
    <row r="1700" spans="22:31" ht="11.25" customHeight="1" x14ac:dyDescent="0.25"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</row>
    <row r="1701" spans="22:31" ht="11.25" customHeight="1" x14ac:dyDescent="0.25"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</row>
    <row r="1702" spans="22:31" ht="11.25" customHeight="1" x14ac:dyDescent="0.25"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</row>
    <row r="1703" spans="22:31" ht="11.25" customHeight="1" x14ac:dyDescent="0.25"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</row>
    <row r="1704" spans="22:31" ht="11.25" customHeight="1" x14ac:dyDescent="0.25">
      <c r="V1704" s="4"/>
      <c r="W1704" s="4"/>
      <c r="X1704" s="4"/>
      <c r="Y1704" s="4"/>
      <c r="Z1704" s="4"/>
      <c r="AA1704" s="4"/>
      <c r="AB1704" s="4"/>
      <c r="AC1704" s="4"/>
      <c r="AD1704" s="4"/>
      <c r="AE1704" s="4"/>
    </row>
    <row r="1705" spans="22:31" ht="11.25" customHeight="1" x14ac:dyDescent="0.25"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</row>
    <row r="1706" spans="22:31" ht="11.25" customHeight="1" x14ac:dyDescent="0.25"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</row>
    <row r="1707" spans="22:31" ht="11.25" customHeight="1" x14ac:dyDescent="0.25"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</row>
    <row r="1708" spans="22:31" ht="11.25" customHeight="1" x14ac:dyDescent="0.25">
      <c r="V1708" s="4"/>
      <c r="W1708" s="4"/>
      <c r="X1708" s="4"/>
      <c r="Y1708" s="4"/>
      <c r="Z1708" s="4"/>
      <c r="AA1708" s="4"/>
      <c r="AB1708" s="4"/>
      <c r="AC1708" s="4"/>
      <c r="AD1708" s="4"/>
      <c r="AE1708" s="4"/>
    </row>
    <row r="1709" spans="22:31" ht="11.25" customHeight="1" x14ac:dyDescent="0.25">
      <c r="V1709" s="4"/>
      <c r="W1709" s="4"/>
      <c r="X1709" s="4"/>
      <c r="Y1709" s="4"/>
      <c r="Z1709" s="4"/>
      <c r="AA1709" s="4"/>
      <c r="AB1709" s="4"/>
      <c r="AC1709" s="4"/>
      <c r="AD1709" s="4"/>
      <c r="AE1709" s="4"/>
    </row>
    <row r="1710" spans="22:31" ht="11.25" customHeight="1" x14ac:dyDescent="0.25"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</row>
    <row r="1711" spans="22:31" ht="11.25" customHeight="1" x14ac:dyDescent="0.25"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</row>
    <row r="1712" spans="22:31" ht="11.25" customHeight="1" x14ac:dyDescent="0.25"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</row>
    <row r="1713" spans="22:31" ht="11.25" customHeight="1" x14ac:dyDescent="0.25"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</row>
    <row r="1714" spans="22:31" ht="11.25" customHeight="1" x14ac:dyDescent="0.25">
      <c r="V1714" s="4"/>
      <c r="W1714" s="4"/>
      <c r="X1714" s="4"/>
      <c r="Y1714" s="4"/>
      <c r="Z1714" s="4"/>
      <c r="AA1714" s="4"/>
      <c r="AB1714" s="4"/>
      <c r="AC1714" s="4"/>
      <c r="AD1714" s="4"/>
      <c r="AE1714" s="4"/>
    </row>
    <row r="1715" spans="22:31" ht="11.25" customHeight="1" x14ac:dyDescent="0.25">
      <c r="V1715" s="4"/>
      <c r="W1715" s="4"/>
      <c r="X1715" s="4"/>
      <c r="Y1715" s="4"/>
      <c r="Z1715" s="4"/>
      <c r="AA1715" s="4"/>
      <c r="AB1715" s="4"/>
      <c r="AC1715" s="4"/>
      <c r="AD1715" s="4"/>
      <c r="AE1715" s="4"/>
    </row>
    <row r="1716" spans="22:31" ht="11.25" customHeight="1" x14ac:dyDescent="0.25"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</row>
    <row r="1717" spans="22:31" ht="11.25" customHeight="1" x14ac:dyDescent="0.25"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</row>
    <row r="1718" spans="22:31" ht="11.25" customHeight="1" x14ac:dyDescent="0.25"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</row>
    <row r="1719" spans="22:31" ht="11.25" customHeight="1" x14ac:dyDescent="0.25"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</row>
    <row r="1720" spans="22:31" ht="11.25" customHeight="1" x14ac:dyDescent="0.25"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</row>
    <row r="1721" spans="22:31" ht="11.25" customHeight="1" x14ac:dyDescent="0.25"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</row>
    <row r="1722" spans="22:31" ht="11.25" customHeight="1" x14ac:dyDescent="0.25"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</row>
    <row r="1723" spans="22:31" ht="11.25" customHeight="1" x14ac:dyDescent="0.25"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</row>
    <row r="1724" spans="22:31" ht="11.25" customHeight="1" x14ac:dyDescent="0.25"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</row>
    <row r="1725" spans="22:31" ht="11.25" customHeight="1" x14ac:dyDescent="0.25"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</row>
    <row r="1726" spans="22:31" ht="11.25" customHeight="1" x14ac:dyDescent="0.25"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</row>
    <row r="1727" spans="22:31" ht="11.25" customHeight="1" x14ac:dyDescent="0.25"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</row>
    <row r="1728" spans="22:31" ht="11.25" customHeight="1" x14ac:dyDescent="0.25"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</row>
    <row r="1729" spans="22:31" ht="11.25" customHeight="1" x14ac:dyDescent="0.25">
      <c r="V1729" s="4"/>
      <c r="W1729" s="4"/>
      <c r="X1729" s="4"/>
      <c r="Y1729" s="4"/>
      <c r="Z1729" s="4"/>
      <c r="AA1729" s="4"/>
      <c r="AB1729" s="4"/>
      <c r="AC1729" s="4"/>
      <c r="AD1729" s="4"/>
      <c r="AE1729" s="4"/>
    </row>
    <row r="1730" spans="22:31" ht="11.25" customHeight="1" x14ac:dyDescent="0.25"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</row>
    <row r="1731" spans="22:31" ht="11.25" customHeight="1" x14ac:dyDescent="0.25"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</row>
    <row r="1732" spans="22:31" ht="11.25" customHeight="1" x14ac:dyDescent="0.25"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</row>
    <row r="1733" spans="22:31" ht="11.25" customHeight="1" x14ac:dyDescent="0.25">
      <c r="V1733" s="4"/>
      <c r="W1733" s="4"/>
      <c r="X1733" s="4"/>
      <c r="Y1733" s="4"/>
      <c r="Z1733" s="4"/>
      <c r="AA1733" s="4"/>
      <c r="AB1733" s="4"/>
      <c r="AC1733" s="4"/>
      <c r="AD1733" s="4"/>
      <c r="AE1733" s="4"/>
    </row>
    <row r="1734" spans="22:31" ht="11.25" customHeight="1" x14ac:dyDescent="0.25"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</row>
    <row r="1735" spans="22:31" ht="11.25" customHeight="1" x14ac:dyDescent="0.25">
      <c r="V1735" s="4"/>
      <c r="W1735" s="4"/>
      <c r="X1735" s="4"/>
      <c r="Y1735" s="4"/>
      <c r="Z1735" s="4"/>
      <c r="AA1735" s="4"/>
      <c r="AB1735" s="4"/>
      <c r="AC1735" s="4"/>
      <c r="AD1735" s="4"/>
      <c r="AE1735" s="4"/>
    </row>
    <row r="1736" spans="22:31" ht="11.25" customHeight="1" x14ac:dyDescent="0.25"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</row>
    <row r="1737" spans="22:31" ht="11.25" customHeight="1" x14ac:dyDescent="0.25">
      <c r="V1737" s="4"/>
      <c r="W1737" s="4"/>
      <c r="X1737" s="4"/>
      <c r="Y1737" s="4"/>
      <c r="Z1737" s="4"/>
      <c r="AA1737" s="4"/>
      <c r="AB1737" s="4"/>
      <c r="AC1737" s="4"/>
      <c r="AD1737" s="4"/>
      <c r="AE1737" s="4"/>
    </row>
    <row r="1738" spans="22:31" ht="11.25" customHeight="1" x14ac:dyDescent="0.25"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</row>
    <row r="1739" spans="22:31" ht="11.25" customHeight="1" x14ac:dyDescent="0.25"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</row>
    <row r="1740" spans="22:31" ht="11.25" customHeight="1" x14ac:dyDescent="0.25"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</row>
    <row r="1741" spans="22:31" ht="11.25" customHeight="1" x14ac:dyDescent="0.25"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</row>
    <row r="1742" spans="22:31" ht="11.25" customHeight="1" x14ac:dyDescent="0.25"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</row>
    <row r="1743" spans="22:31" ht="11.25" customHeight="1" x14ac:dyDescent="0.25"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</row>
    <row r="1744" spans="22:31" ht="11.25" customHeight="1" x14ac:dyDescent="0.25">
      <c r="V1744" s="4"/>
      <c r="W1744" s="4"/>
      <c r="X1744" s="4"/>
      <c r="Y1744" s="4"/>
      <c r="Z1744" s="4"/>
      <c r="AA1744" s="4"/>
      <c r="AB1744" s="4"/>
      <c r="AC1744" s="4"/>
      <c r="AD1744" s="4"/>
      <c r="AE1744" s="4"/>
    </row>
    <row r="1745" spans="22:31" ht="11.25" customHeight="1" x14ac:dyDescent="0.25"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</row>
    <row r="1746" spans="22:31" ht="11.25" customHeight="1" x14ac:dyDescent="0.25"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</row>
    <row r="1747" spans="22:31" ht="11.25" customHeight="1" x14ac:dyDescent="0.25">
      <c r="V1747" s="4"/>
      <c r="W1747" s="4"/>
      <c r="X1747" s="4"/>
      <c r="Y1747" s="4"/>
      <c r="Z1747" s="4"/>
      <c r="AA1747" s="4"/>
      <c r="AB1747" s="4"/>
      <c r="AC1747" s="4"/>
      <c r="AD1747" s="4"/>
      <c r="AE1747" s="4"/>
    </row>
    <row r="1748" spans="22:31" ht="11.25" customHeight="1" x14ac:dyDescent="0.25"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</row>
    <row r="1749" spans="22:31" ht="11.25" customHeight="1" x14ac:dyDescent="0.25">
      <c r="V1749" s="4"/>
      <c r="W1749" s="4"/>
      <c r="X1749" s="4"/>
      <c r="Y1749" s="4"/>
      <c r="Z1749" s="4"/>
      <c r="AA1749" s="4"/>
      <c r="AB1749" s="4"/>
      <c r="AC1749" s="4"/>
      <c r="AD1749" s="4"/>
      <c r="AE1749" s="4"/>
    </row>
    <row r="1750" spans="22:31" ht="11.25" customHeight="1" x14ac:dyDescent="0.25"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</row>
    <row r="1751" spans="22:31" ht="11.25" customHeight="1" x14ac:dyDescent="0.25">
      <c r="V1751" s="4"/>
      <c r="W1751" s="4"/>
      <c r="X1751" s="4"/>
      <c r="Y1751" s="4"/>
      <c r="Z1751" s="4"/>
      <c r="AA1751" s="4"/>
      <c r="AB1751" s="4"/>
      <c r="AC1751" s="4"/>
      <c r="AD1751" s="4"/>
      <c r="AE1751" s="4"/>
    </row>
    <row r="1752" spans="22:31" ht="11.25" customHeight="1" x14ac:dyDescent="0.25"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</row>
    <row r="1753" spans="22:31" ht="11.25" customHeight="1" x14ac:dyDescent="0.25">
      <c r="V1753" s="4"/>
      <c r="W1753" s="4"/>
      <c r="X1753" s="4"/>
      <c r="Y1753" s="4"/>
      <c r="Z1753" s="4"/>
      <c r="AA1753" s="4"/>
      <c r="AB1753" s="4"/>
      <c r="AC1753" s="4"/>
      <c r="AD1753" s="4"/>
      <c r="AE1753" s="4"/>
    </row>
    <row r="1754" spans="22:31" ht="11.25" customHeight="1" x14ac:dyDescent="0.25">
      <c r="V1754" s="4"/>
      <c r="W1754" s="4"/>
      <c r="X1754" s="4"/>
      <c r="Y1754" s="4"/>
      <c r="Z1754" s="4"/>
      <c r="AA1754" s="4"/>
      <c r="AB1754" s="4"/>
      <c r="AC1754" s="4"/>
      <c r="AD1754" s="4"/>
      <c r="AE1754" s="4"/>
    </row>
    <row r="1755" spans="22:31" ht="11.25" customHeight="1" x14ac:dyDescent="0.25">
      <c r="V1755" s="4"/>
      <c r="W1755" s="4"/>
      <c r="X1755" s="4"/>
      <c r="Y1755" s="4"/>
      <c r="Z1755" s="4"/>
      <c r="AA1755" s="4"/>
      <c r="AB1755" s="4"/>
      <c r="AC1755" s="4"/>
      <c r="AD1755" s="4"/>
      <c r="AE1755" s="4"/>
    </row>
    <row r="1756" spans="22:31" ht="11.25" customHeight="1" x14ac:dyDescent="0.25"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</row>
    <row r="1757" spans="22:31" ht="11.25" customHeight="1" x14ac:dyDescent="0.25">
      <c r="V1757" s="4"/>
      <c r="W1757" s="4"/>
      <c r="X1757" s="4"/>
      <c r="Y1757" s="4"/>
      <c r="Z1757" s="4"/>
      <c r="AA1757" s="4"/>
      <c r="AB1757" s="4"/>
      <c r="AC1757" s="4"/>
      <c r="AD1757" s="4"/>
      <c r="AE1757" s="4"/>
    </row>
    <row r="1758" spans="22:31" ht="11.25" customHeight="1" x14ac:dyDescent="0.25"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</row>
    <row r="1759" spans="22:31" ht="11.25" customHeight="1" x14ac:dyDescent="0.25">
      <c r="V1759" s="4"/>
      <c r="W1759" s="4"/>
      <c r="X1759" s="4"/>
      <c r="Y1759" s="4"/>
      <c r="Z1759" s="4"/>
      <c r="AA1759" s="4"/>
      <c r="AB1759" s="4"/>
      <c r="AC1759" s="4"/>
      <c r="AD1759" s="4"/>
      <c r="AE1759" s="4"/>
    </row>
    <row r="1760" spans="22:31" ht="11.25" customHeight="1" x14ac:dyDescent="0.25">
      <c r="V1760" s="4"/>
      <c r="W1760" s="4"/>
      <c r="X1760" s="4"/>
      <c r="Y1760" s="4"/>
      <c r="Z1760" s="4"/>
      <c r="AA1760" s="4"/>
      <c r="AB1760" s="4"/>
      <c r="AC1760" s="4"/>
      <c r="AD1760" s="4"/>
      <c r="AE1760" s="4"/>
    </row>
    <row r="1761" spans="22:31" ht="11.25" customHeight="1" x14ac:dyDescent="0.25">
      <c r="V1761" s="4"/>
      <c r="W1761" s="4"/>
      <c r="X1761" s="4"/>
      <c r="Y1761" s="4"/>
      <c r="Z1761" s="4"/>
      <c r="AA1761" s="4"/>
      <c r="AB1761" s="4"/>
      <c r="AC1761" s="4"/>
      <c r="AD1761" s="4"/>
      <c r="AE1761" s="4"/>
    </row>
    <row r="1762" spans="22:31" ht="11.25" customHeight="1" x14ac:dyDescent="0.25"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</row>
    <row r="1763" spans="22:31" ht="11.25" customHeight="1" x14ac:dyDescent="0.25"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</row>
    <row r="1764" spans="22:31" ht="11.25" customHeight="1" x14ac:dyDescent="0.25"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</row>
    <row r="1765" spans="22:31" ht="11.25" customHeight="1" x14ac:dyDescent="0.25">
      <c r="V1765" s="4"/>
      <c r="W1765" s="4"/>
      <c r="X1765" s="4"/>
      <c r="Y1765" s="4"/>
      <c r="Z1765" s="4"/>
      <c r="AA1765" s="4"/>
      <c r="AB1765" s="4"/>
      <c r="AC1765" s="4"/>
      <c r="AD1765" s="4"/>
      <c r="AE1765" s="4"/>
    </row>
    <row r="1766" spans="22:31" ht="11.25" customHeight="1" x14ac:dyDescent="0.25">
      <c r="V1766" s="4"/>
      <c r="W1766" s="4"/>
      <c r="X1766" s="4"/>
      <c r="Y1766" s="4"/>
      <c r="Z1766" s="4"/>
      <c r="AA1766" s="4"/>
      <c r="AB1766" s="4"/>
      <c r="AC1766" s="4"/>
      <c r="AD1766" s="4"/>
      <c r="AE1766" s="4"/>
    </row>
    <row r="1767" spans="22:31" ht="11.25" customHeight="1" x14ac:dyDescent="0.25"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</row>
    <row r="1768" spans="22:31" ht="11.25" customHeight="1" x14ac:dyDescent="0.25"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</row>
    <row r="1769" spans="22:31" ht="11.25" customHeight="1" x14ac:dyDescent="0.25"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</row>
    <row r="1770" spans="22:31" ht="11.25" customHeight="1" x14ac:dyDescent="0.25"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</row>
    <row r="1771" spans="22:31" ht="11.25" customHeight="1" x14ac:dyDescent="0.25">
      <c r="V1771" s="4"/>
      <c r="W1771" s="4"/>
      <c r="X1771" s="4"/>
      <c r="Y1771" s="4"/>
      <c r="Z1771" s="4"/>
      <c r="AA1771" s="4"/>
      <c r="AB1771" s="4"/>
      <c r="AC1771" s="4"/>
      <c r="AD1771" s="4"/>
      <c r="AE1771" s="4"/>
    </row>
    <row r="1772" spans="22:31" ht="11.25" customHeight="1" x14ac:dyDescent="0.25"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</row>
    <row r="1773" spans="22:31" ht="11.25" customHeight="1" x14ac:dyDescent="0.25">
      <c r="V1773" s="4"/>
      <c r="W1773" s="4"/>
      <c r="X1773" s="4"/>
      <c r="Y1773" s="4"/>
      <c r="Z1773" s="4"/>
      <c r="AA1773" s="4"/>
      <c r="AB1773" s="4"/>
      <c r="AC1773" s="4"/>
      <c r="AD1773" s="4"/>
      <c r="AE1773" s="4"/>
    </row>
    <row r="1774" spans="22:31" ht="11.25" customHeight="1" x14ac:dyDescent="0.25"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</row>
    <row r="1775" spans="22:31" ht="11.25" customHeight="1" x14ac:dyDescent="0.25">
      <c r="V1775" s="4"/>
      <c r="W1775" s="4"/>
      <c r="X1775" s="4"/>
      <c r="Y1775" s="4"/>
      <c r="Z1775" s="4"/>
      <c r="AA1775" s="4"/>
      <c r="AB1775" s="4"/>
      <c r="AC1775" s="4"/>
      <c r="AD1775" s="4"/>
      <c r="AE1775" s="4"/>
    </row>
    <row r="1776" spans="22:31" ht="11.25" customHeight="1" x14ac:dyDescent="0.25">
      <c r="V1776" s="4"/>
      <c r="W1776" s="4"/>
      <c r="X1776" s="4"/>
      <c r="Y1776" s="4"/>
      <c r="Z1776" s="4"/>
      <c r="AA1776" s="4"/>
      <c r="AB1776" s="4"/>
      <c r="AC1776" s="4"/>
      <c r="AD1776" s="4"/>
      <c r="AE1776" s="4"/>
    </row>
    <row r="1777" spans="22:31" ht="11.25" customHeight="1" x14ac:dyDescent="0.25">
      <c r="V1777" s="4"/>
      <c r="W1777" s="4"/>
      <c r="X1777" s="4"/>
      <c r="Y1777" s="4"/>
      <c r="Z1777" s="4"/>
      <c r="AA1777" s="4"/>
      <c r="AB1777" s="4"/>
      <c r="AC1777" s="4"/>
      <c r="AD1777" s="4"/>
      <c r="AE1777" s="4"/>
    </row>
    <row r="1778" spans="22:31" ht="11.25" customHeight="1" x14ac:dyDescent="0.25"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</row>
    <row r="1779" spans="22:31" ht="11.25" customHeight="1" x14ac:dyDescent="0.25">
      <c r="V1779" s="4"/>
      <c r="W1779" s="4"/>
      <c r="X1779" s="4"/>
      <c r="Y1779" s="4"/>
      <c r="Z1779" s="4"/>
      <c r="AA1779" s="4"/>
      <c r="AB1779" s="4"/>
      <c r="AC1779" s="4"/>
      <c r="AD1779" s="4"/>
      <c r="AE1779" s="4"/>
    </row>
    <row r="1780" spans="22:31" ht="11.25" customHeight="1" x14ac:dyDescent="0.25">
      <c r="V1780" s="4"/>
      <c r="W1780" s="4"/>
      <c r="X1780" s="4"/>
      <c r="Y1780" s="4"/>
      <c r="Z1780" s="4"/>
      <c r="AA1780" s="4"/>
      <c r="AB1780" s="4"/>
      <c r="AC1780" s="4"/>
      <c r="AD1780" s="4"/>
      <c r="AE1780" s="4"/>
    </row>
    <row r="1781" spans="22:31" ht="11.25" customHeight="1" x14ac:dyDescent="0.25">
      <c r="V1781" s="4"/>
      <c r="W1781" s="4"/>
      <c r="X1781" s="4"/>
      <c r="Y1781" s="4"/>
      <c r="Z1781" s="4"/>
      <c r="AA1781" s="4"/>
      <c r="AB1781" s="4"/>
      <c r="AC1781" s="4"/>
      <c r="AD1781" s="4"/>
      <c r="AE1781" s="4"/>
    </row>
    <row r="1782" spans="22:31" ht="11.25" customHeight="1" x14ac:dyDescent="0.25">
      <c r="V1782" s="4"/>
      <c r="W1782" s="4"/>
      <c r="X1782" s="4"/>
      <c r="Y1782" s="4"/>
      <c r="Z1782" s="4"/>
      <c r="AA1782" s="4"/>
      <c r="AB1782" s="4"/>
      <c r="AC1782" s="4"/>
      <c r="AD1782" s="4"/>
      <c r="AE1782" s="4"/>
    </row>
    <row r="1783" spans="22:31" ht="11.25" customHeight="1" x14ac:dyDescent="0.25">
      <c r="V1783" s="4"/>
      <c r="W1783" s="4"/>
      <c r="X1783" s="4"/>
      <c r="Y1783" s="4"/>
      <c r="Z1783" s="4"/>
      <c r="AA1783" s="4"/>
      <c r="AB1783" s="4"/>
      <c r="AC1783" s="4"/>
      <c r="AD1783" s="4"/>
      <c r="AE1783" s="4"/>
    </row>
    <row r="1784" spans="22:31" ht="11.25" customHeight="1" x14ac:dyDescent="0.25">
      <c r="V1784" s="4"/>
      <c r="W1784" s="4"/>
      <c r="X1784" s="4"/>
      <c r="Y1784" s="4"/>
      <c r="Z1784" s="4"/>
      <c r="AA1784" s="4"/>
      <c r="AB1784" s="4"/>
      <c r="AC1784" s="4"/>
      <c r="AD1784" s="4"/>
      <c r="AE1784" s="4"/>
    </row>
    <row r="1785" spans="22:31" ht="11.25" customHeight="1" x14ac:dyDescent="0.25">
      <c r="V1785" s="4"/>
      <c r="W1785" s="4"/>
      <c r="X1785" s="4"/>
      <c r="Y1785" s="4"/>
      <c r="Z1785" s="4"/>
      <c r="AA1785" s="4"/>
      <c r="AB1785" s="4"/>
      <c r="AC1785" s="4"/>
      <c r="AD1785" s="4"/>
      <c r="AE1785" s="4"/>
    </row>
    <row r="1786" spans="22:31" ht="11.25" customHeight="1" x14ac:dyDescent="0.25">
      <c r="V1786" s="4"/>
      <c r="W1786" s="4"/>
      <c r="X1786" s="4"/>
      <c r="Y1786" s="4"/>
      <c r="Z1786" s="4"/>
      <c r="AA1786" s="4"/>
      <c r="AB1786" s="4"/>
      <c r="AC1786" s="4"/>
      <c r="AD1786" s="4"/>
      <c r="AE1786" s="4"/>
    </row>
    <row r="1787" spans="22:31" ht="11.25" customHeight="1" x14ac:dyDescent="0.25"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</row>
    <row r="1788" spans="22:31" ht="11.25" customHeight="1" x14ac:dyDescent="0.25"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</row>
    <row r="1789" spans="22:31" ht="11.25" customHeight="1" x14ac:dyDescent="0.25"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</row>
    <row r="1790" spans="22:31" ht="11.25" customHeight="1" x14ac:dyDescent="0.25"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</row>
    <row r="1791" spans="22:31" ht="11.25" customHeight="1" x14ac:dyDescent="0.25"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</row>
    <row r="1792" spans="22:31" ht="11.25" customHeight="1" x14ac:dyDescent="0.25">
      <c r="V1792" s="4"/>
      <c r="W1792" s="4"/>
      <c r="X1792" s="4"/>
      <c r="Y1792" s="4"/>
      <c r="Z1792" s="4"/>
      <c r="AA1792" s="4"/>
      <c r="AB1792" s="4"/>
      <c r="AC1792" s="4"/>
      <c r="AD1792" s="4"/>
      <c r="AE1792" s="4"/>
    </row>
    <row r="1793" spans="22:31" ht="11.25" customHeight="1" x14ac:dyDescent="0.25">
      <c r="V1793" s="4"/>
      <c r="W1793" s="4"/>
      <c r="X1793" s="4"/>
      <c r="Y1793" s="4"/>
      <c r="Z1793" s="4"/>
      <c r="AA1793" s="4"/>
      <c r="AB1793" s="4"/>
      <c r="AC1793" s="4"/>
      <c r="AD1793" s="4"/>
      <c r="AE1793" s="4"/>
    </row>
    <row r="1794" spans="22:31" ht="11.25" customHeight="1" x14ac:dyDescent="0.25">
      <c r="V1794" s="4"/>
      <c r="W1794" s="4"/>
      <c r="X1794" s="4"/>
      <c r="Y1794" s="4"/>
      <c r="Z1794" s="4"/>
      <c r="AA1794" s="4"/>
      <c r="AB1794" s="4"/>
      <c r="AC1794" s="4"/>
      <c r="AD1794" s="4"/>
      <c r="AE1794" s="4"/>
    </row>
    <row r="1795" spans="22:31" ht="11.25" customHeight="1" x14ac:dyDescent="0.25">
      <c r="V1795" s="4"/>
      <c r="W1795" s="4"/>
      <c r="X1795" s="4"/>
      <c r="Y1795" s="4"/>
      <c r="Z1795" s="4"/>
      <c r="AA1795" s="4"/>
      <c r="AB1795" s="4"/>
      <c r="AC1795" s="4"/>
      <c r="AD1795" s="4"/>
      <c r="AE1795" s="4"/>
    </row>
    <row r="1796" spans="22:31" ht="11.25" customHeight="1" x14ac:dyDescent="0.25"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</row>
    <row r="1797" spans="22:31" ht="11.25" customHeight="1" x14ac:dyDescent="0.25"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</row>
    <row r="1798" spans="22:31" ht="11.25" customHeight="1" x14ac:dyDescent="0.25">
      <c r="V1798" s="4"/>
      <c r="W1798" s="4"/>
      <c r="X1798" s="4"/>
      <c r="Y1798" s="4"/>
      <c r="Z1798" s="4"/>
      <c r="AA1798" s="4"/>
      <c r="AB1798" s="4"/>
      <c r="AC1798" s="4"/>
      <c r="AD1798" s="4"/>
      <c r="AE1798" s="4"/>
    </row>
    <row r="1799" spans="22:31" ht="11.25" customHeight="1" x14ac:dyDescent="0.25"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</row>
    <row r="1800" spans="22:31" ht="11.25" customHeight="1" x14ac:dyDescent="0.25"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</row>
    <row r="1801" spans="22:31" ht="11.25" customHeight="1" x14ac:dyDescent="0.25"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</row>
    <row r="1802" spans="22:31" ht="11.25" customHeight="1" x14ac:dyDescent="0.25"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</row>
    <row r="1803" spans="22:31" ht="11.25" customHeight="1" x14ac:dyDescent="0.25"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</row>
    <row r="1804" spans="22:31" ht="11.25" customHeight="1" x14ac:dyDescent="0.25">
      <c r="V1804" s="4"/>
      <c r="W1804" s="4"/>
      <c r="X1804" s="4"/>
      <c r="Y1804" s="4"/>
      <c r="Z1804" s="4"/>
      <c r="AA1804" s="4"/>
      <c r="AB1804" s="4"/>
      <c r="AC1804" s="4"/>
      <c r="AD1804" s="4"/>
      <c r="AE1804" s="4"/>
    </row>
    <row r="1805" spans="22:31" ht="11.25" customHeight="1" x14ac:dyDescent="0.25">
      <c r="V1805" s="4"/>
      <c r="W1805" s="4"/>
      <c r="X1805" s="4"/>
      <c r="Y1805" s="4"/>
      <c r="Z1805" s="4"/>
      <c r="AA1805" s="4"/>
      <c r="AB1805" s="4"/>
      <c r="AC1805" s="4"/>
      <c r="AD1805" s="4"/>
      <c r="AE1805" s="4"/>
    </row>
    <row r="1806" spans="22:31" ht="11.25" customHeight="1" x14ac:dyDescent="0.25">
      <c r="V1806" s="4"/>
      <c r="W1806" s="4"/>
      <c r="X1806" s="4"/>
      <c r="Y1806" s="4"/>
      <c r="Z1806" s="4"/>
      <c r="AA1806" s="4"/>
      <c r="AB1806" s="4"/>
      <c r="AC1806" s="4"/>
      <c r="AD1806" s="4"/>
      <c r="AE1806" s="4"/>
    </row>
    <row r="1807" spans="22:31" ht="11.25" customHeight="1" x14ac:dyDescent="0.25">
      <c r="V1807" s="4"/>
      <c r="W1807" s="4"/>
      <c r="X1807" s="4"/>
      <c r="Y1807" s="4"/>
      <c r="Z1807" s="4"/>
      <c r="AA1807" s="4"/>
      <c r="AB1807" s="4"/>
      <c r="AC1807" s="4"/>
      <c r="AD1807" s="4"/>
      <c r="AE1807" s="4"/>
    </row>
    <row r="1808" spans="22:31" ht="11.25" customHeight="1" x14ac:dyDescent="0.25"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</row>
    <row r="1809" spans="22:31" ht="11.25" customHeight="1" x14ac:dyDescent="0.25"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</row>
    <row r="1810" spans="22:31" ht="11.25" customHeight="1" x14ac:dyDescent="0.25"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</row>
    <row r="1811" spans="22:31" ht="11.25" customHeight="1" x14ac:dyDescent="0.25"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</row>
    <row r="1812" spans="22:31" ht="11.25" customHeight="1" x14ac:dyDescent="0.25"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</row>
    <row r="1813" spans="22:31" ht="11.25" customHeight="1" x14ac:dyDescent="0.25">
      <c r="V1813" s="4"/>
      <c r="W1813" s="4"/>
      <c r="X1813" s="4"/>
      <c r="Y1813" s="4"/>
      <c r="Z1813" s="4"/>
      <c r="AA1813" s="4"/>
      <c r="AB1813" s="4"/>
      <c r="AC1813" s="4"/>
      <c r="AD1813" s="4"/>
      <c r="AE1813" s="4"/>
    </row>
    <row r="1814" spans="22:31" ht="11.25" customHeight="1" x14ac:dyDescent="0.25"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</row>
    <row r="1815" spans="22:31" ht="11.25" customHeight="1" x14ac:dyDescent="0.25">
      <c r="V1815" s="4"/>
      <c r="W1815" s="4"/>
      <c r="X1815" s="4"/>
      <c r="Y1815" s="4"/>
      <c r="Z1815" s="4"/>
      <c r="AA1815" s="4"/>
      <c r="AB1815" s="4"/>
      <c r="AC1815" s="4"/>
      <c r="AD1815" s="4"/>
      <c r="AE1815" s="4"/>
    </row>
    <row r="1816" spans="22:31" ht="11.25" customHeight="1" x14ac:dyDescent="0.25"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</row>
    <row r="1817" spans="22:31" ht="11.25" customHeight="1" x14ac:dyDescent="0.25"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</row>
    <row r="1818" spans="22:31" ht="11.25" customHeight="1" x14ac:dyDescent="0.25"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</row>
    <row r="1819" spans="22:31" ht="11.25" customHeight="1" x14ac:dyDescent="0.25"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</row>
    <row r="1820" spans="22:31" ht="11.25" customHeight="1" x14ac:dyDescent="0.25">
      <c r="V1820" s="4"/>
      <c r="W1820" s="4"/>
      <c r="X1820" s="4"/>
      <c r="Y1820" s="4"/>
      <c r="Z1820" s="4"/>
      <c r="AA1820" s="4"/>
      <c r="AB1820" s="4"/>
      <c r="AC1820" s="4"/>
      <c r="AD1820" s="4"/>
      <c r="AE1820" s="4"/>
    </row>
    <row r="1821" spans="22:31" ht="11.25" customHeight="1" x14ac:dyDescent="0.25"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</row>
    <row r="1822" spans="22:31" ht="11.25" customHeight="1" x14ac:dyDescent="0.25">
      <c r="V1822" s="4"/>
      <c r="W1822" s="4"/>
      <c r="X1822" s="4"/>
      <c r="Y1822" s="4"/>
      <c r="Z1822" s="4"/>
      <c r="AA1822" s="4"/>
      <c r="AB1822" s="4"/>
      <c r="AC1822" s="4"/>
      <c r="AD1822" s="4"/>
      <c r="AE1822" s="4"/>
    </row>
    <row r="1823" spans="22:31" ht="11.25" customHeight="1" x14ac:dyDescent="0.25">
      <c r="V1823" s="4"/>
      <c r="W1823" s="4"/>
      <c r="X1823" s="4"/>
      <c r="Y1823" s="4"/>
      <c r="Z1823" s="4"/>
      <c r="AA1823" s="4"/>
      <c r="AB1823" s="4"/>
      <c r="AC1823" s="4"/>
      <c r="AD1823" s="4"/>
      <c r="AE1823" s="4"/>
    </row>
    <row r="1824" spans="22:31" ht="11.25" customHeight="1" x14ac:dyDescent="0.25"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</row>
    <row r="1825" spans="22:31" ht="11.25" customHeight="1" x14ac:dyDescent="0.25"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</row>
    <row r="1826" spans="22:31" ht="11.25" customHeight="1" x14ac:dyDescent="0.25"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</row>
    <row r="1827" spans="22:31" ht="11.25" customHeight="1" x14ac:dyDescent="0.25">
      <c r="V1827" s="4"/>
      <c r="W1827" s="4"/>
      <c r="X1827" s="4"/>
      <c r="Y1827" s="4"/>
      <c r="Z1827" s="4"/>
      <c r="AA1827" s="4"/>
      <c r="AB1827" s="4"/>
      <c r="AC1827" s="4"/>
      <c r="AD1827" s="4"/>
      <c r="AE1827" s="4"/>
    </row>
    <row r="1828" spans="22:31" ht="11.25" customHeight="1" x14ac:dyDescent="0.25"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</row>
    <row r="1829" spans="22:31" ht="11.25" customHeight="1" x14ac:dyDescent="0.25"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</row>
    <row r="1830" spans="22:31" ht="11.25" customHeight="1" x14ac:dyDescent="0.25"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</row>
    <row r="1831" spans="22:31" ht="11.25" customHeight="1" x14ac:dyDescent="0.25"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</row>
    <row r="1832" spans="22:31" ht="11.25" customHeight="1" x14ac:dyDescent="0.25"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</row>
    <row r="1833" spans="22:31" ht="11.25" customHeight="1" x14ac:dyDescent="0.25"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</row>
    <row r="1834" spans="22:31" ht="11.25" customHeight="1" x14ac:dyDescent="0.25">
      <c r="V1834" s="4"/>
      <c r="W1834" s="4"/>
      <c r="X1834" s="4"/>
      <c r="Y1834" s="4"/>
      <c r="Z1834" s="4"/>
      <c r="AA1834" s="4"/>
      <c r="AB1834" s="4"/>
      <c r="AC1834" s="4"/>
      <c r="AD1834" s="4"/>
      <c r="AE1834" s="4"/>
    </row>
    <row r="1835" spans="22:31" ht="11.25" customHeight="1" x14ac:dyDescent="0.25">
      <c r="V1835" s="4"/>
      <c r="W1835" s="4"/>
      <c r="X1835" s="4"/>
      <c r="Y1835" s="4"/>
      <c r="Z1835" s="4"/>
      <c r="AA1835" s="4"/>
      <c r="AB1835" s="4"/>
      <c r="AC1835" s="4"/>
      <c r="AD1835" s="4"/>
      <c r="AE1835" s="4"/>
    </row>
    <row r="1836" spans="22:31" ht="11.25" customHeight="1" x14ac:dyDescent="0.25">
      <c r="V1836" s="4"/>
      <c r="W1836" s="4"/>
      <c r="X1836" s="4"/>
      <c r="Y1836" s="4"/>
      <c r="Z1836" s="4"/>
      <c r="AA1836" s="4"/>
      <c r="AB1836" s="4"/>
      <c r="AC1836" s="4"/>
      <c r="AD1836" s="4"/>
      <c r="AE1836" s="4"/>
    </row>
    <row r="1837" spans="22:31" ht="11.25" customHeight="1" x14ac:dyDescent="0.25"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</row>
    <row r="1838" spans="22:31" ht="11.25" customHeight="1" x14ac:dyDescent="0.25">
      <c r="V1838" s="4"/>
      <c r="W1838" s="4"/>
      <c r="X1838" s="4"/>
      <c r="Y1838" s="4"/>
      <c r="Z1838" s="4"/>
      <c r="AA1838" s="4"/>
      <c r="AB1838" s="4"/>
      <c r="AC1838" s="4"/>
      <c r="AD1838" s="4"/>
      <c r="AE1838" s="4"/>
    </row>
    <row r="1839" spans="22:31" ht="11.25" customHeight="1" x14ac:dyDescent="0.25">
      <c r="V1839" s="4"/>
      <c r="W1839" s="4"/>
      <c r="X1839" s="4"/>
      <c r="Y1839" s="4"/>
      <c r="Z1839" s="4"/>
      <c r="AA1839" s="4"/>
      <c r="AB1839" s="4"/>
      <c r="AC1839" s="4"/>
      <c r="AD1839" s="4"/>
      <c r="AE1839" s="4"/>
    </row>
    <row r="1840" spans="22:31" ht="11.25" customHeight="1" x14ac:dyDescent="0.25"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</row>
    <row r="1841" spans="22:31" ht="11.25" customHeight="1" x14ac:dyDescent="0.25">
      <c r="V1841" s="4"/>
      <c r="W1841" s="4"/>
      <c r="X1841" s="4"/>
      <c r="Y1841" s="4"/>
      <c r="Z1841" s="4"/>
      <c r="AA1841" s="4"/>
      <c r="AB1841" s="4"/>
      <c r="AC1841" s="4"/>
      <c r="AD1841" s="4"/>
      <c r="AE1841" s="4"/>
    </row>
    <row r="1842" spans="22:31" ht="11.25" customHeight="1" x14ac:dyDescent="0.25"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</row>
    <row r="1843" spans="22:31" ht="11.25" customHeight="1" x14ac:dyDescent="0.25">
      <c r="V1843" s="4"/>
      <c r="W1843" s="4"/>
      <c r="X1843" s="4"/>
      <c r="Y1843" s="4"/>
      <c r="Z1843" s="4"/>
      <c r="AA1843" s="4"/>
      <c r="AB1843" s="4"/>
      <c r="AC1843" s="4"/>
      <c r="AD1843" s="4"/>
      <c r="AE1843" s="4"/>
    </row>
    <row r="1844" spans="22:31" ht="11.25" customHeight="1" x14ac:dyDescent="0.25">
      <c r="V1844" s="4"/>
      <c r="W1844" s="4"/>
      <c r="X1844" s="4"/>
      <c r="Y1844" s="4"/>
      <c r="Z1844" s="4"/>
      <c r="AA1844" s="4"/>
      <c r="AB1844" s="4"/>
      <c r="AC1844" s="4"/>
      <c r="AD1844" s="4"/>
      <c r="AE1844" s="4"/>
    </row>
    <row r="1845" spans="22:31" ht="11.25" customHeight="1" x14ac:dyDescent="0.25">
      <c r="V1845" s="4"/>
      <c r="W1845" s="4"/>
      <c r="X1845" s="4"/>
      <c r="Y1845" s="4"/>
      <c r="Z1845" s="4"/>
      <c r="AA1845" s="4"/>
      <c r="AB1845" s="4"/>
      <c r="AC1845" s="4"/>
      <c r="AD1845" s="4"/>
      <c r="AE1845" s="4"/>
    </row>
    <row r="1846" spans="22:31" ht="11.25" customHeight="1" x14ac:dyDescent="0.25">
      <c r="V1846" s="4"/>
      <c r="W1846" s="4"/>
      <c r="X1846" s="4"/>
      <c r="Y1846" s="4"/>
      <c r="Z1846" s="4"/>
      <c r="AA1846" s="4"/>
      <c r="AB1846" s="4"/>
      <c r="AC1846" s="4"/>
      <c r="AD1846" s="4"/>
      <c r="AE1846" s="4"/>
    </row>
    <row r="1847" spans="22:31" ht="11.25" customHeight="1" x14ac:dyDescent="0.25">
      <c r="V1847" s="4"/>
      <c r="W1847" s="4"/>
      <c r="X1847" s="4"/>
      <c r="Y1847" s="4"/>
      <c r="Z1847" s="4"/>
      <c r="AA1847" s="4"/>
      <c r="AB1847" s="4"/>
      <c r="AC1847" s="4"/>
      <c r="AD1847" s="4"/>
      <c r="AE1847" s="4"/>
    </row>
    <row r="1848" spans="22:31" ht="11.25" customHeight="1" x14ac:dyDescent="0.25">
      <c r="V1848" s="4"/>
      <c r="W1848" s="4"/>
      <c r="X1848" s="4"/>
      <c r="Y1848" s="4"/>
      <c r="Z1848" s="4"/>
      <c r="AA1848" s="4"/>
      <c r="AB1848" s="4"/>
      <c r="AC1848" s="4"/>
      <c r="AD1848" s="4"/>
      <c r="AE1848" s="4"/>
    </row>
    <row r="1849" spans="22:31" ht="11.25" customHeight="1" x14ac:dyDescent="0.25">
      <c r="V1849" s="4"/>
      <c r="W1849" s="4"/>
      <c r="X1849" s="4"/>
      <c r="Y1849" s="4"/>
      <c r="Z1849" s="4"/>
      <c r="AA1849" s="4"/>
      <c r="AB1849" s="4"/>
      <c r="AC1849" s="4"/>
      <c r="AD1849" s="4"/>
      <c r="AE1849" s="4"/>
    </row>
    <row r="1850" spans="22:31" ht="11.25" customHeight="1" x14ac:dyDescent="0.25"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</row>
    <row r="1851" spans="22:31" ht="11.25" customHeight="1" x14ac:dyDescent="0.25">
      <c r="V1851" s="4"/>
      <c r="W1851" s="4"/>
      <c r="X1851" s="4"/>
      <c r="Y1851" s="4"/>
      <c r="Z1851" s="4"/>
      <c r="AA1851" s="4"/>
      <c r="AB1851" s="4"/>
      <c r="AC1851" s="4"/>
      <c r="AD1851" s="4"/>
      <c r="AE1851" s="4"/>
    </row>
    <row r="1852" spans="22:31" ht="11.25" customHeight="1" x14ac:dyDescent="0.25"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</row>
    <row r="1853" spans="22:31" ht="11.25" customHeight="1" x14ac:dyDescent="0.25">
      <c r="V1853" s="4"/>
      <c r="W1853" s="4"/>
      <c r="X1853" s="4"/>
      <c r="Y1853" s="4"/>
      <c r="Z1853" s="4"/>
      <c r="AA1853" s="4"/>
      <c r="AB1853" s="4"/>
      <c r="AC1853" s="4"/>
      <c r="AD1853" s="4"/>
      <c r="AE1853" s="4"/>
    </row>
    <row r="1854" spans="22:31" ht="11.25" customHeight="1" x14ac:dyDescent="0.25"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</row>
    <row r="1855" spans="22:31" ht="11.25" customHeight="1" x14ac:dyDescent="0.25">
      <c r="V1855" s="4"/>
      <c r="W1855" s="4"/>
      <c r="X1855" s="4"/>
      <c r="Y1855" s="4"/>
      <c r="Z1855" s="4"/>
      <c r="AA1855" s="4"/>
      <c r="AB1855" s="4"/>
      <c r="AC1855" s="4"/>
      <c r="AD1855" s="4"/>
      <c r="AE1855" s="4"/>
    </row>
    <row r="1856" spans="22:31" ht="11.25" customHeight="1" x14ac:dyDescent="0.25">
      <c r="V1856" s="4"/>
      <c r="W1856" s="4"/>
      <c r="X1856" s="4"/>
      <c r="Y1856" s="4"/>
      <c r="Z1856" s="4"/>
      <c r="AA1856" s="4"/>
      <c r="AB1856" s="4"/>
      <c r="AC1856" s="4"/>
      <c r="AD1856" s="4"/>
      <c r="AE1856" s="4"/>
    </row>
    <row r="1857" spans="22:31" ht="11.25" customHeight="1" x14ac:dyDescent="0.25">
      <c r="V1857" s="4"/>
      <c r="W1857" s="4"/>
      <c r="X1857" s="4"/>
      <c r="Y1857" s="4"/>
      <c r="Z1857" s="4"/>
      <c r="AA1857" s="4"/>
      <c r="AB1857" s="4"/>
      <c r="AC1857" s="4"/>
      <c r="AD1857" s="4"/>
      <c r="AE1857" s="4"/>
    </row>
    <row r="1858" spans="22:31" ht="11.25" customHeight="1" x14ac:dyDescent="0.25"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</row>
    <row r="1859" spans="22:31" ht="11.25" customHeight="1" x14ac:dyDescent="0.25">
      <c r="V1859" s="4"/>
      <c r="W1859" s="4"/>
      <c r="X1859" s="4"/>
      <c r="Y1859" s="4"/>
      <c r="Z1859" s="4"/>
      <c r="AA1859" s="4"/>
      <c r="AB1859" s="4"/>
      <c r="AC1859" s="4"/>
      <c r="AD1859" s="4"/>
      <c r="AE1859" s="4"/>
    </row>
    <row r="1860" spans="22:31" ht="11.25" customHeight="1" x14ac:dyDescent="0.25"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</row>
    <row r="1861" spans="22:31" ht="11.25" customHeight="1" x14ac:dyDescent="0.25">
      <c r="V1861" s="4"/>
      <c r="W1861" s="4"/>
      <c r="X1861" s="4"/>
      <c r="Y1861" s="4"/>
      <c r="Z1861" s="4"/>
      <c r="AA1861" s="4"/>
      <c r="AB1861" s="4"/>
      <c r="AC1861" s="4"/>
      <c r="AD1861" s="4"/>
      <c r="AE1861" s="4"/>
    </row>
    <row r="1862" spans="22:31" ht="11.25" customHeight="1" x14ac:dyDescent="0.25">
      <c r="V1862" s="4"/>
      <c r="W1862" s="4"/>
      <c r="X1862" s="4"/>
      <c r="Y1862" s="4"/>
      <c r="Z1862" s="4"/>
      <c r="AA1862" s="4"/>
      <c r="AB1862" s="4"/>
      <c r="AC1862" s="4"/>
      <c r="AD1862" s="4"/>
      <c r="AE1862" s="4"/>
    </row>
    <row r="1863" spans="22:31" ht="11.25" customHeight="1" x14ac:dyDescent="0.25">
      <c r="V1863" s="4"/>
      <c r="W1863" s="4"/>
      <c r="X1863" s="4"/>
      <c r="Y1863" s="4"/>
      <c r="Z1863" s="4"/>
      <c r="AA1863" s="4"/>
      <c r="AB1863" s="4"/>
      <c r="AC1863" s="4"/>
      <c r="AD1863" s="4"/>
      <c r="AE1863" s="4"/>
    </row>
    <row r="1864" spans="22:31" ht="11.25" customHeight="1" x14ac:dyDescent="0.25">
      <c r="V1864" s="4"/>
      <c r="W1864" s="4"/>
      <c r="X1864" s="4"/>
      <c r="Y1864" s="4"/>
      <c r="Z1864" s="4"/>
      <c r="AA1864" s="4"/>
      <c r="AB1864" s="4"/>
      <c r="AC1864" s="4"/>
      <c r="AD1864" s="4"/>
      <c r="AE1864" s="4"/>
    </row>
    <row r="1865" spans="22:31" ht="11.25" customHeight="1" x14ac:dyDescent="0.25">
      <c r="V1865" s="4"/>
      <c r="W1865" s="4"/>
      <c r="X1865" s="4"/>
      <c r="Y1865" s="4"/>
      <c r="Z1865" s="4"/>
      <c r="AA1865" s="4"/>
      <c r="AB1865" s="4"/>
      <c r="AC1865" s="4"/>
      <c r="AD1865" s="4"/>
      <c r="AE1865" s="4"/>
    </row>
    <row r="1866" spans="22:31" ht="11.25" customHeight="1" x14ac:dyDescent="0.25"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</row>
    <row r="1867" spans="22:31" ht="11.25" customHeight="1" x14ac:dyDescent="0.25">
      <c r="V1867" s="4"/>
      <c r="W1867" s="4"/>
      <c r="X1867" s="4"/>
      <c r="Y1867" s="4"/>
      <c r="Z1867" s="4"/>
      <c r="AA1867" s="4"/>
      <c r="AB1867" s="4"/>
      <c r="AC1867" s="4"/>
      <c r="AD1867" s="4"/>
      <c r="AE1867" s="4"/>
    </row>
    <row r="1868" spans="22:31" ht="11.25" customHeight="1" x14ac:dyDescent="0.25">
      <c r="V1868" s="4"/>
      <c r="W1868" s="4"/>
      <c r="X1868" s="4"/>
      <c r="Y1868" s="4"/>
      <c r="Z1868" s="4"/>
      <c r="AA1868" s="4"/>
      <c r="AB1868" s="4"/>
      <c r="AC1868" s="4"/>
      <c r="AD1868" s="4"/>
      <c r="AE1868" s="4"/>
    </row>
    <row r="1869" spans="22:31" ht="11.25" customHeight="1" x14ac:dyDescent="0.25">
      <c r="V1869" s="4"/>
      <c r="W1869" s="4"/>
      <c r="X1869" s="4"/>
      <c r="Y1869" s="4"/>
      <c r="Z1869" s="4"/>
      <c r="AA1869" s="4"/>
      <c r="AB1869" s="4"/>
      <c r="AC1869" s="4"/>
      <c r="AD1869" s="4"/>
      <c r="AE1869" s="4"/>
    </row>
    <row r="1870" spans="22:31" ht="11.25" customHeight="1" x14ac:dyDescent="0.25">
      <c r="V1870" s="4"/>
      <c r="W1870" s="4"/>
      <c r="X1870" s="4"/>
      <c r="Y1870" s="4"/>
      <c r="Z1870" s="4"/>
      <c r="AA1870" s="4"/>
      <c r="AB1870" s="4"/>
      <c r="AC1870" s="4"/>
      <c r="AD1870" s="4"/>
      <c r="AE1870" s="4"/>
    </row>
    <row r="1871" spans="22:31" ht="11.25" customHeight="1" x14ac:dyDescent="0.25">
      <c r="V1871" s="4"/>
      <c r="W1871" s="4"/>
      <c r="X1871" s="4"/>
      <c r="Y1871" s="4"/>
      <c r="Z1871" s="4"/>
      <c r="AA1871" s="4"/>
      <c r="AB1871" s="4"/>
      <c r="AC1871" s="4"/>
      <c r="AD1871" s="4"/>
      <c r="AE1871" s="4"/>
    </row>
    <row r="1872" spans="22:31" ht="11.25" customHeight="1" x14ac:dyDescent="0.25">
      <c r="V1872" s="4"/>
      <c r="W1872" s="4"/>
      <c r="X1872" s="4"/>
      <c r="Y1872" s="4"/>
      <c r="Z1872" s="4"/>
      <c r="AA1872" s="4"/>
      <c r="AB1872" s="4"/>
      <c r="AC1872" s="4"/>
      <c r="AD1872" s="4"/>
      <c r="AE1872" s="4"/>
    </row>
    <row r="1873" spans="22:31" ht="11.25" customHeight="1" x14ac:dyDescent="0.25">
      <c r="V1873" s="4"/>
      <c r="W1873" s="4"/>
      <c r="X1873" s="4"/>
      <c r="Y1873" s="4"/>
      <c r="Z1873" s="4"/>
      <c r="AA1873" s="4"/>
      <c r="AB1873" s="4"/>
      <c r="AC1873" s="4"/>
      <c r="AD1873" s="4"/>
      <c r="AE1873" s="4"/>
    </row>
    <row r="1874" spans="22:31" ht="11.25" customHeight="1" x14ac:dyDescent="0.25"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</row>
    <row r="1875" spans="22:31" ht="11.25" customHeight="1" x14ac:dyDescent="0.25">
      <c r="V1875" s="4"/>
      <c r="W1875" s="4"/>
      <c r="X1875" s="4"/>
      <c r="Y1875" s="4"/>
      <c r="Z1875" s="4"/>
      <c r="AA1875" s="4"/>
      <c r="AB1875" s="4"/>
      <c r="AC1875" s="4"/>
      <c r="AD1875" s="4"/>
      <c r="AE1875" s="4"/>
    </row>
    <row r="1876" spans="22:31" ht="11.25" customHeight="1" x14ac:dyDescent="0.25"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</row>
    <row r="1877" spans="22:31" ht="11.25" customHeight="1" x14ac:dyDescent="0.25">
      <c r="V1877" s="4"/>
      <c r="W1877" s="4"/>
      <c r="X1877" s="4"/>
      <c r="Y1877" s="4"/>
      <c r="Z1877" s="4"/>
      <c r="AA1877" s="4"/>
      <c r="AB1877" s="4"/>
      <c r="AC1877" s="4"/>
      <c r="AD1877" s="4"/>
      <c r="AE1877" s="4"/>
    </row>
    <row r="1878" spans="22:31" ht="11.25" customHeight="1" x14ac:dyDescent="0.25">
      <c r="V1878" s="4"/>
      <c r="W1878" s="4"/>
      <c r="X1878" s="4"/>
      <c r="Y1878" s="4"/>
      <c r="Z1878" s="4"/>
      <c r="AA1878" s="4"/>
      <c r="AB1878" s="4"/>
      <c r="AC1878" s="4"/>
      <c r="AD1878" s="4"/>
      <c r="AE1878" s="4"/>
    </row>
    <row r="1879" spans="22:31" ht="11.25" customHeight="1" x14ac:dyDescent="0.25"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</row>
    <row r="1880" spans="22:31" ht="11.25" customHeight="1" x14ac:dyDescent="0.25"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</row>
    <row r="1881" spans="22:31" ht="11.25" customHeight="1" x14ac:dyDescent="0.25">
      <c r="V1881" s="4"/>
      <c r="W1881" s="4"/>
      <c r="X1881" s="4"/>
      <c r="Y1881" s="4"/>
      <c r="Z1881" s="4"/>
      <c r="AA1881" s="4"/>
      <c r="AB1881" s="4"/>
      <c r="AC1881" s="4"/>
      <c r="AD1881" s="4"/>
      <c r="AE1881" s="4"/>
    </row>
    <row r="1882" spans="22:31" ht="11.25" customHeight="1" x14ac:dyDescent="0.25"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</row>
    <row r="1883" spans="22:31" ht="11.25" customHeight="1" x14ac:dyDescent="0.25">
      <c r="V1883" s="4"/>
      <c r="W1883" s="4"/>
      <c r="X1883" s="4"/>
      <c r="Y1883" s="4"/>
      <c r="Z1883" s="4"/>
      <c r="AA1883" s="4"/>
      <c r="AB1883" s="4"/>
      <c r="AC1883" s="4"/>
      <c r="AD1883" s="4"/>
      <c r="AE1883" s="4"/>
    </row>
    <row r="1884" spans="22:31" ht="11.25" customHeight="1" x14ac:dyDescent="0.25">
      <c r="V1884" s="4"/>
      <c r="W1884" s="4"/>
      <c r="X1884" s="4"/>
      <c r="Y1884" s="4"/>
      <c r="Z1884" s="4"/>
      <c r="AA1884" s="4"/>
      <c r="AB1884" s="4"/>
      <c r="AC1884" s="4"/>
      <c r="AD1884" s="4"/>
      <c r="AE1884" s="4"/>
    </row>
    <row r="1885" spans="22:31" ht="11.25" customHeight="1" x14ac:dyDescent="0.25"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</row>
    <row r="1886" spans="22:31" ht="11.25" customHeight="1" x14ac:dyDescent="0.25"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</row>
    <row r="1887" spans="22:31" ht="11.25" customHeight="1" x14ac:dyDescent="0.25"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</row>
    <row r="1888" spans="22:31" ht="11.25" customHeight="1" x14ac:dyDescent="0.25">
      <c r="V1888" s="4"/>
      <c r="W1888" s="4"/>
      <c r="X1888" s="4"/>
      <c r="Y1888" s="4"/>
      <c r="Z1888" s="4"/>
      <c r="AA1888" s="4"/>
      <c r="AB1888" s="4"/>
      <c r="AC1888" s="4"/>
      <c r="AD1888" s="4"/>
      <c r="AE1888" s="4"/>
    </row>
    <row r="1889" spans="22:31" ht="11.25" customHeight="1" x14ac:dyDescent="0.25">
      <c r="V1889" s="4"/>
      <c r="W1889" s="4"/>
      <c r="X1889" s="4"/>
      <c r="Y1889" s="4"/>
      <c r="Z1889" s="4"/>
      <c r="AA1889" s="4"/>
      <c r="AB1889" s="4"/>
      <c r="AC1889" s="4"/>
      <c r="AD1889" s="4"/>
      <c r="AE1889" s="4"/>
    </row>
    <row r="1890" spans="22:31" ht="11.25" customHeight="1" x14ac:dyDescent="0.25">
      <c r="V1890" s="4"/>
      <c r="W1890" s="4"/>
      <c r="X1890" s="4"/>
      <c r="Y1890" s="4"/>
      <c r="Z1890" s="4"/>
      <c r="AA1890" s="4"/>
      <c r="AB1890" s="4"/>
      <c r="AC1890" s="4"/>
      <c r="AD1890" s="4"/>
      <c r="AE1890" s="4"/>
    </row>
    <row r="1891" spans="22:31" ht="11.25" customHeight="1" x14ac:dyDescent="0.25">
      <c r="V1891" s="4"/>
      <c r="W1891" s="4"/>
      <c r="X1891" s="4"/>
      <c r="Y1891" s="4"/>
      <c r="Z1891" s="4"/>
      <c r="AA1891" s="4"/>
      <c r="AB1891" s="4"/>
      <c r="AC1891" s="4"/>
      <c r="AD1891" s="4"/>
      <c r="AE1891" s="4"/>
    </row>
    <row r="1892" spans="22:31" ht="11.25" customHeight="1" x14ac:dyDescent="0.25">
      <c r="V1892" s="4"/>
      <c r="W1892" s="4"/>
      <c r="X1892" s="4"/>
      <c r="Y1892" s="4"/>
      <c r="Z1892" s="4"/>
      <c r="AA1892" s="4"/>
      <c r="AB1892" s="4"/>
      <c r="AC1892" s="4"/>
      <c r="AD1892" s="4"/>
      <c r="AE1892" s="4"/>
    </row>
    <row r="1893" spans="22:31" ht="11.25" customHeight="1" x14ac:dyDescent="0.25"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</row>
    <row r="1894" spans="22:31" ht="11.25" customHeight="1" x14ac:dyDescent="0.25">
      <c r="V1894" s="4"/>
      <c r="W1894" s="4"/>
      <c r="X1894" s="4"/>
      <c r="Y1894" s="4"/>
      <c r="Z1894" s="4"/>
      <c r="AA1894" s="4"/>
      <c r="AB1894" s="4"/>
      <c r="AC1894" s="4"/>
      <c r="AD1894" s="4"/>
      <c r="AE1894" s="4"/>
    </row>
    <row r="1895" spans="22:31" ht="11.25" customHeight="1" x14ac:dyDescent="0.25"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</row>
    <row r="1896" spans="22:31" ht="11.25" customHeight="1" x14ac:dyDescent="0.25"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</row>
    <row r="1897" spans="22:31" ht="11.25" customHeight="1" x14ac:dyDescent="0.25"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</row>
    <row r="1898" spans="22:31" ht="11.25" customHeight="1" x14ac:dyDescent="0.25">
      <c r="V1898" s="4"/>
      <c r="W1898" s="4"/>
      <c r="X1898" s="4"/>
      <c r="Y1898" s="4"/>
      <c r="Z1898" s="4"/>
      <c r="AA1898" s="4"/>
      <c r="AB1898" s="4"/>
      <c r="AC1898" s="4"/>
      <c r="AD1898" s="4"/>
      <c r="AE1898" s="4"/>
    </row>
    <row r="1899" spans="22:31" ht="11.25" customHeight="1" x14ac:dyDescent="0.25">
      <c r="V1899" s="4"/>
      <c r="W1899" s="4"/>
      <c r="X1899" s="4"/>
      <c r="Y1899" s="4"/>
      <c r="Z1899" s="4"/>
      <c r="AA1899" s="4"/>
      <c r="AB1899" s="4"/>
      <c r="AC1899" s="4"/>
      <c r="AD1899" s="4"/>
      <c r="AE1899" s="4"/>
    </row>
    <row r="1900" spans="22:31" ht="11.25" customHeight="1" x14ac:dyDescent="0.25">
      <c r="V1900" s="4"/>
      <c r="W1900" s="4"/>
      <c r="X1900" s="4"/>
      <c r="Y1900" s="4"/>
      <c r="Z1900" s="4"/>
      <c r="AA1900" s="4"/>
      <c r="AB1900" s="4"/>
      <c r="AC1900" s="4"/>
      <c r="AD1900" s="4"/>
      <c r="AE1900" s="4"/>
    </row>
    <row r="1901" spans="22:31" ht="11.25" customHeight="1" x14ac:dyDescent="0.25">
      <c r="V1901" s="4"/>
      <c r="W1901" s="4"/>
      <c r="X1901" s="4"/>
      <c r="Y1901" s="4"/>
      <c r="Z1901" s="4"/>
      <c r="AA1901" s="4"/>
      <c r="AB1901" s="4"/>
      <c r="AC1901" s="4"/>
      <c r="AD1901" s="4"/>
      <c r="AE1901" s="4"/>
    </row>
    <row r="1902" spans="22:31" ht="11.25" customHeight="1" x14ac:dyDescent="0.25"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</row>
    <row r="1903" spans="22:31" ht="11.25" customHeight="1" x14ac:dyDescent="0.25">
      <c r="V1903" s="4"/>
      <c r="W1903" s="4"/>
      <c r="X1903" s="4"/>
      <c r="Y1903" s="4"/>
      <c r="Z1903" s="4"/>
      <c r="AA1903" s="4"/>
      <c r="AB1903" s="4"/>
      <c r="AC1903" s="4"/>
      <c r="AD1903" s="4"/>
      <c r="AE1903" s="4"/>
    </row>
    <row r="1904" spans="22:31" ht="11.25" customHeight="1" x14ac:dyDescent="0.25">
      <c r="V1904" s="4"/>
      <c r="W1904" s="4"/>
      <c r="X1904" s="4"/>
      <c r="Y1904" s="4"/>
      <c r="Z1904" s="4"/>
      <c r="AA1904" s="4"/>
      <c r="AB1904" s="4"/>
      <c r="AC1904" s="4"/>
      <c r="AD1904" s="4"/>
      <c r="AE1904" s="4"/>
    </row>
    <row r="1905" spans="22:31" ht="11.25" customHeight="1" x14ac:dyDescent="0.25">
      <c r="V1905" s="4"/>
      <c r="W1905" s="4"/>
      <c r="X1905" s="4"/>
      <c r="Y1905" s="4"/>
      <c r="Z1905" s="4"/>
      <c r="AA1905" s="4"/>
      <c r="AB1905" s="4"/>
      <c r="AC1905" s="4"/>
      <c r="AD1905" s="4"/>
      <c r="AE1905" s="4"/>
    </row>
    <row r="1906" spans="22:31" ht="11.25" customHeight="1" x14ac:dyDescent="0.25"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</row>
    <row r="1907" spans="22:31" ht="11.25" customHeight="1" x14ac:dyDescent="0.25"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</row>
    <row r="1908" spans="22:31" ht="11.25" customHeight="1" x14ac:dyDescent="0.25"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</row>
    <row r="1909" spans="22:31" ht="11.25" customHeight="1" x14ac:dyDescent="0.25"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</row>
    <row r="1910" spans="22:31" ht="11.25" customHeight="1" x14ac:dyDescent="0.25"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</row>
    <row r="1911" spans="22:31" ht="11.25" customHeight="1" x14ac:dyDescent="0.25"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</row>
    <row r="1912" spans="22:31" ht="11.25" customHeight="1" x14ac:dyDescent="0.25"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</row>
    <row r="1913" spans="22:31" ht="11.25" customHeight="1" x14ac:dyDescent="0.25"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</row>
    <row r="1914" spans="22:31" ht="11.25" customHeight="1" x14ac:dyDescent="0.25"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</row>
    <row r="1915" spans="22:31" ht="11.25" customHeight="1" x14ac:dyDescent="0.25">
      <c r="V1915" s="4"/>
      <c r="W1915" s="4"/>
      <c r="X1915" s="4"/>
      <c r="Y1915" s="4"/>
      <c r="Z1915" s="4"/>
      <c r="AA1915" s="4"/>
      <c r="AB1915" s="4"/>
      <c r="AC1915" s="4"/>
      <c r="AD1915" s="4"/>
      <c r="AE1915" s="4"/>
    </row>
    <row r="1916" spans="22:31" ht="11.25" customHeight="1" x14ac:dyDescent="0.25">
      <c r="V1916" s="4"/>
      <c r="W1916" s="4"/>
      <c r="X1916" s="4"/>
      <c r="Y1916" s="4"/>
      <c r="Z1916" s="4"/>
      <c r="AA1916" s="4"/>
      <c r="AB1916" s="4"/>
      <c r="AC1916" s="4"/>
      <c r="AD1916" s="4"/>
      <c r="AE1916" s="4"/>
    </row>
    <row r="1917" spans="22:31" ht="11.25" customHeight="1" x14ac:dyDescent="0.25"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</row>
    <row r="1918" spans="22:31" ht="11.25" customHeight="1" x14ac:dyDescent="0.25"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</row>
    <row r="1919" spans="22:31" ht="11.25" customHeight="1" x14ac:dyDescent="0.25"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</row>
    <row r="1920" spans="22:31" ht="11.25" customHeight="1" x14ac:dyDescent="0.25"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</row>
    <row r="1921" spans="22:31" ht="11.25" customHeight="1" x14ac:dyDescent="0.25"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</row>
    <row r="1922" spans="22:31" ht="11.25" customHeight="1" x14ac:dyDescent="0.25"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</row>
    <row r="1923" spans="22:31" ht="11.25" customHeight="1" x14ac:dyDescent="0.25"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</row>
    <row r="1924" spans="22:31" ht="11.25" customHeight="1" x14ac:dyDescent="0.25">
      <c r="V1924" s="4"/>
      <c r="W1924" s="4"/>
      <c r="X1924" s="4"/>
      <c r="Y1924" s="4"/>
      <c r="Z1924" s="4"/>
      <c r="AA1924" s="4"/>
      <c r="AB1924" s="4"/>
      <c r="AC1924" s="4"/>
      <c r="AD1924" s="4"/>
      <c r="AE1924" s="4"/>
    </row>
    <row r="1925" spans="22:31" ht="11.25" customHeight="1" x14ac:dyDescent="0.25">
      <c r="V1925" s="4"/>
      <c r="W1925" s="4"/>
      <c r="X1925" s="4"/>
      <c r="Y1925" s="4"/>
      <c r="Z1925" s="4"/>
      <c r="AA1925" s="4"/>
      <c r="AB1925" s="4"/>
      <c r="AC1925" s="4"/>
      <c r="AD1925" s="4"/>
      <c r="AE1925" s="4"/>
    </row>
    <row r="1926" spans="22:31" ht="11.25" customHeight="1" x14ac:dyDescent="0.25">
      <c r="V1926" s="4"/>
      <c r="W1926" s="4"/>
      <c r="X1926" s="4"/>
      <c r="Y1926" s="4"/>
      <c r="Z1926" s="4"/>
      <c r="AA1926" s="4"/>
      <c r="AB1926" s="4"/>
      <c r="AC1926" s="4"/>
      <c r="AD1926" s="4"/>
      <c r="AE1926" s="4"/>
    </row>
    <row r="1927" spans="22:31" ht="11.25" customHeight="1" x14ac:dyDescent="0.25">
      <c r="V1927" s="4"/>
      <c r="W1927" s="4"/>
      <c r="X1927" s="4"/>
      <c r="Y1927" s="4"/>
      <c r="Z1927" s="4"/>
      <c r="AA1927" s="4"/>
      <c r="AB1927" s="4"/>
      <c r="AC1927" s="4"/>
      <c r="AD1927" s="4"/>
      <c r="AE1927" s="4"/>
    </row>
    <row r="1928" spans="22:31" ht="11.25" customHeight="1" x14ac:dyDescent="0.25"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</row>
    <row r="1929" spans="22:31" ht="11.25" customHeight="1" x14ac:dyDescent="0.25">
      <c r="V1929" s="4"/>
      <c r="W1929" s="4"/>
      <c r="X1929" s="4"/>
      <c r="Y1929" s="4"/>
      <c r="Z1929" s="4"/>
      <c r="AA1929" s="4"/>
      <c r="AB1929" s="4"/>
      <c r="AC1929" s="4"/>
      <c r="AD1929" s="4"/>
      <c r="AE1929" s="4"/>
    </row>
    <row r="1930" spans="22:31" ht="11.25" customHeight="1" x14ac:dyDescent="0.25"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</row>
    <row r="1931" spans="22:31" ht="11.25" customHeight="1" x14ac:dyDescent="0.25">
      <c r="V1931" s="4"/>
      <c r="W1931" s="4"/>
      <c r="X1931" s="4"/>
      <c r="Y1931" s="4"/>
      <c r="Z1931" s="4"/>
      <c r="AA1931" s="4"/>
      <c r="AB1931" s="4"/>
      <c r="AC1931" s="4"/>
      <c r="AD1931" s="4"/>
      <c r="AE1931" s="4"/>
    </row>
    <row r="1932" spans="22:31" ht="11.25" customHeight="1" x14ac:dyDescent="0.25">
      <c r="V1932" s="4"/>
      <c r="W1932" s="4"/>
      <c r="X1932" s="4"/>
      <c r="Y1932" s="4"/>
      <c r="Z1932" s="4"/>
      <c r="AA1932" s="4"/>
      <c r="AB1932" s="4"/>
      <c r="AC1932" s="4"/>
      <c r="AD1932" s="4"/>
      <c r="AE1932" s="4"/>
    </row>
    <row r="1933" spans="22:31" ht="11.25" customHeight="1" x14ac:dyDescent="0.25">
      <c r="V1933" s="4"/>
      <c r="W1933" s="4"/>
      <c r="X1933" s="4"/>
      <c r="Y1933" s="4"/>
      <c r="Z1933" s="4"/>
      <c r="AA1933" s="4"/>
      <c r="AB1933" s="4"/>
      <c r="AC1933" s="4"/>
      <c r="AD1933" s="4"/>
      <c r="AE1933" s="4"/>
    </row>
    <row r="1934" spans="22:31" ht="11.25" customHeight="1" x14ac:dyDescent="0.25"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</row>
    <row r="1935" spans="22:31" ht="11.25" customHeight="1" x14ac:dyDescent="0.25">
      <c r="V1935" s="4"/>
      <c r="W1935" s="4"/>
      <c r="X1935" s="4"/>
      <c r="Y1935" s="4"/>
      <c r="Z1935" s="4"/>
      <c r="AA1935" s="4"/>
      <c r="AB1935" s="4"/>
      <c r="AC1935" s="4"/>
      <c r="AD1935" s="4"/>
      <c r="AE1935" s="4"/>
    </row>
    <row r="1936" spans="22:31" ht="11.25" customHeight="1" x14ac:dyDescent="0.25"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</row>
    <row r="1937" spans="22:31" ht="11.25" customHeight="1" x14ac:dyDescent="0.25">
      <c r="V1937" s="4"/>
      <c r="W1937" s="4"/>
      <c r="X1937" s="4"/>
      <c r="Y1937" s="4"/>
      <c r="Z1937" s="4"/>
      <c r="AA1937" s="4"/>
      <c r="AB1937" s="4"/>
      <c r="AC1937" s="4"/>
      <c r="AD1937" s="4"/>
      <c r="AE1937" s="4"/>
    </row>
    <row r="1938" spans="22:31" ht="11.25" customHeight="1" x14ac:dyDescent="0.25"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</row>
    <row r="1939" spans="22:31" ht="11.25" customHeight="1" x14ac:dyDescent="0.25">
      <c r="V1939" s="4"/>
      <c r="W1939" s="4"/>
      <c r="X1939" s="4"/>
      <c r="Y1939" s="4"/>
      <c r="Z1939" s="4"/>
      <c r="AA1939" s="4"/>
      <c r="AB1939" s="4"/>
      <c r="AC1939" s="4"/>
      <c r="AD1939" s="4"/>
      <c r="AE1939" s="4"/>
    </row>
    <row r="1940" spans="22:31" ht="11.25" customHeight="1" x14ac:dyDescent="0.25">
      <c r="V1940" s="4"/>
      <c r="W1940" s="4"/>
      <c r="X1940" s="4"/>
      <c r="Y1940" s="4"/>
      <c r="Z1940" s="4"/>
      <c r="AA1940" s="4"/>
      <c r="AB1940" s="4"/>
      <c r="AC1940" s="4"/>
      <c r="AD1940" s="4"/>
      <c r="AE1940" s="4"/>
    </row>
    <row r="1941" spans="22:31" ht="11.25" customHeight="1" x14ac:dyDescent="0.25">
      <c r="V1941" s="4"/>
      <c r="W1941" s="4"/>
      <c r="X1941" s="4"/>
      <c r="Y1941" s="4"/>
      <c r="Z1941" s="4"/>
      <c r="AA1941" s="4"/>
      <c r="AB1941" s="4"/>
      <c r="AC1941" s="4"/>
      <c r="AD1941" s="4"/>
      <c r="AE1941" s="4"/>
    </row>
    <row r="1942" spans="22:31" ht="11.25" customHeight="1" x14ac:dyDescent="0.25"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</row>
    <row r="1943" spans="22:31" ht="11.25" customHeight="1" x14ac:dyDescent="0.25">
      <c r="V1943" s="4"/>
      <c r="W1943" s="4"/>
      <c r="X1943" s="4"/>
      <c r="Y1943" s="4"/>
      <c r="Z1943" s="4"/>
      <c r="AA1943" s="4"/>
      <c r="AB1943" s="4"/>
      <c r="AC1943" s="4"/>
      <c r="AD1943" s="4"/>
      <c r="AE1943" s="4"/>
    </row>
    <row r="1944" spans="22:31" ht="11.25" customHeight="1" x14ac:dyDescent="0.25">
      <c r="V1944" s="4"/>
      <c r="W1944" s="4"/>
      <c r="X1944" s="4"/>
      <c r="Y1944" s="4"/>
      <c r="Z1944" s="4"/>
      <c r="AA1944" s="4"/>
      <c r="AB1944" s="4"/>
      <c r="AC1944" s="4"/>
      <c r="AD1944" s="4"/>
      <c r="AE1944" s="4"/>
    </row>
    <row r="1945" spans="22:31" ht="11.25" customHeight="1" x14ac:dyDescent="0.25">
      <c r="V1945" s="4"/>
      <c r="W1945" s="4"/>
      <c r="X1945" s="4"/>
      <c r="Y1945" s="4"/>
      <c r="Z1945" s="4"/>
      <c r="AA1945" s="4"/>
      <c r="AB1945" s="4"/>
      <c r="AC1945" s="4"/>
      <c r="AD1945" s="4"/>
      <c r="AE1945" s="4"/>
    </row>
    <row r="1946" spans="22:31" ht="11.25" customHeight="1" x14ac:dyDescent="0.25">
      <c r="V1946" s="4"/>
      <c r="W1946" s="4"/>
      <c r="X1946" s="4"/>
      <c r="Y1946" s="4"/>
      <c r="Z1946" s="4"/>
      <c r="AA1946" s="4"/>
      <c r="AB1946" s="4"/>
      <c r="AC1946" s="4"/>
      <c r="AD1946" s="4"/>
      <c r="AE1946" s="4"/>
    </row>
    <row r="1947" spans="22:31" ht="11.25" customHeight="1" x14ac:dyDescent="0.25">
      <c r="V1947" s="4"/>
      <c r="W1947" s="4"/>
      <c r="X1947" s="4"/>
      <c r="Y1947" s="4"/>
      <c r="Z1947" s="4"/>
      <c r="AA1947" s="4"/>
      <c r="AB1947" s="4"/>
      <c r="AC1947" s="4"/>
      <c r="AD1947" s="4"/>
      <c r="AE1947" s="4"/>
    </row>
    <row r="1948" spans="22:31" ht="11.25" customHeight="1" x14ac:dyDescent="0.25">
      <c r="V1948" s="4"/>
      <c r="W1948" s="4"/>
      <c r="X1948" s="4"/>
      <c r="Y1948" s="4"/>
      <c r="Z1948" s="4"/>
      <c r="AA1948" s="4"/>
      <c r="AB1948" s="4"/>
      <c r="AC1948" s="4"/>
      <c r="AD1948" s="4"/>
      <c r="AE1948" s="4"/>
    </row>
    <row r="1949" spans="22:31" ht="11.25" customHeight="1" x14ac:dyDescent="0.25">
      <c r="V1949" s="4"/>
      <c r="W1949" s="4"/>
      <c r="X1949" s="4"/>
      <c r="Y1949" s="4"/>
      <c r="Z1949" s="4"/>
      <c r="AA1949" s="4"/>
      <c r="AB1949" s="4"/>
      <c r="AC1949" s="4"/>
      <c r="AD1949" s="4"/>
      <c r="AE1949" s="4"/>
    </row>
    <row r="1950" spans="22:31" ht="11.25" customHeight="1" x14ac:dyDescent="0.25">
      <c r="V1950" s="4"/>
      <c r="W1950" s="4"/>
      <c r="X1950" s="4"/>
      <c r="Y1950" s="4"/>
      <c r="Z1950" s="4"/>
      <c r="AA1950" s="4"/>
      <c r="AB1950" s="4"/>
      <c r="AC1950" s="4"/>
      <c r="AD1950" s="4"/>
      <c r="AE1950" s="4"/>
    </row>
    <row r="1951" spans="22:31" ht="11.25" customHeight="1" x14ac:dyDescent="0.25">
      <c r="V1951" s="4"/>
      <c r="W1951" s="4"/>
      <c r="X1951" s="4"/>
      <c r="Y1951" s="4"/>
      <c r="Z1951" s="4"/>
      <c r="AA1951" s="4"/>
      <c r="AB1951" s="4"/>
      <c r="AC1951" s="4"/>
      <c r="AD1951" s="4"/>
      <c r="AE1951" s="4"/>
    </row>
    <row r="1952" spans="22:31" ht="11.25" customHeight="1" x14ac:dyDescent="0.25"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</row>
    <row r="1953" spans="22:31" ht="11.25" customHeight="1" x14ac:dyDescent="0.25">
      <c r="V1953" s="4"/>
      <c r="W1953" s="4"/>
      <c r="X1953" s="4"/>
      <c r="Y1953" s="4"/>
      <c r="Z1953" s="4"/>
      <c r="AA1953" s="4"/>
      <c r="AB1953" s="4"/>
      <c r="AC1953" s="4"/>
      <c r="AD1953" s="4"/>
      <c r="AE1953" s="4"/>
    </row>
    <row r="1954" spans="22:31" ht="11.25" customHeight="1" x14ac:dyDescent="0.25">
      <c r="V1954" s="4"/>
      <c r="W1954" s="4"/>
      <c r="X1954" s="4"/>
      <c r="Y1954" s="4"/>
      <c r="Z1954" s="4"/>
      <c r="AA1954" s="4"/>
      <c r="AB1954" s="4"/>
      <c r="AC1954" s="4"/>
      <c r="AD1954" s="4"/>
      <c r="AE1954" s="4"/>
    </row>
    <row r="1955" spans="22:31" ht="11.25" customHeight="1" x14ac:dyDescent="0.25">
      <c r="V1955" s="4"/>
      <c r="W1955" s="4"/>
      <c r="X1955" s="4"/>
      <c r="Y1955" s="4"/>
      <c r="Z1955" s="4"/>
      <c r="AA1955" s="4"/>
      <c r="AB1955" s="4"/>
      <c r="AC1955" s="4"/>
      <c r="AD1955" s="4"/>
      <c r="AE1955" s="4"/>
    </row>
    <row r="1956" spans="22:31" ht="11.25" customHeight="1" x14ac:dyDescent="0.25">
      <c r="V1956" s="4"/>
      <c r="W1956" s="4"/>
      <c r="X1956" s="4"/>
      <c r="Y1956" s="4"/>
      <c r="Z1956" s="4"/>
      <c r="AA1956" s="4"/>
      <c r="AB1956" s="4"/>
      <c r="AC1956" s="4"/>
      <c r="AD1956" s="4"/>
      <c r="AE1956" s="4"/>
    </row>
    <row r="1957" spans="22:31" ht="11.25" customHeight="1" x14ac:dyDescent="0.25">
      <c r="V1957" s="4"/>
      <c r="W1957" s="4"/>
      <c r="X1957" s="4"/>
      <c r="Y1957" s="4"/>
      <c r="Z1957" s="4"/>
      <c r="AA1957" s="4"/>
      <c r="AB1957" s="4"/>
      <c r="AC1957" s="4"/>
      <c r="AD1957" s="4"/>
      <c r="AE1957" s="4"/>
    </row>
    <row r="1958" spans="22:31" ht="11.25" customHeight="1" x14ac:dyDescent="0.25"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</row>
    <row r="1959" spans="22:31" ht="11.25" customHeight="1" x14ac:dyDescent="0.25"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</row>
    <row r="1960" spans="22:31" ht="11.25" customHeight="1" x14ac:dyDescent="0.25"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</row>
    <row r="1961" spans="22:31" ht="11.25" customHeight="1" x14ac:dyDescent="0.25"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</row>
    <row r="1962" spans="22:31" ht="11.25" customHeight="1" x14ac:dyDescent="0.25"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</row>
    <row r="1963" spans="22:31" ht="11.25" customHeight="1" x14ac:dyDescent="0.25">
      <c r="V1963" s="4"/>
      <c r="W1963" s="4"/>
      <c r="X1963" s="4"/>
      <c r="Y1963" s="4"/>
      <c r="Z1963" s="4"/>
      <c r="AA1963" s="4"/>
      <c r="AB1963" s="4"/>
      <c r="AC1963" s="4"/>
      <c r="AD1963" s="4"/>
      <c r="AE1963" s="4"/>
    </row>
    <row r="1964" spans="22:31" ht="11.25" customHeight="1" x14ac:dyDescent="0.25">
      <c r="V1964" s="4"/>
      <c r="W1964" s="4"/>
      <c r="X1964" s="4"/>
      <c r="Y1964" s="4"/>
      <c r="Z1964" s="4"/>
      <c r="AA1964" s="4"/>
      <c r="AB1964" s="4"/>
      <c r="AC1964" s="4"/>
      <c r="AD1964" s="4"/>
      <c r="AE1964" s="4"/>
    </row>
    <row r="1965" spans="22:31" ht="11.25" customHeight="1" x14ac:dyDescent="0.25"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</row>
    <row r="1966" spans="22:31" ht="11.25" customHeight="1" x14ac:dyDescent="0.25"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</row>
    <row r="1967" spans="22:31" ht="11.25" customHeight="1" x14ac:dyDescent="0.25"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</row>
    <row r="1968" spans="22:31" ht="11.25" customHeight="1" x14ac:dyDescent="0.25"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</row>
    <row r="1969" spans="22:31" ht="11.25" customHeight="1" x14ac:dyDescent="0.25"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</row>
    <row r="1970" spans="22:31" ht="11.25" customHeight="1" x14ac:dyDescent="0.25"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</row>
    <row r="1971" spans="22:31" ht="11.25" customHeight="1" x14ac:dyDescent="0.25"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</row>
    <row r="1972" spans="22:31" ht="11.25" customHeight="1" x14ac:dyDescent="0.25"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</row>
    <row r="1973" spans="22:31" ht="11.25" customHeight="1" x14ac:dyDescent="0.25">
      <c r="V1973" s="4"/>
      <c r="W1973" s="4"/>
      <c r="X1973" s="4"/>
      <c r="Y1973" s="4"/>
      <c r="Z1973" s="4"/>
      <c r="AA1973" s="4"/>
      <c r="AB1973" s="4"/>
      <c r="AC1973" s="4"/>
      <c r="AD1973" s="4"/>
      <c r="AE1973" s="4"/>
    </row>
    <row r="1974" spans="22:31" ht="11.25" customHeight="1" x14ac:dyDescent="0.25">
      <c r="V1974" s="4"/>
      <c r="W1974" s="4"/>
      <c r="X1974" s="4"/>
      <c r="Y1974" s="4"/>
      <c r="Z1974" s="4"/>
      <c r="AA1974" s="4"/>
      <c r="AB1974" s="4"/>
      <c r="AC1974" s="4"/>
      <c r="AD1974" s="4"/>
      <c r="AE1974" s="4"/>
    </row>
    <row r="1975" spans="22:31" ht="11.25" customHeight="1" x14ac:dyDescent="0.25"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</row>
    <row r="1976" spans="22:31" ht="11.25" customHeight="1" x14ac:dyDescent="0.25"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</row>
    <row r="1977" spans="22:31" ht="11.25" customHeight="1" x14ac:dyDescent="0.25">
      <c r="V1977" s="4"/>
      <c r="W1977" s="4"/>
      <c r="X1977" s="4"/>
      <c r="Y1977" s="4"/>
      <c r="Z1977" s="4"/>
      <c r="AA1977" s="4"/>
      <c r="AB1977" s="4"/>
      <c r="AC1977" s="4"/>
      <c r="AD1977" s="4"/>
      <c r="AE1977" s="4"/>
    </row>
    <row r="1978" spans="22:31" ht="11.25" customHeight="1" x14ac:dyDescent="0.25"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</row>
    <row r="1979" spans="22:31" ht="11.25" customHeight="1" x14ac:dyDescent="0.25"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</row>
    <row r="1980" spans="22:31" ht="11.25" customHeight="1" x14ac:dyDescent="0.25"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</row>
    <row r="1981" spans="22:31" ht="11.25" customHeight="1" x14ac:dyDescent="0.25"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</row>
    <row r="1982" spans="22:31" ht="11.25" customHeight="1" x14ac:dyDescent="0.25"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</row>
    <row r="1983" spans="22:31" ht="11.25" customHeight="1" x14ac:dyDescent="0.25">
      <c r="V1983" s="4"/>
      <c r="W1983" s="4"/>
      <c r="X1983" s="4"/>
      <c r="Y1983" s="4"/>
      <c r="Z1983" s="4"/>
      <c r="AA1983" s="4"/>
      <c r="AB1983" s="4"/>
      <c r="AC1983" s="4"/>
      <c r="AD1983" s="4"/>
      <c r="AE1983" s="4"/>
    </row>
    <row r="1984" spans="22:31" ht="11.25" customHeight="1" x14ac:dyDescent="0.25">
      <c r="V1984" s="4"/>
      <c r="W1984" s="4"/>
      <c r="X1984" s="4"/>
      <c r="Y1984" s="4"/>
      <c r="Z1984" s="4"/>
      <c r="AA1984" s="4"/>
      <c r="AB1984" s="4"/>
      <c r="AC1984" s="4"/>
      <c r="AD1984" s="4"/>
      <c r="AE1984" s="4"/>
    </row>
    <row r="1985" spans="22:31" ht="11.25" customHeight="1" x14ac:dyDescent="0.25"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</row>
    <row r="1986" spans="22:31" ht="11.25" customHeight="1" x14ac:dyDescent="0.25">
      <c r="V1986" s="4"/>
      <c r="W1986" s="4"/>
      <c r="X1986" s="4"/>
      <c r="Y1986" s="4"/>
      <c r="Z1986" s="4"/>
      <c r="AA1986" s="4"/>
      <c r="AB1986" s="4"/>
      <c r="AC1986" s="4"/>
      <c r="AD1986" s="4"/>
      <c r="AE1986" s="4"/>
    </row>
    <row r="1987" spans="22:31" ht="11.25" customHeight="1" x14ac:dyDescent="0.25"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</row>
    <row r="1988" spans="22:31" ht="11.25" customHeight="1" x14ac:dyDescent="0.25">
      <c r="V1988" s="4"/>
      <c r="W1988" s="4"/>
      <c r="X1988" s="4"/>
      <c r="Y1988" s="4"/>
      <c r="Z1988" s="4"/>
      <c r="AA1988" s="4"/>
      <c r="AB1988" s="4"/>
      <c r="AC1988" s="4"/>
      <c r="AD1988" s="4"/>
      <c r="AE1988" s="4"/>
    </row>
    <row r="1989" spans="22:31" ht="11.25" customHeight="1" x14ac:dyDescent="0.25"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</row>
    <row r="1990" spans="22:31" ht="11.25" customHeight="1" x14ac:dyDescent="0.25"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</row>
    <row r="1991" spans="22:31" ht="11.25" customHeight="1" x14ac:dyDescent="0.25"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</row>
    <row r="1992" spans="22:31" ht="11.25" customHeight="1" x14ac:dyDescent="0.25"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</row>
    <row r="1993" spans="22:31" ht="11.25" customHeight="1" x14ac:dyDescent="0.25">
      <c r="V1993" s="4"/>
      <c r="W1993" s="4"/>
      <c r="X1993" s="4"/>
      <c r="Y1993" s="4"/>
      <c r="Z1993" s="4"/>
      <c r="AA1993" s="4"/>
      <c r="AB1993" s="4"/>
      <c r="AC1993" s="4"/>
      <c r="AD1993" s="4"/>
      <c r="AE1993" s="4"/>
    </row>
    <row r="1994" spans="22:31" ht="11.25" customHeight="1" x14ac:dyDescent="0.25"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</row>
    <row r="1995" spans="22:31" ht="11.25" customHeight="1" x14ac:dyDescent="0.25"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</row>
    <row r="1996" spans="22:31" ht="11.25" customHeight="1" x14ac:dyDescent="0.25"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</row>
    <row r="1997" spans="22:31" ht="11.25" customHeight="1" x14ac:dyDescent="0.25"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</row>
    <row r="1998" spans="22:31" ht="11.25" customHeight="1" x14ac:dyDescent="0.25"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</row>
    <row r="1999" spans="22:31" ht="11.25" customHeight="1" x14ac:dyDescent="0.25">
      <c r="V1999" s="4"/>
      <c r="W1999" s="4"/>
      <c r="X1999" s="4"/>
      <c r="Y1999" s="4"/>
      <c r="Z1999" s="4"/>
      <c r="AA1999" s="4"/>
      <c r="AB1999" s="4"/>
      <c r="AC1999" s="4"/>
      <c r="AD1999" s="4"/>
      <c r="AE1999" s="4"/>
    </row>
    <row r="2000" spans="22:31" ht="11.25" customHeight="1" x14ac:dyDescent="0.25">
      <c r="V2000" s="4"/>
      <c r="W2000" s="4"/>
      <c r="X2000" s="4"/>
      <c r="Y2000" s="4"/>
      <c r="Z2000" s="4"/>
      <c r="AA2000" s="4"/>
      <c r="AB2000" s="4"/>
      <c r="AC2000" s="4"/>
      <c r="AD2000" s="4"/>
      <c r="AE2000" s="4"/>
    </row>
    <row r="2001" spans="22:31" ht="11.25" customHeight="1" x14ac:dyDescent="0.25"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</row>
    <row r="2002" spans="22:31" ht="11.25" customHeight="1" x14ac:dyDescent="0.25"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</row>
    <row r="2003" spans="22:31" ht="11.25" customHeight="1" x14ac:dyDescent="0.25"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</row>
    <row r="2004" spans="22:31" ht="11.25" customHeight="1" x14ac:dyDescent="0.25"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</row>
    <row r="2005" spans="22:31" ht="11.25" customHeight="1" x14ac:dyDescent="0.25"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</row>
    <row r="2006" spans="22:31" ht="11.25" customHeight="1" x14ac:dyDescent="0.25"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</row>
    <row r="2007" spans="22:31" ht="11.25" customHeight="1" x14ac:dyDescent="0.25">
      <c r="V2007" s="4"/>
      <c r="W2007" s="4"/>
      <c r="X2007" s="4"/>
      <c r="Y2007" s="4"/>
      <c r="Z2007" s="4"/>
      <c r="AA2007" s="4"/>
      <c r="AB2007" s="4"/>
      <c r="AC2007" s="4"/>
      <c r="AD2007" s="4"/>
      <c r="AE2007" s="4"/>
    </row>
    <row r="2008" spans="22:31" ht="11.25" customHeight="1" x14ac:dyDescent="0.25">
      <c r="V2008" s="4"/>
      <c r="W2008" s="4"/>
      <c r="X2008" s="4"/>
      <c r="Y2008" s="4"/>
      <c r="Z2008" s="4"/>
      <c r="AA2008" s="4"/>
      <c r="AB2008" s="4"/>
      <c r="AC2008" s="4"/>
      <c r="AD2008" s="4"/>
      <c r="AE2008" s="4"/>
    </row>
    <row r="2009" spans="22:31" ht="11.25" customHeight="1" x14ac:dyDescent="0.25">
      <c r="V2009" s="4"/>
      <c r="W2009" s="4"/>
      <c r="X2009" s="4"/>
      <c r="Y2009" s="4"/>
      <c r="Z2009" s="4"/>
      <c r="AA2009" s="4"/>
      <c r="AB2009" s="4"/>
      <c r="AC2009" s="4"/>
      <c r="AD2009" s="4"/>
      <c r="AE2009" s="4"/>
    </row>
    <row r="2010" spans="22:31" ht="11.25" customHeight="1" x14ac:dyDescent="0.25">
      <c r="V2010" s="4"/>
      <c r="W2010" s="4"/>
      <c r="X2010" s="4"/>
      <c r="Y2010" s="4"/>
      <c r="Z2010" s="4"/>
      <c r="AA2010" s="4"/>
      <c r="AB2010" s="4"/>
      <c r="AC2010" s="4"/>
      <c r="AD2010" s="4"/>
      <c r="AE2010" s="4"/>
    </row>
    <row r="2011" spans="22:31" ht="11.25" customHeight="1" x14ac:dyDescent="0.25"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</row>
    <row r="2012" spans="22:31" ht="11.25" customHeight="1" x14ac:dyDescent="0.25"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</row>
    <row r="2013" spans="22:31" ht="11.25" customHeight="1" x14ac:dyDescent="0.25"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6F642-8C81-4C62-B4CC-0F022DB3D210}">
  <dimension ref="A1:J1623"/>
  <sheetViews>
    <sheetView showGridLines="0" workbookViewId="0">
      <selection activeCell="J12" sqref="J12"/>
    </sheetView>
  </sheetViews>
  <sheetFormatPr defaultRowHeight="11.25" customHeight="1" x14ac:dyDescent="0.2"/>
  <cols>
    <col min="1" max="1" width="14.7109375" style="16" bestFit="1" customWidth="1"/>
    <col min="2" max="2" width="24.5703125" style="57" bestFit="1" customWidth="1"/>
    <col min="3" max="3" width="25.5703125" style="57" bestFit="1" customWidth="1"/>
    <col min="4" max="4" width="26" style="57" bestFit="1" customWidth="1"/>
    <col min="5" max="5" width="26.85546875" style="57" bestFit="1" customWidth="1"/>
    <col min="6" max="6" width="23.7109375" style="57" bestFit="1" customWidth="1"/>
    <col min="7" max="7" width="24.5703125" style="57" bestFit="1" customWidth="1"/>
    <col min="8" max="8" width="18.28515625" style="58" bestFit="1" customWidth="1"/>
    <col min="9" max="9" width="16" style="58" bestFit="1" customWidth="1"/>
    <col min="10" max="10" width="13.85546875" style="58" bestFit="1" customWidth="1"/>
    <col min="11" max="16384" width="9.140625" style="16"/>
  </cols>
  <sheetData>
    <row r="1" spans="1:10" ht="11.25" customHeight="1" x14ac:dyDescent="0.2">
      <c r="A1" s="56" t="s">
        <v>935</v>
      </c>
      <c r="B1" s="88" t="s">
        <v>936</v>
      </c>
      <c r="C1" s="88" t="s">
        <v>937</v>
      </c>
      <c r="D1" s="88" t="s">
        <v>938</v>
      </c>
      <c r="E1" s="88" t="s">
        <v>939</v>
      </c>
      <c r="F1" s="88" t="s">
        <v>940</v>
      </c>
      <c r="G1" s="88" t="s">
        <v>941</v>
      </c>
      <c r="H1" s="58" t="s">
        <v>942</v>
      </c>
      <c r="I1" s="58" t="s">
        <v>943</v>
      </c>
      <c r="J1" s="58" t="s">
        <v>944</v>
      </c>
    </row>
    <row r="2" spans="1:10" ht="11.25" customHeight="1" x14ac:dyDescent="0.2">
      <c r="A2" s="59" t="s">
        <v>26</v>
      </c>
      <c r="B2" s="88">
        <v>101988556.24139988</v>
      </c>
      <c r="C2" s="88">
        <v>133084623.40369464</v>
      </c>
      <c r="D2" s="88">
        <v>942737200.04792595</v>
      </c>
      <c r="E2" s="88">
        <v>1175751018.6949546</v>
      </c>
      <c r="F2" s="88">
        <v>662932917.93121791</v>
      </c>
      <c r="G2" s="88">
        <v>856641464.65082204</v>
      </c>
      <c r="H2" s="58">
        <v>0.25280307699830451</v>
      </c>
      <c r="I2" s="58">
        <v>0.29219931833238788</v>
      </c>
      <c r="J2" s="58">
        <v>0.26809715515186028</v>
      </c>
    </row>
    <row r="3" spans="1:10" ht="11.25" customHeight="1" x14ac:dyDescent="0.2">
      <c r="A3" s="60" t="s">
        <v>41</v>
      </c>
      <c r="B3" s="88">
        <v>11771240.734399982</v>
      </c>
      <c r="C3" s="88">
        <v>17949624.739579413</v>
      </c>
      <c r="D3" s="88">
        <v>4678138.2065105978</v>
      </c>
      <c r="E3" s="88">
        <v>5652447.0703844093</v>
      </c>
      <c r="F3" s="88">
        <v>16187747.713130597</v>
      </c>
      <c r="G3" s="88">
        <v>21223019.488736011</v>
      </c>
      <c r="H3" s="58">
        <v>0.43483057291993399</v>
      </c>
      <c r="I3" s="58">
        <v>0.31105450028240078</v>
      </c>
      <c r="J3" s="58">
        <v>0.37343865389416941</v>
      </c>
    </row>
    <row r="4" spans="1:10" ht="11.25" customHeight="1" x14ac:dyDescent="0.2">
      <c r="A4" s="60" t="s">
        <v>33</v>
      </c>
      <c r="B4" s="88">
        <v>90217315.506999895</v>
      </c>
      <c r="C4" s="88">
        <v>115134998.66411524</v>
      </c>
      <c r="D4" s="88">
        <v>111024458.83488347</v>
      </c>
      <c r="E4" s="88">
        <v>138117772.03272748</v>
      </c>
      <c r="F4" s="88">
        <v>156150264.23383665</v>
      </c>
      <c r="G4" s="88">
        <v>202857701.60527411</v>
      </c>
      <c r="H4" s="58">
        <v>0.25845029703723199</v>
      </c>
      <c r="I4" s="58">
        <v>0.29911852919757198</v>
      </c>
      <c r="J4" s="58">
        <v>0.27621889429828905</v>
      </c>
    </row>
    <row r="5" spans="1:10" ht="11.25" customHeight="1" x14ac:dyDescent="0.2">
      <c r="A5" s="60" t="s">
        <v>22</v>
      </c>
      <c r="B5" s="88">
        <v>0</v>
      </c>
      <c r="C5" s="88">
        <v>0</v>
      </c>
      <c r="D5" s="88">
        <v>549493081.69037974</v>
      </c>
      <c r="E5" s="88">
        <v>684386060.84697223</v>
      </c>
      <c r="F5" s="88">
        <v>328818418.0248</v>
      </c>
      <c r="G5" s="88">
        <v>423058418.01368898</v>
      </c>
      <c r="H5" s="58">
        <v>0.24548621930166536</v>
      </c>
      <c r="I5" s="58">
        <v>0.28660195056890414</v>
      </c>
      <c r="J5" s="58">
        <v>0.26087894695650138</v>
      </c>
    </row>
    <row r="6" spans="1:10" ht="11.25" customHeight="1" x14ac:dyDescent="0.2">
      <c r="A6" s="60" t="s">
        <v>44</v>
      </c>
      <c r="B6" s="88">
        <v>0</v>
      </c>
      <c r="C6" s="88">
        <v>0</v>
      </c>
      <c r="D6" s="88">
        <v>20979964.216203708</v>
      </c>
      <c r="E6" s="88">
        <v>27884791.940624539</v>
      </c>
      <c r="F6" s="88">
        <v>12226336.905856205</v>
      </c>
      <c r="G6" s="88">
        <v>16803443.123918939</v>
      </c>
      <c r="H6" s="58">
        <v>0.32911532418572675</v>
      </c>
      <c r="I6" s="58">
        <v>0.37436447672813422</v>
      </c>
      <c r="J6" s="58">
        <v>0.34577575804899818</v>
      </c>
    </row>
    <row r="7" spans="1:10" ht="11.25" customHeight="1" x14ac:dyDescent="0.2">
      <c r="A7" s="60" t="s">
        <v>39</v>
      </c>
      <c r="B7" s="88">
        <v>0</v>
      </c>
      <c r="C7" s="88">
        <v>0</v>
      </c>
      <c r="D7" s="88">
        <v>200079738.91704845</v>
      </c>
      <c r="E7" s="88">
        <v>249431263.59731802</v>
      </c>
      <c r="F7" s="88">
        <v>116635090.48729442</v>
      </c>
      <c r="G7" s="88">
        <v>150349922.07906637</v>
      </c>
      <c r="H7" s="58">
        <v>0.24665928168134177</v>
      </c>
      <c r="I7" s="58">
        <v>0.28906250641135012</v>
      </c>
      <c r="J7" s="58">
        <v>0.26227491913866929</v>
      </c>
    </row>
    <row r="8" spans="1:10" ht="11.25" customHeight="1" x14ac:dyDescent="0.2">
      <c r="A8" s="60" t="s">
        <v>47</v>
      </c>
      <c r="B8" s="88">
        <v>0</v>
      </c>
      <c r="C8" s="88">
        <v>0</v>
      </c>
      <c r="D8" s="88">
        <v>56481818.182899997</v>
      </c>
      <c r="E8" s="88">
        <v>70278683.20692797</v>
      </c>
      <c r="F8" s="88">
        <v>32915060.566300001</v>
      </c>
      <c r="G8" s="88">
        <v>42348960.340137593</v>
      </c>
      <c r="H8" s="58">
        <v>0.24427090819475428</v>
      </c>
      <c r="I8" s="58">
        <v>0.28661347150904115</v>
      </c>
      <c r="J8" s="58">
        <v>0.25986102784459297</v>
      </c>
    </row>
    <row r="9" spans="1:10" ht="11.25" customHeight="1" x14ac:dyDescent="0.2">
      <c r="A9" s="59" t="s">
        <v>63</v>
      </c>
      <c r="B9" s="88">
        <v>1922273.2100000004</v>
      </c>
      <c r="C9" s="88">
        <v>2556192.7382199531</v>
      </c>
      <c r="D9" s="88">
        <v>153344.2556</v>
      </c>
      <c r="E9" s="88">
        <v>180115.33969727316</v>
      </c>
      <c r="F9" s="88">
        <v>0</v>
      </c>
      <c r="G9" s="88">
        <v>0</v>
      </c>
      <c r="H9" s="58">
        <v>0.31831039354173174</v>
      </c>
      <c r="I9" s="58">
        <v>0</v>
      </c>
      <c r="J9" s="58">
        <v>0.31831039354173174</v>
      </c>
    </row>
    <row r="10" spans="1:10" ht="11.25" customHeight="1" x14ac:dyDescent="0.2">
      <c r="A10" s="60" t="s">
        <v>41</v>
      </c>
      <c r="B10" s="88">
        <v>1651117.5000000005</v>
      </c>
      <c r="C10" s="88">
        <v>2229606.6257654261</v>
      </c>
      <c r="D10" s="88">
        <v>102299.20848000002</v>
      </c>
      <c r="E10" s="88">
        <v>120160.0691868171</v>
      </c>
      <c r="F10" s="88">
        <v>0</v>
      </c>
      <c r="G10" s="88">
        <v>0</v>
      </c>
      <c r="H10" s="58">
        <v>0.34010739351811337</v>
      </c>
      <c r="I10" s="58">
        <v>0</v>
      </c>
      <c r="J10" s="58">
        <v>0.34010739351811337</v>
      </c>
    </row>
    <row r="11" spans="1:10" ht="11.25" customHeight="1" x14ac:dyDescent="0.2">
      <c r="A11" s="60" t="s">
        <v>33</v>
      </c>
      <c r="B11" s="88">
        <v>271155.70999999996</v>
      </c>
      <c r="C11" s="88">
        <v>326586.11245452706</v>
      </c>
      <c r="D11" s="88">
        <v>51045.047119999988</v>
      </c>
      <c r="E11" s="88">
        <v>59955.270510456074</v>
      </c>
      <c r="F11" s="88">
        <v>0</v>
      </c>
      <c r="G11" s="88">
        <v>0</v>
      </c>
      <c r="H11" s="58">
        <v>0.19969110693622683</v>
      </c>
      <c r="I11" s="58">
        <v>0</v>
      </c>
      <c r="J11" s="58">
        <v>0.19969110693622683</v>
      </c>
    </row>
    <row r="12" spans="1:10" ht="11.25" customHeight="1" x14ac:dyDescent="0.2">
      <c r="A12" s="59" t="s">
        <v>67</v>
      </c>
      <c r="B12" s="88">
        <v>6501148.9743749984</v>
      </c>
      <c r="C12" s="88">
        <v>8055990.9885659441</v>
      </c>
      <c r="D12" s="88">
        <v>0</v>
      </c>
      <c r="E12" s="88">
        <v>0</v>
      </c>
      <c r="F12" s="88">
        <v>0</v>
      </c>
      <c r="G12" s="88">
        <v>0</v>
      </c>
      <c r="H12" s="58">
        <v>0.23916418779503901</v>
      </c>
      <c r="I12" s="58">
        <v>0</v>
      </c>
      <c r="J12" s="58">
        <v>0.23916418779503901</v>
      </c>
    </row>
    <row r="13" spans="1:10" ht="11.25" customHeight="1" x14ac:dyDescent="0.2">
      <c r="A13" s="60" t="s">
        <v>41</v>
      </c>
      <c r="B13" s="88">
        <v>6272511.6643749978</v>
      </c>
      <c r="C13" s="88">
        <v>7767854.2367773876</v>
      </c>
      <c r="D13" s="88">
        <v>0</v>
      </c>
      <c r="E13" s="88">
        <v>0</v>
      </c>
      <c r="F13" s="88">
        <v>0</v>
      </c>
      <c r="G13" s="88">
        <v>0</v>
      </c>
      <c r="H13" s="58">
        <v>0.23839614055965064</v>
      </c>
      <c r="I13" s="58">
        <v>0</v>
      </c>
      <c r="J13" s="58">
        <v>0.23839614055965064</v>
      </c>
    </row>
    <row r="14" spans="1:10" ht="11.25" customHeight="1" x14ac:dyDescent="0.2">
      <c r="A14" s="60" t="s">
        <v>33</v>
      </c>
      <c r="B14" s="88">
        <v>228637.31000000008</v>
      </c>
      <c r="C14" s="88">
        <v>288136.75178855698</v>
      </c>
      <c r="D14" s="88">
        <v>0</v>
      </c>
      <c r="E14" s="88">
        <v>0</v>
      </c>
      <c r="F14" s="88">
        <v>0</v>
      </c>
      <c r="G14" s="88">
        <v>0</v>
      </c>
      <c r="H14" s="58">
        <v>0.26023504995119517</v>
      </c>
      <c r="I14" s="58">
        <v>0</v>
      </c>
      <c r="J14" s="58">
        <v>0.26023504995119517</v>
      </c>
    </row>
    <row r="15" spans="1:10" ht="11.25" customHeight="1" x14ac:dyDescent="0.2">
      <c r="A15" s="59" t="s">
        <v>57</v>
      </c>
      <c r="B15" s="88">
        <v>37267648.76357846</v>
      </c>
      <c r="C15" s="88">
        <v>52449020.21877382</v>
      </c>
      <c r="D15" s="88">
        <v>62698128.555357531</v>
      </c>
      <c r="E15" s="88">
        <v>76267178.027534902</v>
      </c>
      <c r="F15" s="88">
        <v>0</v>
      </c>
      <c r="G15" s="88">
        <v>0</v>
      </c>
      <c r="H15" s="58">
        <v>0.28760263460610003</v>
      </c>
      <c r="I15" s="58">
        <v>0</v>
      </c>
      <c r="J15" s="58">
        <v>0.28760263460610003</v>
      </c>
    </row>
    <row r="16" spans="1:10" ht="11.25" customHeight="1" x14ac:dyDescent="0.2">
      <c r="A16" s="60" t="s">
        <v>41</v>
      </c>
      <c r="B16" s="88">
        <v>24311208.171190005</v>
      </c>
      <c r="C16" s="88">
        <v>36103302.564834066</v>
      </c>
      <c r="D16" s="88">
        <v>22450754.926079996</v>
      </c>
      <c r="E16" s="88">
        <v>26638063.420425978</v>
      </c>
      <c r="F16" s="88">
        <v>0</v>
      </c>
      <c r="G16" s="88">
        <v>0</v>
      </c>
      <c r="H16" s="58">
        <v>0.34171796540601029</v>
      </c>
      <c r="I16" s="58">
        <v>0</v>
      </c>
      <c r="J16" s="58">
        <v>0.34171796540601029</v>
      </c>
    </row>
    <row r="17" spans="1:10" ht="11.25" customHeight="1" x14ac:dyDescent="0.2">
      <c r="A17" s="60" t="s">
        <v>33</v>
      </c>
      <c r="B17" s="88">
        <v>12956440.592388457</v>
      </c>
      <c r="C17" s="88">
        <v>16345717.653939756</v>
      </c>
      <c r="D17" s="88">
        <v>40247373.629277535</v>
      </c>
      <c r="E17" s="88">
        <v>49629114.607108928</v>
      </c>
      <c r="F17" s="88">
        <v>0</v>
      </c>
      <c r="G17" s="88">
        <v>0</v>
      </c>
      <c r="H17" s="58">
        <v>0.24003952021511266</v>
      </c>
      <c r="I17" s="58">
        <v>0</v>
      </c>
      <c r="J17" s="58">
        <v>0.24003952021511266</v>
      </c>
    </row>
    <row r="18" spans="1:10" ht="11.25" customHeight="1" x14ac:dyDescent="0.2">
      <c r="A18" s="59" t="s">
        <v>59</v>
      </c>
      <c r="B18" s="88">
        <v>9261957.1999999993</v>
      </c>
      <c r="C18" s="88">
        <v>13766042.393648919</v>
      </c>
      <c r="D18" s="88">
        <v>1779721.3194000002</v>
      </c>
      <c r="E18" s="88">
        <v>2317094.4069675109</v>
      </c>
      <c r="F18" s="88">
        <v>0</v>
      </c>
      <c r="G18" s="88">
        <v>0</v>
      </c>
      <c r="H18" s="58">
        <v>0.45658441081749435</v>
      </c>
      <c r="I18" s="58">
        <v>0</v>
      </c>
      <c r="J18" s="58">
        <v>0.45658441081749435</v>
      </c>
    </row>
    <row r="19" spans="1:10" ht="11.25" customHeight="1" x14ac:dyDescent="0.2">
      <c r="A19" s="60" t="s">
        <v>41</v>
      </c>
      <c r="B19" s="88">
        <v>9261957.1999999993</v>
      </c>
      <c r="C19" s="88">
        <v>13766042.393648919</v>
      </c>
      <c r="D19" s="88">
        <v>1779721.3194000002</v>
      </c>
      <c r="E19" s="88">
        <v>2317094.4069675109</v>
      </c>
      <c r="F19" s="88">
        <v>0</v>
      </c>
      <c r="G19" s="88">
        <v>0</v>
      </c>
      <c r="H19" s="58">
        <v>0.45658441081749435</v>
      </c>
      <c r="I19" s="58">
        <v>0</v>
      </c>
      <c r="J19" s="58">
        <v>0.45658441081749435</v>
      </c>
    </row>
    <row r="20" spans="1:10" ht="11.25" customHeight="1" x14ac:dyDescent="0.25">
      <c r="A20"/>
      <c r="B20"/>
      <c r="C20"/>
      <c r="D20"/>
      <c r="E20"/>
      <c r="F20"/>
      <c r="G20"/>
      <c r="H20"/>
      <c r="I20"/>
      <c r="J20"/>
    </row>
    <row r="21" spans="1:10" ht="11.25" customHeight="1" x14ac:dyDescent="0.25">
      <c r="A21"/>
      <c r="B21"/>
      <c r="C21"/>
      <c r="D21"/>
      <c r="E21"/>
      <c r="F21"/>
      <c r="G21"/>
      <c r="H21"/>
      <c r="I21"/>
      <c r="J21"/>
    </row>
    <row r="22" spans="1:10" ht="11.25" customHeight="1" x14ac:dyDescent="0.25">
      <c r="A22"/>
      <c r="B22"/>
      <c r="C22"/>
      <c r="D22"/>
      <c r="E22"/>
      <c r="F22"/>
      <c r="G22"/>
      <c r="H22"/>
      <c r="I22"/>
      <c r="J22"/>
    </row>
    <row r="23" spans="1:10" ht="11.25" customHeight="1" x14ac:dyDescent="0.25">
      <c r="A23"/>
      <c r="B23"/>
      <c r="C23"/>
      <c r="D23"/>
      <c r="E23"/>
      <c r="F23"/>
      <c r="G23"/>
      <c r="H23"/>
      <c r="I23"/>
      <c r="J23"/>
    </row>
    <row r="24" spans="1:10" ht="11.25" customHeight="1" x14ac:dyDescent="0.25">
      <c r="A24"/>
      <c r="B24"/>
      <c r="C24"/>
      <c r="D24"/>
      <c r="E24"/>
      <c r="F24"/>
      <c r="G24"/>
      <c r="H24"/>
      <c r="I24"/>
      <c r="J24"/>
    </row>
    <row r="25" spans="1:10" ht="11.25" customHeight="1" x14ac:dyDescent="0.25">
      <c r="A25"/>
      <c r="B25"/>
      <c r="C25"/>
      <c r="D25"/>
      <c r="E25"/>
      <c r="F25"/>
      <c r="G25"/>
      <c r="H25"/>
      <c r="I25"/>
      <c r="J25"/>
    </row>
    <row r="26" spans="1:10" ht="11.25" customHeight="1" x14ac:dyDescent="0.25">
      <c r="A26"/>
      <c r="B26"/>
      <c r="C26"/>
      <c r="D26"/>
      <c r="E26"/>
      <c r="F26"/>
      <c r="G26"/>
      <c r="H26"/>
      <c r="I26"/>
      <c r="J26"/>
    </row>
    <row r="27" spans="1:10" ht="11.25" customHeight="1" x14ac:dyDescent="0.25">
      <c r="A27"/>
      <c r="B27"/>
      <c r="C27"/>
      <c r="D27"/>
      <c r="E27"/>
      <c r="F27"/>
      <c r="G27"/>
      <c r="H27"/>
      <c r="I27"/>
      <c r="J27"/>
    </row>
    <row r="28" spans="1:10" ht="11.25" customHeight="1" x14ac:dyDescent="0.25">
      <c r="A28"/>
      <c r="B28"/>
      <c r="C28"/>
      <c r="D28"/>
      <c r="E28"/>
      <c r="F28"/>
      <c r="G28"/>
      <c r="H28"/>
      <c r="I28"/>
      <c r="J28"/>
    </row>
    <row r="29" spans="1:10" ht="11.25" customHeight="1" x14ac:dyDescent="0.25">
      <c r="A29"/>
      <c r="B29"/>
      <c r="C29"/>
      <c r="D29"/>
      <c r="E29"/>
      <c r="F29"/>
      <c r="G29"/>
      <c r="H29"/>
      <c r="I29"/>
      <c r="J29"/>
    </row>
    <row r="30" spans="1:10" ht="11.25" customHeight="1" x14ac:dyDescent="0.25">
      <c r="A30"/>
      <c r="B30"/>
      <c r="C30"/>
      <c r="D30"/>
      <c r="E30"/>
      <c r="F30"/>
      <c r="G30"/>
      <c r="H30"/>
      <c r="I30"/>
      <c r="J30"/>
    </row>
    <row r="31" spans="1:10" ht="11.25" customHeight="1" x14ac:dyDescent="0.25">
      <c r="A31"/>
      <c r="B31"/>
      <c r="C31"/>
      <c r="D31"/>
      <c r="E31"/>
      <c r="F31"/>
      <c r="G31"/>
      <c r="H31"/>
      <c r="I31"/>
      <c r="J31"/>
    </row>
    <row r="32" spans="1:10" ht="11.25" customHeight="1" x14ac:dyDescent="0.25">
      <c r="A32"/>
      <c r="B32"/>
      <c r="C32"/>
      <c r="D32"/>
      <c r="E32"/>
      <c r="F32"/>
      <c r="G32"/>
      <c r="H32"/>
      <c r="I32"/>
      <c r="J32"/>
    </row>
    <row r="33" spans="1:10" ht="11.25" customHeight="1" x14ac:dyDescent="0.25">
      <c r="A33"/>
      <c r="B33"/>
      <c r="C33"/>
      <c r="D33"/>
      <c r="E33"/>
      <c r="F33"/>
      <c r="G33"/>
      <c r="H33"/>
      <c r="I33"/>
      <c r="J33"/>
    </row>
    <row r="34" spans="1:10" ht="11.25" customHeight="1" x14ac:dyDescent="0.25">
      <c r="A34"/>
      <c r="B34"/>
      <c r="C34"/>
      <c r="D34"/>
      <c r="E34"/>
      <c r="F34"/>
      <c r="G34"/>
      <c r="H34"/>
      <c r="I34"/>
      <c r="J34"/>
    </row>
    <row r="35" spans="1:10" ht="11.25" customHeight="1" x14ac:dyDescent="0.25">
      <c r="A35"/>
      <c r="B35"/>
      <c r="C35"/>
      <c r="D35"/>
      <c r="E35"/>
      <c r="F35"/>
      <c r="G35"/>
      <c r="H35"/>
      <c r="I35"/>
      <c r="J35"/>
    </row>
    <row r="36" spans="1:10" ht="11.25" customHeight="1" x14ac:dyDescent="0.25">
      <c r="A36"/>
      <c r="B36"/>
      <c r="C36"/>
      <c r="D36"/>
      <c r="E36"/>
      <c r="F36"/>
      <c r="G36"/>
      <c r="H36"/>
      <c r="I36"/>
      <c r="J36"/>
    </row>
    <row r="37" spans="1:10" ht="11.25" customHeight="1" x14ac:dyDescent="0.25">
      <c r="A37"/>
      <c r="B37"/>
      <c r="C37"/>
      <c r="D37"/>
      <c r="E37"/>
      <c r="F37"/>
      <c r="G37"/>
      <c r="H37"/>
      <c r="I37"/>
      <c r="J37"/>
    </row>
    <row r="38" spans="1:10" ht="11.25" customHeight="1" x14ac:dyDescent="0.25">
      <c r="A38"/>
      <c r="B38"/>
      <c r="C38"/>
      <c r="D38"/>
      <c r="E38"/>
      <c r="F38"/>
      <c r="G38"/>
      <c r="H38"/>
      <c r="I38"/>
      <c r="J38"/>
    </row>
    <row r="39" spans="1:10" ht="11.25" customHeight="1" x14ac:dyDescent="0.25">
      <c r="A39"/>
      <c r="B39"/>
      <c r="C39"/>
      <c r="D39"/>
      <c r="E39"/>
      <c r="F39"/>
      <c r="G39"/>
      <c r="H39"/>
      <c r="I39"/>
      <c r="J39"/>
    </row>
    <row r="40" spans="1:10" ht="11.25" customHeight="1" x14ac:dyDescent="0.25">
      <c r="A40"/>
      <c r="B40"/>
      <c r="C40"/>
      <c r="D40"/>
      <c r="E40"/>
      <c r="F40"/>
      <c r="G40"/>
      <c r="H40"/>
      <c r="I40"/>
      <c r="J40"/>
    </row>
    <row r="41" spans="1:10" ht="11.25" customHeight="1" x14ac:dyDescent="0.25">
      <c r="A41"/>
      <c r="B41"/>
      <c r="C41"/>
      <c r="D41"/>
      <c r="E41"/>
      <c r="F41"/>
      <c r="G41"/>
      <c r="H41"/>
      <c r="I41"/>
      <c r="J41"/>
    </row>
    <row r="42" spans="1:10" ht="11.25" customHeight="1" x14ac:dyDescent="0.25">
      <c r="A42"/>
      <c r="B42"/>
      <c r="C42"/>
      <c r="D42"/>
      <c r="E42"/>
      <c r="F42"/>
      <c r="G42"/>
      <c r="H42"/>
      <c r="I42"/>
      <c r="J42"/>
    </row>
    <row r="43" spans="1:10" ht="11.25" customHeight="1" x14ac:dyDescent="0.25">
      <c r="A43"/>
      <c r="B43"/>
      <c r="C43"/>
      <c r="D43"/>
      <c r="E43"/>
      <c r="F43"/>
      <c r="G43"/>
      <c r="H43"/>
      <c r="I43"/>
      <c r="J43"/>
    </row>
    <row r="44" spans="1:10" ht="11.25" customHeight="1" x14ac:dyDescent="0.25">
      <c r="A44"/>
      <c r="B44"/>
      <c r="C44"/>
      <c r="D44"/>
      <c r="E44"/>
      <c r="F44"/>
      <c r="G44"/>
      <c r="H44"/>
      <c r="I44"/>
      <c r="J44"/>
    </row>
    <row r="45" spans="1:10" ht="11.25" customHeight="1" x14ac:dyDescent="0.25">
      <c r="A45"/>
      <c r="B45"/>
      <c r="C45"/>
      <c r="D45"/>
      <c r="E45"/>
      <c r="F45"/>
      <c r="G45"/>
      <c r="H45"/>
      <c r="I45"/>
      <c r="J45"/>
    </row>
    <row r="46" spans="1:10" ht="11.25" customHeight="1" x14ac:dyDescent="0.25">
      <c r="A46"/>
      <c r="B46"/>
      <c r="C46"/>
      <c r="D46"/>
      <c r="E46"/>
      <c r="F46"/>
      <c r="G46"/>
      <c r="H46"/>
      <c r="I46"/>
      <c r="J46"/>
    </row>
    <row r="47" spans="1:10" ht="11.25" customHeight="1" x14ac:dyDescent="0.25">
      <c r="A47"/>
      <c r="B47"/>
      <c r="C47"/>
      <c r="D47"/>
      <c r="E47"/>
      <c r="F47"/>
      <c r="G47"/>
      <c r="H47"/>
      <c r="I47"/>
      <c r="J47"/>
    </row>
    <row r="48" spans="1:10" ht="11.25" customHeight="1" x14ac:dyDescent="0.25">
      <c r="A48"/>
      <c r="B48"/>
      <c r="C48"/>
      <c r="D48"/>
      <c r="E48"/>
      <c r="F48"/>
      <c r="G48"/>
      <c r="H48"/>
      <c r="I48"/>
      <c r="J48"/>
    </row>
    <row r="49" spans="1:10" ht="11.25" customHeight="1" x14ac:dyDescent="0.25">
      <c r="A49"/>
      <c r="B49"/>
      <c r="C49"/>
      <c r="D49"/>
      <c r="E49"/>
      <c r="F49"/>
      <c r="G49"/>
      <c r="H49"/>
      <c r="I49"/>
      <c r="J49"/>
    </row>
    <row r="50" spans="1:10" ht="11.25" customHeight="1" x14ac:dyDescent="0.25">
      <c r="A50"/>
      <c r="B50"/>
      <c r="C50"/>
      <c r="D50"/>
      <c r="E50"/>
      <c r="F50"/>
      <c r="G50"/>
      <c r="H50"/>
      <c r="I50"/>
      <c r="J50"/>
    </row>
    <row r="51" spans="1:10" ht="11.25" customHeight="1" x14ac:dyDescent="0.25">
      <c r="A51"/>
      <c r="B51"/>
      <c r="C51"/>
      <c r="D51"/>
      <c r="E51"/>
      <c r="F51"/>
      <c r="G51"/>
      <c r="H51"/>
      <c r="I51"/>
      <c r="J51"/>
    </row>
    <row r="52" spans="1:10" ht="11.25" customHeight="1" x14ac:dyDescent="0.25">
      <c r="A52"/>
      <c r="B52"/>
      <c r="C52"/>
      <c r="D52"/>
      <c r="E52"/>
      <c r="F52"/>
      <c r="G52"/>
      <c r="H52"/>
      <c r="I52"/>
      <c r="J52"/>
    </row>
    <row r="53" spans="1:10" ht="11.25" customHeight="1" x14ac:dyDescent="0.25">
      <c r="A53"/>
      <c r="B53"/>
      <c r="C53"/>
      <c r="D53"/>
      <c r="E53"/>
      <c r="F53"/>
      <c r="G53"/>
      <c r="H53"/>
      <c r="I53"/>
      <c r="J53"/>
    </row>
    <row r="54" spans="1:10" ht="11.25" customHeight="1" x14ac:dyDescent="0.25">
      <c r="A54"/>
      <c r="B54"/>
      <c r="C54"/>
      <c r="D54"/>
      <c r="E54"/>
      <c r="F54"/>
      <c r="G54"/>
      <c r="H54"/>
      <c r="I54"/>
      <c r="J54"/>
    </row>
    <row r="55" spans="1:10" ht="11.25" customHeight="1" x14ac:dyDescent="0.25">
      <c r="A55"/>
      <c r="B55"/>
      <c r="C55"/>
      <c r="D55"/>
      <c r="E55"/>
      <c r="F55"/>
      <c r="G55"/>
      <c r="H55"/>
      <c r="I55"/>
      <c r="J55"/>
    </row>
    <row r="56" spans="1:10" ht="11.25" customHeight="1" x14ac:dyDescent="0.25">
      <c r="A56"/>
      <c r="B56"/>
      <c r="C56"/>
      <c r="D56"/>
      <c r="E56"/>
      <c r="F56"/>
      <c r="G56"/>
      <c r="H56"/>
      <c r="I56"/>
      <c r="J56"/>
    </row>
    <row r="57" spans="1:10" ht="11.25" customHeight="1" x14ac:dyDescent="0.25">
      <c r="A57"/>
      <c r="B57"/>
      <c r="C57"/>
      <c r="D57"/>
      <c r="E57"/>
      <c r="F57"/>
      <c r="G57"/>
      <c r="H57"/>
      <c r="I57"/>
      <c r="J57"/>
    </row>
    <row r="58" spans="1:10" ht="11.25" customHeight="1" x14ac:dyDescent="0.25">
      <c r="A58"/>
      <c r="B58"/>
      <c r="C58"/>
      <c r="D58"/>
      <c r="E58"/>
      <c r="F58"/>
      <c r="G58"/>
      <c r="H58"/>
      <c r="I58"/>
      <c r="J58"/>
    </row>
    <row r="59" spans="1:10" ht="11.25" customHeight="1" x14ac:dyDescent="0.25">
      <c r="A59"/>
      <c r="B59"/>
      <c r="C59"/>
      <c r="D59"/>
      <c r="E59"/>
      <c r="F59"/>
      <c r="G59"/>
      <c r="H59"/>
      <c r="I59"/>
      <c r="J59"/>
    </row>
    <row r="60" spans="1:10" ht="11.25" customHeight="1" x14ac:dyDescent="0.25">
      <c r="A60"/>
      <c r="B60"/>
      <c r="C60"/>
      <c r="D60"/>
      <c r="E60"/>
      <c r="F60"/>
      <c r="G60"/>
      <c r="H60"/>
      <c r="I60"/>
      <c r="J60"/>
    </row>
    <row r="61" spans="1:10" ht="11.25" customHeight="1" x14ac:dyDescent="0.25">
      <c r="A61"/>
      <c r="B61"/>
      <c r="C61"/>
      <c r="D61"/>
      <c r="E61"/>
      <c r="F61"/>
      <c r="G61"/>
      <c r="H61"/>
      <c r="I61"/>
      <c r="J61"/>
    </row>
    <row r="62" spans="1:10" ht="11.25" customHeight="1" x14ac:dyDescent="0.25">
      <c r="A62"/>
      <c r="B62"/>
      <c r="C62"/>
      <c r="D62"/>
      <c r="E62"/>
      <c r="F62"/>
      <c r="G62"/>
      <c r="H62"/>
      <c r="I62"/>
      <c r="J62"/>
    </row>
    <row r="63" spans="1:10" ht="11.25" customHeight="1" x14ac:dyDescent="0.25">
      <c r="A63"/>
      <c r="B63"/>
      <c r="C63"/>
      <c r="D63"/>
      <c r="E63"/>
      <c r="F63"/>
      <c r="G63"/>
      <c r="H63"/>
      <c r="I63"/>
      <c r="J63"/>
    </row>
    <row r="64" spans="1:10" ht="11.25" customHeight="1" x14ac:dyDescent="0.25">
      <c r="A64"/>
      <c r="B64"/>
      <c r="C64"/>
      <c r="D64"/>
      <c r="E64"/>
      <c r="F64"/>
      <c r="G64"/>
      <c r="H64"/>
      <c r="I64"/>
      <c r="J64"/>
    </row>
    <row r="65" spans="1:10" ht="11.25" customHeight="1" x14ac:dyDescent="0.25">
      <c r="A65"/>
      <c r="B65"/>
      <c r="C65"/>
      <c r="D65"/>
      <c r="E65"/>
      <c r="F65"/>
      <c r="G65"/>
      <c r="H65"/>
      <c r="I65"/>
      <c r="J65"/>
    </row>
    <row r="66" spans="1:10" ht="11.25" customHeight="1" x14ac:dyDescent="0.25">
      <c r="A66"/>
      <c r="B66"/>
      <c r="C66"/>
      <c r="D66"/>
      <c r="E66"/>
      <c r="F66"/>
      <c r="G66"/>
      <c r="H66"/>
      <c r="I66"/>
      <c r="J66"/>
    </row>
    <row r="67" spans="1:10" ht="11.25" customHeight="1" x14ac:dyDescent="0.25">
      <c r="A67"/>
      <c r="B67"/>
      <c r="C67"/>
      <c r="D67"/>
      <c r="E67"/>
      <c r="F67"/>
      <c r="G67"/>
      <c r="H67"/>
      <c r="I67"/>
      <c r="J67"/>
    </row>
    <row r="68" spans="1:10" ht="11.25" customHeight="1" x14ac:dyDescent="0.25">
      <c r="A68"/>
      <c r="B68"/>
      <c r="C68"/>
      <c r="D68"/>
      <c r="E68"/>
      <c r="F68"/>
      <c r="G68"/>
      <c r="H68"/>
      <c r="I68"/>
      <c r="J68"/>
    </row>
    <row r="69" spans="1:10" ht="11.25" customHeight="1" x14ac:dyDescent="0.25">
      <c r="A69"/>
      <c r="B69"/>
      <c r="C69"/>
      <c r="D69"/>
      <c r="E69"/>
      <c r="F69"/>
      <c r="G69"/>
      <c r="H69"/>
      <c r="I69"/>
      <c r="J69"/>
    </row>
    <row r="70" spans="1:10" ht="11.25" customHeight="1" x14ac:dyDescent="0.25">
      <c r="A70"/>
      <c r="B70"/>
      <c r="C70"/>
      <c r="D70"/>
      <c r="E70"/>
      <c r="F70"/>
      <c r="G70"/>
      <c r="H70"/>
      <c r="I70"/>
      <c r="J70"/>
    </row>
    <row r="71" spans="1:10" ht="11.25" customHeight="1" x14ac:dyDescent="0.25">
      <c r="A71"/>
      <c r="B71"/>
      <c r="C71"/>
      <c r="D71"/>
      <c r="E71"/>
      <c r="F71"/>
      <c r="G71"/>
      <c r="H71"/>
      <c r="I71"/>
      <c r="J71"/>
    </row>
    <row r="72" spans="1:10" ht="11.25" customHeight="1" x14ac:dyDescent="0.25">
      <c r="A72"/>
      <c r="B72"/>
      <c r="C72"/>
      <c r="D72"/>
      <c r="E72"/>
      <c r="F72"/>
      <c r="G72"/>
      <c r="H72"/>
      <c r="I72"/>
      <c r="J72"/>
    </row>
    <row r="73" spans="1:10" ht="11.25" customHeight="1" x14ac:dyDescent="0.25">
      <c r="A73"/>
      <c r="B73"/>
      <c r="C73"/>
      <c r="D73"/>
      <c r="E73"/>
      <c r="F73"/>
      <c r="G73"/>
      <c r="H73"/>
      <c r="I73"/>
      <c r="J73"/>
    </row>
    <row r="74" spans="1:10" ht="11.25" customHeight="1" x14ac:dyDescent="0.25">
      <c r="A74"/>
      <c r="B74"/>
      <c r="C74"/>
      <c r="D74"/>
      <c r="E74"/>
      <c r="F74"/>
      <c r="G74"/>
      <c r="H74"/>
      <c r="I74"/>
      <c r="J74"/>
    </row>
    <row r="75" spans="1:10" ht="11.25" customHeight="1" x14ac:dyDescent="0.25">
      <c r="A75"/>
      <c r="B75"/>
      <c r="C75"/>
      <c r="D75"/>
      <c r="E75"/>
      <c r="F75"/>
      <c r="G75"/>
      <c r="H75"/>
      <c r="I75"/>
      <c r="J75"/>
    </row>
    <row r="76" spans="1:10" ht="11.25" customHeight="1" x14ac:dyDescent="0.25">
      <c r="A76"/>
      <c r="B76"/>
      <c r="C76"/>
      <c r="D76"/>
      <c r="E76"/>
      <c r="F76"/>
      <c r="G76"/>
      <c r="H76"/>
      <c r="I76"/>
      <c r="J76"/>
    </row>
    <row r="77" spans="1:10" ht="11.25" customHeight="1" x14ac:dyDescent="0.25">
      <c r="A77"/>
      <c r="B77"/>
      <c r="C77"/>
      <c r="D77"/>
      <c r="E77"/>
      <c r="F77"/>
      <c r="G77"/>
      <c r="H77"/>
      <c r="I77"/>
      <c r="J77"/>
    </row>
    <row r="78" spans="1:10" ht="11.25" customHeight="1" x14ac:dyDescent="0.25">
      <c r="A78"/>
      <c r="B78"/>
      <c r="C78"/>
      <c r="D78"/>
      <c r="E78"/>
      <c r="F78"/>
      <c r="G78"/>
      <c r="H78"/>
      <c r="I78"/>
      <c r="J78"/>
    </row>
    <row r="79" spans="1:10" ht="11.25" customHeight="1" x14ac:dyDescent="0.25">
      <c r="A79"/>
      <c r="B79"/>
      <c r="C79"/>
      <c r="D79"/>
      <c r="E79"/>
      <c r="F79"/>
      <c r="G79"/>
      <c r="H79"/>
      <c r="I79"/>
      <c r="J79"/>
    </row>
    <row r="80" spans="1:10" ht="11.25" customHeight="1" x14ac:dyDescent="0.25">
      <c r="A80"/>
      <c r="B80"/>
      <c r="C80"/>
      <c r="D80"/>
      <c r="E80"/>
      <c r="F80"/>
      <c r="G80"/>
      <c r="H80"/>
      <c r="I80"/>
      <c r="J80"/>
    </row>
    <row r="81" spans="1:10" ht="11.25" customHeight="1" x14ac:dyDescent="0.25">
      <c r="A81"/>
      <c r="B81"/>
      <c r="C81"/>
      <c r="D81"/>
      <c r="E81"/>
      <c r="F81"/>
      <c r="G81"/>
      <c r="H81"/>
      <c r="I81"/>
      <c r="J81"/>
    </row>
    <row r="82" spans="1:10" ht="11.25" customHeight="1" x14ac:dyDescent="0.25">
      <c r="A82"/>
      <c r="B82"/>
      <c r="C82"/>
      <c r="D82"/>
      <c r="E82"/>
      <c r="F82"/>
      <c r="G82"/>
      <c r="H82"/>
      <c r="I82"/>
      <c r="J82"/>
    </row>
    <row r="83" spans="1:10" ht="11.25" customHeight="1" x14ac:dyDescent="0.25">
      <c r="A83"/>
      <c r="B83"/>
      <c r="C83"/>
      <c r="D83"/>
      <c r="E83"/>
      <c r="F83"/>
      <c r="G83"/>
      <c r="H83"/>
      <c r="I83"/>
      <c r="J83"/>
    </row>
    <row r="84" spans="1:10" ht="11.25" customHeight="1" x14ac:dyDescent="0.25">
      <c r="A84"/>
      <c r="B84"/>
      <c r="C84"/>
      <c r="D84"/>
      <c r="E84"/>
      <c r="F84"/>
      <c r="G84"/>
      <c r="H84"/>
      <c r="I84"/>
      <c r="J84"/>
    </row>
    <row r="85" spans="1:10" ht="11.25" customHeight="1" x14ac:dyDescent="0.25">
      <c r="A85"/>
      <c r="B85"/>
      <c r="C85"/>
      <c r="D85"/>
      <c r="E85"/>
      <c r="F85"/>
      <c r="G85"/>
      <c r="H85"/>
      <c r="I85"/>
      <c r="J85"/>
    </row>
    <row r="86" spans="1:10" ht="11.25" customHeight="1" x14ac:dyDescent="0.25">
      <c r="A86"/>
      <c r="B86"/>
      <c r="C86"/>
      <c r="D86"/>
      <c r="E86"/>
      <c r="F86"/>
      <c r="G86"/>
      <c r="H86"/>
      <c r="I86"/>
      <c r="J86"/>
    </row>
    <row r="87" spans="1:10" ht="11.25" customHeight="1" x14ac:dyDescent="0.25">
      <c r="A87"/>
      <c r="B87"/>
      <c r="C87"/>
      <c r="D87"/>
      <c r="E87"/>
      <c r="F87"/>
      <c r="G87"/>
      <c r="H87"/>
      <c r="I87"/>
      <c r="J87"/>
    </row>
    <row r="88" spans="1:10" ht="11.25" customHeight="1" x14ac:dyDescent="0.25">
      <c r="A88"/>
      <c r="B88"/>
      <c r="C88"/>
      <c r="D88"/>
      <c r="E88"/>
      <c r="F88"/>
      <c r="G88"/>
      <c r="H88"/>
      <c r="I88"/>
      <c r="J88"/>
    </row>
    <row r="89" spans="1:10" ht="11.25" customHeight="1" x14ac:dyDescent="0.25">
      <c r="A89"/>
      <c r="B89"/>
      <c r="C89"/>
      <c r="D89"/>
      <c r="E89"/>
      <c r="F89"/>
      <c r="G89"/>
      <c r="H89"/>
      <c r="I89"/>
      <c r="J89"/>
    </row>
    <row r="90" spans="1:10" ht="11.25" customHeight="1" x14ac:dyDescent="0.25">
      <c r="A90"/>
      <c r="B90"/>
      <c r="C90"/>
      <c r="D90"/>
      <c r="E90"/>
      <c r="F90"/>
      <c r="G90"/>
      <c r="H90"/>
      <c r="I90"/>
      <c r="J90"/>
    </row>
    <row r="91" spans="1:10" ht="11.25" customHeight="1" x14ac:dyDescent="0.25">
      <c r="A91"/>
      <c r="B91"/>
      <c r="C91"/>
      <c r="D91"/>
      <c r="E91"/>
      <c r="F91"/>
      <c r="G91"/>
      <c r="H91"/>
      <c r="I91"/>
      <c r="J91"/>
    </row>
    <row r="92" spans="1:10" ht="11.25" customHeight="1" x14ac:dyDescent="0.25">
      <c r="A92"/>
      <c r="B92"/>
      <c r="C92"/>
      <c r="D92"/>
      <c r="E92"/>
      <c r="F92"/>
      <c r="G92"/>
      <c r="H92"/>
      <c r="I92"/>
      <c r="J92"/>
    </row>
    <row r="93" spans="1:10" ht="11.25" customHeight="1" x14ac:dyDescent="0.25">
      <c r="A93"/>
      <c r="B93"/>
      <c r="C93"/>
      <c r="D93"/>
      <c r="E93"/>
      <c r="F93"/>
      <c r="G93"/>
      <c r="H93"/>
      <c r="I93"/>
      <c r="J93"/>
    </row>
    <row r="94" spans="1:10" ht="11.25" customHeight="1" x14ac:dyDescent="0.25">
      <c r="A94"/>
      <c r="B94"/>
      <c r="C94"/>
      <c r="D94"/>
      <c r="E94"/>
      <c r="F94"/>
      <c r="G94"/>
      <c r="H94"/>
      <c r="I94"/>
      <c r="J94"/>
    </row>
    <row r="95" spans="1:10" ht="11.25" customHeight="1" x14ac:dyDescent="0.25">
      <c r="A95"/>
      <c r="B95"/>
      <c r="C95"/>
      <c r="D95"/>
      <c r="E95"/>
      <c r="F95"/>
      <c r="G95"/>
      <c r="H95"/>
      <c r="I95"/>
      <c r="J95"/>
    </row>
    <row r="96" spans="1:10" ht="11.25" customHeight="1" x14ac:dyDescent="0.25">
      <c r="A96"/>
      <c r="B96"/>
      <c r="C96"/>
      <c r="D96"/>
      <c r="E96"/>
      <c r="F96"/>
      <c r="G96"/>
      <c r="H96"/>
      <c r="I96"/>
      <c r="J96"/>
    </row>
    <row r="97" spans="1:10" ht="11.25" customHeight="1" x14ac:dyDescent="0.25">
      <c r="A97"/>
      <c r="B97"/>
      <c r="C97"/>
      <c r="D97"/>
      <c r="E97"/>
      <c r="F97"/>
      <c r="G97"/>
      <c r="H97"/>
      <c r="I97"/>
      <c r="J97"/>
    </row>
    <row r="98" spans="1:10" ht="11.25" customHeight="1" x14ac:dyDescent="0.25">
      <c r="A98"/>
      <c r="B98"/>
      <c r="C98"/>
      <c r="D98"/>
      <c r="E98"/>
      <c r="F98"/>
      <c r="G98"/>
      <c r="H98"/>
      <c r="I98"/>
      <c r="J98"/>
    </row>
    <row r="99" spans="1:10" ht="11.25" customHeight="1" x14ac:dyDescent="0.25">
      <c r="A99"/>
      <c r="B99"/>
      <c r="C99"/>
      <c r="D99"/>
      <c r="E99"/>
      <c r="F99"/>
      <c r="G99"/>
      <c r="H99"/>
      <c r="I99"/>
      <c r="J99"/>
    </row>
    <row r="100" spans="1:10" ht="11.25" customHeight="1" x14ac:dyDescent="0.25">
      <c r="A100"/>
      <c r="B100"/>
      <c r="C100"/>
      <c r="D100"/>
      <c r="E100"/>
      <c r="F100"/>
      <c r="G100"/>
      <c r="H100"/>
      <c r="I100"/>
      <c r="J100"/>
    </row>
    <row r="101" spans="1:10" ht="11.25" customHeight="1" x14ac:dyDescent="0.25">
      <c r="A101"/>
      <c r="B101"/>
      <c r="C101"/>
      <c r="D101"/>
      <c r="E101"/>
      <c r="F101"/>
      <c r="G101"/>
      <c r="H101"/>
      <c r="I101"/>
      <c r="J101"/>
    </row>
    <row r="102" spans="1:10" ht="11.25" customHeight="1" x14ac:dyDescent="0.25">
      <c r="A102"/>
      <c r="B102"/>
      <c r="C102"/>
      <c r="D102"/>
      <c r="E102"/>
      <c r="F102"/>
      <c r="G102"/>
      <c r="H102"/>
      <c r="I102"/>
      <c r="J102"/>
    </row>
    <row r="103" spans="1:10" ht="11.25" customHeight="1" x14ac:dyDescent="0.25">
      <c r="A103"/>
      <c r="B103"/>
      <c r="C103"/>
      <c r="D103"/>
      <c r="E103"/>
      <c r="F103"/>
      <c r="G103"/>
      <c r="H103"/>
      <c r="I103"/>
      <c r="J103"/>
    </row>
    <row r="104" spans="1:10" ht="11.25" customHeight="1" x14ac:dyDescent="0.25">
      <c r="A104"/>
      <c r="B104"/>
      <c r="C104"/>
      <c r="D104"/>
      <c r="E104"/>
      <c r="F104"/>
      <c r="G104"/>
      <c r="H104"/>
      <c r="I104"/>
      <c r="J104"/>
    </row>
    <row r="105" spans="1:10" ht="11.25" customHeight="1" x14ac:dyDescent="0.25">
      <c r="A105"/>
      <c r="B105"/>
      <c r="C105"/>
      <c r="D105"/>
      <c r="E105"/>
      <c r="F105"/>
      <c r="G105"/>
      <c r="H105"/>
      <c r="I105"/>
      <c r="J105"/>
    </row>
    <row r="106" spans="1:10" ht="11.25" customHeight="1" x14ac:dyDescent="0.25">
      <c r="A106"/>
      <c r="B106"/>
      <c r="C106"/>
      <c r="D106"/>
      <c r="E106"/>
      <c r="F106"/>
      <c r="G106"/>
      <c r="H106"/>
      <c r="I106"/>
      <c r="J106"/>
    </row>
    <row r="107" spans="1:10" ht="11.25" customHeight="1" x14ac:dyDescent="0.25">
      <c r="A107"/>
      <c r="B107"/>
      <c r="C107"/>
      <c r="D107"/>
      <c r="E107"/>
      <c r="F107"/>
      <c r="G107"/>
      <c r="H107"/>
      <c r="I107"/>
      <c r="J107"/>
    </row>
    <row r="108" spans="1:10" ht="11.25" customHeight="1" x14ac:dyDescent="0.25">
      <c r="A108"/>
      <c r="B108"/>
      <c r="C108"/>
      <c r="D108"/>
      <c r="E108"/>
      <c r="F108"/>
      <c r="G108"/>
      <c r="H108"/>
      <c r="I108"/>
      <c r="J108"/>
    </row>
    <row r="109" spans="1:10" ht="11.25" customHeight="1" x14ac:dyDescent="0.25">
      <c r="A109"/>
      <c r="B109"/>
      <c r="C109"/>
      <c r="D109"/>
      <c r="E109"/>
      <c r="F109"/>
      <c r="G109"/>
      <c r="H109"/>
      <c r="I109"/>
      <c r="J109"/>
    </row>
    <row r="110" spans="1:10" ht="11.25" customHeight="1" x14ac:dyDescent="0.25">
      <c r="A110"/>
      <c r="B110"/>
      <c r="C110"/>
      <c r="D110"/>
      <c r="E110"/>
      <c r="F110"/>
      <c r="G110"/>
      <c r="H110"/>
      <c r="I110"/>
      <c r="J110"/>
    </row>
    <row r="111" spans="1:10" ht="11.25" customHeight="1" x14ac:dyDescent="0.25">
      <c r="A111"/>
      <c r="B111"/>
      <c r="C111"/>
      <c r="D111"/>
      <c r="E111"/>
      <c r="F111"/>
      <c r="G111"/>
      <c r="H111"/>
      <c r="I111"/>
      <c r="J111"/>
    </row>
    <row r="112" spans="1:10" ht="11.25" customHeight="1" x14ac:dyDescent="0.25">
      <c r="A112"/>
      <c r="B112"/>
      <c r="C112"/>
      <c r="D112"/>
      <c r="E112"/>
      <c r="F112"/>
      <c r="G112"/>
      <c r="H112"/>
      <c r="I112"/>
      <c r="J112"/>
    </row>
    <row r="113" spans="1:10" ht="11.25" customHeight="1" x14ac:dyDescent="0.25">
      <c r="A113"/>
      <c r="B113"/>
      <c r="C113"/>
      <c r="D113"/>
      <c r="E113"/>
      <c r="F113"/>
      <c r="G113"/>
      <c r="H113"/>
      <c r="I113"/>
      <c r="J113"/>
    </row>
    <row r="114" spans="1:10" ht="11.25" customHeight="1" x14ac:dyDescent="0.25">
      <c r="A114"/>
      <c r="B114"/>
      <c r="C114"/>
      <c r="D114"/>
      <c r="E114"/>
      <c r="F114"/>
      <c r="G114"/>
      <c r="H114"/>
      <c r="I114"/>
      <c r="J114"/>
    </row>
    <row r="115" spans="1:10" ht="11.25" customHeight="1" x14ac:dyDescent="0.25">
      <c r="A115"/>
      <c r="B115"/>
      <c r="C115"/>
      <c r="D115"/>
      <c r="E115"/>
      <c r="F115"/>
      <c r="G115"/>
      <c r="H115"/>
      <c r="I115"/>
      <c r="J115"/>
    </row>
    <row r="116" spans="1:10" ht="11.25" customHeight="1" x14ac:dyDescent="0.25">
      <c r="A116"/>
      <c r="B116"/>
      <c r="C116"/>
      <c r="D116"/>
      <c r="E116"/>
      <c r="F116"/>
      <c r="G116"/>
      <c r="H116"/>
      <c r="I116"/>
      <c r="J116"/>
    </row>
    <row r="117" spans="1:10" ht="11.25" customHeight="1" x14ac:dyDescent="0.25">
      <c r="A117"/>
      <c r="B117"/>
      <c r="C117"/>
      <c r="D117"/>
      <c r="E117"/>
      <c r="F117"/>
      <c r="G117"/>
      <c r="H117"/>
      <c r="I117"/>
      <c r="J117"/>
    </row>
    <row r="118" spans="1:10" ht="11.25" customHeight="1" x14ac:dyDescent="0.25">
      <c r="A118"/>
      <c r="B118"/>
      <c r="C118"/>
      <c r="D118"/>
      <c r="E118"/>
      <c r="F118"/>
      <c r="G118"/>
      <c r="H118"/>
      <c r="I118"/>
      <c r="J118"/>
    </row>
    <row r="119" spans="1:10" ht="11.25" customHeight="1" x14ac:dyDescent="0.25">
      <c r="A119"/>
      <c r="B119"/>
      <c r="C119"/>
      <c r="D119"/>
      <c r="E119"/>
      <c r="F119"/>
      <c r="G119"/>
      <c r="H119"/>
      <c r="I119"/>
      <c r="J119"/>
    </row>
    <row r="120" spans="1:10" ht="11.25" customHeight="1" x14ac:dyDescent="0.25">
      <c r="A120"/>
      <c r="B120"/>
      <c r="C120"/>
      <c r="D120"/>
      <c r="E120"/>
      <c r="F120"/>
      <c r="G120"/>
      <c r="H120"/>
      <c r="I120"/>
      <c r="J120"/>
    </row>
    <row r="121" spans="1:10" ht="11.25" customHeight="1" x14ac:dyDescent="0.25">
      <c r="A121"/>
      <c r="B121"/>
      <c r="C121"/>
      <c r="D121"/>
      <c r="E121"/>
      <c r="F121"/>
      <c r="G121"/>
      <c r="H121"/>
      <c r="I121"/>
      <c r="J121"/>
    </row>
    <row r="122" spans="1:10" ht="11.25" customHeight="1" x14ac:dyDescent="0.25">
      <c r="A122"/>
      <c r="B122"/>
      <c r="C122"/>
      <c r="D122"/>
      <c r="E122"/>
      <c r="F122"/>
      <c r="G122"/>
      <c r="H122"/>
      <c r="I122"/>
      <c r="J122"/>
    </row>
    <row r="123" spans="1:10" ht="11.25" customHeight="1" x14ac:dyDescent="0.25">
      <c r="A123"/>
      <c r="B123"/>
      <c r="C123"/>
      <c r="D123"/>
      <c r="E123"/>
      <c r="F123"/>
      <c r="G123"/>
      <c r="H123"/>
      <c r="I123"/>
      <c r="J123"/>
    </row>
    <row r="124" spans="1:10" ht="11.25" customHeight="1" x14ac:dyDescent="0.25">
      <c r="A124"/>
      <c r="B124"/>
      <c r="C124"/>
      <c r="D124"/>
      <c r="E124"/>
      <c r="F124"/>
      <c r="G124"/>
      <c r="H124"/>
      <c r="I124"/>
      <c r="J124"/>
    </row>
    <row r="125" spans="1:10" ht="11.25" customHeight="1" x14ac:dyDescent="0.25">
      <c r="A125"/>
      <c r="B125"/>
      <c r="C125"/>
      <c r="D125"/>
      <c r="E125"/>
      <c r="F125"/>
      <c r="G125"/>
      <c r="H125"/>
      <c r="I125"/>
      <c r="J125"/>
    </row>
    <row r="126" spans="1:10" ht="11.25" customHeight="1" x14ac:dyDescent="0.25">
      <c r="A126"/>
      <c r="B126"/>
      <c r="C126"/>
      <c r="D126"/>
      <c r="E126"/>
      <c r="F126"/>
      <c r="G126"/>
      <c r="H126"/>
      <c r="I126"/>
      <c r="J126"/>
    </row>
    <row r="127" spans="1:10" ht="11.25" customHeight="1" x14ac:dyDescent="0.25">
      <c r="A127"/>
      <c r="B127"/>
      <c r="C127"/>
      <c r="D127"/>
      <c r="E127"/>
      <c r="F127"/>
      <c r="G127"/>
      <c r="H127"/>
      <c r="I127"/>
      <c r="J127"/>
    </row>
    <row r="128" spans="1:10" ht="11.25" customHeight="1" x14ac:dyDescent="0.25">
      <c r="A128"/>
      <c r="B128"/>
      <c r="C128"/>
      <c r="D128"/>
      <c r="E128"/>
      <c r="F128"/>
      <c r="G128"/>
      <c r="H128"/>
      <c r="I128"/>
      <c r="J128"/>
    </row>
    <row r="129" spans="1:10" ht="11.25" customHeight="1" x14ac:dyDescent="0.25">
      <c r="A129"/>
      <c r="B129"/>
      <c r="C129"/>
      <c r="D129"/>
      <c r="E129"/>
      <c r="F129"/>
      <c r="G129"/>
      <c r="H129"/>
      <c r="I129"/>
      <c r="J129"/>
    </row>
    <row r="130" spans="1:10" ht="11.25" customHeight="1" x14ac:dyDescent="0.25">
      <c r="A130"/>
      <c r="B130"/>
      <c r="C130"/>
      <c r="D130"/>
      <c r="E130"/>
      <c r="F130"/>
      <c r="G130"/>
      <c r="H130"/>
      <c r="I130"/>
      <c r="J130"/>
    </row>
    <row r="131" spans="1:10" ht="11.25" customHeight="1" x14ac:dyDescent="0.25">
      <c r="A131"/>
      <c r="B131"/>
      <c r="C131"/>
      <c r="D131"/>
      <c r="E131"/>
      <c r="F131"/>
      <c r="G131"/>
      <c r="H131"/>
      <c r="I131"/>
      <c r="J131"/>
    </row>
    <row r="132" spans="1:10" ht="11.25" customHeight="1" x14ac:dyDescent="0.25">
      <c r="A132"/>
      <c r="B132"/>
      <c r="C132"/>
      <c r="D132"/>
      <c r="E132"/>
      <c r="F132"/>
      <c r="G132"/>
      <c r="H132"/>
      <c r="I132"/>
      <c r="J132"/>
    </row>
    <row r="133" spans="1:10" ht="11.25" customHeight="1" x14ac:dyDescent="0.25">
      <c r="A133"/>
      <c r="B133"/>
      <c r="C133"/>
      <c r="D133"/>
      <c r="E133"/>
      <c r="F133"/>
      <c r="G133"/>
      <c r="H133"/>
      <c r="I133"/>
      <c r="J133"/>
    </row>
    <row r="134" spans="1:10" ht="11.25" customHeight="1" x14ac:dyDescent="0.25">
      <c r="A134"/>
      <c r="B134"/>
      <c r="C134"/>
      <c r="D134"/>
      <c r="E134"/>
      <c r="F134"/>
      <c r="G134"/>
      <c r="H134"/>
      <c r="I134"/>
      <c r="J134"/>
    </row>
    <row r="135" spans="1:10" ht="11.25" customHeight="1" x14ac:dyDescent="0.25">
      <c r="A135"/>
      <c r="B135"/>
      <c r="C135"/>
      <c r="D135"/>
      <c r="E135"/>
      <c r="F135"/>
      <c r="G135"/>
      <c r="H135"/>
      <c r="I135"/>
      <c r="J135"/>
    </row>
    <row r="136" spans="1:10" ht="11.25" customHeight="1" x14ac:dyDescent="0.25">
      <c r="A136"/>
      <c r="B136"/>
      <c r="C136"/>
      <c r="D136"/>
      <c r="E136"/>
      <c r="F136"/>
      <c r="G136"/>
      <c r="H136"/>
      <c r="I136"/>
      <c r="J136"/>
    </row>
    <row r="137" spans="1:10" ht="11.25" customHeight="1" x14ac:dyDescent="0.25">
      <c r="A137"/>
      <c r="B137"/>
      <c r="C137"/>
      <c r="D137"/>
      <c r="E137"/>
      <c r="F137"/>
      <c r="G137"/>
      <c r="H137"/>
      <c r="I137"/>
      <c r="J137"/>
    </row>
    <row r="138" spans="1:10" ht="11.25" customHeight="1" x14ac:dyDescent="0.25">
      <c r="A138"/>
      <c r="B138"/>
      <c r="C138"/>
      <c r="D138"/>
      <c r="E138"/>
      <c r="F138"/>
      <c r="G138"/>
      <c r="H138"/>
      <c r="I138"/>
      <c r="J138"/>
    </row>
    <row r="139" spans="1:10" ht="11.25" customHeight="1" x14ac:dyDescent="0.25">
      <c r="A139"/>
      <c r="B139"/>
      <c r="C139"/>
      <c r="D139"/>
      <c r="E139"/>
      <c r="F139"/>
      <c r="G139"/>
      <c r="H139"/>
      <c r="I139"/>
      <c r="J139"/>
    </row>
    <row r="140" spans="1:10" ht="11.25" customHeight="1" x14ac:dyDescent="0.25">
      <c r="A140"/>
      <c r="B140"/>
      <c r="C140"/>
      <c r="D140"/>
      <c r="E140"/>
      <c r="F140"/>
      <c r="G140"/>
      <c r="H140"/>
      <c r="I140"/>
      <c r="J140"/>
    </row>
    <row r="141" spans="1:10" ht="11.25" customHeight="1" x14ac:dyDescent="0.25">
      <c r="A141"/>
      <c r="B141"/>
      <c r="C141"/>
      <c r="D141"/>
      <c r="E141"/>
      <c r="F141"/>
      <c r="G141"/>
      <c r="H141"/>
      <c r="I141"/>
      <c r="J141"/>
    </row>
    <row r="142" spans="1:10" ht="11.25" customHeight="1" x14ac:dyDescent="0.25">
      <c r="A142"/>
      <c r="B142"/>
      <c r="C142"/>
      <c r="D142"/>
      <c r="E142"/>
      <c r="F142"/>
      <c r="G142"/>
      <c r="H142"/>
      <c r="I142"/>
      <c r="J142"/>
    </row>
    <row r="143" spans="1:10" ht="11.25" customHeight="1" x14ac:dyDescent="0.25">
      <c r="A143"/>
      <c r="B143"/>
      <c r="C143"/>
      <c r="D143"/>
      <c r="E143"/>
      <c r="F143"/>
      <c r="G143"/>
      <c r="H143"/>
      <c r="I143"/>
      <c r="J143"/>
    </row>
    <row r="144" spans="1:10" ht="11.25" customHeight="1" x14ac:dyDescent="0.25">
      <c r="A144"/>
      <c r="B144"/>
      <c r="C144"/>
      <c r="D144"/>
      <c r="E144"/>
      <c r="F144"/>
      <c r="G144"/>
      <c r="H144"/>
      <c r="I144"/>
      <c r="J144"/>
    </row>
    <row r="145" spans="1:10" ht="11.25" customHeight="1" x14ac:dyDescent="0.25">
      <c r="A145"/>
      <c r="B145"/>
      <c r="C145"/>
      <c r="D145"/>
      <c r="E145"/>
      <c r="F145"/>
      <c r="G145"/>
      <c r="H145"/>
      <c r="I145"/>
      <c r="J145"/>
    </row>
    <row r="146" spans="1:10" ht="11.25" customHeight="1" x14ac:dyDescent="0.25">
      <c r="A146"/>
      <c r="B146"/>
      <c r="C146"/>
      <c r="D146"/>
      <c r="E146"/>
      <c r="F146"/>
      <c r="G146"/>
      <c r="H146"/>
      <c r="I146"/>
      <c r="J146"/>
    </row>
    <row r="147" spans="1:10" ht="11.25" customHeight="1" x14ac:dyDescent="0.25">
      <c r="A147"/>
      <c r="B147"/>
      <c r="C147"/>
      <c r="D147"/>
      <c r="E147"/>
      <c r="F147"/>
      <c r="G147"/>
      <c r="H147"/>
      <c r="I147"/>
      <c r="J147"/>
    </row>
    <row r="148" spans="1:10" ht="11.25" customHeight="1" x14ac:dyDescent="0.25">
      <c r="A148"/>
      <c r="B148"/>
      <c r="C148"/>
      <c r="D148"/>
      <c r="E148"/>
      <c r="F148"/>
      <c r="G148"/>
      <c r="H148"/>
      <c r="I148"/>
      <c r="J148"/>
    </row>
    <row r="149" spans="1:10" ht="11.25" customHeight="1" x14ac:dyDescent="0.25">
      <c r="A149"/>
      <c r="B149"/>
      <c r="C149"/>
      <c r="D149"/>
      <c r="E149"/>
      <c r="F149"/>
      <c r="G149"/>
      <c r="H149"/>
      <c r="I149"/>
      <c r="J149"/>
    </row>
    <row r="150" spans="1:10" ht="11.25" customHeight="1" x14ac:dyDescent="0.25">
      <c r="A150"/>
      <c r="B150"/>
      <c r="C150"/>
      <c r="D150"/>
      <c r="E150"/>
      <c r="F150"/>
      <c r="G150"/>
      <c r="H150"/>
      <c r="I150"/>
      <c r="J150"/>
    </row>
    <row r="151" spans="1:10" ht="11.25" customHeight="1" x14ac:dyDescent="0.25">
      <c r="A151"/>
      <c r="B151"/>
      <c r="C151"/>
      <c r="D151"/>
      <c r="E151"/>
      <c r="F151"/>
      <c r="G151"/>
      <c r="H151"/>
      <c r="I151"/>
      <c r="J151"/>
    </row>
    <row r="152" spans="1:10" ht="11.25" customHeight="1" x14ac:dyDescent="0.25">
      <c r="A152"/>
      <c r="B152"/>
      <c r="C152"/>
      <c r="D152"/>
      <c r="E152"/>
      <c r="F152"/>
      <c r="G152"/>
      <c r="H152"/>
      <c r="I152"/>
      <c r="J152"/>
    </row>
    <row r="153" spans="1:10" ht="11.25" customHeight="1" x14ac:dyDescent="0.25">
      <c r="A153"/>
      <c r="B153"/>
      <c r="C153"/>
      <c r="D153"/>
      <c r="E153"/>
      <c r="F153"/>
      <c r="G153"/>
      <c r="H153"/>
      <c r="I153"/>
      <c r="J153"/>
    </row>
    <row r="154" spans="1:10" ht="11.25" customHeight="1" x14ac:dyDescent="0.25">
      <c r="A154"/>
      <c r="B154"/>
      <c r="C154"/>
      <c r="D154"/>
      <c r="E154"/>
      <c r="F154"/>
      <c r="G154"/>
      <c r="H154"/>
      <c r="I154"/>
      <c r="J154"/>
    </row>
    <row r="155" spans="1:10" ht="11.25" customHeight="1" x14ac:dyDescent="0.25">
      <c r="A155"/>
      <c r="B155"/>
      <c r="C155"/>
      <c r="D155"/>
      <c r="E155"/>
      <c r="F155"/>
      <c r="G155"/>
      <c r="H155"/>
      <c r="I155"/>
      <c r="J155"/>
    </row>
    <row r="156" spans="1:10" ht="11.25" customHeight="1" x14ac:dyDescent="0.25">
      <c r="A156"/>
      <c r="B156"/>
      <c r="C156"/>
      <c r="D156"/>
      <c r="E156"/>
      <c r="F156"/>
      <c r="G156"/>
      <c r="H156"/>
      <c r="I156"/>
      <c r="J156"/>
    </row>
    <row r="157" spans="1:10" ht="11.25" customHeight="1" x14ac:dyDescent="0.25">
      <c r="A157"/>
      <c r="B157"/>
      <c r="C157"/>
      <c r="D157"/>
      <c r="E157"/>
      <c r="F157"/>
      <c r="G157"/>
      <c r="H157"/>
      <c r="I157"/>
      <c r="J157"/>
    </row>
    <row r="158" spans="1:10" ht="11.25" customHeight="1" x14ac:dyDescent="0.25">
      <c r="A158"/>
      <c r="B158"/>
      <c r="C158"/>
      <c r="D158"/>
      <c r="E158"/>
      <c r="F158"/>
      <c r="G158"/>
      <c r="H158"/>
      <c r="I158"/>
      <c r="J158"/>
    </row>
    <row r="159" spans="1:10" ht="11.25" customHeight="1" x14ac:dyDescent="0.25">
      <c r="A159"/>
      <c r="B159"/>
      <c r="C159"/>
      <c r="D159"/>
      <c r="E159"/>
      <c r="F159"/>
      <c r="G159"/>
      <c r="H159"/>
      <c r="I159"/>
      <c r="J159"/>
    </row>
    <row r="160" spans="1:10" ht="11.25" customHeight="1" x14ac:dyDescent="0.25">
      <c r="A160"/>
      <c r="B160"/>
      <c r="C160"/>
      <c r="D160"/>
      <c r="E160"/>
      <c r="F160"/>
      <c r="G160"/>
      <c r="H160"/>
      <c r="I160"/>
      <c r="J160"/>
    </row>
    <row r="161" spans="1:10" ht="11.25" customHeight="1" x14ac:dyDescent="0.25">
      <c r="A161"/>
      <c r="B161"/>
      <c r="C161"/>
      <c r="D161"/>
      <c r="E161"/>
      <c r="F161"/>
      <c r="G161"/>
      <c r="H161"/>
      <c r="I161"/>
      <c r="J161"/>
    </row>
    <row r="162" spans="1:10" ht="11.25" customHeight="1" x14ac:dyDescent="0.25">
      <c r="A162"/>
      <c r="B162"/>
      <c r="C162"/>
      <c r="D162"/>
      <c r="E162"/>
      <c r="F162"/>
      <c r="G162"/>
      <c r="H162"/>
      <c r="I162"/>
      <c r="J162"/>
    </row>
    <row r="163" spans="1:10" ht="11.25" customHeight="1" x14ac:dyDescent="0.25">
      <c r="A163"/>
      <c r="B163"/>
      <c r="C163"/>
      <c r="D163"/>
      <c r="E163"/>
      <c r="F163"/>
      <c r="G163"/>
      <c r="H163"/>
      <c r="I163"/>
      <c r="J163"/>
    </row>
    <row r="164" spans="1:10" ht="11.25" customHeight="1" x14ac:dyDescent="0.25">
      <c r="A164"/>
      <c r="B164"/>
      <c r="C164"/>
      <c r="D164"/>
      <c r="E164"/>
      <c r="F164"/>
      <c r="G164"/>
      <c r="H164"/>
      <c r="I164"/>
      <c r="J164"/>
    </row>
    <row r="165" spans="1:10" ht="11.25" customHeight="1" x14ac:dyDescent="0.25">
      <c r="A165"/>
      <c r="B165"/>
      <c r="C165"/>
      <c r="D165"/>
      <c r="E165"/>
      <c r="F165"/>
      <c r="G165"/>
      <c r="H165"/>
      <c r="I165"/>
      <c r="J165"/>
    </row>
    <row r="166" spans="1:10" ht="11.25" customHeight="1" x14ac:dyDescent="0.25">
      <c r="A166"/>
      <c r="B166"/>
      <c r="C166"/>
      <c r="D166"/>
      <c r="E166"/>
      <c r="F166"/>
      <c r="G166"/>
      <c r="H166"/>
      <c r="I166"/>
      <c r="J166"/>
    </row>
    <row r="167" spans="1:10" ht="11.25" customHeight="1" x14ac:dyDescent="0.25">
      <c r="A167"/>
      <c r="B167"/>
      <c r="C167"/>
      <c r="D167"/>
      <c r="E167"/>
      <c r="F167"/>
      <c r="G167"/>
      <c r="H167"/>
      <c r="I167"/>
      <c r="J167"/>
    </row>
    <row r="168" spans="1:10" ht="11.25" customHeight="1" x14ac:dyDescent="0.25">
      <c r="A168"/>
      <c r="B168"/>
      <c r="C168"/>
      <c r="D168"/>
      <c r="E168"/>
      <c r="F168"/>
      <c r="G168"/>
      <c r="H168"/>
      <c r="I168"/>
      <c r="J168"/>
    </row>
    <row r="169" spans="1:10" ht="11.25" customHeight="1" x14ac:dyDescent="0.25">
      <c r="A169"/>
      <c r="B169"/>
      <c r="C169"/>
      <c r="D169"/>
      <c r="E169"/>
      <c r="F169"/>
      <c r="G169"/>
      <c r="H169"/>
      <c r="I169"/>
      <c r="J169"/>
    </row>
    <row r="170" spans="1:10" ht="11.25" customHeight="1" x14ac:dyDescent="0.25">
      <c r="A170"/>
      <c r="B170"/>
      <c r="C170"/>
      <c r="D170"/>
      <c r="E170"/>
      <c r="F170"/>
      <c r="G170"/>
      <c r="H170"/>
      <c r="I170"/>
      <c r="J170"/>
    </row>
    <row r="171" spans="1:10" ht="11.25" customHeight="1" x14ac:dyDescent="0.25">
      <c r="A171"/>
      <c r="B171"/>
      <c r="C171"/>
      <c r="D171"/>
      <c r="E171"/>
      <c r="F171"/>
      <c r="G171"/>
      <c r="H171"/>
      <c r="I171"/>
      <c r="J171"/>
    </row>
    <row r="172" spans="1:10" ht="11.25" customHeight="1" x14ac:dyDescent="0.25">
      <c r="A172"/>
      <c r="B172"/>
      <c r="C172"/>
      <c r="D172"/>
      <c r="E172"/>
      <c r="F172"/>
      <c r="G172"/>
      <c r="H172"/>
      <c r="I172"/>
      <c r="J172"/>
    </row>
    <row r="173" spans="1:10" ht="11.25" customHeight="1" x14ac:dyDescent="0.25">
      <c r="A173"/>
      <c r="B173"/>
      <c r="C173"/>
      <c r="D173"/>
      <c r="E173"/>
      <c r="F173"/>
      <c r="G173"/>
      <c r="H173"/>
      <c r="I173"/>
      <c r="J173"/>
    </row>
    <row r="174" spans="1:10" ht="11.25" customHeight="1" x14ac:dyDescent="0.25">
      <c r="A174"/>
      <c r="B174"/>
      <c r="C174"/>
      <c r="D174"/>
      <c r="E174"/>
      <c r="F174"/>
      <c r="G174"/>
      <c r="H174"/>
      <c r="I174"/>
      <c r="J174"/>
    </row>
    <row r="175" spans="1:10" ht="11.25" customHeight="1" x14ac:dyDescent="0.25">
      <c r="A175"/>
      <c r="B175"/>
      <c r="C175"/>
      <c r="D175"/>
      <c r="E175"/>
      <c r="F175"/>
      <c r="G175"/>
      <c r="H175"/>
      <c r="I175"/>
      <c r="J175"/>
    </row>
    <row r="176" spans="1:10" ht="11.25" customHeight="1" x14ac:dyDescent="0.25">
      <c r="A176"/>
      <c r="B176"/>
      <c r="C176"/>
      <c r="D176"/>
      <c r="E176"/>
      <c r="F176"/>
      <c r="G176"/>
      <c r="H176"/>
      <c r="I176"/>
      <c r="J176"/>
    </row>
    <row r="177" spans="1:10" ht="11.25" customHeight="1" x14ac:dyDescent="0.25">
      <c r="A177"/>
      <c r="B177"/>
      <c r="C177"/>
      <c r="D177"/>
      <c r="E177"/>
      <c r="F177"/>
      <c r="G177"/>
      <c r="H177"/>
      <c r="I177"/>
      <c r="J177"/>
    </row>
    <row r="178" spans="1:10" ht="11.25" customHeight="1" x14ac:dyDescent="0.25">
      <c r="A178"/>
      <c r="B178"/>
      <c r="C178"/>
      <c r="D178"/>
      <c r="E178"/>
      <c r="F178"/>
      <c r="G178"/>
      <c r="H178"/>
      <c r="I178"/>
      <c r="J178"/>
    </row>
    <row r="179" spans="1:10" ht="11.25" customHeight="1" x14ac:dyDescent="0.25">
      <c r="A179"/>
      <c r="B179"/>
      <c r="C179"/>
      <c r="D179"/>
      <c r="E179"/>
      <c r="F179"/>
      <c r="G179"/>
      <c r="H179"/>
      <c r="I179"/>
      <c r="J179"/>
    </row>
    <row r="180" spans="1:10" ht="11.25" customHeight="1" x14ac:dyDescent="0.25">
      <c r="A180"/>
      <c r="B180"/>
      <c r="C180"/>
      <c r="D180"/>
      <c r="E180"/>
      <c r="F180"/>
      <c r="G180"/>
      <c r="H180"/>
      <c r="I180"/>
      <c r="J180"/>
    </row>
    <row r="181" spans="1:10" ht="11.25" customHeight="1" x14ac:dyDescent="0.25">
      <c r="A181"/>
      <c r="B181"/>
      <c r="C181"/>
      <c r="D181"/>
      <c r="E181"/>
      <c r="F181"/>
      <c r="G181"/>
      <c r="H181"/>
      <c r="I181"/>
      <c r="J181"/>
    </row>
    <row r="182" spans="1:10" ht="11.25" customHeight="1" x14ac:dyDescent="0.25">
      <c r="A182"/>
      <c r="B182"/>
      <c r="C182"/>
      <c r="D182"/>
      <c r="E182"/>
      <c r="F182"/>
      <c r="G182"/>
      <c r="H182"/>
      <c r="I182"/>
      <c r="J182"/>
    </row>
    <row r="183" spans="1:10" ht="11.25" customHeight="1" x14ac:dyDescent="0.25">
      <c r="A183"/>
      <c r="B183"/>
      <c r="C183"/>
      <c r="D183"/>
      <c r="E183"/>
      <c r="F183"/>
      <c r="G183"/>
      <c r="H183"/>
      <c r="I183"/>
      <c r="J183"/>
    </row>
    <row r="184" spans="1:10" ht="11.25" customHeight="1" x14ac:dyDescent="0.25">
      <c r="A184"/>
      <c r="B184"/>
      <c r="C184"/>
      <c r="D184"/>
      <c r="E184"/>
      <c r="F184"/>
      <c r="G184"/>
      <c r="H184"/>
      <c r="I184"/>
      <c r="J184"/>
    </row>
    <row r="185" spans="1:10" ht="11.25" customHeight="1" x14ac:dyDescent="0.25">
      <c r="A185"/>
      <c r="B185"/>
      <c r="C185"/>
      <c r="D185"/>
      <c r="E185"/>
      <c r="F185"/>
      <c r="G185"/>
      <c r="H185"/>
      <c r="I185"/>
      <c r="J185"/>
    </row>
    <row r="186" spans="1:10" ht="11.25" customHeight="1" x14ac:dyDescent="0.25">
      <c r="A186"/>
      <c r="B186"/>
      <c r="C186"/>
      <c r="D186"/>
      <c r="E186"/>
      <c r="F186"/>
      <c r="G186"/>
      <c r="H186"/>
      <c r="I186"/>
      <c r="J186"/>
    </row>
    <row r="187" spans="1:10" ht="11.25" customHeight="1" x14ac:dyDescent="0.25">
      <c r="A187"/>
      <c r="B187"/>
      <c r="C187"/>
      <c r="D187"/>
      <c r="E187"/>
      <c r="F187"/>
      <c r="G187"/>
      <c r="H187"/>
      <c r="I187"/>
      <c r="J187"/>
    </row>
    <row r="188" spans="1:10" ht="11.25" customHeight="1" x14ac:dyDescent="0.25">
      <c r="A188"/>
      <c r="B188"/>
      <c r="C188"/>
      <c r="D188"/>
      <c r="E188"/>
      <c r="F188"/>
      <c r="G188"/>
      <c r="H188"/>
      <c r="I188"/>
      <c r="J188"/>
    </row>
    <row r="189" spans="1:10" ht="11.25" customHeight="1" x14ac:dyDescent="0.25">
      <c r="A189"/>
      <c r="B189"/>
      <c r="C189"/>
      <c r="D189"/>
      <c r="E189"/>
      <c r="F189"/>
      <c r="G189"/>
      <c r="H189"/>
      <c r="I189"/>
      <c r="J189"/>
    </row>
    <row r="190" spans="1:10" ht="11.25" customHeight="1" x14ac:dyDescent="0.25">
      <c r="A190"/>
      <c r="B190"/>
      <c r="C190"/>
      <c r="D190"/>
      <c r="E190"/>
      <c r="F190"/>
      <c r="G190"/>
      <c r="H190"/>
      <c r="I190"/>
      <c r="J190"/>
    </row>
    <row r="191" spans="1:10" ht="11.25" customHeight="1" x14ac:dyDescent="0.25">
      <c r="A191"/>
      <c r="B191"/>
      <c r="C191"/>
      <c r="D191"/>
      <c r="E191"/>
      <c r="F191"/>
      <c r="G191"/>
      <c r="H191"/>
      <c r="I191"/>
      <c r="J191"/>
    </row>
    <row r="192" spans="1:10" ht="11.25" customHeight="1" x14ac:dyDescent="0.25">
      <c r="A192"/>
      <c r="B192"/>
      <c r="C192"/>
      <c r="D192"/>
      <c r="E192"/>
      <c r="F192"/>
      <c r="G192"/>
      <c r="H192"/>
      <c r="I192"/>
      <c r="J192"/>
    </row>
    <row r="193" spans="1:10" ht="11.25" customHeight="1" x14ac:dyDescent="0.25">
      <c r="A193"/>
      <c r="B193"/>
      <c r="C193"/>
      <c r="D193"/>
      <c r="E193"/>
      <c r="F193"/>
      <c r="G193"/>
      <c r="H193"/>
      <c r="I193"/>
      <c r="J193"/>
    </row>
    <row r="194" spans="1:10" ht="11.25" customHeight="1" x14ac:dyDescent="0.25">
      <c r="A194"/>
      <c r="B194"/>
      <c r="C194"/>
      <c r="D194"/>
      <c r="E194"/>
      <c r="F194"/>
      <c r="G194"/>
      <c r="H194"/>
      <c r="I194"/>
      <c r="J194"/>
    </row>
    <row r="195" spans="1:10" ht="11.25" customHeight="1" x14ac:dyDescent="0.25">
      <c r="A195"/>
      <c r="B195"/>
      <c r="C195"/>
      <c r="D195"/>
      <c r="E195"/>
      <c r="F195"/>
      <c r="G195"/>
      <c r="H195"/>
      <c r="I195"/>
      <c r="J195"/>
    </row>
    <row r="196" spans="1:10" ht="11.25" customHeight="1" x14ac:dyDescent="0.25">
      <c r="A196"/>
      <c r="B196"/>
      <c r="C196"/>
      <c r="D196"/>
      <c r="E196"/>
      <c r="F196"/>
      <c r="G196"/>
      <c r="H196"/>
      <c r="I196"/>
      <c r="J196"/>
    </row>
    <row r="197" spans="1:10" ht="11.25" customHeight="1" x14ac:dyDescent="0.25">
      <c r="A197"/>
      <c r="B197"/>
      <c r="C197"/>
      <c r="D197"/>
      <c r="E197"/>
      <c r="F197"/>
      <c r="G197"/>
      <c r="H197"/>
      <c r="I197"/>
      <c r="J197"/>
    </row>
    <row r="198" spans="1:10" ht="11.25" customHeight="1" x14ac:dyDescent="0.25">
      <c r="A198"/>
      <c r="B198"/>
      <c r="C198"/>
      <c r="D198"/>
      <c r="E198"/>
      <c r="F198"/>
      <c r="G198"/>
      <c r="H198"/>
      <c r="I198"/>
      <c r="J198"/>
    </row>
    <row r="199" spans="1:10" ht="11.25" customHeight="1" x14ac:dyDescent="0.25">
      <c r="A199"/>
      <c r="B199"/>
      <c r="C199"/>
      <c r="D199"/>
      <c r="E199"/>
      <c r="F199"/>
      <c r="G199"/>
      <c r="H199"/>
      <c r="I199"/>
      <c r="J199"/>
    </row>
    <row r="200" spans="1:10" ht="11.25" customHeight="1" x14ac:dyDescent="0.25">
      <c r="A200"/>
      <c r="B200"/>
      <c r="C200"/>
      <c r="D200"/>
      <c r="E200"/>
      <c r="F200"/>
      <c r="G200"/>
      <c r="H200"/>
      <c r="I200"/>
      <c r="J200"/>
    </row>
    <row r="201" spans="1:10" ht="11.25" customHeight="1" x14ac:dyDescent="0.25">
      <c r="A201"/>
      <c r="B201"/>
      <c r="C201"/>
      <c r="D201"/>
      <c r="E201"/>
      <c r="F201"/>
      <c r="G201"/>
      <c r="H201"/>
      <c r="I201"/>
      <c r="J201"/>
    </row>
    <row r="202" spans="1:10" ht="11.25" customHeight="1" x14ac:dyDescent="0.25">
      <c r="A202"/>
      <c r="B202"/>
      <c r="C202"/>
      <c r="D202"/>
      <c r="E202"/>
      <c r="F202"/>
      <c r="G202"/>
      <c r="H202"/>
      <c r="I202"/>
      <c r="J202"/>
    </row>
    <row r="203" spans="1:10" ht="11.25" customHeight="1" x14ac:dyDescent="0.25">
      <c r="A203"/>
      <c r="B203"/>
      <c r="C203"/>
      <c r="D203"/>
      <c r="E203"/>
      <c r="F203"/>
      <c r="G203"/>
      <c r="H203"/>
      <c r="I203"/>
      <c r="J203"/>
    </row>
    <row r="204" spans="1:10" ht="11.25" customHeight="1" x14ac:dyDescent="0.25">
      <c r="A204"/>
      <c r="B204"/>
      <c r="C204"/>
      <c r="D204"/>
      <c r="E204"/>
      <c r="F204"/>
      <c r="G204"/>
      <c r="H204"/>
      <c r="I204"/>
      <c r="J204"/>
    </row>
    <row r="205" spans="1:10" ht="11.25" customHeight="1" x14ac:dyDescent="0.25">
      <c r="A205"/>
      <c r="B205"/>
      <c r="C205"/>
      <c r="D205"/>
      <c r="E205"/>
      <c r="F205"/>
      <c r="G205"/>
      <c r="H205"/>
      <c r="I205"/>
      <c r="J205"/>
    </row>
    <row r="206" spans="1:10" ht="11.25" customHeight="1" x14ac:dyDescent="0.25">
      <c r="A206"/>
      <c r="B206"/>
      <c r="C206"/>
      <c r="D206"/>
      <c r="E206"/>
      <c r="F206"/>
      <c r="G206"/>
      <c r="H206"/>
      <c r="I206"/>
      <c r="J206"/>
    </row>
    <row r="207" spans="1:10" ht="11.25" customHeight="1" x14ac:dyDescent="0.25">
      <c r="A207"/>
      <c r="B207"/>
      <c r="C207"/>
      <c r="D207"/>
      <c r="E207"/>
      <c r="F207"/>
      <c r="G207"/>
      <c r="H207"/>
      <c r="I207"/>
      <c r="J207"/>
    </row>
    <row r="208" spans="1:10" ht="11.25" customHeight="1" x14ac:dyDescent="0.25">
      <c r="A208"/>
      <c r="B208"/>
      <c r="C208"/>
      <c r="D208"/>
      <c r="E208"/>
      <c r="F208"/>
      <c r="G208"/>
      <c r="H208"/>
      <c r="I208"/>
      <c r="J208"/>
    </row>
    <row r="209" spans="1:10" ht="11.25" customHeight="1" x14ac:dyDescent="0.25">
      <c r="A209"/>
      <c r="B209"/>
      <c r="C209"/>
      <c r="D209"/>
      <c r="E209"/>
      <c r="F209"/>
      <c r="G209"/>
      <c r="H209"/>
      <c r="I209"/>
      <c r="J209"/>
    </row>
    <row r="210" spans="1:10" ht="11.25" customHeight="1" x14ac:dyDescent="0.25">
      <c r="A210"/>
      <c r="B210"/>
      <c r="C210"/>
      <c r="D210"/>
      <c r="E210"/>
      <c r="F210"/>
      <c r="G210"/>
      <c r="H210"/>
      <c r="I210"/>
      <c r="J210"/>
    </row>
    <row r="211" spans="1:10" ht="11.25" customHeight="1" x14ac:dyDescent="0.25">
      <c r="A211"/>
      <c r="B211"/>
      <c r="C211"/>
      <c r="D211"/>
      <c r="E211"/>
      <c r="F211"/>
      <c r="G211"/>
      <c r="H211"/>
      <c r="I211"/>
      <c r="J211"/>
    </row>
    <row r="212" spans="1:10" ht="11.25" customHeight="1" x14ac:dyDescent="0.25">
      <c r="A212"/>
      <c r="B212"/>
      <c r="C212"/>
      <c r="D212"/>
      <c r="E212"/>
      <c r="F212"/>
      <c r="G212"/>
      <c r="H212"/>
      <c r="I212"/>
      <c r="J212"/>
    </row>
    <row r="213" spans="1:10" ht="11.25" customHeight="1" x14ac:dyDescent="0.25">
      <c r="A213"/>
      <c r="B213"/>
      <c r="C213"/>
      <c r="D213"/>
      <c r="E213"/>
      <c r="F213"/>
      <c r="G213"/>
      <c r="H213"/>
      <c r="I213"/>
      <c r="J213"/>
    </row>
    <row r="214" spans="1:10" ht="11.25" customHeight="1" x14ac:dyDescent="0.25">
      <c r="A214"/>
      <c r="B214"/>
      <c r="C214"/>
      <c r="D214"/>
      <c r="E214"/>
      <c r="F214"/>
      <c r="G214"/>
      <c r="H214"/>
      <c r="I214"/>
      <c r="J214"/>
    </row>
    <row r="215" spans="1:10" ht="11.25" customHeight="1" x14ac:dyDescent="0.25">
      <c r="A215"/>
      <c r="B215"/>
      <c r="C215"/>
      <c r="D215"/>
      <c r="E215"/>
      <c r="F215"/>
      <c r="G215"/>
      <c r="H215"/>
      <c r="I215"/>
      <c r="J215"/>
    </row>
    <row r="216" spans="1:10" ht="11.25" customHeight="1" x14ac:dyDescent="0.25">
      <c r="A216"/>
      <c r="B216"/>
      <c r="C216"/>
      <c r="D216"/>
      <c r="E216"/>
      <c r="F216"/>
      <c r="G216"/>
      <c r="H216"/>
      <c r="I216"/>
      <c r="J216"/>
    </row>
    <row r="217" spans="1:10" ht="11.25" customHeight="1" x14ac:dyDescent="0.25">
      <c r="A217"/>
      <c r="B217"/>
      <c r="C217"/>
      <c r="D217"/>
      <c r="E217"/>
      <c r="F217"/>
      <c r="G217"/>
      <c r="H217"/>
      <c r="I217"/>
      <c r="J217"/>
    </row>
    <row r="218" spans="1:10" ht="11.25" customHeight="1" x14ac:dyDescent="0.25">
      <c r="A218"/>
      <c r="B218"/>
      <c r="C218"/>
      <c r="D218"/>
      <c r="E218"/>
      <c r="F218"/>
      <c r="G218"/>
      <c r="H218"/>
      <c r="I218"/>
      <c r="J218"/>
    </row>
    <row r="219" spans="1:10" ht="11.25" customHeight="1" x14ac:dyDescent="0.25">
      <c r="A219"/>
      <c r="B219"/>
      <c r="C219"/>
      <c r="D219"/>
      <c r="E219"/>
      <c r="F219"/>
      <c r="G219"/>
      <c r="H219"/>
      <c r="I219"/>
      <c r="J219"/>
    </row>
    <row r="220" spans="1:10" ht="11.25" customHeight="1" x14ac:dyDescent="0.25">
      <c r="A220"/>
      <c r="B220"/>
      <c r="C220"/>
      <c r="D220"/>
      <c r="E220"/>
      <c r="F220"/>
      <c r="G220"/>
      <c r="H220"/>
      <c r="I220"/>
      <c r="J220"/>
    </row>
    <row r="221" spans="1:10" ht="11.25" customHeight="1" x14ac:dyDescent="0.25">
      <c r="A221"/>
      <c r="B221"/>
      <c r="C221"/>
      <c r="D221"/>
      <c r="E221"/>
      <c r="F221"/>
      <c r="G221"/>
      <c r="H221"/>
      <c r="I221"/>
      <c r="J221"/>
    </row>
    <row r="222" spans="1:10" ht="11.25" customHeight="1" x14ac:dyDescent="0.25">
      <c r="A222"/>
      <c r="B222"/>
      <c r="C222"/>
      <c r="D222"/>
      <c r="E222"/>
      <c r="F222"/>
      <c r="G222"/>
      <c r="H222"/>
      <c r="I222"/>
      <c r="J222"/>
    </row>
    <row r="223" spans="1:10" ht="11.25" customHeight="1" x14ac:dyDescent="0.25">
      <c r="A223"/>
      <c r="B223"/>
      <c r="C223"/>
      <c r="D223"/>
      <c r="E223"/>
      <c r="F223"/>
      <c r="G223"/>
      <c r="H223"/>
      <c r="I223"/>
      <c r="J223"/>
    </row>
    <row r="224" spans="1:10" ht="11.25" customHeight="1" x14ac:dyDescent="0.25">
      <c r="A224"/>
      <c r="B224"/>
      <c r="C224"/>
      <c r="D224"/>
      <c r="E224"/>
      <c r="F224"/>
      <c r="G224"/>
      <c r="H224"/>
      <c r="I224"/>
      <c r="J224"/>
    </row>
    <row r="225" spans="1:10" ht="11.25" customHeight="1" x14ac:dyDescent="0.25">
      <c r="A225"/>
      <c r="B225"/>
      <c r="C225"/>
      <c r="D225"/>
      <c r="E225"/>
      <c r="F225"/>
      <c r="G225"/>
      <c r="H225"/>
      <c r="I225"/>
      <c r="J225"/>
    </row>
    <row r="226" spans="1:10" ht="11.25" customHeight="1" x14ac:dyDescent="0.25">
      <c r="A226"/>
      <c r="B226"/>
      <c r="C226"/>
      <c r="D226"/>
      <c r="E226"/>
      <c r="F226"/>
      <c r="G226"/>
      <c r="H226"/>
      <c r="I226"/>
      <c r="J226"/>
    </row>
    <row r="227" spans="1:10" ht="11.25" customHeight="1" x14ac:dyDescent="0.25">
      <c r="A227"/>
      <c r="B227"/>
      <c r="C227"/>
      <c r="D227"/>
      <c r="E227"/>
      <c r="F227"/>
      <c r="G227"/>
      <c r="H227"/>
      <c r="I227"/>
      <c r="J227"/>
    </row>
    <row r="228" spans="1:10" ht="11.25" customHeight="1" x14ac:dyDescent="0.25">
      <c r="A228"/>
      <c r="B228"/>
      <c r="C228"/>
      <c r="D228"/>
      <c r="E228"/>
      <c r="F228"/>
      <c r="G228"/>
      <c r="H228"/>
      <c r="I228"/>
      <c r="J228"/>
    </row>
    <row r="229" spans="1:10" ht="11.25" customHeight="1" x14ac:dyDescent="0.25">
      <c r="A229"/>
      <c r="B229"/>
      <c r="C229"/>
      <c r="D229"/>
      <c r="E229"/>
      <c r="F229"/>
      <c r="G229"/>
      <c r="H229"/>
      <c r="I229"/>
      <c r="J229"/>
    </row>
    <row r="230" spans="1:10" ht="11.25" customHeight="1" x14ac:dyDescent="0.25">
      <c r="A230"/>
      <c r="B230"/>
      <c r="C230"/>
      <c r="D230"/>
      <c r="E230"/>
      <c r="F230"/>
      <c r="G230"/>
      <c r="H230"/>
      <c r="I230"/>
      <c r="J230"/>
    </row>
    <row r="231" spans="1:10" ht="11.25" customHeight="1" x14ac:dyDescent="0.25">
      <c r="A231"/>
      <c r="B231"/>
      <c r="C231"/>
      <c r="D231"/>
      <c r="E231"/>
      <c r="F231"/>
      <c r="G231"/>
      <c r="H231"/>
      <c r="I231"/>
      <c r="J231"/>
    </row>
    <row r="232" spans="1:10" ht="11.25" customHeight="1" x14ac:dyDescent="0.25">
      <c r="A232"/>
      <c r="B232"/>
      <c r="C232"/>
      <c r="D232"/>
      <c r="E232"/>
      <c r="F232"/>
      <c r="G232"/>
      <c r="H232"/>
      <c r="I232"/>
      <c r="J232"/>
    </row>
    <row r="233" spans="1:10" ht="11.25" customHeight="1" x14ac:dyDescent="0.25">
      <c r="A233"/>
      <c r="B233"/>
      <c r="C233"/>
      <c r="D233"/>
      <c r="E233"/>
      <c r="F233"/>
      <c r="G233"/>
      <c r="H233"/>
      <c r="I233"/>
      <c r="J233"/>
    </row>
    <row r="234" spans="1:10" ht="11.25" customHeight="1" x14ac:dyDescent="0.25">
      <c r="A234"/>
      <c r="B234"/>
      <c r="C234"/>
      <c r="D234"/>
      <c r="E234"/>
      <c r="F234"/>
      <c r="G234"/>
      <c r="H234"/>
      <c r="I234"/>
      <c r="J234"/>
    </row>
    <row r="235" spans="1:10" ht="11.25" customHeight="1" x14ac:dyDescent="0.25">
      <c r="A235"/>
      <c r="B235"/>
      <c r="C235"/>
      <c r="D235"/>
      <c r="E235"/>
      <c r="F235"/>
      <c r="G235"/>
      <c r="H235"/>
      <c r="I235"/>
      <c r="J235"/>
    </row>
    <row r="236" spans="1:10" ht="11.25" customHeight="1" x14ac:dyDescent="0.25">
      <c r="A236"/>
      <c r="B236"/>
      <c r="C236"/>
      <c r="D236"/>
      <c r="E236"/>
      <c r="F236"/>
      <c r="G236"/>
      <c r="H236"/>
      <c r="I236"/>
      <c r="J236"/>
    </row>
    <row r="237" spans="1:10" ht="11.25" customHeight="1" x14ac:dyDescent="0.25">
      <c r="A237"/>
      <c r="B237"/>
      <c r="C237"/>
      <c r="D237"/>
      <c r="E237"/>
      <c r="F237"/>
      <c r="G237"/>
      <c r="H237"/>
      <c r="I237"/>
      <c r="J237"/>
    </row>
    <row r="238" spans="1:10" ht="11.25" customHeight="1" x14ac:dyDescent="0.25">
      <c r="A238"/>
      <c r="B238"/>
      <c r="C238"/>
      <c r="D238"/>
      <c r="E238"/>
      <c r="F238"/>
      <c r="G238"/>
      <c r="H238"/>
      <c r="I238"/>
      <c r="J238"/>
    </row>
    <row r="239" spans="1:10" ht="11.25" customHeight="1" x14ac:dyDescent="0.25">
      <c r="A239"/>
      <c r="B239"/>
      <c r="C239"/>
      <c r="D239"/>
      <c r="E239"/>
      <c r="F239"/>
      <c r="G239"/>
      <c r="H239"/>
      <c r="I239"/>
      <c r="J239"/>
    </row>
    <row r="240" spans="1:10" ht="11.25" customHeight="1" x14ac:dyDescent="0.25">
      <c r="A240"/>
      <c r="B240"/>
      <c r="C240"/>
      <c r="D240"/>
      <c r="E240"/>
      <c r="F240"/>
      <c r="G240"/>
      <c r="H240"/>
      <c r="I240"/>
      <c r="J240"/>
    </row>
    <row r="241" spans="1:10" ht="11.25" customHeight="1" x14ac:dyDescent="0.25">
      <c r="A241"/>
      <c r="B241"/>
      <c r="C241"/>
      <c r="D241"/>
      <c r="E241"/>
      <c r="F241"/>
      <c r="G241"/>
      <c r="H241"/>
      <c r="I241"/>
      <c r="J241"/>
    </row>
    <row r="242" spans="1:10" ht="11.25" customHeight="1" x14ac:dyDescent="0.25">
      <c r="A242"/>
      <c r="B242"/>
      <c r="C242"/>
      <c r="D242"/>
      <c r="E242"/>
      <c r="F242"/>
      <c r="G242"/>
      <c r="H242"/>
      <c r="I242"/>
      <c r="J242"/>
    </row>
    <row r="243" spans="1:10" ht="11.25" customHeight="1" x14ac:dyDescent="0.25">
      <c r="A243"/>
      <c r="B243"/>
      <c r="C243"/>
      <c r="D243"/>
      <c r="E243"/>
      <c r="F243"/>
      <c r="G243"/>
      <c r="H243"/>
      <c r="I243"/>
      <c r="J243"/>
    </row>
    <row r="244" spans="1:10" ht="11.25" customHeight="1" x14ac:dyDescent="0.25">
      <c r="A244"/>
      <c r="B244"/>
      <c r="C244"/>
      <c r="D244"/>
      <c r="E244"/>
      <c r="F244"/>
      <c r="G244"/>
      <c r="H244"/>
      <c r="I244"/>
      <c r="J244"/>
    </row>
    <row r="245" spans="1:10" ht="11.25" customHeight="1" x14ac:dyDescent="0.25">
      <c r="A245"/>
      <c r="B245"/>
      <c r="C245"/>
      <c r="D245"/>
      <c r="E245"/>
      <c r="F245"/>
      <c r="G245"/>
      <c r="H245"/>
      <c r="I245"/>
      <c r="J245"/>
    </row>
    <row r="246" spans="1:10" ht="11.25" customHeight="1" x14ac:dyDescent="0.25">
      <c r="A246"/>
      <c r="B246"/>
      <c r="C246"/>
      <c r="D246"/>
      <c r="E246"/>
      <c r="F246"/>
      <c r="G246"/>
      <c r="H246"/>
      <c r="I246"/>
      <c r="J246"/>
    </row>
    <row r="247" spans="1:10" ht="11.25" customHeight="1" x14ac:dyDescent="0.25">
      <c r="A247"/>
      <c r="B247"/>
      <c r="C247"/>
      <c r="D247"/>
      <c r="E247"/>
      <c r="F247"/>
      <c r="G247"/>
      <c r="H247"/>
      <c r="I247"/>
      <c r="J247"/>
    </row>
    <row r="248" spans="1:10" ht="11.25" customHeight="1" x14ac:dyDescent="0.25">
      <c r="A248"/>
      <c r="B248"/>
      <c r="C248"/>
      <c r="D248"/>
      <c r="E248"/>
      <c r="F248"/>
      <c r="G248"/>
      <c r="H248"/>
      <c r="I248"/>
      <c r="J248"/>
    </row>
    <row r="249" spans="1:10" ht="11.25" customHeight="1" x14ac:dyDescent="0.25">
      <c r="A249"/>
      <c r="B249"/>
      <c r="C249"/>
      <c r="D249"/>
      <c r="E249"/>
      <c r="F249"/>
      <c r="G249"/>
      <c r="H249"/>
      <c r="I249"/>
      <c r="J249"/>
    </row>
    <row r="250" spans="1:10" ht="11.25" customHeight="1" x14ac:dyDescent="0.25">
      <c r="A250"/>
      <c r="B250"/>
      <c r="C250"/>
      <c r="D250"/>
      <c r="E250"/>
      <c r="F250"/>
      <c r="G250"/>
      <c r="H250"/>
      <c r="I250"/>
      <c r="J250"/>
    </row>
    <row r="251" spans="1:10" ht="11.25" customHeight="1" x14ac:dyDescent="0.25">
      <c r="A251"/>
      <c r="B251"/>
      <c r="C251"/>
      <c r="D251"/>
      <c r="E251"/>
      <c r="F251"/>
      <c r="G251"/>
      <c r="H251"/>
      <c r="I251"/>
      <c r="J251"/>
    </row>
    <row r="252" spans="1:10" ht="11.25" customHeight="1" x14ac:dyDescent="0.25">
      <c r="A252"/>
      <c r="B252"/>
      <c r="C252"/>
      <c r="D252"/>
      <c r="E252"/>
      <c r="F252"/>
      <c r="G252"/>
      <c r="H252"/>
      <c r="I252"/>
      <c r="J252"/>
    </row>
    <row r="253" spans="1:10" ht="11.25" customHeight="1" x14ac:dyDescent="0.25">
      <c r="A253"/>
      <c r="B253"/>
      <c r="C253"/>
      <c r="D253"/>
      <c r="E253"/>
      <c r="F253"/>
      <c r="G253"/>
      <c r="H253"/>
      <c r="I253"/>
      <c r="J253"/>
    </row>
    <row r="254" spans="1:10" ht="11.25" customHeight="1" x14ac:dyDescent="0.25">
      <c r="A254"/>
      <c r="B254"/>
      <c r="C254"/>
      <c r="D254"/>
      <c r="E254"/>
      <c r="F254"/>
      <c r="G254"/>
      <c r="H254"/>
      <c r="I254"/>
      <c r="J254"/>
    </row>
    <row r="255" spans="1:10" ht="11.25" customHeight="1" x14ac:dyDescent="0.25">
      <c r="A255"/>
      <c r="B255"/>
      <c r="C255"/>
      <c r="D255"/>
      <c r="E255"/>
      <c r="F255"/>
      <c r="G255"/>
      <c r="H255"/>
      <c r="I255"/>
      <c r="J255"/>
    </row>
    <row r="256" spans="1:10" ht="11.25" customHeight="1" x14ac:dyDescent="0.25">
      <c r="A256"/>
      <c r="B256"/>
      <c r="C256"/>
      <c r="D256"/>
      <c r="E256"/>
      <c r="F256"/>
      <c r="G256"/>
      <c r="H256"/>
      <c r="I256"/>
      <c r="J256"/>
    </row>
    <row r="257" spans="1:10" ht="11.25" customHeight="1" x14ac:dyDescent="0.25">
      <c r="A257"/>
      <c r="B257"/>
      <c r="C257"/>
      <c r="D257"/>
      <c r="E257"/>
      <c r="F257"/>
      <c r="G257"/>
      <c r="H257"/>
      <c r="I257"/>
      <c r="J257"/>
    </row>
    <row r="258" spans="1:10" ht="11.25" customHeight="1" x14ac:dyDescent="0.25">
      <c r="A258"/>
      <c r="B258"/>
      <c r="C258"/>
      <c r="D258"/>
      <c r="E258"/>
      <c r="F258"/>
      <c r="G258"/>
      <c r="H258"/>
      <c r="I258"/>
      <c r="J258"/>
    </row>
    <row r="259" spans="1:10" ht="11.25" customHeight="1" x14ac:dyDescent="0.25">
      <c r="A259"/>
      <c r="B259"/>
      <c r="C259"/>
      <c r="D259"/>
      <c r="E259"/>
      <c r="F259"/>
      <c r="G259"/>
      <c r="H259"/>
      <c r="I259"/>
      <c r="J259"/>
    </row>
    <row r="260" spans="1:10" ht="11.25" customHeight="1" x14ac:dyDescent="0.25">
      <c r="A260"/>
      <c r="B260"/>
      <c r="C260"/>
      <c r="D260"/>
      <c r="E260"/>
      <c r="F260"/>
      <c r="G260"/>
      <c r="H260"/>
      <c r="I260"/>
      <c r="J260"/>
    </row>
    <row r="261" spans="1:10" ht="11.25" customHeight="1" x14ac:dyDescent="0.25">
      <c r="A261"/>
      <c r="B261"/>
      <c r="C261"/>
      <c r="D261"/>
      <c r="E261"/>
      <c r="F261"/>
      <c r="G261"/>
      <c r="H261"/>
      <c r="I261"/>
      <c r="J261"/>
    </row>
    <row r="262" spans="1:10" ht="11.25" customHeight="1" x14ac:dyDescent="0.25">
      <c r="A262"/>
      <c r="B262"/>
      <c r="C262"/>
      <c r="D262"/>
      <c r="E262"/>
      <c r="F262"/>
      <c r="G262"/>
      <c r="H262"/>
      <c r="I262"/>
      <c r="J262"/>
    </row>
    <row r="263" spans="1:10" ht="11.25" customHeight="1" x14ac:dyDescent="0.25">
      <c r="A263"/>
      <c r="B263"/>
      <c r="C263"/>
      <c r="D263"/>
      <c r="E263"/>
      <c r="F263"/>
      <c r="G263"/>
      <c r="H263"/>
      <c r="I263"/>
      <c r="J263"/>
    </row>
    <row r="264" spans="1:10" ht="11.25" customHeight="1" x14ac:dyDescent="0.25">
      <c r="A264"/>
      <c r="B264"/>
      <c r="C264"/>
      <c r="D264"/>
      <c r="E264"/>
      <c r="F264"/>
      <c r="G264"/>
      <c r="H264"/>
      <c r="I264"/>
      <c r="J264"/>
    </row>
    <row r="265" spans="1:10" ht="11.25" customHeight="1" x14ac:dyDescent="0.25">
      <c r="A265"/>
      <c r="B265"/>
      <c r="C265"/>
      <c r="D265"/>
      <c r="E265"/>
      <c r="F265"/>
      <c r="G265"/>
      <c r="H265"/>
      <c r="I265"/>
      <c r="J265"/>
    </row>
    <row r="266" spans="1:10" ht="11.25" customHeight="1" x14ac:dyDescent="0.25">
      <c r="A266"/>
      <c r="B266"/>
      <c r="C266"/>
      <c r="D266"/>
      <c r="E266"/>
      <c r="F266"/>
      <c r="G266"/>
      <c r="H266"/>
      <c r="I266"/>
      <c r="J266"/>
    </row>
    <row r="267" spans="1:10" ht="11.25" customHeight="1" x14ac:dyDescent="0.25">
      <c r="A267"/>
      <c r="B267"/>
      <c r="C267"/>
      <c r="D267"/>
      <c r="E267"/>
      <c r="F267"/>
      <c r="G267"/>
      <c r="H267"/>
      <c r="I267"/>
      <c r="J267"/>
    </row>
    <row r="268" spans="1:10" ht="11.25" customHeight="1" x14ac:dyDescent="0.25">
      <c r="A268"/>
      <c r="B268"/>
      <c r="C268"/>
      <c r="D268"/>
      <c r="E268"/>
      <c r="F268"/>
      <c r="G268"/>
      <c r="H268"/>
      <c r="I268"/>
      <c r="J268"/>
    </row>
    <row r="269" spans="1:10" ht="11.25" customHeight="1" x14ac:dyDescent="0.25">
      <c r="A269"/>
      <c r="B269"/>
      <c r="C269"/>
      <c r="D269"/>
      <c r="E269"/>
      <c r="F269"/>
      <c r="G269"/>
      <c r="H269"/>
      <c r="I269"/>
      <c r="J269"/>
    </row>
    <row r="270" spans="1:10" ht="11.25" customHeight="1" x14ac:dyDescent="0.25">
      <c r="A270"/>
      <c r="B270"/>
      <c r="C270"/>
      <c r="D270"/>
      <c r="E270"/>
      <c r="F270"/>
      <c r="G270"/>
      <c r="H270"/>
      <c r="I270"/>
      <c r="J270"/>
    </row>
    <row r="271" spans="1:10" ht="11.25" customHeight="1" x14ac:dyDescent="0.25">
      <c r="A271"/>
      <c r="B271"/>
      <c r="C271"/>
      <c r="D271"/>
      <c r="E271"/>
      <c r="F271"/>
      <c r="G271"/>
      <c r="H271"/>
      <c r="I271"/>
      <c r="J271"/>
    </row>
    <row r="272" spans="1:10" ht="11.25" customHeight="1" x14ac:dyDescent="0.25">
      <c r="A272"/>
      <c r="B272"/>
      <c r="C272"/>
      <c r="D272"/>
      <c r="E272"/>
      <c r="F272"/>
      <c r="G272"/>
      <c r="H272"/>
      <c r="I272"/>
      <c r="J272"/>
    </row>
    <row r="273" spans="1:10" ht="11.25" customHeight="1" x14ac:dyDescent="0.25">
      <c r="A273"/>
      <c r="B273"/>
      <c r="C273"/>
      <c r="D273"/>
      <c r="E273"/>
      <c r="F273"/>
      <c r="G273"/>
      <c r="H273"/>
      <c r="I273"/>
      <c r="J273"/>
    </row>
    <row r="274" spans="1:10" ht="11.25" customHeight="1" x14ac:dyDescent="0.25">
      <c r="A274"/>
      <c r="B274"/>
      <c r="C274"/>
      <c r="D274"/>
      <c r="E274"/>
      <c r="F274"/>
      <c r="G274"/>
      <c r="H274"/>
      <c r="I274"/>
      <c r="J274"/>
    </row>
    <row r="275" spans="1:10" ht="11.25" customHeight="1" x14ac:dyDescent="0.25">
      <c r="A275"/>
      <c r="B275"/>
      <c r="C275"/>
      <c r="D275"/>
      <c r="E275"/>
      <c r="F275"/>
      <c r="G275"/>
      <c r="H275"/>
      <c r="I275"/>
      <c r="J275"/>
    </row>
    <row r="276" spans="1:10" ht="11.25" customHeight="1" x14ac:dyDescent="0.25">
      <c r="A276"/>
      <c r="B276"/>
      <c r="C276"/>
      <c r="D276"/>
      <c r="E276"/>
      <c r="F276"/>
      <c r="G276"/>
      <c r="H276"/>
      <c r="I276"/>
      <c r="J276"/>
    </row>
    <row r="277" spans="1:10" ht="11.25" customHeight="1" x14ac:dyDescent="0.25">
      <c r="A277"/>
      <c r="B277"/>
      <c r="C277"/>
      <c r="D277"/>
      <c r="E277"/>
      <c r="F277"/>
      <c r="G277"/>
      <c r="H277"/>
      <c r="I277"/>
      <c r="J277"/>
    </row>
    <row r="278" spans="1:10" ht="11.25" customHeight="1" x14ac:dyDescent="0.25">
      <c r="A278"/>
      <c r="B278"/>
      <c r="C278"/>
      <c r="D278"/>
      <c r="E278"/>
      <c r="F278"/>
      <c r="G278"/>
      <c r="H278"/>
      <c r="I278"/>
      <c r="J278"/>
    </row>
    <row r="279" spans="1:10" ht="11.25" customHeight="1" x14ac:dyDescent="0.25">
      <c r="A279"/>
      <c r="B279"/>
      <c r="C279"/>
      <c r="D279"/>
      <c r="E279"/>
      <c r="F279"/>
      <c r="G279"/>
      <c r="H279"/>
      <c r="I279"/>
      <c r="J279"/>
    </row>
    <row r="280" spans="1:10" ht="11.25" customHeight="1" x14ac:dyDescent="0.25">
      <c r="A280"/>
      <c r="B280"/>
      <c r="C280"/>
      <c r="D280"/>
      <c r="E280"/>
      <c r="F280"/>
      <c r="G280"/>
      <c r="H280"/>
      <c r="I280"/>
      <c r="J280"/>
    </row>
    <row r="281" spans="1:10" ht="11.25" customHeight="1" x14ac:dyDescent="0.25">
      <c r="A281"/>
      <c r="B281"/>
      <c r="C281"/>
      <c r="D281"/>
      <c r="E281"/>
      <c r="F281"/>
      <c r="G281"/>
      <c r="H281"/>
      <c r="I281"/>
      <c r="J281"/>
    </row>
    <row r="282" spans="1:10" ht="11.25" customHeight="1" x14ac:dyDescent="0.25">
      <c r="A282"/>
      <c r="B282"/>
      <c r="C282"/>
      <c r="D282"/>
      <c r="E282"/>
      <c r="F282"/>
      <c r="G282"/>
      <c r="H282"/>
      <c r="I282"/>
      <c r="J282"/>
    </row>
    <row r="283" spans="1:10" ht="11.25" customHeight="1" x14ac:dyDescent="0.25">
      <c r="A283"/>
      <c r="B283"/>
      <c r="C283"/>
      <c r="D283"/>
      <c r="E283"/>
      <c r="F283"/>
      <c r="G283"/>
      <c r="H283"/>
      <c r="I283"/>
      <c r="J283"/>
    </row>
    <row r="284" spans="1:10" ht="11.25" customHeight="1" x14ac:dyDescent="0.25">
      <c r="A284"/>
      <c r="B284"/>
      <c r="C284"/>
      <c r="D284"/>
      <c r="E284"/>
      <c r="F284"/>
      <c r="G284"/>
      <c r="H284"/>
      <c r="I284"/>
      <c r="J284"/>
    </row>
    <row r="285" spans="1:10" ht="11.25" customHeight="1" x14ac:dyDescent="0.25">
      <c r="A285"/>
      <c r="B285"/>
      <c r="C285"/>
      <c r="D285"/>
      <c r="E285"/>
      <c r="F285"/>
      <c r="G285"/>
      <c r="H285"/>
      <c r="I285"/>
      <c r="J285"/>
    </row>
    <row r="286" spans="1:10" ht="11.25" customHeight="1" x14ac:dyDescent="0.25">
      <c r="A286"/>
      <c r="B286"/>
      <c r="C286"/>
      <c r="D286"/>
      <c r="E286"/>
      <c r="F286"/>
      <c r="G286"/>
      <c r="H286"/>
      <c r="I286"/>
      <c r="J286"/>
    </row>
    <row r="287" spans="1:10" ht="11.25" customHeight="1" x14ac:dyDescent="0.25">
      <c r="A287"/>
      <c r="B287"/>
      <c r="C287"/>
      <c r="D287"/>
      <c r="E287"/>
      <c r="F287"/>
      <c r="G287"/>
      <c r="H287"/>
      <c r="I287"/>
      <c r="J287"/>
    </row>
    <row r="288" spans="1:10" ht="11.25" customHeight="1" x14ac:dyDescent="0.25">
      <c r="A288"/>
      <c r="B288"/>
      <c r="C288"/>
      <c r="D288"/>
      <c r="E288"/>
      <c r="F288"/>
      <c r="G288"/>
      <c r="H288"/>
      <c r="I288"/>
      <c r="J288"/>
    </row>
    <row r="289" spans="1:10" ht="11.25" customHeight="1" x14ac:dyDescent="0.25">
      <c r="A289"/>
      <c r="B289"/>
      <c r="C289"/>
      <c r="D289"/>
      <c r="E289"/>
      <c r="F289"/>
      <c r="G289"/>
      <c r="H289"/>
      <c r="I289"/>
      <c r="J289"/>
    </row>
    <row r="290" spans="1:10" ht="11.25" customHeight="1" x14ac:dyDescent="0.25">
      <c r="A290"/>
      <c r="B290"/>
      <c r="C290"/>
      <c r="D290"/>
      <c r="E290"/>
      <c r="F290"/>
      <c r="G290"/>
      <c r="H290"/>
      <c r="I290"/>
      <c r="J290"/>
    </row>
    <row r="291" spans="1:10" ht="11.25" customHeight="1" x14ac:dyDescent="0.25">
      <c r="A291"/>
      <c r="B291"/>
      <c r="C291"/>
      <c r="D291"/>
      <c r="E291"/>
      <c r="F291"/>
      <c r="G291"/>
      <c r="H291"/>
      <c r="I291"/>
      <c r="J291"/>
    </row>
    <row r="292" spans="1:10" ht="11.25" customHeight="1" x14ac:dyDescent="0.25">
      <c r="A292"/>
      <c r="B292"/>
      <c r="C292"/>
      <c r="D292"/>
      <c r="E292"/>
      <c r="F292"/>
      <c r="G292"/>
      <c r="H292"/>
      <c r="I292"/>
      <c r="J292"/>
    </row>
    <row r="293" spans="1:10" ht="11.25" customHeight="1" x14ac:dyDescent="0.25">
      <c r="A293"/>
      <c r="B293"/>
      <c r="C293"/>
      <c r="D293"/>
      <c r="E293"/>
      <c r="F293"/>
      <c r="G293"/>
      <c r="H293"/>
      <c r="I293"/>
      <c r="J293"/>
    </row>
    <row r="294" spans="1:10" ht="11.25" customHeight="1" x14ac:dyDescent="0.25">
      <c r="A294"/>
      <c r="B294"/>
      <c r="C294"/>
      <c r="D294"/>
      <c r="E294"/>
      <c r="F294"/>
      <c r="G294"/>
      <c r="H294"/>
      <c r="I294"/>
      <c r="J294"/>
    </row>
    <row r="295" spans="1:10" ht="11.25" customHeight="1" x14ac:dyDescent="0.25">
      <c r="A295"/>
      <c r="B295"/>
      <c r="C295"/>
      <c r="D295"/>
      <c r="E295"/>
      <c r="F295"/>
      <c r="G295"/>
      <c r="H295"/>
      <c r="I295"/>
      <c r="J295"/>
    </row>
    <row r="296" spans="1:10" ht="11.25" customHeight="1" x14ac:dyDescent="0.25">
      <c r="A296"/>
      <c r="B296"/>
      <c r="C296"/>
      <c r="D296"/>
      <c r="E296"/>
      <c r="F296"/>
      <c r="G296"/>
      <c r="H296"/>
      <c r="I296"/>
      <c r="J296"/>
    </row>
    <row r="297" spans="1:10" ht="11.25" customHeight="1" x14ac:dyDescent="0.25">
      <c r="A297"/>
      <c r="B297"/>
      <c r="C297"/>
      <c r="D297"/>
      <c r="E297"/>
      <c r="F297"/>
      <c r="G297"/>
      <c r="H297"/>
      <c r="I297"/>
      <c r="J297"/>
    </row>
    <row r="298" spans="1:10" ht="11.25" customHeight="1" x14ac:dyDescent="0.25">
      <c r="A298"/>
      <c r="B298"/>
      <c r="C298"/>
      <c r="D298"/>
      <c r="E298"/>
      <c r="F298"/>
      <c r="G298"/>
      <c r="H298"/>
      <c r="I298"/>
      <c r="J298"/>
    </row>
    <row r="299" spans="1:10" ht="11.25" customHeight="1" x14ac:dyDescent="0.25">
      <c r="A299"/>
      <c r="B299"/>
      <c r="C299"/>
      <c r="D299"/>
      <c r="E299"/>
      <c r="F299"/>
      <c r="G299"/>
      <c r="H299"/>
      <c r="I299"/>
      <c r="J299"/>
    </row>
    <row r="300" spans="1:10" ht="11.25" customHeight="1" x14ac:dyDescent="0.25">
      <c r="A300"/>
      <c r="B300"/>
      <c r="C300"/>
      <c r="D300"/>
      <c r="E300"/>
      <c r="F300"/>
      <c r="G300"/>
      <c r="H300"/>
      <c r="I300"/>
      <c r="J300"/>
    </row>
    <row r="301" spans="1:10" ht="11.25" customHeight="1" x14ac:dyDescent="0.25">
      <c r="A301"/>
      <c r="B301"/>
      <c r="C301"/>
      <c r="D301"/>
      <c r="E301"/>
      <c r="F301"/>
      <c r="G301"/>
      <c r="H301"/>
      <c r="I301"/>
      <c r="J301"/>
    </row>
    <row r="302" spans="1:10" ht="11.25" customHeight="1" x14ac:dyDescent="0.25">
      <c r="A302"/>
      <c r="B302"/>
      <c r="C302"/>
      <c r="D302"/>
      <c r="E302"/>
      <c r="F302"/>
      <c r="G302"/>
      <c r="H302"/>
      <c r="I302"/>
      <c r="J302"/>
    </row>
    <row r="303" spans="1:10" ht="11.25" customHeight="1" x14ac:dyDescent="0.25">
      <c r="A303"/>
      <c r="B303"/>
      <c r="C303"/>
      <c r="D303"/>
      <c r="E303"/>
      <c r="F303"/>
      <c r="G303"/>
      <c r="H303"/>
      <c r="I303"/>
      <c r="J303"/>
    </row>
    <row r="304" spans="1:10" ht="11.25" customHeight="1" x14ac:dyDescent="0.25">
      <c r="A304"/>
      <c r="B304"/>
      <c r="C304"/>
      <c r="D304"/>
      <c r="E304"/>
      <c r="F304"/>
      <c r="G304"/>
      <c r="H304"/>
      <c r="I304"/>
      <c r="J304"/>
    </row>
    <row r="305" spans="1:10" ht="11.25" customHeight="1" x14ac:dyDescent="0.25">
      <c r="A305"/>
      <c r="B305"/>
      <c r="C305"/>
      <c r="D305"/>
      <c r="E305"/>
      <c r="F305"/>
      <c r="G305"/>
      <c r="H305"/>
      <c r="I305"/>
      <c r="J305"/>
    </row>
    <row r="306" spans="1:10" ht="11.25" customHeight="1" x14ac:dyDescent="0.25">
      <c r="A306"/>
      <c r="B306"/>
      <c r="C306"/>
      <c r="D306"/>
      <c r="E306"/>
      <c r="F306"/>
      <c r="G306"/>
      <c r="H306"/>
      <c r="I306"/>
      <c r="J306"/>
    </row>
    <row r="307" spans="1:10" ht="11.25" customHeight="1" x14ac:dyDescent="0.25">
      <c r="A307"/>
      <c r="B307"/>
      <c r="C307"/>
      <c r="D307"/>
      <c r="E307"/>
      <c r="F307"/>
      <c r="G307"/>
      <c r="H307"/>
      <c r="I307"/>
      <c r="J307"/>
    </row>
    <row r="308" spans="1:10" ht="11.25" customHeight="1" x14ac:dyDescent="0.25">
      <c r="A308"/>
      <c r="B308"/>
      <c r="C308"/>
      <c r="D308"/>
      <c r="E308"/>
      <c r="F308"/>
      <c r="G308"/>
      <c r="H308"/>
      <c r="I308"/>
      <c r="J308"/>
    </row>
    <row r="309" spans="1:10" ht="11.25" customHeight="1" x14ac:dyDescent="0.25">
      <c r="A309"/>
      <c r="B309"/>
      <c r="C309"/>
      <c r="D309"/>
      <c r="E309"/>
      <c r="F309"/>
      <c r="G309"/>
      <c r="H309"/>
      <c r="I309"/>
      <c r="J309"/>
    </row>
    <row r="310" spans="1:10" ht="11.25" customHeight="1" x14ac:dyDescent="0.25">
      <c r="A310"/>
      <c r="B310"/>
      <c r="C310"/>
      <c r="D310"/>
      <c r="E310"/>
      <c r="F310"/>
      <c r="G310"/>
      <c r="H310"/>
      <c r="I310"/>
      <c r="J310"/>
    </row>
    <row r="311" spans="1:10" ht="11.25" customHeight="1" x14ac:dyDescent="0.25">
      <c r="A311"/>
      <c r="B311"/>
      <c r="C311"/>
      <c r="D311"/>
      <c r="E311"/>
      <c r="F311"/>
      <c r="G311"/>
      <c r="H311"/>
      <c r="I311"/>
      <c r="J311"/>
    </row>
    <row r="312" spans="1:10" ht="11.25" customHeight="1" x14ac:dyDescent="0.25">
      <c r="A312"/>
      <c r="B312"/>
      <c r="C312"/>
      <c r="D312"/>
      <c r="E312"/>
      <c r="F312"/>
      <c r="G312"/>
      <c r="H312"/>
      <c r="I312"/>
      <c r="J312"/>
    </row>
    <row r="313" spans="1:10" ht="11.25" customHeight="1" x14ac:dyDescent="0.25">
      <c r="A313"/>
      <c r="B313"/>
      <c r="C313"/>
      <c r="D313"/>
      <c r="E313"/>
      <c r="F313"/>
      <c r="G313"/>
      <c r="H313"/>
      <c r="I313"/>
      <c r="J313"/>
    </row>
    <row r="314" spans="1:10" ht="11.25" customHeight="1" x14ac:dyDescent="0.25">
      <c r="A314"/>
      <c r="B314"/>
      <c r="C314"/>
      <c r="D314"/>
      <c r="E314"/>
      <c r="F314"/>
      <c r="G314"/>
      <c r="H314"/>
      <c r="I314"/>
      <c r="J314"/>
    </row>
    <row r="315" spans="1:10" ht="11.25" customHeight="1" x14ac:dyDescent="0.25">
      <c r="A315"/>
      <c r="B315"/>
      <c r="C315"/>
      <c r="D315"/>
      <c r="E315"/>
      <c r="F315"/>
      <c r="G315"/>
      <c r="H315"/>
      <c r="I315"/>
      <c r="J315"/>
    </row>
    <row r="316" spans="1:10" ht="11.25" customHeight="1" x14ac:dyDescent="0.25">
      <c r="A316"/>
      <c r="B316"/>
      <c r="C316"/>
      <c r="D316"/>
      <c r="E316"/>
      <c r="F316"/>
      <c r="G316"/>
      <c r="H316"/>
      <c r="I316"/>
      <c r="J316"/>
    </row>
    <row r="317" spans="1:10" ht="11.25" customHeight="1" x14ac:dyDescent="0.25">
      <c r="A317"/>
      <c r="B317"/>
      <c r="C317"/>
      <c r="D317"/>
      <c r="E317"/>
      <c r="F317"/>
      <c r="G317"/>
      <c r="H317"/>
      <c r="I317"/>
      <c r="J317"/>
    </row>
    <row r="318" spans="1:10" ht="11.25" customHeight="1" x14ac:dyDescent="0.25">
      <c r="A318"/>
      <c r="B318"/>
      <c r="C318"/>
      <c r="D318"/>
      <c r="E318"/>
      <c r="F318"/>
      <c r="G318"/>
      <c r="H318"/>
      <c r="I318"/>
      <c r="J318"/>
    </row>
    <row r="319" spans="1:10" ht="11.25" customHeight="1" x14ac:dyDescent="0.25">
      <c r="A319"/>
      <c r="B319"/>
      <c r="C319"/>
      <c r="D319"/>
      <c r="E319"/>
      <c r="F319"/>
      <c r="G319"/>
      <c r="H319"/>
      <c r="I319"/>
      <c r="J319"/>
    </row>
    <row r="320" spans="1:10" ht="11.25" customHeight="1" x14ac:dyDescent="0.25">
      <c r="A320"/>
      <c r="B320"/>
      <c r="C320"/>
      <c r="D320"/>
      <c r="E320"/>
      <c r="F320"/>
      <c r="G320"/>
      <c r="H320"/>
      <c r="I320"/>
      <c r="J320"/>
    </row>
    <row r="321" spans="1:10" ht="11.25" customHeight="1" x14ac:dyDescent="0.25">
      <c r="A321"/>
      <c r="B321"/>
      <c r="C321"/>
      <c r="D321"/>
      <c r="E321"/>
      <c r="F321"/>
      <c r="G321"/>
      <c r="H321"/>
      <c r="I321"/>
      <c r="J321"/>
    </row>
    <row r="322" spans="1:10" ht="11.25" customHeight="1" x14ac:dyDescent="0.25">
      <c r="A322"/>
      <c r="B322"/>
      <c r="C322"/>
      <c r="D322"/>
      <c r="E322"/>
      <c r="F322"/>
      <c r="G322"/>
      <c r="H322"/>
      <c r="I322"/>
      <c r="J322"/>
    </row>
    <row r="323" spans="1:10" ht="11.25" customHeight="1" x14ac:dyDescent="0.25">
      <c r="A323"/>
      <c r="B323"/>
      <c r="C323"/>
      <c r="D323"/>
      <c r="E323"/>
      <c r="F323"/>
      <c r="G323"/>
      <c r="H323"/>
      <c r="I323"/>
      <c r="J323"/>
    </row>
    <row r="324" spans="1:10" ht="11.25" customHeight="1" x14ac:dyDescent="0.25">
      <c r="A324"/>
      <c r="B324"/>
      <c r="C324"/>
      <c r="D324"/>
      <c r="E324"/>
      <c r="F324"/>
      <c r="G324"/>
      <c r="H324"/>
      <c r="I324"/>
      <c r="J324"/>
    </row>
    <row r="325" spans="1:10" ht="11.25" customHeight="1" x14ac:dyDescent="0.25">
      <c r="A325"/>
      <c r="B325"/>
      <c r="C325"/>
      <c r="D325"/>
      <c r="E325"/>
      <c r="F325"/>
      <c r="G325"/>
      <c r="H325"/>
      <c r="I325"/>
      <c r="J325"/>
    </row>
    <row r="326" spans="1:10" ht="11.25" customHeight="1" x14ac:dyDescent="0.25">
      <c r="A326"/>
      <c r="B326"/>
      <c r="C326"/>
      <c r="D326"/>
      <c r="E326"/>
      <c r="F326"/>
      <c r="G326"/>
      <c r="H326"/>
      <c r="I326"/>
      <c r="J326"/>
    </row>
    <row r="327" spans="1:10" ht="11.25" customHeight="1" x14ac:dyDescent="0.25">
      <c r="A327"/>
      <c r="B327"/>
      <c r="C327"/>
      <c r="D327"/>
      <c r="E327"/>
      <c r="F327"/>
      <c r="G327"/>
      <c r="H327"/>
      <c r="I327"/>
      <c r="J327"/>
    </row>
    <row r="328" spans="1:10" ht="11.25" customHeight="1" x14ac:dyDescent="0.25">
      <c r="A328"/>
      <c r="B328"/>
      <c r="C328"/>
      <c r="D328"/>
      <c r="E328"/>
      <c r="F328"/>
      <c r="G328"/>
      <c r="H328"/>
      <c r="I328"/>
      <c r="J328"/>
    </row>
    <row r="329" spans="1:10" ht="11.25" customHeight="1" x14ac:dyDescent="0.25">
      <c r="A329"/>
      <c r="B329"/>
      <c r="C329"/>
      <c r="D329"/>
      <c r="E329"/>
      <c r="F329"/>
      <c r="G329"/>
      <c r="H329"/>
      <c r="I329"/>
      <c r="J329"/>
    </row>
    <row r="330" spans="1:10" ht="11.25" customHeight="1" x14ac:dyDescent="0.25">
      <c r="A330"/>
      <c r="B330"/>
      <c r="C330"/>
      <c r="D330"/>
      <c r="E330"/>
      <c r="F330"/>
      <c r="G330"/>
      <c r="H330"/>
      <c r="I330"/>
      <c r="J330"/>
    </row>
    <row r="331" spans="1:10" ht="11.25" customHeight="1" x14ac:dyDescent="0.25">
      <c r="A331"/>
      <c r="B331"/>
      <c r="C331"/>
      <c r="D331"/>
      <c r="E331"/>
      <c r="F331"/>
      <c r="G331"/>
      <c r="H331"/>
      <c r="I331"/>
      <c r="J331"/>
    </row>
    <row r="332" spans="1:10" ht="11.25" customHeight="1" x14ac:dyDescent="0.25">
      <c r="A332"/>
      <c r="B332"/>
      <c r="C332"/>
      <c r="D332"/>
      <c r="E332"/>
      <c r="F332"/>
      <c r="G332"/>
      <c r="H332"/>
      <c r="I332"/>
      <c r="J332"/>
    </row>
    <row r="333" spans="1:10" ht="11.25" customHeight="1" x14ac:dyDescent="0.25">
      <c r="A333"/>
      <c r="B333"/>
      <c r="C333"/>
      <c r="D333"/>
      <c r="E333"/>
      <c r="F333"/>
      <c r="G333"/>
      <c r="H333"/>
      <c r="I333"/>
      <c r="J333"/>
    </row>
    <row r="334" spans="1:10" ht="11.25" customHeight="1" x14ac:dyDescent="0.25">
      <c r="A334"/>
      <c r="B334"/>
      <c r="C334"/>
      <c r="D334"/>
      <c r="E334"/>
      <c r="F334"/>
      <c r="G334"/>
      <c r="H334"/>
      <c r="I334"/>
      <c r="J334"/>
    </row>
    <row r="335" spans="1:10" ht="11.25" customHeight="1" x14ac:dyDescent="0.25">
      <c r="A335"/>
      <c r="B335"/>
      <c r="C335"/>
      <c r="D335"/>
      <c r="E335"/>
      <c r="F335"/>
      <c r="G335"/>
      <c r="H335"/>
      <c r="I335"/>
      <c r="J335"/>
    </row>
    <row r="336" spans="1:10" ht="11.25" customHeight="1" x14ac:dyDescent="0.25">
      <c r="A336"/>
      <c r="B336"/>
      <c r="C336"/>
      <c r="D336"/>
      <c r="E336"/>
      <c r="F336"/>
      <c r="G336"/>
      <c r="H336"/>
      <c r="I336"/>
      <c r="J336"/>
    </row>
    <row r="337" spans="1:10" ht="11.25" customHeight="1" x14ac:dyDescent="0.25">
      <c r="A337"/>
      <c r="B337"/>
      <c r="C337"/>
      <c r="D337"/>
      <c r="E337"/>
      <c r="F337"/>
      <c r="G337"/>
      <c r="H337"/>
      <c r="I337"/>
      <c r="J337"/>
    </row>
    <row r="338" spans="1:10" ht="11.25" customHeight="1" x14ac:dyDescent="0.25">
      <c r="A338"/>
      <c r="B338"/>
      <c r="C338"/>
      <c r="D338"/>
      <c r="E338"/>
      <c r="F338"/>
      <c r="G338"/>
      <c r="H338"/>
      <c r="I338"/>
      <c r="J338"/>
    </row>
    <row r="339" spans="1:10" ht="11.25" customHeight="1" x14ac:dyDescent="0.25">
      <c r="A339"/>
      <c r="B339"/>
      <c r="C339"/>
      <c r="D339"/>
      <c r="E339"/>
      <c r="F339"/>
      <c r="G339"/>
      <c r="H339"/>
      <c r="I339"/>
      <c r="J339"/>
    </row>
    <row r="340" spans="1:10" ht="11.25" customHeight="1" x14ac:dyDescent="0.25">
      <c r="A340"/>
      <c r="B340"/>
      <c r="C340"/>
      <c r="D340"/>
      <c r="E340"/>
      <c r="F340"/>
      <c r="G340"/>
      <c r="H340"/>
      <c r="I340"/>
      <c r="J340"/>
    </row>
    <row r="341" spans="1:10" ht="11.25" customHeight="1" x14ac:dyDescent="0.25">
      <c r="A341"/>
      <c r="B341"/>
      <c r="C341"/>
      <c r="D341"/>
      <c r="E341"/>
      <c r="F341"/>
      <c r="G341"/>
      <c r="H341"/>
      <c r="I341"/>
      <c r="J341"/>
    </row>
    <row r="342" spans="1:10" ht="11.25" customHeight="1" x14ac:dyDescent="0.25">
      <c r="A342"/>
      <c r="B342"/>
      <c r="C342"/>
      <c r="D342"/>
      <c r="E342"/>
      <c r="F342"/>
      <c r="G342"/>
      <c r="H342"/>
      <c r="I342"/>
      <c r="J342"/>
    </row>
    <row r="343" spans="1:10" ht="11.25" customHeight="1" x14ac:dyDescent="0.25">
      <c r="A343"/>
      <c r="B343"/>
      <c r="C343"/>
      <c r="D343"/>
      <c r="E343"/>
      <c r="F343"/>
      <c r="G343"/>
      <c r="H343"/>
      <c r="I343"/>
      <c r="J343"/>
    </row>
    <row r="344" spans="1:10" ht="11.25" customHeight="1" x14ac:dyDescent="0.25">
      <c r="A344"/>
      <c r="B344"/>
      <c r="C344"/>
      <c r="D344"/>
      <c r="E344"/>
      <c r="F344"/>
      <c r="G344"/>
      <c r="H344"/>
      <c r="I344"/>
      <c r="J344"/>
    </row>
    <row r="345" spans="1:10" ht="11.25" customHeight="1" x14ac:dyDescent="0.25">
      <c r="A345"/>
      <c r="B345"/>
      <c r="C345"/>
      <c r="D345"/>
      <c r="E345"/>
      <c r="F345"/>
      <c r="G345"/>
      <c r="H345"/>
      <c r="I345"/>
      <c r="J345"/>
    </row>
    <row r="346" spans="1:10" ht="11.25" customHeight="1" x14ac:dyDescent="0.25">
      <c r="A346"/>
      <c r="B346"/>
      <c r="C346"/>
      <c r="D346"/>
      <c r="E346"/>
      <c r="F346"/>
      <c r="G346"/>
      <c r="H346"/>
      <c r="I346"/>
      <c r="J346"/>
    </row>
    <row r="347" spans="1:10" ht="11.25" customHeight="1" x14ac:dyDescent="0.25">
      <c r="A347"/>
      <c r="B347"/>
      <c r="C347"/>
      <c r="D347"/>
      <c r="E347"/>
      <c r="F347"/>
      <c r="G347"/>
      <c r="H347"/>
      <c r="I347"/>
      <c r="J347"/>
    </row>
    <row r="348" spans="1:10" ht="11.25" customHeight="1" x14ac:dyDescent="0.25">
      <c r="A348"/>
      <c r="B348"/>
      <c r="C348"/>
      <c r="D348"/>
      <c r="E348"/>
      <c r="F348"/>
      <c r="G348"/>
      <c r="H348"/>
      <c r="I348"/>
      <c r="J348"/>
    </row>
    <row r="349" spans="1:10" ht="11.25" customHeight="1" x14ac:dyDescent="0.25">
      <c r="A349"/>
      <c r="B349"/>
      <c r="C349"/>
      <c r="D349"/>
      <c r="E349"/>
      <c r="F349"/>
      <c r="G349"/>
      <c r="H349"/>
      <c r="I349"/>
      <c r="J349"/>
    </row>
    <row r="350" spans="1:10" ht="11.25" customHeight="1" x14ac:dyDescent="0.25">
      <c r="A350"/>
      <c r="B350"/>
      <c r="C350"/>
      <c r="D350"/>
      <c r="E350"/>
      <c r="F350"/>
      <c r="G350"/>
      <c r="H350"/>
      <c r="I350"/>
      <c r="J350"/>
    </row>
    <row r="351" spans="1:10" ht="11.25" customHeight="1" x14ac:dyDescent="0.25">
      <c r="A351"/>
      <c r="B351"/>
      <c r="C351"/>
      <c r="D351"/>
      <c r="E351"/>
      <c r="F351"/>
      <c r="G351"/>
      <c r="H351"/>
      <c r="I351"/>
      <c r="J351"/>
    </row>
    <row r="352" spans="1:10" ht="11.25" customHeight="1" x14ac:dyDescent="0.25">
      <c r="A352"/>
      <c r="B352"/>
      <c r="C352"/>
      <c r="D352"/>
      <c r="E352"/>
      <c r="F352"/>
      <c r="G352"/>
      <c r="H352"/>
      <c r="I352"/>
      <c r="J352"/>
    </row>
    <row r="353" spans="1:10" ht="11.25" customHeight="1" x14ac:dyDescent="0.25">
      <c r="A353"/>
      <c r="B353"/>
      <c r="C353"/>
      <c r="D353"/>
      <c r="E353"/>
      <c r="F353"/>
      <c r="G353"/>
      <c r="H353"/>
      <c r="I353"/>
      <c r="J353"/>
    </row>
    <row r="354" spans="1:10" ht="11.25" customHeight="1" x14ac:dyDescent="0.25">
      <c r="A354"/>
      <c r="B354"/>
      <c r="C354"/>
      <c r="D354"/>
      <c r="E354"/>
      <c r="F354"/>
      <c r="G354"/>
      <c r="H354"/>
      <c r="I354"/>
      <c r="J354"/>
    </row>
    <row r="355" spans="1:10" ht="11.25" customHeight="1" x14ac:dyDescent="0.25">
      <c r="A355"/>
      <c r="B355"/>
      <c r="C355"/>
      <c r="D355"/>
      <c r="E355"/>
      <c r="F355"/>
      <c r="G355"/>
      <c r="H355"/>
      <c r="I355"/>
      <c r="J355"/>
    </row>
    <row r="356" spans="1:10" ht="11.25" customHeight="1" x14ac:dyDescent="0.25">
      <c r="A356"/>
      <c r="B356"/>
      <c r="C356"/>
      <c r="D356"/>
      <c r="E356"/>
      <c r="F356"/>
      <c r="G356"/>
      <c r="H356"/>
      <c r="I356"/>
      <c r="J356"/>
    </row>
    <row r="357" spans="1:10" ht="11.25" customHeight="1" x14ac:dyDescent="0.25">
      <c r="A357"/>
      <c r="B357"/>
      <c r="C357"/>
      <c r="D357"/>
      <c r="E357"/>
      <c r="F357"/>
      <c r="G357"/>
      <c r="H357"/>
      <c r="I357"/>
      <c r="J357"/>
    </row>
    <row r="358" spans="1:10" ht="11.25" customHeight="1" x14ac:dyDescent="0.25">
      <c r="A358"/>
      <c r="B358"/>
      <c r="C358"/>
      <c r="D358"/>
      <c r="E358"/>
      <c r="F358"/>
      <c r="G358"/>
      <c r="H358"/>
      <c r="I358"/>
      <c r="J358"/>
    </row>
    <row r="359" spans="1:10" ht="11.25" customHeight="1" x14ac:dyDescent="0.25">
      <c r="A359"/>
      <c r="B359"/>
      <c r="C359"/>
      <c r="D359"/>
      <c r="E359"/>
      <c r="F359"/>
      <c r="G359"/>
      <c r="H359"/>
      <c r="I359"/>
      <c r="J359"/>
    </row>
    <row r="360" spans="1:10" ht="11.25" customHeight="1" x14ac:dyDescent="0.25">
      <c r="A360"/>
      <c r="B360"/>
      <c r="C360"/>
      <c r="D360"/>
      <c r="E360"/>
      <c r="F360"/>
      <c r="G360"/>
      <c r="H360"/>
      <c r="I360"/>
      <c r="J360"/>
    </row>
    <row r="361" spans="1:10" ht="11.25" customHeight="1" x14ac:dyDescent="0.25">
      <c r="A361"/>
      <c r="B361"/>
      <c r="C361"/>
      <c r="D361"/>
      <c r="E361"/>
      <c r="F361"/>
      <c r="G361"/>
      <c r="H361"/>
      <c r="I361"/>
      <c r="J361"/>
    </row>
    <row r="362" spans="1:10" ht="11.25" customHeight="1" x14ac:dyDescent="0.25">
      <c r="A362"/>
      <c r="B362"/>
      <c r="C362"/>
      <c r="D362"/>
      <c r="E362"/>
      <c r="F362"/>
      <c r="G362"/>
      <c r="H362"/>
      <c r="I362"/>
      <c r="J362"/>
    </row>
    <row r="363" spans="1:10" ht="11.25" customHeight="1" x14ac:dyDescent="0.25">
      <c r="A363"/>
      <c r="B363"/>
      <c r="C363"/>
      <c r="D363"/>
      <c r="E363"/>
      <c r="F363"/>
      <c r="G363"/>
      <c r="H363"/>
      <c r="I363"/>
      <c r="J363"/>
    </row>
    <row r="364" spans="1:10" ht="11.25" customHeight="1" x14ac:dyDescent="0.25">
      <c r="A364"/>
      <c r="B364"/>
      <c r="C364"/>
      <c r="D364"/>
      <c r="E364"/>
      <c r="F364"/>
      <c r="G364"/>
      <c r="H364"/>
      <c r="I364"/>
      <c r="J364"/>
    </row>
    <row r="365" spans="1:10" ht="11.25" customHeight="1" x14ac:dyDescent="0.25">
      <c r="A365"/>
      <c r="B365"/>
      <c r="C365"/>
      <c r="D365"/>
      <c r="E365"/>
      <c r="F365"/>
      <c r="G365"/>
      <c r="H365"/>
      <c r="I365"/>
      <c r="J365"/>
    </row>
    <row r="366" spans="1:10" ht="11.25" customHeight="1" x14ac:dyDescent="0.25">
      <c r="A366"/>
      <c r="B366"/>
      <c r="C366"/>
      <c r="D366"/>
      <c r="E366"/>
      <c r="F366"/>
      <c r="G366"/>
      <c r="H366"/>
      <c r="I366"/>
      <c r="J366"/>
    </row>
    <row r="367" spans="1:10" ht="11.25" customHeight="1" x14ac:dyDescent="0.25">
      <c r="A367"/>
      <c r="B367"/>
      <c r="C367"/>
      <c r="D367"/>
      <c r="E367"/>
      <c r="F367"/>
      <c r="G367"/>
      <c r="H367"/>
      <c r="I367"/>
      <c r="J367"/>
    </row>
    <row r="368" spans="1:10" ht="11.25" customHeight="1" x14ac:dyDescent="0.25">
      <c r="A368"/>
      <c r="B368"/>
      <c r="C368"/>
      <c r="D368"/>
      <c r="E368"/>
      <c r="F368"/>
      <c r="G368"/>
      <c r="H368"/>
      <c r="I368"/>
      <c r="J368"/>
    </row>
    <row r="369" spans="1:10" ht="11.25" customHeight="1" x14ac:dyDescent="0.25">
      <c r="A369"/>
      <c r="B369"/>
      <c r="C369"/>
      <c r="D369"/>
      <c r="E369"/>
      <c r="F369"/>
      <c r="G369"/>
      <c r="H369"/>
      <c r="I369"/>
      <c r="J369"/>
    </row>
    <row r="370" spans="1:10" ht="11.25" customHeight="1" x14ac:dyDescent="0.25">
      <c r="A370"/>
      <c r="B370"/>
      <c r="C370"/>
      <c r="D370"/>
      <c r="E370"/>
      <c r="F370"/>
      <c r="G370"/>
      <c r="H370"/>
      <c r="I370"/>
      <c r="J370"/>
    </row>
    <row r="371" spans="1:10" ht="11.25" customHeight="1" x14ac:dyDescent="0.25">
      <c r="A371"/>
      <c r="B371"/>
      <c r="C371"/>
      <c r="D371"/>
      <c r="E371"/>
      <c r="F371"/>
      <c r="G371"/>
      <c r="H371"/>
      <c r="I371"/>
      <c r="J371"/>
    </row>
    <row r="372" spans="1:10" ht="11.25" customHeight="1" x14ac:dyDescent="0.25">
      <c r="A372"/>
      <c r="B372"/>
      <c r="C372"/>
      <c r="D372"/>
      <c r="E372"/>
      <c r="F372"/>
      <c r="G372"/>
      <c r="H372"/>
      <c r="I372"/>
      <c r="J372"/>
    </row>
    <row r="373" spans="1:10" ht="11.25" customHeight="1" x14ac:dyDescent="0.25">
      <c r="A373"/>
      <c r="B373"/>
      <c r="C373"/>
      <c r="D373"/>
      <c r="E373"/>
      <c r="F373"/>
      <c r="G373"/>
      <c r="H373"/>
      <c r="I373"/>
      <c r="J373"/>
    </row>
    <row r="374" spans="1:10" ht="11.25" customHeight="1" x14ac:dyDescent="0.25">
      <c r="A374"/>
      <c r="B374"/>
      <c r="C374"/>
      <c r="D374"/>
      <c r="E374"/>
      <c r="F374"/>
      <c r="G374"/>
      <c r="H374"/>
      <c r="I374"/>
      <c r="J374"/>
    </row>
    <row r="375" spans="1:10" ht="11.25" customHeight="1" x14ac:dyDescent="0.25">
      <c r="A375"/>
      <c r="B375"/>
      <c r="C375"/>
      <c r="D375"/>
      <c r="E375"/>
      <c r="F375"/>
      <c r="G375"/>
      <c r="H375"/>
      <c r="I375"/>
      <c r="J375"/>
    </row>
    <row r="376" spans="1:10" ht="11.25" customHeight="1" x14ac:dyDescent="0.25">
      <c r="A376"/>
      <c r="B376"/>
      <c r="C376"/>
      <c r="D376"/>
      <c r="E376"/>
      <c r="F376"/>
      <c r="G376"/>
      <c r="H376"/>
      <c r="I376"/>
      <c r="J376"/>
    </row>
    <row r="377" spans="1:10" ht="11.25" customHeight="1" x14ac:dyDescent="0.25">
      <c r="A377"/>
      <c r="B377"/>
      <c r="C377"/>
      <c r="D377"/>
      <c r="E377"/>
      <c r="F377"/>
      <c r="G377"/>
      <c r="H377"/>
      <c r="I377"/>
      <c r="J377"/>
    </row>
    <row r="378" spans="1:10" ht="11.25" customHeight="1" x14ac:dyDescent="0.25">
      <c r="A378"/>
      <c r="B378"/>
      <c r="C378"/>
      <c r="D378"/>
      <c r="E378"/>
      <c r="F378"/>
      <c r="G378"/>
      <c r="H378"/>
      <c r="I378"/>
      <c r="J378"/>
    </row>
    <row r="379" spans="1:10" ht="11.25" customHeight="1" x14ac:dyDescent="0.25">
      <c r="A379"/>
      <c r="B379"/>
      <c r="C379"/>
      <c r="D379"/>
      <c r="E379"/>
      <c r="F379"/>
      <c r="G379"/>
      <c r="H379"/>
      <c r="I379"/>
      <c r="J379"/>
    </row>
    <row r="380" spans="1:10" ht="11.25" customHeight="1" x14ac:dyDescent="0.25">
      <c r="A380"/>
      <c r="B380"/>
      <c r="C380"/>
      <c r="D380"/>
      <c r="E380"/>
      <c r="F380"/>
      <c r="G380"/>
      <c r="H380"/>
      <c r="I380"/>
      <c r="J380"/>
    </row>
    <row r="381" spans="1:10" ht="11.25" customHeight="1" x14ac:dyDescent="0.25">
      <c r="A381"/>
      <c r="B381"/>
      <c r="C381"/>
      <c r="D381"/>
      <c r="E381"/>
      <c r="F381"/>
      <c r="G381"/>
      <c r="H381"/>
      <c r="I381"/>
      <c r="J381"/>
    </row>
    <row r="382" spans="1:10" ht="11.25" customHeight="1" x14ac:dyDescent="0.25">
      <c r="A382"/>
      <c r="B382"/>
      <c r="C382"/>
      <c r="D382"/>
      <c r="E382"/>
      <c r="F382"/>
      <c r="G382"/>
      <c r="H382"/>
      <c r="I382"/>
      <c r="J382"/>
    </row>
    <row r="383" spans="1:10" ht="11.25" customHeight="1" x14ac:dyDescent="0.25">
      <c r="A383"/>
      <c r="B383"/>
      <c r="C383"/>
      <c r="D383"/>
      <c r="E383"/>
      <c r="F383"/>
      <c r="G383"/>
      <c r="H383"/>
      <c r="I383"/>
      <c r="J383"/>
    </row>
    <row r="384" spans="1:10" ht="11.25" customHeight="1" x14ac:dyDescent="0.25">
      <c r="A384"/>
      <c r="B384"/>
      <c r="C384"/>
      <c r="D384"/>
      <c r="E384"/>
      <c r="F384"/>
      <c r="G384"/>
      <c r="H384"/>
      <c r="I384"/>
      <c r="J384"/>
    </row>
    <row r="385" spans="1:10" ht="11.25" customHeight="1" x14ac:dyDescent="0.25">
      <c r="A385"/>
      <c r="B385"/>
      <c r="C385"/>
      <c r="D385"/>
      <c r="E385"/>
      <c r="F385"/>
      <c r="G385"/>
      <c r="H385"/>
      <c r="I385"/>
      <c r="J385"/>
    </row>
    <row r="386" spans="1:10" ht="11.25" customHeight="1" x14ac:dyDescent="0.25">
      <c r="A386"/>
      <c r="B386"/>
      <c r="C386"/>
      <c r="D386"/>
      <c r="E386"/>
      <c r="F386"/>
      <c r="G386"/>
      <c r="H386"/>
      <c r="I386"/>
      <c r="J386"/>
    </row>
    <row r="387" spans="1:10" ht="11.25" customHeight="1" x14ac:dyDescent="0.25">
      <c r="A387"/>
      <c r="B387"/>
      <c r="C387"/>
      <c r="D387"/>
      <c r="E387"/>
      <c r="F387"/>
      <c r="G387"/>
      <c r="H387"/>
      <c r="I387"/>
      <c r="J387"/>
    </row>
    <row r="388" spans="1:10" ht="11.25" customHeight="1" x14ac:dyDescent="0.25">
      <c r="A388"/>
      <c r="B388"/>
      <c r="C388"/>
      <c r="D388"/>
      <c r="E388"/>
      <c r="F388"/>
      <c r="G388"/>
      <c r="H388"/>
      <c r="I388"/>
      <c r="J388"/>
    </row>
    <row r="389" spans="1:10" ht="11.25" customHeight="1" x14ac:dyDescent="0.25">
      <c r="A389"/>
      <c r="B389"/>
      <c r="C389"/>
      <c r="D389"/>
      <c r="E389"/>
      <c r="F389"/>
      <c r="G389"/>
      <c r="H389"/>
      <c r="I389"/>
      <c r="J389"/>
    </row>
    <row r="390" spans="1:10" ht="11.25" customHeight="1" x14ac:dyDescent="0.25">
      <c r="A390"/>
      <c r="B390"/>
      <c r="C390"/>
      <c r="D390"/>
      <c r="E390"/>
      <c r="F390"/>
      <c r="G390"/>
      <c r="H390"/>
      <c r="I390"/>
      <c r="J390"/>
    </row>
    <row r="391" spans="1:10" ht="11.25" customHeight="1" x14ac:dyDescent="0.25">
      <c r="A391"/>
      <c r="B391"/>
      <c r="C391"/>
      <c r="D391"/>
      <c r="E391"/>
      <c r="F391"/>
      <c r="G391"/>
      <c r="H391"/>
      <c r="I391"/>
      <c r="J391"/>
    </row>
    <row r="392" spans="1:10" ht="11.25" customHeight="1" x14ac:dyDescent="0.25">
      <c r="A392"/>
      <c r="B392"/>
      <c r="C392"/>
      <c r="D392"/>
      <c r="E392"/>
      <c r="F392"/>
      <c r="G392"/>
      <c r="H392"/>
      <c r="I392"/>
      <c r="J392"/>
    </row>
    <row r="393" spans="1:10" ht="11.25" customHeight="1" x14ac:dyDescent="0.25">
      <c r="A393"/>
      <c r="B393"/>
      <c r="C393"/>
      <c r="D393"/>
      <c r="E393"/>
      <c r="F393"/>
      <c r="G393"/>
      <c r="H393"/>
      <c r="I393"/>
      <c r="J393"/>
    </row>
    <row r="394" spans="1:10" ht="11.25" customHeight="1" x14ac:dyDescent="0.25">
      <c r="A394"/>
      <c r="B394"/>
      <c r="C394"/>
      <c r="D394"/>
      <c r="E394"/>
      <c r="F394"/>
      <c r="G394"/>
      <c r="H394"/>
      <c r="I394"/>
      <c r="J394"/>
    </row>
    <row r="395" spans="1:10" ht="11.25" customHeight="1" x14ac:dyDescent="0.25">
      <c r="A395"/>
      <c r="B395"/>
      <c r="C395"/>
      <c r="D395"/>
      <c r="E395"/>
      <c r="F395"/>
      <c r="G395"/>
      <c r="H395"/>
      <c r="I395"/>
      <c r="J395"/>
    </row>
    <row r="396" spans="1:10" ht="11.25" customHeight="1" x14ac:dyDescent="0.25">
      <c r="A396"/>
      <c r="B396"/>
      <c r="C396"/>
      <c r="D396"/>
      <c r="E396"/>
      <c r="F396"/>
      <c r="G396"/>
      <c r="H396"/>
      <c r="I396"/>
      <c r="J396"/>
    </row>
    <row r="397" spans="1:10" ht="11.25" customHeight="1" x14ac:dyDescent="0.25">
      <c r="A397"/>
      <c r="B397"/>
      <c r="C397"/>
      <c r="D397"/>
      <c r="E397"/>
      <c r="F397"/>
      <c r="G397"/>
      <c r="H397"/>
      <c r="I397"/>
      <c r="J397"/>
    </row>
    <row r="398" spans="1:10" ht="11.25" customHeight="1" x14ac:dyDescent="0.25">
      <c r="A398"/>
      <c r="B398"/>
      <c r="C398"/>
      <c r="D398"/>
      <c r="E398"/>
      <c r="F398"/>
      <c r="G398"/>
      <c r="H398"/>
      <c r="I398"/>
      <c r="J398"/>
    </row>
    <row r="399" spans="1:10" ht="11.25" customHeight="1" x14ac:dyDescent="0.25">
      <c r="A399"/>
      <c r="B399"/>
      <c r="C399"/>
      <c r="D399"/>
      <c r="E399"/>
      <c r="F399"/>
      <c r="G399"/>
      <c r="H399"/>
      <c r="I399"/>
      <c r="J399"/>
    </row>
    <row r="400" spans="1:10" ht="11.25" customHeight="1" x14ac:dyDescent="0.25">
      <c r="A400"/>
      <c r="B400"/>
      <c r="C400"/>
      <c r="D400"/>
      <c r="E400"/>
      <c r="F400"/>
      <c r="G400"/>
      <c r="H400"/>
      <c r="I400"/>
      <c r="J400"/>
    </row>
    <row r="401" spans="1:10" ht="11.25" customHeight="1" x14ac:dyDescent="0.25">
      <c r="A401"/>
      <c r="B401"/>
      <c r="C401"/>
      <c r="D401"/>
      <c r="E401"/>
      <c r="F401"/>
      <c r="G401"/>
      <c r="H401"/>
      <c r="I401"/>
      <c r="J401"/>
    </row>
    <row r="402" spans="1:10" ht="11.25" customHeight="1" x14ac:dyDescent="0.25">
      <c r="A402"/>
      <c r="B402"/>
      <c r="C402"/>
      <c r="D402"/>
      <c r="E402"/>
      <c r="F402"/>
      <c r="G402"/>
      <c r="H402"/>
      <c r="I402"/>
      <c r="J402"/>
    </row>
    <row r="403" spans="1:10" ht="11.25" customHeight="1" x14ac:dyDescent="0.25">
      <c r="A403"/>
      <c r="B403"/>
      <c r="C403"/>
      <c r="D403"/>
      <c r="E403"/>
      <c r="F403"/>
      <c r="G403"/>
      <c r="H403"/>
      <c r="I403"/>
      <c r="J403"/>
    </row>
    <row r="404" spans="1:10" ht="11.25" customHeight="1" x14ac:dyDescent="0.25">
      <c r="A404"/>
      <c r="B404"/>
      <c r="C404"/>
      <c r="D404"/>
      <c r="E404"/>
      <c r="F404"/>
      <c r="G404"/>
      <c r="H404"/>
      <c r="I404"/>
      <c r="J404"/>
    </row>
    <row r="405" spans="1:10" ht="11.25" customHeight="1" x14ac:dyDescent="0.25">
      <c r="A405"/>
      <c r="B405"/>
      <c r="C405"/>
      <c r="D405"/>
      <c r="E405"/>
      <c r="F405"/>
      <c r="G405"/>
      <c r="H405"/>
      <c r="I405"/>
      <c r="J405"/>
    </row>
    <row r="406" spans="1:10" ht="11.25" customHeight="1" x14ac:dyDescent="0.25">
      <c r="A406"/>
      <c r="B406"/>
      <c r="C406"/>
      <c r="D406"/>
      <c r="E406"/>
      <c r="F406"/>
      <c r="G406"/>
      <c r="H406"/>
      <c r="I406"/>
      <c r="J406"/>
    </row>
    <row r="407" spans="1:10" ht="11.25" customHeight="1" x14ac:dyDescent="0.25">
      <c r="A407"/>
      <c r="B407"/>
      <c r="C407"/>
      <c r="D407"/>
      <c r="E407"/>
      <c r="F407"/>
      <c r="G407"/>
      <c r="H407"/>
      <c r="I407"/>
      <c r="J407"/>
    </row>
    <row r="408" spans="1:10" ht="11.25" customHeight="1" x14ac:dyDescent="0.25">
      <c r="A408"/>
      <c r="B408"/>
      <c r="C408"/>
      <c r="D408"/>
      <c r="E408"/>
      <c r="F408"/>
      <c r="G408"/>
      <c r="H408"/>
      <c r="I408"/>
      <c r="J408"/>
    </row>
    <row r="409" spans="1:10" ht="11.25" customHeight="1" x14ac:dyDescent="0.25">
      <c r="A409"/>
      <c r="B409"/>
      <c r="C409"/>
      <c r="D409"/>
      <c r="E409"/>
      <c r="F409"/>
      <c r="G409"/>
      <c r="H409"/>
      <c r="I409"/>
      <c r="J409"/>
    </row>
    <row r="410" spans="1:10" ht="11.25" customHeight="1" x14ac:dyDescent="0.25">
      <c r="A410"/>
      <c r="B410"/>
      <c r="C410"/>
      <c r="D410"/>
      <c r="E410"/>
      <c r="F410"/>
      <c r="G410"/>
      <c r="H410"/>
      <c r="I410"/>
      <c r="J410"/>
    </row>
    <row r="411" spans="1:10" ht="11.25" customHeight="1" x14ac:dyDescent="0.25">
      <c r="A411"/>
      <c r="B411"/>
      <c r="C411"/>
      <c r="D411"/>
      <c r="E411"/>
      <c r="F411"/>
      <c r="G411"/>
      <c r="H411"/>
      <c r="I411"/>
      <c r="J411"/>
    </row>
    <row r="412" spans="1:10" ht="11.25" customHeight="1" x14ac:dyDescent="0.25">
      <c r="A412"/>
      <c r="B412"/>
      <c r="C412"/>
      <c r="D412"/>
      <c r="E412"/>
      <c r="F412"/>
      <c r="G412"/>
      <c r="H412"/>
      <c r="I412"/>
      <c r="J412"/>
    </row>
    <row r="413" spans="1:10" ht="11.25" customHeight="1" x14ac:dyDescent="0.25">
      <c r="A413"/>
      <c r="B413"/>
      <c r="C413"/>
      <c r="D413"/>
      <c r="E413"/>
      <c r="F413"/>
      <c r="G413"/>
      <c r="H413"/>
      <c r="I413"/>
      <c r="J413"/>
    </row>
    <row r="414" spans="1:10" ht="11.25" customHeight="1" x14ac:dyDescent="0.25">
      <c r="A414"/>
      <c r="B414"/>
      <c r="C414"/>
      <c r="D414"/>
      <c r="E414"/>
      <c r="F414"/>
      <c r="G414"/>
      <c r="H414"/>
      <c r="I414"/>
      <c r="J414"/>
    </row>
    <row r="415" spans="1:10" ht="11.25" customHeight="1" x14ac:dyDescent="0.25">
      <c r="A415"/>
      <c r="B415"/>
      <c r="C415"/>
      <c r="D415"/>
      <c r="E415"/>
      <c r="F415"/>
      <c r="G415"/>
      <c r="H415"/>
      <c r="I415"/>
      <c r="J415"/>
    </row>
    <row r="416" spans="1:10" ht="11.25" customHeight="1" x14ac:dyDescent="0.25">
      <c r="A416"/>
      <c r="B416"/>
      <c r="C416"/>
      <c r="D416"/>
      <c r="E416"/>
      <c r="F416"/>
      <c r="G416"/>
      <c r="H416"/>
      <c r="I416"/>
      <c r="J416"/>
    </row>
    <row r="417" spans="1:10" ht="11.25" customHeight="1" x14ac:dyDescent="0.25">
      <c r="A417"/>
      <c r="B417"/>
      <c r="C417"/>
      <c r="D417"/>
      <c r="E417"/>
      <c r="F417"/>
      <c r="G417"/>
      <c r="H417"/>
      <c r="I417"/>
      <c r="J417"/>
    </row>
    <row r="418" spans="1:10" ht="11.25" customHeight="1" x14ac:dyDescent="0.25">
      <c r="A418"/>
      <c r="B418"/>
      <c r="C418"/>
      <c r="D418"/>
      <c r="E418"/>
      <c r="F418"/>
      <c r="G418"/>
      <c r="H418"/>
      <c r="I418"/>
      <c r="J418"/>
    </row>
    <row r="419" spans="1:10" ht="11.25" customHeight="1" x14ac:dyDescent="0.25">
      <c r="A419"/>
      <c r="B419"/>
      <c r="C419"/>
      <c r="D419"/>
      <c r="E419"/>
      <c r="F419"/>
      <c r="G419"/>
      <c r="H419"/>
      <c r="I419"/>
      <c r="J419"/>
    </row>
    <row r="420" spans="1:10" ht="11.25" customHeight="1" x14ac:dyDescent="0.25">
      <c r="A420"/>
      <c r="B420"/>
      <c r="C420"/>
      <c r="D420"/>
      <c r="E420"/>
      <c r="F420"/>
      <c r="G420"/>
      <c r="H420"/>
      <c r="I420"/>
      <c r="J420"/>
    </row>
    <row r="421" spans="1:10" ht="11.25" customHeight="1" x14ac:dyDescent="0.25">
      <c r="A421"/>
      <c r="B421"/>
      <c r="C421"/>
      <c r="D421"/>
      <c r="E421"/>
      <c r="F421"/>
      <c r="G421"/>
      <c r="H421"/>
      <c r="I421"/>
      <c r="J421"/>
    </row>
    <row r="422" spans="1:10" ht="11.25" customHeight="1" x14ac:dyDescent="0.25">
      <c r="A422"/>
      <c r="B422"/>
      <c r="C422"/>
      <c r="D422"/>
      <c r="E422"/>
      <c r="F422"/>
      <c r="G422"/>
      <c r="H422"/>
      <c r="I422"/>
      <c r="J422"/>
    </row>
    <row r="423" spans="1:10" ht="11.25" customHeight="1" x14ac:dyDescent="0.25">
      <c r="A423"/>
      <c r="B423"/>
      <c r="C423"/>
      <c r="D423"/>
      <c r="E423"/>
      <c r="F423"/>
      <c r="G423"/>
      <c r="H423"/>
      <c r="I423"/>
      <c r="J423"/>
    </row>
    <row r="424" spans="1:10" ht="11.25" customHeight="1" x14ac:dyDescent="0.25">
      <c r="A424"/>
      <c r="B424"/>
      <c r="C424"/>
      <c r="D424"/>
      <c r="E424"/>
      <c r="F424"/>
      <c r="G424"/>
      <c r="H424"/>
      <c r="I424"/>
      <c r="J424"/>
    </row>
    <row r="425" spans="1:10" ht="11.25" customHeight="1" x14ac:dyDescent="0.25">
      <c r="A425"/>
      <c r="B425"/>
      <c r="C425"/>
      <c r="D425"/>
      <c r="E425"/>
      <c r="F425"/>
      <c r="G425"/>
      <c r="H425"/>
      <c r="I425"/>
      <c r="J425"/>
    </row>
    <row r="426" spans="1:10" ht="11.25" customHeight="1" x14ac:dyDescent="0.25">
      <c r="A426"/>
      <c r="B426"/>
      <c r="C426"/>
      <c r="D426"/>
      <c r="E426"/>
      <c r="F426"/>
      <c r="G426"/>
      <c r="H426"/>
      <c r="I426"/>
      <c r="J426"/>
    </row>
    <row r="427" spans="1:10" ht="11.25" customHeight="1" x14ac:dyDescent="0.25">
      <c r="A427"/>
      <c r="B427"/>
      <c r="C427"/>
      <c r="D427"/>
      <c r="E427"/>
      <c r="F427"/>
      <c r="G427"/>
      <c r="H427"/>
      <c r="I427"/>
      <c r="J427"/>
    </row>
    <row r="428" spans="1:10" ht="11.25" customHeight="1" x14ac:dyDescent="0.25">
      <c r="A428"/>
      <c r="B428"/>
      <c r="C428"/>
      <c r="D428"/>
      <c r="E428"/>
      <c r="F428"/>
      <c r="G428"/>
      <c r="H428"/>
      <c r="I428"/>
      <c r="J428"/>
    </row>
    <row r="429" spans="1:10" ht="11.25" customHeight="1" x14ac:dyDescent="0.25">
      <c r="A429"/>
      <c r="B429"/>
      <c r="C429"/>
      <c r="D429"/>
      <c r="E429"/>
      <c r="F429"/>
      <c r="G429"/>
      <c r="H429"/>
      <c r="I429"/>
      <c r="J429"/>
    </row>
    <row r="430" spans="1:10" ht="11.25" customHeight="1" x14ac:dyDescent="0.25">
      <c r="A430"/>
      <c r="B430"/>
      <c r="C430"/>
      <c r="D430"/>
      <c r="E430"/>
      <c r="F430"/>
      <c r="G430"/>
      <c r="H430"/>
      <c r="I430"/>
      <c r="J430"/>
    </row>
    <row r="431" spans="1:10" ht="11.25" customHeight="1" x14ac:dyDescent="0.25">
      <c r="A431"/>
      <c r="B431"/>
      <c r="C431"/>
      <c r="D431"/>
      <c r="E431"/>
      <c r="F431"/>
      <c r="G431"/>
      <c r="H431"/>
      <c r="I431"/>
      <c r="J431"/>
    </row>
    <row r="432" spans="1:10" ht="11.25" customHeight="1" x14ac:dyDescent="0.25">
      <c r="A432"/>
      <c r="B432"/>
      <c r="C432"/>
      <c r="D432"/>
      <c r="E432"/>
      <c r="F432"/>
      <c r="G432"/>
      <c r="H432"/>
      <c r="I432"/>
      <c r="J432"/>
    </row>
    <row r="433" spans="1:10" ht="11.25" customHeight="1" x14ac:dyDescent="0.25">
      <c r="A433"/>
      <c r="B433"/>
      <c r="C433"/>
      <c r="D433"/>
      <c r="E433"/>
      <c r="F433"/>
      <c r="G433"/>
      <c r="H433"/>
      <c r="I433"/>
      <c r="J433"/>
    </row>
    <row r="434" spans="1:10" ht="11.25" customHeight="1" x14ac:dyDescent="0.25">
      <c r="A434"/>
      <c r="B434"/>
      <c r="C434"/>
      <c r="D434"/>
      <c r="E434"/>
      <c r="F434"/>
      <c r="G434"/>
      <c r="H434"/>
      <c r="I434"/>
      <c r="J434"/>
    </row>
    <row r="435" spans="1:10" ht="11.25" customHeight="1" x14ac:dyDescent="0.25">
      <c r="A435"/>
      <c r="B435"/>
      <c r="C435"/>
      <c r="D435"/>
      <c r="E435"/>
      <c r="F435"/>
      <c r="G435"/>
      <c r="H435"/>
      <c r="I435"/>
      <c r="J435"/>
    </row>
    <row r="436" spans="1:10" ht="11.25" customHeight="1" x14ac:dyDescent="0.25">
      <c r="A436"/>
      <c r="B436"/>
      <c r="C436"/>
      <c r="D436"/>
      <c r="E436"/>
      <c r="F436"/>
      <c r="G436"/>
      <c r="H436"/>
      <c r="I436"/>
      <c r="J436"/>
    </row>
    <row r="437" spans="1:10" ht="11.25" customHeight="1" x14ac:dyDescent="0.25">
      <c r="A437"/>
      <c r="B437"/>
      <c r="C437"/>
      <c r="D437"/>
      <c r="E437"/>
      <c r="F437"/>
      <c r="G437"/>
      <c r="H437"/>
      <c r="I437"/>
      <c r="J437"/>
    </row>
    <row r="438" spans="1:10" ht="11.25" customHeight="1" x14ac:dyDescent="0.25">
      <c r="A438"/>
      <c r="B438"/>
      <c r="C438"/>
      <c r="D438"/>
      <c r="E438"/>
      <c r="F438"/>
      <c r="G438"/>
      <c r="H438"/>
      <c r="I438"/>
      <c r="J438"/>
    </row>
    <row r="439" spans="1:10" ht="11.25" customHeight="1" x14ac:dyDescent="0.25">
      <c r="A439"/>
      <c r="B439"/>
      <c r="C439"/>
      <c r="D439"/>
      <c r="E439"/>
      <c r="F439"/>
      <c r="G439"/>
      <c r="H439"/>
      <c r="I439"/>
      <c r="J439"/>
    </row>
    <row r="440" spans="1:10" ht="11.25" customHeight="1" x14ac:dyDescent="0.25">
      <c r="A440"/>
      <c r="B440"/>
      <c r="C440"/>
      <c r="D440"/>
      <c r="E440"/>
      <c r="F440"/>
      <c r="G440"/>
      <c r="H440"/>
      <c r="I440"/>
      <c r="J440"/>
    </row>
    <row r="441" spans="1:10" ht="11.25" customHeight="1" x14ac:dyDescent="0.25">
      <c r="A441"/>
      <c r="B441"/>
      <c r="C441"/>
      <c r="D441"/>
      <c r="E441"/>
      <c r="F441"/>
      <c r="G441"/>
      <c r="H441"/>
      <c r="I441"/>
      <c r="J441"/>
    </row>
    <row r="442" spans="1:10" ht="11.25" customHeight="1" x14ac:dyDescent="0.25">
      <c r="A442"/>
      <c r="B442"/>
      <c r="C442"/>
      <c r="D442"/>
      <c r="E442"/>
      <c r="F442"/>
      <c r="G442"/>
      <c r="H442"/>
      <c r="I442"/>
      <c r="J442"/>
    </row>
    <row r="443" spans="1:10" ht="11.25" customHeight="1" x14ac:dyDescent="0.25">
      <c r="A443"/>
      <c r="B443"/>
      <c r="C443"/>
      <c r="D443"/>
      <c r="E443"/>
      <c r="F443"/>
      <c r="G443"/>
      <c r="H443"/>
      <c r="I443"/>
      <c r="J443"/>
    </row>
    <row r="444" spans="1:10" ht="11.25" customHeight="1" x14ac:dyDescent="0.25">
      <c r="A444"/>
      <c r="B444"/>
      <c r="C444"/>
      <c r="D444"/>
      <c r="E444"/>
      <c r="F444"/>
      <c r="G444"/>
      <c r="H444"/>
      <c r="I444"/>
      <c r="J444"/>
    </row>
    <row r="445" spans="1:10" ht="11.25" customHeight="1" x14ac:dyDescent="0.25">
      <c r="A445"/>
      <c r="B445"/>
      <c r="C445"/>
      <c r="D445"/>
      <c r="E445"/>
      <c r="F445"/>
      <c r="G445"/>
      <c r="H445"/>
      <c r="I445"/>
      <c r="J445"/>
    </row>
    <row r="446" spans="1:10" ht="11.25" customHeight="1" x14ac:dyDescent="0.25">
      <c r="A446"/>
      <c r="B446"/>
      <c r="C446"/>
      <c r="D446"/>
      <c r="E446"/>
      <c r="F446"/>
      <c r="G446"/>
      <c r="H446"/>
      <c r="I446"/>
      <c r="J446"/>
    </row>
    <row r="447" spans="1:10" ht="11.25" customHeight="1" x14ac:dyDescent="0.25">
      <c r="A447"/>
      <c r="B447"/>
      <c r="C447"/>
      <c r="D447"/>
      <c r="E447"/>
      <c r="F447"/>
      <c r="G447"/>
      <c r="H447"/>
      <c r="I447"/>
      <c r="J447"/>
    </row>
    <row r="448" spans="1:10" ht="11.25" customHeight="1" x14ac:dyDescent="0.25">
      <c r="A448"/>
      <c r="B448"/>
      <c r="C448"/>
      <c r="D448"/>
      <c r="E448"/>
      <c r="F448"/>
      <c r="G448"/>
      <c r="H448"/>
      <c r="I448"/>
      <c r="J448"/>
    </row>
    <row r="449" spans="1:10" ht="11.25" customHeight="1" x14ac:dyDescent="0.25">
      <c r="A449"/>
      <c r="B449"/>
      <c r="C449"/>
      <c r="D449"/>
      <c r="E449"/>
      <c r="F449"/>
      <c r="G449"/>
      <c r="H449"/>
      <c r="I449"/>
      <c r="J449"/>
    </row>
    <row r="450" spans="1:10" ht="11.25" customHeight="1" x14ac:dyDescent="0.25">
      <c r="A450"/>
      <c r="B450"/>
      <c r="C450"/>
      <c r="D450"/>
      <c r="E450"/>
      <c r="F450"/>
      <c r="G450"/>
      <c r="H450"/>
      <c r="I450"/>
      <c r="J450"/>
    </row>
    <row r="451" spans="1:10" ht="11.25" customHeight="1" x14ac:dyDescent="0.25">
      <c r="A451"/>
      <c r="B451"/>
      <c r="C451"/>
      <c r="D451"/>
      <c r="E451"/>
      <c r="F451"/>
      <c r="G451"/>
      <c r="H451"/>
      <c r="I451"/>
      <c r="J451"/>
    </row>
    <row r="452" spans="1:10" ht="11.25" customHeight="1" x14ac:dyDescent="0.25">
      <c r="A452"/>
      <c r="B452"/>
      <c r="C452"/>
      <c r="D452"/>
      <c r="E452"/>
      <c r="F452"/>
      <c r="G452"/>
      <c r="H452"/>
      <c r="I452"/>
      <c r="J452"/>
    </row>
    <row r="453" spans="1:10" ht="11.25" customHeight="1" x14ac:dyDescent="0.25">
      <c r="A453"/>
      <c r="B453"/>
      <c r="C453"/>
      <c r="D453"/>
      <c r="E453"/>
      <c r="F453"/>
      <c r="G453"/>
      <c r="H453"/>
      <c r="I453"/>
      <c r="J453"/>
    </row>
    <row r="454" spans="1:10" ht="11.25" customHeight="1" x14ac:dyDescent="0.25">
      <c r="A454"/>
      <c r="B454"/>
      <c r="C454"/>
      <c r="D454"/>
      <c r="E454"/>
      <c r="F454"/>
      <c r="G454"/>
      <c r="H454"/>
      <c r="I454"/>
      <c r="J454"/>
    </row>
    <row r="455" spans="1:10" ht="11.25" customHeight="1" x14ac:dyDescent="0.25">
      <c r="A455"/>
      <c r="B455"/>
      <c r="C455"/>
      <c r="D455"/>
      <c r="E455"/>
      <c r="F455"/>
      <c r="G455"/>
      <c r="H455"/>
      <c r="I455"/>
      <c r="J455"/>
    </row>
    <row r="456" spans="1:10" ht="11.25" customHeight="1" x14ac:dyDescent="0.25">
      <c r="A456"/>
      <c r="B456"/>
      <c r="C456"/>
      <c r="D456"/>
      <c r="E456"/>
      <c r="F456"/>
      <c r="G456"/>
      <c r="H456"/>
      <c r="I456"/>
      <c r="J456"/>
    </row>
    <row r="457" spans="1:10" ht="11.25" customHeight="1" x14ac:dyDescent="0.25">
      <c r="A457"/>
      <c r="B457"/>
      <c r="C457"/>
      <c r="D457"/>
      <c r="E457"/>
      <c r="F457"/>
      <c r="G457"/>
      <c r="H457"/>
      <c r="I457"/>
      <c r="J457"/>
    </row>
    <row r="458" spans="1:10" ht="11.25" customHeight="1" x14ac:dyDescent="0.25">
      <c r="A458"/>
      <c r="B458"/>
      <c r="C458"/>
      <c r="D458"/>
      <c r="E458"/>
      <c r="F458"/>
      <c r="G458"/>
      <c r="H458"/>
      <c r="I458"/>
      <c r="J458"/>
    </row>
    <row r="459" spans="1:10" ht="11.25" customHeight="1" x14ac:dyDescent="0.25">
      <c r="A459"/>
      <c r="B459"/>
      <c r="C459"/>
      <c r="D459"/>
      <c r="E459"/>
      <c r="F459"/>
      <c r="G459"/>
      <c r="H459"/>
      <c r="I459"/>
      <c r="J459"/>
    </row>
    <row r="460" spans="1:10" ht="11.25" customHeight="1" x14ac:dyDescent="0.25">
      <c r="A460"/>
      <c r="B460"/>
      <c r="C460"/>
      <c r="D460"/>
      <c r="E460"/>
      <c r="F460"/>
      <c r="G460"/>
      <c r="H460"/>
      <c r="I460"/>
      <c r="J460"/>
    </row>
    <row r="461" spans="1:10" ht="11.25" customHeight="1" x14ac:dyDescent="0.25">
      <c r="A461"/>
      <c r="B461"/>
      <c r="C461"/>
      <c r="D461"/>
      <c r="E461"/>
      <c r="F461"/>
      <c r="G461"/>
      <c r="H461"/>
      <c r="I461"/>
      <c r="J461"/>
    </row>
    <row r="462" spans="1:10" ht="11.25" customHeight="1" x14ac:dyDescent="0.25">
      <c r="A462"/>
      <c r="B462"/>
      <c r="C462"/>
      <c r="D462"/>
      <c r="E462"/>
      <c r="F462"/>
      <c r="G462"/>
      <c r="H462"/>
      <c r="I462"/>
      <c r="J462"/>
    </row>
    <row r="463" spans="1:10" ht="11.25" customHeight="1" x14ac:dyDescent="0.25">
      <c r="A463"/>
      <c r="B463"/>
      <c r="C463"/>
      <c r="D463"/>
      <c r="E463"/>
      <c r="F463"/>
      <c r="G463"/>
      <c r="H463"/>
      <c r="I463"/>
      <c r="J463"/>
    </row>
    <row r="464" spans="1:10" ht="11.25" customHeight="1" x14ac:dyDescent="0.25">
      <c r="A464"/>
      <c r="B464"/>
      <c r="C464"/>
      <c r="D464"/>
      <c r="E464"/>
      <c r="F464"/>
      <c r="G464"/>
      <c r="H464"/>
      <c r="I464"/>
      <c r="J464"/>
    </row>
    <row r="465" spans="1:10" ht="11.25" customHeight="1" x14ac:dyDescent="0.25">
      <c r="A465"/>
      <c r="B465"/>
      <c r="C465"/>
      <c r="D465"/>
      <c r="E465"/>
      <c r="F465"/>
      <c r="G465"/>
      <c r="H465"/>
      <c r="I465"/>
      <c r="J465"/>
    </row>
    <row r="466" spans="1:10" ht="11.25" customHeight="1" x14ac:dyDescent="0.25">
      <c r="A466"/>
      <c r="B466"/>
      <c r="C466"/>
      <c r="D466"/>
      <c r="E466"/>
      <c r="F466"/>
      <c r="G466"/>
      <c r="H466"/>
      <c r="I466"/>
      <c r="J466"/>
    </row>
    <row r="467" spans="1:10" ht="11.25" customHeight="1" x14ac:dyDescent="0.25">
      <c r="A467"/>
      <c r="B467"/>
      <c r="C467"/>
      <c r="D467"/>
      <c r="E467"/>
      <c r="F467"/>
      <c r="G467"/>
      <c r="H467"/>
      <c r="I467"/>
      <c r="J467"/>
    </row>
    <row r="468" spans="1:10" ht="11.25" customHeight="1" x14ac:dyDescent="0.25">
      <c r="A468"/>
      <c r="B468"/>
      <c r="C468"/>
      <c r="D468"/>
      <c r="E468"/>
      <c r="F468"/>
      <c r="G468"/>
      <c r="H468"/>
      <c r="I468"/>
      <c r="J468"/>
    </row>
    <row r="469" spans="1:10" ht="11.25" customHeight="1" x14ac:dyDescent="0.25">
      <c r="A469"/>
      <c r="B469"/>
      <c r="C469"/>
      <c r="D469"/>
      <c r="E469"/>
      <c r="F469"/>
      <c r="G469"/>
      <c r="H469"/>
      <c r="I469"/>
      <c r="J469"/>
    </row>
    <row r="470" spans="1:10" ht="11.25" customHeight="1" x14ac:dyDescent="0.25">
      <c r="A470"/>
      <c r="B470"/>
      <c r="C470"/>
      <c r="D470"/>
      <c r="E470"/>
      <c r="F470"/>
      <c r="G470"/>
      <c r="H470"/>
      <c r="I470"/>
      <c r="J470"/>
    </row>
    <row r="471" spans="1:10" ht="11.25" customHeight="1" x14ac:dyDescent="0.25">
      <c r="A471"/>
      <c r="B471"/>
      <c r="C471"/>
      <c r="D471"/>
      <c r="E471"/>
      <c r="F471"/>
      <c r="G471"/>
      <c r="H471"/>
      <c r="I471"/>
      <c r="J471"/>
    </row>
    <row r="472" spans="1:10" ht="11.25" customHeight="1" x14ac:dyDescent="0.25">
      <c r="A472"/>
      <c r="B472"/>
      <c r="C472"/>
      <c r="D472"/>
      <c r="E472"/>
      <c r="F472"/>
      <c r="G472"/>
      <c r="H472"/>
      <c r="I472"/>
      <c r="J472"/>
    </row>
    <row r="473" spans="1:10" ht="11.25" customHeight="1" x14ac:dyDescent="0.25">
      <c r="A473"/>
      <c r="B473"/>
      <c r="C473"/>
      <c r="D473"/>
      <c r="E473"/>
      <c r="F473"/>
      <c r="G473"/>
      <c r="H473"/>
      <c r="I473"/>
      <c r="J473"/>
    </row>
    <row r="474" spans="1:10" ht="11.25" customHeight="1" x14ac:dyDescent="0.25">
      <c r="A474"/>
      <c r="B474"/>
      <c r="C474"/>
      <c r="D474"/>
      <c r="E474"/>
      <c r="F474"/>
      <c r="G474"/>
      <c r="H474"/>
      <c r="I474"/>
      <c r="J474"/>
    </row>
    <row r="475" spans="1:10" ht="11.25" customHeight="1" x14ac:dyDescent="0.25">
      <c r="A475"/>
      <c r="B475"/>
      <c r="C475"/>
      <c r="D475"/>
      <c r="E475"/>
      <c r="F475"/>
      <c r="G475"/>
      <c r="H475"/>
      <c r="I475"/>
      <c r="J475"/>
    </row>
    <row r="476" spans="1:10" ht="11.25" customHeight="1" x14ac:dyDescent="0.25">
      <c r="A476"/>
      <c r="B476"/>
      <c r="C476"/>
      <c r="D476"/>
      <c r="E476"/>
      <c r="F476"/>
      <c r="G476"/>
      <c r="H476"/>
      <c r="I476"/>
      <c r="J476"/>
    </row>
    <row r="477" spans="1:10" ht="11.25" customHeight="1" x14ac:dyDescent="0.25">
      <c r="A477"/>
      <c r="B477"/>
      <c r="C477"/>
      <c r="D477"/>
      <c r="E477"/>
      <c r="F477"/>
      <c r="G477"/>
      <c r="H477"/>
      <c r="I477"/>
      <c r="J477"/>
    </row>
    <row r="478" spans="1:10" ht="11.25" customHeight="1" x14ac:dyDescent="0.25">
      <c r="A478"/>
      <c r="B478"/>
      <c r="C478"/>
      <c r="D478"/>
      <c r="E478"/>
      <c r="F478"/>
      <c r="G478"/>
      <c r="H478"/>
      <c r="I478"/>
      <c r="J478"/>
    </row>
    <row r="479" spans="1:10" ht="11.25" customHeight="1" x14ac:dyDescent="0.25">
      <c r="A479"/>
      <c r="B479"/>
      <c r="C479"/>
      <c r="D479"/>
      <c r="E479"/>
      <c r="F479"/>
      <c r="G479"/>
      <c r="H479"/>
      <c r="I479"/>
      <c r="J479"/>
    </row>
    <row r="480" spans="1:10" ht="11.25" customHeight="1" x14ac:dyDescent="0.25">
      <c r="A480"/>
      <c r="B480"/>
      <c r="C480"/>
      <c r="D480"/>
      <c r="E480"/>
      <c r="F480"/>
      <c r="G480"/>
      <c r="H480"/>
      <c r="I480"/>
      <c r="J480"/>
    </row>
    <row r="481" spans="1:10" ht="11.25" customHeight="1" x14ac:dyDescent="0.25">
      <c r="A481"/>
      <c r="B481"/>
      <c r="C481"/>
      <c r="D481"/>
      <c r="E481"/>
      <c r="F481"/>
      <c r="G481"/>
      <c r="H481"/>
      <c r="I481"/>
      <c r="J481"/>
    </row>
    <row r="482" spans="1:10" ht="11.25" customHeight="1" x14ac:dyDescent="0.25">
      <c r="A482"/>
      <c r="B482"/>
      <c r="C482"/>
      <c r="D482"/>
      <c r="E482"/>
      <c r="F482"/>
      <c r="G482"/>
      <c r="H482"/>
      <c r="I482"/>
      <c r="J482"/>
    </row>
    <row r="483" spans="1:10" ht="11.25" customHeight="1" x14ac:dyDescent="0.25">
      <c r="A483"/>
      <c r="B483"/>
      <c r="C483"/>
      <c r="D483"/>
      <c r="E483"/>
      <c r="F483"/>
      <c r="G483"/>
      <c r="H483"/>
      <c r="I483"/>
      <c r="J483"/>
    </row>
    <row r="484" spans="1:10" ht="11.25" customHeight="1" x14ac:dyDescent="0.25">
      <c r="A484"/>
      <c r="B484"/>
      <c r="C484"/>
      <c r="D484"/>
      <c r="E484"/>
      <c r="F484"/>
      <c r="G484"/>
      <c r="H484"/>
      <c r="I484"/>
      <c r="J484"/>
    </row>
    <row r="485" spans="1:10" ht="11.25" customHeight="1" x14ac:dyDescent="0.25">
      <c r="A485"/>
      <c r="B485"/>
      <c r="C485"/>
      <c r="D485"/>
      <c r="E485"/>
      <c r="F485"/>
      <c r="G485"/>
      <c r="H485"/>
      <c r="I485"/>
      <c r="J485"/>
    </row>
    <row r="486" spans="1:10" ht="11.25" customHeight="1" x14ac:dyDescent="0.25">
      <c r="A486"/>
      <c r="B486"/>
      <c r="C486"/>
      <c r="D486"/>
      <c r="E486"/>
      <c r="F486"/>
      <c r="G486"/>
      <c r="H486"/>
      <c r="I486"/>
      <c r="J486"/>
    </row>
    <row r="487" spans="1:10" ht="11.25" customHeight="1" x14ac:dyDescent="0.25">
      <c r="A487"/>
      <c r="B487"/>
      <c r="C487"/>
      <c r="D487"/>
      <c r="E487"/>
      <c r="F487"/>
      <c r="G487"/>
      <c r="H487"/>
      <c r="I487"/>
      <c r="J487"/>
    </row>
    <row r="488" spans="1:10" ht="11.25" customHeight="1" x14ac:dyDescent="0.25">
      <c r="A488"/>
      <c r="B488"/>
      <c r="C488"/>
      <c r="D488"/>
      <c r="E488"/>
      <c r="F488"/>
      <c r="G488"/>
      <c r="H488"/>
      <c r="I488"/>
      <c r="J488"/>
    </row>
    <row r="489" spans="1:10" ht="11.25" customHeight="1" x14ac:dyDescent="0.25">
      <c r="A489"/>
      <c r="B489"/>
      <c r="C489"/>
      <c r="D489"/>
      <c r="E489"/>
      <c r="F489"/>
      <c r="G489"/>
      <c r="H489"/>
      <c r="I489"/>
      <c r="J489"/>
    </row>
    <row r="490" spans="1:10" ht="11.25" customHeight="1" x14ac:dyDescent="0.25">
      <c r="A490"/>
      <c r="B490"/>
      <c r="C490"/>
      <c r="D490"/>
      <c r="E490"/>
      <c r="F490"/>
      <c r="G490"/>
      <c r="H490"/>
      <c r="I490"/>
      <c r="J490"/>
    </row>
    <row r="491" spans="1:10" ht="11.25" customHeight="1" x14ac:dyDescent="0.25">
      <c r="A491"/>
      <c r="B491"/>
      <c r="C491"/>
      <c r="D491"/>
      <c r="E491"/>
      <c r="F491"/>
      <c r="G491"/>
      <c r="H491"/>
      <c r="I491"/>
      <c r="J491"/>
    </row>
    <row r="492" spans="1:10" ht="11.25" customHeight="1" x14ac:dyDescent="0.25">
      <c r="A492"/>
      <c r="B492"/>
      <c r="C492"/>
      <c r="D492"/>
      <c r="E492"/>
      <c r="F492"/>
      <c r="G492"/>
      <c r="H492"/>
      <c r="I492"/>
      <c r="J492"/>
    </row>
    <row r="493" spans="1:10" ht="11.25" customHeight="1" x14ac:dyDescent="0.25">
      <c r="A493"/>
      <c r="B493"/>
      <c r="C493"/>
      <c r="D493"/>
      <c r="E493"/>
      <c r="F493"/>
      <c r="G493"/>
      <c r="H493"/>
      <c r="I493"/>
      <c r="J493"/>
    </row>
    <row r="494" spans="1:10" ht="11.25" customHeight="1" x14ac:dyDescent="0.25">
      <c r="A494"/>
      <c r="B494"/>
      <c r="C494"/>
      <c r="D494"/>
      <c r="E494"/>
      <c r="F494"/>
      <c r="G494"/>
      <c r="H494"/>
      <c r="I494"/>
      <c r="J494"/>
    </row>
    <row r="495" spans="1:10" ht="11.25" customHeight="1" x14ac:dyDescent="0.25">
      <c r="A495"/>
      <c r="B495"/>
      <c r="C495"/>
      <c r="D495"/>
      <c r="E495"/>
      <c r="F495"/>
      <c r="G495"/>
      <c r="H495"/>
      <c r="I495"/>
      <c r="J495"/>
    </row>
    <row r="496" spans="1:10" ht="11.25" customHeight="1" x14ac:dyDescent="0.25">
      <c r="A496"/>
      <c r="B496"/>
      <c r="C496"/>
      <c r="D496"/>
      <c r="E496"/>
      <c r="F496"/>
      <c r="G496"/>
      <c r="H496"/>
      <c r="I496"/>
      <c r="J496"/>
    </row>
    <row r="497" spans="1:10" ht="11.25" customHeight="1" x14ac:dyDescent="0.25">
      <c r="A497"/>
      <c r="B497"/>
      <c r="C497"/>
      <c r="D497"/>
      <c r="E497"/>
      <c r="F497"/>
      <c r="G497"/>
      <c r="H497"/>
      <c r="I497"/>
      <c r="J497"/>
    </row>
    <row r="498" spans="1:10" ht="11.25" customHeight="1" x14ac:dyDescent="0.25">
      <c r="A498"/>
      <c r="B498"/>
      <c r="C498"/>
      <c r="D498"/>
      <c r="E498"/>
      <c r="F498"/>
      <c r="G498"/>
      <c r="H498"/>
      <c r="I498"/>
      <c r="J498"/>
    </row>
    <row r="499" spans="1:10" ht="11.25" customHeight="1" x14ac:dyDescent="0.25">
      <c r="A499"/>
      <c r="B499"/>
      <c r="C499"/>
      <c r="D499"/>
      <c r="E499"/>
      <c r="F499"/>
      <c r="G499"/>
      <c r="H499"/>
      <c r="I499"/>
      <c r="J499"/>
    </row>
    <row r="500" spans="1:10" ht="11.25" customHeight="1" x14ac:dyDescent="0.25">
      <c r="A500"/>
      <c r="B500"/>
      <c r="C500"/>
      <c r="D500"/>
      <c r="E500"/>
      <c r="F500"/>
      <c r="G500"/>
      <c r="H500"/>
      <c r="I500"/>
      <c r="J500"/>
    </row>
    <row r="501" spans="1:10" ht="11.25" customHeight="1" x14ac:dyDescent="0.25">
      <c r="A501"/>
      <c r="B501"/>
      <c r="C501"/>
      <c r="D501"/>
      <c r="E501"/>
      <c r="F501"/>
      <c r="G501"/>
      <c r="H501"/>
      <c r="I501"/>
      <c r="J501"/>
    </row>
    <row r="502" spans="1:10" ht="11.25" customHeight="1" x14ac:dyDescent="0.25">
      <c r="A502"/>
      <c r="B502"/>
      <c r="C502"/>
      <c r="D502"/>
      <c r="E502"/>
      <c r="F502"/>
      <c r="G502"/>
      <c r="H502"/>
      <c r="I502"/>
      <c r="J502"/>
    </row>
    <row r="503" spans="1:10" ht="11.25" customHeight="1" x14ac:dyDescent="0.25">
      <c r="A503"/>
      <c r="B503"/>
      <c r="C503"/>
      <c r="D503"/>
      <c r="E503"/>
      <c r="F503"/>
      <c r="G503"/>
      <c r="H503"/>
      <c r="I503"/>
      <c r="J503"/>
    </row>
    <row r="504" spans="1:10" ht="11.25" customHeight="1" x14ac:dyDescent="0.25">
      <c r="A504"/>
      <c r="B504"/>
      <c r="C504"/>
      <c r="D504"/>
      <c r="E504"/>
      <c r="F504"/>
      <c r="G504"/>
      <c r="H504"/>
      <c r="I504"/>
      <c r="J504"/>
    </row>
    <row r="505" spans="1:10" ht="11.25" customHeight="1" x14ac:dyDescent="0.25">
      <c r="A505"/>
      <c r="B505"/>
      <c r="C505"/>
      <c r="D505"/>
      <c r="E505"/>
      <c r="F505"/>
      <c r="G505"/>
      <c r="H505"/>
      <c r="I505"/>
      <c r="J505"/>
    </row>
    <row r="506" spans="1:10" ht="11.25" customHeight="1" x14ac:dyDescent="0.25">
      <c r="A506"/>
      <c r="B506"/>
      <c r="C506"/>
      <c r="D506"/>
      <c r="E506"/>
      <c r="F506"/>
      <c r="G506"/>
      <c r="H506"/>
      <c r="I506"/>
      <c r="J506"/>
    </row>
    <row r="507" spans="1:10" ht="11.25" customHeight="1" x14ac:dyDescent="0.25">
      <c r="A507"/>
      <c r="B507"/>
      <c r="C507"/>
      <c r="D507"/>
      <c r="E507"/>
      <c r="F507"/>
      <c r="G507"/>
      <c r="H507"/>
      <c r="I507"/>
      <c r="J507"/>
    </row>
    <row r="508" spans="1:10" ht="11.25" customHeight="1" x14ac:dyDescent="0.25">
      <c r="A508"/>
      <c r="B508"/>
      <c r="C508"/>
      <c r="D508"/>
      <c r="E508"/>
      <c r="F508"/>
      <c r="G508"/>
      <c r="H508"/>
      <c r="I508"/>
      <c r="J508"/>
    </row>
    <row r="509" spans="1:10" ht="11.25" customHeight="1" x14ac:dyDescent="0.25">
      <c r="A509"/>
      <c r="B509"/>
      <c r="C509"/>
      <c r="D509"/>
      <c r="E509"/>
      <c r="F509"/>
      <c r="G509"/>
      <c r="H509"/>
      <c r="I509"/>
      <c r="J509"/>
    </row>
    <row r="510" spans="1:10" ht="11.25" customHeight="1" x14ac:dyDescent="0.25">
      <c r="A510"/>
      <c r="B510"/>
      <c r="C510"/>
      <c r="D510"/>
      <c r="E510"/>
      <c r="F510"/>
      <c r="G510"/>
      <c r="H510"/>
      <c r="I510"/>
      <c r="J510"/>
    </row>
    <row r="511" spans="1:10" ht="11.25" customHeight="1" x14ac:dyDescent="0.25">
      <c r="A511"/>
      <c r="B511"/>
      <c r="C511"/>
      <c r="D511"/>
      <c r="E511"/>
      <c r="F511"/>
      <c r="G511"/>
      <c r="H511"/>
      <c r="I511"/>
      <c r="J511"/>
    </row>
    <row r="512" spans="1:10" ht="11.25" customHeight="1" x14ac:dyDescent="0.25">
      <c r="A512"/>
      <c r="B512"/>
      <c r="C512"/>
      <c r="D512"/>
      <c r="E512"/>
      <c r="F512"/>
      <c r="G512"/>
      <c r="H512"/>
      <c r="I512"/>
      <c r="J512"/>
    </row>
    <row r="513" spans="1:10" ht="11.25" customHeight="1" x14ac:dyDescent="0.25">
      <c r="A513"/>
      <c r="B513"/>
      <c r="C513"/>
      <c r="D513"/>
      <c r="E513"/>
      <c r="F513"/>
      <c r="G513"/>
      <c r="H513"/>
      <c r="I513"/>
      <c r="J513"/>
    </row>
    <row r="514" spans="1:10" ht="11.25" customHeight="1" x14ac:dyDescent="0.25">
      <c r="A514"/>
      <c r="B514"/>
      <c r="C514"/>
      <c r="D514"/>
      <c r="E514"/>
      <c r="F514"/>
      <c r="G514"/>
      <c r="H514"/>
      <c r="I514"/>
      <c r="J514"/>
    </row>
    <row r="515" spans="1:10" ht="11.25" customHeight="1" x14ac:dyDescent="0.25">
      <c r="A515"/>
      <c r="B515"/>
      <c r="C515"/>
      <c r="D515"/>
      <c r="E515"/>
      <c r="F515"/>
      <c r="G515"/>
      <c r="H515"/>
      <c r="I515"/>
      <c r="J515"/>
    </row>
    <row r="516" spans="1:10" ht="11.25" customHeight="1" x14ac:dyDescent="0.25">
      <c r="A516"/>
      <c r="B516"/>
      <c r="C516"/>
      <c r="D516"/>
      <c r="E516"/>
      <c r="F516"/>
      <c r="G516"/>
      <c r="H516"/>
      <c r="I516"/>
      <c r="J516"/>
    </row>
    <row r="517" spans="1:10" ht="11.25" customHeight="1" x14ac:dyDescent="0.25">
      <c r="A517"/>
      <c r="B517"/>
      <c r="C517"/>
      <c r="D517"/>
      <c r="E517"/>
      <c r="F517"/>
      <c r="G517"/>
      <c r="H517"/>
      <c r="I517"/>
      <c r="J517"/>
    </row>
    <row r="518" spans="1:10" ht="11.25" customHeight="1" x14ac:dyDescent="0.25">
      <c r="A518"/>
      <c r="B518"/>
      <c r="C518"/>
      <c r="D518"/>
      <c r="E518"/>
      <c r="F518"/>
      <c r="G518"/>
      <c r="H518"/>
      <c r="I518"/>
      <c r="J518"/>
    </row>
    <row r="519" spans="1:10" ht="11.25" customHeight="1" x14ac:dyDescent="0.25">
      <c r="A519"/>
      <c r="B519"/>
      <c r="C519"/>
      <c r="D519"/>
      <c r="E519"/>
      <c r="F519"/>
      <c r="G519"/>
      <c r="H519"/>
      <c r="I519"/>
      <c r="J519"/>
    </row>
    <row r="520" spans="1:10" ht="11.25" customHeight="1" x14ac:dyDescent="0.25">
      <c r="A520"/>
      <c r="B520"/>
      <c r="C520"/>
      <c r="D520"/>
      <c r="E520"/>
      <c r="F520"/>
      <c r="G520"/>
      <c r="H520"/>
      <c r="I520"/>
      <c r="J520"/>
    </row>
    <row r="521" spans="1:10" ht="11.25" customHeight="1" x14ac:dyDescent="0.25">
      <c r="A521"/>
      <c r="B521"/>
      <c r="C521"/>
      <c r="D521"/>
      <c r="E521"/>
      <c r="F521"/>
      <c r="G521"/>
      <c r="H521"/>
      <c r="I521"/>
      <c r="J521"/>
    </row>
    <row r="522" spans="1:10" ht="11.25" customHeight="1" x14ac:dyDescent="0.25">
      <c r="A522"/>
      <c r="B522"/>
      <c r="C522"/>
      <c r="D522"/>
      <c r="E522"/>
      <c r="F522"/>
      <c r="G522"/>
      <c r="H522"/>
      <c r="I522"/>
      <c r="J522"/>
    </row>
    <row r="523" spans="1:10" ht="11.25" customHeight="1" x14ac:dyDescent="0.25">
      <c r="A523"/>
      <c r="B523"/>
      <c r="C523"/>
      <c r="D523"/>
      <c r="E523"/>
      <c r="F523"/>
      <c r="G523"/>
      <c r="H523"/>
      <c r="I523"/>
      <c r="J523"/>
    </row>
    <row r="524" spans="1:10" ht="11.25" customHeight="1" x14ac:dyDescent="0.25">
      <c r="A524"/>
      <c r="B524"/>
      <c r="C524"/>
      <c r="D524"/>
      <c r="E524"/>
      <c r="F524"/>
      <c r="G524"/>
      <c r="H524"/>
      <c r="I524"/>
      <c r="J524"/>
    </row>
    <row r="525" spans="1:10" ht="11.25" customHeight="1" x14ac:dyDescent="0.25">
      <c r="A525"/>
      <c r="B525"/>
      <c r="C525"/>
      <c r="D525"/>
      <c r="E525"/>
      <c r="F525"/>
      <c r="G525"/>
      <c r="H525"/>
      <c r="I525"/>
      <c r="J525"/>
    </row>
    <row r="526" spans="1:10" ht="11.25" customHeight="1" x14ac:dyDescent="0.25">
      <c r="A526"/>
      <c r="B526"/>
      <c r="C526"/>
      <c r="D526"/>
      <c r="E526"/>
      <c r="F526"/>
      <c r="G526"/>
      <c r="H526"/>
      <c r="I526"/>
      <c r="J526"/>
    </row>
    <row r="527" spans="1:10" ht="11.25" customHeight="1" x14ac:dyDescent="0.25">
      <c r="A527"/>
      <c r="B527"/>
      <c r="C527"/>
      <c r="D527"/>
      <c r="E527"/>
      <c r="F527"/>
      <c r="G527"/>
      <c r="H527"/>
      <c r="I527"/>
      <c r="J527"/>
    </row>
    <row r="528" spans="1:10" ht="11.25" customHeight="1" x14ac:dyDescent="0.25">
      <c r="A528"/>
      <c r="B528"/>
      <c r="C528"/>
      <c r="D528"/>
      <c r="E528"/>
      <c r="F528"/>
      <c r="G528"/>
      <c r="H528"/>
      <c r="I528"/>
      <c r="J528"/>
    </row>
    <row r="529" spans="1:10" ht="11.25" customHeight="1" x14ac:dyDescent="0.25">
      <c r="A529"/>
      <c r="B529"/>
      <c r="C529"/>
      <c r="D529"/>
      <c r="E529"/>
      <c r="F529"/>
      <c r="G529"/>
      <c r="H529"/>
      <c r="I529"/>
      <c r="J529"/>
    </row>
    <row r="530" spans="1:10" ht="11.25" customHeight="1" x14ac:dyDescent="0.25">
      <c r="A530"/>
      <c r="B530"/>
      <c r="C530"/>
      <c r="D530"/>
      <c r="E530"/>
      <c r="F530"/>
      <c r="G530"/>
      <c r="H530"/>
      <c r="I530"/>
      <c r="J530"/>
    </row>
    <row r="531" spans="1:10" ht="11.25" customHeight="1" x14ac:dyDescent="0.25">
      <c r="A531"/>
      <c r="B531"/>
      <c r="C531"/>
      <c r="D531"/>
      <c r="E531"/>
      <c r="F531"/>
      <c r="G531"/>
      <c r="H531"/>
      <c r="I531"/>
      <c r="J531"/>
    </row>
    <row r="532" spans="1:10" ht="11.25" customHeight="1" x14ac:dyDescent="0.25">
      <c r="A532"/>
      <c r="B532"/>
      <c r="C532"/>
      <c r="D532"/>
      <c r="E532"/>
      <c r="F532"/>
      <c r="G532"/>
      <c r="H532"/>
      <c r="I532"/>
      <c r="J532"/>
    </row>
    <row r="533" spans="1:10" ht="11.25" customHeight="1" x14ac:dyDescent="0.25">
      <c r="A533"/>
      <c r="B533"/>
      <c r="C533"/>
      <c r="D533"/>
      <c r="E533"/>
      <c r="F533"/>
      <c r="G533"/>
      <c r="H533"/>
      <c r="I533"/>
      <c r="J533"/>
    </row>
    <row r="534" spans="1:10" ht="11.25" customHeight="1" x14ac:dyDescent="0.25">
      <c r="A534"/>
      <c r="B534"/>
      <c r="C534"/>
      <c r="D534"/>
      <c r="E534"/>
      <c r="F534"/>
      <c r="G534"/>
      <c r="H534"/>
      <c r="I534"/>
      <c r="J534"/>
    </row>
    <row r="535" spans="1:10" ht="11.25" customHeight="1" x14ac:dyDescent="0.25">
      <c r="A535"/>
      <c r="B535"/>
      <c r="C535"/>
      <c r="D535"/>
      <c r="E535"/>
      <c r="F535"/>
      <c r="G535"/>
      <c r="H535"/>
      <c r="I535"/>
      <c r="J535"/>
    </row>
    <row r="536" spans="1:10" ht="11.25" customHeight="1" x14ac:dyDescent="0.25">
      <c r="A536"/>
      <c r="B536"/>
      <c r="C536"/>
      <c r="D536"/>
      <c r="E536"/>
      <c r="F536"/>
      <c r="G536"/>
      <c r="H536"/>
      <c r="I536"/>
      <c r="J536"/>
    </row>
    <row r="537" spans="1:10" ht="11.25" customHeight="1" x14ac:dyDescent="0.25">
      <c r="A537"/>
      <c r="B537"/>
      <c r="C537"/>
      <c r="D537"/>
      <c r="E537"/>
      <c r="F537"/>
      <c r="G537"/>
      <c r="H537"/>
      <c r="I537"/>
      <c r="J537"/>
    </row>
    <row r="538" spans="1:10" ht="11.25" customHeight="1" x14ac:dyDescent="0.25">
      <c r="A538"/>
      <c r="B538"/>
      <c r="C538"/>
      <c r="D538"/>
      <c r="E538"/>
      <c r="F538"/>
      <c r="G538"/>
      <c r="H538"/>
      <c r="I538"/>
      <c r="J538"/>
    </row>
    <row r="539" spans="1:10" ht="11.25" customHeight="1" x14ac:dyDescent="0.25">
      <c r="A539"/>
      <c r="B539"/>
      <c r="C539"/>
      <c r="D539"/>
      <c r="E539"/>
      <c r="F539"/>
      <c r="G539"/>
      <c r="H539"/>
      <c r="I539"/>
      <c r="J539"/>
    </row>
    <row r="540" spans="1:10" ht="11.25" customHeight="1" x14ac:dyDescent="0.25">
      <c r="A540"/>
      <c r="B540"/>
      <c r="C540"/>
      <c r="D540"/>
      <c r="E540"/>
      <c r="F540"/>
      <c r="G540"/>
      <c r="H540"/>
      <c r="I540"/>
      <c r="J540"/>
    </row>
    <row r="541" spans="1:10" ht="11.25" customHeight="1" x14ac:dyDescent="0.25">
      <c r="A541"/>
      <c r="B541"/>
      <c r="C541"/>
      <c r="D541"/>
      <c r="E541"/>
      <c r="F541"/>
      <c r="G541"/>
      <c r="H541"/>
      <c r="I541"/>
      <c r="J541"/>
    </row>
    <row r="542" spans="1:10" ht="11.25" customHeight="1" x14ac:dyDescent="0.25">
      <c r="A542"/>
      <c r="B542"/>
      <c r="C542"/>
      <c r="D542"/>
      <c r="E542"/>
      <c r="F542"/>
      <c r="G542"/>
      <c r="H542"/>
      <c r="I542"/>
      <c r="J542"/>
    </row>
    <row r="543" spans="1:10" ht="11.25" customHeight="1" x14ac:dyDescent="0.25">
      <c r="A543"/>
      <c r="B543"/>
      <c r="C543"/>
      <c r="D543"/>
      <c r="E543"/>
      <c r="F543"/>
      <c r="G543"/>
      <c r="H543"/>
      <c r="I543"/>
      <c r="J543"/>
    </row>
    <row r="544" spans="1:10" ht="11.25" customHeight="1" x14ac:dyDescent="0.25">
      <c r="A544"/>
      <c r="B544"/>
      <c r="C544"/>
      <c r="D544"/>
      <c r="E544"/>
      <c r="F544"/>
      <c r="G544"/>
      <c r="H544"/>
      <c r="I544"/>
      <c r="J544"/>
    </row>
    <row r="545" spans="1:10" ht="11.25" customHeight="1" x14ac:dyDescent="0.25">
      <c r="A545"/>
      <c r="B545"/>
      <c r="C545"/>
      <c r="D545"/>
      <c r="E545"/>
      <c r="F545"/>
      <c r="G545"/>
      <c r="H545"/>
      <c r="I545"/>
      <c r="J545"/>
    </row>
    <row r="546" spans="1:10" ht="11.25" customHeight="1" x14ac:dyDescent="0.25">
      <c r="A546"/>
      <c r="B546"/>
      <c r="C546"/>
      <c r="D546"/>
      <c r="E546"/>
      <c r="F546"/>
      <c r="G546"/>
      <c r="H546"/>
      <c r="I546"/>
      <c r="J546"/>
    </row>
    <row r="547" spans="1:10" ht="11.25" customHeight="1" x14ac:dyDescent="0.25">
      <c r="A547"/>
      <c r="B547"/>
      <c r="C547"/>
      <c r="D547"/>
      <c r="E547"/>
      <c r="F547"/>
      <c r="G547"/>
      <c r="H547"/>
      <c r="I547"/>
      <c r="J547"/>
    </row>
    <row r="548" spans="1:10" ht="11.25" customHeight="1" x14ac:dyDescent="0.25">
      <c r="A548"/>
      <c r="B548"/>
      <c r="C548"/>
      <c r="D548"/>
      <c r="E548"/>
      <c r="F548"/>
      <c r="G548"/>
      <c r="H548"/>
      <c r="I548"/>
      <c r="J548"/>
    </row>
    <row r="549" spans="1:10" ht="11.25" customHeight="1" x14ac:dyDescent="0.25">
      <c r="A549"/>
      <c r="B549"/>
      <c r="C549"/>
      <c r="D549"/>
      <c r="E549"/>
      <c r="F549"/>
      <c r="G549"/>
      <c r="H549"/>
      <c r="I549"/>
      <c r="J549"/>
    </row>
    <row r="550" spans="1:10" ht="11.25" customHeight="1" x14ac:dyDescent="0.25">
      <c r="A550"/>
      <c r="B550"/>
      <c r="C550"/>
      <c r="D550"/>
      <c r="E550"/>
      <c r="F550"/>
      <c r="G550"/>
      <c r="H550"/>
      <c r="I550"/>
      <c r="J550"/>
    </row>
    <row r="551" spans="1:10" ht="11.25" customHeight="1" x14ac:dyDescent="0.25">
      <c r="A551"/>
      <c r="B551"/>
      <c r="C551"/>
      <c r="D551"/>
      <c r="E551"/>
      <c r="F551"/>
      <c r="G551"/>
      <c r="H551"/>
      <c r="I551"/>
      <c r="J551"/>
    </row>
    <row r="552" spans="1:10" ht="11.25" customHeight="1" x14ac:dyDescent="0.25">
      <c r="A552"/>
      <c r="B552"/>
      <c r="C552"/>
      <c r="D552"/>
      <c r="E552"/>
      <c r="F552"/>
      <c r="G552"/>
      <c r="H552"/>
      <c r="I552"/>
      <c r="J552"/>
    </row>
    <row r="553" spans="1:10" ht="11.25" customHeight="1" x14ac:dyDescent="0.25">
      <c r="A553"/>
      <c r="B553"/>
      <c r="C553"/>
      <c r="D553"/>
      <c r="E553"/>
      <c r="F553"/>
      <c r="G553"/>
      <c r="H553"/>
      <c r="I553"/>
      <c r="J553"/>
    </row>
    <row r="554" spans="1:10" ht="11.25" customHeight="1" x14ac:dyDescent="0.25">
      <c r="A554"/>
      <c r="B554"/>
      <c r="C554"/>
      <c r="D554"/>
      <c r="E554"/>
      <c r="F554"/>
      <c r="G554"/>
      <c r="H554"/>
      <c r="I554"/>
      <c r="J554"/>
    </row>
    <row r="555" spans="1:10" ht="11.25" customHeight="1" x14ac:dyDescent="0.25">
      <c r="A555"/>
      <c r="B555"/>
      <c r="C555"/>
      <c r="D555"/>
      <c r="E555"/>
      <c r="F555"/>
      <c r="G555"/>
      <c r="H555"/>
      <c r="I555"/>
      <c r="J555"/>
    </row>
    <row r="556" spans="1:10" ht="11.25" customHeight="1" x14ac:dyDescent="0.25">
      <c r="A556"/>
      <c r="B556"/>
      <c r="C556"/>
      <c r="D556"/>
      <c r="E556"/>
      <c r="F556"/>
      <c r="G556"/>
      <c r="H556"/>
      <c r="I556"/>
      <c r="J556"/>
    </row>
    <row r="557" spans="1:10" ht="11.25" customHeight="1" x14ac:dyDescent="0.25">
      <c r="A557"/>
      <c r="B557"/>
      <c r="C557"/>
      <c r="D557"/>
      <c r="E557"/>
      <c r="F557"/>
      <c r="G557"/>
      <c r="H557"/>
      <c r="I557"/>
      <c r="J557"/>
    </row>
    <row r="558" spans="1:10" ht="11.25" customHeight="1" x14ac:dyDescent="0.25">
      <c r="A558"/>
      <c r="B558"/>
      <c r="C558"/>
      <c r="D558"/>
      <c r="E558"/>
      <c r="F558"/>
      <c r="G558"/>
      <c r="H558"/>
      <c r="I558"/>
      <c r="J558"/>
    </row>
    <row r="559" spans="1:10" ht="11.25" customHeight="1" x14ac:dyDescent="0.25">
      <c r="A559"/>
      <c r="B559"/>
      <c r="C559"/>
      <c r="D559"/>
      <c r="E559"/>
      <c r="F559"/>
      <c r="G559"/>
      <c r="H559"/>
      <c r="I559"/>
      <c r="J559"/>
    </row>
    <row r="560" spans="1:10" ht="11.25" customHeight="1" x14ac:dyDescent="0.25">
      <c r="A560"/>
      <c r="B560"/>
      <c r="C560"/>
      <c r="D560"/>
      <c r="E560"/>
      <c r="F560"/>
      <c r="G560"/>
      <c r="H560"/>
      <c r="I560"/>
      <c r="J560"/>
    </row>
    <row r="561" spans="1:10" ht="11.25" customHeight="1" x14ac:dyDescent="0.25">
      <c r="A561"/>
      <c r="B561"/>
      <c r="C561"/>
      <c r="D561"/>
      <c r="E561"/>
      <c r="F561"/>
      <c r="G561"/>
      <c r="H561"/>
      <c r="I561"/>
      <c r="J561"/>
    </row>
    <row r="562" spans="1:10" ht="11.25" customHeight="1" x14ac:dyDescent="0.25">
      <c r="A562"/>
      <c r="B562"/>
      <c r="C562"/>
      <c r="D562"/>
      <c r="E562"/>
      <c r="F562"/>
      <c r="G562"/>
      <c r="H562"/>
      <c r="I562"/>
      <c r="J562"/>
    </row>
    <row r="563" spans="1:10" ht="11.25" customHeight="1" x14ac:dyDescent="0.25">
      <c r="A563"/>
      <c r="B563"/>
      <c r="C563"/>
      <c r="D563"/>
      <c r="E563"/>
      <c r="F563"/>
      <c r="G563"/>
      <c r="H563"/>
      <c r="I563"/>
      <c r="J563"/>
    </row>
    <row r="564" spans="1:10" ht="11.25" customHeight="1" x14ac:dyDescent="0.25">
      <c r="A564"/>
      <c r="B564"/>
      <c r="C564"/>
      <c r="D564"/>
      <c r="E564"/>
      <c r="F564"/>
      <c r="G564"/>
      <c r="H564"/>
      <c r="I564"/>
      <c r="J564"/>
    </row>
    <row r="565" spans="1:10" ht="11.25" customHeight="1" x14ac:dyDescent="0.25">
      <c r="A565"/>
      <c r="B565"/>
      <c r="C565"/>
      <c r="D565"/>
      <c r="E565"/>
      <c r="F565"/>
      <c r="G565"/>
      <c r="H565"/>
      <c r="I565"/>
      <c r="J565"/>
    </row>
    <row r="566" spans="1:10" ht="11.25" customHeight="1" x14ac:dyDescent="0.25">
      <c r="A566"/>
      <c r="B566"/>
      <c r="C566"/>
      <c r="D566"/>
      <c r="E566"/>
      <c r="F566"/>
      <c r="G566"/>
      <c r="H566"/>
      <c r="I566"/>
      <c r="J566"/>
    </row>
    <row r="567" spans="1:10" ht="11.25" customHeight="1" x14ac:dyDescent="0.25">
      <c r="A567"/>
      <c r="B567"/>
      <c r="C567"/>
      <c r="D567"/>
      <c r="E567"/>
      <c r="F567"/>
      <c r="G567"/>
      <c r="H567"/>
      <c r="I567"/>
      <c r="J567"/>
    </row>
    <row r="568" spans="1:10" ht="11.25" customHeight="1" x14ac:dyDescent="0.25">
      <c r="A568"/>
      <c r="B568"/>
      <c r="C568"/>
      <c r="D568"/>
      <c r="E568"/>
      <c r="F568"/>
      <c r="G568"/>
      <c r="H568"/>
      <c r="I568"/>
      <c r="J568"/>
    </row>
    <row r="569" spans="1:10" ht="11.25" customHeight="1" x14ac:dyDescent="0.25">
      <c r="A569"/>
      <c r="B569"/>
      <c r="C569"/>
      <c r="D569"/>
      <c r="E569"/>
      <c r="F569"/>
      <c r="G569"/>
      <c r="H569"/>
      <c r="I569"/>
      <c r="J569"/>
    </row>
    <row r="570" spans="1:10" ht="11.25" customHeight="1" x14ac:dyDescent="0.25">
      <c r="A570"/>
      <c r="B570"/>
      <c r="C570"/>
      <c r="D570"/>
      <c r="E570"/>
      <c r="F570"/>
      <c r="G570"/>
      <c r="H570"/>
      <c r="I570"/>
      <c r="J570"/>
    </row>
    <row r="571" spans="1:10" ht="11.25" customHeight="1" x14ac:dyDescent="0.25">
      <c r="A571"/>
      <c r="B571"/>
      <c r="C571"/>
      <c r="D571"/>
      <c r="E571"/>
      <c r="F571"/>
      <c r="G571"/>
      <c r="H571"/>
      <c r="I571"/>
      <c r="J571"/>
    </row>
    <row r="572" spans="1:10" ht="11.25" customHeight="1" x14ac:dyDescent="0.25">
      <c r="A572"/>
      <c r="B572"/>
      <c r="C572"/>
      <c r="D572"/>
      <c r="E572"/>
      <c r="F572"/>
      <c r="G572"/>
      <c r="H572"/>
      <c r="I572"/>
      <c r="J572"/>
    </row>
    <row r="573" spans="1:10" ht="11.25" customHeight="1" x14ac:dyDescent="0.25">
      <c r="A573"/>
      <c r="B573"/>
      <c r="C573"/>
      <c r="D573"/>
      <c r="E573"/>
      <c r="F573"/>
      <c r="G573"/>
      <c r="H573"/>
      <c r="I573"/>
      <c r="J573"/>
    </row>
    <row r="574" spans="1:10" ht="11.25" customHeight="1" x14ac:dyDescent="0.25">
      <c r="A574"/>
      <c r="B574"/>
      <c r="C574"/>
      <c r="D574"/>
      <c r="E574"/>
      <c r="F574"/>
      <c r="G574"/>
      <c r="H574"/>
      <c r="I574"/>
      <c r="J574"/>
    </row>
    <row r="575" spans="1:10" ht="11.25" customHeight="1" x14ac:dyDescent="0.25">
      <c r="A575"/>
      <c r="B575"/>
      <c r="C575"/>
      <c r="D575"/>
      <c r="E575"/>
      <c r="F575"/>
      <c r="G575"/>
      <c r="H575"/>
      <c r="I575"/>
      <c r="J575"/>
    </row>
    <row r="576" spans="1:10" ht="11.25" customHeight="1" x14ac:dyDescent="0.25">
      <c r="A576"/>
      <c r="B576"/>
      <c r="C576"/>
      <c r="D576"/>
      <c r="E576"/>
      <c r="F576"/>
      <c r="G576"/>
      <c r="H576"/>
      <c r="I576"/>
      <c r="J576"/>
    </row>
    <row r="577" spans="1:10" ht="11.25" customHeight="1" x14ac:dyDescent="0.25">
      <c r="A577"/>
      <c r="B577"/>
      <c r="C577"/>
      <c r="D577"/>
      <c r="E577"/>
      <c r="F577"/>
      <c r="G577"/>
      <c r="H577"/>
      <c r="I577"/>
      <c r="J577"/>
    </row>
    <row r="578" spans="1:10" ht="11.25" customHeight="1" x14ac:dyDescent="0.25">
      <c r="A578"/>
      <c r="B578"/>
      <c r="C578"/>
      <c r="D578"/>
      <c r="E578"/>
      <c r="F578"/>
      <c r="G578"/>
      <c r="H578"/>
      <c r="I578"/>
      <c r="J578"/>
    </row>
    <row r="579" spans="1:10" ht="11.25" customHeight="1" x14ac:dyDescent="0.25">
      <c r="A579"/>
      <c r="B579"/>
      <c r="C579"/>
      <c r="D579"/>
      <c r="E579"/>
      <c r="F579"/>
      <c r="G579"/>
      <c r="H579"/>
      <c r="I579"/>
      <c r="J579"/>
    </row>
    <row r="580" spans="1:10" ht="11.25" customHeight="1" x14ac:dyDescent="0.25">
      <c r="A580"/>
      <c r="B580"/>
      <c r="C580"/>
      <c r="D580"/>
      <c r="E580"/>
      <c r="F580"/>
      <c r="G580"/>
      <c r="H580"/>
      <c r="I580"/>
      <c r="J580"/>
    </row>
    <row r="581" spans="1:10" ht="11.25" customHeight="1" x14ac:dyDescent="0.25">
      <c r="A581"/>
      <c r="B581"/>
      <c r="C581"/>
      <c r="D581"/>
      <c r="E581"/>
      <c r="F581"/>
      <c r="G581"/>
      <c r="H581"/>
      <c r="I581"/>
      <c r="J581"/>
    </row>
    <row r="582" spans="1:10" ht="11.25" customHeight="1" x14ac:dyDescent="0.25">
      <c r="A582"/>
      <c r="B582"/>
      <c r="C582"/>
      <c r="D582"/>
      <c r="E582"/>
      <c r="F582"/>
      <c r="G582"/>
      <c r="H582"/>
      <c r="I582"/>
      <c r="J582"/>
    </row>
    <row r="583" spans="1:10" ht="11.25" customHeight="1" x14ac:dyDescent="0.25">
      <c r="A583"/>
      <c r="B583"/>
      <c r="C583"/>
      <c r="D583"/>
      <c r="E583"/>
      <c r="F583"/>
      <c r="G583"/>
      <c r="H583"/>
      <c r="I583"/>
      <c r="J583"/>
    </row>
    <row r="584" spans="1:10" ht="11.25" customHeight="1" x14ac:dyDescent="0.25">
      <c r="A584"/>
      <c r="B584"/>
      <c r="C584"/>
      <c r="D584"/>
      <c r="E584"/>
      <c r="F584"/>
      <c r="G584"/>
      <c r="H584"/>
      <c r="I584"/>
      <c r="J584"/>
    </row>
    <row r="585" spans="1:10" ht="11.25" customHeight="1" x14ac:dyDescent="0.25">
      <c r="A585"/>
      <c r="B585"/>
      <c r="C585"/>
      <c r="D585"/>
      <c r="E585"/>
      <c r="F585"/>
      <c r="G585"/>
      <c r="H585"/>
      <c r="I585"/>
      <c r="J585"/>
    </row>
    <row r="586" spans="1:10" ht="11.25" customHeight="1" x14ac:dyDescent="0.25">
      <c r="A586"/>
      <c r="B586"/>
      <c r="C586"/>
      <c r="D586"/>
      <c r="E586"/>
      <c r="F586"/>
      <c r="G586"/>
      <c r="H586"/>
      <c r="I586"/>
      <c r="J586"/>
    </row>
    <row r="587" spans="1:10" ht="11.25" customHeight="1" x14ac:dyDescent="0.25">
      <c r="A587"/>
      <c r="B587"/>
      <c r="C587"/>
      <c r="D587"/>
      <c r="E587"/>
      <c r="F587"/>
      <c r="G587"/>
      <c r="H587"/>
      <c r="I587"/>
      <c r="J587"/>
    </row>
    <row r="588" spans="1:10" ht="11.25" customHeight="1" x14ac:dyDescent="0.25">
      <c r="A588"/>
      <c r="B588"/>
      <c r="C588"/>
      <c r="D588"/>
      <c r="E588"/>
      <c r="F588"/>
      <c r="G588"/>
      <c r="H588"/>
      <c r="I588"/>
      <c r="J588"/>
    </row>
    <row r="589" spans="1:10" ht="11.25" customHeight="1" x14ac:dyDescent="0.25">
      <c r="A589"/>
      <c r="B589"/>
      <c r="C589"/>
      <c r="D589"/>
      <c r="E589"/>
      <c r="F589"/>
      <c r="G589"/>
      <c r="H589"/>
      <c r="I589"/>
      <c r="J589"/>
    </row>
    <row r="590" spans="1:10" ht="11.25" customHeight="1" x14ac:dyDescent="0.25">
      <c r="A590"/>
      <c r="B590"/>
      <c r="C590"/>
      <c r="D590"/>
      <c r="E590"/>
      <c r="F590"/>
      <c r="G590"/>
      <c r="H590"/>
      <c r="I590"/>
      <c r="J590"/>
    </row>
    <row r="591" spans="1:10" ht="11.25" customHeight="1" x14ac:dyDescent="0.25">
      <c r="A591"/>
      <c r="B591"/>
      <c r="C591"/>
      <c r="D591"/>
      <c r="E591"/>
      <c r="F591"/>
      <c r="G591"/>
      <c r="H591"/>
      <c r="I591"/>
      <c r="J591"/>
    </row>
    <row r="592" spans="1:10" ht="11.25" customHeight="1" x14ac:dyDescent="0.25">
      <c r="A592"/>
      <c r="B592"/>
      <c r="C592"/>
      <c r="D592"/>
      <c r="E592"/>
      <c r="F592"/>
      <c r="G592"/>
      <c r="H592"/>
      <c r="I592"/>
      <c r="J592"/>
    </row>
    <row r="593" spans="1:10" ht="11.25" customHeight="1" x14ac:dyDescent="0.25">
      <c r="A593"/>
      <c r="B593"/>
      <c r="C593"/>
      <c r="D593"/>
      <c r="E593"/>
      <c r="F593"/>
      <c r="G593"/>
      <c r="H593"/>
      <c r="I593"/>
      <c r="J593"/>
    </row>
    <row r="594" spans="1:10" ht="11.25" customHeight="1" x14ac:dyDescent="0.25">
      <c r="A594"/>
      <c r="B594"/>
      <c r="C594"/>
      <c r="D594"/>
      <c r="E594"/>
      <c r="F594"/>
      <c r="G594"/>
      <c r="H594"/>
      <c r="I594"/>
      <c r="J594"/>
    </row>
    <row r="595" spans="1:10" ht="11.25" customHeight="1" x14ac:dyDescent="0.25">
      <c r="A595"/>
      <c r="B595"/>
      <c r="C595"/>
      <c r="D595"/>
      <c r="E595"/>
      <c r="F595"/>
      <c r="G595"/>
      <c r="H595"/>
      <c r="I595"/>
      <c r="J595"/>
    </row>
    <row r="596" spans="1:10" ht="11.25" customHeight="1" x14ac:dyDescent="0.25">
      <c r="A596"/>
      <c r="B596"/>
      <c r="C596"/>
      <c r="D596"/>
      <c r="E596"/>
      <c r="F596"/>
      <c r="G596"/>
      <c r="H596"/>
      <c r="I596"/>
      <c r="J596"/>
    </row>
    <row r="597" spans="1:10" ht="11.25" customHeight="1" x14ac:dyDescent="0.25">
      <c r="A597"/>
      <c r="B597"/>
      <c r="C597"/>
      <c r="D597"/>
      <c r="E597"/>
      <c r="F597"/>
      <c r="G597"/>
      <c r="H597"/>
      <c r="I597"/>
      <c r="J597"/>
    </row>
    <row r="598" spans="1:10" ht="11.25" customHeight="1" x14ac:dyDescent="0.25">
      <c r="A598"/>
      <c r="B598"/>
      <c r="C598"/>
      <c r="D598"/>
      <c r="E598"/>
      <c r="F598"/>
      <c r="G598"/>
      <c r="H598"/>
      <c r="I598"/>
      <c r="J598"/>
    </row>
    <row r="599" spans="1:10" ht="11.25" customHeight="1" x14ac:dyDescent="0.25">
      <c r="A599"/>
      <c r="B599"/>
      <c r="C599"/>
      <c r="D599"/>
      <c r="E599"/>
      <c r="F599"/>
      <c r="G599"/>
      <c r="H599"/>
      <c r="I599"/>
      <c r="J599"/>
    </row>
    <row r="600" spans="1:10" ht="11.25" customHeight="1" x14ac:dyDescent="0.25">
      <c r="A600"/>
      <c r="B600"/>
      <c r="C600"/>
      <c r="D600"/>
      <c r="E600"/>
      <c r="F600"/>
      <c r="G600"/>
      <c r="H600"/>
      <c r="I600"/>
      <c r="J600"/>
    </row>
    <row r="601" spans="1:10" ht="11.25" customHeight="1" x14ac:dyDescent="0.25">
      <c r="A601"/>
      <c r="B601"/>
      <c r="C601"/>
      <c r="D601"/>
      <c r="E601"/>
      <c r="F601"/>
      <c r="G601"/>
      <c r="H601"/>
      <c r="I601"/>
      <c r="J601"/>
    </row>
    <row r="602" spans="1:10" ht="11.25" customHeight="1" x14ac:dyDescent="0.25">
      <c r="A602"/>
      <c r="B602"/>
      <c r="C602"/>
      <c r="D602"/>
      <c r="E602"/>
      <c r="F602"/>
      <c r="G602"/>
      <c r="H602"/>
      <c r="I602"/>
      <c r="J602"/>
    </row>
    <row r="603" spans="1:10" ht="11.25" customHeight="1" x14ac:dyDescent="0.25">
      <c r="A603"/>
      <c r="B603"/>
      <c r="C603"/>
      <c r="D603"/>
      <c r="E603"/>
      <c r="F603"/>
      <c r="G603"/>
      <c r="H603"/>
      <c r="I603"/>
      <c r="J603"/>
    </row>
    <row r="604" spans="1:10" ht="11.25" customHeight="1" x14ac:dyDescent="0.25">
      <c r="A604"/>
      <c r="B604"/>
      <c r="C604"/>
      <c r="D604"/>
      <c r="E604"/>
      <c r="F604"/>
      <c r="G604"/>
      <c r="H604"/>
      <c r="I604"/>
      <c r="J604"/>
    </row>
    <row r="605" spans="1:10" ht="11.25" customHeight="1" x14ac:dyDescent="0.25">
      <c r="A605"/>
      <c r="B605"/>
      <c r="C605"/>
      <c r="D605"/>
      <c r="E605"/>
      <c r="F605"/>
      <c r="G605"/>
      <c r="H605"/>
      <c r="I605"/>
      <c r="J605"/>
    </row>
    <row r="606" spans="1:10" ht="11.25" customHeight="1" x14ac:dyDescent="0.25">
      <c r="A606"/>
      <c r="B606"/>
      <c r="C606"/>
      <c r="D606"/>
      <c r="E606"/>
      <c r="F606"/>
      <c r="G606"/>
      <c r="H606"/>
      <c r="I606"/>
      <c r="J606"/>
    </row>
    <row r="607" spans="1:10" ht="11.25" customHeight="1" x14ac:dyDescent="0.25">
      <c r="A607"/>
      <c r="B607"/>
      <c r="C607"/>
      <c r="D607"/>
      <c r="E607"/>
      <c r="F607"/>
      <c r="G607"/>
      <c r="H607"/>
      <c r="I607"/>
      <c r="J607"/>
    </row>
    <row r="608" spans="1:10" ht="11.25" customHeight="1" x14ac:dyDescent="0.25">
      <c r="A608"/>
      <c r="B608"/>
      <c r="C608"/>
      <c r="D608"/>
      <c r="E608"/>
      <c r="F608"/>
      <c r="G608"/>
      <c r="H608"/>
      <c r="I608"/>
      <c r="J608"/>
    </row>
    <row r="609" spans="1:10" ht="11.25" customHeight="1" x14ac:dyDescent="0.25">
      <c r="A609"/>
      <c r="B609"/>
      <c r="C609"/>
      <c r="D609"/>
      <c r="E609"/>
      <c r="F609"/>
      <c r="G609"/>
      <c r="H609"/>
      <c r="I609"/>
      <c r="J609"/>
    </row>
    <row r="610" spans="1:10" ht="11.25" customHeight="1" x14ac:dyDescent="0.25">
      <c r="A610"/>
      <c r="B610"/>
      <c r="C610"/>
      <c r="D610"/>
      <c r="E610"/>
      <c r="F610"/>
      <c r="G610"/>
      <c r="H610"/>
      <c r="I610"/>
      <c r="J610"/>
    </row>
    <row r="611" spans="1:10" ht="11.25" customHeight="1" x14ac:dyDescent="0.25">
      <c r="A611"/>
      <c r="B611"/>
      <c r="C611"/>
      <c r="D611"/>
      <c r="E611"/>
      <c r="F611"/>
      <c r="G611"/>
      <c r="H611"/>
      <c r="I611"/>
      <c r="J611"/>
    </row>
    <row r="612" spans="1:10" ht="11.25" customHeight="1" x14ac:dyDescent="0.25">
      <c r="A612"/>
      <c r="B612"/>
      <c r="C612"/>
      <c r="D612"/>
      <c r="E612"/>
      <c r="F612"/>
      <c r="G612"/>
      <c r="H612"/>
      <c r="I612"/>
      <c r="J612"/>
    </row>
    <row r="613" spans="1:10" ht="11.25" customHeight="1" x14ac:dyDescent="0.25">
      <c r="A613"/>
      <c r="B613"/>
      <c r="C613"/>
      <c r="D613"/>
      <c r="E613"/>
      <c r="F613"/>
      <c r="G613"/>
      <c r="H613"/>
      <c r="I613"/>
      <c r="J613"/>
    </row>
    <row r="614" spans="1:10" ht="11.25" customHeight="1" x14ac:dyDescent="0.25">
      <c r="A614"/>
      <c r="B614"/>
      <c r="C614"/>
      <c r="D614"/>
      <c r="E614"/>
      <c r="F614"/>
      <c r="G614"/>
      <c r="H614"/>
      <c r="I614"/>
      <c r="J614"/>
    </row>
    <row r="615" spans="1:10" ht="11.25" customHeight="1" x14ac:dyDescent="0.25">
      <c r="A615"/>
      <c r="B615"/>
      <c r="C615"/>
      <c r="D615"/>
      <c r="E615"/>
      <c r="F615"/>
      <c r="G615"/>
      <c r="H615"/>
      <c r="I615"/>
      <c r="J615"/>
    </row>
    <row r="616" spans="1:10" ht="11.25" customHeight="1" x14ac:dyDescent="0.25">
      <c r="A616"/>
      <c r="B616"/>
      <c r="C616"/>
      <c r="D616"/>
      <c r="E616"/>
      <c r="F616"/>
      <c r="G616"/>
      <c r="H616"/>
      <c r="I616"/>
      <c r="J616"/>
    </row>
    <row r="617" spans="1:10" ht="11.25" customHeight="1" x14ac:dyDescent="0.25">
      <c r="A617"/>
      <c r="B617"/>
      <c r="C617"/>
      <c r="D617"/>
      <c r="E617"/>
      <c r="F617"/>
      <c r="G617"/>
      <c r="H617"/>
      <c r="I617"/>
      <c r="J617"/>
    </row>
    <row r="618" spans="1:10" ht="11.25" customHeight="1" x14ac:dyDescent="0.25">
      <c r="A618"/>
      <c r="B618"/>
      <c r="C618"/>
      <c r="D618"/>
      <c r="E618"/>
      <c r="F618"/>
      <c r="G618"/>
      <c r="H618"/>
      <c r="I618"/>
      <c r="J618"/>
    </row>
    <row r="619" spans="1:10" ht="11.25" customHeight="1" x14ac:dyDescent="0.25">
      <c r="A619"/>
      <c r="B619"/>
      <c r="C619"/>
      <c r="D619"/>
      <c r="E619"/>
      <c r="F619"/>
      <c r="G619"/>
      <c r="H619"/>
      <c r="I619"/>
      <c r="J619"/>
    </row>
    <row r="620" spans="1:10" ht="11.25" customHeight="1" x14ac:dyDescent="0.25">
      <c r="A620"/>
      <c r="B620"/>
      <c r="C620"/>
      <c r="D620"/>
      <c r="E620"/>
      <c r="F620"/>
      <c r="G620"/>
      <c r="H620"/>
      <c r="I620"/>
      <c r="J620"/>
    </row>
    <row r="621" spans="1:10" ht="11.25" customHeight="1" x14ac:dyDescent="0.25">
      <c r="A621"/>
      <c r="B621"/>
      <c r="C621"/>
      <c r="D621"/>
      <c r="E621"/>
      <c r="F621"/>
      <c r="G621"/>
      <c r="H621"/>
      <c r="I621"/>
      <c r="J621"/>
    </row>
    <row r="622" spans="1:10" ht="11.25" customHeight="1" x14ac:dyDescent="0.25">
      <c r="A622"/>
      <c r="B622"/>
      <c r="C622"/>
      <c r="D622"/>
      <c r="E622"/>
      <c r="F622"/>
      <c r="G622"/>
      <c r="H622"/>
      <c r="I622"/>
      <c r="J622"/>
    </row>
    <row r="623" spans="1:10" ht="11.25" customHeight="1" x14ac:dyDescent="0.25">
      <c r="A623"/>
      <c r="B623"/>
      <c r="C623"/>
      <c r="D623"/>
      <c r="E623"/>
      <c r="F623"/>
      <c r="G623"/>
      <c r="H623"/>
      <c r="I623"/>
      <c r="J623"/>
    </row>
    <row r="624" spans="1:10" ht="11.25" customHeight="1" x14ac:dyDescent="0.25">
      <c r="A624"/>
      <c r="B624"/>
      <c r="C624"/>
      <c r="D624"/>
      <c r="E624"/>
      <c r="F624"/>
      <c r="G624"/>
      <c r="H624"/>
      <c r="I624"/>
      <c r="J624"/>
    </row>
    <row r="625" spans="1:10" ht="11.25" customHeight="1" x14ac:dyDescent="0.25">
      <c r="A625"/>
      <c r="B625"/>
      <c r="C625"/>
      <c r="D625"/>
      <c r="E625"/>
      <c r="F625"/>
      <c r="G625"/>
      <c r="H625"/>
      <c r="I625"/>
      <c r="J625"/>
    </row>
    <row r="626" spans="1:10" ht="11.25" customHeight="1" x14ac:dyDescent="0.25">
      <c r="A626"/>
      <c r="B626"/>
      <c r="C626"/>
      <c r="D626"/>
      <c r="E626"/>
      <c r="F626"/>
      <c r="G626"/>
      <c r="H626"/>
      <c r="I626"/>
      <c r="J626"/>
    </row>
    <row r="627" spans="1:10" ht="11.25" customHeight="1" x14ac:dyDescent="0.25">
      <c r="A627"/>
      <c r="B627"/>
      <c r="C627"/>
      <c r="D627"/>
      <c r="E627"/>
      <c r="F627"/>
      <c r="G627"/>
      <c r="H627"/>
      <c r="I627"/>
      <c r="J627"/>
    </row>
    <row r="628" spans="1:10" ht="11.25" customHeight="1" x14ac:dyDescent="0.25">
      <c r="A628"/>
      <c r="B628"/>
      <c r="C628"/>
      <c r="D628"/>
      <c r="E628"/>
      <c r="F628"/>
      <c r="G628"/>
      <c r="H628"/>
      <c r="I628"/>
      <c r="J628"/>
    </row>
    <row r="629" spans="1:10" ht="11.25" customHeight="1" x14ac:dyDescent="0.25">
      <c r="A629"/>
      <c r="B629"/>
      <c r="C629"/>
      <c r="D629"/>
      <c r="E629"/>
      <c r="F629"/>
      <c r="G629"/>
      <c r="H629"/>
      <c r="I629"/>
      <c r="J629"/>
    </row>
    <row r="630" spans="1:10" ht="11.25" customHeight="1" x14ac:dyDescent="0.25">
      <c r="A630"/>
      <c r="B630"/>
      <c r="C630"/>
      <c r="D630"/>
      <c r="E630"/>
      <c r="F630"/>
      <c r="G630"/>
      <c r="H630"/>
      <c r="I630"/>
      <c r="J630"/>
    </row>
    <row r="631" spans="1:10" ht="11.25" customHeight="1" x14ac:dyDescent="0.25">
      <c r="A631"/>
      <c r="B631"/>
      <c r="C631"/>
      <c r="D631"/>
      <c r="E631"/>
      <c r="F631"/>
      <c r="G631"/>
      <c r="H631"/>
      <c r="I631"/>
      <c r="J631"/>
    </row>
    <row r="632" spans="1:10" ht="11.25" customHeight="1" x14ac:dyDescent="0.25">
      <c r="A632"/>
      <c r="B632"/>
      <c r="C632"/>
      <c r="D632"/>
      <c r="E632"/>
      <c r="F632"/>
      <c r="G632"/>
      <c r="H632"/>
      <c r="I632"/>
      <c r="J632"/>
    </row>
    <row r="633" spans="1:10" ht="11.25" customHeight="1" x14ac:dyDescent="0.25">
      <c r="A633"/>
      <c r="B633"/>
      <c r="C633"/>
      <c r="D633"/>
      <c r="E633"/>
      <c r="F633"/>
      <c r="G633"/>
      <c r="H633"/>
      <c r="I633"/>
      <c r="J633"/>
    </row>
    <row r="634" spans="1:10" ht="11.25" customHeight="1" x14ac:dyDescent="0.25">
      <c r="A634"/>
      <c r="B634"/>
      <c r="C634"/>
      <c r="D634"/>
      <c r="E634"/>
      <c r="F634"/>
      <c r="G634"/>
      <c r="H634"/>
      <c r="I634"/>
      <c r="J634"/>
    </row>
    <row r="635" spans="1:10" ht="11.25" customHeight="1" x14ac:dyDescent="0.25">
      <c r="A635"/>
      <c r="B635"/>
      <c r="C635"/>
      <c r="D635"/>
      <c r="E635"/>
      <c r="F635"/>
      <c r="G635"/>
      <c r="H635"/>
      <c r="I635"/>
      <c r="J635"/>
    </row>
    <row r="636" spans="1:10" ht="11.25" customHeight="1" x14ac:dyDescent="0.25">
      <c r="A636"/>
      <c r="B636"/>
      <c r="C636"/>
      <c r="D636"/>
      <c r="E636"/>
      <c r="F636"/>
      <c r="G636"/>
      <c r="H636"/>
      <c r="I636"/>
      <c r="J636"/>
    </row>
    <row r="637" spans="1:10" ht="11.25" customHeight="1" x14ac:dyDescent="0.25">
      <c r="A637"/>
      <c r="B637"/>
      <c r="C637"/>
      <c r="D637"/>
      <c r="E637"/>
      <c r="F637"/>
      <c r="G637"/>
      <c r="H637"/>
      <c r="I637"/>
      <c r="J637"/>
    </row>
    <row r="638" spans="1:10" ht="11.25" customHeight="1" x14ac:dyDescent="0.25">
      <c r="A638"/>
      <c r="B638"/>
      <c r="C638"/>
      <c r="D638"/>
      <c r="E638"/>
      <c r="F638"/>
      <c r="G638"/>
      <c r="H638"/>
      <c r="I638"/>
      <c r="J638"/>
    </row>
    <row r="639" spans="1:10" ht="11.25" customHeight="1" x14ac:dyDescent="0.25">
      <c r="A639"/>
      <c r="B639"/>
      <c r="C639"/>
      <c r="D639"/>
      <c r="E639"/>
      <c r="F639"/>
      <c r="G639"/>
      <c r="H639"/>
      <c r="I639"/>
      <c r="J639"/>
    </row>
    <row r="640" spans="1:10" ht="11.25" customHeight="1" x14ac:dyDescent="0.25">
      <c r="A640"/>
      <c r="B640"/>
      <c r="C640"/>
      <c r="D640"/>
      <c r="E640"/>
      <c r="F640"/>
      <c r="G640"/>
      <c r="H640"/>
      <c r="I640"/>
      <c r="J640"/>
    </row>
    <row r="641" spans="1:10" ht="11.25" customHeight="1" x14ac:dyDescent="0.25">
      <c r="A641"/>
      <c r="B641"/>
      <c r="C641"/>
      <c r="D641"/>
      <c r="E641"/>
      <c r="F641"/>
      <c r="G641"/>
      <c r="H641"/>
      <c r="I641"/>
      <c r="J641"/>
    </row>
    <row r="642" spans="1:10" ht="11.25" customHeight="1" x14ac:dyDescent="0.25">
      <c r="A642"/>
      <c r="B642"/>
      <c r="C642"/>
      <c r="D642"/>
      <c r="E642"/>
      <c r="F642"/>
      <c r="G642"/>
      <c r="H642"/>
      <c r="I642"/>
      <c r="J642"/>
    </row>
    <row r="643" spans="1:10" ht="11.25" customHeight="1" x14ac:dyDescent="0.25">
      <c r="A643"/>
      <c r="B643"/>
      <c r="C643"/>
      <c r="D643"/>
      <c r="E643"/>
      <c r="F643"/>
      <c r="G643"/>
      <c r="H643"/>
      <c r="I643"/>
      <c r="J643"/>
    </row>
    <row r="644" spans="1:10" ht="11.25" customHeight="1" x14ac:dyDescent="0.25">
      <c r="A644"/>
      <c r="B644"/>
      <c r="C644"/>
      <c r="D644"/>
      <c r="E644"/>
      <c r="F644"/>
      <c r="G644"/>
      <c r="H644"/>
      <c r="I644"/>
      <c r="J644"/>
    </row>
    <row r="645" spans="1:10" ht="11.25" customHeight="1" x14ac:dyDescent="0.25">
      <c r="A645"/>
      <c r="B645"/>
      <c r="C645"/>
      <c r="D645"/>
      <c r="E645"/>
      <c r="F645"/>
      <c r="G645"/>
      <c r="H645"/>
      <c r="I645"/>
      <c r="J645"/>
    </row>
    <row r="646" spans="1:10" ht="11.25" customHeight="1" x14ac:dyDescent="0.25">
      <c r="A646"/>
      <c r="B646"/>
      <c r="C646"/>
      <c r="D646"/>
      <c r="E646"/>
      <c r="F646"/>
      <c r="G646"/>
      <c r="H646"/>
      <c r="I646"/>
      <c r="J646"/>
    </row>
    <row r="647" spans="1:10" ht="11.25" customHeight="1" x14ac:dyDescent="0.25">
      <c r="A647"/>
      <c r="B647"/>
      <c r="C647"/>
      <c r="D647"/>
      <c r="E647"/>
      <c r="F647"/>
      <c r="G647"/>
      <c r="H647"/>
      <c r="I647"/>
      <c r="J647"/>
    </row>
    <row r="648" spans="1:10" ht="11.25" customHeight="1" x14ac:dyDescent="0.25">
      <c r="A648"/>
      <c r="B648"/>
      <c r="C648"/>
      <c r="D648"/>
      <c r="E648"/>
      <c r="F648"/>
      <c r="G648"/>
      <c r="H648"/>
      <c r="I648"/>
      <c r="J648"/>
    </row>
    <row r="649" spans="1:10" ht="11.25" customHeight="1" x14ac:dyDescent="0.25">
      <c r="A649"/>
      <c r="B649"/>
      <c r="C649"/>
      <c r="D649"/>
      <c r="E649"/>
      <c r="F649"/>
      <c r="G649"/>
      <c r="H649"/>
      <c r="I649"/>
      <c r="J649"/>
    </row>
    <row r="650" spans="1:10" ht="11.25" customHeight="1" x14ac:dyDescent="0.25">
      <c r="A650"/>
      <c r="B650"/>
      <c r="C650"/>
      <c r="D650"/>
      <c r="E650"/>
      <c r="F650"/>
      <c r="G650"/>
      <c r="H650"/>
      <c r="I650"/>
      <c r="J650"/>
    </row>
    <row r="651" spans="1:10" ht="11.25" customHeight="1" x14ac:dyDescent="0.25">
      <c r="A651"/>
      <c r="B651"/>
      <c r="C651"/>
      <c r="D651"/>
      <c r="E651"/>
      <c r="F651"/>
      <c r="G651"/>
      <c r="H651"/>
      <c r="I651"/>
      <c r="J651"/>
    </row>
    <row r="652" spans="1:10" ht="11.25" customHeight="1" x14ac:dyDescent="0.25">
      <c r="A652"/>
      <c r="B652"/>
      <c r="C652"/>
      <c r="D652"/>
      <c r="E652"/>
      <c r="F652"/>
      <c r="G652"/>
      <c r="H652"/>
      <c r="I652"/>
      <c r="J652"/>
    </row>
    <row r="653" spans="1:10" ht="11.25" customHeight="1" x14ac:dyDescent="0.25">
      <c r="A653"/>
      <c r="B653"/>
      <c r="C653"/>
      <c r="D653"/>
      <c r="E653"/>
      <c r="F653"/>
      <c r="G653"/>
      <c r="H653"/>
      <c r="I653"/>
      <c r="J653"/>
    </row>
    <row r="654" spans="1:10" ht="11.25" customHeight="1" x14ac:dyDescent="0.25">
      <c r="A654"/>
      <c r="B654"/>
      <c r="C654"/>
      <c r="D654"/>
      <c r="E654"/>
      <c r="F654"/>
      <c r="G654"/>
      <c r="H654"/>
      <c r="I654"/>
      <c r="J654"/>
    </row>
    <row r="655" spans="1:10" ht="11.25" customHeight="1" x14ac:dyDescent="0.25">
      <c r="A655"/>
      <c r="B655"/>
      <c r="C655"/>
      <c r="D655"/>
      <c r="E655"/>
      <c r="F655"/>
      <c r="G655"/>
      <c r="H655"/>
      <c r="I655"/>
      <c r="J655"/>
    </row>
    <row r="656" spans="1:10" ht="11.25" customHeight="1" x14ac:dyDescent="0.25">
      <c r="A656"/>
      <c r="B656"/>
      <c r="C656"/>
      <c r="D656"/>
      <c r="E656"/>
      <c r="F656"/>
      <c r="G656"/>
      <c r="H656"/>
      <c r="I656"/>
      <c r="J656"/>
    </row>
    <row r="657" spans="1:10" ht="11.25" customHeight="1" x14ac:dyDescent="0.25">
      <c r="A657"/>
      <c r="B657"/>
      <c r="C657"/>
      <c r="D657"/>
      <c r="E657"/>
      <c r="F657"/>
      <c r="G657"/>
      <c r="H657"/>
      <c r="I657"/>
      <c r="J657"/>
    </row>
    <row r="658" spans="1:10" ht="11.25" customHeight="1" x14ac:dyDescent="0.25">
      <c r="A658"/>
      <c r="B658"/>
      <c r="C658"/>
      <c r="D658"/>
      <c r="E658"/>
      <c r="F658"/>
      <c r="G658"/>
      <c r="H658"/>
      <c r="I658"/>
      <c r="J658"/>
    </row>
    <row r="659" spans="1:10" ht="11.25" customHeight="1" x14ac:dyDescent="0.25">
      <c r="A659"/>
      <c r="B659"/>
      <c r="C659"/>
      <c r="D659"/>
      <c r="E659"/>
      <c r="F659"/>
      <c r="G659"/>
      <c r="H659"/>
      <c r="I659"/>
      <c r="J659"/>
    </row>
    <row r="660" spans="1:10" ht="11.25" customHeight="1" x14ac:dyDescent="0.25">
      <c r="A660"/>
      <c r="B660"/>
      <c r="C660"/>
      <c r="D660"/>
      <c r="E660"/>
      <c r="F660"/>
      <c r="G660"/>
      <c r="H660"/>
      <c r="I660"/>
      <c r="J660"/>
    </row>
    <row r="661" spans="1:10" ht="11.25" customHeight="1" x14ac:dyDescent="0.25">
      <c r="A661"/>
      <c r="B661"/>
      <c r="C661"/>
      <c r="D661"/>
      <c r="E661"/>
      <c r="F661"/>
      <c r="G661"/>
      <c r="H661"/>
      <c r="I661"/>
      <c r="J661"/>
    </row>
    <row r="662" spans="1:10" ht="11.25" customHeight="1" x14ac:dyDescent="0.25">
      <c r="A662"/>
      <c r="B662"/>
      <c r="C662"/>
      <c r="D662"/>
      <c r="E662"/>
      <c r="F662"/>
      <c r="G662"/>
      <c r="H662"/>
      <c r="I662"/>
      <c r="J662"/>
    </row>
    <row r="663" spans="1:10" ht="11.25" customHeight="1" x14ac:dyDescent="0.25">
      <c r="A663"/>
      <c r="B663"/>
      <c r="C663"/>
      <c r="D663"/>
      <c r="E663"/>
      <c r="F663"/>
      <c r="G663"/>
      <c r="H663"/>
      <c r="I663"/>
      <c r="J663"/>
    </row>
    <row r="664" spans="1:10" ht="11.25" customHeight="1" x14ac:dyDescent="0.25">
      <c r="A664"/>
      <c r="B664"/>
      <c r="C664"/>
      <c r="D664"/>
      <c r="E664"/>
      <c r="F664"/>
      <c r="G664"/>
      <c r="H664"/>
      <c r="I664"/>
      <c r="J664"/>
    </row>
    <row r="665" spans="1:10" ht="11.25" customHeight="1" x14ac:dyDescent="0.25">
      <c r="A665"/>
      <c r="B665"/>
      <c r="C665"/>
      <c r="D665"/>
      <c r="E665"/>
      <c r="F665"/>
      <c r="G665"/>
      <c r="H665"/>
      <c r="I665"/>
      <c r="J665"/>
    </row>
    <row r="666" spans="1:10" ht="11.25" customHeight="1" x14ac:dyDescent="0.25">
      <c r="A666"/>
      <c r="B666"/>
      <c r="C666"/>
      <c r="D666"/>
      <c r="E666"/>
      <c r="F666"/>
      <c r="G666"/>
      <c r="H666"/>
      <c r="I666"/>
      <c r="J666"/>
    </row>
    <row r="667" spans="1:10" ht="11.25" customHeight="1" x14ac:dyDescent="0.25">
      <c r="A667"/>
      <c r="B667"/>
      <c r="C667"/>
      <c r="D667"/>
      <c r="E667"/>
      <c r="F667"/>
      <c r="G667"/>
      <c r="H667"/>
      <c r="I667"/>
      <c r="J667"/>
    </row>
    <row r="668" spans="1:10" ht="11.25" customHeight="1" x14ac:dyDescent="0.25">
      <c r="A668"/>
      <c r="B668"/>
      <c r="C668"/>
      <c r="D668"/>
      <c r="E668"/>
      <c r="F668"/>
      <c r="G668"/>
      <c r="H668"/>
      <c r="I668"/>
      <c r="J668"/>
    </row>
    <row r="669" spans="1:10" ht="11.25" customHeight="1" x14ac:dyDescent="0.25">
      <c r="A669"/>
      <c r="B669"/>
      <c r="C669"/>
      <c r="D669"/>
      <c r="E669"/>
      <c r="F669"/>
      <c r="G669"/>
      <c r="H669"/>
      <c r="I669"/>
      <c r="J669"/>
    </row>
    <row r="670" spans="1:10" ht="11.25" customHeight="1" x14ac:dyDescent="0.25">
      <c r="A670"/>
      <c r="B670"/>
      <c r="C670"/>
      <c r="D670"/>
      <c r="E670"/>
      <c r="F670"/>
      <c r="G670"/>
      <c r="H670"/>
      <c r="I670"/>
      <c r="J670"/>
    </row>
    <row r="671" spans="1:10" ht="11.25" customHeight="1" x14ac:dyDescent="0.25">
      <c r="A671"/>
      <c r="B671"/>
      <c r="C671"/>
      <c r="D671"/>
      <c r="E671"/>
      <c r="F671"/>
      <c r="G671"/>
      <c r="H671"/>
      <c r="I671"/>
      <c r="J671"/>
    </row>
    <row r="672" spans="1:10" ht="11.25" customHeight="1" x14ac:dyDescent="0.25">
      <c r="A672"/>
      <c r="B672"/>
      <c r="C672"/>
      <c r="D672"/>
      <c r="E672"/>
      <c r="F672"/>
      <c r="G672"/>
      <c r="H672"/>
      <c r="I672"/>
      <c r="J672"/>
    </row>
    <row r="673" spans="1:10" ht="11.25" customHeight="1" x14ac:dyDescent="0.25">
      <c r="A673"/>
      <c r="B673"/>
      <c r="C673"/>
      <c r="D673"/>
      <c r="E673"/>
      <c r="F673"/>
      <c r="G673"/>
      <c r="H673"/>
      <c r="I673"/>
      <c r="J673"/>
    </row>
    <row r="674" spans="1:10" ht="11.25" customHeight="1" x14ac:dyDescent="0.25">
      <c r="A674"/>
      <c r="B674"/>
      <c r="C674"/>
      <c r="D674"/>
      <c r="E674"/>
      <c r="F674"/>
      <c r="G674"/>
      <c r="H674"/>
      <c r="I674"/>
      <c r="J674"/>
    </row>
    <row r="675" spans="1:10" ht="11.25" customHeight="1" x14ac:dyDescent="0.25">
      <c r="A675"/>
      <c r="B675"/>
      <c r="C675"/>
      <c r="D675"/>
      <c r="E675"/>
      <c r="F675"/>
      <c r="G675"/>
      <c r="H675"/>
      <c r="I675"/>
      <c r="J675"/>
    </row>
    <row r="676" spans="1:10" ht="11.25" customHeight="1" x14ac:dyDescent="0.25">
      <c r="A676"/>
      <c r="B676"/>
      <c r="C676"/>
      <c r="D676"/>
      <c r="E676"/>
      <c r="F676"/>
      <c r="G676"/>
      <c r="H676"/>
      <c r="I676"/>
      <c r="J676"/>
    </row>
    <row r="677" spans="1:10" ht="11.25" customHeight="1" x14ac:dyDescent="0.25">
      <c r="A677"/>
      <c r="B677"/>
      <c r="C677"/>
      <c r="D677"/>
      <c r="E677"/>
      <c r="F677"/>
      <c r="G677"/>
      <c r="H677"/>
      <c r="I677"/>
      <c r="J677"/>
    </row>
    <row r="678" spans="1:10" ht="11.25" customHeight="1" x14ac:dyDescent="0.25">
      <c r="A678"/>
      <c r="B678"/>
      <c r="C678"/>
      <c r="D678"/>
      <c r="E678"/>
      <c r="F678"/>
      <c r="G678"/>
      <c r="H678"/>
      <c r="I678"/>
      <c r="J678"/>
    </row>
    <row r="679" spans="1:10" ht="11.25" customHeight="1" x14ac:dyDescent="0.25">
      <c r="A679"/>
      <c r="B679"/>
      <c r="C679"/>
      <c r="D679"/>
      <c r="E679"/>
      <c r="F679"/>
      <c r="G679"/>
      <c r="H679"/>
      <c r="I679"/>
      <c r="J679"/>
    </row>
    <row r="680" spans="1:10" ht="11.25" customHeight="1" x14ac:dyDescent="0.25">
      <c r="A680"/>
      <c r="B680"/>
      <c r="C680"/>
      <c r="D680"/>
      <c r="E680"/>
      <c r="F680"/>
      <c r="G680"/>
      <c r="H680"/>
      <c r="I680"/>
      <c r="J680"/>
    </row>
    <row r="681" spans="1:10" ht="11.25" customHeight="1" x14ac:dyDescent="0.25">
      <c r="A681"/>
      <c r="B681"/>
      <c r="C681"/>
      <c r="D681"/>
      <c r="E681"/>
      <c r="F681"/>
      <c r="G681"/>
      <c r="H681"/>
      <c r="I681"/>
      <c r="J681"/>
    </row>
    <row r="682" spans="1:10" ht="11.25" customHeight="1" x14ac:dyDescent="0.25">
      <c r="A682"/>
      <c r="B682"/>
      <c r="C682"/>
      <c r="D682"/>
      <c r="E682"/>
      <c r="F682"/>
      <c r="G682"/>
      <c r="H682"/>
      <c r="I682"/>
      <c r="J682"/>
    </row>
    <row r="683" spans="1:10" ht="11.25" customHeight="1" x14ac:dyDescent="0.25">
      <c r="A683"/>
      <c r="B683"/>
      <c r="C683"/>
      <c r="D683"/>
      <c r="E683"/>
      <c r="F683"/>
      <c r="G683"/>
      <c r="H683"/>
      <c r="I683"/>
      <c r="J683"/>
    </row>
    <row r="684" spans="1:10" ht="11.25" customHeight="1" x14ac:dyDescent="0.25">
      <c r="A684"/>
      <c r="B684"/>
      <c r="C684"/>
      <c r="D684"/>
      <c r="E684"/>
      <c r="F684"/>
      <c r="G684"/>
      <c r="H684"/>
      <c r="I684"/>
      <c r="J684"/>
    </row>
    <row r="685" spans="1:10" ht="11.25" customHeight="1" x14ac:dyDescent="0.25">
      <c r="A685"/>
      <c r="B685"/>
      <c r="C685"/>
      <c r="D685"/>
      <c r="E685"/>
      <c r="F685"/>
      <c r="G685"/>
      <c r="H685"/>
      <c r="I685"/>
      <c r="J685"/>
    </row>
    <row r="686" spans="1:10" ht="11.25" customHeight="1" x14ac:dyDescent="0.25">
      <c r="A686"/>
      <c r="B686"/>
      <c r="C686"/>
      <c r="D686"/>
      <c r="E686"/>
      <c r="F686"/>
      <c r="G686"/>
      <c r="H686"/>
      <c r="I686"/>
      <c r="J686"/>
    </row>
    <row r="687" spans="1:10" ht="11.25" customHeight="1" x14ac:dyDescent="0.25">
      <c r="A687"/>
      <c r="B687"/>
      <c r="C687"/>
      <c r="D687"/>
      <c r="E687"/>
      <c r="F687"/>
      <c r="G687"/>
      <c r="H687"/>
      <c r="I687"/>
      <c r="J687"/>
    </row>
    <row r="688" spans="1:10" ht="11.25" customHeight="1" x14ac:dyDescent="0.25">
      <c r="A688"/>
      <c r="B688"/>
      <c r="C688"/>
      <c r="D688"/>
      <c r="E688"/>
      <c r="F688"/>
      <c r="G688"/>
      <c r="H688"/>
      <c r="I688"/>
      <c r="J688"/>
    </row>
    <row r="689" spans="1:10" ht="11.25" customHeight="1" x14ac:dyDescent="0.25">
      <c r="A689"/>
      <c r="B689"/>
      <c r="C689"/>
      <c r="D689"/>
      <c r="E689"/>
      <c r="F689"/>
      <c r="G689"/>
      <c r="H689"/>
      <c r="I689"/>
      <c r="J689"/>
    </row>
    <row r="690" spans="1:10" ht="11.25" customHeight="1" x14ac:dyDescent="0.25">
      <c r="A690"/>
      <c r="B690"/>
      <c r="C690"/>
      <c r="D690"/>
      <c r="E690"/>
      <c r="F690"/>
      <c r="G690"/>
      <c r="H690"/>
      <c r="I690"/>
      <c r="J690"/>
    </row>
    <row r="691" spans="1:10" ht="11.25" customHeight="1" x14ac:dyDescent="0.25">
      <c r="A691"/>
      <c r="B691"/>
      <c r="C691"/>
      <c r="D691"/>
      <c r="E691"/>
      <c r="F691"/>
      <c r="G691"/>
      <c r="H691"/>
      <c r="I691"/>
      <c r="J691"/>
    </row>
    <row r="692" spans="1:10" ht="11.25" customHeight="1" x14ac:dyDescent="0.25">
      <c r="A692"/>
      <c r="B692"/>
      <c r="C692"/>
      <c r="D692"/>
      <c r="E692"/>
      <c r="F692"/>
      <c r="G692"/>
      <c r="H692"/>
      <c r="I692"/>
      <c r="J692"/>
    </row>
    <row r="693" spans="1:10" ht="11.25" customHeight="1" x14ac:dyDescent="0.25">
      <c r="A693"/>
      <c r="B693"/>
      <c r="C693"/>
      <c r="D693"/>
      <c r="E693"/>
      <c r="F693"/>
      <c r="G693"/>
      <c r="H693"/>
      <c r="I693"/>
      <c r="J693"/>
    </row>
    <row r="694" spans="1:10" ht="11.25" customHeight="1" x14ac:dyDescent="0.25">
      <c r="A694"/>
      <c r="B694"/>
      <c r="C694"/>
      <c r="D694"/>
      <c r="E694"/>
      <c r="F694"/>
      <c r="G694"/>
      <c r="H694"/>
      <c r="I694"/>
      <c r="J694"/>
    </row>
    <row r="695" spans="1:10" ht="11.25" customHeight="1" x14ac:dyDescent="0.25">
      <c r="A695"/>
      <c r="B695"/>
      <c r="C695"/>
      <c r="D695"/>
      <c r="E695"/>
      <c r="F695"/>
      <c r="G695"/>
      <c r="H695"/>
      <c r="I695"/>
      <c r="J695"/>
    </row>
    <row r="696" spans="1:10" ht="11.25" customHeight="1" x14ac:dyDescent="0.25">
      <c r="A696"/>
      <c r="B696"/>
      <c r="C696"/>
      <c r="D696"/>
      <c r="E696"/>
      <c r="F696"/>
      <c r="G696"/>
      <c r="H696"/>
      <c r="I696"/>
      <c r="J696"/>
    </row>
    <row r="697" spans="1:10" ht="11.25" customHeight="1" x14ac:dyDescent="0.25">
      <c r="A697"/>
      <c r="B697"/>
      <c r="C697"/>
      <c r="D697"/>
      <c r="E697"/>
      <c r="F697"/>
      <c r="G697"/>
      <c r="H697"/>
      <c r="I697"/>
      <c r="J697"/>
    </row>
    <row r="698" spans="1:10" ht="11.25" customHeight="1" x14ac:dyDescent="0.25">
      <c r="A698"/>
      <c r="B698"/>
      <c r="C698"/>
      <c r="D698"/>
      <c r="E698"/>
      <c r="F698"/>
      <c r="G698"/>
      <c r="H698"/>
      <c r="I698"/>
      <c r="J698"/>
    </row>
    <row r="699" spans="1:10" ht="11.25" customHeight="1" x14ac:dyDescent="0.25">
      <c r="A699"/>
      <c r="B699"/>
      <c r="C699"/>
      <c r="D699"/>
      <c r="E699"/>
      <c r="F699"/>
      <c r="G699"/>
      <c r="H699"/>
      <c r="I699"/>
      <c r="J699"/>
    </row>
    <row r="700" spans="1:10" ht="11.25" customHeight="1" x14ac:dyDescent="0.25">
      <c r="A700"/>
      <c r="B700"/>
      <c r="C700"/>
      <c r="D700"/>
      <c r="E700"/>
      <c r="F700"/>
      <c r="G700"/>
      <c r="H700"/>
      <c r="I700"/>
      <c r="J700"/>
    </row>
    <row r="701" spans="1:10" ht="11.25" customHeight="1" x14ac:dyDescent="0.25">
      <c r="A701"/>
      <c r="B701"/>
      <c r="C701"/>
      <c r="D701"/>
      <c r="E701"/>
      <c r="F701"/>
      <c r="G701"/>
      <c r="H701"/>
      <c r="I701"/>
      <c r="J701"/>
    </row>
    <row r="702" spans="1:10" ht="11.25" customHeight="1" x14ac:dyDescent="0.25">
      <c r="A702"/>
      <c r="B702"/>
      <c r="C702"/>
      <c r="D702"/>
      <c r="E702"/>
      <c r="F702"/>
      <c r="G702"/>
      <c r="H702"/>
      <c r="I702"/>
      <c r="J702"/>
    </row>
    <row r="703" spans="1:10" ht="11.25" customHeight="1" x14ac:dyDescent="0.25">
      <c r="A703"/>
      <c r="B703"/>
      <c r="C703"/>
      <c r="D703"/>
      <c r="E703"/>
      <c r="F703"/>
      <c r="G703"/>
      <c r="H703"/>
      <c r="I703"/>
      <c r="J703"/>
    </row>
    <row r="704" spans="1:10" ht="11.25" customHeight="1" x14ac:dyDescent="0.25">
      <c r="A704"/>
      <c r="B704"/>
      <c r="C704"/>
      <c r="D704"/>
      <c r="E704"/>
      <c r="F704"/>
      <c r="G704"/>
      <c r="H704"/>
      <c r="I704"/>
      <c r="J704"/>
    </row>
    <row r="705" spans="1:10" ht="11.25" customHeight="1" x14ac:dyDescent="0.25">
      <c r="A705"/>
      <c r="B705"/>
      <c r="C705"/>
      <c r="D705"/>
      <c r="E705"/>
      <c r="F705"/>
      <c r="G705"/>
      <c r="H705"/>
      <c r="I705"/>
      <c r="J705"/>
    </row>
    <row r="706" spans="1:10" ht="11.25" customHeight="1" x14ac:dyDescent="0.25">
      <c r="A706"/>
      <c r="B706"/>
      <c r="C706"/>
      <c r="D706"/>
      <c r="E706"/>
      <c r="F706"/>
      <c r="G706"/>
      <c r="H706"/>
      <c r="I706"/>
      <c r="J706"/>
    </row>
    <row r="707" spans="1:10" ht="11.25" customHeight="1" x14ac:dyDescent="0.25">
      <c r="A707"/>
      <c r="B707"/>
      <c r="C707"/>
      <c r="D707"/>
      <c r="E707"/>
      <c r="F707"/>
      <c r="G707"/>
      <c r="H707"/>
      <c r="I707"/>
      <c r="J707"/>
    </row>
    <row r="708" spans="1:10" ht="11.25" customHeight="1" x14ac:dyDescent="0.25">
      <c r="A708"/>
      <c r="B708"/>
      <c r="C708"/>
      <c r="D708"/>
      <c r="E708"/>
      <c r="F708"/>
      <c r="G708"/>
      <c r="H708"/>
      <c r="I708"/>
      <c r="J708"/>
    </row>
    <row r="709" spans="1:10" ht="11.25" customHeight="1" x14ac:dyDescent="0.25">
      <c r="A709"/>
      <c r="B709"/>
      <c r="C709"/>
      <c r="D709"/>
      <c r="E709"/>
      <c r="F709"/>
      <c r="G709"/>
      <c r="H709"/>
      <c r="I709"/>
      <c r="J709"/>
    </row>
    <row r="710" spans="1:10" ht="11.25" customHeight="1" x14ac:dyDescent="0.25">
      <c r="A710"/>
      <c r="B710"/>
      <c r="C710"/>
      <c r="D710"/>
      <c r="E710"/>
      <c r="F710"/>
      <c r="G710"/>
      <c r="H710"/>
      <c r="I710"/>
      <c r="J710"/>
    </row>
    <row r="711" spans="1:10" ht="11.25" customHeight="1" x14ac:dyDescent="0.25">
      <c r="A711"/>
      <c r="B711"/>
      <c r="C711"/>
      <c r="D711"/>
      <c r="E711"/>
      <c r="F711"/>
      <c r="G711"/>
      <c r="H711"/>
      <c r="I711"/>
      <c r="J711"/>
    </row>
    <row r="712" spans="1:10" ht="11.25" customHeight="1" x14ac:dyDescent="0.25">
      <c r="A712"/>
      <c r="B712"/>
      <c r="C712"/>
      <c r="D712"/>
      <c r="E712"/>
      <c r="F712"/>
      <c r="G712"/>
      <c r="H712"/>
      <c r="I712"/>
      <c r="J712"/>
    </row>
    <row r="713" spans="1:10" ht="11.25" customHeight="1" x14ac:dyDescent="0.25">
      <c r="A713"/>
      <c r="B713"/>
      <c r="C713"/>
      <c r="D713"/>
      <c r="E713"/>
      <c r="F713"/>
      <c r="G713"/>
      <c r="H713"/>
      <c r="I713"/>
      <c r="J713"/>
    </row>
    <row r="714" spans="1:10" ht="11.25" customHeight="1" x14ac:dyDescent="0.25">
      <c r="A714"/>
      <c r="B714"/>
      <c r="C714"/>
      <c r="D714"/>
      <c r="E714"/>
      <c r="F714"/>
      <c r="G714"/>
      <c r="H714"/>
      <c r="I714"/>
      <c r="J714"/>
    </row>
    <row r="715" spans="1:10" ht="11.25" customHeight="1" x14ac:dyDescent="0.25">
      <c r="A715"/>
      <c r="B715"/>
      <c r="C715"/>
      <c r="D715"/>
      <c r="E715"/>
      <c r="F715"/>
      <c r="G715"/>
      <c r="H715"/>
      <c r="I715"/>
      <c r="J715"/>
    </row>
    <row r="716" spans="1:10" ht="11.25" customHeight="1" x14ac:dyDescent="0.25">
      <c r="A716"/>
      <c r="B716"/>
      <c r="C716"/>
      <c r="D716"/>
      <c r="E716"/>
      <c r="F716"/>
      <c r="G716"/>
      <c r="H716"/>
      <c r="I716"/>
      <c r="J716"/>
    </row>
    <row r="717" spans="1:10" ht="11.25" customHeight="1" x14ac:dyDescent="0.25">
      <c r="A717"/>
      <c r="B717"/>
      <c r="C717"/>
      <c r="D717"/>
      <c r="E717"/>
      <c r="F717"/>
      <c r="G717"/>
      <c r="H717"/>
      <c r="I717"/>
      <c r="J717"/>
    </row>
    <row r="718" spans="1:10" ht="11.25" customHeight="1" x14ac:dyDescent="0.25">
      <c r="A718"/>
      <c r="B718"/>
      <c r="C718"/>
      <c r="D718"/>
      <c r="E718"/>
      <c r="F718"/>
      <c r="G718"/>
      <c r="H718"/>
      <c r="I718"/>
      <c r="J718"/>
    </row>
    <row r="719" spans="1:10" ht="11.25" customHeight="1" x14ac:dyDescent="0.25">
      <c r="A719"/>
      <c r="B719"/>
      <c r="C719"/>
      <c r="D719"/>
      <c r="E719"/>
      <c r="F719"/>
      <c r="G719"/>
      <c r="H719"/>
      <c r="I719"/>
      <c r="J719"/>
    </row>
    <row r="720" spans="1:10" ht="11.25" customHeight="1" x14ac:dyDescent="0.25">
      <c r="A720"/>
      <c r="B720"/>
      <c r="C720"/>
      <c r="D720"/>
      <c r="E720"/>
      <c r="F720"/>
      <c r="G720"/>
      <c r="H720"/>
      <c r="I720"/>
      <c r="J720"/>
    </row>
    <row r="721" spans="1:10" ht="11.25" customHeight="1" x14ac:dyDescent="0.25">
      <c r="A721"/>
      <c r="B721"/>
      <c r="C721"/>
      <c r="D721"/>
      <c r="E721"/>
      <c r="F721"/>
      <c r="G721"/>
      <c r="H721"/>
      <c r="I721"/>
      <c r="J721"/>
    </row>
    <row r="722" spans="1:10" ht="11.25" customHeight="1" x14ac:dyDescent="0.25">
      <c r="A722"/>
      <c r="B722"/>
      <c r="C722"/>
      <c r="D722"/>
      <c r="E722"/>
      <c r="F722"/>
      <c r="G722"/>
      <c r="H722"/>
      <c r="I722"/>
      <c r="J722"/>
    </row>
    <row r="723" spans="1:10" ht="11.25" customHeight="1" x14ac:dyDescent="0.25">
      <c r="A723"/>
      <c r="B723"/>
      <c r="C723"/>
      <c r="D723"/>
      <c r="E723"/>
      <c r="F723"/>
      <c r="G723"/>
      <c r="H723"/>
      <c r="I723"/>
      <c r="J723"/>
    </row>
    <row r="724" spans="1:10" ht="11.25" customHeight="1" x14ac:dyDescent="0.25">
      <c r="A724"/>
      <c r="B724"/>
      <c r="C724"/>
      <c r="D724"/>
      <c r="E724"/>
      <c r="F724"/>
      <c r="G724"/>
      <c r="H724"/>
      <c r="I724"/>
      <c r="J724"/>
    </row>
    <row r="725" spans="1:10" ht="11.25" customHeight="1" x14ac:dyDescent="0.25">
      <c r="A725"/>
      <c r="B725"/>
      <c r="C725"/>
      <c r="D725"/>
      <c r="E725"/>
      <c r="F725"/>
      <c r="G725"/>
      <c r="H725"/>
      <c r="I725"/>
      <c r="J725"/>
    </row>
    <row r="726" spans="1:10" ht="11.25" customHeight="1" x14ac:dyDescent="0.25">
      <c r="A726"/>
      <c r="B726"/>
      <c r="C726"/>
      <c r="D726"/>
      <c r="E726"/>
      <c r="F726"/>
      <c r="G726"/>
      <c r="H726"/>
      <c r="I726"/>
      <c r="J726"/>
    </row>
    <row r="727" spans="1:10" ht="11.25" customHeight="1" x14ac:dyDescent="0.25">
      <c r="A727"/>
      <c r="B727"/>
      <c r="C727"/>
      <c r="D727"/>
      <c r="E727"/>
      <c r="F727"/>
      <c r="G727"/>
      <c r="H727"/>
      <c r="I727"/>
      <c r="J727"/>
    </row>
    <row r="728" spans="1:10" ht="11.25" customHeight="1" x14ac:dyDescent="0.25">
      <c r="A728"/>
      <c r="B728"/>
      <c r="C728"/>
      <c r="D728"/>
      <c r="E728"/>
      <c r="F728"/>
      <c r="G728"/>
      <c r="H728"/>
      <c r="I728"/>
      <c r="J728"/>
    </row>
    <row r="729" spans="1:10" ht="11.25" customHeight="1" x14ac:dyDescent="0.25">
      <c r="A729"/>
      <c r="B729"/>
      <c r="C729"/>
      <c r="D729"/>
      <c r="E729"/>
      <c r="F729"/>
      <c r="G729"/>
      <c r="H729"/>
      <c r="I729"/>
      <c r="J729"/>
    </row>
    <row r="730" spans="1:10" ht="11.25" customHeight="1" x14ac:dyDescent="0.25">
      <c r="A730"/>
      <c r="B730"/>
      <c r="C730"/>
      <c r="D730"/>
      <c r="E730"/>
      <c r="F730"/>
      <c r="G730"/>
      <c r="H730"/>
      <c r="I730"/>
      <c r="J730"/>
    </row>
    <row r="731" spans="1:10" ht="11.25" customHeight="1" x14ac:dyDescent="0.25">
      <c r="A731"/>
      <c r="B731"/>
      <c r="C731"/>
      <c r="D731"/>
      <c r="E731"/>
      <c r="F731"/>
      <c r="G731"/>
      <c r="H731"/>
      <c r="I731"/>
      <c r="J731"/>
    </row>
    <row r="732" spans="1:10" ht="11.25" customHeight="1" x14ac:dyDescent="0.25">
      <c r="A732"/>
      <c r="B732"/>
      <c r="C732"/>
      <c r="D732"/>
      <c r="E732"/>
      <c r="F732"/>
      <c r="G732"/>
      <c r="H732"/>
      <c r="I732"/>
      <c r="J732"/>
    </row>
    <row r="733" spans="1:10" ht="11.25" customHeight="1" x14ac:dyDescent="0.25">
      <c r="A733"/>
      <c r="B733"/>
      <c r="C733"/>
      <c r="D733"/>
      <c r="E733"/>
      <c r="F733"/>
      <c r="G733"/>
      <c r="H733"/>
      <c r="I733"/>
      <c r="J733"/>
    </row>
    <row r="734" spans="1:10" ht="11.25" customHeight="1" x14ac:dyDescent="0.25">
      <c r="A734"/>
      <c r="B734"/>
      <c r="C734"/>
      <c r="D734"/>
      <c r="E734"/>
      <c r="F734"/>
      <c r="G734"/>
      <c r="H734"/>
      <c r="I734"/>
      <c r="J734"/>
    </row>
    <row r="735" spans="1:10" ht="11.25" customHeight="1" x14ac:dyDescent="0.25">
      <c r="A735"/>
      <c r="B735"/>
      <c r="C735"/>
      <c r="D735"/>
      <c r="E735"/>
      <c r="F735"/>
      <c r="G735"/>
      <c r="H735"/>
      <c r="I735"/>
      <c r="J735"/>
    </row>
    <row r="736" spans="1:10" ht="11.25" customHeight="1" x14ac:dyDescent="0.25">
      <c r="A736"/>
      <c r="B736"/>
      <c r="C736"/>
      <c r="D736"/>
      <c r="E736"/>
      <c r="F736"/>
      <c r="G736"/>
      <c r="H736"/>
      <c r="I736"/>
      <c r="J736"/>
    </row>
    <row r="737" spans="1:10" ht="11.25" customHeight="1" x14ac:dyDescent="0.25">
      <c r="A737"/>
      <c r="B737"/>
      <c r="C737"/>
      <c r="D737"/>
      <c r="E737"/>
      <c r="F737"/>
      <c r="G737"/>
      <c r="H737"/>
      <c r="I737"/>
      <c r="J737"/>
    </row>
    <row r="738" spans="1:10" ht="11.25" customHeight="1" x14ac:dyDescent="0.25">
      <c r="A738"/>
      <c r="B738"/>
      <c r="C738"/>
      <c r="D738"/>
      <c r="E738"/>
      <c r="F738"/>
      <c r="G738"/>
      <c r="H738"/>
      <c r="I738"/>
      <c r="J738"/>
    </row>
    <row r="739" spans="1:10" ht="11.25" customHeight="1" x14ac:dyDescent="0.25">
      <c r="A739"/>
      <c r="B739"/>
      <c r="C739"/>
      <c r="D739"/>
      <c r="E739"/>
      <c r="F739"/>
      <c r="G739"/>
      <c r="H739"/>
      <c r="I739"/>
      <c r="J739"/>
    </row>
    <row r="740" spans="1:10" ht="11.25" customHeight="1" x14ac:dyDescent="0.25">
      <c r="A740"/>
      <c r="B740"/>
      <c r="C740"/>
      <c r="D740"/>
      <c r="E740"/>
      <c r="F740"/>
      <c r="G740"/>
      <c r="H740"/>
      <c r="I740"/>
      <c r="J740"/>
    </row>
    <row r="741" spans="1:10" ht="11.25" customHeight="1" x14ac:dyDescent="0.25">
      <c r="A741"/>
      <c r="B741"/>
      <c r="C741"/>
      <c r="D741"/>
      <c r="E741"/>
      <c r="F741"/>
      <c r="G741"/>
      <c r="H741"/>
      <c r="I741"/>
      <c r="J741"/>
    </row>
    <row r="742" spans="1:10" ht="11.25" customHeight="1" x14ac:dyDescent="0.25">
      <c r="A742"/>
      <c r="B742"/>
      <c r="C742"/>
      <c r="D742"/>
      <c r="E742"/>
      <c r="F742"/>
      <c r="G742"/>
      <c r="H742"/>
      <c r="I742"/>
      <c r="J742"/>
    </row>
    <row r="743" spans="1:10" ht="11.25" customHeight="1" x14ac:dyDescent="0.25">
      <c r="A743"/>
      <c r="B743"/>
      <c r="C743"/>
      <c r="D743"/>
      <c r="E743"/>
      <c r="F743"/>
      <c r="G743"/>
      <c r="H743"/>
      <c r="I743"/>
      <c r="J743"/>
    </row>
    <row r="744" spans="1:10" ht="11.25" customHeight="1" x14ac:dyDescent="0.25">
      <c r="A744"/>
      <c r="B744"/>
      <c r="C744"/>
      <c r="D744"/>
      <c r="E744"/>
      <c r="F744"/>
      <c r="G744"/>
      <c r="H744"/>
      <c r="I744"/>
      <c r="J744"/>
    </row>
    <row r="745" spans="1:10" ht="11.25" customHeight="1" x14ac:dyDescent="0.25">
      <c r="A745"/>
      <c r="B745"/>
      <c r="C745"/>
      <c r="D745"/>
      <c r="E745"/>
      <c r="F745"/>
      <c r="G745"/>
      <c r="H745"/>
      <c r="I745"/>
      <c r="J745"/>
    </row>
    <row r="746" spans="1:10" ht="11.25" customHeight="1" x14ac:dyDescent="0.25">
      <c r="A746"/>
      <c r="B746"/>
      <c r="C746"/>
      <c r="D746"/>
      <c r="E746"/>
      <c r="F746"/>
      <c r="G746"/>
      <c r="H746"/>
      <c r="I746"/>
      <c r="J746"/>
    </row>
    <row r="747" spans="1:10" ht="11.25" customHeight="1" x14ac:dyDescent="0.25">
      <c r="A747"/>
      <c r="B747"/>
      <c r="C747"/>
      <c r="D747"/>
      <c r="E747"/>
      <c r="F747"/>
      <c r="G747"/>
      <c r="H747"/>
      <c r="I747"/>
      <c r="J747"/>
    </row>
    <row r="748" spans="1:10" ht="11.25" customHeight="1" x14ac:dyDescent="0.25">
      <c r="A748"/>
      <c r="B748"/>
      <c r="C748"/>
      <c r="D748"/>
      <c r="E748"/>
      <c r="F748"/>
      <c r="G748"/>
      <c r="H748"/>
      <c r="I748"/>
      <c r="J748"/>
    </row>
    <row r="749" spans="1:10" ht="11.25" customHeight="1" x14ac:dyDescent="0.25">
      <c r="A749"/>
      <c r="B749"/>
      <c r="C749"/>
      <c r="D749"/>
      <c r="E749"/>
      <c r="F749"/>
      <c r="G749"/>
      <c r="H749"/>
      <c r="I749"/>
      <c r="J749"/>
    </row>
    <row r="750" spans="1:10" ht="11.25" customHeight="1" x14ac:dyDescent="0.25">
      <c r="A750"/>
      <c r="B750"/>
      <c r="C750"/>
      <c r="D750"/>
      <c r="E750"/>
      <c r="F750"/>
      <c r="G750"/>
      <c r="H750"/>
      <c r="I750"/>
      <c r="J750"/>
    </row>
    <row r="751" spans="1:10" ht="11.25" customHeight="1" x14ac:dyDescent="0.25">
      <c r="A751"/>
      <c r="B751"/>
      <c r="C751"/>
      <c r="D751"/>
      <c r="E751"/>
      <c r="F751"/>
      <c r="G751"/>
      <c r="H751"/>
      <c r="I751"/>
      <c r="J751"/>
    </row>
    <row r="752" spans="1:10" ht="11.25" customHeight="1" x14ac:dyDescent="0.25">
      <c r="A752"/>
      <c r="B752"/>
      <c r="C752"/>
      <c r="D752"/>
      <c r="E752"/>
      <c r="F752"/>
      <c r="G752"/>
      <c r="H752"/>
      <c r="I752"/>
      <c r="J752"/>
    </row>
    <row r="753" spans="1:10" ht="11.25" customHeight="1" x14ac:dyDescent="0.25">
      <c r="A753"/>
      <c r="B753"/>
      <c r="C753"/>
      <c r="D753"/>
      <c r="E753"/>
      <c r="F753"/>
      <c r="G753"/>
      <c r="H753"/>
      <c r="I753"/>
      <c r="J753"/>
    </row>
    <row r="754" spans="1:10" ht="11.25" customHeight="1" x14ac:dyDescent="0.25">
      <c r="A754"/>
      <c r="B754"/>
      <c r="C754"/>
      <c r="D754"/>
      <c r="E754"/>
      <c r="F754"/>
      <c r="G754"/>
      <c r="H754"/>
      <c r="I754"/>
      <c r="J754"/>
    </row>
    <row r="755" spans="1:10" ht="11.25" customHeight="1" x14ac:dyDescent="0.25">
      <c r="A755"/>
      <c r="B755"/>
      <c r="C755"/>
      <c r="D755"/>
      <c r="E755"/>
      <c r="F755"/>
      <c r="G755"/>
      <c r="H755"/>
      <c r="I755"/>
      <c r="J755"/>
    </row>
    <row r="756" spans="1:10" ht="11.25" customHeight="1" x14ac:dyDescent="0.25">
      <c r="A756"/>
      <c r="B756"/>
      <c r="C756"/>
      <c r="D756"/>
      <c r="E756"/>
      <c r="F756"/>
      <c r="G756"/>
      <c r="H756"/>
      <c r="I756"/>
      <c r="J756"/>
    </row>
    <row r="757" spans="1:10" ht="11.25" customHeight="1" x14ac:dyDescent="0.25">
      <c r="A757"/>
      <c r="B757"/>
      <c r="C757"/>
      <c r="D757"/>
      <c r="E757"/>
      <c r="F757"/>
      <c r="G757"/>
      <c r="H757"/>
      <c r="I757"/>
      <c r="J757"/>
    </row>
    <row r="758" spans="1:10" ht="11.25" customHeight="1" x14ac:dyDescent="0.25">
      <c r="A758"/>
      <c r="B758"/>
      <c r="C758"/>
      <c r="D758"/>
      <c r="E758"/>
      <c r="F758"/>
      <c r="G758"/>
      <c r="H758"/>
      <c r="I758"/>
      <c r="J758"/>
    </row>
    <row r="759" spans="1:10" ht="11.25" customHeight="1" x14ac:dyDescent="0.25">
      <c r="A759"/>
      <c r="B759"/>
      <c r="C759"/>
      <c r="D759"/>
      <c r="E759"/>
      <c r="F759"/>
      <c r="G759"/>
      <c r="H759"/>
      <c r="I759"/>
      <c r="J759"/>
    </row>
    <row r="760" spans="1:10" ht="11.25" customHeight="1" x14ac:dyDescent="0.25">
      <c r="A760"/>
      <c r="B760"/>
      <c r="C760"/>
      <c r="D760"/>
      <c r="E760"/>
      <c r="F760"/>
      <c r="G760"/>
      <c r="H760"/>
      <c r="I760"/>
      <c r="J760"/>
    </row>
    <row r="761" spans="1:10" ht="11.25" customHeight="1" x14ac:dyDescent="0.25">
      <c r="A761"/>
      <c r="B761"/>
      <c r="C761"/>
      <c r="D761"/>
      <c r="E761"/>
      <c r="F761"/>
      <c r="G761"/>
      <c r="H761"/>
      <c r="I761"/>
      <c r="J761"/>
    </row>
    <row r="762" spans="1:10" ht="11.25" customHeight="1" x14ac:dyDescent="0.25">
      <c r="A762"/>
      <c r="B762"/>
      <c r="C762"/>
      <c r="D762"/>
      <c r="E762"/>
      <c r="F762"/>
      <c r="G762"/>
      <c r="H762"/>
      <c r="I762"/>
      <c r="J762"/>
    </row>
    <row r="763" spans="1:10" ht="11.25" customHeight="1" x14ac:dyDescent="0.25">
      <c r="A763"/>
      <c r="B763"/>
      <c r="C763"/>
      <c r="D763"/>
      <c r="E763"/>
      <c r="F763"/>
      <c r="G763"/>
      <c r="H763"/>
      <c r="I763"/>
      <c r="J763"/>
    </row>
    <row r="764" spans="1:10" ht="11.25" customHeight="1" x14ac:dyDescent="0.25">
      <c r="A764"/>
      <c r="B764"/>
      <c r="C764"/>
      <c r="D764"/>
      <c r="E764"/>
      <c r="F764"/>
      <c r="G764"/>
      <c r="H764"/>
      <c r="I764"/>
      <c r="J764"/>
    </row>
    <row r="765" spans="1:10" ht="11.25" customHeight="1" x14ac:dyDescent="0.25">
      <c r="A765"/>
      <c r="B765"/>
      <c r="C765"/>
      <c r="D765"/>
      <c r="E765"/>
      <c r="F765"/>
      <c r="G765"/>
      <c r="H765"/>
      <c r="I765"/>
      <c r="J765"/>
    </row>
    <row r="766" spans="1:10" ht="11.25" customHeight="1" x14ac:dyDescent="0.25">
      <c r="A766"/>
      <c r="B766"/>
      <c r="C766"/>
      <c r="D766"/>
      <c r="E766"/>
      <c r="F766"/>
      <c r="G766"/>
      <c r="H766"/>
      <c r="I766"/>
      <c r="J766"/>
    </row>
    <row r="767" spans="1:10" ht="11.25" customHeight="1" x14ac:dyDescent="0.25">
      <c r="A767"/>
      <c r="B767"/>
      <c r="C767"/>
      <c r="D767"/>
      <c r="E767"/>
      <c r="F767"/>
      <c r="G767"/>
      <c r="H767"/>
      <c r="I767"/>
      <c r="J767"/>
    </row>
    <row r="768" spans="1:10" ht="11.25" customHeight="1" x14ac:dyDescent="0.25">
      <c r="A768"/>
      <c r="B768"/>
      <c r="C768"/>
      <c r="D768"/>
      <c r="E768"/>
      <c r="F768"/>
      <c r="G768"/>
      <c r="H768"/>
      <c r="I768"/>
      <c r="J768"/>
    </row>
    <row r="769" spans="1:10" ht="11.25" customHeight="1" x14ac:dyDescent="0.25">
      <c r="A769"/>
      <c r="B769"/>
      <c r="C769"/>
      <c r="D769"/>
      <c r="E769"/>
      <c r="F769"/>
      <c r="G769"/>
      <c r="H769"/>
      <c r="I769"/>
      <c r="J769"/>
    </row>
    <row r="770" spans="1:10" ht="11.25" customHeight="1" x14ac:dyDescent="0.25">
      <c r="A770"/>
      <c r="B770"/>
      <c r="C770"/>
      <c r="D770"/>
      <c r="E770"/>
      <c r="F770"/>
      <c r="G770"/>
      <c r="H770"/>
      <c r="I770"/>
      <c r="J770"/>
    </row>
    <row r="771" spans="1:10" ht="11.25" customHeight="1" x14ac:dyDescent="0.25">
      <c r="A771"/>
      <c r="B771"/>
      <c r="C771"/>
      <c r="D771"/>
      <c r="E771"/>
      <c r="F771"/>
      <c r="G771"/>
      <c r="H771"/>
      <c r="I771"/>
      <c r="J771"/>
    </row>
    <row r="772" spans="1:10" ht="11.25" customHeight="1" x14ac:dyDescent="0.25">
      <c r="A772"/>
      <c r="B772"/>
      <c r="C772"/>
      <c r="D772"/>
      <c r="E772"/>
      <c r="F772"/>
      <c r="G772"/>
      <c r="H772"/>
      <c r="I772"/>
      <c r="J772"/>
    </row>
    <row r="773" spans="1:10" ht="11.25" customHeight="1" x14ac:dyDescent="0.25">
      <c r="A773"/>
      <c r="B773"/>
      <c r="C773"/>
      <c r="D773"/>
      <c r="E773"/>
      <c r="F773"/>
      <c r="G773"/>
      <c r="H773"/>
      <c r="I773"/>
      <c r="J773"/>
    </row>
    <row r="774" spans="1:10" ht="11.25" customHeight="1" x14ac:dyDescent="0.25">
      <c r="A774"/>
      <c r="B774"/>
      <c r="C774"/>
      <c r="D774"/>
      <c r="E774"/>
      <c r="F774"/>
      <c r="G774"/>
      <c r="H774"/>
      <c r="I774"/>
      <c r="J774"/>
    </row>
    <row r="775" spans="1:10" ht="11.25" customHeight="1" x14ac:dyDescent="0.25">
      <c r="A775"/>
      <c r="B775"/>
      <c r="C775"/>
      <c r="D775"/>
      <c r="E775"/>
      <c r="F775"/>
      <c r="G775"/>
      <c r="H775"/>
      <c r="I775"/>
      <c r="J775"/>
    </row>
    <row r="776" spans="1:10" ht="11.25" customHeight="1" x14ac:dyDescent="0.25">
      <c r="A776"/>
      <c r="B776"/>
      <c r="C776"/>
      <c r="D776"/>
      <c r="E776"/>
      <c r="F776"/>
      <c r="G776"/>
      <c r="H776"/>
      <c r="I776"/>
      <c r="J776"/>
    </row>
    <row r="777" spans="1:10" ht="11.25" customHeight="1" x14ac:dyDescent="0.25">
      <c r="A777"/>
      <c r="B777"/>
      <c r="C777"/>
      <c r="D777"/>
      <c r="E777"/>
      <c r="F777"/>
      <c r="G777"/>
      <c r="H777"/>
      <c r="I777"/>
      <c r="J777"/>
    </row>
    <row r="778" spans="1:10" ht="11.25" customHeight="1" x14ac:dyDescent="0.25">
      <c r="A778"/>
      <c r="B778"/>
      <c r="C778"/>
      <c r="D778"/>
      <c r="E778"/>
      <c r="F778"/>
      <c r="G778"/>
      <c r="H778"/>
      <c r="I778"/>
      <c r="J778"/>
    </row>
    <row r="779" spans="1:10" ht="11.25" customHeight="1" x14ac:dyDescent="0.25">
      <c r="A779"/>
      <c r="B779"/>
      <c r="C779"/>
      <c r="D779"/>
      <c r="E779"/>
      <c r="F779"/>
      <c r="G779"/>
      <c r="H779"/>
      <c r="I779"/>
      <c r="J779"/>
    </row>
    <row r="780" spans="1:10" ht="11.25" customHeight="1" x14ac:dyDescent="0.25">
      <c r="A780"/>
      <c r="B780"/>
      <c r="C780"/>
      <c r="D780"/>
      <c r="E780"/>
      <c r="F780"/>
      <c r="G780"/>
      <c r="H780"/>
      <c r="I780"/>
      <c r="J780"/>
    </row>
    <row r="781" spans="1:10" ht="11.25" customHeight="1" x14ac:dyDescent="0.25">
      <c r="A781"/>
      <c r="B781"/>
      <c r="C781"/>
      <c r="D781"/>
      <c r="E781"/>
      <c r="F781"/>
      <c r="G781"/>
      <c r="H781"/>
      <c r="I781"/>
      <c r="J781"/>
    </row>
    <row r="782" spans="1:10" ht="11.25" customHeight="1" x14ac:dyDescent="0.25">
      <c r="A782"/>
      <c r="B782"/>
      <c r="C782"/>
      <c r="D782"/>
      <c r="E782"/>
      <c r="F782"/>
      <c r="G782"/>
      <c r="H782"/>
      <c r="I782"/>
      <c r="J782"/>
    </row>
    <row r="783" spans="1:10" ht="11.25" customHeight="1" x14ac:dyDescent="0.25">
      <c r="A783"/>
      <c r="B783"/>
      <c r="C783"/>
      <c r="D783"/>
      <c r="E783"/>
      <c r="F783"/>
      <c r="G783"/>
      <c r="H783"/>
      <c r="I783"/>
      <c r="J783"/>
    </row>
    <row r="784" spans="1:10" ht="11.25" customHeight="1" x14ac:dyDescent="0.25">
      <c r="A784"/>
      <c r="B784"/>
      <c r="C784"/>
      <c r="D784"/>
      <c r="E784"/>
      <c r="F784"/>
      <c r="G784"/>
      <c r="H784"/>
      <c r="I784"/>
      <c r="J784"/>
    </row>
    <row r="785" spans="1:10" ht="11.25" customHeight="1" x14ac:dyDescent="0.25">
      <c r="A785"/>
      <c r="B785"/>
      <c r="C785"/>
      <c r="D785"/>
      <c r="E785"/>
      <c r="F785"/>
      <c r="G785"/>
      <c r="H785"/>
      <c r="I785"/>
      <c r="J785"/>
    </row>
    <row r="786" spans="1:10" ht="11.25" customHeight="1" x14ac:dyDescent="0.25">
      <c r="A786"/>
      <c r="B786"/>
      <c r="C786"/>
      <c r="D786"/>
      <c r="E786"/>
      <c r="F786"/>
      <c r="G786"/>
      <c r="H786"/>
      <c r="I786"/>
      <c r="J786"/>
    </row>
    <row r="787" spans="1:10" ht="11.25" customHeight="1" x14ac:dyDescent="0.25">
      <c r="A787"/>
      <c r="B787"/>
      <c r="C787"/>
      <c r="D787"/>
      <c r="E787"/>
      <c r="F787"/>
      <c r="G787"/>
      <c r="H787"/>
      <c r="I787"/>
      <c r="J787"/>
    </row>
    <row r="788" spans="1:10" ht="11.25" customHeight="1" x14ac:dyDescent="0.25">
      <c r="A788"/>
      <c r="B788"/>
      <c r="C788"/>
      <c r="D788"/>
      <c r="E788"/>
      <c r="F788"/>
      <c r="G788"/>
      <c r="H788"/>
      <c r="I788"/>
      <c r="J788"/>
    </row>
    <row r="789" spans="1:10" ht="11.25" customHeight="1" x14ac:dyDescent="0.25">
      <c r="A789"/>
      <c r="B789"/>
      <c r="C789"/>
      <c r="D789"/>
      <c r="E789"/>
      <c r="F789"/>
      <c r="G789"/>
      <c r="H789"/>
      <c r="I789"/>
      <c r="J789"/>
    </row>
    <row r="790" spans="1:10" ht="11.25" customHeight="1" x14ac:dyDescent="0.25">
      <c r="A790"/>
      <c r="B790"/>
      <c r="C790"/>
      <c r="D790"/>
      <c r="E790"/>
      <c r="F790"/>
      <c r="G790"/>
      <c r="H790"/>
      <c r="I790"/>
      <c r="J790"/>
    </row>
    <row r="791" spans="1:10" ht="11.25" customHeight="1" x14ac:dyDescent="0.25">
      <c r="A791"/>
      <c r="B791"/>
      <c r="C791"/>
      <c r="D791"/>
      <c r="E791"/>
      <c r="F791"/>
      <c r="G791"/>
      <c r="H791"/>
      <c r="I791"/>
      <c r="J791"/>
    </row>
    <row r="792" spans="1:10" ht="11.25" customHeight="1" x14ac:dyDescent="0.25">
      <c r="A792"/>
      <c r="B792"/>
      <c r="C792"/>
      <c r="D792"/>
      <c r="E792"/>
      <c r="F792"/>
      <c r="G792"/>
      <c r="H792"/>
      <c r="I792"/>
      <c r="J792"/>
    </row>
    <row r="793" spans="1:10" ht="11.25" customHeight="1" x14ac:dyDescent="0.25">
      <c r="A793"/>
      <c r="B793"/>
      <c r="C793"/>
      <c r="D793"/>
      <c r="E793"/>
      <c r="F793"/>
      <c r="G793"/>
      <c r="H793"/>
      <c r="I793"/>
      <c r="J793"/>
    </row>
    <row r="794" spans="1:10" ht="11.25" customHeight="1" x14ac:dyDescent="0.25">
      <c r="A794"/>
      <c r="B794"/>
      <c r="C794"/>
      <c r="D794"/>
      <c r="E794"/>
      <c r="F794"/>
      <c r="G794"/>
      <c r="H794"/>
      <c r="I794"/>
      <c r="J794"/>
    </row>
    <row r="795" spans="1:10" ht="11.25" customHeight="1" x14ac:dyDescent="0.25">
      <c r="A795"/>
      <c r="B795"/>
      <c r="C795"/>
      <c r="D795"/>
      <c r="E795"/>
      <c r="F795"/>
      <c r="G795"/>
      <c r="H795"/>
      <c r="I795"/>
      <c r="J795"/>
    </row>
    <row r="796" spans="1:10" ht="11.25" customHeight="1" x14ac:dyDescent="0.25">
      <c r="A796"/>
      <c r="B796"/>
      <c r="C796"/>
      <c r="D796"/>
      <c r="E796"/>
      <c r="F796"/>
      <c r="G796"/>
      <c r="H796"/>
      <c r="I796"/>
      <c r="J796"/>
    </row>
    <row r="797" spans="1:10" ht="11.25" customHeight="1" x14ac:dyDescent="0.25">
      <c r="A797"/>
      <c r="B797"/>
      <c r="C797"/>
      <c r="D797"/>
      <c r="E797"/>
      <c r="F797"/>
      <c r="G797"/>
      <c r="H797"/>
      <c r="I797"/>
      <c r="J797"/>
    </row>
    <row r="798" spans="1:10" ht="11.25" customHeight="1" x14ac:dyDescent="0.25">
      <c r="A798"/>
      <c r="B798"/>
      <c r="C798"/>
      <c r="D798"/>
      <c r="E798"/>
      <c r="F798"/>
      <c r="G798"/>
      <c r="H798"/>
      <c r="I798"/>
      <c r="J798"/>
    </row>
    <row r="799" spans="1:10" ht="11.25" customHeight="1" x14ac:dyDescent="0.25">
      <c r="A799"/>
      <c r="B799"/>
      <c r="C799"/>
      <c r="D799"/>
      <c r="E799"/>
      <c r="F799"/>
      <c r="G799"/>
      <c r="H799"/>
      <c r="I799"/>
      <c r="J799"/>
    </row>
    <row r="800" spans="1:10" ht="11.25" customHeight="1" x14ac:dyDescent="0.25">
      <c r="A800"/>
      <c r="B800"/>
      <c r="C800"/>
      <c r="D800"/>
      <c r="E800"/>
      <c r="F800"/>
      <c r="G800"/>
      <c r="H800"/>
      <c r="I800"/>
      <c r="J800"/>
    </row>
    <row r="801" spans="1:10" ht="11.25" customHeight="1" x14ac:dyDescent="0.25">
      <c r="A801"/>
      <c r="B801"/>
      <c r="C801"/>
      <c r="D801"/>
      <c r="E801"/>
      <c r="F801"/>
      <c r="G801"/>
      <c r="H801"/>
      <c r="I801"/>
      <c r="J801"/>
    </row>
    <row r="802" spans="1:10" ht="11.25" customHeight="1" x14ac:dyDescent="0.25">
      <c r="A802"/>
      <c r="B802"/>
      <c r="C802"/>
      <c r="D802"/>
      <c r="E802"/>
      <c r="F802"/>
      <c r="G802"/>
      <c r="H802"/>
      <c r="I802"/>
      <c r="J802"/>
    </row>
    <row r="803" spans="1:10" ht="11.25" customHeight="1" x14ac:dyDescent="0.25">
      <c r="A803"/>
      <c r="B803"/>
      <c r="C803"/>
      <c r="D803"/>
      <c r="E803"/>
      <c r="F803"/>
      <c r="G803"/>
      <c r="H803"/>
      <c r="I803"/>
      <c r="J803"/>
    </row>
    <row r="804" spans="1:10" ht="11.25" customHeight="1" x14ac:dyDescent="0.25">
      <c r="A804"/>
      <c r="B804"/>
      <c r="C804"/>
      <c r="D804"/>
      <c r="E804"/>
      <c r="F804"/>
      <c r="G804"/>
      <c r="H804"/>
      <c r="I804"/>
      <c r="J804"/>
    </row>
    <row r="805" spans="1:10" ht="11.25" customHeight="1" x14ac:dyDescent="0.25">
      <c r="A805"/>
      <c r="B805"/>
      <c r="C805"/>
      <c r="D805"/>
      <c r="E805"/>
      <c r="F805"/>
      <c r="G805"/>
      <c r="H805"/>
      <c r="I805"/>
      <c r="J805"/>
    </row>
    <row r="806" spans="1:10" ht="11.25" customHeight="1" x14ac:dyDescent="0.25">
      <c r="A806"/>
      <c r="B806"/>
      <c r="C806"/>
      <c r="D806"/>
      <c r="E806"/>
      <c r="F806"/>
      <c r="G806"/>
      <c r="H806"/>
      <c r="I806"/>
      <c r="J806"/>
    </row>
    <row r="807" spans="1:10" ht="11.25" customHeight="1" x14ac:dyDescent="0.25">
      <c r="A807"/>
      <c r="B807"/>
      <c r="C807"/>
      <c r="D807"/>
      <c r="E807"/>
      <c r="F807"/>
      <c r="G807"/>
      <c r="H807"/>
      <c r="I807"/>
      <c r="J807"/>
    </row>
    <row r="808" spans="1:10" ht="11.25" customHeight="1" x14ac:dyDescent="0.25">
      <c r="A808"/>
      <c r="B808"/>
      <c r="C808"/>
      <c r="D808"/>
      <c r="E808"/>
      <c r="F808"/>
      <c r="G808"/>
      <c r="H808"/>
      <c r="I808"/>
      <c r="J808"/>
    </row>
    <row r="809" spans="1:10" ht="11.25" customHeight="1" x14ac:dyDescent="0.25">
      <c r="A809"/>
      <c r="B809"/>
      <c r="C809"/>
      <c r="D809"/>
      <c r="E809"/>
      <c r="F809"/>
      <c r="G809"/>
      <c r="H809"/>
      <c r="I809"/>
      <c r="J809"/>
    </row>
    <row r="810" spans="1:10" ht="11.25" customHeight="1" x14ac:dyDescent="0.25">
      <c r="A810"/>
      <c r="B810"/>
      <c r="C810"/>
      <c r="D810"/>
      <c r="E810"/>
      <c r="F810"/>
      <c r="G810"/>
      <c r="H810"/>
      <c r="I810"/>
      <c r="J810"/>
    </row>
    <row r="811" spans="1:10" ht="11.25" customHeight="1" x14ac:dyDescent="0.25">
      <c r="A811"/>
      <c r="B811"/>
      <c r="C811"/>
      <c r="D811"/>
      <c r="E811"/>
      <c r="F811"/>
      <c r="G811"/>
      <c r="H811"/>
      <c r="I811"/>
      <c r="J811"/>
    </row>
    <row r="812" spans="1:10" ht="11.25" customHeight="1" x14ac:dyDescent="0.25">
      <c r="A812"/>
      <c r="B812"/>
      <c r="C812"/>
      <c r="D812"/>
      <c r="E812"/>
      <c r="F812"/>
      <c r="G812"/>
      <c r="H812"/>
      <c r="I812"/>
      <c r="J812"/>
    </row>
    <row r="813" spans="1:10" ht="11.25" customHeight="1" x14ac:dyDescent="0.25">
      <c r="A813"/>
      <c r="B813"/>
      <c r="C813"/>
      <c r="D813"/>
      <c r="E813"/>
      <c r="F813"/>
      <c r="G813"/>
      <c r="H813"/>
      <c r="I813"/>
      <c r="J813"/>
    </row>
    <row r="814" spans="1:10" ht="11.25" customHeight="1" x14ac:dyDescent="0.25">
      <c r="A814"/>
      <c r="B814"/>
      <c r="C814"/>
      <c r="D814"/>
      <c r="E814"/>
      <c r="F814"/>
      <c r="G814"/>
      <c r="H814"/>
      <c r="I814"/>
      <c r="J814"/>
    </row>
    <row r="815" spans="1:10" ht="11.25" customHeight="1" x14ac:dyDescent="0.25">
      <c r="A815"/>
      <c r="B815"/>
      <c r="C815"/>
      <c r="D815"/>
      <c r="E815"/>
      <c r="F815"/>
      <c r="G815"/>
      <c r="H815"/>
      <c r="I815"/>
      <c r="J815"/>
    </row>
    <row r="816" spans="1:10" ht="11.25" customHeight="1" x14ac:dyDescent="0.25">
      <c r="A816"/>
      <c r="B816"/>
      <c r="C816"/>
      <c r="D816"/>
      <c r="E816"/>
      <c r="F816"/>
      <c r="G816"/>
      <c r="H816"/>
      <c r="I816"/>
      <c r="J816"/>
    </row>
    <row r="817" spans="1:10" ht="11.25" customHeight="1" x14ac:dyDescent="0.25">
      <c r="A817"/>
      <c r="B817"/>
      <c r="C817"/>
      <c r="D817"/>
      <c r="E817"/>
      <c r="F817"/>
      <c r="G817"/>
      <c r="H817"/>
      <c r="I817"/>
      <c r="J817"/>
    </row>
    <row r="818" spans="1:10" ht="11.25" customHeight="1" x14ac:dyDescent="0.25">
      <c r="A818"/>
      <c r="B818"/>
      <c r="C818"/>
      <c r="D818"/>
      <c r="E818"/>
      <c r="F818"/>
      <c r="G818"/>
      <c r="H818"/>
      <c r="I818"/>
      <c r="J818"/>
    </row>
    <row r="819" spans="1:10" ht="11.25" customHeight="1" x14ac:dyDescent="0.25">
      <c r="A819"/>
      <c r="B819"/>
      <c r="C819"/>
      <c r="D819"/>
      <c r="E819"/>
      <c r="F819"/>
      <c r="G819"/>
      <c r="H819"/>
      <c r="I819"/>
      <c r="J819"/>
    </row>
    <row r="820" spans="1:10" ht="11.25" customHeight="1" x14ac:dyDescent="0.25">
      <c r="A820"/>
      <c r="B820"/>
      <c r="C820"/>
      <c r="D820"/>
      <c r="E820"/>
      <c r="F820"/>
      <c r="G820"/>
      <c r="H820"/>
      <c r="I820"/>
      <c r="J820"/>
    </row>
    <row r="821" spans="1:10" ht="11.25" customHeight="1" x14ac:dyDescent="0.25">
      <c r="A821"/>
      <c r="B821"/>
      <c r="C821"/>
      <c r="D821"/>
      <c r="E821"/>
      <c r="F821"/>
      <c r="G821"/>
      <c r="H821"/>
      <c r="I821"/>
      <c r="J821"/>
    </row>
    <row r="822" spans="1:10" ht="11.25" customHeight="1" x14ac:dyDescent="0.25">
      <c r="A822"/>
      <c r="B822"/>
      <c r="C822"/>
      <c r="D822"/>
      <c r="E822"/>
      <c r="F822"/>
      <c r="G822"/>
      <c r="H822"/>
      <c r="I822"/>
      <c r="J822"/>
    </row>
    <row r="823" spans="1:10" ht="11.25" customHeight="1" x14ac:dyDescent="0.25">
      <c r="A823"/>
      <c r="B823"/>
      <c r="C823"/>
      <c r="D823"/>
      <c r="E823"/>
      <c r="F823"/>
      <c r="G823"/>
      <c r="H823"/>
      <c r="I823"/>
      <c r="J823"/>
    </row>
    <row r="824" spans="1:10" ht="11.25" customHeight="1" x14ac:dyDescent="0.25">
      <c r="A824"/>
      <c r="B824"/>
      <c r="C824"/>
      <c r="D824"/>
      <c r="E824"/>
      <c r="F824"/>
      <c r="G824"/>
      <c r="H824"/>
      <c r="I824"/>
      <c r="J824"/>
    </row>
    <row r="825" spans="1:10" ht="11.25" customHeight="1" x14ac:dyDescent="0.25">
      <c r="A825"/>
      <c r="B825"/>
      <c r="C825"/>
      <c r="D825"/>
      <c r="E825"/>
      <c r="F825"/>
      <c r="G825"/>
      <c r="H825"/>
      <c r="I825"/>
      <c r="J825"/>
    </row>
    <row r="826" spans="1:10" ht="11.25" customHeight="1" x14ac:dyDescent="0.25">
      <c r="A826"/>
      <c r="B826"/>
      <c r="C826"/>
      <c r="D826"/>
      <c r="E826"/>
      <c r="F826"/>
      <c r="G826"/>
      <c r="H826"/>
      <c r="I826"/>
      <c r="J826"/>
    </row>
    <row r="827" spans="1:10" ht="11.25" customHeight="1" x14ac:dyDescent="0.25">
      <c r="A827"/>
      <c r="B827"/>
      <c r="C827"/>
      <c r="D827"/>
      <c r="E827"/>
      <c r="F827"/>
      <c r="G827"/>
      <c r="H827"/>
      <c r="I827"/>
      <c r="J827"/>
    </row>
    <row r="828" spans="1:10" ht="11.25" customHeight="1" x14ac:dyDescent="0.25">
      <c r="A828"/>
      <c r="B828"/>
      <c r="C828"/>
      <c r="D828"/>
      <c r="E828"/>
      <c r="F828"/>
      <c r="G828"/>
      <c r="H828"/>
      <c r="I828"/>
      <c r="J828"/>
    </row>
    <row r="829" spans="1:10" ht="11.25" customHeight="1" x14ac:dyDescent="0.25">
      <c r="A829"/>
      <c r="B829"/>
      <c r="C829"/>
      <c r="D829"/>
      <c r="E829"/>
      <c r="F829"/>
      <c r="G829"/>
      <c r="H829"/>
      <c r="I829"/>
      <c r="J829"/>
    </row>
    <row r="830" spans="1:10" ht="11.25" customHeight="1" x14ac:dyDescent="0.25">
      <c r="A830"/>
      <c r="B830"/>
      <c r="C830"/>
      <c r="D830"/>
      <c r="E830"/>
      <c r="F830"/>
      <c r="G830"/>
      <c r="H830"/>
      <c r="I830"/>
      <c r="J830"/>
    </row>
    <row r="831" spans="1:10" ht="11.25" customHeight="1" x14ac:dyDescent="0.25">
      <c r="A831"/>
      <c r="B831"/>
      <c r="C831"/>
      <c r="D831"/>
      <c r="E831"/>
      <c r="F831"/>
      <c r="G831"/>
      <c r="H831"/>
      <c r="I831"/>
      <c r="J831"/>
    </row>
    <row r="832" spans="1:10" ht="11.25" customHeight="1" x14ac:dyDescent="0.25">
      <c r="A832"/>
      <c r="B832"/>
      <c r="C832"/>
      <c r="D832"/>
      <c r="E832"/>
      <c r="F832"/>
      <c r="G832"/>
      <c r="H832"/>
      <c r="I832"/>
      <c r="J832"/>
    </row>
    <row r="833" spans="1:10" ht="11.25" customHeight="1" x14ac:dyDescent="0.25">
      <c r="A833"/>
      <c r="B833"/>
      <c r="C833"/>
      <c r="D833"/>
      <c r="E833"/>
      <c r="F833"/>
      <c r="G833"/>
      <c r="H833"/>
      <c r="I833"/>
      <c r="J833"/>
    </row>
    <row r="834" spans="1:10" ht="11.25" customHeight="1" x14ac:dyDescent="0.25">
      <c r="A834"/>
      <c r="B834"/>
      <c r="C834"/>
      <c r="D834"/>
      <c r="E834"/>
      <c r="F834"/>
      <c r="G834"/>
      <c r="H834"/>
      <c r="I834"/>
      <c r="J834"/>
    </row>
    <row r="835" spans="1:10" ht="11.25" customHeight="1" x14ac:dyDescent="0.25">
      <c r="A835"/>
      <c r="B835"/>
      <c r="C835"/>
      <c r="D835"/>
      <c r="E835"/>
      <c r="F835"/>
      <c r="G835"/>
      <c r="H835"/>
      <c r="I835"/>
      <c r="J835"/>
    </row>
    <row r="836" spans="1:10" ht="11.25" customHeight="1" x14ac:dyDescent="0.25">
      <c r="A836"/>
      <c r="B836"/>
      <c r="C836"/>
      <c r="D836"/>
      <c r="E836"/>
      <c r="F836"/>
      <c r="G836"/>
      <c r="H836"/>
      <c r="I836"/>
      <c r="J836"/>
    </row>
    <row r="837" spans="1:10" ht="11.25" customHeight="1" x14ac:dyDescent="0.25">
      <c r="A837"/>
      <c r="B837"/>
      <c r="C837"/>
      <c r="D837"/>
      <c r="E837"/>
      <c r="F837"/>
      <c r="G837"/>
      <c r="H837"/>
      <c r="I837"/>
      <c r="J837"/>
    </row>
    <row r="838" spans="1:10" ht="11.25" customHeight="1" x14ac:dyDescent="0.25">
      <c r="A838"/>
      <c r="B838"/>
      <c r="C838"/>
      <c r="D838"/>
      <c r="E838"/>
      <c r="F838"/>
      <c r="G838"/>
      <c r="H838"/>
      <c r="I838"/>
      <c r="J838"/>
    </row>
    <row r="839" spans="1:10" ht="11.25" customHeight="1" x14ac:dyDescent="0.25">
      <c r="A839"/>
      <c r="B839"/>
      <c r="C839"/>
      <c r="D839"/>
      <c r="E839"/>
      <c r="F839"/>
      <c r="G839"/>
      <c r="H839"/>
      <c r="I839"/>
      <c r="J839"/>
    </row>
    <row r="840" spans="1:10" ht="11.25" customHeight="1" x14ac:dyDescent="0.25">
      <c r="A840"/>
      <c r="B840"/>
      <c r="C840"/>
      <c r="D840"/>
      <c r="E840"/>
      <c r="F840"/>
      <c r="G840"/>
      <c r="H840"/>
      <c r="I840"/>
      <c r="J840"/>
    </row>
    <row r="841" spans="1:10" ht="11.25" customHeight="1" x14ac:dyDescent="0.25">
      <c r="A841"/>
      <c r="B841"/>
      <c r="C841"/>
      <c r="D841"/>
      <c r="E841"/>
      <c r="F841"/>
      <c r="G841"/>
      <c r="H841"/>
      <c r="I841"/>
      <c r="J841"/>
    </row>
    <row r="842" spans="1:10" ht="11.25" customHeight="1" x14ac:dyDescent="0.25">
      <c r="A842"/>
      <c r="B842"/>
      <c r="C842"/>
      <c r="D842"/>
      <c r="E842"/>
      <c r="F842"/>
      <c r="G842"/>
      <c r="H842"/>
      <c r="I842"/>
      <c r="J842"/>
    </row>
    <row r="843" spans="1:10" ht="11.25" customHeight="1" x14ac:dyDescent="0.25">
      <c r="A843"/>
      <c r="B843"/>
      <c r="C843"/>
      <c r="D843"/>
      <c r="E843"/>
      <c r="F843"/>
      <c r="G843"/>
      <c r="H843"/>
      <c r="I843"/>
      <c r="J843"/>
    </row>
    <row r="844" spans="1:10" ht="11.25" customHeight="1" x14ac:dyDescent="0.25">
      <c r="A844"/>
      <c r="B844"/>
      <c r="C844"/>
      <c r="D844"/>
      <c r="E844"/>
      <c r="F844"/>
      <c r="G844"/>
      <c r="H844"/>
      <c r="I844"/>
      <c r="J844"/>
    </row>
    <row r="845" spans="1:10" ht="11.25" customHeight="1" x14ac:dyDescent="0.25">
      <c r="A845"/>
      <c r="B845"/>
      <c r="C845"/>
      <c r="D845"/>
      <c r="E845"/>
      <c r="F845"/>
      <c r="G845"/>
      <c r="H845"/>
      <c r="I845"/>
      <c r="J845"/>
    </row>
    <row r="846" spans="1:10" ht="11.25" customHeight="1" x14ac:dyDescent="0.25">
      <c r="A846"/>
      <c r="B846"/>
      <c r="C846"/>
      <c r="D846"/>
      <c r="E846"/>
      <c r="F846"/>
      <c r="G846"/>
      <c r="H846"/>
      <c r="I846"/>
      <c r="J846"/>
    </row>
    <row r="847" spans="1:10" ht="11.25" customHeight="1" x14ac:dyDescent="0.25">
      <c r="A847"/>
      <c r="B847"/>
      <c r="C847"/>
      <c r="D847"/>
      <c r="E847"/>
      <c r="F847"/>
      <c r="G847"/>
      <c r="H847"/>
      <c r="I847"/>
      <c r="J847"/>
    </row>
    <row r="848" spans="1:10" ht="11.25" customHeight="1" x14ac:dyDescent="0.25">
      <c r="A848"/>
      <c r="B848"/>
      <c r="C848"/>
      <c r="D848"/>
      <c r="E848"/>
      <c r="F848"/>
      <c r="G848"/>
      <c r="H848"/>
      <c r="I848"/>
      <c r="J848"/>
    </row>
    <row r="849" spans="1:10" ht="11.25" customHeight="1" x14ac:dyDescent="0.25">
      <c r="A849"/>
      <c r="B849"/>
      <c r="C849"/>
      <c r="D849"/>
      <c r="E849"/>
      <c r="F849"/>
      <c r="G849"/>
      <c r="H849"/>
      <c r="I849"/>
      <c r="J849"/>
    </row>
    <row r="850" spans="1:10" ht="11.25" customHeight="1" x14ac:dyDescent="0.25">
      <c r="A850"/>
      <c r="B850"/>
      <c r="C850"/>
      <c r="D850"/>
      <c r="E850"/>
      <c r="F850"/>
      <c r="G850"/>
      <c r="H850"/>
      <c r="I850"/>
      <c r="J850"/>
    </row>
    <row r="851" spans="1:10" ht="11.25" customHeight="1" x14ac:dyDescent="0.25">
      <c r="A851"/>
      <c r="B851"/>
      <c r="C851"/>
      <c r="D851"/>
      <c r="E851"/>
      <c r="F851"/>
      <c r="G851"/>
      <c r="H851"/>
      <c r="I851"/>
      <c r="J851"/>
    </row>
    <row r="852" spans="1:10" ht="11.25" customHeight="1" x14ac:dyDescent="0.25">
      <c r="A852"/>
      <c r="B852"/>
      <c r="C852"/>
      <c r="D852"/>
      <c r="E852"/>
      <c r="F852"/>
      <c r="G852"/>
      <c r="H852"/>
      <c r="I852"/>
      <c r="J852"/>
    </row>
    <row r="853" spans="1:10" ht="11.25" customHeight="1" x14ac:dyDescent="0.25">
      <c r="A853"/>
      <c r="B853"/>
      <c r="C853"/>
      <c r="D853"/>
      <c r="E853"/>
      <c r="F853"/>
      <c r="G853"/>
      <c r="H853"/>
      <c r="I853"/>
      <c r="J853"/>
    </row>
    <row r="854" spans="1:10" ht="11.25" customHeight="1" x14ac:dyDescent="0.25">
      <c r="A854"/>
      <c r="B854"/>
      <c r="C854"/>
      <c r="D854"/>
      <c r="E854"/>
      <c r="F854"/>
      <c r="G854"/>
      <c r="H854"/>
      <c r="I854"/>
      <c r="J854"/>
    </row>
    <row r="855" spans="1:10" ht="11.25" customHeight="1" x14ac:dyDescent="0.25">
      <c r="A855"/>
      <c r="B855"/>
      <c r="C855"/>
      <c r="D855"/>
      <c r="E855"/>
      <c r="F855"/>
      <c r="G855"/>
      <c r="H855"/>
      <c r="I855"/>
      <c r="J855"/>
    </row>
    <row r="856" spans="1:10" ht="11.25" customHeight="1" x14ac:dyDescent="0.25">
      <c r="A856"/>
      <c r="B856"/>
      <c r="C856"/>
      <c r="D856"/>
      <c r="E856"/>
      <c r="F856"/>
      <c r="G856"/>
      <c r="H856"/>
      <c r="I856"/>
      <c r="J856"/>
    </row>
    <row r="857" spans="1:10" ht="11.25" customHeight="1" x14ac:dyDescent="0.25">
      <c r="A857"/>
      <c r="B857"/>
      <c r="C857"/>
      <c r="D857"/>
      <c r="E857"/>
      <c r="F857"/>
      <c r="G857"/>
      <c r="H857"/>
      <c r="I857"/>
      <c r="J857"/>
    </row>
    <row r="858" spans="1:10" ht="11.25" customHeight="1" x14ac:dyDescent="0.25">
      <c r="A858"/>
      <c r="B858"/>
      <c r="C858"/>
      <c r="D858"/>
      <c r="E858"/>
      <c r="F858"/>
      <c r="G858"/>
      <c r="H858"/>
      <c r="I858"/>
      <c r="J858"/>
    </row>
    <row r="859" spans="1:10" ht="11.25" customHeight="1" x14ac:dyDescent="0.25">
      <c r="A859"/>
      <c r="B859"/>
      <c r="C859"/>
      <c r="D859"/>
      <c r="E859"/>
      <c r="F859"/>
      <c r="G859"/>
      <c r="H859"/>
      <c r="I859"/>
      <c r="J859"/>
    </row>
    <row r="860" spans="1:10" ht="11.25" customHeight="1" x14ac:dyDescent="0.25">
      <c r="A860"/>
      <c r="B860"/>
      <c r="C860"/>
      <c r="D860"/>
      <c r="E860"/>
      <c r="F860"/>
      <c r="G860"/>
      <c r="H860"/>
      <c r="I860"/>
      <c r="J860"/>
    </row>
    <row r="861" spans="1:10" ht="11.25" customHeight="1" x14ac:dyDescent="0.25">
      <c r="A861"/>
      <c r="B861"/>
      <c r="C861"/>
      <c r="D861"/>
      <c r="E861"/>
      <c r="F861"/>
      <c r="G861"/>
      <c r="H861"/>
      <c r="I861"/>
      <c r="J861"/>
    </row>
    <row r="862" spans="1:10" ht="11.25" customHeight="1" x14ac:dyDescent="0.25">
      <c r="A862"/>
      <c r="B862"/>
      <c r="C862"/>
      <c r="D862"/>
      <c r="E862"/>
      <c r="F862"/>
      <c r="G862"/>
      <c r="H862"/>
      <c r="I862"/>
      <c r="J862"/>
    </row>
    <row r="863" spans="1:10" ht="11.25" customHeight="1" x14ac:dyDescent="0.25">
      <c r="A863"/>
      <c r="B863"/>
      <c r="C863"/>
      <c r="D863"/>
      <c r="E863"/>
      <c r="F863"/>
      <c r="G863"/>
      <c r="H863"/>
      <c r="I863"/>
      <c r="J863"/>
    </row>
    <row r="864" spans="1:10" ht="11.25" customHeight="1" x14ac:dyDescent="0.25">
      <c r="A864"/>
      <c r="B864"/>
      <c r="C864"/>
      <c r="D864"/>
      <c r="E864"/>
      <c r="F864"/>
      <c r="G864"/>
      <c r="H864"/>
      <c r="I864"/>
      <c r="J864"/>
    </row>
    <row r="865" spans="1:10" ht="11.25" customHeight="1" x14ac:dyDescent="0.25">
      <c r="A865"/>
      <c r="B865"/>
      <c r="C865"/>
      <c r="D865"/>
      <c r="E865"/>
      <c r="F865"/>
      <c r="G865"/>
      <c r="H865"/>
      <c r="I865"/>
      <c r="J865"/>
    </row>
    <row r="866" spans="1:10" ht="11.25" customHeight="1" x14ac:dyDescent="0.25">
      <c r="A866"/>
      <c r="B866"/>
      <c r="C866"/>
      <c r="D866"/>
      <c r="E866"/>
      <c r="F866"/>
      <c r="G866"/>
      <c r="H866"/>
      <c r="I866"/>
      <c r="J866"/>
    </row>
    <row r="867" spans="1:10" ht="11.25" customHeight="1" x14ac:dyDescent="0.25">
      <c r="A867"/>
      <c r="B867"/>
      <c r="C867"/>
      <c r="D867"/>
      <c r="E867"/>
      <c r="F867"/>
      <c r="G867"/>
      <c r="H867"/>
      <c r="I867"/>
      <c r="J867"/>
    </row>
    <row r="868" spans="1:10" ht="11.25" customHeight="1" x14ac:dyDescent="0.25">
      <c r="A868"/>
      <c r="B868"/>
      <c r="C868"/>
      <c r="D868"/>
      <c r="E868"/>
      <c r="F868"/>
      <c r="G868"/>
      <c r="H868"/>
      <c r="I868"/>
      <c r="J868"/>
    </row>
    <row r="869" spans="1:10" ht="11.25" customHeight="1" x14ac:dyDescent="0.25">
      <c r="A869"/>
      <c r="B869"/>
      <c r="C869"/>
      <c r="D869"/>
      <c r="E869"/>
      <c r="F869"/>
      <c r="G869"/>
      <c r="H869"/>
      <c r="I869"/>
      <c r="J869"/>
    </row>
    <row r="870" spans="1:10" ht="11.25" customHeight="1" x14ac:dyDescent="0.25">
      <c r="A870"/>
      <c r="B870"/>
      <c r="C870"/>
      <c r="D870"/>
      <c r="E870"/>
      <c r="F870"/>
      <c r="G870"/>
      <c r="H870"/>
      <c r="I870"/>
      <c r="J870"/>
    </row>
    <row r="871" spans="1:10" ht="11.25" customHeight="1" x14ac:dyDescent="0.25">
      <c r="A871"/>
      <c r="B871"/>
      <c r="C871"/>
      <c r="D871"/>
      <c r="E871"/>
      <c r="F871"/>
      <c r="G871"/>
      <c r="H871"/>
      <c r="I871"/>
      <c r="J871"/>
    </row>
    <row r="872" spans="1:10" ht="11.25" customHeight="1" x14ac:dyDescent="0.25">
      <c r="A872"/>
      <c r="B872"/>
      <c r="C872"/>
      <c r="D872"/>
      <c r="E872"/>
      <c r="F872"/>
      <c r="G872"/>
      <c r="H872"/>
      <c r="I872"/>
      <c r="J872"/>
    </row>
    <row r="873" spans="1:10" ht="11.25" customHeight="1" x14ac:dyDescent="0.25">
      <c r="A873"/>
      <c r="B873"/>
      <c r="C873"/>
      <c r="D873"/>
      <c r="E873"/>
      <c r="F873"/>
      <c r="G873"/>
      <c r="H873"/>
      <c r="I873"/>
      <c r="J873"/>
    </row>
    <row r="874" spans="1:10" ht="11.25" customHeight="1" x14ac:dyDescent="0.25">
      <c r="A874"/>
      <c r="B874"/>
      <c r="C874"/>
      <c r="D874"/>
      <c r="E874"/>
      <c r="F874"/>
      <c r="G874"/>
      <c r="H874"/>
      <c r="I874"/>
      <c r="J874"/>
    </row>
    <row r="875" spans="1:10" ht="11.25" customHeight="1" x14ac:dyDescent="0.25">
      <c r="A875"/>
      <c r="B875"/>
      <c r="C875"/>
      <c r="D875"/>
      <c r="E875"/>
      <c r="F875"/>
      <c r="G875"/>
      <c r="H875"/>
      <c r="I875"/>
      <c r="J875"/>
    </row>
    <row r="876" spans="1:10" ht="11.25" customHeight="1" x14ac:dyDescent="0.25">
      <c r="A876"/>
      <c r="B876"/>
      <c r="C876"/>
      <c r="D876"/>
      <c r="E876"/>
      <c r="F876"/>
      <c r="G876"/>
      <c r="H876"/>
      <c r="I876"/>
      <c r="J876"/>
    </row>
    <row r="877" spans="1:10" ht="11.25" customHeight="1" x14ac:dyDescent="0.25">
      <c r="A877"/>
      <c r="B877"/>
      <c r="C877"/>
      <c r="D877"/>
      <c r="E877"/>
      <c r="F877"/>
      <c r="G877"/>
      <c r="H877"/>
      <c r="I877"/>
      <c r="J877"/>
    </row>
    <row r="878" spans="1:10" ht="11.25" customHeight="1" x14ac:dyDescent="0.25">
      <c r="A878"/>
      <c r="B878"/>
      <c r="C878"/>
      <c r="D878"/>
      <c r="E878"/>
      <c r="F878"/>
      <c r="G878"/>
      <c r="H878"/>
      <c r="I878"/>
      <c r="J878"/>
    </row>
    <row r="879" spans="1:10" ht="11.25" customHeight="1" x14ac:dyDescent="0.25">
      <c r="A879"/>
      <c r="B879"/>
      <c r="C879"/>
      <c r="D879"/>
      <c r="E879"/>
      <c r="F879"/>
      <c r="G879"/>
      <c r="H879"/>
      <c r="I879"/>
      <c r="J879"/>
    </row>
    <row r="880" spans="1:10" ht="11.25" customHeight="1" x14ac:dyDescent="0.25">
      <c r="A880"/>
      <c r="B880"/>
      <c r="C880"/>
      <c r="D880"/>
      <c r="E880"/>
      <c r="F880"/>
      <c r="G880"/>
      <c r="H880"/>
      <c r="I880"/>
      <c r="J880"/>
    </row>
    <row r="881" spans="1:10" ht="11.25" customHeight="1" x14ac:dyDescent="0.25">
      <c r="A881"/>
      <c r="B881"/>
      <c r="C881"/>
      <c r="D881"/>
      <c r="E881"/>
      <c r="F881"/>
      <c r="G881"/>
      <c r="H881"/>
      <c r="I881"/>
      <c r="J881"/>
    </row>
    <row r="882" spans="1:10" ht="11.25" customHeight="1" x14ac:dyDescent="0.25">
      <c r="A882"/>
      <c r="B882"/>
      <c r="C882"/>
      <c r="D882"/>
      <c r="E882"/>
      <c r="F882"/>
      <c r="G882"/>
      <c r="H882"/>
      <c r="I882"/>
      <c r="J882"/>
    </row>
    <row r="883" spans="1:10" ht="11.25" customHeight="1" x14ac:dyDescent="0.25">
      <c r="A883"/>
      <c r="B883"/>
      <c r="C883"/>
      <c r="D883"/>
      <c r="E883"/>
      <c r="F883"/>
      <c r="G883"/>
      <c r="H883"/>
      <c r="I883"/>
      <c r="J883"/>
    </row>
    <row r="884" spans="1:10" ht="11.25" customHeight="1" x14ac:dyDescent="0.25">
      <c r="A884"/>
      <c r="B884"/>
      <c r="C884"/>
      <c r="D884"/>
      <c r="E884"/>
      <c r="F884"/>
      <c r="G884"/>
      <c r="H884"/>
      <c r="I884"/>
      <c r="J884"/>
    </row>
    <row r="885" spans="1:10" ht="11.25" customHeight="1" x14ac:dyDescent="0.25">
      <c r="A885"/>
      <c r="B885"/>
      <c r="C885"/>
      <c r="D885"/>
      <c r="E885"/>
      <c r="F885"/>
      <c r="G885"/>
      <c r="H885"/>
      <c r="I885"/>
      <c r="J885"/>
    </row>
    <row r="886" spans="1:10" ht="11.25" customHeight="1" x14ac:dyDescent="0.25">
      <c r="A886"/>
      <c r="B886"/>
      <c r="C886"/>
      <c r="D886"/>
      <c r="E886"/>
      <c r="F886"/>
      <c r="G886"/>
      <c r="H886"/>
      <c r="I886"/>
      <c r="J886"/>
    </row>
    <row r="887" spans="1:10" ht="11.25" customHeight="1" x14ac:dyDescent="0.25">
      <c r="A887"/>
      <c r="B887"/>
      <c r="C887"/>
      <c r="D887"/>
      <c r="E887"/>
      <c r="F887"/>
      <c r="G887"/>
      <c r="H887"/>
      <c r="I887"/>
      <c r="J887"/>
    </row>
    <row r="888" spans="1:10" ht="11.25" customHeight="1" x14ac:dyDescent="0.25">
      <c r="A888"/>
      <c r="B888"/>
      <c r="C888"/>
      <c r="D888"/>
      <c r="E888"/>
      <c r="F888"/>
      <c r="G888"/>
      <c r="H888"/>
      <c r="I888"/>
      <c r="J888"/>
    </row>
    <row r="889" spans="1:10" ht="11.25" customHeight="1" x14ac:dyDescent="0.25">
      <c r="A889"/>
      <c r="B889"/>
      <c r="C889"/>
      <c r="D889"/>
      <c r="E889"/>
      <c r="F889"/>
      <c r="G889"/>
      <c r="H889"/>
      <c r="I889"/>
      <c r="J889"/>
    </row>
    <row r="890" spans="1:10" ht="11.25" customHeight="1" x14ac:dyDescent="0.25">
      <c r="A890"/>
      <c r="B890"/>
      <c r="C890"/>
      <c r="D890"/>
      <c r="E890"/>
      <c r="F890"/>
      <c r="G890"/>
      <c r="H890"/>
      <c r="I890"/>
      <c r="J890"/>
    </row>
    <row r="891" spans="1:10" ht="11.25" customHeight="1" x14ac:dyDescent="0.25">
      <c r="A891"/>
      <c r="B891"/>
      <c r="C891"/>
      <c r="D891"/>
      <c r="E891"/>
      <c r="F891"/>
      <c r="G891"/>
      <c r="H891"/>
      <c r="I891"/>
      <c r="J891"/>
    </row>
    <row r="892" spans="1:10" ht="11.25" customHeight="1" x14ac:dyDescent="0.25">
      <c r="A892"/>
      <c r="B892"/>
      <c r="C892"/>
      <c r="D892"/>
      <c r="E892"/>
      <c r="F892"/>
      <c r="G892"/>
      <c r="H892"/>
      <c r="I892"/>
      <c r="J892"/>
    </row>
    <row r="893" spans="1:10" ht="11.25" customHeight="1" x14ac:dyDescent="0.25">
      <c r="A893"/>
      <c r="B893"/>
      <c r="C893"/>
      <c r="D893"/>
      <c r="E893"/>
      <c r="F893"/>
      <c r="G893"/>
      <c r="H893"/>
      <c r="I893"/>
      <c r="J893"/>
    </row>
    <row r="894" spans="1:10" ht="11.25" customHeight="1" x14ac:dyDescent="0.25">
      <c r="A894"/>
      <c r="B894"/>
      <c r="C894"/>
      <c r="D894"/>
      <c r="E894"/>
      <c r="F894"/>
      <c r="G894"/>
      <c r="H894"/>
      <c r="I894"/>
      <c r="J894"/>
    </row>
    <row r="895" spans="1:10" ht="11.25" customHeight="1" x14ac:dyDescent="0.25">
      <c r="A895"/>
      <c r="B895"/>
      <c r="C895"/>
      <c r="D895"/>
      <c r="E895"/>
      <c r="F895"/>
      <c r="G895"/>
      <c r="H895"/>
      <c r="I895"/>
      <c r="J895"/>
    </row>
    <row r="896" spans="1:10" ht="11.25" customHeight="1" x14ac:dyDescent="0.25">
      <c r="A896"/>
      <c r="B896"/>
      <c r="C896"/>
      <c r="D896"/>
      <c r="E896"/>
      <c r="F896"/>
      <c r="G896"/>
      <c r="H896"/>
      <c r="I896"/>
      <c r="J896"/>
    </row>
    <row r="897" spans="1:10" ht="11.25" customHeight="1" x14ac:dyDescent="0.25">
      <c r="A897"/>
      <c r="B897"/>
      <c r="C897"/>
      <c r="D897"/>
      <c r="E897"/>
      <c r="F897"/>
      <c r="G897"/>
      <c r="H897"/>
      <c r="I897"/>
      <c r="J897"/>
    </row>
    <row r="898" spans="1:10" ht="11.25" customHeight="1" x14ac:dyDescent="0.25">
      <c r="A898"/>
      <c r="B898"/>
      <c r="C898"/>
      <c r="D898"/>
      <c r="E898"/>
      <c r="F898"/>
      <c r="G898"/>
      <c r="H898"/>
      <c r="I898"/>
      <c r="J898"/>
    </row>
    <row r="899" spans="1:10" ht="11.25" customHeight="1" x14ac:dyDescent="0.25">
      <c r="A899"/>
      <c r="B899"/>
      <c r="C899"/>
      <c r="D899"/>
      <c r="E899"/>
      <c r="F899"/>
      <c r="G899"/>
      <c r="H899"/>
      <c r="I899"/>
      <c r="J899"/>
    </row>
    <row r="900" spans="1:10" ht="11.25" customHeight="1" x14ac:dyDescent="0.25">
      <c r="A900"/>
      <c r="B900"/>
      <c r="C900"/>
      <c r="D900"/>
      <c r="E900"/>
      <c r="F900"/>
      <c r="G900"/>
      <c r="H900"/>
      <c r="I900"/>
      <c r="J900"/>
    </row>
    <row r="901" spans="1:10" ht="11.25" customHeight="1" x14ac:dyDescent="0.25">
      <c r="A901"/>
      <c r="B901"/>
      <c r="C901"/>
      <c r="D901"/>
      <c r="E901"/>
      <c r="F901"/>
      <c r="G901"/>
      <c r="H901"/>
      <c r="I901"/>
      <c r="J901"/>
    </row>
    <row r="902" spans="1:10" ht="11.25" customHeight="1" x14ac:dyDescent="0.25">
      <c r="A902"/>
      <c r="B902"/>
      <c r="C902"/>
      <c r="D902"/>
      <c r="E902"/>
      <c r="F902"/>
      <c r="G902"/>
      <c r="H902"/>
      <c r="I902"/>
      <c r="J902"/>
    </row>
    <row r="903" spans="1:10" ht="11.25" customHeight="1" x14ac:dyDescent="0.25">
      <c r="A903"/>
      <c r="B903"/>
      <c r="C903"/>
      <c r="D903"/>
      <c r="E903"/>
      <c r="F903"/>
      <c r="G903"/>
      <c r="H903"/>
      <c r="I903"/>
      <c r="J903"/>
    </row>
    <row r="904" spans="1:10" ht="11.25" customHeight="1" x14ac:dyDescent="0.25">
      <c r="A904"/>
      <c r="B904"/>
      <c r="C904"/>
      <c r="D904"/>
      <c r="E904"/>
      <c r="F904"/>
      <c r="G904"/>
      <c r="H904"/>
      <c r="I904"/>
      <c r="J904"/>
    </row>
    <row r="905" spans="1:10" ht="11.25" customHeight="1" x14ac:dyDescent="0.25">
      <c r="A905"/>
      <c r="B905"/>
      <c r="C905"/>
      <c r="D905"/>
      <c r="E905"/>
      <c r="F905"/>
      <c r="G905"/>
      <c r="H905"/>
      <c r="I905"/>
      <c r="J905"/>
    </row>
    <row r="906" spans="1:10" ht="11.25" customHeight="1" x14ac:dyDescent="0.25">
      <c r="A906"/>
      <c r="B906"/>
      <c r="C906"/>
      <c r="D906"/>
      <c r="E906"/>
      <c r="F906"/>
      <c r="G906"/>
      <c r="H906"/>
      <c r="I906"/>
      <c r="J906"/>
    </row>
    <row r="907" spans="1:10" ht="11.25" customHeight="1" x14ac:dyDescent="0.25">
      <c r="A907"/>
      <c r="B907"/>
      <c r="C907"/>
      <c r="D907"/>
      <c r="E907"/>
      <c r="F907"/>
      <c r="G907"/>
      <c r="H907"/>
      <c r="I907"/>
      <c r="J907"/>
    </row>
    <row r="908" spans="1:10" ht="11.25" customHeight="1" x14ac:dyDescent="0.25">
      <c r="A908"/>
      <c r="B908"/>
      <c r="C908"/>
      <c r="D908"/>
      <c r="E908"/>
      <c r="F908"/>
      <c r="G908"/>
      <c r="H908"/>
      <c r="I908"/>
      <c r="J908"/>
    </row>
    <row r="909" spans="1:10" ht="11.25" customHeight="1" x14ac:dyDescent="0.25">
      <c r="A909"/>
      <c r="B909"/>
      <c r="C909"/>
      <c r="D909"/>
      <c r="E909"/>
      <c r="F909"/>
      <c r="G909"/>
      <c r="H909"/>
      <c r="I909"/>
      <c r="J909"/>
    </row>
    <row r="910" spans="1:10" ht="11.25" customHeight="1" x14ac:dyDescent="0.25">
      <c r="A910"/>
      <c r="B910"/>
      <c r="C910"/>
      <c r="D910"/>
      <c r="E910"/>
      <c r="F910"/>
      <c r="G910"/>
      <c r="H910"/>
      <c r="I910"/>
      <c r="J910"/>
    </row>
    <row r="911" spans="1:10" ht="11.25" customHeight="1" x14ac:dyDescent="0.25">
      <c r="A911"/>
      <c r="B911"/>
      <c r="C911"/>
      <c r="D911"/>
      <c r="E911"/>
      <c r="F911"/>
      <c r="G911"/>
      <c r="H911"/>
      <c r="I911"/>
      <c r="J911"/>
    </row>
    <row r="912" spans="1:10" ht="11.25" customHeight="1" x14ac:dyDescent="0.25">
      <c r="A912"/>
      <c r="B912"/>
      <c r="C912"/>
      <c r="D912"/>
      <c r="E912"/>
      <c r="F912"/>
      <c r="G912"/>
      <c r="H912"/>
      <c r="I912"/>
      <c r="J912"/>
    </row>
    <row r="913" spans="1:10" ht="11.25" customHeight="1" x14ac:dyDescent="0.25">
      <c r="A913"/>
      <c r="B913"/>
      <c r="C913"/>
      <c r="D913"/>
      <c r="E913"/>
      <c r="F913"/>
      <c r="G913"/>
      <c r="H913"/>
      <c r="I913"/>
      <c r="J913"/>
    </row>
    <row r="914" spans="1:10" ht="11.25" customHeight="1" x14ac:dyDescent="0.25">
      <c r="A914"/>
      <c r="B914"/>
      <c r="C914"/>
      <c r="D914"/>
      <c r="E914"/>
      <c r="F914"/>
      <c r="G914"/>
      <c r="H914"/>
      <c r="I914"/>
      <c r="J914"/>
    </row>
    <row r="915" spans="1:10" ht="11.25" customHeight="1" x14ac:dyDescent="0.25">
      <c r="A915"/>
      <c r="B915"/>
      <c r="C915"/>
      <c r="D915"/>
      <c r="E915"/>
      <c r="F915"/>
      <c r="G915"/>
      <c r="H915"/>
      <c r="I915"/>
      <c r="J915"/>
    </row>
    <row r="916" spans="1:10" ht="11.25" customHeight="1" x14ac:dyDescent="0.25">
      <c r="A916"/>
      <c r="B916"/>
      <c r="C916"/>
      <c r="D916"/>
      <c r="E916"/>
      <c r="F916"/>
      <c r="G916"/>
      <c r="H916"/>
      <c r="I916"/>
      <c r="J916"/>
    </row>
    <row r="917" spans="1:10" ht="11.25" customHeight="1" x14ac:dyDescent="0.25">
      <c r="A917"/>
      <c r="B917"/>
      <c r="C917"/>
      <c r="D917"/>
      <c r="E917"/>
      <c r="F917"/>
      <c r="G917"/>
      <c r="H917"/>
      <c r="I917"/>
      <c r="J917"/>
    </row>
    <row r="918" spans="1:10" ht="11.25" customHeight="1" x14ac:dyDescent="0.25">
      <c r="A918"/>
      <c r="B918"/>
      <c r="C918"/>
      <c r="D918"/>
      <c r="E918"/>
      <c r="F918"/>
      <c r="G918"/>
      <c r="H918"/>
      <c r="I918"/>
      <c r="J918"/>
    </row>
    <row r="919" spans="1:10" ht="11.25" customHeight="1" x14ac:dyDescent="0.25">
      <c r="A919"/>
      <c r="B919"/>
      <c r="C919"/>
      <c r="D919"/>
      <c r="E919"/>
      <c r="F919"/>
      <c r="G919"/>
      <c r="H919"/>
      <c r="I919"/>
      <c r="J919"/>
    </row>
    <row r="920" spans="1:10" ht="11.25" customHeight="1" x14ac:dyDescent="0.25">
      <c r="A920"/>
      <c r="B920"/>
      <c r="C920"/>
      <c r="D920"/>
      <c r="E920"/>
      <c r="F920"/>
      <c r="G920"/>
      <c r="H920"/>
      <c r="I920"/>
      <c r="J920"/>
    </row>
    <row r="921" spans="1:10" ht="11.25" customHeight="1" x14ac:dyDescent="0.25">
      <c r="A921"/>
      <c r="B921"/>
      <c r="C921"/>
      <c r="D921"/>
      <c r="E921"/>
      <c r="F921"/>
      <c r="G921"/>
      <c r="H921"/>
      <c r="I921"/>
      <c r="J921"/>
    </row>
    <row r="922" spans="1:10" ht="11.25" customHeight="1" x14ac:dyDescent="0.25">
      <c r="A922"/>
      <c r="B922"/>
      <c r="C922"/>
      <c r="D922"/>
      <c r="E922"/>
      <c r="F922"/>
      <c r="G922"/>
      <c r="H922"/>
      <c r="I922"/>
      <c r="J922"/>
    </row>
    <row r="923" spans="1:10" ht="11.25" customHeight="1" x14ac:dyDescent="0.25">
      <c r="A923"/>
      <c r="B923"/>
      <c r="C923"/>
      <c r="D923"/>
      <c r="E923"/>
      <c r="F923"/>
      <c r="G923"/>
      <c r="H923"/>
      <c r="I923"/>
      <c r="J923"/>
    </row>
    <row r="924" spans="1:10" ht="11.25" customHeight="1" x14ac:dyDescent="0.25">
      <c r="A924"/>
      <c r="B924"/>
      <c r="C924"/>
      <c r="D924"/>
      <c r="E924"/>
      <c r="F924"/>
      <c r="G924"/>
      <c r="H924"/>
      <c r="I924"/>
      <c r="J924"/>
    </row>
    <row r="925" spans="1:10" ht="11.25" customHeight="1" x14ac:dyDescent="0.25">
      <c r="A925"/>
      <c r="B925"/>
      <c r="C925"/>
      <c r="D925"/>
      <c r="E925"/>
      <c r="F925"/>
      <c r="G925"/>
      <c r="H925"/>
      <c r="I925"/>
      <c r="J925"/>
    </row>
    <row r="926" spans="1:10" ht="11.25" customHeight="1" x14ac:dyDescent="0.25">
      <c r="A926"/>
      <c r="B926"/>
      <c r="C926"/>
      <c r="D926"/>
      <c r="E926"/>
      <c r="F926"/>
      <c r="G926"/>
      <c r="H926"/>
      <c r="I926"/>
      <c r="J926"/>
    </row>
    <row r="927" spans="1:10" ht="11.25" customHeight="1" x14ac:dyDescent="0.25">
      <c r="A927"/>
      <c r="B927"/>
      <c r="C927"/>
      <c r="D927"/>
      <c r="E927"/>
      <c r="F927"/>
      <c r="G927"/>
      <c r="H927"/>
      <c r="I927"/>
      <c r="J927"/>
    </row>
    <row r="928" spans="1:10" ht="11.25" customHeight="1" x14ac:dyDescent="0.25">
      <c r="A928"/>
      <c r="B928"/>
      <c r="C928"/>
      <c r="D928"/>
      <c r="E928"/>
      <c r="F928"/>
      <c r="G928"/>
      <c r="H928"/>
      <c r="I928"/>
      <c r="J928"/>
    </row>
    <row r="929" spans="1:10" ht="11.25" customHeight="1" x14ac:dyDescent="0.25">
      <c r="A929"/>
      <c r="B929"/>
      <c r="C929"/>
      <c r="D929"/>
      <c r="E929"/>
      <c r="F929"/>
      <c r="G929"/>
      <c r="H929"/>
      <c r="I929"/>
      <c r="J929"/>
    </row>
    <row r="930" spans="1:10" ht="11.25" customHeight="1" x14ac:dyDescent="0.25">
      <c r="A930"/>
      <c r="B930"/>
      <c r="C930"/>
      <c r="D930"/>
      <c r="E930"/>
      <c r="F930"/>
      <c r="G930"/>
      <c r="H930"/>
      <c r="I930"/>
      <c r="J930"/>
    </row>
    <row r="931" spans="1:10" ht="11.25" customHeight="1" x14ac:dyDescent="0.25">
      <c r="A931"/>
      <c r="B931"/>
      <c r="C931"/>
      <c r="D931"/>
      <c r="E931"/>
      <c r="F931"/>
      <c r="G931"/>
      <c r="H931"/>
      <c r="I931"/>
      <c r="J931"/>
    </row>
    <row r="932" spans="1:10" ht="11.25" customHeight="1" x14ac:dyDescent="0.25">
      <c r="A932"/>
      <c r="B932"/>
      <c r="C932"/>
      <c r="D932"/>
      <c r="E932"/>
      <c r="F932"/>
      <c r="G932"/>
      <c r="H932"/>
      <c r="I932"/>
      <c r="J932"/>
    </row>
    <row r="933" spans="1:10" ht="11.25" customHeight="1" x14ac:dyDescent="0.25">
      <c r="A933"/>
      <c r="B933"/>
      <c r="C933"/>
      <c r="D933"/>
      <c r="E933"/>
      <c r="F933"/>
      <c r="G933"/>
      <c r="H933"/>
      <c r="I933"/>
      <c r="J933"/>
    </row>
    <row r="934" spans="1:10" ht="11.25" customHeight="1" x14ac:dyDescent="0.25">
      <c r="A934"/>
      <c r="B934"/>
      <c r="C934"/>
      <c r="D934"/>
      <c r="E934"/>
      <c r="F934"/>
      <c r="G934"/>
      <c r="H934"/>
      <c r="I934"/>
      <c r="J934"/>
    </row>
    <row r="935" spans="1:10" ht="11.25" customHeight="1" x14ac:dyDescent="0.25">
      <c r="A935"/>
      <c r="B935"/>
      <c r="C935"/>
      <c r="D935"/>
      <c r="E935"/>
      <c r="F935"/>
      <c r="G935"/>
      <c r="H935"/>
      <c r="I935"/>
      <c r="J935"/>
    </row>
    <row r="936" spans="1:10" ht="11.25" customHeight="1" x14ac:dyDescent="0.25">
      <c r="A936"/>
      <c r="B936"/>
      <c r="C936"/>
      <c r="D936"/>
      <c r="E936"/>
      <c r="F936"/>
      <c r="G936"/>
      <c r="H936"/>
      <c r="I936"/>
      <c r="J936"/>
    </row>
    <row r="937" spans="1:10" ht="11.25" customHeight="1" x14ac:dyDescent="0.25">
      <c r="A937"/>
      <c r="B937"/>
      <c r="C937"/>
      <c r="D937"/>
      <c r="E937"/>
      <c r="F937"/>
      <c r="G937"/>
      <c r="H937"/>
      <c r="I937"/>
      <c r="J937"/>
    </row>
    <row r="938" spans="1:10" ht="11.25" customHeight="1" x14ac:dyDescent="0.25">
      <c r="A938"/>
      <c r="B938"/>
      <c r="C938"/>
      <c r="D938"/>
      <c r="E938"/>
      <c r="F938"/>
      <c r="G938"/>
      <c r="H938"/>
      <c r="I938"/>
      <c r="J938"/>
    </row>
    <row r="939" spans="1:10" ht="11.25" customHeight="1" x14ac:dyDescent="0.25">
      <c r="A939"/>
      <c r="B939"/>
      <c r="C939"/>
      <c r="D939"/>
      <c r="E939"/>
      <c r="F939"/>
      <c r="G939"/>
      <c r="H939"/>
      <c r="I939"/>
      <c r="J939"/>
    </row>
    <row r="940" spans="1:10" ht="11.25" customHeight="1" x14ac:dyDescent="0.25">
      <c r="A940"/>
      <c r="B940"/>
      <c r="C940"/>
      <c r="D940"/>
      <c r="E940"/>
      <c r="F940"/>
      <c r="G940"/>
      <c r="H940"/>
      <c r="I940"/>
      <c r="J940"/>
    </row>
    <row r="941" spans="1:10" ht="11.25" customHeight="1" x14ac:dyDescent="0.25">
      <c r="A941"/>
      <c r="B941"/>
      <c r="C941"/>
      <c r="D941"/>
      <c r="E941"/>
      <c r="F941"/>
      <c r="G941"/>
      <c r="H941"/>
      <c r="I941"/>
      <c r="J941"/>
    </row>
    <row r="942" spans="1:10" ht="11.25" customHeight="1" x14ac:dyDescent="0.25">
      <c r="A942"/>
      <c r="B942"/>
      <c r="C942"/>
      <c r="D942"/>
      <c r="E942"/>
      <c r="F942"/>
      <c r="G942"/>
      <c r="H942"/>
      <c r="I942"/>
      <c r="J942"/>
    </row>
    <row r="943" spans="1:10" ht="11.25" customHeight="1" x14ac:dyDescent="0.25">
      <c r="A943"/>
      <c r="B943"/>
      <c r="C943"/>
      <c r="D943"/>
      <c r="E943"/>
      <c r="F943"/>
      <c r="G943"/>
      <c r="H943"/>
      <c r="I943"/>
      <c r="J943"/>
    </row>
    <row r="944" spans="1:10" ht="11.25" customHeight="1" x14ac:dyDescent="0.25">
      <c r="A944"/>
      <c r="B944"/>
      <c r="C944"/>
      <c r="D944"/>
      <c r="E944"/>
      <c r="F944"/>
      <c r="G944"/>
      <c r="H944"/>
      <c r="I944"/>
      <c r="J944"/>
    </row>
    <row r="945" spans="1:10" ht="11.25" customHeight="1" x14ac:dyDescent="0.25">
      <c r="A945"/>
      <c r="B945"/>
      <c r="C945"/>
      <c r="D945"/>
      <c r="E945"/>
      <c r="F945"/>
      <c r="G945"/>
      <c r="H945"/>
      <c r="I945"/>
      <c r="J945"/>
    </row>
    <row r="946" spans="1:10" ht="11.25" customHeight="1" x14ac:dyDescent="0.25">
      <c r="A946"/>
      <c r="B946"/>
      <c r="C946"/>
      <c r="D946"/>
      <c r="E946"/>
      <c r="F946"/>
      <c r="G946"/>
      <c r="H946"/>
      <c r="I946"/>
      <c r="J946"/>
    </row>
    <row r="947" spans="1:10" ht="11.25" customHeight="1" x14ac:dyDescent="0.25">
      <c r="A947"/>
      <c r="B947"/>
      <c r="C947"/>
      <c r="D947"/>
      <c r="E947"/>
      <c r="F947"/>
      <c r="G947"/>
      <c r="H947"/>
      <c r="I947"/>
      <c r="J947"/>
    </row>
    <row r="948" spans="1:10" ht="11.25" customHeight="1" x14ac:dyDescent="0.25">
      <c r="A948"/>
      <c r="B948"/>
      <c r="C948"/>
      <c r="D948"/>
      <c r="E948"/>
      <c r="F948"/>
      <c r="G948"/>
      <c r="H948"/>
      <c r="I948"/>
      <c r="J948"/>
    </row>
    <row r="949" spans="1:10" ht="11.25" customHeight="1" x14ac:dyDescent="0.25">
      <c r="A949"/>
      <c r="B949"/>
      <c r="C949"/>
      <c r="D949"/>
      <c r="E949"/>
      <c r="F949"/>
      <c r="G949"/>
      <c r="H949"/>
      <c r="I949"/>
      <c r="J949"/>
    </row>
    <row r="950" spans="1:10" ht="11.25" customHeight="1" x14ac:dyDescent="0.25">
      <c r="A950"/>
      <c r="B950"/>
      <c r="C950"/>
      <c r="D950"/>
      <c r="E950"/>
      <c r="F950"/>
      <c r="G950"/>
      <c r="H950"/>
      <c r="I950"/>
      <c r="J950"/>
    </row>
    <row r="951" spans="1:10" ht="11.25" customHeight="1" x14ac:dyDescent="0.25">
      <c r="A951"/>
      <c r="B951"/>
      <c r="C951"/>
      <c r="D951"/>
      <c r="E951"/>
      <c r="F951"/>
      <c r="G951"/>
      <c r="H951"/>
      <c r="I951"/>
      <c r="J951"/>
    </row>
    <row r="952" spans="1:10" ht="11.25" customHeight="1" x14ac:dyDescent="0.25">
      <c r="A952"/>
      <c r="B952"/>
      <c r="C952"/>
      <c r="D952"/>
      <c r="E952"/>
      <c r="F952"/>
      <c r="G952"/>
      <c r="H952"/>
      <c r="I952"/>
      <c r="J952"/>
    </row>
    <row r="953" spans="1:10" ht="11.25" customHeight="1" x14ac:dyDescent="0.25">
      <c r="A953"/>
      <c r="B953"/>
      <c r="C953"/>
      <c r="D953"/>
      <c r="E953"/>
      <c r="F953"/>
      <c r="G953"/>
      <c r="H953"/>
      <c r="I953"/>
      <c r="J953"/>
    </row>
    <row r="954" spans="1:10" ht="11.25" customHeight="1" x14ac:dyDescent="0.25">
      <c r="A954"/>
      <c r="B954"/>
      <c r="C954"/>
      <c r="D954"/>
      <c r="E954"/>
      <c r="F954"/>
      <c r="G954"/>
      <c r="H954"/>
      <c r="I954"/>
      <c r="J954"/>
    </row>
    <row r="955" spans="1:10" ht="11.25" customHeight="1" x14ac:dyDescent="0.25">
      <c r="A955"/>
      <c r="B955"/>
      <c r="C955"/>
      <c r="D955"/>
      <c r="E955"/>
      <c r="F955"/>
      <c r="G955"/>
      <c r="H955"/>
      <c r="I955"/>
      <c r="J955"/>
    </row>
    <row r="956" spans="1:10" ht="11.25" customHeight="1" x14ac:dyDescent="0.25">
      <c r="A956"/>
      <c r="B956"/>
      <c r="C956"/>
      <c r="D956"/>
      <c r="E956"/>
      <c r="F956"/>
      <c r="G956"/>
      <c r="H956"/>
      <c r="I956"/>
      <c r="J956"/>
    </row>
    <row r="957" spans="1:10" ht="11.25" customHeight="1" x14ac:dyDescent="0.25">
      <c r="A957"/>
      <c r="B957"/>
      <c r="C957"/>
      <c r="D957"/>
      <c r="E957"/>
      <c r="F957"/>
      <c r="G957"/>
      <c r="H957"/>
      <c r="I957"/>
      <c r="J957"/>
    </row>
    <row r="958" spans="1:10" ht="11.25" customHeight="1" x14ac:dyDescent="0.25">
      <c r="A958"/>
      <c r="B958"/>
      <c r="C958"/>
      <c r="D958"/>
      <c r="E958"/>
      <c r="F958"/>
      <c r="G958"/>
      <c r="H958"/>
      <c r="I958"/>
      <c r="J958"/>
    </row>
    <row r="959" spans="1:10" ht="11.25" customHeight="1" x14ac:dyDescent="0.25">
      <c r="A959"/>
      <c r="B959"/>
      <c r="C959"/>
      <c r="D959"/>
      <c r="E959"/>
      <c r="F959"/>
      <c r="G959"/>
      <c r="H959"/>
      <c r="I959"/>
      <c r="J959"/>
    </row>
    <row r="960" spans="1:10" ht="11.25" customHeight="1" x14ac:dyDescent="0.25">
      <c r="A960"/>
      <c r="B960"/>
      <c r="C960"/>
      <c r="D960"/>
      <c r="E960"/>
      <c r="F960"/>
      <c r="G960"/>
      <c r="H960"/>
      <c r="I960"/>
      <c r="J960"/>
    </row>
    <row r="961" spans="1:10" ht="11.25" customHeight="1" x14ac:dyDescent="0.25">
      <c r="A961"/>
      <c r="B961"/>
      <c r="C961"/>
      <c r="D961"/>
      <c r="E961"/>
      <c r="F961"/>
      <c r="G961"/>
      <c r="H961"/>
      <c r="I961"/>
      <c r="J961"/>
    </row>
    <row r="962" spans="1:10" ht="11.25" customHeight="1" x14ac:dyDescent="0.25">
      <c r="A962"/>
      <c r="B962"/>
      <c r="C962"/>
      <c r="D962"/>
      <c r="E962"/>
      <c r="F962"/>
      <c r="G962"/>
      <c r="H962"/>
      <c r="I962"/>
      <c r="J962"/>
    </row>
    <row r="963" spans="1:10" ht="11.25" customHeight="1" x14ac:dyDescent="0.25">
      <c r="A963"/>
      <c r="B963"/>
      <c r="C963"/>
      <c r="D963"/>
      <c r="E963"/>
      <c r="F963"/>
      <c r="G963"/>
      <c r="H963"/>
      <c r="I963"/>
      <c r="J963"/>
    </row>
    <row r="964" spans="1:10" ht="11.25" customHeight="1" x14ac:dyDescent="0.25">
      <c r="A964"/>
      <c r="B964"/>
      <c r="C964"/>
      <c r="D964"/>
      <c r="E964"/>
      <c r="F964"/>
      <c r="G964"/>
      <c r="H964"/>
      <c r="I964"/>
      <c r="J964"/>
    </row>
    <row r="965" spans="1:10" ht="11.25" customHeight="1" x14ac:dyDescent="0.25">
      <c r="A965"/>
      <c r="B965"/>
      <c r="C965"/>
      <c r="D965"/>
      <c r="E965"/>
      <c r="F965"/>
      <c r="G965"/>
      <c r="H965"/>
      <c r="I965"/>
      <c r="J965"/>
    </row>
    <row r="966" spans="1:10" ht="11.25" customHeight="1" x14ac:dyDescent="0.25">
      <c r="A966"/>
      <c r="B966"/>
      <c r="C966"/>
      <c r="D966"/>
      <c r="E966"/>
      <c r="F966"/>
      <c r="G966"/>
      <c r="H966"/>
      <c r="I966"/>
      <c r="J966"/>
    </row>
    <row r="967" spans="1:10" ht="11.25" customHeight="1" x14ac:dyDescent="0.25">
      <c r="A967"/>
      <c r="B967"/>
      <c r="C967"/>
      <c r="D967"/>
      <c r="E967"/>
      <c r="F967"/>
      <c r="G967"/>
      <c r="H967"/>
      <c r="I967"/>
      <c r="J967"/>
    </row>
    <row r="968" spans="1:10" ht="11.25" customHeight="1" x14ac:dyDescent="0.25">
      <c r="A968"/>
      <c r="B968"/>
      <c r="C968"/>
      <c r="D968"/>
      <c r="E968"/>
      <c r="F968"/>
      <c r="G968"/>
      <c r="H968"/>
      <c r="I968"/>
      <c r="J968"/>
    </row>
    <row r="969" spans="1:10" ht="11.25" customHeight="1" x14ac:dyDescent="0.25">
      <c r="A969"/>
      <c r="B969"/>
      <c r="C969"/>
      <c r="D969"/>
      <c r="E969"/>
      <c r="F969"/>
      <c r="G969"/>
      <c r="H969"/>
      <c r="I969"/>
      <c r="J969"/>
    </row>
    <row r="970" spans="1:10" ht="11.25" customHeight="1" x14ac:dyDescent="0.25">
      <c r="A970"/>
      <c r="B970"/>
      <c r="C970"/>
      <c r="D970"/>
      <c r="E970"/>
      <c r="F970"/>
      <c r="G970"/>
      <c r="H970"/>
      <c r="I970"/>
      <c r="J970"/>
    </row>
    <row r="971" spans="1:10" ht="11.25" customHeight="1" x14ac:dyDescent="0.25">
      <c r="A971"/>
      <c r="B971"/>
      <c r="C971"/>
      <c r="D971"/>
      <c r="E971"/>
      <c r="F971"/>
      <c r="G971"/>
      <c r="H971"/>
      <c r="I971"/>
      <c r="J971"/>
    </row>
    <row r="972" spans="1:10" ht="11.25" customHeight="1" x14ac:dyDescent="0.25">
      <c r="A972"/>
      <c r="B972"/>
      <c r="C972"/>
      <c r="D972"/>
      <c r="E972"/>
      <c r="F972"/>
      <c r="G972"/>
      <c r="H972"/>
      <c r="I972"/>
      <c r="J972"/>
    </row>
    <row r="973" spans="1:10" ht="11.25" customHeight="1" x14ac:dyDescent="0.25">
      <c r="A973"/>
      <c r="B973"/>
      <c r="C973"/>
      <c r="D973"/>
      <c r="E973"/>
      <c r="F973"/>
      <c r="G973"/>
      <c r="H973"/>
      <c r="I973"/>
      <c r="J973"/>
    </row>
    <row r="974" spans="1:10" ht="11.25" customHeight="1" x14ac:dyDescent="0.25">
      <c r="A974"/>
      <c r="B974"/>
      <c r="C974"/>
      <c r="D974"/>
      <c r="E974"/>
      <c r="F974"/>
      <c r="G974"/>
      <c r="H974"/>
      <c r="I974"/>
      <c r="J974"/>
    </row>
    <row r="975" spans="1:10" ht="11.25" customHeight="1" x14ac:dyDescent="0.25">
      <c r="A975"/>
      <c r="B975"/>
      <c r="C975"/>
      <c r="D975"/>
      <c r="E975"/>
      <c r="F975"/>
      <c r="G975"/>
      <c r="H975"/>
      <c r="I975"/>
      <c r="J975"/>
    </row>
    <row r="976" spans="1:10" ht="11.25" customHeight="1" x14ac:dyDescent="0.25">
      <c r="A976"/>
      <c r="B976"/>
      <c r="C976"/>
      <c r="D976"/>
      <c r="E976"/>
      <c r="F976"/>
      <c r="G976"/>
      <c r="H976"/>
      <c r="I976"/>
      <c r="J976"/>
    </row>
    <row r="977" spans="1:10" ht="11.25" customHeight="1" x14ac:dyDescent="0.25">
      <c r="A977"/>
      <c r="B977"/>
      <c r="C977"/>
      <c r="D977"/>
      <c r="E977"/>
      <c r="F977"/>
      <c r="G977"/>
      <c r="H977"/>
      <c r="I977"/>
      <c r="J977"/>
    </row>
    <row r="978" spans="1:10" ht="11.25" customHeight="1" x14ac:dyDescent="0.25">
      <c r="A978"/>
      <c r="B978"/>
      <c r="C978"/>
      <c r="D978"/>
      <c r="E978"/>
      <c r="F978"/>
      <c r="G978"/>
      <c r="H978"/>
      <c r="I978"/>
      <c r="J978"/>
    </row>
    <row r="979" spans="1:10" ht="11.25" customHeight="1" x14ac:dyDescent="0.25">
      <c r="A979"/>
      <c r="B979"/>
      <c r="C979"/>
      <c r="D979"/>
      <c r="E979"/>
      <c r="F979"/>
      <c r="G979"/>
      <c r="H979"/>
      <c r="I979"/>
      <c r="J979"/>
    </row>
    <row r="980" spans="1:10" ht="11.25" customHeight="1" x14ac:dyDescent="0.25">
      <c r="A980"/>
      <c r="B980"/>
      <c r="C980"/>
      <c r="D980"/>
      <c r="E980"/>
      <c r="F980"/>
      <c r="G980"/>
      <c r="H980"/>
      <c r="I980"/>
      <c r="J980"/>
    </row>
    <row r="981" spans="1:10" ht="11.25" customHeight="1" x14ac:dyDescent="0.25">
      <c r="A981"/>
      <c r="B981"/>
      <c r="C981"/>
      <c r="D981"/>
      <c r="E981"/>
      <c r="F981"/>
      <c r="G981"/>
      <c r="H981"/>
      <c r="I981"/>
      <c r="J981"/>
    </row>
    <row r="982" spans="1:10" ht="11.25" customHeight="1" x14ac:dyDescent="0.25">
      <c r="A982"/>
      <c r="B982"/>
      <c r="C982"/>
      <c r="D982"/>
      <c r="E982"/>
      <c r="F982"/>
      <c r="G982"/>
      <c r="H982"/>
      <c r="I982"/>
      <c r="J982"/>
    </row>
    <row r="983" spans="1:10" ht="11.25" customHeight="1" x14ac:dyDescent="0.25">
      <c r="A983"/>
      <c r="B983"/>
      <c r="C983"/>
      <c r="D983"/>
      <c r="E983"/>
      <c r="F983"/>
      <c r="G983"/>
      <c r="H983"/>
      <c r="I983"/>
      <c r="J983"/>
    </row>
    <row r="984" spans="1:10" ht="11.25" customHeight="1" x14ac:dyDescent="0.25">
      <c r="A984"/>
      <c r="B984"/>
      <c r="C984"/>
      <c r="D984"/>
      <c r="E984"/>
      <c r="F984"/>
      <c r="G984"/>
      <c r="H984"/>
      <c r="I984"/>
      <c r="J984"/>
    </row>
    <row r="985" spans="1:10" ht="11.25" customHeight="1" x14ac:dyDescent="0.25">
      <c r="A985"/>
      <c r="B985"/>
      <c r="C985"/>
      <c r="D985"/>
      <c r="E985"/>
      <c r="F985"/>
      <c r="G985"/>
      <c r="H985"/>
      <c r="I985"/>
      <c r="J985"/>
    </row>
    <row r="986" spans="1:10" ht="11.25" customHeight="1" x14ac:dyDescent="0.25">
      <c r="A986"/>
      <c r="B986"/>
      <c r="C986"/>
      <c r="D986"/>
      <c r="E986"/>
      <c r="F986"/>
      <c r="G986"/>
      <c r="H986"/>
      <c r="I986"/>
      <c r="J986"/>
    </row>
    <row r="987" spans="1:10" ht="11.25" customHeight="1" x14ac:dyDescent="0.25">
      <c r="A987"/>
      <c r="B987"/>
      <c r="C987"/>
      <c r="D987"/>
      <c r="E987"/>
      <c r="F987"/>
      <c r="G987"/>
      <c r="H987"/>
      <c r="I987"/>
      <c r="J987"/>
    </row>
    <row r="988" spans="1:10" ht="11.25" customHeight="1" x14ac:dyDescent="0.25">
      <c r="A988"/>
      <c r="B988"/>
      <c r="C988"/>
      <c r="D988"/>
      <c r="E988"/>
      <c r="F988"/>
      <c r="G988"/>
      <c r="H988"/>
      <c r="I988"/>
      <c r="J988"/>
    </row>
    <row r="989" spans="1:10" ht="11.25" customHeight="1" x14ac:dyDescent="0.25">
      <c r="A989"/>
      <c r="B989"/>
      <c r="C989"/>
      <c r="D989"/>
      <c r="E989"/>
      <c r="F989"/>
      <c r="G989"/>
      <c r="H989"/>
      <c r="I989"/>
      <c r="J989"/>
    </row>
    <row r="990" spans="1:10" ht="11.25" customHeight="1" x14ac:dyDescent="0.25">
      <c r="A990"/>
      <c r="B990"/>
      <c r="C990"/>
      <c r="D990"/>
      <c r="E990"/>
      <c r="F990"/>
      <c r="G990"/>
      <c r="H990"/>
      <c r="I990"/>
      <c r="J990"/>
    </row>
    <row r="991" spans="1:10" ht="11.25" customHeight="1" x14ac:dyDescent="0.25">
      <c r="A991"/>
      <c r="B991"/>
      <c r="C991"/>
      <c r="D991"/>
      <c r="E991"/>
      <c r="F991"/>
      <c r="G991"/>
      <c r="H991"/>
      <c r="I991"/>
      <c r="J991"/>
    </row>
    <row r="992" spans="1:10" ht="11.25" customHeight="1" x14ac:dyDescent="0.25">
      <c r="A992"/>
      <c r="B992"/>
      <c r="C992"/>
      <c r="D992"/>
      <c r="E992"/>
      <c r="F992"/>
      <c r="G992"/>
      <c r="H992"/>
      <c r="I992"/>
      <c r="J992"/>
    </row>
    <row r="993" spans="1:10" ht="11.25" customHeight="1" x14ac:dyDescent="0.25">
      <c r="A993"/>
      <c r="B993"/>
      <c r="C993"/>
      <c r="D993"/>
      <c r="E993"/>
      <c r="F993"/>
      <c r="G993"/>
      <c r="H993"/>
      <c r="I993"/>
      <c r="J993"/>
    </row>
    <row r="994" spans="1:10" ht="11.25" customHeight="1" x14ac:dyDescent="0.25">
      <c r="A994"/>
      <c r="B994"/>
      <c r="C994"/>
      <c r="D994"/>
      <c r="E994"/>
      <c r="F994"/>
      <c r="G994"/>
      <c r="H994"/>
      <c r="I994"/>
      <c r="J994"/>
    </row>
    <row r="995" spans="1:10" ht="11.25" customHeight="1" x14ac:dyDescent="0.25">
      <c r="A995"/>
      <c r="B995"/>
      <c r="C995"/>
      <c r="D995"/>
      <c r="E995"/>
      <c r="F995"/>
      <c r="G995"/>
      <c r="H995"/>
      <c r="I995"/>
      <c r="J995"/>
    </row>
    <row r="996" spans="1:10" ht="11.25" customHeight="1" x14ac:dyDescent="0.25">
      <c r="A996"/>
      <c r="B996"/>
      <c r="C996"/>
      <c r="D996"/>
      <c r="E996"/>
      <c r="F996"/>
      <c r="G996"/>
      <c r="H996"/>
      <c r="I996"/>
      <c r="J996"/>
    </row>
    <row r="997" spans="1:10" ht="11.25" customHeight="1" x14ac:dyDescent="0.25">
      <c r="A997"/>
      <c r="B997"/>
      <c r="C997"/>
      <c r="D997"/>
      <c r="E997"/>
      <c r="F997"/>
      <c r="G997"/>
      <c r="H997"/>
      <c r="I997"/>
      <c r="J997"/>
    </row>
    <row r="998" spans="1:10" ht="11.25" customHeight="1" x14ac:dyDescent="0.25">
      <c r="A998"/>
      <c r="B998"/>
      <c r="C998"/>
      <c r="D998"/>
      <c r="E998"/>
      <c r="F998"/>
      <c r="G998"/>
      <c r="H998"/>
      <c r="I998"/>
      <c r="J998"/>
    </row>
    <row r="999" spans="1:10" ht="11.25" customHeight="1" x14ac:dyDescent="0.25">
      <c r="A999"/>
      <c r="B999"/>
      <c r="C999"/>
      <c r="D999"/>
      <c r="E999"/>
      <c r="F999"/>
      <c r="G999"/>
      <c r="H999"/>
      <c r="I999"/>
      <c r="J999"/>
    </row>
    <row r="1000" spans="1:10" ht="11.25" customHeight="1" x14ac:dyDescent="0.25">
      <c r="A1000"/>
      <c r="B1000"/>
      <c r="C1000"/>
      <c r="D1000"/>
      <c r="E1000"/>
      <c r="F1000"/>
      <c r="G1000"/>
      <c r="H1000"/>
      <c r="I1000"/>
      <c r="J1000"/>
    </row>
    <row r="1001" spans="1:10" ht="11.25" customHeight="1" x14ac:dyDescent="0.25">
      <c r="A1001"/>
      <c r="B1001"/>
      <c r="C1001"/>
      <c r="D1001"/>
      <c r="E1001"/>
      <c r="F1001"/>
      <c r="G1001"/>
      <c r="H1001"/>
      <c r="I1001"/>
      <c r="J1001"/>
    </row>
    <row r="1002" spans="1:10" ht="11.25" customHeight="1" x14ac:dyDescent="0.25">
      <c r="A1002"/>
      <c r="B1002"/>
      <c r="C1002"/>
      <c r="D1002"/>
      <c r="E1002"/>
      <c r="F1002"/>
      <c r="G1002"/>
      <c r="H1002"/>
      <c r="I1002"/>
      <c r="J1002"/>
    </row>
    <row r="1003" spans="1:10" ht="11.25" customHeight="1" x14ac:dyDescent="0.25">
      <c r="A1003"/>
      <c r="B1003"/>
      <c r="C1003"/>
      <c r="D1003"/>
      <c r="E1003"/>
      <c r="F1003"/>
      <c r="G1003"/>
      <c r="H1003"/>
      <c r="I1003"/>
      <c r="J1003"/>
    </row>
    <row r="1004" spans="1:10" ht="11.25" customHeight="1" x14ac:dyDescent="0.25">
      <c r="A1004"/>
      <c r="B1004"/>
      <c r="C1004"/>
      <c r="D1004"/>
      <c r="E1004"/>
      <c r="F1004"/>
      <c r="G1004"/>
      <c r="H1004"/>
      <c r="I1004"/>
      <c r="J1004"/>
    </row>
    <row r="1005" spans="1:10" ht="11.25" customHeight="1" x14ac:dyDescent="0.25">
      <c r="A1005"/>
      <c r="B1005"/>
      <c r="C1005"/>
      <c r="D1005"/>
      <c r="E1005"/>
      <c r="F1005"/>
      <c r="G1005"/>
      <c r="H1005"/>
      <c r="I1005"/>
      <c r="J1005"/>
    </row>
    <row r="1006" spans="1:10" ht="11.25" customHeight="1" x14ac:dyDescent="0.25">
      <c r="A1006"/>
      <c r="B1006"/>
      <c r="C1006"/>
      <c r="D1006"/>
      <c r="E1006"/>
      <c r="F1006"/>
      <c r="G1006"/>
      <c r="H1006"/>
      <c r="I1006"/>
      <c r="J1006"/>
    </row>
    <row r="1007" spans="1:10" ht="11.25" customHeight="1" x14ac:dyDescent="0.25">
      <c r="A1007"/>
      <c r="B1007"/>
      <c r="C1007"/>
      <c r="D1007"/>
      <c r="E1007"/>
      <c r="F1007"/>
      <c r="G1007"/>
      <c r="H1007"/>
      <c r="I1007"/>
      <c r="J1007"/>
    </row>
    <row r="1008" spans="1:10" ht="11.25" customHeight="1" x14ac:dyDescent="0.25">
      <c r="A1008"/>
      <c r="B1008"/>
      <c r="C1008"/>
      <c r="D1008"/>
      <c r="E1008"/>
      <c r="F1008"/>
      <c r="G1008"/>
      <c r="H1008"/>
      <c r="I1008"/>
      <c r="J1008"/>
    </row>
    <row r="1009" spans="1:10" ht="11.25" customHeight="1" x14ac:dyDescent="0.25">
      <c r="A1009"/>
      <c r="B1009"/>
      <c r="C1009"/>
      <c r="D1009"/>
      <c r="E1009"/>
      <c r="F1009"/>
      <c r="G1009"/>
      <c r="H1009"/>
      <c r="I1009"/>
      <c r="J1009"/>
    </row>
    <row r="1010" spans="1:10" ht="11.25" customHeight="1" x14ac:dyDescent="0.25">
      <c r="A1010"/>
      <c r="B1010"/>
      <c r="C1010"/>
      <c r="D1010"/>
      <c r="E1010"/>
      <c r="F1010"/>
      <c r="G1010"/>
      <c r="H1010"/>
      <c r="I1010"/>
      <c r="J1010"/>
    </row>
    <row r="1011" spans="1:10" ht="11.25" customHeight="1" x14ac:dyDescent="0.25">
      <c r="A1011"/>
      <c r="B1011"/>
      <c r="C1011"/>
      <c r="D1011"/>
      <c r="E1011"/>
      <c r="F1011"/>
      <c r="G1011"/>
      <c r="H1011"/>
      <c r="I1011"/>
      <c r="J1011"/>
    </row>
    <row r="1012" spans="1:10" ht="11.25" customHeight="1" x14ac:dyDescent="0.25">
      <c r="A1012"/>
      <c r="B1012"/>
      <c r="C1012"/>
      <c r="D1012"/>
      <c r="E1012"/>
      <c r="F1012"/>
      <c r="G1012"/>
      <c r="H1012"/>
      <c r="I1012"/>
      <c r="J1012"/>
    </row>
    <row r="1013" spans="1:10" ht="11.25" customHeight="1" x14ac:dyDescent="0.25">
      <c r="A1013"/>
      <c r="B1013"/>
      <c r="C1013"/>
      <c r="D1013"/>
      <c r="E1013"/>
      <c r="F1013"/>
      <c r="G1013"/>
      <c r="H1013"/>
      <c r="I1013"/>
      <c r="J1013"/>
    </row>
    <row r="1014" spans="1:10" ht="11.25" customHeight="1" x14ac:dyDescent="0.25">
      <c r="A1014"/>
      <c r="B1014"/>
      <c r="C1014"/>
      <c r="D1014"/>
      <c r="E1014"/>
      <c r="F1014"/>
      <c r="G1014"/>
      <c r="H1014"/>
      <c r="I1014"/>
      <c r="J1014"/>
    </row>
    <row r="1015" spans="1:10" ht="11.25" customHeight="1" x14ac:dyDescent="0.25">
      <c r="A1015"/>
      <c r="B1015"/>
      <c r="C1015"/>
      <c r="D1015"/>
      <c r="E1015"/>
      <c r="F1015"/>
      <c r="G1015"/>
      <c r="H1015"/>
      <c r="I1015"/>
      <c r="J1015"/>
    </row>
    <row r="1016" spans="1:10" ht="11.25" customHeight="1" x14ac:dyDescent="0.25">
      <c r="A1016"/>
      <c r="B1016"/>
      <c r="C1016"/>
      <c r="D1016"/>
      <c r="E1016"/>
      <c r="F1016"/>
      <c r="G1016"/>
      <c r="H1016"/>
      <c r="I1016"/>
      <c r="J1016"/>
    </row>
    <row r="1017" spans="1:10" ht="11.25" customHeight="1" x14ac:dyDescent="0.25">
      <c r="A1017"/>
      <c r="B1017"/>
      <c r="C1017"/>
      <c r="D1017"/>
      <c r="E1017"/>
      <c r="F1017"/>
      <c r="G1017"/>
      <c r="H1017"/>
      <c r="I1017"/>
      <c r="J1017"/>
    </row>
    <row r="1018" spans="1:10" ht="11.25" customHeight="1" x14ac:dyDescent="0.25">
      <c r="A1018"/>
      <c r="B1018"/>
      <c r="C1018"/>
      <c r="D1018"/>
      <c r="E1018"/>
      <c r="F1018"/>
      <c r="G1018"/>
      <c r="H1018"/>
      <c r="I1018"/>
      <c r="J1018"/>
    </row>
    <row r="1019" spans="1:10" ht="11.25" customHeight="1" x14ac:dyDescent="0.25">
      <c r="A1019"/>
      <c r="B1019"/>
      <c r="C1019"/>
      <c r="D1019"/>
      <c r="E1019"/>
      <c r="F1019"/>
      <c r="G1019"/>
      <c r="H1019"/>
      <c r="I1019"/>
      <c r="J1019"/>
    </row>
    <row r="1020" spans="1:10" ht="11.25" customHeight="1" x14ac:dyDescent="0.25">
      <c r="A1020"/>
      <c r="B1020"/>
      <c r="C1020"/>
      <c r="D1020"/>
      <c r="E1020"/>
      <c r="F1020"/>
      <c r="G1020"/>
      <c r="H1020"/>
      <c r="I1020"/>
      <c r="J1020"/>
    </row>
    <row r="1021" spans="1:10" ht="11.25" customHeight="1" x14ac:dyDescent="0.25">
      <c r="A1021"/>
      <c r="B1021"/>
      <c r="C1021"/>
      <c r="D1021"/>
      <c r="E1021"/>
      <c r="F1021"/>
      <c r="G1021"/>
      <c r="H1021"/>
      <c r="I1021"/>
      <c r="J1021"/>
    </row>
    <row r="1022" spans="1:10" ht="11.25" customHeight="1" x14ac:dyDescent="0.25">
      <c r="A1022"/>
      <c r="B1022"/>
      <c r="C1022"/>
      <c r="D1022"/>
      <c r="E1022"/>
      <c r="F1022"/>
      <c r="G1022"/>
      <c r="H1022"/>
      <c r="I1022"/>
      <c r="J1022"/>
    </row>
    <row r="1023" spans="1:10" ht="11.25" customHeight="1" x14ac:dyDescent="0.25">
      <c r="A1023"/>
      <c r="B1023"/>
      <c r="C1023"/>
      <c r="D1023"/>
      <c r="E1023"/>
      <c r="F1023"/>
      <c r="G1023"/>
      <c r="H1023"/>
      <c r="I1023"/>
      <c r="J1023"/>
    </row>
    <row r="1024" spans="1:10" ht="11.25" customHeight="1" x14ac:dyDescent="0.25">
      <c r="A1024"/>
      <c r="B1024"/>
      <c r="C1024"/>
      <c r="D1024"/>
      <c r="E1024"/>
      <c r="F1024"/>
      <c r="G1024"/>
      <c r="H1024"/>
      <c r="I1024"/>
      <c r="J1024"/>
    </row>
    <row r="1025" spans="1:10" ht="11.25" customHeight="1" x14ac:dyDescent="0.25">
      <c r="A1025"/>
      <c r="B1025"/>
      <c r="C1025"/>
      <c r="D1025"/>
      <c r="E1025"/>
      <c r="F1025"/>
      <c r="G1025"/>
      <c r="H1025"/>
      <c r="I1025"/>
      <c r="J1025"/>
    </row>
    <row r="1026" spans="1:10" ht="11.25" customHeight="1" x14ac:dyDescent="0.25">
      <c r="A1026"/>
      <c r="B1026"/>
      <c r="C1026"/>
      <c r="D1026"/>
      <c r="E1026"/>
      <c r="F1026"/>
      <c r="G1026"/>
      <c r="H1026"/>
      <c r="I1026"/>
      <c r="J1026"/>
    </row>
    <row r="1027" spans="1:10" ht="11.25" customHeight="1" x14ac:dyDescent="0.25">
      <c r="A1027"/>
      <c r="B1027"/>
      <c r="C1027"/>
      <c r="D1027"/>
      <c r="E1027"/>
      <c r="F1027"/>
      <c r="G1027"/>
      <c r="H1027"/>
      <c r="I1027"/>
      <c r="J1027"/>
    </row>
    <row r="1028" spans="1:10" ht="11.25" customHeight="1" x14ac:dyDescent="0.25">
      <c r="A1028"/>
      <c r="B1028"/>
      <c r="C1028"/>
      <c r="D1028"/>
      <c r="E1028"/>
      <c r="F1028"/>
      <c r="G1028"/>
      <c r="H1028"/>
      <c r="I1028"/>
      <c r="J1028"/>
    </row>
    <row r="1029" spans="1:10" ht="11.25" customHeight="1" x14ac:dyDescent="0.25">
      <c r="A1029"/>
      <c r="B1029"/>
      <c r="C1029"/>
      <c r="D1029"/>
      <c r="E1029"/>
      <c r="F1029"/>
      <c r="G1029"/>
      <c r="H1029"/>
      <c r="I1029"/>
      <c r="J1029"/>
    </row>
    <row r="1030" spans="1:10" ht="11.25" customHeight="1" x14ac:dyDescent="0.25">
      <c r="A1030"/>
      <c r="B1030"/>
      <c r="C1030"/>
      <c r="D1030"/>
      <c r="E1030"/>
      <c r="F1030"/>
      <c r="G1030"/>
      <c r="H1030"/>
      <c r="I1030"/>
      <c r="J1030"/>
    </row>
    <row r="1031" spans="1:10" ht="11.25" customHeight="1" x14ac:dyDescent="0.25">
      <c r="A1031"/>
      <c r="B1031"/>
      <c r="C1031"/>
      <c r="D1031"/>
      <c r="E1031"/>
      <c r="F1031"/>
      <c r="G1031"/>
      <c r="H1031"/>
      <c r="I1031"/>
      <c r="J1031"/>
    </row>
    <row r="1032" spans="1:10" ht="11.25" customHeight="1" x14ac:dyDescent="0.25">
      <c r="A1032"/>
      <c r="B1032"/>
      <c r="C1032"/>
      <c r="D1032"/>
      <c r="E1032"/>
      <c r="F1032"/>
      <c r="G1032"/>
      <c r="H1032"/>
      <c r="I1032"/>
      <c r="J1032"/>
    </row>
    <row r="1033" spans="1:10" ht="11.25" customHeight="1" x14ac:dyDescent="0.25">
      <c r="A1033"/>
      <c r="B1033"/>
      <c r="C1033"/>
      <c r="D1033"/>
      <c r="E1033"/>
      <c r="F1033"/>
      <c r="G1033"/>
      <c r="H1033"/>
      <c r="I1033"/>
      <c r="J1033"/>
    </row>
    <row r="1034" spans="1:10" ht="11.25" customHeight="1" x14ac:dyDescent="0.25">
      <c r="A1034"/>
      <c r="B1034"/>
      <c r="C1034"/>
      <c r="D1034"/>
      <c r="E1034"/>
      <c r="F1034"/>
      <c r="G1034"/>
      <c r="H1034"/>
      <c r="I1034"/>
      <c r="J1034"/>
    </row>
    <row r="1035" spans="1:10" ht="11.25" customHeight="1" x14ac:dyDescent="0.25">
      <c r="A1035"/>
      <c r="B1035"/>
      <c r="C1035"/>
      <c r="D1035"/>
      <c r="E1035"/>
      <c r="F1035"/>
      <c r="G1035"/>
      <c r="H1035"/>
      <c r="I1035"/>
      <c r="J1035"/>
    </row>
    <row r="1036" spans="1:10" ht="11.25" customHeight="1" x14ac:dyDescent="0.25">
      <c r="A1036"/>
      <c r="B1036"/>
      <c r="C1036"/>
      <c r="D1036"/>
      <c r="E1036"/>
      <c r="F1036"/>
      <c r="G1036"/>
      <c r="H1036"/>
      <c r="I1036"/>
      <c r="J1036"/>
    </row>
    <row r="1037" spans="1:10" ht="11.25" customHeight="1" x14ac:dyDescent="0.25">
      <c r="A1037"/>
      <c r="B1037"/>
      <c r="C1037"/>
      <c r="D1037"/>
      <c r="E1037"/>
      <c r="F1037"/>
      <c r="G1037"/>
      <c r="H1037"/>
      <c r="I1037"/>
      <c r="J1037"/>
    </row>
    <row r="1038" spans="1:10" ht="11.25" customHeight="1" x14ac:dyDescent="0.25">
      <c r="A1038"/>
      <c r="B1038"/>
      <c r="C1038"/>
      <c r="D1038"/>
      <c r="E1038"/>
      <c r="F1038"/>
      <c r="G1038"/>
      <c r="H1038"/>
      <c r="I1038"/>
      <c r="J1038"/>
    </row>
    <row r="1039" spans="1:10" ht="11.25" customHeight="1" x14ac:dyDescent="0.25">
      <c r="A1039"/>
      <c r="B1039"/>
      <c r="C1039"/>
      <c r="D1039"/>
      <c r="E1039"/>
      <c r="F1039"/>
      <c r="G1039"/>
      <c r="H1039"/>
      <c r="I1039"/>
      <c r="J1039"/>
    </row>
    <row r="1040" spans="1:10" ht="11.25" customHeight="1" x14ac:dyDescent="0.25">
      <c r="A1040"/>
      <c r="B1040"/>
      <c r="C1040"/>
      <c r="D1040"/>
      <c r="E1040"/>
      <c r="F1040"/>
      <c r="G1040"/>
      <c r="H1040"/>
      <c r="I1040"/>
      <c r="J1040"/>
    </row>
    <row r="1041" spans="1:10" ht="11.25" customHeight="1" x14ac:dyDescent="0.25">
      <c r="A1041"/>
      <c r="B1041"/>
      <c r="C1041"/>
      <c r="D1041"/>
      <c r="E1041"/>
      <c r="F1041"/>
      <c r="G1041"/>
      <c r="H1041"/>
      <c r="I1041"/>
      <c r="J1041"/>
    </row>
    <row r="1042" spans="1:10" ht="11.25" customHeight="1" x14ac:dyDescent="0.25">
      <c r="A1042"/>
      <c r="B1042"/>
      <c r="C1042"/>
      <c r="D1042"/>
      <c r="E1042"/>
      <c r="F1042"/>
      <c r="G1042"/>
      <c r="H1042"/>
      <c r="I1042"/>
      <c r="J1042"/>
    </row>
    <row r="1043" spans="1:10" ht="11.25" customHeight="1" x14ac:dyDescent="0.25">
      <c r="A1043"/>
      <c r="B1043"/>
      <c r="C1043"/>
      <c r="D1043"/>
      <c r="E1043"/>
      <c r="F1043"/>
      <c r="G1043"/>
      <c r="H1043"/>
      <c r="I1043"/>
      <c r="J1043"/>
    </row>
    <row r="1044" spans="1:10" ht="11.25" customHeight="1" x14ac:dyDescent="0.25">
      <c r="A1044"/>
      <c r="B1044"/>
      <c r="C1044"/>
      <c r="D1044"/>
      <c r="E1044"/>
      <c r="F1044"/>
      <c r="G1044"/>
      <c r="H1044"/>
      <c r="I1044"/>
      <c r="J1044"/>
    </row>
    <row r="1045" spans="1:10" ht="11.25" customHeight="1" x14ac:dyDescent="0.25">
      <c r="A1045"/>
      <c r="B1045"/>
      <c r="C1045"/>
      <c r="D1045"/>
      <c r="E1045"/>
      <c r="F1045"/>
      <c r="G1045"/>
      <c r="H1045"/>
      <c r="I1045"/>
      <c r="J1045"/>
    </row>
    <row r="1046" spans="1:10" ht="11.25" customHeight="1" x14ac:dyDescent="0.25">
      <c r="A1046"/>
      <c r="B1046"/>
      <c r="C1046"/>
      <c r="D1046"/>
      <c r="E1046"/>
      <c r="F1046"/>
      <c r="G1046"/>
      <c r="H1046"/>
      <c r="I1046"/>
      <c r="J1046"/>
    </row>
    <row r="1047" spans="1:10" ht="11.25" customHeight="1" x14ac:dyDescent="0.25">
      <c r="A1047"/>
      <c r="B1047"/>
      <c r="C1047"/>
      <c r="D1047"/>
      <c r="E1047"/>
      <c r="F1047"/>
      <c r="G1047"/>
      <c r="H1047"/>
      <c r="I1047"/>
      <c r="J1047"/>
    </row>
    <row r="1048" spans="1:10" ht="11.25" customHeight="1" x14ac:dyDescent="0.25">
      <c r="A1048"/>
      <c r="B1048"/>
      <c r="C1048"/>
      <c r="D1048"/>
      <c r="E1048"/>
      <c r="F1048"/>
      <c r="G1048"/>
      <c r="H1048"/>
      <c r="I1048"/>
      <c r="J1048"/>
    </row>
    <row r="1049" spans="1:10" ht="11.25" customHeight="1" x14ac:dyDescent="0.25">
      <c r="A1049"/>
      <c r="B1049"/>
      <c r="C1049"/>
      <c r="D1049"/>
      <c r="E1049"/>
      <c r="F1049"/>
      <c r="G1049"/>
      <c r="H1049"/>
      <c r="I1049"/>
      <c r="J1049"/>
    </row>
    <row r="1050" spans="1:10" ht="11.25" customHeight="1" x14ac:dyDescent="0.25">
      <c r="A1050"/>
      <c r="B1050"/>
      <c r="C1050"/>
      <c r="D1050"/>
      <c r="E1050"/>
      <c r="F1050"/>
      <c r="G1050"/>
      <c r="H1050"/>
      <c r="I1050"/>
      <c r="J1050"/>
    </row>
    <row r="1051" spans="1:10" ht="11.25" customHeight="1" x14ac:dyDescent="0.25">
      <c r="A1051"/>
      <c r="B1051"/>
      <c r="C1051"/>
      <c r="D1051"/>
      <c r="E1051"/>
      <c r="F1051"/>
      <c r="G1051"/>
      <c r="H1051"/>
      <c r="I1051"/>
      <c r="J1051"/>
    </row>
    <row r="1052" spans="1:10" ht="11.25" customHeight="1" x14ac:dyDescent="0.25">
      <c r="A1052"/>
      <c r="B1052"/>
      <c r="C1052"/>
      <c r="D1052"/>
      <c r="E1052"/>
      <c r="F1052"/>
      <c r="G1052"/>
      <c r="H1052"/>
      <c r="I1052"/>
      <c r="J1052"/>
    </row>
    <row r="1053" spans="1:10" ht="11.25" customHeight="1" x14ac:dyDescent="0.25">
      <c r="A1053"/>
      <c r="B1053"/>
      <c r="C1053"/>
      <c r="D1053"/>
      <c r="E1053"/>
      <c r="F1053"/>
      <c r="G1053"/>
      <c r="H1053"/>
      <c r="I1053"/>
      <c r="J1053"/>
    </row>
    <row r="1054" spans="1:10" ht="11.25" customHeight="1" x14ac:dyDescent="0.25">
      <c r="A1054"/>
      <c r="B1054"/>
      <c r="C1054"/>
      <c r="D1054"/>
      <c r="E1054"/>
      <c r="F1054"/>
      <c r="G1054"/>
      <c r="H1054"/>
      <c r="I1054"/>
      <c r="J1054"/>
    </row>
    <row r="1055" spans="1:10" ht="11.25" customHeight="1" x14ac:dyDescent="0.25">
      <c r="A1055"/>
      <c r="B1055"/>
      <c r="C1055"/>
      <c r="D1055"/>
      <c r="E1055"/>
      <c r="F1055"/>
      <c r="G1055"/>
      <c r="H1055"/>
      <c r="I1055"/>
      <c r="J1055"/>
    </row>
    <row r="1056" spans="1:10" ht="11.25" customHeight="1" x14ac:dyDescent="0.25">
      <c r="A1056"/>
      <c r="B1056"/>
      <c r="C1056"/>
      <c r="D1056"/>
      <c r="E1056"/>
      <c r="F1056"/>
      <c r="G1056"/>
      <c r="H1056"/>
      <c r="I1056"/>
      <c r="J1056"/>
    </row>
    <row r="1057" spans="1:10" ht="11.25" customHeight="1" x14ac:dyDescent="0.25">
      <c r="A1057"/>
      <c r="B1057"/>
      <c r="C1057"/>
      <c r="D1057"/>
      <c r="E1057"/>
      <c r="F1057"/>
      <c r="G1057"/>
      <c r="H1057"/>
      <c r="I1057"/>
      <c r="J1057"/>
    </row>
    <row r="1058" spans="1:10" ht="11.25" customHeight="1" x14ac:dyDescent="0.25">
      <c r="A1058"/>
      <c r="B1058"/>
      <c r="C1058"/>
      <c r="D1058"/>
      <c r="E1058"/>
      <c r="F1058"/>
      <c r="G1058"/>
      <c r="H1058"/>
      <c r="I1058"/>
      <c r="J1058"/>
    </row>
    <row r="1059" spans="1:10" ht="11.25" customHeight="1" x14ac:dyDescent="0.25">
      <c r="A1059"/>
      <c r="B1059"/>
      <c r="C1059"/>
      <c r="D1059"/>
      <c r="E1059"/>
      <c r="F1059"/>
      <c r="G1059"/>
      <c r="H1059"/>
      <c r="I1059"/>
      <c r="J1059"/>
    </row>
    <row r="1060" spans="1:10" ht="11.25" customHeight="1" x14ac:dyDescent="0.25">
      <c r="A1060"/>
      <c r="B1060"/>
      <c r="C1060"/>
      <c r="D1060"/>
      <c r="E1060"/>
      <c r="F1060"/>
      <c r="G1060"/>
      <c r="H1060"/>
      <c r="I1060"/>
      <c r="J1060"/>
    </row>
    <row r="1061" spans="1:10" ht="11.25" customHeight="1" x14ac:dyDescent="0.25">
      <c r="A1061"/>
      <c r="B1061"/>
      <c r="C1061"/>
      <c r="D1061"/>
      <c r="E1061"/>
      <c r="F1061"/>
      <c r="G1061"/>
      <c r="H1061"/>
      <c r="I1061"/>
      <c r="J1061"/>
    </row>
    <row r="1062" spans="1:10" ht="11.25" customHeight="1" x14ac:dyDescent="0.25">
      <c r="A1062"/>
      <c r="B1062"/>
      <c r="C1062"/>
      <c r="D1062"/>
      <c r="E1062"/>
      <c r="F1062"/>
      <c r="G1062"/>
      <c r="H1062"/>
      <c r="I1062"/>
      <c r="J1062"/>
    </row>
    <row r="1063" spans="1:10" ht="11.25" customHeight="1" x14ac:dyDescent="0.25">
      <c r="A1063"/>
      <c r="B1063"/>
      <c r="C1063"/>
      <c r="D1063"/>
      <c r="E1063"/>
      <c r="F1063"/>
      <c r="G1063"/>
      <c r="H1063"/>
      <c r="I1063"/>
      <c r="J1063"/>
    </row>
    <row r="1064" spans="1:10" ht="11.25" customHeight="1" x14ac:dyDescent="0.25">
      <c r="A1064"/>
      <c r="B1064"/>
      <c r="C1064"/>
      <c r="D1064"/>
      <c r="E1064"/>
      <c r="F1064"/>
      <c r="G1064"/>
      <c r="H1064"/>
      <c r="I1064"/>
      <c r="J1064"/>
    </row>
    <row r="1065" spans="1:10" ht="11.25" customHeight="1" x14ac:dyDescent="0.25">
      <c r="A1065"/>
      <c r="B1065"/>
      <c r="C1065"/>
      <c r="D1065"/>
      <c r="E1065"/>
      <c r="F1065"/>
      <c r="G1065"/>
      <c r="H1065"/>
      <c r="I1065"/>
      <c r="J1065"/>
    </row>
    <row r="1066" spans="1:10" ht="11.25" customHeight="1" x14ac:dyDescent="0.25">
      <c r="A1066"/>
      <c r="B1066"/>
      <c r="C1066"/>
      <c r="D1066"/>
      <c r="E1066"/>
      <c r="F1066"/>
      <c r="G1066"/>
      <c r="H1066"/>
      <c r="I1066"/>
      <c r="J1066"/>
    </row>
    <row r="1067" spans="1:10" ht="11.25" customHeight="1" x14ac:dyDescent="0.25">
      <c r="A1067"/>
      <c r="B1067"/>
      <c r="C1067"/>
      <c r="D1067"/>
      <c r="E1067"/>
      <c r="F1067"/>
      <c r="G1067"/>
      <c r="H1067"/>
      <c r="I1067"/>
      <c r="J1067"/>
    </row>
    <row r="1068" spans="1:10" ht="11.25" customHeight="1" x14ac:dyDescent="0.25">
      <c r="A1068"/>
      <c r="B1068"/>
      <c r="C1068"/>
      <c r="D1068"/>
      <c r="E1068"/>
      <c r="F1068"/>
      <c r="G1068"/>
      <c r="H1068"/>
      <c r="I1068"/>
      <c r="J1068"/>
    </row>
    <row r="1069" spans="1:10" ht="11.25" customHeight="1" x14ac:dyDescent="0.25">
      <c r="A1069"/>
      <c r="B1069"/>
      <c r="C1069"/>
      <c r="D1069"/>
      <c r="E1069"/>
      <c r="F1069"/>
      <c r="G1069"/>
      <c r="H1069"/>
      <c r="I1069"/>
      <c r="J1069"/>
    </row>
    <row r="1070" spans="1:10" ht="11.25" customHeight="1" x14ac:dyDescent="0.25">
      <c r="A1070"/>
      <c r="B1070"/>
      <c r="C1070"/>
      <c r="D1070"/>
      <c r="E1070"/>
      <c r="F1070"/>
      <c r="G1070"/>
      <c r="H1070"/>
      <c r="I1070"/>
      <c r="J1070"/>
    </row>
    <row r="1071" spans="1:10" ht="11.25" customHeight="1" x14ac:dyDescent="0.25">
      <c r="A1071"/>
      <c r="B1071"/>
      <c r="C1071"/>
      <c r="D1071"/>
      <c r="E1071"/>
      <c r="F1071"/>
      <c r="G1071"/>
      <c r="H1071"/>
      <c r="I1071"/>
      <c r="J1071"/>
    </row>
    <row r="1072" spans="1:10" ht="11.25" customHeight="1" x14ac:dyDescent="0.25">
      <c r="A1072"/>
      <c r="B1072"/>
      <c r="C1072"/>
      <c r="D1072"/>
      <c r="E1072"/>
      <c r="F1072"/>
      <c r="G1072"/>
      <c r="H1072"/>
      <c r="I1072"/>
      <c r="J1072"/>
    </row>
    <row r="1073" spans="1:10" ht="11.25" customHeight="1" x14ac:dyDescent="0.25">
      <c r="A1073"/>
      <c r="B1073"/>
      <c r="C1073"/>
      <c r="D1073"/>
      <c r="E1073"/>
      <c r="F1073"/>
      <c r="G1073"/>
      <c r="H1073"/>
      <c r="I1073"/>
      <c r="J1073"/>
    </row>
    <row r="1074" spans="1:10" ht="11.25" customHeight="1" x14ac:dyDescent="0.25">
      <c r="A1074"/>
      <c r="B1074"/>
      <c r="C1074"/>
      <c r="D1074"/>
      <c r="E1074"/>
      <c r="F1074"/>
      <c r="G1074"/>
      <c r="H1074"/>
      <c r="I1074"/>
      <c r="J1074"/>
    </row>
    <row r="1075" spans="1:10" ht="11.25" customHeight="1" x14ac:dyDescent="0.25">
      <c r="A1075"/>
      <c r="B1075"/>
      <c r="C1075"/>
      <c r="D1075"/>
      <c r="E1075"/>
      <c r="F1075"/>
      <c r="G1075"/>
      <c r="H1075"/>
      <c r="I1075"/>
      <c r="J1075"/>
    </row>
    <row r="1076" spans="1:10" ht="11.25" customHeight="1" x14ac:dyDescent="0.25">
      <c r="A1076"/>
      <c r="B1076"/>
      <c r="C1076"/>
      <c r="D1076"/>
      <c r="E1076"/>
      <c r="F1076"/>
      <c r="G1076"/>
      <c r="H1076"/>
      <c r="I1076"/>
      <c r="J1076"/>
    </row>
    <row r="1077" spans="1:10" ht="11.25" customHeight="1" x14ac:dyDescent="0.25">
      <c r="A1077"/>
      <c r="B1077"/>
      <c r="C1077"/>
      <c r="D1077"/>
      <c r="E1077"/>
      <c r="F1077"/>
      <c r="G1077"/>
      <c r="H1077"/>
      <c r="I1077"/>
      <c r="J1077"/>
    </row>
    <row r="1078" spans="1:10" ht="11.25" customHeight="1" x14ac:dyDescent="0.25">
      <c r="A1078"/>
      <c r="B1078"/>
      <c r="C1078"/>
      <c r="D1078"/>
      <c r="E1078"/>
      <c r="F1078"/>
      <c r="G1078"/>
      <c r="H1078"/>
      <c r="I1078"/>
      <c r="J1078"/>
    </row>
    <row r="1079" spans="1:10" ht="11.25" customHeight="1" x14ac:dyDescent="0.25">
      <c r="A1079"/>
      <c r="B1079"/>
      <c r="C1079"/>
      <c r="D1079"/>
      <c r="E1079"/>
      <c r="F1079"/>
      <c r="G1079"/>
      <c r="H1079"/>
      <c r="I1079"/>
      <c r="J1079"/>
    </row>
    <row r="1080" spans="1:10" ht="11.25" customHeight="1" x14ac:dyDescent="0.25">
      <c r="A1080"/>
      <c r="B1080"/>
      <c r="C1080"/>
      <c r="D1080"/>
      <c r="E1080"/>
      <c r="F1080"/>
      <c r="G1080"/>
      <c r="H1080"/>
      <c r="I1080"/>
      <c r="J1080"/>
    </row>
    <row r="1081" spans="1:10" ht="11.25" customHeight="1" x14ac:dyDescent="0.25">
      <c r="A1081"/>
      <c r="B1081"/>
      <c r="C1081"/>
      <c r="D1081"/>
      <c r="E1081"/>
      <c r="F1081"/>
      <c r="G1081"/>
      <c r="H1081"/>
      <c r="I1081"/>
      <c r="J1081"/>
    </row>
    <row r="1082" spans="1:10" ht="11.25" customHeight="1" x14ac:dyDescent="0.25">
      <c r="A1082"/>
      <c r="B1082"/>
      <c r="C1082"/>
      <c r="D1082"/>
      <c r="E1082"/>
      <c r="F1082"/>
      <c r="G1082"/>
      <c r="H1082"/>
      <c r="I1082"/>
      <c r="J1082"/>
    </row>
    <row r="1083" spans="1:10" ht="11.25" customHeight="1" x14ac:dyDescent="0.25">
      <c r="A1083"/>
      <c r="B1083"/>
      <c r="C1083"/>
      <c r="D1083"/>
      <c r="E1083"/>
      <c r="F1083"/>
      <c r="G1083"/>
      <c r="H1083"/>
      <c r="I1083"/>
      <c r="J1083"/>
    </row>
    <row r="1084" spans="1:10" ht="11.25" customHeight="1" x14ac:dyDescent="0.25">
      <c r="A1084"/>
      <c r="B1084"/>
      <c r="C1084"/>
      <c r="D1084"/>
      <c r="E1084"/>
      <c r="F1084"/>
      <c r="G1084"/>
      <c r="H1084"/>
      <c r="I1084"/>
      <c r="J1084"/>
    </row>
    <row r="1085" spans="1:10" ht="11.25" customHeight="1" x14ac:dyDescent="0.25">
      <c r="A1085"/>
      <c r="B1085"/>
      <c r="C1085"/>
      <c r="D1085"/>
      <c r="E1085"/>
      <c r="F1085"/>
      <c r="G1085"/>
      <c r="H1085"/>
      <c r="I1085"/>
      <c r="J1085"/>
    </row>
    <row r="1086" spans="1:10" ht="11.25" customHeight="1" x14ac:dyDescent="0.25">
      <c r="A1086"/>
      <c r="B1086"/>
      <c r="C1086"/>
      <c r="D1086"/>
      <c r="E1086"/>
      <c r="F1086"/>
      <c r="G1086"/>
      <c r="H1086"/>
      <c r="I1086"/>
      <c r="J1086"/>
    </row>
    <row r="1087" spans="1:10" ht="11.25" customHeight="1" x14ac:dyDescent="0.25">
      <c r="A1087"/>
      <c r="B1087"/>
      <c r="C1087"/>
      <c r="D1087"/>
      <c r="E1087"/>
      <c r="F1087"/>
      <c r="G1087"/>
      <c r="H1087"/>
      <c r="I1087"/>
      <c r="J1087"/>
    </row>
    <row r="1088" spans="1:10" ht="11.25" customHeight="1" x14ac:dyDescent="0.25">
      <c r="A1088"/>
      <c r="B1088"/>
      <c r="C1088"/>
      <c r="D1088"/>
      <c r="E1088"/>
      <c r="F1088"/>
      <c r="G1088"/>
      <c r="H1088"/>
      <c r="I1088"/>
      <c r="J1088"/>
    </row>
    <row r="1089" spans="1:10" ht="11.25" customHeight="1" x14ac:dyDescent="0.25">
      <c r="A1089"/>
      <c r="B1089"/>
      <c r="C1089"/>
      <c r="D1089"/>
      <c r="E1089"/>
      <c r="F1089"/>
      <c r="G1089"/>
      <c r="H1089"/>
      <c r="I1089"/>
      <c r="J1089"/>
    </row>
    <row r="1090" spans="1:10" ht="11.25" customHeight="1" x14ac:dyDescent="0.25">
      <c r="A1090"/>
      <c r="B1090"/>
      <c r="C1090"/>
      <c r="D1090"/>
      <c r="E1090"/>
      <c r="F1090"/>
      <c r="G1090"/>
      <c r="H1090"/>
      <c r="I1090"/>
      <c r="J1090"/>
    </row>
    <row r="1091" spans="1:10" ht="11.25" customHeight="1" x14ac:dyDescent="0.25">
      <c r="A1091"/>
      <c r="B1091"/>
      <c r="C1091"/>
      <c r="D1091"/>
      <c r="E1091"/>
      <c r="F1091"/>
      <c r="G1091"/>
      <c r="H1091"/>
      <c r="I1091"/>
      <c r="J1091"/>
    </row>
    <row r="1092" spans="1:10" ht="11.25" customHeight="1" x14ac:dyDescent="0.25">
      <c r="A1092"/>
      <c r="B1092"/>
      <c r="C1092"/>
      <c r="D1092"/>
      <c r="E1092"/>
      <c r="F1092"/>
      <c r="G1092"/>
      <c r="H1092"/>
      <c r="I1092"/>
      <c r="J1092"/>
    </row>
    <row r="1093" spans="1:10" ht="11.25" customHeight="1" x14ac:dyDescent="0.25">
      <c r="A1093"/>
      <c r="B1093"/>
      <c r="C1093"/>
      <c r="D1093"/>
      <c r="E1093"/>
      <c r="F1093"/>
      <c r="G1093"/>
      <c r="H1093"/>
      <c r="I1093"/>
      <c r="J1093"/>
    </row>
    <row r="1094" spans="1:10" ht="11.25" customHeight="1" x14ac:dyDescent="0.25">
      <c r="A1094"/>
      <c r="B1094"/>
      <c r="C1094"/>
      <c r="D1094"/>
      <c r="E1094"/>
      <c r="F1094"/>
      <c r="G1094"/>
      <c r="H1094"/>
      <c r="I1094"/>
      <c r="J1094"/>
    </row>
    <row r="1095" spans="1:10" ht="11.25" customHeight="1" x14ac:dyDescent="0.25">
      <c r="A1095"/>
      <c r="B1095"/>
      <c r="C1095"/>
      <c r="D1095"/>
      <c r="E1095"/>
      <c r="F1095"/>
      <c r="G1095"/>
      <c r="H1095"/>
      <c r="I1095"/>
      <c r="J1095"/>
    </row>
    <row r="1096" spans="1:10" ht="11.25" customHeight="1" x14ac:dyDescent="0.25">
      <c r="A1096"/>
      <c r="B1096"/>
      <c r="C1096"/>
      <c r="D1096"/>
      <c r="E1096"/>
      <c r="F1096"/>
      <c r="G1096"/>
      <c r="H1096"/>
      <c r="I1096"/>
      <c r="J1096"/>
    </row>
    <row r="1097" spans="1:10" ht="11.25" customHeight="1" x14ac:dyDescent="0.25">
      <c r="A1097"/>
      <c r="B1097"/>
      <c r="C1097"/>
      <c r="D1097"/>
      <c r="E1097"/>
      <c r="F1097"/>
      <c r="G1097"/>
      <c r="H1097"/>
      <c r="I1097"/>
      <c r="J1097"/>
    </row>
    <row r="1098" spans="1:10" ht="11.25" customHeight="1" x14ac:dyDescent="0.25">
      <c r="A1098"/>
      <c r="B1098"/>
      <c r="C1098"/>
      <c r="D1098"/>
      <c r="E1098"/>
      <c r="F1098"/>
      <c r="G1098"/>
      <c r="H1098"/>
      <c r="I1098"/>
      <c r="J1098"/>
    </row>
    <row r="1099" spans="1:10" ht="11.25" customHeight="1" x14ac:dyDescent="0.25">
      <c r="A1099"/>
      <c r="B1099"/>
      <c r="C1099"/>
      <c r="D1099"/>
      <c r="E1099"/>
      <c r="F1099"/>
      <c r="G1099"/>
      <c r="H1099"/>
      <c r="I1099"/>
      <c r="J1099"/>
    </row>
    <row r="1100" spans="1:10" ht="11.25" customHeight="1" x14ac:dyDescent="0.25">
      <c r="A1100"/>
      <c r="B1100"/>
      <c r="C1100"/>
      <c r="D1100"/>
      <c r="E1100"/>
      <c r="F1100"/>
      <c r="G1100"/>
      <c r="H1100"/>
      <c r="I1100"/>
      <c r="J1100"/>
    </row>
    <row r="1101" spans="1:10" ht="11.25" customHeight="1" x14ac:dyDescent="0.25">
      <c r="A1101"/>
      <c r="B1101"/>
      <c r="C1101"/>
      <c r="D1101"/>
      <c r="E1101"/>
      <c r="F1101"/>
      <c r="G1101"/>
      <c r="H1101"/>
      <c r="I1101"/>
      <c r="J1101"/>
    </row>
    <row r="1102" spans="1:10" ht="11.25" customHeight="1" x14ac:dyDescent="0.25">
      <c r="A1102"/>
      <c r="B1102"/>
      <c r="C1102"/>
      <c r="D1102"/>
      <c r="E1102"/>
      <c r="F1102"/>
      <c r="G1102"/>
      <c r="H1102"/>
      <c r="I1102"/>
      <c r="J1102"/>
    </row>
    <row r="1103" spans="1:10" ht="11.25" customHeight="1" x14ac:dyDescent="0.25">
      <c r="A1103"/>
      <c r="B1103"/>
      <c r="C1103"/>
      <c r="D1103"/>
      <c r="E1103"/>
      <c r="F1103"/>
      <c r="G1103"/>
      <c r="H1103"/>
      <c r="I1103"/>
      <c r="J1103"/>
    </row>
    <row r="1104" spans="1:10" ht="11.25" customHeight="1" x14ac:dyDescent="0.25">
      <c r="A1104"/>
      <c r="B1104"/>
      <c r="C1104"/>
      <c r="D1104"/>
      <c r="E1104"/>
      <c r="F1104"/>
      <c r="G1104"/>
      <c r="H1104"/>
      <c r="I1104"/>
      <c r="J1104"/>
    </row>
    <row r="1105" spans="1:10" ht="11.25" customHeight="1" x14ac:dyDescent="0.25">
      <c r="A1105"/>
      <c r="B1105"/>
      <c r="C1105"/>
      <c r="D1105"/>
      <c r="E1105"/>
      <c r="F1105"/>
      <c r="G1105"/>
      <c r="H1105"/>
      <c r="I1105"/>
      <c r="J1105"/>
    </row>
    <row r="1106" spans="1:10" ht="11.25" customHeight="1" x14ac:dyDescent="0.25">
      <c r="A1106"/>
      <c r="B1106"/>
      <c r="C1106"/>
      <c r="D1106"/>
      <c r="E1106"/>
      <c r="F1106"/>
      <c r="G1106"/>
      <c r="H1106"/>
      <c r="I1106"/>
      <c r="J1106"/>
    </row>
    <row r="1107" spans="1:10" ht="11.25" customHeight="1" x14ac:dyDescent="0.25">
      <c r="A1107"/>
      <c r="B1107"/>
      <c r="C1107"/>
      <c r="D1107"/>
      <c r="E1107"/>
      <c r="F1107"/>
      <c r="G1107"/>
      <c r="H1107"/>
      <c r="I1107"/>
      <c r="J1107"/>
    </row>
    <row r="1108" spans="1:10" ht="11.25" customHeight="1" x14ac:dyDescent="0.25">
      <c r="A1108"/>
      <c r="B1108"/>
      <c r="C1108"/>
      <c r="D1108"/>
      <c r="E1108"/>
      <c r="F1108"/>
      <c r="G1108"/>
      <c r="H1108"/>
      <c r="I1108"/>
      <c r="J1108"/>
    </row>
    <row r="1109" spans="1:10" ht="11.25" customHeight="1" x14ac:dyDescent="0.25">
      <c r="A1109"/>
      <c r="B1109"/>
      <c r="C1109"/>
      <c r="D1109"/>
      <c r="E1109"/>
      <c r="F1109"/>
      <c r="G1109"/>
      <c r="H1109"/>
      <c r="I1109"/>
      <c r="J1109"/>
    </row>
    <row r="1110" spans="1:10" ht="11.25" customHeight="1" x14ac:dyDescent="0.25">
      <c r="A1110"/>
      <c r="B1110"/>
      <c r="C1110"/>
      <c r="D1110"/>
      <c r="E1110"/>
      <c r="F1110"/>
      <c r="G1110"/>
      <c r="H1110"/>
      <c r="I1110"/>
      <c r="J1110"/>
    </row>
    <row r="1111" spans="1:10" ht="11.25" customHeight="1" x14ac:dyDescent="0.25">
      <c r="A1111"/>
      <c r="B1111"/>
      <c r="C1111"/>
      <c r="D1111"/>
      <c r="E1111"/>
      <c r="F1111"/>
      <c r="G1111"/>
      <c r="H1111"/>
      <c r="I1111"/>
      <c r="J1111"/>
    </row>
    <row r="1112" spans="1:10" ht="11.25" customHeight="1" x14ac:dyDescent="0.25">
      <c r="A1112"/>
      <c r="B1112"/>
      <c r="C1112"/>
      <c r="D1112"/>
      <c r="E1112"/>
      <c r="F1112"/>
      <c r="G1112"/>
      <c r="H1112"/>
      <c r="I1112"/>
      <c r="J1112"/>
    </row>
    <row r="1113" spans="1:10" ht="11.25" customHeight="1" x14ac:dyDescent="0.25">
      <c r="A1113"/>
      <c r="B1113"/>
      <c r="C1113"/>
      <c r="D1113"/>
      <c r="E1113"/>
      <c r="F1113"/>
      <c r="G1113"/>
      <c r="H1113"/>
      <c r="I1113"/>
      <c r="J1113"/>
    </row>
    <row r="1114" spans="1:10" ht="11.25" customHeight="1" x14ac:dyDescent="0.25">
      <c r="A1114"/>
      <c r="B1114"/>
      <c r="C1114"/>
      <c r="D1114"/>
      <c r="E1114"/>
      <c r="F1114"/>
      <c r="G1114"/>
      <c r="H1114"/>
      <c r="I1114"/>
      <c r="J1114"/>
    </row>
    <row r="1115" spans="1:10" ht="11.25" customHeight="1" x14ac:dyDescent="0.25">
      <c r="A1115"/>
      <c r="B1115"/>
      <c r="C1115"/>
      <c r="D1115"/>
      <c r="E1115"/>
      <c r="F1115"/>
      <c r="G1115"/>
      <c r="H1115"/>
      <c r="I1115"/>
      <c r="J1115"/>
    </row>
    <row r="1116" spans="1:10" ht="11.25" customHeight="1" x14ac:dyDescent="0.25">
      <c r="A1116"/>
      <c r="B1116"/>
      <c r="C1116"/>
      <c r="D1116"/>
      <c r="E1116"/>
      <c r="F1116"/>
      <c r="G1116"/>
      <c r="H1116"/>
      <c r="I1116"/>
      <c r="J1116"/>
    </row>
    <row r="1117" spans="1:10" ht="11.25" customHeight="1" x14ac:dyDescent="0.25">
      <c r="A1117"/>
      <c r="B1117"/>
      <c r="C1117"/>
      <c r="D1117"/>
      <c r="E1117"/>
      <c r="F1117"/>
      <c r="G1117"/>
      <c r="H1117"/>
      <c r="I1117"/>
      <c r="J1117"/>
    </row>
    <row r="1118" spans="1:10" ht="11.25" customHeight="1" x14ac:dyDescent="0.25">
      <c r="A1118"/>
      <c r="B1118"/>
      <c r="C1118"/>
      <c r="D1118"/>
      <c r="E1118"/>
      <c r="F1118"/>
      <c r="G1118"/>
      <c r="H1118"/>
      <c r="I1118"/>
      <c r="J1118"/>
    </row>
    <row r="1119" spans="1:10" ht="11.25" customHeight="1" x14ac:dyDescent="0.25">
      <c r="A1119"/>
      <c r="B1119"/>
      <c r="C1119"/>
      <c r="D1119"/>
      <c r="E1119"/>
      <c r="F1119"/>
      <c r="G1119"/>
      <c r="H1119"/>
      <c r="I1119"/>
      <c r="J1119"/>
    </row>
    <row r="1120" spans="1:10" ht="11.25" customHeight="1" x14ac:dyDescent="0.25">
      <c r="A1120"/>
      <c r="B1120"/>
      <c r="C1120"/>
      <c r="D1120"/>
      <c r="E1120"/>
      <c r="F1120"/>
      <c r="G1120"/>
      <c r="H1120"/>
      <c r="I1120"/>
      <c r="J1120"/>
    </row>
    <row r="1121" spans="1:10" ht="11.25" customHeight="1" x14ac:dyDescent="0.25">
      <c r="A1121"/>
      <c r="B1121"/>
      <c r="C1121"/>
      <c r="D1121"/>
      <c r="E1121"/>
      <c r="F1121"/>
      <c r="G1121"/>
      <c r="H1121"/>
      <c r="I1121"/>
      <c r="J1121"/>
    </row>
    <row r="1122" spans="1:10" ht="11.25" customHeight="1" x14ac:dyDescent="0.25">
      <c r="A1122"/>
      <c r="B1122"/>
      <c r="C1122"/>
      <c r="D1122"/>
      <c r="E1122"/>
      <c r="F1122"/>
      <c r="G1122"/>
      <c r="H1122"/>
      <c r="I1122"/>
      <c r="J1122"/>
    </row>
    <row r="1123" spans="1:10" ht="11.25" customHeight="1" x14ac:dyDescent="0.25">
      <c r="A1123"/>
      <c r="B1123"/>
      <c r="C1123"/>
      <c r="D1123"/>
      <c r="E1123"/>
      <c r="F1123"/>
      <c r="G1123"/>
      <c r="H1123"/>
      <c r="I1123"/>
      <c r="J1123"/>
    </row>
    <row r="1124" spans="1:10" ht="11.25" customHeight="1" x14ac:dyDescent="0.25">
      <c r="A1124"/>
      <c r="B1124"/>
      <c r="C1124"/>
      <c r="D1124"/>
      <c r="E1124"/>
      <c r="F1124"/>
      <c r="G1124"/>
      <c r="H1124"/>
      <c r="I1124"/>
      <c r="J1124"/>
    </row>
    <row r="1125" spans="1:10" ht="11.25" customHeight="1" x14ac:dyDescent="0.25">
      <c r="A1125"/>
      <c r="B1125"/>
      <c r="C1125"/>
      <c r="D1125"/>
      <c r="E1125"/>
      <c r="F1125"/>
      <c r="G1125"/>
      <c r="H1125"/>
      <c r="I1125"/>
      <c r="J1125"/>
    </row>
    <row r="1126" spans="1:10" ht="11.25" customHeight="1" x14ac:dyDescent="0.25">
      <c r="A1126"/>
      <c r="B1126"/>
      <c r="C1126"/>
      <c r="D1126"/>
      <c r="E1126"/>
      <c r="F1126"/>
      <c r="G1126"/>
      <c r="H1126"/>
      <c r="I1126"/>
      <c r="J1126"/>
    </row>
    <row r="1127" spans="1:10" ht="11.25" customHeight="1" x14ac:dyDescent="0.25">
      <c r="A1127"/>
      <c r="B1127"/>
      <c r="C1127"/>
      <c r="D1127"/>
      <c r="E1127"/>
      <c r="F1127"/>
      <c r="G1127"/>
      <c r="H1127"/>
      <c r="I1127"/>
      <c r="J1127"/>
    </row>
    <row r="1128" spans="1:10" ht="11.25" customHeight="1" x14ac:dyDescent="0.25">
      <c r="A1128"/>
      <c r="B1128"/>
      <c r="C1128"/>
      <c r="D1128"/>
      <c r="E1128"/>
      <c r="F1128"/>
      <c r="G1128"/>
      <c r="H1128"/>
      <c r="I1128"/>
      <c r="J1128"/>
    </row>
    <row r="1129" spans="1:10" ht="11.25" customHeight="1" x14ac:dyDescent="0.25">
      <c r="A1129"/>
      <c r="B1129"/>
      <c r="C1129"/>
      <c r="D1129"/>
      <c r="E1129"/>
      <c r="F1129"/>
      <c r="G1129"/>
      <c r="H1129"/>
      <c r="I1129"/>
      <c r="J1129"/>
    </row>
    <row r="1130" spans="1:10" ht="11.25" customHeight="1" x14ac:dyDescent="0.25">
      <c r="A1130"/>
      <c r="B1130"/>
      <c r="C1130"/>
      <c r="D1130"/>
      <c r="E1130"/>
      <c r="F1130"/>
      <c r="G1130"/>
      <c r="H1130"/>
      <c r="I1130"/>
      <c r="J1130"/>
    </row>
    <row r="1131" spans="1:10" ht="11.25" customHeight="1" x14ac:dyDescent="0.25">
      <c r="A1131"/>
      <c r="B1131"/>
      <c r="C1131"/>
      <c r="D1131"/>
      <c r="E1131"/>
      <c r="F1131"/>
      <c r="G1131"/>
      <c r="H1131"/>
      <c r="I1131"/>
      <c r="J1131"/>
    </row>
    <row r="1132" spans="1:10" ht="11.25" customHeight="1" x14ac:dyDescent="0.25">
      <c r="A1132"/>
      <c r="B1132"/>
      <c r="C1132"/>
      <c r="D1132"/>
      <c r="E1132"/>
      <c r="F1132"/>
      <c r="G1132"/>
      <c r="H1132"/>
      <c r="I1132"/>
      <c r="J1132"/>
    </row>
    <row r="1133" spans="1:10" ht="11.25" customHeight="1" x14ac:dyDescent="0.25">
      <c r="A1133"/>
      <c r="B1133"/>
      <c r="C1133"/>
      <c r="D1133"/>
      <c r="E1133"/>
      <c r="F1133"/>
      <c r="G1133"/>
      <c r="H1133"/>
      <c r="I1133"/>
      <c r="J1133"/>
    </row>
    <row r="1134" spans="1:10" ht="11.25" customHeight="1" x14ac:dyDescent="0.25">
      <c r="A1134"/>
      <c r="B1134"/>
      <c r="C1134"/>
      <c r="D1134"/>
      <c r="E1134"/>
      <c r="F1134"/>
      <c r="G1134"/>
      <c r="H1134"/>
      <c r="I1134"/>
      <c r="J1134"/>
    </row>
    <row r="1135" spans="1:10" ht="11.25" customHeight="1" x14ac:dyDescent="0.25">
      <c r="A1135"/>
      <c r="B1135"/>
      <c r="C1135"/>
      <c r="D1135"/>
      <c r="E1135"/>
      <c r="F1135"/>
      <c r="G1135"/>
      <c r="H1135"/>
      <c r="I1135"/>
      <c r="J1135"/>
    </row>
    <row r="1136" spans="1:10" ht="11.25" customHeight="1" x14ac:dyDescent="0.25">
      <c r="A1136"/>
      <c r="B1136"/>
      <c r="C1136"/>
      <c r="D1136"/>
      <c r="E1136"/>
      <c r="F1136"/>
      <c r="G1136"/>
      <c r="H1136"/>
      <c r="I1136"/>
      <c r="J1136"/>
    </row>
    <row r="1137" spans="1:10" ht="11.25" customHeight="1" x14ac:dyDescent="0.25">
      <c r="A1137"/>
      <c r="B1137"/>
      <c r="C1137"/>
      <c r="D1137"/>
      <c r="E1137"/>
      <c r="F1137"/>
      <c r="G1137"/>
      <c r="H1137"/>
      <c r="I1137"/>
      <c r="J1137"/>
    </row>
    <row r="1138" spans="1:10" ht="11.25" customHeight="1" x14ac:dyDescent="0.25">
      <c r="A1138"/>
      <c r="B1138"/>
      <c r="C1138"/>
      <c r="D1138"/>
      <c r="E1138"/>
      <c r="F1138"/>
      <c r="G1138"/>
      <c r="H1138"/>
      <c r="I1138"/>
      <c r="J1138"/>
    </row>
    <row r="1139" spans="1:10" ht="11.25" customHeight="1" x14ac:dyDescent="0.25">
      <c r="A1139"/>
      <c r="B1139"/>
      <c r="C1139"/>
      <c r="D1139"/>
      <c r="E1139"/>
      <c r="F1139"/>
      <c r="G1139"/>
      <c r="H1139"/>
      <c r="I1139"/>
      <c r="J1139"/>
    </row>
    <row r="1140" spans="1:10" ht="11.25" customHeight="1" x14ac:dyDescent="0.25">
      <c r="A1140"/>
      <c r="B1140"/>
      <c r="C1140"/>
      <c r="D1140"/>
      <c r="E1140"/>
      <c r="F1140"/>
      <c r="G1140"/>
      <c r="H1140"/>
      <c r="I1140"/>
      <c r="J1140"/>
    </row>
    <row r="1141" spans="1:10" ht="11.25" customHeight="1" x14ac:dyDescent="0.25">
      <c r="A1141"/>
      <c r="B1141"/>
      <c r="C1141"/>
      <c r="D1141"/>
      <c r="E1141"/>
      <c r="F1141"/>
      <c r="G1141"/>
      <c r="H1141"/>
      <c r="I1141"/>
      <c r="J1141"/>
    </row>
    <row r="1142" spans="1:10" ht="11.25" customHeight="1" x14ac:dyDescent="0.25">
      <c r="A1142"/>
      <c r="B1142"/>
      <c r="C1142"/>
      <c r="D1142"/>
      <c r="E1142"/>
      <c r="F1142"/>
      <c r="G1142"/>
      <c r="H1142"/>
      <c r="I1142"/>
      <c r="J1142"/>
    </row>
    <row r="1143" spans="1:10" ht="11.25" customHeight="1" x14ac:dyDescent="0.25">
      <c r="A1143"/>
      <c r="B1143"/>
      <c r="C1143"/>
      <c r="D1143"/>
      <c r="E1143"/>
      <c r="F1143"/>
      <c r="G1143"/>
      <c r="H1143"/>
      <c r="I1143"/>
      <c r="J1143"/>
    </row>
    <row r="1144" spans="1:10" ht="11.25" customHeight="1" x14ac:dyDescent="0.25">
      <c r="A1144"/>
      <c r="B1144"/>
      <c r="C1144"/>
      <c r="D1144"/>
      <c r="E1144"/>
      <c r="F1144"/>
      <c r="G1144"/>
      <c r="H1144"/>
      <c r="I1144"/>
      <c r="J1144"/>
    </row>
    <row r="1145" spans="1:10" ht="11.25" customHeight="1" x14ac:dyDescent="0.25">
      <c r="A1145"/>
      <c r="B1145"/>
      <c r="C1145"/>
      <c r="D1145"/>
      <c r="E1145"/>
      <c r="F1145"/>
      <c r="G1145"/>
      <c r="H1145"/>
      <c r="I1145"/>
      <c r="J1145"/>
    </row>
    <row r="1146" spans="1:10" ht="11.25" customHeight="1" x14ac:dyDescent="0.25">
      <c r="A1146"/>
      <c r="B1146"/>
      <c r="C1146"/>
      <c r="D1146"/>
      <c r="E1146"/>
      <c r="F1146"/>
      <c r="G1146"/>
      <c r="H1146"/>
      <c r="I1146"/>
      <c r="J1146"/>
    </row>
    <row r="1147" spans="1:10" ht="11.25" customHeight="1" x14ac:dyDescent="0.25">
      <c r="A1147"/>
      <c r="B1147"/>
      <c r="C1147"/>
      <c r="D1147"/>
      <c r="E1147"/>
      <c r="F1147"/>
      <c r="G1147"/>
      <c r="H1147"/>
      <c r="I1147"/>
      <c r="J1147"/>
    </row>
    <row r="1148" spans="1:10" ht="11.25" customHeight="1" x14ac:dyDescent="0.25">
      <c r="A1148"/>
      <c r="B1148"/>
      <c r="C1148"/>
      <c r="D1148"/>
      <c r="E1148"/>
      <c r="F1148"/>
      <c r="G1148"/>
      <c r="H1148"/>
      <c r="I1148"/>
      <c r="J1148"/>
    </row>
    <row r="1149" spans="1:10" ht="11.25" customHeight="1" x14ac:dyDescent="0.25">
      <c r="A1149"/>
      <c r="B1149"/>
      <c r="C1149"/>
      <c r="D1149"/>
      <c r="E1149"/>
      <c r="F1149"/>
      <c r="G1149"/>
      <c r="H1149"/>
      <c r="I1149"/>
      <c r="J1149"/>
    </row>
    <row r="1150" spans="1:10" ht="11.25" customHeight="1" x14ac:dyDescent="0.25">
      <c r="A1150"/>
      <c r="B1150"/>
      <c r="C1150"/>
      <c r="D1150"/>
      <c r="E1150"/>
      <c r="F1150"/>
      <c r="G1150"/>
      <c r="H1150"/>
      <c r="I1150"/>
      <c r="J1150"/>
    </row>
    <row r="1151" spans="1:10" ht="11.25" customHeight="1" x14ac:dyDescent="0.25">
      <c r="A1151"/>
      <c r="B1151"/>
      <c r="C1151"/>
      <c r="D1151"/>
      <c r="E1151"/>
      <c r="F1151"/>
      <c r="G1151"/>
      <c r="H1151"/>
      <c r="I1151"/>
      <c r="J1151"/>
    </row>
    <row r="1152" spans="1:10" ht="11.25" customHeight="1" x14ac:dyDescent="0.25">
      <c r="A1152"/>
      <c r="B1152"/>
      <c r="C1152"/>
      <c r="D1152"/>
      <c r="E1152"/>
      <c r="F1152"/>
      <c r="G1152"/>
      <c r="H1152"/>
      <c r="I1152"/>
      <c r="J1152"/>
    </row>
    <row r="1153" spans="1:10" ht="11.25" customHeight="1" x14ac:dyDescent="0.25">
      <c r="A1153"/>
      <c r="B1153"/>
      <c r="C1153"/>
      <c r="D1153"/>
      <c r="E1153"/>
      <c r="F1153"/>
      <c r="G1153"/>
      <c r="H1153"/>
      <c r="I1153"/>
      <c r="J1153"/>
    </row>
    <row r="1154" spans="1:10" ht="11.25" customHeight="1" x14ac:dyDescent="0.25">
      <c r="A1154"/>
      <c r="B1154"/>
      <c r="C1154"/>
      <c r="D1154"/>
      <c r="E1154"/>
      <c r="F1154"/>
      <c r="G1154"/>
      <c r="H1154"/>
      <c r="I1154"/>
      <c r="J1154"/>
    </row>
    <row r="1155" spans="1:10" ht="11.25" customHeight="1" x14ac:dyDescent="0.25">
      <c r="A1155"/>
      <c r="B1155"/>
      <c r="C1155"/>
      <c r="D1155"/>
      <c r="E1155"/>
      <c r="F1155"/>
      <c r="G1155"/>
      <c r="H1155"/>
      <c r="I1155"/>
      <c r="J1155"/>
    </row>
    <row r="1156" spans="1:10" ht="11.25" customHeight="1" x14ac:dyDescent="0.25">
      <c r="A1156"/>
      <c r="B1156"/>
      <c r="C1156"/>
      <c r="D1156"/>
      <c r="E1156"/>
      <c r="F1156"/>
      <c r="G1156"/>
      <c r="H1156"/>
      <c r="I1156"/>
      <c r="J1156"/>
    </row>
    <row r="1157" spans="1:10" ht="11.25" customHeight="1" x14ac:dyDescent="0.25">
      <c r="A1157"/>
      <c r="B1157"/>
      <c r="C1157"/>
      <c r="D1157"/>
      <c r="E1157"/>
      <c r="F1157"/>
      <c r="G1157"/>
      <c r="H1157"/>
      <c r="I1157"/>
      <c r="J1157"/>
    </row>
    <row r="1158" spans="1:10" ht="11.25" customHeight="1" x14ac:dyDescent="0.25">
      <c r="A1158"/>
      <c r="B1158"/>
      <c r="C1158"/>
      <c r="D1158"/>
      <c r="E1158"/>
      <c r="F1158"/>
      <c r="G1158"/>
      <c r="H1158"/>
      <c r="I1158"/>
      <c r="J1158"/>
    </row>
    <row r="1159" spans="1:10" ht="11.25" customHeight="1" x14ac:dyDescent="0.25">
      <c r="A1159"/>
      <c r="B1159"/>
      <c r="C1159"/>
      <c r="D1159"/>
      <c r="E1159"/>
      <c r="F1159"/>
      <c r="G1159"/>
      <c r="H1159"/>
      <c r="I1159"/>
      <c r="J1159"/>
    </row>
    <row r="1160" spans="1:10" ht="11.25" customHeight="1" x14ac:dyDescent="0.25">
      <c r="A1160"/>
      <c r="B1160"/>
      <c r="C1160"/>
      <c r="D1160"/>
      <c r="E1160"/>
      <c r="F1160"/>
      <c r="G1160"/>
      <c r="H1160"/>
      <c r="I1160"/>
      <c r="J1160"/>
    </row>
    <row r="1161" spans="1:10" ht="11.25" customHeight="1" x14ac:dyDescent="0.25">
      <c r="A1161"/>
      <c r="B1161"/>
      <c r="C1161"/>
      <c r="D1161"/>
      <c r="E1161"/>
      <c r="F1161"/>
      <c r="G1161"/>
      <c r="H1161"/>
      <c r="I1161"/>
      <c r="J1161"/>
    </row>
    <row r="1162" spans="1:10" ht="11.25" customHeight="1" x14ac:dyDescent="0.25">
      <c r="A1162"/>
      <c r="B1162"/>
      <c r="C1162"/>
      <c r="D1162"/>
      <c r="E1162"/>
      <c r="F1162"/>
      <c r="G1162"/>
      <c r="H1162"/>
      <c r="I1162"/>
      <c r="J1162"/>
    </row>
    <row r="1163" spans="1:10" ht="11.25" customHeight="1" x14ac:dyDescent="0.25">
      <c r="A1163"/>
      <c r="B1163"/>
      <c r="C1163"/>
      <c r="D1163"/>
      <c r="E1163"/>
      <c r="F1163"/>
      <c r="G1163"/>
      <c r="H1163"/>
      <c r="I1163"/>
      <c r="J1163"/>
    </row>
    <row r="1164" spans="1:10" ht="11.25" customHeight="1" x14ac:dyDescent="0.25">
      <c r="A1164"/>
      <c r="B1164"/>
      <c r="C1164"/>
      <c r="D1164"/>
      <c r="E1164"/>
      <c r="F1164"/>
      <c r="G1164"/>
      <c r="H1164"/>
      <c r="I1164"/>
      <c r="J1164"/>
    </row>
    <row r="1165" spans="1:10" ht="11.25" customHeight="1" x14ac:dyDescent="0.25">
      <c r="A1165"/>
      <c r="B1165"/>
      <c r="C1165"/>
      <c r="D1165"/>
      <c r="E1165"/>
      <c r="F1165"/>
      <c r="G1165"/>
      <c r="H1165"/>
      <c r="I1165"/>
      <c r="J1165"/>
    </row>
    <row r="1166" spans="1:10" ht="11.25" customHeight="1" x14ac:dyDescent="0.25">
      <c r="A1166"/>
      <c r="B1166"/>
      <c r="C1166"/>
      <c r="D1166"/>
      <c r="E1166"/>
      <c r="F1166"/>
      <c r="G1166"/>
      <c r="H1166"/>
      <c r="I1166"/>
      <c r="J1166"/>
    </row>
    <row r="1167" spans="1:10" ht="11.25" customHeight="1" x14ac:dyDescent="0.25">
      <c r="A1167"/>
      <c r="B1167"/>
      <c r="C1167"/>
      <c r="D1167"/>
      <c r="E1167"/>
      <c r="F1167"/>
      <c r="G1167"/>
      <c r="H1167"/>
      <c r="I1167"/>
      <c r="J1167"/>
    </row>
    <row r="1168" spans="1:10" ht="11.25" customHeight="1" x14ac:dyDescent="0.25">
      <c r="A1168"/>
      <c r="B1168"/>
      <c r="C1168"/>
      <c r="D1168"/>
      <c r="E1168"/>
      <c r="F1168"/>
      <c r="G1168"/>
      <c r="H1168"/>
      <c r="I1168"/>
      <c r="J1168"/>
    </row>
    <row r="1169" spans="1:10" ht="11.25" customHeight="1" x14ac:dyDescent="0.25">
      <c r="A1169"/>
      <c r="B1169"/>
      <c r="C1169"/>
      <c r="D1169"/>
      <c r="E1169"/>
      <c r="F1169"/>
      <c r="G1169"/>
      <c r="H1169"/>
      <c r="I1169"/>
      <c r="J1169"/>
    </row>
    <row r="1170" spans="1:10" ht="11.25" customHeight="1" x14ac:dyDescent="0.25">
      <c r="A1170"/>
      <c r="B1170"/>
      <c r="C1170"/>
      <c r="D1170"/>
      <c r="E1170"/>
      <c r="F1170"/>
      <c r="G1170"/>
      <c r="H1170"/>
      <c r="I1170"/>
      <c r="J1170"/>
    </row>
    <row r="1171" spans="1:10" ht="11.25" customHeight="1" x14ac:dyDescent="0.25">
      <c r="A1171"/>
      <c r="B1171"/>
      <c r="C1171"/>
      <c r="D1171"/>
      <c r="E1171"/>
      <c r="F1171"/>
      <c r="G1171"/>
      <c r="H1171"/>
      <c r="I1171"/>
      <c r="J1171"/>
    </row>
    <row r="1172" spans="1:10" ht="11.25" customHeight="1" x14ac:dyDescent="0.25">
      <c r="A1172"/>
      <c r="B1172"/>
      <c r="C1172"/>
      <c r="D1172"/>
      <c r="E1172"/>
      <c r="F1172"/>
      <c r="G1172"/>
      <c r="H1172"/>
      <c r="I1172"/>
      <c r="J1172"/>
    </row>
    <row r="1173" spans="1:10" ht="11.25" customHeight="1" x14ac:dyDescent="0.25">
      <c r="A1173"/>
      <c r="B1173"/>
      <c r="C1173"/>
      <c r="D1173"/>
      <c r="E1173"/>
      <c r="F1173"/>
      <c r="G1173"/>
      <c r="H1173"/>
      <c r="I1173"/>
      <c r="J1173"/>
    </row>
    <row r="1174" spans="1:10" ht="11.25" customHeight="1" x14ac:dyDescent="0.25">
      <c r="A1174"/>
      <c r="B1174"/>
      <c r="C1174"/>
      <c r="D1174"/>
      <c r="E1174"/>
      <c r="F1174"/>
      <c r="G1174"/>
      <c r="H1174"/>
      <c r="I1174"/>
      <c r="J1174"/>
    </row>
    <row r="1175" spans="1:10" ht="11.25" customHeight="1" x14ac:dyDescent="0.25">
      <c r="A1175"/>
      <c r="B1175"/>
      <c r="C1175"/>
      <c r="D1175"/>
      <c r="E1175"/>
      <c r="F1175"/>
      <c r="G1175"/>
      <c r="H1175"/>
      <c r="I1175"/>
      <c r="J1175"/>
    </row>
    <row r="1176" spans="1:10" ht="11.25" customHeight="1" x14ac:dyDescent="0.25">
      <c r="A1176"/>
      <c r="B1176"/>
      <c r="C1176"/>
      <c r="D1176"/>
      <c r="E1176"/>
      <c r="F1176"/>
      <c r="G1176"/>
      <c r="H1176"/>
      <c r="I1176"/>
      <c r="J1176"/>
    </row>
    <row r="1177" spans="1:10" ht="11.25" customHeight="1" x14ac:dyDescent="0.25">
      <c r="A1177"/>
      <c r="B1177"/>
      <c r="C1177"/>
      <c r="D1177"/>
      <c r="E1177"/>
      <c r="F1177"/>
      <c r="G1177"/>
      <c r="H1177"/>
      <c r="I1177"/>
      <c r="J1177"/>
    </row>
    <row r="1178" spans="1:10" ht="11.25" customHeight="1" x14ac:dyDescent="0.25">
      <c r="A1178"/>
      <c r="B1178"/>
      <c r="C1178"/>
      <c r="D1178"/>
      <c r="E1178"/>
      <c r="F1178"/>
      <c r="G1178"/>
      <c r="H1178"/>
      <c r="I1178"/>
      <c r="J1178"/>
    </row>
    <row r="1179" spans="1:10" ht="11.25" customHeight="1" x14ac:dyDescent="0.25">
      <c r="A1179"/>
      <c r="B1179"/>
      <c r="C1179"/>
      <c r="D1179"/>
      <c r="E1179"/>
      <c r="F1179"/>
      <c r="G1179"/>
      <c r="H1179"/>
      <c r="I1179"/>
      <c r="J1179"/>
    </row>
    <row r="1180" spans="1:10" ht="11.25" customHeight="1" x14ac:dyDescent="0.25">
      <c r="A1180"/>
      <c r="B1180"/>
      <c r="C1180"/>
      <c r="D1180"/>
      <c r="E1180"/>
      <c r="F1180"/>
      <c r="G1180"/>
      <c r="H1180"/>
      <c r="I1180"/>
      <c r="J1180"/>
    </row>
    <row r="1181" spans="1:10" ht="11.25" customHeight="1" x14ac:dyDescent="0.25">
      <c r="A1181"/>
      <c r="B1181"/>
      <c r="C1181"/>
      <c r="D1181"/>
      <c r="E1181"/>
      <c r="F1181"/>
      <c r="G1181"/>
      <c r="H1181"/>
      <c r="I1181"/>
      <c r="J1181"/>
    </row>
    <row r="1182" spans="1:10" ht="11.25" customHeight="1" x14ac:dyDescent="0.25">
      <c r="A1182"/>
      <c r="B1182"/>
      <c r="C1182"/>
      <c r="D1182"/>
      <c r="E1182"/>
      <c r="F1182"/>
      <c r="G1182"/>
      <c r="H1182"/>
      <c r="I1182"/>
      <c r="J1182"/>
    </row>
    <row r="1183" spans="1:10" ht="11.25" customHeight="1" x14ac:dyDescent="0.25">
      <c r="A1183"/>
      <c r="B1183"/>
      <c r="C1183"/>
      <c r="D1183"/>
      <c r="E1183"/>
      <c r="F1183"/>
      <c r="G1183"/>
      <c r="H1183"/>
      <c r="I1183"/>
      <c r="J1183"/>
    </row>
    <row r="1184" spans="1:10" ht="11.25" customHeight="1" x14ac:dyDescent="0.25">
      <c r="A1184"/>
      <c r="B1184"/>
      <c r="C1184"/>
      <c r="D1184"/>
      <c r="E1184"/>
      <c r="F1184"/>
      <c r="G1184"/>
      <c r="H1184"/>
      <c r="I1184"/>
      <c r="J1184"/>
    </row>
    <row r="1185" spans="1:10" ht="11.25" customHeight="1" x14ac:dyDescent="0.25">
      <c r="A1185"/>
      <c r="B1185"/>
      <c r="C1185"/>
      <c r="D1185"/>
      <c r="E1185"/>
      <c r="F1185"/>
      <c r="G1185"/>
      <c r="H1185"/>
      <c r="I1185"/>
      <c r="J1185"/>
    </row>
    <row r="1186" spans="1:10" ht="11.25" customHeight="1" x14ac:dyDescent="0.25">
      <c r="A1186"/>
      <c r="B1186"/>
      <c r="C1186"/>
      <c r="D1186"/>
      <c r="E1186"/>
      <c r="F1186"/>
      <c r="G1186"/>
      <c r="H1186"/>
      <c r="I1186"/>
      <c r="J1186"/>
    </row>
    <row r="1187" spans="1:10" ht="11.25" customHeight="1" x14ac:dyDescent="0.25">
      <c r="A1187"/>
      <c r="B1187"/>
      <c r="C1187"/>
      <c r="D1187"/>
      <c r="E1187"/>
      <c r="F1187"/>
      <c r="G1187"/>
      <c r="H1187"/>
      <c r="I1187"/>
      <c r="J1187"/>
    </row>
    <row r="1188" spans="1:10" ht="11.25" customHeight="1" x14ac:dyDescent="0.25">
      <c r="A1188"/>
      <c r="B1188"/>
      <c r="C1188"/>
      <c r="D1188"/>
      <c r="E1188"/>
      <c r="F1188"/>
      <c r="G1188"/>
      <c r="H1188"/>
      <c r="I1188"/>
      <c r="J1188"/>
    </row>
    <row r="1189" spans="1:10" ht="11.25" customHeight="1" x14ac:dyDescent="0.25">
      <c r="A1189"/>
      <c r="B1189"/>
      <c r="C1189"/>
      <c r="D1189"/>
      <c r="E1189"/>
      <c r="F1189"/>
      <c r="G1189"/>
      <c r="H1189"/>
      <c r="I1189"/>
      <c r="J1189"/>
    </row>
    <row r="1190" spans="1:10" ht="11.25" customHeight="1" x14ac:dyDescent="0.25">
      <c r="A1190"/>
      <c r="B1190"/>
      <c r="C1190"/>
      <c r="D1190"/>
      <c r="E1190"/>
      <c r="F1190"/>
      <c r="G1190"/>
      <c r="H1190"/>
      <c r="I1190"/>
      <c r="J1190"/>
    </row>
    <row r="1191" spans="1:10" ht="11.25" customHeight="1" x14ac:dyDescent="0.25">
      <c r="A1191"/>
      <c r="B1191"/>
      <c r="C1191"/>
      <c r="D1191"/>
      <c r="E1191"/>
      <c r="F1191"/>
      <c r="G1191"/>
      <c r="H1191"/>
      <c r="I1191"/>
      <c r="J1191"/>
    </row>
    <row r="1192" spans="1:10" ht="11.25" customHeight="1" x14ac:dyDescent="0.25">
      <c r="A1192"/>
      <c r="B1192"/>
      <c r="C1192"/>
      <c r="D1192"/>
      <c r="E1192"/>
      <c r="F1192"/>
      <c r="G1192"/>
      <c r="H1192"/>
      <c r="I1192"/>
      <c r="J1192"/>
    </row>
    <row r="1193" spans="1:10" ht="11.25" customHeight="1" x14ac:dyDescent="0.25">
      <c r="A1193"/>
      <c r="B1193"/>
      <c r="C1193"/>
      <c r="D1193"/>
      <c r="E1193"/>
      <c r="F1193"/>
      <c r="G1193"/>
      <c r="H1193"/>
      <c r="I1193"/>
      <c r="J1193"/>
    </row>
    <row r="1194" spans="1:10" ht="11.25" customHeight="1" x14ac:dyDescent="0.25">
      <c r="A1194"/>
      <c r="B1194"/>
      <c r="C1194"/>
      <c r="D1194"/>
      <c r="E1194"/>
      <c r="F1194"/>
      <c r="G1194"/>
      <c r="H1194"/>
      <c r="I1194"/>
      <c r="J1194"/>
    </row>
    <row r="1195" spans="1:10" ht="11.25" customHeight="1" x14ac:dyDescent="0.25">
      <c r="A1195"/>
      <c r="B1195"/>
      <c r="C1195"/>
      <c r="D1195"/>
      <c r="E1195"/>
      <c r="F1195"/>
      <c r="G1195"/>
      <c r="H1195"/>
      <c r="I1195"/>
      <c r="J1195"/>
    </row>
    <row r="1196" spans="1:10" ht="11.25" customHeight="1" x14ac:dyDescent="0.25">
      <c r="A1196"/>
      <c r="B1196"/>
      <c r="C1196"/>
      <c r="D1196"/>
      <c r="E1196"/>
      <c r="F1196"/>
      <c r="G1196"/>
      <c r="H1196"/>
      <c r="I1196"/>
      <c r="J1196"/>
    </row>
    <row r="1197" spans="1:10" ht="11.25" customHeight="1" x14ac:dyDescent="0.25">
      <c r="A1197"/>
      <c r="B1197"/>
      <c r="C1197"/>
      <c r="D1197"/>
      <c r="E1197"/>
      <c r="F1197"/>
      <c r="G1197"/>
      <c r="H1197"/>
      <c r="I1197"/>
      <c r="J1197"/>
    </row>
    <row r="1198" spans="1:10" ht="11.25" customHeight="1" x14ac:dyDescent="0.25">
      <c r="A1198"/>
      <c r="B1198"/>
      <c r="C1198"/>
      <c r="D1198"/>
      <c r="E1198"/>
      <c r="F1198"/>
      <c r="G1198"/>
      <c r="H1198"/>
      <c r="I1198"/>
      <c r="J1198"/>
    </row>
    <row r="1199" spans="1:10" ht="11.25" customHeight="1" x14ac:dyDescent="0.25">
      <c r="A1199"/>
      <c r="B1199"/>
      <c r="C1199"/>
      <c r="D1199"/>
      <c r="E1199"/>
      <c r="F1199"/>
      <c r="G1199"/>
      <c r="H1199"/>
      <c r="I1199"/>
      <c r="J1199"/>
    </row>
    <row r="1200" spans="1:10" ht="11.25" customHeight="1" x14ac:dyDescent="0.25">
      <c r="A1200"/>
      <c r="B1200"/>
      <c r="C1200"/>
      <c r="D1200"/>
      <c r="E1200"/>
      <c r="F1200"/>
      <c r="G1200"/>
      <c r="H1200"/>
      <c r="I1200"/>
      <c r="J1200"/>
    </row>
    <row r="1201" spans="1:10" ht="11.25" customHeight="1" x14ac:dyDescent="0.25">
      <c r="A1201"/>
      <c r="B1201"/>
      <c r="C1201"/>
      <c r="D1201"/>
      <c r="E1201"/>
      <c r="F1201"/>
      <c r="G1201"/>
      <c r="H1201"/>
      <c r="I1201"/>
      <c r="J1201"/>
    </row>
    <row r="1202" spans="1:10" ht="11.25" customHeight="1" x14ac:dyDescent="0.25">
      <c r="A1202"/>
      <c r="B1202"/>
      <c r="C1202"/>
      <c r="D1202"/>
      <c r="E1202"/>
      <c r="F1202"/>
      <c r="G1202"/>
      <c r="H1202"/>
      <c r="I1202"/>
      <c r="J1202"/>
    </row>
    <row r="1203" spans="1:10" ht="11.25" customHeight="1" x14ac:dyDescent="0.25">
      <c r="A1203"/>
      <c r="B1203"/>
      <c r="C1203"/>
      <c r="D1203"/>
      <c r="E1203"/>
      <c r="F1203"/>
      <c r="G1203"/>
      <c r="H1203"/>
      <c r="I1203"/>
      <c r="J1203"/>
    </row>
    <row r="1204" spans="1:10" ht="11.25" customHeight="1" x14ac:dyDescent="0.25">
      <c r="A1204"/>
      <c r="B1204"/>
      <c r="C1204"/>
      <c r="D1204"/>
      <c r="E1204"/>
      <c r="F1204"/>
      <c r="G1204"/>
      <c r="H1204"/>
      <c r="I1204"/>
      <c r="J1204"/>
    </row>
    <row r="1205" spans="1:10" ht="11.25" customHeight="1" x14ac:dyDescent="0.25">
      <c r="A1205"/>
      <c r="B1205"/>
      <c r="C1205"/>
      <c r="D1205"/>
      <c r="E1205"/>
      <c r="F1205"/>
      <c r="G1205"/>
      <c r="H1205"/>
      <c r="I1205"/>
      <c r="J1205"/>
    </row>
    <row r="1206" spans="1:10" ht="11.25" customHeight="1" x14ac:dyDescent="0.25">
      <c r="A1206"/>
      <c r="B1206"/>
      <c r="C1206"/>
      <c r="D1206"/>
      <c r="E1206"/>
      <c r="F1206"/>
      <c r="G1206"/>
      <c r="H1206"/>
      <c r="I1206"/>
      <c r="J1206"/>
    </row>
    <row r="1207" spans="1:10" ht="11.25" customHeight="1" x14ac:dyDescent="0.25">
      <c r="A1207"/>
      <c r="B1207"/>
      <c r="C1207"/>
      <c r="D1207"/>
      <c r="E1207"/>
      <c r="F1207"/>
      <c r="G1207"/>
      <c r="H1207"/>
      <c r="I1207"/>
      <c r="J1207"/>
    </row>
    <row r="1208" spans="1:10" ht="11.25" customHeight="1" x14ac:dyDescent="0.25">
      <c r="A1208"/>
      <c r="B1208"/>
      <c r="C1208"/>
      <c r="D1208"/>
      <c r="E1208"/>
      <c r="F1208"/>
      <c r="G1208"/>
      <c r="H1208"/>
      <c r="I1208"/>
      <c r="J1208"/>
    </row>
    <row r="1209" spans="1:10" ht="11.25" customHeight="1" x14ac:dyDescent="0.25">
      <c r="A1209"/>
      <c r="B1209"/>
      <c r="C1209"/>
      <c r="D1209"/>
      <c r="E1209"/>
      <c r="F1209"/>
      <c r="G1209"/>
      <c r="H1209"/>
      <c r="I1209"/>
      <c r="J1209"/>
    </row>
    <row r="1210" spans="1:10" ht="11.25" customHeight="1" x14ac:dyDescent="0.25">
      <c r="A1210"/>
      <c r="B1210"/>
      <c r="C1210"/>
      <c r="D1210"/>
      <c r="E1210"/>
      <c r="F1210"/>
      <c r="G1210"/>
      <c r="H1210"/>
      <c r="I1210"/>
      <c r="J1210"/>
    </row>
    <row r="1211" spans="1:10" ht="11.25" customHeight="1" x14ac:dyDescent="0.25">
      <c r="A1211"/>
      <c r="B1211"/>
      <c r="C1211"/>
      <c r="D1211"/>
      <c r="E1211"/>
      <c r="F1211"/>
      <c r="G1211"/>
      <c r="H1211"/>
      <c r="I1211"/>
      <c r="J1211"/>
    </row>
    <row r="1212" spans="1:10" ht="11.25" customHeight="1" x14ac:dyDescent="0.25">
      <c r="A1212"/>
      <c r="B1212"/>
      <c r="C1212"/>
      <c r="D1212"/>
      <c r="E1212"/>
      <c r="F1212"/>
      <c r="G1212"/>
      <c r="H1212"/>
      <c r="I1212"/>
      <c r="J1212"/>
    </row>
    <row r="1213" spans="1:10" ht="11.25" customHeight="1" x14ac:dyDescent="0.25">
      <c r="A1213"/>
      <c r="B1213"/>
      <c r="C1213"/>
      <c r="D1213"/>
      <c r="E1213"/>
      <c r="F1213"/>
      <c r="G1213"/>
      <c r="H1213"/>
      <c r="I1213"/>
      <c r="J1213"/>
    </row>
    <row r="1214" spans="1:10" ht="11.25" customHeight="1" x14ac:dyDescent="0.25">
      <c r="A1214"/>
      <c r="B1214"/>
      <c r="C1214"/>
      <c r="D1214"/>
      <c r="E1214"/>
      <c r="F1214"/>
      <c r="G1214"/>
      <c r="H1214"/>
      <c r="I1214"/>
      <c r="J1214"/>
    </row>
    <row r="1215" spans="1:10" ht="11.25" customHeight="1" x14ac:dyDescent="0.25">
      <c r="A1215"/>
      <c r="B1215"/>
      <c r="C1215"/>
      <c r="D1215"/>
      <c r="E1215"/>
      <c r="F1215"/>
      <c r="G1215"/>
      <c r="H1215"/>
      <c r="I1215"/>
      <c r="J1215"/>
    </row>
    <row r="1216" spans="1:10" ht="11.25" customHeight="1" x14ac:dyDescent="0.25">
      <c r="A1216"/>
      <c r="B1216"/>
      <c r="C1216"/>
      <c r="D1216"/>
      <c r="E1216"/>
      <c r="F1216"/>
      <c r="G1216"/>
      <c r="H1216"/>
      <c r="I1216"/>
      <c r="J1216"/>
    </row>
    <row r="1217" spans="1:10" ht="11.25" customHeight="1" x14ac:dyDescent="0.25">
      <c r="A1217"/>
      <c r="B1217"/>
      <c r="C1217"/>
      <c r="D1217"/>
      <c r="E1217"/>
      <c r="F1217"/>
      <c r="G1217"/>
      <c r="H1217"/>
      <c r="I1217"/>
      <c r="J1217"/>
    </row>
    <row r="1218" spans="1:10" ht="11.25" customHeight="1" x14ac:dyDescent="0.25">
      <c r="A1218"/>
      <c r="B1218"/>
      <c r="C1218"/>
      <c r="D1218"/>
      <c r="E1218"/>
      <c r="F1218"/>
      <c r="G1218"/>
      <c r="H1218"/>
      <c r="I1218"/>
      <c r="J1218"/>
    </row>
    <row r="1219" spans="1:10" ht="11.25" customHeight="1" x14ac:dyDescent="0.25">
      <c r="A1219"/>
      <c r="B1219"/>
      <c r="C1219"/>
      <c r="D1219"/>
      <c r="E1219"/>
      <c r="F1219"/>
      <c r="G1219"/>
      <c r="H1219"/>
      <c r="I1219"/>
      <c r="J1219"/>
    </row>
    <row r="1220" spans="1:10" ht="11.25" customHeight="1" x14ac:dyDescent="0.25">
      <c r="A1220"/>
      <c r="B1220"/>
      <c r="C1220"/>
      <c r="D1220"/>
      <c r="E1220"/>
      <c r="F1220"/>
      <c r="G1220"/>
      <c r="H1220"/>
      <c r="I1220"/>
      <c r="J1220"/>
    </row>
    <row r="1221" spans="1:10" ht="11.25" customHeight="1" x14ac:dyDescent="0.25">
      <c r="A1221"/>
      <c r="B1221"/>
      <c r="C1221"/>
      <c r="D1221"/>
      <c r="E1221"/>
      <c r="F1221"/>
      <c r="G1221"/>
      <c r="H1221"/>
      <c r="I1221"/>
      <c r="J1221"/>
    </row>
    <row r="1222" spans="1:10" ht="11.25" customHeight="1" x14ac:dyDescent="0.25">
      <c r="A1222"/>
      <c r="B1222"/>
      <c r="C1222"/>
      <c r="D1222"/>
      <c r="E1222"/>
      <c r="F1222"/>
      <c r="G1222"/>
      <c r="H1222"/>
      <c r="I1222"/>
      <c r="J1222"/>
    </row>
    <row r="1223" spans="1:10" ht="11.25" customHeight="1" x14ac:dyDescent="0.25">
      <c r="A1223"/>
      <c r="B1223"/>
      <c r="C1223"/>
      <c r="D1223"/>
      <c r="E1223"/>
      <c r="F1223"/>
      <c r="G1223"/>
      <c r="H1223"/>
      <c r="I1223"/>
      <c r="J1223"/>
    </row>
    <row r="1224" spans="1:10" ht="11.25" customHeight="1" x14ac:dyDescent="0.25">
      <c r="A1224"/>
      <c r="B1224"/>
      <c r="C1224"/>
      <c r="D1224"/>
      <c r="E1224"/>
      <c r="F1224"/>
      <c r="G1224"/>
      <c r="H1224"/>
      <c r="I1224"/>
      <c r="J1224"/>
    </row>
    <row r="1225" spans="1:10" ht="11.25" customHeight="1" x14ac:dyDescent="0.25">
      <c r="A1225"/>
      <c r="B1225"/>
      <c r="C1225"/>
      <c r="D1225"/>
      <c r="E1225"/>
      <c r="F1225"/>
      <c r="G1225"/>
      <c r="H1225"/>
      <c r="I1225"/>
      <c r="J1225"/>
    </row>
    <row r="1226" spans="1:10" ht="11.25" customHeight="1" x14ac:dyDescent="0.25">
      <c r="A1226"/>
      <c r="B1226"/>
      <c r="C1226"/>
      <c r="D1226"/>
      <c r="E1226"/>
      <c r="F1226"/>
      <c r="G1226"/>
      <c r="H1226"/>
      <c r="I1226"/>
      <c r="J1226"/>
    </row>
    <row r="1227" spans="1:10" ht="11.25" customHeight="1" x14ac:dyDescent="0.25">
      <c r="A1227"/>
      <c r="B1227"/>
      <c r="C1227"/>
      <c r="D1227"/>
      <c r="E1227"/>
      <c r="F1227"/>
      <c r="G1227"/>
      <c r="H1227"/>
      <c r="I1227"/>
      <c r="J1227"/>
    </row>
    <row r="1228" spans="1:10" ht="11.25" customHeight="1" x14ac:dyDescent="0.25">
      <c r="A1228"/>
      <c r="B1228"/>
      <c r="C1228"/>
      <c r="D1228"/>
      <c r="E1228"/>
      <c r="F1228"/>
      <c r="G1228"/>
      <c r="H1228"/>
      <c r="I1228"/>
      <c r="J1228"/>
    </row>
    <row r="1229" spans="1:10" ht="11.25" customHeight="1" x14ac:dyDescent="0.25">
      <c r="A1229"/>
      <c r="B1229"/>
      <c r="C1229"/>
      <c r="D1229"/>
      <c r="E1229"/>
      <c r="F1229"/>
      <c r="G1229"/>
      <c r="H1229"/>
      <c r="I1229"/>
      <c r="J1229"/>
    </row>
    <row r="1230" spans="1:10" ht="11.25" customHeight="1" x14ac:dyDescent="0.25">
      <c r="A1230"/>
      <c r="B1230"/>
      <c r="C1230"/>
      <c r="D1230"/>
      <c r="E1230"/>
      <c r="F1230"/>
      <c r="G1230"/>
      <c r="H1230"/>
      <c r="I1230"/>
      <c r="J1230"/>
    </row>
    <row r="1231" spans="1:10" ht="11.25" customHeight="1" x14ac:dyDescent="0.25">
      <c r="A1231"/>
      <c r="B1231"/>
      <c r="C1231"/>
      <c r="D1231"/>
      <c r="E1231"/>
      <c r="F1231"/>
      <c r="G1231"/>
      <c r="H1231"/>
      <c r="I1231"/>
      <c r="J1231"/>
    </row>
    <row r="1232" spans="1:10" ht="11.25" customHeight="1" x14ac:dyDescent="0.25">
      <c r="A1232"/>
      <c r="B1232"/>
      <c r="C1232"/>
      <c r="D1232"/>
      <c r="E1232"/>
      <c r="F1232"/>
      <c r="G1232"/>
      <c r="H1232"/>
      <c r="I1232"/>
      <c r="J1232"/>
    </row>
    <row r="1233" spans="1:10" ht="11.25" customHeight="1" x14ac:dyDescent="0.25">
      <c r="A1233"/>
      <c r="B1233"/>
      <c r="C1233"/>
      <c r="D1233"/>
      <c r="E1233"/>
      <c r="F1233"/>
      <c r="G1233"/>
      <c r="H1233"/>
      <c r="I1233"/>
      <c r="J1233"/>
    </row>
    <row r="1234" spans="1:10" ht="11.25" customHeight="1" x14ac:dyDescent="0.25">
      <c r="A1234"/>
      <c r="B1234"/>
      <c r="C1234"/>
      <c r="D1234"/>
      <c r="E1234"/>
      <c r="F1234"/>
      <c r="G1234"/>
      <c r="H1234"/>
      <c r="I1234"/>
      <c r="J1234"/>
    </row>
    <row r="1235" spans="1:10" ht="11.25" customHeight="1" x14ac:dyDescent="0.25">
      <c r="A1235"/>
      <c r="B1235"/>
      <c r="C1235"/>
      <c r="D1235"/>
      <c r="E1235"/>
      <c r="F1235"/>
      <c r="G1235"/>
      <c r="H1235"/>
      <c r="I1235"/>
      <c r="J1235"/>
    </row>
    <row r="1236" spans="1:10" ht="11.25" customHeight="1" x14ac:dyDescent="0.25">
      <c r="A1236"/>
      <c r="B1236"/>
      <c r="C1236"/>
      <c r="D1236"/>
      <c r="E1236"/>
      <c r="F1236"/>
      <c r="G1236"/>
      <c r="H1236"/>
      <c r="I1236"/>
      <c r="J1236"/>
    </row>
    <row r="1237" spans="1:10" ht="11.25" customHeight="1" x14ac:dyDescent="0.25">
      <c r="A1237"/>
      <c r="B1237"/>
      <c r="C1237"/>
      <c r="D1237"/>
      <c r="E1237"/>
      <c r="F1237"/>
      <c r="G1237"/>
      <c r="H1237"/>
      <c r="I1237"/>
      <c r="J1237"/>
    </row>
    <row r="1238" spans="1:10" ht="11.25" customHeight="1" x14ac:dyDescent="0.25">
      <c r="A1238"/>
      <c r="B1238"/>
      <c r="C1238"/>
      <c r="D1238"/>
      <c r="E1238"/>
      <c r="F1238"/>
      <c r="G1238"/>
      <c r="H1238"/>
      <c r="I1238"/>
      <c r="J1238"/>
    </row>
    <row r="1239" spans="1:10" ht="11.25" customHeight="1" x14ac:dyDescent="0.25">
      <c r="A1239"/>
      <c r="B1239"/>
      <c r="C1239"/>
      <c r="D1239"/>
      <c r="E1239"/>
      <c r="F1239"/>
      <c r="G1239"/>
      <c r="H1239"/>
      <c r="I1239"/>
      <c r="J1239"/>
    </row>
    <row r="1240" spans="1:10" ht="11.25" customHeight="1" x14ac:dyDescent="0.25">
      <c r="A1240"/>
      <c r="B1240"/>
      <c r="C1240"/>
      <c r="D1240"/>
      <c r="E1240"/>
      <c r="F1240"/>
      <c r="G1240"/>
      <c r="H1240"/>
      <c r="I1240"/>
      <c r="J1240"/>
    </row>
    <row r="1241" spans="1:10" ht="11.25" customHeight="1" x14ac:dyDescent="0.25">
      <c r="A1241"/>
      <c r="B1241"/>
      <c r="C1241"/>
      <c r="D1241"/>
      <c r="E1241"/>
      <c r="F1241"/>
      <c r="G1241"/>
      <c r="H1241"/>
      <c r="I1241"/>
      <c r="J1241"/>
    </row>
    <row r="1242" spans="1:10" ht="11.25" customHeight="1" x14ac:dyDescent="0.25">
      <c r="A1242"/>
      <c r="B1242"/>
      <c r="C1242"/>
      <c r="D1242"/>
      <c r="E1242"/>
      <c r="F1242"/>
      <c r="G1242"/>
      <c r="H1242"/>
      <c r="I1242"/>
      <c r="J1242"/>
    </row>
    <row r="1243" spans="1:10" ht="11.25" customHeight="1" x14ac:dyDescent="0.25">
      <c r="A1243"/>
      <c r="B1243"/>
      <c r="C1243"/>
      <c r="D1243"/>
      <c r="E1243"/>
      <c r="F1243"/>
      <c r="G1243"/>
      <c r="H1243"/>
      <c r="I1243"/>
      <c r="J1243"/>
    </row>
    <row r="1244" spans="1:10" ht="11.25" customHeight="1" x14ac:dyDescent="0.25">
      <c r="A1244"/>
      <c r="B1244"/>
      <c r="C1244"/>
      <c r="D1244"/>
      <c r="E1244"/>
      <c r="F1244"/>
      <c r="G1244"/>
      <c r="H1244"/>
      <c r="I1244"/>
      <c r="J1244"/>
    </row>
    <row r="1245" spans="1:10" ht="11.25" customHeight="1" x14ac:dyDescent="0.25">
      <c r="A1245"/>
      <c r="B1245"/>
      <c r="C1245"/>
      <c r="D1245"/>
      <c r="E1245"/>
      <c r="F1245"/>
      <c r="G1245"/>
      <c r="H1245"/>
      <c r="I1245"/>
      <c r="J1245"/>
    </row>
    <row r="1246" spans="1:10" ht="11.25" customHeight="1" x14ac:dyDescent="0.25">
      <c r="A1246"/>
      <c r="B1246"/>
      <c r="C1246"/>
      <c r="D1246"/>
      <c r="E1246"/>
      <c r="F1246"/>
      <c r="G1246"/>
      <c r="H1246"/>
      <c r="I1246"/>
      <c r="J1246"/>
    </row>
    <row r="1247" spans="1:10" ht="11.25" customHeight="1" x14ac:dyDescent="0.25">
      <c r="A1247"/>
      <c r="B1247"/>
      <c r="C1247"/>
      <c r="D1247"/>
      <c r="E1247"/>
      <c r="F1247"/>
      <c r="G1247"/>
      <c r="H1247"/>
      <c r="I1247"/>
      <c r="J1247"/>
    </row>
    <row r="1248" spans="1:10" ht="11.25" customHeight="1" x14ac:dyDescent="0.25">
      <c r="A1248"/>
      <c r="B1248"/>
      <c r="C1248"/>
      <c r="D1248"/>
      <c r="E1248"/>
      <c r="F1248"/>
      <c r="G1248"/>
      <c r="H1248"/>
      <c r="I1248"/>
      <c r="J1248"/>
    </row>
    <row r="1249" spans="1:10" ht="11.25" customHeight="1" x14ac:dyDescent="0.25">
      <c r="A1249"/>
      <c r="B1249"/>
      <c r="C1249"/>
      <c r="D1249"/>
      <c r="E1249"/>
      <c r="F1249"/>
      <c r="G1249"/>
      <c r="H1249"/>
      <c r="I1249"/>
      <c r="J1249"/>
    </row>
    <row r="1250" spans="1:10" ht="11.25" customHeight="1" x14ac:dyDescent="0.25">
      <c r="A1250"/>
      <c r="B1250"/>
      <c r="C1250"/>
      <c r="D1250"/>
      <c r="E1250"/>
      <c r="F1250"/>
      <c r="G1250"/>
      <c r="H1250"/>
      <c r="I1250"/>
      <c r="J1250"/>
    </row>
    <row r="1251" spans="1:10" ht="11.25" customHeight="1" x14ac:dyDescent="0.25">
      <c r="A1251"/>
      <c r="B1251"/>
      <c r="C1251"/>
      <c r="D1251"/>
      <c r="E1251"/>
      <c r="F1251"/>
      <c r="G1251"/>
      <c r="H1251"/>
      <c r="I1251"/>
      <c r="J1251"/>
    </row>
    <row r="1252" spans="1:10" ht="11.25" customHeight="1" x14ac:dyDescent="0.25">
      <c r="A1252"/>
      <c r="B1252"/>
      <c r="C1252"/>
      <c r="D1252"/>
      <c r="E1252"/>
      <c r="F1252"/>
      <c r="G1252"/>
      <c r="H1252"/>
      <c r="I1252"/>
      <c r="J1252"/>
    </row>
    <row r="1253" spans="1:10" ht="11.25" customHeight="1" x14ac:dyDescent="0.25">
      <c r="A1253"/>
      <c r="B1253"/>
      <c r="C1253"/>
      <c r="D1253"/>
      <c r="E1253"/>
      <c r="F1253"/>
      <c r="G1253"/>
      <c r="H1253"/>
      <c r="I1253"/>
      <c r="J1253"/>
    </row>
    <row r="1254" spans="1:10" ht="11.25" customHeight="1" x14ac:dyDescent="0.25">
      <c r="A1254"/>
      <c r="B1254"/>
      <c r="C1254"/>
      <c r="D1254"/>
      <c r="E1254"/>
      <c r="F1254"/>
      <c r="G1254"/>
      <c r="H1254"/>
      <c r="I1254"/>
      <c r="J1254"/>
    </row>
    <row r="1255" spans="1:10" ht="11.25" customHeight="1" x14ac:dyDescent="0.25">
      <c r="A1255"/>
      <c r="B1255"/>
      <c r="C1255"/>
      <c r="D1255"/>
      <c r="E1255"/>
      <c r="F1255"/>
      <c r="G1255"/>
      <c r="H1255"/>
      <c r="I1255"/>
      <c r="J1255"/>
    </row>
    <row r="1256" spans="1:10" ht="11.25" customHeight="1" x14ac:dyDescent="0.25">
      <c r="A1256"/>
      <c r="B1256"/>
      <c r="C1256"/>
      <c r="D1256"/>
      <c r="E1256"/>
      <c r="F1256"/>
      <c r="G1256"/>
      <c r="H1256"/>
      <c r="I1256"/>
      <c r="J1256"/>
    </row>
    <row r="1257" spans="1:10" ht="11.25" customHeight="1" x14ac:dyDescent="0.25">
      <c r="A1257"/>
      <c r="B1257"/>
      <c r="C1257"/>
      <c r="D1257"/>
      <c r="E1257"/>
      <c r="F1257"/>
      <c r="G1257"/>
      <c r="H1257"/>
      <c r="I1257"/>
      <c r="J1257"/>
    </row>
    <row r="1258" spans="1:10" ht="11.25" customHeight="1" x14ac:dyDescent="0.25">
      <c r="A1258"/>
      <c r="B1258"/>
      <c r="C1258"/>
      <c r="D1258"/>
      <c r="E1258"/>
      <c r="F1258"/>
      <c r="G1258"/>
      <c r="H1258"/>
      <c r="I1258"/>
      <c r="J1258"/>
    </row>
    <row r="1259" spans="1:10" ht="11.25" customHeight="1" x14ac:dyDescent="0.25">
      <c r="A1259"/>
      <c r="B1259"/>
      <c r="C1259"/>
      <c r="D1259"/>
      <c r="E1259"/>
      <c r="F1259"/>
      <c r="G1259"/>
      <c r="H1259"/>
      <c r="I1259"/>
      <c r="J1259"/>
    </row>
    <row r="1260" spans="1:10" ht="11.25" customHeight="1" x14ac:dyDescent="0.25">
      <c r="A1260"/>
      <c r="B1260"/>
      <c r="C1260"/>
      <c r="D1260"/>
      <c r="E1260"/>
      <c r="F1260"/>
      <c r="G1260"/>
      <c r="H1260"/>
      <c r="I1260"/>
      <c r="J1260"/>
    </row>
    <row r="1261" spans="1:10" ht="11.25" customHeight="1" x14ac:dyDescent="0.25">
      <c r="A1261"/>
      <c r="B1261"/>
      <c r="C1261"/>
      <c r="D1261"/>
      <c r="E1261"/>
      <c r="F1261"/>
      <c r="G1261"/>
      <c r="H1261"/>
      <c r="I1261"/>
      <c r="J1261"/>
    </row>
    <row r="1262" spans="1:10" ht="11.25" customHeight="1" x14ac:dyDescent="0.25">
      <c r="A1262"/>
      <c r="B1262"/>
      <c r="C1262"/>
      <c r="D1262"/>
      <c r="E1262"/>
      <c r="F1262"/>
      <c r="G1262"/>
      <c r="H1262"/>
      <c r="I1262"/>
      <c r="J1262"/>
    </row>
    <row r="1263" spans="1:10" ht="11.25" customHeight="1" x14ac:dyDescent="0.25">
      <c r="A1263"/>
      <c r="B1263"/>
      <c r="C1263"/>
      <c r="D1263"/>
      <c r="E1263"/>
      <c r="F1263"/>
      <c r="G1263"/>
      <c r="H1263"/>
      <c r="I1263"/>
      <c r="J1263"/>
    </row>
    <row r="1264" spans="1:10" ht="11.25" customHeight="1" x14ac:dyDescent="0.25">
      <c r="A1264"/>
      <c r="B1264"/>
      <c r="C1264"/>
      <c r="D1264"/>
      <c r="E1264"/>
      <c r="F1264"/>
      <c r="G1264"/>
      <c r="H1264"/>
      <c r="I1264"/>
      <c r="J1264"/>
    </row>
    <row r="1265" spans="1:10" ht="11.25" customHeight="1" x14ac:dyDescent="0.25">
      <c r="A1265"/>
      <c r="B1265"/>
      <c r="C1265"/>
      <c r="D1265"/>
      <c r="E1265"/>
      <c r="F1265"/>
      <c r="G1265"/>
      <c r="H1265"/>
      <c r="I1265"/>
      <c r="J1265"/>
    </row>
    <row r="1266" spans="1:10" ht="11.25" customHeight="1" x14ac:dyDescent="0.25">
      <c r="A1266"/>
      <c r="B1266"/>
      <c r="C1266"/>
      <c r="D1266"/>
      <c r="E1266"/>
      <c r="F1266"/>
      <c r="G1266"/>
      <c r="H1266"/>
      <c r="I1266"/>
      <c r="J1266"/>
    </row>
    <row r="1267" spans="1:10" ht="11.25" customHeight="1" x14ac:dyDescent="0.25">
      <c r="A1267"/>
      <c r="B1267"/>
      <c r="C1267"/>
      <c r="D1267"/>
      <c r="E1267"/>
      <c r="F1267"/>
      <c r="G1267"/>
      <c r="H1267"/>
      <c r="I1267"/>
      <c r="J1267"/>
    </row>
    <row r="1268" spans="1:10" ht="11.25" customHeight="1" x14ac:dyDescent="0.25">
      <c r="A1268"/>
      <c r="B1268"/>
      <c r="C1268"/>
      <c r="D1268"/>
      <c r="E1268"/>
      <c r="F1268"/>
      <c r="G1268"/>
      <c r="H1268"/>
      <c r="I1268"/>
      <c r="J1268"/>
    </row>
    <row r="1269" spans="1:10" ht="11.25" customHeight="1" x14ac:dyDescent="0.25">
      <c r="A1269"/>
      <c r="B1269"/>
      <c r="C1269"/>
      <c r="D1269"/>
      <c r="E1269"/>
      <c r="F1269"/>
      <c r="G1269"/>
      <c r="H1269"/>
      <c r="I1269"/>
      <c r="J1269"/>
    </row>
    <row r="1270" spans="1:10" ht="11.25" customHeight="1" x14ac:dyDescent="0.25">
      <c r="A1270"/>
      <c r="B1270"/>
      <c r="C1270"/>
      <c r="D1270"/>
      <c r="E1270"/>
      <c r="F1270"/>
      <c r="G1270"/>
      <c r="H1270"/>
      <c r="I1270"/>
      <c r="J1270"/>
    </row>
    <row r="1271" spans="1:10" ht="11.25" customHeight="1" x14ac:dyDescent="0.25">
      <c r="A1271"/>
      <c r="B1271"/>
      <c r="C1271"/>
      <c r="D1271"/>
      <c r="E1271"/>
      <c r="F1271"/>
      <c r="G1271"/>
      <c r="H1271"/>
      <c r="I1271"/>
      <c r="J1271"/>
    </row>
    <row r="1272" spans="1:10" ht="11.25" customHeight="1" x14ac:dyDescent="0.25">
      <c r="A1272"/>
      <c r="B1272"/>
      <c r="C1272"/>
      <c r="D1272"/>
      <c r="E1272"/>
      <c r="F1272"/>
      <c r="G1272"/>
      <c r="H1272"/>
      <c r="I1272"/>
      <c r="J1272"/>
    </row>
    <row r="1273" spans="1:10" ht="11.25" customHeight="1" x14ac:dyDescent="0.25">
      <c r="A1273"/>
      <c r="B1273"/>
      <c r="C1273"/>
      <c r="D1273"/>
      <c r="E1273"/>
      <c r="F1273"/>
      <c r="G1273"/>
      <c r="H1273"/>
      <c r="I1273"/>
      <c r="J1273"/>
    </row>
    <row r="1274" spans="1:10" ht="11.25" customHeight="1" x14ac:dyDescent="0.25">
      <c r="A1274"/>
      <c r="B1274"/>
      <c r="C1274"/>
      <c r="D1274"/>
      <c r="E1274"/>
      <c r="F1274"/>
      <c r="G1274"/>
      <c r="H1274"/>
      <c r="I1274"/>
      <c r="J1274"/>
    </row>
    <row r="1275" spans="1:10" ht="11.25" customHeight="1" x14ac:dyDescent="0.25">
      <c r="A1275"/>
      <c r="B1275"/>
      <c r="C1275"/>
      <c r="D1275"/>
      <c r="E1275"/>
      <c r="F1275"/>
      <c r="G1275"/>
      <c r="H1275"/>
      <c r="I1275"/>
      <c r="J1275"/>
    </row>
    <row r="1276" spans="1:10" ht="11.25" customHeight="1" x14ac:dyDescent="0.25">
      <c r="A1276"/>
      <c r="B1276"/>
      <c r="C1276"/>
      <c r="D1276"/>
      <c r="E1276"/>
      <c r="F1276"/>
      <c r="G1276"/>
      <c r="H1276"/>
      <c r="I1276"/>
      <c r="J1276"/>
    </row>
    <row r="1277" spans="1:10" ht="11.25" customHeight="1" x14ac:dyDescent="0.25">
      <c r="A1277"/>
      <c r="B1277"/>
      <c r="C1277"/>
      <c r="D1277"/>
      <c r="E1277"/>
      <c r="F1277"/>
      <c r="G1277"/>
      <c r="H1277"/>
      <c r="I1277"/>
      <c r="J1277"/>
    </row>
    <row r="1278" spans="1:10" ht="11.25" customHeight="1" x14ac:dyDescent="0.25">
      <c r="A1278"/>
      <c r="B1278"/>
      <c r="C1278"/>
      <c r="D1278"/>
      <c r="E1278"/>
      <c r="F1278"/>
      <c r="G1278"/>
      <c r="H1278"/>
      <c r="I1278"/>
      <c r="J1278"/>
    </row>
    <row r="1279" spans="1:10" ht="11.25" customHeight="1" x14ac:dyDescent="0.25">
      <c r="A1279"/>
      <c r="B1279"/>
      <c r="C1279"/>
      <c r="D1279"/>
      <c r="E1279"/>
      <c r="F1279"/>
      <c r="G1279"/>
      <c r="H1279"/>
      <c r="I1279"/>
      <c r="J1279"/>
    </row>
    <row r="1280" spans="1:10" ht="11.25" customHeight="1" x14ac:dyDescent="0.25">
      <c r="A1280"/>
      <c r="B1280"/>
      <c r="C1280"/>
      <c r="D1280"/>
      <c r="E1280"/>
      <c r="F1280"/>
      <c r="G1280"/>
      <c r="H1280"/>
      <c r="I1280"/>
      <c r="J1280"/>
    </row>
    <row r="1281" spans="1:10" ht="11.25" customHeight="1" x14ac:dyDescent="0.25">
      <c r="A1281"/>
      <c r="B1281"/>
      <c r="C1281"/>
      <c r="D1281"/>
      <c r="E1281"/>
      <c r="F1281"/>
      <c r="G1281"/>
      <c r="H1281"/>
      <c r="I1281"/>
      <c r="J1281"/>
    </row>
    <row r="1282" spans="1:10" ht="11.25" customHeight="1" x14ac:dyDescent="0.25">
      <c r="A1282"/>
      <c r="B1282"/>
      <c r="C1282"/>
      <c r="D1282"/>
      <c r="E1282"/>
      <c r="F1282"/>
      <c r="G1282"/>
      <c r="H1282"/>
      <c r="I1282"/>
      <c r="J1282"/>
    </row>
    <row r="1283" spans="1:10" ht="11.25" customHeight="1" x14ac:dyDescent="0.25">
      <c r="A1283"/>
      <c r="B1283"/>
      <c r="C1283"/>
      <c r="D1283"/>
      <c r="E1283"/>
      <c r="F1283"/>
      <c r="G1283"/>
      <c r="H1283"/>
      <c r="I1283"/>
      <c r="J1283"/>
    </row>
    <row r="1284" spans="1:10" ht="11.25" customHeight="1" x14ac:dyDescent="0.25">
      <c r="A1284"/>
      <c r="B1284"/>
      <c r="C1284"/>
      <c r="D1284"/>
      <c r="E1284"/>
      <c r="F1284"/>
      <c r="G1284"/>
      <c r="H1284"/>
      <c r="I1284"/>
      <c r="J1284"/>
    </row>
    <row r="1285" spans="1:10" ht="11.25" customHeight="1" x14ac:dyDescent="0.25">
      <c r="A1285"/>
      <c r="B1285"/>
      <c r="C1285"/>
      <c r="D1285"/>
      <c r="E1285"/>
      <c r="F1285"/>
      <c r="G1285"/>
      <c r="H1285"/>
      <c r="I1285"/>
      <c r="J1285"/>
    </row>
    <row r="1286" spans="1:10" ht="11.25" customHeight="1" x14ac:dyDescent="0.25">
      <c r="A1286"/>
      <c r="B1286"/>
      <c r="C1286"/>
      <c r="D1286"/>
      <c r="E1286"/>
      <c r="F1286"/>
      <c r="G1286"/>
      <c r="H1286"/>
      <c r="I1286"/>
      <c r="J1286"/>
    </row>
    <row r="1287" spans="1:10" ht="11.25" customHeight="1" x14ac:dyDescent="0.25">
      <c r="A1287"/>
      <c r="B1287"/>
      <c r="C1287"/>
      <c r="D1287"/>
      <c r="E1287"/>
      <c r="F1287"/>
      <c r="G1287"/>
      <c r="H1287"/>
      <c r="I1287"/>
      <c r="J1287"/>
    </row>
    <row r="1288" spans="1:10" ht="11.25" customHeight="1" x14ac:dyDescent="0.25">
      <c r="A1288"/>
      <c r="B1288"/>
      <c r="C1288"/>
      <c r="D1288"/>
      <c r="E1288"/>
      <c r="F1288"/>
      <c r="G1288"/>
      <c r="H1288"/>
      <c r="I1288"/>
      <c r="J1288"/>
    </row>
    <row r="1289" spans="1:10" ht="11.25" customHeight="1" x14ac:dyDescent="0.25">
      <c r="A1289"/>
      <c r="B1289"/>
      <c r="C1289"/>
      <c r="D1289"/>
      <c r="E1289"/>
      <c r="F1289"/>
      <c r="G1289"/>
      <c r="H1289"/>
      <c r="I1289"/>
      <c r="J1289"/>
    </row>
    <row r="1290" spans="1:10" ht="11.25" customHeight="1" x14ac:dyDescent="0.25">
      <c r="A1290"/>
      <c r="B1290"/>
      <c r="C1290"/>
      <c r="D1290"/>
      <c r="E1290"/>
      <c r="F1290"/>
      <c r="G1290"/>
      <c r="H1290"/>
      <c r="I1290"/>
      <c r="J1290"/>
    </row>
    <row r="1291" spans="1:10" ht="11.25" customHeight="1" x14ac:dyDescent="0.25">
      <c r="A1291"/>
      <c r="B1291"/>
      <c r="C1291"/>
      <c r="D1291"/>
      <c r="E1291"/>
      <c r="F1291"/>
      <c r="G1291"/>
      <c r="H1291"/>
      <c r="I1291"/>
      <c r="J1291"/>
    </row>
    <row r="1292" spans="1:10" ht="11.25" customHeight="1" x14ac:dyDescent="0.25">
      <c r="A1292"/>
      <c r="B1292"/>
      <c r="C1292"/>
      <c r="D1292"/>
      <c r="E1292"/>
      <c r="F1292"/>
      <c r="G1292"/>
      <c r="H1292"/>
      <c r="I1292"/>
      <c r="J1292"/>
    </row>
    <row r="1293" spans="1:10" ht="11.25" customHeight="1" x14ac:dyDescent="0.25">
      <c r="A1293"/>
      <c r="B1293"/>
      <c r="C1293"/>
      <c r="D1293"/>
      <c r="E1293"/>
      <c r="F1293"/>
      <c r="G1293"/>
      <c r="H1293"/>
      <c r="I1293"/>
      <c r="J1293"/>
    </row>
    <row r="1294" spans="1:10" ht="11.25" customHeight="1" x14ac:dyDescent="0.25">
      <c r="A1294"/>
      <c r="B1294"/>
      <c r="C1294"/>
      <c r="D1294"/>
      <c r="E1294"/>
      <c r="F1294"/>
      <c r="G1294"/>
      <c r="H1294"/>
      <c r="I1294"/>
      <c r="J1294"/>
    </row>
    <row r="1295" spans="1:10" ht="11.25" customHeight="1" x14ac:dyDescent="0.25">
      <c r="A1295"/>
      <c r="B1295"/>
      <c r="C1295"/>
      <c r="D1295"/>
      <c r="E1295"/>
      <c r="F1295"/>
      <c r="G1295"/>
      <c r="H1295"/>
      <c r="I1295"/>
      <c r="J1295"/>
    </row>
    <row r="1296" spans="1:10" ht="11.25" customHeight="1" x14ac:dyDescent="0.25">
      <c r="A1296"/>
      <c r="B1296"/>
      <c r="C1296"/>
      <c r="D1296"/>
      <c r="E1296"/>
      <c r="F1296"/>
      <c r="G1296"/>
      <c r="H1296"/>
      <c r="I1296"/>
      <c r="J1296"/>
    </row>
    <row r="1297" spans="1:10" ht="11.25" customHeight="1" x14ac:dyDescent="0.25">
      <c r="A1297"/>
      <c r="B1297"/>
      <c r="C1297"/>
      <c r="D1297"/>
      <c r="E1297"/>
      <c r="F1297"/>
      <c r="G1297"/>
      <c r="H1297"/>
      <c r="I1297"/>
      <c r="J1297"/>
    </row>
    <row r="1298" spans="1:10" ht="11.25" customHeight="1" x14ac:dyDescent="0.25">
      <c r="A1298"/>
      <c r="B1298"/>
      <c r="C1298"/>
      <c r="D1298"/>
      <c r="E1298"/>
      <c r="F1298"/>
      <c r="G1298"/>
      <c r="H1298"/>
      <c r="I1298"/>
      <c r="J1298"/>
    </row>
    <row r="1299" spans="1:10" ht="11.25" customHeight="1" x14ac:dyDescent="0.25">
      <c r="A1299"/>
      <c r="B1299"/>
      <c r="C1299"/>
      <c r="D1299"/>
      <c r="E1299"/>
      <c r="F1299"/>
      <c r="G1299"/>
      <c r="H1299"/>
      <c r="I1299"/>
      <c r="J1299"/>
    </row>
    <row r="1300" spans="1:10" ht="11.25" customHeight="1" x14ac:dyDescent="0.25">
      <c r="A1300"/>
      <c r="B1300"/>
      <c r="C1300"/>
      <c r="D1300"/>
      <c r="E1300"/>
      <c r="F1300"/>
      <c r="G1300"/>
      <c r="H1300"/>
      <c r="I1300"/>
      <c r="J1300"/>
    </row>
    <row r="1301" spans="1:10" ht="11.25" customHeight="1" x14ac:dyDescent="0.25">
      <c r="A1301"/>
      <c r="B1301"/>
      <c r="C1301"/>
      <c r="D1301"/>
      <c r="E1301"/>
      <c r="F1301"/>
      <c r="G1301"/>
      <c r="H1301"/>
      <c r="I1301"/>
      <c r="J1301"/>
    </row>
    <row r="1302" spans="1:10" ht="11.25" customHeight="1" x14ac:dyDescent="0.25">
      <c r="A1302"/>
      <c r="B1302"/>
      <c r="C1302"/>
      <c r="D1302"/>
      <c r="E1302"/>
      <c r="F1302"/>
      <c r="G1302"/>
      <c r="H1302"/>
      <c r="I1302"/>
      <c r="J1302"/>
    </row>
    <row r="1303" spans="1:10" ht="11.25" customHeight="1" x14ac:dyDescent="0.25">
      <c r="A1303"/>
      <c r="B1303"/>
      <c r="C1303"/>
      <c r="D1303"/>
      <c r="E1303"/>
      <c r="F1303"/>
      <c r="G1303"/>
      <c r="H1303"/>
      <c r="I1303"/>
      <c r="J1303"/>
    </row>
    <row r="1304" spans="1:10" ht="11.25" customHeight="1" x14ac:dyDescent="0.25">
      <c r="A1304"/>
      <c r="B1304"/>
      <c r="C1304"/>
      <c r="D1304"/>
      <c r="E1304"/>
      <c r="F1304"/>
      <c r="G1304"/>
      <c r="H1304"/>
      <c r="I1304"/>
      <c r="J1304"/>
    </row>
    <row r="1305" spans="1:10" ht="11.25" customHeight="1" x14ac:dyDescent="0.25">
      <c r="A1305"/>
      <c r="B1305"/>
      <c r="C1305"/>
      <c r="D1305"/>
      <c r="E1305"/>
      <c r="F1305"/>
      <c r="G1305"/>
      <c r="H1305"/>
      <c r="I1305"/>
      <c r="J1305"/>
    </row>
    <row r="1306" spans="1:10" ht="11.25" customHeight="1" x14ac:dyDescent="0.25">
      <c r="A1306"/>
      <c r="B1306"/>
      <c r="C1306"/>
      <c r="D1306"/>
      <c r="E1306"/>
      <c r="F1306"/>
      <c r="G1306"/>
      <c r="H1306"/>
      <c r="I1306"/>
      <c r="J1306"/>
    </row>
    <row r="1307" spans="1:10" ht="11.25" customHeight="1" x14ac:dyDescent="0.25">
      <c r="A1307"/>
      <c r="B1307"/>
      <c r="C1307"/>
      <c r="D1307"/>
      <c r="E1307"/>
      <c r="F1307"/>
      <c r="G1307"/>
      <c r="H1307"/>
      <c r="I1307"/>
      <c r="J1307"/>
    </row>
    <row r="1308" spans="1:10" ht="11.25" customHeight="1" x14ac:dyDescent="0.25">
      <c r="A1308"/>
      <c r="B1308"/>
      <c r="C1308"/>
      <c r="D1308"/>
      <c r="E1308"/>
      <c r="F1308"/>
      <c r="G1308"/>
      <c r="H1308"/>
      <c r="I1308"/>
      <c r="J1308"/>
    </row>
    <row r="1309" spans="1:10" ht="11.25" customHeight="1" x14ac:dyDescent="0.25">
      <c r="A1309"/>
      <c r="B1309"/>
      <c r="C1309"/>
      <c r="D1309"/>
      <c r="E1309"/>
      <c r="F1309"/>
      <c r="G1309"/>
      <c r="H1309"/>
      <c r="I1309"/>
      <c r="J1309"/>
    </row>
    <row r="1310" spans="1:10" ht="11.25" customHeight="1" x14ac:dyDescent="0.25">
      <c r="A1310"/>
      <c r="B1310"/>
      <c r="C1310"/>
      <c r="D1310"/>
      <c r="E1310"/>
      <c r="F1310"/>
      <c r="G1310"/>
      <c r="H1310"/>
      <c r="I1310"/>
      <c r="J1310"/>
    </row>
    <row r="1311" spans="1:10" ht="11.25" customHeight="1" x14ac:dyDescent="0.25">
      <c r="A1311"/>
      <c r="B1311"/>
      <c r="C1311"/>
      <c r="D1311"/>
      <c r="E1311"/>
      <c r="F1311"/>
      <c r="G1311"/>
      <c r="H1311"/>
      <c r="I1311"/>
      <c r="J1311"/>
    </row>
    <row r="1312" spans="1:10" ht="11.25" customHeight="1" x14ac:dyDescent="0.25">
      <c r="A1312"/>
      <c r="B1312"/>
      <c r="C1312"/>
      <c r="D1312"/>
      <c r="E1312"/>
      <c r="F1312"/>
      <c r="G1312"/>
      <c r="H1312"/>
      <c r="I1312"/>
      <c r="J1312"/>
    </row>
    <row r="1313" spans="1:10" ht="11.25" customHeight="1" x14ac:dyDescent="0.25">
      <c r="A1313"/>
      <c r="B1313"/>
      <c r="C1313"/>
      <c r="D1313"/>
      <c r="E1313"/>
      <c r="F1313"/>
      <c r="G1313"/>
      <c r="H1313"/>
      <c r="I1313"/>
      <c r="J1313"/>
    </row>
    <row r="1314" spans="1:10" ht="11.25" customHeight="1" x14ac:dyDescent="0.25">
      <c r="A1314"/>
      <c r="B1314"/>
      <c r="C1314"/>
      <c r="D1314"/>
      <c r="E1314"/>
      <c r="F1314"/>
      <c r="G1314"/>
      <c r="H1314"/>
      <c r="I1314"/>
      <c r="J1314"/>
    </row>
    <row r="1315" spans="1:10" ht="11.25" customHeight="1" x14ac:dyDescent="0.25">
      <c r="A1315"/>
      <c r="B1315"/>
      <c r="C1315"/>
      <c r="D1315"/>
      <c r="E1315"/>
      <c r="F1315"/>
      <c r="G1315"/>
      <c r="H1315"/>
      <c r="I1315"/>
      <c r="J1315"/>
    </row>
    <row r="1316" spans="1:10" ht="11.25" customHeight="1" x14ac:dyDescent="0.25">
      <c r="A1316"/>
      <c r="B1316"/>
      <c r="C1316"/>
      <c r="D1316"/>
      <c r="E1316"/>
      <c r="F1316"/>
      <c r="G1316"/>
      <c r="H1316"/>
      <c r="I1316"/>
      <c r="J1316"/>
    </row>
    <row r="1317" spans="1:10" ht="11.25" customHeight="1" x14ac:dyDescent="0.25">
      <c r="A1317"/>
      <c r="B1317"/>
      <c r="C1317"/>
      <c r="D1317"/>
      <c r="E1317"/>
      <c r="F1317"/>
      <c r="G1317"/>
      <c r="H1317"/>
      <c r="I1317"/>
      <c r="J1317"/>
    </row>
    <row r="1318" spans="1:10" ht="11.25" customHeight="1" x14ac:dyDescent="0.25">
      <c r="A1318"/>
      <c r="B1318"/>
      <c r="C1318"/>
      <c r="D1318"/>
      <c r="E1318"/>
      <c r="F1318"/>
      <c r="G1318"/>
      <c r="H1318"/>
      <c r="I1318"/>
      <c r="J1318"/>
    </row>
    <row r="1319" spans="1:10" ht="11.25" customHeight="1" x14ac:dyDescent="0.25">
      <c r="A1319"/>
      <c r="B1319"/>
      <c r="C1319"/>
      <c r="D1319"/>
      <c r="E1319"/>
      <c r="F1319"/>
      <c r="G1319"/>
      <c r="H1319"/>
      <c r="I1319"/>
      <c r="J1319"/>
    </row>
    <row r="1320" spans="1:10" ht="11.25" customHeight="1" x14ac:dyDescent="0.25">
      <c r="A1320"/>
      <c r="B1320"/>
      <c r="C1320"/>
      <c r="D1320"/>
      <c r="E1320"/>
      <c r="F1320"/>
      <c r="G1320"/>
      <c r="H1320"/>
      <c r="I1320"/>
      <c r="J1320"/>
    </row>
    <row r="1321" spans="1:10" ht="11.25" customHeight="1" x14ac:dyDescent="0.25">
      <c r="A1321"/>
      <c r="B1321"/>
      <c r="C1321"/>
      <c r="D1321"/>
      <c r="E1321"/>
      <c r="F1321"/>
      <c r="G1321"/>
      <c r="H1321"/>
      <c r="I1321"/>
      <c r="J1321"/>
    </row>
    <row r="1322" spans="1:10" ht="11.25" customHeight="1" x14ac:dyDescent="0.25">
      <c r="A1322"/>
      <c r="B1322"/>
      <c r="C1322"/>
      <c r="D1322"/>
      <c r="E1322"/>
      <c r="F1322"/>
      <c r="G1322"/>
      <c r="H1322"/>
      <c r="I1322"/>
      <c r="J1322"/>
    </row>
    <row r="1323" spans="1:10" ht="11.25" customHeight="1" x14ac:dyDescent="0.25">
      <c r="A1323"/>
      <c r="B1323"/>
      <c r="C1323"/>
      <c r="D1323"/>
      <c r="E1323"/>
      <c r="F1323"/>
      <c r="G1323"/>
      <c r="H1323"/>
      <c r="I1323"/>
      <c r="J1323"/>
    </row>
    <row r="1324" spans="1:10" ht="11.25" customHeight="1" x14ac:dyDescent="0.25">
      <c r="A1324"/>
      <c r="B1324"/>
      <c r="C1324"/>
      <c r="D1324"/>
      <c r="E1324"/>
      <c r="F1324"/>
      <c r="G1324"/>
      <c r="H1324"/>
      <c r="I1324"/>
      <c r="J1324"/>
    </row>
    <row r="1325" spans="1:10" ht="11.25" customHeight="1" x14ac:dyDescent="0.25">
      <c r="A1325"/>
      <c r="B1325"/>
      <c r="C1325"/>
      <c r="D1325"/>
      <c r="E1325"/>
      <c r="F1325"/>
      <c r="G1325"/>
      <c r="H1325"/>
      <c r="I1325"/>
      <c r="J1325"/>
    </row>
    <row r="1326" spans="1:10" ht="11.25" customHeight="1" x14ac:dyDescent="0.25">
      <c r="A1326"/>
      <c r="B1326"/>
      <c r="C1326"/>
      <c r="D1326"/>
      <c r="E1326"/>
      <c r="F1326"/>
      <c r="G1326"/>
      <c r="H1326"/>
      <c r="I1326"/>
      <c r="J1326"/>
    </row>
    <row r="1327" spans="1:10" ht="11.25" customHeight="1" x14ac:dyDescent="0.25">
      <c r="A1327"/>
      <c r="B1327"/>
      <c r="C1327"/>
      <c r="D1327"/>
      <c r="E1327"/>
      <c r="F1327"/>
      <c r="G1327"/>
      <c r="H1327"/>
      <c r="I1327"/>
      <c r="J1327"/>
    </row>
    <row r="1328" spans="1:10" ht="11.25" customHeight="1" x14ac:dyDescent="0.25">
      <c r="A1328"/>
      <c r="B1328"/>
      <c r="C1328"/>
      <c r="D1328"/>
      <c r="E1328"/>
      <c r="F1328"/>
      <c r="G1328"/>
      <c r="H1328"/>
      <c r="I1328"/>
      <c r="J1328"/>
    </row>
    <row r="1329" spans="1:10" ht="11.25" customHeight="1" x14ac:dyDescent="0.25">
      <c r="A1329"/>
      <c r="B1329"/>
      <c r="C1329"/>
      <c r="D1329"/>
      <c r="E1329"/>
      <c r="F1329"/>
      <c r="G1329"/>
      <c r="H1329"/>
      <c r="I1329"/>
      <c r="J1329"/>
    </row>
    <row r="1330" spans="1:10" ht="11.25" customHeight="1" x14ac:dyDescent="0.25">
      <c r="A1330"/>
      <c r="B1330"/>
      <c r="C1330"/>
      <c r="D1330"/>
      <c r="E1330"/>
      <c r="F1330"/>
      <c r="G1330"/>
      <c r="H1330"/>
      <c r="I1330"/>
      <c r="J1330"/>
    </row>
    <row r="1331" spans="1:10" ht="11.25" customHeight="1" x14ac:dyDescent="0.25">
      <c r="A1331"/>
      <c r="B1331"/>
      <c r="C1331"/>
      <c r="D1331"/>
      <c r="E1331"/>
      <c r="F1331"/>
      <c r="G1331"/>
      <c r="H1331"/>
      <c r="I1331"/>
      <c r="J1331"/>
    </row>
    <row r="1332" spans="1:10" ht="11.25" customHeight="1" x14ac:dyDescent="0.25">
      <c r="A1332"/>
      <c r="B1332"/>
      <c r="C1332"/>
      <c r="D1332"/>
      <c r="E1332"/>
      <c r="F1332"/>
      <c r="G1332"/>
      <c r="H1332"/>
      <c r="I1332"/>
      <c r="J1332"/>
    </row>
    <row r="1333" spans="1:10" ht="11.25" customHeight="1" x14ac:dyDescent="0.25">
      <c r="A1333"/>
      <c r="B1333"/>
      <c r="C1333"/>
      <c r="D1333"/>
      <c r="E1333"/>
      <c r="F1333"/>
      <c r="G1333"/>
      <c r="H1333"/>
      <c r="I1333"/>
      <c r="J1333"/>
    </row>
    <row r="1334" spans="1:10" ht="11.25" customHeight="1" x14ac:dyDescent="0.25">
      <c r="A1334"/>
      <c r="B1334"/>
      <c r="C1334"/>
      <c r="D1334"/>
      <c r="E1334"/>
      <c r="F1334"/>
      <c r="G1334"/>
      <c r="H1334"/>
      <c r="I1334"/>
      <c r="J1334"/>
    </row>
    <row r="1335" spans="1:10" ht="11.25" customHeight="1" x14ac:dyDescent="0.25">
      <c r="A1335"/>
      <c r="B1335"/>
      <c r="C1335"/>
      <c r="D1335"/>
      <c r="E1335"/>
      <c r="F1335"/>
      <c r="G1335"/>
      <c r="H1335"/>
      <c r="I1335"/>
      <c r="J1335"/>
    </row>
    <row r="1336" spans="1:10" ht="11.25" customHeight="1" x14ac:dyDescent="0.25">
      <c r="A1336"/>
      <c r="B1336"/>
      <c r="C1336"/>
      <c r="D1336"/>
      <c r="E1336"/>
      <c r="F1336"/>
      <c r="G1336"/>
      <c r="H1336"/>
      <c r="I1336"/>
      <c r="J1336"/>
    </row>
    <row r="1337" spans="1:10" ht="11.25" customHeight="1" x14ac:dyDescent="0.25">
      <c r="A1337"/>
      <c r="B1337"/>
      <c r="C1337"/>
      <c r="D1337"/>
      <c r="E1337"/>
      <c r="F1337"/>
      <c r="G1337"/>
      <c r="H1337"/>
      <c r="I1337"/>
      <c r="J1337"/>
    </row>
    <row r="1338" spans="1:10" ht="11.25" customHeight="1" x14ac:dyDescent="0.25">
      <c r="A1338"/>
      <c r="B1338"/>
      <c r="C1338"/>
      <c r="D1338"/>
      <c r="E1338"/>
      <c r="F1338"/>
      <c r="G1338"/>
      <c r="H1338"/>
      <c r="I1338"/>
      <c r="J1338"/>
    </row>
    <row r="1339" spans="1:10" ht="11.25" customHeight="1" x14ac:dyDescent="0.25">
      <c r="A1339"/>
      <c r="B1339"/>
      <c r="C1339"/>
      <c r="D1339"/>
      <c r="E1339"/>
      <c r="F1339"/>
      <c r="G1339"/>
      <c r="H1339"/>
      <c r="I1339"/>
      <c r="J1339"/>
    </row>
    <row r="1340" spans="1:10" ht="11.25" customHeight="1" x14ac:dyDescent="0.25">
      <c r="A1340"/>
      <c r="B1340"/>
      <c r="C1340"/>
      <c r="D1340"/>
      <c r="E1340"/>
      <c r="F1340"/>
      <c r="G1340"/>
      <c r="H1340"/>
      <c r="I1340"/>
      <c r="J1340"/>
    </row>
    <row r="1341" spans="1:10" ht="11.25" customHeight="1" x14ac:dyDescent="0.25">
      <c r="A1341"/>
      <c r="B1341"/>
      <c r="C1341"/>
      <c r="D1341"/>
      <c r="E1341"/>
      <c r="F1341"/>
      <c r="G1341"/>
      <c r="H1341"/>
      <c r="I1341"/>
      <c r="J1341"/>
    </row>
    <row r="1342" spans="1:10" ht="11.25" customHeight="1" x14ac:dyDescent="0.25">
      <c r="A1342"/>
      <c r="B1342"/>
      <c r="C1342"/>
      <c r="D1342"/>
      <c r="E1342"/>
      <c r="F1342"/>
      <c r="G1342"/>
      <c r="H1342"/>
      <c r="I1342"/>
      <c r="J1342"/>
    </row>
    <row r="1343" spans="1:10" ht="11.25" customHeight="1" x14ac:dyDescent="0.25">
      <c r="A1343"/>
      <c r="B1343"/>
      <c r="C1343"/>
      <c r="D1343"/>
      <c r="E1343"/>
      <c r="F1343"/>
      <c r="G1343"/>
      <c r="H1343"/>
      <c r="I1343"/>
      <c r="J1343"/>
    </row>
    <row r="1344" spans="1:10" ht="11.25" customHeight="1" x14ac:dyDescent="0.25">
      <c r="A1344"/>
      <c r="B1344"/>
      <c r="C1344"/>
      <c r="D1344"/>
      <c r="E1344"/>
      <c r="F1344"/>
      <c r="G1344"/>
      <c r="H1344"/>
      <c r="I1344"/>
      <c r="J1344"/>
    </row>
    <row r="1345" spans="1:10" ht="11.25" customHeight="1" x14ac:dyDescent="0.25">
      <c r="A1345"/>
      <c r="B1345"/>
      <c r="C1345"/>
      <c r="D1345"/>
      <c r="E1345"/>
      <c r="F1345"/>
      <c r="G1345"/>
      <c r="H1345"/>
      <c r="I1345"/>
      <c r="J1345"/>
    </row>
    <row r="1346" spans="1:10" ht="11.25" customHeight="1" x14ac:dyDescent="0.25">
      <c r="A1346"/>
      <c r="B1346"/>
      <c r="C1346"/>
      <c r="D1346"/>
      <c r="E1346"/>
      <c r="F1346"/>
      <c r="G1346"/>
      <c r="H1346"/>
      <c r="I1346"/>
      <c r="J1346"/>
    </row>
    <row r="1347" spans="1:10" ht="11.25" customHeight="1" x14ac:dyDescent="0.25">
      <c r="A1347"/>
      <c r="B1347"/>
      <c r="C1347"/>
      <c r="D1347"/>
      <c r="E1347"/>
      <c r="F1347"/>
      <c r="G1347"/>
      <c r="H1347"/>
      <c r="I1347"/>
      <c r="J1347"/>
    </row>
    <row r="1348" spans="1:10" ht="11.25" customHeight="1" x14ac:dyDescent="0.25">
      <c r="A1348"/>
      <c r="B1348"/>
      <c r="C1348"/>
      <c r="D1348"/>
      <c r="E1348"/>
      <c r="F1348"/>
      <c r="G1348"/>
      <c r="H1348"/>
      <c r="I1348"/>
      <c r="J1348"/>
    </row>
    <row r="1349" spans="1:10" ht="11.25" customHeight="1" x14ac:dyDescent="0.25">
      <c r="A1349"/>
      <c r="B1349"/>
      <c r="C1349"/>
      <c r="D1349"/>
      <c r="E1349"/>
      <c r="F1349"/>
      <c r="G1349"/>
      <c r="H1349"/>
      <c r="I1349"/>
      <c r="J1349"/>
    </row>
    <row r="1350" spans="1:10" ht="11.25" customHeight="1" x14ac:dyDescent="0.25">
      <c r="A1350"/>
      <c r="B1350"/>
      <c r="C1350"/>
      <c r="D1350"/>
      <c r="E1350"/>
      <c r="F1350"/>
      <c r="G1350"/>
      <c r="H1350"/>
      <c r="I1350"/>
      <c r="J1350"/>
    </row>
    <row r="1351" spans="1:10" ht="11.25" customHeight="1" x14ac:dyDescent="0.25">
      <c r="A1351"/>
      <c r="B1351"/>
      <c r="C1351"/>
      <c r="D1351"/>
      <c r="E1351"/>
      <c r="F1351"/>
      <c r="G1351"/>
      <c r="H1351"/>
      <c r="I1351"/>
      <c r="J1351"/>
    </row>
    <row r="1352" spans="1:10" ht="11.25" customHeight="1" x14ac:dyDescent="0.25">
      <c r="A1352"/>
      <c r="B1352"/>
      <c r="C1352"/>
      <c r="D1352"/>
      <c r="E1352"/>
      <c r="F1352"/>
      <c r="G1352"/>
      <c r="H1352"/>
      <c r="I1352"/>
      <c r="J1352"/>
    </row>
    <row r="1353" spans="1:10" ht="11.25" customHeight="1" x14ac:dyDescent="0.25">
      <c r="A1353"/>
      <c r="B1353"/>
      <c r="C1353"/>
      <c r="D1353"/>
      <c r="E1353"/>
      <c r="F1353"/>
      <c r="G1353"/>
      <c r="H1353"/>
      <c r="I1353"/>
      <c r="J1353"/>
    </row>
    <row r="1354" spans="1:10" ht="11.25" customHeight="1" x14ac:dyDescent="0.25">
      <c r="A1354"/>
      <c r="B1354"/>
      <c r="C1354"/>
      <c r="D1354"/>
      <c r="E1354"/>
      <c r="F1354"/>
      <c r="G1354"/>
      <c r="H1354"/>
      <c r="I1354"/>
      <c r="J1354"/>
    </row>
    <row r="1355" spans="1:10" ht="11.25" customHeight="1" x14ac:dyDescent="0.25">
      <c r="A1355"/>
      <c r="B1355"/>
      <c r="C1355"/>
      <c r="D1355"/>
      <c r="E1355"/>
      <c r="F1355"/>
      <c r="G1355"/>
      <c r="H1355"/>
      <c r="I1355"/>
      <c r="J1355"/>
    </row>
    <row r="1356" spans="1:10" ht="11.25" customHeight="1" x14ac:dyDescent="0.25">
      <c r="A1356"/>
      <c r="B1356"/>
      <c r="C1356"/>
      <c r="D1356"/>
      <c r="E1356"/>
      <c r="F1356"/>
      <c r="G1356"/>
      <c r="H1356"/>
      <c r="I1356"/>
      <c r="J1356"/>
    </row>
    <row r="1357" spans="1:10" ht="11.25" customHeight="1" x14ac:dyDescent="0.25">
      <c r="A1357"/>
      <c r="B1357"/>
      <c r="C1357"/>
      <c r="D1357"/>
      <c r="E1357"/>
      <c r="F1357"/>
      <c r="G1357"/>
      <c r="H1357"/>
      <c r="I1357"/>
      <c r="J1357"/>
    </row>
    <row r="1358" spans="1:10" ht="11.25" customHeight="1" x14ac:dyDescent="0.25">
      <c r="A1358"/>
      <c r="B1358"/>
      <c r="C1358"/>
      <c r="D1358"/>
      <c r="E1358"/>
      <c r="F1358"/>
      <c r="G1358"/>
      <c r="H1358"/>
      <c r="I1358"/>
      <c r="J1358"/>
    </row>
    <row r="1359" spans="1:10" ht="11.25" customHeight="1" x14ac:dyDescent="0.25">
      <c r="A1359"/>
      <c r="B1359"/>
      <c r="C1359"/>
      <c r="D1359"/>
      <c r="E1359"/>
      <c r="F1359"/>
      <c r="G1359"/>
      <c r="H1359"/>
      <c r="I1359"/>
      <c r="J1359"/>
    </row>
    <row r="1360" spans="1:10" ht="11.25" customHeight="1" x14ac:dyDescent="0.25">
      <c r="A1360"/>
      <c r="B1360"/>
      <c r="C1360"/>
      <c r="D1360"/>
      <c r="E1360"/>
      <c r="F1360"/>
      <c r="G1360"/>
      <c r="H1360"/>
      <c r="I1360"/>
      <c r="J1360"/>
    </row>
    <row r="1361" spans="1:10" ht="11.25" customHeight="1" x14ac:dyDescent="0.25">
      <c r="A1361"/>
      <c r="B1361"/>
      <c r="C1361"/>
      <c r="D1361"/>
      <c r="E1361"/>
      <c r="F1361"/>
      <c r="G1361"/>
      <c r="H1361"/>
      <c r="I1361"/>
      <c r="J1361"/>
    </row>
    <row r="1362" spans="1:10" ht="11.25" customHeight="1" x14ac:dyDescent="0.25">
      <c r="A1362"/>
      <c r="B1362"/>
      <c r="C1362"/>
      <c r="D1362"/>
      <c r="E1362"/>
      <c r="F1362"/>
      <c r="G1362"/>
      <c r="H1362"/>
      <c r="I1362"/>
      <c r="J1362"/>
    </row>
    <row r="1363" spans="1:10" ht="11.25" customHeight="1" x14ac:dyDescent="0.25">
      <c r="A1363"/>
      <c r="B1363"/>
      <c r="C1363"/>
      <c r="D1363"/>
      <c r="E1363"/>
      <c r="F1363"/>
      <c r="G1363"/>
      <c r="H1363"/>
      <c r="I1363"/>
      <c r="J1363"/>
    </row>
    <row r="1364" spans="1:10" ht="11.25" customHeight="1" x14ac:dyDescent="0.25">
      <c r="A1364"/>
      <c r="B1364"/>
      <c r="C1364"/>
      <c r="D1364"/>
      <c r="E1364"/>
      <c r="F1364"/>
      <c r="G1364"/>
      <c r="H1364"/>
      <c r="I1364"/>
      <c r="J1364"/>
    </row>
    <row r="1365" spans="1:10" ht="11.25" customHeight="1" x14ac:dyDescent="0.25">
      <c r="A1365"/>
      <c r="B1365"/>
      <c r="C1365"/>
      <c r="D1365"/>
      <c r="E1365"/>
      <c r="F1365"/>
      <c r="G1365"/>
      <c r="H1365"/>
      <c r="I1365"/>
      <c r="J1365"/>
    </row>
    <row r="1366" spans="1:10" ht="11.25" customHeight="1" x14ac:dyDescent="0.25">
      <c r="A1366"/>
      <c r="B1366"/>
      <c r="C1366"/>
      <c r="D1366"/>
      <c r="E1366"/>
      <c r="F1366"/>
      <c r="G1366"/>
      <c r="H1366"/>
      <c r="I1366"/>
      <c r="J1366"/>
    </row>
    <row r="1367" spans="1:10" ht="11.25" customHeight="1" x14ac:dyDescent="0.25">
      <c r="A1367"/>
      <c r="B1367"/>
      <c r="C1367"/>
      <c r="D1367"/>
      <c r="E1367"/>
      <c r="F1367"/>
      <c r="G1367"/>
      <c r="H1367"/>
      <c r="I1367"/>
      <c r="J1367"/>
    </row>
    <row r="1368" spans="1:10" ht="11.25" customHeight="1" x14ac:dyDescent="0.25">
      <c r="A1368"/>
      <c r="B1368"/>
      <c r="C1368"/>
      <c r="D1368"/>
      <c r="E1368"/>
      <c r="F1368"/>
      <c r="G1368"/>
      <c r="H1368"/>
      <c r="I1368"/>
      <c r="J1368"/>
    </row>
    <row r="1369" spans="1:10" ht="11.25" customHeight="1" x14ac:dyDescent="0.25">
      <c r="A1369"/>
      <c r="B1369"/>
      <c r="C1369"/>
      <c r="D1369"/>
      <c r="E1369"/>
      <c r="F1369"/>
      <c r="G1369"/>
      <c r="H1369"/>
      <c r="I1369"/>
      <c r="J1369"/>
    </row>
    <row r="1370" spans="1:10" ht="11.25" customHeight="1" x14ac:dyDescent="0.25">
      <c r="A1370"/>
      <c r="B1370"/>
      <c r="C1370"/>
      <c r="D1370"/>
      <c r="E1370"/>
      <c r="F1370"/>
      <c r="G1370"/>
      <c r="H1370"/>
      <c r="I1370"/>
      <c r="J1370"/>
    </row>
    <row r="1371" spans="1:10" ht="11.25" customHeight="1" x14ac:dyDescent="0.25">
      <c r="A1371"/>
      <c r="B1371"/>
      <c r="C1371"/>
      <c r="D1371"/>
      <c r="E1371"/>
      <c r="F1371"/>
      <c r="G1371"/>
      <c r="H1371"/>
      <c r="I1371"/>
      <c r="J1371"/>
    </row>
    <row r="1372" spans="1:10" ht="11.25" customHeight="1" x14ac:dyDescent="0.25">
      <c r="A1372"/>
      <c r="B1372"/>
      <c r="C1372"/>
      <c r="D1372"/>
      <c r="E1372"/>
      <c r="F1372"/>
      <c r="G1372"/>
      <c r="H1372"/>
      <c r="I1372"/>
      <c r="J1372"/>
    </row>
    <row r="1373" spans="1:10" ht="11.25" customHeight="1" x14ac:dyDescent="0.25">
      <c r="A1373"/>
      <c r="B1373"/>
      <c r="C1373"/>
      <c r="D1373"/>
      <c r="E1373"/>
      <c r="F1373"/>
      <c r="G1373"/>
      <c r="H1373"/>
      <c r="I1373"/>
      <c r="J1373"/>
    </row>
    <row r="1374" spans="1:10" ht="11.25" customHeight="1" x14ac:dyDescent="0.25">
      <c r="A1374"/>
      <c r="B1374"/>
      <c r="C1374"/>
      <c r="D1374"/>
      <c r="E1374"/>
      <c r="F1374"/>
      <c r="G1374"/>
      <c r="H1374"/>
      <c r="I1374"/>
      <c r="J1374"/>
    </row>
    <row r="1375" spans="1:10" ht="11.25" customHeight="1" x14ac:dyDescent="0.25">
      <c r="A1375"/>
      <c r="B1375"/>
      <c r="C1375"/>
      <c r="D1375"/>
      <c r="E1375"/>
      <c r="F1375"/>
      <c r="G1375"/>
      <c r="H1375"/>
      <c r="I1375"/>
      <c r="J1375"/>
    </row>
    <row r="1376" spans="1:10" ht="11.25" customHeight="1" x14ac:dyDescent="0.25">
      <c r="A1376"/>
      <c r="B1376"/>
      <c r="C1376"/>
      <c r="D1376"/>
      <c r="E1376"/>
      <c r="F1376"/>
      <c r="G1376"/>
      <c r="H1376"/>
      <c r="I1376"/>
      <c r="J1376"/>
    </row>
    <row r="1377" spans="1:10" ht="11.25" customHeight="1" x14ac:dyDescent="0.25">
      <c r="A1377"/>
      <c r="B1377"/>
      <c r="C1377"/>
      <c r="D1377"/>
      <c r="E1377"/>
      <c r="F1377"/>
      <c r="G1377"/>
      <c r="H1377"/>
      <c r="I1377"/>
      <c r="J1377"/>
    </row>
    <row r="1378" spans="1:10" ht="11.25" customHeight="1" x14ac:dyDescent="0.25">
      <c r="A1378"/>
      <c r="B1378"/>
      <c r="C1378"/>
      <c r="D1378"/>
      <c r="E1378"/>
      <c r="F1378"/>
      <c r="G1378"/>
      <c r="H1378"/>
      <c r="I1378"/>
      <c r="J1378"/>
    </row>
    <row r="1379" spans="1:10" ht="11.25" customHeight="1" x14ac:dyDescent="0.25">
      <c r="A1379"/>
      <c r="B1379"/>
      <c r="C1379"/>
      <c r="D1379"/>
      <c r="E1379"/>
      <c r="F1379"/>
      <c r="G1379"/>
      <c r="H1379"/>
      <c r="I1379"/>
      <c r="J1379"/>
    </row>
    <row r="1380" spans="1:10" ht="11.25" customHeight="1" x14ac:dyDescent="0.25">
      <c r="A1380"/>
      <c r="B1380"/>
      <c r="C1380"/>
      <c r="D1380"/>
      <c r="E1380"/>
      <c r="F1380"/>
      <c r="G1380"/>
      <c r="H1380"/>
      <c r="I1380"/>
      <c r="J1380"/>
    </row>
    <row r="1381" spans="1:10" ht="11.25" customHeight="1" x14ac:dyDescent="0.25">
      <c r="A1381"/>
      <c r="B1381"/>
      <c r="C1381"/>
      <c r="D1381"/>
      <c r="E1381"/>
      <c r="F1381"/>
      <c r="G1381"/>
      <c r="H1381"/>
      <c r="I1381"/>
      <c r="J1381"/>
    </row>
    <row r="1382" spans="1:10" ht="11.25" customHeight="1" x14ac:dyDescent="0.25">
      <c r="A1382"/>
      <c r="B1382"/>
      <c r="C1382"/>
      <c r="D1382"/>
      <c r="E1382"/>
      <c r="F1382"/>
      <c r="G1382"/>
      <c r="H1382"/>
      <c r="I1382"/>
      <c r="J1382"/>
    </row>
    <row r="1383" spans="1:10" ht="11.25" customHeight="1" x14ac:dyDescent="0.25">
      <c r="A1383"/>
      <c r="B1383"/>
      <c r="C1383"/>
      <c r="D1383"/>
      <c r="E1383"/>
      <c r="F1383"/>
      <c r="G1383"/>
      <c r="H1383"/>
      <c r="I1383"/>
      <c r="J1383"/>
    </row>
    <row r="1384" spans="1:10" ht="11.25" customHeight="1" x14ac:dyDescent="0.25">
      <c r="A1384"/>
      <c r="B1384"/>
      <c r="C1384"/>
      <c r="D1384"/>
      <c r="E1384"/>
      <c r="F1384"/>
      <c r="G1384"/>
      <c r="H1384"/>
      <c r="I1384"/>
      <c r="J1384"/>
    </row>
    <row r="1385" spans="1:10" ht="11.25" customHeight="1" x14ac:dyDescent="0.25">
      <c r="A1385"/>
      <c r="B1385"/>
      <c r="C1385"/>
      <c r="D1385"/>
      <c r="E1385"/>
      <c r="F1385"/>
      <c r="G1385"/>
      <c r="H1385"/>
      <c r="I1385"/>
      <c r="J1385"/>
    </row>
    <row r="1386" spans="1:10" ht="11.25" customHeight="1" x14ac:dyDescent="0.25">
      <c r="A1386"/>
      <c r="B1386"/>
      <c r="C1386"/>
      <c r="D1386"/>
      <c r="E1386"/>
      <c r="F1386"/>
      <c r="G1386"/>
      <c r="H1386"/>
      <c r="I1386"/>
      <c r="J1386"/>
    </row>
    <row r="1387" spans="1:10" ht="11.25" customHeight="1" x14ac:dyDescent="0.25">
      <c r="A1387"/>
      <c r="B1387"/>
      <c r="C1387"/>
      <c r="D1387"/>
      <c r="E1387"/>
      <c r="F1387"/>
      <c r="G1387"/>
      <c r="H1387"/>
      <c r="I1387"/>
      <c r="J1387"/>
    </row>
    <row r="1388" spans="1:10" ht="11.25" customHeight="1" x14ac:dyDescent="0.25">
      <c r="A1388"/>
      <c r="B1388"/>
      <c r="C1388"/>
      <c r="D1388"/>
      <c r="E1388"/>
      <c r="F1388"/>
      <c r="G1388"/>
      <c r="H1388"/>
      <c r="I1388"/>
      <c r="J1388"/>
    </row>
    <row r="1389" spans="1:10" ht="11.25" customHeight="1" x14ac:dyDescent="0.25">
      <c r="A1389"/>
      <c r="B1389"/>
      <c r="C1389"/>
      <c r="D1389"/>
      <c r="E1389"/>
      <c r="F1389"/>
      <c r="G1389"/>
      <c r="H1389"/>
      <c r="I1389"/>
      <c r="J1389"/>
    </row>
    <row r="1390" spans="1:10" ht="11.25" customHeight="1" x14ac:dyDescent="0.25">
      <c r="A1390"/>
      <c r="B1390"/>
      <c r="C1390"/>
      <c r="D1390"/>
      <c r="E1390"/>
      <c r="F1390"/>
      <c r="G1390"/>
      <c r="H1390"/>
      <c r="I1390"/>
      <c r="J1390"/>
    </row>
    <row r="1391" spans="1:10" ht="11.25" customHeight="1" x14ac:dyDescent="0.25">
      <c r="A1391"/>
      <c r="B1391"/>
      <c r="C1391"/>
      <c r="D1391"/>
      <c r="E1391"/>
      <c r="F1391"/>
      <c r="G1391"/>
      <c r="H1391"/>
      <c r="I1391"/>
      <c r="J1391"/>
    </row>
    <row r="1392" spans="1:10" ht="11.25" customHeight="1" x14ac:dyDescent="0.25">
      <c r="A1392"/>
      <c r="B1392"/>
      <c r="C1392"/>
      <c r="D1392"/>
      <c r="E1392"/>
      <c r="F1392"/>
      <c r="G1392"/>
      <c r="H1392"/>
      <c r="I1392"/>
      <c r="J1392"/>
    </row>
    <row r="1393" spans="1:10" ht="11.25" customHeight="1" x14ac:dyDescent="0.25">
      <c r="A1393"/>
      <c r="B1393"/>
      <c r="C1393"/>
      <c r="D1393"/>
      <c r="E1393"/>
      <c r="F1393"/>
      <c r="G1393"/>
      <c r="H1393"/>
      <c r="I1393"/>
      <c r="J1393"/>
    </row>
    <row r="1394" spans="1:10" ht="11.25" customHeight="1" x14ac:dyDescent="0.25">
      <c r="A1394"/>
      <c r="B1394"/>
      <c r="C1394"/>
      <c r="D1394"/>
      <c r="E1394"/>
      <c r="F1394"/>
      <c r="G1394"/>
      <c r="H1394"/>
      <c r="I1394"/>
      <c r="J1394"/>
    </row>
    <row r="1395" spans="1:10" ht="11.25" customHeight="1" x14ac:dyDescent="0.25">
      <c r="A1395"/>
      <c r="B1395"/>
      <c r="C1395"/>
      <c r="D1395"/>
      <c r="E1395"/>
      <c r="F1395"/>
      <c r="G1395"/>
      <c r="H1395"/>
      <c r="I1395"/>
      <c r="J1395"/>
    </row>
    <row r="1396" spans="1:10" ht="11.25" customHeight="1" x14ac:dyDescent="0.25">
      <c r="A1396"/>
      <c r="B1396"/>
      <c r="C1396"/>
      <c r="D1396"/>
      <c r="E1396"/>
      <c r="F1396"/>
      <c r="G1396"/>
      <c r="H1396"/>
      <c r="I1396"/>
      <c r="J1396"/>
    </row>
    <row r="1397" spans="1:10" ht="11.25" customHeight="1" x14ac:dyDescent="0.25">
      <c r="A1397"/>
      <c r="B1397"/>
      <c r="C1397"/>
      <c r="D1397"/>
      <c r="E1397"/>
      <c r="F1397"/>
      <c r="G1397"/>
      <c r="H1397"/>
      <c r="I1397"/>
      <c r="J1397"/>
    </row>
    <row r="1398" spans="1:10" ht="11.25" customHeight="1" x14ac:dyDescent="0.25">
      <c r="A1398"/>
      <c r="B1398"/>
      <c r="C1398"/>
      <c r="D1398"/>
      <c r="E1398"/>
      <c r="F1398"/>
      <c r="G1398"/>
      <c r="H1398"/>
      <c r="I1398"/>
      <c r="J1398"/>
    </row>
    <row r="1399" spans="1:10" ht="11.25" customHeight="1" x14ac:dyDescent="0.25">
      <c r="A1399"/>
      <c r="B1399"/>
      <c r="C1399"/>
      <c r="D1399"/>
      <c r="E1399"/>
      <c r="F1399"/>
      <c r="G1399"/>
      <c r="H1399"/>
      <c r="I1399"/>
      <c r="J1399"/>
    </row>
    <row r="1400" spans="1:10" ht="11.25" customHeight="1" x14ac:dyDescent="0.25">
      <c r="A1400"/>
      <c r="B1400"/>
      <c r="C1400"/>
      <c r="D1400"/>
      <c r="E1400"/>
      <c r="F1400"/>
      <c r="G1400"/>
      <c r="H1400"/>
      <c r="I1400"/>
      <c r="J1400"/>
    </row>
    <row r="1401" spans="1:10" ht="11.25" customHeight="1" x14ac:dyDescent="0.25">
      <c r="A1401"/>
      <c r="B1401"/>
      <c r="C1401"/>
      <c r="D1401"/>
      <c r="E1401"/>
      <c r="F1401"/>
      <c r="G1401"/>
      <c r="H1401"/>
      <c r="I1401"/>
      <c r="J1401"/>
    </row>
    <row r="1402" spans="1:10" ht="11.25" customHeight="1" x14ac:dyDescent="0.25">
      <c r="A1402"/>
      <c r="B1402"/>
      <c r="C1402"/>
      <c r="D1402"/>
      <c r="E1402"/>
      <c r="F1402"/>
      <c r="G1402"/>
      <c r="H1402"/>
      <c r="I1402"/>
      <c r="J1402"/>
    </row>
    <row r="1403" spans="1:10" ht="11.25" customHeight="1" x14ac:dyDescent="0.25">
      <c r="A1403"/>
      <c r="B1403"/>
      <c r="C1403"/>
      <c r="D1403"/>
      <c r="E1403"/>
      <c r="F1403"/>
      <c r="G1403"/>
      <c r="H1403"/>
      <c r="I1403"/>
      <c r="J1403"/>
    </row>
    <row r="1404" spans="1:10" ht="11.25" customHeight="1" x14ac:dyDescent="0.25">
      <c r="A1404"/>
      <c r="B1404"/>
      <c r="C1404"/>
      <c r="D1404"/>
      <c r="E1404"/>
      <c r="F1404"/>
      <c r="G1404"/>
      <c r="H1404"/>
      <c r="I1404"/>
      <c r="J1404"/>
    </row>
    <row r="1405" spans="1:10" ht="11.25" customHeight="1" x14ac:dyDescent="0.25">
      <c r="A1405"/>
      <c r="B1405"/>
      <c r="C1405"/>
      <c r="D1405"/>
      <c r="E1405"/>
      <c r="F1405"/>
      <c r="G1405"/>
      <c r="H1405"/>
      <c r="I1405"/>
      <c r="J1405"/>
    </row>
    <row r="1406" spans="1:10" ht="11.25" customHeight="1" x14ac:dyDescent="0.25">
      <c r="A1406"/>
      <c r="B1406"/>
      <c r="C1406"/>
      <c r="D1406"/>
      <c r="E1406"/>
      <c r="F1406"/>
      <c r="G1406"/>
      <c r="H1406"/>
      <c r="I1406"/>
      <c r="J1406"/>
    </row>
    <row r="1407" spans="1:10" ht="11.25" customHeight="1" x14ac:dyDescent="0.25">
      <c r="A1407"/>
      <c r="B1407"/>
      <c r="C1407"/>
      <c r="D1407"/>
      <c r="E1407"/>
      <c r="F1407"/>
      <c r="G1407"/>
      <c r="H1407"/>
      <c r="I1407"/>
      <c r="J1407"/>
    </row>
    <row r="1408" spans="1:10" ht="11.25" customHeight="1" x14ac:dyDescent="0.25">
      <c r="A1408"/>
      <c r="B1408"/>
      <c r="C1408"/>
      <c r="D1408"/>
      <c r="E1408"/>
      <c r="F1408"/>
      <c r="G1408"/>
      <c r="H1408"/>
      <c r="I1408"/>
      <c r="J1408"/>
    </row>
    <row r="1409" spans="1:10" ht="11.25" customHeight="1" x14ac:dyDescent="0.25">
      <c r="A1409"/>
      <c r="B1409"/>
      <c r="C1409"/>
      <c r="D1409"/>
      <c r="E1409"/>
      <c r="F1409"/>
      <c r="G1409"/>
      <c r="H1409"/>
      <c r="I1409"/>
      <c r="J1409"/>
    </row>
    <row r="1410" spans="1:10" ht="11.25" customHeight="1" x14ac:dyDescent="0.25">
      <c r="A1410"/>
      <c r="B1410"/>
      <c r="C1410"/>
      <c r="D1410"/>
      <c r="E1410"/>
      <c r="F1410"/>
      <c r="G1410"/>
      <c r="H1410"/>
      <c r="I1410"/>
      <c r="J1410"/>
    </row>
    <row r="1411" spans="1:10" ht="11.25" customHeight="1" x14ac:dyDescent="0.25">
      <c r="A1411"/>
      <c r="B1411"/>
      <c r="C1411"/>
      <c r="D1411"/>
      <c r="E1411"/>
      <c r="F1411"/>
      <c r="G1411"/>
      <c r="H1411"/>
      <c r="I1411"/>
      <c r="J1411"/>
    </row>
    <row r="1412" spans="1:10" ht="11.25" customHeight="1" x14ac:dyDescent="0.25">
      <c r="A1412"/>
      <c r="B1412"/>
      <c r="C1412"/>
      <c r="D1412"/>
      <c r="E1412"/>
      <c r="F1412"/>
      <c r="G1412"/>
      <c r="H1412"/>
      <c r="I1412"/>
      <c r="J1412"/>
    </row>
    <row r="1413" spans="1:10" ht="11.25" customHeight="1" x14ac:dyDescent="0.25">
      <c r="A1413"/>
      <c r="B1413"/>
      <c r="C1413"/>
      <c r="D1413"/>
      <c r="E1413"/>
      <c r="F1413"/>
      <c r="G1413"/>
      <c r="H1413"/>
      <c r="I1413"/>
      <c r="J1413"/>
    </row>
    <row r="1414" spans="1:10" ht="11.25" customHeight="1" x14ac:dyDescent="0.25">
      <c r="A1414"/>
      <c r="B1414"/>
      <c r="C1414"/>
      <c r="D1414"/>
      <c r="E1414"/>
      <c r="F1414"/>
      <c r="G1414"/>
      <c r="H1414"/>
      <c r="I1414"/>
      <c r="J1414"/>
    </row>
    <row r="1415" spans="1:10" ht="11.25" customHeight="1" x14ac:dyDescent="0.25">
      <c r="A1415"/>
      <c r="B1415"/>
      <c r="C1415"/>
      <c r="D1415"/>
      <c r="E1415"/>
      <c r="F1415"/>
      <c r="G1415"/>
      <c r="H1415"/>
      <c r="I1415"/>
      <c r="J1415"/>
    </row>
    <row r="1416" spans="1:10" ht="11.25" customHeight="1" x14ac:dyDescent="0.25">
      <c r="A1416"/>
      <c r="B1416"/>
      <c r="C1416"/>
      <c r="D1416"/>
      <c r="E1416"/>
      <c r="F1416"/>
      <c r="G1416"/>
      <c r="H1416"/>
      <c r="I1416"/>
      <c r="J1416"/>
    </row>
    <row r="1417" spans="1:10" ht="11.25" customHeight="1" x14ac:dyDescent="0.25">
      <c r="A1417"/>
      <c r="B1417"/>
      <c r="C1417"/>
      <c r="D1417"/>
      <c r="E1417"/>
      <c r="F1417"/>
      <c r="G1417"/>
      <c r="H1417"/>
      <c r="I1417"/>
      <c r="J1417"/>
    </row>
    <row r="1418" spans="1:10" ht="11.25" customHeight="1" x14ac:dyDescent="0.25">
      <c r="A1418"/>
      <c r="B1418"/>
      <c r="C1418"/>
      <c r="D1418"/>
      <c r="E1418"/>
      <c r="F1418"/>
      <c r="G1418"/>
      <c r="H1418"/>
      <c r="I1418"/>
      <c r="J1418"/>
    </row>
    <row r="1419" spans="1:10" ht="11.25" customHeight="1" x14ac:dyDescent="0.25">
      <c r="A1419"/>
      <c r="B1419"/>
      <c r="C1419"/>
      <c r="D1419"/>
      <c r="E1419"/>
      <c r="F1419"/>
      <c r="G1419"/>
      <c r="H1419"/>
      <c r="I1419"/>
      <c r="J1419"/>
    </row>
    <row r="1420" spans="1:10" ht="11.25" customHeight="1" x14ac:dyDescent="0.25">
      <c r="A1420"/>
      <c r="B1420"/>
      <c r="C1420"/>
      <c r="D1420"/>
      <c r="E1420"/>
      <c r="F1420"/>
      <c r="G1420"/>
      <c r="H1420"/>
      <c r="I1420"/>
      <c r="J1420"/>
    </row>
    <row r="1421" spans="1:10" ht="11.25" customHeight="1" x14ac:dyDescent="0.25">
      <c r="A1421"/>
      <c r="B1421"/>
      <c r="C1421"/>
      <c r="D1421"/>
      <c r="E1421"/>
      <c r="F1421"/>
      <c r="G1421"/>
      <c r="H1421"/>
      <c r="I1421"/>
      <c r="J1421"/>
    </row>
    <row r="1422" spans="1:10" ht="11.25" customHeight="1" x14ac:dyDescent="0.25">
      <c r="A1422"/>
      <c r="B1422"/>
      <c r="C1422"/>
      <c r="D1422"/>
      <c r="E1422"/>
      <c r="F1422"/>
      <c r="G1422"/>
      <c r="H1422"/>
      <c r="I1422"/>
      <c r="J1422"/>
    </row>
    <row r="1423" spans="1:10" ht="11.25" customHeight="1" x14ac:dyDescent="0.25">
      <c r="A1423"/>
      <c r="B1423"/>
      <c r="C1423"/>
      <c r="D1423"/>
      <c r="E1423"/>
      <c r="F1423"/>
      <c r="G1423"/>
      <c r="H1423"/>
      <c r="I1423"/>
      <c r="J1423"/>
    </row>
    <row r="1424" spans="1:10" ht="11.25" customHeight="1" x14ac:dyDescent="0.25">
      <c r="A1424"/>
      <c r="B1424"/>
      <c r="C1424"/>
      <c r="D1424"/>
      <c r="E1424"/>
      <c r="F1424"/>
      <c r="G1424"/>
      <c r="H1424"/>
      <c r="I1424"/>
      <c r="J1424"/>
    </row>
    <row r="1425" spans="1:10" ht="11.25" customHeight="1" x14ac:dyDescent="0.25">
      <c r="A1425"/>
      <c r="B1425"/>
      <c r="C1425"/>
      <c r="D1425"/>
      <c r="E1425"/>
      <c r="F1425"/>
      <c r="G1425"/>
      <c r="H1425"/>
      <c r="I1425"/>
      <c r="J1425"/>
    </row>
    <row r="1426" spans="1:10" ht="11.25" customHeight="1" x14ac:dyDescent="0.25">
      <c r="A1426"/>
      <c r="B1426"/>
      <c r="C1426"/>
      <c r="D1426"/>
      <c r="E1426"/>
      <c r="F1426"/>
      <c r="G1426"/>
      <c r="H1426"/>
      <c r="I1426"/>
      <c r="J1426"/>
    </row>
    <row r="1427" spans="1:10" ht="11.25" customHeight="1" x14ac:dyDescent="0.25">
      <c r="A1427"/>
      <c r="B1427"/>
      <c r="C1427"/>
      <c r="D1427"/>
      <c r="E1427"/>
      <c r="F1427"/>
      <c r="G1427"/>
      <c r="H1427"/>
      <c r="I1427"/>
      <c r="J1427"/>
    </row>
    <row r="1428" spans="1:10" ht="11.25" customHeight="1" x14ac:dyDescent="0.25">
      <c r="A1428"/>
      <c r="B1428"/>
      <c r="C1428"/>
      <c r="D1428"/>
      <c r="E1428"/>
      <c r="F1428"/>
      <c r="G1428"/>
      <c r="H1428"/>
      <c r="I1428"/>
      <c r="J1428"/>
    </row>
    <row r="1429" spans="1:10" ht="11.25" customHeight="1" x14ac:dyDescent="0.25">
      <c r="A1429"/>
      <c r="B1429"/>
      <c r="C1429"/>
      <c r="D1429"/>
      <c r="E1429"/>
      <c r="F1429"/>
      <c r="G1429"/>
      <c r="H1429"/>
      <c r="I1429"/>
      <c r="J1429"/>
    </row>
    <row r="1430" spans="1:10" ht="11.25" customHeight="1" x14ac:dyDescent="0.25">
      <c r="A1430"/>
      <c r="B1430"/>
      <c r="C1430"/>
      <c r="D1430"/>
      <c r="E1430"/>
      <c r="F1430"/>
      <c r="G1430"/>
      <c r="H1430"/>
      <c r="I1430"/>
      <c r="J1430"/>
    </row>
    <row r="1431" spans="1:10" ht="11.25" customHeight="1" x14ac:dyDescent="0.25">
      <c r="A1431"/>
      <c r="B1431"/>
      <c r="C1431"/>
      <c r="D1431"/>
      <c r="E1431"/>
      <c r="F1431"/>
      <c r="G1431"/>
      <c r="H1431"/>
      <c r="I1431"/>
      <c r="J1431"/>
    </row>
    <row r="1432" spans="1:10" ht="11.25" customHeight="1" x14ac:dyDescent="0.25">
      <c r="A1432"/>
      <c r="B1432"/>
      <c r="C1432"/>
      <c r="D1432"/>
      <c r="E1432"/>
      <c r="F1432"/>
      <c r="G1432"/>
      <c r="H1432"/>
      <c r="I1432"/>
      <c r="J1432"/>
    </row>
    <row r="1433" spans="1:10" ht="11.25" customHeight="1" x14ac:dyDescent="0.25">
      <c r="A1433"/>
      <c r="B1433"/>
      <c r="C1433"/>
      <c r="D1433"/>
      <c r="E1433"/>
      <c r="F1433"/>
      <c r="G1433"/>
      <c r="H1433"/>
      <c r="I1433"/>
      <c r="J1433"/>
    </row>
    <row r="1434" spans="1:10" ht="11.25" customHeight="1" x14ac:dyDescent="0.25">
      <c r="A1434"/>
      <c r="B1434"/>
      <c r="C1434"/>
      <c r="D1434"/>
      <c r="E1434"/>
      <c r="F1434"/>
      <c r="G1434"/>
      <c r="H1434"/>
      <c r="I1434"/>
      <c r="J1434"/>
    </row>
    <row r="1435" spans="1:10" ht="11.25" customHeight="1" x14ac:dyDescent="0.25">
      <c r="A1435"/>
      <c r="B1435"/>
      <c r="C1435"/>
      <c r="D1435"/>
      <c r="E1435"/>
      <c r="F1435"/>
      <c r="G1435"/>
      <c r="H1435"/>
      <c r="I1435"/>
      <c r="J1435"/>
    </row>
    <row r="1436" spans="1:10" ht="11.25" customHeight="1" x14ac:dyDescent="0.25">
      <c r="A1436"/>
      <c r="B1436"/>
      <c r="C1436"/>
      <c r="D1436"/>
      <c r="E1436"/>
      <c r="F1436"/>
      <c r="G1436"/>
      <c r="H1436"/>
      <c r="I1436"/>
      <c r="J1436"/>
    </row>
    <row r="1437" spans="1:10" ht="11.25" customHeight="1" x14ac:dyDescent="0.25">
      <c r="A1437"/>
      <c r="B1437"/>
      <c r="C1437"/>
      <c r="D1437"/>
      <c r="E1437"/>
      <c r="F1437"/>
      <c r="G1437"/>
      <c r="H1437"/>
      <c r="I1437"/>
      <c r="J1437"/>
    </row>
    <row r="1438" spans="1:10" ht="11.25" customHeight="1" x14ac:dyDescent="0.25">
      <c r="A1438"/>
      <c r="B1438"/>
      <c r="C1438"/>
      <c r="D1438"/>
      <c r="E1438"/>
      <c r="F1438"/>
      <c r="G1438"/>
      <c r="H1438"/>
      <c r="I1438"/>
      <c r="J1438"/>
    </row>
    <row r="1439" spans="1:10" ht="11.25" customHeight="1" x14ac:dyDescent="0.25">
      <c r="A1439"/>
      <c r="B1439"/>
      <c r="C1439"/>
      <c r="D1439"/>
      <c r="E1439"/>
      <c r="F1439"/>
      <c r="G1439"/>
      <c r="H1439"/>
      <c r="I1439"/>
      <c r="J1439"/>
    </row>
    <row r="1440" spans="1:10" ht="11.25" customHeight="1" x14ac:dyDescent="0.25">
      <c r="A1440"/>
      <c r="B1440"/>
      <c r="C1440"/>
      <c r="D1440"/>
      <c r="E1440"/>
      <c r="F1440"/>
      <c r="G1440"/>
      <c r="H1440"/>
      <c r="I1440"/>
      <c r="J1440"/>
    </row>
    <row r="1441" spans="1:10" ht="11.25" customHeight="1" x14ac:dyDescent="0.25">
      <c r="A1441"/>
      <c r="B1441"/>
      <c r="C1441"/>
      <c r="D1441"/>
      <c r="E1441"/>
      <c r="F1441"/>
      <c r="G1441"/>
      <c r="H1441"/>
      <c r="I1441"/>
      <c r="J1441"/>
    </row>
    <row r="1442" spans="1:10" ht="11.25" customHeight="1" x14ac:dyDescent="0.25">
      <c r="A1442"/>
      <c r="B1442"/>
      <c r="C1442"/>
      <c r="D1442"/>
      <c r="E1442"/>
      <c r="F1442"/>
      <c r="G1442"/>
      <c r="H1442"/>
      <c r="I1442"/>
      <c r="J1442"/>
    </row>
    <row r="1443" spans="1:10" ht="11.25" customHeight="1" x14ac:dyDescent="0.25">
      <c r="A1443"/>
      <c r="B1443"/>
      <c r="C1443"/>
      <c r="D1443"/>
      <c r="E1443"/>
      <c r="F1443"/>
      <c r="G1443"/>
      <c r="H1443"/>
      <c r="I1443"/>
      <c r="J1443"/>
    </row>
    <row r="1444" spans="1:10" ht="11.25" customHeight="1" x14ac:dyDescent="0.25">
      <c r="A1444"/>
      <c r="B1444"/>
      <c r="C1444"/>
      <c r="D1444"/>
      <c r="E1444"/>
      <c r="F1444"/>
      <c r="G1444"/>
      <c r="H1444"/>
      <c r="I1444"/>
      <c r="J1444"/>
    </row>
    <row r="1445" spans="1:10" ht="11.25" customHeight="1" x14ac:dyDescent="0.25">
      <c r="A1445"/>
      <c r="B1445"/>
      <c r="C1445"/>
      <c r="D1445"/>
      <c r="E1445"/>
      <c r="F1445"/>
      <c r="G1445"/>
      <c r="H1445"/>
      <c r="I1445"/>
      <c r="J1445"/>
    </row>
    <row r="1446" spans="1:10" ht="11.25" customHeight="1" x14ac:dyDescent="0.25">
      <c r="A1446"/>
      <c r="B1446"/>
      <c r="C1446"/>
      <c r="D1446"/>
      <c r="E1446"/>
      <c r="F1446"/>
      <c r="G1446"/>
      <c r="H1446"/>
      <c r="I1446"/>
      <c r="J1446"/>
    </row>
    <row r="1447" spans="1:10" ht="11.25" customHeight="1" x14ac:dyDescent="0.25">
      <c r="A1447"/>
      <c r="B1447"/>
      <c r="C1447"/>
      <c r="D1447"/>
      <c r="E1447"/>
      <c r="F1447"/>
      <c r="G1447"/>
      <c r="H1447"/>
      <c r="I1447"/>
      <c r="J1447"/>
    </row>
    <row r="1448" spans="1:10" ht="11.25" customHeight="1" x14ac:dyDescent="0.25">
      <c r="A1448"/>
      <c r="B1448"/>
      <c r="C1448"/>
      <c r="D1448"/>
      <c r="E1448"/>
      <c r="F1448"/>
      <c r="G1448"/>
      <c r="H1448"/>
      <c r="I1448"/>
      <c r="J1448"/>
    </row>
    <row r="1449" spans="1:10" ht="11.25" customHeight="1" x14ac:dyDescent="0.25">
      <c r="A1449"/>
      <c r="B1449"/>
      <c r="C1449"/>
      <c r="D1449"/>
      <c r="E1449"/>
      <c r="F1449"/>
      <c r="G1449"/>
      <c r="H1449"/>
      <c r="I1449"/>
      <c r="J1449"/>
    </row>
    <row r="1450" spans="1:10" ht="11.25" customHeight="1" x14ac:dyDescent="0.25">
      <c r="A1450"/>
      <c r="B1450"/>
      <c r="C1450"/>
      <c r="D1450"/>
      <c r="E1450"/>
      <c r="F1450"/>
      <c r="G1450"/>
      <c r="H1450"/>
      <c r="I1450"/>
      <c r="J1450"/>
    </row>
    <row r="1451" spans="1:10" ht="11.25" customHeight="1" x14ac:dyDescent="0.25">
      <c r="A1451"/>
      <c r="B1451"/>
      <c r="C1451"/>
      <c r="D1451"/>
      <c r="E1451"/>
      <c r="F1451"/>
      <c r="G1451"/>
      <c r="H1451"/>
      <c r="I1451"/>
      <c r="J1451"/>
    </row>
    <row r="1452" spans="1:10" ht="11.25" customHeight="1" x14ac:dyDescent="0.25">
      <c r="A1452"/>
      <c r="B1452"/>
      <c r="C1452"/>
      <c r="D1452"/>
      <c r="E1452"/>
      <c r="F1452"/>
      <c r="G1452"/>
      <c r="H1452"/>
      <c r="I1452"/>
      <c r="J1452"/>
    </row>
    <row r="1453" spans="1:10" ht="11.25" customHeight="1" x14ac:dyDescent="0.25">
      <c r="A1453"/>
      <c r="B1453"/>
      <c r="C1453"/>
      <c r="D1453"/>
      <c r="E1453"/>
      <c r="F1453"/>
      <c r="G1453"/>
      <c r="H1453"/>
      <c r="I1453"/>
      <c r="J1453"/>
    </row>
    <row r="1454" spans="1:10" ht="11.25" customHeight="1" x14ac:dyDescent="0.25">
      <c r="A1454"/>
      <c r="B1454"/>
      <c r="C1454"/>
      <c r="D1454"/>
      <c r="E1454"/>
      <c r="F1454"/>
      <c r="G1454"/>
      <c r="H1454"/>
      <c r="I1454"/>
      <c r="J1454"/>
    </row>
    <row r="1455" spans="1:10" ht="11.25" customHeight="1" x14ac:dyDescent="0.25">
      <c r="A1455"/>
      <c r="B1455"/>
      <c r="C1455"/>
      <c r="D1455"/>
      <c r="E1455"/>
      <c r="F1455"/>
      <c r="G1455"/>
      <c r="H1455"/>
      <c r="I1455"/>
      <c r="J1455"/>
    </row>
    <row r="1456" spans="1:10" ht="11.25" customHeight="1" x14ac:dyDescent="0.25">
      <c r="A1456"/>
      <c r="B1456"/>
      <c r="C1456"/>
      <c r="D1456"/>
      <c r="E1456"/>
      <c r="F1456"/>
      <c r="G1456"/>
      <c r="H1456"/>
      <c r="I1456"/>
      <c r="J1456"/>
    </row>
    <row r="1457" spans="1:10" ht="11.25" customHeight="1" x14ac:dyDescent="0.25">
      <c r="A1457"/>
      <c r="B1457"/>
      <c r="C1457"/>
      <c r="D1457"/>
      <c r="E1457"/>
      <c r="F1457"/>
      <c r="G1457"/>
      <c r="H1457"/>
      <c r="I1457"/>
      <c r="J1457"/>
    </row>
    <row r="1458" spans="1:10" ht="11.25" customHeight="1" x14ac:dyDescent="0.25">
      <c r="A1458"/>
      <c r="B1458"/>
      <c r="C1458"/>
      <c r="D1458"/>
      <c r="E1458"/>
      <c r="F1458"/>
      <c r="G1458"/>
      <c r="H1458"/>
      <c r="I1458"/>
      <c r="J1458"/>
    </row>
    <row r="1459" spans="1:10" ht="11.25" customHeight="1" x14ac:dyDescent="0.25">
      <c r="A1459"/>
      <c r="B1459"/>
      <c r="C1459"/>
      <c r="D1459"/>
      <c r="E1459"/>
      <c r="F1459"/>
      <c r="G1459"/>
      <c r="H1459"/>
      <c r="I1459"/>
      <c r="J1459"/>
    </row>
    <row r="1460" spans="1:10" ht="11.25" customHeight="1" x14ac:dyDescent="0.25">
      <c r="A1460"/>
      <c r="B1460"/>
      <c r="C1460"/>
      <c r="D1460"/>
      <c r="E1460"/>
      <c r="F1460"/>
      <c r="G1460"/>
      <c r="H1460"/>
      <c r="I1460"/>
      <c r="J1460"/>
    </row>
    <row r="1461" spans="1:10" ht="11.25" customHeight="1" x14ac:dyDescent="0.25">
      <c r="A1461"/>
      <c r="B1461"/>
      <c r="C1461"/>
      <c r="D1461"/>
      <c r="E1461"/>
      <c r="F1461"/>
      <c r="G1461"/>
      <c r="H1461"/>
      <c r="I1461"/>
      <c r="J1461"/>
    </row>
    <row r="1462" spans="1:10" ht="11.25" customHeight="1" x14ac:dyDescent="0.25">
      <c r="A1462"/>
      <c r="B1462"/>
      <c r="C1462"/>
      <c r="D1462"/>
      <c r="E1462"/>
      <c r="F1462"/>
      <c r="G1462"/>
      <c r="H1462"/>
      <c r="I1462"/>
      <c r="J1462"/>
    </row>
    <row r="1463" spans="1:10" ht="11.25" customHeight="1" x14ac:dyDescent="0.25">
      <c r="A1463"/>
      <c r="B1463"/>
      <c r="C1463"/>
      <c r="D1463"/>
      <c r="E1463"/>
      <c r="F1463"/>
      <c r="G1463"/>
      <c r="H1463"/>
      <c r="I1463"/>
      <c r="J1463"/>
    </row>
    <row r="1464" spans="1:10" ht="11.25" customHeight="1" x14ac:dyDescent="0.25">
      <c r="A1464"/>
      <c r="B1464"/>
      <c r="C1464"/>
      <c r="D1464"/>
      <c r="E1464"/>
      <c r="F1464"/>
      <c r="G1464"/>
      <c r="H1464"/>
      <c r="I1464"/>
      <c r="J1464"/>
    </row>
    <row r="1465" spans="1:10" ht="11.25" customHeight="1" x14ac:dyDescent="0.25">
      <c r="A1465"/>
      <c r="B1465"/>
      <c r="C1465"/>
      <c r="D1465"/>
      <c r="E1465"/>
      <c r="F1465"/>
      <c r="G1465"/>
      <c r="H1465"/>
      <c r="I1465"/>
      <c r="J1465"/>
    </row>
    <row r="1466" spans="1:10" ht="11.25" customHeight="1" x14ac:dyDescent="0.25">
      <c r="A1466"/>
      <c r="B1466"/>
      <c r="C1466"/>
      <c r="D1466"/>
      <c r="E1466"/>
      <c r="F1466"/>
      <c r="G1466"/>
      <c r="H1466"/>
      <c r="I1466"/>
      <c r="J1466"/>
    </row>
    <row r="1467" spans="1:10" ht="11.25" customHeight="1" x14ac:dyDescent="0.25">
      <c r="A1467"/>
      <c r="B1467"/>
      <c r="C1467"/>
      <c r="D1467"/>
      <c r="E1467"/>
      <c r="F1467"/>
      <c r="G1467"/>
      <c r="H1467"/>
      <c r="I1467"/>
      <c r="J1467"/>
    </row>
    <row r="1468" spans="1:10" ht="11.25" customHeight="1" x14ac:dyDescent="0.25">
      <c r="A1468"/>
      <c r="B1468"/>
      <c r="C1468"/>
      <c r="D1468"/>
      <c r="E1468"/>
      <c r="F1468"/>
      <c r="G1468"/>
      <c r="H1468"/>
      <c r="I1468"/>
      <c r="J1468"/>
    </row>
    <row r="1469" spans="1:10" ht="11.25" customHeight="1" x14ac:dyDescent="0.25">
      <c r="A1469"/>
      <c r="B1469"/>
      <c r="C1469"/>
      <c r="D1469"/>
      <c r="E1469"/>
      <c r="F1469"/>
      <c r="G1469"/>
      <c r="H1469"/>
      <c r="I1469"/>
      <c r="J1469"/>
    </row>
    <row r="1470" spans="1:10" ht="11.25" customHeight="1" x14ac:dyDescent="0.25">
      <c r="A1470"/>
      <c r="B1470"/>
      <c r="C1470"/>
      <c r="D1470"/>
      <c r="E1470"/>
      <c r="F1470"/>
      <c r="G1470"/>
      <c r="H1470"/>
      <c r="I1470"/>
      <c r="J1470"/>
    </row>
    <row r="1471" spans="1:10" ht="11.25" customHeight="1" x14ac:dyDescent="0.25">
      <c r="A1471"/>
      <c r="B1471"/>
      <c r="C1471"/>
      <c r="D1471"/>
      <c r="E1471"/>
      <c r="F1471"/>
      <c r="G1471"/>
      <c r="H1471"/>
      <c r="I1471"/>
      <c r="J1471"/>
    </row>
    <row r="1472" spans="1:10" ht="11.25" customHeight="1" x14ac:dyDescent="0.25">
      <c r="A1472"/>
      <c r="B1472"/>
      <c r="C1472"/>
      <c r="D1472"/>
      <c r="E1472"/>
      <c r="F1472"/>
      <c r="G1472"/>
      <c r="H1472"/>
      <c r="I1472"/>
      <c r="J1472"/>
    </row>
    <row r="1473" spans="1:10" ht="11.25" customHeight="1" x14ac:dyDescent="0.25">
      <c r="A1473"/>
      <c r="B1473"/>
      <c r="C1473"/>
      <c r="D1473"/>
      <c r="E1473"/>
      <c r="F1473"/>
      <c r="G1473"/>
      <c r="H1473"/>
      <c r="I1473"/>
      <c r="J1473"/>
    </row>
    <row r="1474" spans="1:10" ht="11.25" customHeight="1" x14ac:dyDescent="0.25">
      <c r="A1474"/>
      <c r="B1474"/>
      <c r="C1474"/>
      <c r="D1474"/>
      <c r="E1474"/>
      <c r="F1474"/>
      <c r="G1474"/>
      <c r="H1474"/>
      <c r="I1474"/>
      <c r="J1474"/>
    </row>
    <row r="1475" spans="1:10" ht="11.25" customHeight="1" x14ac:dyDescent="0.25">
      <c r="A1475"/>
      <c r="B1475"/>
      <c r="C1475"/>
      <c r="D1475"/>
      <c r="E1475"/>
      <c r="F1475"/>
      <c r="G1475"/>
      <c r="H1475"/>
      <c r="I1475"/>
      <c r="J1475"/>
    </row>
    <row r="1476" spans="1:10" ht="11.25" customHeight="1" x14ac:dyDescent="0.25">
      <c r="A1476"/>
      <c r="B1476"/>
      <c r="C1476"/>
      <c r="D1476"/>
      <c r="E1476"/>
      <c r="F1476"/>
      <c r="G1476"/>
      <c r="H1476"/>
      <c r="I1476"/>
      <c r="J1476"/>
    </row>
    <row r="1477" spans="1:10" ht="11.25" customHeight="1" x14ac:dyDescent="0.25">
      <c r="A1477"/>
      <c r="B1477"/>
      <c r="C1477"/>
      <c r="D1477"/>
      <c r="E1477"/>
      <c r="F1477"/>
      <c r="G1477"/>
      <c r="H1477"/>
      <c r="I1477"/>
      <c r="J1477"/>
    </row>
    <row r="1478" spans="1:10" ht="11.25" customHeight="1" x14ac:dyDescent="0.25">
      <c r="A1478"/>
      <c r="B1478"/>
      <c r="C1478"/>
      <c r="D1478"/>
      <c r="E1478"/>
      <c r="F1478"/>
      <c r="G1478"/>
      <c r="H1478"/>
      <c r="I1478"/>
      <c r="J1478"/>
    </row>
    <row r="1479" spans="1:10" ht="11.25" customHeight="1" x14ac:dyDescent="0.25">
      <c r="A1479"/>
      <c r="B1479"/>
      <c r="C1479"/>
      <c r="D1479"/>
      <c r="E1479"/>
      <c r="F1479"/>
      <c r="G1479"/>
      <c r="H1479"/>
      <c r="I1479"/>
      <c r="J1479"/>
    </row>
    <row r="1480" spans="1:10" ht="11.25" customHeight="1" x14ac:dyDescent="0.25">
      <c r="A1480"/>
      <c r="B1480"/>
      <c r="C1480"/>
      <c r="D1480"/>
      <c r="E1480"/>
      <c r="F1480"/>
      <c r="G1480"/>
      <c r="H1480"/>
      <c r="I1480"/>
      <c r="J1480"/>
    </row>
    <row r="1481" spans="1:10" ht="11.25" customHeight="1" x14ac:dyDescent="0.25">
      <c r="A1481"/>
      <c r="B1481"/>
      <c r="C1481"/>
      <c r="D1481"/>
      <c r="E1481"/>
      <c r="F1481"/>
      <c r="G1481"/>
      <c r="H1481"/>
      <c r="I1481"/>
      <c r="J1481"/>
    </row>
    <row r="1482" spans="1:10" ht="11.25" customHeight="1" x14ac:dyDescent="0.25">
      <c r="A1482"/>
      <c r="B1482"/>
      <c r="C1482"/>
      <c r="D1482"/>
      <c r="E1482"/>
      <c r="F1482"/>
      <c r="G1482"/>
      <c r="H1482"/>
      <c r="I1482"/>
      <c r="J1482"/>
    </row>
    <row r="1483" spans="1:10" ht="11.25" customHeight="1" x14ac:dyDescent="0.25">
      <c r="A1483"/>
      <c r="B1483"/>
      <c r="C1483"/>
      <c r="D1483"/>
      <c r="E1483"/>
      <c r="F1483"/>
      <c r="G1483"/>
      <c r="H1483"/>
      <c r="I1483"/>
      <c r="J1483"/>
    </row>
    <row r="1484" spans="1:10" ht="11.25" customHeight="1" x14ac:dyDescent="0.25">
      <c r="A1484"/>
      <c r="B1484"/>
      <c r="C1484"/>
      <c r="D1484"/>
      <c r="E1484"/>
      <c r="F1484"/>
      <c r="G1484"/>
      <c r="H1484"/>
      <c r="I1484"/>
      <c r="J1484"/>
    </row>
    <row r="1485" spans="1:10" ht="11.25" customHeight="1" x14ac:dyDescent="0.25">
      <c r="A1485"/>
      <c r="B1485"/>
      <c r="C1485"/>
      <c r="D1485"/>
      <c r="E1485"/>
      <c r="F1485"/>
      <c r="G1485"/>
      <c r="H1485"/>
      <c r="I1485"/>
      <c r="J1485"/>
    </row>
    <row r="1486" spans="1:10" ht="11.25" customHeight="1" x14ac:dyDescent="0.25">
      <c r="A1486"/>
      <c r="B1486"/>
      <c r="C1486"/>
      <c r="D1486"/>
      <c r="E1486"/>
      <c r="F1486"/>
      <c r="G1486"/>
      <c r="H1486"/>
      <c r="I1486"/>
      <c r="J1486"/>
    </row>
    <row r="1487" spans="1:10" ht="11.25" customHeight="1" x14ac:dyDescent="0.25">
      <c r="A1487"/>
      <c r="B1487"/>
      <c r="C1487"/>
      <c r="D1487"/>
      <c r="E1487"/>
      <c r="F1487"/>
      <c r="G1487"/>
      <c r="H1487"/>
      <c r="I1487"/>
      <c r="J1487"/>
    </row>
    <row r="1488" spans="1:10" ht="11.25" customHeight="1" x14ac:dyDescent="0.25">
      <c r="A1488"/>
      <c r="B1488"/>
      <c r="C1488"/>
      <c r="D1488"/>
      <c r="E1488"/>
      <c r="F1488"/>
      <c r="G1488"/>
      <c r="H1488"/>
      <c r="I1488"/>
      <c r="J1488"/>
    </row>
    <row r="1489" spans="1:10" ht="11.25" customHeight="1" x14ac:dyDescent="0.25">
      <c r="A1489"/>
      <c r="B1489"/>
      <c r="C1489"/>
      <c r="D1489"/>
      <c r="E1489"/>
      <c r="F1489"/>
      <c r="G1489"/>
      <c r="H1489"/>
      <c r="I1489"/>
      <c r="J1489"/>
    </row>
    <row r="1490" spans="1:10" ht="11.25" customHeight="1" x14ac:dyDescent="0.25">
      <c r="A1490"/>
      <c r="B1490"/>
      <c r="C1490"/>
      <c r="D1490"/>
      <c r="E1490"/>
      <c r="F1490"/>
      <c r="G1490"/>
      <c r="H1490"/>
      <c r="I1490"/>
      <c r="J1490"/>
    </row>
    <row r="1491" spans="1:10" ht="11.25" customHeight="1" x14ac:dyDescent="0.25">
      <c r="A1491"/>
      <c r="B1491"/>
      <c r="C1491"/>
      <c r="D1491"/>
      <c r="E1491"/>
      <c r="F1491"/>
      <c r="G1491"/>
      <c r="H1491"/>
      <c r="I1491"/>
      <c r="J1491"/>
    </row>
    <row r="1492" spans="1:10" ht="11.25" customHeight="1" x14ac:dyDescent="0.25">
      <c r="A1492"/>
      <c r="B1492"/>
      <c r="C1492"/>
      <c r="D1492"/>
      <c r="E1492"/>
      <c r="F1492"/>
      <c r="G1492"/>
      <c r="H1492"/>
      <c r="I1492"/>
      <c r="J1492"/>
    </row>
    <row r="1493" spans="1:10" ht="11.25" customHeight="1" x14ac:dyDescent="0.25">
      <c r="A1493"/>
      <c r="B1493"/>
      <c r="C1493"/>
      <c r="D1493"/>
      <c r="E1493"/>
      <c r="F1493"/>
      <c r="G1493"/>
      <c r="H1493"/>
      <c r="I1493"/>
      <c r="J1493"/>
    </row>
    <row r="1494" spans="1:10" ht="11.25" customHeight="1" x14ac:dyDescent="0.25">
      <c r="A1494"/>
      <c r="B1494"/>
      <c r="C1494"/>
      <c r="D1494"/>
      <c r="E1494"/>
      <c r="F1494"/>
      <c r="G1494"/>
      <c r="H1494"/>
      <c r="I1494"/>
      <c r="J1494"/>
    </row>
    <row r="1495" spans="1:10" ht="11.25" customHeight="1" x14ac:dyDescent="0.25">
      <c r="A1495"/>
      <c r="B1495"/>
      <c r="C1495"/>
      <c r="D1495"/>
      <c r="E1495"/>
      <c r="F1495"/>
      <c r="G1495"/>
      <c r="H1495"/>
      <c r="I1495"/>
      <c r="J1495"/>
    </row>
    <row r="1496" spans="1:10" ht="11.25" customHeight="1" x14ac:dyDescent="0.25">
      <c r="A1496"/>
      <c r="B1496"/>
      <c r="C1496"/>
      <c r="D1496"/>
      <c r="E1496"/>
      <c r="F1496"/>
      <c r="G1496"/>
      <c r="H1496"/>
      <c r="I1496"/>
      <c r="J1496"/>
    </row>
    <row r="1497" spans="1:10" ht="11.25" customHeight="1" x14ac:dyDescent="0.25">
      <c r="A1497"/>
      <c r="B1497"/>
      <c r="C1497"/>
      <c r="D1497"/>
      <c r="E1497"/>
      <c r="F1497"/>
      <c r="G1497"/>
      <c r="H1497"/>
      <c r="I1497"/>
      <c r="J1497"/>
    </row>
    <row r="1498" spans="1:10" ht="11.25" customHeight="1" x14ac:dyDescent="0.25">
      <c r="A1498"/>
      <c r="B1498"/>
      <c r="C1498"/>
      <c r="D1498"/>
      <c r="E1498"/>
      <c r="F1498"/>
      <c r="G1498"/>
      <c r="H1498"/>
      <c r="I1498"/>
      <c r="J1498"/>
    </row>
    <row r="1499" spans="1:10" ht="11.25" customHeight="1" x14ac:dyDescent="0.25">
      <c r="A1499"/>
      <c r="B1499"/>
      <c r="C1499"/>
      <c r="D1499"/>
      <c r="E1499"/>
      <c r="F1499"/>
      <c r="G1499"/>
      <c r="H1499"/>
      <c r="I1499"/>
      <c r="J1499"/>
    </row>
    <row r="1500" spans="1:10" ht="11.25" customHeight="1" x14ac:dyDescent="0.25">
      <c r="A1500"/>
      <c r="B1500"/>
      <c r="C1500"/>
      <c r="D1500"/>
      <c r="E1500"/>
      <c r="F1500"/>
      <c r="G1500"/>
      <c r="H1500"/>
      <c r="I1500"/>
      <c r="J1500"/>
    </row>
    <row r="1501" spans="1:10" ht="11.25" customHeight="1" x14ac:dyDescent="0.25">
      <c r="A1501"/>
      <c r="B1501"/>
      <c r="C1501"/>
      <c r="D1501"/>
      <c r="E1501"/>
      <c r="F1501"/>
      <c r="G1501"/>
      <c r="H1501"/>
      <c r="I1501"/>
      <c r="J1501"/>
    </row>
    <row r="1502" spans="1:10" ht="11.25" customHeight="1" x14ac:dyDescent="0.25">
      <c r="A1502"/>
      <c r="B1502"/>
      <c r="C1502"/>
      <c r="D1502"/>
      <c r="E1502"/>
      <c r="F1502"/>
      <c r="G1502"/>
      <c r="H1502"/>
      <c r="I1502"/>
      <c r="J1502"/>
    </row>
    <row r="1503" spans="1:10" ht="11.25" customHeight="1" x14ac:dyDescent="0.25">
      <c r="A1503"/>
      <c r="B1503"/>
      <c r="C1503"/>
      <c r="D1503"/>
      <c r="E1503"/>
      <c r="F1503"/>
      <c r="G1503"/>
      <c r="H1503"/>
      <c r="I1503"/>
      <c r="J1503"/>
    </row>
    <row r="1504" spans="1:10" ht="11.25" customHeight="1" x14ac:dyDescent="0.25">
      <c r="A1504"/>
      <c r="B1504"/>
      <c r="C1504"/>
      <c r="D1504"/>
      <c r="E1504"/>
      <c r="F1504"/>
      <c r="G1504"/>
      <c r="H1504"/>
      <c r="I1504"/>
      <c r="J1504"/>
    </row>
    <row r="1505" spans="1:10" ht="11.25" customHeight="1" x14ac:dyDescent="0.25">
      <c r="A1505"/>
      <c r="B1505"/>
      <c r="C1505"/>
      <c r="D1505"/>
      <c r="E1505"/>
      <c r="F1505"/>
      <c r="G1505"/>
      <c r="H1505"/>
      <c r="I1505"/>
      <c r="J1505"/>
    </row>
    <row r="1506" spans="1:10" ht="11.25" customHeight="1" x14ac:dyDescent="0.25">
      <c r="A1506"/>
      <c r="B1506"/>
      <c r="C1506"/>
      <c r="D1506"/>
      <c r="E1506"/>
      <c r="F1506"/>
      <c r="G1506"/>
      <c r="H1506"/>
      <c r="I1506"/>
      <c r="J1506"/>
    </row>
    <row r="1507" spans="1:10" ht="11.25" customHeight="1" x14ac:dyDescent="0.25">
      <c r="A1507"/>
      <c r="B1507"/>
      <c r="C1507"/>
      <c r="D1507"/>
      <c r="E1507"/>
      <c r="F1507"/>
      <c r="G1507"/>
      <c r="H1507"/>
      <c r="I1507"/>
      <c r="J1507"/>
    </row>
    <row r="1508" spans="1:10" ht="11.25" customHeight="1" x14ac:dyDescent="0.25">
      <c r="A1508"/>
      <c r="B1508"/>
      <c r="C1508"/>
      <c r="D1508"/>
      <c r="E1508"/>
      <c r="F1508"/>
      <c r="G1508"/>
      <c r="H1508"/>
      <c r="I1508"/>
      <c r="J1508"/>
    </row>
    <row r="1509" spans="1:10" ht="11.25" customHeight="1" x14ac:dyDescent="0.25">
      <c r="A1509"/>
      <c r="B1509"/>
      <c r="C1509"/>
      <c r="D1509"/>
      <c r="E1509"/>
      <c r="F1509"/>
      <c r="G1509"/>
      <c r="H1509"/>
      <c r="I1509"/>
      <c r="J1509"/>
    </row>
    <row r="1510" spans="1:10" ht="11.25" customHeight="1" x14ac:dyDescent="0.25">
      <c r="A1510"/>
      <c r="B1510"/>
      <c r="C1510"/>
      <c r="D1510"/>
      <c r="E1510"/>
      <c r="F1510"/>
      <c r="G1510"/>
      <c r="H1510"/>
      <c r="I1510"/>
      <c r="J1510"/>
    </row>
    <row r="1511" spans="1:10" ht="11.25" customHeight="1" x14ac:dyDescent="0.25">
      <c r="A1511"/>
      <c r="B1511"/>
      <c r="C1511"/>
      <c r="D1511"/>
      <c r="E1511"/>
      <c r="F1511"/>
      <c r="G1511"/>
      <c r="H1511"/>
      <c r="I1511"/>
      <c r="J1511"/>
    </row>
    <row r="1512" spans="1:10" ht="11.25" customHeight="1" x14ac:dyDescent="0.25">
      <c r="A1512"/>
      <c r="B1512"/>
      <c r="C1512"/>
      <c r="D1512"/>
      <c r="E1512"/>
      <c r="F1512"/>
      <c r="G1512"/>
      <c r="H1512"/>
      <c r="I1512"/>
      <c r="J1512"/>
    </row>
    <row r="1513" spans="1:10" ht="11.25" customHeight="1" x14ac:dyDescent="0.25">
      <c r="A1513"/>
      <c r="B1513"/>
      <c r="C1513"/>
      <c r="D1513"/>
      <c r="E1513"/>
      <c r="F1513"/>
      <c r="G1513"/>
      <c r="H1513"/>
      <c r="I1513"/>
      <c r="J1513"/>
    </row>
    <row r="1514" spans="1:10" ht="11.25" customHeight="1" x14ac:dyDescent="0.25">
      <c r="A1514"/>
      <c r="B1514"/>
      <c r="C1514"/>
      <c r="D1514"/>
      <c r="E1514"/>
      <c r="F1514"/>
      <c r="G1514"/>
      <c r="H1514"/>
      <c r="I1514"/>
      <c r="J1514"/>
    </row>
    <row r="1515" spans="1:10" ht="11.25" customHeight="1" x14ac:dyDescent="0.25">
      <c r="A1515"/>
      <c r="B1515"/>
      <c r="C1515"/>
      <c r="D1515"/>
      <c r="E1515"/>
      <c r="F1515"/>
      <c r="G1515"/>
      <c r="H1515"/>
      <c r="I1515"/>
      <c r="J1515"/>
    </row>
    <row r="1516" spans="1:10" ht="11.25" customHeight="1" x14ac:dyDescent="0.25">
      <c r="A1516"/>
      <c r="B1516"/>
      <c r="C1516"/>
      <c r="D1516"/>
      <c r="E1516"/>
      <c r="F1516"/>
      <c r="G1516"/>
      <c r="H1516"/>
      <c r="I1516"/>
      <c r="J1516"/>
    </row>
    <row r="1517" spans="1:10" ht="11.25" customHeight="1" x14ac:dyDescent="0.25">
      <c r="A1517"/>
      <c r="B1517"/>
      <c r="C1517"/>
      <c r="D1517"/>
      <c r="E1517"/>
      <c r="F1517"/>
      <c r="G1517"/>
      <c r="H1517"/>
      <c r="I1517"/>
      <c r="J1517"/>
    </row>
    <row r="1518" spans="1:10" ht="11.25" customHeight="1" x14ac:dyDescent="0.25">
      <c r="A1518"/>
      <c r="B1518"/>
      <c r="C1518"/>
      <c r="D1518"/>
      <c r="E1518"/>
      <c r="F1518"/>
      <c r="G1518"/>
      <c r="H1518"/>
      <c r="I1518"/>
      <c r="J1518"/>
    </row>
    <row r="1519" spans="1:10" ht="11.25" customHeight="1" x14ac:dyDescent="0.25">
      <c r="A1519"/>
      <c r="B1519"/>
      <c r="C1519"/>
      <c r="D1519"/>
      <c r="E1519"/>
      <c r="F1519"/>
      <c r="G1519"/>
      <c r="H1519"/>
      <c r="I1519"/>
      <c r="J1519"/>
    </row>
    <row r="1520" spans="1:10" ht="11.25" customHeight="1" x14ac:dyDescent="0.25">
      <c r="A1520"/>
      <c r="B1520"/>
      <c r="C1520"/>
      <c r="D1520"/>
      <c r="E1520"/>
      <c r="F1520"/>
      <c r="G1520"/>
      <c r="H1520"/>
      <c r="I1520"/>
      <c r="J1520"/>
    </row>
    <row r="1521" spans="1:10" ht="11.25" customHeight="1" x14ac:dyDescent="0.25">
      <c r="A1521"/>
      <c r="B1521"/>
      <c r="C1521"/>
      <c r="D1521"/>
      <c r="E1521"/>
      <c r="F1521"/>
      <c r="G1521"/>
      <c r="H1521"/>
      <c r="I1521"/>
      <c r="J1521"/>
    </row>
    <row r="1522" spans="1:10" ht="11.25" customHeight="1" x14ac:dyDescent="0.25">
      <c r="A1522"/>
      <c r="B1522"/>
      <c r="C1522"/>
      <c r="D1522"/>
      <c r="E1522"/>
      <c r="F1522"/>
      <c r="G1522"/>
      <c r="H1522"/>
      <c r="I1522"/>
      <c r="J1522"/>
    </row>
    <row r="1523" spans="1:10" ht="11.25" customHeight="1" x14ac:dyDescent="0.25">
      <c r="A1523"/>
      <c r="B1523"/>
      <c r="C1523"/>
      <c r="D1523"/>
      <c r="E1523"/>
      <c r="F1523"/>
      <c r="G1523"/>
      <c r="H1523"/>
      <c r="I1523"/>
      <c r="J1523"/>
    </row>
    <row r="1524" spans="1:10" ht="11.25" customHeight="1" x14ac:dyDescent="0.25">
      <c r="A1524"/>
      <c r="B1524"/>
      <c r="C1524"/>
      <c r="D1524"/>
      <c r="E1524"/>
      <c r="F1524"/>
      <c r="G1524"/>
      <c r="H1524"/>
      <c r="I1524"/>
      <c r="J1524"/>
    </row>
    <row r="1525" spans="1:10" ht="11.25" customHeight="1" x14ac:dyDescent="0.25">
      <c r="A1525"/>
      <c r="B1525"/>
      <c r="C1525"/>
      <c r="D1525"/>
      <c r="E1525"/>
      <c r="F1525"/>
      <c r="G1525"/>
      <c r="H1525"/>
      <c r="I1525"/>
      <c r="J1525"/>
    </row>
    <row r="1526" spans="1:10" ht="11.25" customHeight="1" x14ac:dyDescent="0.25">
      <c r="A1526"/>
      <c r="B1526"/>
      <c r="C1526"/>
      <c r="D1526"/>
      <c r="E1526"/>
      <c r="F1526"/>
      <c r="G1526"/>
      <c r="H1526"/>
      <c r="I1526"/>
      <c r="J1526"/>
    </row>
    <row r="1527" spans="1:10" ht="11.25" customHeight="1" x14ac:dyDescent="0.25">
      <c r="A1527"/>
      <c r="B1527"/>
      <c r="C1527"/>
      <c r="D1527"/>
      <c r="E1527"/>
      <c r="F1527"/>
      <c r="G1527"/>
      <c r="H1527"/>
      <c r="I1527"/>
      <c r="J1527"/>
    </row>
    <row r="1528" spans="1:10" ht="11.25" customHeight="1" x14ac:dyDescent="0.25">
      <c r="A1528"/>
      <c r="B1528"/>
      <c r="C1528"/>
      <c r="D1528"/>
      <c r="E1528"/>
      <c r="F1528"/>
      <c r="G1528"/>
      <c r="H1528"/>
      <c r="I1528"/>
      <c r="J1528"/>
    </row>
    <row r="1529" spans="1:10" ht="11.25" customHeight="1" x14ac:dyDescent="0.25">
      <c r="A1529"/>
      <c r="B1529"/>
      <c r="C1529"/>
      <c r="D1529"/>
      <c r="E1529"/>
      <c r="F1529"/>
      <c r="G1529"/>
      <c r="H1529"/>
      <c r="I1529"/>
      <c r="J1529"/>
    </row>
    <row r="1530" spans="1:10" ht="11.25" customHeight="1" x14ac:dyDescent="0.25">
      <c r="A1530"/>
      <c r="B1530"/>
      <c r="C1530"/>
      <c r="D1530"/>
      <c r="E1530"/>
      <c r="F1530"/>
      <c r="G1530"/>
      <c r="H1530"/>
      <c r="I1530"/>
      <c r="J1530"/>
    </row>
    <row r="1531" spans="1:10" ht="11.25" customHeight="1" x14ac:dyDescent="0.25">
      <c r="A1531"/>
      <c r="B1531"/>
      <c r="C1531"/>
      <c r="D1531"/>
      <c r="E1531"/>
      <c r="F1531"/>
      <c r="G1531"/>
      <c r="H1531"/>
      <c r="I1531"/>
      <c r="J1531"/>
    </row>
    <row r="1532" spans="1:10" ht="11.25" customHeight="1" x14ac:dyDescent="0.25">
      <c r="A1532"/>
      <c r="B1532"/>
      <c r="C1532"/>
      <c r="D1532"/>
      <c r="E1532"/>
      <c r="F1532"/>
      <c r="G1532"/>
      <c r="H1532"/>
      <c r="I1532"/>
      <c r="J1532"/>
    </row>
    <row r="1533" spans="1:10" ht="11.25" customHeight="1" x14ac:dyDescent="0.25">
      <c r="A1533"/>
      <c r="B1533"/>
      <c r="C1533"/>
      <c r="D1533"/>
      <c r="E1533"/>
      <c r="F1533"/>
      <c r="G1533"/>
      <c r="H1533"/>
      <c r="I1533"/>
      <c r="J1533"/>
    </row>
    <row r="1534" spans="1:10" ht="11.25" customHeight="1" x14ac:dyDescent="0.25">
      <c r="A1534"/>
      <c r="B1534"/>
      <c r="C1534"/>
      <c r="D1534"/>
      <c r="E1534"/>
      <c r="F1534"/>
      <c r="G1534"/>
      <c r="H1534"/>
      <c r="I1534"/>
      <c r="J1534"/>
    </row>
    <row r="1535" spans="1:10" ht="11.25" customHeight="1" x14ac:dyDescent="0.25">
      <c r="A1535"/>
      <c r="B1535"/>
      <c r="C1535"/>
      <c r="D1535"/>
      <c r="E1535"/>
      <c r="F1535"/>
      <c r="G1535"/>
      <c r="H1535"/>
      <c r="I1535"/>
      <c r="J1535"/>
    </row>
    <row r="1536" spans="1:10" ht="11.25" customHeight="1" x14ac:dyDescent="0.25">
      <c r="A1536"/>
      <c r="B1536"/>
      <c r="C1536"/>
      <c r="D1536"/>
      <c r="E1536"/>
      <c r="F1536"/>
      <c r="G1536"/>
      <c r="H1536"/>
      <c r="I1536"/>
      <c r="J1536"/>
    </row>
    <row r="1537" spans="1:10" ht="11.25" customHeight="1" x14ac:dyDescent="0.25">
      <c r="A1537"/>
      <c r="B1537"/>
      <c r="C1537"/>
      <c r="D1537"/>
      <c r="E1537"/>
      <c r="F1537"/>
      <c r="G1537"/>
      <c r="H1537"/>
      <c r="I1537"/>
      <c r="J1537"/>
    </row>
    <row r="1538" spans="1:10" ht="11.25" customHeight="1" x14ac:dyDescent="0.25">
      <c r="A1538"/>
      <c r="B1538"/>
      <c r="C1538"/>
      <c r="D1538"/>
      <c r="E1538"/>
      <c r="F1538"/>
      <c r="G1538"/>
      <c r="H1538"/>
      <c r="I1538"/>
      <c r="J1538"/>
    </row>
    <row r="1539" spans="1:10" ht="11.25" customHeight="1" x14ac:dyDescent="0.25">
      <c r="A1539"/>
      <c r="B1539"/>
      <c r="C1539"/>
      <c r="D1539"/>
      <c r="E1539"/>
      <c r="F1539"/>
      <c r="G1539"/>
      <c r="H1539"/>
      <c r="I1539"/>
      <c r="J1539"/>
    </row>
    <row r="1540" spans="1:10" ht="11.25" customHeight="1" x14ac:dyDescent="0.25">
      <c r="A1540"/>
      <c r="B1540"/>
      <c r="C1540"/>
      <c r="D1540"/>
      <c r="E1540"/>
      <c r="F1540"/>
      <c r="G1540"/>
      <c r="H1540"/>
      <c r="I1540"/>
      <c r="J1540"/>
    </row>
    <row r="1541" spans="1:10" ht="11.25" customHeight="1" x14ac:dyDescent="0.25">
      <c r="A1541"/>
      <c r="B1541"/>
      <c r="C1541"/>
      <c r="D1541"/>
      <c r="E1541"/>
      <c r="F1541"/>
      <c r="G1541"/>
      <c r="H1541"/>
      <c r="I1541"/>
      <c r="J1541"/>
    </row>
    <row r="1542" spans="1:10" ht="11.25" customHeight="1" x14ac:dyDescent="0.25">
      <c r="A1542"/>
      <c r="B1542"/>
      <c r="C1542"/>
      <c r="D1542"/>
      <c r="E1542"/>
      <c r="F1542"/>
      <c r="G1542"/>
      <c r="H1542"/>
      <c r="I1542"/>
      <c r="J1542"/>
    </row>
    <row r="1543" spans="1:10" ht="11.25" customHeight="1" x14ac:dyDescent="0.25">
      <c r="A1543"/>
      <c r="B1543"/>
      <c r="C1543"/>
      <c r="D1543"/>
      <c r="E1543"/>
      <c r="F1543"/>
      <c r="G1543"/>
      <c r="H1543"/>
      <c r="I1543"/>
      <c r="J1543"/>
    </row>
    <row r="1544" spans="1:10" ht="11.25" customHeight="1" x14ac:dyDescent="0.25">
      <c r="A1544"/>
      <c r="B1544"/>
      <c r="C1544"/>
      <c r="D1544"/>
      <c r="E1544"/>
      <c r="F1544"/>
      <c r="G1544"/>
      <c r="H1544"/>
      <c r="I1544"/>
      <c r="J1544"/>
    </row>
    <row r="1545" spans="1:10" ht="11.25" customHeight="1" x14ac:dyDescent="0.25">
      <c r="A1545"/>
      <c r="B1545"/>
      <c r="C1545"/>
      <c r="D1545"/>
      <c r="E1545"/>
      <c r="F1545"/>
      <c r="G1545"/>
      <c r="H1545"/>
      <c r="I1545"/>
      <c r="J1545"/>
    </row>
    <row r="1546" spans="1:10" ht="11.25" customHeight="1" x14ac:dyDescent="0.25">
      <c r="A1546"/>
      <c r="B1546"/>
      <c r="C1546"/>
      <c r="D1546"/>
      <c r="E1546"/>
      <c r="F1546"/>
      <c r="G1546"/>
      <c r="H1546"/>
      <c r="I1546"/>
      <c r="J1546"/>
    </row>
    <row r="1547" spans="1:10" ht="11.25" customHeight="1" x14ac:dyDescent="0.25">
      <c r="A1547"/>
      <c r="B1547"/>
      <c r="C1547"/>
      <c r="D1547"/>
      <c r="E1547"/>
      <c r="F1547"/>
      <c r="G1547"/>
      <c r="H1547"/>
      <c r="I1547"/>
      <c r="J1547"/>
    </row>
    <row r="1548" spans="1:10" ht="11.25" customHeight="1" x14ac:dyDescent="0.25">
      <c r="A1548"/>
      <c r="B1548"/>
      <c r="C1548"/>
      <c r="D1548"/>
      <c r="E1548"/>
      <c r="F1548"/>
      <c r="G1548"/>
      <c r="H1548"/>
      <c r="I1548"/>
      <c r="J1548"/>
    </row>
    <row r="1549" spans="1:10" ht="11.25" customHeight="1" x14ac:dyDescent="0.25">
      <c r="A1549"/>
      <c r="B1549"/>
      <c r="C1549"/>
      <c r="D1549"/>
      <c r="E1549"/>
      <c r="F1549"/>
      <c r="G1549"/>
      <c r="H1549"/>
      <c r="I1549"/>
      <c r="J1549"/>
    </row>
    <row r="1550" spans="1:10" ht="11.25" customHeight="1" x14ac:dyDescent="0.25">
      <c r="A1550"/>
      <c r="B1550"/>
      <c r="C1550"/>
      <c r="D1550"/>
      <c r="E1550"/>
      <c r="F1550"/>
      <c r="G1550"/>
      <c r="H1550"/>
      <c r="I1550"/>
      <c r="J1550"/>
    </row>
    <row r="1551" spans="1:10" ht="11.25" customHeight="1" x14ac:dyDescent="0.25">
      <c r="A1551"/>
      <c r="B1551"/>
      <c r="C1551"/>
      <c r="D1551"/>
      <c r="E1551"/>
      <c r="F1551"/>
      <c r="G1551"/>
      <c r="H1551"/>
      <c r="I1551"/>
      <c r="J1551"/>
    </row>
    <row r="1552" spans="1:10" ht="11.25" customHeight="1" x14ac:dyDescent="0.25">
      <c r="A1552"/>
      <c r="B1552"/>
      <c r="C1552"/>
      <c r="D1552"/>
      <c r="E1552"/>
      <c r="F1552"/>
      <c r="G1552"/>
      <c r="H1552"/>
      <c r="I1552"/>
      <c r="J1552"/>
    </row>
    <row r="1553" spans="1:10" ht="11.25" customHeight="1" x14ac:dyDescent="0.25">
      <c r="A1553"/>
      <c r="B1553"/>
      <c r="C1553"/>
      <c r="D1553"/>
      <c r="E1553"/>
      <c r="F1553"/>
      <c r="G1553"/>
      <c r="H1553"/>
      <c r="I1553"/>
      <c r="J1553"/>
    </row>
    <row r="1554" spans="1:10" ht="11.25" customHeight="1" x14ac:dyDescent="0.25">
      <c r="A1554"/>
      <c r="B1554"/>
      <c r="C1554"/>
      <c r="D1554"/>
      <c r="E1554"/>
      <c r="F1554"/>
      <c r="G1554"/>
      <c r="H1554"/>
      <c r="I1554"/>
      <c r="J1554"/>
    </row>
    <row r="1555" spans="1:10" ht="11.25" customHeight="1" x14ac:dyDescent="0.25">
      <c r="A1555"/>
      <c r="B1555"/>
      <c r="C1555"/>
      <c r="D1555"/>
      <c r="E1555"/>
      <c r="F1555"/>
      <c r="G1555"/>
      <c r="H1555"/>
      <c r="I1555"/>
      <c r="J1555"/>
    </row>
    <row r="1556" spans="1:10" ht="11.25" customHeight="1" x14ac:dyDescent="0.25">
      <c r="A1556"/>
      <c r="B1556"/>
      <c r="C1556"/>
      <c r="D1556"/>
      <c r="E1556"/>
      <c r="F1556"/>
      <c r="G1556"/>
      <c r="H1556"/>
      <c r="I1556"/>
      <c r="J1556"/>
    </row>
    <row r="1557" spans="1:10" ht="11.25" customHeight="1" x14ac:dyDescent="0.25">
      <c r="A1557"/>
      <c r="B1557"/>
      <c r="C1557"/>
      <c r="D1557"/>
      <c r="E1557"/>
      <c r="F1557"/>
      <c r="G1557"/>
      <c r="H1557"/>
      <c r="I1557"/>
      <c r="J1557"/>
    </row>
    <row r="1558" spans="1:10" ht="11.25" customHeight="1" x14ac:dyDescent="0.25">
      <c r="A1558"/>
      <c r="B1558"/>
      <c r="C1558"/>
      <c r="D1558"/>
      <c r="E1558"/>
      <c r="F1558"/>
      <c r="G1558"/>
      <c r="H1558"/>
      <c r="I1558"/>
      <c r="J1558"/>
    </row>
    <row r="1559" spans="1:10" ht="11.25" customHeight="1" x14ac:dyDescent="0.25">
      <c r="A1559"/>
      <c r="B1559"/>
      <c r="C1559"/>
      <c r="D1559"/>
      <c r="E1559"/>
      <c r="F1559"/>
      <c r="G1559"/>
      <c r="H1559"/>
      <c r="I1559"/>
      <c r="J1559"/>
    </row>
    <row r="1560" spans="1:10" ht="11.25" customHeight="1" x14ac:dyDescent="0.25">
      <c r="A1560"/>
      <c r="B1560"/>
      <c r="C1560"/>
      <c r="D1560"/>
      <c r="E1560"/>
      <c r="F1560"/>
      <c r="G1560"/>
      <c r="H1560"/>
      <c r="I1560"/>
      <c r="J1560"/>
    </row>
    <row r="1561" spans="1:10" ht="11.25" customHeight="1" x14ac:dyDescent="0.25">
      <c r="A1561"/>
      <c r="B1561"/>
      <c r="C1561"/>
      <c r="D1561"/>
      <c r="E1561"/>
      <c r="F1561"/>
      <c r="G1561"/>
      <c r="H1561"/>
      <c r="I1561"/>
      <c r="J1561"/>
    </row>
    <row r="1562" spans="1:10" ht="11.25" customHeight="1" x14ac:dyDescent="0.25">
      <c r="A1562"/>
      <c r="B1562"/>
      <c r="C1562"/>
      <c r="D1562"/>
      <c r="E1562"/>
      <c r="F1562"/>
      <c r="G1562"/>
      <c r="H1562"/>
      <c r="I1562"/>
      <c r="J1562"/>
    </row>
    <row r="1563" spans="1:10" ht="11.25" customHeight="1" x14ac:dyDescent="0.25">
      <c r="A1563"/>
      <c r="B1563"/>
      <c r="C1563"/>
      <c r="D1563"/>
      <c r="E1563"/>
      <c r="F1563"/>
      <c r="G1563"/>
      <c r="H1563"/>
      <c r="I1563"/>
      <c r="J1563"/>
    </row>
    <row r="1564" spans="1:10" ht="11.25" customHeight="1" x14ac:dyDescent="0.25">
      <c r="A1564"/>
      <c r="B1564"/>
      <c r="C1564"/>
      <c r="D1564"/>
      <c r="E1564"/>
      <c r="F1564"/>
      <c r="G1564"/>
      <c r="H1564"/>
      <c r="I1564"/>
      <c r="J1564"/>
    </row>
    <row r="1565" spans="1:10" ht="11.25" customHeight="1" x14ac:dyDescent="0.25">
      <c r="A1565"/>
      <c r="B1565"/>
      <c r="C1565"/>
      <c r="D1565"/>
      <c r="E1565"/>
      <c r="F1565"/>
      <c r="G1565"/>
      <c r="H1565"/>
      <c r="I1565"/>
      <c r="J1565"/>
    </row>
    <row r="1566" spans="1:10" ht="11.25" customHeight="1" x14ac:dyDescent="0.25">
      <c r="A1566"/>
      <c r="B1566"/>
      <c r="C1566"/>
      <c r="D1566"/>
      <c r="E1566"/>
      <c r="F1566"/>
      <c r="G1566"/>
      <c r="H1566"/>
      <c r="I1566"/>
      <c r="J1566"/>
    </row>
    <row r="1567" spans="1:10" ht="11.25" customHeight="1" x14ac:dyDescent="0.25">
      <c r="A1567"/>
      <c r="B1567"/>
      <c r="C1567"/>
      <c r="D1567"/>
      <c r="E1567"/>
      <c r="F1567"/>
      <c r="G1567"/>
      <c r="H1567"/>
      <c r="I1567"/>
      <c r="J1567"/>
    </row>
    <row r="1568" spans="1:10" ht="11.25" customHeight="1" x14ac:dyDescent="0.25">
      <c r="A1568"/>
      <c r="B1568"/>
      <c r="C1568"/>
      <c r="D1568"/>
      <c r="E1568"/>
      <c r="F1568"/>
      <c r="G1568"/>
      <c r="H1568"/>
      <c r="I1568"/>
      <c r="J1568"/>
    </row>
    <row r="1569" spans="1:10" ht="11.25" customHeight="1" x14ac:dyDescent="0.25">
      <c r="A1569"/>
      <c r="B1569"/>
      <c r="C1569"/>
      <c r="D1569"/>
      <c r="E1569"/>
      <c r="F1569"/>
      <c r="G1569"/>
      <c r="H1569"/>
      <c r="I1569"/>
      <c r="J1569"/>
    </row>
    <row r="1570" spans="1:10" ht="11.25" customHeight="1" x14ac:dyDescent="0.25">
      <c r="A1570"/>
      <c r="B1570"/>
      <c r="C1570"/>
      <c r="D1570"/>
      <c r="E1570"/>
      <c r="F1570"/>
      <c r="G1570"/>
      <c r="H1570"/>
      <c r="I1570"/>
      <c r="J1570"/>
    </row>
    <row r="1571" spans="1:10" ht="11.25" customHeight="1" x14ac:dyDescent="0.25">
      <c r="A1571"/>
      <c r="B1571"/>
      <c r="C1571"/>
      <c r="D1571"/>
      <c r="E1571"/>
      <c r="F1571"/>
      <c r="G1571"/>
      <c r="H1571"/>
      <c r="I1571"/>
      <c r="J1571"/>
    </row>
    <row r="1572" spans="1:10" ht="11.25" customHeight="1" x14ac:dyDescent="0.25">
      <c r="A1572"/>
      <c r="B1572"/>
      <c r="C1572"/>
      <c r="D1572"/>
      <c r="E1572"/>
      <c r="F1572"/>
      <c r="G1572"/>
      <c r="H1572"/>
      <c r="I1572"/>
      <c r="J1572"/>
    </row>
    <row r="1573" spans="1:10" ht="11.25" customHeight="1" x14ac:dyDescent="0.25">
      <c r="A1573"/>
      <c r="B1573"/>
      <c r="C1573"/>
      <c r="D1573"/>
      <c r="E1573"/>
      <c r="F1573"/>
      <c r="G1573"/>
      <c r="H1573"/>
      <c r="I1573"/>
      <c r="J1573"/>
    </row>
    <row r="1574" spans="1:10" ht="11.25" customHeight="1" x14ac:dyDescent="0.25">
      <c r="A1574"/>
      <c r="B1574"/>
      <c r="C1574"/>
      <c r="D1574"/>
      <c r="E1574"/>
      <c r="F1574"/>
      <c r="G1574"/>
      <c r="H1574"/>
      <c r="I1574"/>
      <c r="J1574"/>
    </row>
    <row r="1575" spans="1:10" ht="11.25" customHeight="1" x14ac:dyDescent="0.25">
      <c r="A1575"/>
      <c r="B1575"/>
      <c r="C1575"/>
      <c r="D1575"/>
      <c r="E1575"/>
      <c r="F1575"/>
      <c r="G1575"/>
      <c r="H1575"/>
      <c r="I1575"/>
      <c r="J1575"/>
    </row>
    <row r="1576" spans="1:10" ht="11.25" customHeight="1" x14ac:dyDescent="0.25">
      <c r="A1576"/>
      <c r="B1576"/>
      <c r="C1576"/>
      <c r="D1576"/>
      <c r="E1576"/>
      <c r="F1576"/>
      <c r="G1576"/>
      <c r="H1576"/>
      <c r="I1576"/>
      <c r="J1576"/>
    </row>
    <row r="1577" spans="1:10" ht="11.25" customHeight="1" x14ac:dyDescent="0.25">
      <c r="A1577"/>
      <c r="B1577"/>
      <c r="C1577"/>
      <c r="D1577"/>
      <c r="E1577"/>
      <c r="F1577"/>
      <c r="G1577"/>
      <c r="H1577"/>
      <c r="I1577"/>
      <c r="J1577"/>
    </row>
    <row r="1578" spans="1:10" ht="11.25" customHeight="1" x14ac:dyDescent="0.25">
      <c r="A1578"/>
      <c r="B1578"/>
      <c r="C1578"/>
      <c r="D1578"/>
      <c r="E1578"/>
      <c r="F1578"/>
      <c r="G1578"/>
      <c r="H1578"/>
      <c r="I1578"/>
      <c r="J1578"/>
    </row>
    <row r="1579" spans="1:10" ht="11.25" customHeight="1" x14ac:dyDescent="0.25">
      <c r="A1579"/>
      <c r="B1579"/>
      <c r="C1579"/>
      <c r="D1579"/>
      <c r="E1579"/>
      <c r="F1579"/>
      <c r="G1579"/>
      <c r="H1579"/>
      <c r="I1579"/>
      <c r="J1579"/>
    </row>
    <row r="1580" spans="1:10" ht="11.25" customHeight="1" x14ac:dyDescent="0.25">
      <c r="A1580"/>
      <c r="B1580"/>
      <c r="C1580"/>
      <c r="D1580"/>
      <c r="E1580"/>
      <c r="F1580"/>
      <c r="G1580"/>
      <c r="H1580"/>
      <c r="I1580"/>
      <c r="J1580"/>
    </row>
    <row r="1581" spans="1:10" ht="11.25" customHeight="1" x14ac:dyDescent="0.25">
      <c r="A1581"/>
      <c r="B1581"/>
      <c r="C1581"/>
      <c r="D1581"/>
      <c r="E1581"/>
      <c r="F1581"/>
      <c r="G1581"/>
      <c r="H1581"/>
      <c r="I1581"/>
      <c r="J1581"/>
    </row>
    <row r="1582" spans="1:10" ht="11.25" customHeight="1" x14ac:dyDescent="0.25">
      <c r="A1582"/>
      <c r="B1582"/>
      <c r="C1582"/>
      <c r="D1582"/>
      <c r="E1582"/>
      <c r="F1582"/>
      <c r="G1582"/>
      <c r="H1582"/>
      <c r="I1582"/>
      <c r="J1582"/>
    </row>
    <row r="1583" spans="1:10" ht="11.25" customHeight="1" x14ac:dyDescent="0.25">
      <c r="A1583"/>
      <c r="B1583"/>
      <c r="C1583"/>
      <c r="D1583"/>
      <c r="E1583"/>
      <c r="F1583"/>
      <c r="G1583"/>
      <c r="H1583"/>
      <c r="I1583"/>
      <c r="J1583"/>
    </row>
    <row r="1584" spans="1:10" ht="11.25" customHeight="1" x14ac:dyDescent="0.25">
      <c r="A1584"/>
      <c r="B1584"/>
      <c r="C1584"/>
      <c r="D1584"/>
      <c r="E1584"/>
      <c r="F1584"/>
      <c r="G1584"/>
      <c r="H1584"/>
      <c r="I1584"/>
      <c r="J1584"/>
    </row>
    <row r="1585" spans="1:10" ht="11.25" customHeight="1" x14ac:dyDescent="0.25">
      <c r="A1585"/>
      <c r="B1585"/>
      <c r="C1585"/>
      <c r="D1585"/>
      <c r="E1585"/>
      <c r="F1585"/>
      <c r="G1585"/>
      <c r="H1585"/>
      <c r="I1585"/>
      <c r="J1585"/>
    </row>
    <row r="1586" spans="1:10" ht="11.25" customHeight="1" x14ac:dyDescent="0.25">
      <c r="A1586"/>
      <c r="B1586"/>
      <c r="C1586"/>
      <c r="D1586"/>
      <c r="E1586"/>
      <c r="F1586"/>
      <c r="G1586"/>
      <c r="H1586"/>
      <c r="I1586"/>
      <c r="J1586"/>
    </row>
    <row r="1587" spans="1:10" ht="11.25" customHeight="1" x14ac:dyDescent="0.25">
      <c r="A1587"/>
      <c r="B1587"/>
      <c r="C1587"/>
      <c r="D1587"/>
      <c r="E1587"/>
      <c r="F1587"/>
      <c r="G1587"/>
      <c r="H1587"/>
      <c r="I1587"/>
      <c r="J1587"/>
    </row>
    <row r="1588" spans="1:10" ht="11.25" customHeight="1" x14ac:dyDescent="0.25">
      <c r="A1588"/>
      <c r="B1588"/>
      <c r="C1588"/>
      <c r="D1588"/>
      <c r="E1588"/>
      <c r="F1588"/>
      <c r="G1588"/>
      <c r="H1588"/>
      <c r="I1588"/>
      <c r="J1588"/>
    </row>
    <row r="1589" spans="1:10" ht="11.25" customHeight="1" x14ac:dyDescent="0.25">
      <c r="A1589"/>
      <c r="B1589"/>
      <c r="C1589"/>
      <c r="D1589"/>
      <c r="E1589"/>
      <c r="F1589"/>
      <c r="G1589"/>
      <c r="H1589"/>
      <c r="I1589"/>
      <c r="J1589"/>
    </row>
    <row r="1590" spans="1:10" ht="11.25" customHeight="1" x14ac:dyDescent="0.25">
      <c r="A1590"/>
      <c r="B1590"/>
      <c r="C1590"/>
      <c r="D1590"/>
      <c r="E1590"/>
      <c r="F1590"/>
      <c r="G1590"/>
      <c r="H1590"/>
      <c r="I1590"/>
      <c r="J1590"/>
    </row>
    <row r="1591" spans="1:10" ht="11.25" customHeight="1" x14ac:dyDescent="0.25">
      <c r="A1591"/>
      <c r="B1591"/>
      <c r="C1591"/>
      <c r="D1591"/>
      <c r="E1591"/>
      <c r="F1591"/>
      <c r="G1591"/>
      <c r="H1591"/>
      <c r="I1591"/>
      <c r="J1591"/>
    </row>
    <row r="1592" spans="1:10" ht="11.25" customHeight="1" x14ac:dyDescent="0.25">
      <c r="A1592"/>
      <c r="B1592"/>
      <c r="C1592"/>
      <c r="D1592"/>
      <c r="E1592"/>
      <c r="F1592"/>
      <c r="G1592"/>
      <c r="H1592"/>
      <c r="I1592"/>
      <c r="J1592"/>
    </row>
    <row r="1593" spans="1:10" ht="11.25" customHeight="1" x14ac:dyDescent="0.25">
      <c r="A1593"/>
      <c r="B1593"/>
      <c r="C1593"/>
      <c r="D1593"/>
      <c r="E1593"/>
      <c r="F1593"/>
      <c r="G1593"/>
      <c r="H1593"/>
      <c r="I1593"/>
      <c r="J1593"/>
    </row>
    <row r="1594" spans="1:10" ht="11.25" customHeight="1" x14ac:dyDescent="0.25">
      <c r="A1594"/>
      <c r="B1594"/>
      <c r="C1594"/>
      <c r="D1594"/>
      <c r="E1594"/>
      <c r="F1594"/>
      <c r="G1594"/>
      <c r="H1594"/>
      <c r="I1594"/>
      <c r="J1594"/>
    </row>
    <row r="1595" spans="1:10" ht="11.25" customHeight="1" x14ac:dyDescent="0.25">
      <c r="A1595"/>
      <c r="B1595"/>
      <c r="C1595"/>
      <c r="D1595"/>
      <c r="E1595"/>
      <c r="F1595"/>
      <c r="G1595"/>
      <c r="H1595"/>
      <c r="I1595"/>
      <c r="J1595"/>
    </row>
    <row r="1596" spans="1:10" ht="11.25" customHeight="1" x14ac:dyDescent="0.25">
      <c r="A1596"/>
      <c r="B1596"/>
      <c r="C1596"/>
      <c r="D1596"/>
      <c r="E1596"/>
      <c r="F1596"/>
      <c r="G1596"/>
      <c r="H1596"/>
      <c r="I1596"/>
      <c r="J1596"/>
    </row>
    <row r="1597" spans="1:10" ht="11.25" customHeight="1" x14ac:dyDescent="0.25">
      <c r="A1597"/>
      <c r="B1597"/>
      <c r="C1597"/>
      <c r="D1597"/>
      <c r="E1597"/>
      <c r="F1597"/>
      <c r="G1597"/>
      <c r="H1597"/>
      <c r="I1597"/>
      <c r="J1597"/>
    </row>
    <row r="1598" spans="1:10" ht="11.25" customHeight="1" x14ac:dyDescent="0.25">
      <c r="A1598"/>
      <c r="B1598"/>
      <c r="C1598"/>
      <c r="D1598"/>
      <c r="E1598"/>
      <c r="F1598"/>
      <c r="G1598"/>
      <c r="H1598"/>
      <c r="I1598"/>
      <c r="J1598"/>
    </row>
    <row r="1599" spans="1:10" ht="11.25" customHeight="1" x14ac:dyDescent="0.25">
      <c r="A1599"/>
      <c r="B1599"/>
      <c r="C1599"/>
      <c r="D1599"/>
      <c r="E1599"/>
      <c r="F1599"/>
      <c r="G1599"/>
      <c r="H1599"/>
      <c r="I1599"/>
      <c r="J1599"/>
    </row>
    <row r="1600" spans="1:10" ht="11.25" customHeight="1" x14ac:dyDescent="0.25">
      <c r="A1600"/>
      <c r="B1600"/>
      <c r="C1600"/>
      <c r="D1600"/>
      <c r="E1600"/>
      <c r="F1600"/>
      <c r="G1600"/>
      <c r="H1600"/>
      <c r="I1600"/>
      <c r="J1600"/>
    </row>
    <row r="1601" spans="1:10" ht="11.25" customHeight="1" x14ac:dyDescent="0.25">
      <c r="A1601"/>
      <c r="B1601"/>
      <c r="C1601"/>
      <c r="D1601"/>
      <c r="E1601"/>
      <c r="F1601"/>
      <c r="G1601"/>
      <c r="H1601"/>
      <c r="I1601"/>
      <c r="J1601"/>
    </row>
    <row r="1602" spans="1:10" ht="11.25" customHeight="1" x14ac:dyDescent="0.25">
      <c r="A1602"/>
      <c r="B1602"/>
      <c r="C1602"/>
      <c r="D1602"/>
      <c r="E1602"/>
      <c r="F1602"/>
      <c r="G1602"/>
      <c r="H1602"/>
      <c r="I1602"/>
      <c r="J1602"/>
    </row>
    <row r="1603" spans="1:10" ht="11.25" customHeight="1" x14ac:dyDescent="0.25">
      <c r="A1603"/>
      <c r="B1603"/>
      <c r="C1603"/>
      <c r="D1603"/>
      <c r="E1603"/>
      <c r="F1603"/>
      <c r="G1603"/>
      <c r="H1603"/>
      <c r="I1603"/>
      <c r="J1603"/>
    </row>
    <row r="1604" spans="1:10" ht="11.25" customHeight="1" x14ac:dyDescent="0.25">
      <c r="A1604"/>
      <c r="B1604"/>
      <c r="C1604"/>
      <c r="D1604"/>
      <c r="E1604"/>
      <c r="F1604"/>
      <c r="G1604"/>
      <c r="H1604"/>
      <c r="I1604"/>
      <c r="J1604"/>
    </row>
    <row r="1605" spans="1:10" ht="11.25" customHeight="1" x14ac:dyDescent="0.25">
      <c r="A1605"/>
      <c r="B1605"/>
      <c r="C1605"/>
      <c r="D1605"/>
      <c r="E1605"/>
      <c r="F1605"/>
      <c r="G1605"/>
      <c r="H1605"/>
      <c r="I1605"/>
      <c r="J1605"/>
    </row>
    <row r="1606" spans="1:10" ht="11.25" customHeight="1" x14ac:dyDescent="0.25">
      <c r="A1606"/>
      <c r="B1606"/>
      <c r="C1606"/>
      <c r="D1606"/>
      <c r="E1606"/>
      <c r="F1606"/>
      <c r="G1606"/>
      <c r="H1606"/>
      <c r="I1606"/>
      <c r="J1606"/>
    </row>
    <row r="1607" spans="1:10" ht="11.25" customHeight="1" x14ac:dyDescent="0.25">
      <c r="A1607"/>
      <c r="B1607"/>
      <c r="C1607"/>
      <c r="D1607"/>
      <c r="E1607"/>
      <c r="F1607"/>
      <c r="G1607"/>
      <c r="H1607"/>
      <c r="I1607"/>
      <c r="J1607"/>
    </row>
    <row r="1608" spans="1:10" ht="11.25" customHeight="1" x14ac:dyDescent="0.25">
      <c r="A1608"/>
      <c r="B1608"/>
      <c r="C1608"/>
      <c r="D1608"/>
      <c r="E1608"/>
      <c r="F1608"/>
      <c r="G1608"/>
      <c r="H1608"/>
      <c r="I1608"/>
      <c r="J1608"/>
    </row>
    <row r="1609" spans="1:10" ht="11.25" customHeight="1" x14ac:dyDescent="0.25">
      <c r="A1609"/>
      <c r="B1609"/>
      <c r="C1609"/>
      <c r="D1609"/>
      <c r="E1609"/>
      <c r="F1609"/>
      <c r="G1609"/>
      <c r="H1609"/>
      <c r="I1609"/>
      <c r="J1609"/>
    </row>
    <row r="1610" spans="1:10" ht="11.25" customHeight="1" x14ac:dyDescent="0.25">
      <c r="A1610"/>
      <c r="B1610"/>
      <c r="C1610"/>
      <c r="D1610"/>
      <c r="E1610"/>
      <c r="F1610"/>
      <c r="G1610"/>
      <c r="H1610"/>
      <c r="I1610"/>
      <c r="J1610"/>
    </row>
    <row r="1611" spans="1:10" ht="11.25" customHeight="1" x14ac:dyDescent="0.25">
      <c r="A1611"/>
      <c r="B1611"/>
      <c r="C1611"/>
      <c r="D1611"/>
      <c r="E1611"/>
      <c r="F1611"/>
      <c r="G1611"/>
      <c r="H1611"/>
      <c r="I1611"/>
      <c r="J1611"/>
    </row>
    <row r="1612" spans="1:10" ht="11.25" customHeight="1" x14ac:dyDescent="0.25">
      <c r="A1612"/>
      <c r="B1612"/>
      <c r="C1612"/>
      <c r="D1612"/>
      <c r="E1612"/>
      <c r="F1612"/>
      <c r="G1612"/>
      <c r="H1612"/>
      <c r="I1612"/>
      <c r="J1612"/>
    </row>
    <row r="1613" spans="1:10" ht="11.25" customHeight="1" x14ac:dyDescent="0.25">
      <c r="A1613"/>
      <c r="B1613"/>
      <c r="C1613"/>
      <c r="D1613"/>
      <c r="E1613"/>
      <c r="F1613"/>
      <c r="G1613"/>
      <c r="H1613"/>
      <c r="I1613"/>
      <c r="J1613"/>
    </row>
    <row r="1614" spans="1:10" ht="11.25" customHeight="1" x14ac:dyDescent="0.25">
      <c r="A1614"/>
      <c r="B1614"/>
      <c r="C1614"/>
      <c r="D1614"/>
      <c r="E1614"/>
      <c r="F1614"/>
      <c r="G1614"/>
      <c r="H1614"/>
      <c r="I1614"/>
      <c r="J1614"/>
    </row>
    <row r="1615" spans="1:10" ht="11.25" customHeight="1" x14ac:dyDescent="0.25">
      <c r="A1615"/>
      <c r="B1615"/>
      <c r="C1615"/>
      <c r="D1615"/>
      <c r="E1615"/>
      <c r="F1615"/>
      <c r="G1615"/>
      <c r="H1615"/>
      <c r="I1615"/>
      <c r="J1615"/>
    </row>
    <row r="1616" spans="1:10" ht="11.25" customHeight="1" x14ac:dyDescent="0.25">
      <c r="A1616"/>
      <c r="B1616"/>
      <c r="C1616"/>
      <c r="D1616"/>
      <c r="E1616"/>
      <c r="F1616"/>
      <c r="G1616"/>
      <c r="H1616"/>
      <c r="I1616"/>
      <c r="J1616"/>
    </row>
    <row r="1617" spans="1:10" ht="11.25" customHeight="1" x14ac:dyDescent="0.25">
      <c r="A1617"/>
      <c r="B1617"/>
      <c r="C1617"/>
      <c r="D1617"/>
      <c r="E1617"/>
      <c r="F1617"/>
      <c r="G1617"/>
      <c r="H1617"/>
      <c r="I1617"/>
      <c r="J1617"/>
    </row>
    <row r="1618" spans="1:10" ht="11.25" customHeight="1" x14ac:dyDescent="0.25">
      <c r="A1618"/>
      <c r="B1618"/>
      <c r="C1618"/>
      <c r="D1618"/>
      <c r="E1618"/>
      <c r="F1618"/>
      <c r="G1618"/>
      <c r="H1618"/>
      <c r="I1618"/>
      <c r="J1618"/>
    </row>
    <row r="1619" spans="1:10" ht="11.25" customHeight="1" x14ac:dyDescent="0.25">
      <c r="A1619"/>
      <c r="B1619"/>
      <c r="C1619"/>
      <c r="D1619"/>
      <c r="E1619"/>
      <c r="F1619"/>
      <c r="G1619"/>
      <c r="H1619"/>
      <c r="I1619"/>
      <c r="J1619"/>
    </row>
    <row r="1620" spans="1:10" ht="11.25" customHeight="1" x14ac:dyDescent="0.25">
      <c r="A1620"/>
      <c r="B1620"/>
      <c r="C1620"/>
      <c r="D1620"/>
      <c r="E1620"/>
      <c r="F1620"/>
      <c r="G1620"/>
      <c r="H1620"/>
      <c r="I1620"/>
      <c r="J1620"/>
    </row>
    <row r="1621" spans="1:10" ht="11.25" customHeight="1" x14ac:dyDescent="0.25">
      <c r="A1621"/>
      <c r="B1621"/>
      <c r="C1621"/>
      <c r="D1621"/>
      <c r="E1621"/>
      <c r="F1621"/>
      <c r="G1621"/>
      <c r="H1621"/>
      <c r="I1621"/>
      <c r="J1621"/>
    </row>
    <row r="1622" spans="1:10" ht="11.25" customHeight="1" x14ac:dyDescent="0.25">
      <c r="A1622"/>
      <c r="B1622"/>
      <c r="C1622"/>
      <c r="D1622"/>
      <c r="E1622"/>
      <c r="F1622"/>
      <c r="G1622"/>
      <c r="H1622"/>
      <c r="I1622"/>
      <c r="J1622"/>
    </row>
    <row r="1623" spans="1:10" ht="11.25" customHeight="1" x14ac:dyDescent="0.25">
      <c r="A1623"/>
      <c r="B1623"/>
      <c r="C1623"/>
      <c r="D1623"/>
      <c r="E1623"/>
      <c r="F1623"/>
      <c r="G1623"/>
      <c r="H1623"/>
      <c r="I1623"/>
      <c r="J1623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D303A-9AFC-449A-B02C-C20C4E0FADAD}">
  <dimension ref="A1:G704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0.42578125" style="57" bestFit="1" customWidth="1"/>
    <col min="3" max="3" width="21.85546875" style="57" bestFit="1" customWidth="1"/>
    <col min="4" max="4" width="20.7109375" style="57" bestFit="1" customWidth="1"/>
    <col min="5" max="5" width="21.7109375" style="57" bestFit="1" customWidth="1"/>
    <col min="6" max="6" width="14.85546875" style="57" bestFit="1" customWidth="1"/>
    <col min="7" max="7" width="20.7109375" style="57" bestFit="1" customWidth="1"/>
    <col min="8" max="16384" width="9.140625" style="16"/>
  </cols>
  <sheetData>
    <row r="1" spans="1:7" ht="11.25" customHeight="1" x14ac:dyDescent="0.2">
      <c r="A1" s="56" t="s">
        <v>935</v>
      </c>
      <c r="B1" s="57" t="s">
        <v>961</v>
      </c>
      <c r="C1" s="57" t="s">
        <v>962</v>
      </c>
      <c r="D1" s="57" t="s">
        <v>963</v>
      </c>
      <c r="E1" s="57" t="s">
        <v>964</v>
      </c>
      <c r="F1" s="57" t="s">
        <v>965</v>
      </c>
      <c r="G1" s="57" t="s">
        <v>966</v>
      </c>
    </row>
    <row r="2" spans="1:7" ht="11.25" customHeight="1" x14ac:dyDescent="0.2">
      <c r="A2" s="59" t="s">
        <v>953</v>
      </c>
      <c r="B2" s="57">
        <v>3585426.9225000017</v>
      </c>
      <c r="C2" s="57">
        <v>5526922.3212365992</v>
      </c>
      <c r="D2" s="57">
        <v>4546636.6732326206</v>
      </c>
      <c r="E2" s="57">
        <v>395880056877975.06</v>
      </c>
      <c r="F2" s="57">
        <v>9112349.2437366042</v>
      </c>
      <c r="G2" s="57">
        <v>395880061424611.75</v>
      </c>
    </row>
    <row r="3" spans="1:7" ht="11.25" customHeight="1" x14ac:dyDescent="0.2">
      <c r="A3" s="60" t="s">
        <v>41</v>
      </c>
      <c r="B3" s="57">
        <v>128485.79999999994</v>
      </c>
      <c r="C3" s="57">
        <v>71294.482684800052</v>
      </c>
      <c r="D3" s="57">
        <v>186122.80571674227</v>
      </c>
      <c r="E3" s="57">
        <v>7175506377371.5205</v>
      </c>
      <c r="F3" s="57">
        <v>199780.28268479998</v>
      </c>
      <c r="G3" s="57">
        <v>7175506563494.3262</v>
      </c>
    </row>
    <row r="4" spans="1:7" ht="11.25" customHeight="1" x14ac:dyDescent="0.2">
      <c r="A4" s="61" t="s">
        <v>42</v>
      </c>
      <c r="B4" s="57">
        <v>128485.79999999994</v>
      </c>
      <c r="C4" s="57">
        <v>71294.482684800052</v>
      </c>
      <c r="D4" s="57">
        <v>186122.80571674227</v>
      </c>
      <c r="E4" s="57">
        <v>7175506377371.5205</v>
      </c>
      <c r="F4" s="57">
        <v>199780.28268479998</v>
      </c>
      <c r="G4" s="57">
        <v>7175506563494.3262</v>
      </c>
    </row>
    <row r="5" spans="1:7" ht="11.25" customHeight="1" x14ac:dyDescent="0.2">
      <c r="A5" s="62" t="s">
        <v>50</v>
      </c>
      <c r="B5" s="57">
        <v>128485.79999999994</v>
      </c>
      <c r="C5" s="57">
        <v>71294.482684800052</v>
      </c>
      <c r="D5" s="57">
        <v>186122.80571674227</v>
      </c>
      <c r="E5" s="57">
        <v>7175506377371.5205</v>
      </c>
      <c r="F5" s="57">
        <v>199780.28268479998</v>
      </c>
      <c r="G5" s="57">
        <v>7175506563494.3262</v>
      </c>
    </row>
    <row r="6" spans="1:7" ht="11.25" customHeight="1" x14ac:dyDescent="0.2">
      <c r="A6" s="63" t="s">
        <v>51</v>
      </c>
      <c r="B6" s="57">
        <v>128485.79999999994</v>
      </c>
      <c r="C6" s="57">
        <v>71294.482684800052</v>
      </c>
      <c r="D6" s="57">
        <v>186122.80571674227</v>
      </c>
      <c r="E6" s="57">
        <v>7175506377371.5205</v>
      </c>
      <c r="F6" s="57">
        <v>199780.28268479998</v>
      </c>
      <c r="G6" s="57">
        <v>7175506563494.3262</v>
      </c>
    </row>
    <row r="7" spans="1:7" ht="11.25" customHeight="1" x14ac:dyDescent="0.2">
      <c r="A7" s="64" t="s">
        <v>25</v>
      </c>
      <c r="B7" s="57">
        <v>128485.79999999994</v>
      </c>
      <c r="C7" s="57">
        <v>71294.482684800052</v>
      </c>
      <c r="D7" s="57">
        <v>186122.80571674227</v>
      </c>
      <c r="E7" s="57">
        <v>7175506377371.5205</v>
      </c>
      <c r="F7" s="57">
        <v>199780.28268479998</v>
      </c>
      <c r="G7" s="57">
        <v>7175506563494.3262</v>
      </c>
    </row>
    <row r="8" spans="1:7" ht="11.25" customHeight="1" x14ac:dyDescent="0.2">
      <c r="A8" s="65" t="s">
        <v>25</v>
      </c>
      <c r="B8" s="57">
        <v>128485.79999999994</v>
      </c>
      <c r="C8" s="57">
        <v>71294.482684800052</v>
      </c>
      <c r="D8" s="57">
        <v>186122.80571674227</v>
      </c>
      <c r="E8" s="57">
        <v>7175506377371.5205</v>
      </c>
      <c r="F8" s="57">
        <v>199780.28268479998</v>
      </c>
      <c r="G8" s="57">
        <v>7175506563494.3262</v>
      </c>
    </row>
    <row r="9" spans="1:7" ht="11.25" customHeight="1" x14ac:dyDescent="0.2">
      <c r="A9" s="66" t="s">
        <v>36</v>
      </c>
      <c r="B9" s="57">
        <v>126104.39999999998</v>
      </c>
      <c r="C9" s="57">
        <v>70793.181000000026</v>
      </c>
      <c r="D9" s="57">
        <v>182882.37772999096</v>
      </c>
      <c r="E9" s="57">
        <v>7140494918224.9316</v>
      </c>
      <c r="F9" s="57">
        <v>196897.58100000001</v>
      </c>
      <c r="G9" s="57">
        <v>7140495101107.3096</v>
      </c>
    </row>
    <row r="10" spans="1:7" ht="11.25" customHeight="1" x14ac:dyDescent="0.2">
      <c r="A10" s="67">
        <v>44317</v>
      </c>
      <c r="B10" s="57">
        <v>10508.7</v>
      </c>
      <c r="C10" s="57">
        <v>3849.2605440000007</v>
      </c>
      <c r="D10" s="57">
        <v>15240.19814416591</v>
      </c>
      <c r="E10" s="57">
        <v>388252441338.32227</v>
      </c>
      <c r="F10" s="57">
        <v>14357.960544000001</v>
      </c>
      <c r="G10" s="57">
        <v>388252456578.52039</v>
      </c>
    </row>
    <row r="11" spans="1:7" ht="11.25" customHeight="1" x14ac:dyDescent="0.2">
      <c r="A11" s="67">
        <v>44348</v>
      </c>
      <c r="B11" s="57">
        <v>10508.7</v>
      </c>
      <c r="C11" s="57">
        <v>4830.4607039999992</v>
      </c>
      <c r="D11" s="57">
        <v>15240.19814416591</v>
      </c>
      <c r="E11" s="57">
        <v>487220373804.04205</v>
      </c>
      <c r="F11" s="57">
        <v>15339.160704</v>
      </c>
      <c r="G11" s="57">
        <v>487220389044.24017</v>
      </c>
    </row>
    <row r="12" spans="1:7" ht="11.25" customHeight="1" x14ac:dyDescent="0.2">
      <c r="A12" s="67">
        <v>44378</v>
      </c>
      <c r="B12" s="57">
        <v>10508.7</v>
      </c>
      <c r="C12" s="57">
        <v>4107.0821760000044</v>
      </c>
      <c r="D12" s="57">
        <v>15240.19814416591</v>
      </c>
      <c r="E12" s="57">
        <v>414257404346.05157</v>
      </c>
      <c r="F12" s="57">
        <v>14615.782176000004</v>
      </c>
      <c r="G12" s="57">
        <v>414257419586.24969</v>
      </c>
    </row>
    <row r="13" spans="1:7" ht="11.25" customHeight="1" x14ac:dyDescent="0.2">
      <c r="A13" s="67">
        <v>44409</v>
      </c>
      <c r="B13" s="57">
        <v>10508.7</v>
      </c>
      <c r="C13" s="57">
        <v>5848.1992799999916</v>
      </c>
      <c r="D13" s="57">
        <v>15240.19814416591</v>
      </c>
      <c r="E13" s="57">
        <v>589873723001.74829</v>
      </c>
      <c r="F13" s="57">
        <v>16356.899279999992</v>
      </c>
      <c r="G13" s="57">
        <v>589873738241.94641</v>
      </c>
    </row>
    <row r="14" spans="1:7" ht="11.25" customHeight="1" x14ac:dyDescent="0.2">
      <c r="A14" s="67">
        <v>44440</v>
      </c>
      <c r="B14" s="57">
        <v>10508.7</v>
      </c>
      <c r="C14" s="57">
        <v>6577.1201520000031</v>
      </c>
      <c r="D14" s="57">
        <v>15240.19814416591</v>
      </c>
      <c r="E14" s="57">
        <v>663395716346.0531</v>
      </c>
      <c r="F14" s="57">
        <v>17085.820152000004</v>
      </c>
      <c r="G14" s="57">
        <v>663395731586.25122</v>
      </c>
    </row>
    <row r="15" spans="1:7" ht="11.25" customHeight="1" x14ac:dyDescent="0.2">
      <c r="A15" s="67">
        <v>44470</v>
      </c>
      <c r="B15" s="57">
        <v>10508.7</v>
      </c>
      <c r="C15" s="57">
        <v>6516.7701840000027</v>
      </c>
      <c r="D15" s="57">
        <v>15240.19814416591</v>
      </c>
      <c r="E15" s="57">
        <v>657308567361.75989</v>
      </c>
      <c r="F15" s="57">
        <v>17025.470184000005</v>
      </c>
      <c r="G15" s="57">
        <v>657308582601.95801</v>
      </c>
    </row>
    <row r="16" spans="1:7" ht="11.25" customHeight="1" x14ac:dyDescent="0.2">
      <c r="A16" s="67">
        <v>44501</v>
      </c>
      <c r="B16" s="57">
        <v>10508.7</v>
      </c>
      <c r="C16" s="57">
        <v>7318.767888000003</v>
      </c>
      <c r="D16" s="57">
        <v>15240.19814416591</v>
      </c>
      <c r="E16" s="57">
        <v>738201394170.03772</v>
      </c>
      <c r="F16" s="57">
        <v>17827.467888000003</v>
      </c>
      <c r="G16" s="57">
        <v>738201409410.23584</v>
      </c>
    </row>
    <row r="17" spans="1:7" ht="11.25" customHeight="1" x14ac:dyDescent="0.2">
      <c r="A17" s="67">
        <v>44531</v>
      </c>
      <c r="B17" s="57">
        <v>10508.7</v>
      </c>
      <c r="C17" s="57">
        <v>6707.0573280000026</v>
      </c>
      <c r="D17" s="57">
        <v>15240.19814416591</v>
      </c>
      <c r="E17" s="57">
        <v>676501720791.82727</v>
      </c>
      <c r="F17" s="57">
        <v>17215.757328000003</v>
      </c>
      <c r="G17" s="57">
        <v>676501736032.02539</v>
      </c>
    </row>
    <row r="18" spans="1:7" ht="11.25" customHeight="1" x14ac:dyDescent="0.2">
      <c r="A18" s="67">
        <v>44562</v>
      </c>
      <c r="B18" s="57">
        <v>10508.7</v>
      </c>
      <c r="C18" s="57">
        <v>5569.2346319999942</v>
      </c>
      <c r="D18" s="57">
        <v>15240.19814416591</v>
      </c>
      <c r="E18" s="57">
        <v>561736187390.67883</v>
      </c>
      <c r="F18" s="57">
        <v>16077.934631999995</v>
      </c>
      <c r="G18" s="57">
        <v>561736202630.87695</v>
      </c>
    </row>
    <row r="19" spans="1:7" ht="11.25" customHeight="1" x14ac:dyDescent="0.2">
      <c r="A19" s="67">
        <v>44593</v>
      </c>
      <c r="B19" s="57">
        <v>10508.7</v>
      </c>
      <c r="C19" s="57">
        <v>5543.9861760000022</v>
      </c>
      <c r="D19" s="57">
        <v>15240.19814416591</v>
      </c>
      <c r="E19" s="57">
        <v>559189523019.69983</v>
      </c>
      <c r="F19" s="57">
        <v>16052.686176000003</v>
      </c>
      <c r="G19" s="57">
        <v>559189538259.89795</v>
      </c>
    </row>
    <row r="20" spans="1:7" ht="11.25" customHeight="1" x14ac:dyDescent="0.2">
      <c r="A20" s="67">
        <v>44621</v>
      </c>
      <c r="B20" s="57">
        <v>10508.7</v>
      </c>
      <c r="C20" s="57">
        <v>6962.6209680000111</v>
      </c>
      <c r="D20" s="57">
        <v>15240.19814416591</v>
      </c>
      <c r="E20" s="57">
        <v>702278933327.35559</v>
      </c>
      <c r="F20" s="57">
        <v>17471.320968000011</v>
      </c>
      <c r="G20" s="57">
        <v>702278948567.55371</v>
      </c>
    </row>
    <row r="21" spans="1:7" ht="11.25" customHeight="1" x14ac:dyDescent="0.2">
      <c r="A21" s="67">
        <v>44652</v>
      </c>
      <c r="B21" s="57">
        <v>10508.7</v>
      </c>
      <c r="C21" s="57">
        <v>6962.6209680000111</v>
      </c>
      <c r="D21" s="57">
        <v>15240.19814416591</v>
      </c>
      <c r="E21" s="57">
        <v>702278933327.35559</v>
      </c>
      <c r="F21" s="57">
        <v>17471.320968000011</v>
      </c>
      <c r="G21" s="57">
        <v>702278948567.55371</v>
      </c>
    </row>
    <row r="22" spans="1:7" ht="11.25" customHeight="1" x14ac:dyDescent="0.2">
      <c r="A22" s="66" t="s">
        <v>35</v>
      </c>
      <c r="B22" s="57">
        <v>2381.4</v>
      </c>
      <c r="C22" s="57">
        <v>501.30168479999998</v>
      </c>
      <c r="D22" s="57">
        <v>3240.4279867514638</v>
      </c>
      <c r="E22" s="57">
        <v>35011459146.589165</v>
      </c>
      <c r="F22" s="57">
        <v>2882.7016848000003</v>
      </c>
      <c r="G22" s="57">
        <v>35011462387.017151</v>
      </c>
    </row>
    <row r="23" spans="1:7" ht="11.25" customHeight="1" x14ac:dyDescent="0.2">
      <c r="A23" s="67">
        <v>44317</v>
      </c>
      <c r="B23" s="57">
        <v>198.45000000000002</v>
      </c>
      <c r="C23" s="57">
        <v>43.578561599999972</v>
      </c>
      <c r="D23" s="57">
        <v>270.035665562622</v>
      </c>
      <c r="E23" s="57">
        <v>3043574508.8992343</v>
      </c>
      <c r="F23" s="57">
        <v>242.02856159999999</v>
      </c>
      <c r="G23" s="57">
        <v>3043574778.9348998</v>
      </c>
    </row>
    <row r="24" spans="1:7" ht="11.25" customHeight="1" x14ac:dyDescent="0.2">
      <c r="A24" s="67">
        <v>44348</v>
      </c>
      <c r="B24" s="57">
        <v>198.45000000000002</v>
      </c>
      <c r="C24" s="57">
        <v>43.875014399999991</v>
      </c>
      <c r="D24" s="57">
        <v>270.035665562622</v>
      </c>
      <c r="E24" s="57">
        <v>3064279097.3951488</v>
      </c>
      <c r="F24" s="57">
        <v>242.32501440000001</v>
      </c>
      <c r="G24" s="57">
        <v>3064279367.4308143</v>
      </c>
    </row>
    <row r="25" spans="1:7" ht="11.25" customHeight="1" x14ac:dyDescent="0.2">
      <c r="A25" s="67">
        <v>44378</v>
      </c>
      <c r="B25" s="57">
        <v>198.45000000000002</v>
      </c>
      <c r="C25" s="57">
        <v>43.578561599999972</v>
      </c>
      <c r="D25" s="57">
        <v>270.035665562622</v>
      </c>
      <c r="E25" s="57">
        <v>3043574508.8992343</v>
      </c>
      <c r="F25" s="57">
        <v>242.02856159999999</v>
      </c>
      <c r="G25" s="57">
        <v>3043574778.9348998</v>
      </c>
    </row>
    <row r="26" spans="1:7" ht="11.25" customHeight="1" x14ac:dyDescent="0.2">
      <c r="A26" s="67">
        <v>44409</v>
      </c>
      <c r="B26" s="57">
        <v>198.45000000000002</v>
      </c>
      <c r="C26" s="57">
        <v>43.875014399999991</v>
      </c>
      <c r="D26" s="57">
        <v>270.035665562622</v>
      </c>
      <c r="E26" s="57">
        <v>3064279097.3951488</v>
      </c>
      <c r="F26" s="57">
        <v>242.32501440000001</v>
      </c>
      <c r="G26" s="57">
        <v>3064279367.4308143</v>
      </c>
    </row>
    <row r="27" spans="1:7" ht="11.25" customHeight="1" x14ac:dyDescent="0.2">
      <c r="A27" s="67">
        <v>44440</v>
      </c>
      <c r="B27" s="57">
        <v>198.45000000000002</v>
      </c>
      <c r="C27" s="57">
        <v>42.98565600000002</v>
      </c>
      <c r="D27" s="57">
        <v>270.035665562622</v>
      </c>
      <c r="E27" s="57">
        <v>3002165331.9074106</v>
      </c>
      <c r="F27" s="57">
        <v>241.43565600000005</v>
      </c>
      <c r="G27" s="57">
        <v>3002165601.9430761</v>
      </c>
    </row>
    <row r="28" spans="1:7" ht="11.25" customHeight="1" x14ac:dyDescent="0.2">
      <c r="A28" s="67">
        <v>44470</v>
      </c>
      <c r="B28" s="57">
        <v>198.45000000000002</v>
      </c>
      <c r="C28" s="57">
        <v>31.423996799999976</v>
      </c>
      <c r="D28" s="57">
        <v>270.035665562622</v>
      </c>
      <c r="E28" s="57">
        <v>2194686380.5667939</v>
      </c>
      <c r="F28" s="57">
        <v>229.87399679999999</v>
      </c>
      <c r="G28" s="57">
        <v>2194686650.6024594</v>
      </c>
    </row>
    <row r="29" spans="1:7" ht="11.25" customHeight="1" x14ac:dyDescent="0.2">
      <c r="A29" s="67">
        <v>44501</v>
      </c>
      <c r="B29" s="57">
        <v>198.45000000000002</v>
      </c>
      <c r="C29" s="57">
        <v>42.392750399999976</v>
      </c>
      <c r="D29" s="57">
        <v>270.035665562622</v>
      </c>
      <c r="E29" s="57">
        <v>2960756154.9155817</v>
      </c>
      <c r="F29" s="57">
        <v>240.8427504</v>
      </c>
      <c r="G29" s="57">
        <v>2960756424.9512472</v>
      </c>
    </row>
    <row r="30" spans="1:7" ht="11.25" customHeight="1" x14ac:dyDescent="0.2">
      <c r="A30" s="67">
        <v>44531</v>
      </c>
      <c r="B30" s="57">
        <v>198.45000000000002</v>
      </c>
      <c r="C30" s="57">
        <v>45.060825599999994</v>
      </c>
      <c r="D30" s="57">
        <v>270.035665562622</v>
      </c>
      <c r="E30" s="57">
        <v>3147097451.3788013</v>
      </c>
      <c r="F30" s="57">
        <v>243.5108256</v>
      </c>
      <c r="G30" s="57">
        <v>3147097721.4144669</v>
      </c>
    </row>
    <row r="31" spans="1:7" ht="11.25" customHeight="1" x14ac:dyDescent="0.2">
      <c r="A31" s="67">
        <v>44562</v>
      </c>
      <c r="B31" s="57">
        <v>198.45000000000002</v>
      </c>
      <c r="C31" s="57">
        <v>39.428222400000031</v>
      </c>
      <c r="D31" s="57">
        <v>270.035665562622</v>
      </c>
      <c r="E31" s="57">
        <v>2753710269.9564533</v>
      </c>
      <c r="F31" s="57">
        <v>237.87822240000006</v>
      </c>
      <c r="G31" s="57">
        <v>2753710539.9921188</v>
      </c>
    </row>
    <row r="32" spans="1:7" ht="11.25" customHeight="1" x14ac:dyDescent="0.2">
      <c r="A32" s="67">
        <v>44593</v>
      </c>
      <c r="B32" s="57">
        <v>198.45000000000002</v>
      </c>
      <c r="C32" s="57">
        <v>39.72467520000005</v>
      </c>
      <c r="D32" s="57">
        <v>270.035665562622</v>
      </c>
      <c r="E32" s="57">
        <v>2774414858.4523678</v>
      </c>
      <c r="F32" s="57">
        <v>238.17467520000008</v>
      </c>
      <c r="G32" s="57">
        <v>2774415128.4880333</v>
      </c>
    </row>
    <row r="33" spans="1:7" ht="11.25" customHeight="1" x14ac:dyDescent="0.2">
      <c r="A33" s="67">
        <v>44621</v>
      </c>
      <c r="B33" s="57">
        <v>198.45000000000002</v>
      </c>
      <c r="C33" s="57">
        <v>42.689203200000001</v>
      </c>
      <c r="D33" s="57">
        <v>270.035665562622</v>
      </c>
      <c r="E33" s="57">
        <v>2981460743.4114962</v>
      </c>
      <c r="F33" s="57">
        <v>241.13920320000003</v>
      </c>
      <c r="G33" s="57">
        <v>2981461013.4471617</v>
      </c>
    </row>
    <row r="34" spans="1:7" ht="11.25" customHeight="1" x14ac:dyDescent="0.2">
      <c r="A34" s="67">
        <v>44652</v>
      </c>
      <c r="B34" s="57">
        <v>198.45000000000002</v>
      </c>
      <c r="C34" s="57">
        <v>42.689203200000001</v>
      </c>
      <c r="D34" s="57">
        <v>270.035665562622</v>
      </c>
      <c r="E34" s="57">
        <v>2981460743.4114962</v>
      </c>
      <c r="F34" s="57">
        <v>241.13920320000003</v>
      </c>
      <c r="G34" s="57">
        <v>2981461013.4471617</v>
      </c>
    </row>
    <row r="35" spans="1:7" ht="11.25" customHeight="1" x14ac:dyDescent="0.2">
      <c r="A35" s="60" t="s">
        <v>33</v>
      </c>
      <c r="B35" s="57">
        <v>3456941.1225000015</v>
      </c>
      <c r="C35" s="57">
        <v>4243528.6417746004</v>
      </c>
      <c r="D35" s="57">
        <v>4360513.8675158788</v>
      </c>
      <c r="E35" s="57">
        <v>333034497574310.25</v>
      </c>
      <c r="F35" s="57">
        <v>7700469.7642746028</v>
      </c>
      <c r="G35" s="57">
        <v>333034501934823.94</v>
      </c>
    </row>
    <row r="36" spans="1:7" ht="11.25" customHeight="1" x14ac:dyDescent="0.2">
      <c r="A36" s="61" t="s">
        <v>42</v>
      </c>
      <c r="B36" s="57">
        <v>2890179.4350000005</v>
      </c>
      <c r="C36" s="57">
        <v>2649263.7605676008</v>
      </c>
      <c r="D36" s="57">
        <v>3635620.9159060977</v>
      </c>
      <c r="E36" s="57">
        <v>231960762786998.16</v>
      </c>
      <c r="F36" s="57">
        <v>5539443.1955676014</v>
      </c>
      <c r="G36" s="57">
        <v>231960766422619.06</v>
      </c>
    </row>
    <row r="37" spans="1:7" ht="11.25" customHeight="1" x14ac:dyDescent="0.2">
      <c r="A37" s="62" t="s">
        <v>50</v>
      </c>
      <c r="B37" s="57">
        <v>2890179.4350000005</v>
      </c>
      <c r="C37" s="57">
        <v>2649263.7605676008</v>
      </c>
      <c r="D37" s="57">
        <v>3635620.9159060977</v>
      </c>
      <c r="E37" s="57">
        <v>231960762786998.16</v>
      </c>
      <c r="F37" s="57">
        <v>5539443.1955676014</v>
      </c>
      <c r="G37" s="57">
        <v>231960766422619.06</v>
      </c>
    </row>
    <row r="38" spans="1:7" ht="11.25" customHeight="1" x14ac:dyDescent="0.2">
      <c r="A38" s="63" t="s">
        <v>51</v>
      </c>
      <c r="B38" s="57">
        <v>2890179.4350000005</v>
      </c>
      <c r="C38" s="57">
        <v>2649263.7605676008</v>
      </c>
      <c r="D38" s="57">
        <v>3635620.9159060977</v>
      </c>
      <c r="E38" s="57">
        <v>231960762786998.16</v>
      </c>
      <c r="F38" s="57">
        <v>5539443.1955676014</v>
      </c>
      <c r="G38" s="57">
        <v>231960766422619.06</v>
      </c>
    </row>
    <row r="39" spans="1:7" ht="11.25" customHeight="1" x14ac:dyDescent="0.2">
      <c r="A39" s="64" t="s">
        <v>25</v>
      </c>
      <c r="B39" s="57">
        <v>2890179.4350000005</v>
      </c>
      <c r="C39" s="57">
        <v>2649263.7605676008</v>
      </c>
      <c r="D39" s="57">
        <v>3635620.9159060977</v>
      </c>
      <c r="E39" s="57">
        <v>231960762786998.16</v>
      </c>
      <c r="F39" s="57">
        <v>5539443.1955676014</v>
      </c>
      <c r="G39" s="57">
        <v>231960766422619.06</v>
      </c>
    </row>
    <row r="40" spans="1:7" ht="11.25" customHeight="1" x14ac:dyDescent="0.2">
      <c r="A40" s="65" t="s">
        <v>25</v>
      </c>
      <c r="B40" s="57">
        <v>2890179.4350000005</v>
      </c>
      <c r="C40" s="57">
        <v>2649263.7605676008</v>
      </c>
      <c r="D40" s="57">
        <v>3635620.9159060977</v>
      </c>
      <c r="E40" s="57">
        <v>231960762786998.16</v>
      </c>
      <c r="F40" s="57">
        <v>5539443.1955676014</v>
      </c>
      <c r="G40" s="57">
        <v>231960766422619.06</v>
      </c>
    </row>
    <row r="41" spans="1:7" ht="11.25" customHeight="1" x14ac:dyDescent="0.2">
      <c r="A41" s="66" t="s">
        <v>36</v>
      </c>
      <c r="B41" s="57">
        <v>774820.66500000015</v>
      </c>
      <c r="C41" s="57">
        <v>2342222.6280156011</v>
      </c>
      <c r="D41" s="57">
        <v>991002.12877410185</v>
      </c>
      <c r="E41" s="57">
        <v>212084599354377.53</v>
      </c>
      <c r="F41" s="57">
        <v>3117043.2930156011</v>
      </c>
      <c r="G41" s="57">
        <v>212084600345379.66</v>
      </c>
    </row>
    <row r="42" spans="1:7" ht="11.25" customHeight="1" x14ac:dyDescent="0.2">
      <c r="A42" s="67">
        <v>44317</v>
      </c>
      <c r="B42" s="57">
        <v>67090.425000000003</v>
      </c>
      <c r="C42" s="57">
        <v>201558.68279639998</v>
      </c>
      <c r="D42" s="57">
        <v>85809.216246651369</v>
      </c>
      <c r="E42" s="57">
        <v>18250823801274.375</v>
      </c>
      <c r="F42" s="57">
        <v>268649.10779639997</v>
      </c>
      <c r="G42" s="57">
        <v>18250823887083.59</v>
      </c>
    </row>
    <row r="43" spans="1:7" ht="11.25" customHeight="1" x14ac:dyDescent="0.2">
      <c r="A43" s="67">
        <v>44348</v>
      </c>
      <c r="B43" s="57">
        <v>66667.627500000031</v>
      </c>
      <c r="C43" s="57">
        <v>191713.77266399996</v>
      </c>
      <c r="D43" s="57">
        <v>85268.454698247981</v>
      </c>
      <c r="E43" s="57">
        <v>17359382570993.512</v>
      </c>
      <c r="F43" s="57">
        <v>258381.40016399999</v>
      </c>
      <c r="G43" s="57">
        <v>17359382656261.967</v>
      </c>
    </row>
    <row r="44" spans="1:7" ht="11.25" customHeight="1" x14ac:dyDescent="0.2">
      <c r="A44" s="67">
        <v>44378</v>
      </c>
      <c r="B44" s="57">
        <v>64402.875000000007</v>
      </c>
      <c r="C44" s="57">
        <v>200589.49850400005</v>
      </c>
      <c r="D44" s="57">
        <v>82371.817256800161</v>
      </c>
      <c r="E44" s="57">
        <v>18163065677902.328</v>
      </c>
      <c r="F44" s="57">
        <v>264992.37350400008</v>
      </c>
      <c r="G44" s="57">
        <v>18163065760274.145</v>
      </c>
    </row>
    <row r="45" spans="1:7" ht="11.25" customHeight="1" x14ac:dyDescent="0.2">
      <c r="A45" s="67">
        <v>44409</v>
      </c>
      <c r="B45" s="57">
        <v>66618.46500000004</v>
      </c>
      <c r="C45" s="57">
        <v>200394.24396839982</v>
      </c>
      <c r="D45" s="57">
        <v>85205.575448433636</v>
      </c>
      <c r="E45" s="57">
        <v>18145385684779.734</v>
      </c>
      <c r="F45" s="57">
        <v>267012.70896839985</v>
      </c>
      <c r="G45" s="57">
        <v>18145385769985.309</v>
      </c>
    </row>
    <row r="46" spans="1:7" ht="11.25" customHeight="1" x14ac:dyDescent="0.2">
      <c r="A46" s="67">
        <v>44440</v>
      </c>
      <c r="B46" s="57">
        <v>66520.140000000043</v>
      </c>
      <c r="C46" s="57">
        <v>191163.0317796001</v>
      </c>
      <c r="D46" s="57">
        <v>85079.816948804932</v>
      </c>
      <c r="E46" s="57">
        <v>17309513844417.773</v>
      </c>
      <c r="F46" s="57">
        <v>257683.17177960015</v>
      </c>
      <c r="G46" s="57">
        <v>17309513929497.59</v>
      </c>
    </row>
    <row r="47" spans="1:7" ht="11.25" customHeight="1" x14ac:dyDescent="0.2">
      <c r="A47" s="67">
        <v>44470</v>
      </c>
      <c r="B47" s="57">
        <v>63540.892499999987</v>
      </c>
      <c r="C47" s="57">
        <v>213169.47746400037</v>
      </c>
      <c r="D47" s="57">
        <v>81269.334410055177</v>
      </c>
      <c r="E47" s="57">
        <v>19302163117106.301</v>
      </c>
      <c r="F47" s="57">
        <v>276710.36996400036</v>
      </c>
      <c r="G47" s="57">
        <v>19302163198375.637</v>
      </c>
    </row>
    <row r="48" spans="1:7" ht="11.25" customHeight="1" x14ac:dyDescent="0.2">
      <c r="A48" s="67">
        <v>44501</v>
      </c>
      <c r="B48" s="57">
        <v>64671.62999999999</v>
      </c>
      <c r="C48" s="57">
        <v>196560.47537280008</v>
      </c>
      <c r="D48" s="57">
        <v>82715.557155785267</v>
      </c>
      <c r="E48" s="57">
        <v>17798243928530.871</v>
      </c>
      <c r="F48" s="57">
        <v>261232.10537280008</v>
      </c>
      <c r="G48" s="57">
        <v>17798244011246.43</v>
      </c>
    </row>
    <row r="49" spans="1:7" ht="11.25" customHeight="1" x14ac:dyDescent="0.2">
      <c r="A49" s="67">
        <v>44531</v>
      </c>
      <c r="B49" s="57">
        <v>63396.682500000017</v>
      </c>
      <c r="C49" s="57">
        <v>197555.76474120026</v>
      </c>
      <c r="D49" s="57">
        <v>81084.888610599795</v>
      </c>
      <c r="E49" s="57">
        <v>17888365825746.789</v>
      </c>
      <c r="F49" s="57">
        <v>260952.44724120028</v>
      </c>
      <c r="G49" s="57">
        <v>17888365906831.676</v>
      </c>
    </row>
    <row r="50" spans="1:7" ht="11.25" customHeight="1" x14ac:dyDescent="0.2">
      <c r="A50" s="67">
        <v>44562</v>
      </c>
      <c r="B50" s="57">
        <v>63288.525000000001</v>
      </c>
      <c r="C50" s="57">
        <v>194613.53212800022</v>
      </c>
      <c r="D50" s="57">
        <v>80946.554261008205</v>
      </c>
      <c r="E50" s="57">
        <v>17621951259721.277</v>
      </c>
      <c r="F50" s="57">
        <v>257902.05712800022</v>
      </c>
      <c r="G50" s="57">
        <v>17621951340667.832</v>
      </c>
    </row>
    <row r="51" spans="1:7" ht="11.25" customHeight="1" x14ac:dyDescent="0.2">
      <c r="A51" s="67">
        <v>44593</v>
      </c>
      <c r="B51" s="57">
        <v>62800.177499999998</v>
      </c>
      <c r="C51" s="57">
        <v>169444.56128759967</v>
      </c>
      <c r="D51" s="57">
        <v>80321.953712852293</v>
      </c>
      <c r="E51" s="57">
        <v>15342940275453.387</v>
      </c>
      <c r="F51" s="57">
        <v>232244.73878759966</v>
      </c>
      <c r="G51" s="57">
        <v>15342940355775.34</v>
      </c>
    </row>
    <row r="52" spans="1:7" ht="11.25" customHeight="1" x14ac:dyDescent="0.2">
      <c r="A52" s="67">
        <v>44621</v>
      </c>
      <c r="B52" s="57">
        <v>62911.612500000003</v>
      </c>
      <c r="C52" s="57">
        <v>192729.79365480036</v>
      </c>
      <c r="D52" s="57">
        <v>80464.480012431508</v>
      </c>
      <c r="E52" s="57">
        <v>17451381684225.588</v>
      </c>
      <c r="F52" s="57">
        <v>255641.40615480038</v>
      </c>
      <c r="G52" s="57">
        <v>17451381764690.068</v>
      </c>
    </row>
    <row r="53" spans="1:7" ht="11.25" customHeight="1" x14ac:dyDescent="0.2">
      <c r="A53" s="67">
        <v>44652</v>
      </c>
      <c r="B53" s="57">
        <v>62911.612500000003</v>
      </c>
      <c r="C53" s="57">
        <v>192729.79365480036</v>
      </c>
      <c r="D53" s="57">
        <v>80464.480012431508</v>
      </c>
      <c r="E53" s="57">
        <v>17451381684225.588</v>
      </c>
      <c r="F53" s="57">
        <v>255641.40615480038</v>
      </c>
      <c r="G53" s="57">
        <v>17451381764690.068</v>
      </c>
    </row>
    <row r="54" spans="1:7" ht="11.25" customHeight="1" x14ac:dyDescent="0.2">
      <c r="A54" s="66" t="s">
        <v>35</v>
      </c>
      <c r="B54" s="57">
        <v>2115358.7700000005</v>
      </c>
      <c r="C54" s="57">
        <v>307041.13255200005</v>
      </c>
      <c r="D54" s="57">
        <v>2644618.7871319959</v>
      </c>
      <c r="E54" s="57">
        <v>19876163432620.625</v>
      </c>
      <c r="F54" s="57">
        <v>2422399.9025520007</v>
      </c>
      <c r="G54" s="57">
        <v>19876166077239.414</v>
      </c>
    </row>
    <row r="55" spans="1:7" ht="11.25" customHeight="1" x14ac:dyDescent="0.2">
      <c r="A55" s="67">
        <v>44317</v>
      </c>
      <c r="B55" s="57">
        <v>178812.05999999997</v>
      </c>
      <c r="C55" s="57">
        <v>25010.190139200022</v>
      </c>
      <c r="D55" s="57">
        <v>223550.6051967598</v>
      </c>
      <c r="E55" s="57">
        <v>1619022906005.8169</v>
      </c>
      <c r="F55" s="57">
        <v>203822.25013919998</v>
      </c>
      <c r="G55" s="57">
        <v>1619023129556.4221</v>
      </c>
    </row>
    <row r="56" spans="1:7" ht="11.25" customHeight="1" x14ac:dyDescent="0.2">
      <c r="A56" s="67">
        <v>44348</v>
      </c>
      <c r="B56" s="57">
        <v>179128.10999999996</v>
      </c>
      <c r="C56" s="57">
        <v>24653.916814800032</v>
      </c>
      <c r="D56" s="57">
        <v>223945.7304963198</v>
      </c>
      <c r="E56" s="57">
        <v>1595959719768.8459</v>
      </c>
      <c r="F56" s="57">
        <v>203782.02681479999</v>
      </c>
      <c r="G56" s="57">
        <v>1595959943714.5764</v>
      </c>
    </row>
    <row r="57" spans="1:7" ht="11.25" customHeight="1" x14ac:dyDescent="0.2">
      <c r="A57" s="67">
        <v>44378</v>
      </c>
      <c r="B57" s="57">
        <v>177015.09000000005</v>
      </c>
      <c r="C57" s="57">
        <v>26538.751159199986</v>
      </c>
      <c r="D57" s="57">
        <v>221304.03563640465</v>
      </c>
      <c r="E57" s="57">
        <v>1717973585342.2639</v>
      </c>
      <c r="F57" s="57">
        <v>203553.84115920003</v>
      </c>
      <c r="G57" s="57">
        <v>1717973806646.2996</v>
      </c>
    </row>
    <row r="58" spans="1:7" ht="11.25" customHeight="1" x14ac:dyDescent="0.2">
      <c r="A58" s="67">
        <v>44409</v>
      </c>
      <c r="B58" s="57">
        <v>182604.65999999997</v>
      </c>
      <c r="C58" s="57">
        <v>26550.132075600035</v>
      </c>
      <c r="D58" s="57">
        <v>228292.10879147949</v>
      </c>
      <c r="E58" s="57">
        <v>1718710323617.3618</v>
      </c>
      <c r="F58" s="57">
        <v>209154.79207560001</v>
      </c>
      <c r="G58" s="57">
        <v>1718710551909.4707</v>
      </c>
    </row>
    <row r="59" spans="1:7" ht="11.25" customHeight="1" x14ac:dyDescent="0.2">
      <c r="A59" s="67">
        <v>44440</v>
      </c>
      <c r="B59" s="57">
        <v>182288.60999999996</v>
      </c>
      <c r="C59" s="57">
        <v>25651.812622799982</v>
      </c>
      <c r="D59" s="57">
        <v>227896.98349191953</v>
      </c>
      <c r="E59" s="57">
        <v>1660558035973.8413</v>
      </c>
      <c r="F59" s="57">
        <v>207940.42262279993</v>
      </c>
      <c r="G59" s="57">
        <v>1660558263870.8247</v>
      </c>
    </row>
    <row r="60" spans="1:7" ht="11.25" customHeight="1" x14ac:dyDescent="0.2">
      <c r="A60" s="67">
        <v>44470</v>
      </c>
      <c r="B60" s="57">
        <v>174333.18000000011</v>
      </c>
      <c r="C60" s="57">
        <v>26548.746109200001</v>
      </c>
      <c r="D60" s="57">
        <v>217951.11523728148</v>
      </c>
      <c r="E60" s="57">
        <v>1718620603733.7415</v>
      </c>
      <c r="F60" s="57">
        <v>200881.92610920011</v>
      </c>
      <c r="G60" s="57">
        <v>1718620821684.8567</v>
      </c>
    </row>
    <row r="61" spans="1:7" ht="11.25" customHeight="1" x14ac:dyDescent="0.2">
      <c r="A61" s="67">
        <v>44501</v>
      </c>
      <c r="B61" s="57">
        <v>174441.54000000007</v>
      </c>
      <c r="C61" s="57">
        <v>24209.421398400023</v>
      </c>
      <c r="D61" s="57">
        <v>218086.58676855915</v>
      </c>
      <c r="E61" s="57">
        <v>1567185517863.1091</v>
      </c>
      <c r="F61" s="57">
        <v>198650.96139840008</v>
      </c>
      <c r="G61" s="57">
        <v>1567185735949.6958</v>
      </c>
    </row>
    <row r="62" spans="1:7" ht="11.25" customHeight="1" x14ac:dyDescent="0.2">
      <c r="A62" s="67">
        <v>44531</v>
      </c>
      <c r="B62" s="57">
        <v>175398.72000000015</v>
      </c>
      <c r="C62" s="57">
        <v>28245.382208400035</v>
      </c>
      <c r="D62" s="57">
        <v>219283.25196151232</v>
      </c>
      <c r="E62" s="57">
        <v>1828451544341.2593</v>
      </c>
      <c r="F62" s="57">
        <v>203644.10220840017</v>
      </c>
      <c r="G62" s="57">
        <v>1828451763624.5112</v>
      </c>
    </row>
    <row r="63" spans="1:7" ht="11.25" customHeight="1" x14ac:dyDescent="0.2">
      <c r="A63" s="67">
        <v>44562</v>
      </c>
      <c r="B63" s="57">
        <v>173430.18</v>
      </c>
      <c r="C63" s="57">
        <v>25182.049972799978</v>
      </c>
      <c r="D63" s="57">
        <v>216822.18580996714</v>
      </c>
      <c r="E63" s="57">
        <v>1630148171574.4529</v>
      </c>
      <c r="F63" s="57">
        <v>198612.22997279998</v>
      </c>
      <c r="G63" s="57">
        <v>1630148388396.6387</v>
      </c>
    </row>
    <row r="64" spans="1:7" ht="11.25" customHeight="1" x14ac:dyDescent="0.2">
      <c r="A64" s="67">
        <v>44593</v>
      </c>
      <c r="B64" s="57">
        <v>171895.08</v>
      </c>
      <c r="C64" s="57">
        <v>22772.414120400004</v>
      </c>
      <c r="D64" s="57">
        <v>214903.00578353298</v>
      </c>
      <c r="E64" s="57">
        <v>1474161526992.5815</v>
      </c>
      <c r="F64" s="57">
        <v>194667.49412039999</v>
      </c>
      <c r="G64" s="57">
        <v>1474161741895.5874</v>
      </c>
    </row>
    <row r="65" spans="1:7" ht="11.25" customHeight="1" x14ac:dyDescent="0.2">
      <c r="A65" s="67">
        <v>44621</v>
      </c>
      <c r="B65" s="57">
        <v>173005.77000000002</v>
      </c>
      <c r="C65" s="57">
        <v>25839.157965599981</v>
      </c>
      <c r="D65" s="57">
        <v>216291.58897912953</v>
      </c>
      <c r="E65" s="57">
        <v>1672685748703.6738</v>
      </c>
      <c r="F65" s="57">
        <v>198844.92796559999</v>
      </c>
      <c r="G65" s="57">
        <v>1672685964995.2627</v>
      </c>
    </row>
    <row r="66" spans="1:7" ht="11.25" customHeight="1" x14ac:dyDescent="0.2">
      <c r="A66" s="67">
        <v>44652</v>
      </c>
      <c r="B66" s="57">
        <v>173005.77000000002</v>
      </c>
      <c r="C66" s="57">
        <v>25839.157965599981</v>
      </c>
      <c r="D66" s="57">
        <v>216291.58897912953</v>
      </c>
      <c r="E66" s="57">
        <v>1672685748703.6738</v>
      </c>
      <c r="F66" s="57">
        <v>198844.92796559999</v>
      </c>
      <c r="G66" s="57">
        <v>1672685964995.2627</v>
      </c>
    </row>
    <row r="67" spans="1:7" ht="11.25" customHeight="1" x14ac:dyDescent="0.2">
      <c r="A67" s="61" t="s">
        <v>34</v>
      </c>
      <c r="B67" s="57">
        <v>566761.68750000012</v>
      </c>
      <c r="C67" s="57">
        <v>1594264.881207</v>
      </c>
      <c r="D67" s="57">
        <v>724892.95160977973</v>
      </c>
      <c r="E67" s="57">
        <v>101073734787311.92</v>
      </c>
      <c r="F67" s="57">
        <v>2161026.5687070005</v>
      </c>
      <c r="G67" s="57">
        <v>101073735512204.88</v>
      </c>
    </row>
    <row r="68" spans="1:7" ht="11.25" customHeight="1" x14ac:dyDescent="0.2">
      <c r="A68" s="62" t="s">
        <v>50</v>
      </c>
      <c r="B68" s="57">
        <v>566761.68750000012</v>
      </c>
      <c r="C68" s="57">
        <v>1594264.881207</v>
      </c>
      <c r="D68" s="57">
        <v>724892.95160977973</v>
      </c>
      <c r="E68" s="57">
        <v>101073734787311.92</v>
      </c>
      <c r="F68" s="57">
        <v>2161026.5687070005</v>
      </c>
      <c r="G68" s="57">
        <v>101073735512204.88</v>
      </c>
    </row>
    <row r="69" spans="1:7" ht="11.25" customHeight="1" x14ac:dyDescent="0.2">
      <c r="A69" s="63" t="s">
        <v>51</v>
      </c>
      <c r="B69" s="57">
        <v>566761.68750000012</v>
      </c>
      <c r="C69" s="57">
        <v>1594264.881207</v>
      </c>
      <c r="D69" s="57">
        <v>724892.95160977973</v>
      </c>
      <c r="E69" s="57">
        <v>101073734787311.92</v>
      </c>
      <c r="F69" s="57">
        <v>2161026.5687070005</v>
      </c>
      <c r="G69" s="57">
        <v>101073735512204.88</v>
      </c>
    </row>
    <row r="70" spans="1:7" ht="11.25" customHeight="1" x14ac:dyDescent="0.2">
      <c r="A70" s="64" t="s">
        <v>25</v>
      </c>
      <c r="B70" s="57">
        <v>566761.68750000012</v>
      </c>
      <c r="C70" s="57">
        <v>1594264.881207</v>
      </c>
      <c r="D70" s="57">
        <v>724892.95160977973</v>
      </c>
      <c r="E70" s="57">
        <v>101073734787311.92</v>
      </c>
      <c r="F70" s="57">
        <v>2161026.5687070005</v>
      </c>
      <c r="G70" s="57">
        <v>101073735512204.88</v>
      </c>
    </row>
    <row r="71" spans="1:7" ht="11.25" customHeight="1" x14ac:dyDescent="0.2">
      <c r="A71" s="65" t="s">
        <v>25</v>
      </c>
      <c r="B71" s="57">
        <v>566761.68750000012</v>
      </c>
      <c r="C71" s="57">
        <v>1594264.881207</v>
      </c>
      <c r="D71" s="57">
        <v>724892.95160977973</v>
      </c>
      <c r="E71" s="57">
        <v>101073734787311.92</v>
      </c>
      <c r="F71" s="57">
        <v>2161026.5687070005</v>
      </c>
      <c r="G71" s="57">
        <v>101073735512204.88</v>
      </c>
    </row>
    <row r="72" spans="1:7" ht="11.25" customHeight="1" x14ac:dyDescent="0.2">
      <c r="A72" s="66" t="s">
        <v>36</v>
      </c>
      <c r="B72" s="57">
        <v>0</v>
      </c>
      <c r="C72" s="57">
        <v>1020566.2275180005</v>
      </c>
      <c r="D72" s="57">
        <v>0</v>
      </c>
      <c r="E72" s="57">
        <v>92410677315137.734</v>
      </c>
      <c r="F72" s="57">
        <v>1020566.2275180004</v>
      </c>
      <c r="G72" s="57">
        <v>92410677315137.75</v>
      </c>
    </row>
    <row r="73" spans="1:7" ht="11.25" customHeight="1" x14ac:dyDescent="0.2">
      <c r="A73" s="67">
        <v>44317</v>
      </c>
      <c r="B73" s="57">
        <v>0</v>
      </c>
      <c r="C73" s="57">
        <v>88446.550831200133</v>
      </c>
      <c r="D73" s="57">
        <v>0</v>
      </c>
      <c r="E73" s="57">
        <v>8008696984199.1982</v>
      </c>
      <c r="F73" s="57">
        <v>88446.550831200133</v>
      </c>
      <c r="G73" s="57">
        <v>8008696984199.1982</v>
      </c>
    </row>
    <row r="74" spans="1:7" ht="11.25" customHeight="1" x14ac:dyDescent="0.2">
      <c r="A74" s="67">
        <v>44348</v>
      </c>
      <c r="B74" s="57">
        <v>0</v>
      </c>
      <c r="C74" s="57">
        <v>82816.028924400089</v>
      </c>
      <c r="D74" s="57">
        <v>0</v>
      </c>
      <c r="E74" s="57">
        <v>7498862022963.4912</v>
      </c>
      <c r="F74" s="57">
        <v>82816.028924400089</v>
      </c>
      <c r="G74" s="57">
        <v>7498862022963.4912</v>
      </c>
    </row>
    <row r="75" spans="1:7" ht="11.25" customHeight="1" x14ac:dyDescent="0.2">
      <c r="A75" s="67">
        <v>44378</v>
      </c>
      <c r="B75" s="57">
        <v>0</v>
      </c>
      <c r="C75" s="57">
        <v>86338.746964800244</v>
      </c>
      <c r="D75" s="57">
        <v>0</v>
      </c>
      <c r="E75" s="57">
        <v>7817838637440.8604</v>
      </c>
      <c r="F75" s="57">
        <v>86338.746964800244</v>
      </c>
      <c r="G75" s="57">
        <v>7817838637440.8604</v>
      </c>
    </row>
    <row r="76" spans="1:7" ht="11.25" customHeight="1" x14ac:dyDescent="0.2">
      <c r="A76" s="67">
        <v>44409</v>
      </c>
      <c r="B76" s="57">
        <v>0</v>
      </c>
      <c r="C76" s="57">
        <v>86822.624555999908</v>
      </c>
      <c r="D76" s="57">
        <v>0</v>
      </c>
      <c r="E76" s="57">
        <v>7861652997288.0654</v>
      </c>
      <c r="F76" s="57">
        <v>86822.624555999908</v>
      </c>
      <c r="G76" s="57">
        <v>7861652997288.0654</v>
      </c>
    </row>
    <row r="77" spans="1:7" ht="11.25" customHeight="1" x14ac:dyDescent="0.2">
      <c r="A77" s="67">
        <v>44440</v>
      </c>
      <c r="B77" s="57">
        <v>0</v>
      </c>
      <c r="C77" s="57">
        <v>82916.409610800139</v>
      </c>
      <c r="D77" s="57">
        <v>0</v>
      </c>
      <c r="E77" s="57">
        <v>7507951337276.9238</v>
      </c>
      <c r="F77" s="57">
        <v>82916.409610800139</v>
      </c>
      <c r="G77" s="57">
        <v>7507951337276.9238</v>
      </c>
    </row>
    <row r="78" spans="1:7" ht="11.25" customHeight="1" x14ac:dyDescent="0.2">
      <c r="A78" s="67">
        <v>44470</v>
      </c>
      <c r="B78" s="57">
        <v>0</v>
      </c>
      <c r="C78" s="57">
        <v>89165.412216000113</v>
      </c>
      <c r="D78" s="57">
        <v>0</v>
      </c>
      <c r="E78" s="57">
        <v>8073788759405.8135</v>
      </c>
      <c r="F78" s="57">
        <v>89165.412216000113</v>
      </c>
      <c r="G78" s="57">
        <v>8073788759405.8135</v>
      </c>
    </row>
    <row r="79" spans="1:7" ht="11.25" customHeight="1" x14ac:dyDescent="0.2">
      <c r="A79" s="67">
        <v>44501</v>
      </c>
      <c r="B79" s="57">
        <v>0</v>
      </c>
      <c r="C79" s="57">
        <v>84665.75457959999</v>
      </c>
      <c r="D79" s="57">
        <v>0</v>
      </c>
      <c r="E79" s="57">
        <v>7666351790932.7061</v>
      </c>
      <c r="F79" s="57">
        <v>84665.75457959999</v>
      </c>
      <c r="G79" s="57">
        <v>7666351790932.7061</v>
      </c>
    </row>
    <row r="80" spans="1:7" ht="11.25" customHeight="1" x14ac:dyDescent="0.2">
      <c r="A80" s="67">
        <v>44531</v>
      </c>
      <c r="B80" s="57">
        <v>0</v>
      </c>
      <c r="C80" s="57">
        <v>85532.995692000142</v>
      </c>
      <c r="D80" s="57">
        <v>0</v>
      </c>
      <c r="E80" s="57">
        <v>7744879118637.1885</v>
      </c>
      <c r="F80" s="57">
        <v>85532.995692000142</v>
      </c>
      <c r="G80" s="57">
        <v>7744879118637.1885</v>
      </c>
    </row>
    <row r="81" spans="1:7" ht="11.25" customHeight="1" x14ac:dyDescent="0.2">
      <c r="A81" s="67">
        <v>44562</v>
      </c>
      <c r="B81" s="57">
        <v>0</v>
      </c>
      <c r="C81" s="57">
        <v>86248.52248679992</v>
      </c>
      <c r="D81" s="57">
        <v>0</v>
      </c>
      <c r="E81" s="57">
        <v>7809668951929.4238</v>
      </c>
      <c r="F81" s="57">
        <v>86248.52248679992</v>
      </c>
      <c r="G81" s="57">
        <v>7809668951929.4238</v>
      </c>
    </row>
    <row r="82" spans="1:7" ht="11.25" customHeight="1" x14ac:dyDescent="0.2">
      <c r="A82" s="67">
        <v>44593</v>
      </c>
      <c r="B82" s="57">
        <v>0</v>
      </c>
      <c r="C82" s="57">
        <v>75226.540193999987</v>
      </c>
      <c r="D82" s="57">
        <v>0</v>
      </c>
      <c r="E82" s="57">
        <v>6811645676644.1055</v>
      </c>
      <c r="F82" s="57">
        <v>75226.540193999987</v>
      </c>
      <c r="G82" s="57">
        <v>6811645676644.1055</v>
      </c>
    </row>
    <row r="83" spans="1:7" ht="11.25" customHeight="1" x14ac:dyDescent="0.2">
      <c r="A83" s="67">
        <v>44621</v>
      </c>
      <c r="B83" s="57">
        <v>0</v>
      </c>
      <c r="C83" s="57">
        <v>86193.320731199885</v>
      </c>
      <c r="D83" s="57">
        <v>0</v>
      </c>
      <c r="E83" s="57">
        <v>7804670519209.9814</v>
      </c>
      <c r="F83" s="57">
        <v>86193.320731199885</v>
      </c>
      <c r="G83" s="57">
        <v>7804670519209.9814</v>
      </c>
    </row>
    <row r="84" spans="1:7" ht="11.25" customHeight="1" x14ac:dyDescent="0.2">
      <c r="A84" s="67">
        <v>44652</v>
      </c>
      <c r="B84" s="57">
        <v>0</v>
      </c>
      <c r="C84" s="57">
        <v>86193.320731199885</v>
      </c>
      <c r="D84" s="57">
        <v>0</v>
      </c>
      <c r="E84" s="57">
        <v>7804670519209.9814</v>
      </c>
      <c r="F84" s="57">
        <v>86193.320731199885</v>
      </c>
      <c r="G84" s="57">
        <v>7804670519209.9814</v>
      </c>
    </row>
    <row r="85" spans="1:7" ht="11.25" customHeight="1" x14ac:dyDescent="0.2">
      <c r="A85" s="66" t="s">
        <v>25</v>
      </c>
      <c r="B85" s="57">
        <v>566761.68750000012</v>
      </c>
      <c r="C85" s="57">
        <v>0</v>
      </c>
      <c r="D85" s="57">
        <v>724892.95160977973</v>
      </c>
      <c r="E85" s="57">
        <v>0</v>
      </c>
      <c r="F85" s="57">
        <v>566761.68750000023</v>
      </c>
      <c r="G85" s="57">
        <v>724892.95160977961</v>
      </c>
    </row>
    <row r="86" spans="1:7" ht="11.25" customHeight="1" x14ac:dyDescent="0.2">
      <c r="A86" s="67">
        <v>44317</v>
      </c>
      <c r="B86" s="57">
        <v>44305.245000000017</v>
      </c>
      <c r="C86" s="57">
        <v>0</v>
      </c>
      <c r="D86" s="57">
        <v>56666.779932693382</v>
      </c>
      <c r="E86" s="57">
        <v>0</v>
      </c>
      <c r="F86" s="57">
        <v>44305.245000000017</v>
      </c>
      <c r="G86" s="57">
        <v>56666.779932693382</v>
      </c>
    </row>
    <row r="87" spans="1:7" ht="11.25" customHeight="1" x14ac:dyDescent="0.2">
      <c r="A87" s="67">
        <v>44348</v>
      </c>
      <c r="B87" s="57">
        <v>43702.185000000012</v>
      </c>
      <c r="C87" s="57">
        <v>0</v>
      </c>
      <c r="D87" s="57">
        <v>55895.461134970661</v>
      </c>
      <c r="E87" s="57">
        <v>0</v>
      </c>
      <c r="F87" s="57">
        <v>43702.185000000012</v>
      </c>
      <c r="G87" s="57">
        <v>55895.461134970661</v>
      </c>
    </row>
    <row r="88" spans="1:7" ht="11.25" customHeight="1" x14ac:dyDescent="0.2">
      <c r="A88" s="67">
        <v>44378</v>
      </c>
      <c r="B88" s="57">
        <v>43217.115000000027</v>
      </c>
      <c r="C88" s="57">
        <v>0</v>
      </c>
      <c r="D88" s="57">
        <v>55275.052536802425</v>
      </c>
      <c r="E88" s="57">
        <v>0</v>
      </c>
      <c r="F88" s="57">
        <v>43217.115000000027</v>
      </c>
      <c r="G88" s="57">
        <v>55275.052536802425</v>
      </c>
    </row>
    <row r="89" spans="1:7" ht="11.25" customHeight="1" x14ac:dyDescent="0.2">
      <c r="A89" s="67">
        <v>44409</v>
      </c>
      <c r="B89" s="57">
        <v>44551.057499999995</v>
      </c>
      <c r="C89" s="57">
        <v>0</v>
      </c>
      <c r="D89" s="57">
        <v>56981.176181765113</v>
      </c>
      <c r="E89" s="57">
        <v>0</v>
      </c>
      <c r="F89" s="57">
        <v>44551.057499999995</v>
      </c>
      <c r="G89" s="57">
        <v>56981.176181765113</v>
      </c>
    </row>
    <row r="90" spans="1:7" ht="11.25" customHeight="1" x14ac:dyDescent="0.2">
      <c r="A90" s="67">
        <v>44440</v>
      </c>
      <c r="B90" s="57">
        <v>42869.700000000004</v>
      </c>
      <c r="C90" s="57">
        <v>0</v>
      </c>
      <c r="D90" s="57">
        <v>54830.705838114307</v>
      </c>
      <c r="E90" s="57">
        <v>0</v>
      </c>
      <c r="F90" s="57">
        <v>42869.700000000004</v>
      </c>
      <c r="G90" s="57">
        <v>54830.705838114307</v>
      </c>
    </row>
    <row r="91" spans="1:7" ht="11.25" customHeight="1" x14ac:dyDescent="0.2">
      <c r="A91" s="67">
        <v>44470</v>
      </c>
      <c r="B91" s="57">
        <v>46376.625000000007</v>
      </c>
      <c r="C91" s="57">
        <v>0</v>
      </c>
      <c r="D91" s="57">
        <v>59316.092324871366</v>
      </c>
      <c r="E91" s="57">
        <v>0</v>
      </c>
      <c r="F91" s="57">
        <v>46376.625000000007</v>
      </c>
      <c r="G91" s="57">
        <v>59316.092324871366</v>
      </c>
    </row>
    <row r="92" spans="1:7" ht="11.25" customHeight="1" x14ac:dyDescent="0.2">
      <c r="A92" s="67">
        <v>44501</v>
      </c>
      <c r="B92" s="57">
        <v>49365.705000000002</v>
      </c>
      <c r="C92" s="57">
        <v>0</v>
      </c>
      <c r="D92" s="57">
        <v>63139.150713583913</v>
      </c>
      <c r="E92" s="57">
        <v>0</v>
      </c>
      <c r="F92" s="57">
        <v>49365.705000000002</v>
      </c>
      <c r="G92" s="57">
        <v>63139.150713583913</v>
      </c>
    </row>
    <row r="93" spans="1:7" ht="11.25" customHeight="1" x14ac:dyDescent="0.2">
      <c r="A93" s="67">
        <v>44531</v>
      </c>
      <c r="B93" s="57">
        <v>50840.580000000031</v>
      </c>
      <c r="C93" s="57">
        <v>0</v>
      </c>
      <c r="D93" s="57">
        <v>65025.52820801449</v>
      </c>
      <c r="E93" s="57">
        <v>0</v>
      </c>
      <c r="F93" s="57">
        <v>50840.580000000031</v>
      </c>
      <c r="G93" s="57">
        <v>65025.52820801449</v>
      </c>
    </row>
    <row r="94" spans="1:7" ht="11.25" customHeight="1" x14ac:dyDescent="0.2">
      <c r="A94" s="67">
        <v>44562</v>
      </c>
      <c r="B94" s="57">
        <v>50902.852500000008</v>
      </c>
      <c r="C94" s="57">
        <v>0</v>
      </c>
      <c r="D94" s="57">
        <v>65105.175257779316</v>
      </c>
      <c r="E94" s="57">
        <v>0</v>
      </c>
      <c r="F94" s="57">
        <v>50902.852500000008</v>
      </c>
      <c r="G94" s="57">
        <v>65105.175257779316</v>
      </c>
    </row>
    <row r="95" spans="1:7" ht="11.25" customHeight="1" x14ac:dyDescent="0.2">
      <c r="A95" s="67">
        <v>44593</v>
      </c>
      <c r="B95" s="57">
        <v>49893.382500000007</v>
      </c>
      <c r="C95" s="57">
        <v>0</v>
      </c>
      <c r="D95" s="57">
        <v>63814.054661591304</v>
      </c>
      <c r="E95" s="57">
        <v>0</v>
      </c>
      <c r="F95" s="57">
        <v>49893.382500000007</v>
      </c>
      <c r="G95" s="57">
        <v>63814.054661591304</v>
      </c>
    </row>
    <row r="96" spans="1:7" ht="11.25" customHeight="1" x14ac:dyDescent="0.2">
      <c r="A96" s="67">
        <v>44621</v>
      </c>
      <c r="B96" s="57">
        <v>50368.62000000001</v>
      </c>
      <c r="C96" s="57">
        <v>0</v>
      </c>
      <c r="D96" s="57">
        <v>64421.887409796698</v>
      </c>
      <c r="E96" s="57">
        <v>0</v>
      </c>
      <c r="F96" s="57">
        <v>50368.62000000001</v>
      </c>
      <c r="G96" s="57">
        <v>64421.887409796698</v>
      </c>
    </row>
    <row r="97" spans="1:7" ht="11.25" customHeight="1" x14ac:dyDescent="0.2">
      <c r="A97" s="67">
        <v>44652</v>
      </c>
      <c r="B97" s="57">
        <v>50368.62000000001</v>
      </c>
      <c r="C97" s="57">
        <v>0</v>
      </c>
      <c r="D97" s="57">
        <v>64421.887409796698</v>
      </c>
      <c r="E97" s="57">
        <v>0</v>
      </c>
      <c r="F97" s="57">
        <v>50368.62000000001</v>
      </c>
      <c r="G97" s="57">
        <v>64421.887409796698</v>
      </c>
    </row>
    <row r="98" spans="1:7" ht="11.25" customHeight="1" x14ac:dyDescent="0.2">
      <c r="A98" s="66" t="s">
        <v>35</v>
      </c>
      <c r="B98" s="57">
        <v>0</v>
      </c>
      <c r="C98" s="57">
        <v>573698.65368900006</v>
      </c>
      <c r="D98" s="57">
        <v>0</v>
      </c>
      <c r="E98" s="57">
        <v>8663057472174.1816</v>
      </c>
      <c r="F98" s="57">
        <v>573698.65368899994</v>
      </c>
      <c r="G98" s="57">
        <v>8663057472174.1826</v>
      </c>
    </row>
    <row r="99" spans="1:7" ht="11.25" customHeight="1" x14ac:dyDescent="0.2">
      <c r="A99" s="67">
        <v>44317</v>
      </c>
      <c r="B99" s="57">
        <v>0</v>
      </c>
      <c r="C99" s="57">
        <v>49070.072015999998</v>
      </c>
      <c r="D99" s="57">
        <v>0</v>
      </c>
      <c r="E99" s="57">
        <v>740975861290.37256</v>
      </c>
      <c r="F99" s="57">
        <v>49070.072015999998</v>
      </c>
      <c r="G99" s="57">
        <v>740975861290.37256</v>
      </c>
    </row>
    <row r="100" spans="1:7" ht="11.25" customHeight="1" x14ac:dyDescent="0.2">
      <c r="A100" s="67">
        <v>44348</v>
      </c>
      <c r="B100" s="57">
        <v>0</v>
      </c>
      <c r="C100" s="57">
        <v>46743.032489999976</v>
      </c>
      <c r="D100" s="57">
        <v>0</v>
      </c>
      <c r="E100" s="57">
        <v>705836721562.34497</v>
      </c>
      <c r="F100" s="57">
        <v>46743.032489999976</v>
      </c>
      <c r="G100" s="57">
        <v>705836721562.34497</v>
      </c>
    </row>
    <row r="101" spans="1:7" ht="11.25" customHeight="1" x14ac:dyDescent="0.2">
      <c r="A101" s="67">
        <v>44378</v>
      </c>
      <c r="B101" s="57">
        <v>0</v>
      </c>
      <c r="C101" s="57">
        <v>49047.791121000009</v>
      </c>
      <c r="D101" s="57">
        <v>0</v>
      </c>
      <c r="E101" s="57">
        <v>740639411705.4292</v>
      </c>
      <c r="F101" s="57">
        <v>49047.791121000009</v>
      </c>
      <c r="G101" s="57">
        <v>740639411705.4292</v>
      </c>
    </row>
    <row r="102" spans="1:7" ht="11.25" customHeight="1" x14ac:dyDescent="0.2">
      <c r="A102" s="67">
        <v>44409</v>
      </c>
      <c r="B102" s="57">
        <v>0</v>
      </c>
      <c r="C102" s="57">
        <v>50091.222572999985</v>
      </c>
      <c r="D102" s="57">
        <v>0</v>
      </c>
      <c r="E102" s="57">
        <v>756395604575.71973</v>
      </c>
      <c r="F102" s="57">
        <v>50091.222572999985</v>
      </c>
      <c r="G102" s="57">
        <v>756395604575.71973</v>
      </c>
    </row>
    <row r="103" spans="1:7" ht="11.25" customHeight="1" x14ac:dyDescent="0.2">
      <c r="A103" s="67">
        <v>44440</v>
      </c>
      <c r="B103" s="57">
        <v>0</v>
      </c>
      <c r="C103" s="57">
        <v>46913.738423999966</v>
      </c>
      <c r="D103" s="57">
        <v>0</v>
      </c>
      <c r="E103" s="57">
        <v>708414442997.76025</v>
      </c>
      <c r="F103" s="57">
        <v>46913.738423999966</v>
      </c>
      <c r="G103" s="57">
        <v>708414442997.76025</v>
      </c>
    </row>
    <row r="104" spans="1:7" ht="11.25" customHeight="1" x14ac:dyDescent="0.2">
      <c r="A104" s="67">
        <v>44470</v>
      </c>
      <c r="B104" s="57">
        <v>0</v>
      </c>
      <c r="C104" s="57">
        <v>45782.554524000072</v>
      </c>
      <c r="D104" s="57">
        <v>0</v>
      </c>
      <c r="E104" s="57">
        <v>691333156377.53857</v>
      </c>
      <c r="F104" s="57">
        <v>45782.554524000072</v>
      </c>
      <c r="G104" s="57">
        <v>691333156377.53857</v>
      </c>
    </row>
    <row r="105" spans="1:7" ht="11.25" customHeight="1" x14ac:dyDescent="0.2">
      <c r="A105" s="67">
        <v>44501</v>
      </c>
      <c r="B105" s="57">
        <v>0</v>
      </c>
      <c r="C105" s="57">
        <v>44255.11347600002</v>
      </c>
      <c r="D105" s="57">
        <v>0</v>
      </c>
      <c r="E105" s="57">
        <v>668268243292.77563</v>
      </c>
      <c r="F105" s="57">
        <v>44255.11347600002</v>
      </c>
      <c r="G105" s="57">
        <v>668268243292.77563</v>
      </c>
    </row>
    <row r="106" spans="1:7" ht="11.25" customHeight="1" x14ac:dyDescent="0.2">
      <c r="A106" s="67">
        <v>44531</v>
      </c>
      <c r="B106" s="57">
        <v>0</v>
      </c>
      <c r="C106" s="57">
        <v>51015.479801999936</v>
      </c>
      <c r="D106" s="57">
        <v>0</v>
      </c>
      <c r="E106" s="57">
        <v>770352223512.18237</v>
      </c>
      <c r="F106" s="57">
        <v>51015.479801999936</v>
      </c>
      <c r="G106" s="57">
        <v>770352223512.18237</v>
      </c>
    </row>
    <row r="107" spans="1:7" ht="11.25" customHeight="1" x14ac:dyDescent="0.2">
      <c r="A107" s="67">
        <v>44562</v>
      </c>
      <c r="B107" s="57">
        <v>0</v>
      </c>
      <c r="C107" s="57">
        <v>46373.969459999978</v>
      </c>
      <c r="D107" s="57">
        <v>0</v>
      </c>
      <c r="E107" s="57">
        <v>700263736129.68616</v>
      </c>
      <c r="F107" s="57">
        <v>46373.969459999978</v>
      </c>
      <c r="G107" s="57">
        <v>700263736129.68616</v>
      </c>
    </row>
    <row r="108" spans="1:7" ht="11.25" customHeight="1" x14ac:dyDescent="0.2">
      <c r="A108" s="67">
        <v>44593</v>
      </c>
      <c r="B108" s="57">
        <v>0</v>
      </c>
      <c r="C108" s="57">
        <v>43093.878933</v>
      </c>
      <c r="D108" s="57">
        <v>0</v>
      </c>
      <c r="E108" s="57">
        <v>650733181078.49915</v>
      </c>
      <c r="F108" s="57">
        <v>43093.878933</v>
      </c>
      <c r="G108" s="57">
        <v>650733181078.49915</v>
      </c>
    </row>
    <row r="109" spans="1:7" ht="11.25" customHeight="1" x14ac:dyDescent="0.2">
      <c r="A109" s="67">
        <v>44621</v>
      </c>
      <c r="B109" s="57">
        <v>0</v>
      </c>
      <c r="C109" s="57">
        <v>50655.90043500001</v>
      </c>
      <c r="D109" s="57">
        <v>0</v>
      </c>
      <c r="E109" s="57">
        <v>764922444825.93677</v>
      </c>
      <c r="F109" s="57">
        <v>50655.90043500001</v>
      </c>
      <c r="G109" s="57">
        <v>764922444825.93677</v>
      </c>
    </row>
    <row r="110" spans="1:7" ht="11.25" customHeight="1" x14ac:dyDescent="0.2">
      <c r="A110" s="67">
        <v>44652</v>
      </c>
      <c r="B110" s="57">
        <v>0</v>
      </c>
      <c r="C110" s="57">
        <v>50655.90043500001</v>
      </c>
      <c r="D110" s="57">
        <v>0</v>
      </c>
      <c r="E110" s="57">
        <v>764922444825.93677</v>
      </c>
      <c r="F110" s="57">
        <v>50655.90043500001</v>
      </c>
      <c r="G110" s="57">
        <v>764922444825.93677</v>
      </c>
    </row>
    <row r="111" spans="1:7" ht="11.25" customHeight="1" x14ac:dyDescent="0.2">
      <c r="A111" s="60" t="s">
        <v>39</v>
      </c>
      <c r="B111" s="57">
        <v>0</v>
      </c>
      <c r="C111" s="57">
        <v>1212099.1967771999</v>
      </c>
      <c r="D111" s="57">
        <v>0</v>
      </c>
      <c r="E111" s="57">
        <v>55670052926293.414</v>
      </c>
      <c r="F111" s="57">
        <v>1212099.1967772001</v>
      </c>
      <c r="G111" s="57">
        <v>55670052926293.438</v>
      </c>
    </row>
    <row r="112" spans="1:7" ht="11.25" customHeight="1" x14ac:dyDescent="0.2">
      <c r="A112" s="61" t="s">
        <v>23</v>
      </c>
      <c r="B112" s="57">
        <v>0</v>
      </c>
      <c r="C112" s="57">
        <v>1212099.1967771999</v>
      </c>
      <c r="D112" s="57">
        <v>0</v>
      </c>
      <c r="E112" s="57">
        <v>55670052926293.414</v>
      </c>
      <c r="F112" s="57">
        <v>1212099.1967772001</v>
      </c>
      <c r="G112" s="57">
        <v>55670052926293.438</v>
      </c>
    </row>
    <row r="113" spans="1:7" ht="11.25" customHeight="1" x14ac:dyDescent="0.2">
      <c r="A113" s="62" t="s">
        <v>50</v>
      </c>
      <c r="B113" s="57">
        <v>0</v>
      </c>
      <c r="C113" s="57">
        <v>1212099.1967771999</v>
      </c>
      <c r="D113" s="57">
        <v>0</v>
      </c>
      <c r="E113" s="57">
        <v>55670052926293.414</v>
      </c>
      <c r="F113" s="57">
        <v>1212099.1967772001</v>
      </c>
      <c r="G113" s="57">
        <v>55670052926293.438</v>
      </c>
    </row>
    <row r="114" spans="1:7" ht="11.25" customHeight="1" x14ac:dyDescent="0.2">
      <c r="A114" s="63" t="s">
        <v>51</v>
      </c>
      <c r="B114" s="57">
        <v>0</v>
      </c>
      <c r="C114" s="57">
        <v>1212099.1967771999</v>
      </c>
      <c r="D114" s="57">
        <v>0</v>
      </c>
      <c r="E114" s="57">
        <v>55670052926293.414</v>
      </c>
      <c r="F114" s="57">
        <v>1212099.1967772001</v>
      </c>
      <c r="G114" s="57">
        <v>55670052926293.438</v>
      </c>
    </row>
    <row r="115" spans="1:7" ht="11.25" customHeight="1" x14ac:dyDescent="0.2">
      <c r="A115" s="64" t="s">
        <v>25</v>
      </c>
      <c r="B115" s="57">
        <v>0</v>
      </c>
      <c r="C115" s="57">
        <v>1212099.1967771999</v>
      </c>
      <c r="D115" s="57">
        <v>0</v>
      </c>
      <c r="E115" s="57">
        <v>55670052926293.414</v>
      </c>
      <c r="F115" s="57">
        <v>1212099.1967772001</v>
      </c>
      <c r="G115" s="57">
        <v>55670052926293.438</v>
      </c>
    </row>
    <row r="116" spans="1:7" ht="11.25" customHeight="1" x14ac:dyDescent="0.2">
      <c r="A116" s="65" t="s">
        <v>25</v>
      </c>
      <c r="B116" s="57">
        <v>0</v>
      </c>
      <c r="C116" s="57">
        <v>1212099.1967771999</v>
      </c>
      <c r="D116" s="57">
        <v>0</v>
      </c>
      <c r="E116" s="57">
        <v>55670052926293.414</v>
      </c>
      <c r="F116" s="57">
        <v>1212099.1967772001</v>
      </c>
      <c r="G116" s="57">
        <v>55670052926293.438</v>
      </c>
    </row>
    <row r="117" spans="1:7" ht="11.25" customHeight="1" x14ac:dyDescent="0.2">
      <c r="A117" s="66" t="s">
        <v>25</v>
      </c>
      <c r="B117" s="57">
        <v>0</v>
      </c>
      <c r="C117" s="57">
        <v>1212099.1967771999</v>
      </c>
      <c r="D117" s="57">
        <v>0</v>
      </c>
      <c r="E117" s="57">
        <v>55670052926293.414</v>
      </c>
      <c r="F117" s="57">
        <v>1212099.1967772001</v>
      </c>
      <c r="G117" s="57">
        <v>55670052926293.438</v>
      </c>
    </row>
    <row r="118" spans="1:7" ht="11.25" customHeight="1" x14ac:dyDescent="0.2">
      <c r="A118" s="67">
        <v>44317</v>
      </c>
      <c r="B118" s="57">
        <v>0</v>
      </c>
      <c r="C118" s="57">
        <v>116435.61053700004</v>
      </c>
      <c r="D118" s="57">
        <v>0</v>
      </c>
      <c r="E118" s="57">
        <v>5347727824863.459</v>
      </c>
      <c r="F118" s="57">
        <v>116435.61053700004</v>
      </c>
      <c r="G118" s="57">
        <v>5347727824863.459</v>
      </c>
    </row>
    <row r="119" spans="1:7" ht="11.25" customHeight="1" x14ac:dyDescent="0.2">
      <c r="A119" s="67">
        <v>44348</v>
      </c>
      <c r="B119" s="57">
        <v>0</v>
      </c>
      <c r="C119" s="57">
        <v>116248.86696840022</v>
      </c>
      <c r="D119" s="57">
        <v>0</v>
      </c>
      <c r="E119" s="57">
        <v>5339150948997.8213</v>
      </c>
      <c r="F119" s="57">
        <v>116248.86696840022</v>
      </c>
      <c r="G119" s="57">
        <v>5339150948997.8213</v>
      </c>
    </row>
    <row r="120" spans="1:7" ht="11.25" customHeight="1" x14ac:dyDescent="0.2">
      <c r="A120" s="67">
        <v>44378</v>
      </c>
      <c r="B120" s="57">
        <v>0</v>
      </c>
      <c r="C120" s="57">
        <v>109790.15413020016</v>
      </c>
      <c r="D120" s="57">
        <v>0</v>
      </c>
      <c r="E120" s="57">
        <v>5042511130660.8916</v>
      </c>
      <c r="F120" s="57">
        <v>109790.15413020016</v>
      </c>
      <c r="G120" s="57">
        <v>5042511130660.8916</v>
      </c>
    </row>
    <row r="121" spans="1:7" ht="11.25" customHeight="1" x14ac:dyDescent="0.2">
      <c r="A121" s="67">
        <v>44409</v>
      </c>
      <c r="B121" s="57">
        <v>0</v>
      </c>
      <c r="C121" s="57">
        <v>111767.32185479985</v>
      </c>
      <c r="D121" s="57">
        <v>0</v>
      </c>
      <c r="E121" s="57">
        <v>5133319731281.4365</v>
      </c>
      <c r="F121" s="57">
        <v>111767.32185479985</v>
      </c>
      <c r="G121" s="57">
        <v>5133319731281.4365</v>
      </c>
    </row>
    <row r="122" spans="1:7" ht="11.25" customHeight="1" x14ac:dyDescent="0.2">
      <c r="A122" s="67">
        <v>44440</v>
      </c>
      <c r="B122" s="57">
        <v>0</v>
      </c>
      <c r="C122" s="57">
        <v>100869.17606159978</v>
      </c>
      <c r="D122" s="57">
        <v>0</v>
      </c>
      <c r="E122" s="57">
        <v>4632782848888.4424</v>
      </c>
      <c r="F122" s="57">
        <v>100869.17606159978</v>
      </c>
      <c r="G122" s="57">
        <v>4632782848888.4424</v>
      </c>
    </row>
    <row r="123" spans="1:7" ht="11.25" customHeight="1" x14ac:dyDescent="0.2">
      <c r="A123" s="67">
        <v>44470</v>
      </c>
      <c r="B123" s="57">
        <v>0</v>
      </c>
      <c r="C123" s="57">
        <v>101617.08950100008</v>
      </c>
      <c r="D123" s="57">
        <v>0</v>
      </c>
      <c r="E123" s="57">
        <v>4667133486910.8145</v>
      </c>
      <c r="F123" s="57">
        <v>101617.08950100008</v>
      </c>
      <c r="G123" s="57">
        <v>4667133486910.8145</v>
      </c>
    </row>
    <row r="124" spans="1:7" ht="11.25" customHeight="1" x14ac:dyDescent="0.2">
      <c r="A124" s="67">
        <v>44501</v>
      </c>
      <c r="B124" s="57">
        <v>0</v>
      </c>
      <c r="C124" s="57">
        <v>96223.953271799866</v>
      </c>
      <c r="D124" s="57">
        <v>0</v>
      </c>
      <c r="E124" s="57">
        <v>4419434140094.5039</v>
      </c>
      <c r="F124" s="57">
        <v>96223.953271799866</v>
      </c>
      <c r="G124" s="57">
        <v>4419434140094.5039</v>
      </c>
    </row>
    <row r="125" spans="1:7" ht="11.25" customHeight="1" x14ac:dyDescent="0.2">
      <c r="A125" s="67">
        <v>44531</v>
      </c>
      <c r="B125" s="57">
        <v>0</v>
      </c>
      <c r="C125" s="57">
        <v>99458.738064599806</v>
      </c>
      <c r="D125" s="57">
        <v>0</v>
      </c>
      <c r="E125" s="57">
        <v>4568003367018.4648</v>
      </c>
      <c r="F125" s="57">
        <v>99458.738064599806</v>
      </c>
      <c r="G125" s="57">
        <v>4568003367018.4648</v>
      </c>
    </row>
    <row r="126" spans="1:7" ht="11.25" customHeight="1" x14ac:dyDescent="0.2">
      <c r="A126" s="67">
        <v>44562</v>
      </c>
      <c r="B126" s="57">
        <v>0</v>
      </c>
      <c r="C126" s="57">
        <v>90401.242971599859</v>
      </c>
      <c r="D126" s="57">
        <v>0</v>
      </c>
      <c r="E126" s="57">
        <v>4152005045637.1533</v>
      </c>
      <c r="F126" s="57">
        <v>90401.242971599859</v>
      </c>
      <c r="G126" s="57">
        <v>4152005045637.1533</v>
      </c>
    </row>
    <row r="127" spans="1:7" ht="11.25" customHeight="1" x14ac:dyDescent="0.2">
      <c r="A127" s="67">
        <v>44593</v>
      </c>
      <c r="B127" s="57">
        <v>0</v>
      </c>
      <c r="C127" s="57">
        <v>88114.225930199987</v>
      </c>
      <c r="D127" s="57">
        <v>0</v>
      </c>
      <c r="E127" s="57">
        <v>4046965491055.6587</v>
      </c>
      <c r="F127" s="57">
        <v>88114.225930199987</v>
      </c>
      <c r="G127" s="57">
        <v>4046965491055.6587</v>
      </c>
    </row>
    <row r="128" spans="1:7" ht="11.25" customHeight="1" x14ac:dyDescent="0.2">
      <c r="A128" s="67">
        <v>44621</v>
      </c>
      <c r="B128" s="57">
        <v>0</v>
      </c>
      <c r="C128" s="57">
        <v>90586.408743000022</v>
      </c>
      <c r="D128" s="57">
        <v>0</v>
      </c>
      <c r="E128" s="57">
        <v>4160509455442.3853</v>
      </c>
      <c r="F128" s="57">
        <v>90586.408743000022</v>
      </c>
      <c r="G128" s="57">
        <v>4160509455442.3853</v>
      </c>
    </row>
    <row r="129" spans="1:7" ht="11.25" customHeight="1" x14ac:dyDescent="0.2">
      <c r="A129" s="67">
        <v>44652</v>
      </c>
      <c r="B129" s="57">
        <v>0</v>
      </c>
      <c r="C129" s="57">
        <v>90586.408743000022</v>
      </c>
      <c r="D129" s="57">
        <v>0</v>
      </c>
      <c r="E129" s="57">
        <v>4160509455442.3853</v>
      </c>
      <c r="F129" s="57">
        <v>90586.408743000022</v>
      </c>
      <c r="G129" s="57">
        <v>4160509455442.3853</v>
      </c>
    </row>
    <row r="130" spans="1:7" ht="11.25" customHeight="1" x14ac:dyDescent="0.2">
      <c r="A130" s="59" t="s">
        <v>955</v>
      </c>
      <c r="B130" s="57">
        <v>0</v>
      </c>
      <c r="C130" s="57">
        <v>101620431.1191</v>
      </c>
      <c r="D130" s="57">
        <v>0</v>
      </c>
      <c r="E130" s="57">
        <v>5130392027084800</v>
      </c>
      <c r="F130" s="57">
        <v>101620431.1191</v>
      </c>
      <c r="G130" s="57">
        <v>5130392027084800</v>
      </c>
    </row>
    <row r="131" spans="1:7" ht="11.25" customHeight="1" x14ac:dyDescent="0.2">
      <c r="A131" s="60" t="s">
        <v>22</v>
      </c>
      <c r="B131" s="57">
        <v>0</v>
      </c>
      <c r="C131" s="57">
        <v>101620431.1191</v>
      </c>
      <c r="D131" s="57">
        <v>0</v>
      </c>
      <c r="E131" s="57">
        <v>5130392027084800</v>
      </c>
      <c r="F131" s="57">
        <v>101620431.1191</v>
      </c>
      <c r="G131" s="57">
        <v>5130392027084800</v>
      </c>
    </row>
    <row r="132" spans="1:7" ht="11.25" customHeight="1" x14ac:dyDescent="0.2">
      <c r="A132" s="61" t="s">
        <v>23</v>
      </c>
      <c r="B132" s="57">
        <v>0</v>
      </c>
      <c r="C132" s="57">
        <v>101620431.1191</v>
      </c>
      <c r="D132" s="57">
        <v>0</v>
      </c>
      <c r="E132" s="57">
        <v>5130392027084800</v>
      </c>
      <c r="F132" s="57">
        <v>101620431.1191</v>
      </c>
      <c r="G132" s="57">
        <v>5130392027084800</v>
      </c>
    </row>
    <row r="133" spans="1:7" ht="11.25" customHeight="1" x14ac:dyDescent="0.2">
      <c r="A133" s="62" t="s">
        <v>24</v>
      </c>
      <c r="B133" s="57">
        <v>0</v>
      </c>
      <c r="C133" s="57">
        <v>101620431.1191</v>
      </c>
      <c r="D133" s="57">
        <v>0</v>
      </c>
      <c r="E133" s="57">
        <v>5130392027084800</v>
      </c>
      <c r="F133" s="57">
        <v>101620431.1191</v>
      </c>
      <c r="G133" s="57">
        <v>5130392027084800</v>
      </c>
    </row>
    <row r="134" spans="1:7" ht="11.25" customHeight="1" x14ac:dyDescent="0.2">
      <c r="A134" s="63" t="s">
        <v>29</v>
      </c>
      <c r="B134" s="57">
        <v>0</v>
      </c>
      <c r="C134" s="57">
        <v>49729431.298560008</v>
      </c>
      <c r="D134" s="57">
        <v>0</v>
      </c>
      <c r="E134" s="57">
        <v>2510600563980667.5</v>
      </c>
      <c r="F134" s="57">
        <v>49729431.298560008</v>
      </c>
      <c r="G134" s="57">
        <v>2510600563980667.5</v>
      </c>
    </row>
    <row r="135" spans="1:7" ht="11.25" customHeight="1" x14ac:dyDescent="0.2">
      <c r="A135" s="64" t="s">
        <v>25</v>
      </c>
      <c r="B135" s="57">
        <v>0</v>
      </c>
      <c r="C135" s="57">
        <v>49729431.298560008</v>
      </c>
      <c r="D135" s="57">
        <v>0</v>
      </c>
      <c r="E135" s="57">
        <v>2510600563980667.5</v>
      </c>
      <c r="F135" s="57">
        <v>49729431.298560008</v>
      </c>
      <c r="G135" s="57">
        <v>2510600563980667.5</v>
      </c>
    </row>
    <row r="136" spans="1:7" ht="11.25" customHeight="1" x14ac:dyDescent="0.2">
      <c r="A136" s="65" t="s">
        <v>25</v>
      </c>
      <c r="B136" s="57">
        <v>0</v>
      </c>
      <c r="C136" s="57">
        <v>49729431.298560008</v>
      </c>
      <c r="D136" s="57">
        <v>0</v>
      </c>
      <c r="E136" s="57">
        <v>2510600563980667.5</v>
      </c>
      <c r="F136" s="57">
        <v>49729431.298560008</v>
      </c>
      <c r="G136" s="57">
        <v>2510600563980667.5</v>
      </c>
    </row>
    <row r="137" spans="1:7" ht="11.25" customHeight="1" x14ac:dyDescent="0.2">
      <c r="A137" s="66" t="s">
        <v>25</v>
      </c>
      <c r="B137" s="57">
        <v>0</v>
      </c>
      <c r="C137" s="57">
        <v>49729431.298560008</v>
      </c>
      <c r="D137" s="57">
        <v>0</v>
      </c>
      <c r="E137" s="57">
        <v>2510600563980667.5</v>
      </c>
      <c r="F137" s="57">
        <v>49729431.298560008</v>
      </c>
      <c r="G137" s="57">
        <v>2510600563980667.5</v>
      </c>
    </row>
    <row r="138" spans="1:7" ht="11.25" customHeight="1" x14ac:dyDescent="0.2">
      <c r="A138" s="67">
        <v>44317</v>
      </c>
      <c r="B138" s="57">
        <v>0</v>
      </c>
      <c r="C138" s="57">
        <v>3870912.14432</v>
      </c>
      <c r="D138" s="57">
        <v>0</v>
      </c>
      <c r="E138" s="57">
        <v>195423795504591.19</v>
      </c>
      <c r="F138" s="57">
        <v>3870912.14432</v>
      </c>
      <c r="G138" s="57">
        <v>195423795504591.19</v>
      </c>
    </row>
    <row r="139" spans="1:7" ht="11.25" customHeight="1" x14ac:dyDescent="0.2">
      <c r="A139" s="67">
        <v>44348</v>
      </c>
      <c r="B139" s="57">
        <v>0</v>
      </c>
      <c r="C139" s="57">
        <v>3910166.0998399998</v>
      </c>
      <c r="D139" s="57">
        <v>0</v>
      </c>
      <c r="E139" s="57">
        <v>197405539520027.72</v>
      </c>
      <c r="F139" s="57">
        <v>3910166.0998399998</v>
      </c>
      <c r="G139" s="57">
        <v>197405539520027.72</v>
      </c>
    </row>
    <row r="140" spans="1:7" ht="11.25" customHeight="1" x14ac:dyDescent="0.2">
      <c r="A140" s="67">
        <v>44378</v>
      </c>
      <c r="B140" s="57">
        <v>0</v>
      </c>
      <c r="C140" s="57">
        <v>3942252.20896</v>
      </c>
      <c r="D140" s="57">
        <v>0</v>
      </c>
      <c r="E140" s="57">
        <v>199025413336178.72</v>
      </c>
      <c r="F140" s="57">
        <v>3942252.20896</v>
      </c>
      <c r="G140" s="57">
        <v>199025413336178.72</v>
      </c>
    </row>
    <row r="141" spans="1:7" ht="11.25" customHeight="1" x14ac:dyDescent="0.2">
      <c r="A141" s="67">
        <v>44409</v>
      </c>
      <c r="B141" s="57">
        <v>0</v>
      </c>
      <c r="C141" s="57">
        <v>3992462.6768</v>
      </c>
      <c r="D141" s="57">
        <v>0</v>
      </c>
      <c r="E141" s="57">
        <v>201560299128859.97</v>
      </c>
      <c r="F141" s="57">
        <v>3992462.6768</v>
      </c>
      <c r="G141" s="57">
        <v>201560299128859.97</v>
      </c>
    </row>
    <row r="142" spans="1:7" ht="11.25" customHeight="1" x14ac:dyDescent="0.2">
      <c r="A142" s="67">
        <v>44440</v>
      </c>
      <c r="B142" s="57">
        <v>0</v>
      </c>
      <c r="C142" s="57">
        <v>4024750.1964799999</v>
      </c>
      <c r="D142" s="57">
        <v>0</v>
      </c>
      <c r="E142" s="57">
        <v>203190341198544.59</v>
      </c>
      <c r="F142" s="57">
        <v>4024750.1964799999</v>
      </c>
      <c r="G142" s="57">
        <v>203190341198544.59</v>
      </c>
    </row>
    <row r="143" spans="1:7" ht="11.25" customHeight="1" x14ac:dyDescent="0.2">
      <c r="A143" s="67">
        <v>44470</v>
      </c>
      <c r="B143" s="57">
        <v>0</v>
      </c>
      <c r="C143" s="57">
        <v>4021360.64928</v>
      </c>
      <c r="D143" s="57">
        <v>0</v>
      </c>
      <c r="E143" s="57">
        <v>203019219211227.5</v>
      </c>
      <c r="F143" s="57">
        <v>4021360.64928</v>
      </c>
      <c r="G143" s="57">
        <v>203019219211227.5</v>
      </c>
    </row>
    <row r="144" spans="1:7" ht="11.25" customHeight="1" x14ac:dyDescent="0.2">
      <c r="A144" s="67">
        <v>44501</v>
      </c>
      <c r="B144" s="57">
        <v>0</v>
      </c>
      <c r="C144" s="57">
        <v>4041903.7859200002</v>
      </c>
      <c r="D144" s="57">
        <v>0</v>
      </c>
      <c r="E144" s="57">
        <v>204056343688374.09</v>
      </c>
      <c r="F144" s="57">
        <v>4041903.7859200002</v>
      </c>
      <c r="G144" s="57">
        <v>204056343688374.09</v>
      </c>
    </row>
    <row r="145" spans="1:7" ht="11.25" customHeight="1" x14ac:dyDescent="0.2">
      <c r="A145" s="67">
        <v>44531</v>
      </c>
      <c r="B145" s="57">
        <v>0</v>
      </c>
      <c r="C145" s="57">
        <v>4246844.5843200004</v>
      </c>
      <c r="D145" s="57">
        <v>0</v>
      </c>
      <c r="E145" s="57">
        <v>214402822033494.16</v>
      </c>
      <c r="F145" s="57">
        <v>4246844.5843200004</v>
      </c>
      <c r="G145" s="57">
        <v>214402822033494.16</v>
      </c>
    </row>
    <row r="146" spans="1:7" ht="11.25" customHeight="1" x14ac:dyDescent="0.2">
      <c r="A146" s="67">
        <v>44562</v>
      </c>
      <c r="B146" s="57">
        <v>0</v>
      </c>
      <c r="C146" s="57">
        <v>4446497.2448000005</v>
      </c>
      <c r="D146" s="57">
        <v>0</v>
      </c>
      <c r="E146" s="57">
        <v>224482327648428.56</v>
      </c>
      <c r="F146" s="57">
        <v>4446497.2448000005</v>
      </c>
      <c r="G146" s="57">
        <v>224482327648428.56</v>
      </c>
    </row>
    <row r="147" spans="1:7" ht="11.25" customHeight="1" x14ac:dyDescent="0.2">
      <c r="A147" s="67">
        <v>44593</v>
      </c>
      <c r="B147" s="57">
        <v>0</v>
      </c>
      <c r="C147" s="57">
        <v>4405636.4476800002</v>
      </c>
      <c r="D147" s="57">
        <v>0</v>
      </c>
      <c r="E147" s="57">
        <v>222419461904433.13</v>
      </c>
      <c r="F147" s="57">
        <v>4405636.4476800002</v>
      </c>
      <c r="G147" s="57">
        <v>222419461904433.13</v>
      </c>
    </row>
    <row r="148" spans="1:7" ht="11.25" customHeight="1" x14ac:dyDescent="0.2">
      <c r="A148" s="67">
        <v>44621</v>
      </c>
      <c r="B148" s="57">
        <v>0</v>
      </c>
      <c r="C148" s="57">
        <v>4413322.6300799996</v>
      </c>
      <c r="D148" s="57">
        <v>0</v>
      </c>
      <c r="E148" s="57">
        <v>222807500403253.81</v>
      </c>
      <c r="F148" s="57">
        <v>4413322.6300799996</v>
      </c>
      <c r="G148" s="57">
        <v>222807500403253.81</v>
      </c>
    </row>
    <row r="149" spans="1:7" ht="11.25" customHeight="1" x14ac:dyDescent="0.2">
      <c r="A149" s="67">
        <v>44652</v>
      </c>
      <c r="B149" s="57">
        <v>0</v>
      </c>
      <c r="C149" s="57">
        <v>4413322.6300799996</v>
      </c>
      <c r="D149" s="57">
        <v>0</v>
      </c>
      <c r="E149" s="57">
        <v>222807500403253.81</v>
      </c>
      <c r="F149" s="57">
        <v>4413322.6300799996</v>
      </c>
      <c r="G149" s="57">
        <v>222807500403253.81</v>
      </c>
    </row>
    <row r="150" spans="1:7" ht="11.25" customHeight="1" x14ac:dyDescent="0.2">
      <c r="A150" s="63" t="s">
        <v>30</v>
      </c>
      <c r="B150" s="57">
        <v>0</v>
      </c>
      <c r="C150" s="57">
        <v>47258401.436159998</v>
      </c>
      <c r="D150" s="57">
        <v>0</v>
      </c>
      <c r="E150" s="57">
        <v>2385954833938731</v>
      </c>
      <c r="F150" s="57">
        <v>47258401.436159998</v>
      </c>
      <c r="G150" s="57">
        <v>2385954833938731</v>
      </c>
    </row>
    <row r="151" spans="1:7" ht="11.25" customHeight="1" x14ac:dyDescent="0.2">
      <c r="A151" s="64" t="s">
        <v>25</v>
      </c>
      <c r="B151" s="57">
        <v>0</v>
      </c>
      <c r="C151" s="57">
        <v>47258401.436159998</v>
      </c>
      <c r="D151" s="57">
        <v>0</v>
      </c>
      <c r="E151" s="57">
        <v>2385954833938731</v>
      </c>
      <c r="F151" s="57">
        <v>47258401.436159998</v>
      </c>
      <c r="G151" s="57">
        <v>2385954833938731</v>
      </c>
    </row>
    <row r="152" spans="1:7" ht="11.25" customHeight="1" x14ac:dyDescent="0.2">
      <c r="A152" s="65" t="s">
        <v>25</v>
      </c>
      <c r="B152" s="57">
        <v>0</v>
      </c>
      <c r="C152" s="57">
        <v>47258401.436159998</v>
      </c>
      <c r="D152" s="57">
        <v>0</v>
      </c>
      <c r="E152" s="57">
        <v>2385954833938731</v>
      </c>
      <c r="F152" s="57">
        <v>47258401.436159998</v>
      </c>
      <c r="G152" s="57">
        <v>2385954833938731</v>
      </c>
    </row>
    <row r="153" spans="1:7" ht="11.25" customHeight="1" x14ac:dyDescent="0.2">
      <c r="A153" s="66" t="s">
        <v>25</v>
      </c>
      <c r="B153" s="57">
        <v>0</v>
      </c>
      <c r="C153" s="57">
        <v>47258401.436159998</v>
      </c>
      <c r="D153" s="57">
        <v>0</v>
      </c>
      <c r="E153" s="57">
        <v>2385954833938731</v>
      </c>
      <c r="F153" s="57">
        <v>47258401.436159998</v>
      </c>
      <c r="G153" s="57">
        <v>2385954833938731</v>
      </c>
    </row>
    <row r="154" spans="1:7" ht="11.25" customHeight="1" x14ac:dyDescent="0.2">
      <c r="A154" s="67">
        <v>44317</v>
      </c>
      <c r="B154" s="57">
        <v>0</v>
      </c>
      <c r="C154" s="57">
        <v>3662906.0679500005</v>
      </c>
      <c r="D154" s="57">
        <v>0</v>
      </c>
      <c r="E154" s="57">
        <v>184930682661680.5</v>
      </c>
      <c r="F154" s="57">
        <v>3662906.0679500005</v>
      </c>
      <c r="G154" s="57">
        <v>184930682661680.5</v>
      </c>
    </row>
    <row r="155" spans="1:7" ht="11.25" customHeight="1" x14ac:dyDescent="0.2">
      <c r="A155" s="67">
        <v>44348</v>
      </c>
      <c r="B155" s="57">
        <v>0</v>
      </c>
      <c r="C155" s="57">
        <v>3556946.8915500008</v>
      </c>
      <c r="D155" s="57">
        <v>0</v>
      </c>
      <c r="E155" s="57">
        <v>179581077058256.41</v>
      </c>
      <c r="F155" s="57">
        <v>3556946.8915500008</v>
      </c>
      <c r="G155" s="57">
        <v>179581077058256.41</v>
      </c>
    </row>
    <row r="156" spans="1:7" ht="11.25" customHeight="1" x14ac:dyDescent="0.2">
      <c r="A156" s="67">
        <v>44378</v>
      </c>
      <c r="B156" s="57">
        <v>0</v>
      </c>
      <c r="C156" s="57">
        <v>3402462.2034500008</v>
      </c>
      <c r="D156" s="57">
        <v>0</v>
      </c>
      <c r="E156" s="57">
        <v>171781543490883.56</v>
      </c>
      <c r="F156" s="57">
        <v>3402462.2034500008</v>
      </c>
      <c r="G156" s="57">
        <v>171781543490883.56</v>
      </c>
    </row>
    <row r="157" spans="1:7" ht="11.25" customHeight="1" x14ac:dyDescent="0.2">
      <c r="A157" s="67">
        <v>44409</v>
      </c>
      <c r="B157" s="57">
        <v>0</v>
      </c>
      <c r="C157" s="57">
        <v>3364418.4665600006</v>
      </c>
      <c r="D157" s="57">
        <v>0</v>
      </c>
      <c r="E157" s="57">
        <v>169860813310104.84</v>
      </c>
      <c r="F157" s="57">
        <v>3364418.4665600006</v>
      </c>
      <c r="G157" s="57">
        <v>169860813310104.84</v>
      </c>
    </row>
    <row r="158" spans="1:7" ht="11.25" customHeight="1" x14ac:dyDescent="0.2">
      <c r="A158" s="67">
        <v>44440</v>
      </c>
      <c r="B158" s="57">
        <v>0</v>
      </c>
      <c r="C158" s="57">
        <v>3541184.4730000007</v>
      </c>
      <c r="D158" s="57">
        <v>0</v>
      </c>
      <c r="E158" s="57">
        <v>178785273188657.88</v>
      </c>
      <c r="F158" s="57">
        <v>3541184.4730000007</v>
      </c>
      <c r="G158" s="57">
        <v>178785273188657.88</v>
      </c>
    </row>
    <row r="159" spans="1:7" ht="11.25" customHeight="1" x14ac:dyDescent="0.2">
      <c r="A159" s="67">
        <v>44470</v>
      </c>
      <c r="B159" s="57">
        <v>0</v>
      </c>
      <c r="C159" s="57">
        <v>3712269.0827300008</v>
      </c>
      <c r="D159" s="57">
        <v>0</v>
      </c>
      <c r="E159" s="57">
        <v>187422893996658.34</v>
      </c>
      <c r="F159" s="57">
        <v>3712269.0827300008</v>
      </c>
      <c r="G159" s="57">
        <v>187422893996658.34</v>
      </c>
    </row>
    <row r="160" spans="1:7" ht="11.25" customHeight="1" x14ac:dyDescent="0.2">
      <c r="A160" s="67">
        <v>44501</v>
      </c>
      <c r="B160" s="57">
        <v>0</v>
      </c>
      <c r="C160" s="57">
        <v>3896017.8508400004</v>
      </c>
      <c r="D160" s="57">
        <v>0</v>
      </c>
      <c r="E160" s="57">
        <v>196699895507058.22</v>
      </c>
      <c r="F160" s="57">
        <v>3896017.8508400004</v>
      </c>
      <c r="G160" s="57">
        <v>196699895507058.22</v>
      </c>
    </row>
    <row r="161" spans="1:7" ht="11.25" customHeight="1" x14ac:dyDescent="0.2">
      <c r="A161" s="67">
        <v>44531</v>
      </c>
      <c r="B161" s="57">
        <v>0</v>
      </c>
      <c r="C161" s="57">
        <v>4181567.2143600006</v>
      </c>
      <c r="D161" s="57">
        <v>0</v>
      </c>
      <c r="E161" s="57">
        <v>211116546589491.28</v>
      </c>
      <c r="F161" s="57">
        <v>4181567.2143600006</v>
      </c>
      <c r="G161" s="57">
        <v>211116546589491.28</v>
      </c>
    </row>
    <row r="162" spans="1:7" ht="11.25" customHeight="1" x14ac:dyDescent="0.2">
      <c r="A162" s="67">
        <v>44562</v>
      </c>
      <c r="B162" s="57">
        <v>0</v>
      </c>
      <c r="C162" s="57">
        <v>4299295.6329000005</v>
      </c>
      <c r="D162" s="57">
        <v>0</v>
      </c>
      <c r="E162" s="57">
        <v>217060350881875.75</v>
      </c>
      <c r="F162" s="57">
        <v>4299295.6329000005</v>
      </c>
      <c r="G162" s="57">
        <v>217060350881875.75</v>
      </c>
    </row>
    <row r="163" spans="1:7" ht="11.25" customHeight="1" x14ac:dyDescent="0.2">
      <c r="A163" s="67">
        <v>44593</v>
      </c>
      <c r="B163" s="57">
        <v>0</v>
      </c>
      <c r="C163" s="57">
        <v>4342365.9830800006</v>
      </c>
      <c r="D163" s="57">
        <v>0</v>
      </c>
      <c r="E163" s="57">
        <v>219234861806673.44</v>
      </c>
      <c r="F163" s="57">
        <v>4342365.9830800006</v>
      </c>
      <c r="G163" s="57">
        <v>219234861806673.44</v>
      </c>
    </row>
    <row r="164" spans="1:7" ht="11.25" customHeight="1" x14ac:dyDescent="0.2">
      <c r="A164" s="67">
        <v>44621</v>
      </c>
      <c r="B164" s="57">
        <v>0</v>
      </c>
      <c r="C164" s="57">
        <v>4649483.7848700006</v>
      </c>
      <c r="D164" s="57">
        <v>0</v>
      </c>
      <c r="E164" s="57">
        <v>234740447723695.25</v>
      </c>
      <c r="F164" s="57">
        <v>4649483.7848700006</v>
      </c>
      <c r="G164" s="57">
        <v>234740447723695.25</v>
      </c>
    </row>
    <row r="165" spans="1:7" ht="11.25" customHeight="1" x14ac:dyDescent="0.2">
      <c r="A165" s="67">
        <v>44652</v>
      </c>
      <c r="B165" s="57">
        <v>0</v>
      </c>
      <c r="C165" s="57">
        <v>4649483.7848700006</v>
      </c>
      <c r="D165" s="57">
        <v>0</v>
      </c>
      <c r="E165" s="57">
        <v>234740447723695.25</v>
      </c>
      <c r="F165" s="57">
        <v>4649483.7848700006</v>
      </c>
      <c r="G165" s="57">
        <v>234740447723695.25</v>
      </c>
    </row>
    <row r="166" spans="1:7" ht="11.25" customHeight="1" x14ac:dyDescent="0.2">
      <c r="A166" s="63" t="s">
        <v>31</v>
      </c>
      <c r="B166" s="57">
        <v>0</v>
      </c>
      <c r="C166" s="57">
        <v>4632598.3843800034</v>
      </c>
      <c r="D166" s="57">
        <v>0</v>
      </c>
      <c r="E166" s="57">
        <v>233836629165400.25</v>
      </c>
      <c r="F166" s="57">
        <v>4632598.3843800034</v>
      </c>
      <c r="G166" s="57">
        <v>233836629165400.25</v>
      </c>
    </row>
    <row r="167" spans="1:7" ht="11.25" customHeight="1" x14ac:dyDescent="0.2">
      <c r="A167" s="64" t="s">
        <v>25</v>
      </c>
      <c r="B167" s="57">
        <v>0</v>
      </c>
      <c r="C167" s="57">
        <v>4632598.3843800034</v>
      </c>
      <c r="D167" s="57">
        <v>0</v>
      </c>
      <c r="E167" s="57">
        <v>233836629165400.25</v>
      </c>
      <c r="F167" s="57">
        <v>4632598.3843800034</v>
      </c>
      <c r="G167" s="57">
        <v>233836629165400.25</v>
      </c>
    </row>
    <row r="168" spans="1:7" ht="11.25" customHeight="1" x14ac:dyDescent="0.2">
      <c r="A168" s="65" t="s">
        <v>25</v>
      </c>
      <c r="B168" s="57">
        <v>0</v>
      </c>
      <c r="C168" s="57">
        <v>4632598.3843800034</v>
      </c>
      <c r="D168" s="57">
        <v>0</v>
      </c>
      <c r="E168" s="57">
        <v>233836629165400.25</v>
      </c>
      <c r="F168" s="57">
        <v>4632598.3843800034</v>
      </c>
      <c r="G168" s="57">
        <v>233836629165400.25</v>
      </c>
    </row>
    <row r="169" spans="1:7" ht="11.25" customHeight="1" x14ac:dyDescent="0.2">
      <c r="A169" s="66" t="s">
        <v>25</v>
      </c>
      <c r="B169" s="57">
        <v>0</v>
      </c>
      <c r="C169" s="57">
        <v>4632598.3843800034</v>
      </c>
      <c r="D169" s="57">
        <v>0</v>
      </c>
      <c r="E169" s="57">
        <v>233836629165400.25</v>
      </c>
      <c r="F169" s="57">
        <v>4632598.3843800034</v>
      </c>
      <c r="G169" s="57">
        <v>233836629165400.25</v>
      </c>
    </row>
    <row r="170" spans="1:7" ht="11.25" customHeight="1" x14ac:dyDescent="0.2">
      <c r="A170" s="67">
        <v>44317</v>
      </c>
      <c r="B170" s="57">
        <v>0</v>
      </c>
      <c r="C170" s="57">
        <v>355579.67925000034</v>
      </c>
      <c r="D170" s="57">
        <v>0</v>
      </c>
      <c r="E170" s="57">
        <v>17948362170976.797</v>
      </c>
      <c r="F170" s="57">
        <v>355579.67925000034</v>
      </c>
      <c r="G170" s="57">
        <v>17948362170976.797</v>
      </c>
    </row>
    <row r="171" spans="1:7" ht="11.25" customHeight="1" x14ac:dyDescent="0.2">
      <c r="A171" s="67">
        <v>44348</v>
      </c>
      <c r="B171" s="57">
        <v>0</v>
      </c>
      <c r="C171" s="57">
        <v>317588.83596000029</v>
      </c>
      <c r="D171" s="57">
        <v>0</v>
      </c>
      <c r="E171" s="57">
        <v>16030723300307.996</v>
      </c>
      <c r="F171" s="57">
        <v>317588.83596000029</v>
      </c>
      <c r="G171" s="57">
        <v>16030723300307.996</v>
      </c>
    </row>
    <row r="172" spans="1:7" ht="11.25" customHeight="1" x14ac:dyDescent="0.2">
      <c r="A172" s="67">
        <v>44378</v>
      </c>
      <c r="B172" s="57">
        <v>0</v>
      </c>
      <c r="C172" s="57">
        <v>260397.22266000026</v>
      </c>
      <c r="D172" s="57">
        <v>0</v>
      </c>
      <c r="E172" s="57">
        <v>13143899759615.316</v>
      </c>
      <c r="F172" s="57">
        <v>260397.22266000026</v>
      </c>
      <c r="G172" s="57">
        <v>13143899759615.316</v>
      </c>
    </row>
    <row r="173" spans="1:7" ht="11.25" customHeight="1" x14ac:dyDescent="0.2">
      <c r="A173" s="67">
        <v>44409</v>
      </c>
      <c r="B173" s="57">
        <v>0</v>
      </c>
      <c r="C173" s="57">
        <v>243850.79889000027</v>
      </c>
      <c r="D173" s="57">
        <v>0</v>
      </c>
      <c r="E173" s="57">
        <v>12308696783211.205</v>
      </c>
      <c r="F173" s="57">
        <v>243850.79889000027</v>
      </c>
      <c r="G173" s="57">
        <v>12308696783211.205</v>
      </c>
    </row>
    <row r="174" spans="1:7" ht="11.25" customHeight="1" x14ac:dyDescent="0.2">
      <c r="A174" s="67">
        <v>44440</v>
      </c>
      <c r="B174" s="57">
        <v>0</v>
      </c>
      <c r="C174" s="57">
        <v>283869.37539000029</v>
      </c>
      <c r="D174" s="57">
        <v>0</v>
      </c>
      <c r="E174" s="57">
        <v>14328688212710.029</v>
      </c>
      <c r="F174" s="57">
        <v>283869.37539000029</v>
      </c>
      <c r="G174" s="57">
        <v>14328688212710.029</v>
      </c>
    </row>
    <row r="175" spans="1:7" ht="11.25" customHeight="1" x14ac:dyDescent="0.2">
      <c r="A175" s="67">
        <v>44470</v>
      </c>
      <c r="B175" s="57">
        <v>0</v>
      </c>
      <c r="C175" s="57">
        <v>330907.39650000032</v>
      </c>
      <c r="D175" s="57">
        <v>0</v>
      </c>
      <c r="E175" s="57">
        <v>16702995542276.955</v>
      </c>
      <c r="F175" s="57">
        <v>330907.39650000032</v>
      </c>
      <c r="G175" s="57">
        <v>16702995542276.955</v>
      </c>
    </row>
    <row r="176" spans="1:7" ht="11.25" customHeight="1" x14ac:dyDescent="0.2">
      <c r="A176" s="67">
        <v>44501</v>
      </c>
      <c r="B176" s="57">
        <v>0</v>
      </c>
      <c r="C176" s="57">
        <v>387027.91683000035</v>
      </c>
      <c r="D176" s="57">
        <v>0</v>
      </c>
      <c r="E176" s="57">
        <v>19535754225875.172</v>
      </c>
      <c r="F176" s="57">
        <v>387027.91683000035</v>
      </c>
      <c r="G176" s="57">
        <v>19535754225875.172</v>
      </c>
    </row>
    <row r="177" spans="1:7" ht="11.25" customHeight="1" x14ac:dyDescent="0.2">
      <c r="A177" s="67">
        <v>44531</v>
      </c>
      <c r="B177" s="57">
        <v>0</v>
      </c>
      <c r="C177" s="57">
        <v>445495.48722000042</v>
      </c>
      <c r="D177" s="57">
        <v>0</v>
      </c>
      <c r="E177" s="57">
        <v>22486983415434.656</v>
      </c>
      <c r="F177" s="57">
        <v>445495.48722000042</v>
      </c>
      <c r="G177" s="57">
        <v>22486983415434.656</v>
      </c>
    </row>
    <row r="178" spans="1:7" ht="11.25" customHeight="1" x14ac:dyDescent="0.2">
      <c r="A178" s="67">
        <v>44562</v>
      </c>
      <c r="B178" s="57">
        <v>0</v>
      </c>
      <c r="C178" s="57">
        <v>447989.3489700004</v>
      </c>
      <c r="D178" s="57">
        <v>0</v>
      </c>
      <c r="E178" s="57">
        <v>22612864438747.789</v>
      </c>
      <c r="F178" s="57">
        <v>447989.3489700004</v>
      </c>
      <c r="G178" s="57">
        <v>22612864438747.789</v>
      </c>
    </row>
    <row r="179" spans="1:7" ht="11.25" customHeight="1" x14ac:dyDescent="0.2">
      <c r="A179" s="67">
        <v>44593</v>
      </c>
      <c r="B179" s="57">
        <v>0</v>
      </c>
      <c r="C179" s="57">
        <v>448140.20553000044</v>
      </c>
      <c r="D179" s="57">
        <v>0</v>
      </c>
      <c r="E179" s="57">
        <v>22620479126348.777</v>
      </c>
      <c r="F179" s="57">
        <v>448140.20553000044</v>
      </c>
      <c r="G179" s="57">
        <v>22620479126348.777</v>
      </c>
    </row>
    <row r="180" spans="1:7" ht="11.25" customHeight="1" x14ac:dyDescent="0.2">
      <c r="A180" s="67">
        <v>44621</v>
      </c>
      <c r="B180" s="57">
        <v>0</v>
      </c>
      <c r="C180" s="57">
        <v>555876.0585900005</v>
      </c>
      <c r="D180" s="57">
        <v>0</v>
      </c>
      <c r="E180" s="57">
        <v>28058591094947.777</v>
      </c>
      <c r="F180" s="57">
        <v>555876.0585900005</v>
      </c>
      <c r="G180" s="57">
        <v>28058591094947.777</v>
      </c>
    </row>
    <row r="181" spans="1:7" ht="11.25" customHeight="1" x14ac:dyDescent="0.2">
      <c r="A181" s="67">
        <v>44652</v>
      </c>
      <c r="B181" s="57">
        <v>0</v>
      </c>
      <c r="C181" s="57">
        <v>555876.0585900005</v>
      </c>
      <c r="D181" s="57">
        <v>0</v>
      </c>
      <c r="E181" s="57">
        <v>28058591094947.777</v>
      </c>
      <c r="F181" s="57">
        <v>555876.0585900005</v>
      </c>
      <c r="G181" s="57">
        <v>28058591094947.777</v>
      </c>
    </row>
    <row r="182" spans="1:7" ht="11.25" customHeight="1" x14ac:dyDescent="0.2">
      <c r="A182" s="63" t="s">
        <v>32</v>
      </c>
      <c r="B182" s="57">
        <v>0</v>
      </c>
      <c r="C182" s="57">
        <v>4.5325668907025828E-10</v>
      </c>
      <c r="D182" s="57">
        <v>0</v>
      </c>
      <c r="E182" s="57">
        <v>5.3500243945745745E-3</v>
      </c>
      <c r="F182" s="57">
        <v>4.5325668907025828E-10</v>
      </c>
      <c r="G182" s="57">
        <v>5.3500243945745745E-3</v>
      </c>
    </row>
    <row r="183" spans="1:7" ht="11.25" customHeight="1" x14ac:dyDescent="0.2">
      <c r="A183" s="64" t="s">
        <v>25</v>
      </c>
      <c r="B183" s="57">
        <v>0</v>
      </c>
      <c r="C183" s="57">
        <v>4.5325668907025828E-10</v>
      </c>
      <c r="D183" s="57">
        <v>0</v>
      </c>
      <c r="E183" s="57">
        <v>5.3500243945745745E-3</v>
      </c>
      <c r="F183" s="57">
        <v>4.5325668907025828E-10</v>
      </c>
      <c r="G183" s="57">
        <v>5.3500243945745745E-3</v>
      </c>
    </row>
    <row r="184" spans="1:7" ht="11.25" customHeight="1" x14ac:dyDescent="0.2">
      <c r="A184" s="65" t="s">
        <v>25</v>
      </c>
      <c r="B184" s="57">
        <v>0</v>
      </c>
      <c r="C184" s="57">
        <v>4.5325668907025828E-10</v>
      </c>
      <c r="D184" s="57">
        <v>0</v>
      </c>
      <c r="E184" s="57">
        <v>5.3500243945745745E-3</v>
      </c>
      <c r="F184" s="57">
        <v>4.5325668907025828E-10</v>
      </c>
      <c r="G184" s="57">
        <v>5.3500243945745745E-3</v>
      </c>
    </row>
    <row r="185" spans="1:7" ht="11.25" customHeight="1" x14ac:dyDescent="0.2">
      <c r="A185" s="66" t="s">
        <v>25</v>
      </c>
      <c r="B185" s="57">
        <v>0</v>
      </c>
      <c r="C185" s="57">
        <v>4.5325668907025828E-10</v>
      </c>
      <c r="D185" s="57">
        <v>0</v>
      </c>
      <c r="E185" s="57">
        <v>5.3500243945745745E-3</v>
      </c>
      <c r="F185" s="57">
        <v>4.5325668907025828E-10</v>
      </c>
      <c r="G185" s="57">
        <v>5.3500243945745745E-3</v>
      </c>
    </row>
    <row r="186" spans="1:7" ht="11.25" customHeight="1" x14ac:dyDescent="0.2">
      <c r="A186" s="67">
        <v>44317</v>
      </c>
      <c r="B186" s="57">
        <v>0</v>
      </c>
      <c r="C186" s="57">
        <v>3.5566444012147259E-11</v>
      </c>
      <c r="D186" s="57">
        <v>0</v>
      </c>
      <c r="E186" s="57">
        <v>4.198092332262604E-4</v>
      </c>
      <c r="F186" s="57">
        <v>3.5566444012147259E-11</v>
      </c>
      <c r="G186" s="57">
        <v>4.198092332262604E-4</v>
      </c>
    </row>
    <row r="187" spans="1:7" ht="11.25" customHeight="1" x14ac:dyDescent="0.2">
      <c r="A187" s="67">
        <v>44348</v>
      </c>
      <c r="B187" s="57">
        <v>0</v>
      </c>
      <c r="C187" s="57">
        <v>2.8631859549932415E-11</v>
      </c>
      <c r="D187" s="57">
        <v>0</v>
      </c>
      <c r="E187" s="57">
        <v>3.3795672683481823E-4</v>
      </c>
      <c r="F187" s="57">
        <v>2.8631859549932415E-11</v>
      </c>
      <c r="G187" s="57">
        <v>3.3795672683481823E-4</v>
      </c>
    </row>
    <row r="188" spans="1:7" ht="11.25" customHeight="1" x14ac:dyDescent="0.2">
      <c r="A188" s="67">
        <v>44378</v>
      </c>
      <c r="B188" s="57">
        <v>0</v>
      </c>
      <c r="C188" s="57">
        <v>-6.6877987592306465E-12</v>
      </c>
      <c r="D188" s="57">
        <v>0</v>
      </c>
      <c r="E188" s="57">
        <v>-7.8939566410554131E-5</v>
      </c>
      <c r="F188" s="57">
        <v>-6.6877987592306465E-12</v>
      </c>
      <c r="G188" s="57">
        <v>-7.8939566410554131E-5</v>
      </c>
    </row>
    <row r="189" spans="1:7" ht="11.25" customHeight="1" x14ac:dyDescent="0.2">
      <c r="A189" s="67">
        <v>44409</v>
      </c>
      <c r="B189" s="57">
        <v>0</v>
      </c>
      <c r="C189" s="57">
        <v>2.0519991039691375E-11</v>
      </c>
      <c r="D189" s="57">
        <v>0</v>
      </c>
      <c r="E189" s="57">
        <v>2.4220812463681795E-4</v>
      </c>
      <c r="F189" s="57">
        <v>2.0519991039691375E-11</v>
      </c>
      <c r="G189" s="57">
        <v>2.4220812463681795E-4</v>
      </c>
    </row>
    <row r="190" spans="1:7" ht="11.25" customHeight="1" x14ac:dyDescent="0.2">
      <c r="A190" s="67">
        <v>44440</v>
      </c>
      <c r="B190" s="57">
        <v>0</v>
      </c>
      <c r="C190" s="57">
        <v>2.5201870812452398E-11</v>
      </c>
      <c r="D190" s="57">
        <v>0</v>
      </c>
      <c r="E190" s="57">
        <v>2.9747078617219813E-4</v>
      </c>
      <c r="F190" s="57">
        <v>2.5201870812452398E-11</v>
      </c>
      <c r="G190" s="57">
        <v>2.9747078617219813E-4</v>
      </c>
    </row>
    <row r="191" spans="1:7" ht="11.25" customHeight="1" x14ac:dyDescent="0.2">
      <c r="A191" s="67">
        <v>44470</v>
      </c>
      <c r="B191" s="57">
        <v>0</v>
      </c>
      <c r="C191" s="57">
        <v>3.089959932367492E-11</v>
      </c>
      <c r="D191" s="57">
        <v>0</v>
      </c>
      <c r="E191" s="57">
        <v>3.6472403860898339E-4</v>
      </c>
      <c r="F191" s="57">
        <v>3.089959932367492E-11</v>
      </c>
      <c r="G191" s="57">
        <v>3.6472403860898339E-4</v>
      </c>
    </row>
    <row r="192" spans="1:7" ht="11.25" customHeight="1" x14ac:dyDescent="0.2">
      <c r="A192" s="67">
        <v>44501</v>
      </c>
      <c r="B192" s="57">
        <v>0</v>
      </c>
      <c r="C192" s="57">
        <v>3.8476287045341448E-11</v>
      </c>
      <c r="D192" s="57">
        <v>0</v>
      </c>
      <c r="E192" s="57">
        <v>4.5415562366542869E-4</v>
      </c>
      <c r="F192" s="57">
        <v>3.8476287045341448E-11</v>
      </c>
      <c r="G192" s="57">
        <v>4.5415562366542869E-4</v>
      </c>
    </row>
    <row r="193" spans="1:7" ht="11.25" customHeight="1" x14ac:dyDescent="0.2">
      <c r="A193" s="67">
        <v>44531</v>
      </c>
      <c r="B193" s="57">
        <v>0</v>
      </c>
      <c r="C193" s="57">
        <v>4.9942514124268198E-11</v>
      </c>
      <c r="D193" s="57">
        <v>0</v>
      </c>
      <c r="E193" s="57">
        <v>5.8949746431608213E-4</v>
      </c>
      <c r="F193" s="57">
        <v>4.9942514124268198E-11</v>
      </c>
      <c r="G193" s="57">
        <v>5.8949746431608213E-4</v>
      </c>
    </row>
    <row r="194" spans="1:7" ht="11.25" customHeight="1" x14ac:dyDescent="0.2">
      <c r="A194" s="67">
        <v>44562</v>
      </c>
      <c r="B194" s="57">
        <v>0</v>
      </c>
      <c r="C194" s="57">
        <v>5.1486949814716356E-11</v>
      </c>
      <c r="D194" s="57">
        <v>0</v>
      </c>
      <c r="E194" s="57">
        <v>6.0772724187700081E-4</v>
      </c>
      <c r="F194" s="57">
        <v>5.1486949814716356E-11</v>
      </c>
      <c r="G194" s="57">
        <v>6.0772724187700081E-4</v>
      </c>
    </row>
    <row r="195" spans="1:7" ht="11.25" customHeight="1" x14ac:dyDescent="0.2">
      <c r="A195" s="67">
        <v>44593</v>
      </c>
      <c r="B195" s="57">
        <v>0</v>
      </c>
      <c r="C195" s="57">
        <v>5.0406328000462966E-11</v>
      </c>
      <c r="D195" s="57">
        <v>0</v>
      </c>
      <c r="E195" s="57">
        <v>5.9497210068002468E-4</v>
      </c>
      <c r="F195" s="57">
        <v>5.0406328000462966E-11</v>
      </c>
      <c r="G195" s="57">
        <v>5.9497210068002468E-4</v>
      </c>
    </row>
    <row r="196" spans="1:7" ht="11.25" customHeight="1" x14ac:dyDescent="0.2">
      <c r="A196" s="67">
        <v>44621</v>
      </c>
      <c r="B196" s="57">
        <v>0</v>
      </c>
      <c r="C196" s="57">
        <v>6.44063220534008E-11</v>
      </c>
      <c r="D196" s="57">
        <v>0</v>
      </c>
      <c r="E196" s="57">
        <v>7.6022131048375735E-4</v>
      </c>
      <c r="F196" s="57">
        <v>6.44063220534008E-11</v>
      </c>
      <c r="G196" s="57">
        <v>7.6022131048375735E-4</v>
      </c>
    </row>
    <row r="197" spans="1:7" ht="11.25" customHeight="1" x14ac:dyDescent="0.2">
      <c r="A197" s="67">
        <v>44652</v>
      </c>
      <c r="B197" s="57">
        <v>0</v>
      </c>
      <c r="C197" s="57">
        <v>6.44063220534008E-11</v>
      </c>
      <c r="D197" s="57">
        <v>0</v>
      </c>
      <c r="E197" s="57">
        <v>7.6022131048375735E-4</v>
      </c>
      <c r="F197" s="57">
        <v>6.44063220534008E-11</v>
      </c>
      <c r="G197" s="57">
        <v>7.6022131048375735E-4</v>
      </c>
    </row>
    <row r="198" spans="1:7" ht="11.25" customHeight="1" x14ac:dyDescent="0.2">
      <c r="A198" s="59" t="s">
        <v>950</v>
      </c>
      <c r="B198" s="57">
        <v>19233401.476421546</v>
      </c>
      <c r="C198" s="57">
        <v>14125270.164952483</v>
      </c>
      <c r="D198" s="57">
        <v>24728711.094010819</v>
      </c>
      <c r="E198" s="57">
        <v>260756966191145.38</v>
      </c>
      <c r="F198" s="57">
        <v>33358671.641374029</v>
      </c>
      <c r="G198" s="57">
        <v>260756990919856.47</v>
      </c>
    </row>
    <row r="199" spans="1:7" ht="11.25" customHeight="1" x14ac:dyDescent="0.2">
      <c r="A199" s="60" t="s">
        <v>41</v>
      </c>
      <c r="B199" s="57">
        <v>2756919.5688100006</v>
      </c>
      <c r="C199" s="57">
        <v>0</v>
      </c>
      <c r="D199" s="57">
        <v>3853937.600196098</v>
      </c>
      <c r="E199" s="57">
        <v>0</v>
      </c>
      <c r="F199" s="57">
        <v>2756919.5688100006</v>
      </c>
      <c r="G199" s="57">
        <v>3853937.600196098</v>
      </c>
    </row>
    <row r="200" spans="1:7" ht="11.25" customHeight="1" x14ac:dyDescent="0.2">
      <c r="A200" s="61" t="s">
        <v>42</v>
      </c>
      <c r="B200" s="57">
        <v>2756919.5688100006</v>
      </c>
      <c r="C200" s="57">
        <v>0</v>
      </c>
      <c r="D200" s="57">
        <v>3853937.600196098</v>
      </c>
      <c r="E200" s="57">
        <v>0</v>
      </c>
      <c r="F200" s="57">
        <v>2756919.5688100006</v>
      </c>
      <c r="G200" s="57">
        <v>3853937.600196098</v>
      </c>
    </row>
    <row r="201" spans="1:7" ht="11.25" customHeight="1" x14ac:dyDescent="0.2">
      <c r="A201" s="62" t="s">
        <v>40</v>
      </c>
      <c r="B201" s="57">
        <v>2756919.5688100006</v>
      </c>
      <c r="C201" s="57">
        <v>0</v>
      </c>
      <c r="D201" s="57">
        <v>3853937.600196098</v>
      </c>
      <c r="E201" s="57">
        <v>0</v>
      </c>
      <c r="F201" s="57">
        <v>2756919.5688100006</v>
      </c>
      <c r="G201" s="57">
        <v>3853937.600196098</v>
      </c>
    </row>
    <row r="202" spans="1:7" ht="11.25" customHeight="1" x14ac:dyDescent="0.2">
      <c r="A202" s="63" t="s">
        <v>25</v>
      </c>
      <c r="B202" s="57">
        <v>2756919.5688100006</v>
      </c>
      <c r="C202" s="57">
        <v>0</v>
      </c>
      <c r="D202" s="57">
        <v>3853937.600196098</v>
      </c>
      <c r="E202" s="57">
        <v>0</v>
      </c>
      <c r="F202" s="57">
        <v>2756919.5688100006</v>
      </c>
      <c r="G202" s="57">
        <v>3853937.600196098</v>
      </c>
    </row>
    <row r="203" spans="1:7" ht="11.25" customHeight="1" x14ac:dyDescent="0.2">
      <c r="A203" s="64" t="s">
        <v>60</v>
      </c>
      <c r="B203" s="57">
        <v>2756919.5688100006</v>
      </c>
      <c r="C203" s="57">
        <v>0</v>
      </c>
      <c r="D203" s="57">
        <v>3853937.600196098</v>
      </c>
      <c r="E203" s="57">
        <v>0</v>
      </c>
      <c r="F203" s="57">
        <v>2756919.5688100006</v>
      </c>
      <c r="G203" s="57">
        <v>3853937.600196098</v>
      </c>
    </row>
    <row r="204" spans="1:7" ht="11.25" customHeight="1" x14ac:dyDescent="0.2">
      <c r="A204" s="65" t="s">
        <v>25</v>
      </c>
      <c r="B204" s="57">
        <v>2756919.5688100006</v>
      </c>
      <c r="C204" s="57">
        <v>0</v>
      </c>
      <c r="D204" s="57">
        <v>3853937.600196098</v>
      </c>
      <c r="E204" s="57">
        <v>0</v>
      </c>
      <c r="F204" s="57">
        <v>2756919.5688100006</v>
      </c>
      <c r="G204" s="57">
        <v>3853937.600196098</v>
      </c>
    </row>
    <row r="205" spans="1:7" ht="11.25" customHeight="1" x14ac:dyDescent="0.2">
      <c r="A205" s="66" t="s">
        <v>36</v>
      </c>
      <c r="B205" s="57">
        <v>1145319.5166430001</v>
      </c>
      <c r="C205" s="57">
        <v>0</v>
      </c>
      <c r="D205" s="57">
        <v>1660994.8301901899</v>
      </c>
      <c r="E205" s="57">
        <v>0</v>
      </c>
      <c r="F205" s="57">
        <v>1145319.5166430001</v>
      </c>
      <c r="G205" s="57">
        <v>1660994.8301901899</v>
      </c>
    </row>
    <row r="206" spans="1:7" ht="11.25" customHeight="1" x14ac:dyDescent="0.2">
      <c r="A206" s="67">
        <v>44317</v>
      </c>
      <c r="B206" s="57">
        <v>106450.756643</v>
      </c>
      <c r="C206" s="57">
        <v>0</v>
      </c>
      <c r="D206" s="57">
        <v>154379.76379910985</v>
      </c>
      <c r="E206" s="57">
        <v>0</v>
      </c>
      <c r="F206" s="57">
        <v>106450.756643</v>
      </c>
      <c r="G206" s="57">
        <v>154379.76379910985</v>
      </c>
    </row>
    <row r="207" spans="1:7" ht="11.25" customHeight="1" x14ac:dyDescent="0.2">
      <c r="A207" s="67">
        <v>44348</v>
      </c>
      <c r="B207" s="57">
        <v>106524.712</v>
      </c>
      <c r="C207" s="57">
        <v>0</v>
      </c>
      <c r="D207" s="57">
        <v>154487.01724573047</v>
      </c>
      <c r="E207" s="57">
        <v>0</v>
      </c>
      <c r="F207" s="57">
        <v>106524.712</v>
      </c>
      <c r="G207" s="57">
        <v>154487.01724573047</v>
      </c>
    </row>
    <row r="208" spans="1:7" ht="11.25" customHeight="1" x14ac:dyDescent="0.2">
      <c r="A208" s="67">
        <v>44378</v>
      </c>
      <c r="B208" s="57">
        <v>106524.712</v>
      </c>
      <c r="C208" s="57">
        <v>0</v>
      </c>
      <c r="D208" s="57">
        <v>154487.01724573047</v>
      </c>
      <c r="E208" s="57">
        <v>0</v>
      </c>
      <c r="F208" s="57">
        <v>106524.712</v>
      </c>
      <c r="G208" s="57">
        <v>154487.01724573047</v>
      </c>
    </row>
    <row r="209" spans="1:7" ht="11.25" customHeight="1" x14ac:dyDescent="0.2">
      <c r="A209" s="67">
        <v>44409</v>
      </c>
      <c r="B209" s="57">
        <v>106599.33899999999</v>
      </c>
      <c r="C209" s="57">
        <v>0</v>
      </c>
      <c r="D209" s="57">
        <v>154595.24473979775</v>
      </c>
      <c r="E209" s="57">
        <v>0</v>
      </c>
      <c r="F209" s="57">
        <v>106599.33899999999</v>
      </c>
      <c r="G209" s="57">
        <v>154595.24473979775</v>
      </c>
    </row>
    <row r="210" spans="1:7" ht="11.25" customHeight="1" x14ac:dyDescent="0.2">
      <c r="A210" s="67">
        <v>44440</v>
      </c>
      <c r="B210" s="57">
        <v>106524.712</v>
      </c>
      <c r="C210" s="57">
        <v>0</v>
      </c>
      <c r="D210" s="57">
        <v>154487.01724573047</v>
      </c>
      <c r="E210" s="57">
        <v>0</v>
      </c>
      <c r="F210" s="57">
        <v>106524.712</v>
      </c>
      <c r="G210" s="57">
        <v>154487.01724573047</v>
      </c>
    </row>
    <row r="211" spans="1:7" ht="11.25" customHeight="1" x14ac:dyDescent="0.2">
      <c r="A211" s="67">
        <v>44470</v>
      </c>
      <c r="B211" s="57">
        <v>106610</v>
      </c>
      <c r="C211" s="57">
        <v>0</v>
      </c>
      <c r="D211" s="57">
        <v>154610.7058103788</v>
      </c>
      <c r="E211" s="57">
        <v>0</v>
      </c>
      <c r="F211" s="57">
        <v>106610</v>
      </c>
      <c r="G211" s="57">
        <v>154610.7058103788</v>
      </c>
    </row>
    <row r="212" spans="1:7" ht="11.25" customHeight="1" x14ac:dyDescent="0.2">
      <c r="A212" s="67">
        <v>44501</v>
      </c>
      <c r="B212" s="57">
        <v>106610</v>
      </c>
      <c r="C212" s="57">
        <v>0</v>
      </c>
      <c r="D212" s="57">
        <v>154610.7058103788</v>
      </c>
      <c r="E212" s="57">
        <v>0</v>
      </c>
      <c r="F212" s="57">
        <v>106610</v>
      </c>
      <c r="G212" s="57">
        <v>154610.7058103788</v>
      </c>
    </row>
    <row r="213" spans="1:7" ht="11.25" customHeight="1" x14ac:dyDescent="0.2">
      <c r="A213" s="67">
        <v>44531</v>
      </c>
      <c r="B213" s="57">
        <v>104645.33</v>
      </c>
      <c r="C213" s="57">
        <v>0</v>
      </c>
      <c r="D213" s="57">
        <v>151761.45137473039</v>
      </c>
      <c r="E213" s="57">
        <v>0</v>
      </c>
      <c r="F213" s="57">
        <v>104645.33</v>
      </c>
      <c r="G213" s="57">
        <v>151761.45137473039</v>
      </c>
    </row>
    <row r="214" spans="1:7" ht="11.25" customHeight="1" x14ac:dyDescent="0.2">
      <c r="A214" s="67">
        <v>44562</v>
      </c>
      <c r="B214" s="57">
        <v>53472.53</v>
      </c>
      <c r="C214" s="57">
        <v>0</v>
      </c>
      <c r="D214" s="57">
        <v>77548.312585748557</v>
      </c>
      <c r="E214" s="57">
        <v>0</v>
      </c>
      <c r="F214" s="57">
        <v>53472.53</v>
      </c>
      <c r="G214" s="57">
        <v>77548.312585748557</v>
      </c>
    </row>
    <row r="215" spans="1:7" ht="11.25" customHeight="1" x14ac:dyDescent="0.2">
      <c r="A215" s="67">
        <v>44593</v>
      </c>
      <c r="B215" s="57">
        <v>80452.475000000006</v>
      </c>
      <c r="C215" s="57">
        <v>0</v>
      </c>
      <c r="D215" s="57">
        <v>116675.864777618</v>
      </c>
      <c r="E215" s="57">
        <v>0</v>
      </c>
      <c r="F215" s="57">
        <v>80452.475000000006</v>
      </c>
      <c r="G215" s="57">
        <v>116675.864777618</v>
      </c>
    </row>
    <row r="216" spans="1:7" ht="11.25" customHeight="1" x14ac:dyDescent="0.2">
      <c r="A216" s="67">
        <v>44621</v>
      </c>
      <c r="B216" s="57">
        <v>80452.475000000006</v>
      </c>
      <c r="C216" s="57">
        <v>0</v>
      </c>
      <c r="D216" s="57">
        <v>116675.864777618</v>
      </c>
      <c r="E216" s="57">
        <v>0</v>
      </c>
      <c r="F216" s="57">
        <v>80452.475000000006</v>
      </c>
      <c r="G216" s="57">
        <v>116675.864777618</v>
      </c>
    </row>
    <row r="217" spans="1:7" ht="11.25" customHeight="1" x14ac:dyDescent="0.2">
      <c r="A217" s="67">
        <v>44652</v>
      </c>
      <c r="B217" s="57">
        <v>80452.475000000006</v>
      </c>
      <c r="C217" s="57">
        <v>0</v>
      </c>
      <c r="D217" s="57">
        <v>116675.864777618</v>
      </c>
      <c r="E217" s="57">
        <v>0</v>
      </c>
      <c r="F217" s="57">
        <v>80452.475000000006</v>
      </c>
      <c r="G217" s="57">
        <v>116675.864777618</v>
      </c>
    </row>
    <row r="218" spans="1:7" ht="11.25" customHeight="1" x14ac:dyDescent="0.2">
      <c r="A218" s="66" t="s">
        <v>25</v>
      </c>
      <c r="B218" s="57">
        <v>0</v>
      </c>
      <c r="C218" s="57">
        <v>0</v>
      </c>
      <c r="D218" s="57">
        <v>0</v>
      </c>
      <c r="E218" s="57">
        <v>0</v>
      </c>
      <c r="F218" s="57">
        <v>0</v>
      </c>
      <c r="G218" s="57">
        <v>0</v>
      </c>
    </row>
    <row r="219" spans="1:7" ht="11.25" customHeight="1" x14ac:dyDescent="0.2">
      <c r="A219" s="67">
        <v>44317</v>
      </c>
      <c r="B219" s="57">
        <v>0</v>
      </c>
      <c r="C219" s="57">
        <v>0</v>
      </c>
      <c r="D219" s="57">
        <v>0</v>
      </c>
      <c r="E219" s="57">
        <v>0</v>
      </c>
      <c r="F219" s="57">
        <v>0</v>
      </c>
      <c r="G219" s="57">
        <v>0</v>
      </c>
    </row>
    <row r="220" spans="1:7" ht="11.25" customHeight="1" x14ac:dyDescent="0.2">
      <c r="A220" s="67">
        <v>44348</v>
      </c>
      <c r="B220" s="57">
        <v>0</v>
      </c>
      <c r="C220" s="57">
        <v>0</v>
      </c>
      <c r="D220" s="57">
        <v>0</v>
      </c>
      <c r="E220" s="57">
        <v>0</v>
      </c>
      <c r="F220" s="57">
        <v>0</v>
      </c>
      <c r="G220" s="57">
        <v>0</v>
      </c>
    </row>
    <row r="221" spans="1:7" ht="11.25" customHeight="1" x14ac:dyDescent="0.2">
      <c r="A221" s="67">
        <v>44378</v>
      </c>
      <c r="B221" s="57">
        <v>0</v>
      </c>
      <c r="C221" s="57">
        <v>0</v>
      </c>
      <c r="D221" s="57">
        <v>0</v>
      </c>
      <c r="E221" s="57">
        <v>0</v>
      </c>
      <c r="F221" s="57">
        <v>0</v>
      </c>
      <c r="G221" s="57">
        <v>0</v>
      </c>
    </row>
    <row r="222" spans="1:7" ht="11.25" customHeight="1" x14ac:dyDescent="0.2">
      <c r="A222" s="67">
        <v>44409</v>
      </c>
      <c r="B222" s="57">
        <v>0</v>
      </c>
      <c r="C222" s="57">
        <v>0</v>
      </c>
      <c r="D222" s="57">
        <v>0</v>
      </c>
      <c r="E222" s="57">
        <v>0</v>
      </c>
      <c r="F222" s="57">
        <v>0</v>
      </c>
      <c r="G222" s="57">
        <v>0</v>
      </c>
    </row>
    <row r="223" spans="1:7" ht="11.25" customHeight="1" x14ac:dyDescent="0.2">
      <c r="A223" s="67">
        <v>44440</v>
      </c>
      <c r="B223" s="57">
        <v>0</v>
      </c>
      <c r="C223" s="57">
        <v>0</v>
      </c>
      <c r="D223" s="57">
        <v>0</v>
      </c>
      <c r="E223" s="57">
        <v>0</v>
      </c>
      <c r="F223" s="57">
        <v>0</v>
      </c>
      <c r="G223" s="57">
        <v>0</v>
      </c>
    </row>
    <row r="224" spans="1:7" ht="11.25" customHeight="1" x14ac:dyDescent="0.2">
      <c r="A224" s="67">
        <v>44470</v>
      </c>
      <c r="B224" s="57">
        <v>0</v>
      </c>
      <c r="C224" s="57">
        <v>0</v>
      </c>
      <c r="D224" s="57">
        <v>0</v>
      </c>
      <c r="E224" s="57">
        <v>0</v>
      </c>
      <c r="F224" s="57">
        <v>0</v>
      </c>
      <c r="G224" s="57">
        <v>0</v>
      </c>
    </row>
    <row r="225" spans="1:7" ht="11.25" customHeight="1" x14ac:dyDescent="0.2">
      <c r="A225" s="67">
        <v>44501</v>
      </c>
      <c r="B225" s="57">
        <v>0</v>
      </c>
      <c r="C225" s="57">
        <v>0</v>
      </c>
      <c r="D225" s="57">
        <v>0</v>
      </c>
      <c r="E225" s="57">
        <v>0</v>
      </c>
      <c r="F225" s="57">
        <v>0</v>
      </c>
      <c r="G225" s="57">
        <v>0</v>
      </c>
    </row>
    <row r="226" spans="1:7" ht="11.25" customHeight="1" x14ac:dyDescent="0.2">
      <c r="A226" s="67">
        <v>44531</v>
      </c>
      <c r="B226" s="57">
        <v>0</v>
      </c>
      <c r="C226" s="57">
        <v>0</v>
      </c>
      <c r="D226" s="57">
        <v>0</v>
      </c>
      <c r="E226" s="57">
        <v>0</v>
      </c>
      <c r="F226" s="57">
        <v>0</v>
      </c>
      <c r="G226" s="57">
        <v>0</v>
      </c>
    </row>
    <row r="227" spans="1:7" ht="11.25" customHeight="1" x14ac:dyDescent="0.2">
      <c r="A227" s="67">
        <v>44562</v>
      </c>
      <c r="B227" s="57">
        <v>0</v>
      </c>
      <c r="C227" s="57">
        <v>0</v>
      </c>
      <c r="D227" s="57">
        <v>0</v>
      </c>
      <c r="E227" s="57">
        <v>0</v>
      </c>
      <c r="F227" s="57">
        <v>0</v>
      </c>
      <c r="G227" s="57">
        <v>0</v>
      </c>
    </row>
    <row r="228" spans="1:7" ht="11.25" customHeight="1" x14ac:dyDescent="0.2">
      <c r="A228" s="67">
        <v>44593</v>
      </c>
      <c r="B228" s="57">
        <v>0</v>
      </c>
      <c r="C228" s="57">
        <v>0</v>
      </c>
      <c r="D228" s="57">
        <v>0</v>
      </c>
      <c r="E228" s="57">
        <v>0</v>
      </c>
      <c r="F228" s="57">
        <v>0</v>
      </c>
      <c r="G228" s="57">
        <v>0</v>
      </c>
    </row>
    <row r="229" spans="1:7" ht="11.25" customHeight="1" x14ac:dyDescent="0.2">
      <c r="A229" s="67">
        <v>44621</v>
      </c>
      <c r="B229" s="57">
        <v>0</v>
      </c>
      <c r="C229" s="57">
        <v>0</v>
      </c>
      <c r="D229" s="57">
        <v>0</v>
      </c>
      <c r="E229" s="57">
        <v>0</v>
      </c>
      <c r="F229" s="57">
        <v>0</v>
      </c>
      <c r="G229" s="57">
        <v>0</v>
      </c>
    </row>
    <row r="230" spans="1:7" ht="11.25" customHeight="1" x14ac:dyDescent="0.2">
      <c r="A230" s="67">
        <v>44652</v>
      </c>
      <c r="B230" s="57">
        <v>0</v>
      </c>
      <c r="C230" s="57">
        <v>0</v>
      </c>
      <c r="D230" s="57">
        <v>0</v>
      </c>
      <c r="E230" s="57">
        <v>0</v>
      </c>
      <c r="F230" s="57">
        <v>0</v>
      </c>
      <c r="G230" s="57">
        <v>0</v>
      </c>
    </row>
    <row r="231" spans="1:7" ht="11.25" customHeight="1" x14ac:dyDescent="0.2">
      <c r="A231" s="66" t="s">
        <v>35</v>
      </c>
      <c r="B231" s="57">
        <v>1611600.052167</v>
      </c>
      <c r="C231" s="57">
        <v>0</v>
      </c>
      <c r="D231" s="57">
        <v>2192942.7700059069</v>
      </c>
      <c r="E231" s="57">
        <v>0</v>
      </c>
      <c r="F231" s="57">
        <v>1611600.052167</v>
      </c>
      <c r="G231" s="57">
        <v>2192942.7700059069</v>
      </c>
    </row>
    <row r="232" spans="1:7" ht="11.25" customHeight="1" x14ac:dyDescent="0.2">
      <c r="A232" s="67">
        <v>44317</v>
      </c>
      <c r="B232" s="57">
        <v>132102.382167</v>
      </c>
      <c r="C232" s="57">
        <v>0</v>
      </c>
      <c r="D232" s="57">
        <v>179754.873725743</v>
      </c>
      <c r="E232" s="57">
        <v>0</v>
      </c>
      <c r="F232" s="57">
        <v>132102.382167</v>
      </c>
      <c r="G232" s="57">
        <v>179754.873725743</v>
      </c>
    </row>
    <row r="233" spans="1:7" ht="11.25" customHeight="1" x14ac:dyDescent="0.2">
      <c r="A233" s="67">
        <v>44348</v>
      </c>
      <c r="B233" s="57">
        <v>132194.16</v>
      </c>
      <c r="C233" s="57">
        <v>0</v>
      </c>
      <c r="D233" s="57">
        <v>179879.75802011462</v>
      </c>
      <c r="E233" s="57">
        <v>0</v>
      </c>
      <c r="F233" s="57">
        <v>132194.16</v>
      </c>
      <c r="G233" s="57">
        <v>179879.75802011462</v>
      </c>
    </row>
    <row r="234" spans="1:7" ht="11.25" customHeight="1" x14ac:dyDescent="0.2">
      <c r="A234" s="67">
        <v>44378</v>
      </c>
      <c r="B234" s="57">
        <v>132194.16</v>
      </c>
      <c r="C234" s="57">
        <v>0</v>
      </c>
      <c r="D234" s="57">
        <v>179879.75802011462</v>
      </c>
      <c r="E234" s="57">
        <v>0</v>
      </c>
      <c r="F234" s="57">
        <v>132194.16</v>
      </c>
      <c r="G234" s="57">
        <v>179879.75802011462</v>
      </c>
    </row>
    <row r="235" spans="1:7" ht="11.25" customHeight="1" x14ac:dyDescent="0.2">
      <c r="A235" s="67">
        <v>44409</v>
      </c>
      <c r="B235" s="57">
        <v>132286.76999999999</v>
      </c>
      <c r="C235" s="57">
        <v>0</v>
      </c>
      <c r="D235" s="57">
        <v>180005.7746640438</v>
      </c>
      <c r="E235" s="57">
        <v>0</v>
      </c>
      <c r="F235" s="57">
        <v>132286.76999999999</v>
      </c>
      <c r="G235" s="57">
        <v>180005.7746640438</v>
      </c>
    </row>
    <row r="236" spans="1:7" ht="11.25" customHeight="1" x14ac:dyDescent="0.2">
      <c r="A236" s="67">
        <v>44440</v>
      </c>
      <c r="B236" s="57">
        <v>132194.16</v>
      </c>
      <c r="C236" s="57">
        <v>0</v>
      </c>
      <c r="D236" s="57">
        <v>179879.75802011462</v>
      </c>
      <c r="E236" s="57">
        <v>0</v>
      </c>
      <c r="F236" s="57">
        <v>132194.16</v>
      </c>
      <c r="G236" s="57">
        <v>179879.75802011462</v>
      </c>
    </row>
    <row r="237" spans="1:7" ht="11.25" customHeight="1" x14ac:dyDescent="0.2">
      <c r="A237" s="67">
        <v>44470</v>
      </c>
      <c r="B237" s="57">
        <v>132300</v>
      </c>
      <c r="C237" s="57">
        <v>0</v>
      </c>
      <c r="D237" s="57">
        <v>180023.77704174802</v>
      </c>
      <c r="E237" s="57">
        <v>0</v>
      </c>
      <c r="F237" s="57">
        <v>132300</v>
      </c>
      <c r="G237" s="57">
        <v>180023.77704174802</v>
      </c>
    </row>
    <row r="238" spans="1:7" ht="11.25" customHeight="1" x14ac:dyDescent="0.2">
      <c r="A238" s="67">
        <v>44501</v>
      </c>
      <c r="B238" s="57">
        <v>132300</v>
      </c>
      <c r="C238" s="57">
        <v>0</v>
      </c>
      <c r="D238" s="57">
        <v>180023.77704174802</v>
      </c>
      <c r="E238" s="57">
        <v>0</v>
      </c>
      <c r="F238" s="57">
        <v>132300</v>
      </c>
      <c r="G238" s="57">
        <v>180023.77704174802</v>
      </c>
    </row>
    <row r="239" spans="1:7" ht="11.25" customHeight="1" x14ac:dyDescent="0.2">
      <c r="A239" s="67">
        <v>44531</v>
      </c>
      <c r="B239" s="57">
        <v>177136.47</v>
      </c>
      <c r="C239" s="57">
        <v>0</v>
      </c>
      <c r="D239" s="57">
        <v>241033.83508119642</v>
      </c>
      <c r="E239" s="57">
        <v>0</v>
      </c>
      <c r="F239" s="57">
        <v>177136.47</v>
      </c>
      <c r="G239" s="57">
        <v>241033.83508119642</v>
      </c>
    </row>
    <row r="240" spans="1:7" ht="11.25" customHeight="1" x14ac:dyDescent="0.2">
      <c r="A240" s="67">
        <v>44562</v>
      </c>
      <c r="B240" s="57">
        <v>89567.1</v>
      </c>
      <c r="C240" s="57">
        <v>0</v>
      </c>
      <c r="D240" s="57">
        <v>121876.09705726341</v>
      </c>
      <c r="E240" s="57">
        <v>0</v>
      </c>
      <c r="F240" s="57">
        <v>89567.1</v>
      </c>
      <c r="G240" s="57">
        <v>121876.09705726341</v>
      </c>
    </row>
    <row r="241" spans="1:7" ht="11.25" customHeight="1" x14ac:dyDescent="0.2">
      <c r="A241" s="67">
        <v>44593</v>
      </c>
      <c r="B241" s="57">
        <v>139774.95000000001</v>
      </c>
      <c r="C241" s="57">
        <v>0</v>
      </c>
      <c r="D241" s="57">
        <v>190195.12044460679</v>
      </c>
      <c r="E241" s="57">
        <v>0</v>
      </c>
      <c r="F241" s="57">
        <v>139774.95000000001</v>
      </c>
      <c r="G241" s="57">
        <v>190195.12044460679</v>
      </c>
    </row>
    <row r="242" spans="1:7" ht="11.25" customHeight="1" x14ac:dyDescent="0.2">
      <c r="A242" s="67">
        <v>44621</v>
      </c>
      <c r="B242" s="57">
        <v>139774.95000000001</v>
      </c>
      <c r="C242" s="57">
        <v>0</v>
      </c>
      <c r="D242" s="57">
        <v>190195.12044460679</v>
      </c>
      <c r="E242" s="57">
        <v>0</v>
      </c>
      <c r="F242" s="57">
        <v>139774.95000000001</v>
      </c>
      <c r="G242" s="57">
        <v>190195.12044460679</v>
      </c>
    </row>
    <row r="243" spans="1:7" ht="11.25" customHeight="1" x14ac:dyDescent="0.2">
      <c r="A243" s="67">
        <v>44652</v>
      </c>
      <c r="B243" s="57">
        <v>139774.95000000001</v>
      </c>
      <c r="C243" s="57">
        <v>0</v>
      </c>
      <c r="D243" s="57">
        <v>190195.12044460679</v>
      </c>
      <c r="E243" s="57">
        <v>0</v>
      </c>
      <c r="F243" s="57">
        <v>139774.95000000001</v>
      </c>
      <c r="G243" s="57">
        <v>190195.12044460679</v>
      </c>
    </row>
    <row r="244" spans="1:7" ht="11.25" customHeight="1" x14ac:dyDescent="0.2">
      <c r="A244" s="60" t="s">
        <v>33</v>
      </c>
      <c r="B244" s="57">
        <v>16476481.907611547</v>
      </c>
      <c r="C244" s="57">
        <v>14125270.164952483</v>
      </c>
      <c r="D244" s="57">
        <v>20874773.493814722</v>
      </c>
      <c r="E244" s="57">
        <v>260756966191145.38</v>
      </c>
      <c r="F244" s="57">
        <v>30601752.072564028</v>
      </c>
      <c r="G244" s="57">
        <v>260756987065918.88</v>
      </c>
    </row>
    <row r="245" spans="1:7" ht="11.25" customHeight="1" x14ac:dyDescent="0.2">
      <c r="A245" s="61" t="s">
        <v>42</v>
      </c>
      <c r="B245" s="57">
        <v>9534978.8994338755</v>
      </c>
      <c r="C245" s="57">
        <v>0</v>
      </c>
      <c r="D245" s="57">
        <v>11996532.929598607</v>
      </c>
      <c r="E245" s="57">
        <v>0</v>
      </c>
      <c r="F245" s="57">
        <v>9534978.8994338755</v>
      </c>
      <c r="G245" s="57">
        <v>11996532.929598607</v>
      </c>
    </row>
    <row r="246" spans="1:7" ht="11.25" customHeight="1" x14ac:dyDescent="0.2">
      <c r="A246" s="62" t="s">
        <v>40</v>
      </c>
      <c r="B246" s="57">
        <v>9534978.8994338755</v>
      </c>
      <c r="C246" s="57">
        <v>0</v>
      </c>
      <c r="D246" s="57">
        <v>11996532.929598607</v>
      </c>
      <c r="E246" s="57">
        <v>0</v>
      </c>
      <c r="F246" s="57">
        <v>9534978.8994338755</v>
      </c>
      <c r="G246" s="57">
        <v>11996532.929598607</v>
      </c>
    </row>
    <row r="247" spans="1:7" ht="11.25" customHeight="1" x14ac:dyDescent="0.2">
      <c r="A247" s="63" t="s">
        <v>25</v>
      </c>
      <c r="B247" s="57">
        <v>9534978.8994338755</v>
      </c>
      <c r="C247" s="57">
        <v>0</v>
      </c>
      <c r="D247" s="57">
        <v>11996532.929598607</v>
      </c>
      <c r="E247" s="57">
        <v>0</v>
      </c>
      <c r="F247" s="57">
        <v>9534978.8994338755</v>
      </c>
      <c r="G247" s="57">
        <v>11996532.929598607</v>
      </c>
    </row>
    <row r="248" spans="1:7" ht="11.25" customHeight="1" x14ac:dyDescent="0.2">
      <c r="A248" s="64" t="s">
        <v>60</v>
      </c>
      <c r="B248" s="57">
        <v>9534978.8994338755</v>
      </c>
      <c r="C248" s="57">
        <v>0</v>
      </c>
      <c r="D248" s="57">
        <v>11996532.929598607</v>
      </c>
      <c r="E248" s="57">
        <v>0</v>
      </c>
      <c r="F248" s="57">
        <v>9534978.8994338755</v>
      </c>
      <c r="G248" s="57">
        <v>11996532.929598607</v>
      </c>
    </row>
    <row r="249" spans="1:7" ht="11.25" customHeight="1" x14ac:dyDescent="0.2">
      <c r="A249" s="65" t="s">
        <v>25</v>
      </c>
      <c r="B249" s="57">
        <v>9534978.8994338755</v>
      </c>
      <c r="C249" s="57">
        <v>0</v>
      </c>
      <c r="D249" s="57">
        <v>11996532.929598607</v>
      </c>
      <c r="E249" s="57">
        <v>0</v>
      </c>
      <c r="F249" s="57">
        <v>9534978.8994338755</v>
      </c>
      <c r="G249" s="57">
        <v>11996532.929598607</v>
      </c>
    </row>
    <row r="250" spans="1:7" ht="11.25" customHeight="1" x14ac:dyDescent="0.2">
      <c r="A250" s="66" t="s">
        <v>36</v>
      </c>
      <c r="B250" s="57">
        <v>2635040.6493253484</v>
      </c>
      <c r="C250" s="57">
        <v>0</v>
      </c>
      <c r="D250" s="57">
        <v>3370239.0899547203</v>
      </c>
      <c r="E250" s="57">
        <v>0</v>
      </c>
      <c r="F250" s="57">
        <v>2635040.6493253484</v>
      </c>
      <c r="G250" s="57">
        <v>3370239.0899547203</v>
      </c>
    </row>
    <row r="251" spans="1:7" ht="11.25" customHeight="1" x14ac:dyDescent="0.2">
      <c r="A251" s="67">
        <v>44317</v>
      </c>
      <c r="B251" s="57">
        <v>160780.98735679503</v>
      </c>
      <c r="C251" s="57">
        <v>0</v>
      </c>
      <c r="D251" s="57">
        <v>205640.23126175371</v>
      </c>
      <c r="E251" s="57">
        <v>0</v>
      </c>
      <c r="F251" s="57">
        <v>160780.98735679503</v>
      </c>
      <c r="G251" s="57">
        <v>205640.23126175371</v>
      </c>
    </row>
    <row r="252" spans="1:7" ht="11.25" customHeight="1" x14ac:dyDescent="0.2">
      <c r="A252" s="67">
        <v>44348</v>
      </c>
      <c r="B252" s="57">
        <v>167622.27488594301</v>
      </c>
      <c r="C252" s="57">
        <v>0</v>
      </c>
      <c r="D252" s="57">
        <v>214390.29538780713</v>
      </c>
      <c r="E252" s="57">
        <v>0</v>
      </c>
      <c r="F252" s="57">
        <v>167622.27488594301</v>
      </c>
      <c r="G252" s="57">
        <v>214390.29538780713</v>
      </c>
    </row>
    <row r="253" spans="1:7" ht="11.25" customHeight="1" x14ac:dyDescent="0.2">
      <c r="A253" s="67">
        <v>44378</v>
      </c>
      <c r="B253" s="57">
        <v>189273.80388990004</v>
      </c>
      <c r="C253" s="57">
        <v>0</v>
      </c>
      <c r="D253" s="57">
        <v>242082.78257016127</v>
      </c>
      <c r="E253" s="57">
        <v>0</v>
      </c>
      <c r="F253" s="57">
        <v>189273.80388990004</v>
      </c>
      <c r="G253" s="57">
        <v>242082.78257016127</v>
      </c>
    </row>
    <row r="254" spans="1:7" ht="11.25" customHeight="1" x14ac:dyDescent="0.2">
      <c r="A254" s="67">
        <v>44409</v>
      </c>
      <c r="B254" s="57">
        <v>207607.77345127202</v>
      </c>
      <c r="C254" s="57">
        <v>0</v>
      </c>
      <c r="D254" s="57">
        <v>265532.08340185659</v>
      </c>
      <c r="E254" s="57">
        <v>0</v>
      </c>
      <c r="F254" s="57">
        <v>207607.77345127202</v>
      </c>
      <c r="G254" s="57">
        <v>265532.08340185659</v>
      </c>
    </row>
    <row r="255" spans="1:7" ht="11.25" customHeight="1" x14ac:dyDescent="0.2">
      <c r="A255" s="67">
        <v>44440</v>
      </c>
      <c r="B255" s="57">
        <v>223756.40587413602</v>
      </c>
      <c r="C255" s="57">
        <v>0</v>
      </c>
      <c r="D255" s="57">
        <v>286186.31970549043</v>
      </c>
      <c r="E255" s="57">
        <v>0</v>
      </c>
      <c r="F255" s="57">
        <v>223756.40587413602</v>
      </c>
      <c r="G255" s="57">
        <v>286186.31970549043</v>
      </c>
    </row>
    <row r="256" spans="1:7" ht="11.25" customHeight="1" x14ac:dyDescent="0.2">
      <c r="A256" s="67">
        <v>44470</v>
      </c>
      <c r="B256" s="57">
        <v>225218.87561180003</v>
      </c>
      <c r="C256" s="57">
        <v>0</v>
      </c>
      <c r="D256" s="57">
        <v>288056.83076535322</v>
      </c>
      <c r="E256" s="57">
        <v>0</v>
      </c>
      <c r="F256" s="57">
        <v>225218.87561180003</v>
      </c>
      <c r="G256" s="57">
        <v>288056.83076535322</v>
      </c>
    </row>
    <row r="257" spans="1:7" ht="11.25" customHeight="1" x14ac:dyDescent="0.2">
      <c r="A257" s="67">
        <v>44501</v>
      </c>
      <c r="B257" s="57">
        <v>256823.67890313599</v>
      </c>
      <c r="C257" s="57">
        <v>0</v>
      </c>
      <c r="D257" s="57">
        <v>328479.63923704089</v>
      </c>
      <c r="E257" s="57">
        <v>0</v>
      </c>
      <c r="F257" s="57">
        <v>256823.67890313599</v>
      </c>
      <c r="G257" s="57">
        <v>328479.63923704089</v>
      </c>
    </row>
    <row r="258" spans="1:7" ht="11.25" customHeight="1" x14ac:dyDescent="0.2">
      <c r="A258" s="67">
        <v>44531</v>
      </c>
      <c r="B258" s="57">
        <v>243059.399802039</v>
      </c>
      <c r="C258" s="57">
        <v>0</v>
      </c>
      <c r="D258" s="57">
        <v>310875.01082895888</v>
      </c>
      <c r="E258" s="57">
        <v>0</v>
      </c>
      <c r="F258" s="57">
        <v>243059.399802039</v>
      </c>
      <c r="G258" s="57">
        <v>310875.01082895888</v>
      </c>
    </row>
    <row r="259" spans="1:7" ht="11.25" customHeight="1" x14ac:dyDescent="0.2">
      <c r="A259" s="67">
        <v>44562</v>
      </c>
      <c r="B259" s="57">
        <v>231249.47325374803</v>
      </c>
      <c r="C259" s="57">
        <v>0</v>
      </c>
      <c r="D259" s="57">
        <v>295770.01572661201</v>
      </c>
      <c r="E259" s="57">
        <v>0</v>
      </c>
      <c r="F259" s="57">
        <v>231249.47325374803</v>
      </c>
      <c r="G259" s="57">
        <v>295770.01572661201</v>
      </c>
    </row>
    <row r="260" spans="1:7" ht="11.25" customHeight="1" x14ac:dyDescent="0.2">
      <c r="A260" s="67">
        <v>44593</v>
      </c>
      <c r="B260" s="57">
        <v>237585.97593605402</v>
      </c>
      <c r="C260" s="57">
        <v>0</v>
      </c>
      <c r="D260" s="57">
        <v>303874.45580004249</v>
      </c>
      <c r="E260" s="57">
        <v>0</v>
      </c>
      <c r="F260" s="57">
        <v>237585.97593605402</v>
      </c>
      <c r="G260" s="57">
        <v>303874.45580004249</v>
      </c>
    </row>
    <row r="261" spans="1:7" ht="11.25" customHeight="1" x14ac:dyDescent="0.2">
      <c r="A261" s="67">
        <v>44621</v>
      </c>
      <c r="B261" s="57">
        <v>246031.00018026249</v>
      </c>
      <c r="C261" s="57">
        <v>0</v>
      </c>
      <c r="D261" s="57">
        <v>314675.71263482177</v>
      </c>
      <c r="E261" s="57">
        <v>0</v>
      </c>
      <c r="F261" s="57">
        <v>246031.00018026249</v>
      </c>
      <c r="G261" s="57">
        <v>314675.71263482177</v>
      </c>
    </row>
    <row r="262" spans="1:7" ht="11.25" customHeight="1" x14ac:dyDescent="0.2">
      <c r="A262" s="67">
        <v>44652</v>
      </c>
      <c r="B262" s="57">
        <v>246031.00018026249</v>
      </c>
      <c r="C262" s="57">
        <v>0</v>
      </c>
      <c r="D262" s="57">
        <v>314675.71263482177</v>
      </c>
      <c r="E262" s="57">
        <v>0</v>
      </c>
      <c r="F262" s="57">
        <v>246031.00018026249</v>
      </c>
      <c r="G262" s="57">
        <v>314675.71263482177</v>
      </c>
    </row>
    <row r="263" spans="1:7" ht="11.25" customHeight="1" x14ac:dyDescent="0.2">
      <c r="A263" s="66" t="s">
        <v>25</v>
      </c>
      <c r="B263" s="57">
        <v>0</v>
      </c>
      <c r="C263" s="57">
        <v>0</v>
      </c>
      <c r="D263" s="57">
        <v>0</v>
      </c>
      <c r="E263" s="57">
        <v>0</v>
      </c>
      <c r="F263" s="57">
        <v>0</v>
      </c>
      <c r="G263" s="57">
        <v>0</v>
      </c>
    </row>
    <row r="264" spans="1:7" ht="11.25" customHeight="1" x14ac:dyDescent="0.2">
      <c r="A264" s="67">
        <v>44317</v>
      </c>
      <c r="B264" s="57">
        <v>0</v>
      </c>
      <c r="C264" s="57">
        <v>0</v>
      </c>
      <c r="D264" s="57">
        <v>0</v>
      </c>
      <c r="E264" s="57">
        <v>0</v>
      </c>
      <c r="F264" s="57">
        <v>0</v>
      </c>
      <c r="G264" s="57">
        <v>0</v>
      </c>
    </row>
    <row r="265" spans="1:7" ht="11.25" customHeight="1" x14ac:dyDescent="0.2">
      <c r="A265" s="67">
        <v>44348</v>
      </c>
      <c r="B265" s="57">
        <v>0</v>
      </c>
      <c r="C265" s="57">
        <v>0</v>
      </c>
      <c r="D265" s="57">
        <v>0</v>
      </c>
      <c r="E265" s="57">
        <v>0</v>
      </c>
      <c r="F265" s="57">
        <v>0</v>
      </c>
      <c r="G265" s="57">
        <v>0</v>
      </c>
    </row>
    <row r="266" spans="1:7" ht="11.25" customHeight="1" x14ac:dyDescent="0.2">
      <c r="A266" s="67">
        <v>44378</v>
      </c>
      <c r="B266" s="57">
        <v>0</v>
      </c>
      <c r="C266" s="57">
        <v>0</v>
      </c>
      <c r="D266" s="57">
        <v>0</v>
      </c>
      <c r="E266" s="57">
        <v>0</v>
      </c>
      <c r="F266" s="57">
        <v>0</v>
      </c>
      <c r="G266" s="57">
        <v>0</v>
      </c>
    </row>
    <row r="267" spans="1:7" ht="11.25" customHeight="1" x14ac:dyDescent="0.2">
      <c r="A267" s="67">
        <v>44409</v>
      </c>
      <c r="B267" s="57">
        <v>0</v>
      </c>
      <c r="C267" s="57">
        <v>0</v>
      </c>
      <c r="D267" s="57">
        <v>0</v>
      </c>
      <c r="E267" s="57">
        <v>0</v>
      </c>
      <c r="F267" s="57">
        <v>0</v>
      </c>
      <c r="G267" s="57">
        <v>0</v>
      </c>
    </row>
    <row r="268" spans="1:7" ht="11.25" customHeight="1" x14ac:dyDescent="0.2">
      <c r="A268" s="67">
        <v>44440</v>
      </c>
      <c r="B268" s="57">
        <v>0</v>
      </c>
      <c r="C268" s="57">
        <v>0</v>
      </c>
      <c r="D268" s="57">
        <v>0</v>
      </c>
      <c r="E268" s="57">
        <v>0</v>
      </c>
      <c r="F268" s="57">
        <v>0</v>
      </c>
      <c r="G268" s="57">
        <v>0</v>
      </c>
    </row>
    <row r="269" spans="1:7" ht="11.25" customHeight="1" x14ac:dyDescent="0.2">
      <c r="A269" s="67">
        <v>44470</v>
      </c>
      <c r="B269" s="57">
        <v>0</v>
      </c>
      <c r="C269" s="57">
        <v>0</v>
      </c>
      <c r="D269" s="57">
        <v>0</v>
      </c>
      <c r="E269" s="57">
        <v>0</v>
      </c>
      <c r="F269" s="57">
        <v>0</v>
      </c>
      <c r="G269" s="57">
        <v>0</v>
      </c>
    </row>
    <row r="270" spans="1:7" ht="11.25" customHeight="1" x14ac:dyDescent="0.2">
      <c r="A270" s="67">
        <v>44501</v>
      </c>
      <c r="B270" s="57">
        <v>0</v>
      </c>
      <c r="C270" s="57">
        <v>0</v>
      </c>
      <c r="D270" s="57">
        <v>0</v>
      </c>
      <c r="E270" s="57">
        <v>0</v>
      </c>
      <c r="F270" s="57">
        <v>0</v>
      </c>
      <c r="G270" s="57">
        <v>0</v>
      </c>
    </row>
    <row r="271" spans="1:7" ht="11.25" customHeight="1" x14ac:dyDescent="0.2">
      <c r="A271" s="67">
        <v>44531</v>
      </c>
      <c r="B271" s="57">
        <v>0</v>
      </c>
      <c r="C271" s="57">
        <v>0</v>
      </c>
      <c r="D271" s="57">
        <v>0</v>
      </c>
      <c r="E271" s="57">
        <v>0</v>
      </c>
      <c r="F271" s="57">
        <v>0</v>
      </c>
      <c r="G271" s="57">
        <v>0</v>
      </c>
    </row>
    <row r="272" spans="1:7" ht="11.25" customHeight="1" x14ac:dyDescent="0.2">
      <c r="A272" s="67">
        <v>44562</v>
      </c>
      <c r="B272" s="57">
        <v>0</v>
      </c>
      <c r="C272" s="57">
        <v>0</v>
      </c>
      <c r="D272" s="57">
        <v>0</v>
      </c>
      <c r="E272" s="57">
        <v>0</v>
      </c>
      <c r="F272" s="57">
        <v>0</v>
      </c>
      <c r="G272" s="57">
        <v>0</v>
      </c>
    </row>
    <row r="273" spans="1:7" ht="11.25" customHeight="1" x14ac:dyDescent="0.2">
      <c r="A273" s="67">
        <v>44593</v>
      </c>
      <c r="B273" s="57">
        <v>0</v>
      </c>
      <c r="C273" s="57">
        <v>0</v>
      </c>
      <c r="D273" s="57">
        <v>0</v>
      </c>
      <c r="E273" s="57">
        <v>0</v>
      </c>
      <c r="F273" s="57">
        <v>0</v>
      </c>
      <c r="G273" s="57">
        <v>0</v>
      </c>
    </row>
    <row r="274" spans="1:7" ht="11.25" customHeight="1" x14ac:dyDescent="0.2">
      <c r="A274" s="67">
        <v>44621</v>
      </c>
      <c r="B274" s="57">
        <v>0</v>
      </c>
      <c r="C274" s="57">
        <v>0</v>
      </c>
      <c r="D274" s="57">
        <v>0</v>
      </c>
      <c r="E274" s="57">
        <v>0</v>
      </c>
      <c r="F274" s="57">
        <v>0</v>
      </c>
      <c r="G274" s="57">
        <v>0</v>
      </c>
    </row>
    <row r="275" spans="1:7" ht="11.25" customHeight="1" x14ac:dyDescent="0.2">
      <c r="A275" s="67">
        <v>44652</v>
      </c>
      <c r="B275" s="57">
        <v>0</v>
      </c>
      <c r="C275" s="57">
        <v>0</v>
      </c>
      <c r="D275" s="57">
        <v>0</v>
      </c>
      <c r="E275" s="57">
        <v>0</v>
      </c>
      <c r="F275" s="57">
        <v>0</v>
      </c>
      <c r="G275" s="57">
        <v>0</v>
      </c>
    </row>
    <row r="276" spans="1:7" ht="11.25" customHeight="1" x14ac:dyDescent="0.2">
      <c r="A276" s="66" t="s">
        <v>35</v>
      </c>
      <c r="B276" s="57">
        <v>6899938.250108527</v>
      </c>
      <c r="C276" s="57">
        <v>0</v>
      </c>
      <c r="D276" s="57">
        <v>8626293.8396438882</v>
      </c>
      <c r="E276" s="57">
        <v>0</v>
      </c>
      <c r="F276" s="57">
        <v>6899938.250108527</v>
      </c>
      <c r="G276" s="57">
        <v>8626293.8396438882</v>
      </c>
    </row>
    <row r="277" spans="1:7" ht="11.25" customHeight="1" x14ac:dyDescent="0.2">
      <c r="A277" s="67">
        <v>44317</v>
      </c>
      <c r="B277" s="57">
        <v>415411.32881745003</v>
      </c>
      <c r="C277" s="57">
        <v>0</v>
      </c>
      <c r="D277" s="57">
        <v>519346.70381142723</v>
      </c>
      <c r="E277" s="57">
        <v>0</v>
      </c>
      <c r="F277" s="57">
        <v>415411.32881745003</v>
      </c>
      <c r="G277" s="57">
        <v>519346.70381142723</v>
      </c>
    </row>
    <row r="278" spans="1:7" ht="11.25" customHeight="1" x14ac:dyDescent="0.2">
      <c r="A278" s="67">
        <v>44348</v>
      </c>
      <c r="B278" s="57">
        <v>430550.40100654401</v>
      </c>
      <c r="C278" s="57">
        <v>0</v>
      </c>
      <c r="D278" s="57">
        <v>538273.55220179528</v>
      </c>
      <c r="E278" s="57">
        <v>0</v>
      </c>
      <c r="F278" s="57">
        <v>430550.40100654401</v>
      </c>
      <c r="G278" s="57">
        <v>538273.55220179528</v>
      </c>
    </row>
    <row r="279" spans="1:7" ht="11.25" customHeight="1" x14ac:dyDescent="0.2">
      <c r="A279" s="67">
        <v>44378</v>
      </c>
      <c r="B279" s="57">
        <v>493785.56357592007</v>
      </c>
      <c r="C279" s="57">
        <v>0</v>
      </c>
      <c r="D279" s="57">
        <v>617330.07032534643</v>
      </c>
      <c r="E279" s="57">
        <v>0</v>
      </c>
      <c r="F279" s="57">
        <v>493785.56357592007</v>
      </c>
      <c r="G279" s="57">
        <v>617330.07032534643</v>
      </c>
    </row>
    <row r="280" spans="1:7" ht="11.25" customHeight="1" x14ac:dyDescent="0.2">
      <c r="A280" s="67">
        <v>44409</v>
      </c>
      <c r="B280" s="57">
        <v>532559.29682023602</v>
      </c>
      <c r="C280" s="57">
        <v>0</v>
      </c>
      <c r="D280" s="57">
        <v>665804.94127367379</v>
      </c>
      <c r="E280" s="57">
        <v>0</v>
      </c>
      <c r="F280" s="57">
        <v>532559.29682023602</v>
      </c>
      <c r="G280" s="57">
        <v>665804.94127367379</v>
      </c>
    </row>
    <row r="281" spans="1:7" ht="11.25" customHeight="1" x14ac:dyDescent="0.2">
      <c r="A281" s="67">
        <v>44440</v>
      </c>
      <c r="B281" s="57">
        <v>590116.46361668012</v>
      </c>
      <c r="C281" s="57">
        <v>0</v>
      </c>
      <c r="D281" s="57">
        <v>737762.83645566495</v>
      </c>
      <c r="E281" s="57">
        <v>0</v>
      </c>
      <c r="F281" s="57">
        <v>590116.46361668012</v>
      </c>
      <c r="G281" s="57">
        <v>737762.83645566495</v>
      </c>
    </row>
    <row r="282" spans="1:7" ht="11.25" customHeight="1" x14ac:dyDescent="0.2">
      <c r="A282" s="67">
        <v>44470</v>
      </c>
      <c r="B282" s="57">
        <v>586859.69558734004</v>
      </c>
      <c r="C282" s="57">
        <v>0</v>
      </c>
      <c r="D282" s="57">
        <v>733691.22929480334</v>
      </c>
      <c r="E282" s="57">
        <v>0</v>
      </c>
      <c r="F282" s="57">
        <v>586859.69558734004</v>
      </c>
      <c r="G282" s="57">
        <v>733691.22929480334</v>
      </c>
    </row>
    <row r="283" spans="1:7" ht="11.25" customHeight="1" x14ac:dyDescent="0.2">
      <c r="A283" s="67">
        <v>44501</v>
      </c>
      <c r="B283" s="57">
        <v>677694.10090829991</v>
      </c>
      <c r="C283" s="57">
        <v>0</v>
      </c>
      <c r="D283" s="57">
        <v>847252.28486448003</v>
      </c>
      <c r="E283" s="57">
        <v>0</v>
      </c>
      <c r="F283" s="57">
        <v>677694.10090829991</v>
      </c>
      <c r="G283" s="57">
        <v>847252.28486448003</v>
      </c>
    </row>
    <row r="284" spans="1:7" ht="11.25" customHeight="1" x14ac:dyDescent="0.2">
      <c r="A284" s="67">
        <v>44531</v>
      </c>
      <c r="B284" s="57">
        <v>642002.89957619202</v>
      </c>
      <c r="C284" s="57">
        <v>0</v>
      </c>
      <c r="D284" s="57">
        <v>802631.19130964868</v>
      </c>
      <c r="E284" s="57">
        <v>0</v>
      </c>
      <c r="F284" s="57">
        <v>642002.89957619202</v>
      </c>
      <c r="G284" s="57">
        <v>802631.19130964868</v>
      </c>
    </row>
    <row r="285" spans="1:7" ht="11.25" customHeight="1" x14ac:dyDescent="0.2">
      <c r="A285" s="67">
        <v>44562</v>
      </c>
      <c r="B285" s="57">
        <v>608351.09935947205</v>
      </c>
      <c r="C285" s="57">
        <v>0</v>
      </c>
      <c r="D285" s="57">
        <v>760559.75438079599</v>
      </c>
      <c r="E285" s="57">
        <v>0</v>
      </c>
      <c r="F285" s="57">
        <v>608351.09935947205</v>
      </c>
      <c r="G285" s="57">
        <v>760559.75438079599</v>
      </c>
    </row>
    <row r="286" spans="1:7" ht="11.25" customHeight="1" x14ac:dyDescent="0.2">
      <c r="A286" s="67">
        <v>44593</v>
      </c>
      <c r="B286" s="57">
        <v>623009.799689368</v>
      </c>
      <c r="C286" s="57">
        <v>0</v>
      </c>
      <c r="D286" s="57">
        <v>778886.0424966322</v>
      </c>
      <c r="E286" s="57">
        <v>0</v>
      </c>
      <c r="F286" s="57">
        <v>623009.799689368</v>
      </c>
      <c r="G286" s="57">
        <v>778886.0424966322</v>
      </c>
    </row>
    <row r="287" spans="1:7" ht="11.25" customHeight="1" x14ac:dyDescent="0.2">
      <c r="A287" s="67">
        <v>44621</v>
      </c>
      <c r="B287" s="57">
        <v>649798.80057551211</v>
      </c>
      <c r="C287" s="57">
        <v>0</v>
      </c>
      <c r="D287" s="57">
        <v>812377.61661480996</v>
      </c>
      <c r="E287" s="57">
        <v>0</v>
      </c>
      <c r="F287" s="57">
        <v>649798.80057551211</v>
      </c>
      <c r="G287" s="57">
        <v>812377.61661480996</v>
      </c>
    </row>
    <row r="288" spans="1:7" ht="11.25" customHeight="1" x14ac:dyDescent="0.2">
      <c r="A288" s="67">
        <v>44652</v>
      </c>
      <c r="B288" s="57">
        <v>649798.80057551211</v>
      </c>
      <c r="C288" s="57">
        <v>0</v>
      </c>
      <c r="D288" s="57">
        <v>812377.61661480996</v>
      </c>
      <c r="E288" s="57">
        <v>0</v>
      </c>
      <c r="F288" s="57">
        <v>649798.80057551211</v>
      </c>
      <c r="G288" s="57">
        <v>812377.61661480996</v>
      </c>
    </row>
    <row r="289" spans="1:7" ht="11.25" customHeight="1" x14ac:dyDescent="0.2">
      <c r="A289" s="61" t="s">
        <v>34</v>
      </c>
      <c r="B289" s="57">
        <v>6941503.0081776716</v>
      </c>
      <c r="C289" s="57">
        <v>14125270.164952483</v>
      </c>
      <c r="D289" s="57">
        <v>8878240.5642161127</v>
      </c>
      <c r="E289" s="57">
        <v>260756966191145.38</v>
      </c>
      <c r="F289" s="57">
        <v>21066773.173130155</v>
      </c>
      <c r="G289" s="57">
        <v>260756975069385.94</v>
      </c>
    </row>
    <row r="290" spans="1:7" ht="11.25" customHeight="1" x14ac:dyDescent="0.2">
      <c r="A290" s="62" t="s">
        <v>40</v>
      </c>
      <c r="B290" s="57">
        <v>6941503.0081776716</v>
      </c>
      <c r="C290" s="57">
        <v>14125270.164952483</v>
      </c>
      <c r="D290" s="57">
        <v>8878240.5642161127</v>
      </c>
      <c r="E290" s="57">
        <v>260756966191145.38</v>
      </c>
      <c r="F290" s="57">
        <v>21066773.173130155</v>
      </c>
      <c r="G290" s="57">
        <v>260756975069385.94</v>
      </c>
    </row>
    <row r="291" spans="1:7" ht="11.25" customHeight="1" x14ac:dyDescent="0.2">
      <c r="A291" s="63" t="s">
        <v>25</v>
      </c>
      <c r="B291" s="57">
        <v>6941503.0081776716</v>
      </c>
      <c r="C291" s="57">
        <v>14125270.164952483</v>
      </c>
      <c r="D291" s="57">
        <v>8878240.5642161127</v>
      </c>
      <c r="E291" s="57">
        <v>260756966191145.38</v>
      </c>
      <c r="F291" s="57">
        <v>21066773.173130155</v>
      </c>
      <c r="G291" s="57">
        <v>260756975069385.94</v>
      </c>
    </row>
    <row r="292" spans="1:7" ht="11.25" customHeight="1" x14ac:dyDescent="0.2">
      <c r="A292" s="64" t="s">
        <v>60</v>
      </c>
      <c r="B292" s="57">
        <v>6941503.0081776716</v>
      </c>
      <c r="C292" s="57">
        <v>14125270.164952483</v>
      </c>
      <c r="D292" s="57">
        <v>8878240.5642161127</v>
      </c>
      <c r="E292" s="57">
        <v>260756966191145.38</v>
      </c>
      <c r="F292" s="57">
        <v>21066773.173130155</v>
      </c>
      <c r="G292" s="57">
        <v>260756975069385.94</v>
      </c>
    </row>
    <row r="293" spans="1:7" ht="11.25" customHeight="1" x14ac:dyDescent="0.2">
      <c r="A293" s="65" t="s">
        <v>25</v>
      </c>
      <c r="B293" s="57">
        <v>6941503.0081776716</v>
      </c>
      <c r="C293" s="57">
        <v>14125270.164952483</v>
      </c>
      <c r="D293" s="57">
        <v>8878240.5642161127</v>
      </c>
      <c r="E293" s="57">
        <v>260756966191145.38</v>
      </c>
      <c r="F293" s="57">
        <v>21066773.173130155</v>
      </c>
      <c r="G293" s="57">
        <v>260756975069385.94</v>
      </c>
    </row>
    <row r="294" spans="1:7" ht="11.25" customHeight="1" x14ac:dyDescent="0.2">
      <c r="A294" s="66" t="s">
        <v>36</v>
      </c>
      <c r="B294" s="57">
        <v>0</v>
      </c>
      <c r="C294" s="57">
        <v>0</v>
      </c>
      <c r="D294" s="57">
        <v>0</v>
      </c>
      <c r="E294" s="57">
        <v>0</v>
      </c>
      <c r="F294" s="57">
        <v>0</v>
      </c>
      <c r="G294" s="57">
        <v>0</v>
      </c>
    </row>
    <row r="295" spans="1:7" ht="11.25" customHeight="1" x14ac:dyDescent="0.2">
      <c r="A295" s="67">
        <v>44317</v>
      </c>
      <c r="B295" s="57">
        <v>0</v>
      </c>
      <c r="C295" s="57">
        <v>0</v>
      </c>
      <c r="D295" s="57">
        <v>0</v>
      </c>
      <c r="E295" s="57">
        <v>0</v>
      </c>
      <c r="F295" s="57">
        <v>0</v>
      </c>
      <c r="G295" s="57">
        <v>0</v>
      </c>
    </row>
    <row r="296" spans="1:7" ht="11.25" customHeight="1" x14ac:dyDescent="0.2">
      <c r="A296" s="67">
        <v>44348</v>
      </c>
      <c r="B296" s="57">
        <v>0</v>
      </c>
      <c r="C296" s="57">
        <v>0</v>
      </c>
      <c r="D296" s="57">
        <v>0</v>
      </c>
      <c r="E296" s="57">
        <v>0</v>
      </c>
      <c r="F296" s="57">
        <v>0</v>
      </c>
      <c r="G296" s="57">
        <v>0</v>
      </c>
    </row>
    <row r="297" spans="1:7" ht="11.25" customHeight="1" x14ac:dyDescent="0.2">
      <c r="A297" s="67">
        <v>44378</v>
      </c>
      <c r="B297" s="57">
        <v>0</v>
      </c>
      <c r="C297" s="57">
        <v>0</v>
      </c>
      <c r="D297" s="57">
        <v>0</v>
      </c>
      <c r="E297" s="57">
        <v>0</v>
      </c>
      <c r="F297" s="57">
        <v>0</v>
      </c>
      <c r="G297" s="57">
        <v>0</v>
      </c>
    </row>
    <row r="298" spans="1:7" ht="11.25" customHeight="1" x14ac:dyDescent="0.2">
      <c r="A298" s="67">
        <v>44409</v>
      </c>
      <c r="B298" s="57">
        <v>0</v>
      </c>
      <c r="C298" s="57">
        <v>0</v>
      </c>
      <c r="D298" s="57">
        <v>0</v>
      </c>
      <c r="E298" s="57">
        <v>0</v>
      </c>
      <c r="F298" s="57">
        <v>0</v>
      </c>
      <c r="G298" s="57">
        <v>0</v>
      </c>
    </row>
    <row r="299" spans="1:7" ht="11.25" customHeight="1" x14ac:dyDescent="0.2">
      <c r="A299" s="67">
        <v>44440</v>
      </c>
      <c r="B299" s="57">
        <v>0</v>
      </c>
      <c r="C299" s="57">
        <v>0</v>
      </c>
      <c r="D299" s="57">
        <v>0</v>
      </c>
      <c r="E299" s="57">
        <v>0</v>
      </c>
      <c r="F299" s="57">
        <v>0</v>
      </c>
      <c r="G299" s="57">
        <v>0</v>
      </c>
    </row>
    <row r="300" spans="1:7" ht="11.25" customHeight="1" x14ac:dyDescent="0.2">
      <c r="A300" s="67">
        <v>44470</v>
      </c>
      <c r="B300" s="57">
        <v>0</v>
      </c>
      <c r="C300" s="57">
        <v>0</v>
      </c>
      <c r="D300" s="57">
        <v>0</v>
      </c>
      <c r="E300" s="57">
        <v>0</v>
      </c>
      <c r="F300" s="57">
        <v>0</v>
      </c>
      <c r="G300" s="57">
        <v>0</v>
      </c>
    </row>
    <row r="301" spans="1:7" ht="11.25" customHeight="1" x14ac:dyDescent="0.2">
      <c r="A301" s="67">
        <v>44501</v>
      </c>
      <c r="B301" s="57">
        <v>0</v>
      </c>
      <c r="C301" s="57">
        <v>0</v>
      </c>
      <c r="D301" s="57">
        <v>0</v>
      </c>
      <c r="E301" s="57">
        <v>0</v>
      </c>
      <c r="F301" s="57">
        <v>0</v>
      </c>
      <c r="G301" s="57">
        <v>0</v>
      </c>
    </row>
    <row r="302" spans="1:7" ht="11.25" customHeight="1" x14ac:dyDescent="0.2">
      <c r="A302" s="67">
        <v>44531</v>
      </c>
      <c r="B302" s="57">
        <v>0</v>
      </c>
      <c r="C302" s="57">
        <v>0</v>
      </c>
      <c r="D302" s="57">
        <v>0</v>
      </c>
      <c r="E302" s="57">
        <v>0</v>
      </c>
      <c r="F302" s="57">
        <v>0</v>
      </c>
      <c r="G302" s="57">
        <v>0</v>
      </c>
    </row>
    <row r="303" spans="1:7" ht="11.25" customHeight="1" x14ac:dyDescent="0.2">
      <c r="A303" s="67">
        <v>44562</v>
      </c>
      <c r="B303" s="57">
        <v>0</v>
      </c>
      <c r="C303" s="57">
        <v>0</v>
      </c>
      <c r="D303" s="57">
        <v>0</v>
      </c>
      <c r="E303" s="57">
        <v>0</v>
      </c>
      <c r="F303" s="57">
        <v>0</v>
      </c>
      <c r="G303" s="57">
        <v>0</v>
      </c>
    </row>
    <row r="304" spans="1:7" ht="11.25" customHeight="1" x14ac:dyDescent="0.2">
      <c r="A304" s="67">
        <v>44593</v>
      </c>
      <c r="B304" s="57">
        <v>0</v>
      </c>
      <c r="C304" s="57">
        <v>0</v>
      </c>
      <c r="D304" s="57">
        <v>0</v>
      </c>
      <c r="E304" s="57">
        <v>0</v>
      </c>
      <c r="F304" s="57">
        <v>0</v>
      </c>
      <c r="G304" s="57">
        <v>0</v>
      </c>
    </row>
    <row r="305" spans="1:7" ht="11.25" customHeight="1" x14ac:dyDescent="0.2">
      <c r="A305" s="67">
        <v>44621</v>
      </c>
      <c r="B305" s="57">
        <v>0</v>
      </c>
      <c r="C305" s="57">
        <v>0</v>
      </c>
      <c r="D305" s="57">
        <v>0</v>
      </c>
      <c r="E305" s="57">
        <v>0</v>
      </c>
      <c r="F305" s="57">
        <v>0</v>
      </c>
      <c r="G305" s="57">
        <v>0</v>
      </c>
    </row>
    <row r="306" spans="1:7" ht="11.25" customHeight="1" x14ac:dyDescent="0.2">
      <c r="A306" s="67">
        <v>44652</v>
      </c>
      <c r="B306" s="57">
        <v>0</v>
      </c>
      <c r="C306" s="57">
        <v>0</v>
      </c>
      <c r="D306" s="57">
        <v>0</v>
      </c>
      <c r="E306" s="57">
        <v>0</v>
      </c>
      <c r="F306" s="57">
        <v>0</v>
      </c>
      <c r="G306" s="57">
        <v>0</v>
      </c>
    </row>
    <row r="307" spans="1:7" ht="11.25" customHeight="1" x14ac:dyDescent="0.2">
      <c r="A307" s="66" t="s">
        <v>25</v>
      </c>
      <c r="B307" s="57">
        <v>6941503.0081776716</v>
      </c>
      <c r="C307" s="57">
        <v>0</v>
      </c>
      <c r="D307" s="57">
        <v>8878240.5642161127</v>
      </c>
      <c r="E307" s="57">
        <v>0</v>
      </c>
      <c r="F307" s="57">
        <v>6941503.0081776716</v>
      </c>
      <c r="G307" s="57">
        <v>8878240.5642161127</v>
      </c>
    </row>
    <row r="308" spans="1:7" ht="11.25" customHeight="1" x14ac:dyDescent="0.2">
      <c r="A308" s="67">
        <v>44317</v>
      </c>
      <c r="B308" s="57">
        <v>619825.8908880431</v>
      </c>
      <c r="C308" s="57">
        <v>0</v>
      </c>
      <c r="D308" s="57">
        <v>792762.51278010861</v>
      </c>
      <c r="E308" s="57">
        <v>0</v>
      </c>
      <c r="F308" s="57">
        <v>619825.8908880431</v>
      </c>
      <c r="G308" s="57">
        <v>792762.51278010861</v>
      </c>
    </row>
    <row r="309" spans="1:7" ht="11.25" customHeight="1" x14ac:dyDescent="0.2">
      <c r="A309" s="67">
        <v>44348</v>
      </c>
      <c r="B309" s="57">
        <v>614308.65728305501</v>
      </c>
      <c r="C309" s="57">
        <v>0</v>
      </c>
      <c r="D309" s="57">
        <v>785705.92472758528</v>
      </c>
      <c r="E309" s="57">
        <v>0</v>
      </c>
      <c r="F309" s="57">
        <v>614308.65728305501</v>
      </c>
      <c r="G309" s="57">
        <v>785705.92472758528</v>
      </c>
    </row>
    <row r="310" spans="1:7" ht="11.25" customHeight="1" x14ac:dyDescent="0.2">
      <c r="A310" s="67">
        <v>44378</v>
      </c>
      <c r="B310" s="57">
        <v>604343.50043778005</v>
      </c>
      <c r="C310" s="57">
        <v>0</v>
      </c>
      <c r="D310" s="57">
        <v>772960.40554704645</v>
      </c>
      <c r="E310" s="57">
        <v>0</v>
      </c>
      <c r="F310" s="57">
        <v>604343.50043778005</v>
      </c>
      <c r="G310" s="57">
        <v>772960.40554704645</v>
      </c>
    </row>
    <row r="311" spans="1:7" ht="11.25" customHeight="1" x14ac:dyDescent="0.2">
      <c r="A311" s="67">
        <v>44409</v>
      </c>
      <c r="B311" s="57">
        <v>567520.9726476291</v>
      </c>
      <c r="C311" s="57">
        <v>0</v>
      </c>
      <c r="D311" s="57">
        <v>725864.08368154347</v>
      </c>
      <c r="E311" s="57">
        <v>0</v>
      </c>
      <c r="F311" s="57">
        <v>567520.9726476291</v>
      </c>
      <c r="G311" s="57">
        <v>725864.08368154347</v>
      </c>
    </row>
    <row r="312" spans="1:7" ht="11.25" customHeight="1" x14ac:dyDescent="0.2">
      <c r="A312" s="67">
        <v>44440</v>
      </c>
      <c r="B312" s="57">
        <v>564940.14573882904</v>
      </c>
      <c r="C312" s="57">
        <v>0</v>
      </c>
      <c r="D312" s="57">
        <v>722563.18442039844</v>
      </c>
      <c r="E312" s="57">
        <v>0</v>
      </c>
      <c r="F312" s="57">
        <v>564940.14573882904</v>
      </c>
      <c r="G312" s="57">
        <v>722563.18442039844</v>
      </c>
    </row>
    <row r="313" spans="1:7" ht="11.25" customHeight="1" x14ac:dyDescent="0.2">
      <c r="A313" s="67">
        <v>44470</v>
      </c>
      <c r="B313" s="57">
        <v>602817.73870664707</v>
      </c>
      <c r="C313" s="57">
        <v>0</v>
      </c>
      <c r="D313" s="57">
        <v>771008.9434967218</v>
      </c>
      <c r="E313" s="57">
        <v>0</v>
      </c>
      <c r="F313" s="57">
        <v>602817.73870664707</v>
      </c>
      <c r="G313" s="57">
        <v>771008.9434967218</v>
      </c>
    </row>
    <row r="314" spans="1:7" ht="11.25" customHeight="1" x14ac:dyDescent="0.2">
      <c r="A314" s="67">
        <v>44501</v>
      </c>
      <c r="B314" s="57">
        <v>615776.70288420003</v>
      </c>
      <c r="C314" s="57">
        <v>0</v>
      </c>
      <c r="D314" s="57">
        <v>787583.56736360374</v>
      </c>
      <c r="E314" s="57">
        <v>0</v>
      </c>
      <c r="F314" s="57">
        <v>615776.70288420003</v>
      </c>
      <c r="G314" s="57">
        <v>787583.56736360374</v>
      </c>
    </row>
    <row r="315" spans="1:7" ht="11.25" customHeight="1" x14ac:dyDescent="0.2">
      <c r="A315" s="67">
        <v>44531</v>
      </c>
      <c r="B315" s="57">
        <v>489975.32896446402</v>
      </c>
      <c r="C315" s="57">
        <v>0</v>
      </c>
      <c r="D315" s="57">
        <v>626682.5550536582</v>
      </c>
      <c r="E315" s="57">
        <v>0</v>
      </c>
      <c r="F315" s="57">
        <v>489975.32896446402</v>
      </c>
      <c r="G315" s="57">
        <v>626682.5550536582</v>
      </c>
    </row>
    <row r="316" spans="1:7" ht="11.25" customHeight="1" x14ac:dyDescent="0.2">
      <c r="A316" s="67">
        <v>44562</v>
      </c>
      <c r="B316" s="57">
        <v>563107.27329569997</v>
      </c>
      <c r="C316" s="57">
        <v>0</v>
      </c>
      <c r="D316" s="57">
        <v>720218.92519376543</v>
      </c>
      <c r="E316" s="57">
        <v>0</v>
      </c>
      <c r="F316" s="57">
        <v>563107.27329569997</v>
      </c>
      <c r="G316" s="57">
        <v>720218.92519376543</v>
      </c>
    </row>
    <row r="317" spans="1:7" ht="11.25" customHeight="1" x14ac:dyDescent="0.2">
      <c r="A317" s="67">
        <v>44593</v>
      </c>
      <c r="B317" s="57">
        <v>560130.34941144462</v>
      </c>
      <c r="C317" s="57">
        <v>0</v>
      </c>
      <c r="D317" s="57">
        <v>716411.4145790406</v>
      </c>
      <c r="E317" s="57">
        <v>0</v>
      </c>
      <c r="F317" s="57">
        <v>560130.34941144462</v>
      </c>
      <c r="G317" s="57">
        <v>716411.4145790406</v>
      </c>
    </row>
    <row r="318" spans="1:7" ht="11.25" customHeight="1" x14ac:dyDescent="0.2">
      <c r="A318" s="67">
        <v>44621</v>
      </c>
      <c r="B318" s="57">
        <v>569378.22395994002</v>
      </c>
      <c r="C318" s="57">
        <v>0</v>
      </c>
      <c r="D318" s="57">
        <v>728239.52368632017</v>
      </c>
      <c r="E318" s="57">
        <v>0</v>
      </c>
      <c r="F318" s="57">
        <v>569378.22395994002</v>
      </c>
      <c r="G318" s="57">
        <v>728239.52368632017</v>
      </c>
    </row>
    <row r="319" spans="1:7" ht="11.25" customHeight="1" x14ac:dyDescent="0.2">
      <c r="A319" s="67">
        <v>44652</v>
      </c>
      <c r="B319" s="57">
        <v>569378.22395994002</v>
      </c>
      <c r="C319" s="57">
        <v>0</v>
      </c>
      <c r="D319" s="57">
        <v>728239.52368632017</v>
      </c>
      <c r="E319" s="57">
        <v>0</v>
      </c>
      <c r="F319" s="57">
        <v>569378.22395994002</v>
      </c>
      <c r="G319" s="57">
        <v>728239.52368632017</v>
      </c>
    </row>
    <row r="320" spans="1:7" ht="11.25" customHeight="1" x14ac:dyDescent="0.2">
      <c r="A320" s="66" t="s">
        <v>35</v>
      </c>
      <c r="B320" s="57">
        <v>0</v>
      </c>
      <c r="C320" s="57">
        <v>14125270.164952483</v>
      </c>
      <c r="D320" s="57">
        <v>0</v>
      </c>
      <c r="E320" s="57">
        <v>260756966191145.38</v>
      </c>
      <c r="F320" s="57">
        <v>14125270.164952483</v>
      </c>
      <c r="G320" s="57">
        <v>260756966191145.38</v>
      </c>
    </row>
    <row r="321" spans="1:7" ht="11.25" customHeight="1" x14ac:dyDescent="0.2">
      <c r="A321" s="67">
        <v>44317</v>
      </c>
      <c r="B321" s="57">
        <v>0</v>
      </c>
      <c r="C321" s="57">
        <v>1279934.8111954704</v>
      </c>
      <c r="D321" s="57">
        <v>0</v>
      </c>
      <c r="E321" s="57">
        <v>23628002465954.25</v>
      </c>
      <c r="F321" s="57">
        <v>1279934.8111954704</v>
      </c>
      <c r="G321" s="57">
        <v>23628002465954.25</v>
      </c>
    </row>
    <row r="322" spans="1:7" ht="11.25" customHeight="1" x14ac:dyDescent="0.2">
      <c r="A322" s="67">
        <v>44348</v>
      </c>
      <c r="B322" s="57">
        <v>0</v>
      </c>
      <c r="C322" s="57">
        <v>1208903.7939176869</v>
      </c>
      <c r="D322" s="57">
        <v>0</v>
      </c>
      <c r="E322" s="57">
        <v>22316747363961.098</v>
      </c>
      <c r="F322" s="57">
        <v>1208903.7939176869</v>
      </c>
      <c r="G322" s="57">
        <v>22316747363961.098</v>
      </c>
    </row>
    <row r="323" spans="1:7" ht="11.25" customHeight="1" x14ac:dyDescent="0.2">
      <c r="A323" s="67">
        <v>44378</v>
      </c>
      <c r="B323" s="57">
        <v>0</v>
      </c>
      <c r="C323" s="57">
        <v>1289972.1914712684</v>
      </c>
      <c r="D323" s="57">
        <v>0</v>
      </c>
      <c r="E323" s="57">
        <v>23813295688572.961</v>
      </c>
      <c r="F323" s="57">
        <v>1289972.1914712684</v>
      </c>
      <c r="G323" s="57">
        <v>23813295688572.961</v>
      </c>
    </row>
    <row r="324" spans="1:7" ht="11.25" customHeight="1" x14ac:dyDescent="0.2">
      <c r="A324" s="67">
        <v>44409</v>
      </c>
      <c r="B324" s="57">
        <v>0</v>
      </c>
      <c r="C324" s="57">
        <v>1267992.6156426582</v>
      </c>
      <c r="D324" s="57">
        <v>0</v>
      </c>
      <c r="E324" s="57">
        <v>23407545749328.813</v>
      </c>
      <c r="F324" s="57">
        <v>1267992.6156426582</v>
      </c>
      <c r="G324" s="57">
        <v>23407545749328.813</v>
      </c>
    </row>
    <row r="325" spans="1:7" ht="11.25" customHeight="1" x14ac:dyDescent="0.2">
      <c r="A325" s="67">
        <v>44440</v>
      </c>
      <c r="B325" s="57">
        <v>0</v>
      </c>
      <c r="C325" s="57">
        <v>1206067.9500416846</v>
      </c>
      <c r="D325" s="57">
        <v>0</v>
      </c>
      <c r="E325" s="57">
        <v>22264396786799.547</v>
      </c>
      <c r="F325" s="57">
        <v>1206067.9500416846</v>
      </c>
      <c r="G325" s="57">
        <v>22264396786799.547</v>
      </c>
    </row>
    <row r="326" spans="1:7" ht="11.25" customHeight="1" x14ac:dyDescent="0.2">
      <c r="A326" s="67">
        <v>44470</v>
      </c>
      <c r="B326" s="57">
        <v>0</v>
      </c>
      <c r="C326" s="57">
        <v>1225966.2037099681</v>
      </c>
      <c r="D326" s="57">
        <v>0</v>
      </c>
      <c r="E326" s="57">
        <v>22631724859002.895</v>
      </c>
      <c r="F326" s="57">
        <v>1225966.2037099681</v>
      </c>
      <c r="G326" s="57">
        <v>22631724859002.895</v>
      </c>
    </row>
    <row r="327" spans="1:7" ht="11.25" customHeight="1" x14ac:dyDescent="0.2">
      <c r="A327" s="67">
        <v>44501</v>
      </c>
      <c r="B327" s="57">
        <v>0</v>
      </c>
      <c r="C327" s="57">
        <v>1383176.9331416185</v>
      </c>
      <c r="D327" s="57">
        <v>0</v>
      </c>
      <c r="E327" s="57">
        <v>25533884773862.973</v>
      </c>
      <c r="F327" s="57">
        <v>1383176.9331416185</v>
      </c>
      <c r="G327" s="57">
        <v>25533884773862.973</v>
      </c>
    </row>
    <row r="328" spans="1:7" ht="11.25" customHeight="1" x14ac:dyDescent="0.2">
      <c r="A328" s="67">
        <v>44531</v>
      </c>
      <c r="B328" s="57">
        <v>0</v>
      </c>
      <c r="C328" s="57">
        <v>837043.29000929964</v>
      </c>
      <c r="D328" s="57">
        <v>0</v>
      </c>
      <c r="E328" s="57">
        <v>15452084549507.395</v>
      </c>
      <c r="F328" s="57">
        <v>837043.29000929964</v>
      </c>
      <c r="G328" s="57">
        <v>15452084549507.395</v>
      </c>
    </row>
    <row r="329" spans="1:7" ht="11.25" customHeight="1" x14ac:dyDescent="0.2">
      <c r="A329" s="67">
        <v>44562</v>
      </c>
      <c r="B329" s="57">
        <v>0</v>
      </c>
      <c r="C329" s="57">
        <v>1076216.0721568945</v>
      </c>
      <c r="D329" s="57">
        <v>0</v>
      </c>
      <c r="E329" s="57">
        <v>19867289946643.41</v>
      </c>
      <c r="F329" s="57">
        <v>1076216.0721568945</v>
      </c>
      <c r="G329" s="57">
        <v>19867289946643.41</v>
      </c>
    </row>
    <row r="330" spans="1:7" ht="11.25" customHeight="1" x14ac:dyDescent="0.2">
      <c r="A330" s="67">
        <v>44593</v>
      </c>
      <c r="B330" s="57">
        <v>0</v>
      </c>
      <c r="C330" s="57">
        <v>1035518.5770270218</v>
      </c>
      <c r="D330" s="57">
        <v>0</v>
      </c>
      <c r="E330" s="57">
        <v>19116001281880.359</v>
      </c>
      <c r="F330" s="57">
        <v>1035518.5770270218</v>
      </c>
      <c r="G330" s="57">
        <v>19116001281880.359</v>
      </c>
    </row>
    <row r="331" spans="1:7" ht="11.25" customHeight="1" x14ac:dyDescent="0.2">
      <c r="A331" s="67">
        <v>44621</v>
      </c>
      <c r="B331" s="57">
        <v>0</v>
      </c>
      <c r="C331" s="57">
        <v>1157238.8633194563</v>
      </c>
      <c r="D331" s="57">
        <v>0</v>
      </c>
      <c r="E331" s="57">
        <v>21362996362815.84</v>
      </c>
      <c r="F331" s="57">
        <v>1157238.8633194563</v>
      </c>
      <c r="G331" s="57">
        <v>21362996362815.84</v>
      </c>
    </row>
    <row r="332" spans="1:7" ht="11.25" customHeight="1" x14ac:dyDescent="0.2">
      <c r="A332" s="67">
        <v>44652</v>
      </c>
      <c r="B332" s="57">
        <v>0</v>
      </c>
      <c r="C332" s="57">
        <v>1157238.8633194563</v>
      </c>
      <c r="D332" s="57">
        <v>0</v>
      </c>
      <c r="E332" s="57">
        <v>21362996362815.84</v>
      </c>
      <c r="F332" s="57">
        <v>1157238.8633194563</v>
      </c>
      <c r="G332" s="57">
        <v>21362996362815.84</v>
      </c>
    </row>
    <row r="333" spans="1:7" ht="11.25" customHeight="1" x14ac:dyDescent="0.2">
      <c r="A333" s="59" t="s">
        <v>954</v>
      </c>
      <c r="B333" s="57">
        <v>6364642.8656250006</v>
      </c>
      <c r="C333" s="57">
        <v>0</v>
      </c>
      <c r="D333" s="57">
        <v>-5.4673755851478472E+16</v>
      </c>
      <c r="E333" s="57">
        <v>0</v>
      </c>
      <c r="F333" s="57">
        <v>6364642.8656250006</v>
      </c>
      <c r="G333" s="57">
        <v>-5.4673755851478472E+16</v>
      </c>
    </row>
    <row r="334" spans="1:7" ht="11.25" customHeight="1" x14ac:dyDescent="0.2">
      <c r="A334" s="60" t="s">
        <v>41</v>
      </c>
      <c r="B334" s="57">
        <v>6136005.555625001</v>
      </c>
      <c r="C334" s="57">
        <v>0</v>
      </c>
      <c r="D334" s="57">
        <v>-5.4673755851752784E+16</v>
      </c>
      <c r="E334" s="57">
        <v>0</v>
      </c>
      <c r="F334" s="57">
        <v>6136005.555625001</v>
      </c>
      <c r="G334" s="57">
        <v>-5.4673755851752784E+16</v>
      </c>
    </row>
    <row r="335" spans="1:7" ht="11.25" customHeight="1" x14ac:dyDescent="0.2">
      <c r="A335" s="61" t="s">
        <v>64</v>
      </c>
      <c r="B335" s="57">
        <v>6136005.555625001</v>
      </c>
      <c r="C335" s="57">
        <v>0</v>
      </c>
      <c r="D335" s="57">
        <v>-5.4673755851752784E+16</v>
      </c>
      <c r="E335" s="57">
        <v>0</v>
      </c>
      <c r="F335" s="57">
        <v>6136005.555625001</v>
      </c>
      <c r="G335" s="57">
        <v>-5.4673755851752784E+16</v>
      </c>
    </row>
    <row r="336" spans="1:7" ht="11.25" customHeight="1" x14ac:dyDescent="0.2">
      <c r="A336" s="62" t="s">
        <v>25</v>
      </c>
      <c r="B336" s="57">
        <v>6136005.555625001</v>
      </c>
      <c r="C336" s="57">
        <v>0</v>
      </c>
      <c r="D336" s="57">
        <v>-5.4673755851752784E+16</v>
      </c>
      <c r="E336" s="57">
        <v>0</v>
      </c>
      <c r="F336" s="57">
        <v>6136005.555625001</v>
      </c>
      <c r="G336" s="57">
        <v>-5.4673755851752784E+16</v>
      </c>
    </row>
    <row r="337" spans="1:7" ht="11.25" customHeight="1" x14ac:dyDescent="0.2">
      <c r="A337" s="63" t="s">
        <v>25</v>
      </c>
      <c r="B337" s="57">
        <v>6136005.555625001</v>
      </c>
      <c r="C337" s="57">
        <v>0</v>
      </c>
      <c r="D337" s="57">
        <v>-5.4673755851752784E+16</v>
      </c>
      <c r="E337" s="57">
        <v>0</v>
      </c>
      <c r="F337" s="57">
        <v>6136005.555625001</v>
      </c>
      <c r="G337" s="57">
        <v>-5.4673755851752784E+16</v>
      </c>
    </row>
    <row r="338" spans="1:7" ht="11.25" customHeight="1" x14ac:dyDescent="0.2">
      <c r="A338" s="64" t="s">
        <v>65</v>
      </c>
      <c r="B338" s="57">
        <v>5172075.555625001</v>
      </c>
      <c r="C338" s="57">
        <v>0</v>
      </c>
      <c r="D338" s="57">
        <v>-4.6084833791558888E+16</v>
      </c>
      <c r="E338" s="57">
        <v>0</v>
      </c>
      <c r="F338" s="57">
        <v>5172075.555625001</v>
      </c>
      <c r="G338" s="57">
        <v>-4.6084833791558888E+16</v>
      </c>
    </row>
    <row r="339" spans="1:7" ht="11.25" customHeight="1" x14ac:dyDescent="0.2">
      <c r="A339" s="65" t="s">
        <v>71</v>
      </c>
      <c r="B339" s="57">
        <v>2514600</v>
      </c>
      <c r="C339" s="57">
        <v>0</v>
      </c>
      <c r="D339" s="57">
        <v>-2.2405883635288528E+16</v>
      </c>
      <c r="E339" s="57">
        <v>0</v>
      </c>
      <c r="F339" s="57">
        <v>2514600</v>
      </c>
      <c r="G339" s="57">
        <v>-2.2405883635288528E+16</v>
      </c>
    </row>
    <row r="340" spans="1:7" ht="11.25" customHeight="1" x14ac:dyDescent="0.2">
      <c r="A340" s="66" t="s">
        <v>25</v>
      </c>
      <c r="B340" s="57">
        <v>2514600</v>
      </c>
      <c r="C340" s="57">
        <v>0</v>
      </c>
      <c r="D340" s="57">
        <v>-2.2405883635288528E+16</v>
      </c>
      <c r="E340" s="57">
        <v>0</v>
      </c>
      <c r="F340" s="57">
        <v>2514600</v>
      </c>
      <c r="G340" s="57">
        <v>-2.2405883635288528E+16</v>
      </c>
    </row>
    <row r="341" spans="1:7" ht="11.25" customHeight="1" x14ac:dyDescent="0.2">
      <c r="A341" s="67">
        <v>44317</v>
      </c>
      <c r="B341" s="57">
        <v>209550</v>
      </c>
      <c r="C341" s="57">
        <v>0</v>
      </c>
      <c r="D341" s="57">
        <v>-1867156969607377.5</v>
      </c>
      <c r="E341" s="57">
        <v>0</v>
      </c>
      <c r="F341" s="57">
        <v>209550</v>
      </c>
      <c r="G341" s="57">
        <v>-1867156969607377.5</v>
      </c>
    </row>
    <row r="342" spans="1:7" ht="11.25" customHeight="1" x14ac:dyDescent="0.2">
      <c r="A342" s="67">
        <v>44348</v>
      </c>
      <c r="B342" s="57">
        <v>209550</v>
      </c>
      <c r="C342" s="57">
        <v>0</v>
      </c>
      <c r="D342" s="57">
        <v>-1867156969607377.5</v>
      </c>
      <c r="E342" s="57">
        <v>0</v>
      </c>
      <c r="F342" s="57">
        <v>209550</v>
      </c>
      <c r="G342" s="57">
        <v>-1867156969607377.5</v>
      </c>
    </row>
    <row r="343" spans="1:7" ht="11.25" customHeight="1" x14ac:dyDescent="0.2">
      <c r="A343" s="67">
        <v>44378</v>
      </c>
      <c r="B343" s="57">
        <v>209550</v>
      </c>
      <c r="C343" s="57">
        <v>0</v>
      </c>
      <c r="D343" s="57">
        <v>-1867156969607377.5</v>
      </c>
      <c r="E343" s="57">
        <v>0</v>
      </c>
      <c r="F343" s="57">
        <v>209550</v>
      </c>
      <c r="G343" s="57">
        <v>-1867156969607377.5</v>
      </c>
    </row>
    <row r="344" spans="1:7" ht="11.25" customHeight="1" x14ac:dyDescent="0.2">
      <c r="A344" s="67">
        <v>44409</v>
      </c>
      <c r="B344" s="57">
        <v>209550</v>
      </c>
      <c r="C344" s="57">
        <v>0</v>
      </c>
      <c r="D344" s="57">
        <v>-1867156969607377.5</v>
      </c>
      <c r="E344" s="57">
        <v>0</v>
      </c>
      <c r="F344" s="57">
        <v>209550</v>
      </c>
      <c r="G344" s="57">
        <v>-1867156969607377.5</v>
      </c>
    </row>
    <row r="345" spans="1:7" ht="11.25" customHeight="1" x14ac:dyDescent="0.2">
      <c r="A345" s="67">
        <v>44440</v>
      </c>
      <c r="B345" s="57">
        <v>209550</v>
      </c>
      <c r="C345" s="57">
        <v>0</v>
      </c>
      <c r="D345" s="57">
        <v>-1867156969607377.5</v>
      </c>
      <c r="E345" s="57">
        <v>0</v>
      </c>
      <c r="F345" s="57">
        <v>209550</v>
      </c>
      <c r="G345" s="57">
        <v>-1867156969607377.5</v>
      </c>
    </row>
    <row r="346" spans="1:7" ht="11.25" customHeight="1" x14ac:dyDescent="0.2">
      <c r="A346" s="67">
        <v>44470</v>
      </c>
      <c r="B346" s="57">
        <v>209550</v>
      </c>
      <c r="C346" s="57">
        <v>0</v>
      </c>
      <c r="D346" s="57">
        <v>-1867156969607377.5</v>
      </c>
      <c r="E346" s="57">
        <v>0</v>
      </c>
      <c r="F346" s="57">
        <v>209550</v>
      </c>
      <c r="G346" s="57">
        <v>-1867156969607377.5</v>
      </c>
    </row>
    <row r="347" spans="1:7" ht="11.25" customHeight="1" x14ac:dyDescent="0.2">
      <c r="A347" s="67">
        <v>44501</v>
      </c>
      <c r="B347" s="57">
        <v>209550</v>
      </c>
      <c r="C347" s="57">
        <v>0</v>
      </c>
      <c r="D347" s="57">
        <v>-1867156969607377.5</v>
      </c>
      <c r="E347" s="57">
        <v>0</v>
      </c>
      <c r="F347" s="57">
        <v>209550</v>
      </c>
      <c r="G347" s="57">
        <v>-1867156969607377.5</v>
      </c>
    </row>
    <row r="348" spans="1:7" ht="11.25" customHeight="1" x14ac:dyDescent="0.2">
      <c r="A348" s="67">
        <v>44531</v>
      </c>
      <c r="B348" s="57">
        <v>209550</v>
      </c>
      <c r="C348" s="57">
        <v>0</v>
      </c>
      <c r="D348" s="57">
        <v>-1867156969607377.5</v>
      </c>
      <c r="E348" s="57">
        <v>0</v>
      </c>
      <c r="F348" s="57">
        <v>209550</v>
      </c>
      <c r="G348" s="57">
        <v>-1867156969607377.5</v>
      </c>
    </row>
    <row r="349" spans="1:7" ht="11.25" customHeight="1" x14ac:dyDescent="0.2">
      <c r="A349" s="67">
        <v>44562</v>
      </c>
      <c r="B349" s="57">
        <v>209550</v>
      </c>
      <c r="C349" s="57">
        <v>0</v>
      </c>
      <c r="D349" s="57">
        <v>-1867156969607377.5</v>
      </c>
      <c r="E349" s="57">
        <v>0</v>
      </c>
      <c r="F349" s="57">
        <v>209550</v>
      </c>
      <c r="G349" s="57">
        <v>-1867156969607377.5</v>
      </c>
    </row>
    <row r="350" spans="1:7" ht="11.25" customHeight="1" x14ac:dyDescent="0.2">
      <c r="A350" s="67">
        <v>44593</v>
      </c>
      <c r="B350" s="57">
        <v>209550</v>
      </c>
      <c r="C350" s="57">
        <v>0</v>
      </c>
      <c r="D350" s="57">
        <v>-1867156969607377.5</v>
      </c>
      <c r="E350" s="57">
        <v>0</v>
      </c>
      <c r="F350" s="57">
        <v>209550</v>
      </c>
      <c r="G350" s="57">
        <v>-1867156969607377.5</v>
      </c>
    </row>
    <row r="351" spans="1:7" ht="11.25" customHeight="1" x14ac:dyDescent="0.2">
      <c r="A351" s="67">
        <v>44621</v>
      </c>
      <c r="B351" s="57">
        <v>209550</v>
      </c>
      <c r="C351" s="57">
        <v>0</v>
      </c>
      <c r="D351" s="57">
        <v>-1867156969607377.5</v>
      </c>
      <c r="E351" s="57">
        <v>0</v>
      </c>
      <c r="F351" s="57">
        <v>209550</v>
      </c>
      <c r="G351" s="57">
        <v>-1867156969607377.5</v>
      </c>
    </row>
    <row r="352" spans="1:7" ht="11.25" customHeight="1" x14ac:dyDescent="0.2">
      <c r="A352" s="67">
        <v>44652</v>
      </c>
      <c r="B352" s="57">
        <v>209550</v>
      </c>
      <c r="C352" s="57">
        <v>0</v>
      </c>
      <c r="D352" s="57">
        <v>-1867156969607377.5</v>
      </c>
      <c r="E352" s="57">
        <v>0</v>
      </c>
      <c r="F352" s="57">
        <v>209550</v>
      </c>
      <c r="G352" s="57">
        <v>-1867156969607377.5</v>
      </c>
    </row>
    <row r="353" spans="1:7" ht="11.25" customHeight="1" x14ac:dyDescent="0.2">
      <c r="A353" s="65" t="s">
        <v>70</v>
      </c>
      <c r="B353" s="57">
        <v>1023795.8156249998</v>
      </c>
      <c r="C353" s="57">
        <v>0</v>
      </c>
      <c r="D353" s="57">
        <v>-9122345466948644</v>
      </c>
      <c r="E353" s="57">
        <v>0</v>
      </c>
      <c r="F353" s="57">
        <v>1023795.8156249998</v>
      </c>
      <c r="G353" s="57">
        <v>-9122345466948644</v>
      </c>
    </row>
    <row r="354" spans="1:7" ht="11.25" customHeight="1" x14ac:dyDescent="0.2">
      <c r="A354" s="66" t="s">
        <v>25</v>
      </c>
      <c r="B354" s="57">
        <v>1023795.8156249998</v>
      </c>
      <c r="C354" s="57">
        <v>0</v>
      </c>
      <c r="D354" s="57">
        <v>-9122345466948644</v>
      </c>
      <c r="E354" s="57">
        <v>0</v>
      </c>
      <c r="F354" s="57">
        <v>1023795.8156249998</v>
      </c>
      <c r="G354" s="57">
        <v>-9122345466948644</v>
      </c>
    </row>
    <row r="355" spans="1:7" ht="11.25" customHeight="1" x14ac:dyDescent="0.2">
      <c r="A355" s="67">
        <v>44317</v>
      </c>
      <c r="B355" s="57">
        <v>93446.203125</v>
      </c>
      <c r="C355" s="57">
        <v>0</v>
      </c>
      <c r="D355" s="57">
        <v>-832635311134290</v>
      </c>
      <c r="E355" s="57">
        <v>0</v>
      </c>
      <c r="F355" s="57">
        <v>93446.203125</v>
      </c>
      <c r="G355" s="57">
        <v>-832635311134290</v>
      </c>
    </row>
    <row r="356" spans="1:7" ht="11.25" customHeight="1" x14ac:dyDescent="0.2">
      <c r="A356" s="67">
        <v>44348</v>
      </c>
      <c r="B356" s="57">
        <v>93315.234375</v>
      </c>
      <c r="C356" s="57">
        <v>0</v>
      </c>
      <c r="D356" s="57">
        <v>-831468338028285.38</v>
      </c>
      <c r="E356" s="57">
        <v>0</v>
      </c>
      <c r="F356" s="57">
        <v>93315.234375</v>
      </c>
      <c r="G356" s="57">
        <v>-831468338028285.38</v>
      </c>
    </row>
    <row r="357" spans="1:7" ht="11.25" customHeight="1" x14ac:dyDescent="0.2">
      <c r="A357" s="67">
        <v>44378</v>
      </c>
      <c r="B357" s="57">
        <v>101029.29375000001</v>
      </c>
      <c r="C357" s="57">
        <v>0</v>
      </c>
      <c r="D357" s="57">
        <v>-900203053971956.88</v>
      </c>
      <c r="E357" s="57">
        <v>0</v>
      </c>
      <c r="F357" s="57">
        <v>101029.29375000001</v>
      </c>
      <c r="G357" s="57">
        <v>-900203053971956.88</v>
      </c>
    </row>
    <row r="358" spans="1:7" ht="11.25" customHeight="1" x14ac:dyDescent="0.2">
      <c r="A358" s="67">
        <v>44409</v>
      </c>
      <c r="B358" s="57">
        <v>94251.660937499997</v>
      </c>
      <c r="C358" s="57">
        <v>0</v>
      </c>
      <c r="D358" s="57">
        <v>-839812195736218.38</v>
      </c>
      <c r="E358" s="57">
        <v>0</v>
      </c>
      <c r="F358" s="57">
        <v>94251.660937499997</v>
      </c>
      <c r="G358" s="57">
        <v>-839812195736218.38</v>
      </c>
    </row>
    <row r="359" spans="1:7" ht="11.25" customHeight="1" x14ac:dyDescent="0.2">
      <c r="A359" s="67">
        <v>44440</v>
      </c>
      <c r="B359" s="57">
        <v>80513.0390625</v>
      </c>
      <c r="C359" s="57">
        <v>0</v>
      </c>
      <c r="D359" s="57">
        <v>-717396716916334.63</v>
      </c>
      <c r="E359" s="57">
        <v>0</v>
      </c>
      <c r="F359" s="57">
        <v>80513.0390625</v>
      </c>
      <c r="G359" s="57">
        <v>-717396716916334.63</v>
      </c>
    </row>
    <row r="360" spans="1:7" ht="11.25" customHeight="1" x14ac:dyDescent="0.2">
      <c r="A360" s="67">
        <v>44470</v>
      </c>
      <c r="B360" s="57">
        <v>74508.121874999997</v>
      </c>
      <c r="C360" s="57">
        <v>0</v>
      </c>
      <c r="D360" s="57">
        <v>-663891000006023.25</v>
      </c>
      <c r="E360" s="57">
        <v>0</v>
      </c>
      <c r="F360" s="57">
        <v>74508.121874999997</v>
      </c>
      <c r="G360" s="57">
        <v>-663891000006023.25</v>
      </c>
    </row>
    <row r="361" spans="1:7" ht="11.25" customHeight="1" x14ac:dyDescent="0.2">
      <c r="A361" s="67">
        <v>44501</v>
      </c>
      <c r="B361" s="57">
        <v>81717.951562500006</v>
      </c>
      <c r="C361" s="57">
        <v>0</v>
      </c>
      <c r="D361" s="57">
        <v>-728132869491577</v>
      </c>
      <c r="E361" s="57">
        <v>0</v>
      </c>
      <c r="F361" s="57">
        <v>81717.951562500006</v>
      </c>
      <c r="G361" s="57">
        <v>-728132869491577</v>
      </c>
    </row>
    <row r="362" spans="1:7" ht="11.25" customHeight="1" x14ac:dyDescent="0.2">
      <c r="A362" s="67">
        <v>44531</v>
      </c>
      <c r="B362" s="57">
        <v>86825.732812500006</v>
      </c>
      <c r="C362" s="57">
        <v>0</v>
      </c>
      <c r="D362" s="57">
        <v>-773644820625756.88</v>
      </c>
      <c r="E362" s="57">
        <v>0</v>
      </c>
      <c r="F362" s="57">
        <v>86825.732812500006</v>
      </c>
      <c r="G362" s="57">
        <v>-773644820625756.88</v>
      </c>
    </row>
    <row r="363" spans="1:7" ht="11.25" customHeight="1" x14ac:dyDescent="0.2">
      <c r="A363" s="67">
        <v>44562</v>
      </c>
      <c r="B363" s="57">
        <v>83715.225000000006</v>
      </c>
      <c r="C363" s="57">
        <v>0</v>
      </c>
      <c r="D363" s="57">
        <v>-745929209358147.38</v>
      </c>
      <c r="E363" s="57">
        <v>0</v>
      </c>
      <c r="F363" s="57">
        <v>83715.225000000006</v>
      </c>
      <c r="G363" s="57">
        <v>-745929209358147.38</v>
      </c>
    </row>
    <row r="364" spans="1:7" ht="11.25" customHeight="1" x14ac:dyDescent="0.2">
      <c r="A364" s="67">
        <v>44593</v>
      </c>
      <c r="B364" s="57">
        <v>78515.765625</v>
      </c>
      <c r="C364" s="57">
        <v>0</v>
      </c>
      <c r="D364" s="57">
        <v>-699600377049764.25</v>
      </c>
      <c r="E364" s="57">
        <v>0</v>
      </c>
      <c r="F364" s="57">
        <v>78515.765625</v>
      </c>
      <c r="G364" s="57">
        <v>-699600377049764.25</v>
      </c>
    </row>
    <row r="365" spans="1:7" ht="11.25" customHeight="1" x14ac:dyDescent="0.2">
      <c r="A365" s="67">
        <v>44621</v>
      </c>
      <c r="B365" s="57">
        <v>77978.793749999997</v>
      </c>
      <c r="C365" s="57">
        <v>0</v>
      </c>
      <c r="D365" s="57">
        <v>-694815787315145.38</v>
      </c>
      <c r="E365" s="57">
        <v>0</v>
      </c>
      <c r="F365" s="57">
        <v>77978.793749999997</v>
      </c>
      <c r="G365" s="57">
        <v>-694815787315145.38</v>
      </c>
    </row>
    <row r="366" spans="1:7" ht="11.25" customHeight="1" x14ac:dyDescent="0.2">
      <c r="A366" s="67">
        <v>44652</v>
      </c>
      <c r="B366" s="57">
        <v>77978.793749999997</v>
      </c>
      <c r="C366" s="57">
        <v>0</v>
      </c>
      <c r="D366" s="57">
        <v>-694815787315145.38</v>
      </c>
      <c r="E366" s="57">
        <v>0</v>
      </c>
      <c r="F366" s="57">
        <v>77978.793749999997</v>
      </c>
      <c r="G366" s="57">
        <v>-694815787315145.38</v>
      </c>
    </row>
    <row r="367" spans="1:7" ht="11.25" customHeight="1" x14ac:dyDescent="0.2">
      <c r="A367" s="65" t="s">
        <v>66</v>
      </c>
      <c r="B367" s="57">
        <v>153760.80499999999</v>
      </c>
      <c r="C367" s="57">
        <v>0</v>
      </c>
      <c r="D367" s="57">
        <v>-1370057545732240.3</v>
      </c>
      <c r="E367" s="57">
        <v>0</v>
      </c>
      <c r="F367" s="57">
        <v>153760.80499999999</v>
      </c>
      <c r="G367" s="57">
        <v>-1370057545732240.3</v>
      </c>
    </row>
    <row r="368" spans="1:7" ht="11.25" customHeight="1" x14ac:dyDescent="0.2">
      <c r="A368" s="66" t="s">
        <v>25</v>
      </c>
      <c r="B368" s="57">
        <v>153760.80499999999</v>
      </c>
      <c r="C368" s="57">
        <v>0</v>
      </c>
      <c r="D368" s="57">
        <v>-1370057545732240.3</v>
      </c>
      <c r="E368" s="57">
        <v>0</v>
      </c>
      <c r="F368" s="57">
        <v>153760.80499999999</v>
      </c>
      <c r="G368" s="57">
        <v>-1370057545732240.3</v>
      </c>
    </row>
    <row r="369" spans="1:7" ht="11.25" customHeight="1" x14ac:dyDescent="0.2">
      <c r="A369" s="67">
        <v>44317</v>
      </c>
      <c r="B369" s="57">
        <v>16100.425000000001</v>
      </c>
      <c r="C369" s="57">
        <v>0</v>
      </c>
      <c r="D369" s="57">
        <v>-143459893831500.19</v>
      </c>
      <c r="E369" s="57">
        <v>0</v>
      </c>
      <c r="F369" s="57">
        <v>16100.425000000001</v>
      </c>
      <c r="G369" s="57">
        <v>-143459893831500.19</v>
      </c>
    </row>
    <row r="370" spans="1:7" ht="11.25" customHeight="1" x14ac:dyDescent="0.2">
      <c r="A370" s="67">
        <v>44348</v>
      </c>
      <c r="B370" s="57">
        <v>16184.245000000001</v>
      </c>
      <c r="C370" s="57">
        <v>0</v>
      </c>
      <c r="D370" s="57">
        <v>-144206756619343.13</v>
      </c>
      <c r="E370" s="57">
        <v>0</v>
      </c>
      <c r="F370" s="57">
        <v>16184.245000000001</v>
      </c>
      <c r="G370" s="57">
        <v>-144206756619343.13</v>
      </c>
    </row>
    <row r="371" spans="1:7" ht="11.25" customHeight="1" x14ac:dyDescent="0.2">
      <c r="A371" s="67">
        <v>44378</v>
      </c>
      <c r="B371" s="57">
        <v>16358.87</v>
      </c>
      <c r="C371" s="57">
        <v>0</v>
      </c>
      <c r="D371" s="57">
        <v>-145762720760682.63</v>
      </c>
      <c r="E371" s="57">
        <v>0</v>
      </c>
      <c r="F371" s="57">
        <v>16358.87</v>
      </c>
      <c r="G371" s="57">
        <v>-145762720760682.63</v>
      </c>
    </row>
    <row r="372" spans="1:7" ht="11.25" customHeight="1" x14ac:dyDescent="0.2">
      <c r="A372" s="67">
        <v>44409</v>
      </c>
      <c r="B372" s="57">
        <v>10708.005000000001</v>
      </c>
      <c r="C372" s="57">
        <v>0</v>
      </c>
      <c r="D372" s="57">
        <v>-95411721146937</v>
      </c>
      <c r="E372" s="57">
        <v>0</v>
      </c>
      <c r="F372" s="57">
        <v>10708.005000000001</v>
      </c>
      <c r="G372" s="57">
        <v>-95411721146937</v>
      </c>
    </row>
    <row r="373" spans="1:7" ht="11.25" customHeight="1" x14ac:dyDescent="0.2">
      <c r="A373" s="67">
        <v>44440</v>
      </c>
      <c r="B373" s="57">
        <v>7446.01</v>
      </c>
      <c r="C373" s="57">
        <v>0</v>
      </c>
      <c r="D373" s="57">
        <v>-66346310986715.484</v>
      </c>
      <c r="E373" s="57">
        <v>0</v>
      </c>
      <c r="F373" s="57">
        <v>7446.01</v>
      </c>
      <c r="G373" s="57">
        <v>-66346310986715.484</v>
      </c>
    </row>
    <row r="374" spans="1:7" ht="11.25" customHeight="1" x14ac:dyDescent="0.2">
      <c r="A374" s="67">
        <v>44470</v>
      </c>
      <c r="B374" s="57">
        <v>13928.09</v>
      </c>
      <c r="C374" s="57">
        <v>0</v>
      </c>
      <c r="D374" s="57">
        <v>-124103699913237.03</v>
      </c>
      <c r="E374" s="57">
        <v>0</v>
      </c>
      <c r="F374" s="57">
        <v>13928.09</v>
      </c>
      <c r="G374" s="57">
        <v>-124103699913237.03</v>
      </c>
    </row>
    <row r="375" spans="1:7" ht="11.25" customHeight="1" x14ac:dyDescent="0.2">
      <c r="A375" s="67">
        <v>44501</v>
      </c>
      <c r="B375" s="57">
        <v>18412.46</v>
      </c>
      <c r="C375" s="57">
        <v>0</v>
      </c>
      <c r="D375" s="57">
        <v>-164060859062834.91</v>
      </c>
      <c r="E375" s="57">
        <v>0</v>
      </c>
      <c r="F375" s="57">
        <v>18412.46</v>
      </c>
      <c r="G375" s="57">
        <v>-164060859062834.91</v>
      </c>
    </row>
    <row r="376" spans="1:7" ht="11.25" customHeight="1" x14ac:dyDescent="0.2">
      <c r="A376" s="67">
        <v>44531</v>
      </c>
      <c r="B376" s="57">
        <v>13054.965</v>
      </c>
      <c r="C376" s="57">
        <v>0</v>
      </c>
      <c r="D376" s="57">
        <v>-116323879206539.63</v>
      </c>
      <c r="E376" s="57">
        <v>0</v>
      </c>
      <c r="F376" s="57">
        <v>13054.965</v>
      </c>
      <c r="G376" s="57">
        <v>-116323879206539.63</v>
      </c>
    </row>
    <row r="377" spans="1:7" ht="11.25" customHeight="1" x14ac:dyDescent="0.2">
      <c r="A377" s="67">
        <v>44562</v>
      </c>
      <c r="B377" s="57">
        <v>16254.095000000001</v>
      </c>
      <c r="C377" s="57">
        <v>0</v>
      </c>
      <c r="D377" s="57">
        <v>-144829142275878.94</v>
      </c>
      <c r="E377" s="57">
        <v>0</v>
      </c>
      <c r="F377" s="57">
        <v>16254.095000000001</v>
      </c>
      <c r="G377" s="57">
        <v>-144829142275878.94</v>
      </c>
    </row>
    <row r="378" spans="1:7" ht="11.25" customHeight="1" x14ac:dyDescent="0.2">
      <c r="A378" s="67">
        <v>44593</v>
      </c>
      <c r="B378" s="57">
        <v>9513.57</v>
      </c>
      <c r="C378" s="57">
        <v>0</v>
      </c>
      <c r="D378" s="57">
        <v>-84768926420174.938</v>
      </c>
      <c r="E378" s="57">
        <v>0</v>
      </c>
      <c r="F378" s="57">
        <v>9513.57</v>
      </c>
      <c r="G378" s="57">
        <v>-84768926420174.938</v>
      </c>
    </row>
    <row r="379" spans="1:7" ht="11.25" customHeight="1" x14ac:dyDescent="0.2">
      <c r="A379" s="67">
        <v>44621</v>
      </c>
      <c r="B379" s="57">
        <v>7900.0350000000008</v>
      </c>
      <c r="C379" s="57">
        <v>0</v>
      </c>
      <c r="D379" s="57">
        <v>-70391817754198.141</v>
      </c>
      <c r="E379" s="57">
        <v>0</v>
      </c>
      <c r="F379" s="57">
        <v>7900.0350000000008</v>
      </c>
      <c r="G379" s="57">
        <v>-70391817754198.141</v>
      </c>
    </row>
    <row r="380" spans="1:7" ht="11.25" customHeight="1" x14ac:dyDescent="0.2">
      <c r="A380" s="67">
        <v>44652</v>
      </c>
      <c r="B380" s="57">
        <v>7900.0350000000008</v>
      </c>
      <c r="C380" s="57">
        <v>0</v>
      </c>
      <c r="D380" s="57">
        <v>-70391817754198.141</v>
      </c>
      <c r="E380" s="57">
        <v>0</v>
      </c>
      <c r="F380" s="57">
        <v>7900.0350000000008</v>
      </c>
      <c r="G380" s="57">
        <v>-70391817754198.141</v>
      </c>
    </row>
    <row r="381" spans="1:7" ht="11.25" customHeight="1" x14ac:dyDescent="0.2">
      <c r="A381" s="65" t="s">
        <v>73</v>
      </c>
      <c r="B381" s="57">
        <v>1479918.9350000001</v>
      </c>
      <c r="C381" s="57">
        <v>0</v>
      </c>
      <c r="D381" s="57">
        <v>-1.3186547143589492E+16</v>
      </c>
      <c r="E381" s="57">
        <v>0</v>
      </c>
      <c r="F381" s="57">
        <v>1479918.9350000001</v>
      </c>
      <c r="G381" s="57">
        <v>-1.3186547143589492E+16</v>
      </c>
    </row>
    <row r="382" spans="1:7" ht="11.25" customHeight="1" x14ac:dyDescent="0.2">
      <c r="A382" s="66" t="s">
        <v>25</v>
      </c>
      <c r="B382" s="57">
        <v>1479918.9350000001</v>
      </c>
      <c r="C382" s="57">
        <v>0</v>
      </c>
      <c r="D382" s="57">
        <v>-1.3186547143589492E+16</v>
      </c>
      <c r="E382" s="57">
        <v>0</v>
      </c>
      <c r="F382" s="57">
        <v>1479918.9350000001</v>
      </c>
      <c r="G382" s="57">
        <v>-1.3186547143589492E+16</v>
      </c>
    </row>
    <row r="383" spans="1:7" ht="11.25" customHeight="1" x14ac:dyDescent="0.2">
      <c r="A383" s="67">
        <v>44317</v>
      </c>
      <c r="B383" s="57">
        <v>115252.5</v>
      </c>
      <c r="C383" s="57">
        <v>0</v>
      </c>
      <c r="D383" s="57">
        <v>-1026936333284057.8</v>
      </c>
      <c r="E383" s="57">
        <v>0</v>
      </c>
      <c r="F383" s="57">
        <v>115252.5</v>
      </c>
      <c r="G383" s="57">
        <v>-1026936333284057.8</v>
      </c>
    </row>
    <row r="384" spans="1:7" ht="11.25" customHeight="1" x14ac:dyDescent="0.2">
      <c r="A384" s="67">
        <v>44348</v>
      </c>
      <c r="B384" s="57">
        <v>115252.5</v>
      </c>
      <c r="C384" s="57">
        <v>0</v>
      </c>
      <c r="D384" s="57">
        <v>-1026936333284057.8</v>
      </c>
      <c r="E384" s="57">
        <v>0</v>
      </c>
      <c r="F384" s="57">
        <v>115252.5</v>
      </c>
      <c r="G384" s="57">
        <v>-1026936333284057.8</v>
      </c>
    </row>
    <row r="385" spans="1:7" ht="11.25" customHeight="1" x14ac:dyDescent="0.2">
      <c r="A385" s="67">
        <v>44378</v>
      </c>
      <c r="B385" s="57">
        <v>115252.5</v>
      </c>
      <c r="C385" s="57">
        <v>0</v>
      </c>
      <c r="D385" s="57">
        <v>-1026936333284057.8</v>
      </c>
      <c r="E385" s="57">
        <v>0</v>
      </c>
      <c r="F385" s="57">
        <v>115252.5</v>
      </c>
      <c r="G385" s="57">
        <v>-1026936333284057.8</v>
      </c>
    </row>
    <row r="386" spans="1:7" ht="11.25" customHeight="1" x14ac:dyDescent="0.2">
      <c r="A386" s="67">
        <v>44409</v>
      </c>
      <c r="B386" s="57">
        <v>115252.5</v>
      </c>
      <c r="C386" s="57">
        <v>0</v>
      </c>
      <c r="D386" s="57">
        <v>-1026936333284057.8</v>
      </c>
      <c r="E386" s="57">
        <v>0</v>
      </c>
      <c r="F386" s="57">
        <v>115252.5</v>
      </c>
      <c r="G386" s="57">
        <v>-1026936333284057.8</v>
      </c>
    </row>
    <row r="387" spans="1:7" ht="11.25" customHeight="1" x14ac:dyDescent="0.2">
      <c r="A387" s="67">
        <v>44440</v>
      </c>
      <c r="B387" s="57">
        <v>115252.5</v>
      </c>
      <c r="C387" s="57">
        <v>0</v>
      </c>
      <c r="D387" s="57">
        <v>-1026936333284057.8</v>
      </c>
      <c r="E387" s="57">
        <v>0</v>
      </c>
      <c r="F387" s="57">
        <v>115252.5</v>
      </c>
      <c r="G387" s="57">
        <v>-1026936333284057.8</v>
      </c>
    </row>
    <row r="388" spans="1:7" ht="11.25" customHeight="1" x14ac:dyDescent="0.2">
      <c r="A388" s="67">
        <v>44470</v>
      </c>
      <c r="B388" s="57">
        <v>145902.68</v>
      </c>
      <c r="C388" s="57">
        <v>0</v>
      </c>
      <c r="D388" s="57">
        <v>-1300039159371963.5</v>
      </c>
      <c r="E388" s="57">
        <v>0</v>
      </c>
      <c r="F388" s="57">
        <v>145902.68</v>
      </c>
      <c r="G388" s="57">
        <v>-1300039159371963.5</v>
      </c>
    </row>
    <row r="389" spans="1:7" ht="11.25" customHeight="1" x14ac:dyDescent="0.2">
      <c r="A389" s="67">
        <v>44501</v>
      </c>
      <c r="B389" s="57">
        <v>144945.73500000002</v>
      </c>
      <c r="C389" s="57">
        <v>0</v>
      </c>
      <c r="D389" s="57">
        <v>-1291512475877423</v>
      </c>
      <c r="E389" s="57">
        <v>0</v>
      </c>
      <c r="F389" s="57">
        <v>144945.73500000002</v>
      </c>
      <c r="G389" s="57">
        <v>-1291512475877423</v>
      </c>
    </row>
    <row r="390" spans="1:7" ht="11.25" customHeight="1" x14ac:dyDescent="0.2">
      <c r="A390" s="67">
        <v>44531</v>
      </c>
      <c r="B390" s="57">
        <v>151798.02000000002</v>
      </c>
      <c r="C390" s="57">
        <v>0</v>
      </c>
      <c r="D390" s="57">
        <v>-1352568508783584.3</v>
      </c>
      <c r="E390" s="57">
        <v>0</v>
      </c>
      <c r="F390" s="57">
        <v>151798.02000000002</v>
      </c>
      <c r="G390" s="57">
        <v>-1352568508783584.3</v>
      </c>
    </row>
    <row r="391" spans="1:7" ht="11.25" customHeight="1" x14ac:dyDescent="0.2">
      <c r="A391" s="67">
        <v>44562</v>
      </c>
      <c r="B391" s="57">
        <v>115252.5</v>
      </c>
      <c r="C391" s="57">
        <v>0</v>
      </c>
      <c r="D391" s="57">
        <v>-1026936333284057.8</v>
      </c>
      <c r="E391" s="57">
        <v>0</v>
      </c>
      <c r="F391" s="57">
        <v>115252.5</v>
      </c>
      <c r="G391" s="57">
        <v>-1026936333284057.8</v>
      </c>
    </row>
    <row r="392" spans="1:7" ht="11.25" customHeight="1" x14ac:dyDescent="0.2">
      <c r="A392" s="67">
        <v>44593</v>
      </c>
      <c r="B392" s="57">
        <v>115252.5</v>
      </c>
      <c r="C392" s="57">
        <v>0</v>
      </c>
      <c r="D392" s="57">
        <v>-1026936333284057.8</v>
      </c>
      <c r="E392" s="57">
        <v>0</v>
      </c>
      <c r="F392" s="57">
        <v>115252.5</v>
      </c>
      <c r="G392" s="57">
        <v>-1026936333284057.8</v>
      </c>
    </row>
    <row r="393" spans="1:7" ht="11.25" customHeight="1" x14ac:dyDescent="0.2">
      <c r="A393" s="67">
        <v>44621</v>
      </c>
      <c r="B393" s="57">
        <v>115252.5</v>
      </c>
      <c r="C393" s="57">
        <v>0</v>
      </c>
      <c r="D393" s="57">
        <v>-1026936333284057.8</v>
      </c>
      <c r="E393" s="57">
        <v>0</v>
      </c>
      <c r="F393" s="57">
        <v>115252.5</v>
      </c>
      <c r="G393" s="57">
        <v>-1026936333284057.8</v>
      </c>
    </row>
    <row r="394" spans="1:7" ht="11.25" customHeight="1" x14ac:dyDescent="0.2">
      <c r="A394" s="67">
        <v>44652</v>
      </c>
      <c r="B394" s="57">
        <v>115252.5</v>
      </c>
      <c r="C394" s="57">
        <v>0</v>
      </c>
      <c r="D394" s="57">
        <v>-1026936333284057.8</v>
      </c>
      <c r="E394" s="57">
        <v>0</v>
      </c>
      <c r="F394" s="57">
        <v>115252.5</v>
      </c>
      <c r="G394" s="57">
        <v>-1026936333284057.8</v>
      </c>
    </row>
    <row r="395" spans="1:7" ht="11.25" customHeight="1" x14ac:dyDescent="0.2">
      <c r="A395" s="64" t="s">
        <v>25</v>
      </c>
      <c r="B395" s="57">
        <v>963930</v>
      </c>
      <c r="C395" s="57">
        <v>0</v>
      </c>
      <c r="D395" s="57">
        <v>-8588922060193939</v>
      </c>
      <c r="E395" s="57">
        <v>0</v>
      </c>
      <c r="F395" s="57">
        <v>963930</v>
      </c>
      <c r="G395" s="57">
        <v>-8588922060193939</v>
      </c>
    </row>
    <row r="396" spans="1:7" ht="11.25" customHeight="1" x14ac:dyDescent="0.2">
      <c r="A396" s="65" t="s">
        <v>69</v>
      </c>
      <c r="B396" s="57">
        <v>963930</v>
      </c>
      <c r="C396" s="57">
        <v>0</v>
      </c>
      <c r="D396" s="57">
        <v>-8588922060193939</v>
      </c>
      <c r="E396" s="57">
        <v>0</v>
      </c>
      <c r="F396" s="57">
        <v>963930</v>
      </c>
      <c r="G396" s="57">
        <v>-8588922060193939</v>
      </c>
    </row>
    <row r="397" spans="1:7" ht="11.25" customHeight="1" x14ac:dyDescent="0.2">
      <c r="A397" s="66" t="s">
        <v>25</v>
      </c>
      <c r="B397" s="57">
        <v>963930</v>
      </c>
      <c r="C397" s="57">
        <v>0</v>
      </c>
      <c r="D397" s="57">
        <v>-8588922060193939</v>
      </c>
      <c r="E397" s="57">
        <v>0</v>
      </c>
      <c r="F397" s="57">
        <v>963930</v>
      </c>
      <c r="G397" s="57">
        <v>-8588922060193939</v>
      </c>
    </row>
    <row r="398" spans="1:7" ht="11.25" customHeight="1" x14ac:dyDescent="0.2">
      <c r="A398" s="67">
        <v>44317</v>
      </c>
      <c r="B398" s="57">
        <v>90805</v>
      </c>
      <c r="C398" s="57">
        <v>0</v>
      </c>
      <c r="D398" s="57">
        <v>-809101353496530.25</v>
      </c>
      <c r="E398" s="57">
        <v>0</v>
      </c>
      <c r="F398" s="57">
        <v>90805</v>
      </c>
      <c r="G398" s="57">
        <v>-809101353496530.25</v>
      </c>
    </row>
    <row r="399" spans="1:7" ht="11.25" customHeight="1" x14ac:dyDescent="0.2">
      <c r="A399" s="67">
        <v>44348</v>
      </c>
      <c r="B399" s="57">
        <v>90805</v>
      </c>
      <c r="C399" s="57">
        <v>0</v>
      </c>
      <c r="D399" s="57">
        <v>-809101353496530.25</v>
      </c>
      <c r="E399" s="57">
        <v>0</v>
      </c>
      <c r="F399" s="57">
        <v>90805</v>
      </c>
      <c r="G399" s="57">
        <v>-809101353496530.25</v>
      </c>
    </row>
    <row r="400" spans="1:7" ht="11.25" customHeight="1" x14ac:dyDescent="0.2">
      <c r="A400" s="67">
        <v>44378</v>
      </c>
      <c r="B400" s="57">
        <v>90805</v>
      </c>
      <c r="C400" s="57">
        <v>0</v>
      </c>
      <c r="D400" s="57">
        <v>-809101353496530.25</v>
      </c>
      <c r="E400" s="57">
        <v>0</v>
      </c>
      <c r="F400" s="57">
        <v>90805</v>
      </c>
      <c r="G400" s="57">
        <v>-809101353496530.25</v>
      </c>
    </row>
    <row r="401" spans="1:7" ht="11.25" customHeight="1" x14ac:dyDescent="0.2">
      <c r="A401" s="67">
        <v>44409</v>
      </c>
      <c r="B401" s="57">
        <v>76835</v>
      </c>
      <c r="C401" s="57">
        <v>0</v>
      </c>
      <c r="D401" s="57">
        <v>-684624222189371.75</v>
      </c>
      <c r="E401" s="57">
        <v>0</v>
      </c>
      <c r="F401" s="57">
        <v>76835</v>
      </c>
      <c r="G401" s="57">
        <v>-684624222189371.75</v>
      </c>
    </row>
    <row r="402" spans="1:7" ht="11.25" customHeight="1" x14ac:dyDescent="0.2">
      <c r="A402" s="67">
        <v>44440</v>
      </c>
      <c r="B402" s="57">
        <v>76835</v>
      </c>
      <c r="C402" s="57">
        <v>0</v>
      </c>
      <c r="D402" s="57">
        <v>-684624222189371.75</v>
      </c>
      <c r="E402" s="57">
        <v>0</v>
      </c>
      <c r="F402" s="57">
        <v>76835</v>
      </c>
      <c r="G402" s="57">
        <v>-684624222189371.75</v>
      </c>
    </row>
    <row r="403" spans="1:7" ht="11.25" customHeight="1" x14ac:dyDescent="0.2">
      <c r="A403" s="67">
        <v>44470</v>
      </c>
      <c r="B403" s="57">
        <v>76835</v>
      </c>
      <c r="C403" s="57">
        <v>0</v>
      </c>
      <c r="D403" s="57">
        <v>-684624222189371.75</v>
      </c>
      <c r="E403" s="57">
        <v>0</v>
      </c>
      <c r="F403" s="57">
        <v>76835</v>
      </c>
      <c r="G403" s="57">
        <v>-684624222189371.75</v>
      </c>
    </row>
    <row r="404" spans="1:7" ht="11.25" customHeight="1" x14ac:dyDescent="0.2">
      <c r="A404" s="67">
        <v>44501</v>
      </c>
      <c r="B404" s="57">
        <v>76835</v>
      </c>
      <c r="C404" s="57">
        <v>0</v>
      </c>
      <c r="D404" s="57">
        <v>-684624222189371.75</v>
      </c>
      <c r="E404" s="57">
        <v>0</v>
      </c>
      <c r="F404" s="57">
        <v>76835</v>
      </c>
      <c r="G404" s="57">
        <v>-684624222189371.75</v>
      </c>
    </row>
    <row r="405" spans="1:7" ht="11.25" customHeight="1" x14ac:dyDescent="0.2">
      <c r="A405" s="67">
        <v>44531</v>
      </c>
      <c r="B405" s="57">
        <v>76835</v>
      </c>
      <c r="C405" s="57">
        <v>0</v>
      </c>
      <c r="D405" s="57">
        <v>-684624222189371.75</v>
      </c>
      <c r="E405" s="57">
        <v>0</v>
      </c>
      <c r="F405" s="57">
        <v>76835</v>
      </c>
      <c r="G405" s="57">
        <v>-684624222189371.75</v>
      </c>
    </row>
    <row r="406" spans="1:7" ht="11.25" customHeight="1" x14ac:dyDescent="0.2">
      <c r="A406" s="67">
        <v>44562</v>
      </c>
      <c r="B406" s="57">
        <v>76835</v>
      </c>
      <c r="C406" s="57">
        <v>0</v>
      </c>
      <c r="D406" s="57">
        <v>-684624222189371.75</v>
      </c>
      <c r="E406" s="57">
        <v>0</v>
      </c>
      <c r="F406" s="57">
        <v>76835</v>
      </c>
      <c r="G406" s="57">
        <v>-684624222189371.75</v>
      </c>
    </row>
    <row r="407" spans="1:7" ht="11.25" customHeight="1" x14ac:dyDescent="0.2">
      <c r="A407" s="67">
        <v>44593</v>
      </c>
      <c r="B407" s="57">
        <v>76835</v>
      </c>
      <c r="C407" s="57">
        <v>0</v>
      </c>
      <c r="D407" s="57">
        <v>-684624222189371.75</v>
      </c>
      <c r="E407" s="57">
        <v>0</v>
      </c>
      <c r="F407" s="57">
        <v>76835</v>
      </c>
      <c r="G407" s="57">
        <v>-684624222189371.75</v>
      </c>
    </row>
    <row r="408" spans="1:7" ht="11.25" customHeight="1" x14ac:dyDescent="0.2">
      <c r="A408" s="67">
        <v>44621</v>
      </c>
      <c r="B408" s="57">
        <v>76835</v>
      </c>
      <c r="C408" s="57">
        <v>0</v>
      </c>
      <c r="D408" s="57">
        <v>-684624222189371.75</v>
      </c>
      <c r="E408" s="57">
        <v>0</v>
      </c>
      <c r="F408" s="57">
        <v>76835</v>
      </c>
      <c r="G408" s="57">
        <v>-684624222189371.75</v>
      </c>
    </row>
    <row r="409" spans="1:7" ht="11.25" customHeight="1" x14ac:dyDescent="0.2">
      <c r="A409" s="67">
        <v>44652</v>
      </c>
      <c r="B409" s="57">
        <v>76835</v>
      </c>
      <c r="C409" s="57">
        <v>0</v>
      </c>
      <c r="D409" s="57">
        <v>-684624222189371.75</v>
      </c>
      <c r="E409" s="57">
        <v>0</v>
      </c>
      <c r="F409" s="57">
        <v>76835</v>
      </c>
      <c r="G409" s="57">
        <v>-684624222189371.75</v>
      </c>
    </row>
    <row r="410" spans="1:7" ht="11.25" customHeight="1" x14ac:dyDescent="0.2">
      <c r="A410" s="60" t="s">
        <v>33</v>
      </c>
      <c r="B410" s="57">
        <v>228637.31000000008</v>
      </c>
      <c r="C410" s="57">
        <v>0</v>
      </c>
      <c r="D410" s="57">
        <v>274325.42610487354</v>
      </c>
      <c r="E410" s="57">
        <v>0</v>
      </c>
      <c r="F410" s="57">
        <v>228637.31000000008</v>
      </c>
      <c r="G410" s="57">
        <v>274325.42610487354</v>
      </c>
    </row>
    <row r="411" spans="1:7" ht="11.25" customHeight="1" x14ac:dyDescent="0.2">
      <c r="A411" s="61" t="s">
        <v>64</v>
      </c>
      <c r="B411" s="57">
        <v>228637.31000000008</v>
      </c>
      <c r="C411" s="57">
        <v>0</v>
      </c>
      <c r="D411" s="57">
        <v>274325.42610487354</v>
      </c>
      <c r="E411" s="57">
        <v>0</v>
      </c>
      <c r="F411" s="57">
        <v>228637.31000000008</v>
      </c>
      <c r="G411" s="57">
        <v>274325.42610487354</v>
      </c>
    </row>
    <row r="412" spans="1:7" ht="11.25" customHeight="1" x14ac:dyDescent="0.2">
      <c r="A412" s="62" t="s">
        <v>25</v>
      </c>
      <c r="B412" s="57">
        <v>228637.31000000008</v>
      </c>
      <c r="C412" s="57">
        <v>0</v>
      </c>
      <c r="D412" s="57">
        <v>274325.42610487354</v>
      </c>
      <c r="E412" s="57">
        <v>0</v>
      </c>
      <c r="F412" s="57">
        <v>228637.31000000008</v>
      </c>
      <c r="G412" s="57">
        <v>274325.42610487354</v>
      </c>
    </row>
    <row r="413" spans="1:7" ht="11.25" customHeight="1" x14ac:dyDescent="0.2">
      <c r="A413" s="63" t="s">
        <v>25</v>
      </c>
      <c r="B413" s="57">
        <v>228637.31000000008</v>
      </c>
      <c r="C413" s="57">
        <v>0</v>
      </c>
      <c r="D413" s="57">
        <v>274325.42610487354</v>
      </c>
      <c r="E413" s="57">
        <v>0</v>
      </c>
      <c r="F413" s="57">
        <v>228637.31000000008</v>
      </c>
      <c r="G413" s="57">
        <v>274325.42610487354</v>
      </c>
    </row>
    <row r="414" spans="1:7" ht="11.25" customHeight="1" x14ac:dyDescent="0.2">
      <c r="A414" s="64" t="s">
        <v>65</v>
      </c>
      <c r="B414" s="57">
        <v>159670.83000000002</v>
      </c>
      <c r="C414" s="57">
        <v>0</v>
      </c>
      <c r="D414" s="57">
        <v>191577.51845605965</v>
      </c>
      <c r="E414" s="57">
        <v>0</v>
      </c>
      <c r="F414" s="57">
        <v>159670.83000000002</v>
      </c>
      <c r="G414" s="57">
        <v>191577.51845605965</v>
      </c>
    </row>
    <row r="415" spans="1:7" ht="11.25" customHeight="1" x14ac:dyDescent="0.2">
      <c r="A415" s="65" t="s">
        <v>68</v>
      </c>
      <c r="B415" s="57">
        <v>159670.83000000002</v>
      </c>
      <c r="C415" s="57">
        <v>0</v>
      </c>
      <c r="D415" s="57">
        <v>191577.51845605965</v>
      </c>
      <c r="E415" s="57">
        <v>0</v>
      </c>
      <c r="F415" s="57">
        <v>159670.83000000002</v>
      </c>
      <c r="G415" s="57">
        <v>191577.51845605965</v>
      </c>
    </row>
    <row r="416" spans="1:7" ht="11.25" customHeight="1" x14ac:dyDescent="0.2">
      <c r="A416" s="66" t="s">
        <v>25</v>
      </c>
      <c r="B416" s="57">
        <v>159670.83000000002</v>
      </c>
      <c r="C416" s="57">
        <v>0</v>
      </c>
      <c r="D416" s="57">
        <v>191577.51845605965</v>
      </c>
      <c r="E416" s="57">
        <v>0</v>
      </c>
      <c r="F416" s="57">
        <v>159670.83000000002</v>
      </c>
      <c r="G416" s="57">
        <v>191577.51845605965</v>
      </c>
    </row>
    <row r="417" spans="1:7" ht="11.25" customHeight="1" x14ac:dyDescent="0.2">
      <c r="A417" s="67">
        <v>44317</v>
      </c>
      <c r="B417" s="57">
        <v>13356.86</v>
      </c>
      <c r="C417" s="57">
        <v>0</v>
      </c>
      <c r="D417" s="57">
        <v>16025.93343546223</v>
      </c>
      <c r="E417" s="57">
        <v>0</v>
      </c>
      <c r="F417" s="57">
        <v>13356.86</v>
      </c>
      <c r="G417" s="57">
        <v>16025.93343546223</v>
      </c>
    </row>
    <row r="418" spans="1:7" ht="11.25" customHeight="1" x14ac:dyDescent="0.2">
      <c r="A418" s="67">
        <v>44348</v>
      </c>
      <c r="B418" s="57">
        <v>13770.514999999999</v>
      </c>
      <c r="C418" s="57">
        <v>0</v>
      </c>
      <c r="D418" s="57">
        <v>16522.248250115234</v>
      </c>
      <c r="E418" s="57">
        <v>0</v>
      </c>
      <c r="F418" s="57">
        <v>13770.514999999999</v>
      </c>
      <c r="G418" s="57">
        <v>16522.248250115234</v>
      </c>
    </row>
    <row r="419" spans="1:7" ht="11.25" customHeight="1" x14ac:dyDescent="0.2">
      <c r="A419" s="67">
        <v>44378</v>
      </c>
      <c r="B419" s="57">
        <v>13584.67</v>
      </c>
      <c r="C419" s="57">
        <v>0</v>
      </c>
      <c r="D419" s="57">
        <v>16299.266231937798</v>
      </c>
      <c r="E419" s="57">
        <v>0</v>
      </c>
      <c r="F419" s="57">
        <v>13584.67</v>
      </c>
      <c r="G419" s="57">
        <v>16299.266231937798</v>
      </c>
    </row>
    <row r="420" spans="1:7" ht="11.25" customHeight="1" x14ac:dyDescent="0.2">
      <c r="A420" s="67">
        <v>44409</v>
      </c>
      <c r="B420" s="57">
        <v>13027.135</v>
      </c>
      <c r="C420" s="57">
        <v>0</v>
      </c>
      <c r="D420" s="57">
        <v>15630.320177405487</v>
      </c>
      <c r="E420" s="57">
        <v>0</v>
      </c>
      <c r="F420" s="57">
        <v>13027.135</v>
      </c>
      <c r="G420" s="57">
        <v>15630.320177405487</v>
      </c>
    </row>
    <row r="421" spans="1:7" ht="11.25" customHeight="1" x14ac:dyDescent="0.2">
      <c r="A421" s="67">
        <v>44440</v>
      </c>
      <c r="B421" s="57">
        <v>18800.32</v>
      </c>
      <c r="C421" s="57">
        <v>0</v>
      </c>
      <c r="D421" s="57">
        <v>22557.148677562636</v>
      </c>
      <c r="E421" s="57">
        <v>0</v>
      </c>
      <c r="F421" s="57">
        <v>18800.32</v>
      </c>
      <c r="G421" s="57">
        <v>22557.148677562636</v>
      </c>
    </row>
    <row r="422" spans="1:7" ht="11.25" customHeight="1" x14ac:dyDescent="0.2">
      <c r="A422" s="67">
        <v>44470</v>
      </c>
      <c r="B422" s="57">
        <v>14429.965</v>
      </c>
      <c r="C422" s="57">
        <v>0</v>
      </c>
      <c r="D422" s="57">
        <v>17313.474766228719</v>
      </c>
      <c r="E422" s="57">
        <v>0</v>
      </c>
      <c r="F422" s="57">
        <v>14429.965</v>
      </c>
      <c r="G422" s="57">
        <v>17313.474766228719</v>
      </c>
    </row>
    <row r="423" spans="1:7" ht="11.25" customHeight="1" x14ac:dyDescent="0.2">
      <c r="A423" s="67">
        <v>44501</v>
      </c>
      <c r="B423" s="57">
        <v>12001.99</v>
      </c>
      <c r="C423" s="57">
        <v>0</v>
      </c>
      <c r="D423" s="57">
        <v>14400.322593265431</v>
      </c>
      <c r="E423" s="57">
        <v>0</v>
      </c>
      <c r="F423" s="57">
        <v>12001.99</v>
      </c>
      <c r="G423" s="57">
        <v>14400.322593265431</v>
      </c>
    </row>
    <row r="424" spans="1:7" ht="11.25" customHeight="1" x14ac:dyDescent="0.2">
      <c r="A424" s="67">
        <v>44531</v>
      </c>
      <c r="B424" s="57">
        <v>12703.405000000001</v>
      </c>
      <c r="C424" s="57">
        <v>0</v>
      </c>
      <c r="D424" s="57">
        <v>15241.899887677049</v>
      </c>
      <c r="E424" s="57">
        <v>0</v>
      </c>
      <c r="F424" s="57">
        <v>12703.405000000001</v>
      </c>
      <c r="G424" s="57">
        <v>15241.899887677049</v>
      </c>
    </row>
    <row r="425" spans="1:7" ht="11.25" customHeight="1" x14ac:dyDescent="0.2">
      <c r="A425" s="67">
        <v>44562</v>
      </c>
      <c r="B425" s="57">
        <v>12487.585000000001</v>
      </c>
      <c r="C425" s="57">
        <v>0</v>
      </c>
      <c r="D425" s="57">
        <v>14982.95302785809</v>
      </c>
      <c r="E425" s="57">
        <v>0</v>
      </c>
      <c r="F425" s="57">
        <v>12487.585000000001</v>
      </c>
      <c r="G425" s="57">
        <v>14982.95302785809</v>
      </c>
    </row>
    <row r="426" spans="1:7" ht="11.25" customHeight="1" x14ac:dyDescent="0.2">
      <c r="A426" s="67">
        <v>44593</v>
      </c>
      <c r="B426" s="57">
        <v>11972.014999999999</v>
      </c>
      <c r="C426" s="57">
        <v>0</v>
      </c>
      <c r="D426" s="57">
        <v>14364.357751623909</v>
      </c>
      <c r="E426" s="57">
        <v>0</v>
      </c>
      <c r="F426" s="57">
        <v>11972.014999999999</v>
      </c>
      <c r="G426" s="57">
        <v>14364.357751623909</v>
      </c>
    </row>
    <row r="427" spans="1:7" ht="11.25" customHeight="1" x14ac:dyDescent="0.2">
      <c r="A427" s="67">
        <v>44621</v>
      </c>
      <c r="B427" s="57">
        <v>11768.184999999999</v>
      </c>
      <c r="C427" s="57">
        <v>0</v>
      </c>
      <c r="D427" s="57">
        <v>14119.79682846156</v>
      </c>
      <c r="E427" s="57">
        <v>0</v>
      </c>
      <c r="F427" s="57">
        <v>11768.184999999999</v>
      </c>
      <c r="G427" s="57">
        <v>14119.79682846156</v>
      </c>
    </row>
    <row r="428" spans="1:7" ht="11.25" customHeight="1" x14ac:dyDescent="0.2">
      <c r="A428" s="67">
        <v>44652</v>
      </c>
      <c r="B428" s="57">
        <v>11768.184999999999</v>
      </c>
      <c r="C428" s="57">
        <v>0</v>
      </c>
      <c r="D428" s="57">
        <v>14119.79682846156</v>
      </c>
      <c r="E428" s="57">
        <v>0</v>
      </c>
      <c r="F428" s="57">
        <v>11768.184999999999</v>
      </c>
      <c r="G428" s="57">
        <v>14119.79682846156</v>
      </c>
    </row>
    <row r="429" spans="1:7" ht="11.25" customHeight="1" x14ac:dyDescent="0.2">
      <c r="A429" s="64" t="s">
        <v>25</v>
      </c>
      <c r="B429" s="57">
        <v>68966.48</v>
      </c>
      <c r="C429" s="57">
        <v>0</v>
      </c>
      <c r="D429" s="57">
        <v>82747.90764881394</v>
      </c>
      <c r="E429" s="57">
        <v>0</v>
      </c>
      <c r="F429" s="57">
        <v>68966.48</v>
      </c>
      <c r="G429" s="57">
        <v>82747.90764881394</v>
      </c>
    </row>
    <row r="430" spans="1:7" ht="11.25" customHeight="1" x14ac:dyDescent="0.2">
      <c r="A430" s="65" t="s">
        <v>72</v>
      </c>
      <c r="B430" s="57">
        <v>68966.48</v>
      </c>
      <c r="C430" s="57">
        <v>0</v>
      </c>
      <c r="D430" s="57">
        <v>82747.90764881394</v>
      </c>
      <c r="E430" s="57">
        <v>0</v>
      </c>
      <c r="F430" s="57">
        <v>68966.48</v>
      </c>
      <c r="G430" s="57">
        <v>82747.90764881394</v>
      </c>
    </row>
    <row r="431" spans="1:7" ht="11.25" customHeight="1" x14ac:dyDescent="0.2">
      <c r="A431" s="66" t="s">
        <v>25</v>
      </c>
      <c r="B431" s="57">
        <v>68966.48</v>
      </c>
      <c r="C431" s="57">
        <v>0</v>
      </c>
      <c r="D431" s="57">
        <v>82747.90764881394</v>
      </c>
      <c r="E431" s="57">
        <v>0</v>
      </c>
      <c r="F431" s="57">
        <v>68966.48</v>
      </c>
      <c r="G431" s="57">
        <v>82747.90764881394</v>
      </c>
    </row>
    <row r="432" spans="1:7" ht="11.25" customHeight="1" x14ac:dyDescent="0.2">
      <c r="A432" s="67">
        <v>44317</v>
      </c>
      <c r="B432" s="57">
        <v>5695.25</v>
      </c>
      <c r="C432" s="57">
        <v>0</v>
      </c>
      <c r="D432" s="57">
        <v>6833.3199118891907</v>
      </c>
      <c r="E432" s="57">
        <v>0</v>
      </c>
      <c r="F432" s="57">
        <v>5695.25</v>
      </c>
      <c r="G432" s="57">
        <v>6833.3199118891907</v>
      </c>
    </row>
    <row r="433" spans="1:7" ht="11.25" customHeight="1" x14ac:dyDescent="0.2">
      <c r="A433" s="67">
        <v>44348</v>
      </c>
      <c r="B433" s="57">
        <v>5695.25</v>
      </c>
      <c r="C433" s="57">
        <v>0</v>
      </c>
      <c r="D433" s="57">
        <v>6833.3199118891907</v>
      </c>
      <c r="E433" s="57">
        <v>0</v>
      </c>
      <c r="F433" s="57">
        <v>5695.25</v>
      </c>
      <c r="G433" s="57">
        <v>6833.3199118891907</v>
      </c>
    </row>
    <row r="434" spans="1:7" ht="11.25" customHeight="1" x14ac:dyDescent="0.2">
      <c r="A434" s="67">
        <v>44378</v>
      </c>
      <c r="B434" s="57">
        <v>5725.2250000000004</v>
      </c>
      <c r="C434" s="57">
        <v>0</v>
      </c>
      <c r="D434" s="57">
        <v>6869.2847535307128</v>
      </c>
      <c r="E434" s="57">
        <v>0</v>
      </c>
      <c r="F434" s="57">
        <v>5725.2250000000004</v>
      </c>
      <c r="G434" s="57">
        <v>6869.2847535307128</v>
      </c>
    </row>
    <row r="435" spans="1:7" ht="11.25" customHeight="1" x14ac:dyDescent="0.2">
      <c r="A435" s="67">
        <v>44409</v>
      </c>
      <c r="B435" s="57">
        <v>5905.0749999999998</v>
      </c>
      <c r="C435" s="57">
        <v>0</v>
      </c>
      <c r="D435" s="57">
        <v>7085.0738033798452</v>
      </c>
      <c r="E435" s="57">
        <v>0</v>
      </c>
      <c r="F435" s="57">
        <v>5905.0749999999998</v>
      </c>
      <c r="G435" s="57">
        <v>7085.0738033798452</v>
      </c>
    </row>
    <row r="436" spans="1:7" ht="11.25" customHeight="1" x14ac:dyDescent="0.2">
      <c r="A436" s="67">
        <v>44440</v>
      </c>
      <c r="B436" s="57">
        <v>6054.95</v>
      </c>
      <c r="C436" s="57">
        <v>0</v>
      </c>
      <c r="D436" s="57">
        <v>7264.8980115874556</v>
      </c>
      <c r="E436" s="57">
        <v>0</v>
      </c>
      <c r="F436" s="57">
        <v>6054.95</v>
      </c>
      <c r="G436" s="57">
        <v>7264.8980115874556</v>
      </c>
    </row>
    <row r="437" spans="1:7" ht="11.25" customHeight="1" x14ac:dyDescent="0.2">
      <c r="A437" s="67">
        <v>44470</v>
      </c>
      <c r="B437" s="57">
        <v>6054.95</v>
      </c>
      <c r="C437" s="57">
        <v>0</v>
      </c>
      <c r="D437" s="57">
        <v>7264.8980115874556</v>
      </c>
      <c r="E437" s="57">
        <v>0</v>
      </c>
      <c r="F437" s="57">
        <v>6054.95</v>
      </c>
      <c r="G437" s="57">
        <v>7264.8980115874556</v>
      </c>
    </row>
    <row r="438" spans="1:7" ht="11.25" customHeight="1" x14ac:dyDescent="0.2">
      <c r="A438" s="67">
        <v>44501</v>
      </c>
      <c r="B438" s="57">
        <v>6054.95</v>
      </c>
      <c r="C438" s="57">
        <v>0</v>
      </c>
      <c r="D438" s="57">
        <v>7264.8980115874556</v>
      </c>
      <c r="E438" s="57">
        <v>0</v>
      </c>
      <c r="F438" s="57">
        <v>6054.95</v>
      </c>
      <c r="G438" s="57">
        <v>7264.8980115874556</v>
      </c>
    </row>
    <row r="439" spans="1:7" ht="11.25" customHeight="1" x14ac:dyDescent="0.2">
      <c r="A439" s="67">
        <v>44531</v>
      </c>
      <c r="B439" s="57">
        <v>6054.95</v>
      </c>
      <c r="C439" s="57">
        <v>0</v>
      </c>
      <c r="D439" s="57">
        <v>7264.8980115874556</v>
      </c>
      <c r="E439" s="57">
        <v>0</v>
      </c>
      <c r="F439" s="57">
        <v>6054.95</v>
      </c>
      <c r="G439" s="57">
        <v>7264.8980115874556</v>
      </c>
    </row>
    <row r="440" spans="1:7" ht="11.25" customHeight="1" x14ac:dyDescent="0.2">
      <c r="A440" s="67">
        <v>44562</v>
      </c>
      <c r="B440" s="57">
        <v>5683.26</v>
      </c>
      <c r="C440" s="57">
        <v>0</v>
      </c>
      <c r="D440" s="57">
        <v>6818.9339752325823</v>
      </c>
      <c r="E440" s="57">
        <v>0</v>
      </c>
      <c r="F440" s="57">
        <v>5683.26</v>
      </c>
      <c r="G440" s="57">
        <v>6818.9339752325823</v>
      </c>
    </row>
    <row r="441" spans="1:7" ht="11.25" customHeight="1" x14ac:dyDescent="0.2">
      <c r="A441" s="67">
        <v>44593</v>
      </c>
      <c r="B441" s="57">
        <v>5155.7</v>
      </c>
      <c r="C441" s="57">
        <v>0</v>
      </c>
      <c r="D441" s="57">
        <v>6185.9527623417944</v>
      </c>
      <c r="E441" s="57">
        <v>0</v>
      </c>
      <c r="F441" s="57">
        <v>5155.7</v>
      </c>
      <c r="G441" s="57">
        <v>6185.9527623417944</v>
      </c>
    </row>
    <row r="442" spans="1:7" ht="11.25" customHeight="1" x14ac:dyDescent="0.2">
      <c r="A442" s="67">
        <v>44621</v>
      </c>
      <c r="B442" s="57">
        <v>5443.46</v>
      </c>
      <c r="C442" s="57">
        <v>0</v>
      </c>
      <c r="D442" s="57">
        <v>6531.2152421004057</v>
      </c>
      <c r="E442" s="57">
        <v>0</v>
      </c>
      <c r="F442" s="57">
        <v>5443.46</v>
      </c>
      <c r="G442" s="57">
        <v>6531.2152421004057</v>
      </c>
    </row>
    <row r="443" spans="1:7" ht="11.25" customHeight="1" x14ac:dyDescent="0.2">
      <c r="A443" s="67">
        <v>44652</v>
      </c>
      <c r="B443" s="57">
        <v>5443.46</v>
      </c>
      <c r="C443" s="57">
        <v>0</v>
      </c>
      <c r="D443" s="57">
        <v>6531.2152421004057</v>
      </c>
      <c r="E443" s="57">
        <v>0</v>
      </c>
      <c r="F443" s="57">
        <v>5443.46</v>
      </c>
      <c r="G443" s="57">
        <v>6531.2152421004057</v>
      </c>
    </row>
    <row r="444" spans="1:7" ht="11.25" customHeight="1" x14ac:dyDescent="0.2">
      <c r="A444" s="59" t="s">
        <v>952</v>
      </c>
      <c r="B444" s="57">
        <v>0</v>
      </c>
      <c r="C444" s="57">
        <v>15055651.1047561</v>
      </c>
      <c r="D444" s="57">
        <v>0</v>
      </c>
      <c r="E444" s="57">
        <v>1451783672003343.5</v>
      </c>
      <c r="F444" s="57">
        <v>15055651.104756104</v>
      </c>
      <c r="G444" s="57">
        <v>1451783672003343.3</v>
      </c>
    </row>
    <row r="445" spans="1:7" ht="11.25" customHeight="1" x14ac:dyDescent="0.2">
      <c r="A445" s="60" t="s">
        <v>41</v>
      </c>
      <c r="B445" s="57">
        <v>0</v>
      </c>
      <c r="C445" s="57">
        <v>10439531.703269999</v>
      </c>
      <c r="D445" s="57">
        <v>0</v>
      </c>
      <c r="E445" s="57">
        <v>1052974623019800.1</v>
      </c>
      <c r="F445" s="57">
        <v>10439531.703269999</v>
      </c>
      <c r="G445" s="57">
        <v>1052974623019800.1</v>
      </c>
    </row>
    <row r="446" spans="1:7" ht="11.25" customHeight="1" x14ac:dyDescent="0.2">
      <c r="A446" s="61" t="s">
        <v>42</v>
      </c>
      <c r="B446" s="57">
        <v>0</v>
      </c>
      <c r="C446" s="57">
        <v>10439531.703269999</v>
      </c>
      <c r="D446" s="57">
        <v>0</v>
      </c>
      <c r="E446" s="57">
        <v>1052974623019800.1</v>
      </c>
      <c r="F446" s="57">
        <v>10439531.703269999</v>
      </c>
      <c r="G446" s="57">
        <v>1052974623019800.1</v>
      </c>
    </row>
    <row r="447" spans="1:7" ht="11.25" customHeight="1" x14ac:dyDescent="0.2">
      <c r="A447" s="62" t="s">
        <v>45</v>
      </c>
      <c r="B447" s="57">
        <v>0</v>
      </c>
      <c r="C447" s="57">
        <v>10439531.703269999</v>
      </c>
      <c r="D447" s="57">
        <v>0</v>
      </c>
      <c r="E447" s="57">
        <v>1052974623019800.1</v>
      </c>
      <c r="F447" s="57">
        <v>10439531.703269999</v>
      </c>
      <c r="G447" s="57">
        <v>1052974623019800.1</v>
      </c>
    </row>
    <row r="448" spans="1:7" ht="11.25" customHeight="1" x14ac:dyDescent="0.2">
      <c r="A448" s="63" t="s">
        <v>53</v>
      </c>
      <c r="B448" s="57">
        <v>0</v>
      </c>
      <c r="C448" s="57">
        <v>10439531.703269999</v>
      </c>
      <c r="D448" s="57">
        <v>0</v>
      </c>
      <c r="E448" s="57">
        <v>1052974623019800.1</v>
      </c>
      <c r="F448" s="57">
        <v>10439531.703269999</v>
      </c>
      <c r="G448" s="57">
        <v>1052974623019800.1</v>
      </c>
    </row>
    <row r="449" spans="1:7" ht="11.25" customHeight="1" x14ac:dyDescent="0.2">
      <c r="A449" s="64" t="s">
        <v>55</v>
      </c>
      <c r="B449" s="57">
        <v>0</v>
      </c>
      <c r="C449" s="57">
        <v>10439531.703269999</v>
      </c>
      <c r="D449" s="57">
        <v>0</v>
      </c>
      <c r="E449" s="57">
        <v>1052974623019800.1</v>
      </c>
      <c r="F449" s="57">
        <v>10439531.703269999</v>
      </c>
      <c r="G449" s="57">
        <v>1052974623019800.1</v>
      </c>
    </row>
    <row r="450" spans="1:7" ht="11.25" customHeight="1" x14ac:dyDescent="0.2">
      <c r="A450" s="65" t="s">
        <v>25</v>
      </c>
      <c r="B450" s="57">
        <v>0</v>
      </c>
      <c r="C450" s="57">
        <v>10439531.703269999</v>
      </c>
      <c r="D450" s="57">
        <v>0</v>
      </c>
      <c r="E450" s="57">
        <v>1052974623019800.1</v>
      </c>
      <c r="F450" s="57">
        <v>10439531.703269999</v>
      </c>
      <c r="G450" s="57">
        <v>1052974623019800.1</v>
      </c>
    </row>
    <row r="451" spans="1:7" ht="11.25" customHeight="1" x14ac:dyDescent="0.2">
      <c r="A451" s="66" t="s">
        <v>36</v>
      </c>
      <c r="B451" s="57">
        <v>0</v>
      </c>
      <c r="C451" s="57">
        <v>10439531.703269999</v>
      </c>
      <c r="D451" s="57">
        <v>0</v>
      </c>
      <c r="E451" s="57">
        <v>1052974623019800.1</v>
      </c>
      <c r="F451" s="57">
        <v>10439531.703269999</v>
      </c>
      <c r="G451" s="57">
        <v>1052974623019800.1</v>
      </c>
    </row>
    <row r="452" spans="1:7" ht="11.25" customHeight="1" x14ac:dyDescent="0.2">
      <c r="A452" s="67">
        <v>44317</v>
      </c>
      <c r="B452" s="57">
        <v>0</v>
      </c>
      <c r="C452" s="57">
        <v>102285.49806</v>
      </c>
      <c r="D452" s="57">
        <v>0</v>
      </c>
      <c r="E452" s="57">
        <v>10316941106312.709</v>
      </c>
      <c r="F452" s="57">
        <v>102285.49806</v>
      </c>
      <c r="G452" s="57">
        <v>10316941106312.709</v>
      </c>
    </row>
    <row r="453" spans="1:7" ht="11.25" customHeight="1" x14ac:dyDescent="0.2">
      <c r="A453" s="67">
        <v>44348</v>
      </c>
      <c r="B453" s="57">
        <v>0</v>
      </c>
      <c r="C453" s="57">
        <v>101625.80517000001</v>
      </c>
      <c r="D453" s="57">
        <v>0</v>
      </c>
      <c r="E453" s="57">
        <v>10250401735400.219</v>
      </c>
      <c r="F453" s="57">
        <v>101625.80517000001</v>
      </c>
      <c r="G453" s="57">
        <v>10250401735400.219</v>
      </c>
    </row>
    <row r="454" spans="1:7" ht="11.25" customHeight="1" x14ac:dyDescent="0.2">
      <c r="A454" s="67">
        <v>44378</v>
      </c>
      <c r="B454" s="57">
        <v>0</v>
      </c>
      <c r="C454" s="57">
        <v>199874.11616999999</v>
      </c>
      <c r="D454" s="57">
        <v>0</v>
      </c>
      <c r="E454" s="57">
        <v>20160135349710.93</v>
      </c>
      <c r="F454" s="57">
        <v>199874.11616999999</v>
      </c>
      <c r="G454" s="57">
        <v>20160135349710.93</v>
      </c>
    </row>
    <row r="455" spans="1:7" ht="11.25" customHeight="1" x14ac:dyDescent="0.2">
      <c r="A455" s="67">
        <v>44409</v>
      </c>
      <c r="B455" s="57">
        <v>0</v>
      </c>
      <c r="C455" s="57">
        <v>-59265.105479999998</v>
      </c>
      <c r="D455" s="57">
        <v>0</v>
      </c>
      <c r="E455" s="57">
        <v>-5977725234694.6299</v>
      </c>
      <c r="F455" s="57">
        <v>-59265.105479999998</v>
      </c>
      <c r="G455" s="57">
        <v>-5977725234694.6299</v>
      </c>
    </row>
    <row r="456" spans="1:7" ht="11.25" customHeight="1" x14ac:dyDescent="0.2">
      <c r="A456" s="67">
        <v>44440</v>
      </c>
      <c r="B456" s="57">
        <v>0</v>
      </c>
      <c r="C456" s="57">
        <v>663728.28092999989</v>
      </c>
      <c r="D456" s="57">
        <v>0</v>
      </c>
      <c r="E456" s="57">
        <v>66946397239344.75</v>
      </c>
      <c r="F456" s="57">
        <v>663728.28092999989</v>
      </c>
      <c r="G456" s="57">
        <v>66946397239344.75</v>
      </c>
    </row>
    <row r="457" spans="1:7" ht="11.25" customHeight="1" x14ac:dyDescent="0.2">
      <c r="A457" s="67">
        <v>44470</v>
      </c>
      <c r="B457" s="57">
        <v>0</v>
      </c>
      <c r="C457" s="57">
        <v>1592576.38323</v>
      </c>
      <c r="D457" s="57">
        <v>0</v>
      </c>
      <c r="E457" s="57">
        <v>160633883245603.19</v>
      </c>
      <c r="F457" s="57">
        <v>1592576.38323</v>
      </c>
      <c r="G457" s="57">
        <v>160633883245603.19</v>
      </c>
    </row>
    <row r="458" spans="1:7" ht="11.25" customHeight="1" x14ac:dyDescent="0.2">
      <c r="A458" s="67">
        <v>44501</v>
      </c>
      <c r="B458" s="57">
        <v>0</v>
      </c>
      <c r="C458" s="57">
        <v>1777359.4151399997</v>
      </c>
      <c r="D458" s="57">
        <v>0</v>
      </c>
      <c r="E458" s="57">
        <v>179271869018944.09</v>
      </c>
      <c r="F458" s="57">
        <v>1777359.4151399997</v>
      </c>
      <c r="G458" s="57">
        <v>179271869018944.09</v>
      </c>
    </row>
    <row r="459" spans="1:7" ht="11.25" customHeight="1" x14ac:dyDescent="0.2">
      <c r="A459" s="67">
        <v>44531</v>
      </c>
      <c r="B459" s="57">
        <v>0</v>
      </c>
      <c r="C459" s="57">
        <v>1731578.8839299998</v>
      </c>
      <c r="D459" s="57">
        <v>0</v>
      </c>
      <c r="E459" s="57">
        <v>174654254075795.22</v>
      </c>
      <c r="F459" s="57">
        <v>1731578.8839299998</v>
      </c>
      <c r="G459" s="57">
        <v>174654254075795.22</v>
      </c>
    </row>
    <row r="460" spans="1:7" ht="11.25" customHeight="1" x14ac:dyDescent="0.2">
      <c r="A460" s="67">
        <v>44562</v>
      </c>
      <c r="B460" s="57">
        <v>0</v>
      </c>
      <c r="C460" s="57">
        <v>1454136.5843999998</v>
      </c>
      <c r="D460" s="57">
        <v>0</v>
      </c>
      <c r="E460" s="57">
        <v>146670268868313.09</v>
      </c>
      <c r="F460" s="57">
        <v>1454136.5843999998</v>
      </c>
      <c r="G460" s="57">
        <v>146670268868313.09</v>
      </c>
    </row>
    <row r="461" spans="1:7" ht="11.25" customHeight="1" x14ac:dyDescent="0.2">
      <c r="A461" s="67">
        <v>44593</v>
      </c>
      <c r="B461" s="57">
        <v>0</v>
      </c>
      <c r="C461" s="57">
        <v>1419424.0628399998</v>
      </c>
      <c r="D461" s="57">
        <v>0</v>
      </c>
      <c r="E461" s="57">
        <v>143169019449983.5</v>
      </c>
      <c r="F461" s="57">
        <v>1419424.0628399998</v>
      </c>
      <c r="G461" s="57">
        <v>143169019449983.5</v>
      </c>
    </row>
    <row r="462" spans="1:7" ht="11.25" customHeight="1" x14ac:dyDescent="0.2">
      <c r="A462" s="67">
        <v>44621</v>
      </c>
      <c r="B462" s="57">
        <v>0</v>
      </c>
      <c r="C462" s="57">
        <v>728103.88944000006</v>
      </c>
      <c r="D462" s="57">
        <v>0</v>
      </c>
      <c r="E462" s="57">
        <v>73439589082543.516</v>
      </c>
      <c r="F462" s="57">
        <v>728103.88944000006</v>
      </c>
      <c r="G462" s="57">
        <v>73439589082543.516</v>
      </c>
    </row>
    <row r="463" spans="1:7" ht="11.25" customHeight="1" x14ac:dyDescent="0.2">
      <c r="A463" s="67">
        <v>44652</v>
      </c>
      <c r="B463" s="57">
        <v>0</v>
      </c>
      <c r="C463" s="57">
        <v>728103.88944000006</v>
      </c>
      <c r="D463" s="57">
        <v>0</v>
      </c>
      <c r="E463" s="57">
        <v>73439589082543.516</v>
      </c>
      <c r="F463" s="57">
        <v>728103.88944000006</v>
      </c>
      <c r="G463" s="57">
        <v>73439589082543.516</v>
      </c>
    </row>
    <row r="464" spans="1:7" ht="11.25" customHeight="1" x14ac:dyDescent="0.2">
      <c r="A464" s="60" t="s">
        <v>33</v>
      </c>
      <c r="B464" s="57">
        <v>0</v>
      </c>
      <c r="C464" s="57">
        <v>4195613.4358860003</v>
      </c>
      <c r="D464" s="57">
        <v>0</v>
      </c>
      <c r="E464" s="57">
        <v>379906241171280.56</v>
      </c>
      <c r="F464" s="57">
        <v>4195613.4358860003</v>
      </c>
      <c r="G464" s="57">
        <v>379906241171280.56</v>
      </c>
    </row>
    <row r="465" spans="1:7" ht="11.25" customHeight="1" x14ac:dyDescent="0.2">
      <c r="A465" s="61" t="s">
        <v>34</v>
      </c>
      <c r="B465" s="57">
        <v>0</v>
      </c>
      <c r="C465" s="57">
        <v>4195613.4358860003</v>
      </c>
      <c r="D465" s="57">
        <v>0</v>
      </c>
      <c r="E465" s="57">
        <v>379906241171280.56</v>
      </c>
      <c r="F465" s="57">
        <v>4195613.4358860003</v>
      </c>
      <c r="G465" s="57">
        <v>379906241171280.56</v>
      </c>
    </row>
    <row r="466" spans="1:7" ht="11.25" customHeight="1" x14ac:dyDescent="0.2">
      <c r="A466" s="62" t="s">
        <v>45</v>
      </c>
      <c r="B466" s="57">
        <v>0</v>
      </c>
      <c r="C466" s="57">
        <v>4195613.4358860003</v>
      </c>
      <c r="D466" s="57">
        <v>0</v>
      </c>
      <c r="E466" s="57">
        <v>379906241171280.56</v>
      </c>
      <c r="F466" s="57">
        <v>4195613.4358860003</v>
      </c>
      <c r="G466" s="57">
        <v>379906241171280.56</v>
      </c>
    </row>
    <row r="467" spans="1:7" ht="11.25" customHeight="1" x14ac:dyDescent="0.2">
      <c r="A467" s="63" t="s">
        <v>53</v>
      </c>
      <c r="B467" s="57">
        <v>0</v>
      </c>
      <c r="C467" s="57">
        <v>4195613.4358860003</v>
      </c>
      <c r="D467" s="57">
        <v>0</v>
      </c>
      <c r="E467" s="57">
        <v>379906241171280.56</v>
      </c>
      <c r="F467" s="57">
        <v>4195613.4358860003</v>
      </c>
      <c r="G467" s="57">
        <v>379906241171280.56</v>
      </c>
    </row>
    <row r="468" spans="1:7" ht="11.25" customHeight="1" x14ac:dyDescent="0.2">
      <c r="A468" s="64" t="s">
        <v>55</v>
      </c>
      <c r="B468" s="57">
        <v>0</v>
      </c>
      <c r="C468" s="57">
        <v>4195613.4358860003</v>
      </c>
      <c r="D468" s="57">
        <v>0</v>
      </c>
      <c r="E468" s="57">
        <v>379906241171280.56</v>
      </c>
      <c r="F468" s="57">
        <v>4195613.4358860003</v>
      </c>
      <c r="G468" s="57">
        <v>379906241171280.56</v>
      </c>
    </row>
    <row r="469" spans="1:7" ht="11.25" customHeight="1" x14ac:dyDescent="0.2">
      <c r="A469" s="65" t="s">
        <v>25</v>
      </c>
      <c r="B469" s="57">
        <v>0</v>
      </c>
      <c r="C469" s="57">
        <v>4195613.4358860003</v>
      </c>
      <c r="D469" s="57">
        <v>0</v>
      </c>
      <c r="E469" s="57">
        <v>379906241171280.56</v>
      </c>
      <c r="F469" s="57">
        <v>4195613.4358860003</v>
      </c>
      <c r="G469" s="57">
        <v>379906241171280.56</v>
      </c>
    </row>
    <row r="470" spans="1:7" ht="11.25" customHeight="1" x14ac:dyDescent="0.2">
      <c r="A470" s="66" t="s">
        <v>36</v>
      </c>
      <c r="B470" s="57">
        <v>0</v>
      </c>
      <c r="C470" s="57">
        <v>4195613.4358860003</v>
      </c>
      <c r="D470" s="57">
        <v>0</v>
      </c>
      <c r="E470" s="57">
        <v>379906241171280.56</v>
      </c>
      <c r="F470" s="57">
        <v>4195613.4358860003</v>
      </c>
      <c r="G470" s="57">
        <v>379906241171280.56</v>
      </c>
    </row>
    <row r="471" spans="1:7" ht="11.25" customHeight="1" x14ac:dyDescent="0.2">
      <c r="A471" s="67">
        <v>44317</v>
      </c>
      <c r="B471" s="57">
        <v>0</v>
      </c>
      <c r="C471" s="57">
        <v>34955.458956000002</v>
      </c>
      <c r="D471" s="57">
        <v>0</v>
      </c>
      <c r="E471" s="57">
        <v>3165162192209.1118</v>
      </c>
      <c r="F471" s="57">
        <v>34955.458956000002</v>
      </c>
      <c r="G471" s="57">
        <v>3165162192209.1118</v>
      </c>
    </row>
    <row r="472" spans="1:7" ht="11.25" customHeight="1" x14ac:dyDescent="0.2">
      <c r="A472" s="67">
        <v>44348</v>
      </c>
      <c r="B472" s="57">
        <v>0</v>
      </c>
      <c r="C472" s="57">
        <v>16131.793680000002</v>
      </c>
      <c r="D472" s="57">
        <v>0</v>
      </c>
      <c r="E472" s="57">
        <v>1460708712556.8882</v>
      </c>
      <c r="F472" s="57">
        <v>16131.793680000002</v>
      </c>
      <c r="G472" s="57">
        <v>1460708712556.8882</v>
      </c>
    </row>
    <row r="473" spans="1:7" ht="11.25" customHeight="1" x14ac:dyDescent="0.2">
      <c r="A473" s="67">
        <v>44378</v>
      </c>
      <c r="B473" s="57">
        <v>0</v>
      </c>
      <c r="C473" s="57">
        <v>33704.987706</v>
      </c>
      <c r="D473" s="57">
        <v>0</v>
      </c>
      <c r="E473" s="57">
        <v>3051933974323.9883</v>
      </c>
      <c r="F473" s="57">
        <v>33704.987706</v>
      </c>
      <c r="G473" s="57">
        <v>3051933974323.9883</v>
      </c>
    </row>
    <row r="474" spans="1:7" ht="11.25" customHeight="1" x14ac:dyDescent="0.2">
      <c r="A474" s="67">
        <v>44409</v>
      </c>
      <c r="B474" s="57">
        <v>0</v>
      </c>
      <c r="C474" s="57">
        <v>95253.611364000011</v>
      </c>
      <c r="D474" s="57">
        <v>0</v>
      </c>
      <c r="E474" s="57">
        <v>8625065679733.0557</v>
      </c>
      <c r="F474" s="57">
        <v>95253.611364000011</v>
      </c>
      <c r="G474" s="57">
        <v>8625065679733.0557</v>
      </c>
    </row>
    <row r="475" spans="1:7" ht="11.25" customHeight="1" x14ac:dyDescent="0.2">
      <c r="A475" s="67">
        <v>44440</v>
      </c>
      <c r="B475" s="57">
        <v>0</v>
      </c>
      <c r="C475" s="57">
        <v>151747.47295199998</v>
      </c>
      <c r="D475" s="57">
        <v>0</v>
      </c>
      <c r="E475" s="57">
        <v>13740496577531.055</v>
      </c>
      <c r="F475" s="57">
        <v>151747.47295199998</v>
      </c>
      <c r="G475" s="57">
        <v>13740496577531.055</v>
      </c>
    </row>
    <row r="476" spans="1:7" ht="11.25" customHeight="1" x14ac:dyDescent="0.2">
      <c r="A476" s="67">
        <v>44470</v>
      </c>
      <c r="B476" s="57">
        <v>0</v>
      </c>
      <c r="C476" s="57">
        <v>492076.5858179999</v>
      </c>
      <c r="D476" s="57">
        <v>0</v>
      </c>
      <c r="E476" s="57">
        <v>44556765999352.883</v>
      </c>
      <c r="F476" s="57">
        <v>492076.5858179999</v>
      </c>
      <c r="G476" s="57">
        <v>44556765999352.883</v>
      </c>
    </row>
    <row r="477" spans="1:7" ht="11.25" customHeight="1" x14ac:dyDescent="0.2">
      <c r="A477" s="67">
        <v>44501</v>
      </c>
      <c r="B477" s="57">
        <v>0</v>
      </c>
      <c r="C477" s="57">
        <v>761635.02819600003</v>
      </c>
      <c r="D477" s="57">
        <v>0</v>
      </c>
      <c r="E477" s="57">
        <v>68964861784322.563</v>
      </c>
      <c r="F477" s="57">
        <v>761635.02819600003</v>
      </c>
      <c r="G477" s="57">
        <v>68964861784322.563</v>
      </c>
    </row>
    <row r="478" spans="1:7" ht="11.25" customHeight="1" x14ac:dyDescent="0.2">
      <c r="A478" s="67">
        <v>44531</v>
      </c>
      <c r="B478" s="57">
        <v>0</v>
      </c>
      <c r="C478" s="57">
        <v>689274.90156599996</v>
      </c>
      <c r="D478" s="57">
        <v>0</v>
      </c>
      <c r="E478" s="57">
        <v>62412765377262.594</v>
      </c>
      <c r="F478" s="57">
        <v>689274.90156599996</v>
      </c>
      <c r="G478" s="57">
        <v>62412765377262.594</v>
      </c>
    </row>
    <row r="479" spans="1:7" ht="11.25" customHeight="1" x14ac:dyDescent="0.2">
      <c r="A479" s="67">
        <v>44562</v>
      </c>
      <c r="B479" s="57">
        <v>0</v>
      </c>
      <c r="C479" s="57">
        <v>576336.33977399988</v>
      </c>
      <c r="D479" s="57">
        <v>0</v>
      </c>
      <c r="E479" s="57">
        <v>52186355068175.445</v>
      </c>
      <c r="F479" s="57">
        <v>576336.33977399988</v>
      </c>
      <c r="G479" s="57">
        <v>52186355068175.445</v>
      </c>
    </row>
    <row r="480" spans="1:7" ht="11.25" customHeight="1" x14ac:dyDescent="0.2">
      <c r="A480" s="67">
        <v>44593</v>
      </c>
      <c r="B480" s="57">
        <v>0</v>
      </c>
      <c r="C480" s="57">
        <v>776988.52857000008</v>
      </c>
      <c r="D480" s="57">
        <v>0</v>
      </c>
      <c r="E480" s="57">
        <v>70355097254067.742</v>
      </c>
      <c r="F480" s="57">
        <v>776988.52857000008</v>
      </c>
      <c r="G480" s="57">
        <v>70355097254067.742</v>
      </c>
    </row>
    <row r="481" spans="1:7" ht="11.25" customHeight="1" x14ac:dyDescent="0.2">
      <c r="A481" s="67">
        <v>44621</v>
      </c>
      <c r="B481" s="57">
        <v>0</v>
      </c>
      <c r="C481" s="57">
        <v>283754.36365200003</v>
      </c>
      <c r="D481" s="57">
        <v>0</v>
      </c>
      <c r="E481" s="57">
        <v>25693514275872.633</v>
      </c>
      <c r="F481" s="57">
        <v>283754.36365200003</v>
      </c>
      <c r="G481" s="57">
        <v>25693514275872.633</v>
      </c>
    </row>
    <row r="482" spans="1:7" ht="11.25" customHeight="1" x14ac:dyDescent="0.2">
      <c r="A482" s="67">
        <v>44652</v>
      </c>
      <c r="B482" s="57">
        <v>0</v>
      </c>
      <c r="C482" s="57">
        <v>283754.36365200003</v>
      </c>
      <c r="D482" s="57">
        <v>0</v>
      </c>
      <c r="E482" s="57">
        <v>25693514275872.633</v>
      </c>
      <c r="F482" s="57">
        <v>283754.36365200003</v>
      </c>
      <c r="G482" s="57">
        <v>25693514275872.633</v>
      </c>
    </row>
    <row r="483" spans="1:7" ht="11.25" customHeight="1" x14ac:dyDescent="0.2">
      <c r="A483" s="60" t="s">
        <v>44</v>
      </c>
      <c r="B483" s="57">
        <v>0</v>
      </c>
      <c r="C483" s="57">
        <v>420505.9656001</v>
      </c>
      <c r="D483" s="57">
        <v>0</v>
      </c>
      <c r="E483" s="57">
        <v>18902807812262.738</v>
      </c>
      <c r="F483" s="57">
        <v>420505.96560009988</v>
      </c>
      <c r="G483" s="57">
        <v>18902807812262.734</v>
      </c>
    </row>
    <row r="484" spans="1:7" ht="11.25" customHeight="1" x14ac:dyDescent="0.2">
      <c r="A484" s="61" t="s">
        <v>23</v>
      </c>
      <c r="B484" s="57">
        <v>0</v>
      </c>
      <c r="C484" s="57">
        <v>420505.9656001</v>
      </c>
      <c r="D484" s="57">
        <v>0</v>
      </c>
      <c r="E484" s="57">
        <v>18902807812262.738</v>
      </c>
      <c r="F484" s="57">
        <v>420505.96560009988</v>
      </c>
      <c r="G484" s="57">
        <v>18902807812262.734</v>
      </c>
    </row>
    <row r="485" spans="1:7" ht="11.25" customHeight="1" x14ac:dyDescent="0.2">
      <c r="A485" s="62" t="s">
        <v>45</v>
      </c>
      <c r="B485" s="57">
        <v>0</v>
      </c>
      <c r="C485" s="57">
        <v>420505.9656001</v>
      </c>
      <c r="D485" s="57">
        <v>0</v>
      </c>
      <c r="E485" s="57">
        <v>18902807812262.738</v>
      </c>
      <c r="F485" s="57">
        <v>420505.96560009988</v>
      </c>
      <c r="G485" s="57">
        <v>18902807812262.734</v>
      </c>
    </row>
    <row r="486" spans="1:7" ht="11.25" customHeight="1" x14ac:dyDescent="0.2">
      <c r="A486" s="63" t="s">
        <v>53</v>
      </c>
      <c r="B486" s="57">
        <v>0</v>
      </c>
      <c r="C486" s="57">
        <v>420505.9656001</v>
      </c>
      <c r="D486" s="57">
        <v>0</v>
      </c>
      <c r="E486" s="57">
        <v>18902807812262.738</v>
      </c>
      <c r="F486" s="57">
        <v>420505.96560009988</v>
      </c>
      <c r="G486" s="57">
        <v>18902807812262.734</v>
      </c>
    </row>
    <row r="487" spans="1:7" ht="11.25" customHeight="1" x14ac:dyDescent="0.2">
      <c r="A487" s="64" t="s">
        <v>55</v>
      </c>
      <c r="B487" s="57">
        <v>0</v>
      </c>
      <c r="C487" s="57">
        <v>420505.9656001</v>
      </c>
      <c r="D487" s="57">
        <v>0</v>
      </c>
      <c r="E487" s="57">
        <v>18902807812262.738</v>
      </c>
      <c r="F487" s="57">
        <v>420505.96560009988</v>
      </c>
      <c r="G487" s="57">
        <v>18902807812262.734</v>
      </c>
    </row>
    <row r="488" spans="1:7" ht="11.25" customHeight="1" x14ac:dyDescent="0.2">
      <c r="A488" s="65" t="s">
        <v>25</v>
      </c>
      <c r="B488" s="57">
        <v>0</v>
      </c>
      <c r="C488" s="57">
        <v>420505.9656001</v>
      </c>
      <c r="D488" s="57">
        <v>0</v>
      </c>
      <c r="E488" s="57">
        <v>18902807812262.738</v>
      </c>
      <c r="F488" s="57">
        <v>420505.96560009988</v>
      </c>
      <c r="G488" s="57">
        <v>18902807812262.734</v>
      </c>
    </row>
    <row r="489" spans="1:7" ht="11.25" customHeight="1" x14ac:dyDescent="0.2">
      <c r="A489" s="66" t="s">
        <v>25</v>
      </c>
      <c r="B489" s="57">
        <v>0</v>
      </c>
      <c r="C489" s="57">
        <v>420505.9656001</v>
      </c>
      <c r="D489" s="57">
        <v>0</v>
      </c>
      <c r="E489" s="57">
        <v>18902807812262.738</v>
      </c>
      <c r="F489" s="57">
        <v>420505.96560009988</v>
      </c>
      <c r="G489" s="57">
        <v>18902807812262.734</v>
      </c>
    </row>
    <row r="490" spans="1:7" ht="11.25" customHeight="1" x14ac:dyDescent="0.2">
      <c r="A490" s="67">
        <v>44317</v>
      </c>
      <c r="B490" s="57">
        <v>0</v>
      </c>
      <c r="C490" s="57">
        <v>11242.5024512</v>
      </c>
      <c r="D490" s="57">
        <v>0</v>
      </c>
      <c r="E490" s="57">
        <v>505378949524.88593</v>
      </c>
      <c r="F490" s="57">
        <v>11242.5024512</v>
      </c>
      <c r="G490" s="57">
        <v>505378949524.88593</v>
      </c>
    </row>
    <row r="491" spans="1:7" ht="11.25" customHeight="1" x14ac:dyDescent="0.2">
      <c r="A491" s="67">
        <v>44348</v>
      </c>
      <c r="B491" s="57">
        <v>0</v>
      </c>
      <c r="C491" s="57">
        <v>23938.529866900004</v>
      </c>
      <c r="D491" s="57">
        <v>0</v>
      </c>
      <c r="E491" s="57">
        <v>1076097526312.9885</v>
      </c>
      <c r="F491" s="57">
        <v>23938.529866900004</v>
      </c>
      <c r="G491" s="57">
        <v>1076097526312.9885</v>
      </c>
    </row>
    <row r="492" spans="1:7" ht="11.25" customHeight="1" x14ac:dyDescent="0.2">
      <c r="A492" s="67">
        <v>44378</v>
      </c>
      <c r="B492" s="57">
        <v>0</v>
      </c>
      <c r="C492" s="57">
        <v>14244.067304</v>
      </c>
      <c r="D492" s="57">
        <v>0</v>
      </c>
      <c r="E492" s="57">
        <v>640306889173.85339</v>
      </c>
      <c r="F492" s="57">
        <v>14244.067304</v>
      </c>
      <c r="G492" s="57">
        <v>640306889173.85339</v>
      </c>
    </row>
    <row r="493" spans="1:7" ht="11.25" customHeight="1" x14ac:dyDescent="0.2">
      <c r="A493" s="67">
        <v>44409</v>
      </c>
      <c r="B493" s="57">
        <v>0</v>
      </c>
      <c r="C493" s="57">
        <v>13634.016432200002</v>
      </c>
      <c r="D493" s="57">
        <v>0</v>
      </c>
      <c r="E493" s="57">
        <v>612883557928.40491</v>
      </c>
      <c r="F493" s="57">
        <v>13634.016432200002</v>
      </c>
      <c r="G493" s="57">
        <v>612883557928.40491</v>
      </c>
    </row>
    <row r="494" spans="1:7" ht="11.25" customHeight="1" x14ac:dyDescent="0.2">
      <c r="A494" s="67">
        <v>44440</v>
      </c>
      <c r="B494" s="57">
        <v>0</v>
      </c>
      <c r="C494" s="57">
        <v>27496.6826043</v>
      </c>
      <c r="D494" s="57">
        <v>0</v>
      </c>
      <c r="E494" s="57">
        <v>1236045500572.4355</v>
      </c>
      <c r="F494" s="57">
        <v>27496.6826043</v>
      </c>
      <c r="G494" s="57">
        <v>1236045500572.4355</v>
      </c>
    </row>
    <row r="495" spans="1:7" ht="11.25" customHeight="1" x14ac:dyDescent="0.2">
      <c r="A495" s="67">
        <v>44470</v>
      </c>
      <c r="B495" s="57">
        <v>0</v>
      </c>
      <c r="C495" s="57">
        <v>37359.649046499995</v>
      </c>
      <c r="D495" s="57">
        <v>0</v>
      </c>
      <c r="E495" s="57">
        <v>1679410813712.8562</v>
      </c>
      <c r="F495" s="57">
        <v>37359.649046499995</v>
      </c>
      <c r="G495" s="57">
        <v>1679410813712.8562</v>
      </c>
    </row>
    <row r="496" spans="1:7" ht="11.25" customHeight="1" x14ac:dyDescent="0.2">
      <c r="A496" s="67">
        <v>44501</v>
      </c>
      <c r="B496" s="57">
        <v>0</v>
      </c>
      <c r="C496" s="57">
        <v>58673.241711499999</v>
      </c>
      <c r="D496" s="57">
        <v>0</v>
      </c>
      <c r="E496" s="57">
        <v>2637510766850.0063</v>
      </c>
      <c r="F496" s="57">
        <v>58673.241711499999</v>
      </c>
      <c r="G496" s="57">
        <v>2637510766850.0063</v>
      </c>
    </row>
    <row r="497" spans="1:7" ht="11.25" customHeight="1" x14ac:dyDescent="0.2">
      <c r="A497" s="67">
        <v>44531</v>
      </c>
      <c r="B497" s="57">
        <v>0</v>
      </c>
      <c r="C497" s="57">
        <v>60024.614182600002</v>
      </c>
      <c r="D497" s="57">
        <v>0</v>
      </c>
      <c r="E497" s="57">
        <v>2698258380899.979</v>
      </c>
      <c r="F497" s="57">
        <v>60024.614182600002</v>
      </c>
      <c r="G497" s="57">
        <v>2698258380899.979</v>
      </c>
    </row>
    <row r="498" spans="1:7" ht="11.25" customHeight="1" x14ac:dyDescent="0.2">
      <c r="A498" s="67">
        <v>44562</v>
      </c>
      <c r="B498" s="57">
        <v>0</v>
      </c>
      <c r="C498" s="57">
        <v>42861.563247099999</v>
      </c>
      <c r="D498" s="57">
        <v>0</v>
      </c>
      <c r="E498" s="57">
        <v>1926735787057.958</v>
      </c>
      <c r="F498" s="57">
        <v>42861.563247099999</v>
      </c>
      <c r="G498" s="57">
        <v>1926735787057.958</v>
      </c>
    </row>
    <row r="499" spans="1:7" ht="11.25" customHeight="1" x14ac:dyDescent="0.2">
      <c r="A499" s="67">
        <v>44593</v>
      </c>
      <c r="B499" s="57">
        <v>0</v>
      </c>
      <c r="C499" s="57">
        <v>49506.726147199995</v>
      </c>
      <c r="D499" s="57">
        <v>0</v>
      </c>
      <c r="E499" s="57">
        <v>2225452683981.189</v>
      </c>
      <c r="F499" s="57">
        <v>49506.726147199995</v>
      </c>
      <c r="G499" s="57">
        <v>2225452683981.189</v>
      </c>
    </row>
    <row r="500" spans="1:7" ht="11.25" customHeight="1" x14ac:dyDescent="0.2">
      <c r="A500" s="67">
        <v>44621</v>
      </c>
      <c r="B500" s="57">
        <v>0</v>
      </c>
      <c r="C500" s="57">
        <v>40762.186303299997</v>
      </c>
      <c r="D500" s="57">
        <v>0</v>
      </c>
      <c r="E500" s="57">
        <v>1832363478124.0906</v>
      </c>
      <c r="F500" s="57">
        <v>40762.186303299997</v>
      </c>
      <c r="G500" s="57">
        <v>1832363478124.0906</v>
      </c>
    </row>
    <row r="501" spans="1:7" ht="11.25" customHeight="1" x14ac:dyDescent="0.2">
      <c r="A501" s="67">
        <v>44652</v>
      </c>
      <c r="B501" s="57">
        <v>0</v>
      </c>
      <c r="C501" s="57">
        <v>40762.186303299997</v>
      </c>
      <c r="D501" s="57">
        <v>0</v>
      </c>
      <c r="E501" s="57">
        <v>1832363478124.0906</v>
      </c>
      <c r="F501" s="57">
        <v>40762.186303299997</v>
      </c>
      <c r="G501" s="57">
        <v>1832363478124.0906</v>
      </c>
    </row>
    <row r="502" spans="1:7" ht="11.25" customHeight="1" x14ac:dyDescent="0.2">
      <c r="A502" s="59" t="s">
        <v>951</v>
      </c>
      <c r="B502" s="57">
        <v>566298.70959999994</v>
      </c>
      <c r="C502" s="57">
        <v>5665098.4672212834</v>
      </c>
      <c r="D502" s="57">
        <v>766701.04865663126</v>
      </c>
      <c r="E502" s="57">
        <v>207978574893573.91</v>
      </c>
      <c r="F502" s="57">
        <v>6231397.1768212812</v>
      </c>
      <c r="G502" s="57">
        <v>207978575660274.88</v>
      </c>
    </row>
    <row r="503" spans="1:7" ht="11.25" customHeight="1" x14ac:dyDescent="0.2">
      <c r="A503" s="60" t="s">
        <v>41</v>
      </c>
      <c r="B503" s="57">
        <v>318383.3655999999</v>
      </c>
      <c r="C503" s="57">
        <v>693157.39430400007</v>
      </c>
      <c r="D503" s="57">
        <v>449615.24447281554</v>
      </c>
      <c r="E503" s="57">
        <v>68577052103343.641</v>
      </c>
      <c r="F503" s="57">
        <v>1011540.759904</v>
      </c>
      <c r="G503" s="57">
        <v>68577052552958.891</v>
      </c>
    </row>
    <row r="504" spans="1:7" ht="11.25" customHeight="1" x14ac:dyDescent="0.2">
      <c r="A504" s="61" t="s">
        <v>42</v>
      </c>
      <c r="B504" s="57">
        <v>318383.3655999999</v>
      </c>
      <c r="C504" s="57">
        <v>693157.39430400007</v>
      </c>
      <c r="D504" s="57">
        <v>449615.24447281554</v>
      </c>
      <c r="E504" s="57">
        <v>68577052103343.641</v>
      </c>
      <c r="F504" s="57">
        <v>1011540.759904</v>
      </c>
      <c r="G504" s="57">
        <v>68577052552958.891</v>
      </c>
    </row>
    <row r="505" spans="1:7" ht="11.25" customHeight="1" x14ac:dyDescent="0.2">
      <c r="A505" s="62" t="s">
        <v>45</v>
      </c>
      <c r="B505" s="57">
        <v>318383.3655999999</v>
      </c>
      <c r="C505" s="57">
        <v>693157.39430400007</v>
      </c>
      <c r="D505" s="57">
        <v>449615.24447281554</v>
      </c>
      <c r="E505" s="57">
        <v>68577052103343.641</v>
      </c>
      <c r="F505" s="57">
        <v>1011540.759904</v>
      </c>
      <c r="G505" s="57">
        <v>68577052552958.891</v>
      </c>
    </row>
    <row r="506" spans="1:7" ht="11.25" customHeight="1" x14ac:dyDescent="0.2">
      <c r="A506" s="63" t="s">
        <v>53</v>
      </c>
      <c r="B506" s="57">
        <v>317108.32479999994</v>
      </c>
      <c r="C506" s="57">
        <v>692826.76255679992</v>
      </c>
      <c r="D506" s="57">
        <v>447867.50434042595</v>
      </c>
      <c r="E506" s="57">
        <v>68545180840276.047</v>
      </c>
      <c r="F506" s="57">
        <v>1009935.0873567999</v>
      </c>
      <c r="G506" s="57">
        <v>68545181288143.563</v>
      </c>
    </row>
    <row r="507" spans="1:7" ht="11.25" customHeight="1" x14ac:dyDescent="0.2">
      <c r="A507" s="64" t="s">
        <v>25</v>
      </c>
      <c r="B507" s="57">
        <v>317108.32479999994</v>
      </c>
      <c r="C507" s="57">
        <v>692826.76255679992</v>
      </c>
      <c r="D507" s="57">
        <v>447867.50434042595</v>
      </c>
      <c r="E507" s="57">
        <v>68545180840276.047</v>
      </c>
      <c r="F507" s="57">
        <v>1009935.0873567999</v>
      </c>
      <c r="G507" s="57">
        <v>68545181288143.563</v>
      </c>
    </row>
    <row r="508" spans="1:7" ht="11.25" customHeight="1" x14ac:dyDescent="0.2">
      <c r="A508" s="65" t="s">
        <v>25</v>
      </c>
      <c r="B508" s="57">
        <v>317108.32479999994</v>
      </c>
      <c r="C508" s="57">
        <v>692826.76255679992</v>
      </c>
      <c r="D508" s="57">
        <v>447867.50434042595</v>
      </c>
      <c r="E508" s="57">
        <v>68545180840276.047</v>
      </c>
      <c r="F508" s="57">
        <v>1009935.0873567999</v>
      </c>
      <c r="G508" s="57">
        <v>68545181288143.563</v>
      </c>
    </row>
    <row r="509" spans="1:7" ht="11.25" customHeight="1" x14ac:dyDescent="0.2">
      <c r="A509" s="66" t="s">
        <v>36</v>
      </c>
      <c r="B509" s="57">
        <v>182867.2191999999</v>
      </c>
      <c r="C509" s="57">
        <v>649755.25053200009</v>
      </c>
      <c r="D509" s="57">
        <v>265202.41844192136</v>
      </c>
      <c r="E509" s="57">
        <v>65537019229489.242</v>
      </c>
      <c r="F509" s="57">
        <v>832622.46973200003</v>
      </c>
      <c r="G509" s="57">
        <v>65537019494691.664</v>
      </c>
    </row>
    <row r="510" spans="1:7" ht="11.25" customHeight="1" x14ac:dyDescent="0.2">
      <c r="A510" s="67">
        <v>44317</v>
      </c>
      <c r="B510" s="57">
        <v>3778.2583999999988</v>
      </c>
      <c r="C510" s="57">
        <v>8403.0602079999881</v>
      </c>
      <c r="D510" s="57">
        <v>5479.4034139198229</v>
      </c>
      <c r="E510" s="57">
        <v>847567631023.13538</v>
      </c>
      <c r="F510" s="57">
        <v>12181.318607999987</v>
      </c>
      <c r="G510" s="57">
        <v>847567636502.53882</v>
      </c>
    </row>
    <row r="511" spans="1:7" ht="11.25" customHeight="1" x14ac:dyDescent="0.2">
      <c r="A511" s="67">
        <v>44348</v>
      </c>
      <c r="B511" s="57">
        <v>3479.7503999999935</v>
      </c>
      <c r="C511" s="57">
        <v>7773.4453680000252</v>
      </c>
      <c r="D511" s="57">
        <v>5046.4934376507545</v>
      </c>
      <c r="E511" s="57">
        <v>784062057436.05859</v>
      </c>
      <c r="F511" s="57">
        <v>11253.19576800002</v>
      </c>
      <c r="G511" s="57">
        <v>784062062482.552</v>
      </c>
    </row>
    <row r="512" spans="1:7" ht="11.25" customHeight="1" x14ac:dyDescent="0.2">
      <c r="A512" s="67">
        <v>44378</v>
      </c>
      <c r="B512" s="57">
        <v>3726.4764000000046</v>
      </c>
      <c r="C512" s="57">
        <v>15131.146512000005</v>
      </c>
      <c r="D512" s="57">
        <v>5404.3067853833609</v>
      </c>
      <c r="E512" s="57">
        <v>1526190421869.2036</v>
      </c>
      <c r="F512" s="57">
        <v>18857.62291200001</v>
      </c>
      <c r="G512" s="57">
        <v>1526190427273.5105</v>
      </c>
    </row>
    <row r="513" spans="1:7" ht="11.25" customHeight="1" x14ac:dyDescent="0.2">
      <c r="A513" s="67">
        <v>44409</v>
      </c>
      <c r="B513" s="57">
        <v>3156.2652000000003</v>
      </c>
      <c r="C513" s="57">
        <v>-2728.6806959999876</v>
      </c>
      <c r="D513" s="57">
        <v>4577.3603817347002</v>
      </c>
      <c r="E513" s="57">
        <v>-275226093361.25714</v>
      </c>
      <c r="F513" s="57">
        <v>427.58450400001266</v>
      </c>
      <c r="G513" s="57">
        <v>-275226088783.89679</v>
      </c>
    </row>
    <row r="514" spans="1:7" ht="11.25" customHeight="1" x14ac:dyDescent="0.2">
      <c r="A514" s="67">
        <v>44440</v>
      </c>
      <c r="B514" s="57">
        <v>16643.953200000004</v>
      </c>
      <c r="C514" s="57">
        <v>44248.19283600006</v>
      </c>
      <c r="D514" s="57">
        <v>24137.823391116341</v>
      </c>
      <c r="E514" s="57">
        <v>4463056916259.9883</v>
      </c>
      <c r="F514" s="57">
        <v>60892.146036000064</v>
      </c>
      <c r="G514" s="57">
        <v>4463056940397.8115</v>
      </c>
    </row>
    <row r="515" spans="1:7" ht="11.25" customHeight="1" x14ac:dyDescent="0.2">
      <c r="A515" s="67">
        <v>44470</v>
      </c>
      <c r="B515" s="57">
        <v>24281.493599999998</v>
      </c>
      <c r="C515" s="57">
        <v>108363.05458800028</v>
      </c>
      <c r="D515" s="57">
        <v>35214.134355371869</v>
      </c>
      <c r="E515" s="57">
        <v>10929948756066.584</v>
      </c>
      <c r="F515" s="57">
        <v>132644.54818800028</v>
      </c>
      <c r="G515" s="57">
        <v>10929948791280.719</v>
      </c>
    </row>
    <row r="516" spans="1:7" ht="11.25" customHeight="1" x14ac:dyDescent="0.2">
      <c r="A516" s="67">
        <v>44501</v>
      </c>
      <c r="B516" s="57">
        <v>24503.851599999973</v>
      </c>
      <c r="C516" s="57">
        <v>106416.55144400001</v>
      </c>
      <c r="D516" s="57">
        <v>35536.608113204908</v>
      </c>
      <c r="E516" s="57">
        <v>10733616346479.809</v>
      </c>
      <c r="F516" s="57">
        <v>130920.40304399998</v>
      </c>
      <c r="G516" s="57">
        <v>10733616382016.416</v>
      </c>
    </row>
    <row r="517" spans="1:7" ht="11.25" customHeight="1" x14ac:dyDescent="0.2">
      <c r="A517" s="67">
        <v>44531</v>
      </c>
      <c r="B517" s="57">
        <v>24556.852000000024</v>
      </c>
      <c r="C517" s="57">
        <v>105526.22976</v>
      </c>
      <c r="D517" s="57">
        <v>35613.471721236427</v>
      </c>
      <c r="E517" s="57">
        <v>10643814795392.742</v>
      </c>
      <c r="F517" s="57">
        <v>130083.08176000003</v>
      </c>
      <c r="G517" s="57">
        <v>10643814831006.215</v>
      </c>
    </row>
    <row r="518" spans="1:7" ht="11.25" customHeight="1" x14ac:dyDescent="0.2">
      <c r="A518" s="67">
        <v>44562</v>
      </c>
      <c r="B518" s="57">
        <v>21192.84959999995</v>
      </c>
      <c r="C518" s="57">
        <v>83975.475143999822</v>
      </c>
      <c r="D518" s="57">
        <v>30734.841335608256</v>
      </c>
      <c r="E518" s="57">
        <v>8470115977995.8838</v>
      </c>
      <c r="F518" s="57">
        <v>105168.32474399978</v>
      </c>
      <c r="G518" s="57">
        <v>8470116008730.7256</v>
      </c>
    </row>
    <row r="519" spans="1:7" ht="11.25" customHeight="1" x14ac:dyDescent="0.2">
      <c r="A519" s="67">
        <v>44593</v>
      </c>
      <c r="B519" s="57">
        <v>22093.247199999991</v>
      </c>
      <c r="C519" s="57">
        <v>76270.545007999928</v>
      </c>
      <c r="D519" s="57">
        <v>32040.6391823954</v>
      </c>
      <c r="E519" s="57">
        <v>7692964652059.7686</v>
      </c>
      <c r="F519" s="57">
        <v>98363.792207999912</v>
      </c>
      <c r="G519" s="57">
        <v>7692964684100.4082</v>
      </c>
    </row>
    <row r="520" spans="1:7" ht="11.25" customHeight="1" x14ac:dyDescent="0.2">
      <c r="A520" s="67">
        <v>44621</v>
      </c>
      <c r="B520" s="57">
        <v>17727.110799999988</v>
      </c>
      <c r="C520" s="57">
        <v>48188.115179999993</v>
      </c>
      <c r="D520" s="57">
        <v>25708.668162149766</v>
      </c>
      <c r="E520" s="57">
        <v>4860453884133.6641</v>
      </c>
      <c r="F520" s="57">
        <v>65915.225979999988</v>
      </c>
      <c r="G520" s="57">
        <v>4860453909842.332</v>
      </c>
    </row>
    <row r="521" spans="1:7" ht="11.25" customHeight="1" x14ac:dyDescent="0.2">
      <c r="A521" s="67">
        <v>44652</v>
      </c>
      <c r="B521" s="57">
        <v>17727.110799999988</v>
      </c>
      <c r="C521" s="57">
        <v>48188.115179999993</v>
      </c>
      <c r="D521" s="57">
        <v>25708.668162149766</v>
      </c>
      <c r="E521" s="57">
        <v>4860453884133.6641</v>
      </c>
      <c r="F521" s="57">
        <v>65915.225979999988</v>
      </c>
      <c r="G521" s="57">
        <v>4860453909842.332</v>
      </c>
    </row>
    <row r="522" spans="1:7" ht="11.25" customHeight="1" x14ac:dyDescent="0.2">
      <c r="A522" s="66" t="s">
        <v>35</v>
      </c>
      <c r="B522" s="57">
        <v>134241.10560000004</v>
      </c>
      <c r="C522" s="57">
        <v>43071.512024799966</v>
      </c>
      <c r="D522" s="57">
        <v>182665.08589850465</v>
      </c>
      <c r="E522" s="57">
        <v>3008161610786.8062</v>
      </c>
      <c r="F522" s="57">
        <v>177312.61762480001</v>
      </c>
      <c r="G522" s="57">
        <v>3008161793451.8921</v>
      </c>
    </row>
    <row r="523" spans="1:7" ht="11.25" customHeight="1" x14ac:dyDescent="0.2">
      <c r="A523" s="67">
        <v>44317</v>
      </c>
      <c r="B523" s="57">
        <v>2811.1103999999941</v>
      </c>
      <c r="C523" s="57">
        <v>940.66120400000193</v>
      </c>
      <c r="D523" s="57">
        <v>3825.145214583054</v>
      </c>
      <c r="E523" s="57">
        <v>65696809552.449051</v>
      </c>
      <c r="F523" s="57">
        <v>3751.7716039999959</v>
      </c>
      <c r="G523" s="57">
        <v>65696813377.594269</v>
      </c>
    </row>
    <row r="524" spans="1:7" ht="11.25" customHeight="1" x14ac:dyDescent="0.2">
      <c r="A524" s="67">
        <v>44348</v>
      </c>
      <c r="B524" s="57">
        <v>3067.2432000000022</v>
      </c>
      <c r="C524" s="57">
        <v>913.02521519999789</v>
      </c>
      <c r="D524" s="57">
        <v>4173.6712469358881</v>
      </c>
      <c r="E524" s="57">
        <v>63766681802.663094</v>
      </c>
      <c r="F524" s="57">
        <v>3980.2684152000002</v>
      </c>
      <c r="G524" s="57">
        <v>63766685976.334343</v>
      </c>
    </row>
    <row r="525" spans="1:7" ht="11.25" customHeight="1" x14ac:dyDescent="0.2">
      <c r="A525" s="67">
        <v>44378</v>
      </c>
      <c r="B525" s="57">
        <v>2593.08</v>
      </c>
      <c r="C525" s="57">
        <v>1089.6616752000016</v>
      </c>
      <c r="D525" s="57">
        <v>3528.4660300182609</v>
      </c>
      <c r="E525" s="57">
        <v>76103165781.478287</v>
      </c>
      <c r="F525" s="57">
        <v>3682.7416752000017</v>
      </c>
      <c r="G525" s="57">
        <v>76103169309.944321</v>
      </c>
    </row>
    <row r="526" spans="1:7" ht="11.25" customHeight="1" x14ac:dyDescent="0.2">
      <c r="A526" s="67">
        <v>44409</v>
      </c>
      <c r="B526" s="57">
        <v>7265.9160000000093</v>
      </c>
      <c r="C526" s="57">
        <v>519.64881919999823</v>
      </c>
      <c r="D526" s="57">
        <v>9886.9058351328131</v>
      </c>
      <c r="E526" s="57">
        <v>36292843123.502785</v>
      </c>
      <c r="F526" s="57">
        <v>7785.5648192000072</v>
      </c>
      <c r="G526" s="57">
        <v>36292853010.408623</v>
      </c>
    </row>
    <row r="527" spans="1:7" ht="11.25" customHeight="1" x14ac:dyDescent="0.2">
      <c r="A527" s="67">
        <v>44440</v>
      </c>
      <c r="B527" s="57">
        <v>5755.579200000011</v>
      </c>
      <c r="C527" s="57">
        <v>4699.7485863999955</v>
      </c>
      <c r="D527" s="57">
        <v>7831.7543964242213</v>
      </c>
      <c r="E527" s="57">
        <v>328235592700.29327</v>
      </c>
      <c r="F527" s="57">
        <v>10455.327786400007</v>
      </c>
      <c r="G527" s="57">
        <v>328235600532.04767</v>
      </c>
    </row>
    <row r="528" spans="1:7" ht="11.25" customHeight="1" x14ac:dyDescent="0.2">
      <c r="A528" s="67">
        <v>44470</v>
      </c>
      <c r="B528" s="57">
        <v>20301.170400000043</v>
      </c>
      <c r="C528" s="57">
        <v>7253.9694416000011</v>
      </c>
      <c r="D528" s="57">
        <v>27624.288539502206</v>
      </c>
      <c r="E528" s="57">
        <v>506625176926.1651</v>
      </c>
      <c r="F528" s="57">
        <v>27555.139841600045</v>
      </c>
      <c r="G528" s="57">
        <v>506625204550.45361</v>
      </c>
    </row>
    <row r="529" spans="1:7" ht="11.25" customHeight="1" x14ac:dyDescent="0.2">
      <c r="A529" s="67">
        <v>44501</v>
      </c>
      <c r="B529" s="57">
        <v>18187.545600000016</v>
      </c>
      <c r="C529" s="57">
        <v>6482.18751599998</v>
      </c>
      <c r="D529" s="57">
        <v>24748.228677483203</v>
      </c>
      <c r="E529" s="57">
        <v>452723081286.8866</v>
      </c>
      <c r="F529" s="57">
        <v>24669.733115999996</v>
      </c>
      <c r="G529" s="57">
        <v>452723106035.1153</v>
      </c>
    </row>
    <row r="530" spans="1:7" ht="11.25" customHeight="1" x14ac:dyDescent="0.2">
      <c r="A530" s="67">
        <v>44531</v>
      </c>
      <c r="B530" s="57">
        <v>14217.487199999992</v>
      </c>
      <c r="C530" s="57">
        <v>5597.7535264000117</v>
      </c>
      <c r="D530" s="57">
        <v>19346.075176014398</v>
      </c>
      <c r="E530" s="57">
        <v>390953242019.16473</v>
      </c>
      <c r="F530" s="57">
        <v>19815.240726400003</v>
      </c>
      <c r="G530" s="57">
        <v>390953261365.23993</v>
      </c>
    </row>
    <row r="531" spans="1:7" ht="11.25" customHeight="1" x14ac:dyDescent="0.2">
      <c r="A531" s="67">
        <v>44562</v>
      </c>
      <c r="B531" s="57">
        <v>15028.221599999977</v>
      </c>
      <c r="C531" s="57">
        <v>1558.7982312000024</v>
      </c>
      <c r="D531" s="57">
        <v>20449.260881726208</v>
      </c>
      <c r="E531" s="57">
        <v>108868177076.26094</v>
      </c>
      <c r="F531" s="57">
        <v>16587.019831199981</v>
      </c>
      <c r="G531" s="57">
        <v>108868197525.52182</v>
      </c>
    </row>
    <row r="532" spans="1:7" ht="11.25" customHeight="1" x14ac:dyDescent="0.2">
      <c r="A532" s="67">
        <v>44593</v>
      </c>
      <c r="B532" s="57">
        <v>15399.720000000001</v>
      </c>
      <c r="C532" s="57">
        <v>4236.5740255999935</v>
      </c>
      <c r="D532" s="57">
        <v>20954.767647659468</v>
      </c>
      <c r="E532" s="57">
        <v>295886973685.26178</v>
      </c>
      <c r="F532" s="57">
        <v>19636.294025599993</v>
      </c>
      <c r="G532" s="57">
        <v>295886994640.02942</v>
      </c>
    </row>
    <row r="533" spans="1:7" ht="11.25" customHeight="1" x14ac:dyDescent="0.2">
      <c r="A533" s="67">
        <v>44621</v>
      </c>
      <c r="B533" s="57">
        <v>14807.016000000011</v>
      </c>
      <c r="C533" s="57">
        <v>4889.7418919999882</v>
      </c>
      <c r="D533" s="57">
        <v>20148.261126512451</v>
      </c>
      <c r="E533" s="57">
        <v>341504933416.34027</v>
      </c>
      <c r="F533" s="57">
        <v>19696.757891999998</v>
      </c>
      <c r="G533" s="57">
        <v>341504953564.60138</v>
      </c>
    </row>
    <row r="534" spans="1:7" ht="11.25" customHeight="1" x14ac:dyDescent="0.2">
      <c r="A534" s="67">
        <v>44652</v>
      </c>
      <c r="B534" s="57">
        <v>14807.016000000011</v>
      </c>
      <c r="C534" s="57">
        <v>4889.7418919999882</v>
      </c>
      <c r="D534" s="57">
        <v>20148.261126512451</v>
      </c>
      <c r="E534" s="57">
        <v>341504933416.34027</v>
      </c>
      <c r="F534" s="57">
        <v>19696.757891999998</v>
      </c>
      <c r="G534" s="57">
        <v>341504953564.60138</v>
      </c>
    </row>
    <row r="535" spans="1:7" ht="11.25" customHeight="1" x14ac:dyDescent="0.2">
      <c r="A535" s="63" t="s">
        <v>25</v>
      </c>
      <c r="B535" s="57">
        <v>1275.0407999999995</v>
      </c>
      <c r="C535" s="57">
        <v>330.63174719999967</v>
      </c>
      <c r="D535" s="57">
        <v>1747.740132389526</v>
      </c>
      <c r="E535" s="57">
        <v>31871263067.591442</v>
      </c>
      <c r="F535" s="57">
        <v>1605.6725471999991</v>
      </c>
      <c r="G535" s="57">
        <v>31871264815.331573</v>
      </c>
    </row>
    <row r="536" spans="1:7" ht="11.25" customHeight="1" x14ac:dyDescent="0.2">
      <c r="A536" s="64" t="s">
        <v>25</v>
      </c>
      <c r="B536" s="57">
        <v>1275.0407999999995</v>
      </c>
      <c r="C536" s="57">
        <v>330.63174719999967</v>
      </c>
      <c r="D536" s="57">
        <v>1747.740132389526</v>
      </c>
      <c r="E536" s="57">
        <v>31871263067.591442</v>
      </c>
      <c r="F536" s="57">
        <v>1605.6725471999991</v>
      </c>
      <c r="G536" s="57">
        <v>31871264815.331573</v>
      </c>
    </row>
    <row r="537" spans="1:7" ht="11.25" customHeight="1" x14ac:dyDescent="0.2">
      <c r="A537" s="65" t="s">
        <v>25</v>
      </c>
      <c r="B537" s="57">
        <v>1275.0407999999995</v>
      </c>
      <c r="C537" s="57">
        <v>330.63174719999967</v>
      </c>
      <c r="D537" s="57">
        <v>1747.740132389526</v>
      </c>
      <c r="E537" s="57">
        <v>31871263067.591442</v>
      </c>
      <c r="F537" s="57">
        <v>1605.6725471999991</v>
      </c>
      <c r="G537" s="57">
        <v>31871264815.331573</v>
      </c>
    </row>
    <row r="538" spans="1:7" ht="11.25" customHeight="1" x14ac:dyDescent="0.2">
      <c r="A538" s="66" t="s">
        <v>36</v>
      </c>
      <c r="B538" s="57">
        <v>142.55279999999976</v>
      </c>
      <c r="C538" s="57">
        <v>283.00166399999966</v>
      </c>
      <c r="D538" s="57">
        <v>206.73660091216331</v>
      </c>
      <c r="E538" s="57">
        <v>28544725849.248058</v>
      </c>
      <c r="F538" s="57">
        <v>425.55446399999943</v>
      </c>
      <c r="G538" s="57">
        <v>28544726055.984661</v>
      </c>
    </row>
    <row r="539" spans="1:7" ht="11.25" customHeight="1" x14ac:dyDescent="0.2">
      <c r="A539" s="67">
        <v>44317</v>
      </c>
      <c r="B539" s="57">
        <v>87.72479999999986</v>
      </c>
      <c r="C539" s="57">
        <v>98.325287999999958</v>
      </c>
      <c r="D539" s="57">
        <v>127.22252363825434</v>
      </c>
      <c r="E539" s="57">
        <v>9917497834.9539394</v>
      </c>
      <c r="F539" s="57">
        <v>186.05008799999982</v>
      </c>
      <c r="G539" s="57">
        <v>9917497962.1764622</v>
      </c>
    </row>
    <row r="540" spans="1:7" ht="11.25" customHeight="1" x14ac:dyDescent="0.2">
      <c r="A540" s="67">
        <v>44348</v>
      </c>
      <c r="B540" s="57">
        <v>27.413999999999959</v>
      </c>
      <c r="C540" s="57">
        <v>91.688159999999769</v>
      </c>
      <c r="D540" s="57">
        <v>39.757038636954483</v>
      </c>
      <c r="E540" s="57">
        <v>9248049477.2708778</v>
      </c>
      <c r="F540" s="57">
        <v>119.10215999999973</v>
      </c>
      <c r="G540" s="57">
        <v>9248049517.027916</v>
      </c>
    </row>
    <row r="541" spans="1:7" ht="11.25" customHeight="1" x14ac:dyDescent="0.2">
      <c r="A541" s="67">
        <v>44378</v>
      </c>
      <c r="B541" s="57">
        <v>27.413999999999959</v>
      </c>
      <c r="C541" s="57">
        <v>92.988215999999937</v>
      </c>
      <c r="D541" s="57">
        <v>39.757038636954483</v>
      </c>
      <c r="E541" s="57">
        <v>9379178537.023243</v>
      </c>
      <c r="F541" s="57">
        <v>120.4022159999999</v>
      </c>
      <c r="G541" s="57">
        <v>9379178576.7802811</v>
      </c>
    </row>
    <row r="542" spans="1:7" ht="11.25" customHeight="1" x14ac:dyDescent="0.2">
      <c r="A542" s="66" t="s">
        <v>35</v>
      </c>
      <c r="B542" s="57">
        <v>1132.4879999999998</v>
      </c>
      <c r="C542" s="57">
        <v>47.630083200000001</v>
      </c>
      <c r="D542" s="57">
        <v>1541.0035314773627</v>
      </c>
      <c r="E542" s="57">
        <v>3326537218.3433824</v>
      </c>
      <c r="F542" s="57">
        <v>1180.1180831999998</v>
      </c>
      <c r="G542" s="57">
        <v>3326538759.3469138</v>
      </c>
    </row>
    <row r="543" spans="1:7" ht="11.25" customHeight="1" x14ac:dyDescent="0.2">
      <c r="A543" s="67">
        <v>44317</v>
      </c>
      <c r="B543" s="57">
        <v>1081.6848</v>
      </c>
      <c r="C543" s="57">
        <v>15.909633600000003</v>
      </c>
      <c r="D543" s="57">
        <v>1471.8744010933315</v>
      </c>
      <c r="E543" s="57">
        <v>1111146249.2806735</v>
      </c>
      <c r="F543" s="57">
        <v>1097.5944336</v>
      </c>
      <c r="G543" s="57">
        <v>1111147721.1550746</v>
      </c>
    </row>
    <row r="544" spans="1:7" ht="11.25" customHeight="1" x14ac:dyDescent="0.2">
      <c r="A544" s="67">
        <v>44348</v>
      </c>
      <c r="B544" s="57">
        <v>25.401600000000023</v>
      </c>
      <c r="C544" s="57">
        <v>15.415545600000012</v>
      </c>
      <c r="D544" s="57">
        <v>34.56456519201565</v>
      </c>
      <c r="E544" s="57">
        <v>1076638601.7874856</v>
      </c>
      <c r="F544" s="57">
        <v>40.817145600000032</v>
      </c>
      <c r="G544" s="57">
        <v>1076638636.3520508</v>
      </c>
    </row>
    <row r="545" spans="1:7" ht="11.25" customHeight="1" x14ac:dyDescent="0.2">
      <c r="A545" s="67">
        <v>44378</v>
      </c>
      <c r="B545" s="57">
        <v>25.401600000000023</v>
      </c>
      <c r="C545" s="57">
        <v>16.304903999999986</v>
      </c>
      <c r="D545" s="57">
        <v>34.56456519201565</v>
      </c>
      <c r="E545" s="57">
        <v>1138752367.2752233</v>
      </c>
      <c r="F545" s="57">
        <v>41.70650400000001</v>
      </c>
      <c r="G545" s="57">
        <v>1138752401.8397884</v>
      </c>
    </row>
    <row r="546" spans="1:7" ht="11.25" customHeight="1" x14ac:dyDescent="0.2">
      <c r="A546" s="60" t="s">
        <v>33</v>
      </c>
      <c r="B546" s="57">
        <v>247915.34400000007</v>
      </c>
      <c r="C546" s="57">
        <v>461517.36473920027</v>
      </c>
      <c r="D546" s="57">
        <v>317085.80418381549</v>
      </c>
      <c r="E546" s="57">
        <v>35822699370984.789</v>
      </c>
      <c r="F546" s="57">
        <v>709432.70873920014</v>
      </c>
      <c r="G546" s="57">
        <v>35822699688070.578</v>
      </c>
    </row>
    <row r="547" spans="1:7" ht="11.25" customHeight="1" x14ac:dyDescent="0.2">
      <c r="A547" s="61" t="s">
        <v>34</v>
      </c>
      <c r="B547" s="57">
        <v>247915.34400000007</v>
      </c>
      <c r="C547" s="57">
        <v>461517.36473920027</v>
      </c>
      <c r="D547" s="57">
        <v>317085.80418381549</v>
      </c>
      <c r="E547" s="57">
        <v>35822699370984.789</v>
      </c>
      <c r="F547" s="57">
        <v>709432.70873920014</v>
      </c>
      <c r="G547" s="57">
        <v>35822699688070.578</v>
      </c>
    </row>
    <row r="548" spans="1:7" ht="11.25" customHeight="1" x14ac:dyDescent="0.2">
      <c r="A548" s="62" t="s">
        <v>45</v>
      </c>
      <c r="B548" s="57">
        <v>247915.34400000007</v>
      </c>
      <c r="C548" s="57">
        <v>461517.36473920027</v>
      </c>
      <c r="D548" s="57">
        <v>317085.80418381549</v>
      </c>
      <c r="E548" s="57">
        <v>35822699370984.789</v>
      </c>
      <c r="F548" s="57">
        <v>709432.70873920014</v>
      </c>
      <c r="G548" s="57">
        <v>35822699688070.578</v>
      </c>
    </row>
    <row r="549" spans="1:7" ht="11.25" customHeight="1" x14ac:dyDescent="0.2">
      <c r="A549" s="63" t="s">
        <v>53</v>
      </c>
      <c r="B549" s="57">
        <v>205578.78400000007</v>
      </c>
      <c r="C549" s="57">
        <v>251422.83144880022</v>
      </c>
      <c r="D549" s="57">
        <v>262936.98887702136</v>
      </c>
      <c r="E549" s="57">
        <v>21190078826208.281</v>
      </c>
      <c r="F549" s="57">
        <v>457001.61544880038</v>
      </c>
      <c r="G549" s="57">
        <v>21190079089145.262</v>
      </c>
    </row>
    <row r="550" spans="1:7" ht="11.25" customHeight="1" x14ac:dyDescent="0.2">
      <c r="A550" s="64" t="s">
        <v>25</v>
      </c>
      <c r="B550" s="57">
        <v>205578.78400000007</v>
      </c>
      <c r="C550" s="57">
        <v>251422.83144880022</v>
      </c>
      <c r="D550" s="57">
        <v>262936.98887702136</v>
      </c>
      <c r="E550" s="57">
        <v>21190078826208.281</v>
      </c>
      <c r="F550" s="57">
        <v>457001.61544880038</v>
      </c>
      <c r="G550" s="57">
        <v>21190079089145.262</v>
      </c>
    </row>
    <row r="551" spans="1:7" ht="11.25" customHeight="1" x14ac:dyDescent="0.2">
      <c r="A551" s="65" t="s">
        <v>25</v>
      </c>
      <c r="B551" s="57">
        <v>205578.78400000007</v>
      </c>
      <c r="C551" s="57">
        <v>251422.83144880022</v>
      </c>
      <c r="D551" s="57">
        <v>262936.98887702136</v>
      </c>
      <c r="E551" s="57">
        <v>21190078826208.281</v>
      </c>
      <c r="F551" s="57">
        <v>457001.61544880038</v>
      </c>
      <c r="G551" s="57">
        <v>21190079089145.262</v>
      </c>
    </row>
    <row r="552" spans="1:7" ht="11.25" customHeight="1" x14ac:dyDescent="0.2">
      <c r="A552" s="66" t="s">
        <v>36</v>
      </c>
      <c r="B552" s="57">
        <v>0</v>
      </c>
      <c r="C552" s="57">
        <v>230536.07299680027</v>
      </c>
      <c r="D552" s="57">
        <v>0</v>
      </c>
      <c r="E552" s="57">
        <v>20874681208114.539</v>
      </c>
      <c r="F552" s="57">
        <v>230536.0729968003</v>
      </c>
      <c r="G552" s="57">
        <v>20874681208114.535</v>
      </c>
    </row>
    <row r="553" spans="1:7" ht="11.25" customHeight="1" x14ac:dyDescent="0.2">
      <c r="A553" s="67">
        <v>44317</v>
      </c>
      <c r="B553" s="57">
        <v>0</v>
      </c>
      <c r="C553" s="57">
        <v>2437.1470296000052</v>
      </c>
      <c r="D553" s="57">
        <v>0</v>
      </c>
      <c r="E553" s="57">
        <v>220679855602.9429</v>
      </c>
      <c r="F553" s="57">
        <v>2437.1470296000052</v>
      </c>
      <c r="G553" s="57">
        <v>220679855602.9429</v>
      </c>
    </row>
    <row r="554" spans="1:7" ht="11.25" customHeight="1" x14ac:dyDescent="0.2">
      <c r="A554" s="67">
        <v>44348</v>
      </c>
      <c r="B554" s="57">
        <v>0</v>
      </c>
      <c r="C554" s="57">
        <v>1045.7274240000002</v>
      </c>
      <c r="D554" s="57">
        <v>0</v>
      </c>
      <c r="E554" s="57">
        <v>94688984343.39949</v>
      </c>
      <c r="F554" s="57">
        <v>1045.7274240000002</v>
      </c>
      <c r="G554" s="57">
        <v>94688984343.39949</v>
      </c>
    </row>
    <row r="555" spans="1:7" ht="11.25" customHeight="1" x14ac:dyDescent="0.2">
      <c r="A555" s="67">
        <v>44378</v>
      </c>
      <c r="B555" s="57">
        <v>0</v>
      </c>
      <c r="C555" s="57">
        <v>2766.3885671999992</v>
      </c>
      <c r="D555" s="57">
        <v>0</v>
      </c>
      <c r="E555" s="57">
        <v>250492162408.24152</v>
      </c>
      <c r="F555" s="57">
        <v>2766.3885671999992</v>
      </c>
      <c r="G555" s="57">
        <v>250492162408.24152</v>
      </c>
    </row>
    <row r="556" spans="1:7" ht="11.25" customHeight="1" x14ac:dyDescent="0.2">
      <c r="A556" s="67">
        <v>44409</v>
      </c>
      <c r="B556" s="57">
        <v>0</v>
      </c>
      <c r="C556" s="57">
        <v>4106.0680392000068</v>
      </c>
      <c r="D556" s="57">
        <v>0</v>
      </c>
      <c r="E556" s="57">
        <v>371798045411.82477</v>
      </c>
      <c r="F556" s="57">
        <v>4106.0680392000068</v>
      </c>
      <c r="G556" s="57">
        <v>371798045411.82477</v>
      </c>
    </row>
    <row r="557" spans="1:7" ht="11.25" customHeight="1" x14ac:dyDescent="0.2">
      <c r="A557" s="67">
        <v>44440</v>
      </c>
      <c r="B557" s="57">
        <v>0</v>
      </c>
      <c r="C557" s="57">
        <v>10087.966809600008</v>
      </c>
      <c r="D557" s="57">
        <v>0</v>
      </c>
      <c r="E557" s="57">
        <v>913449632636.7251</v>
      </c>
      <c r="F557" s="57">
        <v>10087.966809600008</v>
      </c>
      <c r="G557" s="57">
        <v>913449632636.7251</v>
      </c>
    </row>
    <row r="558" spans="1:7" ht="11.25" customHeight="1" x14ac:dyDescent="0.2">
      <c r="A558" s="67">
        <v>44470</v>
      </c>
      <c r="B558" s="57">
        <v>0</v>
      </c>
      <c r="C558" s="57">
        <v>26026.646443200032</v>
      </c>
      <c r="D558" s="57">
        <v>0</v>
      </c>
      <c r="E558" s="57">
        <v>2356672170023.6885</v>
      </c>
      <c r="F558" s="57">
        <v>26026.646443200032</v>
      </c>
      <c r="G558" s="57">
        <v>2356672170023.6885</v>
      </c>
    </row>
    <row r="559" spans="1:7" ht="11.25" customHeight="1" x14ac:dyDescent="0.2">
      <c r="A559" s="67">
        <v>44501</v>
      </c>
      <c r="B559" s="57">
        <v>0</v>
      </c>
      <c r="C559" s="57">
        <v>43058.576171999994</v>
      </c>
      <c r="D559" s="57">
        <v>0</v>
      </c>
      <c r="E559" s="57">
        <v>3898886795379.2725</v>
      </c>
      <c r="F559" s="57">
        <v>43058.576171999994</v>
      </c>
      <c r="G559" s="57">
        <v>3898886795379.2725</v>
      </c>
    </row>
    <row r="560" spans="1:7" ht="11.25" customHeight="1" x14ac:dyDescent="0.2">
      <c r="A560" s="67">
        <v>44531</v>
      </c>
      <c r="B560" s="57">
        <v>0</v>
      </c>
      <c r="C560" s="57">
        <v>37917.15922320004</v>
      </c>
      <c r="D560" s="57">
        <v>0</v>
      </c>
      <c r="E560" s="57">
        <v>3433339523887.0337</v>
      </c>
      <c r="F560" s="57">
        <v>37917.15922320004</v>
      </c>
      <c r="G560" s="57">
        <v>3433339523887.0337</v>
      </c>
    </row>
    <row r="561" spans="1:7" ht="11.25" customHeight="1" x14ac:dyDescent="0.2">
      <c r="A561" s="67">
        <v>44562</v>
      </c>
      <c r="B561" s="57">
        <v>0</v>
      </c>
      <c r="C561" s="57">
        <v>32893.056326399987</v>
      </c>
      <c r="D561" s="57">
        <v>0</v>
      </c>
      <c r="E561" s="57">
        <v>2978414856505.71</v>
      </c>
      <c r="F561" s="57">
        <v>32893.056326399987</v>
      </c>
      <c r="G561" s="57">
        <v>2978414856505.71</v>
      </c>
    </row>
    <row r="562" spans="1:7" ht="11.25" customHeight="1" x14ac:dyDescent="0.2">
      <c r="A562" s="67">
        <v>44593</v>
      </c>
      <c r="B562" s="57">
        <v>0</v>
      </c>
      <c r="C562" s="57">
        <v>42711.448528800072</v>
      </c>
      <c r="D562" s="57">
        <v>0</v>
      </c>
      <c r="E562" s="57">
        <v>3867454929658.0972</v>
      </c>
      <c r="F562" s="57">
        <v>42711.448528800072</v>
      </c>
      <c r="G562" s="57">
        <v>3867454929658.0972</v>
      </c>
    </row>
    <row r="563" spans="1:7" ht="11.25" customHeight="1" x14ac:dyDescent="0.2">
      <c r="A563" s="67">
        <v>44621</v>
      </c>
      <c r="B563" s="57">
        <v>0</v>
      </c>
      <c r="C563" s="57">
        <v>13742.944216800059</v>
      </c>
      <c r="D563" s="57">
        <v>0</v>
      </c>
      <c r="E563" s="57">
        <v>1244402126128.8</v>
      </c>
      <c r="F563" s="57">
        <v>13742.944216800059</v>
      </c>
      <c r="G563" s="57">
        <v>1244402126128.8</v>
      </c>
    </row>
    <row r="564" spans="1:7" ht="11.25" customHeight="1" x14ac:dyDescent="0.2">
      <c r="A564" s="67">
        <v>44652</v>
      </c>
      <c r="B564" s="57">
        <v>0</v>
      </c>
      <c r="C564" s="57">
        <v>13742.944216800059</v>
      </c>
      <c r="D564" s="57">
        <v>0</v>
      </c>
      <c r="E564" s="57">
        <v>1244402126128.8</v>
      </c>
      <c r="F564" s="57">
        <v>13742.944216800059</v>
      </c>
      <c r="G564" s="57">
        <v>1244402126128.8</v>
      </c>
    </row>
    <row r="565" spans="1:7" ht="11.25" customHeight="1" x14ac:dyDescent="0.2">
      <c r="A565" s="66" t="s">
        <v>25</v>
      </c>
      <c r="B565" s="57">
        <v>205578.78400000007</v>
      </c>
      <c r="C565" s="57">
        <v>0</v>
      </c>
      <c r="D565" s="57">
        <v>262936.98887702136</v>
      </c>
      <c r="E565" s="57">
        <v>0</v>
      </c>
      <c r="F565" s="57">
        <v>205578.78400000004</v>
      </c>
      <c r="G565" s="57">
        <v>262936.98887702142</v>
      </c>
    </row>
    <row r="566" spans="1:7" ht="11.25" customHeight="1" x14ac:dyDescent="0.2">
      <c r="A566" s="67">
        <v>44317</v>
      </c>
      <c r="B566" s="57">
        <v>6399.4279999999981</v>
      </c>
      <c r="C566" s="57">
        <v>0</v>
      </c>
      <c r="D566" s="57">
        <v>8184.9220825009743</v>
      </c>
      <c r="E566" s="57">
        <v>0</v>
      </c>
      <c r="F566" s="57">
        <v>6399.4279999999981</v>
      </c>
      <c r="G566" s="57">
        <v>8184.9220825009743</v>
      </c>
    </row>
    <row r="567" spans="1:7" ht="11.25" customHeight="1" x14ac:dyDescent="0.2">
      <c r="A567" s="67">
        <v>44348</v>
      </c>
      <c r="B567" s="57">
        <v>4427.6840000000029</v>
      </c>
      <c r="C567" s="57">
        <v>0</v>
      </c>
      <c r="D567" s="57">
        <v>5663.0449699467326</v>
      </c>
      <c r="E567" s="57">
        <v>0</v>
      </c>
      <c r="F567" s="57">
        <v>4427.6840000000029</v>
      </c>
      <c r="G567" s="57">
        <v>5663.0449699467326</v>
      </c>
    </row>
    <row r="568" spans="1:7" ht="11.25" customHeight="1" x14ac:dyDescent="0.2">
      <c r="A568" s="67">
        <v>44378</v>
      </c>
      <c r="B568" s="57">
        <v>-2101.9700000000043</v>
      </c>
      <c r="C568" s="57">
        <v>0</v>
      </c>
      <c r="D568" s="57">
        <v>-2688.4372587291573</v>
      </c>
      <c r="E568" s="57">
        <v>0</v>
      </c>
      <c r="F568" s="57">
        <v>-2101.9700000000043</v>
      </c>
      <c r="G568" s="57">
        <v>-2688.4372587291573</v>
      </c>
    </row>
    <row r="569" spans="1:7" ht="11.25" customHeight="1" x14ac:dyDescent="0.2">
      <c r="A569" s="67">
        <v>44409</v>
      </c>
      <c r="B569" s="57">
        <v>12451.004000000001</v>
      </c>
      <c r="C569" s="57">
        <v>0</v>
      </c>
      <c r="D569" s="57">
        <v>15924.938539648858</v>
      </c>
      <c r="E569" s="57">
        <v>0</v>
      </c>
      <c r="F569" s="57">
        <v>12451.004000000001</v>
      </c>
      <c r="G569" s="57">
        <v>15924.938539648858</v>
      </c>
    </row>
    <row r="570" spans="1:7" ht="11.25" customHeight="1" x14ac:dyDescent="0.2">
      <c r="A570" s="67">
        <v>44440</v>
      </c>
      <c r="B570" s="57">
        <v>17216.926000000003</v>
      </c>
      <c r="C570" s="57">
        <v>0</v>
      </c>
      <c r="D570" s="57">
        <v>22020.59274831833</v>
      </c>
      <c r="E570" s="57">
        <v>0</v>
      </c>
      <c r="F570" s="57">
        <v>17216.926000000003</v>
      </c>
      <c r="G570" s="57">
        <v>22020.59274831833</v>
      </c>
    </row>
    <row r="571" spans="1:7" ht="11.25" customHeight="1" x14ac:dyDescent="0.2">
      <c r="A571" s="67">
        <v>44470</v>
      </c>
      <c r="B571" s="57">
        <v>22043.154000000002</v>
      </c>
      <c r="C571" s="57">
        <v>0</v>
      </c>
      <c r="D571" s="57">
        <v>28193.378836760065</v>
      </c>
      <c r="E571" s="57">
        <v>0</v>
      </c>
      <c r="F571" s="57">
        <v>22043.154000000002</v>
      </c>
      <c r="G571" s="57">
        <v>28193.378836760065</v>
      </c>
    </row>
    <row r="572" spans="1:7" ht="11.25" customHeight="1" x14ac:dyDescent="0.2">
      <c r="A572" s="67">
        <v>44501</v>
      </c>
      <c r="B572" s="57">
        <v>22662.820000000003</v>
      </c>
      <c r="C572" s="57">
        <v>0</v>
      </c>
      <c r="D572" s="57">
        <v>28985.936847753394</v>
      </c>
      <c r="E572" s="57">
        <v>0</v>
      </c>
      <c r="F572" s="57">
        <v>22662.820000000003</v>
      </c>
      <c r="G572" s="57">
        <v>28985.936847753394</v>
      </c>
    </row>
    <row r="573" spans="1:7" ht="11.25" customHeight="1" x14ac:dyDescent="0.2">
      <c r="A573" s="67">
        <v>44531</v>
      </c>
      <c r="B573" s="57">
        <v>25034.855999999996</v>
      </c>
      <c r="C573" s="57">
        <v>0</v>
      </c>
      <c r="D573" s="57">
        <v>32019.790785462708</v>
      </c>
      <c r="E573" s="57">
        <v>0</v>
      </c>
      <c r="F573" s="57">
        <v>25034.855999999996</v>
      </c>
      <c r="G573" s="57">
        <v>32019.790785462708</v>
      </c>
    </row>
    <row r="574" spans="1:7" ht="11.25" customHeight="1" x14ac:dyDescent="0.2">
      <c r="A574" s="67">
        <v>44562</v>
      </c>
      <c r="B574" s="57">
        <v>22934.634000000002</v>
      </c>
      <c r="C574" s="57">
        <v>0</v>
      </c>
      <c r="D574" s="57">
        <v>29333.589233393624</v>
      </c>
      <c r="E574" s="57">
        <v>0</v>
      </c>
      <c r="F574" s="57">
        <v>22934.634000000002</v>
      </c>
      <c r="G574" s="57">
        <v>29333.589233393624</v>
      </c>
    </row>
    <row r="575" spans="1:7" ht="11.25" customHeight="1" x14ac:dyDescent="0.2">
      <c r="A575" s="67">
        <v>44593</v>
      </c>
      <c r="B575" s="57">
        <v>24681.760000000042</v>
      </c>
      <c r="C575" s="57">
        <v>0</v>
      </c>
      <c r="D575" s="57">
        <v>31568.178040129467</v>
      </c>
      <c r="E575" s="57">
        <v>0</v>
      </c>
      <c r="F575" s="57">
        <v>24681.760000000042</v>
      </c>
      <c r="G575" s="57">
        <v>31568.178040129467</v>
      </c>
    </row>
    <row r="576" spans="1:7" ht="11.25" customHeight="1" x14ac:dyDescent="0.2">
      <c r="A576" s="67">
        <v>44621</v>
      </c>
      <c r="B576" s="57">
        <v>24914.244000000017</v>
      </c>
      <c r="C576" s="57">
        <v>0</v>
      </c>
      <c r="D576" s="57">
        <v>31865.527025918193</v>
      </c>
      <c r="E576" s="57">
        <v>0</v>
      </c>
      <c r="F576" s="57">
        <v>24914.244000000017</v>
      </c>
      <c r="G576" s="57">
        <v>31865.527025918193</v>
      </c>
    </row>
    <row r="577" spans="1:7" ht="11.25" customHeight="1" x14ac:dyDescent="0.2">
      <c r="A577" s="67">
        <v>44652</v>
      </c>
      <c r="B577" s="57">
        <v>24914.244000000017</v>
      </c>
      <c r="C577" s="57">
        <v>0</v>
      </c>
      <c r="D577" s="57">
        <v>31865.527025918193</v>
      </c>
      <c r="E577" s="57">
        <v>0</v>
      </c>
      <c r="F577" s="57">
        <v>24914.244000000017</v>
      </c>
      <c r="G577" s="57">
        <v>31865.527025918193</v>
      </c>
    </row>
    <row r="578" spans="1:7" ht="11.25" customHeight="1" x14ac:dyDescent="0.2">
      <c r="A578" s="66" t="s">
        <v>35</v>
      </c>
      <c r="B578" s="57">
        <v>0</v>
      </c>
      <c r="C578" s="57">
        <v>20886.758451999995</v>
      </c>
      <c r="D578" s="57">
        <v>0</v>
      </c>
      <c r="E578" s="57">
        <v>315397618093.73962</v>
      </c>
      <c r="F578" s="57">
        <v>20886.758451999987</v>
      </c>
      <c r="G578" s="57">
        <v>315397618093.73962</v>
      </c>
    </row>
    <row r="579" spans="1:7" ht="11.25" customHeight="1" x14ac:dyDescent="0.2">
      <c r="A579" s="67">
        <v>44317</v>
      </c>
      <c r="B579" s="57">
        <v>0</v>
      </c>
      <c r="C579" s="57">
        <v>718.70168999999942</v>
      </c>
      <c r="D579" s="57">
        <v>0</v>
      </c>
      <c r="E579" s="57">
        <v>10852655842.546013</v>
      </c>
      <c r="F579" s="57">
        <v>718.70168999999942</v>
      </c>
      <c r="G579" s="57">
        <v>10852655842.546013</v>
      </c>
    </row>
    <row r="580" spans="1:7" ht="11.25" customHeight="1" x14ac:dyDescent="0.2">
      <c r="A580" s="67">
        <v>44348</v>
      </c>
      <c r="B580" s="57">
        <v>0</v>
      </c>
      <c r="C580" s="57">
        <v>514.5553699999997</v>
      </c>
      <c r="D580" s="57">
        <v>0</v>
      </c>
      <c r="E580" s="57">
        <v>7769972465.9669657</v>
      </c>
      <c r="F580" s="57">
        <v>514.5553699999997</v>
      </c>
      <c r="G580" s="57">
        <v>7769972465.9669657</v>
      </c>
    </row>
    <row r="581" spans="1:7" ht="11.25" customHeight="1" x14ac:dyDescent="0.2">
      <c r="A581" s="67">
        <v>44378</v>
      </c>
      <c r="B581" s="57">
        <v>0</v>
      </c>
      <c r="C581" s="57">
        <v>643.06090799999822</v>
      </c>
      <c r="D581" s="57">
        <v>0</v>
      </c>
      <c r="E581" s="57">
        <v>9710452636.2239819</v>
      </c>
      <c r="F581" s="57">
        <v>643.06090799999822</v>
      </c>
      <c r="G581" s="57">
        <v>9710452636.2239819</v>
      </c>
    </row>
    <row r="582" spans="1:7" ht="11.25" customHeight="1" x14ac:dyDescent="0.2">
      <c r="A582" s="67">
        <v>44409</v>
      </c>
      <c r="B582" s="57">
        <v>0</v>
      </c>
      <c r="C582" s="57">
        <v>1075.0436619999987</v>
      </c>
      <c r="D582" s="57">
        <v>0</v>
      </c>
      <c r="E582" s="57">
        <v>16233548691.664207</v>
      </c>
      <c r="F582" s="57">
        <v>1075.0436619999987</v>
      </c>
      <c r="G582" s="57">
        <v>16233548691.664207</v>
      </c>
    </row>
    <row r="583" spans="1:7" ht="11.25" customHeight="1" x14ac:dyDescent="0.2">
      <c r="A583" s="67">
        <v>44440</v>
      </c>
      <c r="B583" s="57">
        <v>0</v>
      </c>
      <c r="C583" s="57">
        <v>1457.9703599999984</v>
      </c>
      <c r="D583" s="57">
        <v>0</v>
      </c>
      <c r="E583" s="57">
        <v>22015880532.732445</v>
      </c>
      <c r="F583" s="57">
        <v>1457.9703599999984</v>
      </c>
      <c r="G583" s="57">
        <v>22015880532.732445</v>
      </c>
    </row>
    <row r="584" spans="1:7" ht="11.25" customHeight="1" x14ac:dyDescent="0.2">
      <c r="A584" s="67">
        <v>44470</v>
      </c>
      <c r="B584" s="57">
        <v>0</v>
      </c>
      <c r="C584" s="57">
        <v>2226.9468899999993</v>
      </c>
      <c r="D584" s="57">
        <v>0</v>
      </c>
      <c r="E584" s="57">
        <v>33627704669.510635</v>
      </c>
      <c r="F584" s="57">
        <v>2226.9468899999993</v>
      </c>
      <c r="G584" s="57">
        <v>33627704669.510635</v>
      </c>
    </row>
    <row r="585" spans="1:7" ht="11.25" customHeight="1" x14ac:dyDescent="0.2">
      <c r="A585" s="67">
        <v>44501</v>
      </c>
      <c r="B585" s="57">
        <v>0</v>
      </c>
      <c r="C585" s="57">
        <v>3336.8782440000004</v>
      </c>
      <c r="D585" s="57">
        <v>0</v>
      </c>
      <c r="E585" s="57">
        <v>50388070147.172356</v>
      </c>
      <c r="F585" s="57">
        <v>3336.8782440000004</v>
      </c>
      <c r="G585" s="57">
        <v>50388070147.172356</v>
      </c>
    </row>
    <row r="586" spans="1:7" ht="11.25" customHeight="1" x14ac:dyDescent="0.2">
      <c r="A586" s="67">
        <v>44531</v>
      </c>
      <c r="B586" s="57">
        <v>0</v>
      </c>
      <c r="C586" s="57">
        <v>2621.3758619999985</v>
      </c>
      <c r="D586" s="57">
        <v>0</v>
      </c>
      <c r="E586" s="57">
        <v>39583725014.259262</v>
      </c>
      <c r="F586" s="57">
        <v>2621.3758619999985</v>
      </c>
      <c r="G586" s="57">
        <v>39583725014.259262</v>
      </c>
    </row>
    <row r="587" spans="1:7" ht="11.25" customHeight="1" x14ac:dyDescent="0.2">
      <c r="A587" s="67">
        <v>44562</v>
      </c>
      <c r="B587" s="57">
        <v>0</v>
      </c>
      <c r="C587" s="57">
        <v>3557.4781479999983</v>
      </c>
      <c r="D587" s="57">
        <v>0</v>
      </c>
      <c r="E587" s="57">
        <v>53719208601.863708</v>
      </c>
      <c r="F587" s="57">
        <v>3557.4781479999983</v>
      </c>
      <c r="G587" s="57">
        <v>53719208601.863708</v>
      </c>
    </row>
    <row r="588" spans="1:7" ht="11.25" customHeight="1" x14ac:dyDescent="0.2">
      <c r="A588" s="67">
        <v>44593</v>
      </c>
      <c r="B588" s="57">
        <v>0</v>
      </c>
      <c r="C588" s="57">
        <v>2962.0259899999974</v>
      </c>
      <c r="D588" s="57">
        <v>0</v>
      </c>
      <c r="E588" s="57">
        <v>44727665335.177711</v>
      </c>
      <c r="F588" s="57">
        <v>2962.0259899999974</v>
      </c>
      <c r="G588" s="57">
        <v>44727665335.177711</v>
      </c>
    </row>
    <row r="589" spans="1:7" ht="11.25" customHeight="1" x14ac:dyDescent="0.2">
      <c r="A589" s="67">
        <v>44621</v>
      </c>
      <c r="B589" s="57">
        <v>0</v>
      </c>
      <c r="C589" s="57">
        <v>886.36066400000186</v>
      </c>
      <c r="D589" s="57">
        <v>0</v>
      </c>
      <c r="E589" s="57">
        <v>13384367078.311155</v>
      </c>
      <c r="F589" s="57">
        <v>886.36066400000186</v>
      </c>
      <c r="G589" s="57">
        <v>13384367078.311155</v>
      </c>
    </row>
    <row r="590" spans="1:7" ht="11.25" customHeight="1" x14ac:dyDescent="0.2">
      <c r="A590" s="67">
        <v>44652</v>
      </c>
      <c r="B590" s="57">
        <v>0</v>
      </c>
      <c r="C590" s="57">
        <v>886.36066400000186</v>
      </c>
      <c r="D590" s="57">
        <v>0</v>
      </c>
      <c r="E590" s="57">
        <v>13384367078.311155</v>
      </c>
      <c r="F590" s="57">
        <v>886.36066400000186</v>
      </c>
      <c r="G590" s="57">
        <v>13384367078.311155</v>
      </c>
    </row>
    <row r="591" spans="1:7" ht="11.25" customHeight="1" x14ac:dyDescent="0.2">
      <c r="A591" s="63" t="s">
        <v>25</v>
      </c>
      <c r="B591" s="57">
        <v>42336.56</v>
      </c>
      <c r="C591" s="57">
        <v>210094.53329039988</v>
      </c>
      <c r="D591" s="57">
        <v>54148.815306794218</v>
      </c>
      <c r="E591" s="57">
        <v>14632620544776.488</v>
      </c>
      <c r="F591" s="57">
        <v>252431.09329039993</v>
      </c>
      <c r="G591" s="57">
        <v>14632620598925.299</v>
      </c>
    </row>
    <row r="592" spans="1:7" ht="11.25" customHeight="1" x14ac:dyDescent="0.2">
      <c r="A592" s="64" t="s">
        <v>25</v>
      </c>
      <c r="B592" s="57">
        <v>42336.56</v>
      </c>
      <c r="C592" s="57">
        <v>210094.53329039988</v>
      </c>
      <c r="D592" s="57">
        <v>54148.815306794218</v>
      </c>
      <c r="E592" s="57">
        <v>14632620544776.488</v>
      </c>
      <c r="F592" s="57">
        <v>252431.09329039993</v>
      </c>
      <c r="G592" s="57">
        <v>14632620598925.299</v>
      </c>
    </row>
    <row r="593" spans="1:7" ht="11.25" customHeight="1" x14ac:dyDescent="0.2">
      <c r="A593" s="65" t="s">
        <v>25</v>
      </c>
      <c r="B593" s="57">
        <v>42336.56</v>
      </c>
      <c r="C593" s="57">
        <v>210094.53329039988</v>
      </c>
      <c r="D593" s="57">
        <v>54148.815306794218</v>
      </c>
      <c r="E593" s="57">
        <v>14632620544776.488</v>
      </c>
      <c r="F593" s="57">
        <v>252431.09329039993</v>
      </c>
      <c r="G593" s="57">
        <v>14632620598925.299</v>
      </c>
    </row>
    <row r="594" spans="1:7" ht="11.25" customHeight="1" x14ac:dyDescent="0.2">
      <c r="A594" s="66" t="s">
        <v>36</v>
      </c>
      <c r="B594" s="57">
        <v>0</v>
      </c>
      <c r="C594" s="57">
        <v>151894.0932863999</v>
      </c>
      <c r="D594" s="57">
        <v>0</v>
      </c>
      <c r="E594" s="57">
        <v>13753772819723.609</v>
      </c>
      <c r="F594" s="57">
        <v>151894.09328639993</v>
      </c>
      <c r="G594" s="57">
        <v>13753772819723.609</v>
      </c>
    </row>
    <row r="595" spans="1:7" ht="11.25" customHeight="1" x14ac:dyDescent="0.2">
      <c r="A595" s="67">
        <v>44317</v>
      </c>
      <c r="B595" s="57">
        <v>0</v>
      </c>
      <c r="C595" s="57">
        <v>13012.370481600021</v>
      </c>
      <c r="D595" s="57">
        <v>0</v>
      </c>
      <c r="E595" s="57">
        <v>1178249815893.4558</v>
      </c>
      <c r="F595" s="57">
        <v>13012.370481600021</v>
      </c>
      <c r="G595" s="57">
        <v>1178249815893.4558</v>
      </c>
    </row>
    <row r="596" spans="1:7" ht="11.25" customHeight="1" x14ac:dyDescent="0.2">
      <c r="A596" s="67">
        <v>44348</v>
      </c>
      <c r="B596" s="57">
        <v>0</v>
      </c>
      <c r="C596" s="57">
        <v>12591.907264799998</v>
      </c>
      <c r="D596" s="57">
        <v>0</v>
      </c>
      <c r="E596" s="57">
        <v>1140177528566.1682</v>
      </c>
      <c r="F596" s="57">
        <v>12591.907264799998</v>
      </c>
      <c r="G596" s="57">
        <v>1140177528566.1682</v>
      </c>
    </row>
    <row r="597" spans="1:7" ht="11.25" customHeight="1" x14ac:dyDescent="0.2">
      <c r="A597" s="67">
        <v>44378</v>
      </c>
      <c r="B597" s="57">
        <v>0</v>
      </c>
      <c r="C597" s="57">
        <v>12764.556456000004</v>
      </c>
      <c r="D597" s="57">
        <v>0</v>
      </c>
      <c r="E597" s="57">
        <v>1155810643073.1067</v>
      </c>
      <c r="F597" s="57">
        <v>12764.556456000004</v>
      </c>
      <c r="G597" s="57">
        <v>1155810643073.1067</v>
      </c>
    </row>
    <row r="598" spans="1:7" ht="11.25" customHeight="1" x14ac:dyDescent="0.2">
      <c r="A598" s="67">
        <v>44409</v>
      </c>
      <c r="B598" s="57">
        <v>0</v>
      </c>
      <c r="C598" s="57">
        <v>9572.8012367999909</v>
      </c>
      <c r="D598" s="57">
        <v>0</v>
      </c>
      <c r="E598" s="57">
        <v>866802194941.60425</v>
      </c>
      <c r="F598" s="57">
        <v>9572.8012367999909</v>
      </c>
      <c r="G598" s="57">
        <v>866802194941.60425</v>
      </c>
    </row>
    <row r="599" spans="1:7" ht="11.25" customHeight="1" x14ac:dyDescent="0.2">
      <c r="A599" s="67">
        <v>44440</v>
      </c>
      <c r="B599" s="57">
        <v>0</v>
      </c>
      <c r="C599" s="57">
        <v>10113.779711999987</v>
      </c>
      <c r="D599" s="57">
        <v>0</v>
      </c>
      <c r="E599" s="57">
        <v>915786950617.6001</v>
      </c>
      <c r="F599" s="57">
        <v>10113.779711999987</v>
      </c>
      <c r="G599" s="57">
        <v>915786950617.6001</v>
      </c>
    </row>
    <row r="600" spans="1:7" ht="11.25" customHeight="1" x14ac:dyDescent="0.2">
      <c r="A600" s="67">
        <v>44470</v>
      </c>
      <c r="B600" s="57">
        <v>0</v>
      </c>
      <c r="C600" s="57">
        <v>12654.203757599982</v>
      </c>
      <c r="D600" s="57">
        <v>0</v>
      </c>
      <c r="E600" s="57">
        <v>1145818378653.8735</v>
      </c>
      <c r="F600" s="57">
        <v>12654.203757599982</v>
      </c>
      <c r="G600" s="57">
        <v>1145818378653.8735</v>
      </c>
    </row>
    <row r="601" spans="1:7" ht="11.25" customHeight="1" x14ac:dyDescent="0.2">
      <c r="A601" s="67">
        <v>44501</v>
      </c>
      <c r="B601" s="57">
        <v>0</v>
      </c>
      <c r="C601" s="57">
        <v>16122.304389599982</v>
      </c>
      <c r="D601" s="57">
        <v>0</v>
      </c>
      <c r="E601" s="57">
        <v>1459849472137.7351</v>
      </c>
      <c r="F601" s="57">
        <v>16122.304389599982</v>
      </c>
      <c r="G601" s="57">
        <v>1459849472137.7351</v>
      </c>
    </row>
    <row r="602" spans="1:7" ht="11.25" customHeight="1" x14ac:dyDescent="0.2">
      <c r="A602" s="67">
        <v>44531</v>
      </c>
      <c r="B602" s="57">
        <v>0</v>
      </c>
      <c r="C602" s="57">
        <v>16700.820820799963</v>
      </c>
      <c r="D602" s="57">
        <v>0</v>
      </c>
      <c r="E602" s="57">
        <v>1512233231078.2432</v>
      </c>
      <c r="F602" s="57">
        <v>16700.820820799963</v>
      </c>
      <c r="G602" s="57">
        <v>1512233231078.2432</v>
      </c>
    </row>
    <row r="603" spans="1:7" ht="11.25" customHeight="1" x14ac:dyDescent="0.2">
      <c r="A603" s="67">
        <v>44562</v>
      </c>
      <c r="B603" s="57">
        <v>0</v>
      </c>
      <c r="C603" s="57">
        <v>12338.262470400005</v>
      </c>
      <c r="D603" s="57">
        <v>0</v>
      </c>
      <c r="E603" s="57">
        <v>1117210388741.2822</v>
      </c>
      <c r="F603" s="57">
        <v>12338.262470400005</v>
      </c>
      <c r="G603" s="57">
        <v>1117210388741.2822</v>
      </c>
    </row>
    <row r="604" spans="1:7" ht="11.25" customHeight="1" x14ac:dyDescent="0.2">
      <c r="A604" s="67">
        <v>44593</v>
      </c>
      <c r="B604" s="57">
        <v>0</v>
      </c>
      <c r="C604" s="57">
        <v>14549.038475999969</v>
      </c>
      <c r="D604" s="57">
        <v>0</v>
      </c>
      <c r="E604" s="57">
        <v>1317392701815.0745</v>
      </c>
      <c r="F604" s="57">
        <v>14549.038475999969</v>
      </c>
      <c r="G604" s="57">
        <v>1317392701815.0745</v>
      </c>
    </row>
    <row r="605" spans="1:7" ht="11.25" customHeight="1" x14ac:dyDescent="0.2">
      <c r="A605" s="67">
        <v>44621</v>
      </c>
      <c r="B605" s="57">
        <v>0</v>
      </c>
      <c r="C605" s="57">
        <v>10737.024110400014</v>
      </c>
      <c r="D605" s="57">
        <v>0</v>
      </c>
      <c r="E605" s="57">
        <v>972220757102.73218</v>
      </c>
      <c r="F605" s="57">
        <v>10737.024110400014</v>
      </c>
      <c r="G605" s="57">
        <v>972220757102.73218</v>
      </c>
    </row>
    <row r="606" spans="1:7" ht="11.25" customHeight="1" x14ac:dyDescent="0.2">
      <c r="A606" s="67">
        <v>44652</v>
      </c>
      <c r="B606" s="57">
        <v>0</v>
      </c>
      <c r="C606" s="57">
        <v>10737.024110400014</v>
      </c>
      <c r="D606" s="57">
        <v>0</v>
      </c>
      <c r="E606" s="57">
        <v>972220757102.73218</v>
      </c>
      <c r="F606" s="57">
        <v>10737.024110400014</v>
      </c>
      <c r="G606" s="57">
        <v>972220757102.73218</v>
      </c>
    </row>
    <row r="607" spans="1:7" ht="11.25" customHeight="1" x14ac:dyDescent="0.2">
      <c r="A607" s="66" t="s">
        <v>25</v>
      </c>
      <c r="B607" s="57">
        <v>42336.56</v>
      </c>
      <c r="C607" s="57">
        <v>0</v>
      </c>
      <c r="D607" s="57">
        <v>54148.815306794218</v>
      </c>
      <c r="E607" s="57">
        <v>0</v>
      </c>
      <c r="F607" s="57">
        <v>42336.560000000012</v>
      </c>
      <c r="G607" s="57">
        <v>54148.815306794218</v>
      </c>
    </row>
    <row r="608" spans="1:7" ht="11.25" customHeight="1" x14ac:dyDescent="0.2">
      <c r="A608" s="67">
        <v>44317</v>
      </c>
      <c r="B608" s="57">
        <v>4878.6680000000006</v>
      </c>
      <c r="C608" s="57">
        <v>0</v>
      </c>
      <c r="D608" s="57">
        <v>6239.857288243712</v>
      </c>
      <c r="E608" s="57">
        <v>0</v>
      </c>
      <c r="F608" s="57">
        <v>4878.6680000000006</v>
      </c>
      <c r="G608" s="57">
        <v>6239.857288243712</v>
      </c>
    </row>
    <row r="609" spans="1:7" ht="11.25" customHeight="1" x14ac:dyDescent="0.2">
      <c r="A609" s="67">
        <v>44348</v>
      </c>
      <c r="B609" s="57">
        <v>3982.8179999999948</v>
      </c>
      <c r="C609" s="57">
        <v>0</v>
      </c>
      <c r="D609" s="57">
        <v>5094.0576249599708</v>
      </c>
      <c r="E609" s="57">
        <v>0</v>
      </c>
      <c r="F609" s="57">
        <v>3982.8179999999948</v>
      </c>
      <c r="G609" s="57">
        <v>5094.0576249599708</v>
      </c>
    </row>
    <row r="610" spans="1:7" ht="11.25" customHeight="1" x14ac:dyDescent="0.2">
      <c r="A610" s="67">
        <v>44378</v>
      </c>
      <c r="B610" s="57">
        <v>3719.743999999996</v>
      </c>
      <c r="C610" s="57">
        <v>0</v>
      </c>
      <c r="D610" s="57">
        <v>4757.5837726200652</v>
      </c>
      <c r="E610" s="57">
        <v>0</v>
      </c>
      <c r="F610" s="57">
        <v>3719.743999999996</v>
      </c>
      <c r="G610" s="57">
        <v>4757.5837726200652</v>
      </c>
    </row>
    <row r="611" spans="1:7" ht="11.25" customHeight="1" x14ac:dyDescent="0.2">
      <c r="A611" s="67">
        <v>44409</v>
      </c>
      <c r="B611" s="57">
        <v>3841.2300000000041</v>
      </c>
      <c r="C611" s="57">
        <v>0</v>
      </c>
      <c r="D611" s="57">
        <v>4912.96538549465</v>
      </c>
      <c r="E611" s="57">
        <v>0</v>
      </c>
      <c r="F611" s="57">
        <v>3841.2300000000041</v>
      </c>
      <c r="G611" s="57">
        <v>4912.96538549465</v>
      </c>
    </row>
    <row r="612" spans="1:7" ht="11.25" customHeight="1" x14ac:dyDescent="0.2">
      <c r="A612" s="67">
        <v>44440</v>
      </c>
      <c r="B612" s="57">
        <v>2906.05</v>
      </c>
      <c r="C612" s="57">
        <v>0</v>
      </c>
      <c r="D612" s="57">
        <v>3716.8623223594304</v>
      </c>
      <c r="E612" s="57">
        <v>0</v>
      </c>
      <c r="F612" s="57">
        <v>2906.05</v>
      </c>
      <c r="G612" s="57">
        <v>3716.8623223594304</v>
      </c>
    </row>
    <row r="613" spans="1:7" ht="11.25" customHeight="1" x14ac:dyDescent="0.2">
      <c r="A613" s="67">
        <v>44470</v>
      </c>
      <c r="B613" s="57">
        <v>2540.718000000003</v>
      </c>
      <c r="C613" s="57">
        <v>0</v>
      </c>
      <c r="D613" s="57">
        <v>3249.5996304056766</v>
      </c>
      <c r="E613" s="57">
        <v>0</v>
      </c>
      <c r="F613" s="57">
        <v>2540.718000000003</v>
      </c>
      <c r="G613" s="57">
        <v>3249.5996304056766</v>
      </c>
    </row>
    <row r="614" spans="1:7" ht="11.25" customHeight="1" x14ac:dyDescent="0.2">
      <c r="A614" s="67">
        <v>44501</v>
      </c>
      <c r="B614" s="57">
        <v>3183.1080000000038</v>
      </c>
      <c r="C614" s="57">
        <v>0</v>
      </c>
      <c r="D614" s="57">
        <v>4071.2218279798681</v>
      </c>
      <c r="E614" s="57">
        <v>0</v>
      </c>
      <c r="F614" s="57">
        <v>3183.1080000000038</v>
      </c>
      <c r="G614" s="57">
        <v>4071.2218279798681</v>
      </c>
    </row>
    <row r="615" spans="1:7" ht="11.25" customHeight="1" x14ac:dyDescent="0.2">
      <c r="A615" s="67">
        <v>44531</v>
      </c>
      <c r="B615" s="57">
        <v>3023.1659999999965</v>
      </c>
      <c r="C615" s="57">
        <v>0</v>
      </c>
      <c r="D615" s="57">
        <v>3866.6546685838362</v>
      </c>
      <c r="E615" s="57">
        <v>0</v>
      </c>
      <c r="F615" s="57">
        <v>3023.1659999999965</v>
      </c>
      <c r="G615" s="57">
        <v>3866.6546685838362</v>
      </c>
    </row>
    <row r="616" spans="1:7" ht="11.25" customHeight="1" x14ac:dyDescent="0.2">
      <c r="A616" s="67">
        <v>44562</v>
      </c>
      <c r="B616" s="57">
        <v>3559.8019999999956</v>
      </c>
      <c r="C616" s="57">
        <v>0</v>
      </c>
      <c r="D616" s="57">
        <v>4553.016613224042</v>
      </c>
      <c r="E616" s="57">
        <v>0</v>
      </c>
      <c r="F616" s="57">
        <v>3559.8019999999956</v>
      </c>
      <c r="G616" s="57">
        <v>4553.016613224042</v>
      </c>
    </row>
    <row r="617" spans="1:7" ht="11.25" customHeight="1" x14ac:dyDescent="0.2">
      <c r="A617" s="67">
        <v>44593</v>
      </c>
      <c r="B617" s="57">
        <v>2621.9999999999964</v>
      </c>
      <c r="C617" s="57">
        <v>0</v>
      </c>
      <c r="D617" s="57">
        <v>3353.5599900987299</v>
      </c>
      <c r="E617" s="57">
        <v>0</v>
      </c>
      <c r="F617" s="57">
        <v>2621.9999999999964</v>
      </c>
      <c r="G617" s="57">
        <v>3353.5599900987299</v>
      </c>
    </row>
    <row r="618" spans="1:7" ht="11.25" customHeight="1" x14ac:dyDescent="0.2">
      <c r="A618" s="67">
        <v>44621</v>
      </c>
      <c r="B618" s="57">
        <v>4039.6280000000052</v>
      </c>
      <c r="C618" s="57">
        <v>0</v>
      </c>
      <c r="D618" s="57">
        <v>5166.7180914121227</v>
      </c>
      <c r="E618" s="57">
        <v>0</v>
      </c>
      <c r="F618" s="57">
        <v>4039.6280000000052</v>
      </c>
      <c r="G618" s="57">
        <v>5166.7180914121227</v>
      </c>
    </row>
    <row r="619" spans="1:7" ht="11.25" customHeight="1" x14ac:dyDescent="0.2">
      <c r="A619" s="67">
        <v>44652</v>
      </c>
      <c r="B619" s="57">
        <v>4039.6280000000052</v>
      </c>
      <c r="C619" s="57">
        <v>0</v>
      </c>
      <c r="D619" s="57">
        <v>5166.7180914121227</v>
      </c>
      <c r="E619" s="57">
        <v>0</v>
      </c>
      <c r="F619" s="57">
        <v>4039.6280000000052</v>
      </c>
      <c r="G619" s="57">
        <v>5166.7180914121227</v>
      </c>
    </row>
    <row r="620" spans="1:7" ht="11.25" customHeight="1" x14ac:dyDescent="0.2">
      <c r="A620" s="66" t="s">
        <v>35</v>
      </c>
      <c r="B620" s="57">
        <v>0</v>
      </c>
      <c r="C620" s="57">
        <v>58200.440004000011</v>
      </c>
      <c r="D620" s="57">
        <v>0</v>
      </c>
      <c r="E620" s="57">
        <v>878847725052.87964</v>
      </c>
      <c r="F620" s="57">
        <v>58200.440004000004</v>
      </c>
      <c r="G620" s="57">
        <v>878847725052.87976</v>
      </c>
    </row>
    <row r="621" spans="1:7" ht="11.25" customHeight="1" x14ac:dyDescent="0.2">
      <c r="A621" s="67">
        <v>44317</v>
      </c>
      <c r="B621" s="57">
        <v>0</v>
      </c>
      <c r="C621" s="57">
        <v>4583.0848839999926</v>
      </c>
      <c r="D621" s="57">
        <v>0</v>
      </c>
      <c r="E621" s="57">
        <v>69206241804.199539</v>
      </c>
      <c r="F621" s="57">
        <v>4583.0848839999926</v>
      </c>
      <c r="G621" s="57">
        <v>69206241804.199539</v>
      </c>
    </row>
    <row r="622" spans="1:7" ht="11.25" customHeight="1" x14ac:dyDescent="0.2">
      <c r="A622" s="67">
        <v>44348</v>
      </c>
      <c r="B622" s="57">
        <v>0</v>
      </c>
      <c r="C622" s="57">
        <v>4220.0395999999946</v>
      </c>
      <c r="D622" s="57">
        <v>0</v>
      </c>
      <c r="E622" s="57">
        <v>63724126515.850441</v>
      </c>
      <c r="F622" s="57">
        <v>4220.0395999999946</v>
      </c>
      <c r="G622" s="57">
        <v>63724126515.850441</v>
      </c>
    </row>
    <row r="623" spans="1:7" ht="11.25" customHeight="1" x14ac:dyDescent="0.2">
      <c r="A623" s="67">
        <v>44378</v>
      </c>
      <c r="B623" s="57">
        <v>0</v>
      </c>
      <c r="C623" s="57">
        <v>4597.4055960000096</v>
      </c>
      <c r="D623" s="57">
        <v>0</v>
      </c>
      <c r="E623" s="57">
        <v>69422489742.55687</v>
      </c>
      <c r="F623" s="57">
        <v>4597.4055960000096</v>
      </c>
      <c r="G623" s="57">
        <v>69422489742.55687</v>
      </c>
    </row>
    <row r="624" spans="1:7" ht="11.25" customHeight="1" x14ac:dyDescent="0.2">
      <c r="A624" s="67">
        <v>44409</v>
      </c>
      <c r="B624" s="57">
        <v>0</v>
      </c>
      <c r="C624" s="57">
        <v>3969.1986180000004</v>
      </c>
      <c r="D624" s="57">
        <v>0</v>
      </c>
      <c r="E624" s="57">
        <v>59936336829.628578</v>
      </c>
      <c r="F624" s="57">
        <v>3969.1986180000004</v>
      </c>
      <c r="G624" s="57">
        <v>59936336829.628578</v>
      </c>
    </row>
    <row r="625" spans="1:7" ht="11.25" customHeight="1" x14ac:dyDescent="0.2">
      <c r="A625" s="67">
        <v>44440</v>
      </c>
      <c r="B625" s="57">
        <v>0</v>
      </c>
      <c r="C625" s="57">
        <v>4023.6630280000113</v>
      </c>
      <c r="D625" s="57">
        <v>0</v>
      </c>
      <c r="E625" s="57">
        <v>60758769148.380249</v>
      </c>
      <c r="F625" s="57">
        <v>4023.6630280000113</v>
      </c>
      <c r="G625" s="57">
        <v>60758769148.380249</v>
      </c>
    </row>
    <row r="626" spans="1:7" ht="11.25" customHeight="1" x14ac:dyDescent="0.2">
      <c r="A626" s="67">
        <v>44470</v>
      </c>
      <c r="B626" s="57">
        <v>0</v>
      </c>
      <c r="C626" s="57">
        <v>4780.223195999999</v>
      </c>
      <c r="D626" s="57">
        <v>0</v>
      </c>
      <c r="E626" s="57">
        <v>72183101721.582703</v>
      </c>
      <c r="F626" s="57">
        <v>4780.223195999999</v>
      </c>
      <c r="G626" s="57">
        <v>72183101721.582703</v>
      </c>
    </row>
    <row r="627" spans="1:7" ht="11.25" customHeight="1" x14ac:dyDescent="0.2">
      <c r="A627" s="67">
        <v>44501</v>
      </c>
      <c r="B627" s="57">
        <v>0</v>
      </c>
      <c r="C627" s="57">
        <v>6232.0996359999908</v>
      </c>
      <c r="D627" s="57">
        <v>0</v>
      </c>
      <c r="E627" s="57">
        <v>94106961855.014191</v>
      </c>
      <c r="F627" s="57">
        <v>6232.0996359999908</v>
      </c>
      <c r="G627" s="57">
        <v>94106961855.014191</v>
      </c>
    </row>
    <row r="628" spans="1:7" ht="11.25" customHeight="1" x14ac:dyDescent="0.2">
      <c r="A628" s="67">
        <v>44531</v>
      </c>
      <c r="B628" s="57">
        <v>0</v>
      </c>
      <c r="C628" s="57">
        <v>6862.0586160000039</v>
      </c>
      <c r="D628" s="57">
        <v>0</v>
      </c>
      <c r="E628" s="57">
        <v>103619570632.74155</v>
      </c>
      <c r="F628" s="57">
        <v>6862.0586160000039</v>
      </c>
      <c r="G628" s="57">
        <v>103619570632.74155</v>
      </c>
    </row>
    <row r="629" spans="1:7" ht="11.25" customHeight="1" x14ac:dyDescent="0.2">
      <c r="A629" s="67">
        <v>44562</v>
      </c>
      <c r="B629" s="57">
        <v>0</v>
      </c>
      <c r="C629" s="57">
        <v>5179.6796520000034</v>
      </c>
      <c r="D629" s="57">
        <v>0</v>
      </c>
      <c r="E629" s="57">
        <v>78215038895.754639</v>
      </c>
      <c r="F629" s="57">
        <v>5179.6796520000034</v>
      </c>
      <c r="G629" s="57">
        <v>78215038895.754639</v>
      </c>
    </row>
    <row r="630" spans="1:7" ht="11.25" customHeight="1" x14ac:dyDescent="0.2">
      <c r="A630" s="67">
        <v>44593</v>
      </c>
      <c r="B630" s="57">
        <v>0</v>
      </c>
      <c r="C630" s="57">
        <v>5667.1170780000002</v>
      </c>
      <c r="D630" s="57">
        <v>0</v>
      </c>
      <c r="E630" s="57">
        <v>85575520584.832703</v>
      </c>
      <c r="F630" s="57">
        <v>5667.1170780000002</v>
      </c>
      <c r="G630" s="57">
        <v>85575520584.832703</v>
      </c>
    </row>
    <row r="631" spans="1:7" ht="11.25" customHeight="1" x14ac:dyDescent="0.2">
      <c r="A631" s="67">
        <v>44621</v>
      </c>
      <c r="B631" s="57">
        <v>0</v>
      </c>
      <c r="C631" s="57">
        <v>4042.9350500000019</v>
      </c>
      <c r="D631" s="57">
        <v>0</v>
      </c>
      <c r="E631" s="57">
        <v>61049783661.169098</v>
      </c>
      <c r="F631" s="57">
        <v>4042.9350500000019</v>
      </c>
      <c r="G631" s="57">
        <v>61049783661.169098</v>
      </c>
    </row>
    <row r="632" spans="1:7" ht="11.25" customHeight="1" x14ac:dyDescent="0.2">
      <c r="A632" s="67">
        <v>44652</v>
      </c>
      <c r="B632" s="57">
        <v>0</v>
      </c>
      <c r="C632" s="57">
        <v>4042.9350500000019</v>
      </c>
      <c r="D632" s="57">
        <v>0</v>
      </c>
      <c r="E632" s="57">
        <v>61049783661.169098</v>
      </c>
      <c r="F632" s="57">
        <v>4042.9350500000019</v>
      </c>
      <c r="G632" s="57">
        <v>61049783661.169098</v>
      </c>
    </row>
    <row r="633" spans="1:7" ht="11.25" customHeight="1" x14ac:dyDescent="0.2">
      <c r="A633" s="60" t="s">
        <v>44</v>
      </c>
      <c r="B633" s="57">
        <v>0</v>
      </c>
      <c r="C633" s="57">
        <v>4510423.7081780843</v>
      </c>
      <c r="D633" s="57">
        <v>0</v>
      </c>
      <c r="E633" s="57">
        <v>103578823419245.48</v>
      </c>
      <c r="F633" s="57">
        <v>4510423.7081780853</v>
      </c>
      <c r="G633" s="57">
        <v>103578823419245.5</v>
      </c>
    </row>
    <row r="634" spans="1:7" ht="11.25" customHeight="1" x14ac:dyDescent="0.2">
      <c r="A634" s="61" t="s">
        <v>37</v>
      </c>
      <c r="B634" s="57">
        <v>0</v>
      </c>
      <c r="C634" s="57">
        <v>265.73273808510635</v>
      </c>
      <c r="D634" s="57">
        <v>0</v>
      </c>
      <c r="E634" s="57">
        <v>15512913010.259041</v>
      </c>
      <c r="F634" s="57">
        <v>265.73273808510635</v>
      </c>
      <c r="G634" s="57">
        <v>15512913010.259041</v>
      </c>
    </row>
    <row r="635" spans="1:7" ht="11.25" customHeight="1" x14ac:dyDescent="0.2">
      <c r="A635" s="62" t="s">
        <v>45</v>
      </c>
      <c r="B635" s="57">
        <v>0</v>
      </c>
      <c r="C635" s="57">
        <v>265.73273808510635</v>
      </c>
      <c r="D635" s="57">
        <v>0</v>
      </c>
      <c r="E635" s="57">
        <v>15512913010.259041</v>
      </c>
      <c r="F635" s="57">
        <v>265.73273808510635</v>
      </c>
      <c r="G635" s="57">
        <v>15512913010.259041</v>
      </c>
    </row>
    <row r="636" spans="1:7" ht="11.25" customHeight="1" x14ac:dyDescent="0.2">
      <c r="A636" s="63" t="s">
        <v>25</v>
      </c>
      <c r="B636" s="57">
        <v>0</v>
      </c>
      <c r="C636" s="57">
        <v>265.73273808510635</v>
      </c>
      <c r="D636" s="57">
        <v>0</v>
      </c>
      <c r="E636" s="57">
        <v>15512913010.259041</v>
      </c>
      <c r="F636" s="57">
        <v>265.73273808510635</v>
      </c>
      <c r="G636" s="57">
        <v>15512913010.259041</v>
      </c>
    </row>
    <row r="637" spans="1:7" ht="11.25" customHeight="1" x14ac:dyDescent="0.2">
      <c r="A637" s="64" t="s">
        <v>25</v>
      </c>
      <c r="B637" s="57">
        <v>0</v>
      </c>
      <c r="C637" s="57">
        <v>265.73273808510635</v>
      </c>
      <c r="D637" s="57">
        <v>0</v>
      </c>
      <c r="E637" s="57">
        <v>15512913010.259041</v>
      </c>
      <c r="F637" s="57">
        <v>265.73273808510635</v>
      </c>
      <c r="G637" s="57">
        <v>15512913010.259041</v>
      </c>
    </row>
    <row r="638" spans="1:7" ht="11.25" customHeight="1" x14ac:dyDescent="0.2">
      <c r="A638" s="65" t="s">
        <v>25</v>
      </c>
      <c r="B638" s="57">
        <v>0</v>
      </c>
      <c r="C638" s="57">
        <v>265.73273808510635</v>
      </c>
      <c r="D638" s="57">
        <v>0</v>
      </c>
      <c r="E638" s="57">
        <v>15512913010.259041</v>
      </c>
      <c r="F638" s="57">
        <v>265.73273808510635</v>
      </c>
      <c r="G638" s="57">
        <v>15512913010.259041</v>
      </c>
    </row>
    <row r="639" spans="1:7" ht="11.25" customHeight="1" x14ac:dyDescent="0.2">
      <c r="A639" s="66" t="s">
        <v>36</v>
      </c>
      <c r="B639" s="57">
        <v>0</v>
      </c>
      <c r="C639" s="57">
        <v>263.97613021276595</v>
      </c>
      <c r="D639" s="57">
        <v>0</v>
      </c>
      <c r="E639" s="57">
        <v>15454250008.218636</v>
      </c>
      <c r="F639" s="57">
        <v>263.97613021276595</v>
      </c>
      <c r="G639" s="57">
        <v>15454250008.218636</v>
      </c>
    </row>
    <row r="640" spans="1:7" ht="11.25" customHeight="1" x14ac:dyDescent="0.2">
      <c r="A640" s="67">
        <v>44317</v>
      </c>
      <c r="B640" s="57">
        <v>0</v>
      </c>
      <c r="C640" s="57">
        <v>38.106635744680858</v>
      </c>
      <c r="D640" s="57">
        <v>0</v>
      </c>
      <c r="E640" s="57">
        <v>2230919421.7513337</v>
      </c>
      <c r="F640" s="57">
        <v>38.106635744680858</v>
      </c>
      <c r="G640" s="57">
        <v>2230919421.7513337</v>
      </c>
    </row>
    <row r="641" spans="1:7" ht="11.25" customHeight="1" x14ac:dyDescent="0.2">
      <c r="A641" s="67">
        <v>44348</v>
      </c>
      <c r="B641" s="57">
        <v>0</v>
      </c>
      <c r="C641" s="57">
        <v>2.9471489361702132</v>
      </c>
      <c r="D641" s="57">
        <v>0</v>
      </c>
      <c r="E641" s="57">
        <v>172538238.34117046</v>
      </c>
      <c r="F641" s="57">
        <v>2.9471489361702132</v>
      </c>
      <c r="G641" s="57">
        <v>172538238.34117046</v>
      </c>
    </row>
    <row r="642" spans="1:7" ht="11.25" customHeight="1" x14ac:dyDescent="0.2">
      <c r="A642" s="67">
        <v>44378</v>
      </c>
      <c r="B642" s="57">
        <v>0</v>
      </c>
      <c r="C642" s="57">
        <v>2.9471489361702132</v>
      </c>
      <c r="D642" s="57">
        <v>0</v>
      </c>
      <c r="E642" s="57">
        <v>172538238.34117046</v>
      </c>
      <c r="F642" s="57">
        <v>2.9471489361702132</v>
      </c>
      <c r="G642" s="57">
        <v>172538238.34117046</v>
      </c>
    </row>
    <row r="643" spans="1:7" ht="11.25" customHeight="1" x14ac:dyDescent="0.2">
      <c r="A643" s="67">
        <v>44409</v>
      </c>
      <c r="B643" s="57">
        <v>0</v>
      </c>
      <c r="C643" s="57">
        <v>2.9471489361702132</v>
      </c>
      <c r="D643" s="57">
        <v>0</v>
      </c>
      <c r="E643" s="57">
        <v>172538238.34117046</v>
      </c>
      <c r="F643" s="57">
        <v>2.9471489361702132</v>
      </c>
      <c r="G643" s="57">
        <v>172538238.34117046</v>
      </c>
    </row>
    <row r="644" spans="1:7" ht="11.25" customHeight="1" x14ac:dyDescent="0.2">
      <c r="A644" s="67">
        <v>44470</v>
      </c>
      <c r="B644" s="57">
        <v>0</v>
      </c>
      <c r="C644" s="57">
        <v>31.35766468085107</v>
      </c>
      <c r="D644" s="57">
        <v>0</v>
      </c>
      <c r="E644" s="57">
        <v>1835806855.9500535</v>
      </c>
      <c r="F644" s="57">
        <v>31.35766468085107</v>
      </c>
      <c r="G644" s="57">
        <v>1835806855.9500535</v>
      </c>
    </row>
    <row r="645" spans="1:7" ht="11.25" customHeight="1" x14ac:dyDescent="0.2">
      <c r="A645" s="67">
        <v>44501</v>
      </c>
      <c r="B645" s="57">
        <v>0</v>
      </c>
      <c r="C645" s="57">
        <v>45.651337021276589</v>
      </c>
      <c r="D645" s="57">
        <v>0</v>
      </c>
      <c r="E645" s="57">
        <v>2672617311.9047298</v>
      </c>
      <c r="F645" s="57">
        <v>45.651337021276589</v>
      </c>
      <c r="G645" s="57">
        <v>2672617311.9047298</v>
      </c>
    </row>
    <row r="646" spans="1:7" ht="11.25" customHeight="1" x14ac:dyDescent="0.2">
      <c r="A646" s="67">
        <v>44531</v>
      </c>
      <c r="B646" s="57">
        <v>0</v>
      </c>
      <c r="C646" s="57">
        <v>52.989737872340427</v>
      </c>
      <c r="D646" s="57">
        <v>0</v>
      </c>
      <c r="E646" s="57">
        <v>3102237525.3742447</v>
      </c>
      <c r="F646" s="57">
        <v>52.989737872340427</v>
      </c>
      <c r="G646" s="57">
        <v>3102237525.3742447</v>
      </c>
    </row>
    <row r="647" spans="1:7" ht="11.25" customHeight="1" x14ac:dyDescent="0.2">
      <c r="A647" s="67">
        <v>44562</v>
      </c>
      <c r="B647" s="57">
        <v>0</v>
      </c>
      <c r="C647" s="57">
        <v>16.209319148936171</v>
      </c>
      <c r="D647" s="57">
        <v>0</v>
      </c>
      <c r="E647" s="57">
        <v>948960310.87643754</v>
      </c>
      <c r="F647" s="57">
        <v>16.209319148936171</v>
      </c>
      <c r="G647" s="57">
        <v>948960310.87643754</v>
      </c>
    </row>
    <row r="648" spans="1:7" ht="11.25" customHeight="1" x14ac:dyDescent="0.2">
      <c r="A648" s="67">
        <v>44593</v>
      </c>
      <c r="B648" s="57">
        <v>0</v>
      </c>
      <c r="C648" s="57">
        <v>11.287580425531916</v>
      </c>
      <c r="D648" s="57">
        <v>0</v>
      </c>
      <c r="E648" s="57">
        <v>660821452.84668291</v>
      </c>
      <c r="F648" s="57">
        <v>11.287580425531916</v>
      </c>
      <c r="G648" s="57">
        <v>660821452.84668291</v>
      </c>
    </row>
    <row r="649" spans="1:7" ht="11.25" customHeight="1" x14ac:dyDescent="0.2">
      <c r="A649" s="67">
        <v>44621</v>
      </c>
      <c r="B649" s="57">
        <v>0</v>
      </c>
      <c r="C649" s="57">
        <v>29.766204255319149</v>
      </c>
      <c r="D649" s="57">
        <v>0</v>
      </c>
      <c r="E649" s="57">
        <v>1742636207.2458217</v>
      </c>
      <c r="F649" s="57">
        <v>29.766204255319149</v>
      </c>
      <c r="G649" s="57">
        <v>1742636207.2458217</v>
      </c>
    </row>
    <row r="650" spans="1:7" ht="11.25" customHeight="1" x14ac:dyDescent="0.2">
      <c r="A650" s="67">
        <v>44652</v>
      </c>
      <c r="B650" s="57">
        <v>0</v>
      </c>
      <c r="C650" s="57">
        <v>29.766204255319149</v>
      </c>
      <c r="D650" s="57">
        <v>0</v>
      </c>
      <c r="E650" s="57">
        <v>1742636207.2458217</v>
      </c>
      <c r="F650" s="57">
        <v>29.766204255319149</v>
      </c>
      <c r="G650" s="57">
        <v>1742636207.2458217</v>
      </c>
    </row>
    <row r="651" spans="1:7" ht="11.25" customHeight="1" x14ac:dyDescent="0.2">
      <c r="A651" s="66" t="s">
        <v>38</v>
      </c>
      <c r="B651" s="57">
        <v>0</v>
      </c>
      <c r="C651" s="57">
        <v>1.527950425531915</v>
      </c>
      <c r="D651" s="57">
        <v>0</v>
      </c>
      <c r="E651" s="57">
        <v>53486854.703418836</v>
      </c>
      <c r="F651" s="57">
        <v>1.527950425531915</v>
      </c>
      <c r="G651" s="57">
        <v>53486854.703418836</v>
      </c>
    </row>
    <row r="652" spans="1:7" ht="11.25" customHeight="1" x14ac:dyDescent="0.2">
      <c r="A652" s="67">
        <v>44317</v>
      </c>
      <c r="B652" s="57">
        <v>0</v>
      </c>
      <c r="C652" s="57">
        <v>0.29573234042553193</v>
      </c>
      <c r="D652" s="57">
        <v>0</v>
      </c>
      <c r="E652" s="57">
        <v>10352294.458726224</v>
      </c>
      <c r="F652" s="57">
        <v>0.29573234042553193</v>
      </c>
      <c r="G652" s="57">
        <v>10352294.458726224</v>
      </c>
    </row>
    <row r="653" spans="1:7" ht="11.25" customHeight="1" x14ac:dyDescent="0.2">
      <c r="A653" s="67">
        <v>44470</v>
      </c>
      <c r="B653" s="57">
        <v>0</v>
      </c>
      <c r="C653" s="57">
        <v>0.19715489361702132</v>
      </c>
      <c r="D653" s="57">
        <v>0</v>
      </c>
      <c r="E653" s="57">
        <v>6901529.6391508169</v>
      </c>
      <c r="F653" s="57">
        <v>0.19715489361702132</v>
      </c>
      <c r="G653" s="57">
        <v>6901529.6391508169</v>
      </c>
    </row>
    <row r="654" spans="1:7" ht="11.25" customHeight="1" x14ac:dyDescent="0.2">
      <c r="A654" s="67">
        <v>44501</v>
      </c>
      <c r="B654" s="57">
        <v>0</v>
      </c>
      <c r="C654" s="57">
        <v>0.64075340425531913</v>
      </c>
      <c r="D654" s="57">
        <v>0</v>
      </c>
      <c r="E654" s="57">
        <v>22429971.327240154</v>
      </c>
      <c r="F654" s="57">
        <v>0.64075340425531913</v>
      </c>
      <c r="G654" s="57">
        <v>22429971.327240154</v>
      </c>
    </row>
    <row r="655" spans="1:7" ht="11.25" customHeight="1" x14ac:dyDescent="0.2">
      <c r="A655" s="67">
        <v>44531</v>
      </c>
      <c r="B655" s="57">
        <v>0</v>
      </c>
      <c r="C655" s="57">
        <v>0.29573234042553193</v>
      </c>
      <c r="D655" s="57">
        <v>0</v>
      </c>
      <c r="E655" s="57">
        <v>10352294.458726224</v>
      </c>
      <c r="F655" s="57">
        <v>0.29573234042553193</v>
      </c>
      <c r="G655" s="57">
        <v>10352294.458726224</v>
      </c>
    </row>
    <row r="656" spans="1:7" ht="11.25" customHeight="1" x14ac:dyDescent="0.2">
      <c r="A656" s="67">
        <v>44621</v>
      </c>
      <c r="B656" s="57">
        <v>0</v>
      </c>
      <c r="C656" s="57">
        <v>4.928872340425533E-2</v>
      </c>
      <c r="D656" s="57">
        <v>0</v>
      </c>
      <c r="E656" s="57">
        <v>1725382.4097877042</v>
      </c>
      <c r="F656" s="57">
        <v>4.928872340425533E-2</v>
      </c>
      <c r="G656" s="57">
        <v>1725382.4097877042</v>
      </c>
    </row>
    <row r="657" spans="1:7" ht="11.25" customHeight="1" x14ac:dyDescent="0.2">
      <c r="A657" s="67">
        <v>44652</v>
      </c>
      <c r="B657" s="57">
        <v>0</v>
      </c>
      <c r="C657" s="57">
        <v>4.928872340425533E-2</v>
      </c>
      <c r="D657" s="57">
        <v>0</v>
      </c>
      <c r="E657" s="57">
        <v>1725382.4097877042</v>
      </c>
      <c r="F657" s="57">
        <v>4.928872340425533E-2</v>
      </c>
      <c r="G657" s="57">
        <v>1725382.4097877042</v>
      </c>
    </row>
    <row r="658" spans="1:7" ht="11.25" customHeight="1" x14ac:dyDescent="0.2">
      <c r="A658" s="66" t="s">
        <v>35</v>
      </c>
      <c r="B658" s="57">
        <v>0</v>
      </c>
      <c r="C658" s="57">
        <v>0.22865744680851069</v>
      </c>
      <c r="D658" s="57">
        <v>0</v>
      </c>
      <c r="E658" s="57">
        <v>5176147.3369819047</v>
      </c>
      <c r="F658" s="57">
        <v>0.22865744680851069</v>
      </c>
      <c r="G658" s="57">
        <v>5176147.3369819047</v>
      </c>
    </row>
    <row r="659" spans="1:7" ht="11.25" customHeight="1" x14ac:dyDescent="0.2">
      <c r="A659" s="67">
        <v>44470</v>
      </c>
      <c r="B659" s="57">
        <v>0</v>
      </c>
      <c r="C659" s="57">
        <v>7.6219148936170225E-2</v>
      </c>
      <c r="D659" s="57">
        <v>0</v>
      </c>
      <c r="E659" s="57">
        <v>1725382.4456606349</v>
      </c>
      <c r="F659" s="57">
        <v>7.6219148936170225E-2</v>
      </c>
      <c r="G659" s="57">
        <v>1725382.4456606349</v>
      </c>
    </row>
    <row r="660" spans="1:7" ht="11.25" customHeight="1" x14ac:dyDescent="0.2">
      <c r="A660" s="67">
        <v>44501</v>
      </c>
      <c r="B660" s="57">
        <v>0</v>
      </c>
      <c r="C660" s="57">
        <v>7.6219148936170225E-2</v>
      </c>
      <c r="D660" s="57">
        <v>0</v>
      </c>
      <c r="E660" s="57">
        <v>1725382.4456606349</v>
      </c>
      <c r="F660" s="57">
        <v>7.6219148936170225E-2</v>
      </c>
      <c r="G660" s="57">
        <v>1725382.4456606349</v>
      </c>
    </row>
    <row r="661" spans="1:7" ht="11.25" customHeight="1" x14ac:dyDescent="0.2">
      <c r="A661" s="67">
        <v>44531</v>
      </c>
      <c r="B661" s="57">
        <v>0</v>
      </c>
      <c r="C661" s="57">
        <v>7.6219148936170225E-2</v>
      </c>
      <c r="D661" s="57">
        <v>0</v>
      </c>
      <c r="E661" s="57">
        <v>1725382.4456606349</v>
      </c>
      <c r="F661" s="57">
        <v>7.6219148936170225E-2</v>
      </c>
      <c r="G661" s="57">
        <v>1725382.4456606349</v>
      </c>
    </row>
    <row r="662" spans="1:7" ht="11.25" customHeight="1" x14ac:dyDescent="0.2">
      <c r="A662" s="61" t="s">
        <v>23</v>
      </c>
      <c r="B662" s="57">
        <v>0</v>
      </c>
      <c r="C662" s="57">
        <v>4510157.9754399993</v>
      </c>
      <c r="D662" s="57">
        <v>0</v>
      </c>
      <c r="E662" s="57">
        <v>103563310506235.23</v>
      </c>
      <c r="F662" s="57">
        <v>4510157.9754400002</v>
      </c>
      <c r="G662" s="57">
        <v>103563310506235.25</v>
      </c>
    </row>
    <row r="663" spans="1:7" ht="11.25" customHeight="1" x14ac:dyDescent="0.2">
      <c r="A663" s="62" t="s">
        <v>45</v>
      </c>
      <c r="B663" s="57">
        <v>0</v>
      </c>
      <c r="C663" s="57">
        <v>4510157.9754399993</v>
      </c>
      <c r="D663" s="57">
        <v>0</v>
      </c>
      <c r="E663" s="57">
        <v>103563310506235.23</v>
      </c>
      <c r="F663" s="57">
        <v>4510157.9754400002</v>
      </c>
      <c r="G663" s="57">
        <v>103563310506235.25</v>
      </c>
    </row>
    <row r="664" spans="1:7" ht="11.25" customHeight="1" x14ac:dyDescent="0.2">
      <c r="A664" s="63" t="s">
        <v>53</v>
      </c>
      <c r="B664" s="57">
        <v>0</v>
      </c>
      <c r="C664" s="57">
        <v>32710.245359999994</v>
      </c>
      <c r="D664" s="57">
        <v>0</v>
      </c>
      <c r="E664" s="57">
        <v>751100363978.34509</v>
      </c>
      <c r="F664" s="57">
        <v>32710.245359999994</v>
      </c>
      <c r="G664" s="57">
        <v>751100363978.34509</v>
      </c>
    </row>
    <row r="665" spans="1:7" ht="11.25" customHeight="1" x14ac:dyDescent="0.2">
      <c r="A665" s="64" t="s">
        <v>54</v>
      </c>
      <c r="B665" s="57">
        <v>0</v>
      </c>
      <c r="C665" s="57">
        <v>32710.245359999994</v>
      </c>
      <c r="D665" s="57">
        <v>0</v>
      </c>
      <c r="E665" s="57">
        <v>751100363978.34509</v>
      </c>
      <c r="F665" s="57">
        <v>32710.245359999994</v>
      </c>
      <c r="G665" s="57">
        <v>751100363978.34509</v>
      </c>
    </row>
    <row r="666" spans="1:7" ht="11.25" customHeight="1" x14ac:dyDescent="0.2">
      <c r="A666" s="65" t="s">
        <v>25</v>
      </c>
      <c r="B666" s="57">
        <v>0</v>
      </c>
      <c r="C666" s="57">
        <v>32710.245359999994</v>
      </c>
      <c r="D666" s="57">
        <v>0</v>
      </c>
      <c r="E666" s="57">
        <v>751100363978.34509</v>
      </c>
      <c r="F666" s="57">
        <v>32710.245359999994</v>
      </c>
      <c r="G666" s="57">
        <v>751100363978.34509</v>
      </c>
    </row>
    <row r="667" spans="1:7" ht="11.25" customHeight="1" x14ac:dyDescent="0.2">
      <c r="A667" s="66" t="s">
        <v>25</v>
      </c>
      <c r="B667" s="57">
        <v>0</v>
      </c>
      <c r="C667" s="57">
        <v>32710.245359999994</v>
      </c>
      <c r="D667" s="57">
        <v>0</v>
      </c>
      <c r="E667" s="57">
        <v>751100363978.34509</v>
      </c>
      <c r="F667" s="57">
        <v>32710.245359999994</v>
      </c>
      <c r="G667" s="57">
        <v>751100363978.34509</v>
      </c>
    </row>
    <row r="668" spans="1:7" ht="11.25" customHeight="1" x14ac:dyDescent="0.2">
      <c r="A668" s="67">
        <v>44317</v>
      </c>
      <c r="B668" s="57">
        <v>0</v>
      </c>
      <c r="C668" s="57">
        <v>1157.1559999999997</v>
      </c>
      <c r="D668" s="57">
        <v>0</v>
      </c>
      <c r="E668" s="57">
        <v>26570888821.352638</v>
      </c>
      <c r="F668" s="57">
        <v>1157.1559999999997</v>
      </c>
      <c r="G668" s="57">
        <v>26570888821.352638</v>
      </c>
    </row>
    <row r="669" spans="1:7" ht="11.25" customHeight="1" x14ac:dyDescent="0.2">
      <c r="A669" s="67">
        <v>44348</v>
      </c>
      <c r="B669" s="57">
        <v>0</v>
      </c>
      <c r="C669" s="57">
        <v>-141.18805999999972</v>
      </c>
      <c r="D669" s="57">
        <v>0</v>
      </c>
      <c r="E669" s="57">
        <v>-3241993512.6832161</v>
      </c>
      <c r="F669" s="57">
        <v>-141.18805999999972</v>
      </c>
      <c r="G669" s="57">
        <v>-3241993512.6832161</v>
      </c>
    </row>
    <row r="670" spans="1:7" ht="11.25" customHeight="1" x14ac:dyDescent="0.2">
      <c r="A670" s="67">
        <v>44378</v>
      </c>
      <c r="B670" s="57">
        <v>0</v>
      </c>
      <c r="C670" s="57">
        <v>1671.1135999999997</v>
      </c>
      <c r="D670" s="57">
        <v>0</v>
      </c>
      <c r="E670" s="57">
        <v>38372504375.771591</v>
      </c>
      <c r="F670" s="57">
        <v>1671.1135999999997</v>
      </c>
      <c r="G670" s="57">
        <v>38372504375.771591</v>
      </c>
    </row>
    <row r="671" spans="1:7" ht="11.25" customHeight="1" x14ac:dyDescent="0.2">
      <c r="A671" s="67">
        <v>44409</v>
      </c>
      <c r="B671" s="57">
        <v>0</v>
      </c>
      <c r="C671" s="57">
        <v>1442.9885599999996</v>
      </c>
      <c r="D671" s="57">
        <v>0</v>
      </c>
      <c r="E671" s="57">
        <v>33134243436.704933</v>
      </c>
      <c r="F671" s="57">
        <v>1442.9885599999996</v>
      </c>
      <c r="G671" s="57">
        <v>33134243436.704933</v>
      </c>
    </row>
    <row r="672" spans="1:7" ht="11.25" customHeight="1" x14ac:dyDescent="0.2">
      <c r="A672" s="67">
        <v>44440</v>
      </c>
      <c r="B672" s="57">
        <v>0</v>
      </c>
      <c r="C672" s="57">
        <v>2131.7969399999997</v>
      </c>
      <c r="D672" s="57">
        <v>0</v>
      </c>
      <c r="E672" s="57">
        <v>48950823814.97374</v>
      </c>
      <c r="F672" s="57">
        <v>2131.7969399999997</v>
      </c>
      <c r="G672" s="57">
        <v>48950823814.97374</v>
      </c>
    </row>
    <row r="673" spans="1:7" ht="11.25" customHeight="1" x14ac:dyDescent="0.2">
      <c r="A673" s="67">
        <v>44470</v>
      </c>
      <c r="B673" s="57">
        <v>0</v>
      </c>
      <c r="C673" s="57">
        <v>3530.9037399999993</v>
      </c>
      <c r="D673" s="57">
        <v>0</v>
      </c>
      <c r="E673" s="57">
        <v>81077443935.336472</v>
      </c>
      <c r="F673" s="57">
        <v>3530.9037399999993</v>
      </c>
      <c r="G673" s="57">
        <v>81077443935.336472</v>
      </c>
    </row>
    <row r="674" spans="1:7" ht="11.25" customHeight="1" x14ac:dyDescent="0.2">
      <c r="A674" s="67">
        <v>44501</v>
      </c>
      <c r="B674" s="57">
        <v>0</v>
      </c>
      <c r="C674" s="57">
        <v>4623.7398999999987</v>
      </c>
      <c r="D674" s="57">
        <v>0</v>
      </c>
      <c r="E674" s="57">
        <v>106171405429.99574</v>
      </c>
      <c r="F674" s="57">
        <v>4623.7398999999987</v>
      </c>
      <c r="G674" s="57">
        <v>106171405429.99574</v>
      </c>
    </row>
    <row r="675" spans="1:7" ht="11.25" customHeight="1" x14ac:dyDescent="0.2">
      <c r="A675" s="67">
        <v>44531</v>
      </c>
      <c r="B675" s="57">
        <v>0</v>
      </c>
      <c r="C675" s="57">
        <v>4618.4800999999998</v>
      </c>
      <c r="D675" s="57">
        <v>0</v>
      </c>
      <c r="E675" s="57">
        <v>106050628662.62596</v>
      </c>
      <c r="F675" s="57">
        <v>4618.4800999999998</v>
      </c>
      <c r="G675" s="57">
        <v>106050628662.62596</v>
      </c>
    </row>
    <row r="676" spans="1:7" ht="11.25" customHeight="1" x14ac:dyDescent="0.2">
      <c r="A676" s="67">
        <v>44562</v>
      </c>
      <c r="B676" s="57">
        <v>0</v>
      </c>
      <c r="C676" s="57">
        <v>4073.5648199999991</v>
      </c>
      <c r="D676" s="57">
        <v>0</v>
      </c>
      <c r="E676" s="57">
        <v>93538155563.116257</v>
      </c>
      <c r="F676" s="57">
        <v>4073.5648199999991</v>
      </c>
      <c r="G676" s="57">
        <v>93538155563.116257</v>
      </c>
    </row>
    <row r="677" spans="1:7" ht="11.25" customHeight="1" x14ac:dyDescent="0.2">
      <c r="A677" s="67">
        <v>44593</v>
      </c>
      <c r="B677" s="57">
        <v>0</v>
      </c>
      <c r="C677" s="57">
        <v>3963.0338799999995</v>
      </c>
      <c r="D677" s="57">
        <v>0</v>
      </c>
      <c r="E677" s="57">
        <v>91000118065.959778</v>
      </c>
      <c r="F677" s="57">
        <v>3963.0338799999995</v>
      </c>
      <c r="G677" s="57">
        <v>91000118065.959778</v>
      </c>
    </row>
    <row r="678" spans="1:7" ht="11.25" customHeight="1" x14ac:dyDescent="0.2">
      <c r="A678" s="67">
        <v>44621</v>
      </c>
      <c r="B678" s="57">
        <v>0</v>
      </c>
      <c r="C678" s="57">
        <v>2819.3279399999997</v>
      </c>
      <c r="D678" s="57">
        <v>0</v>
      </c>
      <c r="E678" s="57">
        <v>64738072692.595604</v>
      </c>
      <c r="F678" s="57">
        <v>2819.3279399999997</v>
      </c>
      <c r="G678" s="57">
        <v>64738072692.595604</v>
      </c>
    </row>
    <row r="679" spans="1:7" ht="11.25" customHeight="1" x14ac:dyDescent="0.2">
      <c r="A679" s="67">
        <v>44652</v>
      </c>
      <c r="B679" s="57">
        <v>0</v>
      </c>
      <c r="C679" s="57">
        <v>2819.3279399999997</v>
      </c>
      <c r="D679" s="57">
        <v>0</v>
      </c>
      <c r="E679" s="57">
        <v>64738072692.595604</v>
      </c>
      <c r="F679" s="57">
        <v>2819.3279399999997</v>
      </c>
      <c r="G679" s="57">
        <v>64738072692.595604</v>
      </c>
    </row>
    <row r="680" spans="1:7" ht="11.25" customHeight="1" x14ac:dyDescent="0.2">
      <c r="A680" s="63" t="s">
        <v>25</v>
      </c>
      <c r="B680" s="57">
        <v>0</v>
      </c>
      <c r="C680" s="57">
        <v>4477447.7300799992</v>
      </c>
      <c r="D680" s="57">
        <v>0</v>
      </c>
      <c r="E680" s="57">
        <v>102812210142256.88</v>
      </c>
      <c r="F680" s="57">
        <v>4477447.7300800001</v>
      </c>
      <c r="G680" s="57">
        <v>102812210142256.91</v>
      </c>
    </row>
    <row r="681" spans="1:7" ht="11.25" customHeight="1" x14ac:dyDescent="0.2">
      <c r="A681" s="64" t="s">
        <v>25</v>
      </c>
      <c r="B681" s="57">
        <v>0</v>
      </c>
      <c r="C681" s="57">
        <v>4477447.7300799992</v>
      </c>
      <c r="D681" s="57">
        <v>0</v>
      </c>
      <c r="E681" s="57">
        <v>102812210142256.88</v>
      </c>
      <c r="F681" s="57">
        <v>4477447.7300800001</v>
      </c>
      <c r="G681" s="57">
        <v>102812210142256.91</v>
      </c>
    </row>
    <row r="682" spans="1:7" ht="11.25" customHeight="1" x14ac:dyDescent="0.2">
      <c r="A682" s="65" t="s">
        <v>25</v>
      </c>
      <c r="B682" s="57">
        <v>0</v>
      </c>
      <c r="C682" s="57">
        <v>4477447.7300799992</v>
      </c>
      <c r="D682" s="57">
        <v>0</v>
      </c>
      <c r="E682" s="57">
        <v>102812210142256.88</v>
      </c>
      <c r="F682" s="57">
        <v>4477447.7300800001</v>
      </c>
      <c r="G682" s="57">
        <v>102812210142256.91</v>
      </c>
    </row>
    <row r="683" spans="1:7" ht="11.25" customHeight="1" x14ac:dyDescent="0.2">
      <c r="A683" s="66" t="s">
        <v>25</v>
      </c>
      <c r="B683" s="57">
        <v>0</v>
      </c>
      <c r="C683" s="57">
        <v>4477447.7300799992</v>
      </c>
      <c r="D683" s="57">
        <v>0</v>
      </c>
      <c r="E683" s="57">
        <v>102812210142256.88</v>
      </c>
      <c r="F683" s="57">
        <v>4477447.7300800001</v>
      </c>
      <c r="G683" s="57">
        <v>102812210142256.91</v>
      </c>
    </row>
    <row r="684" spans="1:7" ht="11.25" customHeight="1" x14ac:dyDescent="0.2">
      <c r="A684" s="67">
        <v>44317</v>
      </c>
      <c r="B684" s="57">
        <v>0</v>
      </c>
      <c r="C684" s="57">
        <v>430002.02492</v>
      </c>
      <c r="D684" s="57">
        <v>0</v>
      </c>
      <c r="E684" s="57">
        <v>9873807850545.498</v>
      </c>
      <c r="F684" s="57">
        <v>430002.02492</v>
      </c>
      <c r="G684" s="57">
        <v>9873807850545.498</v>
      </c>
    </row>
    <row r="685" spans="1:7" ht="11.25" customHeight="1" x14ac:dyDescent="0.2">
      <c r="A685" s="67">
        <v>44348</v>
      </c>
      <c r="B685" s="57">
        <v>0</v>
      </c>
      <c r="C685" s="57">
        <v>313163.98359999992</v>
      </c>
      <c r="D685" s="57">
        <v>0</v>
      </c>
      <c r="E685" s="57">
        <v>7190945206253.5225</v>
      </c>
      <c r="F685" s="57">
        <v>313163.98359999992</v>
      </c>
      <c r="G685" s="57">
        <v>7190945206253.5225</v>
      </c>
    </row>
    <row r="686" spans="1:7" ht="11.25" customHeight="1" x14ac:dyDescent="0.2">
      <c r="A686" s="67">
        <v>44378</v>
      </c>
      <c r="B686" s="57">
        <v>0</v>
      </c>
      <c r="C686" s="57">
        <v>344760.05304000003</v>
      </c>
      <c r="D686" s="57">
        <v>0</v>
      </c>
      <c r="E686" s="57">
        <v>7916461600138.165</v>
      </c>
      <c r="F686" s="57">
        <v>344760.05304000003</v>
      </c>
      <c r="G686" s="57">
        <v>7916461600138.165</v>
      </c>
    </row>
    <row r="687" spans="1:7" ht="11.25" customHeight="1" x14ac:dyDescent="0.2">
      <c r="A687" s="67">
        <v>44409</v>
      </c>
      <c r="B687" s="57">
        <v>0</v>
      </c>
      <c r="C687" s="57">
        <v>341382.73545999994</v>
      </c>
      <c r="D687" s="57">
        <v>0</v>
      </c>
      <c r="E687" s="57">
        <v>7838910837810.0254</v>
      </c>
      <c r="F687" s="57">
        <v>341382.73545999994</v>
      </c>
      <c r="G687" s="57">
        <v>7838910837810.0254</v>
      </c>
    </row>
    <row r="688" spans="1:7" ht="11.25" customHeight="1" x14ac:dyDescent="0.2">
      <c r="A688" s="67">
        <v>44440</v>
      </c>
      <c r="B688" s="57">
        <v>0</v>
      </c>
      <c r="C688" s="57">
        <v>364728.95887999993</v>
      </c>
      <c r="D688" s="57">
        <v>0</v>
      </c>
      <c r="E688" s="57">
        <v>8374992322839.9424</v>
      </c>
      <c r="F688" s="57">
        <v>364728.95887999993</v>
      </c>
      <c r="G688" s="57">
        <v>8374992322839.9424</v>
      </c>
    </row>
    <row r="689" spans="1:7" ht="11.25" customHeight="1" x14ac:dyDescent="0.2">
      <c r="A689" s="67">
        <v>44470</v>
      </c>
      <c r="B689" s="57">
        <v>0</v>
      </c>
      <c r="C689" s="57">
        <v>395613.82821999991</v>
      </c>
      <c r="D689" s="57">
        <v>0</v>
      </c>
      <c r="E689" s="57">
        <v>9084177972393.7988</v>
      </c>
      <c r="F689" s="57">
        <v>395613.82821999991</v>
      </c>
      <c r="G689" s="57">
        <v>9084177972393.7988</v>
      </c>
    </row>
    <row r="690" spans="1:7" ht="11.25" customHeight="1" x14ac:dyDescent="0.2">
      <c r="A690" s="67">
        <v>44501</v>
      </c>
      <c r="B690" s="57">
        <v>0</v>
      </c>
      <c r="C690" s="57">
        <v>434735.01837999991</v>
      </c>
      <c r="D690" s="57">
        <v>0</v>
      </c>
      <c r="E690" s="57">
        <v>9982487961972</v>
      </c>
      <c r="F690" s="57">
        <v>434735.01837999991</v>
      </c>
      <c r="G690" s="57">
        <v>9982487961972</v>
      </c>
    </row>
    <row r="691" spans="1:7" ht="11.25" customHeight="1" x14ac:dyDescent="0.2">
      <c r="A691" s="67">
        <v>44531</v>
      </c>
      <c r="B691" s="57">
        <v>0</v>
      </c>
      <c r="C691" s="57">
        <v>411123.62589999993</v>
      </c>
      <c r="D691" s="57">
        <v>0</v>
      </c>
      <c r="E691" s="57">
        <v>9440317602484.2578</v>
      </c>
      <c r="F691" s="57">
        <v>411123.62589999993</v>
      </c>
      <c r="G691" s="57">
        <v>9440317602484.2578</v>
      </c>
    </row>
    <row r="692" spans="1:7" ht="11.25" customHeight="1" x14ac:dyDescent="0.2">
      <c r="A692" s="67">
        <v>44562</v>
      </c>
      <c r="B692" s="57">
        <v>0</v>
      </c>
      <c r="C692" s="57">
        <v>365484.86727999995</v>
      </c>
      <c r="D692" s="57">
        <v>0</v>
      </c>
      <c r="E692" s="57">
        <v>8392349669693.373</v>
      </c>
      <c r="F692" s="57">
        <v>365484.86727999995</v>
      </c>
      <c r="G692" s="57">
        <v>8392349669693.373</v>
      </c>
    </row>
    <row r="693" spans="1:7" ht="11.25" customHeight="1" x14ac:dyDescent="0.2">
      <c r="A693" s="67">
        <v>44593</v>
      </c>
      <c r="B693" s="57">
        <v>0</v>
      </c>
      <c r="C693" s="57">
        <v>356354.15503999993</v>
      </c>
      <c r="D693" s="57">
        <v>0</v>
      </c>
      <c r="E693" s="57">
        <v>8182688103068.9912</v>
      </c>
      <c r="F693" s="57">
        <v>356354.15503999993</v>
      </c>
      <c r="G693" s="57">
        <v>8182688103068.9912</v>
      </c>
    </row>
    <row r="694" spans="1:7" ht="11.25" customHeight="1" x14ac:dyDescent="0.2">
      <c r="A694" s="67">
        <v>44621</v>
      </c>
      <c r="B694" s="57">
        <v>0</v>
      </c>
      <c r="C694" s="57">
        <v>360049.23967999994</v>
      </c>
      <c r="D694" s="57">
        <v>0</v>
      </c>
      <c r="E694" s="57">
        <v>8267535507528.6533</v>
      </c>
      <c r="F694" s="57">
        <v>360049.23967999994</v>
      </c>
      <c r="G694" s="57">
        <v>8267535507528.6533</v>
      </c>
    </row>
    <row r="695" spans="1:7" ht="11.25" customHeight="1" x14ac:dyDescent="0.2">
      <c r="A695" s="67">
        <v>44652</v>
      </c>
      <c r="B695" s="57">
        <v>0</v>
      </c>
      <c r="C695" s="57">
        <v>360049.23967999994</v>
      </c>
      <c r="D695" s="57">
        <v>0</v>
      </c>
      <c r="E695" s="57">
        <v>8267535507528.6533</v>
      </c>
      <c r="F695" s="57">
        <v>360049.23967999994</v>
      </c>
      <c r="G695" s="57">
        <v>8267535507528.6533</v>
      </c>
    </row>
    <row r="696" spans="1:7" ht="11.25" customHeight="1" x14ac:dyDescent="0.2">
      <c r="A696" s="59" t="s">
        <v>960</v>
      </c>
      <c r="B696" s="57">
        <v>0</v>
      </c>
      <c r="C696" s="57">
        <v>0</v>
      </c>
      <c r="D696" s="57">
        <v>0</v>
      </c>
      <c r="E696" s="57">
        <v>0</v>
      </c>
      <c r="F696" s="57">
        <v>0</v>
      </c>
      <c r="G696" s="57">
        <v>0</v>
      </c>
    </row>
    <row r="697" spans="1:7" ht="11.25" customHeight="1" x14ac:dyDescent="0.2">
      <c r="A697" s="60" t="s">
        <v>22</v>
      </c>
      <c r="B697" s="57">
        <v>0</v>
      </c>
      <c r="C697" s="57">
        <v>0</v>
      </c>
      <c r="D697" s="57">
        <v>0</v>
      </c>
      <c r="E697" s="57">
        <v>0</v>
      </c>
      <c r="F697" s="57">
        <v>0</v>
      </c>
      <c r="G697" s="57">
        <v>0</v>
      </c>
    </row>
    <row r="698" spans="1:7" ht="11.25" customHeight="1" x14ac:dyDescent="0.2">
      <c r="A698" s="61" t="s">
        <v>23</v>
      </c>
      <c r="B698" s="57">
        <v>0</v>
      </c>
      <c r="C698" s="57">
        <v>0</v>
      </c>
      <c r="D698" s="57">
        <v>0</v>
      </c>
      <c r="E698" s="57">
        <v>0</v>
      </c>
      <c r="F698" s="57">
        <v>0</v>
      </c>
      <c r="G698" s="57">
        <v>0</v>
      </c>
    </row>
    <row r="699" spans="1:7" ht="11.25" customHeight="1" x14ac:dyDescent="0.2">
      <c r="A699" s="62" t="s">
        <v>24</v>
      </c>
      <c r="B699" s="57">
        <v>0</v>
      </c>
      <c r="C699" s="57">
        <v>0</v>
      </c>
      <c r="D699" s="57">
        <v>0</v>
      </c>
      <c r="E699" s="57">
        <v>0</v>
      </c>
      <c r="F699" s="57">
        <v>0</v>
      </c>
      <c r="G699" s="57">
        <v>0</v>
      </c>
    </row>
    <row r="700" spans="1:7" ht="11.25" customHeight="1" x14ac:dyDescent="0.2">
      <c r="A700" s="63" t="s">
        <v>24</v>
      </c>
      <c r="B700" s="57">
        <v>0</v>
      </c>
      <c r="C700" s="57">
        <v>0</v>
      </c>
      <c r="D700" s="57">
        <v>0</v>
      </c>
      <c r="E700" s="57">
        <v>0</v>
      </c>
      <c r="F700" s="57">
        <v>0</v>
      </c>
      <c r="G700" s="57">
        <v>0</v>
      </c>
    </row>
    <row r="701" spans="1:7" ht="11.25" customHeight="1" x14ac:dyDescent="0.2">
      <c r="A701" s="64" t="s">
        <v>25</v>
      </c>
      <c r="B701" s="57">
        <v>0</v>
      </c>
      <c r="C701" s="57">
        <v>0</v>
      </c>
      <c r="D701" s="57">
        <v>0</v>
      </c>
      <c r="E701" s="57">
        <v>0</v>
      </c>
      <c r="F701" s="57">
        <v>0</v>
      </c>
      <c r="G701" s="57">
        <v>0</v>
      </c>
    </row>
    <row r="702" spans="1:7" ht="11.25" customHeight="1" x14ac:dyDescent="0.2">
      <c r="A702" s="65" t="s">
        <v>25</v>
      </c>
      <c r="B702" s="57">
        <v>0</v>
      </c>
      <c r="C702" s="57">
        <v>0</v>
      </c>
      <c r="D702" s="57">
        <v>0</v>
      </c>
      <c r="E702" s="57">
        <v>0</v>
      </c>
      <c r="F702" s="57">
        <v>0</v>
      </c>
      <c r="G702" s="57">
        <v>0</v>
      </c>
    </row>
    <row r="703" spans="1:7" ht="11.25" customHeight="1" x14ac:dyDescent="0.2">
      <c r="A703" s="66" t="s">
        <v>25</v>
      </c>
      <c r="B703" s="57">
        <v>0</v>
      </c>
      <c r="C703" s="57">
        <v>0</v>
      </c>
      <c r="D703" s="57">
        <v>0</v>
      </c>
      <c r="E703" s="57">
        <v>0</v>
      </c>
      <c r="F703" s="57">
        <v>0</v>
      </c>
      <c r="G703" s="57">
        <v>0</v>
      </c>
    </row>
    <row r="704" spans="1:7" ht="11.25" customHeight="1" x14ac:dyDescent="0.2">
      <c r="A704" s="67">
        <v>44317</v>
      </c>
      <c r="B704" s="57">
        <v>0</v>
      </c>
      <c r="C704" s="57">
        <v>0</v>
      </c>
      <c r="D704" s="57">
        <v>0</v>
      </c>
      <c r="E704" s="57">
        <v>0</v>
      </c>
      <c r="F704" s="57">
        <v>0</v>
      </c>
      <c r="G704" s="57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AD03F-04B1-41F1-9694-442FD3E91437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78" bestFit="1" customWidth="1"/>
    <col min="2" max="2" width="11.140625" style="78" bestFit="1" customWidth="1"/>
    <col min="3" max="3" width="10.28515625" style="78" bestFit="1" customWidth="1"/>
    <col min="4" max="4" width="6.28515625" style="78" bestFit="1" customWidth="1"/>
    <col min="5" max="10" width="7.7109375" style="78" customWidth="1"/>
    <col min="11" max="12" width="9.140625" style="78"/>
    <col min="13" max="13" width="14.28515625" style="78" customWidth="1"/>
    <col min="14" max="14" width="16.7109375" style="78" customWidth="1"/>
    <col min="15" max="15" width="31.7109375" style="78" customWidth="1"/>
    <col min="16" max="22" width="7.7109375" style="78" customWidth="1"/>
    <col min="23" max="16384" width="9.140625" style="78"/>
  </cols>
  <sheetData>
    <row r="1" spans="1:22" ht="11.25" customHeight="1" x14ac:dyDescent="0.25">
      <c r="A1" s="130" t="s">
        <v>1034</v>
      </c>
      <c r="B1" s="150"/>
      <c r="C1" s="150"/>
      <c r="D1" s="150"/>
      <c r="E1" s="150"/>
      <c r="F1" s="150"/>
      <c r="G1" s="150"/>
      <c r="H1" s="150"/>
      <c r="I1" s="150"/>
      <c r="J1" s="150"/>
      <c r="L1" s="130" t="s">
        <v>1044</v>
      </c>
      <c r="M1" s="131"/>
      <c r="N1" s="131"/>
      <c r="O1" s="131"/>
      <c r="P1" s="131"/>
      <c r="Q1" s="131"/>
      <c r="R1" s="131"/>
      <c r="S1" s="131"/>
      <c r="T1" s="131"/>
      <c r="U1" s="131"/>
      <c r="V1" s="131"/>
    </row>
    <row r="2" spans="1:22" ht="11.25" customHeight="1" x14ac:dyDescent="0.25">
      <c r="A2" s="141" t="s">
        <v>80</v>
      </c>
      <c r="B2" s="141" t="s">
        <v>81</v>
      </c>
      <c r="C2" s="141" t="s">
        <v>1035</v>
      </c>
      <c r="D2" s="141" t="s">
        <v>86</v>
      </c>
      <c r="E2" s="141" t="s">
        <v>1036</v>
      </c>
      <c r="F2" s="149"/>
      <c r="G2" s="149"/>
      <c r="H2" s="141" t="s">
        <v>795</v>
      </c>
      <c r="I2" s="149"/>
      <c r="J2" s="149"/>
      <c r="L2" s="141" t="s">
        <v>80</v>
      </c>
      <c r="M2" s="141" t="s">
        <v>81</v>
      </c>
      <c r="N2" s="141" t="s">
        <v>82</v>
      </c>
      <c r="O2" s="141" t="s">
        <v>83</v>
      </c>
      <c r="P2" s="141" t="s">
        <v>86</v>
      </c>
      <c r="Q2" s="141" t="s">
        <v>1036</v>
      </c>
      <c r="R2" s="147"/>
      <c r="S2" s="147"/>
      <c r="T2" s="141" t="s">
        <v>795</v>
      </c>
      <c r="U2" s="147"/>
      <c r="V2" s="147"/>
    </row>
    <row r="3" spans="1:22" ht="11.25" customHeight="1" x14ac:dyDescent="0.25">
      <c r="A3" s="149"/>
      <c r="B3" s="149"/>
      <c r="C3" s="149"/>
      <c r="D3" s="149"/>
      <c r="E3" s="141" t="s">
        <v>754</v>
      </c>
      <c r="F3" s="149"/>
      <c r="G3" s="93" t="s">
        <v>782</v>
      </c>
      <c r="H3" s="141" t="s">
        <v>754</v>
      </c>
      <c r="I3" s="149"/>
      <c r="J3" s="93" t="s">
        <v>782</v>
      </c>
      <c r="L3" s="147"/>
      <c r="M3" s="147"/>
      <c r="N3" s="147"/>
      <c r="O3" s="147"/>
      <c r="P3" s="147"/>
      <c r="Q3" s="141" t="s">
        <v>754</v>
      </c>
      <c r="R3" s="147"/>
      <c r="S3" s="93" t="s">
        <v>782</v>
      </c>
      <c r="T3" s="141" t="s">
        <v>754</v>
      </c>
      <c r="U3" s="147"/>
      <c r="V3" s="93" t="s">
        <v>782</v>
      </c>
    </row>
    <row r="4" spans="1:22" ht="11.25" customHeight="1" x14ac:dyDescent="0.25">
      <c r="A4" s="149"/>
      <c r="B4" s="149"/>
      <c r="C4" s="149"/>
      <c r="D4" s="149"/>
      <c r="E4" s="93" t="s">
        <v>1037</v>
      </c>
      <c r="F4" s="93" t="s">
        <v>1038</v>
      </c>
      <c r="G4" s="93" t="s">
        <v>1038</v>
      </c>
      <c r="H4" s="93" t="s">
        <v>1037</v>
      </c>
      <c r="I4" s="93" t="s">
        <v>1038</v>
      </c>
      <c r="J4" s="93" t="s">
        <v>1038</v>
      </c>
      <c r="L4" s="147"/>
      <c r="M4" s="147"/>
      <c r="N4" s="147"/>
      <c r="O4" s="147"/>
      <c r="P4" s="147"/>
      <c r="Q4" s="93" t="s">
        <v>1037</v>
      </c>
      <c r="R4" s="93" t="s">
        <v>1038</v>
      </c>
      <c r="S4" s="93" t="s">
        <v>1038</v>
      </c>
      <c r="T4" s="93" t="s">
        <v>1037</v>
      </c>
      <c r="U4" s="93" t="s">
        <v>1038</v>
      </c>
      <c r="V4" s="93" t="s">
        <v>1038</v>
      </c>
    </row>
    <row r="5" spans="1:22" ht="11.25" customHeight="1" x14ac:dyDescent="0.25">
      <c r="A5" s="148" t="s">
        <v>41</v>
      </c>
      <c r="B5" s="148" t="s">
        <v>42</v>
      </c>
      <c r="C5" s="148" t="s">
        <v>25</v>
      </c>
      <c r="D5" s="94" t="s">
        <v>1039</v>
      </c>
      <c r="E5" s="45">
        <f ca="1">ROUND('TUSD BE'!$AM$5+'TUSD BF'!$AM$5+'TUSD CVA'!$AM$5,2)</f>
        <v>30.34</v>
      </c>
      <c r="F5" s="45">
        <f ca="1">ROUND('TUSD BE'!$AM$7+'TUSD BF'!$AM$7+'TUSD CVA'!$AM$7,2)</f>
        <v>76.239999999999995</v>
      </c>
      <c r="G5" s="45">
        <f>ROUND('TE BE'!$AA$5+'TE BF'!$AA$5+'TE CVA'!$AA$5,2)</f>
        <v>423.9</v>
      </c>
      <c r="H5" s="45">
        <f ca="1">ROUND('TUSD BE'!$AM$5,2)</f>
        <v>35.03</v>
      </c>
      <c r="I5" s="45">
        <f ca="1">ROUND('TUSD BE'!$AM$7,2)</f>
        <v>73.73</v>
      </c>
      <c r="J5" s="45">
        <f>ROUND('TE BE'!$AA$5,2)</f>
        <v>407.77</v>
      </c>
      <c r="L5" s="144" t="s">
        <v>22</v>
      </c>
      <c r="M5" s="144" t="s">
        <v>1045</v>
      </c>
      <c r="N5" s="144" t="s">
        <v>1046</v>
      </c>
      <c r="O5" s="144" t="s">
        <v>1046</v>
      </c>
      <c r="P5" s="94" t="s">
        <v>1039</v>
      </c>
      <c r="Q5" s="45">
        <v>0</v>
      </c>
      <c r="R5" s="45">
        <f ca="1">ROUND('TUSD BE'!$AM$28+'TUSD BF'!$AM$28+'TUSD CVA'!$AM$28,2)</f>
        <v>1178.19</v>
      </c>
      <c r="S5" s="45">
        <f>ROUND('TE BE'!$AA$10+'TE BF'!$AA$10+'TE CVA'!$AA$10,2)</f>
        <v>423.9</v>
      </c>
      <c r="T5" s="45">
        <v>0</v>
      </c>
      <c r="U5" s="45">
        <f ca="1">ROUND('TUSD BE'!$AM$28,2)</f>
        <v>1215.48</v>
      </c>
      <c r="V5" s="45">
        <f>ROUND('TE BE'!$AA$10,2)</f>
        <v>407.77</v>
      </c>
    </row>
    <row r="6" spans="1:22" ht="11.25" customHeight="1" x14ac:dyDescent="0.25">
      <c r="A6" s="149"/>
      <c r="B6" s="149"/>
      <c r="C6" s="149"/>
      <c r="D6" s="94" t="s">
        <v>1040</v>
      </c>
      <c r="E6" s="45">
        <f ca="1">ROUND('TUSD BE'!$AM$6+'TUSD BF'!$AM$6+'TUSD CVA'!$AM$6,2)</f>
        <v>16.34</v>
      </c>
      <c r="F6" s="45">
        <f ca="1">ROUND('TUSD BE'!$AM$7+'TUSD BF'!$AM$7+'TUSD CVA'!$AM$7,2)</f>
        <v>76.239999999999995</v>
      </c>
      <c r="G6" s="45">
        <f>ROUND('TE BE'!$AA$6+'TE BF'!$AA$6+'TE CVA'!$AA$6,2)</f>
        <v>271.14</v>
      </c>
      <c r="H6" s="45">
        <f ca="1">ROUND('TUSD BE'!$AM$6,2)</f>
        <v>20.49</v>
      </c>
      <c r="I6" s="45">
        <f ca="1">ROUND('TUSD BE'!$AM$7,2)</f>
        <v>73.73</v>
      </c>
      <c r="J6" s="45">
        <f>ROUND('TE BE'!$AA$6,2)</f>
        <v>258.70999999999998</v>
      </c>
      <c r="L6" s="146"/>
      <c r="M6" s="146"/>
      <c r="N6" s="146"/>
      <c r="O6" s="146"/>
      <c r="P6" s="94" t="s">
        <v>1047</v>
      </c>
      <c r="Q6" s="45">
        <v>0</v>
      </c>
      <c r="R6" s="45">
        <f ca="1">ROUND('TUSD BE'!$AM$29+'TUSD BF'!$AM$29+'TUSD CVA'!$AM$29,2)</f>
        <v>769.81</v>
      </c>
      <c r="S6" s="45">
        <f>ROUND('TE BE'!$AA$11+'TE BF'!$AA$11+'TE CVA'!$AA$11,2)</f>
        <v>271.14</v>
      </c>
      <c r="T6" s="45">
        <v>0</v>
      </c>
      <c r="U6" s="45">
        <f ca="1">ROUND('TUSD BE'!$AM$29,2)</f>
        <v>790.43</v>
      </c>
      <c r="V6" s="45">
        <f>ROUND('TE BE'!$AA$11,2)</f>
        <v>258.70999999999998</v>
      </c>
    </row>
    <row r="7" spans="1:22" ht="11.25" customHeight="1" x14ac:dyDescent="0.25">
      <c r="A7" s="149"/>
      <c r="B7" s="148" t="s">
        <v>1041</v>
      </c>
      <c r="C7" s="148" t="s">
        <v>25</v>
      </c>
      <c r="D7" s="94" t="s">
        <v>1039</v>
      </c>
      <c r="E7" s="45">
        <f ca="1">ROUND('TUSD BE'!$AM$5+'TUSD BF'!$AM$5+'TUSD CVA'!$AM$5,2)</f>
        <v>30.34</v>
      </c>
      <c r="F7" s="45">
        <f ca="1">ROUND('TUSD BE'!$AM$8+'TUSD BF'!$AM$8+'TUSD CVA'!$AM$8,2)</f>
        <v>27.87</v>
      </c>
      <c r="G7" s="45">
        <v>0</v>
      </c>
      <c r="H7" s="45">
        <f ca="1">ROUND('TUSD BE'!$AM$5,2)</f>
        <v>35.03</v>
      </c>
      <c r="I7" s="45">
        <f ca="1">ROUND('TUSD BE'!$AM$8,2)</f>
        <v>26.49</v>
      </c>
      <c r="J7" s="45">
        <v>0</v>
      </c>
      <c r="L7" s="146"/>
      <c r="M7" s="145"/>
      <c r="N7" s="145"/>
      <c r="O7" s="145"/>
      <c r="P7" s="94" t="s">
        <v>1040</v>
      </c>
      <c r="Q7" s="45">
        <v>0</v>
      </c>
      <c r="R7" s="45">
        <f ca="1">ROUND('TUSD BE'!$AM$30+'TUSD BF'!$AM$30+'TUSD CVA'!$AM$30,2)</f>
        <v>361.43</v>
      </c>
      <c r="S7" s="45">
        <f>ROUND('TE BE'!$AA$12+'TE BF'!$AA$12+'TE CVA'!$AA$12,2)</f>
        <v>271.14</v>
      </c>
      <c r="T7" s="45">
        <v>0</v>
      </c>
      <c r="U7" s="45">
        <f ca="1">ROUND('TUSD BE'!$AM$30,2)</f>
        <v>365.38</v>
      </c>
      <c r="V7" s="45">
        <f>ROUND('TE BE'!$AA$12,2)</f>
        <v>258.70999999999998</v>
      </c>
    </row>
    <row r="8" spans="1:22" ht="11.25" customHeight="1" x14ac:dyDescent="0.25">
      <c r="A8" s="149"/>
      <c r="B8" s="149"/>
      <c r="C8" s="149"/>
      <c r="D8" s="94" t="s">
        <v>1040</v>
      </c>
      <c r="E8" s="45">
        <f ca="1">ROUND('TUSD BE'!$AM$6+'TUSD BF'!$AM$6+'TUSD CVA'!$AM$6,2)</f>
        <v>16.34</v>
      </c>
      <c r="F8" s="45">
        <f ca="1">ROUND('TUSD BE'!$AM$8+'TUSD BF'!$AM$8+'TUSD CVA'!$AM$8,2)</f>
        <v>27.87</v>
      </c>
      <c r="G8" s="45">
        <v>0</v>
      </c>
      <c r="H8" s="45">
        <f ca="1">ROUND('TUSD BE'!$AM$6,2)</f>
        <v>20.49</v>
      </c>
      <c r="I8" s="45">
        <f ca="1">ROUND('TUSD BE'!$AM$8,2)</f>
        <v>26.49</v>
      </c>
      <c r="J8" s="45">
        <v>0</v>
      </c>
      <c r="L8" s="146"/>
      <c r="M8" s="94" t="s">
        <v>1048</v>
      </c>
      <c r="N8" s="94" t="s">
        <v>1046</v>
      </c>
      <c r="O8" s="94" t="s">
        <v>1046</v>
      </c>
      <c r="P8" s="94" t="s">
        <v>1042</v>
      </c>
      <c r="Q8" s="45">
        <v>0</v>
      </c>
      <c r="R8" s="45">
        <f ca="1">ROUND('TUSD BE'!$AM$36+'TUSD BF'!$AM$36+'TUSD CVA'!$AM$36,2)</f>
        <v>466.62</v>
      </c>
      <c r="S8" s="45">
        <f>ROUND('TE BE'!$AA$18+'TE BF'!$AA$18+'TE CVA'!$AA$18,2)</f>
        <v>283.87</v>
      </c>
      <c r="T8" s="45">
        <v>0</v>
      </c>
      <c r="U8" s="45">
        <f ca="1">ROUND('TUSD BE'!$AM$36,2)</f>
        <v>474.87</v>
      </c>
      <c r="V8" s="45">
        <f>ROUND('TE BE'!$AA$18,2)</f>
        <v>271.13</v>
      </c>
    </row>
    <row r="9" spans="1:22" ht="11.25" customHeight="1" x14ac:dyDescent="0.25">
      <c r="A9" s="149"/>
      <c r="B9" s="148" t="s">
        <v>61</v>
      </c>
      <c r="C9" s="148" t="s">
        <v>62</v>
      </c>
      <c r="D9" s="94" t="s">
        <v>1039</v>
      </c>
      <c r="E9" s="45">
        <f ca="1">ROUND('TUSD BE'!$AM$9+'TUSD BF'!$AM$9+'TUSD CVA'!$AM$9-0*('TUSD BE'!$AC$9+'TUSD BF'!$AC$9+'TUSD CVA'!$AC$9),2)</f>
        <v>30.29</v>
      </c>
      <c r="F9" s="45">
        <f ca="1">ROUND('TUSD BE'!$AM$11+'TUSD BF'!$AM$11+'TUSD CVA'!$AM$11,2)</f>
        <v>7.8</v>
      </c>
      <c r="G9" s="45">
        <v>0</v>
      </c>
      <c r="H9" s="45">
        <f ca="1">ROUND('TUSD BE'!$AM$9-0*('TUSD BE'!$AC$9),2)</f>
        <v>35.03</v>
      </c>
      <c r="I9" s="45">
        <f ca="1">ROUND('TUSD BE'!$AM$11,2)</f>
        <v>7.62</v>
      </c>
      <c r="J9" s="45">
        <v>0</v>
      </c>
      <c r="L9" s="146"/>
      <c r="M9" s="94" t="s">
        <v>1050</v>
      </c>
      <c r="N9" s="94" t="s">
        <v>1046</v>
      </c>
      <c r="O9" s="94" t="s">
        <v>1046</v>
      </c>
      <c r="P9" s="94" t="s">
        <v>1042</v>
      </c>
      <c r="Q9" s="45">
        <v>0</v>
      </c>
      <c r="R9" s="45">
        <f ca="1">ROUND('TUSD BE'!$AM$31+'TUSD BF'!$AM$31+'TUSD CVA'!$AM$31,2)</f>
        <v>466.62</v>
      </c>
      <c r="S9" s="45">
        <f>ROUND('TE BE'!$AA$13+'TE BF'!$AA$13+'TE CVA'!$AA$13,2)</f>
        <v>283.87</v>
      </c>
      <c r="T9" s="45">
        <v>0</v>
      </c>
      <c r="U9" s="45">
        <f ca="1">ROUND('TUSD BE'!$AM$31,2)</f>
        <v>474.87</v>
      </c>
      <c r="V9" s="45">
        <f>ROUND('TE BE'!$AA$13,2)</f>
        <v>271.13</v>
      </c>
    </row>
    <row r="10" spans="1:22" ht="11.25" customHeight="1" x14ac:dyDescent="0.25">
      <c r="A10" s="149"/>
      <c r="B10" s="149"/>
      <c r="C10" s="149"/>
      <c r="D10" s="94" t="s">
        <v>1040</v>
      </c>
      <c r="E10" s="45">
        <f ca="1">ROUND('TUSD BE'!$AM$10+'TUSD BF'!$AM$10+'TUSD CVA'!$AM$10-0*('TUSD BE'!$AC$10+'TUSD BF'!$AC$10+'TUSD CVA'!$AC$10),2)</f>
        <v>16.32</v>
      </c>
      <c r="F10" s="45">
        <f ca="1">ROUND('TUSD BE'!$AM$11+'TUSD BF'!$AM$11+'TUSD CVA'!$AM$11,2)</f>
        <v>7.8</v>
      </c>
      <c r="G10" s="45">
        <v>0</v>
      </c>
      <c r="H10" s="45">
        <f ca="1">ROUND('TUSD BE'!$AM$10-0*('TUSD BE'!$AC$10),2)</f>
        <v>20.49</v>
      </c>
      <c r="I10" s="45">
        <f ca="1">ROUND('TUSD BE'!$AM$11,2)</f>
        <v>7.62</v>
      </c>
      <c r="J10" s="45">
        <v>0</v>
      </c>
      <c r="L10" s="146"/>
      <c r="M10" s="94" t="s">
        <v>1048</v>
      </c>
      <c r="N10" s="94" t="s">
        <v>1046</v>
      </c>
      <c r="O10" s="94" t="s">
        <v>1049</v>
      </c>
      <c r="P10" s="94" t="s">
        <v>1042</v>
      </c>
      <c r="Q10" s="45">
        <v>0</v>
      </c>
      <c r="R10" s="45">
        <f ca="1">ROUND('TUSD BE'!$AM$37+'TUSD BF'!$AM$37+'TUSD CVA'!$AM$37,2)</f>
        <v>398.85</v>
      </c>
      <c r="S10" s="45">
        <f>ROUND('TE BE'!$AA$19+'TE BF'!$AA$19+'TE CVA'!$AA$19,2)</f>
        <v>283.87</v>
      </c>
      <c r="T10" s="45">
        <v>0</v>
      </c>
      <c r="U10" s="45">
        <f ca="1">ROUND('TUSD BE'!$AM$37,2)</f>
        <v>407.68</v>
      </c>
      <c r="V10" s="45">
        <f>ROUND('TE BE'!$AA$19,2)</f>
        <v>271.13</v>
      </c>
    </row>
    <row r="11" spans="1:22" ht="11.25" customHeight="1" x14ac:dyDescent="0.25">
      <c r="A11" s="149"/>
      <c r="B11" s="149"/>
      <c r="C11" s="149"/>
      <c r="D11" s="94" t="s">
        <v>1042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L11" s="145"/>
      <c r="M11" s="94" t="s">
        <v>1050</v>
      </c>
      <c r="N11" s="94" t="s">
        <v>1046</v>
      </c>
      <c r="O11" s="94" t="s">
        <v>1049</v>
      </c>
      <c r="P11" s="94" t="s">
        <v>1042</v>
      </c>
      <c r="Q11" s="45">
        <v>0</v>
      </c>
      <c r="R11" s="45">
        <f ca="1">ROUND('TUSD BE'!$AM$32+'TUSD BF'!$AM$32+'TUSD CVA'!$AM$32,2)</f>
        <v>398.85</v>
      </c>
      <c r="S11" s="45">
        <f>ROUND('TE BE'!$AA$14+'TE BF'!$AA$14+'TE CVA'!$AA$14,2)</f>
        <v>283.87</v>
      </c>
      <c r="T11" s="45">
        <v>0</v>
      </c>
      <c r="U11" s="45">
        <f ca="1">ROUND('TUSD BE'!$AM$32,2)</f>
        <v>407.68</v>
      </c>
      <c r="V11" s="45">
        <f>ROUND('TE BE'!$AA$14,2)</f>
        <v>271.13</v>
      </c>
    </row>
    <row r="12" spans="1:22" ht="11.25" customHeight="1" x14ac:dyDescent="0.25">
      <c r="A12" s="149"/>
      <c r="B12" s="94" t="s">
        <v>64</v>
      </c>
      <c r="C12" s="94" t="s">
        <v>25</v>
      </c>
      <c r="D12" s="94" t="s">
        <v>1042</v>
      </c>
      <c r="E12" s="45">
        <f ca="1">ROUND('TUSD BE'!$AM$12+'TUSD BF'!$AM$12+'TUSD CVA'!$AM$12,2)</f>
        <v>17.25</v>
      </c>
      <c r="F12" s="45">
        <v>0</v>
      </c>
      <c r="G12" s="45">
        <v>0</v>
      </c>
      <c r="H12" s="45">
        <f>ROUND('TUSD BE'!$AM$12,2)</f>
        <v>17.23</v>
      </c>
      <c r="I12" s="45">
        <v>0</v>
      </c>
      <c r="J12" s="45">
        <v>0</v>
      </c>
      <c r="L12" s="144" t="s">
        <v>44</v>
      </c>
      <c r="M12" s="144" t="s">
        <v>1045</v>
      </c>
      <c r="N12" s="144" t="s">
        <v>1051</v>
      </c>
      <c r="O12" s="144" t="s">
        <v>1052</v>
      </c>
      <c r="P12" s="94" t="s">
        <v>1039</v>
      </c>
      <c r="Q12" s="45">
        <v>0</v>
      </c>
      <c r="R12" s="45">
        <f ca="1">ROUND(('TUSD BE'!$AM$41+'TUSD BF'!$AM$41+'TUSD CVA'!$AM$41)*(1-CUSTOS!$M$38),2)</f>
        <v>1107.5</v>
      </c>
      <c r="S12" s="45">
        <f>ROUND(('TE BE'!$AA$23+'TE BF'!$AA$23+'TE CVA'!$AA$23)*(1-CUSTOS!$M$38),2)</f>
        <v>398.46</v>
      </c>
      <c r="T12" s="45">
        <v>0</v>
      </c>
      <c r="U12" s="45">
        <f ca="1">ROUND('TUSD BE'!$AM$41*(1-CUSTOS!$M$38),2)</f>
        <v>1142.55</v>
      </c>
      <c r="V12" s="45">
        <f>ROUND('TE BE'!$AA$23*(1-CUSTOS!$M$38),2)</f>
        <v>383.31</v>
      </c>
    </row>
    <row r="13" spans="1:22" ht="11.25" customHeight="1" x14ac:dyDescent="0.25">
      <c r="A13" s="148" t="s">
        <v>33</v>
      </c>
      <c r="B13" s="148" t="s">
        <v>42</v>
      </c>
      <c r="C13" s="148" t="s">
        <v>25</v>
      </c>
      <c r="D13" s="94" t="s">
        <v>1039</v>
      </c>
      <c r="E13" s="45">
        <f ca="1">ROUND('TUSD BE'!$AM$13+'TUSD BF'!$AM$13+'TUSD CVA'!$AM$13,2)</f>
        <v>69.260000000000005</v>
      </c>
      <c r="F13" s="45">
        <f ca="1">ROUND('TUSD BE'!$AM$15+'TUSD BF'!$AM$15+'TUSD CVA'!$AM$15,2)</f>
        <v>117.59</v>
      </c>
      <c r="G13" s="45">
        <f>ROUND('TE BE'!$AA$7+'TE BF'!$AA$7+'TE CVA'!$AA$7,2)</f>
        <v>423.9</v>
      </c>
      <c r="H13" s="45">
        <f ca="1">ROUND('TUSD BE'!$AM$13,2)</f>
        <v>72.53</v>
      </c>
      <c r="I13" s="45">
        <f ca="1">ROUND('TUSD BE'!$AM$15,2)</f>
        <v>114.08</v>
      </c>
      <c r="J13" s="45">
        <f>ROUND('TE BE'!$AA$7,2)</f>
        <v>407.77</v>
      </c>
      <c r="L13" s="146"/>
      <c r="M13" s="146"/>
      <c r="N13" s="146"/>
      <c r="O13" s="146"/>
      <c r="P13" s="94" t="s">
        <v>1047</v>
      </c>
      <c r="Q13" s="45">
        <v>0</v>
      </c>
      <c r="R13" s="45">
        <f ca="1">ROUND(('TUSD BE'!$AM$42+'TUSD BF'!$AM$42+'TUSD CVA'!$AM$42)*(1-CUSTOS!$M$38),2)</f>
        <v>723.62</v>
      </c>
      <c r="S13" s="45">
        <f>ROUND(('TE BE'!$AA$24+'TE BF'!$AA$24+'TE CVA'!$AA$24)*(1-CUSTOS!$M$38),2)</f>
        <v>254.87</v>
      </c>
      <c r="T13" s="45">
        <v>0</v>
      </c>
      <c r="U13" s="45">
        <f ca="1">ROUND('TUSD BE'!$AM$42*(1-CUSTOS!$M$38),2)</f>
        <v>743.01</v>
      </c>
      <c r="V13" s="45">
        <f>ROUND('TE BE'!$AA$24*(1-CUSTOS!$M$38),2)</f>
        <v>243.19</v>
      </c>
    </row>
    <row r="14" spans="1:22" ht="11.25" customHeight="1" x14ac:dyDescent="0.25">
      <c r="A14" s="149"/>
      <c r="B14" s="149"/>
      <c r="C14" s="149"/>
      <c r="D14" s="94" t="s">
        <v>1040</v>
      </c>
      <c r="E14" s="45">
        <f ca="1">ROUND('TUSD BE'!$AM$14+'TUSD BF'!$AM$14+'TUSD CVA'!$AM$14,2)</f>
        <v>24.67</v>
      </c>
      <c r="F14" s="45">
        <f ca="1">ROUND('TUSD BE'!$AM$15+'TUSD BF'!$AM$15+'TUSD CVA'!$AM$15,2)</f>
        <v>117.59</v>
      </c>
      <c r="G14" s="45">
        <f>ROUND('TE BE'!$AA$8+'TE BF'!$AA$8+'TE CVA'!$AA$8,2)</f>
        <v>271.14</v>
      </c>
      <c r="H14" s="45">
        <f ca="1">ROUND('TUSD BE'!$AM$14,2)</f>
        <v>26.47</v>
      </c>
      <c r="I14" s="45">
        <f ca="1">ROUND('TUSD BE'!$AM$15,2)</f>
        <v>114.08</v>
      </c>
      <c r="J14" s="45">
        <f>ROUND('TE BE'!$AA$8,2)</f>
        <v>258.70999999999998</v>
      </c>
      <c r="L14" s="146"/>
      <c r="M14" s="145"/>
      <c r="N14" s="145"/>
      <c r="O14" s="145"/>
      <c r="P14" s="94" t="s">
        <v>1040</v>
      </c>
      <c r="Q14" s="45">
        <v>0</v>
      </c>
      <c r="R14" s="45">
        <f ca="1">ROUND(('TUSD BE'!$AM$43+'TUSD BF'!$AM$43+'TUSD CVA'!$AM$43)*(1-CUSTOS!$M$38),2)</f>
        <v>339.75</v>
      </c>
      <c r="S14" s="45">
        <f>ROUND(('TE BE'!$AA$25+'TE BF'!$AA$25+'TE CVA'!$AA$25)*(1-CUSTOS!$M$38),2)</f>
        <v>254.87</v>
      </c>
      <c r="T14" s="45">
        <v>0</v>
      </c>
      <c r="U14" s="45">
        <f ca="1">ROUND('TUSD BE'!$AM$43*(1-CUSTOS!$M$38),2)</f>
        <v>343.46</v>
      </c>
      <c r="V14" s="45">
        <f>ROUND('TE BE'!$AA$25*(1-CUSTOS!$M$38),2)</f>
        <v>243.19</v>
      </c>
    </row>
    <row r="15" spans="1:22" ht="11.25" customHeight="1" x14ac:dyDescent="0.25">
      <c r="A15" s="149"/>
      <c r="B15" s="148" t="s">
        <v>1041</v>
      </c>
      <c r="C15" s="148" t="s">
        <v>25</v>
      </c>
      <c r="D15" s="94" t="s">
        <v>1039</v>
      </c>
      <c r="E15" s="45">
        <f ca="1">ROUND('TUSD BE'!$AM$13+'TUSD BF'!$AM$13+'TUSD CVA'!$AM$13,2)</f>
        <v>69.260000000000005</v>
      </c>
      <c r="F15" s="45">
        <f ca="1">ROUND('TUSD BE'!$AM$16+'TUSD BF'!$AM$16+'TUSD CVA'!$AM$16,2)</f>
        <v>57.99</v>
      </c>
      <c r="G15" s="45">
        <v>0</v>
      </c>
      <c r="H15" s="45">
        <f ca="1">ROUND('TUSD BE'!$AM$13,2)</f>
        <v>72.53</v>
      </c>
      <c r="I15" s="45">
        <f ca="1">ROUND('TUSD BE'!$AM$16,2)</f>
        <v>55.29</v>
      </c>
      <c r="J15" s="45">
        <v>0</v>
      </c>
      <c r="L15" s="146"/>
      <c r="M15" s="94" t="s">
        <v>1048</v>
      </c>
      <c r="N15" s="94" t="s">
        <v>1051</v>
      </c>
      <c r="O15" s="94" t="s">
        <v>1052</v>
      </c>
      <c r="P15" s="94" t="s">
        <v>1042</v>
      </c>
      <c r="Q15" s="45">
        <v>0</v>
      </c>
      <c r="R15" s="45">
        <f ca="1">ROUND(('TUSD BE'!$AM$53+'TUSD BF'!$AM$53+'TUSD CVA'!$AM$53)*(1-CUSTOS!$M$38),2)</f>
        <v>438.62</v>
      </c>
      <c r="S15" s="45">
        <f>ROUND(('TE BE'!$AA$35+'TE BF'!$AA$35+'TE CVA'!$AA$35)*(1-CUSTOS!$M$38),2)</f>
        <v>266.83999999999997</v>
      </c>
      <c r="T15" s="45">
        <v>0</v>
      </c>
      <c r="U15" s="45">
        <f ca="1">ROUND(('TUSD BE'!$AM$53)*(1-CUSTOS!$M$38),2)</f>
        <v>446.37</v>
      </c>
      <c r="V15" s="45">
        <f>ROUND(('TE BE'!$AA$35)*(1-CUSTOS!$M$38),2)</f>
        <v>254.86</v>
      </c>
    </row>
    <row r="16" spans="1:22" ht="11.25" customHeight="1" x14ac:dyDescent="0.25">
      <c r="A16" s="149"/>
      <c r="B16" s="149"/>
      <c r="C16" s="149"/>
      <c r="D16" s="94" t="s">
        <v>1040</v>
      </c>
      <c r="E16" s="45">
        <f ca="1">ROUND('TUSD BE'!$AM$14+'TUSD BF'!$AM$14+'TUSD CVA'!$AM$14,2)</f>
        <v>24.67</v>
      </c>
      <c r="F16" s="45">
        <f ca="1">ROUND('TUSD BE'!$AM$16+'TUSD BF'!$AM$16+'TUSD CVA'!$AM$16,2)</f>
        <v>57.99</v>
      </c>
      <c r="G16" s="45">
        <v>0</v>
      </c>
      <c r="H16" s="45">
        <f ca="1">ROUND('TUSD BE'!$AM$14,2)</f>
        <v>26.47</v>
      </c>
      <c r="I16" s="45">
        <f ca="1">ROUND('TUSD BE'!$AM$16,2)</f>
        <v>55.29</v>
      </c>
      <c r="J16" s="45">
        <v>0</v>
      </c>
      <c r="L16" s="146"/>
      <c r="M16" s="94" t="s">
        <v>1050</v>
      </c>
      <c r="N16" s="94" t="s">
        <v>1051</v>
      </c>
      <c r="O16" s="94" t="s">
        <v>1052</v>
      </c>
      <c r="P16" s="94" t="s">
        <v>1042</v>
      </c>
      <c r="Q16" s="45">
        <v>0</v>
      </c>
      <c r="R16" s="45">
        <f ca="1">ROUND(('TUSD BE'!$AM$44+'TUSD BF'!$AM$44+'TUSD CVA'!$AM$44)*(1-CUSTOS!$M$38),2)</f>
        <v>438.62</v>
      </c>
      <c r="S16" s="45">
        <f>ROUND(('TE BE'!$AA$26+'TE BF'!$AA$26+'TE CVA'!$AA$26)*(1-CUSTOS!$M$38),2)</f>
        <v>266.83999999999997</v>
      </c>
      <c r="T16" s="45">
        <v>0</v>
      </c>
      <c r="U16" s="45">
        <f ca="1">ROUND(('TUSD BE'!$AM$44)*(1-CUSTOS!$M$38),2)</f>
        <v>446.37</v>
      </c>
      <c r="V16" s="45">
        <f>ROUND(('TE BE'!$AA$26)*(1-CUSTOS!$M$38),2)</f>
        <v>254.86</v>
      </c>
    </row>
    <row r="17" spans="1:22" ht="11.25" customHeight="1" x14ac:dyDescent="0.25">
      <c r="A17" s="149"/>
      <c r="B17" s="148" t="s">
        <v>34</v>
      </c>
      <c r="C17" s="148" t="s">
        <v>25</v>
      </c>
      <c r="D17" s="94" t="s">
        <v>1042</v>
      </c>
      <c r="E17" s="45">
        <f ca="1">ROUND('TUSD BE'!$AM$21+'TUSD BF'!$AM$21+'TUSD CVA'!$AM$21,2)</f>
        <v>24.67</v>
      </c>
      <c r="F17" s="45">
        <v>0</v>
      </c>
      <c r="G17" s="45">
        <v>0</v>
      </c>
      <c r="H17" s="45">
        <f ca="1">ROUND('TUSD BE'!$AM$21,2)</f>
        <v>26.47</v>
      </c>
      <c r="I17" s="45">
        <v>0</v>
      </c>
      <c r="J17" s="45">
        <v>0</v>
      </c>
      <c r="L17" s="146"/>
      <c r="M17" s="144" t="s">
        <v>1045</v>
      </c>
      <c r="N17" s="144" t="s">
        <v>1051</v>
      </c>
      <c r="O17" s="144" t="s">
        <v>1053</v>
      </c>
      <c r="P17" s="94" t="s">
        <v>1039</v>
      </c>
      <c r="Q17" s="45">
        <v>0</v>
      </c>
      <c r="R17" s="45">
        <f ca="1">ROUND(('TUSD BE'!$AM$45+'TUSD BF'!$AM$45+'TUSD CVA'!$AM$45)*(1-CUSTOS!$M$39),2)</f>
        <v>1107.5</v>
      </c>
      <c r="S17" s="45">
        <f>ROUND(('TE BE'!$AA$27+'TE BF'!$AA$27+'TE CVA'!$AA$27)*(1-CUSTOS!$M$39),2)</f>
        <v>398.46</v>
      </c>
      <c r="T17" s="45">
        <v>0</v>
      </c>
      <c r="U17" s="45">
        <f ca="1">ROUND('TUSD BE'!$AM$45*(1-CUSTOS!$M$39),2)</f>
        <v>1142.55</v>
      </c>
      <c r="V17" s="45">
        <f>ROUND('TE BE'!$AA$27*(1-CUSTOS!$M$39),2)</f>
        <v>383.31</v>
      </c>
    </row>
    <row r="18" spans="1:22" ht="11.25" customHeight="1" x14ac:dyDescent="0.25">
      <c r="A18" s="149"/>
      <c r="B18" s="149"/>
      <c r="C18" s="149"/>
      <c r="D18" s="94" t="s">
        <v>1039</v>
      </c>
      <c r="E18" s="45">
        <v>0</v>
      </c>
      <c r="F18" s="45">
        <f ca="1">ROUND('TUSD BE'!$AM$22+'TUSD BF'!$AM$22+'TUSD CVA'!$AM$22,2)</f>
        <v>1799.13</v>
      </c>
      <c r="G18" s="45">
        <f>ROUND('TE BE'!$AA$7+'TE BF'!$AA$7+'TE CVA'!$AA$7,2)</f>
        <v>423.9</v>
      </c>
      <c r="H18" s="45">
        <v>0</v>
      </c>
      <c r="I18" s="45">
        <f ca="1">ROUND('TUSD BE'!$AM$22,2)</f>
        <v>1874.27</v>
      </c>
      <c r="J18" s="45">
        <f>ROUND('TE BE'!$AA$7,2)</f>
        <v>407.77</v>
      </c>
      <c r="L18" s="146"/>
      <c r="M18" s="146"/>
      <c r="N18" s="146"/>
      <c r="O18" s="146"/>
      <c r="P18" s="94" t="s">
        <v>1047</v>
      </c>
      <c r="Q18" s="45">
        <v>0</v>
      </c>
      <c r="R18" s="45">
        <f ca="1">ROUND(('TUSD BE'!$AM$46+'TUSD BF'!$AM$46+'TUSD CVA'!$AM$46)*(1-CUSTOS!$M$39),2)</f>
        <v>723.62</v>
      </c>
      <c r="S18" s="45">
        <f>ROUND(('TE BE'!$AA$28+'TE BF'!$AA$28+'TE CVA'!$AA$28)*(1-CUSTOS!$M$39),2)</f>
        <v>254.87</v>
      </c>
      <c r="T18" s="45">
        <v>0</v>
      </c>
      <c r="U18" s="45">
        <f ca="1">ROUND('TUSD BE'!$AM$46*(1-CUSTOS!$M$39),2)</f>
        <v>743.01</v>
      </c>
      <c r="V18" s="45">
        <f>ROUND('TE BE'!$AA$28*(1-CUSTOS!$M$39),2)</f>
        <v>243.19</v>
      </c>
    </row>
    <row r="19" spans="1:22" ht="11.25" customHeight="1" x14ac:dyDescent="0.25">
      <c r="A19" s="149"/>
      <c r="B19" s="149"/>
      <c r="C19" s="149"/>
      <c r="D19" s="94" t="s">
        <v>1040</v>
      </c>
      <c r="E19" s="45">
        <v>0</v>
      </c>
      <c r="F19" s="45">
        <f ca="1">ROUND('TUSD BE'!$AM$23+'TUSD BF'!$AM$23+'TUSD CVA'!$AM$23,2)</f>
        <v>117.59</v>
      </c>
      <c r="G19" s="45">
        <f>ROUND('TE BE'!$AA$8+'TE BF'!$AA$8+'TE CVA'!$AA$8,2)</f>
        <v>271.14</v>
      </c>
      <c r="H19" s="45">
        <v>0</v>
      </c>
      <c r="I19" s="45">
        <f ca="1">ROUND('TUSD BE'!$AM$23,2)</f>
        <v>114.08</v>
      </c>
      <c r="J19" s="45">
        <f>ROUND('TE BE'!$AA$8,2)</f>
        <v>258.70999999999998</v>
      </c>
      <c r="L19" s="146"/>
      <c r="M19" s="145"/>
      <c r="N19" s="145"/>
      <c r="O19" s="145"/>
      <c r="P19" s="94" t="s">
        <v>1040</v>
      </c>
      <c r="Q19" s="45">
        <v>0</v>
      </c>
      <c r="R19" s="45">
        <f ca="1">ROUND(('TUSD BE'!$AM$47+'TUSD BF'!$AM$47+'TUSD CVA'!$AM$47)*(1-CUSTOS!$M$39),2)</f>
        <v>339.75</v>
      </c>
      <c r="S19" s="45">
        <f>ROUND(('TE BE'!$AA$29+'TE BF'!$AA$29+'TE CVA'!$AA$29)*(1-CUSTOS!$M$39),2)</f>
        <v>254.87</v>
      </c>
      <c r="T19" s="45">
        <v>0</v>
      </c>
      <c r="U19" s="45">
        <f ca="1">ROUND('TUSD BE'!$AM$47*(1-CUSTOS!$M$39),2)</f>
        <v>343.46</v>
      </c>
      <c r="V19" s="45">
        <f>ROUND('TE BE'!$AA$29*(1-CUSTOS!$M$39),2)</f>
        <v>243.19</v>
      </c>
    </row>
    <row r="20" spans="1:22" ht="11.25" customHeight="1" x14ac:dyDescent="0.25">
      <c r="A20" s="149"/>
      <c r="B20" s="148" t="s">
        <v>1043</v>
      </c>
      <c r="C20" s="148" t="s">
        <v>25</v>
      </c>
      <c r="D20" s="94" t="s">
        <v>1042</v>
      </c>
      <c r="E20" s="45">
        <f ca="1">ROUND('TUSD BE'!$AM$21+'TUSD BF'!$AM$21+'TUSD CVA'!$AM$21,2)</f>
        <v>24.67</v>
      </c>
      <c r="F20" s="45">
        <v>0</v>
      </c>
      <c r="G20" s="45">
        <v>0</v>
      </c>
      <c r="H20" s="45">
        <f ca="1">ROUND('TUSD BE'!$AM$21,2)</f>
        <v>26.47</v>
      </c>
      <c r="I20" s="45">
        <v>0</v>
      </c>
      <c r="J20" s="45">
        <v>0</v>
      </c>
      <c r="L20" s="146"/>
      <c r="M20" s="94" t="s">
        <v>1048</v>
      </c>
      <c r="N20" s="94" t="s">
        <v>1051</v>
      </c>
      <c r="O20" s="94" t="s">
        <v>1053</v>
      </c>
      <c r="P20" s="94" t="s">
        <v>1042</v>
      </c>
      <c r="Q20" s="45">
        <v>0</v>
      </c>
      <c r="R20" s="45">
        <f ca="1">ROUND(('TUSD BE'!$AM$53+'TUSD BF'!$AM$53+'TUSD CVA'!$AM$53)*(1-CUSTOS!$M$39),2)</f>
        <v>438.62</v>
      </c>
      <c r="S20" s="45">
        <f>ROUND(('TE BE'!$AA$35+'TE BF'!$AA$35+'TE CVA'!$AA$35)*(1-CUSTOS!$M$39),2)</f>
        <v>266.83999999999997</v>
      </c>
      <c r="T20" s="45">
        <v>0</v>
      </c>
      <c r="U20" s="45">
        <f ca="1">ROUND(('TUSD BE'!$AM$53)*(1-CUSTOS!$M$39),2)</f>
        <v>446.37</v>
      </c>
      <c r="V20" s="45">
        <f>ROUND(('TE BE'!$AA$35)*(1-CUSTOS!$M$39),2)</f>
        <v>254.86</v>
      </c>
    </row>
    <row r="21" spans="1:22" ht="11.25" customHeight="1" x14ac:dyDescent="0.25">
      <c r="A21" s="149"/>
      <c r="B21" s="149"/>
      <c r="C21" s="149"/>
      <c r="D21" s="94" t="s">
        <v>1039</v>
      </c>
      <c r="E21" s="45">
        <v>0</v>
      </c>
      <c r="F21" s="45">
        <f ca="1">ROUND('TUSD BE'!$AM$24+'TUSD BF'!$AM$24+'TUSD CVA'!$AM$24,2)</f>
        <v>1739.53</v>
      </c>
      <c r="G21" s="45">
        <v>0</v>
      </c>
      <c r="H21" s="45">
        <v>0</v>
      </c>
      <c r="I21" s="45">
        <f ca="1">ROUND('TUSD BE'!$AM$24,2)</f>
        <v>1815.48</v>
      </c>
      <c r="J21" s="45">
        <v>0</v>
      </c>
      <c r="L21" s="146"/>
      <c r="M21" s="94" t="s">
        <v>1050</v>
      </c>
      <c r="N21" s="94" t="s">
        <v>1051</v>
      </c>
      <c r="O21" s="94" t="s">
        <v>1053</v>
      </c>
      <c r="P21" s="94" t="s">
        <v>1042</v>
      </c>
      <c r="Q21" s="45">
        <v>0</v>
      </c>
      <c r="R21" s="45">
        <f ca="1">ROUND(('TUSD BE'!$AM$44+'TUSD BF'!$AM$44+'TUSD CVA'!$AM$44)*(1-CUSTOS!$M$39),2)</f>
        <v>438.62</v>
      </c>
      <c r="S21" s="45">
        <f>ROUND(('TE BE'!$AA$26+'TE BF'!$AA$26+'TE CVA'!$AA$26)*(1-CUSTOS!$M$39),2)</f>
        <v>266.83999999999997</v>
      </c>
      <c r="T21" s="45">
        <v>0</v>
      </c>
      <c r="U21" s="45">
        <f ca="1">ROUND(('TUSD BE'!$AM$44)*(1-CUSTOS!$M$39),2)</f>
        <v>446.37</v>
      </c>
      <c r="V21" s="45">
        <f>ROUND(('TE BE'!$AA$26)*(1-CUSTOS!$M$39),2)</f>
        <v>254.86</v>
      </c>
    </row>
    <row r="22" spans="1:22" ht="11.25" customHeight="1" x14ac:dyDescent="0.25">
      <c r="A22" s="149"/>
      <c r="B22" s="149"/>
      <c r="C22" s="149"/>
      <c r="D22" s="94" t="s">
        <v>1040</v>
      </c>
      <c r="E22" s="45">
        <v>0</v>
      </c>
      <c r="F22" s="45">
        <f ca="1">ROUND('TUSD BE'!$AM$25+'TUSD BF'!$AM$25+'TUSD CVA'!$AM$25,2)</f>
        <v>57.99</v>
      </c>
      <c r="G22" s="45">
        <v>0</v>
      </c>
      <c r="H22" s="45">
        <v>0</v>
      </c>
      <c r="I22" s="45">
        <f ca="1">ROUND('TUSD BE'!$AM$25,2)</f>
        <v>55.29</v>
      </c>
      <c r="J22" s="45">
        <v>0</v>
      </c>
      <c r="L22" s="146"/>
      <c r="M22" s="144" t="s">
        <v>1045</v>
      </c>
      <c r="N22" s="144" t="s">
        <v>1051</v>
      </c>
      <c r="O22" s="144" t="s">
        <v>1054</v>
      </c>
      <c r="P22" s="94" t="s">
        <v>1039</v>
      </c>
      <c r="Q22" s="45">
        <v>0</v>
      </c>
      <c r="R22" s="45">
        <f ca="1">ROUND(('TUSD BE'!$AM$49+'TUSD BF'!$AM$49+'TUSD CVA'!$AM$49)*(1-CUSTOS!$M$40),2)</f>
        <v>1083.93</v>
      </c>
      <c r="S22" s="45">
        <f>ROUND(('TE BE'!$AA$31+'TE BF'!$AA$31+'TE CVA'!$AA$31)*(1-CUSTOS!$M$40),2)</f>
        <v>389.98</v>
      </c>
      <c r="T22" s="45">
        <v>0</v>
      </c>
      <c r="U22" s="45">
        <f ca="1">ROUND('TUSD BE'!$AM$49*(1-CUSTOS!$M$40),2)</f>
        <v>1118.24</v>
      </c>
      <c r="V22" s="45">
        <f>ROUND('TE BE'!$AA$31*(1-CUSTOS!$M$40),2)</f>
        <v>375.15</v>
      </c>
    </row>
    <row r="23" spans="1:22" ht="11.25" customHeight="1" x14ac:dyDescent="0.25">
      <c r="A23" s="149"/>
      <c r="B23" s="148" t="s">
        <v>61</v>
      </c>
      <c r="C23" s="148" t="s">
        <v>62</v>
      </c>
      <c r="D23" s="94" t="s">
        <v>1039</v>
      </c>
      <c r="E23" s="45">
        <f ca="1">ROUND('TUSD BE'!$AM$17+'TUSD BF'!$AM$17+'TUSD CVA'!$AM$17-0*('TUSD BE'!$AC$17+'TUSD BF'!$AC$17+'TUSD CVA'!$AC$17),2)</f>
        <v>30.5</v>
      </c>
      <c r="F23" s="45">
        <f ca="1">ROUND('TUSD BE'!$AM$19+'TUSD BF'!$AM$19+'TUSD CVA'!$AM$19,2)</f>
        <v>20.09</v>
      </c>
      <c r="G23" s="45">
        <v>0</v>
      </c>
      <c r="H23" s="45">
        <f ca="1">ROUND('TUSD BE'!$AM$17-0*('TUSD BE'!$AC$17),2)</f>
        <v>33.869999999999997</v>
      </c>
      <c r="I23" s="45">
        <f ca="1">ROUND('TUSD BE'!$AM$19,2)</f>
        <v>19.62</v>
      </c>
      <c r="J23" s="45">
        <v>0</v>
      </c>
      <c r="L23" s="146"/>
      <c r="M23" s="146"/>
      <c r="N23" s="146"/>
      <c r="O23" s="146"/>
      <c r="P23" s="94" t="s">
        <v>1047</v>
      </c>
      <c r="Q23" s="45">
        <v>0</v>
      </c>
      <c r="R23" s="45">
        <f ca="1">ROUND(('TUSD BE'!$AM$50+'TUSD BF'!$AM$50+'TUSD CVA'!$AM$50)*(1-CUSTOS!$M$40),2)</f>
        <v>708.23</v>
      </c>
      <c r="S23" s="45">
        <f>ROUND(('TE BE'!$AA$32+'TE BF'!$AA$32+'TE CVA'!$AA$32)*(1-CUSTOS!$M$40),2)</f>
        <v>249.45</v>
      </c>
      <c r="T23" s="45">
        <v>0</v>
      </c>
      <c r="U23" s="45">
        <f ca="1">ROUND('TUSD BE'!$AM$50*(1-CUSTOS!$M$40),2)</f>
        <v>727.2</v>
      </c>
      <c r="V23" s="45">
        <f>ROUND('TE BE'!$AA$32*(1-CUSTOS!$M$40),2)</f>
        <v>238.01</v>
      </c>
    </row>
    <row r="24" spans="1:22" ht="11.25" customHeight="1" x14ac:dyDescent="0.25">
      <c r="A24" s="149"/>
      <c r="B24" s="149"/>
      <c r="C24" s="149"/>
      <c r="D24" s="94" t="s">
        <v>1040</v>
      </c>
      <c r="E24" s="45">
        <f ca="1">ROUND('TUSD BE'!$AM$18+'TUSD BF'!$AM$18+'TUSD CVA'!$AM$18-0*('TUSD BE'!$AC$18+'TUSD BF'!$AC$18+'TUSD CVA'!$AC$18),2)</f>
        <v>12.39</v>
      </c>
      <c r="F24" s="45">
        <f ca="1">ROUND('TUSD BE'!$AM$19+'TUSD BF'!$AM$19+'TUSD CVA'!$AM$19,2)</f>
        <v>20.09</v>
      </c>
      <c r="G24" s="45">
        <v>0</v>
      </c>
      <c r="H24" s="45">
        <f ca="1">ROUND('TUSD BE'!$AM$18-0*('TUSD BE'!$AC$18),2)</f>
        <v>14.22</v>
      </c>
      <c r="I24" s="45">
        <f ca="1">ROUND('TUSD BE'!$AM$19,2)</f>
        <v>19.62</v>
      </c>
      <c r="J24" s="45">
        <v>0</v>
      </c>
      <c r="L24" s="146"/>
      <c r="M24" s="145"/>
      <c r="N24" s="145"/>
      <c r="O24" s="145"/>
      <c r="P24" s="94" t="s">
        <v>1040</v>
      </c>
      <c r="Q24" s="45">
        <v>0</v>
      </c>
      <c r="R24" s="45">
        <f ca="1">ROUND(('TUSD BE'!$AM$51+'TUSD BF'!$AM$51+'TUSD CVA'!$AM$51)*(1-CUSTOS!$M$40),2)</f>
        <v>332.52</v>
      </c>
      <c r="S24" s="45">
        <f>ROUND(('TE BE'!$AA$33+'TE BF'!$AA$33+'TE CVA'!$AA$33)*(1-CUSTOS!$M$40),2)</f>
        <v>249.45</v>
      </c>
      <c r="T24" s="45">
        <v>0</v>
      </c>
      <c r="U24" s="45">
        <f ca="1">ROUND('TUSD BE'!$AM$51*(1-CUSTOS!$M$40),2)</f>
        <v>336.15</v>
      </c>
      <c r="V24" s="45">
        <f>ROUND('TE BE'!$AA$33*(1-CUSTOS!$M$40),2)</f>
        <v>238.01</v>
      </c>
    </row>
    <row r="25" spans="1:22" ht="11.25" customHeight="1" x14ac:dyDescent="0.25">
      <c r="A25" s="149"/>
      <c r="B25" s="149"/>
      <c r="C25" s="149"/>
      <c r="D25" s="94" t="s">
        <v>1042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L25" s="146"/>
      <c r="M25" s="94" t="s">
        <v>1048</v>
      </c>
      <c r="N25" s="94" t="s">
        <v>1051</v>
      </c>
      <c r="O25" s="94" t="s">
        <v>1054</v>
      </c>
      <c r="P25" s="94" t="s">
        <v>1042</v>
      </c>
      <c r="Q25" s="45">
        <v>0</v>
      </c>
      <c r="R25" s="45">
        <f ca="1">ROUND(('TUSD BE'!$AM$53+'TUSD BF'!$AM$53+'TUSD CVA'!$AM$53)*(1-CUSTOS!$M$40),2)</f>
        <v>429.29</v>
      </c>
      <c r="S25" s="45">
        <f>ROUND(('TE BE'!$AA$35+'TE BF'!$AA$35+'TE CVA'!$AA$35)*(1-CUSTOS!$M$40),2)</f>
        <v>261.16000000000003</v>
      </c>
      <c r="T25" s="45">
        <v>0</v>
      </c>
      <c r="U25" s="45">
        <f ca="1">ROUND(('TUSD BE'!$AM$53)*(1-CUSTOS!$M$40),2)</f>
        <v>436.88</v>
      </c>
      <c r="V25" s="45">
        <f>ROUND(('TE BE'!$AA$35)*(1-CUSTOS!$M$40),2)</f>
        <v>249.44</v>
      </c>
    </row>
    <row r="26" spans="1:22" ht="11.25" customHeight="1" x14ac:dyDescent="0.25">
      <c r="A26" s="149"/>
      <c r="B26" s="94" t="s">
        <v>64</v>
      </c>
      <c r="C26" s="94" t="s">
        <v>25</v>
      </c>
      <c r="D26" s="94" t="s">
        <v>1042</v>
      </c>
      <c r="E26" s="45">
        <f ca="1">ROUND('TUSD BE'!$AM$20+'TUSD BF'!$AM$20+'TUSD CVA'!$AM$20,2)</f>
        <v>15.1</v>
      </c>
      <c r="F26" s="45">
        <v>0</v>
      </c>
      <c r="G26" s="45">
        <v>0</v>
      </c>
      <c r="H26" s="45">
        <f ca="1">ROUND('TUSD BE'!$AM$20,2)</f>
        <v>15.08</v>
      </c>
      <c r="I26" s="45">
        <v>0</v>
      </c>
      <c r="J26" s="45">
        <v>0</v>
      </c>
      <c r="L26" s="145"/>
      <c r="M26" s="94" t="s">
        <v>1050</v>
      </c>
      <c r="N26" s="94" t="s">
        <v>1051</v>
      </c>
      <c r="O26" s="94" t="s">
        <v>1054</v>
      </c>
      <c r="P26" s="94" t="s">
        <v>1042</v>
      </c>
      <c r="Q26" s="45">
        <v>0</v>
      </c>
      <c r="R26" s="45">
        <f ca="1">ROUND(('TUSD BE'!$AM$44+'TUSD BF'!$AM$44+'TUSD CVA'!$AM$44)*(1-CUSTOS!$M$40),2)</f>
        <v>429.29</v>
      </c>
      <c r="S26" s="45">
        <f>ROUND(('TE BE'!$AA$26+'TE BF'!$AA$26+'TE CVA'!$AA$26)*(1-CUSTOS!$M$40),2)</f>
        <v>261.16000000000003</v>
      </c>
      <c r="T26" s="45">
        <v>0</v>
      </c>
      <c r="U26" s="45">
        <f ca="1">ROUND(('TUSD BE'!$AM$44)*(1-CUSTOS!$M$40),2)</f>
        <v>436.88</v>
      </c>
      <c r="V26" s="45">
        <f>ROUND(('TE BE'!$AA$26)*(1-CUSTOS!$M$40),2)</f>
        <v>249.44</v>
      </c>
    </row>
    <row r="27" spans="1:22" ht="11.25" customHeight="1" x14ac:dyDescent="0.25">
      <c r="L27" s="144" t="s">
        <v>39</v>
      </c>
      <c r="M27" s="144" t="s">
        <v>1045</v>
      </c>
      <c r="N27" s="144" t="s">
        <v>1042</v>
      </c>
      <c r="O27" s="144" t="s">
        <v>1042</v>
      </c>
      <c r="P27" s="94" t="s">
        <v>1039</v>
      </c>
      <c r="Q27" s="45">
        <v>0</v>
      </c>
      <c r="R27" s="45">
        <f ca="1">ROUND(('TUSD BE'!$AM$56+'TUSD BF'!$AM$56+'TUSD CVA'!$AM$56)*(1-CUSTOS!$M$31),2)</f>
        <v>1178.19</v>
      </c>
      <c r="S27" s="45">
        <f>ROUND(('TE BE'!$AA$38+'TE BF'!$AA$38+'TE CVA'!$AA$38)*(1-CUSTOS!$M$31),2)</f>
        <v>423.9</v>
      </c>
      <c r="T27" s="45">
        <v>0</v>
      </c>
      <c r="U27" s="45">
        <f ca="1">ROUND('TUSD BE'!$AM$56*(1-CUSTOS!$M$31),2)</f>
        <v>1215.48</v>
      </c>
      <c r="V27" s="45">
        <f>ROUND('TE BE'!$AA$38*(1-CUSTOS!$M$31),2)</f>
        <v>407.77</v>
      </c>
    </row>
    <row r="28" spans="1:22" ht="11.25" customHeight="1" x14ac:dyDescent="0.25">
      <c r="L28" s="146"/>
      <c r="M28" s="146"/>
      <c r="N28" s="146"/>
      <c r="O28" s="146"/>
      <c r="P28" s="94" t="s">
        <v>1047</v>
      </c>
      <c r="Q28" s="45">
        <v>0</v>
      </c>
      <c r="R28" s="45">
        <f ca="1">ROUND(('TUSD BE'!$AM$57+'TUSD BF'!$AM$57+'TUSD CVA'!$AM$57)*(1-CUSTOS!$M$31),2)</f>
        <v>769.81</v>
      </c>
      <c r="S28" s="45">
        <f>ROUND(('TE BE'!$AA$39+'TE BF'!$AA$39+'TE CVA'!$AA$39)*(1-CUSTOS!$M$31),2)</f>
        <v>271.14</v>
      </c>
      <c r="T28" s="45">
        <v>0</v>
      </c>
      <c r="U28" s="45">
        <f ca="1">ROUND('TUSD BE'!$AM$57*(1-CUSTOS!$M$31),2)</f>
        <v>790.43</v>
      </c>
      <c r="V28" s="45">
        <f>ROUND('TE BE'!$AA$39*(1-CUSTOS!$M$31),2)</f>
        <v>258.70999999999998</v>
      </c>
    </row>
    <row r="29" spans="1:22" ht="11.25" customHeight="1" x14ac:dyDescent="0.25">
      <c r="L29" s="146"/>
      <c r="M29" s="145"/>
      <c r="N29" s="145"/>
      <c r="O29" s="145"/>
      <c r="P29" s="94" t="s">
        <v>1040</v>
      </c>
      <c r="Q29" s="45">
        <v>0</v>
      </c>
      <c r="R29" s="45">
        <f ca="1">ROUND(('TUSD BE'!$AM$58+'TUSD BF'!$AM$58+'TUSD CVA'!$AM$58)*(1-CUSTOS!$M$31),2)</f>
        <v>361.43</v>
      </c>
      <c r="S29" s="45">
        <f>ROUND(('TE BE'!$AA$40+'TE BF'!$AA$40+'TE CVA'!$AA$40)*(1-CUSTOS!$M$31),2)</f>
        <v>271.14</v>
      </c>
      <c r="T29" s="45">
        <v>0</v>
      </c>
      <c r="U29" s="45">
        <f ca="1">ROUND('TUSD BE'!$AM$58*(1-CUSTOS!$M$31),2)</f>
        <v>365.38</v>
      </c>
      <c r="V29" s="45">
        <f>ROUND('TE BE'!$AA$40*(1-CUSTOS!$M$31),2)</f>
        <v>258.70999999999998</v>
      </c>
    </row>
    <row r="30" spans="1:22" ht="11.25" customHeight="1" x14ac:dyDescent="0.25">
      <c r="L30" s="146"/>
      <c r="M30" s="94" t="s">
        <v>1048</v>
      </c>
      <c r="N30" s="94" t="s">
        <v>1042</v>
      </c>
      <c r="O30" s="94" t="s">
        <v>1042</v>
      </c>
      <c r="P30" s="94" t="s">
        <v>1042</v>
      </c>
      <c r="Q30" s="45">
        <v>0</v>
      </c>
      <c r="R30" s="45">
        <f ca="1">ROUND(('TUSD BE'!$AM$60+'TUSD BF'!$AM$60+'TUSD CVA'!$AM$60)*(1-CUSTOS!$M$31),2)</f>
        <v>466.62</v>
      </c>
      <c r="S30" s="45">
        <f>ROUND(('TE BE'!$AA$42+'TE BF'!$AA$42+'TE CVA'!$AA$42)*(1-CUSTOS!$M$31),2)</f>
        <v>283.87</v>
      </c>
      <c r="T30" s="45">
        <v>0</v>
      </c>
      <c r="U30" s="45">
        <f ca="1">ROUND(('TUSD BE'!$AM$60)*(1-CUSTOS!$M$31),2)</f>
        <v>474.87</v>
      </c>
      <c r="V30" s="45">
        <f>ROUND(('TE BE'!$AA$42)*(1-CUSTOS!$M$31),2)</f>
        <v>271.13</v>
      </c>
    </row>
    <row r="31" spans="1:22" ht="11.25" customHeight="1" x14ac:dyDescent="0.25">
      <c r="L31" s="145"/>
      <c r="M31" s="94" t="s">
        <v>1050</v>
      </c>
      <c r="N31" s="94" t="s">
        <v>1042</v>
      </c>
      <c r="O31" s="94" t="s">
        <v>1042</v>
      </c>
      <c r="P31" s="94" t="s">
        <v>1042</v>
      </c>
      <c r="Q31" s="45">
        <v>0</v>
      </c>
      <c r="R31" s="45">
        <f ca="1">ROUND(('TUSD BE'!$AM$59+'TUSD BF'!$AM$59+'TUSD CVA'!$AM$59)*(1-CUSTOS!$M$31),2)</f>
        <v>466.62</v>
      </c>
      <c r="S31" s="45">
        <f>ROUND(('TE BE'!$AA$41+'TE BF'!$AA$41+'TE CVA'!$AA$41)*(1-CUSTOS!$M$31),2)</f>
        <v>283.87</v>
      </c>
      <c r="T31" s="45">
        <v>0</v>
      </c>
      <c r="U31" s="45">
        <f ca="1">ROUND(('TUSD BE'!$AM$59)*(1-CUSTOS!$M$31),2)</f>
        <v>474.87</v>
      </c>
      <c r="V31" s="45">
        <f>ROUND(('TE BE'!$AA$41)*(1-CUSTOS!$M$31),2)</f>
        <v>271.13</v>
      </c>
    </row>
    <row r="32" spans="1:22" ht="11.25" customHeight="1" x14ac:dyDescent="0.25">
      <c r="L32" s="144" t="s">
        <v>47</v>
      </c>
      <c r="M32" s="144" t="s">
        <v>1050</v>
      </c>
      <c r="N32" s="144" t="s">
        <v>1055</v>
      </c>
      <c r="O32" s="94" t="s">
        <v>1056</v>
      </c>
      <c r="P32" s="94" t="s">
        <v>1042</v>
      </c>
      <c r="Q32" s="45">
        <v>0</v>
      </c>
      <c r="R32" s="45">
        <f ca="1">ROUND(('TUSD BE'!$AM$61+'TUSD BF'!$AM$61+'TUSD CVA'!$AM$61),2)</f>
        <v>256.64</v>
      </c>
      <c r="S32" s="45">
        <f>ROUND(('TE BE'!$AA$43+'TE BF'!$AA$43+'TE CVA'!$AA$43),2)</f>
        <v>156.13</v>
      </c>
      <c r="T32" s="45">
        <v>0</v>
      </c>
      <c r="U32" s="45">
        <f ca="1">ROUND(('TUSD BE'!$AM$61),2)</f>
        <v>261.18</v>
      </c>
      <c r="V32" s="45">
        <f>ROUND(('TE BE'!$AA$43),2)</f>
        <v>149.12</v>
      </c>
    </row>
    <row r="33" spans="12:22" ht="11.25" customHeight="1" x14ac:dyDescent="0.25">
      <c r="L33" s="145"/>
      <c r="M33" s="145"/>
      <c r="N33" s="145"/>
      <c r="O33" s="94" t="s">
        <v>1057</v>
      </c>
      <c r="P33" s="94" t="s">
        <v>1042</v>
      </c>
      <c r="Q33" s="45">
        <v>0</v>
      </c>
      <c r="R33" s="45">
        <f ca="1">ROUND(('TUSD BE'!$AM$62+'TUSD BF'!$AM$62+'TUSD CVA'!$AM$62),2)</f>
        <v>279.97000000000003</v>
      </c>
      <c r="S33" s="45">
        <f>ROUND(('TE BE'!$AA$44+'TE BF'!$AA$44+'TE CVA'!$AA$44),2)</f>
        <v>170.32</v>
      </c>
      <c r="T33" s="45">
        <v>0</v>
      </c>
      <c r="U33" s="45">
        <f ca="1">ROUND(('TUSD BE'!$AM$62),2)</f>
        <v>284.92</v>
      </c>
      <c r="V33" s="45">
        <f>ROUND(('TE BE'!$AA$44),2)</f>
        <v>162.68</v>
      </c>
    </row>
    <row r="34" spans="12:22" ht="11.25" customHeight="1" x14ac:dyDescent="0.25">
      <c r="L34" s="144" t="s">
        <v>98</v>
      </c>
      <c r="M34" s="144" t="s">
        <v>67</v>
      </c>
      <c r="N34" s="94" t="s">
        <v>99</v>
      </c>
      <c r="O34" s="94" t="s">
        <v>1042</v>
      </c>
      <c r="P34" s="94" t="s">
        <v>1042</v>
      </c>
      <c r="Q34" s="45">
        <f ca="1">ROUND(('TUSD BE'!$AM$26+'TUSD BF'!$AM$26+'TUSD CVA'!$AM$26),2)</f>
        <v>8.5299999999999994</v>
      </c>
      <c r="R34" s="45">
        <v>0</v>
      </c>
      <c r="S34" s="45">
        <v>0</v>
      </c>
      <c r="T34" s="45">
        <f ca="1">ROUND(('TUSD BE'!$AM$26),2)</f>
        <v>8.52</v>
      </c>
      <c r="U34" s="45">
        <v>0</v>
      </c>
      <c r="V34" s="45">
        <v>0</v>
      </c>
    </row>
    <row r="35" spans="12:22" ht="11.25" customHeight="1" x14ac:dyDescent="0.25">
      <c r="L35" s="145"/>
      <c r="M35" s="145"/>
      <c r="N35" s="94" t="s">
        <v>100</v>
      </c>
      <c r="O35" s="94" t="s">
        <v>1042</v>
      </c>
      <c r="P35" s="94" t="s">
        <v>1042</v>
      </c>
      <c r="Q35" s="45">
        <f ca="1">ROUND(('TUSD BE'!$AM$27+'TUSD BF'!$AM$27+'TUSD CVA'!$AM$27),2)</f>
        <v>21.61</v>
      </c>
      <c r="R35" s="45">
        <v>0</v>
      </c>
      <c r="S35" s="45">
        <v>0</v>
      </c>
      <c r="T35" s="45">
        <f ca="1">ROUND(('TUSD BE'!$AM$27),2)</f>
        <v>21.58</v>
      </c>
      <c r="U35" s="45">
        <v>0</v>
      </c>
      <c r="V35" s="45">
        <v>0</v>
      </c>
    </row>
  </sheetData>
  <mergeCells count="60"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2"/>
    <mergeCell ref="A13:A26"/>
    <mergeCell ref="B5:B6"/>
    <mergeCell ref="B7:B8"/>
    <mergeCell ref="B9:B11"/>
    <mergeCell ref="B13:B14"/>
    <mergeCell ref="B15:B16"/>
    <mergeCell ref="B17:B19"/>
    <mergeCell ref="B20:B22"/>
    <mergeCell ref="B23:B25"/>
    <mergeCell ref="C20:C22"/>
    <mergeCell ref="C23:C25"/>
    <mergeCell ref="L1:V1"/>
    <mergeCell ref="L2:L4"/>
    <mergeCell ref="M2:M4"/>
    <mergeCell ref="N2:N4"/>
    <mergeCell ref="O2:O4"/>
    <mergeCell ref="P2:P4"/>
    <mergeCell ref="Q2:S2"/>
    <mergeCell ref="Q3:R3"/>
    <mergeCell ref="C5:C6"/>
    <mergeCell ref="C7:C8"/>
    <mergeCell ref="C9:C11"/>
    <mergeCell ref="C13:C14"/>
    <mergeCell ref="C15:C16"/>
    <mergeCell ref="C17:C19"/>
    <mergeCell ref="T2:V2"/>
    <mergeCell ref="T3:U3"/>
    <mergeCell ref="L5:L11"/>
    <mergeCell ref="L12:L26"/>
    <mergeCell ref="L27:L31"/>
    <mergeCell ref="N5:N7"/>
    <mergeCell ref="N12:N14"/>
    <mergeCell ref="N17:N19"/>
    <mergeCell ref="N22:N24"/>
    <mergeCell ref="N27:N29"/>
    <mergeCell ref="L34:L35"/>
    <mergeCell ref="M5:M7"/>
    <mergeCell ref="M12:M14"/>
    <mergeCell ref="M17:M19"/>
    <mergeCell ref="M22:M24"/>
    <mergeCell ref="M27:M29"/>
    <mergeCell ref="M32:M33"/>
    <mergeCell ref="M34:M35"/>
    <mergeCell ref="L32:L33"/>
    <mergeCell ref="N32:N33"/>
    <mergeCell ref="O5:O7"/>
    <mergeCell ref="O12:O14"/>
    <mergeCell ref="O17:O19"/>
    <mergeCell ref="O22:O24"/>
    <mergeCell ref="O27:O2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D6818-A0C0-40AD-A218-D0E10E8F627E}">
  <dimension ref="A1:AN2012"/>
  <sheetViews>
    <sheetView showGridLines="0" workbookViewId="0">
      <selection sqref="A1:O2012 Q1:AJ13"/>
    </sheetView>
  </sheetViews>
  <sheetFormatPr defaultRowHeight="11.25" customHeight="1" x14ac:dyDescent="0.25"/>
  <cols>
    <col min="1" max="1" width="19.14062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3.7109375" style="3" bestFit="1" customWidth="1"/>
    <col min="7" max="7" width="20" style="3" bestFit="1" customWidth="1"/>
    <col min="8" max="8" width="10.28515625" style="3" bestFit="1" customWidth="1"/>
    <col min="9" max="9" width="8.7109375" style="6" bestFit="1" customWidth="1"/>
    <col min="10" max="10" width="19.85546875" style="4" bestFit="1" customWidth="1"/>
    <col min="11" max="11" width="19.28515625" style="4" bestFit="1" customWidth="1"/>
    <col min="12" max="12" width="10.85546875" style="4" bestFit="1" customWidth="1"/>
    <col min="13" max="13" width="19.85546875" style="4" bestFit="1" customWidth="1"/>
    <col min="14" max="14" width="18" style="4" bestFit="1" customWidth="1"/>
    <col min="15" max="15" width="12.85546875" style="4" bestFit="1" customWidth="1"/>
    <col min="16" max="16" width="8.7109375" style="4" bestFit="1" customWidth="1"/>
    <col min="17" max="17" width="9.28515625" style="3" bestFit="1" customWidth="1"/>
    <col min="18" max="18" width="21.7109375" style="3" bestFit="1" customWidth="1"/>
    <col min="19" max="19" width="20.28515625" style="3" bestFit="1" customWidth="1"/>
    <col min="20" max="20" width="18.140625" style="3" bestFit="1" customWidth="1"/>
    <col min="21" max="21" width="20.7109375" style="3" bestFit="1" customWidth="1"/>
    <col min="22" max="22" width="19.28515625" style="3" bestFit="1" customWidth="1"/>
    <col min="23" max="23" width="16.28515625" style="3" bestFit="1" customWidth="1"/>
    <col min="24" max="24" width="20.7109375" style="3" bestFit="1" customWidth="1"/>
    <col min="25" max="25" width="20.140625" style="3" bestFit="1" customWidth="1"/>
    <col min="26" max="26" width="16" style="3" bestFit="1" customWidth="1"/>
    <col min="27" max="27" width="20.7109375" style="3" bestFit="1" customWidth="1"/>
    <col min="28" max="28" width="20.140625" style="3" bestFit="1" customWidth="1"/>
    <col min="29" max="29" width="16.140625" style="3" bestFit="1" customWidth="1"/>
    <col min="30" max="30" width="20.7109375" style="3" bestFit="1" customWidth="1"/>
    <col min="31" max="31" width="21.5703125" style="3" bestFit="1" customWidth="1"/>
    <col min="32" max="32" width="11.42578125" style="3" bestFit="1" customWidth="1"/>
    <col min="33" max="33" width="12.85546875" style="3" bestFit="1" customWidth="1"/>
    <col min="34" max="34" width="10.7109375" style="3" bestFit="1" customWidth="1"/>
    <col min="35" max="35" width="11.7109375" style="3" bestFit="1" customWidth="1"/>
    <col min="36" max="36" width="16" style="3" bestFit="1" customWidth="1"/>
    <col min="37" max="37" width="9.140625" style="3"/>
    <col min="38" max="38" width="8.7109375" style="3" bestFit="1" customWidth="1"/>
    <col min="39" max="39" width="5.5703125" style="3" bestFit="1" customWidth="1"/>
    <col min="40" max="40" width="14.7109375" style="3" bestFit="1" customWidth="1"/>
    <col min="41" max="16384" width="9.140625" style="3"/>
  </cols>
  <sheetData>
    <row r="1" spans="1:40" s="1" customFormat="1" ht="11.25" customHeight="1" x14ac:dyDescent="0.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74" t="s">
        <v>8</v>
      </c>
      <c r="J1" s="73" t="s">
        <v>1005</v>
      </c>
      <c r="K1" s="73" t="s">
        <v>1006</v>
      </c>
      <c r="L1" s="73" t="s">
        <v>1007</v>
      </c>
      <c r="M1" s="73" t="s">
        <v>1008</v>
      </c>
      <c r="N1" s="73" t="s">
        <v>1009</v>
      </c>
      <c r="O1" s="73" t="s">
        <v>1010</v>
      </c>
      <c r="P1" s="72"/>
      <c r="Q1" s="141" t="s">
        <v>1011</v>
      </c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L1" s="52" t="s">
        <v>1032</v>
      </c>
      <c r="AM1" s="52" t="s">
        <v>77</v>
      </c>
      <c r="AN1" s="52" t="s">
        <v>1033</v>
      </c>
    </row>
    <row r="2" spans="1:40" ht="11.25" customHeight="1" x14ac:dyDescent="0.2">
      <c r="A2" s="53" t="s">
        <v>21</v>
      </c>
      <c r="B2" s="53" t="s">
        <v>41</v>
      </c>
      <c r="C2" s="53" t="s">
        <v>42</v>
      </c>
      <c r="D2" s="53" t="s">
        <v>43</v>
      </c>
      <c r="E2" s="53" t="s">
        <v>25</v>
      </c>
      <c r="F2" s="53" t="s">
        <v>25</v>
      </c>
      <c r="G2" s="53" t="s">
        <v>25</v>
      </c>
      <c r="H2" s="53" t="s">
        <v>36</v>
      </c>
      <c r="I2" s="75">
        <v>44317</v>
      </c>
      <c r="J2" s="76">
        <f ca="1">EFEITO!$J$2*EFEITO!$Y$2</f>
        <v>3268.7752906285205</v>
      </c>
      <c r="K2" s="76">
        <f ca="1">EFEITO!$L$2*EFEITO!$Z$2</f>
        <v>2114.8415512390402</v>
      </c>
      <c r="L2" s="76">
        <f>EFEITO!$N$2*EFEITO!$AA$2</f>
        <v>7520.8566303332727</v>
      </c>
      <c r="M2" s="76">
        <f ca="1">$J$2-EFEITO!$K$2*EFEITO!$Y$2</f>
        <v>0</v>
      </c>
      <c r="N2" s="76">
        <f ca="1">$K$2-EFEITO!$M$2*EFEITO!$Z$2</f>
        <v>0</v>
      </c>
      <c r="O2" s="76">
        <f>$L$2-EFEITO!$O$2*EFEITO!$AA$2</f>
        <v>0</v>
      </c>
      <c r="P2" s="57"/>
      <c r="Q2" s="44" t="s">
        <v>80</v>
      </c>
      <c r="R2" s="44" t="s">
        <v>1013</v>
      </c>
      <c r="S2" s="44" t="s">
        <v>1014</v>
      </c>
      <c r="T2" s="44" t="s">
        <v>1015</v>
      </c>
      <c r="U2" s="44" t="s">
        <v>1016</v>
      </c>
      <c r="V2" s="44" t="s">
        <v>1017</v>
      </c>
      <c r="W2" s="44" t="s">
        <v>1018</v>
      </c>
      <c r="X2" s="77" t="s">
        <v>1019</v>
      </c>
      <c r="Y2" s="77" t="s">
        <v>1020</v>
      </c>
      <c r="Z2" s="77" t="s">
        <v>1021</v>
      </c>
      <c r="AA2" s="77" t="s">
        <v>1022</v>
      </c>
      <c r="AB2" s="77" t="s">
        <v>1023</v>
      </c>
      <c r="AC2" s="77" t="s">
        <v>1024</v>
      </c>
      <c r="AD2" s="77" t="s">
        <v>1025</v>
      </c>
      <c r="AE2" s="77" t="s">
        <v>1026</v>
      </c>
      <c r="AF2" s="77" t="s">
        <v>1027</v>
      </c>
      <c r="AG2" s="77" t="s">
        <v>1028</v>
      </c>
      <c r="AH2" s="77" t="s">
        <v>1029</v>
      </c>
      <c r="AI2" s="77" t="s">
        <v>1030</v>
      </c>
      <c r="AJ2" s="77" t="s">
        <v>1031</v>
      </c>
      <c r="AL2" s="53"/>
      <c r="AM2" s="53"/>
      <c r="AN2" s="53"/>
    </row>
    <row r="3" spans="1:40" ht="11.25" customHeight="1" x14ac:dyDescent="0.2">
      <c r="A3" s="53" t="s">
        <v>28</v>
      </c>
      <c r="B3" s="53" t="s">
        <v>41</v>
      </c>
      <c r="C3" s="53" t="s">
        <v>42</v>
      </c>
      <c r="D3" s="53" t="s">
        <v>43</v>
      </c>
      <c r="E3" s="53" t="s">
        <v>25</v>
      </c>
      <c r="F3" s="53" t="s">
        <v>25</v>
      </c>
      <c r="G3" s="53" t="s">
        <v>25</v>
      </c>
      <c r="H3" s="53" t="s">
        <v>36</v>
      </c>
      <c r="I3" s="75">
        <v>44317</v>
      </c>
      <c r="J3" s="76">
        <f ca="1">EFEITO!$J$3*EFEITO!$Y$3</f>
        <v>3268.7752906285205</v>
      </c>
      <c r="K3" s="76">
        <f ca="1">EFEITO!$L$3*EFEITO!$Z$3</f>
        <v>4001.1051599222133</v>
      </c>
      <c r="L3" s="76">
        <f>EFEITO!$N$3*EFEITO!$AA$3</f>
        <v>14228.838209194229</v>
      </c>
      <c r="M3" s="76">
        <f ca="1">$J$3-EFEITO!$K$3*EFEITO!$Y$3</f>
        <v>0</v>
      </c>
      <c r="N3" s="76">
        <f ca="1">$K$3-EFEITO!$M$3*EFEITO!$Z$3</f>
        <v>0</v>
      </c>
      <c r="O3" s="76">
        <f>$L$3-EFEITO!$O$3*EFEITO!$AA$3</f>
        <v>0</v>
      </c>
      <c r="P3" s="57"/>
      <c r="Q3" s="76" t="s">
        <v>1012</v>
      </c>
      <c r="R3" s="76">
        <f>SUMIF($B$2:$B$2012,$Q$3,$J$2:$J$2012)</f>
        <v>0</v>
      </c>
      <c r="S3" s="76">
        <f>SUMIF($B$2:$B$2012,$Q$3,$K$2:$K$2012)</f>
        <v>0</v>
      </c>
      <c r="T3" s="76">
        <f>SUMIF($B$2:$B$2012,$Q$3,$L$2:$L$2012)</f>
        <v>0</v>
      </c>
      <c r="U3" s="76">
        <f>SUMIF($B$2:$B$2012,$Q$3,$M$2:$M$2012)</f>
        <v>0</v>
      </c>
      <c r="V3" s="76">
        <f>SUMIF($B$2:$B$2012,$Q$3,$N$2:$N$2012)</f>
        <v>0</v>
      </c>
      <c r="W3" s="76">
        <f>SUMIF($B$2:$B$2012,$Q$3,$O$2:$O$2012)</f>
        <v>0</v>
      </c>
      <c r="X3" s="54">
        <f>$R$3-$U$3</f>
        <v>0</v>
      </c>
      <c r="Y3" s="54">
        <f>$S$3-$V$3</f>
        <v>0</v>
      </c>
      <c r="Z3" s="54">
        <f>$T$3-$W$3</f>
        <v>0</v>
      </c>
      <c r="AA3" s="54">
        <f>SUMIF(EFEITO!$B$2:$B$2012,$Q$3,EFEITO!$AE$2:$AE$2012)</f>
        <v>0</v>
      </c>
      <c r="AB3" s="54">
        <f>SUMIF(EFEITO!$B$2:$B$2012,$Q$3,EFEITO!$AF$2:$AF$2012)</f>
        <v>0</v>
      </c>
      <c r="AC3" s="54">
        <f>SUMIF(EFEITO!$B$2:$B$2012,$Q$3,EFEITO!$AG$2:$AH$2012)</f>
        <v>0</v>
      </c>
      <c r="AD3" s="54">
        <f>SUMIF(SUBSIDIO!$B$2:$B$2012,$Q$3,SUBSIDIO!$AD$2:$AD$2012)</f>
        <v>0</v>
      </c>
      <c r="AE3" s="54">
        <f>SUMIF(SUBSIDIO!$B$2:$B$2012,$Q$3,SUBSIDIO!$AE$2:$AE$2012)</f>
        <v>0</v>
      </c>
      <c r="AF3" s="54" t="str">
        <f>IF(ABS($X$3-$AA$3)&lt;0.01,"OK","ERRO")</f>
        <v>OK</v>
      </c>
      <c r="AG3" s="54" t="str">
        <f>IF(ABS($Y$3-$AB$3)&lt;0.01,"OK","ERRO")</f>
        <v>OK</v>
      </c>
      <c r="AH3" s="54" t="str">
        <f>IF(ABS($Z$3-$AC$3)&lt;0.01,"OK","ERRO")</f>
        <v>OK</v>
      </c>
      <c r="AI3" s="54" t="str">
        <f>IF(ABS($U$3-$AD$3)&lt;0.01,"OK","ERRO")</f>
        <v>OK</v>
      </c>
      <c r="AJ3" s="54" t="str">
        <f>IF(ABS(($V$3+$W$3)-$AE$3)&lt;0.01,"OK","ERRO")</f>
        <v>OK</v>
      </c>
    </row>
    <row r="4" spans="1:40" ht="11.25" customHeight="1" x14ac:dyDescent="0.2">
      <c r="A4" s="53" t="s">
        <v>21</v>
      </c>
      <c r="B4" s="53" t="s">
        <v>41</v>
      </c>
      <c r="C4" s="53" t="s">
        <v>42</v>
      </c>
      <c r="D4" s="53" t="s">
        <v>43</v>
      </c>
      <c r="E4" s="53" t="s">
        <v>25</v>
      </c>
      <c r="F4" s="53" t="s">
        <v>25</v>
      </c>
      <c r="G4" s="53" t="s">
        <v>25</v>
      </c>
      <c r="H4" s="53" t="s">
        <v>36</v>
      </c>
      <c r="I4" s="75">
        <v>44317</v>
      </c>
      <c r="J4" s="76">
        <f ca="1">EFEITO!$J$4*EFEITO!$Y$4</f>
        <v>57203.56758599911</v>
      </c>
      <c r="K4" s="76">
        <f ca="1">EFEITO!$L$4*EFEITO!$Z$4</f>
        <v>0</v>
      </c>
      <c r="L4" s="76">
        <f>EFEITO!$N$4*EFEITO!$AA$4</f>
        <v>0</v>
      </c>
      <c r="M4" s="76">
        <f ca="1">$J$4-EFEITO!$K$4*EFEITO!$Y$4</f>
        <v>0</v>
      </c>
      <c r="N4" s="76">
        <f ca="1">$K$4-EFEITO!$M$4*EFEITO!$Z$4</f>
        <v>0</v>
      </c>
      <c r="O4" s="76">
        <f>$L$4-EFEITO!$O$4*EFEITO!$AA$4</f>
        <v>0</v>
      </c>
      <c r="P4" s="57"/>
      <c r="Q4" s="76" t="s">
        <v>886</v>
      </c>
      <c r="R4" s="76">
        <f>SUMIF($B$2:$B$2012,$Q$4,$J$2:$J$2012)</f>
        <v>0</v>
      </c>
      <c r="S4" s="76">
        <f>SUMIF($B$2:$B$2012,$Q$4,$K$2:$K$2012)</f>
        <v>0</v>
      </c>
      <c r="T4" s="76">
        <f>SUMIF($B$2:$B$2012,$Q$4,$L$2:$L$2012)</f>
        <v>0</v>
      </c>
      <c r="U4" s="76">
        <f>SUMIF($B$2:$B$2012,$Q$4,$M$2:$M$2012)</f>
        <v>0</v>
      </c>
      <c r="V4" s="76">
        <f>SUMIF($B$2:$B$2012,$Q$4,$N$2:$N$2012)</f>
        <v>0</v>
      </c>
      <c r="W4" s="76">
        <f>SUMIF($B$2:$B$2012,$Q$4,$O$2:$O$2012)</f>
        <v>0</v>
      </c>
      <c r="X4" s="54">
        <f>$R$4-$U$4</f>
        <v>0</v>
      </c>
      <c r="Y4" s="54">
        <f>$S$4-$V$4</f>
        <v>0</v>
      </c>
      <c r="Z4" s="54">
        <f>$T$4-$W$4</f>
        <v>0</v>
      </c>
      <c r="AA4" s="54">
        <f>SUMIF(EFEITO!$B$2:$B$2012,$Q$4,EFEITO!$AE$2:$AE$2012)</f>
        <v>0</v>
      </c>
      <c r="AB4" s="54">
        <f>SUMIF(EFEITO!$B$2:$B$2012,$Q$4,EFEITO!$AF$2:$AF$2012)</f>
        <v>0</v>
      </c>
      <c r="AC4" s="54">
        <f>SUMIF(EFEITO!$B$2:$B$2012,$Q$4,EFEITO!$AG$2:$AH$2012)</f>
        <v>0</v>
      </c>
      <c r="AD4" s="54">
        <f>SUMIF(SUBSIDIO!$B$2:$B$2012,$Q$4,SUBSIDIO!$AD$2:$AD$2012)</f>
        <v>0</v>
      </c>
      <c r="AE4" s="54">
        <f>SUMIF(SUBSIDIO!$B$2:$B$2012,$Q$4,SUBSIDIO!$AE$2:$AE$2012)</f>
        <v>0</v>
      </c>
      <c r="AF4" s="54" t="str">
        <f>IF(ABS($X$4-$AA$4)&lt;0.01,"OK","ERRO")</f>
        <v>OK</v>
      </c>
      <c r="AG4" s="54" t="str">
        <f>IF(ABS($Y$4-$AB$4)&lt;0.01,"OK","ERRO")</f>
        <v>OK</v>
      </c>
      <c r="AH4" s="54" t="str">
        <f>IF(ABS($Z$4-$AC$4)&lt;0.01,"OK","ERRO")</f>
        <v>OK</v>
      </c>
      <c r="AI4" s="54" t="str">
        <f>IF(ABS($U$4-$AD$4)&lt;0.01,"OK","ERRO")</f>
        <v>OK</v>
      </c>
      <c r="AJ4" s="54" t="str">
        <f>IF(ABS(($V$4+$W$4)-$AE$4)&lt;0.01,"OK","ERRO")</f>
        <v>OK</v>
      </c>
    </row>
    <row r="5" spans="1:40" ht="11.25" customHeight="1" x14ac:dyDescent="0.2">
      <c r="A5" s="53" t="s">
        <v>21</v>
      </c>
      <c r="B5" s="53" t="s">
        <v>41</v>
      </c>
      <c r="C5" s="53" t="s">
        <v>42</v>
      </c>
      <c r="D5" s="53" t="s">
        <v>43</v>
      </c>
      <c r="E5" s="53" t="s">
        <v>25</v>
      </c>
      <c r="F5" s="53" t="s">
        <v>25</v>
      </c>
      <c r="G5" s="53" t="s">
        <v>25</v>
      </c>
      <c r="H5" s="53" t="s">
        <v>36</v>
      </c>
      <c r="I5" s="75">
        <v>44348</v>
      </c>
      <c r="J5" s="76">
        <f ca="1">EFEITO!$J$5*EFEITO!$Y$5</f>
        <v>3268.7752906285205</v>
      </c>
      <c r="K5" s="76">
        <f ca="1">EFEITO!$L$5*EFEITO!$Z$5</f>
        <v>2168.9744195561402</v>
      </c>
      <c r="L5" s="76">
        <f>EFEITO!$N$5*EFEITO!$AA$5</f>
        <v>7713.3653983604063</v>
      </c>
      <c r="M5" s="76">
        <f ca="1">$J$5-EFEITO!$K$5*EFEITO!$Y$5</f>
        <v>0</v>
      </c>
      <c r="N5" s="76">
        <f ca="1">$K$5-EFEITO!$M$5*EFEITO!$Z$5</f>
        <v>0</v>
      </c>
      <c r="O5" s="76">
        <f>$L$5-EFEITO!$O$5*EFEITO!$AA$5</f>
        <v>0</v>
      </c>
      <c r="P5" s="57"/>
      <c r="Q5" s="76" t="s">
        <v>41</v>
      </c>
      <c r="R5" s="76">
        <f ca="1">SUMIF($B$2:$B$2012,$Q$5,$J$2:$J$2012)</f>
        <v>71041881.155096605</v>
      </c>
      <c r="S5" s="76">
        <f ca="1">SUMIF($B$2:$B$2012,$Q$5,$K$2:$K$2012)</f>
        <v>37100892.831139602</v>
      </c>
      <c r="T5" s="76">
        <f>SUMIF($B$2:$B$2012,$Q$5,$L$2:$L$2012)</f>
        <v>30601852.691423673</v>
      </c>
      <c r="U5" s="76">
        <f ca="1">SUMIF($B$2:$B$2012,$Q$5,$M$2:$M$2012)</f>
        <v>10858283.45108043</v>
      </c>
      <c r="V5" s="76">
        <f ca="1">SUMIF($B$2:$B$2012,$Q$5,$N$2:$N$2012)</f>
        <v>2892237.6910777441</v>
      </c>
      <c r="W5" s="76">
        <f>SUMIF($B$2:$B$2012,$Q$5,$O$2:$O$2012)</f>
        <v>10293545.466048606</v>
      </c>
      <c r="X5" s="54">
        <f ca="1">$R$5-$U$5</f>
        <v>60183597.704016179</v>
      </c>
      <c r="Y5" s="54">
        <f ca="1">$S$5-$V$5</f>
        <v>34208655.140061855</v>
      </c>
      <c r="Z5" s="54">
        <f>$T$5-$W$5</f>
        <v>20308307.225375067</v>
      </c>
      <c r="AA5" s="54">
        <f ca="1">SUMIF(EFEITO!$B$2:$B$2012,$Q$5,EFEITO!$AE$2:$AE$2012)</f>
        <v>60183597.70401606</v>
      </c>
      <c r="AB5" s="54">
        <f ca="1">SUMIF(EFEITO!$B$2:$B$2012,$Q$5,EFEITO!$AF$2:$AF$2012)</f>
        <v>34208655.140061885</v>
      </c>
      <c r="AC5" s="54">
        <f>SUMIF(EFEITO!$B$2:$B$2012,$Q$5,EFEITO!$AG$2:$AH$2012)</f>
        <v>20308307.225375045</v>
      </c>
      <c r="AD5" s="54">
        <f ca="1">SUMIF(SUBSIDIO!$B$2:$B$2012,$Q$5,SUBSIDIO!$AD$2:$AD$2012)</f>
        <v>10858283.45108043</v>
      </c>
      <c r="AE5" s="54">
        <f ca="1">SUMIF(SUBSIDIO!$B$2:$B$2012,$Q$5,SUBSIDIO!$AE$2:$AE$2012)</f>
        <v>13185783.15712635</v>
      </c>
      <c r="AF5" s="54" t="str">
        <f ca="1">IF(ABS($X$5-$AA$5)&lt;0.01,"OK","ERRO")</f>
        <v>OK</v>
      </c>
      <c r="AG5" s="54" t="str">
        <f ca="1">IF(ABS($Y$5-$AB$5)&lt;0.01,"OK","ERRO")</f>
        <v>OK</v>
      </c>
      <c r="AH5" s="54" t="str">
        <f>IF(ABS($Z$5-$AC$5)&lt;0.01,"OK","ERRO")</f>
        <v>OK</v>
      </c>
      <c r="AI5" s="54" t="str">
        <f ca="1">IF(ABS($U$5-$AD$5)&lt;0.01,"OK","ERRO")</f>
        <v>OK</v>
      </c>
      <c r="AJ5" s="54" t="str">
        <f ca="1">IF(ABS(($V$5+$W$5)-$AE$5)&lt;0.01,"OK","ERRO")</f>
        <v>OK</v>
      </c>
    </row>
    <row r="6" spans="1:40" ht="11.25" customHeight="1" x14ac:dyDescent="0.2">
      <c r="A6" s="53" t="s">
        <v>28</v>
      </c>
      <c r="B6" s="53" t="s">
        <v>41</v>
      </c>
      <c r="C6" s="53" t="s">
        <v>42</v>
      </c>
      <c r="D6" s="53" t="s">
        <v>43</v>
      </c>
      <c r="E6" s="53" t="s">
        <v>25</v>
      </c>
      <c r="F6" s="53" t="s">
        <v>25</v>
      </c>
      <c r="G6" s="53" t="s">
        <v>25</v>
      </c>
      <c r="H6" s="53" t="s">
        <v>36</v>
      </c>
      <c r="I6" s="75">
        <v>44348</v>
      </c>
      <c r="J6" s="76">
        <f ca="1">EFEITO!$J$6*EFEITO!$Y$6</f>
        <v>3268.7752906285205</v>
      </c>
      <c r="K6" s="76">
        <f ca="1">EFEITO!$L$6*EFEITO!$Z$6</f>
        <v>3659.2294112829509</v>
      </c>
      <c r="L6" s="76">
        <f>EFEITO!$N$6*EFEITO!$AA$6</f>
        <v>13013.050440414418</v>
      </c>
      <c r="M6" s="76">
        <f ca="1">$J$6-EFEITO!$K$6*EFEITO!$Y$6</f>
        <v>0</v>
      </c>
      <c r="N6" s="76">
        <f ca="1">$K$6-EFEITO!$M$6*EFEITO!$Z$6</f>
        <v>0</v>
      </c>
      <c r="O6" s="76">
        <f>$L$6-EFEITO!$O$6*EFEITO!$AA$6</f>
        <v>0</v>
      </c>
      <c r="P6" s="57"/>
      <c r="Q6" s="76" t="s">
        <v>887</v>
      </c>
      <c r="R6" s="76">
        <f>SUMIF($B$2:$B$2012,$Q$6,$J$2:$J$2012)</f>
        <v>0</v>
      </c>
      <c r="S6" s="76">
        <f>SUMIF($B$2:$B$2012,$Q$6,$K$2:$K$2012)</f>
        <v>0</v>
      </c>
      <c r="T6" s="76">
        <f>SUMIF($B$2:$B$2012,$Q$6,$L$2:$L$2012)</f>
        <v>0</v>
      </c>
      <c r="U6" s="76">
        <f>SUMIF($B$2:$B$2012,$Q$6,$M$2:$M$2012)</f>
        <v>0</v>
      </c>
      <c r="V6" s="76">
        <f>SUMIF($B$2:$B$2012,$Q$6,$N$2:$N$2012)</f>
        <v>0</v>
      </c>
      <c r="W6" s="76">
        <f>SUMIF($B$2:$B$2012,$Q$6,$O$2:$O$2012)</f>
        <v>0</v>
      </c>
      <c r="X6" s="54">
        <f>$R$6-$U$6</f>
        <v>0</v>
      </c>
      <c r="Y6" s="54">
        <f>$S$6-$V$6</f>
        <v>0</v>
      </c>
      <c r="Z6" s="54">
        <f>$T$6-$W$6</f>
        <v>0</v>
      </c>
      <c r="AA6" s="54">
        <f>SUMIF(EFEITO!$B$2:$B$2012,$Q$6,EFEITO!$AE$2:$AE$2012)</f>
        <v>0</v>
      </c>
      <c r="AB6" s="54">
        <f>SUMIF(EFEITO!$B$2:$B$2012,$Q$6,EFEITO!$AF$2:$AF$2012)</f>
        <v>0</v>
      </c>
      <c r="AC6" s="54">
        <f>SUMIF(EFEITO!$B$2:$B$2012,$Q$6,EFEITO!$AG$2:$AH$2012)</f>
        <v>0</v>
      </c>
      <c r="AD6" s="54">
        <f>SUMIF(SUBSIDIO!$B$2:$B$2012,$Q$6,SUBSIDIO!$AD$2:$AD$2012)</f>
        <v>0</v>
      </c>
      <c r="AE6" s="54">
        <f>SUMIF(SUBSIDIO!$B$2:$B$2012,$Q$6,SUBSIDIO!$AE$2:$AE$2012)</f>
        <v>0</v>
      </c>
      <c r="AF6" s="54" t="str">
        <f>IF(ABS($X$6-$AA$6)&lt;0.01,"OK","ERRO")</f>
        <v>OK</v>
      </c>
      <c r="AG6" s="54" t="str">
        <f>IF(ABS($Y$6-$AB$6)&lt;0.01,"OK","ERRO")</f>
        <v>OK</v>
      </c>
      <c r="AH6" s="54" t="str">
        <f>IF(ABS($Z$6-$AC$6)&lt;0.01,"OK","ERRO")</f>
        <v>OK</v>
      </c>
      <c r="AI6" s="54" t="str">
        <f>IF(ABS($U$6-$AD$6)&lt;0.01,"OK","ERRO")</f>
        <v>OK</v>
      </c>
      <c r="AJ6" s="54" t="str">
        <f>IF(ABS(($V$6+$W$6)-$AE$6)&lt;0.01,"OK","ERRO")</f>
        <v>OK</v>
      </c>
    </row>
    <row r="7" spans="1:40" ht="11.25" customHeight="1" x14ac:dyDescent="0.2">
      <c r="A7" s="53" t="s">
        <v>21</v>
      </c>
      <c r="B7" s="53" t="s">
        <v>41</v>
      </c>
      <c r="C7" s="53" t="s">
        <v>42</v>
      </c>
      <c r="D7" s="53" t="s">
        <v>43</v>
      </c>
      <c r="E7" s="53" t="s">
        <v>25</v>
      </c>
      <c r="F7" s="53" t="s">
        <v>25</v>
      </c>
      <c r="G7" s="53" t="s">
        <v>25</v>
      </c>
      <c r="H7" s="53" t="s">
        <v>36</v>
      </c>
      <c r="I7" s="75">
        <v>44348</v>
      </c>
      <c r="J7" s="76">
        <f ca="1">EFEITO!$J$7*EFEITO!$Y$7</f>
        <v>53902.104542464302</v>
      </c>
      <c r="K7" s="76">
        <f ca="1">EFEITO!$L$7*EFEITO!$Z$7</f>
        <v>0</v>
      </c>
      <c r="L7" s="76">
        <f>EFEITO!$N$7*EFEITO!$AA$7</f>
        <v>0</v>
      </c>
      <c r="M7" s="76">
        <f ca="1">$J$7-EFEITO!$K$7*EFEITO!$Y$7</f>
        <v>0</v>
      </c>
      <c r="N7" s="76">
        <f ca="1">$K$7-EFEITO!$M$7*EFEITO!$Z$7</f>
        <v>0</v>
      </c>
      <c r="O7" s="76">
        <f>$L$7-EFEITO!$O$7*EFEITO!$AA$7</f>
        <v>0</v>
      </c>
      <c r="P7" s="57"/>
      <c r="Q7" s="76" t="s">
        <v>33</v>
      </c>
      <c r="R7" s="76">
        <f ca="1">SUMIF($B$2:$B$2012,$Q$7,$J$2:$J$2012)</f>
        <v>138504421.13827252</v>
      </c>
      <c r="S7" s="76">
        <f ca="1">SUMIF($B$2:$B$2012,$Q$7,$K$2:$K$2012)</f>
        <v>199179762.68968013</v>
      </c>
      <c r="T7" s="76">
        <f>SUMIF($B$2:$B$2012,$Q$7,$L$2:$L$2012)</f>
        <v>199537088.32326925</v>
      </c>
      <c r="U7" s="76">
        <f ca="1">SUMIF($B$2:$B$2012,$Q$7,$M$2:$M$2012)</f>
        <v>19967623.189073082</v>
      </c>
      <c r="V7" s="76">
        <f ca="1">SUMIF($B$2:$B$2012,$Q$7,$N$2:$N$2012)</f>
        <v>18910058.263615217</v>
      </c>
      <c r="W7" s="76">
        <f>SUMIF($B$2:$B$2012,$Q$7,$O$2:$O$2012)</f>
        <v>5399994.3164580595</v>
      </c>
      <c r="X7" s="54">
        <f ca="1">$R$7-$U$7</f>
        <v>118536797.94919944</v>
      </c>
      <c r="Y7" s="54">
        <f ca="1">$S$7-$V$7</f>
        <v>180269704.42606491</v>
      </c>
      <c r="Z7" s="54">
        <f>$T$7-$W$7</f>
        <v>194137094.0068112</v>
      </c>
      <c r="AA7" s="54">
        <f ca="1">SUMIF(EFEITO!$B$2:$B$2012,$Q$7,EFEITO!$AE$2:$AE$2012)</f>
        <v>118536797.94919932</v>
      </c>
      <c r="AB7" s="54">
        <f ca="1">SUMIF(EFEITO!$B$2:$B$2012,$Q$7,EFEITO!$AF$2:$AF$2012)</f>
        <v>180269704.42606494</v>
      </c>
      <c r="AC7" s="54">
        <f>SUMIF(EFEITO!$B$2:$B$2012,$Q$7,EFEITO!$AG$2:$AH$2012)</f>
        <v>194137094.0068112</v>
      </c>
      <c r="AD7" s="54">
        <f ca="1">SUMIF(SUBSIDIO!$B$2:$B$2012,$Q$7,SUBSIDIO!$AD$2:$AD$2012)</f>
        <v>19967623.189073078</v>
      </c>
      <c r="AE7" s="54">
        <f ca="1">SUMIF(SUBSIDIO!$B$2:$B$2012,$Q$7,SUBSIDIO!$AE$2:$AE$2012)</f>
        <v>24310052.580073312</v>
      </c>
      <c r="AF7" s="54" t="str">
        <f ca="1">IF(ABS($X$7-$AA$7)&lt;0.01,"OK","ERRO")</f>
        <v>OK</v>
      </c>
      <c r="AG7" s="54" t="str">
        <f ca="1">IF(ABS($Y$7-$AB$7)&lt;0.01,"OK","ERRO")</f>
        <v>OK</v>
      </c>
      <c r="AH7" s="54" t="str">
        <f>IF(ABS($Z$7-$AC$7)&lt;0.01,"OK","ERRO")</f>
        <v>OK</v>
      </c>
      <c r="AI7" s="54" t="str">
        <f ca="1">IF(ABS($U$7-$AD$7)&lt;0.01,"OK","ERRO")</f>
        <v>OK</v>
      </c>
      <c r="AJ7" s="54" t="str">
        <f ca="1">IF(ABS(($V$7+$W$7)-$AE$7)&lt;0.01,"OK","ERRO")</f>
        <v>OK</v>
      </c>
    </row>
    <row r="8" spans="1:40" ht="11.25" customHeight="1" x14ac:dyDescent="0.2">
      <c r="A8" s="53" t="s">
        <v>21</v>
      </c>
      <c r="B8" s="53" t="s">
        <v>41</v>
      </c>
      <c r="C8" s="53" t="s">
        <v>42</v>
      </c>
      <c r="D8" s="53" t="s">
        <v>43</v>
      </c>
      <c r="E8" s="53" t="s">
        <v>25</v>
      </c>
      <c r="F8" s="53" t="s">
        <v>25</v>
      </c>
      <c r="G8" s="53" t="s">
        <v>25</v>
      </c>
      <c r="H8" s="53" t="s">
        <v>36</v>
      </c>
      <c r="I8" s="75">
        <v>44378</v>
      </c>
      <c r="J8" s="76">
        <f ca="1">EFEITO!$J$8*EFEITO!$Y$8</f>
        <v>3268.7752906285205</v>
      </c>
      <c r="K8" s="76">
        <f ca="1">EFEITO!$L$8*EFEITO!$Z$8</f>
        <v>2528.919872126603</v>
      </c>
      <c r="L8" s="76">
        <f>EFEITO!$N$8*EFEITO!$AA$8</f>
        <v>8993.4131361858945</v>
      </c>
      <c r="M8" s="76">
        <f ca="1">$J$8-EFEITO!$K$8*EFEITO!$Y$8</f>
        <v>0</v>
      </c>
      <c r="N8" s="76">
        <f ca="1">$K$8-EFEITO!$M$8*EFEITO!$Z$8</f>
        <v>0</v>
      </c>
      <c r="O8" s="76">
        <f>$L$8-EFEITO!$O$8*EFEITO!$AA$8</f>
        <v>0</v>
      </c>
      <c r="P8" s="57"/>
      <c r="Q8" s="76" t="s">
        <v>888</v>
      </c>
      <c r="R8" s="76">
        <f>SUMIF($B$2:$B$2012,$Q$8,$J$2:$J$2012)</f>
        <v>0</v>
      </c>
      <c r="S8" s="76">
        <f>SUMIF($B$2:$B$2012,$Q$8,$K$2:$K$2012)</f>
        <v>0</v>
      </c>
      <c r="T8" s="76">
        <f>SUMIF($B$2:$B$2012,$Q$8,$L$2:$L$2012)</f>
        <v>0</v>
      </c>
      <c r="U8" s="76">
        <f>SUMIF($B$2:$B$2012,$Q$8,$M$2:$M$2012)</f>
        <v>0</v>
      </c>
      <c r="V8" s="76">
        <f>SUMIF($B$2:$B$2012,$Q$8,$N$2:$N$2012)</f>
        <v>0</v>
      </c>
      <c r="W8" s="76">
        <f>SUMIF($B$2:$B$2012,$Q$8,$O$2:$O$2012)</f>
        <v>0</v>
      </c>
      <c r="X8" s="54">
        <f>$R$8-$U$8</f>
        <v>0</v>
      </c>
      <c r="Y8" s="54">
        <f>$S$8-$V$8</f>
        <v>0</v>
      </c>
      <c r="Z8" s="54">
        <f>$T$8-$W$8</f>
        <v>0</v>
      </c>
      <c r="AA8" s="54">
        <f>SUMIF(EFEITO!$B$2:$B$2012,$Q$8,EFEITO!$AE$2:$AE$2012)</f>
        <v>0</v>
      </c>
      <c r="AB8" s="54">
        <f>SUMIF(EFEITO!$B$2:$B$2012,$Q$8,EFEITO!$AF$2:$AF$2012)</f>
        <v>0</v>
      </c>
      <c r="AC8" s="54">
        <f>SUMIF(EFEITO!$B$2:$B$2012,$Q$8,EFEITO!$AG$2:$AH$2012)</f>
        <v>0</v>
      </c>
      <c r="AD8" s="54">
        <f>SUMIF(SUBSIDIO!$B$2:$B$2012,$Q$8,SUBSIDIO!$AD$2:$AD$2012)</f>
        <v>0</v>
      </c>
      <c r="AE8" s="54">
        <f>SUMIF(SUBSIDIO!$B$2:$B$2012,$Q$8,SUBSIDIO!$AE$2:$AE$2012)</f>
        <v>0</v>
      </c>
      <c r="AF8" s="54" t="str">
        <f>IF(ABS($X$8-$AA$8)&lt;0.01,"OK","ERRO")</f>
        <v>OK</v>
      </c>
      <c r="AG8" s="54" t="str">
        <f>IF(ABS($Y$8-$AB$8)&lt;0.01,"OK","ERRO")</f>
        <v>OK</v>
      </c>
      <c r="AH8" s="54" t="str">
        <f>IF(ABS($Z$8-$AC$8)&lt;0.01,"OK","ERRO")</f>
        <v>OK</v>
      </c>
      <c r="AI8" s="54" t="str">
        <f>IF(ABS($U$8-$AD$8)&lt;0.01,"OK","ERRO")</f>
        <v>OK</v>
      </c>
      <c r="AJ8" s="54" t="str">
        <f>IF(ABS(($V$8+$W$8)-$AE$8)&lt;0.01,"OK","ERRO")</f>
        <v>OK</v>
      </c>
    </row>
    <row r="9" spans="1:40" ht="11.25" customHeight="1" x14ac:dyDescent="0.2">
      <c r="A9" s="53" t="s">
        <v>28</v>
      </c>
      <c r="B9" s="53" t="s">
        <v>41</v>
      </c>
      <c r="C9" s="53" t="s">
        <v>42</v>
      </c>
      <c r="D9" s="53" t="s">
        <v>43</v>
      </c>
      <c r="E9" s="53" t="s">
        <v>25</v>
      </c>
      <c r="F9" s="53" t="s">
        <v>25</v>
      </c>
      <c r="G9" s="53" t="s">
        <v>25</v>
      </c>
      <c r="H9" s="53" t="s">
        <v>36</v>
      </c>
      <c r="I9" s="75">
        <v>44378</v>
      </c>
      <c r="J9" s="76">
        <f ca="1">EFEITO!$J$9*EFEITO!$Y$9</f>
        <v>3268.7752906285205</v>
      </c>
      <c r="K9" s="76">
        <f ca="1">EFEITO!$L$9*EFEITO!$Z$9</f>
        <v>3586.9505955581467</v>
      </c>
      <c r="L9" s="76">
        <f>EFEITO!$N$9*EFEITO!$AA$9</f>
        <v>12756.01056423171</v>
      </c>
      <c r="M9" s="76">
        <f ca="1">$J$9-EFEITO!$K$9*EFEITO!$Y$9</f>
        <v>0</v>
      </c>
      <c r="N9" s="76">
        <f ca="1">$K$9-EFEITO!$M$9*EFEITO!$Z$9</f>
        <v>0</v>
      </c>
      <c r="O9" s="76">
        <f>$L$9-EFEITO!$O$9*EFEITO!$AA$9</f>
        <v>0</v>
      </c>
      <c r="P9" s="57"/>
      <c r="Q9" s="76" t="s">
        <v>22</v>
      </c>
      <c r="R9" s="76">
        <f>SUMIF($B$2:$B$2012,$Q$9,$J$2:$J$2012)</f>
        <v>0</v>
      </c>
      <c r="S9" s="76">
        <f ca="1">SUMIF($B$2:$B$2012,$Q$9,$K$2:$K$2012)</f>
        <v>719042428.56992626</v>
      </c>
      <c r="T9" s="76">
        <f>SUMIF($B$2:$B$2012,$Q$9,$L$2:$L$2012)</f>
        <v>455544678.41706586</v>
      </c>
      <c r="U9" s="76">
        <f>SUMIF($B$2:$B$2012,$Q$9,$M$2:$M$2012)</f>
        <v>0</v>
      </c>
      <c r="V9" s="76">
        <f ca="1">SUMIF($B$2:$B$2012,$Q$9,$N$2:$N$2012)</f>
        <v>71157499.352283046</v>
      </c>
      <c r="W9" s="76">
        <f>SUMIF($B$2:$B$2012,$Q$9,$O$2:$O$2012)</f>
        <v>50644728.638008624</v>
      </c>
      <c r="X9" s="54">
        <f>$R$9-$U$9</f>
        <v>0</v>
      </c>
      <c r="Y9" s="54">
        <f ca="1">$S$9-$V$9</f>
        <v>647884929.21764326</v>
      </c>
      <c r="Z9" s="54">
        <f>$T$9-$W$9</f>
        <v>404899949.77905726</v>
      </c>
      <c r="AA9" s="54">
        <f>SUMIF(EFEITO!$B$2:$B$2012,$Q$9,EFEITO!$AE$2:$AE$2012)</f>
        <v>0</v>
      </c>
      <c r="AB9" s="54">
        <f ca="1">SUMIF(EFEITO!$B$2:$B$2012,$Q$9,EFEITO!$AF$2:$AF$2012)</f>
        <v>647884929.21764362</v>
      </c>
      <c r="AC9" s="54">
        <f>SUMIF(EFEITO!$B$2:$B$2012,$Q$9,EFEITO!$AG$2:$AH$2012)</f>
        <v>404899949.77905738</v>
      </c>
      <c r="AD9" s="54">
        <f>SUMIF(SUBSIDIO!$B$2:$B$2012,$Q$9,SUBSIDIO!$AD$2:$AD$2012)</f>
        <v>0</v>
      </c>
      <c r="AE9" s="54">
        <f ca="1">SUMIF(SUBSIDIO!$B$2:$B$2012,$Q$9,SUBSIDIO!$AE$2:$AE$2012)</f>
        <v>121802227.99029163</v>
      </c>
      <c r="AF9" s="54" t="str">
        <f>IF(ABS($X$9-$AA$9)&lt;0.01,"OK","ERRO")</f>
        <v>OK</v>
      </c>
      <c r="AG9" s="54" t="str">
        <f ca="1">IF(ABS($Y$9-$AB$9)&lt;0.01,"OK","ERRO")</f>
        <v>OK</v>
      </c>
      <c r="AH9" s="54" t="str">
        <f>IF(ABS($Z$9-$AC$9)&lt;0.01,"OK","ERRO")</f>
        <v>OK</v>
      </c>
      <c r="AI9" s="54" t="str">
        <f>IF(ABS($U$9-$AD$9)&lt;0.01,"OK","ERRO")</f>
        <v>OK</v>
      </c>
      <c r="AJ9" s="54" t="str">
        <f ca="1">IF(ABS(($V$9+$W$9)-$AE$9)&lt;0.01,"OK","ERRO")</f>
        <v>OK</v>
      </c>
    </row>
    <row r="10" spans="1:40" ht="11.25" customHeight="1" x14ac:dyDescent="0.2">
      <c r="A10" s="53" t="s">
        <v>21</v>
      </c>
      <c r="B10" s="53" t="s">
        <v>41</v>
      </c>
      <c r="C10" s="53" t="s">
        <v>42</v>
      </c>
      <c r="D10" s="53" t="s">
        <v>43</v>
      </c>
      <c r="E10" s="53" t="s">
        <v>25</v>
      </c>
      <c r="F10" s="53" t="s">
        <v>25</v>
      </c>
      <c r="G10" s="53" t="s">
        <v>25</v>
      </c>
      <c r="H10" s="53" t="s">
        <v>36</v>
      </c>
      <c r="I10" s="75">
        <v>44378</v>
      </c>
      <c r="J10" s="76">
        <f ca="1">EFEITO!$J$10*EFEITO!$Y$10</f>
        <v>52709.001561384895</v>
      </c>
      <c r="K10" s="76">
        <f ca="1">EFEITO!$L$10*EFEITO!$Z$10</f>
        <v>0</v>
      </c>
      <c r="L10" s="76">
        <f>EFEITO!$N$10*EFEITO!$AA$10</f>
        <v>0</v>
      </c>
      <c r="M10" s="76">
        <f ca="1">$J$10-EFEITO!$K$10*EFEITO!$Y$10</f>
        <v>0</v>
      </c>
      <c r="N10" s="76">
        <f ca="1">$K$10-EFEITO!$M$10*EFEITO!$Z$10</f>
        <v>0</v>
      </c>
      <c r="O10" s="76">
        <f>$L$10-EFEITO!$O$10*EFEITO!$AA$10</f>
        <v>0</v>
      </c>
      <c r="P10" s="57"/>
      <c r="Q10" s="76" t="s">
        <v>44</v>
      </c>
      <c r="R10" s="76">
        <f>SUMIF($B$2:$B$2012,$Q$10,$J$2:$J$2012)</f>
        <v>0</v>
      </c>
      <c r="S10" s="76">
        <f ca="1">SUMIF($B$2:$B$2012,$Q$10,$K$2:$K$2012)</f>
        <v>28422402.194972605</v>
      </c>
      <c r="T10" s="76">
        <f>SUMIF($B$2:$B$2012,$Q$10,$L$2:$L$2012)</f>
        <v>17291279.406697344</v>
      </c>
      <c r="U10" s="76">
        <f>SUMIF($B$2:$B$2012,$Q$10,$M$2:$M$2012)</f>
        <v>0</v>
      </c>
      <c r="V10" s="76">
        <f ca="1">SUMIF($B$2:$B$2012,$Q$10,$N$2:$N$2012)</f>
        <v>1987409.9708941923</v>
      </c>
      <c r="W10" s="76">
        <f>SUMIF($B$2:$B$2012,$Q$10,$O$2:$O$2012)</f>
        <v>1209072.1019146738</v>
      </c>
      <c r="X10" s="54">
        <f>$R$10-$U$10</f>
        <v>0</v>
      </c>
      <c r="Y10" s="54">
        <f ca="1">$S$10-$V$10</f>
        <v>26434992.224078413</v>
      </c>
      <c r="Z10" s="54">
        <f>$T$10-$W$10</f>
        <v>16082207.30478267</v>
      </c>
      <c r="AA10" s="54">
        <f>SUMIF(EFEITO!$B$2:$B$2012,$Q$10,EFEITO!$AE$2:$AE$2012)</f>
        <v>0</v>
      </c>
      <c r="AB10" s="54">
        <f ca="1">SUMIF(EFEITO!$B$2:$B$2012,$Q$10,EFEITO!$AF$2:$AF$2012)</f>
        <v>26434992.224078406</v>
      </c>
      <c r="AC10" s="54">
        <f>SUMIF(EFEITO!$B$2:$B$2012,$Q$10,EFEITO!$AG$2:$AH$2012)</f>
        <v>16082207.304782668</v>
      </c>
      <c r="AD10" s="54">
        <f>SUMIF(SUBSIDIO!$B$2:$B$2012,$Q$10,SUBSIDIO!$AD$2:$AD$2012)</f>
        <v>0</v>
      </c>
      <c r="AE10" s="54">
        <f ca="1">SUMIF(SUBSIDIO!$B$2:$B$2012,$Q$10,SUBSIDIO!$AE$2:$AE$2012)</f>
        <v>3196482.0728088659</v>
      </c>
      <c r="AF10" s="54" t="str">
        <f>IF(ABS($X$10-$AA$10)&lt;0.01,"OK","ERRO")</f>
        <v>OK</v>
      </c>
      <c r="AG10" s="54" t="str">
        <f ca="1">IF(ABS($Y$10-$AB$10)&lt;0.01,"OK","ERRO")</f>
        <v>OK</v>
      </c>
      <c r="AH10" s="54" t="str">
        <f>IF(ABS($Z$10-$AC$10)&lt;0.01,"OK","ERRO")</f>
        <v>OK</v>
      </c>
      <c r="AI10" s="54" t="str">
        <f>IF(ABS($U$10-$AD$10)&lt;0.01,"OK","ERRO")</f>
        <v>OK</v>
      </c>
      <c r="AJ10" s="54" t="str">
        <f ca="1">IF(ABS(($V$10+$W$10)-$AE$10)&lt;0.01,"OK","ERRO")</f>
        <v>OK</v>
      </c>
    </row>
    <row r="11" spans="1:40" ht="11.25" customHeight="1" x14ac:dyDescent="0.2">
      <c r="A11" s="53" t="s">
        <v>21</v>
      </c>
      <c r="B11" s="53" t="s">
        <v>41</v>
      </c>
      <c r="C11" s="53" t="s">
        <v>42</v>
      </c>
      <c r="D11" s="53" t="s">
        <v>43</v>
      </c>
      <c r="E11" s="53" t="s">
        <v>25</v>
      </c>
      <c r="F11" s="53" t="s">
        <v>25</v>
      </c>
      <c r="G11" s="53" t="s">
        <v>25</v>
      </c>
      <c r="H11" s="53" t="s">
        <v>36</v>
      </c>
      <c r="I11" s="75">
        <v>44409</v>
      </c>
      <c r="J11" s="76">
        <f ca="1">EFEITO!$J$11*EFEITO!$Y$11</f>
        <v>3268.7752906285205</v>
      </c>
      <c r="K11" s="76">
        <f ca="1">EFEITO!$L$11*EFEITO!$Z$11</f>
        <v>2800.7278658596474</v>
      </c>
      <c r="L11" s="76">
        <f>EFEITO!$N$11*EFEITO!$AA$11</f>
        <v>9960.024062970022</v>
      </c>
      <c r="M11" s="76">
        <f ca="1">$J$11-EFEITO!$K$11*EFEITO!$Y$11</f>
        <v>0</v>
      </c>
      <c r="N11" s="76">
        <f ca="1">$K$11-EFEITO!$M$11*EFEITO!$Z$11</f>
        <v>0</v>
      </c>
      <c r="O11" s="76">
        <f>$L$11-EFEITO!$O$11*EFEITO!$AA$11</f>
        <v>0</v>
      </c>
      <c r="P11" s="57"/>
      <c r="Q11" s="76" t="s">
        <v>39</v>
      </c>
      <c r="R11" s="76">
        <f>SUMIF($B$2:$B$2012,$Q$11,$J$2:$J$2012)</f>
        <v>0</v>
      </c>
      <c r="S11" s="76">
        <f ca="1">SUMIF($B$2:$B$2012,$Q$11,$K$2:$K$2012)</f>
        <v>236915666.44792363</v>
      </c>
      <c r="T11" s="76">
        <f>SUMIF($B$2:$B$2012,$Q$11,$L$2:$L$2012)</f>
        <v>144171316.22199675</v>
      </c>
      <c r="U11" s="76">
        <f>SUMIF($B$2:$B$2012,$Q$11,$M$2:$M$2012)</f>
        <v>0</v>
      </c>
      <c r="V11" s="76">
        <f ca="1">SUMIF($B$2:$B$2012,$Q$11,$N$2:$N$2012)</f>
        <v>451669.06120795518</v>
      </c>
      <c r="W11" s="76">
        <f>SUMIF($B$2:$B$2012,$Q$11,$O$2:$O$2012)</f>
        <v>274773.80892010045</v>
      </c>
      <c r="X11" s="54">
        <f>$R$11-$U$11</f>
        <v>0</v>
      </c>
      <c r="Y11" s="54">
        <f ca="1">$S$11-$V$11</f>
        <v>236463997.38671568</v>
      </c>
      <c r="Z11" s="54">
        <f>$T$11-$W$11</f>
        <v>143896542.41307664</v>
      </c>
      <c r="AA11" s="54">
        <f>SUMIF(EFEITO!$B$2:$B$2012,$Q$11,EFEITO!$AE$2:$AE$2012)</f>
        <v>0</v>
      </c>
      <c r="AB11" s="54">
        <f ca="1">SUMIF(EFEITO!$B$2:$B$2012,$Q$11,EFEITO!$AF$2:$AF$2012)</f>
        <v>236463997.38671571</v>
      </c>
      <c r="AC11" s="54">
        <f>SUMIF(EFEITO!$B$2:$B$2012,$Q$11,EFEITO!$AG$2:$AH$2012)</f>
        <v>143896542.41307667</v>
      </c>
      <c r="AD11" s="54">
        <f>SUMIF(SUBSIDIO!$B$2:$B$2012,$Q$11,SUBSIDIO!$AD$2:$AD$2012)</f>
        <v>0</v>
      </c>
      <c r="AE11" s="54">
        <f ca="1">SUMIF(SUBSIDIO!$B$2:$B$2012,$Q$11,SUBSIDIO!$AE$2:$AE$2012)</f>
        <v>726442.87012805534</v>
      </c>
      <c r="AF11" s="54" t="str">
        <f>IF(ABS($X$11-$AA$11)&lt;0.01,"OK","ERRO")</f>
        <v>OK</v>
      </c>
      <c r="AG11" s="54" t="str">
        <f ca="1">IF(ABS($Y$11-$AB$11)&lt;0.01,"OK","ERRO")</f>
        <v>OK</v>
      </c>
      <c r="AH11" s="54" t="str">
        <f>IF(ABS($Z$11-$AC$11)&lt;0.01,"OK","ERRO")</f>
        <v>OK</v>
      </c>
      <c r="AI11" s="54" t="str">
        <f>IF(ABS($U$11-$AD$11)&lt;0.01,"OK","ERRO")</f>
        <v>OK</v>
      </c>
      <c r="AJ11" s="54" t="str">
        <f ca="1">IF(ABS(($V$11+$W$11)-$AE$11)&lt;0.01,"OK","ERRO")</f>
        <v>OK</v>
      </c>
    </row>
    <row r="12" spans="1:40" ht="11.25" customHeight="1" x14ac:dyDescent="0.2">
      <c r="A12" s="53" t="s">
        <v>21</v>
      </c>
      <c r="B12" s="53" t="s">
        <v>41</v>
      </c>
      <c r="C12" s="53" t="s">
        <v>42</v>
      </c>
      <c r="D12" s="53" t="s">
        <v>43</v>
      </c>
      <c r="E12" s="53" t="s">
        <v>25</v>
      </c>
      <c r="F12" s="53" t="s">
        <v>25</v>
      </c>
      <c r="G12" s="53" t="s">
        <v>25</v>
      </c>
      <c r="H12" s="53" t="s">
        <v>36</v>
      </c>
      <c r="I12" s="75">
        <v>44409</v>
      </c>
      <c r="J12" s="76">
        <f ca="1">EFEITO!$J$12*EFEITO!$Y$12</f>
        <v>47217.459073128979</v>
      </c>
      <c r="K12" s="76">
        <f ca="1">EFEITO!$L$12*EFEITO!$Z$12</f>
        <v>0</v>
      </c>
      <c r="L12" s="76">
        <f>EFEITO!$N$12*EFEITO!$AA$12</f>
        <v>0</v>
      </c>
      <c r="M12" s="76">
        <f ca="1">$J$12-EFEITO!$K$12*EFEITO!$Y$12</f>
        <v>0</v>
      </c>
      <c r="N12" s="76">
        <f ca="1">$K$12-EFEITO!$M$12*EFEITO!$Z$12</f>
        <v>0</v>
      </c>
      <c r="O12" s="76">
        <f>$L$12-EFEITO!$O$12*EFEITO!$AA$12</f>
        <v>0</v>
      </c>
      <c r="P12" s="57"/>
      <c r="Q12" s="76" t="s">
        <v>47</v>
      </c>
      <c r="R12" s="76">
        <f>SUMIF($B$2:$B$2012,$Q$12,$J$2:$J$2012)</f>
        <v>0</v>
      </c>
      <c r="S12" s="76">
        <f ca="1">SUMIF($B$2:$B$2012,$Q$12,$K$2:$K$2012)</f>
        <v>66624683.910766408</v>
      </c>
      <c r="T12" s="76">
        <f>SUMIF($B$2:$B$2012,$Q$12,$L$2:$L$2012)</f>
        <v>40531264.455659367</v>
      </c>
      <c r="U12" s="76">
        <f>SUMIF($B$2:$B$2012,$Q$12,$M$2:$M$2012)</f>
        <v>0</v>
      </c>
      <c r="V12" s="76">
        <f ca="1">SUMIF($B$2:$B$2012,$Q$12,$N$2:$N$2012)</f>
        <v>0</v>
      </c>
      <c r="W12" s="76">
        <f>SUMIF($B$2:$B$2012,$Q$12,$O$2:$O$2012)</f>
        <v>0</v>
      </c>
      <c r="X12" s="54">
        <f>$R$12-$U$12</f>
        <v>0</v>
      </c>
      <c r="Y12" s="54">
        <f ca="1">$S$12-$V$12</f>
        <v>66624683.910766408</v>
      </c>
      <c r="Z12" s="54">
        <f>$T$12-$W$12</f>
        <v>40531264.455659367</v>
      </c>
      <c r="AA12" s="54">
        <f>SUMIF(EFEITO!$B$2:$B$2012,$Q$12,EFEITO!$AE$2:$AE$2012)</f>
        <v>0</v>
      </c>
      <c r="AB12" s="54">
        <f ca="1">SUMIF(EFEITO!$B$2:$B$2012,$Q$12,EFEITO!$AF$2:$AF$2012)</f>
        <v>66624683.910766408</v>
      </c>
      <c r="AC12" s="54">
        <f>SUMIF(EFEITO!$B$2:$B$2012,$Q$12,EFEITO!$AG$2:$AH$2012)</f>
        <v>40531264.455659367</v>
      </c>
      <c r="AD12" s="54">
        <f>SUMIF(SUBSIDIO!$B$2:$B$2012,$Q$12,SUBSIDIO!$AD$2:$AD$2012)</f>
        <v>0</v>
      </c>
      <c r="AE12" s="54">
        <f>SUMIF(SUBSIDIO!$B$2:$B$2012,$Q$12,SUBSIDIO!$AE$2:$AE$2012)</f>
        <v>0</v>
      </c>
      <c r="AF12" s="54" t="str">
        <f>IF(ABS($X$12-$AA$12)&lt;0.01,"OK","ERRO")</f>
        <v>OK</v>
      </c>
      <c r="AG12" s="54" t="str">
        <f ca="1">IF(ABS($Y$12-$AB$12)&lt;0.01,"OK","ERRO")</f>
        <v>OK</v>
      </c>
      <c r="AH12" s="54" t="str">
        <f>IF(ABS($Z$12-$AC$12)&lt;0.01,"OK","ERRO")</f>
        <v>OK</v>
      </c>
      <c r="AI12" s="54" t="str">
        <f>IF(ABS($U$12-$AD$12)&lt;0.01,"OK","ERRO")</f>
        <v>OK</v>
      </c>
      <c r="AJ12" s="54" t="str">
        <f ca="1">IF(ABS(($V$12+$W$12)-$AE$12)&lt;0.01,"OK","ERRO")</f>
        <v>OK</v>
      </c>
    </row>
    <row r="13" spans="1:40" ht="11.25" customHeight="1" x14ac:dyDescent="0.2">
      <c r="A13" s="53" t="s">
        <v>21</v>
      </c>
      <c r="B13" s="53" t="s">
        <v>41</v>
      </c>
      <c r="C13" s="53" t="s">
        <v>42</v>
      </c>
      <c r="D13" s="53" t="s">
        <v>43</v>
      </c>
      <c r="E13" s="53" t="s">
        <v>25</v>
      </c>
      <c r="F13" s="53" t="s">
        <v>25</v>
      </c>
      <c r="G13" s="53" t="s">
        <v>25</v>
      </c>
      <c r="H13" s="53" t="s">
        <v>36</v>
      </c>
      <c r="I13" s="75">
        <v>44440</v>
      </c>
      <c r="J13" s="76">
        <f ca="1">EFEITO!$J$13*EFEITO!$Y$13</f>
        <v>3268.7752906285205</v>
      </c>
      <c r="K13" s="76">
        <f ca="1">EFEITO!$L$13*EFEITO!$Z$13</f>
        <v>2997.6647656667869</v>
      </c>
      <c r="L13" s="76">
        <f>EFEITO!$N$13*EFEITO!$AA$13</f>
        <v>10660.376383834931</v>
      </c>
      <c r="M13" s="76">
        <f ca="1">$J$13-EFEITO!$K$13*EFEITO!$Y$13</f>
        <v>0</v>
      </c>
      <c r="N13" s="76">
        <f ca="1">$K$13-EFEITO!$M$13*EFEITO!$Z$13</f>
        <v>0</v>
      </c>
      <c r="O13" s="76">
        <f>$L$13-EFEITO!$O$13*EFEITO!$AA$13</f>
        <v>0</v>
      </c>
      <c r="P13" s="57"/>
      <c r="Q13" s="76" t="s">
        <v>98</v>
      </c>
      <c r="R13" s="76">
        <f>SUMIF($B$2:$B$2012,$Q$13,$J$2:$J$2012)</f>
        <v>0</v>
      </c>
      <c r="S13" s="76">
        <f>SUMIF($B$2:$B$2012,$Q$13,$K$2:$K$2012)</f>
        <v>0</v>
      </c>
      <c r="T13" s="76">
        <f>SUMIF($B$2:$B$2012,$Q$13,$L$2:$L$2012)</f>
        <v>0</v>
      </c>
      <c r="U13" s="76">
        <f>SUMIF($B$2:$B$2012,$Q$13,$M$2:$M$2012)</f>
        <v>0</v>
      </c>
      <c r="V13" s="76">
        <f>SUMIF($B$2:$B$2012,$Q$13,$N$2:$N$2012)</f>
        <v>0</v>
      </c>
      <c r="W13" s="76">
        <f>SUMIF($B$2:$B$2012,$Q$13,$O$2:$O$2012)</f>
        <v>0</v>
      </c>
      <c r="X13" s="54">
        <f>$R$13-$U$13</f>
        <v>0</v>
      </c>
      <c r="Y13" s="54">
        <f>$S$13-$V$13</f>
        <v>0</v>
      </c>
      <c r="Z13" s="54">
        <f>$T$13-$W$13</f>
        <v>0</v>
      </c>
      <c r="AA13" s="54">
        <f>SUMIF(EFEITO!$B$2:$B$2012,$Q$13,EFEITO!$AE$2:$AE$2012)</f>
        <v>0</v>
      </c>
      <c r="AB13" s="54">
        <f>SUMIF(EFEITO!$B$2:$B$2012,$Q$13,EFEITO!$AF$2:$AF$2012)</f>
        <v>0</v>
      </c>
      <c r="AC13" s="54">
        <f>SUMIF(EFEITO!$B$2:$B$2012,$Q$13,EFEITO!$AG$2:$AH$2012)</f>
        <v>0</v>
      </c>
      <c r="AD13" s="54">
        <f>SUMIF(SUBSIDIO!$B$2:$B$2012,$Q$13,SUBSIDIO!$AD$2:$AD$2012)</f>
        <v>0</v>
      </c>
      <c r="AE13" s="54">
        <f>SUMIF(SUBSIDIO!$B$2:$B$2012,$Q$13,SUBSIDIO!$AE$2:$AE$2012)</f>
        <v>0</v>
      </c>
      <c r="AF13" s="54" t="str">
        <f>IF(ABS($X$13-$AA$13)&lt;0.01,"OK","ERRO")</f>
        <v>OK</v>
      </c>
      <c r="AG13" s="54" t="str">
        <f>IF(ABS($Y$13-$AB$13)&lt;0.01,"OK","ERRO")</f>
        <v>OK</v>
      </c>
      <c r="AH13" s="54" t="str">
        <f>IF(ABS($Z$13-$AC$13)&lt;0.01,"OK","ERRO")</f>
        <v>OK</v>
      </c>
      <c r="AI13" s="54" t="str">
        <f>IF(ABS($U$13-$AD$13)&lt;0.01,"OK","ERRO")</f>
        <v>OK</v>
      </c>
      <c r="AJ13" s="54" t="str">
        <f>IF(ABS(($V$13+$W$13)-$AE$13)&lt;0.01,"OK","ERRO")</f>
        <v>OK</v>
      </c>
    </row>
    <row r="14" spans="1:40" ht="11.25" customHeight="1" x14ac:dyDescent="0.2">
      <c r="A14" s="53" t="s">
        <v>21</v>
      </c>
      <c r="B14" s="53" t="s">
        <v>41</v>
      </c>
      <c r="C14" s="53" t="s">
        <v>42</v>
      </c>
      <c r="D14" s="53" t="s">
        <v>43</v>
      </c>
      <c r="E14" s="53" t="s">
        <v>25</v>
      </c>
      <c r="F14" s="53" t="s">
        <v>25</v>
      </c>
      <c r="G14" s="53" t="s">
        <v>25</v>
      </c>
      <c r="H14" s="53" t="s">
        <v>36</v>
      </c>
      <c r="I14" s="75">
        <v>44440</v>
      </c>
      <c r="J14" s="76">
        <f ca="1">EFEITO!$J$14*EFEITO!$Y$14</f>
        <v>57203.56758599911</v>
      </c>
      <c r="K14" s="76">
        <f ca="1">EFEITO!$L$14*EFEITO!$Z$14</f>
        <v>0</v>
      </c>
      <c r="L14" s="76">
        <f>EFEITO!$N$14*EFEITO!$AA$14</f>
        <v>0</v>
      </c>
      <c r="M14" s="76">
        <f ca="1">$J$14-EFEITO!$K$14*EFEITO!$Y$14</f>
        <v>0</v>
      </c>
      <c r="N14" s="76">
        <f ca="1">$K$14-EFEITO!$M$14*EFEITO!$Z$14</f>
        <v>0</v>
      </c>
      <c r="O14" s="76">
        <f>$L$14-EFEITO!$O$14*EFEITO!$AA$14</f>
        <v>0</v>
      </c>
      <c r="P14" s="57"/>
      <c r="Q14" s="57"/>
      <c r="R14" s="57"/>
      <c r="S14" s="57"/>
      <c r="T14" s="57"/>
      <c r="U14" s="57"/>
      <c r="V14" s="57"/>
      <c r="W14" s="57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40" ht="11.25" customHeight="1" x14ac:dyDescent="0.2">
      <c r="A15" s="53" t="s">
        <v>21</v>
      </c>
      <c r="B15" s="53" t="s">
        <v>41</v>
      </c>
      <c r="C15" s="53" t="s">
        <v>42</v>
      </c>
      <c r="D15" s="53" t="s">
        <v>43</v>
      </c>
      <c r="E15" s="53" t="s">
        <v>25</v>
      </c>
      <c r="F15" s="53" t="s">
        <v>25</v>
      </c>
      <c r="G15" s="53" t="s">
        <v>25</v>
      </c>
      <c r="H15" s="53" t="s">
        <v>36</v>
      </c>
      <c r="I15" s="75">
        <v>44470</v>
      </c>
      <c r="J15" s="76">
        <f ca="1">EFEITO!$J$15*EFEITO!$Y$15</f>
        <v>3268.7752906285205</v>
      </c>
      <c r="K15" s="76">
        <f ca="1">EFEITO!$L$15*EFEITO!$Z$15</f>
        <v>3386.5064958318712</v>
      </c>
      <c r="L15" s="76">
        <f>EFEITO!$N$15*EFEITO!$AA$15</f>
        <v>12043.185844311522</v>
      </c>
      <c r="M15" s="76">
        <f ca="1">$J$15-EFEITO!$K$15*EFEITO!$Y$15</f>
        <v>0</v>
      </c>
      <c r="N15" s="76">
        <f ca="1">$K$15-EFEITO!$M$15*EFEITO!$Z$15</f>
        <v>0</v>
      </c>
      <c r="O15" s="76">
        <f>$L$15-EFEITO!$O$15*EFEITO!$AA$15</f>
        <v>0</v>
      </c>
      <c r="P15" s="57"/>
      <c r="Q15" s="57"/>
      <c r="R15" s="57"/>
      <c r="S15" s="57"/>
      <c r="T15" s="57"/>
      <c r="U15" s="57"/>
      <c r="V15" s="57"/>
      <c r="W15" s="57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40" ht="11.25" customHeight="1" x14ac:dyDescent="0.2">
      <c r="A16" s="53" t="s">
        <v>21</v>
      </c>
      <c r="B16" s="53" t="s">
        <v>41</v>
      </c>
      <c r="C16" s="53" t="s">
        <v>42</v>
      </c>
      <c r="D16" s="53" t="s">
        <v>43</v>
      </c>
      <c r="E16" s="53" t="s">
        <v>25</v>
      </c>
      <c r="F16" s="53" t="s">
        <v>25</v>
      </c>
      <c r="G16" s="53" t="s">
        <v>25</v>
      </c>
      <c r="H16" s="53" t="s">
        <v>36</v>
      </c>
      <c r="I16" s="75">
        <v>44470</v>
      </c>
      <c r="J16" s="76">
        <f ca="1">EFEITO!$J$16*EFEITO!$Y$16</f>
        <v>57203.56758599911</v>
      </c>
      <c r="K16" s="76">
        <f ca="1">EFEITO!$L$16*EFEITO!$Z$16</f>
        <v>0</v>
      </c>
      <c r="L16" s="76">
        <f>EFEITO!$N$16*EFEITO!$AA$16</f>
        <v>0</v>
      </c>
      <c r="M16" s="76">
        <f ca="1">$J$16-EFEITO!$K$16*EFEITO!$Y$16</f>
        <v>0</v>
      </c>
      <c r="N16" s="76">
        <f ca="1">$K$16-EFEITO!$M$16*EFEITO!$Z$16</f>
        <v>0</v>
      </c>
      <c r="O16" s="76">
        <f>$L$16-EFEITO!$O$16*EFEITO!$AA$16</f>
        <v>0</v>
      </c>
      <c r="P16" s="57"/>
      <c r="Q16" s="57"/>
      <c r="R16" s="57"/>
      <c r="S16" s="57"/>
      <c r="T16" s="57"/>
      <c r="U16" s="57"/>
      <c r="V16" s="57"/>
      <c r="W16" s="57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1.25" customHeight="1" x14ac:dyDescent="0.2">
      <c r="A17" s="53" t="s">
        <v>21</v>
      </c>
      <c r="B17" s="53" t="s">
        <v>41</v>
      </c>
      <c r="C17" s="53" t="s">
        <v>42</v>
      </c>
      <c r="D17" s="53" t="s">
        <v>43</v>
      </c>
      <c r="E17" s="53" t="s">
        <v>25</v>
      </c>
      <c r="F17" s="53" t="s">
        <v>25</v>
      </c>
      <c r="G17" s="53" t="s">
        <v>25</v>
      </c>
      <c r="H17" s="53" t="s">
        <v>36</v>
      </c>
      <c r="I17" s="75">
        <v>44501</v>
      </c>
      <c r="J17" s="76">
        <f ca="1">EFEITO!$J$17*EFEITO!$Y$17</f>
        <v>3268.7752906285205</v>
      </c>
      <c r="K17" s="76">
        <f ca="1">EFEITO!$L$17*EFEITO!$Z$17</f>
        <v>3276.3346722850974</v>
      </c>
      <c r="L17" s="76">
        <f>EFEITO!$N$17*EFEITO!$AA$17</f>
        <v>11651.389830509821</v>
      </c>
      <c r="M17" s="76">
        <f ca="1">$J$17-EFEITO!$K$17*EFEITO!$Y$17</f>
        <v>0</v>
      </c>
      <c r="N17" s="76">
        <f ca="1">$K$17-EFEITO!$M$17*EFEITO!$Z$17</f>
        <v>0</v>
      </c>
      <c r="O17" s="76">
        <f>$L$17-EFEITO!$O$17*EFEITO!$AA$17</f>
        <v>0</v>
      </c>
      <c r="P17" s="57"/>
      <c r="Q17" s="57"/>
      <c r="R17" s="57"/>
      <c r="S17" s="57"/>
      <c r="T17" s="57"/>
      <c r="U17" s="57"/>
      <c r="V17" s="57"/>
      <c r="W17" s="57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1.25" customHeight="1" x14ac:dyDescent="0.2">
      <c r="A18" s="53" t="s">
        <v>21</v>
      </c>
      <c r="B18" s="53" t="s">
        <v>41</v>
      </c>
      <c r="C18" s="53" t="s">
        <v>42</v>
      </c>
      <c r="D18" s="53" t="s">
        <v>43</v>
      </c>
      <c r="E18" s="53" t="s">
        <v>25</v>
      </c>
      <c r="F18" s="53" t="s">
        <v>25</v>
      </c>
      <c r="G18" s="53" t="s">
        <v>25</v>
      </c>
      <c r="H18" s="53" t="s">
        <v>36</v>
      </c>
      <c r="I18" s="75">
        <v>44501</v>
      </c>
      <c r="J18" s="76">
        <f ca="1">EFEITO!$J$18*EFEITO!$Y$18</f>
        <v>57203.56758599911</v>
      </c>
      <c r="K18" s="76">
        <f ca="1">EFEITO!$L$18*EFEITO!$Z$18</f>
        <v>0</v>
      </c>
      <c r="L18" s="76">
        <f>EFEITO!$N$18*EFEITO!$AA$18</f>
        <v>0</v>
      </c>
      <c r="M18" s="76">
        <f ca="1">$J$18-EFEITO!$K$18*EFEITO!$Y$18</f>
        <v>0</v>
      </c>
      <c r="N18" s="76">
        <f ca="1">$K$18-EFEITO!$M$18*EFEITO!$Z$18</f>
        <v>0</v>
      </c>
      <c r="O18" s="76">
        <f>$L$18-EFEITO!$O$18*EFEITO!$AA$18</f>
        <v>0</v>
      </c>
      <c r="P18" s="57"/>
      <c r="Q18" s="57"/>
      <c r="R18" s="57"/>
      <c r="S18" s="57"/>
      <c r="T18" s="57"/>
      <c r="U18" s="57"/>
      <c r="V18" s="57"/>
      <c r="W18" s="57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1.25" customHeight="1" x14ac:dyDescent="0.2">
      <c r="A19" s="53" t="s">
        <v>21</v>
      </c>
      <c r="B19" s="53" t="s">
        <v>41</v>
      </c>
      <c r="C19" s="53" t="s">
        <v>42</v>
      </c>
      <c r="D19" s="53" t="s">
        <v>43</v>
      </c>
      <c r="E19" s="53" t="s">
        <v>25</v>
      </c>
      <c r="F19" s="53" t="s">
        <v>25</v>
      </c>
      <c r="G19" s="53" t="s">
        <v>25</v>
      </c>
      <c r="H19" s="53" t="s">
        <v>36</v>
      </c>
      <c r="I19" s="75">
        <v>44531</v>
      </c>
      <c r="J19" s="76">
        <f ca="1">EFEITO!$J$19*EFEITO!$Y$19</f>
        <v>3268.7752906285205</v>
      </c>
      <c r="K19" s="76">
        <f ca="1">EFEITO!$L$19*EFEITO!$Z$19</f>
        <v>3466.8671200659883</v>
      </c>
      <c r="L19" s="76">
        <f>EFEITO!$N$19*EFEITO!$AA$19</f>
        <v>12328.966466143351</v>
      </c>
      <c r="M19" s="76">
        <f ca="1">$J$19-EFEITO!$K$19*EFEITO!$Y$19</f>
        <v>0</v>
      </c>
      <c r="N19" s="76">
        <f ca="1">$K$19-EFEITO!$M$19*EFEITO!$Z$19</f>
        <v>0</v>
      </c>
      <c r="O19" s="76">
        <f>$L$19-EFEITO!$O$19*EFEITO!$AA$19</f>
        <v>0</v>
      </c>
      <c r="P19" s="57"/>
      <c r="Q19" s="57"/>
      <c r="R19" s="57"/>
      <c r="S19" s="57"/>
      <c r="T19" s="57"/>
      <c r="U19" s="57"/>
      <c r="V19" s="57"/>
      <c r="W19" s="57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1.25" customHeight="1" x14ac:dyDescent="0.2">
      <c r="A20" s="53" t="s">
        <v>21</v>
      </c>
      <c r="B20" s="53" t="s">
        <v>41</v>
      </c>
      <c r="C20" s="53" t="s">
        <v>42</v>
      </c>
      <c r="D20" s="53" t="s">
        <v>43</v>
      </c>
      <c r="E20" s="53" t="s">
        <v>25</v>
      </c>
      <c r="F20" s="53" t="s">
        <v>25</v>
      </c>
      <c r="G20" s="53" t="s">
        <v>25</v>
      </c>
      <c r="H20" s="53" t="s">
        <v>36</v>
      </c>
      <c r="I20" s="75">
        <v>44531</v>
      </c>
      <c r="J20" s="76">
        <f ca="1">EFEITO!$J$20*EFEITO!$Y$20</f>
        <v>57203.56758599911</v>
      </c>
      <c r="K20" s="76">
        <f ca="1">EFEITO!$L$20*EFEITO!$Z$20</f>
        <v>0</v>
      </c>
      <c r="L20" s="76">
        <f>EFEITO!$N$20*EFEITO!$AA$20</f>
        <v>0</v>
      </c>
      <c r="M20" s="76">
        <f ca="1">$J$20-EFEITO!$K$20*EFEITO!$Y$20</f>
        <v>0</v>
      </c>
      <c r="N20" s="76">
        <f ca="1">$K$20-EFEITO!$M$20*EFEITO!$Z$20</f>
        <v>0</v>
      </c>
      <c r="O20" s="76">
        <f>$L$20-EFEITO!$O$20*EFEITO!$AA$20</f>
        <v>0</v>
      </c>
      <c r="P20" s="57"/>
      <c r="Q20" s="57"/>
      <c r="R20" s="57"/>
      <c r="S20" s="57"/>
      <c r="T20" s="57"/>
      <c r="U20" s="57"/>
      <c r="V20" s="57"/>
      <c r="W20" s="57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1.25" customHeight="1" x14ac:dyDescent="0.2">
      <c r="A21" s="53" t="s">
        <v>21</v>
      </c>
      <c r="B21" s="53" t="s">
        <v>41</v>
      </c>
      <c r="C21" s="53" t="s">
        <v>42</v>
      </c>
      <c r="D21" s="53" t="s">
        <v>43</v>
      </c>
      <c r="E21" s="53" t="s">
        <v>25</v>
      </c>
      <c r="F21" s="53" t="s">
        <v>25</v>
      </c>
      <c r="G21" s="53" t="s">
        <v>25</v>
      </c>
      <c r="H21" s="53" t="s">
        <v>36</v>
      </c>
      <c r="I21" s="75">
        <v>44562</v>
      </c>
      <c r="J21" s="76">
        <f ca="1">EFEITO!$J$21*EFEITO!$Y$21</f>
        <v>3268.7752906285205</v>
      </c>
      <c r="K21" s="76">
        <f ca="1">EFEITO!$L$21*EFEITO!$Z$21</f>
        <v>3573.7604741231348</v>
      </c>
      <c r="L21" s="76">
        <f>EFEITO!$N$21*EFEITO!$AA$21</f>
        <v>12709.103498219465</v>
      </c>
      <c r="M21" s="76">
        <f ca="1">$J$21-EFEITO!$K$21*EFEITO!$Y$21</f>
        <v>0</v>
      </c>
      <c r="N21" s="76">
        <f ca="1">$K$21-EFEITO!$M$21*EFEITO!$Z$21</f>
        <v>0</v>
      </c>
      <c r="O21" s="76">
        <f>$L$21-EFEITO!$O$21*EFEITO!$AA$21</f>
        <v>0</v>
      </c>
      <c r="P21" s="57"/>
      <c r="Q21" s="57"/>
      <c r="R21" s="57"/>
      <c r="S21" s="57"/>
      <c r="T21" s="57"/>
      <c r="U21" s="57"/>
      <c r="V21" s="57"/>
      <c r="W21" s="57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1.25" customHeight="1" x14ac:dyDescent="0.2">
      <c r="A22" s="53" t="s">
        <v>21</v>
      </c>
      <c r="B22" s="53" t="s">
        <v>41</v>
      </c>
      <c r="C22" s="53" t="s">
        <v>42</v>
      </c>
      <c r="D22" s="53" t="s">
        <v>43</v>
      </c>
      <c r="E22" s="53" t="s">
        <v>25</v>
      </c>
      <c r="F22" s="53" t="s">
        <v>25</v>
      </c>
      <c r="G22" s="53" t="s">
        <v>25</v>
      </c>
      <c r="H22" s="53" t="s">
        <v>36</v>
      </c>
      <c r="I22" s="75">
        <v>44562</v>
      </c>
      <c r="J22" s="76">
        <f ca="1">EFEITO!$J$22*EFEITO!$Y$22</f>
        <v>57203.56758599911</v>
      </c>
      <c r="K22" s="76">
        <f ca="1">EFEITO!$L$22*EFEITO!$Z$22</f>
        <v>0</v>
      </c>
      <c r="L22" s="76">
        <f>EFEITO!$N$22*EFEITO!$AA$22</f>
        <v>0</v>
      </c>
      <c r="M22" s="76">
        <f ca="1">$J$22-EFEITO!$K$22*EFEITO!$Y$22</f>
        <v>0</v>
      </c>
      <c r="N22" s="76">
        <f ca="1">$K$22-EFEITO!$M$22*EFEITO!$Z$22</f>
        <v>0</v>
      </c>
      <c r="O22" s="76">
        <f>$L$22-EFEITO!$O$22*EFEITO!$AA$22</f>
        <v>0</v>
      </c>
      <c r="P22" s="57"/>
      <c r="Q22" s="57"/>
      <c r="R22" s="57"/>
      <c r="S22" s="57"/>
      <c r="T22" s="57"/>
      <c r="U22" s="57"/>
      <c r="V22" s="57"/>
      <c r="W22" s="57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1.25" customHeight="1" x14ac:dyDescent="0.2">
      <c r="A23" s="53" t="s">
        <v>21</v>
      </c>
      <c r="B23" s="53" t="s">
        <v>41</v>
      </c>
      <c r="C23" s="53" t="s">
        <v>42</v>
      </c>
      <c r="D23" s="53" t="s">
        <v>43</v>
      </c>
      <c r="E23" s="53" t="s">
        <v>25</v>
      </c>
      <c r="F23" s="53" t="s">
        <v>25</v>
      </c>
      <c r="G23" s="53" t="s">
        <v>25</v>
      </c>
      <c r="H23" s="53" t="s">
        <v>36</v>
      </c>
      <c r="I23" s="75">
        <v>44593</v>
      </c>
      <c r="J23" s="76">
        <f ca="1">EFEITO!$J$23*EFEITO!$Y$23</f>
        <v>3268.7752906285205</v>
      </c>
      <c r="K23" s="76">
        <f ca="1">EFEITO!$L$23*EFEITO!$Z$23</f>
        <v>3384.295435013285</v>
      </c>
      <c r="L23" s="76">
        <f>EFEITO!$N$23*EFEITO!$AA$23</f>
        <v>12035.322810124499</v>
      </c>
      <c r="M23" s="76">
        <f ca="1">$J$23-EFEITO!$K$23*EFEITO!$Y$23</f>
        <v>0</v>
      </c>
      <c r="N23" s="76">
        <f ca="1">$K$23-EFEITO!$M$23*EFEITO!$Z$23</f>
        <v>0</v>
      </c>
      <c r="O23" s="76">
        <f>$L$23-EFEITO!$O$23*EFEITO!$AA$23</f>
        <v>0</v>
      </c>
      <c r="P23" s="57"/>
      <c r="Q23" s="57"/>
      <c r="R23" s="57"/>
      <c r="S23" s="57"/>
      <c r="T23" s="57"/>
      <c r="U23" s="57"/>
      <c r="V23" s="57"/>
      <c r="W23" s="57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1.25" customHeight="1" x14ac:dyDescent="0.2">
      <c r="A24" s="53" t="s">
        <v>21</v>
      </c>
      <c r="B24" s="53" t="s">
        <v>41</v>
      </c>
      <c r="C24" s="53" t="s">
        <v>42</v>
      </c>
      <c r="D24" s="53" t="s">
        <v>43</v>
      </c>
      <c r="E24" s="53" t="s">
        <v>25</v>
      </c>
      <c r="F24" s="53" t="s">
        <v>25</v>
      </c>
      <c r="G24" s="53" t="s">
        <v>25</v>
      </c>
      <c r="H24" s="53" t="s">
        <v>36</v>
      </c>
      <c r="I24" s="75">
        <v>44593</v>
      </c>
      <c r="J24" s="76">
        <f ca="1">EFEITO!$J$24*EFEITO!$Y$24</f>
        <v>57203.56758599911</v>
      </c>
      <c r="K24" s="76">
        <f ca="1">EFEITO!$L$24*EFEITO!$Z$24</f>
        <v>0</v>
      </c>
      <c r="L24" s="76">
        <f>EFEITO!$N$24*EFEITO!$AA$24</f>
        <v>0</v>
      </c>
      <c r="M24" s="76">
        <f ca="1">$J$24-EFEITO!$K$24*EFEITO!$Y$24</f>
        <v>0</v>
      </c>
      <c r="N24" s="76">
        <f ca="1">$K$24-EFEITO!$M$24*EFEITO!$Z$24</f>
        <v>0</v>
      </c>
      <c r="O24" s="76">
        <f>$L$24-EFEITO!$O$24*EFEITO!$AA$24</f>
        <v>0</v>
      </c>
      <c r="P24" s="57"/>
      <c r="Q24" s="57"/>
      <c r="R24" s="57"/>
      <c r="S24" s="57"/>
      <c r="T24" s="57"/>
      <c r="U24" s="57"/>
      <c r="V24" s="57"/>
      <c r="W24" s="57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1.25" customHeight="1" x14ac:dyDescent="0.2">
      <c r="A25" s="53" t="s">
        <v>21</v>
      </c>
      <c r="B25" s="53" t="s">
        <v>41</v>
      </c>
      <c r="C25" s="53" t="s">
        <v>42</v>
      </c>
      <c r="D25" s="53" t="s">
        <v>43</v>
      </c>
      <c r="E25" s="53" t="s">
        <v>25</v>
      </c>
      <c r="F25" s="53" t="s">
        <v>25</v>
      </c>
      <c r="G25" s="53" t="s">
        <v>25</v>
      </c>
      <c r="H25" s="53" t="s">
        <v>36</v>
      </c>
      <c r="I25" s="75">
        <v>44621</v>
      </c>
      <c r="J25" s="76">
        <f ca="1">EFEITO!$J$25*EFEITO!$Y$25</f>
        <v>3268.7752906285205</v>
      </c>
      <c r="K25" s="76">
        <f ca="1">EFEITO!$L$25*EFEITO!$Z$25</f>
        <v>3276.5634027146061</v>
      </c>
      <c r="L25" s="76">
        <f>EFEITO!$N$25*EFEITO!$AA$25</f>
        <v>11652.203247839514</v>
      </c>
      <c r="M25" s="76">
        <f ca="1">$J$25-EFEITO!$K$25*EFEITO!$Y$25</f>
        <v>0</v>
      </c>
      <c r="N25" s="76">
        <f ca="1">$K$25-EFEITO!$M$25*EFEITO!$Z$25</f>
        <v>0</v>
      </c>
      <c r="O25" s="76">
        <f>$L$25-EFEITO!$O$25*EFEITO!$AA$25</f>
        <v>0</v>
      </c>
      <c r="P25" s="57"/>
      <c r="Q25" s="57"/>
      <c r="R25" s="57"/>
      <c r="S25" s="57"/>
      <c r="T25" s="57"/>
      <c r="U25" s="57"/>
      <c r="V25" s="57"/>
      <c r="W25" s="57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1.25" customHeight="1" x14ac:dyDescent="0.2">
      <c r="A26" s="53" t="s">
        <v>21</v>
      </c>
      <c r="B26" s="53" t="s">
        <v>41</v>
      </c>
      <c r="C26" s="53" t="s">
        <v>42</v>
      </c>
      <c r="D26" s="53" t="s">
        <v>43</v>
      </c>
      <c r="E26" s="53" t="s">
        <v>25</v>
      </c>
      <c r="F26" s="53" t="s">
        <v>25</v>
      </c>
      <c r="G26" s="53" t="s">
        <v>25</v>
      </c>
      <c r="H26" s="53" t="s">
        <v>36</v>
      </c>
      <c r="I26" s="75">
        <v>44621</v>
      </c>
      <c r="J26" s="76">
        <f ca="1">EFEITO!$J$26*EFEITO!$Y$26</f>
        <v>57203.56758599911</v>
      </c>
      <c r="K26" s="76">
        <f ca="1">EFEITO!$L$26*EFEITO!$Z$26</f>
        <v>0</v>
      </c>
      <c r="L26" s="76">
        <f>EFEITO!$N$26*EFEITO!$AA$26</f>
        <v>0</v>
      </c>
      <c r="M26" s="76">
        <f ca="1">$J$26-EFEITO!$K$26*EFEITO!$Y$26</f>
        <v>0</v>
      </c>
      <c r="N26" s="76">
        <f ca="1">$K$26-EFEITO!$M$26*EFEITO!$Z$26</f>
        <v>0</v>
      </c>
      <c r="O26" s="76">
        <f>$L$26-EFEITO!$O$26*EFEITO!$AA$26</f>
        <v>0</v>
      </c>
      <c r="P26" s="57"/>
      <c r="Q26" s="57"/>
      <c r="R26" s="57"/>
      <c r="S26" s="57"/>
      <c r="T26" s="57"/>
      <c r="U26" s="57"/>
      <c r="V26" s="57"/>
      <c r="W26" s="57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1.25" customHeight="1" x14ac:dyDescent="0.2">
      <c r="A27" s="53" t="s">
        <v>56</v>
      </c>
      <c r="B27" s="53" t="s">
        <v>41</v>
      </c>
      <c r="C27" s="53" t="s">
        <v>42</v>
      </c>
      <c r="D27" s="53" t="s">
        <v>43</v>
      </c>
      <c r="E27" s="53" t="s">
        <v>25</v>
      </c>
      <c r="F27" s="53" t="s">
        <v>25</v>
      </c>
      <c r="G27" s="53" t="s">
        <v>25</v>
      </c>
      <c r="H27" s="53" t="s">
        <v>36</v>
      </c>
      <c r="I27" s="75">
        <v>44652</v>
      </c>
      <c r="J27" s="76">
        <f ca="1">EFEITO!$J$27*EFEITO!$Y$27</f>
        <v>3268.7752906285205</v>
      </c>
      <c r="K27" s="76">
        <f ca="1">EFEITO!$L$27*EFEITO!$Z$27</f>
        <v>3276.5634027146061</v>
      </c>
      <c r="L27" s="76">
        <f>EFEITO!$N$27*EFEITO!$AA$27</f>
        <v>11652.203247839514</v>
      </c>
      <c r="M27" s="76">
        <f ca="1">$J$27-EFEITO!$K$27*EFEITO!$Y$27</f>
        <v>0</v>
      </c>
      <c r="N27" s="76">
        <f ca="1">$K$27-EFEITO!$M$27*EFEITO!$Z$27</f>
        <v>0</v>
      </c>
      <c r="O27" s="76">
        <f>$L$27-EFEITO!$O$27*EFEITO!$AA$27</f>
        <v>0</v>
      </c>
      <c r="P27" s="57"/>
      <c r="Q27" s="57"/>
      <c r="R27" s="57"/>
      <c r="S27" s="57"/>
      <c r="T27" s="57"/>
      <c r="U27" s="57"/>
      <c r="V27" s="57"/>
      <c r="W27" s="57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1.25" customHeight="1" x14ac:dyDescent="0.2">
      <c r="A28" s="53" t="s">
        <v>56</v>
      </c>
      <c r="B28" s="53" t="s">
        <v>41</v>
      </c>
      <c r="C28" s="53" t="s">
        <v>42</v>
      </c>
      <c r="D28" s="53" t="s">
        <v>43</v>
      </c>
      <c r="E28" s="53" t="s">
        <v>25</v>
      </c>
      <c r="F28" s="53" t="s">
        <v>25</v>
      </c>
      <c r="G28" s="53" t="s">
        <v>25</v>
      </c>
      <c r="H28" s="53" t="s">
        <v>36</v>
      </c>
      <c r="I28" s="75">
        <v>44652</v>
      </c>
      <c r="J28" s="76">
        <f ca="1">EFEITO!$J$28*EFEITO!$Y$28</f>
        <v>57203.56758599911</v>
      </c>
      <c r="K28" s="76">
        <f ca="1">EFEITO!$L$28*EFEITO!$Z$28</f>
        <v>0</v>
      </c>
      <c r="L28" s="76">
        <f>EFEITO!$N$28*EFEITO!$AA$28</f>
        <v>0</v>
      </c>
      <c r="M28" s="76">
        <f ca="1">$J$28-EFEITO!$K$28*EFEITO!$Y$28</f>
        <v>0</v>
      </c>
      <c r="N28" s="76">
        <f ca="1">$K$28-EFEITO!$M$28*EFEITO!$Z$28</f>
        <v>0</v>
      </c>
      <c r="O28" s="76">
        <f>$L$28-EFEITO!$O$28*EFEITO!$AA$28</f>
        <v>0</v>
      </c>
      <c r="P28" s="57"/>
      <c r="Q28" s="57"/>
      <c r="R28" s="57"/>
      <c r="S28" s="57"/>
      <c r="T28" s="57"/>
      <c r="U28" s="57"/>
      <c r="V28" s="57"/>
      <c r="W28" s="57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1.25" customHeight="1" x14ac:dyDescent="0.2">
      <c r="A29" s="53" t="s">
        <v>21</v>
      </c>
      <c r="B29" s="53" t="s">
        <v>41</v>
      </c>
      <c r="C29" s="53" t="s">
        <v>42</v>
      </c>
      <c r="D29" s="53" t="s">
        <v>43</v>
      </c>
      <c r="E29" s="53" t="s">
        <v>25</v>
      </c>
      <c r="F29" s="53" t="s">
        <v>25</v>
      </c>
      <c r="G29" s="53" t="s">
        <v>25</v>
      </c>
      <c r="H29" s="53" t="s">
        <v>25</v>
      </c>
      <c r="I29" s="75">
        <v>44317</v>
      </c>
      <c r="J29" s="76">
        <f>EFEITO!$J$29*EFEITO!$Y$29</f>
        <v>0</v>
      </c>
      <c r="K29" s="76">
        <f ca="1">EFEITO!$L$29*EFEITO!$Z$29</f>
        <v>92702.308262604158</v>
      </c>
      <c r="L29" s="76">
        <f>EFEITO!$N$29*EFEITO!$AA$29</f>
        <v>0</v>
      </c>
      <c r="M29" s="76">
        <f>$J$29-EFEITO!$K$29*EFEITO!$Y$29</f>
        <v>0</v>
      </c>
      <c r="N29" s="76">
        <f ca="1">$K$29-EFEITO!$M$29*EFEITO!$Z$29</f>
        <v>0</v>
      </c>
      <c r="O29" s="76">
        <f>$L$29-EFEITO!$O$29*EFEITO!$AA$29</f>
        <v>0</v>
      </c>
      <c r="P29" s="57"/>
      <c r="Q29" s="57"/>
      <c r="R29" s="57"/>
      <c r="S29" s="57"/>
      <c r="T29" s="57"/>
      <c r="U29" s="57"/>
      <c r="V29" s="57"/>
      <c r="W29" s="57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1.25" customHeight="1" x14ac:dyDescent="0.2">
      <c r="A30" s="53" t="s">
        <v>21</v>
      </c>
      <c r="B30" s="53" t="s">
        <v>41</v>
      </c>
      <c r="C30" s="53" t="s">
        <v>42</v>
      </c>
      <c r="D30" s="53" t="s">
        <v>43</v>
      </c>
      <c r="E30" s="53" t="s">
        <v>25</v>
      </c>
      <c r="F30" s="53" t="s">
        <v>25</v>
      </c>
      <c r="G30" s="53" t="s">
        <v>25</v>
      </c>
      <c r="H30" s="53" t="s">
        <v>25</v>
      </c>
      <c r="I30" s="75">
        <v>44348</v>
      </c>
      <c r="J30" s="76">
        <f>EFEITO!$J$30*EFEITO!$Y$30</f>
        <v>0</v>
      </c>
      <c r="K30" s="76">
        <f ca="1">EFEITO!$L$30*EFEITO!$Z$30</f>
        <v>79408.876916930982</v>
      </c>
      <c r="L30" s="76">
        <f>EFEITO!$N$30*EFEITO!$AA$30</f>
        <v>0</v>
      </c>
      <c r="M30" s="76">
        <f>$J$30-EFEITO!$K$30*EFEITO!$Y$30</f>
        <v>0</v>
      </c>
      <c r="N30" s="76">
        <f ca="1">$K$30-EFEITO!$M$30*EFEITO!$Z$30</f>
        <v>0</v>
      </c>
      <c r="O30" s="76">
        <f>$L$30-EFEITO!$O$30*EFEITO!$AA$30</f>
        <v>0</v>
      </c>
      <c r="P30" s="57"/>
      <c r="Q30" s="57"/>
      <c r="R30" s="57"/>
      <c r="S30" s="57"/>
      <c r="T30" s="57"/>
      <c r="U30" s="57"/>
      <c r="V30" s="57"/>
      <c r="W30" s="57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1.25" customHeight="1" x14ac:dyDescent="0.2">
      <c r="A31" s="53" t="s">
        <v>21</v>
      </c>
      <c r="B31" s="53" t="s">
        <v>41</v>
      </c>
      <c r="C31" s="53" t="s">
        <v>42</v>
      </c>
      <c r="D31" s="53" t="s">
        <v>43</v>
      </c>
      <c r="E31" s="53" t="s">
        <v>25</v>
      </c>
      <c r="F31" s="53" t="s">
        <v>25</v>
      </c>
      <c r="G31" s="53" t="s">
        <v>25</v>
      </c>
      <c r="H31" s="53" t="s">
        <v>25</v>
      </c>
      <c r="I31" s="75">
        <v>44378</v>
      </c>
      <c r="J31" s="76">
        <f>EFEITO!$J$31*EFEITO!$Y$31</f>
        <v>0</v>
      </c>
      <c r="K31" s="76">
        <f ca="1">EFEITO!$L$31*EFEITO!$Z$31</f>
        <v>98650.138108076397</v>
      </c>
      <c r="L31" s="76">
        <f>EFEITO!$N$31*EFEITO!$AA$31</f>
        <v>0</v>
      </c>
      <c r="M31" s="76">
        <f>$J$31-EFEITO!$K$31*EFEITO!$Y$31</f>
        <v>0</v>
      </c>
      <c r="N31" s="76">
        <f ca="1">$K$31-EFEITO!$M$31*EFEITO!$Z$31</f>
        <v>0</v>
      </c>
      <c r="O31" s="76">
        <f>$L$31-EFEITO!$O$31*EFEITO!$AA$31</f>
        <v>0</v>
      </c>
      <c r="P31" s="57"/>
      <c r="Q31" s="57"/>
      <c r="R31" s="57"/>
      <c r="S31" s="57"/>
      <c r="T31" s="57"/>
      <c r="U31" s="57"/>
      <c r="V31" s="57"/>
      <c r="W31" s="57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1.25" customHeight="1" x14ac:dyDescent="0.2">
      <c r="A32" s="53" t="s">
        <v>21</v>
      </c>
      <c r="B32" s="53" t="s">
        <v>41</v>
      </c>
      <c r="C32" s="53" t="s">
        <v>42</v>
      </c>
      <c r="D32" s="53" t="s">
        <v>43</v>
      </c>
      <c r="E32" s="53" t="s">
        <v>25</v>
      </c>
      <c r="F32" s="53" t="s">
        <v>25</v>
      </c>
      <c r="G32" s="53" t="s">
        <v>25</v>
      </c>
      <c r="H32" s="53" t="s">
        <v>25</v>
      </c>
      <c r="I32" s="75">
        <v>44409</v>
      </c>
      <c r="J32" s="76">
        <f>EFEITO!$J$32*EFEITO!$Y$32</f>
        <v>0</v>
      </c>
      <c r="K32" s="76">
        <f ca="1">EFEITO!$L$32*EFEITO!$Z$32</f>
        <v>100986.16198465051</v>
      </c>
      <c r="L32" s="76">
        <f>EFEITO!$N$32*EFEITO!$AA$32</f>
        <v>0</v>
      </c>
      <c r="M32" s="76">
        <f>$J$32-EFEITO!$K$32*EFEITO!$Y$32</f>
        <v>0</v>
      </c>
      <c r="N32" s="76">
        <f ca="1">$K$32-EFEITO!$M$32*EFEITO!$Z$32</f>
        <v>0</v>
      </c>
      <c r="O32" s="76">
        <f>$L$32-EFEITO!$O$32*EFEITO!$AA$32</f>
        <v>0</v>
      </c>
      <c r="P32" s="57"/>
      <c r="Q32" s="57"/>
      <c r="R32" s="57"/>
      <c r="S32" s="57"/>
      <c r="T32" s="57"/>
      <c r="U32" s="57"/>
      <c r="V32" s="57"/>
      <c r="W32" s="57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1.25" customHeight="1" x14ac:dyDescent="0.2">
      <c r="A33" s="53" t="s">
        <v>21</v>
      </c>
      <c r="B33" s="53" t="s">
        <v>41</v>
      </c>
      <c r="C33" s="53" t="s">
        <v>42</v>
      </c>
      <c r="D33" s="53" t="s">
        <v>43</v>
      </c>
      <c r="E33" s="53" t="s">
        <v>25</v>
      </c>
      <c r="F33" s="53" t="s">
        <v>25</v>
      </c>
      <c r="G33" s="53" t="s">
        <v>25</v>
      </c>
      <c r="H33" s="53" t="s">
        <v>25</v>
      </c>
      <c r="I33" s="75">
        <v>44440</v>
      </c>
      <c r="J33" s="76">
        <f>EFEITO!$J$33*EFEITO!$Y$33</f>
        <v>0</v>
      </c>
      <c r="K33" s="76">
        <f ca="1">EFEITO!$L$33*EFEITO!$Z$33</f>
        <v>104820.52266146077</v>
      </c>
      <c r="L33" s="76">
        <f>EFEITO!$N$33*EFEITO!$AA$33</f>
        <v>0</v>
      </c>
      <c r="M33" s="76">
        <f>$J$33-EFEITO!$K$33*EFEITO!$Y$33</f>
        <v>0</v>
      </c>
      <c r="N33" s="76">
        <f ca="1">$K$33-EFEITO!$M$33*EFEITO!$Z$33</f>
        <v>0</v>
      </c>
      <c r="O33" s="76">
        <f>$L$33-EFEITO!$O$33*EFEITO!$AA$33</f>
        <v>0</v>
      </c>
      <c r="P33" s="57"/>
      <c r="Q33" s="57"/>
      <c r="R33" s="57"/>
      <c r="S33" s="57"/>
      <c r="T33" s="57"/>
      <c r="U33" s="57"/>
      <c r="V33" s="57"/>
      <c r="W33" s="57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1.25" customHeight="1" x14ac:dyDescent="0.2">
      <c r="A34" s="53" t="s">
        <v>21</v>
      </c>
      <c r="B34" s="53" t="s">
        <v>41</v>
      </c>
      <c r="C34" s="53" t="s">
        <v>42</v>
      </c>
      <c r="D34" s="53" t="s">
        <v>43</v>
      </c>
      <c r="E34" s="53" t="s">
        <v>25</v>
      </c>
      <c r="F34" s="53" t="s">
        <v>25</v>
      </c>
      <c r="G34" s="53" t="s">
        <v>25</v>
      </c>
      <c r="H34" s="53" t="s">
        <v>25</v>
      </c>
      <c r="I34" s="75">
        <v>44470</v>
      </c>
      <c r="J34" s="76">
        <f>EFEITO!$J$34*EFEITO!$Y$34</f>
        <v>0</v>
      </c>
      <c r="K34" s="76">
        <f ca="1">EFEITO!$L$34*EFEITO!$Z$34</f>
        <v>113958.22707686372</v>
      </c>
      <c r="L34" s="76">
        <f>EFEITO!$N$34*EFEITO!$AA$34</f>
        <v>0</v>
      </c>
      <c r="M34" s="76">
        <f>$J$34-EFEITO!$K$34*EFEITO!$Y$34</f>
        <v>0</v>
      </c>
      <c r="N34" s="76">
        <f ca="1">$K$34-EFEITO!$M$34*EFEITO!$Z$34</f>
        <v>0</v>
      </c>
      <c r="O34" s="76">
        <f>$L$34-EFEITO!$O$34*EFEITO!$AA$34</f>
        <v>0</v>
      </c>
      <c r="P34" s="57"/>
      <c r="Q34" s="57"/>
      <c r="R34" s="57"/>
      <c r="S34" s="57"/>
      <c r="T34" s="57"/>
      <c r="U34" s="57"/>
      <c r="V34" s="57"/>
      <c r="W34" s="57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1.25" customHeight="1" x14ac:dyDescent="0.2">
      <c r="A35" s="53" t="s">
        <v>21</v>
      </c>
      <c r="B35" s="53" t="s">
        <v>41</v>
      </c>
      <c r="C35" s="53" t="s">
        <v>42</v>
      </c>
      <c r="D35" s="53" t="s">
        <v>43</v>
      </c>
      <c r="E35" s="53" t="s">
        <v>25</v>
      </c>
      <c r="F35" s="53" t="s">
        <v>25</v>
      </c>
      <c r="G35" s="53" t="s">
        <v>25</v>
      </c>
      <c r="H35" s="53" t="s">
        <v>25</v>
      </c>
      <c r="I35" s="75">
        <v>44501</v>
      </c>
      <c r="J35" s="76">
        <f>EFEITO!$J$35*EFEITO!$Y$35</f>
        <v>0</v>
      </c>
      <c r="K35" s="76">
        <f ca="1">EFEITO!$L$35*EFEITO!$Z$35</f>
        <v>115569.63295275375</v>
      </c>
      <c r="L35" s="76">
        <f>EFEITO!$N$35*EFEITO!$AA$35</f>
        <v>0</v>
      </c>
      <c r="M35" s="76">
        <f>$J$35-EFEITO!$K$35*EFEITO!$Y$35</f>
        <v>0</v>
      </c>
      <c r="N35" s="76">
        <f ca="1">$K$35-EFEITO!$M$35*EFEITO!$Z$35</f>
        <v>0</v>
      </c>
      <c r="O35" s="76">
        <f>$L$35-EFEITO!$O$35*EFEITO!$AA$35</f>
        <v>0</v>
      </c>
      <c r="P35" s="57"/>
      <c r="Q35" s="57"/>
      <c r="R35" s="57"/>
      <c r="S35" s="57"/>
      <c r="T35" s="57"/>
      <c r="U35" s="57"/>
      <c r="V35" s="57"/>
      <c r="W35" s="57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1.25" customHeight="1" x14ac:dyDescent="0.2">
      <c r="A36" s="53" t="s">
        <v>21</v>
      </c>
      <c r="B36" s="53" t="s">
        <v>41</v>
      </c>
      <c r="C36" s="53" t="s">
        <v>42</v>
      </c>
      <c r="D36" s="53" t="s">
        <v>43</v>
      </c>
      <c r="E36" s="53" t="s">
        <v>25</v>
      </c>
      <c r="F36" s="53" t="s">
        <v>25</v>
      </c>
      <c r="G36" s="53" t="s">
        <v>25</v>
      </c>
      <c r="H36" s="53" t="s">
        <v>25</v>
      </c>
      <c r="I36" s="75">
        <v>44531</v>
      </c>
      <c r="J36" s="76">
        <f>EFEITO!$J$36*EFEITO!$Y$36</f>
        <v>0</v>
      </c>
      <c r="K36" s="76">
        <f ca="1">EFEITO!$L$36*EFEITO!$Z$36</f>
        <v>120260.81781850422</v>
      </c>
      <c r="L36" s="76">
        <f>EFEITO!$N$36*EFEITO!$AA$36</f>
        <v>0</v>
      </c>
      <c r="M36" s="76">
        <f>$J$36-EFEITO!$K$36*EFEITO!$Y$36</f>
        <v>0</v>
      </c>
      <c r="N36" s="76">
        <f ca="1">$K$36-EFEITO!$M$36*EFEITO!$Z$36</f>
        <v>0</v>
      </c>
      <c r="O36" s="76">
        <f>$L$36-EFEITO!$O$36*EFEITO!$AA$36</f>
        <v>0</v>
      </c>
      <c r="P36" s="57"/>
      <c r="Q36" s="57"/>
      <c r="R36" s="57"/>
      <c r="S36" s="57"/>
      <c r="T36" s="57"/>
      <c r="U36" s="57"/>
      <c r="V36" s="57"/>
      <c r="W36" s="57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1.25" customHeight="1" x14ac:dyDescent="0.2">
      <c r="A37" s="53" t="s">
        <v>21</v>
      </c>
      <c r="B37" s="53" t="s">
        <v>41</v>
      </c>
      <c r="C37" s="53" t="s">
        <v>42</v>
      </c>
      <c r="D37" s="53" t="s">
        <v>43</v>
      </c>
      <c r="E37" s="53" t="s">
        <v>25</v>
      </c>
      <c r="F37" s="53" t="s">
        <v>25</v>
      </c>
      <c r="G37" s="53" t="s">
        <v>25</v>
      </c>
      <c r="H37" s="53" t="s">
        <v>25</v>
      </c>
      <c r="I37" s="75">
        <v>44562</v>
      </c>
      <c r="J37" s="76">
        <f>EFEITO!$J$37*EFEITO!$Y$37</f>
        <v>0</v>
      </c>
      <c r="K37" s="76">
        <f ca="1">EFEITO!$L$37*EFEITO!$Z$37</f>
        <v>112510.36345807256</v>
      </c>
      <c r="L37" s="76">
        <f>EFEITO!$N$37*EFEITO!$AA$37</f>
        <v>0</v>
      </c>
      <c r="M37" s="76">
        <f>$J$37-EFEITO!$K$37*EFEITO!$Y$37</f>
        <v>0</v>
      </c>
      <c r="N37" s="76">
        <f ca="1">$K$37-EFEITO!$M$37*EFEITO!$Z$37</f>
        <v>0</v>
      </c>
      <c r="O37" s="76">
        <f>$L$37-EFEITO!$O$37*EFEITO!$AA$37</f>
        <v>0</v>
      </c>
      <c r="P37" s="57"/>
      <c r="Q37" s="57"/>
      <c r="R37" s="57"/>
      <c r="S37" s="57"/>
      <c r="T37" s="57"/>
      <c r="U37" s="57"/>
      <c r="V37" s="57"/>
      <c r="W37" s="57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1.25" customHeight="1" x14ac:dyDescent="0.2">
      <c r="A38" s="53" t="s">
        <v>21</v>
      </c>
      <c r="B38" s="53" t="s">
        <v>41</v>
      </c>
      <c r="C38" s="53" t="s">
        <v>42</v>
      </c>
      <c r="D38" s="53" t="s">
        <v>43</v>
      </c>
      <c r="E38" s="53" t="s">
        <v>25</v>
      </c>
      <c r="F38" s="53" t="s">
        <v>25</v>
      </c>
      <c r="G38" s="53" t="s">
        <v>25</v>
      </c>
      <c r="H38" s="53" t="s">
        <v>25</v>
      </c>
      <c r="I38" s="75">
        <v>44593</v>
      </c>
      <c r="J38" s="76">
        <f>EFEITO!$J$38*EFEITO!$Y$38</f>
        <v>0</v>
      </c>
      <c r="K38" s="76">
        <f ca="1">EFEITO!$L$38*EFEITO!$Z$38</f>
        <v>101387.50764496208</v>
      </c>
      <c r="L38" s="76">
        <f>EFEITO!$N$38*EFEITO!$AA$38</f>
        <v>0</v>
      </c>
      <c r="M38" s="76">
        <f>$J$38-EFEITO!$K$38*EFEITO!$Y$38</f>
        <v>0</v>
      </c>
      <c r="N38" s="76">
        <f ca="1">$K$38-EFEITO!$M$38*EFEITO!$Z$38</f>
        <v>0</v>
      </c>
      <c r="O38" s="76">
        <f>$L$38-EFEITO!$O$38*EFEITO!$AA$38</f>
        <v>0</v>
      </c>
      <c r="P38" s="57"/>
      <c r="Q38" s="57"/>
      <c r="R38" s="57"/>
      <c r="S38" s="57"/>
      <c r="T38" s="57"/>
      <c r="U38" s="57"/>
      <c r="V38" s="57"/>
      <c r="W38" s="57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1.25" customHeight="1" x14ac:dyDescent="0.2">
      <c r="A39" s="53" t="s">
        <v>21</v>
      </c>
      <c r="B39" s="53" t="s">
        <v>41</v>
      </c>
      <c r="C39" s="53" t="s">
        <v>42</v>
      </c>
      <c r="D39" s="53" t="s">
        <v>43</v>
      </c>
      <c r="E39" s="53" t="s">
        <v>25</v>
      </c>
      <c r="F39" s="53" t="s">
        <v>25</v>
      </c>
      <c r="G39" s="53" t="s">
        <v>25</v>
      </c>
      <c r="H39" s="53" t="s">
        <v>25</v>
      </c>
      <c r="I39" s="75">
        <v>44621</v>
      </c>
      <c r="J39" s="76">
        <f>EFEITO!$J$39*EFEITO!$Y$39</f>
        <v>0</v>
      </c>
      <c r="K39" s="76">
        <f ca="1">EFEITO!$L$39*EFEITO!$Z$39</f>
        <v>109082.9142153586</v>
      </c>
      <c r="L39" s="76">
        <f>EFEITO!$N$39*EFEITO!$AA$39</f>
        <v>0</v>
      </c>
      <c r="M39" s="76">
        <f>$J$39-EFEITO!$K$39*EFEITO!$Y$39</f>
        <v>0</v>
      </c>
      <c r="N39" s="76">
        <f ca="1">$K$39-EFEITO!$M$39*EFEITO!$Z$39</f>
        <v>0</v>
      </c>
      <c r="O39" s="76">
        <f>$L$39-EFEITO!$O$39*EFEITO!$AA$39</f>
        <v>0</v>
      </c>
      <c r="P39" s="57"/>
      <c r="Q39" s="57"/>
      <c r="R39" s="57"/>
      <c r="S39" s="57"/>
      <c r="T39" s="57"/>
      <c r="U39" s="57"/>
      <c r="V39" s="57"/>
      <c r="W39" s="57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1.25" customHeight="1" x14ac:dyDescent="0.2">
      <c r="A40" s="53" t="s">
        <v>56</v>
      </c>
      <c r="B40" s="53" t="s">
        <v>41</v>
      </c>
      <c r="C40" s="53" t="s">
        <v>42</v>
      </c>
      <c r="D40" s="53" t="s">
        <v>43</v>
      </c>
      <c r="E40" s="53" t="s">
        <v>25</v>
      </c>
      <c r="F40" s="53" t="s">
        <v>25</v>
      </c>
      <c r="G40" s="53" t="s">
        <v>25</v>
      </c>
      <c r="H40" s="53" t="s">
        <v>25</v>
      </c>
      <c r="I40" s="75">
        <v>44652</v>
      </c>
      <c r="J40" s="76">
        <f>EFEITO!$J$40*EFEITO!$Y$40</f>
        <v>0</v>
      </c>
      <c r="K40" s="76">
        <f ca="1">EFEITO!$L$40*EFEITO!$Z$40</f>
        <v>109082.9142153586</v>
      </c>
      <c r="L40" s="76">
        <f>EFEITO!$N$40*EFEITO!$AA$40</f>
        <v>0</v>
      </c>
      <c r="M40" s="76">
        <f>$J$40-EFEITO!$K$40*EFEITO!$Y$40</f>
        <v>0</v>
      </c>
      <c r="N40" s="76">
        <f ca="1">$K$40-EFEITO!$M$40*EFEITO!$Z$40</f>
        <v>0</v>
      </c>
      <c r="O40" s="76">
        <f>$L$40-EFEITO!$O$40*EFEITO!$AA$40</f>
        <v>0</v>
      </c>
      <c r="P40" s="57"/>
      <c r="Q40" s="57"/>
      <c r="R40" s="57"/>
      <c r="S40" s="57"/>
      <c r="T40" s="57"/>
      <c r="U40" s="57"/>
      <c r="V40" s="57"/>
      <c r="W40" s="57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1.25" customHeight="1" x14ac:dyDescent="0.2">
      <c r="A41" s="53" t="s">
        <v>21</v>
      </c>
      <c r="B41" s="53" t="s">
        <v>41</v>
      </c>
      <c r="C41" s="53" t="s">
        <v>42</v>
      </c>
      <c r="D41" s="53" t="s">
        <v>43</v>
      </c>
      <c r="E41" s="53" t="s">
        <v>25</v>
      </c>
      <c r="F41" s="53" t="s">
        <v>25</v>
      </c>
      <c r="G41" s="53" t="s">
        <v>25</v>
      </c>
      <c r="H41" s="53" t="s">
        <v>35</v>
      </c>
      <c r="I41" s="75">
        <v>44317</v>
      </c>
      <c r="J41" s="76">
        <f ca="1">EFEITO!$J$41*EFEITO!$Y$41</f>
        <v>6067.4590929101387</v>
      </c>
      <c r="K41" s="76">
        <f ca="1">EFEITO!$L$41*EFEITO!$Z$41</f>
        <v>213.55797768478448</v>
      </c>
      <c r="L41" s="76">
        <f>EFEITO!$N$41*EFEITO!$AA$41</f>
        <v>1187.3341666766419</v>
      </c>
      <c r="M41" s="76">
        <f ca="1">$J$41-EFEITO!$K$41*EFEITO!$Y$41</f>
        <v>0</v>
      </c>
      <c r="N41" s="76">
        <f ca="1">$K$41-EFEITO!$M$41*EFEITO!$Z$41</f>
        <v>0</v>
      </c>
      <c r="O41" s="76">
        <f>$L$41-EFEITO!$O$41*EFEITO!$AA$41</f>
        <v>0</v>
      </c>
      <c r="P41" s="57"/>
      <c r="Q41" s="57"/>
      <c r="R41" s="57"/>
      <c r="S41" s="57"/>
      <c r="T41" s="57"/>
      <c r="U41" s="57"/>
      <c r="V41" s="57"/>
      <c r="W41" s="57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1.25" customHeight="1" x14ac:dyDescent="0.2">
      <c r="A42" s="53" t="s">
        <v>28</v>
      </c>
      <c r="B42" s="53" t="s">
        <v>41</v>
      </c>
      <c r="C42" s="53" t="s">
        <v>42</v>
      </c>
      <c r="D42" s="53" t="s">
        <v>43</v>
      </c>
      <c r="E42" s="53" t="s">
        <v>25</v>
      </c>
      <c r="F42" s="53" t="s">
        <v>25</v>
      </c>
      <c r="G42" s="53" t="s">
        <v>25</v>
      </c>
      <c r="H42" s="53" t="s">
        <v>35</v>
      </c>
      <c r="I42" s="75">
        <v>44317</v>
      </c>
      <c r="J42" s="76">
        <f ca="1">EFEITO!$J$42*EFEITO!$Y$42</f>
        <v>6067.4590929101387</v>
      </c>
      <c r="K42" s="76">
        <f ca="1">EFEITO!$L$42*EFEITO!$Z$42</f>
        <v>523.18273576329557</v>
      </c>
      <c r="L42" s="76">
        <f>EFEITO!$N$42*EFEITO!$AA$42</f>
        <v>2908.7779549214983</v>
      </c>
      <c r="M42" s="76">
        <f ca="1">$J$42-EFEITO!$K$42*EFEITO!$Y$42</f>
        <v>0</v>
      </c>
      <c r="N42" s="76">
        <f ca="1">$K$42-EFEITO!$M$42*EFEITO!$Z$42</f>
        <v>0</v>
      </c>
      <c r="O42" s="76">
        <f>$L$42-EFEITO!$O$42*EFEITO!$AA$42</f>
        <v>0</v>
      </c>
      <c r="P42" s="57"/>
      <c r="Q42" s="57"/>
      <c r="R42" s="57"/>
      <c r="S42" s="57"/>
      <c r="T42" s="57"/>
      <c r="U42" s="57"/>
      <c r="V42" s="57"/>
      <c r="W42" s="57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1.25" customHeight="1" x14ac:dyDescent="0.2">
      <c r="A43" s="53" t="s">
        <v>21</v>
      </c>
      <c r="B43" s="53" t="s">
        <v>41</v>
      </c>
      <c r="C43" s="53" t="s">
        <v>42</v>
      </c>
      <c r="D43" s="53" t="s">
        <v>43</v>
      </c>
      <c r="E43" s="53" t="s">
        <v>25</v>
      </c>
      <c r="F43" s="53" t="s">
        <v>25</v>
      </c>
      <c r="G43" s="53" t="s">
        <v>25</v>
      </c>
      <c r="H43" s="53" t="s">
        <v>35</v>
      </c>
      <c r="I43" s="75">
        <v>44317</v>
      </c>
      <c r="J43" s="76">
        <f ca="1">EFEITO!$J$43*EFEITO!$Y$43</f>
        <v>94955.734804043663</v>
      </c>
      <c r="K43" s="76">
        <f ca="1">EFEITO!$L$43*EFEITO!$Z$43</f>
        <v>0</v>
      </c>
      <c r="L43" s="76">
        <f>EFEITO!$N$43*EFEITO!$AA$43</f>
        <v>0</v>
      </c>
      <c r="M43" s="76">
        <f ca="1">$J$43-EFEITO!$K$43*EFEITO!$Y$43</f>
        <v>0</v>
      </c>
      <c r="N43" s="76">
        <f ca="1">$K$43-EFEITO!$M$43*EFEITO!$Z$43</f>
        <v>0</v>
      </c>
      <c r="O43" s="76">
        <f>$L$43-EFEITO!$O$43*EFEITO!$AA$43</f>
        <v>0</v>
      </c>
      <c r="P43" s="57"/>
      <c r="Q43" s="57"/>
      <c r="R43" s="57"/>
      <c r="S43" s="57"/>
      <c r="T43" s="57"/>
      <c r="U43" s="57"/>
      <c r="V43" s="57"/>
      <c r="W43" s="57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1.25" customHeight="1" x14ac:dyDescent="0.2">
      <c r="A44" s="53" t="s">
        <v>21</v>
      </c>
      <c r="B44" s="53" t="s">
        <v>41</v>
      </c>
      <c r="C44" s="53" t="s">
        <v>42</v>
      </c>
      <c r="D44" s="53" t="s">
        <v>43</v>
      </c>
      <c r="E44" s="53" t="s">
        <v>25</v>
      </c>
      <c r="F44" s="53" t="s">
        <v>25</v>
      </c>
      <c r="G44" s="53" t="s">
        <v>25</v>
      </c>
      <c r="H44" s="53" t="s">
        <v>35</v>
      </c>
      <c r="I44" s="75">
        <v>44348</v>
      </c>
      <c r="J44" s="76">
        <f ca="1">EFEITO!$J$44*EFEITO!$Y$44</f>
        <v>6067.4590929101387</v>
      </c>
      <c r="K44" s="76">
        <f ca="1">EFEITO!$L$44*EFEITO!$Z$44</f>
        <v>212.64305596674896</v>
      </c>
      <c r="L44" s="76">
        <f>EFEITO!$N$44*EFEITO!$AA$44</f>
        <v>1182.2474083759923</v>
      </c>
      <c r="M44" s="76">
        <f ca="1">$J$44-EFEITO!$K$44*EFEITO!$Y$44</f>
        <v>0</v>
      </c>
      <c r="N44" s="76">
        <f ca="1">$K$44-EFEITO!$M$44*EFEITO!$Z$44</f>
        <v>0</v>
      </c>
      <c r="O44" s="76">
        <f>$L$44-EFEITO!$O$44*EFEITO!$AA$44</f>
        <v>0</v>
      </c>
      <c r="P44" s="57"/>
      <c r="Q44" s="57"/>
      <c r="R44" s="57"/>
      <c r="S44" s="57"/>
      <c r="T44" s="57"/>
      <c r="U44" s="57"/>
      <c r="V44" s="57"/>
      <c r="W44" s="57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1.25" customHeight="1" x14ac:dyDescent="0.2">
      <c r="A45" s="53" t="s">
        <v>28</v>
      </c>
      <c r="B45" s="53" t="s">
        <v>41</v>
      </c>
      <c r="C45" s="53" t="s">
        <v>42</v>
      </c>
      <c r="D45" s="53" t="s">
        <v>43</v>
      </c>
      <c r="E45" s="53" t="s">
        <v>25</v>
      </c>
      <c r="F45" s="53" t="s">
        <v>25</v>
      </c>
      <c r="G45" s="53" t="s">
        <v>25</v>
      </c>
      <c r="H45" s="53" t="s">
        <v>35</v>
      </c>
      <c r="I45" s="75">
        <v>44348</v>
      </c>
      <c r="J45" s="76">
        <f ca="1">EFEITO!$J$45*EFEITO!$Y$45</f>
        <v>6067.4590929101387</v>
      </c>
      <c r="K45" s="76">
        <f ca="1">EFEITO!$L$45*EFEITO!$Z$45</f>
        <v>492.53285820910656</v>
      </c>
      <c r="L45" s="76">
        <f>EFEITO!$N$45*EFEITO!$AA$45</f>
        <v>2738.3715518497343</v>
      </c>
      <c r="M45" s="76">
        <f ca="1">$J$45-EFEITO!$K$45*EFEITO!$Y$45</f>
        <v>0</v>
      </c>
      <c r="N45" s="76">
        <f ca="1">$K$45-EFEITO!$M$45*EFEITO!$Z$45</f>
        <v>0</v>
      </c>
      <c r="O45" s="76">
        <f>$L$45-EFEITO!$O$45*EFEITO!$AA$45</f>
        <v>0</v>
      </c>
      <c r="P45" s="57"/>
      <c r="Q45" s="57"/>
      <c r="R45" s="57"/>
      <c r="S45" s="57"/>
      <c r="T45" s="57"/>
      <c r="U45" s="57"/>
      <c r="V45" s="57"/>
      <c r="W45" s="57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1.25" customHeight="1" x14ac:dyDescent="0.2">
      <c r="A46" s="53" t="s">
        <v>21</v>
      </c>
      <c r="B46" s="53" t="s">
        <v>41</v>
      </c>
      <c r="C46" s="53" t="s">
        <v>42</v>
      </c>
      <c r="D46" s="53" t="s">
        <v>43</v>
      </c>
      <c r="E46" s="53" t="s">
        <v>25</v>
      </c>
      <c r="F46" s="53" t="s">
        <v>25</v>
      </c>
      <c r="G46" s="53" t="s">
        <v>25</v>
      </c>
      <c r="H46" s="53" t="s">
        <v>35</v>
      </c>
      <c r="I46" s="75">
        <v>44348</v>
      </c>
      <c r="J46" s="76">
        <f ca="1">EFEITO!$J$46*EFEITO!$Y$46</f>
        <v>92073.69173491135</v>
      </c>
      <c r="K46" s="76">
        <f ca="1">EFEITO!$L$46*EFEITO!$Z$46</f>
        <v>0</v>
      </c>
      <c r="L46" s="76">
        <f>EFEITO!$N$46*EFEITO!$AA$46</f>
        <v>0</v>
      </c>
      <c r="M46" s="76">
        <f ca="1">$J$46-EFEITO!$K$46*EFEITO!$Y$46</f>
        <v>0</v>
      </c>
      <c r="N46" s="76">
        <f ca="1">$K$46-EFEITO!$M$46*EFEITO!$Z$46</f>
        <v>0</v>
      </c>
      <c r="O46" s="76">
        <f>$L$46-EFEITO!$O$46*EFEITO!$AA$46</f>
        <v>0</v>
      </c>
      <c r="P46" s="57"/>
      <c r="Q46" s="57"/>
      <c r="R46" s="57"/>
      <c r="S46" s="57"/>
      <c r="T46" s="57"/>
      <c r="U46" s="57"/>
      <c r="V46" s="57"/>
      <c r="W46" s="57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1.25" customHeight="1" x14ac:dyDescent="0.2">
      <c r="A47" s="53" t="s">
        <v>21</v>
      </c>
      <c r="B47" s="53" t="s">
        <v>41</v>
      </c>
      <c r="C47" s="53" t="s">
        <v>42</v>
      </c>
      <c r="D47" s="53" t="s">
        <v>43</v>
      </c>
      <c r="E47" s="53" t="s">
        <v>25</v>
      </c>
      <c r="F47" s="53" t="s">
        <v>25</v>
      </c>
      <c r="G47" s="53" t="s">
        <v>25</v>
      </c>
      <c r="H47" s="53" t="s">
        <v>35</v>
      </c>
      <c r="I47" s="75">
        <v>44378</v>
      </c>
      <c r="J47" s="76">
        <f ca="1">EFEITO!$J$47*EFEITO!$Y$47</f>
        <v>6067.4590929101387</v>
      </c>
      <c r="K47" s="76">
        <f ca="1">EFEITO!$L$47*EFEITO!$Z$47</f>
        <v>251.06976812423963</v>
      </c>
      <c r="L47" s="76">
        <f>EFEITO!$N$47*EFEITO!$AA$47</f>
        <v>1395.891257003278</v>
      </c>
      <c r="M47" s="76">
        <f ca="1">$J$47-EFEITO!$K$47*EFEITO!$Y$47</f>
        <v>0</v>
      </c>
      <c r="N47" s="76">
        <f ca="1">$K$47-EFEITO!$M$47*EFEITO!$Z$47</f>
        <v>0</v>
      </c>
      <c r="O47" s="76">
        <f>$L$47-EFEITO!$O$47*EFEITO!$AA$47</f>
        <v>0</v>
      </c>
      <c r="P47" s="57"/>
      <c r="Q47" s="57"/>
      <c r="R47" s="57"/>
      <c r="S47" s="57"/>
      <c r="T47" s="57"/>
      <c r="U47" s="57"/>
      <c r="V47" s="57"/>
      <c r="W47" s="57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1.25" customHeight="1" x14ac:dyDescent="0.2">
      <c r="A48" s="53" t="s">
        <v>28</v>
      </c>
      <c r="B48" s="53" t="s">
        <v>41</v>
      </c>
      <c r="C48" s="53" t="s">
        <v>42</v>
      </c>
      <c r="D48" s="53" t="s">
        <v>43</v>
      </c>
      <c r="E48" s="53" t="s">
        <v>25</v>
      </c>
      <c r="F48" s="53" t="s">
        <v>25</v>
      </c>
      <c r="G48" s="53" t="s">
        <v>25</v>
      </c>
      <c r="H48" s="53" t="s">
        <v>35</v>
      </c>
      <c r="I48" s="75">
        <v>44378</v>
      </c>
      <c r="J48" s="76">
        <f ca="1">EFEITO!$J$48*EFEITO!$Y$48</f>
        <v>6067.4590929101387</v>
      </c>
      <c r="K48" s="76">
        <f ca="1">EFEITO!$L$48*EFEITO!$Z$48</f>
        <v>500.5384232419172</v>
      </c>
      <c r="L48" s="76">
        <f>EFEITO!$N$48*EFEITO!$AA$48</f>
        <v>2782.8806869804193</v>
      </c>
      <c r="M48" s="76">
        <f ca="1">$J$48-EFEITO!$K$48*EFEITO!$Y$48</f>
        <v>0</v>
      </c>
      <c r="N48" s="76">
        <f ca="1">$K$48-EFEITO!$M$48*EFEITO!$Z$48</f>
        <v>0</v>
      </c>
      <c r="O48" s="76">
        <f>$L$48-EFEITO!$O$48*EFEITO!$AA$48</f>
        <v>0</v>
      </c>
      <c r="P48" s="57"/>
      <c r="Q48" s="57"/>
      <c r="R48" s="57"/>
      <c r="S48" s="57"/>
      <c r="T48" s="57"/>
      <c r="U48" s="57"/>
      <c r="V48" s="57"/>
      <c r="W48" s="57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1.25" customHeight="1" x14ac:dyDescent="0.2">
      <c r="A49" s="53" t="s">
        <v>21</v>
      </c>
      <c r="B49" s="53" t="s">
        <v>41</v>
      </c>
      <c r="C49" s="53" t="s">
        <v>42</v>
      </c>
      <c r="D49" s="53" t="s">
        <v>43</v>
      </c>
      <c r="E49" s="53" t="s">
        <v>25</v>
      </c>
      <c r="F49" s="53" t="s">
        <v>25</v>
      </c>
      <c r="G49" s="53" t="s">
        <v>25</v>
      </c>
      <c r="H49" s="53" t="s">
        <v>35</v>
      </c>
      <c r="I49" s="75">
        <v>44378</v>
      </c>
      <c r="J49" s="76">
        <f ca="1">EFEITO!$J$49*EFEITO!$Y$49</f>
        <v>95137.758576830965</v>
      </c>
      <c r="K49" s="76">
        <f ca="1">EFEITO!$L$49*EFEITO!$Z$49</f>
        <v>0</v>
      </c>
      <c r="L49" s="76">
        <f>EFEITO!$N$49*EFEITO!$AA$49</f>
        <v>0</v>
      </c>
      <c r="M49" s="76">
        <f ca="1">$J$49-EFEITO!$K$49*EFEITO!$Y$49</f>
        <v>0</v>
      </c>
      <c r="N49" s="76">
        <f ca="1">$K$49-EFEITO!$M$49*EFEITO!$Z$49</f>
        <v>0</v>
      </c>
      <c r="O49" s="76">
        <f>$L$49-EFEITO!$O$49*EFEITO!$AA$49</f>
        <v>0</v>
      </c>
      <c r="P49" s="57"/>
      <c r="Q49" s="57"/>
      <c r="R49" s="57"/>
      <c r="S49" s="57"/>
      <c r="T49" s="57"/>
      <c r="U49" s="57"/>
      <c r="V49" s="57"/>
      <c r="W49" s="57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1.25" customHeight="1" x14ac:dyDescent="0.2">
      <c r="A50" s="53" t="s">
        <v>21</v>
      </c>
      <c r="B50" s="53" t="s">
        <v>41</v>
      </c>
      <c r="C50" s="53" t="s">
        <v>42</v>
      </c>
      <c r="D50" s="53" t="s">
        <v>43</v>
      </c>
      <c r="E50" s="53" t="s">
        <v>25</v>
      </c>
      <c r="F50" s="53" t="s">
        <v>25</v>
      </c>
      <c r="G50" s="53" t="s">
        <v>25</v>
      </c>
      <c r="H50" s="53" t="s">
        <v>35</v>
      </c>
      <c r="I50" s="75">
        <v>44409</v>
      </c>
      <c r="J50" s="76">
        <f ca="1">EFEITO!$J$50*EFEITO!$Y$50</f>
        <v>6067.4590929101387</v>
      </c>
      <c r="K50" s="76">
        <f ca="1">EFEITO!$L$50*EFEITO!$Z$50</f>
        <v>266.77592428384889</v>
      </c>
      <c r="L50" s="76">
        <f>EFEITO!$N$50*EFEITO!$AA$50</f>
        <v>1483.2139411644305</v>
      </c>
      <c r="M50" s="76">
        <f ca="1">$J$50-EFEITO!$K$50*EFEITO!$Y$50</f>
        <v>0</v>
      </c>
      <c r="N50" s="76">
        <f ca="1">$K$50-EFEITO!$M$50*EFEITO!$Z$50</f>
        <v>0</v>
      </c>
      <c r="O50" s="76">
        <f>$L$50-EFEITO!$O$50*EFEITO!$AA$50</f>
        <v>0</v>
      </c>
      <c r="P50" s="57"/>
      <c r="Q50" s="57"/>
      <c r="R50" s="57"/>
      <c r="S50" s="57"/>
      <c r="T50" s="57"/>
      <c r="U50" s="57"/>
      <c r="V50" s="57"/>
      <c r="W50" s="57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1.25" customHeight="1" x14ac:dyDescent="0.2">
      <c r="A51" s="53" t="s">
        <v>21</v>
      </c>
      <c r="B51" s="53" t="s">
        <v>41</v>
      </c>
      <c r="C51" s="53" t="s">
        <v>42</v>
      </c>
      <c r="D51" s="53" t="s">
        <v>43</v>
      </c>
      <c r="E51" s="53" t="s">
        <v>25</v>
      </c>
      <c r="F51" s="53" t="s">
        <v>25</v>
      </c>
      <c r="G51" s="53" t="s">
        <v>25</v>
      </c>
      <c r="H51" s="53" t="s">
        <v>35</v>
      </c>
      <c r="I51" s="75">
        <v>44409</v>
      </c>
      <c r="J51" s="76">
        <f ca="1">EFEITO!$J$51*EFEITO!$Y$51</f>
        <v>86127.581823859422</v>
      </c>
      <c r="K51" s="76">
        <f ca="1">EFEITO!$L$51*EFEITO!$Z$51</f>
        <v>0</v>
      </c>
      <c r="L51" s="76">
        <f>EFEITO!$N$51*EFEITO!$AA$51</f>
        <v>0</v>
      </c>
      <c r="M51" s="76">
        <f ca="1">$J$51-EFEITO!$K$51*EFEITO!$Y$51</f>
        <v>0</v>
      </c>
      <c r="N51" s="76">
        <f ca="1">$K$51-EFEITO!$M$51*EFEITO!$Z$51</f>
        <v>0</v>
      </c>
      <c r="O51" s="76">
        <f>$L$51-EFEITO!$O$51*EFEITO!$AA$51</f>
        <v>0</v>
      </c>
      <c r="P51" s="57"/>
      <c r="Q51" s="57"/>
      <c r="R51" s="57"/>
      <c r="S51" s="57"/>
      <c r="T51" s="57"/>
      <c r="U51" s="57"/>
      <c r="V51" s="57"/>
      <c r="W51" s="57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1.25" customHeight="1" x14ac:dyDescent="0.2">
      <c r="A52" s="53" t="s">
        <v>21</v>
      </c>
      <c r="B52" s="53" t="s">
        <v>41</v>
      </c>
      <c r="C52" s="53" t="s">
        <v>42</v>
      </c>
      <c r="D52" s="53" t="s">
        <v>43</v>
      </c>
      <c r="E52" s="53" t="s">
        <v>25</v>
      </c>
      <c r="F52" s="53" t="s">
        <v>25</v>
      </c>
      <c r="G52" s="53" t="s">
        <v>25</v>
      </c>
      <c r="H52" s="53" t="s">
        <v>35</v>
      </c>
      <c r="I52" s="75">
        <v>44440</v>
      </c>
      <c r="J52" s="76">
        <f ca="1">EFEITO!$J$52*EFEITO!$Y$52</f>
        <v>6067.4590929101387</v>
      </c>
      <c r="K52" s="76">
        <f ca="1">EFEITO!$L$52*EFEITO!$Z$52</f>
        <v>285.76054993308537</v>
      </c>
      <c r="L52" s="76">
        <f>EFEITO!$N$52*EFEITO!$AA$52</f>
        <v>1588.7641759029111</v>
      </c>
      <c r="M52" s="76">
        <f ca="1">$J$52-EFEITO!$K$52*EFEITO!$Y$52</f>
        <v>0</v>
      </c>
      <c r="N52" s="76">
        <f ca="1">$K$52-EFEITO!$M$52*EFEITO!$Z$52</f>
        <v>0</v>
      </c>
      <c r="O52" s="76">
        <f>$L$52-EFEITO!$O$52*EFEITO!$AA$52</f>
        <v>0</v>
      </c>
      <c r="P52" s="57"/>
      <c r="Q52" s="57"/>
      <c r="R52" s="57"/>
      <c r="S52" s="57"/>
      <c r="T52" s="57"/>
      <c r="U52" s="57"/>
      <c r="V52" s="57"/>
      <c r="W52" s="57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1.25" customHeight="1" x14ac:dyDescent="0.2">
      <c r="A53" s="53" t="s">
        <v>21</v>
      </c>
      <c r="B53" s="53" t="s">
        <v>41</v>
      </c>
      <c r="C53" s="53" t="s">
        <v>42</v>
      </c>
      <c r="D53" s="53" t="s">
        <v>43</v>
      </c>
      <c r="E53" s="53" t="s">
        <v>25</v>
      </c>
      <c r="F53" s="53" t="s">
        <v>25</v>
      </c>
      <c r="G53" s="53" t="s">
        <v>25</v>
      </c>
      <c r="H53" s="53" t="s">
        <v>35</v>
      </c>
      <c r="I53" s="75">
        <v>44440</v>
      </c>
      <c r="J53" s="76">
        <f ca="1">EFEITO!$J$53*EFEITO!$Y$53</f>
        <v>98596.210259789746</v>
      </c>
      <c r="K53" s="76">
        <f ca="1">EFEITO!$L$53*EFEITO!$Z$53</f>
        <v>0</v>
      </c>
      <c r="L53" s="76">
        <f>EFEITO!$N$53*EFEITO!$AA$53</f>
        <v>0</v>
      </c>
      <c r="M53" s="76">
        <f ca="1">$J$53-EFEITO!$K$53*EFEITO!$Y$53</f>
        <v>0</v>
      </c>
      <c r="N53" s="76">
        <f ca="1">$K$53-EFEITO!$M$53*EFEITO!$Z$53</f>
        <v>0</v>
      </c>
      <c r="O53" s="76">
        <f>$L$53-EFEITO!$O$53*EFEITO!$AA$53</f>
        <v>0</v>
      </c>
      <c r="P53" s="57"/>
      <c r="Q53" s="57"/>
      <c r="R53" s="57"/>
      <c r="S53" s="57"/>
      <c r="T53" s="57"/>
      <c r="U53" s="57"/>
      <c r="V53" s="57"/>
      <c r="W53" s="57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1.25" customHeight="1" x14ac:dyDescent="0.2">
      <c r="A54" s="53" t="s">
        <v>21</v>
      </c>
      <c r="B54" s="53" t="s">
        <v>41</v>
      </c>
      <c r="C54" s="53" t="s">
        <v>42</v>
      </c>
      <c r="D54" s="53" t="s">
        <v>43</v>
      </c>
      <c r="E54" s="53" t="s">
        <v>25</v>
      </c>
      <c r="F54" s="53" t="s">
        <v>25</v>
      </c>
      <c r="G54" s="53" t="s">
        <v>25</v>
      </c>
      <c r="H54" s="53" t="s">
        <v>35</v>
      </c>
      <c r="I54" s="75">
        <v>44470</v>
      </c>
      <c r="J54" s="76">
        <f ca="1">EFEITO!$J$54*EFEITO!$Y$54</f>
        <v>6067.4590929101387</v>
      </c>
      <c r="K54" s="76">
        <f ca="1">EFEITO!$L$54*EFEITO!$Z$54</f>
        <v>312.75074061513243</v>
      </c>
      <c r="L54" s="76">
        <f>EFEITO!$N$54*EFEITO!$AA$54</f>
        <v>1738.8235457720762</v>
      </c>
      <c r="M54" s="76">
        <f ca="1">$J$54-EFEITO!$K$54*EFEITO!$Y$54</f>
        <v>0</v>
      </c>
      <c r="N54" s="76">
        <f ca="1">$K$54-EFEITO!$M$54*EFEITO!$Z$54</f>
        <v>0</v>
      </c>
      <c r="O54" s="76">
        <f>$L$54-EFEITO!$O$54*EFEITO!$AA$54</f>
        <v>0</v>
      </c>
      <c r="P54" s="57"/>
      <c r="Q54" s="57"/>
      <c r="R54" s="57"/>
      <c r="S54" s="57"/>
      <c r="T54" s="57"/>
      <c r="U54" s="57"/>
      <c r="V54" s="57"/>
      <c r="W54" s="57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1.25" customHeight="1" x14ac:dyDescent="0.2">
      <c r="A55" s="53" t="s">
        <v>21</v>
      </c>
      <c r="B55" s="53" t="s">
        <v>41</v>
      </c>
      <c r="C55" s="53" t="s">
        <v>42</v>
      </c>
      <c r="D55" s="53" t="s">
        <v>43</v>
      </c>
      <c r="E55" s="53" t="s">
        <v>25</v>
      </c>
      <c r="F55" s="53" t="s">
        <v>25</v>
      </c>
      <c r="G55" s="53" t="s">
        <v>25</v>
      </c>
      <c r="H55" s="53" t="s">
        <v>35</v>
      </c>
      <c r="I55" s="75">
        <v>44470</v>
      </c>
      <c r="J55" s="76">
        <f ca="1">EFEITO!$J$55*EFEITO!$Y$55</f>
        <v>98596.210259789746</v>
      </c>
      <c r="K55" s="76">
        <f ca="1">EFEITO!$L$55*EFEITO!$Z$55</f>
        <v>0</v>
      </c>
      <c r="L55" s="76">
        <f>EFEITO!$N$55*EFEITO!$AA$55</f>
        <v>0</v>
      </c>
      <c r="M55" s="76">
        <f ca="1">$J$55-EFEITO!$K$55*EFEITO!$Y$55</f>
        <v>0</v>
      </c>
      <c r="N55" s="76">
        <f ca="1">$K$55-EFEITO!$M$55*EFEITO!$Z$55</f>
        <v>0</v>
      </c>
      <c r="O55" s="76">
        <f>$L$55-EFEITO!$O$55*EFEITO!$AA$55</f>
        <v>0</v>
      </c>
      <c r="P55" s="57"/>
      <c r="Q55" s="57"/>
      <c r="R55" s="57"/>
      <c r="S55" s="57"/>
      <c r="T55" s="57"/>
      <c r="U55" s="57"/>
      <c r="V55" s="57"/>
      <c r="W55" s="57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1.25" customHeight="1" x14ac:dyDescent="0.2">
      <c r="A56" s="53" t="s">
        <v>21</v>
      </c>
      <c r="B56" s="53" t="s">
        <v>41</v>
      </c>
      <c r="C56" s="53" t="s">
        <v>42</v>
      </c>
      <c r="D56" s="53" t="s">
        <v>43</v>
      </c>
      <c r="E56" s="53" t="s">
        <v>25</v>
      </c>
      <c r="F56" s="53" t="s">
        <v>25</v>
      </c>
      <c r="G56" s="53" t="s">
        <v>25</v>
      </c>
      <c r="H56" s="53" t="s">
        <v>35</v>
      </c>
      <c r="I56" s="75">
        <v>44501</v>
      </c>
      <c r="J56" s="76">
        <f ca="1">EFEITO!$J$56*EFEITO!$Y$56</f>
        <v>6067.4590929101387</v>
      </c>
      <c r="K56" s="76">
        <f ca="1">EFEITO!$L$56*EFEITO!$Z$56</f>
        <v>304.44020167630998</v>
      </c>
      <c r="L56" s="76">
        <f>EFEITO!$N$56*EFEITO!$AA$56</f>
        <v>1692.6188245411749</v>
      </c>
      <c r="M56" s="76">
        <f ca="1">$J$56-EFEITO!$K$56*EFEITO!$Y$56</f>
        <v>0</v>
      </c>
      <c r="N56" s="76">
        <f ca="1">$K$56-EFEITO!$M$56*EFEITO!$Z$56</f>
        <v>0</v>
      </c>
      <c r="O56" s="76">
        <f>$L$56-EFEITO!$O$56*EFEITO!$AA$56</f>
        <v>0</v>
      </c>
      <c r="P56" s="57"/>
      <c r="Q56" s="57"/>
      <c r="R56" s="57"/>
      <c r="S56" s="57"/>
      <c r="T56" s="57"/>
      <c r="U56" s="57"/>
      <c r="V56" s="57"/>
      <c r="W56" s="57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1.25" customHeight="1" x14ac:dyDescent="0.2">
      <c r="A57" s="53" t="s">
        <v>21</v>
      </c>
      <c r="B57" s="53" t="s">
        <v>41</v>
      </c>
      <c r="C57" s="53" t="s">
        <v>42</v>
      </c>
      <c r="D57" s="53" t="s">
        <v>43</v>
      </c>
      <c r="E57" s="53" t="s">
        <v>25</v>
      </c>
      <c r="F57" s="53" t="s">
        <v>25</v>
      </c>
      <c r="G57" s="53" t="s">
        <v>25</v>
      </c>
      <c r="H57" s="53" t="s">
        <v>35</v>
      </c>
      <c r="I57" s="75">
        <v>44501</v>
      </c>
      <c r="J57" s="76">
        <f ca="1">EFEITO!$J$57*EFEITO!$Y$57</f>
        <v>98596.210259789746</v>
      </c>
      <c r="K57" s="76">
        <f ca="1">EFEITO!$L$57*EFEITO!$Z$57</f>
        <v>0</v>
      </c>
      <c r="L57" s="76">
        <f>EFEITO!$N$57*EFEITO!$AA$57</f>
        <v>0</v>
      </c>
      <c r="M57" s="76">
        <f ca="1">$J$57-EFEITO!$K$57*EFEITO!$Y$57</f>
        <v>0</v>
      </c>
      <c r="N57" s="76">
        <f ca="1">$K$57-EFEITO!$M$57*EFEITO!$Z$57</f>
        <v>0</v>
      </c>
      <c r="O57" s="76">
        <f>$L$57-EFEITO!$O$57*EFEITO!$AA$57</f>
        <v>0</v>
      </c>
      <c r="P57" s="57"/>
      <c r="Q57" s="57"/>
      <c r="R57" s="57"/>
      <c r="S57" s="57"/>
      <c r="T57" s="57"/>
      <c r="U57" s="57"/>
      <c r="V57" s="57"/>
      <c r="W57" s="57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1.25" customHeight="1" x14ac:dyDescent="0.2">
      <c r="A58" s="53" t="s">
        <v>21</v>
      </c>
      <c r="B58" s="53" t="s">
        <v>41</v>
      </c>
      <c r="C58" s="53" t="s">
        <v>42</v>
      </c>
      <c r="D58" s="53" t="s">
        <v>43</v>
      </c>
      <c r="E58" s="53" t="s">
        <v>25</v>
      </c>
      <c r="F58" s="53" t="s">
        <v>25</v>
      </c>
      <c r="G58" s="53" t="s">
        <v>25</v>
      </c>
      <c r="H58" s="53" t="s">
        <v>35</v>
      </c>
      <c r="I58" s="75">
        <v>44531</v>
      </c>
      <c r="J58" s="76">
        <f ca="1">EFEITO!$J$58*EFEITO!$Y$58</f>
        <v>6067.4590929101387</v>
      </c>
      <c r="K58" s="76">
        <f ca="1">EFEITO!$L$58*EFEITO!$Z$58</f>
        <v>326.01710552664701</v>
      </c>
      <c r="L58" s="76">
        <f>EFEITO!$N$58*EFEITO!$AA$58</f>
        <v>1812.5815411314959</v>
      </c>
      <c r="M58" s="76">
        <f ca="1">$J$58-EFEITO!$K$58*EFEITO!$Y$58</f>
        <v>0</v>
      </c>
      <c r="N58" s="76">
        <f ca="1">$K$58-EFEITO!$M$58*EFEITO!$Z$58</f>
        <v>0</v>
      </c>
      <c r="O58" s="76">
        <f>$L$58-EFEITO!$O$58*EFEITO!$AA$58</f>
        <v>0</v>
      </c>
      <c r="P58" s="57"/>
      <c r="Q58" s="57"/>
      <c r="R58" s="57"/>
      <c r="S58" s="57"/>
      <c r="T58" s="57"/>
      <c r="U58" s="57"/>
      <c r="V58" s="57"/>
      <c r="W58" s="57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1.25" customHeight="1" x14ac:dyDescent="0.2">
      <c r="A59" s="53" t="s">
        <v>21</v>
      </c>
      <c r="B59" s="53" t="s">
        <v>41</v>
      </c>
      <c r="C59" s="53" t="s">
        <v>42</v>
      </c>
      <c r="D59" s="53" t="s">
        <v>43</v>
      </c>
      <c r="E59" s="53" t="s">
        <v>25</v>
      </c>
      <c r="F59" s="53" t="s">
        <v>25</v>
      </c>
      <c r="G59" s="53" t="s">
        <v>25</v>
      </c>
      <c r="H59" s="53" t="s">
        <v>35</v>
      </c>
      <c r="I59" s="75">
        <v>44531</v>
      </c>
      <c r="J59" s="76">
        <f ca="1">EFEITO!$J$59*EFEITO!$Y$59</f>
        <v>100052.40044208818</v>
      </c>
      <c r="K59" s="76">
        <f ca="1">EFEITO!$L$59*EFEITO!$Z$59</f>
        <v>0</v>
      </c>
      <c r="L59" s="76">
        <f>EFEITO!$N$59*EFEITO!$AA$59</f>
        <v>0</v>
      </c>
      <c r="M59" s="76">
        <f ca="1">$J$59-EFEITO!$K$59*EFEITO!$Y$59</f>
        <v>0</v>
      </c>
      <c r="N59" s="76">
        <f ca="1">$K$59-EFEITO!$M$59*EFEITO!$Z$59</f>
        <v>0</v>
      </c>
      <c r="O59" s="76">
        <f>$L$59-EFEITO!$O$59*EFEITO!$AA$59</f>
        <v>0</v>
      </c>
      <c r="P59" s="57"/>
      <c r="Q59" s="57"/>
      <c r="R59" s="57"/>
      <c r="S59" s="57"/>
      <c r="T59" s="57"/>
      <c r="U59" s="57"/>
      <c r="V59" s="57"/>
      <c r="W59" s="57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1.25" customHeight="1" x14ac:dyDescent="0.2">
      <c r="A60" s="53" t="s">
        <v>21</v>
      </c>
      <c r="B60" s="53" t="s">
        <v>41</v>
      </c>
      <c r="C60" s="53" t="s">
        <v>42</v>
      </c>
      <c r="D60" s="53" t="s">
        <v>43</v>
      </c>
      <c r="E60" s="53" t="s">
        <v>25</v>
      </c>
      <c r="F60" s="53" t="s">
        <v>25</v>
      </c>
      <c r="G60" s="53" t="s">
        <v>25</v>
      </c>
      <c r="H60" s="53" t="s">
        <v>35</v>
      </c>
      <c r="I60" s="75">
        <v>44562</v>
      </c>
      <c r="J60" s="76">
        <f ca="1">EFEITO!$J$60*EFEITO!$Y$60</f>
        <v>6067.4590929101387</v>
      </c>
      <c r="K60" s="76">
        <f ca="1">EFEITO!$L$60*EFEITO!$Z$60</f>
        <v>300.09432351564141</v>
      </c>
      <c r="L60" s="76">
        <f>EFEITO!$N$60*EFEITO!$AA$60</f>
        <v>1668.4567226130889</v>
      </c>
      <c r="M60" s="76">
        <f ca="1">$J$60-EFEITO!$K$60*EFEITO!$Y$60</f>
        <v>0</v>
      </c>
      <c r="N60" s="76">
        <f ca="1">$K$60-EFEITO!$M$60*EFEITO!$Z$60</f>
        <v>0</v>
      </c>
      <c r="O60" s="76">
        <f>$L$60-EFEITO!$O$60*EFEITO!$AA$60</f>
        <v>0</v>
      </c>
      <c r="P60" s="57"/>
      <c r="Q60" s="57"/>
      <c r="R60" s="57"/>
      <c r="S60" s="57"/>
      <c r="T60" s="57"/>
      <c r="U60" s="57"/>
      <c r="V60" s="57"/>
      <c r="W60" s="57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1.25" customHeight="1" x14ac:dyDescent="0.2">
      <c r="A61" s="53" t="s">
        <v>21</v>
      </c>
      <c r="B61" s="53" t="s">
        <v>41</v>
      </c>
      <c r="C61" s="53" t="s">
        <v>42</v>
      </c>
      <c r="D61" s="53" t="s">
        <v>43</v>
      </c>
      <c r="E61" s="53" t="s">
        <v>25</v>
      </c>
      <c r="F61" s="53" t="s">
        <v>25</v>
      </c>
      <c r="G61" s="53" t="s">
        <v>25</v>
      </c>
      <c r="H61" s="53" t="s">
        <v>35</v>
      </c>
      <c r="I61" s="75">
        <v>44562</v>
      </c>
      <c r="J61" s="76">
        <f ca="1">EFEITO!$J$61*EFEITO!$Y$61</f>
        <v>98596.210259789746</v>
      </c>
      <c r="K61" s="76">
        <f ca="1">EFEITO!$L$61*EFEITO!$Z$61</f>
        <v>0</v>
      </c>
      <c r="L61" s="76">
        <f>EFEITO!$N$61*EFEITO!$AA$61</f>
        <v>0</v>
      </c>
      <c r="M61" s="76">
        <f ca="1">$J$61-EFEITO!$K$61*EFEITO!$Y$61</f>
        <v>0</v>
      </c>
      <c r="N61" s="76">
        <f ca="1">$K$61-EFEITO!$M$61*EFEITO!$Z$61</f>
        <v>0</v>
      </c>
      <c r="O61" s="76">
        <f>$L$61-EFEITO!$O$61*EFEITO!$AA$61</f>
        <v>0</v>
      </c>
      <c r="P61" s="57"/>
      <c r="Q61" s="57"/>
      <c r="R61" s="57"/>
      <c r="S61" s="57"/>
      <c r="T61" s="57"/>
      <c r="U61" s="57"/>
      <c r="V61" s="57"/>
      <c r="W61" s="57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1.25" customHeight="1" x14ac:dyDescent="0.2">
      <c r="A62" s="53" t="s">
        <v>21</v>
      </c>
      <c r="B62" s="53" t="s">
        <v>41</v>
      </c>
      <c r="C62" s="53" t="s">
        <v>42</v>
      </c>
      <c r="D62" s="53" t="s">
        <v>43</v>
      </c>
      <c r="E62" s="53" t="s">
        <v>25</v>
      </c>
      <c r="F62" s="53" t="s">
        <v>25</v>
      </c>
      <c r="G62" s="53" t="s">
        <v>25</v>
      </c>
      <c r="H62" s="53" t="s">
        <v>35</v>
      </c>
      <c r="I62" s="75">
        <v>44593</v>
      </c>
      <c r="J62" s="76">
        <f ca="1">EFEITO!$J$62*EFEITO!$Y$62</f>
        <v>6067.4590929101387</v>
      </c>
      <c r="K62" s="76">
        <f ca="1">EFEITO!$L$62*EFEITO!$Z$62</f>
        <v>288.81028899320364</v>
      </c>
      <c r="L62" s="76">
        <f>EFEITO!$N$62*EFEITO!$AA$62</f>
        <v>1605.7200369050763</v>
      </c>
      <c r="M62" s="76">
        <f ca="1">$J$62-EFEITO!$K$62*EFEITO!$Y$62</f>
        <v>0</v>
      </c>
      <c r="N62" s="76">
        <f ca="1">$K$62-EFEITO!$M$62*EFEITO!$Z$62</f>
        <v>0</v>
      </c>
      <c r="O62" s="76">
        <f>$L$62-EFEITO!$O$62*EFEITO!$AA$62</f>
        <v>0</v>
      </c>
      <c r="P62" s="57"/>
      <c r="Q62" s="57"/>
      <c r="R62" s="57"/>
      <c r="S62" s="57"/>
      <c r="T62" s="57"/>
      <c r="U62" s="57"/>
      <c r="V62" s="57"/>
      <c r="W62" s="57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1.25" customHeight="1" x14ac:dyDescent="0.2">
      <c r="A63" s="53" t="s">
        <v>21</v>
      </c>
      <c r="B63" s="53" t="s">
        <v>41</v>
      </c>
      <c r="C63" s="53" t="s">
        <v>42</v>
      </c>
      <c r="D63" s="53" t="s">
        <v>43</v>
      </c>
      <c r="E63" s="53" t="s">
        <v>25</v>
      </c>
      <c r="F63" s="53" t="s">
        <v>25</v>
      </c>
      <c r="G63" s="53" t="s">
        <v>25</v>
      </c>
      <c r="H63" s="53" t="s">
        <v>35</v>
      </c>
      <c r="I63" s="75">
        <v>44593</v>
      </c>
      <c r="J63" s="76">
        <f ca="1">EFEITO!$J$63*EFEITO!$Y$63</f>
        <v>98596.210259789746</v>
      </c>
      <c r="K63" s="76">
        <f ca="1">EFEITO!$L$63*EFEITO!$Z$63</f>
        <v>0</v>
      </c>
      <c r="L63" s="76">
        <f>EFEITO!$N$63*EFEITO!$AA$63</f>
        <v>0</v>
      </c>
      <c r="M63" s="76">
        <f ca="1">$J$63-EFEITO!$K$63*EFEITO!$Y$63</f>
        <v>0</v>
      </c>
      <c r="N63" s="76">
        <f ca="1">$K$63-EFEITO!$M$63*EFEITO!$Z$63</f>
        <v>0</v>
      </c>
      <c r="O63" s="76">
        <f>$L$63-EFEITO!$O$63*EFEITO!$AA$63</f>
        <v>0</v>
      </c>
      <c r="P63" s="57"/>
      <c r="Q63" s="57"/>
      <c r="R63" s="57"/>
      <c r="S63" s="57"/>
      <c r="T63" s="57"/>
      <c r="U63" s="57"/>
      <c r="V63" s="57"/>
      <c r="W63" s="57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1.25" customHeight="1" x14ac:dyDescent="0.2">
      <c r="A64" s="53" t="s">
        <v>21</v>
      </c>
      <c r="B64" s="53" t="s">
        <v>41</v>
      </c>
      <c r="C64" s="53" t="s">
        <v>42</v>
      </c>
      <c r="D64" s="53" t="s">
        <v>43</v>
      </c>
      <c r="E64" s="53" t="s">
        <v>25</v>
      </c>
      <c r="F64" s="53" t="s">
        <v>25</v>
      </c>
      <c r="G64" s="53" t="s">
        <v>25</v>
      </c>
      <c r="H64" s="53" t="s">
        <v>35</v>
      </c>
      <c r="I64" s="75">
        <v>44621</v>
      </c>
      <c r="J64" s="76">
        <f ca="1">EFEITO!$J$64*EFEITO!$Y$64</f>
        <v>6067.4590929101387</v>
      </c>
      <c r="K64" s="76">
        <f ca="1">EFEITO!$L$64*EFEITO!$Z$64</f>
        <v>286.37049774510899</v>
      </c>
      <c r="L64" s="76">
        <f>EFEITO!$N$64*EFEITO!$AA$64</f>
        <v>1592.1553481033441</v>
      </c>
      <c r="M64" s="76">
        <f ca="1">$J$64-EFEITO!$K$64*EFEITO!$Y$64</f>
        <v>0</v>
      </c>
      <c r="N64" s="76">
        <f ca="1">$K$64-EFEITO!$M$64*EFEITO!$Z$64</f>
        <v>0</v>
      </c>
      <c r="O64" s="76">
        <f>$L$64-EFEITO!$O$64*EFEITO!$AA$64</f>
        <v>0</v>
      </c>
      <c r="P64" s="57"/>
      <c r="Q64" s="57"/>
      <c r="R64" s="57"/>
      <c r="S64" s="57"/>
      <c r="T64" s="57"/>
      <c r="U64" s="57"/>
      <c r="V64" s="57"/>
      <c r="W64" s="57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1.25" customHeight="1" x14ac:dyDescent="0.2">
      <c r="A65" s="53" t="s">
        <v>21</v>
      </c>
      <c r="B65" s="53" t="s">
        <v>41</v>
      </c>
      <c r="C65" s="53" t="s">
        <v>42</v>
      </c>
      <c r="D65" s="53" t="s">
        <v>43</v>
      </c>
      <c r="E65" s="53" t="s">
        <v>25</v>
      </c>
      <c r="F65" s="53" t="s">
        <v>25</v>
      </c>
      <c r="G65" s="53" t="s">
        <v>25</v>
      </c>
      <c r="H65" s="53" t="s">
        <v>35</v>
      </c>
      <c r="I65" s="75">
        <v>44621</v>
      </c>
      <c r="J65" s="76">
        <f ca="1">EFEITO!$J$65*EFEITO!$Y$65</f>
        <v>98596.210259789746</v>
      </c>
      <c r="K65" s="76">
        <f ca="1">EFEITO!$L$65*EFEITO!$Z$65</f>
        <v>0</v>
      </c>
      <c r="L65" s="76">
        <f>EFEITO!$N$65*EFEITO!$AA$65</f>
        <v>0</v>
      </c>
      <c r="M65" s="76">
        <f ca="1">$J$65-EFEITO!$K$65*EFEITO!$Y$65</f>
        <v>0</v>
      </c>
      <c r="N65" s="76">
        <f ca="1">$K$65-EFEITO!$M$65*EFEITO!$Z$65</f>
        <v>0</v>
      </c>
      <c r="O65" s="76">
        <f>$L$65-EFEITO!$O$65*EFEITO!$AA$65</f>
        <v>0</v>
      </c>
      <c r="P65" s="57"/>
      <c r="Q65" s="57"/>
      <c r="R65" s="57"/>
      <c r="S65" s="57"/>
      <c r="T65" s="57"/>
      <c r="U65" s="57"/>
      <c r="V65" s="57"/>
      <c r="W65" s="57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1.25" customHeight="1" x14ac:dyDescent="0.2">
      <c r="A66" s="53" t="s">
        <v>56</v>
      </c>
      <c r="B66" s="53" t="s">
        <v>41</v>
      </c>
      <c r="C66" s="53" t="s">
        <v>42</v>
      </c>
      <c r="D66" s="53" t="s">
        <v>43</v>
      </c>
      <c r="E66" s="53" t="s">
        <v>25</v>
      </c>
      <c r="F66" s="53" t="s">
        <v>25</v>
      </c>
      <c r="G66" s="53" t="s">
        <v>25</v>
      </c>
      <c r="H66" s="53" t="s">
        <v>35</v>
      </c>
      <c r="I66" s="75">
        <v>44652</v>
      </c>
      <c r="J66" s="76">
        <f ca="1">EFEITO!$J$66*EFEITO!$Y$66</f>
        <v>6067.4590929101387</v>
      </c>
      <c r="K66" s="76">
        <f ca="1">EFEITO!$L$66*EFEITO!$Z$66</f>
        <v>286.37049774510899</v>
      </c>
      <c r="L66" s="76">
        <f>EFEITO!$N$66*EFEITO!$AA$66</f>
        <v>1592.1553481033441</v>
      </c>
      <c r="M66" s="76">
        <f ca="1">$J$66-EFEITO!$K$66*EFEITO!$Y$66</f>
        <v>0</v>
      </c>
      <c r="N66" s="76">
        <f ca="1">$K$66-EFEITO!$M$66*EFEITO!$Z$66</f>
        <v>0</v>
      </c>
      <c r="O66" s="76">
        <f>$L$66-EFEITO!$O$66*EFEITO!$AA$66</f>
        <v>0</v>
      </c>
      <c r="P66" s="57"/>
      <c r="Q66" s="57"/>
      <c r="R66" s="57"/>
      <c r="S66" s="57"/>
      <c r="T66" s="57"/>
      <c r="U66" s="57"/>
      <c r="V66" s="57"/>
      <c r="W66" s="57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1.25" customHeight="1" x14ac:dyDescent="0.2">
      <c r="A67" s="53" t="s">
        <v>56</v>
      </c>
      <c r="B67" s="53" t="s">
        <v>41</v>
      </c>
      <c r="C67" s="53" t="s">
        <v>42</v>
      </c>
      <c r="D67" s="53" t="s">
        <v>43</v>
      </c>
      <c r="E67" s="53" t="s">
        <v>25</v>
      </c>
      <c r="F67" s="53" t="s">
        <v>25</v>
      </c>
      <c r="G67" s="53" t="s">
        <v>25</v>
      </c>
      <c r="H67" s="53" t="s">
        <v>35</v>
      </c>
      <c r="I67" s="75">
        <v>44652</v>
      </c>
      <c r="J67" s="76">
        <f ca="1">EFEITO!$J$67*EFEITO!$Y$67</f>
        <v>98596.210259789746</v>
      </c>
      <c r="K67" s="76">
        <f ca="1">EFEITO!$L$67*EFEITO!$Z$67</f>
        <v>0</v>
      </c>
      <c r="L67" s="76">
        <f>EFEITO!$N$67*EFEITO!$AA$67</f>
        <v>0</v>
      </c>
      <c r="M67" s="76">
        <f ca="1">$J$67-EFEITO!$K$67*EFEITO!$Y$67</f>
        <v>0</v>
      </c>
      <c r="N67" s="76">
        <f ca="1">$K$67-EFEITO!$M$67*EFEITO!$Z$67</f>
        <v>0</v>
      </c>
      <c r="O67" s="76">
        <f>$L$67-EFEITO!$O$67*EFEITO!$AA$67</f>
        <v>0</v>
      </c>
      <c r="P67" s="57"/>
      <c r="Q67" s="57"/>
      <c r="R67" s="57"/>
      <c r="S67" s="57"/>
      <c r="T67" s="57"/>
      <c r="U67" s="57"/>
      <c r="V67" s="57"/>
      <c r="W67" s="57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1.25" customHeight="1" x14ac:dyDescent="0.2">
      <c r="A68" s="53" t="s">
        <v>21</v>
      </c>
      <c r="B68" s="53" t="s">
        <v>41</v>
      </c>
      <c r="C68" s="53" t="s">
        <v>42</v>
      </c>
      <c r="D68" s="53" t="s">
        <v>40</v>
      </c>
      <c r="E68" s="53" t="s">
        <v>25</v>
      </c>
      <c r="F68" s="53" t="s">
        <v>58</v>
      </c>
      <c r="G68" s="53" t="s">
        <v>25</v>
      </c>
      <c r="H68" s="53" t="s">
        <v>36</v>
      </c>
      <c r="I68" s="75">
        <v>44317</v>
      </c>
      <c r="J68" s="76">
        <f ca="1">EFEITO!$J$68*EFEITO!$Y$68</f>
        <v>212470.39389085383</v>
      </c>
      <c r="K68" s="76">
        <f ca="1">EFEITO!$L$68*EFEITO!$Z$68</f>
        <v>0</v>
      </c>
      <c r="L68" s="76">
        <f>EFEITO!$N$68*EFEITO!$AA$68</f>
        <v>0</v>
      </c>
      <c r="M68" s="76">
        <f ca="1">$J$68-EFEITO!$K$68*EFEITO!$Y$68</f>
        <v>0</v>
      </c>
      <c r="N68" s="76">
        <f ca="1">$K$68-EFEITO!$M$68*EFEITO!$Z$68</f>
        <v>0</v>
      </c>
      <c r="O68" s="76">
        <f>$L$68-EFEITO!$O$68*EFEITO!$AA$68</f>
        <v>0</v>
      </c>
      <c r="P68" s="57"/>
      <c r="Q68" s="57"/>
      <c r="R68" s="57"/>
      <c r="S68" s="57"/>
      <c r="T68" s="57"/>
      <c r="U68" s="57"/>
      <c r="V68" s="57"/>
      <c r="W68" s="57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1.25" customHeight="1" x14ac:dyDescent="0.2">
      <c r="A69" s="53" t="s">
        <v>21</v>
      </c>
      <c r="B69" s="53" t="s">
        <v>41</v>
      </c>
      <c r="C69" s="53" t="s">
        <v>42</v>
      </c>
      <c r="D69" s="53" t="s">
        <v>40</v>
      </c>
      <c r="E69" s="53" t="s">
        <v>25</v>
      </c>
      <c r="F69" s="53" t="s">
        <v>58</v>
      </c>
      <c r="G69" s="53" t="s">
        <v>25</v>
      </c>
      <c r="H69" s="53" t="s">
        <v>36</v>
      </c>
      <c r="I69" s="75">
        <v>44348</v>
      </c>
      <c r="J69" s="76">
        <f ca="1">EFEITO!$J$69*EFEITO!$Y$69</f>
        <v>212470.39389085383</v>
      </c>
      <c r="K69" s="76">
        <f ca="1">EFEITO!$L$69*EFEITO!$Z$69</f>
        <v>0</v>
      </c>
      <c r="L69" s="76">
        <f>EFEITO!$N$69*EFEITO!$AA$69</f>
        <v>0</v>
      </c>
      <c r="M69" s="76">
        <f ca="1">$J$69-EFEITO!$K$69*EFEITO!$Y$69</f>
        <v>0</v>
      </c>
      <c r="N69" s="76">
        <f ca="1">$K$69-EFEITO!$M$69*EFEITO!$Z$69</f>
        <v>0</v>
      </c>
      <c r="O69" s="76">
        <f>$L$69-EFEITO!$O$69*EFEITO!$AA$69</f>
        <v>0</v>
      </c>
      <c r="P69" s="57"/>
      <c r="Q69" s="57"/>
      <c r="R69" s="57"/>
      <c r="S69" s="57"/>
      <c r="T69" s="57"/>
      <c r="U69" s="57"/>
      <c r="V69" s="57"/>
      <c r="W69" s="57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1.25" customHeight="1" x14ac:dyDescent="0.2">
      <c r="A70" s="53" t="s">
        <v>21</v>
      </c>
      <c r="B70" s="53" t="s">
        <v>41</v>
      </c>
      <c r="C70" s="53" t="s">
        <v>42</v>
      </c>
      <c r="D70" s="53" t="s">
        <v>40</v>
      </c>
      <c r="E70" s="53" t="s">
        <v>25</v>
      </c>
      <c r="F70" s="53" t="s">
        <v>58</v>
      </c>
      <c r="G70" s="53" t="s">
        <v>25</v>
      </c>
      <c r="H70" s="53" t="s">
        <v>36</v>
      </c>
      <c r="I70" s="75">
        <v>44378</v>
      </c>
      <c r="J70" s="76">
        <f ca="1">EFEITO!$J$70*EFEITO!$Y$70</f>
        <v>212470.39389085383</v>
      </c>
      <c r="K70" s="76">
        <f ca="1">EFEITO!$L$70*EFEITO!$Z$70</f>
        <v>0</v>
      </c>
      <c r="L70" s="76">
        <f>EFEITO!$N$70*EFEITO!$AA$70</f>
        <v>0</v>
      </c>
      <c r="M70" s="76">
        <f ca="1">$J$70-EFEITO!$K$70*EFEITO!$Y$70</f>
        <v>0</v>
      </c>
      <c r="N70" s="76">
        <f ca="1">$K$70-EFEITO!$M$70*EFEITO!$Z$70</f>
        <v>0</v>
      </c>
      <c r="O70" s="76">
        <f>$L$70-EFEITO!$O$70*EFEITO!$AA$70</f>
        <v>0</v>
      </c>
      <c r="P70" s="57"/>
      <c r="Q70" s="57"/>
      <c r="R70" s="57"/>
      <c r="S70" s="57"/>
      <c r="T70" s="57"/>
      <c r="U70" s="57"/>
      <c r="V70" s="57"/>
      <c r="W70" s="57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1.25" customHeight="1" x14ac:dyDescent="0.2">
      <c r="A71" s="53" t="s">
        <v>21</v>
      </c>
      <c r="B71" s="53" t="s">
        <v>41</v>
      </c>
      <c r="C71" s="53" t="s">
        <v>42</v>
      </c>
      <c r="D71" s="53" t="s">
        <v>40</v>
      </c>
      <c r="E71" s="53" t="s">
        <v>25</v>
      </c>
      <c r="F71" s="53" t="s">
        <v>58</v>
      </c>
      <c r="G71" s="53" t="s">
        <v>25</v>
      </c>
      <c r="H71" s="53" t="s">
        <v>36</v>
      </c>
      <c r="I71" s="75">
        <v>44409</v>
      </c>
      <c r="J71" s="76">
        <f ca="1">EFEITO!$J$71*EFEITO!$Y$71</f>
        <v>212470.39389085383</v>
      </c>
      <c r="K71" s="76">
        <f ca="1">EFEITO!$L$71*EFEITO!$Z$71</f>
        <v>0</v>
      </c>
      <c r="L71" s="76">
        <f>EFEITO!$N$71*EFEITO!$AA$71</f>
        <v>0</v>
      </c>
      <c r="M71" s="76">
        <f ca="1">$J$71-EFEITO!$K$71*EFEITO!$Y$71</f>
        <v>0</v>
      </c>
      <c r="N71" s="76">
        <f ca="1">$K$71-EFEITO!$M$71*EFEITO!$Z$71</f>
        <v>0</v>
      </c>
      <c r="O71" s="76">
        <f>$L$71-EFEITO!$O$71*EFEITO!$AA$71</f>
        <v>0</v>
      </c>
      <c r="P71" s="57"/>
      <c r="Q71" s="57"/>
      <c r="R71" s="57"/>
      <c r="S71" s="57"/>
      <c r="T71" s="57"/>
      <c r="U71" s="57"/>
      <c r="V71" s="57"/>
      <c r="W71" s="57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1.25" customHeight="1" x14ac:dyDescent="0.2">
      <c r="A72" s="53" t="s">
        <v>21</v>
      </c>
      <c r="B72" s="53" t="s">
        <v>41</v>
      </c>
      <c r="C72" s="53" t="s">
        <v>42</v>
      </c>
      <c r="D72" s="53" t="s">
        <v>40</v>
      </c>
      <c r="E72" s="53" t="s">
        <v>25</v>
      </c>
      <c r="F72" s="53" t="s">
        <v>58</v>
      </c>
      <c r="G72" s="53" t="s">
        <v>25</v>
      </c>
      <c r="H72" s="53" t="s">
        <v>36</v>
      </c>
      <c r="I72" s="75">
        <v>44440</v>
      </c>
      <c r="J72" s="76">
        <f ca="1">EFEITO!$J$72*EFEITO!$Y$72</f>
        <v>212470.39389085383</v>
      </c>
      <c r="K72" s="76">
        <f ca="1">EFEITO!$L$72*EFEITO!$Z$72</f>
        <v>0</v>
      </c>
      <c r="L72" s="76">
        <f>EFEITO!$N$72*EFEITO!$AA$72</f>
        <v>0</v>
      </c>
      <c r="M72" s="76">
        <f ca="1">$J$72-EFEITO!$K$72*EFEITO!$Y$72</f>
        <v>0</v>
      </c>
      <c r="N72" s="76">
        <f ca="1">$K$72-EFEITO!$M$72*EFEITO!$Z$72</f>
        <v>0</v>
      </c>
      <c r="O72" s="76">
        <f>$L$72-EFEITO!$O$72*EFEITO!$AA$72</f>
        <v>0</v>
      </c>
      <c r="P72" s="57"/>
      <c r="Q72" s="57"/>
      <c r="R72" s="57"/>
      <c r="S72" s="57"/>
      <c r="T72" s="57"/>
      <c r="U72" s="57"/>
      <c r="V72" s="57"/>
      <c r="W72" s="57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1.25" customHeight="1" x14ac:dyDescent="0.2">
      <c r="A73" s="53" t="s">
        <v>21</v>
      </c>
      <c r="B73" s="53" t="s">
        <v>41</v>
      </c>
      <c r="C73" s="53" t="s">
        <v>42</v>
      </c>
      <c r="D73" s="53" t="s">
        <v>40</v>
      </c>
      <c r="E73" s="53" t="s">
        <v>25</v>
      </c>
      <c r="F73" s="53" t="s">
        <v>58</v>
      </c>
      <c r="G73" s="53" t="s">
        <v>25</v>
      </c>
      <c r="H73" s="53" t="s">
        <v>36</v>
      </c>
      <c r="I73" s="75">
        <v>44470</v>
      </c>
      <c r="J73" s="76">
        <f ca="1">EFEITO!$J$73*EFEITO!$Y$73</f>
        <v>212470.39389085383</v>
      </c>
      <c r="K73" s="76">
        <f ca="1">EFEITO!$L$73*EFEITO!$Z$73</f>
        <v>0</v>
      </c>
      <c r="L73" s="76">
        <f>EFEITO!$N$73*EFEITO!$AA$73</f>
        <v>0</v>
      </c>
      <c r="M73" s="76">
        <f ca="1">$J$73-EFEITO!$K$73*EFEITO!$Y$73</f>
        <v>0</v>
      </c>
      <c r="N73" s="76">
        <f ca="1">$K$73-EFEITO!$M$73*EFEITO!$Z$73</f>
        <v>0</v>
      </c>
      <c r="O73" s="76">
        <f>$L$73-EFEITO!$O$73*EFEITO!$AA$73</f>
        <v>0</v>
      </c>
      <c r="P73" s="57"/>
      <c r="Q73" s="57"/>
      <c r="R73" s="57"/>
      <c r="S73" s="57"/>
      <c r="T73" s="57"/>
      <c r="U73" s="57"/>
      <c r="V73" s="57"/>
      <c r="W73" s="57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1.25" customHeight="1" x14ac:dyDescent="0.2">
      <c r="A74" s="53" t="s">
        <v>21</v>
      </c>
      <c r="B74" s="53" t="s">
        <v>41</v>
      </c>
      <c r="C74" s="53" t="s">
        <v>42</v>
      </c>
      <c r="D74" s="53" t="s">
        <v>40</v>
      </c>
      <c r="E74" s="53" t="s">
        <v>25</v>
      </c>
      <c r="F74" s="53" t="s">
        <v>58</v>
      </c>
      <c r="G74" s="53" t="s">
        <v>25</v>
      </c>
      <c r="H74" s="53" t="s">
        <v>36</v>
      </c>
      <c r="I74" s="75">
        <v>44501</v>
      </c>
      <c r="J74" s="76">
        <f ca="1">EFEITO!$J$74*EFEITO!$Y$74</f>
        <v>212470.39389085383</v>
      </c>
      <c r="K74" s="76">
        <f ca="1">EFEITO!$L$74*EFEITO!$Z$74</f>
        <v>0</v>
      </c>
      <c r="L74" s="76">
        <f>EFEITO!$N$74*EFEITO!$AA$74</f>
        <v>0</v>
      </c>
      <c r="M74" s="76">
        <f ca="1">$J$74-EFEITO!$K$74*EFEITO!$Y$74</f>
        <v>0</v>
      </c>
      <c r="N74" s="76">
        <f ca="1">$K$74-EFEITO!$M$74*EFEITO!$Z$74</f>
        <v>0</v>
      </c>
      <c r="O74" s="76">
        <f>$L$74-EFEITO!$O$74*EFEITO!$AA$74</f>
        <v>0</v>
      </c>
      <c r="P74" s="57"/>
      <c r="Q74" s="57"/>
      <c r="R74" s="57"/>
      <c r="S74" s="57"/>
      <c r="T74" s="57"/>
      <c r="U74" s="57"/>
      <c r="V74" s="57"/>
      <c r="W74" s="57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1.25" customHeight="1" x14ac:dyDescent="0.2">
      <c r="A75" s="53" t="s">
        <v>21</v>
      </c>
      <c r="B75" s="53" t="s">
        <v>41</v>
      </c>
      <c r="C75" s="53" t="s">
        <v>42</v>
      </c>
      <c r="D75" s="53" t="s">
        <v>40</v>
      </c>
      <c r="E75" s="53" t="s">
        <v>25</v>
      </c>
      <c r="F75" s="53" t="s">
        <v>58</v>
      </c>
      <c r="G75" s="53" t="s">
        <v>25</v>
      </c>
      <c r="H75" s="53" t="s">
        <v>36</v>
      </c>
      <c r="I75" s="75">
        <v>44531</v>
      </c>
      <c r="J75" s="76">
        <f ca="1">EFEITO!$J$75*EFEITO!$Y$75</f>
        <v>326877.52906285203</v>
      </c>
      <c r="K75" s="76">
        <f ca="1">EFEITO!$L$75*EFEITO!$Z$75</f>
        <v>0</v>
      </c>
      <c r="L75" s="76">
        <f>EFEITO!$N$75*EFEITO!$AA$75</f>
        <v>0</v>
      </c>
      <c r="M75" s="76">
        <f ca="1">$J$75-EFEITO!$K$75*EFEITO!$Y$75</f>
        <v>0</v>
      </c>
      <c r="N75" s="76">
        <f ca="1">$K$75-EFEITO!$M$75*EFEITO!$Z$75</f>
        <v>0</v>
      </c>
      <c r="O75" s="76">
        <f>$L$75-EFEITO!$O$75*EFEITO!$AA$75</f>
        <v>0</v>
      </c>
      <c r="P75" s="57"/>
      <c r="Q75" s="57"/>
      <c r="R75" s="57"/>
      <c r="S75" s="57"/>
      <c r="T75" s="57"/>
      <c r="U75" s="57"/>
      <c r="V75" s="57"/>
      <c r="W75" s="57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1.25" customHeight="1" x14ac:dyDescent="0.2">
      <c r="A76" s="53" t="s">
        <v>21</v>
      </c>
      <c r="B76" s="53" t="s">
        <v>41</v>
      </c>
      <c r="C76" s="53" t="s">
        <v>42</v>
      </c>
      <c r="D76" s="53" t="s">
        <v>40</v>
      </c>
      <c r="E76" s="53" t="s">
        <v>25</v>
      </c>
      <c r="F76" s="53" t="s">
        <v>58</v>
      </c>
      <c r="G76" s="53" t="s">
        <v>25</v>
      </c>
      <c r="H76" s="53" t="s">
        <v>36</v>
      </c>
      <c r="I76" s="75">
        <v>44562</v>
      </c>
      <c r="J76" s="76">
        <f ca="1">EFEITO!$J$76*EFEITO!$Y$76</f>
        <v>326877.52906285203</v>
      </c>
      <c r="K76" s="76">
        <f ca="1">EFEITO!$L$76*EFEITO!$Z$76</f>
        <v>0</v>
      </c>
      <c r="L76" s="76">
        <f>EFEITO!$N$76*EFEITO!$AA$76</f>
        <v>0</v>
      </c>
      <c r="M76" s="76">
        <f ca="1">$J$76-EFEITO!$K$76*EFEITO!$Y$76</f>
        <v>0</v>
      </c>
      <c r="N76" s="76">
        <f ca="1">$K$76-EFEITO!$M$76*EFEITO!$Z$76</f>
        <v>0</v>
      </c>
      <c r="O76" s="76">
        <f>$L$76-EFEITO!$O$76*EFEITO!$AA$76</f>
        <v>0</v>
      </c>
      <c r="P76" s="57"/>
      <c r="Q76" s="57"/>
      <c r="R76" s="57"/>
      <c r="S76" s="57"/>
      <c r="T76" s="57"/>
      <c r="U76" s="57"/>
      <c r="V76" s="57"/>
      <c r="W76" s="57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1.25" customHeight="1" x14ac:dyDescent="0.2">
      <c r="A77" s="53" t="s">
        <v>21</v>
      </c>
      <c r="B77" s="53" t="s">
        <v>41</v>
      </c>
      <c r="C77" s="53" t="s">
        <v>42</v>
      </c>
      <c r="D77" s="53" t="s">
        <v>40</v>
      </c>
      <c r="E77" s="53" t="s">
        <v>25</v>
      </c>
      <c r="F77" s="53" t="s">
        <v>58</v>
      </c>
      <c r="G77" s="53" t="s">
        <v>25</v>
      </c>
      <c r="H77" s="53" t="s">
        <v>36</v>
      </c>
      <c r="I77" s="75">
        <v>44593</v>
      </c>
      <c r="J77" s="76">
        <f ca="1">EFEITO!$J$77*EFEITO!$Y$77</f>
        <v>817193.82265713008</v>
      </c>
      <c r="K77" s="76">
        <f ca="1">EFEITO!$L$77*EFEITO!$Z$77</f>
        <v>0</v>
      </c>
      <c r="L77" s="76">
        <f>EFEITO!$N$77*EFEITO!$AA$77</f>
        <v>0</v>
      </c>
      <c r="M77" s="76">
        <f ca="1">$J$77-EFEITO!$K$77*EFEITO!$Y$77</f>
        <v>0</v>
      </c>
      <c r="N77" s="76">
        <f ca="1">$K$77-EFEITO!$M$77*EFEITO!$Z$77</f>
        <v>0</v>
      </c>
      <c r="O77" s="76">
        <f>$L$77-EFEITO!$O$77*EFEITO!$AA$77</f>
        <v>0</v>
      </c>
      <c r="P77" s="57"/>
      <c r="Q77" s="57"/>
      <c r="R77" s="57"/>
      <c r="S77" s="57"/>
      <c r="T77" s="57"/>
      <c r="U77" s="57"/>
      <c r="V77" s="57"/>
      <c r="W77" s="57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1.25" customHeight="1" x14ac:dyDescent="0.2">
      <c r="A78" s="53" t="s">
        <v>21</v>
      </c>
      <c r="B78" s="53" t="s">
        <v>41</v>
      </c>
      <c r="C78" s="53" t="s">
        <v>42</v>
      </c>
      <c r="D78" s="53" t="s">
        <v>40</v>
      </c>
      <c r="E78" s="53" t="s">
        <v>25</v>
      </c>
      <c r="F78" s="53" t="s">
        <v>58</v>
      </c>
      <c r="G78" s="53" t="s">
        <v>25</v>
      </c>
      <c r="H78" s="53" t="s">
        <v>36</v>
      </c>
      <c r="I78" s="75">
        <v>44621</v>
      </c>
      <c r="J78" s="76">
        <f ca="1">EFEITO!$J$78*EFEITO!$Y$78</f>
        <v>490316.29359427805</v>
      </c>
      <c r="K78" s="76">
        <f ca="1">EFEITO!$L$78*EFEITO!$Z$78</f>
        <v>0</v>
      </c>
      <c r="L78" s="76">
        <f>EFEITO!$N$78*EFEITO!$AA$78</f>
        <v>0</v>
      </c>
      <c r="M78" s="76">
        <f ca="1">$J$78-EFEITO!$K$78*EFEITO!$Y$78</f>
        <v>0</v>
      </c>
      <c r="N78" s="76">
        <f ca="1">$K$78-EFEITO!$M$78*EFEITO!$Z$78</f>
        <v>0</v>
      </c>
      <c r="O78" s="76">
        <f>$L$78-EFEITO!$O$78*EFEITO!$AA$78</f>
        <v>0</v>
      </c>
      <c r="P78" s="57"/>
      <c r="Q78" s="57"/>
      <c r="R78" s="57"/>
      <c r="S78" s="57"/>
      <c r="T78" s="57"/>
      <c r="U78" s="57"/>
      <c r="V78" s="57"/>
      <c r="W78" s="57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1.25" customHeight="1" x14ac:dyDescent="0.2">
      <c r="A79" s="53" t="s">
        <v>56</v>
      </c>
      <c r="B79" s="53" t="s">
        <v>41</v>
      </c>
      <c r="C79" s="53" t="s">
        <v>42</v>
      </c>
      <c r="D79" s="53" t="s">
        <v>40</v>
      </c>
      <c r="E79" s="53" t="s">
        <v>25</v>
      </c>
      <c r="F79" s="53" t="s">
        <v>58</v>
      </c>
      <c r="G79" s="53" t="s">
        <v>25</v>
      </c>
      <c r="H79" s="53" t="s">
        <v>36</v>
      </c>
      <c r="I79" s="75">
        <v>44652</v>
      </c>
      <c r="J79" s="76">
        <f ca="1">EFEITO!$J$79*EFEITO!$Y$79</f>
        <v>490316.29359427805</v>
      </c>
      <c r="K79" s="76">
        <f ca="1">EFEITO!$L$79*EFEITO!$Z$79</f>
        <v>0</v>
      </c>
      <c r="L79" s="76">
        <f>EFEITO!$N$79*EFEITO!$AA$79</f>
        <v>0</v>
      </c>
      <c r="M79" s="76">
        <f ca="1">$J$79-EFEITO!$K$79*EFEITO!$Y$79</f>
        <v>0</v>
      </c>
      <c r="N79" s="76">
        <f ca="1">$K$79-EFEITO!$M$79*EFEITO!$Z$79</f>
        <v>0</v>
      </c>
      <c r="O79" s="76">
        <f>$L$79-EFEITO!$O$79*EFEITO!$AA$79</f>
        <v>0</v>
      </c>
      <c r="P79" s="57"/>
      <c r="Q79" s="57"/>
      <c r="R79" s="57"/>
      <c r="S79" s="57"/>
      <c r="T79" s="57"/>
      <c r="U79" s="57"/>
      <c r="V79" s="57"/>
      <c r="W79" s="57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1.25" customHeight="1" x14ac:dyDescent="0.2">
      <c r="A80" s="53" t="s">
        <v>21</v>
      </c>
      <c r="B80" s="53" t="s">
        <v>41</v>
      </c>
      <c r="C80" s="53" t="s">
        <v>42</v>
      </c>
      <c r="D80" s="53" t="s">
        <v>40</v>
      </c>
      <c r="E80" s="53" t="s">
        <v>25</v>
      </c>
      <c r="F80" s="53" t="s">
        <v>58</v>
      </c>
      <c r="G80" s="53" t="s">
        <v>25</v>
      </c>
      <c r="H80" s="53" t="s">
        <v>25</v>
      </c>
      <c r="I80" s="75">
        <v>44317</v>
      </c>
      <c r="J80" s="76">
        <f>EFEITO!$J$80*EFEITO!$Y$80</f>
        <v>0</v>
      </c>
      <c r="K80" s="76">
        <f ca="1">EFEITO!$L$80*EFEITO!$Z$80</f>
        <v>161361.43896550342</v>
      </c>
      <c r="L80" s="76">
        <f>EFEITO!$N$80*EFEITO!$AA$80</f>
        <v>0</v>
      </c>
      <c r="M80" s="76">
        <f>$J$80-EFEITO!$K$80*EFEITO!$Y$80</f>
        <v>0</v>
      </c>
      <c r="N80" s="76">
        <f ca="1">$K$80-EFEITO!$M$80*EFEITO!$Z$80</f>
        <v>0</v>
      </c>
      <c r="O80" s="76">
        <f>$L$80-EFEITO!$O$80*EFEITO!$AA$80</f>
        <v>0</v>
      </c>
      <c r="P80" s="57"/>
      <c r="Q80" s="57"/>
      <c r="R80" s="57"/>
      <c r="S80" s="57"/>
      <c r="T80" s="57"/>
      <c r="U80" s="57"/>
      <c r="V80" s="57"/>
      <c r="W80" s="57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1.25" customHeight="1" x14ac:dyDescent="0.2">
      <c r="A81" s="53" t="s">
        <v>21</v>
      </c>
      <c r="B81" s="53" t="s">
        <v>41</v>
      </c>
      <c r="C81" s="53" t="s">
        <v>42</v>
      </c>
      <c r="D81" s="53" t="s">
        <v>40</v>
      </c>
      <c r="E81" s="53" t="s">
        <v>25</v>
      </c>
      <c r="F81" s="53" t="s">
        <v>58</v>
      </c>
      <c r="G81" s="53" t="s">
        <v>25</v>
      </c>
      <c r="H81" s="53" t="s">
        <v>25</v>
      </c>
      <c r="I81" s="75">
        <v>44348</v>
      </c>
      <c r="J81" s="76">
        <f>EFEITO!$J$81*EFEITO!$Y$81</f>
        <v>0</v>
      </c>
      <c r="K81" s="76">
        <f ca="1">EFEITO!$L$81*EFEITO!$Z$81</f>
        <v>131750.73327754837</v>
      </c>
      <c r="L81" s="76">
        <f>EFEITO!$N$81*EFEITO!$AA$81</f>
        <v>0</v>
      </c>
      <c r="M81" s="76">
        <f>$J$81-EFEITO!$K$81*EFEITO!$Y$81</f>
        <v>0</v>
      </c>
      <c r="N81" s="76">
        <f ca="1">$K$81-EFEITO!$M$81*EFEITO!$Z$81</f>
        <v>0</v>
      </c>
      <c r="O81" s="76">
        <f>$L$81-EFEITO!$O$81*EFEITO!$AA$81</f>
        <v>0</v>
      </c>
      <c r="P81" s="57"/>
      <c r="Q81" s="57"/>
      <c r="R81" s="57"/>
      <c r="S81" s="57"/>
      <c r="T81" s="57"/>
      <c r="U81" s="57"/>
      <c r="V81" s="57"/>
      <c r="W81" s="57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1.25" customHeight="1" x14ac:dyDescent="0.2">
      <c r="A82" s="53" t="s">
        <v>21</v>
      </c>
      <c r="B82" s="53" t="s">
        <v>41</v>
      </c>
      <c r="C82" s="53" t="s">
        <v>42</v>
      </c>
      <c r="D82" s="53" t="s">
        <v>40</v>
      </c>
      <c r="E82" s="53" t="s">
        <v>25</v>
      </c>
      <c r="F82" s="53" t="s">
        <v>58</v>
      </c>
      <c r="G82" s="53" t="s">
        <v>25</v>
      </c>
      <c r="H82" s="53" t="s">
        <v>25</v>
      </c>
      <c r="I82" s="75">
        <v>44378</v>
      </c>
      <c r="J82" s="76">
        <f>EFEITO!$J$82*EFEITO!$Y$82</f>
        <v>0</v>
      </c>
      <c r="K82" s="76">
        <f ca="1">EFEITO!$L$82*EFEITO!$Z$82</f>
        <v>143256.93618860349</v>
      </c>
      <c r="L82" s="76">
        <f>EFEITO!$N$82*EFEITO!$AA$82</f>
        <v>0</v>
      </c>
      <c r="M82" s="76">
        <f>$J$82-EFEITO!$K$82*EFEITO!$Y$82</f>
        <v>0</v>
      </c>
      <c r="N82" s="76">
        <f ca="1">$K$82-EFEITO!$M$82*EFEITO!$Z$82</f>
        <v>0</v>
      </c>
      <c r="O82" s="76">
        <f>$L$82-EFEITO!$O$82*EFEITO!$AA$82</f>
        <v>0</v>
      </c>
      <c r="P82" s="57"/>
      <c r="Q82" s="57"/>
      <c r="R82" s="57"/>
      <c r="S82" s="57"/>
      <c r="T82" s="57"/>
      <c r="U82" s="57"/>
      <c r="V82" s="57"/>
      <c r="W82" s="57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1.25" customHeight="1" x14ac:dyDescent="0.2">
      <c r="A83" s="53" t="s">
        <v>21</v>
      </c>
      <c r="B83" s="53" t="s">
        <v>41</v>
      </c>
      <c r="C83" s="53" t="s">
        <v>42</v>
      </c>
      <c r="D83" s="53" t="s">
        <v>40</v>
      </c>
      <c r="E83" s="53" t="s">
        <v>25</v>
      </c>
      <c r="F83" s="53" t="s">
        <v>58</v>
      </c>
      <c r="G83" s="53" t="s">
        <v>25</v>
      </c>
      <c r="H83" s="53" t="s">
        <v>25</v>
      </c>
      <c r="I83" s="75">
        <v>44409</v>
      </c>
      <c r="J83" s="76">
        <f>EFEITO!$J$83*EFEITO!$Y$83</f>
        <v>0</v>
      </c>
      <c r="K83" s="76">
        <f ca="1">EFEITO!$L$83*EFEITO!$Z$83</f>
        <v>134600.25058763125</v>
      </c>
      <c r="L83" s="76">
        <f>EFEITO!$N$83*EFEITO!$AA$83</f>
        <v>0</v>
      </c>
      <c r="M83" s="76">
        <f>$J$83-EFEITO!$K$83*EFEITO!$Y$83</f>
        <v>0</v>
      </c>
      <c r="N83" s="76">
        <f ca="1">$K$83-EFEITO!$M$83*EFEITO!$Z$83</f>
        <v>0</v>
      </c>
      <c r="O83" s="76">
        <f>$L$83-EFEITO!$O$83*EFEITO!$AA$83</f>
        <v>0</v>
      </c>
      <c r="P83" s="57"/>
      <c r="Q83" s="57"/>
      <c r="R83" s="57"/>
      <c r="S83" s="57"/>
      <c r="T83" s="57"/>
      <c r="U83" s="57"/>
      <c r="V83" s="57"/>
      <c r="W83" s="57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1.25" customHeight="1" x14ac:dyDescent="0.2">
      <c r="A84" s="53" t="s">
        <v>21</v>
      </c>
      <c r="B84" s="53" t="s">
        <v>41</v>
      </c>
      <c r="C84" s="53" t="s">
        <v>42</v>
      </c>
      <c r="D84" s="53" t="s">
        <v>40</v>
      </c>
      <c r="E84" s="53" t="s">
        <v>25</v>
      </c>
      <c r="F84" s="53" t="s">
        <v>58</v>
      </c>
      <c r="G84" s="53" t="s">
        <v>25</v>
      </c>
      <c r="H84" s="53" t="s">
        <v>25</v>
      </c>
      <c r="I84" s="75">
        <v>44440</v>
      </c>
      <c r="J84" s="76">
        <f>EFEITO!$J$84*EFEITO!$Y$84</f>
        <v>0</v>
      </c>
      <c r="K84" s="76">
        <f ca="1">EFEITO!$L$84*EFEITO!$Z$84</f>
        <v>141092.17256142668</v>
      </c>
      <c r="L84" s="76">
        <f>EFEITO!$N$84*EFEITO!$AA$84</f>
        <v>0</v>
      </c>
      <c r="M84" s="76">
        <f>$J$84-EFEITO!$K$84*EFEITO!$Y$84</f>
        <v>0</v>
      </c>
      <c r="N84" s="76">
        <f ca="1">$K$84-EFEITO!$M$84*EFEITO!$Z$84</f>
        <v>0</v>
      </c>
      <c r="O84" s="76">
        <f>$L$84-EFEITO!$O$84*EFEITO!$AA$84</f>
        <v>0</v>
      </c>
      <c r="P84" s="57"/>
      <c r="Q84" s="57"/>
      <c r="R84" s="57"/>
      <c r="S84" s="57"/>
      <c r="T84" s="57"/>
      <c r="U84" s="57"/>
      <c r="V84" s="57"/>
      <c r="W84" s="57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1.25" customHeight="1" x14ac:dyDescent="0.2">
      <c r="A85" s="53" t="s">
        <v>21</v>
      </c>
      <c r="B85" s="53" t="s">
        <v>41</v>
      </c>
      <c r="C85" s="53" t="s">
        <v>42</v>
      </c>
      <c r="D85" s="53" t="s">
        <v>40</v>
      </c>
      <c r="E85" s="53" t="s">
        <v>25</v>
      </c>
      <c r="F85" s="53" t="s">
        <v>58</v>
      </c>
      <c r="G85" s="53" t="s">
        <v>25</v>
      </c>
      <c r="H85" s="53" t="s">
        <v>25</v>
      </c>
      <c r="I85" s="75">
        <v>44470</v>
      </c>
      <c r="J85" s="76">
        <f>EFEITO!$J$85*EFEITO!$Y$85</f>
        <v>0</v>
      </c>
      <c r="K85" s="76">
        <f ca="1">EFEITO!$L$85*EFEITO!$Z$85</f>
        <v>148087.33414662775</v>
      </c>
      <c r="L85" s="76">
        <f>EFEITO!$N$85*EFEITO!$AA$85</f>
        <v>0</v>
      </c>
      <c r="M85" s="76">
        <f>$J$85-EFEITO!$K$85*EFEITO!$Y$85</f>
        <v>0</v>
      </c>
      <c r="N85" s="76">
        <f ca="1">$K$85-EFEITO!$M$85*EFEITO!$Z$85</f>
        <v>0</v>
      </c>
      <c r="O85" s="76">
        <f>$L$85-EFEITO!$O$85*EFEITO!$AA$85</f>
        <v>0</v>
      </c>
      <c r="P85" s="57"/>
      <c r="Q85" s="57"/>
      <c r="R85" s="57"/>
      <c r="S85" s="57"/>
      <c r="T85" s="57"/>
      <c r="U85" s="57"/>
      <c r="V85" s="57"/>
      <c r="W85" s="57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1.25" customHeight="1" x14ac:dyDescent="0.2">
      <c r="A86" s="53" t="s">
        <v>21</v>
      </c>
      <c r="B86" s="53" t="s">
        <v>41</v>
      </c>
      <c r="C86" s="53" t="s">
        <v>42</v>
      </c>
      <c r="D86" s="53" t="s">
        <v>40</v>
      </c>
      <c r="E86" s="53" t="s">
        <v>25</v>
      </c>
      <c r="F86" s="53" t="s">
        <v>58</v>
      </c>
      <c r="G86" s="53" t="s">
        <v>25</v>
      </c>
      <c r="H86" s="53" t="s">
        <v>25</v>
      </c>
      <c r="I86" s="75">
        <v>44501</v>
      </c>
      <c r="J86" s="76">
        <f>EFEITO!$J$86*EFEITO!$Y$86</f>
        <v>0</v>
      </c>
      <c r="K86" s="76">
        <f ca="1">EFEITO!$L$86*EFEITO!$Z$86</f>
        <v>103411.90808722402</v>
      </c>
      <c r="L86" s="76">
        <f>EFEITO!$N$86*EFEITO!$AA$86</f>
        <v>0</v>
      </c>
      <c r="M86" s="76">
        <f>$J$86-EFEITO!$K$86*EFEITO!$Y$86</f>
        <v>0</v>
      </c>
      <c r="N86" s="76">
        <f ca="1">$K$86-EFEITO!$M$86*EFEITO!$Z$86</f>
        <v>0</v>
      </c>
      <c r="O86" s="76">
        <f>$L$86-EFEITO!$O$86*EFEITO!$AA$86</f>
        <v>0</v>
      </c>
      <c r="P86" s="57"/>
      <c r="Q86" s="57"/>
      <c r="R86" s="57"/>
      <c r="S86" s="57"/>
      <c r="T86" s="57"/>
      <c r="U86" s="57"/>
      <c r="V86" s="57"/>
      <c r="W86" s="57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1.25" customHeight="1" x14ac:dyDescent="0.2">
      <c r="A87" s="53" t="s">
        <v>21</v>
      </c>
      <c r="B87" s="53" t="s">
        <v>41</v>
      </c>
      <c r="C87" s="53" t="s">
        <v>42</v>
      </c>
      <c r="D87" s="53" t="s">
        <v>40</v>
      </c>
      <c r="E87" s="53" t="s">
        <v>25</v>
      </c>
      <c r="F87" s="53" t="s">
        <v>58</v>
      </c>
      <c r="G87" s="53" t="s">
        <v>25</v>
      </c>
      <c r="H87" s="53" t="s">
        <v>25</v>
      </c>
      <c r="I87" s="75">
        <v>44531</v>
      </c>
      <c r="J87" s="76">
        <f>EFEITO!$J$87*EFEITO!$Y$87</f>
        <v>0</v>
      </c>
      <c r="K87" s="76">
        <f ca="1">EFEITO!$L$87*EFEITO!$Z$87</f>
        <v>136205.7011638417</v>
      </c>
      <c r="L87" s="76">
        <f>EFEITO!$N$87*EFEITO!$AA$87</f>
        <v>0</v>
      </c>
      <c r="M87" s="76">
        <f>$J$87-EFEITO!$K$87*EFEITO!$Y$87</f>
        <v>0</v>
      </c>
      <c r="N87" s="76">
        <f ca="1">$K$87-EFEITO!$M$87*EFEITO!$Z$87</f>
        <v>0</v>
      </c>
      <c r="O87" s="76">
        <f>$L$87-EFEITO!$O$87*EFEITO!$AA$87</f>
        <v>0</v>
      </c>
      <c r="P87" s="57"/>
      <c r="Q87" s="57"/>
      <c r="R87" s="57"/>
      <c r="S87" s="57"/>
      <c r="T87" s="57"/>
      <c r="U87" s="57"/>
      <c r="V87" s="57"/>
      <c r="W87" s="57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1.25" customHeight="1" x14ac:dyDescent="0.2">
      <c r="A88" s="53" t="s">
        <v>21</v>
      </c>
      <c r="B88" s="53" t="s">
        <v>41</v>
      </c>
      <c r="C88" s="53" t="s">
        <v>42</v>
      </c>
      <c r="D88" s="53" t="s">
        <v>40</v>
      </c>
      <c r="E88" s="53" t="s">
        <v>25</v>
      </c>
      <c r="F88" s="53" t="s">
        <v>58</v>
      </c>
      <c r="G88" s="53" t="s">
        <v>25</v>
      </c>
      <c r="H88" s="53" t="s">
        <v>25</v>
      </c>
      <c r="I88" s="75">
        <v>44562</v>
      </c>
      <c r="J88" s="76">
        <f>EFEITO!$J$88*EFEITO!$Y$88</f>
        <v>0</v>
      </c>
      <c r="K88" s="76">
        <f ca="1">EFEITO!$L$88*EFEITO!$Z$88</f>
        <v>141304.59391149224</v>
      </c>
      <c r="L88" s="76">
        <f>EFEITO!$N$88*EFEITO!$AA$88</f>
        <v>0</v>
      </c>
      <c r="M88" s="76">
        <f>$J$88-EFEITO!$K$88*EFEITO!$Y$88</f>
        <v>0</v>
      </c>
      <c r="N88" s="76">
        <f ca="1">$K$88-EFEITO!$M$88*EFEITO!$Z$88</f>
        <v>0</v>
      </c>
      <c r="O88" s="76">
        <f>$L$88-EFEITO!$O$88*EFEITO!$AA$88</f>
        <v>0</v>
      </c>
      <c r="P88" s="57"/>
      <c r="Q88" s="57"/>
      <c r="R88" s="57"/>
      <c r="S88" s="57"/>
      <c r="T88" s="57"/>
      <c r="U88" s="57"/>
      <c r="V88" s="57"/>
      <c r="W88" s="57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1.25" customHeight="1" x14ac:dyDescent="0.2">
      <c r="A89" s="53" t="s">
        <v>21</v>
      </c>
      <c r="B89" s="53" t="s">
        <v>41</v>
      </c>
      <c r="C89" s="53" t="s">
        <v>42</v>
      </c>
      <c r="D89" s="53" t="s">
        <v>40</v>
      </c>
      <c r="E89" s="53" t="s">
        <v>25</v>
      </c>
      <c r="F89" s="53" t="s">
        <v>58</v>
      </c>
      <c r="G89" s="53" t="s">
        <v>25</v>
      </c>
      <c r="H89" s="53" t="s">
        <v>25</v>
      </c>
      <c r="I89" s="75">
        <v>44593</v>
      </c>
      <c r="J89" s="76">
        <f>EFEITO!$J$89*EFEITO!$Y$89</f>
        <v>0</v>
      </c>
      <c r="K89" s="76">
        <f ca="1">EFEITO!$L$89*EFEITO!$Z$89</f>
        <v>385316.83357536775</v>
      </c>
      <c r="L89" s="76">
        <f>EFEITO!$N$89*EFEITO!$AA$89</f>
        <v>0</v>
      </c>
      <c r="M89" s="76">
        <f>$J$89-EFEITO!$K$89*EFEITO!$Y$89</f>
        <v>0</v>
      </c>
      <c r="N89" s="76">
        <f ca="1">$K$89-EFEITO!$M$89*EFEITO!$Z$89</f>
        <v>0</v>
      </c>
      <c r="O89" s="76">
        <f>$L$89-EFEITO!$O$89*EFEITO!$AA$89</f>
        <v>0</v>
      </c>
      <c r="P89" s="57"/>
      <c r="Q89" s="57"/>
      <c r="R89" s="57"/>
      <c r="S89" s="57"/>
      <c r="T89" s="57"/>
      <c r="U89" s="57"/>
      <c r="V89" s="57"/>
      <c r="W89" s="57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1.25" customHeight="1" x14ac:dyDescent="0.2">
      <c r="A90" s="53" t="s">
        <v>21</v>
      </c>
      <c r="B90" s="53" t="s">
        <v>41</v>
      </c>
      <c r="C90" s="53" t="s">
        <v>42</v>
      </c>
      <c r="D90" s="53" t="s">
        <v>40</v>
      </c>
      <c r="E90" s="53" t="s">
        <v>25</v>
      </c>
      <c r="F90" s="53" t="s">
        <v>58</v>
      </c>
      <c r="G90" s="53" t="s">
        <v>25</v>
      </c>
      <c r="H90" s="53" t="s">
        <v>25</v>
      </c>
      <c r="I90" s="75">
        <v>44621</v>
      </c>
      <c r="J90" s="76">
        <f>EFEITO!$J$90*EFEITO!$Y$90</f>
        <v>0</v>
      </c>
      <c r="K90" s="76">
        <f ca="1">EFEITO!$L$90*EFEITO!$Z$90</f>
        <v>303921.99988854828</v>
      </c>
      <c r="L90" s="76">
        <f>EFEITO!$N$90*EFEITO!$AA$90</f>
        <v>0</v>
      </c>
      <c r="M90" s="76">
        <f>$J$90-EFEITO!$K$90*EFEITO!$Y$90</f>
        <v>0</v>
      </c>
      <c r="N90" s="76">
        <f ca="1">$K$90-EFEITO!$M$90*EFEITO!$Z$90</f>
        <v>0</v>
      </c>
      <c r="O90" s="76">
        <f>$L$90-EFEITO!$O$90*EFEITO!$AA$90</f>
        <v>0</v>
      </c>
      <c r="P90" s="57"/>
      <c r="Q90" s="57"/>
      <c r="R90" s="57"/>
      <c r="S90" s="57"/>
      <c r="T90" s="57"/>
      <c r="U90" s="57"/>
      <c r="V90" s="57"/>
      <c r="W90" s="57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1.25" customHeight="1" x14ac:dyDescent="0.2">
      <c r="A91" s="53" t="s">
        <v>56</v>
      </c>
      <c r="B91" s="53" t="s">
        <v>41</v>
      </c>
      <c r="C91" s="53" t="s">
        <v>42</v>
      </c>
      <c r="D91" s="53" t="s">
        <v>40</v>
      </c>
      <c r="E91" s="53" t="s">
        <v>25</v>
      </c>
      <c r="F91" s="53" t="s">
        <v>58</v>
      </c>
      <c r="G91" s="53" t="s">
        <v>25</v>
      </c>
      <c r="H91" s="53" t="s">
        <v>25</v>
      </c>
      <c r="I91" s="75">
        <v>44652</v>
      </c>
      <c r="J91" s="76">
        <f>EFEITO!$J$91*EFEITO!$Y$91</f>
        <v>0</v>
      </c>
      <c r="K91" s="76">
        <f ca="1">EFEITO!$L$91*EFEITO!$Z$91</f>
        <v>303921.99988854828</v>
      </c>
      <c r="L91" s="76">
        <f>EFEITO!$N$91*EFEITO!$AA$91</f>
        <v>0</v>
      </c>
      <c r="M91" s="76">
        <f>$J$91-EFEITO!$K$91*EFEITO!$Y$91</f>
        <v>0</v>
      </c>
      <c r="N91" s="76">
        <f ca="1">$K$91-EFEITO!$M$91*EFEITO!$Z$91</f>
        <v>0</v>
      </c>
      <c r="O91" s="76">
        <f>$L$91-EFEITO!$O$91*EFEITO!$AA$91</f>
        <v>0</v>
      </c>
      <c r="P91" s="57"/>
      <c r="Q91" s="57"/>
      <c r="R91" s="57"/>
      <c r="S91" s="57"/>
      <c r="T91" s="57"/>
      <c r="U91" s="57"/>
      <c r="V91" s="57"/>
      <c r="W91" s="57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1.25" customHeight="1" x14ac:dyDescent="0.2">
      <c r="A92" s="53" t="s">
        <v>21</v>
      </c>
      <c r="B92" s="53" t="s">
        <v>41</v>
      </c>
      <c r="C92" s="53" t="s">
        <v>42</v>
      </c>
      <c r="D92" s="53" t="s">
        <v>40</v>
      </c>
      <c r="E92" s="53" t="s">
        <v>25</v>
      </c>
      <c r="F92" s="53" t="s">
        <v>58</v>
      </c>
      <c r="G92" s="53" t="s">
        <v>25</v>
      </c>
      <c r="H92" s="53" t="s">
        <v>35</v>
      </c>
      <c r="I92" s="75">
        <v>44317</v>
      </c>
      <c r="J92" s="76">
        <f ca="1">EFEITO!$J$92*EFEITO!$Y$92</f>
        <v>388317.38194624888</v>
      </c>
      <c r="K92" s="76">
        <f ca="1">EFEITO!$L$92*EFEITO!$Z$92</f>
        <v>0</v>
      </c>
      <c r="L92" s="76">
        <f>EFEITO!$N$92*EFEITO!$AA$92</f>
        <v>0</v>
      </c>
      <c r="M92" s="76">
        <f ca="1">$J$92-EFEITO!$K$92*EFEITO!$Y$92</f>
        <v>0</v>
      </c>
      <c r="N92" s="76">
        <f ca="1">$K$92-EFEITO!$M$92*EFEITO!$Z$92</f>
        <v>0</v>
      </c>
      <c r="O92" s="76">
        <f>$L$92-EFEITO!$O$92*EFEITO!$AA$92</f>
        <v>0</v>
      </c>
      <c r="P92" s="57"/>
      <c r="Q92" s="57"/>
      <c r="R92" s="57"/>
      <c r="S92" s="57"/>
      <c r="T92" s="57"/>
      <c r="U92" s="57"/>
      <c r="V92" s="57"/>
      <c r="W92" s="57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1.25" customHeight="1" x14ac:dyDescent="0.2">
      <c r="A93" s="53" t="s">
        <v>21</v>
      </c>
      <c r="B93" s="53" t="s">
        <v>41</v>
      </c>
      <c r="C93" s="53" t="s">
        <v>42</v>
      </c>
      <c r="D93" s="53" t="s">
        <v>40</v>
      </c>
      <c r="E93" s="53" t="s">
        <v>25</v>
      </c>
      <c r="F93" s="53" t="s">
        <v>58</v>
      </c>
      <c r="G93" s="53" t="s">
        <v>25</v>
      </c>
      <c r="H93" s="53" t="s">
        <v>35</v>
      </c>
      <c r="I93" s="75">
        <v>44348</v>
      </c>
      <c r="J93" s="76">
        <f ca="1">EFEITO!$J$93*EFEITO!$Y$93</f>
        <v>388317.38194624888</v>
      </c>
      <c r="K93" s="76">
        <f ca="1">EFEITO!$L$93*EFEITO!$Z$93</f>
        <v>0</v>
      </c>
      <c r="L93" s="76">
        <f>EFEITO!$N$93*EFEITO!$AA$93</f>
        <v>0</v>
      </c>
      <c r="M93" s="76">
        <f ca="1">$J$93-EFEITO!$K$93*EFEITO!$Y$93</f>
        <v>0</v>
      </c>
      <c r="N93" s="76">
        <f ca="1">$K$93-EFEITO!$M$93*EFEITO!$Z$93</f>
        <v>0</v>
      </c>
      <c r="O93" s="76">
        <f>$L$93-EFEITO!$O$93*EFEITO!$AA$93</f>
        <v>0</v>
      </c>
      <c r="P93" s="57"/>
      <c r="Q93" s="57"/>
      <c r="R93" s="57"/>
      <c r="S93" s="57"/>
      <c r="T93" s="57"/>
      <c r="U93" s="57"/>
      <c r="V93" s="57"/>
      <c r="W93" s="57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1.25" customHeight="1" x14ac:dyDescent="0.2">
      <c r="A94" s="53" t="s">
        <v>21</v>
      </c>
      <c r="B94" s="53" t="s">
        <v>41</v>
      </c>
      <c r="C94" s="53" t="s">
        <v>42</v>
      </c>
      <c r="D94" s="53" t="s">
        <v>40</v>
      </c>
      <c r="E94" s="53" t="s">
        <v>25</v>
      </c>
      <c r="F94" s="53" t="s">
        <v>58</v>
      </c>
      <c r="G94" s="53" t="s">
        <v>25</v>
      </c>
      <c r="H94" s="53" t="s">
        <v>35</v>
      </c>
      <c r="I94" s="75">
        <v>44378</v>
      </c>
      <c r="J94" s="76">
        <f ca="1">EFEITO!$J$94*EFEITO!$Y$94</f>
        <v>388317.38194624888</v>
      </c>
      <c r="K94" s="76">
        <f ca="1">EFEITO!$L$94*EFEITO!$Z$94</f>
        <v>0</v>
      </c>
      <c r="L94" s="76">
        <f>EFEITO!$N$94*EFEITO!$AA$94</f>
        <v>0</v>
      </c>
      <c r="M94" s="76">
        <f ca="1">$J$94-EFEITO!$K$94*EFEITO!$Y$94</f>
        <v>0</v>
      </c>
      <c r="N94" s="76">
        <f ca="1">$K$94-EFEITO!$M$94*EFEITO!$Z$94</f>
        <v>0</v>
      </c>
      <c r="O94" s="76">
        <f>$L$94-EFEITO!$O$94*EFEITO!$AA$94</f>
        <v>0</v>
      </c>
      <c r="P94" s="57"/>
      <c r="Q94" s="57"/>
      <c r="R94" s="57"/>
      <c r="S94" s="57"/>
      <c r="T94" s="57"/>
      <c r="U94" s="57"/>
      <c r="V94" s="57"/>
      <c r="W94" s="57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1.25" customHeight="1" x14ac:dyDescent="0.2">
      <c r="A95" s="53" t="s">
        <v>21</v>
      </c>
      <c r="B95" s="53" t="s">
        <v>41</v>
      </c>
      <c r="C95" s="53" t="s">
        <v>42</v>
      </c>
      <c r="D95" s="53" t="s">
        <v>40</v>
      </c>
      <c r="E95" s="53" t="s">
        <v>25</v>
      </c>
      <c r="F95" s="53" t="s">
        <v>58</v>
      </c>
      <c r="G95" s="53" t="s">
        <v>25</v>
      </c>
      <c r="H95" s="53" t="s">
        <v>35</v>
      </c>
      <c r="I95" s="75">
        <v>44409</v>
      </c>
      <c r="J95" s="76">
        <f ca="1">EFEITO!$J$95*EFEITO!$Y$95</f>
        <v>388317.38194624888</v>
      </c>
      <c r="K95" s="76">
        <f ca="1">EFEITO!$L$95*EFEITO!$Z$95</f>
        <v>0</v>
      </c>
      <c r="L95" s="76">
        <f>EFEITO!$N$95*EFEITO!$AA$95</f>
        <v>0</v>
      </c>
      <c r="M95" s="76">
        <f ca="1">$J$95-EFEITO!$K$95*EFEITO!$Y$95</f>
        <v>0</v>
      </c>
      <c r="N95" s="76">
        <f ca="1">$K$95-EFEITO!$M$95*EFEITO!$Z$95</f>
        <v>0</v>
      </c>
      <c r="O95" s="76">
        <f>$L$95-EFEITO!$O$95*EFEITO!$AA$95</f>
        <v>0</v>
      </c>
      <c r="P95" s="57"/>
      <c r="Q95" s="57"/>
      <c r="R95" s="57"/>
      <c r="S95" s="57"/>
      <c r="T95" s="57"/>
      <c r="U95" s="57"/>
      <c r="V95" s="57"/>
      <c r="W95" s="57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1.25" customHeight="1" x14ac:dyDescent="0.2">
      <c r="A96" s="53" t="s">
        <v>21</v>
      </c>
      <c r="B96" s="53" t="s">
        <v>41</v>
      </c>
      <c r="C96" s="53" t="s">
        <v>42</v>
      </c>
      <c r="D96" s="53" t="s">
        <v>40</v>
      </c>
      <c r="E96" s="53" t="s">
        <v>25</v>
      </c>
      <c r="F96" s="53" t="s">
        <v>58</v>
      </c>
      <c r="G96" s="53" t="s">
        <v>25</v>
      </c>
      <c r="H96" s="53" t="s">
        <v>35</v>
      </c>
      <c r="I96" s="75">
        <v>44440</v>
      </c>
      <c r="J96" s="76">
        <f ca="1">EFEITO!$J$96*EFEITO!$Y$96</f>
        <v>388317.38194624888</v>
      </c>
      <c r="K96" s="76">
        <f ca="1">EFEITO!$L$96*EFEITO!$Z$96</f>
        <v>0</v>
      </c>
      <c r="L96" s="76">
        <f>EFEITO!$N$96*EFEITO!$AA$96</f>
        <v>0</v>
      </c>
      <c r="M96" s="76">
        <f ca="1">$J$96-EFEITO!$K$96*EFEITO!$Y$96</f>
        <v>0</v>
      </c>
      <c r="N96" s="76">
        <f ca="1">$K$96-EFEITO!$M$96*EFEITO!$Z$96</f>
        <v>0</v>
      </c>
      <c r="O96" s="76">
        <f>$L$96-EFEITO!$O$96*EFEITO!$AA$96</f>
        <v>0</v>
      </c>
      <c r="P96" s="57"/>
      <c r="Q96" s="57"/>
      <c r="R96" s="57"/>
      <c r="S96" s="57"/>
      <c r="T96" s="57"/>
      <c r="U96" s="57"/>
      <c r="V96" s="57"/>
      <c r="W96" s="57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1.25" customHeight="1" x14ac:dyDescent="0.2">
      <c r="A97" s="53" t="s">
        <v>21</v>
      </c>
      <c r="B97" s="53" t="s">
        <v>41</v>
      </c>
      <c r="C97" s="53" t="s">
        <v>42</v>
      </c>
      <c r="D97" s="53" t="s">
        <v>40</v>
      </c>
      <c r="E97" s="53" t="s">
        <v>25</v>
      </c>
      <c r="F97" s="53" t="s">
        <v>58</v>
      </c>
      <c r="G97" s="53" t="s">
        <v>25</v>
      </c>
      <c r="H97" s="53" t="s">
        <v>35</v>
      </c>
      <c r="I97" s="75">
        <v>44470</v>
      </c>
      <c r="J97" s="76">
        <f ca="1">EFEITO!$J$97*EFEITO!$Y$97</f>
        <v>388317.38194624888</v>
      </c>
      <c r="K97" s="76">
        <f ca="1">EFEITO!$L$97*EFEITO!$Z$97</f>
        <v>0</v>
      </c>
      <c r="L97" s="76">
        <f>EFEITO!$N$97*EFEITO!$AA$97</f>
        <v>0</v>
      </c>
      <c r="M97" s="76">
        <f ca="1">$J$97-EFEITO!$K$97*EFEITO!$Y$97</f>
        <v>0</v>
      </c>
      <c r="N97" s="76">
        <f ca="1">$K$97-EFEITO!$M$97*EFEITO!$Z$97</f>
        <v>0</v>
      </c>
      <c r="O97" s="76">
        <f>$L$97-EFEITO!$O$97*EFEITO!$AA$97</f>
        <v>0</v>
      </c>
      <c r="P97" s="57"/>
      <c r="Q97" s="57"/>
      <c r="R97" s="57"/>
      <c r="S97" s="57"/>
      <c r="T97" s="57"/>
      <c r="U97" s="57"/>
      <c r="V97" s="57"/>
      <c r="W97" s="57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1.25" customHeight="1" x14ac:dyDescent="0.2">
      <c r="A98" s="53" t="s">
        <v>21</v>
      </c>
      <c r="B98" s="53" t="s">
        <v>41</v>
      </c>
      <c r="C98" s="53" t="s">
        <v>42</v>
      </c>
      <c r="D98" s="53" t="s">
        <v>40</v>
      </c>
      <c r="E98" s="53" t="s">
        <v>25</v>
      </c>
      <c r="F98" s="53" t="s">
        <v>58</v>
      </c>
      <c r="G98" s="53" t="s">
        <v>25</v>
      </c>
      <c r="H98" s="53" t="s">
        <v>35</v>
      </c>
      <c r="I98" s="75">
        <v>44501</v>
      </c>
      <c r="J98" s="76">
        <f ca="1">EFEITO!$J$98*EFEITO!$Y$98</f>
        <v>388317.38194624888</v>
      </c>
      <c r="K98" s="76">
        <f ca="1">EFEITO!$L$98*EFEITO!$Z$98</f>
        <v>0</v>
      </c>
      <c r="L98" s="76">
        <f>EFEITO!$N$98*EFEITO!$AA$98</f>
        <v>0</v>
      </c>
      <c r="M98" s="76">
        <f ca="1">$J$98-EFEITO!$K$98*EFEITO!$Y$98</f>
        <v>0</v>
      </c>
      <c r="N98" s="76">
        <f ca="1">$K$98-EFEITO!$M$98*EFEITO!$Z$98</f>
        <v>0</v>
      </c>
      <c r="O98" s="76">
        <f>$L$98-EFEITO!$O$98*EFEITO!$AA$98</f>
        <v>0</v>
      </c>
      <c r="P98" s="57"/>
      <c r="Q98" s="57"/>
      <c r="R98" s="57"/>
      <c r="S98" s="57"/>
      <c r="T98" s="57"/>
      <c r="U98" s="57"/>
      <c r="V98" s="57"/>
      <c r="W98" s="57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1.25" customHeight="1" x14ac:dyDescent="0.2">
      <c r="A99" s="53" t="s">
        <v>21</v>
      </c>
      <c r="B99" s="53" t="s">
        <v>41</v>
      </c>
      <c r="C99" s="53" t="s">
        <v>42</v>
      </c>
      <c r="D99" s="53" t="s">
        <v>40</v>
      </c>
      <c r="E99" s="53" t="s">
        <v>25</v>
      </c>
      <c r="F99" s="53" t="s">
        <v>58</v>
      </c>
      <c r="G99" s="53" t="s">
        <v>25</v>
      </c>
      <c r="H99" s="53" t="s">
        <v>35</v>
      </c>
      <c r="I99" s="75">
        <v>44531</v>
      </c>
      <c r="J99" s="76">
        <f ca="1">EFEITO!$J$99*EFEITO!$Y$99</f>
        <v>540003.85926900234</v>
      </c>
      <c r="K99" s="76">
        <f ca="1">EFEITO!$L$99*EFEITO!$Z$99</f>
        <v>0</v>
      </c>
      <c r="L99" s="76">
        <f>EFEITO!$N$99*EFEITO!$AA$99</f>
        <v>0</v>
      </c>
      <c r="M99" s="76">
        <f ca="1">$J$99-EFEITO!$K$99*EFEITO!$Y$99</f>
        <v>0</v>
      </c>
      <c r="N99" s="76">
        <f ca="1">$K$99-EFEITO!$M$99*EFEITO!$Z$99</f>
        <v>0</v>
      </c>
      <c r="O99" s="76">
        <f>$L$99-EFEITO!$O$99*EFEITO!$AA$99</f>
        <v>0</v>
      </c>
      <c r="P99" s="57"/>
      <c r="Q99" s="57"/>
      <c r="R99" s="57"/>
      <c r="S99" s="57"/>
      <c r="T99" s="57"/>
      <c r="U99" s="57"/>
      <c r="V99" s="57"/>
      <c r="W99" s="57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1.25" customHeight="1" x14ac:dyDescent="0.2">
      <c r="A100" s="53" t="s">
        <v>21</v>
      </c>
      <c r="B100" s="53" t="s">
        <v>41</v>
      </c>
      <c r="C100" s="53" t="s">
        <v>42</v>
      </c>
      <c r="D100" s="53" t="s">
        <v>40</v>
      </c>
      <c r="E100" s="53" t="s">
        <v>25</v>
      </c>
      <c r="F100" s="53" t="s">
        <v>58</v>
      </c>
      <c r="G100" s="53" t="s">
        <v>25</v>
      </c>
      <c r="H100" s="53" t="s">
        <v>35</v>
      </c>
      <c r="I100" s="75">
        <v>44562</v>
      </c>
      <c r="J100" s="76">
        <f ca="1">EFEITO!$J$100*EFEITO!$Y$100</f>
        <v>540003.85926900234</v>
      </c>
      <c r="K100" s="76">
        <f ca="1">EFEITO!$L$100*EFEITO!$Z$100</f>
        <v>0</v>
      </c>
      <c r="L100" s="76">
        <f>EFEITO!$N$100*EFEITO!$AA$100</f>
        <v>0</v>
      </c>
      <c r="M100" s="76">
        <f ca="1">$J$100-EFEITO!$K$100*EFEITO!$Y$100</f>
        <v>0</v>
      </c>
      <c r="N100" s="76">
        <f ca="1">$K$100-EFEITO!$M$100*EFEITO!$Z$100</f>
        <v>0</v>
      </c>
      <c r="O100" s="76">
        <f>$L$100-EFEITO!$O$100*EFEITO!$AA$100</f>
        <v>0</v>
      </c>
      <c r="P100" s="57"/>
      <c r="Q100" s="57"/>
      <c r="R100" s="57"/>
      <c r="S100" s="57"/>
      <c r="T100" s="57"/>
      <c r="U100" s="57"/>
      <c r="V100" s="57"/>
      <c r="W100" s="57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1.25" customHeight="1" x14ac:dyDescent="0.2">
      <c r="A101" s="53" t="s">
        <v>21</v>
      </c>
      <c r="B101" s="53" t="s">
        <v>41</v>
      </c>
      <c r="C101" s="53" t="s">
        <v>42</v>
      </c>
      <c r="D101" s="53" t="s">
        <v>40</v>
      </c>
      <c r="E101" s="53" t="s">
        <v>25</v>
      </c>
      <c r="F101" s="53" t="s">
        <v>58</v>
      </c>
      <c r="G101" s="53" t="s">
        <v>25</v>
      </c>
      <c r="H101" s="53" t="s">
        <v>35</v>
      </c>
      <c r="I101" s="75">
        <v>44593</v>
      </c>
      <c r="J101" s="76">
        <f ca="1">EFEITO!$J$101*EFEITO!$Y$101</f>
        <v>1138255.325829942</v>
      </c>
      <c r="K101" s="76">
        <f ca="1">EFEITO!$L$101*EFEITO!$Z$101</f>
        <v>0</v>
      </c>
      <c r="L101" s="76">
        <f>EFEITO!$N$101*EFEITO!$AA$101</f>
        <v>0</v>
      </c>
      <c r="M101" s="76">
        <f ca="1">$J$101-EFEITO!$K$101*EFEITO!$Y$101</f>
        <v>0</v>
      </c>
      <c r="N101" s="76">
        <f ca="1">$K$101-EFEITO!$M$101*EFEITO!$Z$101</f>
        <v>0</v>
      </c>
      <c r="O101" s="76">
        <f>$L$101-EFEITO!$O$101*EFEITO!$AA$101</f>
        <v>0</v>
      </c>
      <c r="P101" s="57"/>
      <c r="Q101" s="57"/>
      <c r="R101" s="57"/>
      <c r="S101" s="57"/>
      <c r="T101" s="57"/>
      <c r="U101" s="57"/>
      <c r="V101" s="57"/>
      <c r="W101" s="57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1.25" customHeight="1" x14ac:dyDescent="0.2">
      <c r="A102" s="53" t="s">
        <v>21</v>
      </c>
      <c r="B102" s="53" t="s">
        <v>41</v>
      </c>
      <c r="C102" s="53" t="s">
        <v>42</v>
      </c>
      <c r="D102" s="53" t="s">
        <v>40</v>
      </c>
      <c r="E102" s="53" t="s">
        <v>25</v>
      </c>
      <c r="F102" s="53" t="s">
        <v>58</v>
      </c>
      <c r="G102" s="53" t="s">
        <v>25</v>
      </c>
      <c r="H102" s="53" t="s">
        <v>35</v>
      </c>
      <c r="I102" s="75">
        <v>44621</v>
      </c>
      <c r="J102" s="76">
        <f ca="1">EFEITO!$J$102*EFEITO!$Y$102</f>
        <v>737196.27978858177</v>
      </c>
      <c r="K102" s="76">
        <f ca="1">EFEITO!$L$102*EFEITO!$Z$102</f>
        <v>0</v>
      </c>
      <c r="L102" s="76">
        <f>EFEITO!$N$102*EFEITO!$AA$102</f>
        <v>0</v>
      </c>
      <c r="M102" s="76">
        <f ca="1">$J$102-EFEITO!$K$102*EFEITO!$Y$102</f>
        <v>0</v>
      </c>
      <c r="N102" s="76">
        <f ca="1">$K$102-EFEITO!$M$102*EFEITO!$Z$102</f>
        <v>0</v>
      </c>
      <c r="O102" s="76">
        <f>$L$102-EFEITO!$O$102*EFEITO!$AA$102</f>
        <v>0</v>
      </c>
      <c r="P102" s="57"/>
      <c r="Q102" s="57"/>
      <c r="R102" s="57"/>
      <c r="S102" s="57"/>
      <c r="T102" s="57"/>
      <c r="U102" s="57"/>
      <c r="V102" s="57"/>
      <c r="W102" s="57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1.25" customHeight="1" x14ac:dyDescent="0.2">
      <c r="A103" s="53" t="s">
        <v>56</v>
      </c>
      <c r="B103" s="53" t="s">
        <v>41</v>
      </c>
      <c r="C103" s="53" t="s">
        <v>42</v>
      </c>
      <c r="D103" s="53" t="s">
        <v>40</v>
      </c>
      <c r="E103" s="53" t="s">
        <v>25</v>
      </c>
      <c r="F103" s="53" t="s">
        <v>58</v>
      </c>
      <c r="G103" s="53" t="s">
        <v>25</v>
      </c>
      <c r="H103" s="53" t="s">
        <v>35</v>
      </c>
      <c r="I103" s="75">
        <v>44652</v>
      </c>
      <c r="J103" s="76">
        <f ca="1">EFEITO!$J$103*EFEITO!$Y$103</f>
        <v>737196.27978858177</v>
      </c>
      <c r="K103" s="76">
        <f ca="1">EFEITO!$L$103*EFEITO!$Z$103</f>
        <v>0</v>
      </c>
      <c r="L103" s="76">
        <f>EFEITO!$N$103*EFEITO!$AA$103</f>
        <v>0</v>
      </c>
      <c r="M103" s="76">
        <f ca="1">$J$103-EFEITO!$K$103*EFEITO!$Y$103</f>
        <v>0</v>
      </c>
      <c r="N103" s="76">
        <f ca="1">$K$103-EFEITO!$M$103*EFEITO!$Z$103</f>
        <v>0</v>
      </c>
      <c r="O103" s="76">
        <f>$L$103-EFEITO!$O$103*EFEITO!$AA$103</f>
        <v>0</v>
      </c>
      <c r="P103" s="57"/>
      <c r="Q103" s="57"/>
      <c r="R103" s="57"/>
      <c r="S103" s="57"/>
      <c r="T103" s="57"/>
      <c r="U103" s="57"/>
      <c r="V103" s="57"/>
      <c r="W103" s="57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1.25" customHeight="1" x14ac:dyDescent="0.2">
      <c r="A104" s="53" t="s">
        <v>21</v>
      </c>
      <c r="B104" s="53" t="s">
        <v>41</v>
      </c>
      <c r="C104" s="53" t="s">
        <v>42</v>
      </c>
      <c r="D104" s="53" t="s">
        <v>40</v>
      </c>
      <c r="E104" s="53" t="s">
        <v>25</v>
      </c>
      <c r="F104" s="53" t="s">
        <v>60</v>
      </c>
      <c r="G104" s="53" t="s">
        <v>25</v>
      </c>
      <c r="H104" s="53" t="s">
        <v>36</v>
      </c>
      <c r="I104" s="75">
        <v>44317</v>
      </c>
      <c r="J104" s="76">
        <f ca="1">EFEITO!$J$104*EFEITO!$Y$104</f>
        <v>114407.13517199822</v>
      </c>
      <c r="K104" s="76">
        <f ca="1">EFEITO!$L$104*EFEITO!$Z$104</f>
        <v>0</v>
      </c>
      <c r="L104" s="76">
        <f>EFEITO!$N$104*EFEITO!$AA$104</f>
        <v>0</v>
      </c>
      <c r="M104" s="76">
        <f ca="1">$J$104-EFEITO!$K$104*EFEITO!$Y$104</f>
        <v>114236.2452341918</v>
      </c>
      <c r="N104" s="76">
        <f ca="1">$K$104-EFEITO!$M$104*EFEITO!$Z$104</f>
        <v>0</v>
      </c>
      <c r="O104" s="76">
        <f>$L$104-EFEITO!$O$104*EFEITO!$AA$104</f>
        <v>0</v>
      </c>
      <c r="P104" s="57"/>
      <c r="Q104" s="57"/>
      <c r="R104" s="57"/>
      <c r="S104" s="57"/>
      <c r="T104" s="57"/>
      <c r="U104" s="57"/>
      <c r="V104" s="57"/>
      <c r="W104" s="57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1.25" customHeight="1" x14ac:dyDescent="0.2">
      <c r="A105" s="53" t="s">
        <v>21</v>
      </c>
      <c r="B105" s="53" t="s">
        <v>41</v>
      </c>
      <c r="C105" s="53" t="s">
        <v>42</v>
      </c>
      <c r="D105" s="53" t="s">
        <v>40</v>
      </c>
      <c r="E105" s="53" t="s">
        <v>25</v>
      </c>
      <c r="F105" s="53" t="s">
        <v>60</v>
      </c>
      <c r="G105" s="53" t="s">
        <v>25</v>
      </c>
      <c r="H105" s="53" t="s">
        <v>36</v>
      </c>
      <c r="I105" s="75">
        <v>44348</v>
      </c>
      <c r="J105" s="76">
        <f ca="1">EFEITO!$J$105*EFEITO!$Y$105</f>
        <v>114407.13517199822</v>
      </c>
      <c r="K105" s="76">
        <f ca="1">EFEITO!$L$105*EFEITO!$Z$105</f>
        <v>0</v>
      </c>
      <c r="L105" s="76">
        <f>EFEITO!$N$105*EFEITO!$AA$105</f>
        <v>0</v>
      </c>
      <c r="M105" s="76">
        <f ca="1">$J$105-EFEITO!$K$105*EFEITO!$Y$105</f>
        <v>114315.60946386062</v>
      </c>
      <c r="N105" s="76">
        <f ca="1">$K$105-EFEITO!$M$105*EFEITO!$Z$105</f>
        <v>0</v>
      </c>
      <c r="O105" s="76">
        <f>$L$105-EFEITO!$O$105*EFEITO!$AA$105</f>
        <v>0</v>
      </c>
      <c r="P105" s="57"/>
      <c r="Q105" s="57"/>
      <c r="R105" s="57"/>
      <c r="S105" s="57"/>
      <c r="T105" s="57"/>
      <c r="U105" s="57"/>
      <c r="V105" s="57"/>
      <c r="W105" s="57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1.25" customHeight="1" x14ac:dyDescent="0.2">
      <c r="A106" s="53" t="s">
        <v>21</v>
      </c>
      <c r="B106" s="53" t="s">
        <v>41</v>
      </c>
      <c r="C106" s="53" t="s">
        <v>42</v>
      </c>
      <c r="D106" s="53" t="s">
        <v>40</v>
      </c>
      <c r="E106" s="53" t="s">
        <v>25</v>
      </c>
      <c r="F106" s="53" t="s">
        <v>60</v>
      </c>
      <c r="G106" s="53" t="s">
        <v>25</v>
      </c>
      <c r="H106" s="53" t="s">
        <v>36</v>
      </c>
      <c r="I106" s="75">
        <v>44378</v>
      </c>
      <c r="J106" s="76">
        <f ca="1">EFEITO!$J$106*EFEITO!$Y$106</f>
        <v>114407.13517199822</v>
      </c>
      <c r="K106" s="76">
        <f ca="1">EFEITO!$L$106*EFEITO!$Z$106</f>
        <v>0</v>
      </c>
      <c r="L106" s="76">
        <f>EFEITO!$N$106*EFEITO!$AA$106</f>
        <v>0</v>
      </c>
      <c r="M106" s="76">
        <f ca="1">$J$106-EFEITO!$K$106*EFEITO!$Y$106</f>
        <v>114315.60946386062</v>
      </c>
      <c r="N106" s="76">
        <f ca="1">$K$106-EFEITO!$M$106*EFEITO!$Z$106</f>
        <v>0</v>
      </c>
      <c r="O106" s="76">
        <f>$L$106-EFEITO!$O$106*EFEITO!$AA$106</f>
        <v>0</v>
      </c>
      <c r="P106" s="57"/>
      <c r="Q106" s="57"/>
      <c r="R106" s="57"/>
      <c r="S106" s="57"/>
      <c r="T106" s="57"/>
      <c r="U106" s="57"/>
      <c r="V106" s="57"/>
      <c r="W106" s="57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1.25" customHeight="1" x14ac:dyDescent="0.2">
      <c r="A107" s="53" t="s">
        <v>21</v>
      </c>
      <c r="B107" s="53" t="s">
        <v>41</v>
      </c>
      <c r="C107" s="53" t="s">
        <v>42</v>
      </c>
      <c r="D107" s="53" t="s">
        <v>40</v>
      </c>
      <c r="E107" s="53" t="s">
        <v>25</v>
      </c>
      <c r="F107" s="53" t="s">
        <v>60</v>
      </c>
      <c r="G107" s="53" t="s">
        <v>25</v>
      </c>
      <c r="H107" s="53" t="s">
        <v>36</v>
      </c>
      <c r="I107" s="75">
        <v>44409</v>
      </c>
      <c r="J107" s="76">
        <f ca="1">EFEITO!$J$107*EFEITO!$Y$107</f>
        <v>114407.13517199822</v>
      </c>
      <c r="K107" s="76">
        <f ca="1">EFEITO!$L$107*EFEITO!$Z$107</f>
        <v>0</v>
      </c>
      <c r="L107" s="76">
        <f>EFEITO!$N$107*EFEITO!$AA$107</f>
        <v>0</v>
      </c>
      <c r="M107" s="76">
        <f ca="1">$J$107-EFEITO!$K$107*EFEITO!$Y$107</f>
        <v>114395.69445848101</v>
      </c>
      <c r="N107" s="76">
        <f ca="1">$K$107-EFEITO!$M$107*EFEITO!$Z$107</f>
        <v>0</v>
      </c>
      <c r="O107" s="76">
        <f>$L$107-EFEITO!$O$107*EFEITO!$AA$107</f>
        <v>0</v>
      </c>
      <c r="P107" s="57"/>
      <c r="Q107" s="57"/>
      <c r="R107" s="57"/>
      <c r="S107" s="57"/>
      <c r="T107" s="57"/>
      <c r="U107" s="57"/>
      <c r="V107" s="57"/>
      <c r="W107" s="57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1.25" customHeight="1" x14ac:dyDescent="0.2">
      <c r="A108" s="53" t="s">
        <v>21</v>
      </c>
      <c r="B108" s="53" t="s">
        <v>41</v>
      </c>
      <c r="C108" s="53" t="s">
        <v>42</v>
      </c>
      <c r="D108" s="53" t="s">
        <v>40</v>
      </c>
      <c r="E108" s="53" t="s">
        <v>25</v>
      </c>
      <c r="F108" s="53" t="s">
        <v>60</v>
      </c>
      <c r="G108" s="53" t="s">
        <v>25</v>
      </c>
      <c r="H108" s="53" t="s">
        <v>36</v>
      </c>
      <c r="I108" s="75">
        <v>44440</v>
      </c>
      <c r="J108" s="76">
        <f ca="1">EFEITO!$J$108*EFEITO!$Y$108</f>
        <v>114407.13517199822</v>
      </c>
      <c r="K108" s="76">
        <f ca="1">EFEITO!$L$108*EFEITO!$Z$108</f>
        <v>0</v>
      </c>
      <c r="L108" s="76">
        <f>EFEITO!$N$108*EFEITO!$AA$108</f>
        <v>0</v>
      </c>
      <c r="M108" s="76">
        <f ca="1">$J$108-EFEITO!$K$108*EFEITO!$Y$108</f>
        <v>114315.60946386062</v>
      </c>
      <c r="N108" s="76">
        <f ca="1">$K$108-EFEITO!$M$108*EFEITO!$Z$108</f>
        <v>0</v>
      </c>
      <c r="O108" s="76">
        <f>$L$108-EFEITO!$O$108*EFEITO!$AA$108</f>
        <v>0</v>
      </c>
      <c r="P108" s="57"/>
      <c r="Q108" s="57"/>
      <c r="R108" s="57"/>
      <c r="S108" s="57"/>
      <c r="T108" s="57"/>
      <c r="U108" s="57"/>
      <c r="V108" s="57"/>
      <c r="W108" s="57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1.25" customHeight="1" x14ac:dyDescent="0.2">
      <c r="A109" s="53" t="s">
        <v>21</v>
      </c>
      <c r="B109" s="53" t="s">
        <v>41</v>
      </c>
      <c r="C109" s="53" t="s">
        <v>42</v>
      </c>
      <c r="D109" s="53" t="s">
        <v>40</v>
      </c>
      <c r="E109" s="53" t="s">
        <v>25</v>
      </c>
      <c r="F109" s="53" t="s">
        <v>60</v>
      </c>
      <c r="G109" s="53" t="s">
        <v>25</v>
      </c>
      <c r="H109" s="53" t="s">
        <v>36</v>
      </c>
      <c r="I109" s="75">
        <v>44470</v>
      </c>
      <c r="J109" s="76">
        <f ca="1">EFEITO!$J$109*EFEITO!$Y$109</f>
        <v>114407.13517199822</v>
      </c>
      <c r="K109" s="76">
        <f ca="1">EFEITO!$L$109*EFEITO!$Z$109</f>
        <v>0</v>
      </c>
      <c r="L109" s="76">
        <f>EFEITO!$N$109*EFEITO!$AA$109</f>
        <v>0</v>
      </c>
      <c r="M109" s="76">
        <f ca="1">$J$109-EFEITO!$K$109*EFEITO!$Y$109</f>
        <v>114407.13517199822</v>
      </c>
      <c r="N109" s="76">
        <f ca="1">$K$109-EFEITO!$M$109*EFEITO!$Z$109</f>
        <v>0</v>
      </c>
      <c r="O109" s="76">
        <f>$L$109-EFEITO!$O$109*EFEITO!$AA$109</f>
        <v>0</v>
      </c>
      <c r="P109" s="57"/>
      <c r="Q109" s="57"/>
      <c r="R109" s="57"/>
      <c r="S109" s="57"/>
      <c r="T109" s="57"/>
      <c r="U109" s="57"/>
      <c r="V109" s="57"/>
      <c r="W109" s="57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1.25" customHeight="1" x14ac:dyDescent="0.2">
      <c r="A110" s="53" t="s">
        <v>21</v>
      </c>
      <c r="B110" s="53" t="s">
        <v>41</v>
      </c>
      <c r="C110" s="53" t="s">
        <v>42</v>
      </c>
      <c r="D110" s="53" t="s">
        <v>40</v>
      </c>
      <c r="E110" s="53" t="s">
        <v>25</v>
      </c>
      <c r="F110" s="53" t="s">
        <v>60</v>
      </c>
      <c r="G110" s="53" t="s">
        <v>25</v>
      </c>
      <c r="H110" s="53" t="s">
        <v>36</v>
      </c>
      <c r="I110" s="75">
        <v>44501</v>
      </c>
      <c r="J110" s="76">
        <f ca="1">EFEITO!$J$110*EFEITO!$Y$110</f>
        <v>114407.13517199822</v>
      </c>
      <c r="K110" s="76">
        <f ca="1">EFEITO!$L$110*EFEITO!$Z$110</f>
        <v>0</v>
      </c>
      <c r="L110" s="76">
        <f>EFEITO!$N$110*EFEITO!$AA$110</f>
        <v>0</v>
      </c>
      <c r="M110" s="76">
        <f ca="1">$J$110-EFEITO!$K$110*EFEITO!$Y$110</f>
        <v>114407.13517199822</v>
      </c>
      <c r="N110" s="76">
        <f ca="1">$K$110-EFEITO!$M$110*EFEITO!$Z$110</f>
        <v>0</v>
      </c>
      <c r="O110" s="76">
        <f>$L$110-EFEITO!$O$110*EFEITO!$AA$110</f>
        <v>0</v>
      </c>
      <c r="P110" s="57"/>
      <c r="Q110" s="57"/>
      <c r="R110" s="57"/>
      <c r="S110" s="57"/>
      <c r="T110" s="57"/>
      <c r="U110" s="57"/>
      <c r="V110" s="57"/>
      <c r="W110" s="57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1.25" customHeight="1" x14ac:dyDescent="0.2">
      <c r="A111" s="53" t="s">
        <v>21</v>
      </c>
      <c r="B111" s="53" t="s">
        <v>41</v>
      </c>
      <c r="C111" s="53" t="s">
        <v>42</v>
      </c>
      <c r="D111" s="53" t="s">
        <v>40</v>
      </c>
      <c r="E111" s="53" t="s">
        <v>25</v>
      </c>
      <c r="F111" s="53" t="s">
        <v>60</v>
      </c>
      <c r="G111" s="53" t="s">
        <v>25</v>
      </c>
      <c r="H111" s="53" t="s">
        <v>36</v>
      </c>
      <c r="I111" s="75">
        <v>44531</v>
      </c>
      <c r="J111" s="76">
        <f ca="1">EFEITO!$J$111*EFEITO!$Y$111</f>
        <v>224597.55021908565</v>
      </c>
      <c r="K111" s="76">
        <f ca="1">EFEITO!$L$111*EFEITO!$Z$111</f>
        <v>0</v>
      </c>
      <c r="L111" s="76">
        <f>EFEITO!$N$111*EFEITO!$AA$111</f>
        <v>0</v>
      </c>
      <c r="M111" s="76">
        <f ca="1">$J$111-EFEITO!$K$111*EFEITO!$Y$111</f>
        <v>112298.77510954282</v>
      </c>
      <c r="N111" s="76">
        <f ca="1">$K$111-EFEITO!$M$111*EFEITO!$Z$111</f>
        <v>0</v>
      </c>
      <c r="O111" s="76">
        <f>$L$111-EFEITO!$O$111*EFEITO!$AA$111</f>
        <v>0</v>
      </c>
      <c r="P111" s="57"/>
      <c r="Q111" s="57"/>
      <c r="R111" s="57"/>
      <c r="S111" s="57"/>
      <c r="T111" s="57"/>
      <c r="U111" s="57"/>
      <c r="V111" s="57"/>
      <c r="W111" s="57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1.25" customHeight="1" x14ac:dyDescent="0.2">
      <c r="A112" s="53" t="s">
        <v>21</v>
      </c>
      <c r="B112" s="53" t="s">
        <v>41</v>
      </c>
      <c r="C112" s="53" t="s">
        <v>42</v>
      </c>
      <c r="D112" s="53" t="s">
        <v>40</v>
      </c>
      <c r="E112" s="53" t="s">
        <v>25</v>
      </c>
      <c r="F112" s="53" t="s">
        <v>60</v>
      </c>
      <c r="G112" s="53" t="s">
        <v>25</v>
      </c>
      <c r="H112" s="53" t="s">
        <v>36</v>
      </c>
      <c r="I112" s="75">
        <v>44562</v>
      </c>
      <c r="J112" s="76">
        <f ca="1">EFEITO!$J$112*EFEITO!$Y$112</f>
        <v>114766.70045396735</v>
      </c>
      <c r="K112" s="76">
        <f ca="1">EFEITO!$L$112*EFEITO!$Z$112</f>
        <v>0</v>
      </c>
      <c r="L112" s="76">
        <f>EFEITO!$N$112*EFEITO!$AA$112</f>
        <v>0</v>
      </c>
      <c r="M112" s="76">
        <f ca="1">$J$112-EFEITO!$K$112*EFEITO!$Y$112</f>
        <v>57383.350226983675</v>
      </c>
      <c r="N112" s="76">
        <f ca="1">$K$112-EFEITO!$M$112*EFEITO!$Z$112</f>
        <v>0</v>
      </c>
      <c r="O112" s="76">
        <f>$L$112-EFEITO!$O$112*EFEITO!$AA$112</f>
        <v>0</v>
      </c>
      <c r="P112" s="57"/>
      <c r="Q112" s="57"/>
      <c r="R112" s="57"/>
      <c r="S112" s="57"/>
      <c r="T112" s="57"/>
      <c r="U112" s="57"/>
      <c r="V112" s="57"/>
      <c r="W112" s="57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1.25" customHeight="1" x14ac:dyDescent="0.2">
      <c r="A113" s="53" t="s">
        <v>21</v>
      </c>
      <c r="B113" s="53" t="s">
        <v>41</v>
      </c>
      <c r="C113" s="53" t="s">
        <v>42</v>
      </c>
      <c r="D113" s="53" t="s">
        <v>40</v>
      </c>
      <c r="E113" s="53" t="s">
        <v>25</v>
      </c>
      <c r="F113" s="53" t="s">
        <v>60</v>
      </c>
      <c r="G113" s="53" t="s">
        <v>25</v>
      </c>
      <c r="H113" s="53" t="s">
        <v>36</v>
      </c>
      <c r="I113" s="75">
        <v>44593</v>
      </c>
      <c r="J113" s="76">
        <f ca="1">EFEITO!$J$113*EFEITO!$Y$113</f>
        <v>172673.05472745158</v>
      </c>
      <c r="K113" s="76">
        <f ca="1">EFEITO!$L$113*EFEITO!$Z$113</f>
        <v>0</v>
      </c>
      <c r="L113" s="76">
        <f>EFEITO!$N$113*EFEITO!$AA$113</f>
        <v>0</v>
      </c>
      <c r="M113" s="76">
        <f ca="1">$J$113-EFEITO!$K$113*EFEITO!$Y$113</f>
        <v>86336.527363725792</v>
      </c>
      <c r="N113" s="76">
        <f ca="1">$K$113-EFEITO!$M$113*EFEITO!$Z$113</f>
        <v>0</v>
      </c>
      <c r="O113" s="76">
        <f>$L$113-EFEITO!$O$113*EFEITO!$AA$113</f>
        <v>0</v>
      </c>
      <c r="P113" s="57"/>
      <c r="Q113" s="57"/>
      <c r="R113" s="57"/>
      <c r="S113" s="57"/>
      <c r="T113" s="57"/>
      <c r="U113" s="57"/>
      <c r="V113" s="57"/>
      <c r="W113" s="57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1.25" customHeight="1" x14ac:dyDescent="0.2">
      <c r="A114" s="53" t="s">
        <v>21</v>
      </c>
      <c r="B114" s="53" t="s">
        <v>41</v>
      </c>
      <c r="C114" s="53" t="s">
        <v>42</v>
      </c>
      <c r="D114" s="53" t="s">
        <v>40</v>
      </c>
      <c r="E114" s="53" t="s">
        <v>25</v>
      </c>
      <c r="F114" s="53" t="s">
        <v>60</v>
      </c>
      <c r="G114" s="53" t="s">
        <v>25</v>
      </c>
      <c r="H114" s="53" t="s">
        <v>36</v>
      </c>
      <c r="I114" s="75">
        <v>44621</v>
      </c>
      <c r="J114" s="76">
        <f ca="1">EFEITO!$J$114*EFEITO!$Y$114</f>
        <v>172673.05472745158</v>
      </c>
      <c r="K114" s="76">
        <f ca="1">EFEITO!$L$114*EFEITO!$Z$114</f>
        <v>0</v>
      </c>
      <c r="L114" s="76">
        <f>EFEITO!$N$114*EFEITO!$AA$114</f>
        <v>0</v>
      </c>
      <c r="M114" s="76">
        <f ca="1">$J$114-EFEITO!$K$114*EFEITO!$Y$114</f>
        <v>86336.527363725792</v>
      </c>
      <c r="N114" s="76">
        <f ca="1">$K$114-EFEITO!$M$114*EFEITO!$Z$114</f>
        <v>0</v>
      </c>
      <c r="O114" s="76">
        <f>$L$114-EFEITO!$O$114*EFEITO!$AA$114</f>
        <v>0</v>
      </c>
      <c r="P114" s="57"/>
      <c r="Q114" s="57"/>
      <c r="R114" s="57"/>
      <c r="S114" s="57"/>
      <c r="T114" s="57"/>
      <c r="U114" s="57"/>
      <c r="V114" s="57"/>
      <c r="W114" s="57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1.25" customHeight="1" x14ac:dyDescent="0.2">
      <c r="A115" s="53" t="s">
        <v>56</v>
      </c>
      <c r="B115" s="53" t="s">
        <v>41</v>
      </c>
      <c r="C115" s="53" t="s">
        <v>42</v>
      </c>
      <c r="D115" s="53" t="s">
        <v>40</v>
      </c>
      <c r="E115" s="53" t="s">
        <v>25</v>
      </c>
      <c r="F115" s="53" t="s">
        <v>60</v>
      </c>
      <c r="G115" s="53" t="s">
        <v>25</v>
      </c>
      <c r="H115" s="53" t="s">
        <v>36</v>
      </c>
      <c r="I115" s="75">
        <v>44652</v>
      </c>
      <c r="J115" s="76">
        <f ca="1">EFEITO!$J$115*EFEITO!$Y$115</f>
        <v>172673.05472745158</v>
      </c>
      <c r="K115" s="76">
        <f ca="1">EFEITO!$L$115*EFEITO!$Z$115</f>
        <v>0</v>
      </c>
      <c r="L115" s="76">
        <f>EFEITO!$N$115*EFEITO!$AA$115</f>
        <v>0</v>
      </c>
      <c r="M115" s="76">
        <f ca="1">$J$115-EFEITO!$K$115*EFEITO!$Y$115</f>
        <v>86336.527363725792</v>
      </c>
      <c r="N115" s="76">
        <f ca="1">$K$115-EFEITO!$M$115*EFEITO!$Z$115</f>
        <v>0</v>
      </c>
      <c r="O115" s="76">
        <f>$L$115-EFEITO!$O$115*EFEITO!$AA$115</f>
        <v>0</v>
      </c>
      <c r="P115" s="57"/>
      <c r="Q115" s="57"/>
      <c r="R115" s="57"/>
      <c r="S115" s="57"/>
      <c r="T115" s="57"/>
      <c r="U115" s="57"/>
      <c r="V115" s="57"/>
      <c r="W115" s="57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1.25" customHeight="1" x14ac:dyDescent="0.2">
      <c r="A116" s="53" t="s">
        <v>21</v>
      </c>
      <c r="B116" s="53" t="s">
        <v>41</v>
      </c>
      <c r="C116" s="53" t="s">
        <v>42</v>
      </c>
      <c r="D116" s="53" t="s">
        <v>40</v>
      </c>
      <c r="E116" s="53" t="s">
        <v>25</v>
      </c>
      <c r="F116" s="53" t="s">
        <v>60</v>
      </c>
      <c r="G116" s="53" t="s">
        <v>25</v>
      </c>
      <c r="H116" s="53" t="s">
        <v>25</v>
      </c>
      <c r="I116" s="75">
        <v>44317</v>
      </c>
      <c r="J116" s="76">
        <f>EFEITO!$J$116*EFEITO!$Y$116</f>
        <v>0</v>
      </c>
      <c r="K116" s="76">
        <f ca="1">EFEITO!$L$116*EFEITO!$Z$116</f>
        <v>43810.187789888012</v>
      </c>
      <c r="L116" s="76">
        <f>EFEITO!$N$116*EFEITO!$AA$116</f>
        <v>0</v>
      </c>
      <c r="M116" s="76">
        <f>$J$116-EFEITO!$K$116*EFEITO!$Y$116</f>
        <v>0</v>
      </c>
      <c r="N116" s="76">
        <f ca="1">$K$116-EFEITO!$M$116*EFEITO!$Z$116</f>
        <v>0</v>
      </c>
      <c r="O116" s="76">
        <f>$L$116-EFEITO!$O$116*EFEITO!$AA$116</f>
        <v>0</v>
      </c>
      <c r="P116" s="57"/>
      <c r="Q116" s="57"/>
      <c r="R116" s="57"/>
      <c r="S116" s="57"/>
      <c r="T116" s="57"/>
      <c r="U116" s="57"/>
      <c r="V116" s="57"/>
      <c r="W116" s="57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1.25" customHeight="1" x14ac:dyDescent="0.2">
      <c r="A117" s="53" t="s">
        <v>21</v>
      </c>
      <c r="B117" s="53" t="s">
        <v>41</v>
      </c>
      <c r="C117" s="53" t="s">
        <v>42</v>
      </c>
      <c r="D117" s="53" t="s">
        <v>40</v>
      </c>
      <c r="E117" s="53" t="s">
        <v>25</v>
      </c>
      <c r="F117" s="53" t="s">
        <v>60</v>
      </c>
      <c r="G117" s="53" t="s">
        <v>25</v>
      </c>
      <c r="H117" s="53" t="s">
        <v>25</v>
      </c>
      <c r="I117" s="75">
        <v>44348</v>
      </c>
      <c r="J117" s="76">
        <f>EFEITO!$J$117*EFEITO!$Y$117</f>
        <v>0</v>
      </c>
      <c r="K117" s="76">
        <f ca="1">EFEITO!$L$117*EFEITO!$Z$117</f>
        <v>41220.88308437106</v>
      </c>
      <c r="L117" s="76">
        <f>EFEITO!$N$117*EFEITO!$AA$117</f>
        <v>0</v>
      </c>
      <c r="M117" s="76">
        <f>$J$117-EFEITO!$K$117*EFEITO!$Y$117</f>
        <v>0</v>
      </c>
      <c r="N117" s="76">
        <f ca="1">$K$117-EFEITO!$M$117*EFEITO!$Z$117</f>
        <v>0</v>
      </c>
      <c r="O117" s="76">
        <f>$L$117-EFEITO!$O$117*EFEITO!$AA$117</f>
        <v>0</v>
      </c>
      <c r="P117" s="57"/>
      <c r="Q117" s="57"/>
      <c r="R117" s="57"/>
      <c r="S117" s="57"/>
      <c r="T117" s="57"/>
      <c r="U117" s="57"/>
      <c r="V117" s="57"/>
      <c r="W117" s="57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1.25" customHeight="1" x14ac:dyDescent="0.2">
      <c r="A118" s="53" t="s">
        <v>21</v>
      </c>
      <c r="B118" s="53" t="s">
        <v>41</v>
      </c>
      <c r="C118" s="53" t="s">
        <v>42</v>
      </c>
      <c r="D118" s="53" t="s">
        <v>40</v>
      </c>
      <c r="E118" s="53" t="s">
        <v>25</v>
      </c>
      <c r="F118" s="53" t="s">
        <v>60</v>
      </c>
      <c r="G118" s="53" t="s">
        <v>25</v>
      </c>
      <c r="H118" s="53" t="s">
        <v>25</v>
      </c>
      <c r="I118" s="75">
        <v>44378</v>
      </c>
      <c r="J118" s="76">
        <f>EFEITO!$J$118*EFEITO!$Y$118</f>
        <v>0</v>
      </c>
      <c r="K118" s="76">
        <f ca="1">EFEITO!$L$118*EFEITO!$Z$118</f>
        <v>43668.069949686498</v>
      </c>
      <c r="L118" s="76">
        <f>EFEITO!$N$118*EFEITO!$AA$118</f>
        <v>0</v>
      </c>
      <c r="M118" s="76">
        <f>$J$118-EFEITO!$K$118*EFEITO!$Y$118</f>
        <v>0</v>
      </c>
      <c r="N118" s="76">
        <f ca="1">$K$118-EFEITO!$M$118*EFEITO!$Z$118</f>
        <v>0</v>
      </c>
      <c r="O118" s="76">
        <f>$L$118-EFEITO!$O$118*EFEITO!$AA$118</f>
        <v>0</v>
      </c>
      <c r="P118" s="57"/>
      <c r="Q118" s="57"/>
      <c r="R118" s="57"/>
      <c r="S118" s="57"/>
      <c r="T118" s="57"/>
      <c r="U118" s="57"/>
      <c r="V118" s="57"/>
      <c r="W118" s="57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1.25" customHeight="1" x14ac:dyDescent="0.2">
      <c r="A119" s="53" t="s">
        <v>21</v>
      </c>
      <c r="B119" s="53" t="s">
        <v>41</v>
      </c>
      <c r="C119" s="53" t="s">
        <v>42</v>
      </c>
      <c r="D119" s="53" t="s">
        <v>40</v>
      </c>
      <c r="E119" s="53" t="s">
        <v>25</v>
      </c>
      <c r="F119" s="53" t="s">
        <v>60</v>
      </c>
      <c r="G119" s="53" t="s">
        <v>25</v>
      </c>
      <c r="H119" s="53" t="s">
        <v>25</v>
      </c>
      <c r="I119" s="75">
        <v>44409</v>
      </c>
      <c r="J119" s="76">
        <f>EFEITO!$J$119*EFEITO!$Y$119</f>
        <v>0</v>
      </c>
      <c r="K119" s="76">
        <f ca="1">EFEITO!$L$119*EFEITO!$Z$119</f>
        <v>52021.610209256549</v>
      </c>
      <c r="L119" s="76">
        <f>EFEITO!$N$119*EFEITO!$AA$119</f>
        <v>0</v>
      </c>
      <c r="M119" s="76">
        <f>$J$119-EFEITO!$K$119*EFEITO!$Y$119</f>
        <v>0</v>
      </c>
      <c r="N119" s="76">
        <f ca="1">$K$119-EFEITO!$M$119*EFEITO!$Z$119</f>
        <v>0</v>
      </c>
      <c r="O119" s="76">
        <f>$L$119-EFEITO!$O$119*EFEITO!$AA$119</f>
        <v>0</v>
      </c>
      <c r="P119" s="57"/>
      <c r="Q119" s="57"/>
      <c r="R119" s="57"/>
      <c r="S119" s="57"/>
      <c r="T119" s="57"/>
      <c r="U119" s="57"/>
      <c r="V119" s="57"/>
      <c r="W119" s="57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1.25" customHeight="1" x14ac:dyDescent="0.2">
      <c r="A120" s="53" t="s">
        <v>21</v>
      </c>
      <c r="B120" s="53" t="s">
        <v>41</v>
      </c>
      <c r="C120" s="53" t="s">
        <v>42</v>
      </c>
      <c r="D120" s="53" t="s">
        <v>40</v>
      </c>
      <c r="E120" s="53" t="s">
        <v>25</v>
      </c>
      <c r="F120" s="53" t="s">
        <v>60</v>
      </c>
      <c r="G120" s="53" t="s">
        <v>25</v>
      </c>
      <c r="H120" s="53" t="s">
        <v>25</v>
      </c>
      <c r="I120" s="75">
        <v>44440</v>
      </c>
      <c r="J120" s="76">
        <f>EFEITO!$J$120*EFEITO!$Y$120</f>
        <v>0</v>
      </c>
      <c r="K120" s="76">
        <f ca="1">EFEITO!$L$120*EFEITO!$Z$120</f>
        <v>35358.29344562914</v>
      </c>
      <c r="L120" s="76">
        <f>EFEITO!$N$120*EFEITO!$AA$120</f>
        <v>0</v>
      </c>
      <c r="M120" s="76">
        <f>$J$120-EFEITO!$K$120*EFEITO!$Y$120</f>
        <v>0</v>
      </c>
      <c r="N120" s="76">
        <f ca="1">$K$120-EFEITO!$M$120*EFEITO!$Z$120</f>
        <v>0</v>
      </c>
      <c r="O120" s="76">
        <f>$L$120-EFEITO!$O$120*EFEITO!$AA$120</f>
        <v>0</v>
      </c>
      <c r="P120" s="57"/>
      <c r="Q120" s="57"/>
      <c r="R120" s="57"/>
      <c r="S120" s="57"/>
      <c r="T120" s="57"/>
      <c r="U120" s="57"/>
      <c r="V120" s="57"/>
      <c r="W120" s="57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1.25" customHeight="1" x14ac:dyDescent="0.2">
      <c r="A121" s="53" t="s">
        <v>21</v>
      </c>
      <c r="B121" s="53" t="s">
        <v>41</v>
      </c>
      <c r="C121" s="53" t="s">
        <v>42</v>
      </c>
      <c r="D121" s="53" t="s">
        <v>40</v>
      </c>
      <c r="E121" s="53" t="s">
        <v>25</v>
      </c>
      <c r="F121" s="53" t="s">
        <v>60</v>
      </c>
      <c r="G121" s="53" t="s">
        <v>25</v>
      </c>
      <c r="H121" s="53" t="s">
        <v>25</v>
      </c>
      <c r="I121" s="75">
        <v>44470</v>
      </c>
      <c r="J121" s="76">
        <f>EFEITO!$J$121*EFEITO!$Y$121</f>
        <v>0</v>
      </c>
      <c r="K121" s="76">
        <f ca="1">EFEITO!$L$121*EFEITO!$Z$121</f>
        <v>3207.3343260499205</v>
      </c>
      <c r="L121" s="76">
        <f>EFEITO!$N$121*EFEITO!$AA$121</f>
        <v>0</v>
      </c>
      <c r="M121" s="76">
        <f>$J$121-EFEITO!$K$121*EFEITO!$Y$121</f>
        <v>0</v>
      </c>
      <c r="N121" s="76">
        <f ca="1">$K$121-EFEITO!$M$121*EFEITO!$Z$121</f>
        <v>0</v>
      </c>
      <c r="O121" s="76">
        <f>$L$121-EFEITO!$O$121*EFEITO!$AA$121</f>
        <v>0</v>
      </c>
      <c r="P121" s="57"/>
      <c r="Q121" s="57"/>
      <c r="R121" s="57"/>
      <c r="S121" s="57"/>
      <c r="T121" s="57"/>
      <c r="U121" s="57"/>
      <c r="V121" s="57"/>
      <c r="W121" s="57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1.25" customHeight="1" x14ac:dyDescent="0.2">
      <c r="A122" s="53" t="s">
        <v>21</v>
      </c>
      <c r="B122" s="53" t="s">
        <v>41</v>
      </c>
      <c r="C122" s="53" t="s">
        <v>42</v>
      </c>
      <c r="D122" s="53" t="s">
        <v>40</v>
      </c>
      <c r="E122" s="53" t="s">
        <v>25</v>
      </c>
      <c r="F122" s="53" t="s">
        <v>60</v>
      </c>
      <c r="G122" s="53" t="s">
        <v>25</v>
      </c>
      <c r="H122" s="53" t="s">
        <v>25</v>
      </c>
      <c r="I122" s="75">
        <v>44501</v>
      </c>
      <c r="J122" s="76">
        <f>EFEITO!$J$122*EFEITO!$Y$122</f>
        <v>0</v>
      </c>
      <c r="K122" s="76">
        <f ca="1">EFEITO!$L$122*EFEITO!$Z$122</f>
        <v>2666.158129831927</v>
      </c>
      <c r="L122" s="76">
        <f>EFEITO!$N$122*EFEITO!$AA$122</f>
        <v>0</v>
      </c>
      <c r="M122" s="76">
        <f>$J$122-EFEITO!$K$122*EFEITO!$Y$122</f>
        <v>0</v>
      </c>
      <c r="N122" s="76">
        <f ca="1">$K$122-EFEITO!$M$122*EFEITO!$Z$122</f>
        <v>0</v>
      </c>
      <c r="O122" s="76">
        <f>$L$122-EFEITO!$O$122*EFEITO!$AA$122</f>
        <v>0</v>
      </c>
      <c r="P122" s="57"/>
      <c r="Q122" s="57"/>
      <c r="R122" s="57"/>
      <c r="S122" s="57"/>
      <c r="T122" s="57"/>
      <c r="U122" s="57"/>
      <c r="V122" s="57"/>
      <c r="W122" s="57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1.25" customHeight="1" x14ac:dyDescent="0.2">
      <c r="A123" s="53" t="s">
        <v>21</v>
      </c>
      <c r="B123" s="53" t="s">
        <v>41</v>
      </c>
      <c r="C123" s="53" t="s">
        <v>42</v>
      </c>
      <c r="D123" s="53" t="s">
        <v>40</v>
      </c>
      <c r="E123" s="53" t="s">
        <v>25</v>
      </c>
      <c r="F123" s="53" t="s">
        <v>60</v>
      </c>
      <c r="G123" s="53" t="s">
        <v>25</v>
      </c>
      <c r="H123" s="53" t="s">
        <v>25</v>
      </c>
      <c r="I123" s="75">
        <v>44531</v>
      </c>
      <c r="J123" s="76">
        <f>EFEITO!$J$123*EFEITO!$Y$123</f>
        <v>0</v>
      </c>
      <c r="K123" s="76">
        <f ca="1">EFEITO!$L$123*EFEITO!$Z$123</f>
        <v>632615.98875318526</v>
      </c>
      <c r="L123" s="76">
        <f>EFEITO!$N$123*EFEITO!$AA$123</f>
        <v>0</v>
      </c>
      <c r="M123" s="76">
        <f>$J$123-EFEITO!$K$123*EFEITO!$Y$123</f>
        <v>0</v>
      </c>
      <c r="N123" s="76">
        <f ca="1">$K$123-EFEITO!$M$123*EFEITO!$Z$123</f>
        <v>0</v>
      </c>
      <c r="O123" s="76">
        <f>$L$123-EFEITO!$O$123*EFEITO!$AA$123</f>
        <v>0</v>
      </c>
      <c r="P123" s="57"/>
      <c r="Q123" s="57"/>
      <c r="R123" s="57"/>
      <c r="S123" s="57"/>
      <c r="T123" s="57"/>
      <c r="U123" s="57"/>
      <c r="V123" s="57"/>
      <c r="W123" s="57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1.25" customHeight="1" x14ac:dyDescent="0.2">
      <c r="A124" s="53" t="s">
        <v>21</v>
      </c>
      <c r="B124" s="53" t="s">
        <v>41</v>
      </c>
      <c r="C124" s="53" t="s">
        <v>42</v>
      </c>
      <c r="D124" s="53" t="s">
        <v>40</v>
      </c>
      <c r="E124" s="53" t="s">
        <v>25</v>
      </c>
      <c r="F124" s="53" t="s">
        <v>60</v>
      </c>
      <c r="G124" s="53" t="s">
        <v>25</v>
      </c>
      <c r="H124" s="53" t="s">
        <v>25</v>
      </c>
      <c r="I124" s="75">
        <v>44562</v>
      </c>
      <c r="J124" s="76">
        <f>EFEITO!$J$124*EFEITO!$Y$124</f>
        <v>0</v>
      </c>
      <c r="K124" s="76">
        <f ca="1">EFEITO!$L$124*EFEITO!$Z$124</f>
        <v>272329.11789494182</v>
      </c>
      <c r="L124" s="76">
        <f>EFEITO!$N$124*EFEITO!$AA$124</f>
        <v>0</v>
      </c>
      <c r="M124" s="76">
        <f>$J$124-EFEITO!$K$124*EFEITO!$Y$124</f>
        <v>0</v>
      </c>
      <c r="N124" s="76">
        <f ca="1">$K$124-EFEITO!$M$124*EFEITO!$Z$124</f>
        <v>0</v>
      </c>
      <c r="O124" s="76">
        <f>$L$124-EFEITO!$O$124*EFEITO!$AA$124</f>
        <v>0</v>
      </c>
      <c r="P124" s="57"/>
      <c r="Q124" s="57"/>
      <c r="R124" s="57"/>
      <c r="S124" s="57"/>
      <c r="T124" s="57"/>
      <c r="U124" s="57"/>
      <c r="V124" s="57"/>
      <c r="W124" s="57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1.25" customHeight="1" x14ac:dyDescent="0.2">
      <c r="A125" s="53" t="s">
        <v>21</v>
      </c>
      <c r="B125" s="53" t="s">
        <v>41</v>
      </c>
      <c r="C125" s="53" t="s">
        <v>42</v>
      </c>
      <c r="D125" s="53" t="s">
        <v>40</v>
      </c>
      <c r="E125" s="53" t="s">
        <v>25</v>
      </c>
      <c r="F125" s="53" t="s">
        <v>60</v>
      </c>
      <c r="G125" s="53" t="s">
        <v>25</v>
      </c>
      <c r="H125" s="53" t="s">
        <v>25</v>
      </c>
      <c r="I125" s="75">
        <v>44593</v>
      </c>
      <c r="J125" s="76">
        <f>EFEITO!$J$125*EFEITO!$Y$125</f>
        <v>0</v>
      </c>
      <c r="K125" s="76">
        <f ca="1">EFEITO!$L$125*EFEITO!$Z$125</f>
        <v>224312.72999333867</v>
      </c>
      <c r="L125" s="76">
        <f>EFEITO!$N$125*EFEITO!$AA$125</f>
        <v>0</v>
      </c>
      <c r="M125" s="76">
        <f>$J$125-EFEITO!$K$125*EFEITO!$Y$125</f>
        <v>0</v>
      </c>
      <c r="N125" s="76">
        <f ca="1">$K$125-EFEITO!$M$125*EFEITO!$Z$125</f>
        <v>0</v>
      </c>
      <c r="O125" s="76">
        <f>$L$125-EFEITO!$O$125*EFEITO!$AA$125</f>
        <v>0</v>
      </c>
      <c r="P125" s="57"/>
      <c r="Q125" s="57"/>
      <c r="R125" s="57"/>
      <c r="S125" s="57"/>
      <c r="T125" s="57"/>
      <c r="U125" s="57"/>
      <c r="V125" s="57"/>
      <c r="W125" s="57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1.25" customHeight="1" x14ac:dyDescent="0.2">
      <c r="A126" s="53" t="s">
        <v>21</v>
      </c>
      <c r="B126" s="53" t="s">
        <v>41</v>
      </c>
      <c r="C126" s="53" t="s">
        <v>42</v>
      </c>
      <c r="D126" s="53" t="s">
        <v>40</v>
      </c>
      <c r="E126" s="53" t="s">
        <v>25</v>
      </c>
      <c r="F126" s="53" t="s">
        <v>60</v>
      </c>
      <c r="G126" s="53" t="s">
        <v>25</v>
      </c>
      <c r="H126" s="53" t="s">
        <v>25</v>
      </c>
      <c r="I126" s="75">
        <v>44621</v>
      </c>
      <c r="J126" s="76">
        <f>EFEITO!$J$126*EFEITO!$Y$126</f>
        <v>0</v>
      </c>
      <c r="K126" s="76">
        <f ca="1">EFEITO!$L$126*EFEITO!$Z$126</f>
        <v>269341.36478122044</v>
      </c>
      <c r="L126" s="76">
        <f>EFEITO!$N$126*EFEITO!$AA$126</f>
        <v>0</v>
      </c>
      <c r="M126" s="76">
        <f>$J$126-EFEITO!$K$126*EFEITO!$Y$126</f>
        <v>0</v>
      </c>
      <c r="N126" s="76">
        <f ca="1">$K$126-EFEITO!$M$126*EFEITO!$Z$126</f>
        <v>0</v>
      </c>
      <c r="O126" s="76">
        <f>$L$126-EFEITO!$O$126*EFEITO!$AA$126</f>
        <v>0</v>
      </c>
      <c r="P126" s="57"/>
      <c r="Q126" s="57"/>
      <c r="R126" s="57"/>
      <c r="S126" s="57"/>
      <c r="T126" s="57"/>
      <c r="U126" s="57"/>
      <c r="V126" s="57"/>
      <c r="W126" s="57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1.25" customHeight="1" x14ac:dyDescent="0.2">
      <c r="A127" s="53" t="s">
        <v>56</v>
      </c>
      <c r="B127" s="53" t="s">
        <v>41</v>
      </c>
      <c r="C127" s="53" t="s">
        <v>42</v>
      </c>
      <c r="D127" s="53" t="s">
        <v>40</v>
      </c>
      <c r="E127" s="53" t="s">
        <v>25</v>
      </c>
      <c r="F127" s="53" t="s">
        <v>60</v>
      </c>
      <c r="G127" s="53" t="s">
        <v>25</v>
      </c>
      <c r="H127" s="53" t="s">
        <v>25</v>
      </c>
      <c r="I127" s="75">
        <v>44652</v>
      </c>
      <c r="J127" s="76">
        <f>EFEITO!$J$127*EFEITO!$Y$127</f>
        <v>0</v>
      </c>
      <c r="K127" s="76">
        <f ca="1">EFEITO!$L$127*EFEITO!$Z$127</f>
        <v>269341.36478122044</v>
      </c>
      <c r="L127" s="76">
        <f>EFEITO!$N$127*EFEITO!$AA$127</f>
        <v>0</v>
      </c>
      <c r="M127" s="76">
        <f>$J$127-EFEITO!$K$127*EFEITO!$Y$127</f>
        <v>0</v>
      </c>
      <c r="N127" s="76">
        <f ca="1">$K$127-EFEITO!$M$127*EFEITO!$Z$127</f>
        <v>0</v>
      </c>
      <c r="O127" s="76">
        <f>$L$127-EFEITO!$O$127*EFEITO!$AA$127</f>
        <v>0</v>
      </c>
      <c r="P127" s="57"/>
      <c r="Q127" s="57"/>
      <c r="R127" s="57"/>
      <c r="S127" s="57"/>
      <c r="T127" s="57"/>
      <c r="U127" s="57"/>
      <c r="V127" s="57"/>
      <c r="W127" s="57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1.25" customHeight="1" x14ac:dyDescent="0.2">
      <c r="A128" s="53" t="s">
        <v>21</v>
      </c>
      <c r="B128" s="53" t="s">
        <v>41</v>
      </c>
      <c r="C128" s="53" t="s">
        <v>42</v>
      </c>
      <c r="D128" s="53" t="s">
        <v>40</v>
      </c>
      <c r="E128" s="53" t="s">
        <v>25</v>
      </c>
      <c r="F128" s="53" t="s">
        <v>60</v>
      </c>
      <c r="G128" s="53" t="s">
        <v>25</v>
      </c>
      <c r="H128" s="53" t="s">
        <v>35</v>
      </c>
      <c r="I128" s="75">
        <v>44317</v>
      </c>
      <c r="J128" s="76">
        <f ca="1">EFEITO!$J$128*EFEITO!$Y$128</f>
        <v>151686.47732275346</v>
      </c>
      <c r="K128" s="76">
        <f ca="1">EFEITO!$L$128*EFEITO!$Z$128</f>
        <v>0</v>
      </c>
      <c r="L128" s="76">
        <f>EFEITO!$N$128*EFEITO!$AA$128</f>
        <v>0</v>
      </c>
      <c r="M128" s="76">
        <f ca="1">$J$128-EFEITO!$K$128*EFEITO!$Y$128</f>
        <v>151459.90171471168</v>
      </c>
      <c r="N128" s="76">
        <f ca="1">$K$128-EFEITO!$M$128*EFEITO!$Z$128</f>
        <v>0</v>
      </c>
      <c r="O128" s="76">
        <f>$L$128-EFEITO!$O$128*EFEITO!$AA$128</f>
        <v>0</v>
      </c>
      <c r="P128" s="57"/>
      <c r="Q128" s="57"/>
      <c r="R128" s="57"/>
      <c r="S128" s="57"/>
      <c r="T128" s="57"/>
      <c r="U128" s="57"/>
      <c r="V128" s="57"/>
      <c r="W128" s="57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1.25" customHeight="1" x14ac:dyDescent="0.2">
      <c r="A129" s="53" t="s">
        <v>21</v>
      </c>
      <c r="B129" s="53" t="s">
        <v>41</v>
      </c>
      <c r="C129" s="53" t="s">
        <v>42</v>
      </c>
      <c r="D129" s="53" t="s">
        <v>40</v>
      </c>
      <c r="E129" s="53" t="s">
        <v>25</v>
      </c>
      <c r="F129" s="53" t="s">
        <v>60</v>
      </c>
      <c r="G129" s="53" t="s">
        <v>25</v>
      </c>
      <c r="H129" s="53" t="s">
        <v>35</v>
      </c>
      <c r="I129" s="75">
        <v>44348</v>
      </c>
      <c r="J129" s="76">
        <f ca="1">EFEITO!$J$129*EFEITO!$Y$129</f>
        <v>151686.47732275346</v>
      </c>
      <c r="K129" s="76">
        <f ca="1">EFEITO!$L$129*EFEITO!$Z$129</f>
        <v>0</v>
      </c>
      <c r="L129" s="76">
        <f>EFEITO!$N$129*EFEITO!$AA$129</f>
        <v>0</v>
      </c>
      <c r="M129" s="76">
        <f ca="1">$J$129-EFEITO!$K$129*EFEITO!$Y$129</f>
        <v>151565.12814089525</v>
      </c>
      <c r="N129" s="76">
        <f ca="1">$K$129-EFEITO!$M$129*EFEITO!$Z$129</f>
        <v>0</v>
      </c>
      <c r="O129" s="76">
        <f>$L$129-EFEITO!$O$129*EFEITO!$AA$129</f>
        <v>0</v>
      </c>
      <c r="P129" s="57"/>
      <c r="Q129" s="57"/>
      <c r="R129" s="57"/>
      <c r="S129" s="57"/>
      <c r="T129" s="57"/>
      <c r="U129" s="57"/>
      <c r="V129" s="57"/>
      <c r="W129" s="57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1.25" customHeight="1" x14ac:dyDescent="0.2">
      <c r="A130" s="53" t="s">
        <v>21</v>
      </c>
      <c r="B130" s="53" t="s">
        <v>41</v>
      </c>
      <c r="C130" s="53" t="s">
        <v>42</v>
      </c>
      <c r="D130" s="53" t="s">
        <v>40</v>
      </c>
      <c r="E130" s="53" t="s">
        <v>25</v>
      </c>
      <c r="F130" s="53" t="s">
        <v>60</v>
      </c>
      <c r="G130" s="53" t="s">
        <v>25</v>
      </c>
      <c r="H130" s="53" t="s">
        <v>35</v>
      </c>
      <c r="I130" s="75">
        <v>44378</v>
      </c>
      <c r="J130" s="76">
        <f ca="1">EFEITO!$J$130*EFEITO!$Y$130</f>
        <v>151686.47732275346</v>
      </c>
      <c r="K130" s="76">
        <f ca="1">EFEITO!$L$130*EFEITO!$Z$130</f>
        <v>0</v>
      </c>
      <c r="L130" s="76">
        <f>EFEITO!$N$130*EFEITO!$AA$130</f>
        <v>0</v>
      </c>
      <c r="M130" s="76">
        <f ca="1">$J$130-EFEITO!$K$130*EFEITO!$Y$130</f>
        <v>151565.12814089525</v>
      </c>
      <c r="N130" s="76">
        <f ca="1">$K$130-EFEITO!$M$130*EFEITO!$Z$130</f>
        <v>0</v>
      </c>
      <c r="O130" s="76">
        <f>$L$130-EFEITO!$O$130*EFEITO!$AA$130</f>
        <v>0</v>
      </c>
      <c r="P130" s="57"/>
      <c r="Q130" s="57"/>
      <c r="R130" s="57"/>
      <c r="S130" s="57"/>
      <c r="T130" s="57"/>
      <c r="U130" s="57"/>
      <c r="V130" s="57"/>
      <c r="W130" s="57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1.25" customHeight="1" x14ac:dyDescent="0.2">
      <c r="A131" s="53" t="s">
        <v>21</v>
      </c>
      <c r="B131" s="53" t="s">
        <v>41</v>
      </c>
      <c r="C131" s="53" t="s">
        <v>42</v>
      </c>
      <c r="D131" s="53" t="s">
        <v>40</v>
      </c>
      <c r="E131" s="53" t="s">
        <v>25</v>
      </c>
      <c r="F131" s="53" t="s">
        <v>60</v>
      </c>
      <c r="G131" s="53" t="s">
        <v>25</v>
      </c>
      <c r="H131" s="53" t="s">
        <v>35</v>
      </c>
      <c r="I131" s="75">
        <v>44409</v>
      </c>
      <c r="J131" s="76">
        <f ca="1">EFEITO!$J$131*EFEITO!$Y$131</f>
        <v>151686.47732275346</v>
      </c>
      <c r="K131" s="76">
        <f ca="1">EFEITO!$L$131*EFEITO!$Z$131</f>
        <v>0</v>
      </c>
      <c r="L131" s="76">
        <f>EFEITO!$N$131*EFEITO!$AA$131</f>
        <v>0</v>
      </c>
      <c r="M131" s="76">
        <f ca="1">$J$131-EFEITO!$K$131*EFEITO!$Y$131</f>
        <v>151671.30867502117</v>
      </c>
      <c r="N131" s="76">
        <f ca="1">$K$131-EFEITO!$M$131*EFEITO!$Z$131</f>
        <v>0</v>
      </c>
      <c r="O131" s="76">
        <f>$L$131-EFEITO!$O$131*EFEITO!$AA$131</f>
        <v>0</v>
      </c>
      <c r="P131" s="57"/>
      <c r="Q131" s="57"/>
      <c r="R131" s="57"/>
      <c r="S131" s="57"/>
      <c r="T131" s="57"/>
      <c r="U131" s="57"/>
      <c r="V131" s="57"/>
      <c r="W131" s="57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1.25" customHeight="1" x14ac:dyDescent="0.2">
      <c r="A132" s="53" t="s">
        <v>21</v>
      </c>
      <c r="B132" s="53" t="s">
        <v>41</v>
      </c>
      <c r="C132" s="53" t="s">
        <v>42</v>
      </c>
      <c r="D132" s="53" t="s">
        <v>40</v>
      </c>
      <c r="E132" s="53" t="s">
        <v>25</v>
      </c>
      <c r="F132" s="53" t="s">
        <v>60</v>
      </c>
      <c r="G132" s="53" t="s">
        <v>25</v>
      </c>
      <c r="H132" s="53" t="s">
        <v>35</v>
      </c>
      <c r="I132" s="75">
        <v>44440</v>
      </c>
      <c r="J132" s="76">
        <f ca="1">EFEITO!$J$132*EFEITO!$Y$132</f>
        <v>151686.47732275346</v>
      </c>
      <c r="K132" s="76">
        <f ca="1">EFEITO!$L$132*EFEITO!$Z$132</f>
        <v>0</v>
      </c>
      <c r="L132" s="76">
        <f>EFEITO!$N$132*EFEITO!$AA$132</f>
        <v>0</v>
      </c>
      <c r="M132" s="76">
        <f ca="1">$J$132-EFEITO!$K$132*EFEITO!$Y$132</f>
        <v>151565.12814089525</v>
      </c>
      <c r="N132" s="76">
        <f ca="1">$K$132-EFEITO!$M$132*EFEITO!$Z$132</f>
        <v>0</v>
      </c>
      <c r="O132" s="76">
        <f>$L$132-EFEITO!$O$132*EFEITO!$AA$132</f>
        <v>0</v>
      </c>
      <c r="P132" s="57"/>
      <c r="Q132" s="57"/>
      <c r="R132" s="57"/>
      <c r="S132" s="57"/>
      <c r="T132" s="57"/>
      <c r="U132" s="57"/>
      <c r="V132" s="57"/>
      <c r="W132" s="57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1.25" customHeight="1" x14ac:dyDescent="0.2">
      <c r="A133" s="53" t="s">
        <v>21</v>
      </c>
      <c r="B133" s="53" t="s">
        <v>41</v>
      </c>
      <c r="C133" s="53" t="s">
        <v>42</v>
      </c>
      <c r="D133" s="53" t="s">
        <v>40</v>
      </c>
      <c r="E133" s="53" t="s">
        <v>25</v>
      </c>
      <c r="F133" s="53" t="s">
        <v>60</v>
      </c>
      <c r="G133" s="53" t="s">
        <v>25</v>
      </c>
      <c r="H133" s="53" t="s">
        <v>35</v>
      </c>
      <c r="I133" s="75">
        <v>44470</v>
      </c>
      <c r="J133" s="76">
        <f ca="1">EFEITO!$J$133*EFEITO!$Y$133</f>
        <v>151686.47732275346</v>
      </c>
      <c r="K133" s="76">
        <f ca="1">EFEITO!$L$133*EFEITO!$Z$133</f>
        <v>0</v>
      </c>
      <c r="L133" s="76">
        <f>EFEITO!$N$133*EFEITO!$AA$133</f>
        <v>0</v>
      </c>
      <c r="M133" s="76">
        <f ca="1">$J$133-EFEITO!$K$133*EFEITO!$Y$133</f>
        <v>151686.47732275346</v>
      </c>
      <c r="N133" s="76">
        <f ca="1">$K$133-EFEITO!$M$133*EFEITO!$Z$133</f>
        <v>0</v>
      </c>
      <c r="O133" s="76">
        <f>$L$133-EFEITO!$O$133*EFEITO!$AA$133</f>
        <v>0</v>
      </c>
      <c r="P133" s="57"/>
      <c r="Q133" s="57"/>
      <c r="R133" s="57"/>
      <c r="S133" s="57"/>
      <c r="T133" s="57"/>
      <c r="U133" s="57"/>
      <c r="V133" s="57"/>
      <c r="W133" s="57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1.25" customHeight="1" x14ac:dyDescent="0.2">
      <c r="A134" s="53" t="s">
        <v>21</v>
      </c>
      <c r="B134" s="53" t="s">
        <v>41</v>
      </c>
      <c r="C134" s="53" t="s">
        <v>42</v>
      </c>
      <c r="D134" s="53" t="s">
        <v>40</v>
      </c>
      <c r="E134" s="53" t="s">
        <v>25</v>
      </c>
      <c r="F134" s="53" t="s">
        <v>60</v>
      </c>
      <c r="G134" s="53" t="s">
        <v>25</v>
      </c>
      <c r="H134" s="53" t="s">
        <v>35</v>
      </c>
      <c r="I134" s="75">
        <v>44501</v>
      </c>
      <c r="J134" s="76">
        <f ca="1">EFEITO!$J$134*EFEITO!$Y$134</f>
        <v>151686.47732275346</v>
      </c>
      <c r="K134" s="76">
        <f ca="1">EFEITO!$L$134*EFEITO!$Z$134</f>
        <v>0</v>
      </c>
      <c r="L134" s="76">
        <f>EFEITO!$N$134*EFEITO!$AA$134</f>
        <v>0</v>
      </c>
      <c r="M134" s="76">
        <f ca="1">$J$134-EFEITO!$K$134*EFEITO!$Y$134</f>
        <v>151686.47732275346</v>
      </c>
      <c r="N134" s="76">
        <f ca="1">$K$134-EFEITO!$M$134*EFEITO!$Z$134</f>
        <v>0</v>
      </c>
      <c r="O134" s="76">
        <f>$L$134-EFEITO!$O$134*EFEITO!$AA$134</f>
        <v>0</v>
      </c>
      <c r="P134" s="57"/>
      <c r="Q134" s="57"/>
      <c r="R134" s="57"/>
      <c r="S134" s="57"/>
      <c r="T134" s="57"/>
      <c r="U134" s="57"/>
      <c r="V134" s="57"/>
      <c r="W134" s="57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1.25" customHeight="1" x14ac:dyDescent="0.2">
      <c r="A135" s="53" t="s">
        <v>21</v>
      </c>
      <c r="B135" s="53" t="s">
        <v>41</v>
      </c>
      <c r="C135" s="53" t="s">
        <v>42</v>
      </c>
      <c r="D135" s="53" t="s">
        <v>40</v>
      </c>
      <c r="E135" s="53" t="s">
        <v>25</v>
      </c>
      <c r="F135" s="53" t="s">
        <v>60</v>
      </c>
      <c r="G135" s="53" t="s">
        <v>25</v>
      </c>
      <c r="H135" s="53" t="s">
        <v>35</v>
      </c>
      <c r="I135" s="75">
        <v>44531</v>
      </c>
      <c r="J135" s="76">
        <f ca="1">EFEITO!$J$135*EFEITO!$Y$135</f>
        <v>406186.04897486919</v>
      </c>
      <c r="K135" s="76">
        <f ca="1">EFEITO!$L$135*EFEITO!$Z$135</f>
        <v>0</v>
      </c>
      <c r="L135" s="76">
        <f>EFEITO!$N$135*EFEITO!$AA$135</f>
        <v>0</v>
      </c>
      <c r="M135" s="76">
        <f ca="1">$J$135-EFEITO!$K$135*EFEITO!$Y$135</f>
        <v>203093.0244874346</v>
      </c>
      <c r="N135" s="76">
        <f ca="1">$K$135-EFEITO!$M$135*EFEITO!$Z$135</f>
        <v>0</v>
      </c>
      <c r="O135" s="76">
        <f>$L$135-EFEITO!$O$135*EFEITO!$AA$135</f>
        <v>0</v>
      </c>
      <c r="P135" s="57"/>
      <c r="Q135" s="57"/>
      <c r="R135" s="57"/>
      <c r="S135" s="57"/>
      <c r="T135" s="57"/>
      <c r="U135" s="57"/>
      <c r="V135" s="57"/>
      <c r="W135" s="57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1.25" customHeight="1" x14ac:dyDescent="0.2">
      <c r="A136" s="53" t="s">
        <v>21</v>
      </c>
      <c r="B136" s="53" t="s">
        <v>41</v>
      </c>
      <c r="C136" s="53" t="s">
        <v>42</v>
      </c>
      <c r="D136" s="53" t="s">
        <v>40</v>
      </c>
      <c r="E136" s="53" t="s">
        <v>25</v>
      </c>
      <c r="F136" s="53" t="s">
        <v>60</v>
      </c>
      <c r="G136" s="53" t="s">
        <v>25</v>
      </c>
      <c r="H136" s="53" t="s">
        <v>35</v>
      </c>
      <c r="I136" s="75">
        <v>44562</v>
      </c>
      <c r="J136" s="76">
        <f ca="1">EFEITO!$J$136*EFEITO!$Y$136</f>
        <v>205383.49029500817</v>
      </c>
      <c r="K136" s="76">
        <f ca="1">EFEITO!$L$136*EFEITO!$Z$136</f>
        <v>0</v>
      </c>
      <c r="L136" s="76">
        <f>EFEITO!$N$136*EFEITO!$AA$136</f>
        <v>0</v>
      </c>
      <c r="M136" s="76">
        <f ca="1">$J$136-EFEITO!$K$136*EFEITO!$Y$136</f>
        <v>102691.74514750409</v>
      </c>
      <c r="N136" s="76">
        <f ca="1">$K$136-EFEITO!$M$136*EFEITO!$Z$136</f>
        <v>0</v>
      </c>
      <c r="O136" s="76">
        <f>$L$136-EFEITO!$O$136*EFEITO!$AA$136</f>
        <v>0</v>
      </c>
      <c r="P136" s="57"/>
      <c r="Q136" s="57"/>
      <c r="R136" s="57"/>
      <c r="S136" s="57"/>
      <c r="T136" s="57"/>
      <c r="U136" s="57"/>
      <c r="V136" s="57"/>
      <c r="W136" s="57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1.25" customHeight="1" x14ac:dyDescent="0.2">
      <c r="A137" s="53" t="s">
        <v>21</v>
      </c>
      <c r="B137" s="53" t="s">
        <v>41</v>
      </c>
      <c r="C137" s="53" t="s">
        <v>42</v>
      </c>
      <c r="D137" s="53" t="s">
        <v>40</v>
      </c>
      <c r="E137" s="53" t="s">
        <v>25</v>
      </c>
      <c r="F137" s="53" t="s">
        <v>60</v>
      </c>
      <c r="G137" s="53" t="s">
        <v>25</v>
      </c>
      <c r="H137" s="53" t="s">
        <v>35</v>
      </c>
      <c r="I137" s="75">
        <v>44593</v>
      </c>
      <c r="J137" s="76">
        <f ca="1">EFEITO!$J$137*EFEITO!$Y$137</f>
        <v>320513.52658297808</v>
      </c>
      <c r="K137" s="76">
        <f ca="1">EFEITO!$L$137*EFEITO!$Z$137</f>
        <v>0</v>
      </c>
      <c r="L137" s="76">
        <f>EFEITO!$N$137*EFEITO!$AA$137</f>
        <v>0</v>
      </c>
      <c r="M137" s="76">
        <f ca="1">$J$137-EFEITO!$K$137*EFEITO!$Y$137</f>
        <v>160256.76329148904</v>
      </c>
      <c r="N137" s="76">
        <f ca="1">$K$137-EFEITO!$M$137*EFEITO!$Z$137</f>
        <v>0</v>
      </c>
      <c r="O137" s="76">
        <f>$L$137-EFEITO!$O$137*EFEITO!$AA$137</f>
        <v>0</v>
      </c>
      <c r="P137" s="57"/>
      <c r="Q137" s="57"/>
      <c r="R137" s="57"/>
      <c r="S137" s="57"/>
      <c r="T137" s="57"/>
      <c r="U137" s="57"/>
      <c r="V137" s="57"/>
      <c r="W137" s="57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1.25" customHeight="1" x14ac:dyDescent="0.2">
      <c r="A138" s="53" t="s">
        <v>21</v>
      </c>
      <c r="B138" s="53" t="s">
        <v>41</v>
      </c>
      <c r="C138" s="53" t="s">
        <v>42</v>
      </c>
      <c r="D138" s="53" t="s">
        <v>40</v>
      </c>
      <c r="E138" s="53" t="s">
        <v>25</v>
      </c>
      <c r="F138" s="53" t="s">
        <v>60</v>
      </c>
      <c r="G138" s="53" t="s">
        <v>25</v>
      </c>
      <c r="H138" s="53" t="s">
        <v>35</v>
      </c>
      <c r="I138" s="75">
        <v>44621</v>
      </c>
      <c r="J138" s="76">
        <f ca="1">EFEITO!$J$138*EFEITO!$Y$138</f>
        <v>320513.52658297808</v>
      </c>
      <c r="K138" s="76">
        <f ca="1">EFEITO!$L$138*EFEITO!$Z$138</f>
        <v>0</v>
      </c>
      <c r="L138" s="76">
        <f>EFEITO!$N$138*EFEITO!$AA$138</f>
        <v>0</v>
      </c>
      <c r="M138" s="76">
        <f ca="1">$J$138-EFEITO!$K$138*EFEITO!$Y$138</f>
        <v>160256.76329148904</v>
      </c>
      <c r="N138" s="76">
        <f ca="1">$K$138-EFEITO!$M$138*EFEITO!$Z$138</f>
        <v>0</v>
      </c>
      <c r="O138" s="76">
        <f>$L$138-EFEITO!$O$138*EFEITO!$AA$138</f>
        <v>0</v>
      </c>
      <c r="P138" s="57"/>
      <c r="Q138" s="57"/>
      <c r="R138" s="57"/>
      <c r="S138" s="57"/>
      <c r="T138" s="57"/>
      <c r="U138" s="57"/>
      <c r="V138" s="57"/>
      <c r="W138" s="57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1.25" customHeight="1" x14ac:dyDescent="0.2">
      <c r="A139" s="53" t="s">
        <v>56</v>
      </c>
      <c r="B139" s="53" t="s">
        <v>41</v>
      </c>
      <c r="C139" s="53" t="s">
        <v>42</v>
      </c>
      <c r="D139" s="53" t="s">
        <v>40</v>
      </c>
      <c r="E139" s="53" t="s">
        <v>25</v>
      </c>
      <c r="F139" s="53" t="s">
        <v>60</v>
      </c>
      <c r="G139" s="53" t="s">
        <v>25</v>
      </c>
      <c r="H139" s="53" t="s">
        <v>35</v>
      </c>
      <c r="I139" s="75">
        <v>44652</v>
      </c>
      <c r="J139" s="76">
        <f ca="1">EFEITO!$J$139*EFEITO!$Y$139</f>
        <v>320513.52658297808</v>
      </c>
      <c r="K139" s="76">
        <f ca="1">EFEITO!$L$139*EFEITO!$Z$139</f>
        <v>0</v>
      </c>
      <c r="L139" s="76">
        <f>EFEITO!$N$139*EFEITO!$AA$139</f>
        <v>0</v>
      </c>
      <c r="M139" s="76">
        <f ca="1">$J$139-EFEITO!$K$139*EFEITO!$Y$139</f>
        <v>160256.76329148904</v>
      </c>
      <c r="N139" s="76">
        <f ca="1">$K$139-EFEITO!$M$139*EFEITO!$Z$139</f>
        <v>0</v>
      </c>
      <c r="O139" s="76">
        <f>$L$139-EFEITO!$O$139*EFEITO!$AA$139</f>
        <v>0</v>
      </c>
      <c r="P139" s="57"/>
      <c r="Q139" s="57"/>
      <c r="R139" s="57"/>
      <c r="S139" s="57"/>
      <c r="T139" s="57"/>
      <c r="U139" s="57"/>
      <c r="V139" s="57"/>
      <c r="W139" s="57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1.25" customHeight="1" x14ac:dyDescent="0.2">
      <c r="A140" s="53" t="s">
        <v>21</v>
      </c>
      <c r="B140" s="53" t="s">
        <v>41</v>
      </c>
      <c r="C140" s="53" t="s">
        <v>42</v>
      </c>
      <c r="D140" s="53" t="s">
        <v>40</v>
      </c>
      <c r="E140" s="53" t="s">
        <v>25</v>
      </c>
      <c r="F140" s="53" t="s">
        <v>25</v>
      </c>
      <c r="G140" s="53" t="s">
        <v>25</v>
      </c>
      <c r="H140" s="53" t="s">
        <v>36</v>
      </c>
      <c r="I140" s="75">
        <v>44317</v>
      </c>
      <c r="J140" s="76">
        <f ca="1">EFEITO!$J$140*EFEITO!$Y$140</f>
        <v>79104.3620332102</v>
      </c>
      <c r="K140" s="76">
        <f ca="1">EFEITO!$L$140*EFEITO!$Z$140</f>
        <v>47367.937133945525</v>
      </c>
      <c r="L140" s="76">
        <f>EFEITO!$N$140*EFEITO!$AA$140</f>
        <v>168451.13708415942</v>
      </c>
      <c r="M140" s="76">
        <f ca="1">$J$140-EFEITO!$K$140*EFEITO!$Y$140</f>
        <v>0</v>
      </c>
      <c r="N140" s="76">
        <f ca="1">$K$140-EFEITO!$M$140*EFEITO!$Z$140</f>
        <v>0</v>
      </c>
      <c r="O140" s="76">
        <f>$L$140-EFEITO!$O$140*EFEITO!$AA$140</f>
        <v>0</v>
      </c>
      <c r="P140" s="57"/>
      <c r="Q140" s="57"/>
      <c r="R140" s="57"/>
      <c r="S140" s="57"/>
      <c r="T140" s="57"/>
      <c r="U140" s="57"/>
      <c r="V140" s="57"/>
      <c r="W140" s="57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1.25" customHeight="1" x14ac:dyDescent="0.2">
      <c r="A141" s="53" t="s">
        <v>28</v>
      </c>
      <c r="B141" s="53" t="s">
        <v>41</v>
      </c>
      <c r="C141" s="53" t="s">
        <v>42</v>
      </c>
      <c r="D141" s="53" t="s">
        <v>40</v>
      </c>
      <c r="E141" s="53" t="s">
        <v>25</v>
      </c>
      <c r="F141" s="53" t="s">
        <v>25</v>
      </c>
      <c r="G141" s="53" t="s">
        <v>25</v>
      </c>
      <c r="H141" s="53" t="s">
        <v>36</v>
      </c>
      <c r="I141" s="75">
        <v>44317</v>
      </c>
      <c r="J141" s="76">
        <f ca="1">EFEITO!$J$141*EFEITO!$Y$141</f>
        <v>1634.3876453142602</v>
      </c>
      <c r="K141" s="76">
        <f ca="1">EFEITO!$L$141*EFEITO!$Z$141</f>
        <v>452.27630261554498</v>
      </c>
      <c r="L141" s="76">
        <f>EFEITO!$N$141*EFEITO!$AA$141</f>
        <v>1608.3971999112041</v>
      </c>
      <c r="M141" s="76">
        <f ca="1">$J$141-EFEITO!$K$141*EFEITO!$Y$141</f>
        <v>0</v>
      </c>
      <c r="N141" s="76">
        <f ca="1">$K$141-EFEITO!$M$141*EFEITO!$Z$141</f>
        <v>0</v>
      </c>
      <c r="O141" s="76">
        <f>$L$141-EFEITO!$O$141*EFEITO!$AA$141</f>
        <v>0</v>
      </c>
      <c r="P141" s="57"/>
      <c r="Q141" s="57"/>
      <c r="R141" s="57"/>
      <c r="S141" s="57"/>
      <c r="T141" s="57"/>
      <c r="U141" s="57"/>
      <c r="V141" s="57"/>
      <c r="W141" s="57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1.25" customHeight="1" x14ac:dyDescent="0.2">
      <c r="A142" s="53" t="s">
        <v>21</v>
      </c>
      <c r="B142" s="53" t="s">
        <v>41</v>
      </c>
      <c r="C142" s="53" t="s">
        <v>42</v>
      </c>
      <c r="D142" s="53" t="s">
        <v>40</v>
      </c>
      <c r="E142" s="53" t="s">
        <v>25</v>
      </c>
      <c r="F142" s="53" t="s">
        <v>25</v>
      </c>
      <c r="G142" s="53" t="s">
        <v>25</v>
      </c>
      <c r="H142" s="53" t="s">
        <v>36</v>
      </c>
      <c r="I142" s="75">
        <v>44317</v>
      </c>
      <c r="J142" s="76">
        <f ca="1">EFEITO!$J$142*EFEITO!$Y$142</f>
        <v>808417.16100179253</v>
      </c>
      <c r="K142" s="76">
        <f ca="1">EFEITO!$L$142*EFEITO!$Z$142</f>
        <v>0</v>
      </c>
      <c r="L142" s="76">
        <f>EFEITO!$N$142*EFEITO!$AA$142</f>
        <v>0</v>
      </c>
      <c r="M142" s="76">
        <f ca="1">$J$142-EFEITO!$K$142*EFEITO!$Y$142</f>
        <v>0</v>
      </c>
      <c r="N142" s="76">
        <f ca="1">$K$142-EFEITO!$M$142*EFEITO!$Z$142</f>
        <v>0</v>
      </c>
      <c r="O142" s="76">
        <f>$L$142-EFEITO!$O$142*EFEITO!$AA$142</f>
        <v>0</v>
      </c>
      <c r="P142" s="57"/>
      <c r="Q142" s="57"/>
      <c r="R142" s="57"/>
      <c r="S142" s="57"/>
      <c r="T142" s="57"/>
      <c r="U142" s="57"/>
      <c r="V142" s="57"/>
      <c r="W142" s="57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1.25" customHeight="1" x14ac:dyDescent="0.2">
      <c r="A143" s="53" t="s">
        <v>21</v>
      </c>
      <c r="B143" s="53" t="s">
        <v>41</v>
      </c>
      <c r="C143" s="53" t="s">
        <v>42</v>
      </c>
      <c r="D143" s="53" t="s">
        <v>40</v>
      </c>
      <c r="E143" s="53" t="s">
        <v>25</v>
      </c>
      <c r="F143" s="53" t="s">
        <v>25</v>
      </c>
      <c r="G143" s="53" t="s">
        <v>25</v>
      </c>
      <c r="H143" s="53" t="s">
        <v>36</v>
      </c>
      <c r="I143" s="75">
        <v>44348</v>
      </c>
      <c r="J143" s="76">
        <f ca="1">EFEITO!$J$143*EFEITO!$Y$143</f>
        <v>80428.216025914749</v>
      </c>
      <c r="K143" s="76">
        <f ca="1">EFEITO!$L$143*EFEITO!$Z$143</f>
        <v>53799.760568258527</v>
      </c>
      <c r="L143" s="76">
        <f>EFEITO!$N$143*EFEITO!$AA$143</f>
        <v>191324.1612559917</v>
      </c>
      <c r="M143" s="76">
        <f ca="1">$J$143-EFEITO!$K$143*EFEITO!$Y$143</f>
        <v>0</v>
      </c>
      <c r="N143" s="76">
        <f ca="1">$K$143-EFEITO!$M$143*EFEITO!$Z$143</f>
        <v>0</v>
      </c>
      <c r="O143" s="76">
        <f>$L$143-EFEITO!$O$143*EFEITO!$AA$143</f>
        <v>0</v>
      </c>
      <c r="P143" s="57"/>
      <c r="Q143" s="57"/>
      <c r="R143" s="57"/>
      <c r="S143" s="57"/>
      <c r="T143" s="57"/>
      <c r="U143" s="57"/>
      <c r="V143" s="57"/>
      <c r="W143" s="57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1.25" customHeight="1" x14ac:dyDescent="0.2">
      <c r="A144" s="53" t="s">
        <v>28</v>
      </c>
      <c r="B144" s="53" t="s">
        <v>41</v>
      </c>
      <c r="C144" s="53" t="s">
        <v>42</v>
      </c>
      <c r="D144" s="53" t="s">
        <v>40</v>
      </c>
      <c r="E144" s="53" t="s">
        <v>25</v>
      </c>
      <c r="F144" s="53" t="s">
        <v>25</v>
      </c>
      <c r="G144" s="53" t="s">
        <v>25</v>
      </c>
      <c r="H144" s="53" t="s">
        <v>36</v>
      </c>
      <c r="I144" s="75">
        <v>44348</v>
      </c>
      <c r="J144" s="76">
        <f ca="1">EFEITO!$J$144*EFEITO!$Y$144</f>
        <v>1634.3876453142602</v>
      </c>
      <c r="K144" s="76">
        <f ca="1">EFEITO!$L$144*EFEITO!$Z$144</f>
        <v>485.51845837083454</v>
      </c>
      <c r="L144" s="76">
        <f>EFEITO!$N$144*EFEITO!$AA$144</f>
        <v>1726.6138518264579</v>
      </c>
      <c r="M144" s="76">
        <f ca="1">$J$144-EFEITO!$K$144*EFEITO!$Y$144</f>
        <v>0</v>
      </c>
      <c r="N144" s="76">
        <f ca="1">$K$144-EFEITO!$M$144*EFEITO!$Z$144</f>
        <v>0</v>
      </c>
      <c r="O144" s="76">
        <f>$L$144-EFEITO!$O$144*EFEITO!$AA$144</f>
        <v>0</v>
      </c>
      <c r="P144" s="57"/>
      <c r="Q144" s="57"/>
      <c r="R144" s="57"/>
      <c r="S144" s="57"/>
      <c r="T144" s="57"/>
      <c r="U144" s="57"/>
      <c r="V144" s="57"/>
      <c r="W144" s="57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1.25" customHeight="1" x14ac:dyDescent="0.2">
      <c r="A145" s="53" t="s">
        <v>21</v>
      </c>
      <c r="B145" s="53" t="s">
        <v>41</v>
      </c>
      <c r="C145" s="53" t="s">
        <v>42</v>
      </c>
      <c r="D145" s="53" t="s">
        <v>40</v>
      </c>
      <c r="E145" s="53" t="s">
        <v>25</v>
      </c>
      <c r="F145" s="53" t="s">
        <v>25</v>
      </c>
      <c r="G145" s="53" t="s">
        <v>25</v>
      </c>
      <c r="H145" s="53" t="s">
        <v>36</v>
      </c>
      <c r="I145" s="75">
        <v>44348</v>
      </c>
      <c r="J145" s="76">
        <f ca="1">EFEITO!$J$145*EFEITO!$Y$145</f>
        <v>803383.2470542246</v>
      </c>
      <c r="K145" s="76">
        <f ca="1">EFEITO!$L$145*EFEITO!$Z$145</f>
        <v>0</v>
      </c>
      <c r="L145" s="76">
        <f>EFEITO!$N$145*EFEITO!$AA$145</f>
        <v>0</v>
      </c>
      <c r="M145" s="76">
        <f ca="1">$J$145-EFEITO!$K$145*EFEITO!$Y$145</f>
        <v>0</v>
      </c>
      <c r="N145" s="76">
        <f ca="1">$K$145-EFEITO!$M$145*EFEITO!$Z$145</f>
        <v>0</v>
      </c>
      <c r="O145" s="76">
        <f>$L$145-EFEITO!$O$145*EFEITO!$AA$145</f>
        <v>0</v>
      </c>
      <c r="P145" s="57"/>
      <c r="Q145" s="57"/>
      <c r="R145" s="57"/>
      <c r="S145" s="57"/>
      <c r="T145" s="57"/>
      <c r="U145" s="57"/>
      <c r="V145" s="57"/>
      <c r="W145" s="57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1.25" customHeight="1" x14ac:dyDescent="0.2">
      <c r="A146" s="53" t="s">
        <v>21</v>
      </c>
      <c r="B146" s="53" t="s">
        <v>41</v>
      </c>
      <c r="C146" s="53" t="s">
        <v>42</v>
      </c>
      <c r="D146" s="53" t="s">
        <v>40</v>
      </c>
      <c r="E146" s="53" t="s">
        <v>25</v>
      </c>
      <c r="F146" s="53" t="s">
        <v>25</v>
      </c>
      <c r="G146" s="53" t="s">
        <v>25</v>
      </c>
      <c r="H146" s="53" t="s">
        <v>36</v>
      </c>
      <c r="I146" s="75">
        <v>44378</v>
      </c>
      <c r="J146" s="76">
        <f ca="1">EFEITO!$J$146*EFEITO!$Y$146</f>
        <v>58413.014443531662</v>
      </c>
      <c r="K146" s="76">
        <f ca="1">EFEITO!$L$146*EFEITO!$Z$146</f>
        <v>54532.231647022447</v>
      </c>
      <c r="L146" s="76">
        <f>EFEITO!$N$146*EFEITO!$AA$146</f>
        <v>193928.99468477577</v>
      </c>
      <c r="M146" s="76">
        <f ca="1">$J$146-EFEITO!$K$146*EFEITO!$Y$146</f>
        <v>0</v>
      </c>
      <c r="N146" s="76">
        <f ca="1">$K$146-EFEITO!$M$146*EFEITO!$Z$146</f>
        <v>0</v>
      </c>
      <c r="O146" s="76">
        <f>$L$146-EFEITO!$O$146*EFEITO!$AA$146</f>
        <v>0</v>
      </c>
      <c r="P146" s="57"/>
      <c r="Q146" s="57"/>
      <c r="R146" s="57"/>
      <c r="S146" s="57"/>
      <c r="T146" s="57"/>
      <c r="U146" s="57"/>
      <c r="V146" s="57"/>
      <c r="W146" s="57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1.25" customHeight="1" x14ac:dyDescent="0.2">
      <c r="A147" s="53" t="s">
        <v>28</v>
      </c>
      <c r="B147" s="53" t="s">
        <v>41</v>
      </c>
      <c r="C147" s="53" t="s">
        <v>42</v>
      </c>
      <c r="D147" s="53" t="s">
        <v>40</v>
      </c>
      <c r="E147" s="53" t="s">
        <v>25</v>
      </c>
      <c r="F147" s="53" t="s">
        <v>25</v>
      </c>
      <c r="G147" s="53" t="s">
        <v>25</v>
      </c>
      <c r="H147" s="53" t="s">
        <v>36</v>
      </c>
      <c r="I147" s="75">
        <v>44378</v>
      </c>
      <c r="J147" s="76">
        <f ca="1">EFEITO!$J$147*EFEITO!$Y$147</f>
        <v>1634.3876453142602</v>
      </c>
      <c r="K147" s="76">
        <f ca="1">EFEITO!$L$147*EFEITO!$Z$147</f>
        <v>86.231371924845135</v>
      </c>
      <c r="L147" s="76">
        <f>EFEITO!$N$147*EFEITO!$AA$147</f>
        <v>306.65833329392643</v>
      </c>
      <c r="M147" s="76">
        <f ca="1">$J$147-EFEITO!$K$147*EFEITO!$Y$147</f>
        <v>0</v>
      </c>
      <c r="N147" s="76">
        <f ca="1">$K$147-EFEITO!$M$147*EFEITO!$Z$147</f>
        <v>0</v>
      </c>
      <c r="O147" s="76">
        <f>$L$147-EFEITO!$O$147*EFEITO!$AA$147</f>
        <v>0</v>
      </c>
      <c r="P147" s="57"/>
      <c r="Q147" s="57"/>
      <c r="R147" s="57"/>
      <c r="S147" s="57"/>
      <c r="T147" s="57"/>
      <c r="U147" s="57"/>
      <c r="V147" s="57"/>
      <c r="W147" s="57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1.25" customHeight="1" x14ac:dyDescent="0.2">
      <c r="A148" s="53" t="s">
        <v>21</v>
      </c>
      <c r="B148" s="53" t="s">
        <v>41</v>
      </c>
      <c r="C148" s="53" t="s">
        <v>42</v>
      </c>
      <c r="D148" s="53" t="s">
        <v>40</v>
      </c>
      <c r="E148" s="53" t="s">
        <v>25</v>
      </c>
      <c r="F148" s="53" t="s">
        <v>25</v>
      </c>
      <c r="G148" s="53" t="s">
        <v>25</v>
      </c>
      <c r="H148" s="53" t="s">
        <v>36</v>
      </c>
      <c r="I148" s="75">
        <v>44378</v>
      </c>
      <c r="J148" s="76">
        <f ca="1">EFEITO!$J$148*EFEITO!$Y$148</f>
        <v>806047.2989160869</v>
      </c>
      <c r="K148" s="76">
        <f ca="1">EFEITO!$L$148*EFEITO!$Z$148</f>
        <v>0</v>
      </c>
      <c r="L148" s="76">
        <f>EFEITO!$N$148*EFEITO!$AA$148</f>
        <v>0</v>
      </c>
      <c r="M148" s="76">
        <f ca="1">$J$148-EFEITO!$K$148*EFEITO!$Y$148</f>
        <v>0</v>
      </c>
      <c r="N148" s="76">
        <f ca="1">$K$148-EFEITO!$M$148*EFEITO!$Z$148</f>
        <v>0</v>
      </c>
      <c r="O148" s="76">
        <f>$L$148-EFEITO!$O$148*EFEITO!$AA$148</f>
        <v>0</v>
      </c>
      <c r="P148" s="57"/>
      <c r="Q148" s="57"/>
      <c r="R148" s="57"/>
      <c r="S148" s="57"/>
      <c r="T148" s="57"/>
      <c r="U148" s="57"/>
      <c r="V148" s="57"/>
      <c r="W148" s="57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1.25" customHeight="1" x14ac:dyDescent="0.2">
      <c r="A149" s="53" t="s">
        <v>21</v>
      </c>
      <c r="B149" s="53" t="s">
        <v>41</v>
      </c>
      <c r="C149" s="53" t="s">
        <v>42</v>
      </c>
      <c r="D149" s="53" t="s">
        <v>40</v>
      </c>
      <c r="E149" s="53" t="s">
        <v>25</v>
      </c>
      <c r="F149" s="53" t="s">
        <v>25</v>
      </c>
      <c r="G149" s="53" t="s">
        <v>25</v>
      </c>
      <c r="H149" s="53" t="s">
        <v>36</v>
      </c>
      <c r="I149" s="75">
        <v>44409</v>
      </c>
      <c r="J149" s="76">
        <f ca="1">EFEITO!$J$149*EFEITO!$Y$149</f>
        <v>94516.637528523672</v>
      </c>
      <c r="K149" s="76">
        <f ca="1">EFEITO!$L$149*EFEITO!$Z$149</f>
        <v>76627.514894103078</v>
      </c>
      <c r="L149" s="76">
        <f>EFEITO!$N$149*EFEITO!$AA$149</f>
        <v>272504.83759392396</v>
      </c>
      <c r="M149" s="76">
        <f ca="1">$J$149-EFEITO!$K$149*EFEITO!$Y$149</f>
        <v>0</v>
      </c>
      <c r="N149" s="76">
        <f ca="1">$K$149-EFEITO!$M$149*EFEITO!$Z$149</f>
        <v>0</v>
      </c>
      <c r="O149" s="76">
        <f>$L$149-EFEITO!$O$149*EFEITO!$AA$149</f>
        <v>0</v>
      </c>
      <c r="P149" s="57"/>
      <c r="Q149" s="57"/>
      <c r="R149" s="57"/>
      <c r="S149" s="57"/>
      <c r="T149" s="57"/>
      <c r="U149" s="57"/>
      <c r="V149" s="57"/>
      <c r="W149" s="57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1.25" customHeight="1" x14ac:dyDescent="0.2">
      <c r="A150" s="53" t="s">
        <v>28</v>
      </c>
      <c r="B150" s="53" t="s">
        <v>41</v>
      </c>
      <c r="C150" s="53" t="s">
        <v>42</v>
      </c>
      <c r="D150" s="53" t="s">
        <v>40</v>
      </c>
      <c r="E150" s="53" t="s">
        <v>25</v>
      </c>
      <c r="F150" s="53" t="s">
        <v>25</v>
      </c>
      <c r="G150" s="53" t="s">
        <v>25</v>
      </c>
      <c r="H150" s="53" t="s">
        <v>36</v>
      </c>
      <c r="I150" s="75">
        <v>44409</v>
      </c>
      <c r="J150" s="76">
        <f ca="1">EFEITO!$J$150*EFEITO!$Y$150</f>
        <v>1634.3876453142602</v>
      </c>
      <c r="K150" s="76">
        <f ca="1">EFEITO!$L$150*EFEITO!$Z$150</f>
        <v>154.31679644198633</v>
      </c>
      <c r="L150" s="76">
        <f>EFEITO!$N$150*EFEITO!$AA$150</f>
        <v>548.78555843227866</v>
      </c>
      <c r="M150" s="76">
        <f ca="1">$J$150-EFEITO!$K$150*EFEITO!$Y$150</f>
        <v>0</v>
      </c>
      <c r="N150" s="76">
        <f ca="1">$K$150-EFEITO!$M$150*EFEITO!$Z$150</f>
        <v>0</v>
      </c>
      <c r="O150" s="76">
        <f>$L$150-EFEITO!$O$150*EFEITO!$AA$150</f>
        <v>0</v>
      </c>
      <c r="P150" s="57"/>
      <c r="Q150" s="57"/>
      <c r="R150" s="57"/>
      <c r="S150" s="57"/>
      <c r="T150" s="57"/>
      <c r="U150" s="57"/>
      <c r="V150" s="57"/>
      <c r="W150" s="57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1.25" customHeight="1" x14ac:dyDescent="0.2">
      <c r="A151" s="53" t="s">
        <v>21</v>
      </c>
      <c r="B151" s="53" t="s">
        <v>41</v>
      </c>
      <c r="C151" s="53" t="s">
        <v>42</v>
      </c>
      <c r="D151" s="53" t="s">
        <v>40</v>
      </c>
      <c r="E151" s="53" t="s">
        <v>25</v>
      </c>
      <c r="F151" s="53" t="s">
        <v>25</v>
      </c>
      <c r="G151" s="53" t="s">
        <v>25</v>
      </c>
      <c r="H151" s="53" t="s">
        <v>36</v>
      </c>
      <c r="I151" s="75">
        <v>44409</v>
      </c>
      <c r="J151" s="76">
        <f ca="1">EFEITO!$J$151*EFEITO!$Y$151</f>
        <v>808237.37836080801</v>
      </c>
      <c r="K151" s="76">
        <f ca="1">EFEITO!$L$151*EFEITO!$Z$151</f>
        <v>0</v>
      </c>
      <c r="L151" s="76">
        <f>EFEITO!$N$151*EFEITO!$AA$151</f>
        <v>0</v>
      </c>
      <c r="M151" s="76">
        <f ca="1">$J$151-EFEITO!$K$151*EFEITO!$Y$151</f>
        <v>0</v>
      </c>
      <c r="N151" s="76">
        <f ca="1">$K$151-EFEITO!$M$151*EFEITO!$Z$151</f>
        <v>0</v>
      </c>
      <c r="O151" s="76">
        <f>$L$151-EFEITO!$O$151*EFEITO!$AA$151</f>
        <v>0</v>
      </c>
      <c r="P151" s="57"/>
      <c r="Q151" s="57"/>
      <c r="R151" s="57"/>
      <c r="S151" s="57"/>
      <c r="T151" s="57"/>
      <c r="U151" s="57"/>
      <c r="V151" s="57"/>
      <c r="W151" s="57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1.25" customHeight="1" x14ac:dyDescent="0.2">
      <c r="A152" s="53" t="s">
        <v>21</v>
      </c>
      <c r="B152" s="53" t="s">
        <v>41</v>
      </c>
      <c r="C152" s="53" t="s">
        <v>42</v>
      </c>
      <c r="D152" s="53" t="s">
        <v>40</v>
      </c>
      <c r="E152" s="53" t="s">
        <v>25</v>
      </c>
      <c r="F152" s="53" t="s">
        <v>25</v>
      </c>
      <c r="G152" s="53" t="s">
        <v>25</v>
      </c>
      <c r="H152" s="53" t="s">
        <v>36</v>
      </c>
      <c r="I152" s="75">
        <v>44440</v>
      </c>
      <c r="J152" s="76">
        <f ca="1">EFEITO!$J$152*EFEITO!$Y$152</f>
        <v>158012.59754898268</v>
      </c>
      <c r="K152" s="76">
        <f ca="1">EFEITO!$L$152*EFEITO!$Z$152</f>
        <v>56181.987991593436</v>
      </c>
      <c r="L152" s="76">
        <f>EFEITO!$N$152*EFEITO!$AA$152</f>
        <v>199795.90274473504</v>
      </c>
      <c r="M152" s="76">
        <f ca="1">$J$152-EFEITO!$K$152*EFEITO!$Y$152</f>
        <v>0</v>
      </c>
      <c r="N152" s="76">
        <f ca="1">$K$152-EFEITO!$M$152*EFEITO!$Z$152</f>
        <v>0</v>
      </c>
      <c r="O152" s="76">
        <f>$L$152-EFEITO!$O$152*EFEITO!$AA$152</f>
        <v>0</v>
      </c>
      <c r="P152" s="57"/>
      <c r="Q152" s="57"/>
      <c r="R152" s="57"/>
      <c r="S152" s="57"/>
      <c r="T152" s="57"/>
      <c r="U152" s="57"/>
      <c r="V152" s="57"/>
      <c r="W152" s="57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1.25" customHeight="1" x14ac:dyDescent="0.2">
      <c r="A153" s="53" t="s">
        <v>28</v>
      </c>
      <c r="B153" s="53" t="s">
        <v>41</v>
      </c>
      <c r="C153" s="53" t="s">
        <v>42</v>
      </c>
      <c r="D153" s="53" t="s">
        <v>40</v>
      </c>
      <c r="E153" s="53" t="s">
        <v>25</v>
      </c>
      <c r="F153" s="53" t="s">
        <v>25</v>
      </c>
      <c r="G153" s="53" t="s">
        <v>25</v>
      </c>
      <c r="H153" s="53" t="s">
        <v>36</v>
      </c>
      <c r="I153" s="75">
        <v>44440</v>
      </c>
      <c r="J153" s="76">
        <f ca="1">EFEITO!$J$153*EFEITO!$Y$153</f>
        <v>1634.3876453142602</v>
      </c>
      <c r="K153" s="76">
        <f ca="1">EFEITO!$L$153*EFEITO!$Z$153</f>
        <v>22.873042950887303</v>
      </c>
      <c r="L153" s="76">
        <f>EFEITO!$N$153*EFEITO!$AA$153</f>
        <v>81.341732969211265</v>
      </c>
      <c r="M153" s="76">
        <f ca="1">$J$153-EFEITO!$K$153*EFEITO!$Y$153</f>
        <v>0</v>
      </c>
      <c r="N153" s="76">
        <f ca="1">$K$153-EFEITO!$M$153*EFEITO!$Z$153</f>
        <v>0</v>
      </c>
      <c r="O153" s="76">
        <f>$L$153-EFEITO!$O$153*EFEITO!$AA$153</f>
        <v>0</v>
      </c>
      <c r="P153" s="57"/>
      <c r="Q153" s="57"/>
      <c r="R153" s="57"/>
      <c r="S153" s="57"/>
      <c r="T153" s="57"/>
      <c r="U153" s="57"/>
      <c r="V153" s="57"/>
      <c r="W153" s="57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1.25" customHeight="1" x14ac:dyDescent="0.2">
      <c r="A154" s="53" t="s">
        <v>21</v>
      </c>
      <c r="B154" s="53" t="s">
        <v>41</v>
      </c>
      <c r="C154" s="53" t="s">
        <v>42</v>
      </c>
      <c r="D154" s="53" t="s">
        <v>40</v>
      </c>
      <c r="E154" s="53" t="s">
        <v>25</v>
      </c>
      <c r="F154" s="53" t="s">
        <v>25</v>
      </c>
      <c r="G154" s="53" t="s">
        <v>25</v>
      </c>
      <c r="H154" s="53" t="s">
        <v>36</v>
      </c>
      <c r="I154" s="75">
        <v>44440</v>
      </c>
      <c r="J154" s="76">
        <f ca="1">EFEITO!$J$154*EFEITO!$Y$154</f>
        <v>811342.71488690504</v>
      </c>
      <c r="K154" s="76">
        <f ca="1">EFEITO!$L$154*EFEITO!$Z$154</f>
        <v>0</v>
      </c>
      <c r="L154" s="76">
        <f>EFEITO!$N$154*EFEITO!$AA$154</f>
        <v>0</v>
      </c>
      <c r="M154" s="76">
        <f ca="1">$J$154-EFEITO!$K$154*EFEITO!$Y$154</f>
        <v>0</v>
      </c>
      <c r="N154" s="76">
        <f ca="1">$K$154-EFEITO!$M$154*EFEITO!$Z$154</f>
        <v>0</v>
      </c>
      <c r="O154" s="76">
        <f>$L$154-EFEITO!$O$154*EFEITO!$AA$154</f>
        <v>0</v>
      </c>
      <c r="P154" s="57"/>
      <c r="Q154" s="57"/>
      <c r="R154" s="57"/>
      <c r="S154" s="57"/>
      <c r="T154" s="57"/>
      <c r="U154" s="57"/>
      <c r="V154" s="57"/>
      <c r="W154" s="57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1.25" customHeight="1" x14ac:dyDescent="0.2">
      <c r="A155" s="53" t="s">
        <v>21</v>
      </c>
      <c r="B155" s="53" t="s">
        <v>41</v>
      </c>
      <c r="C155" s="53" t="s">
        <v>42</v>
      </c>
      <c r="D155" s="53" t="s">
        <v>40</v>
      </c>
      <c r="E155" s="53" t="s">
        <v>25</v>
      </c>
      <c r="F155" s="53" t="s">
        <v>25</v>
      </c>
      <c r="G155" s="53" t="s">
        <v>25</v>
      </c>
      <c r="H155" s="53" t="s">
        <v>36</v>
      </c>
      <c r="I155" s="75">
        <v>44470</v>
      </c>
      <c r="J155" s="76">
        <f ca="1">EFEITO!$J$155*EFEITO!$Y$155</f>
        <v>162196.62992098718</v>
      </c>
      <c r="K155" s="76">
        <f ca="1">EFEITO!$L$155*EFEITO!$Z$155</f>
        <v>13304.791623672125</v>
      </c>
      <c r="L155" s="76">
        <f>EFEITO!$N$155*EFEITO!$AA$155</f>
        <v>47314.859233530806</v>
      </c>
      <c r="M155" s="76">
        <f ca="1">$J$155-EFEITO!$K$155*EFEITO!$Y$155</f>
        <v>0</v>
      </c>
      <c r="N155" s="76">
        <f ca="1">$K$155-EFEITO!$M$155*EFEITO!$Z$155</f>
        <v>0</v>
      </c>
      <c r="O155" s="76">
        <f>$L$155-EFEITO!$O$155*EFEITO!$AA$155</f>
        <v>0</v>
      </c>
      <c r="P155" s="57"/>
      <c r="Q155" s="57"/>
      <c r="R155" s="57"/>
      <c r="S155" s="57"/>
      <c r="T155" s="57"/>
      <c r="U155" s="57"/>
      <c r="V155" s="57"/>
      <c r="W155" s="57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1.25" customHeight="1" x14ac:dyDescent="0.2">
      <c r="A156" s="53" t="s">
        <v>28</v>
      </c>
      <c r="B156" s="53" t="s">
        <v>41</v>
      </c>
      <c r="C156" s="53" t="s">
        <v>42</v>
      </c>
      <c r="D156" s="53" t="s">
        <v>40</v>
      </c>
      <c r="E156" s="53" t="s">
        <v>25</v>
      </c>
      <c r="F156" s="53" t="s">
        <v>25</v>
      </c>
      <c r="G156" s="53" t="s">
        <v>25</v>
      </c>
      <c r="H156" s="53" t="s">
        <v>36</v>
      </c>
      <c r="I156" s="75">
        <v>44470</v>
      </c>
      <c r="J156" s="76">
        <f ca="1">EFEITO!$J$156*EFEITO!$Y$156</f>
        <v>1634.3876453142602</v>
      </c>
      <c r="K156" s="76">
        <f ca="1">EFEITO!$L$156*EFEITO!$Z$156</f>
        <v>357.2769308928597</v>
      </c>
      <c r="L156" s="76">
        <f>EFEITO!$N$156*EFEITO!$AA$156</f>
        <v>1270.5578689790798</v>
      </c>
      <c r="M156" s="76">
        <f ca="1">$J$156-EFEITO!$K$156*EFEITO!$Y$156</f>
        <v>0</v>
      </c>
      <c r="N156" s="76">
        <f ca="1">$K$156-EFEITO!$M$156*EFEITO!$Z$156</f>
        <v>0</v>
      </c>
      <c r="O156" s="76">
        <f>$L$156-EFEITO!$O$156*EFEITO!$AA$156</f>
        <v>0</v>
      </c>
      <c r="P156" s="57"/>
      <c r="Q156" s="57"/>
      <c r="R156" s="57"/>
      <c r="S156" s="57"/>
      <c r="T156" s="57"/>
      <c r="U156" s="57"/>
      <c r="V156" s="57"/>
      <c r="W156" s="57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1.25" customHeight="1" x14ac:dyDescent="0.2">
      <c r="A157" s="53" t="s">
        <v>21</v>
      </c>
      <c r="B157" s="53" t="s">
        <v>41</v>
      </c>
      <c r="C157" s="53" t="s">
        <v>42</v>
      </c>
      <c r="D157" s="53" t="s">
        <v>40</v>
      </c>
      <c r="E157" s="53" t="s">
        <v>25</v>
      </c>
      <c r="F157" s="53" t="s">
        <v>25</v>
      </c>
      <c r="G157" s="53" t="s">
        <v>25</v>
      </c>
      <c r="H157" s="53" t="s">
        <v>36</v>
      </c>
      <c r="I157" s="75">
        <v>44470</v>
      </c>
      <c r="J157" s="76">
        <f ca="1">EFEITO!$J$157*EFEITO!$Y$157</f>
        <v>809888.10988257534</v>
      </c>
      <c r="K157" s="76">
        <f ca="1">EFEITO!$L$157*EFEITO!$Z$157</f>
        <v>0</v>
      </c>
      <c r="L157" s="76">
        <f>EFEITO!$N$157*EFEITO!$AA$157</f>
        <v>0</v>
      </c>
      <c r="M157" s="76">
        <f ca="1">$J$157-EFEITO!$K$157*EFEITO!$Y$157</f>
        <v>0</v>
      </c>
      <c r="N157" s="76">
        <f ca="1">$K$157-EFEITO!$M$157*EFEITO!$Z$157</f>
        <v>0</v>
      </c>
      <c r="O157" s="76">
        <f>$L$157-EFEITO!$O$157*EFEITO!$AA$157</f>
        <v>0</v>
      </c>
      <c r="P157" s="57"/>
      <c r="Q157" s="57"/>
      <c r="R157" s="57"/>
      <c r="S157" s="57"/>
      <c r="T157" s="57"/>
      <c r="U157" s="57"/>
      <c r="V157" s="57"/>
      <c r="W157" s="57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1.25" customHeight="1" x14ac:dyDescent="0.2">
      <c r="A158" s="53" t="s">
        <v>21</v>
      </c>
      <c r="B158" s="53" t="s">
        <v>41</v>
      </c>
      <c r="C158" s="53" t="s">
        <v>42</v>
      </c>
      <c r="D158" s="53" t="s">
        <v>40</v>
      </c>
      <c r="E158" s="53" t="s">
        <v>25</v>
      </c>
      <c r="F158" s="53" t="s">
        <v>25</v>
      </c>
      <c r="G158" s="53" t="s">
        <v>25</v>
      </c>
      <c r="H158" s="53" t="s">
        <v>36</v>
      </c>
      <c r="I158" s="75">
        <v>44501</v>
      </c>
      <c r="J158" s="76">
        <f ca="1">EFEITO!$J$158*EFEITO!$Y$158</f>
        <v>128904.15358593571</v>
      </c>
      <c r="K158" s="76">
        <f ca="1">EFEITO!$L$158*EFEITO!$Z$158</f>
        <v>11928.139411934722</v>
      </c>
      <c r="L158" s="76">
        <f>EFEITO!$N$158*EFEITO!$AA$158</f>
        <v>42419.171465223881</v>
      </c>
      <c r="M158" s="76">
        <f ca="1">$J$158-EFEITO!$K$158*EFEITO!$Y$158</f>
        <v>0</v>
      </c>
      <c r="N158" s="76">
        <f ca="1">$K$158-EFEITO!$M$158*EFEITO!$Z$158</f>
        <v>0</v>
      </c>
      <c r="O158" s="76">
        <f>$L$158-EFEITO!$O$158*EFEITO!$AA$158</f>
        <v>0</v>
      </c>
      <c r="P158" s="57"/>
      <c r="Q158" s="57"/>
      <c r="R158" s="57"/>
      <c r="S158" s="57"/>
      <c r="T158" s="57"/>
      <c r="U158" s="57"/>
      <c r="V158" s="57"/>
      <c r="W158" s="57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1.25" customHeight="1" x14ac:dyDescent="0.2">
      <c r="A159" s="53" t="s">
        <v>27</v>
      </c>
      <c r="B159" s="53" t="s">
        <v>41</v>
      </c>
      <c r="C159" s="53" t="s">
        <v>42</v>
      </c>
      <c r="D159" s="53" t="s">
        <v>40</v>
      </c>
      <c r="E159" s="53" t="s">
        <v>25</v>
      </c>
      <c r="F159" s="53" t="s">
        <v>25</v>
      </c>
      <c r="G159" s="53" t="s">
        <v>25</v>
      </c>
      <c r="H159" s="53" t="s">
        <v>36</v>
      </c>
      <c r="I159" s="75">
        <v>44501</v>
      </c>
      <c r="J159" s="76">
        <f ca="1">EFEITO!$J$159*EFEITO!$Y$159</f>
        <v>0</v>
      </c>
      <c r="K159" s="76">
        <f ca="1">EFEITO!$L$159*EFEITO!$Z$159</f>
        <v>32.47972099025997</v>
      </c>
      <c r="L159" s="76">
        <f>EFEITO!$N$159*EFEITO!$AA$159</f>
        <v>115.50526081627999</v>
      </c>
      <c r="M159" s="76">
        <f ca="1">$J$159-EFEITO!$K$159*EFEITO!$Y$159</f>
        <v>0</v>
      </c>
      <c r="N159" s="76">
        <f ca="1">$K$159-EFEITO!$M$159*EFEITO!$Z$159</f>
        <v>0</v>
      </c>
      <c r="O159" s="76">
        <f>$L$159-EFEITO!$O$159*EFEITO!$AA$159</f>
        <v>0</v>
      </c>
      <c r="P159" s="57"/>
      <c r="Q159" s="57"/>
      <c r="R159" s="57"/>
      <c r="S159" s="57"/>
      <c r="T159" s="57"/>
      <c r="U159" s="57"/>
      <c r="V159" s="57"/>
      <c r="W159" s="57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1.25" customHeight="1" x14ac:dyDescent="0.2">
      <c r="A160" s="53" t="s">
        <v>28</v>
      </c>
      <c r="B160" s="53" t="s">
        <v>41</v>
      </c>
      <c r="C160" s="53" t="s">
        <v>42</v>
      </c>
      <c r="D160" s="53" t="s">
        <v>40</v>
      </c>
      <c r="E160" s="53" t="s">
        <v>25</v>
      </c>
      <c r="F160" s="53" t="s">
        <v>25</v>
      </c>
      <c r="G160" s="53" t="s">
        <v>25</v>
      </c>
      <c r="H160" s="53" t="s">
        <v>36</v>
      </c>
      <c r="I160" s="75">
        <v>44501</v>
      </c>
      <c r="J160" s="76">
        <f ca="1">EFEITO!$J$160*EFEITO!$Y$160</f>
        <v>1634.3876453142602</v>
      </c>
      <c r="K160" s="76">
        <f ca="1">EFEITO!$L$160*EFEITO!$Z$160</f>
        <v>385.02955633993628</v>
      </c>
      <c r="L160" s="76">
        <f>EFEITO!$N$160*EFEITO!$AA$160</f>
        <v>1369.252504981723</v>
      </c>
      <c r="M160" s="76">
        <f ca="1">$J$160-EFEITO!$K$160*EFEITO!$Y$160</f>
        <v>0</v>
      </c>
      <c r="N160" s="76">
        <f ca="1">$K$160-EFEITO!$M$160*EFEITO!$Z$160</f>
        <v>0</v>
      </c>
      <c r="O160" s="76">
        <f>$L$160-EFEITO!$O$160*EFEITO!$AA$160</f>
        <v>0</v>
      </c>
      <c r="P160" s="57"/>
      <c r="Q160" s="57"/>
      <c r="R160" s="57"/>
      <c r="S160" s="57"/>
      <c r="T160" s="57"/>
      <c r="U160" s="57"/>
      <c r="V160" s="57"/>
      <c r="W160" s="57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1.25" customHeight="1" x14ac:dyDescent="0.2">
      <c r="A161" s="53" t="s">
        <v>21</v>
      </c>
      <c r="B161" s="53" t="s">
        <v>41</v>
      </c>
      <c r="C161" s="53" t="s">
        <v>42</v>
      </c>
      <c r="D161" s="53" t="s">
        <v>40</v>
      </c>
      <c r="E161" s="53" t="s">
        <v>25</v>
      </c>
      <c r="F161" s="53" t="s">
        <v>25</v>
      </c>
      <c r="G161" s="53" t="s">
        <v>25</v>
      </c>
      <c r="H161" s="53" t="s">
        <v>36</v>
      </c>
      <c r="I161" s="75">
        <v>44501</v>
      </c>
      <c r="J161" s="76">
        <f ca="1">EFEITO!$J$161*EFEITO!$Y$161</f>
        <v>809708.32724159083</v>
      </c>
      <c r="K161" s="76">
        <f ca="1">EFEITO!$L$161*EFEITO!$Z$161</f>
        <v>0</v>
      </c>
      <c r="L161" s="76">
        <f>EFEITO!$N$161*EFEITO!$AA$161</f>
        <v>0</v>
      </c>
      <c r="M161" s="76">
        <f ca="1">$J$161-EFEITO!$K$161*EFEITO!$Y$161</f>
        <v>0</v>
      </c>
      <c r="N161" s="76">
        <f ca="1">$K$161-EFEITO!$M$161*EFEITO!$Z$161</f>
        <v>0</v>
      </c>
      <c r="O161" s="76">
        <f>$L$161-EFEITO!$O$161*EFEITO!$AA$161</f>
        <v>0</v>
      </c>
      <c r="P161" s="57"/>
      <c r="Q161" s="57"/>
      <c r="R161" s="57"/>
      <c r="S161" s="57"/>
      <c r="T161" s="57"/>
      <c r="U161" s="57"/>
      <c r="V161" s="57"/>
      <c r="W161" s="57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1.25" customHeight="1" x14ac:dyDescent="0.2">
      <c r="A162" s="53" t="s">
        <v>21</v>
      </c>
      <c r="B162" s="53" t="s">
        <v>41</v>
      </c>
      <c r="C162" s="53" t="s">
        <v>42</v>
      </c>
      <c r="D162" s="53" t="s">
        <v>40</v>
      </c>
      <c r="E162" s="53" t="s">
        <v>25</v>
      </c>
      <c r="F162" s="53" t="s">
        <v>25</v>
      </c>
      <c r="G162" s="53" t="s">
        <v>25</v>
      </c>
      <c r="H162" s="53" t="s">
        <v>36</v>
      </c>
      <c r="I162" s="75">
        <v>44531</v>
      </c>
      <c r="J162" s="76">
        <f ca="1">EFEITO!$J$162*EFEITO!$Y$162</f>
        <v>122284.88362241295</v>
      </c>
      <c r="K162" s="76">
        <f ca="1">EFEITO!$L$162*EFEITO!$Z$162</f>
        <v>24477.129453033027</v>
      </c>
      <c r="L162" s="76">
        <f>EFEITO!$N$162*EFEITO!$AA$162</f>
        <v>87046.22870234205</v>
      </c>
      <c r="M162" s="76">
        <f ca="1">$J$162-EFEITO!$K$162*EFEITO!$Y$162</f>
        <v>0</v>
      </c>
      <c r="N162" s="76">
        <f ca="1">$K$162-EFEITO!$M$162*EFEITO!$Z$162</f>
        <v>0</v>
      </c>
      <c r="O162" s="76">
        <f>$L$162-EFEITO!$O$162*EFEITO!$AA$162</f>
        <v>0</v>
      </c>
      <c r="P162" s="57"/>
      <c r="Q162" s="57"/>
      <c r="R162" s="57"/>
      <c r="S162" s="57"/>
      <c r="T162" s="57"/>
      <c r="U162" s="57"/>
      <c r="V162" s="57"/>
      <c r="W162" s="57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1.25" customHeight="1" x14ac:dyDescent="0.2">
      <c r="A163" s="53" t="s">
        <v>28</v>
      </c>
      <c r="B163" s="53" t="s">
        <v>41</v>
      </c>
      <c r="C163" s="53" t="s">
        <v>42</v>
      </c>
      <c r="D163" s="53" t="s">
        <v>40</v>
      </c>
      <c r="E163" s="53" t="s">
        <v>25</v>
      </c>
      <c r="F163" s="53" t="s">
        <v>25</v>
      </c>
      <c r="G163" s="53" t="s">
        <v>25</v>
      </c>
      <c r="H163" s="53" t="s">
        <v>36</v>
      </c>
      <c r="I163" s="75">
        <v>44531</v>
      </c>
      <c r="J163" s="76">
        <f ca="1">EFEITO!$J$163*EFEITO!$Y$163</f>
        <v>1634.3876453142602</v>
      </c>
      <c r="K163" s="76">
        <f ca="1">EFEITO!$L$163*EFEITO!$Z$163</f>
        <v>12.961391005502806</v>
      </c>
      <c r="L163" s="76">
        <f>EFEITO!$N$163*EFEITO!$AA$163</f>
        <v>46.093648682553052</v>
      </c>
      <c r="M163" s="76">
        <f ca="1">$J$163-EFEITO!$K$163*EFEITO!$Y$163</f>
        <v>0</v>
      </c>
      <c r="N163" s="76">
        <f ca="1">$K$163-EFEITO!$M$163*EFEITO!$Z$163</f>
        <v>0</v>
      </c>
      <c r="O163" s="76">
        <f>$L$163-EFEITO!$O$163*EFEITO!$AA$163</f>
        <v>0</v>
      </c>
      <c r="P163" s="57"/>
      <c r="Q163" s="57"/>
      <c r="R163" s="57"/>
      <c r="S163" s="57"/>
      <c r="T163" s="57"/>
      <c r="U163" s="57"/>
      <c r="V163" s="57"/>
      <c r="W163" s="57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1.25" customHeight="1" x14ac:dyDescent="0.2">
      <c r="A164" s="53" t="s">
        <v>21</v>
      </c>
      <c r="B164" s="53" t="s">
        <v>41</v>
      </c>
      <c r="C164" s="53" t="s">
        <v>42</v>
      </c>
      <c r="D164" s="53" t="s">
        <v>40</v>
      </c>
      <c r="E164" s="53" t="s">
        <v>25</v>
      </c>
      <c r="F164" s="53" t="s">
        <v>25</v>
      </c>
      <c r="G164" s="53" t="s">
        <v>25</v>
      </c>
      <c r="H164" s="53" t="s">
        <v>36</v>
      </c>
      <c r="I164" s="75">
        <v>44531</v>
      </c>
      <c r="J164" s="76">
        <f ca="1">EFEITO!$J$164*EFEITO!$Y$164</f>
        <v>807420.18453815079</v>
      </c>
      <c r="K164" s="76">
        <f ca="1">EFEITO!$L$164*EFEITO!$Z$164</f>
        <v>0</v>
      </c>
      <c r="L164" s="76">
        <f>EFEITO!$N$164*EFEITO!$AA$164</f>
        <v>0</v>
      </c>
      <c r="M164" s="76">
        <f ca="1">$J$164-EFEITO!$K$164*EFEITO!$Y$164</f>
        <v>0</v>
      </c>
      <c r="N164" s="76">
        <f ca="1">$K$164-EFEITO!$M$164*EFEITO!$Z$164</f>
        <v>0</v>
      </c>
      <c r="O164" s="76">
        <f>$L$164-EFEITO!$O$164*EFEITO!$AA$164</f>
        <v>0</v>
      </c>
      <c r="P164" s="57"/>
      <c r="Q164" s="57"/>
      <c r="R164" s="57"/>
      <c r="S164" s="57"/>
      <c r="T164" s="57"/>
      <c r="U164" s="57"/>
      <c r="V164" s="57"/>
      <c r="W164" s="57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1.25" customHeight="1" x14ac:dyDescent="0.2">
      <c r="A165" s="53" t="s">
        <v>21</v>
      </c>
      <c r="B165" s="53" t="s">
        <v>41</v>
      </c>
      <c r="C165" s="53" t="s">
        <v>42</v>
      </c>
      <c r="D165" s="53" t="s">
        <v>40</v>
      </c>
      <c r="E165" s="53" t="s">
        <v>25</v>
      </c>
      <c r="F165" s="53" t="s">
        <v>25</v>
      </c>
      <c r="G165" s="53" t="s">
        <v>25</v>
      </c>
      <c r="H165" s="53" t="s">
        <v>36</v>
      </c>
      <c r="I165" s="75">
        <v>44562</v>
      </c>
      <c r="J165" s="76">
        <f ca="1">EFEITO!$J$165*EFEITO!$Y$165</f>
        <v>224090.89004903822</v>
      </c>
      <c r="K165" s="76">
        <f ca="1">EFEITO!$L$165*EFEITO!$Z$165</f>
        <v>10404.794751405627</v>
      </c>
      <c r="L165" s="76">
        <f>EFEITO!$N$165*EFEITO!$AA$165</f>
        <v>37001.812049474407</v>
      </c>
      <c r="M165" s="76">
        <f ca="1">$J$165-EFEITO!$K$165*EFEITO!$Y$165</f>
        <v>0</v>
      </c>
      <c r="N165" s="76">
        <f ca="1">$K$165-EFEITO!$M$165*EFEITO!$Z$165</f>
        <v>0</v>
      </c>
      <c r="O165" s="76">
        <f>$L$165-EFEITO!$O$165*EFEITO!$AA$165</f>
        <v>0</v>
      </c>
      <c r="P165" s="57"/>
      <c r="Q165" s="57"/>
      <c r="R165" s="57"/>
      <c r="S165" s="57"/>
      <c r="T165" s="57"/>
      <c r="U165" s="57"/>
      <c r="V165" s="57"/>
      <c r="W165" s="57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1.25" customHeight="1" x14ac:dyDescent="0.2">
      <c r="A166" s="53" t="s">
        <v>28</v>
      </c>
      <c r="B166" s="53" t="s">
        <v>41</v>
      </c>
      <c r="C166" s="53" t="s">
        <v>42</v>
      </c>
      <c r="D166" s="53" t="s">
        <v>40</v>
      </c>
      <c r="E166" s="53" t="s">
        <v>25</v>
      </c>
      <c r="F166" s="53" t="s">
        <v>25</v>
      </c>
      <c r="G166" s="53" t="s">
        <v>25</v>
      </c>
      <c r="H166" s="53" t="s">
        <v>36</v>
      </c>
      <c r="I166" s="75">
        <v>44562</v>
      </c>
      <c r="J166" s="76">
        <f ca="1">EFEITO!$J$166*EFEITO!$Y$166</f>
        <v>1634.3876453142602</v>
      </c>
      <c r="K166" s="76">
        <f ca="1">EFEITO!$L$166*EFEITO!$Z$166</f>
        <v>284.76938473854693</v>
      </c>
      <c r="L166" s="76">
        <f>EFEITO!$N$166*EFEITO!$AA$166</f>
        <v>1012.7045754666801</v>
      </c>
      <c r="M166" s="76">
        <f ca="1">$J$166-EFEITO!$K$166*EFEITO!$Y$166</f>
        <v>0</v>
      </c>
      <c r="N166" s="76">
        <f ca="1">$K$166-EFEITO!$M$166*EFEITO!$Z$166</f>
        <v>0</v>
      </c>
      <c r="O166" s="76">
        <f>$L$166-EFEITO!$O$166*EFEITO!$AA$166</f>
        <v>0</v>
      </c>
      <c r="P166" s="57"/>
      <c r="Q166" s="57"/>
      <c r="R166" s="57"/>
      <c r="S166" s="57"/>
      <c r="T166" s="57"/>
      <c r="U166" s="57"/>
      <c r="V166" s="57"/>
      <c r="W166" s="57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1.25" customHeight="1" x14ac:dyDescent="0.2">
      <c r="A167" s="53" t="s">
        <v>21</v>
      </c>
      <c r="B167" s="53" t="s">
        <v>41</v>
      </c>
      <c r="C167" s="53" t="s">
        <v>42</v>
      </c>
      <c r="D167" s="53" t="s">
        <v>40</v>
      </c>
      <c r="E167" s="53" t="s">
        <v>25</v>
      </c>
      <c r="F167" s="53" t="s">
        <v>25</v>
      </c>
      <c r="G167" s="53" t="s">
        <v>25</v>
      </c>
      <c r="H167" s="53" t="s">
        <v>36</v>
      </c>
      <c r="I167" s="75">
        <v>44562</v>
      </c>
      <c r="J167" s="76">
        <f ca="1">EFEITO!$J$167*EFEITO!$Y$167</f>
        <v>807387.49678524456</v>
      </c>
      <c r="K167" s="76">
        <f ca="1">EFEITO!$L$167*EFEITO!$Z$167</f>
        <v>0</v>
      </c>
      <c r="L167" s="76">
        <f>EFEITO!$N$167*EFEITO!$AA$167</f>
        <v>0</v>
      </c>
      <c r="M167" s="76">
        <f ca="1">$J$167-EFEITO!$K$167*EFEITO!$Y$167</f>
        <v>0</v>
      </c>
      <c r="N167" s="76">
        <f ca="1">$K$167-EFEITO!$M$167*EFEITO!$Z$167</f>
        <v>0</v>
      </c>
      <c r="O167" s="76">
        <f>$L$167-EFEITO!$O$167*EFEITO!$AA$167</f>
        <v>0</v>
      </c>
      <c r="P167" s="57"/>
      <c r="Q167" s="57"/>
      <c r="R167" s="57"/>
      <c r="S167" s="57"/>
      <c r="T167" s="57"/>
      <c r="U167" s="57"/>
      <c r="V167" s="57"/>
      <c r="W167" s="57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1.25" customHeight="1" x14ac:dyDescent="0.2">
      <c r="A168" s="53" t="s">
        <v>21</v>
      </c>
      <c r="B168" s="53" t="s">
        <v>41</v>
      </c>
      <c r="C168" s="53" t="s">
        <v>42</v>
      </c>
      <c r="D168" s="53" t="s">
        <v>40</v>
      </c>
      <c r="E168" s="53" t="s">
        <v>25</v>
      </c>
      <c r="F168" s="53" t="s">
        <v>25</v>
      </c>
      <c r="G168" s="53" t="s">
        <v>25</v>
      </c>
      <c r="H168" s="53" t="s">
        <v>36</v>
      </c>
      <c r="I168" s="75">
        <v>44593</v>
      </c>
      <c r="J168" s="76">
        <f ca="1">EFEITO!$J$168*EFEITO!$Y$168</f>
        <v>203513.94959453167</v>
      </c>
      <c r="K168" s="76">
        <f ca="1">EFEITO!$L$168*EFEITO!$Z$168</f>
        <v>10317.114753427228</v>
      </c>
      <c r="L168" s="76">
        <f>EFEITO!$N$168*EFEITO!$AA$168</f>
        <v>36690.002073092437</v>
      </c>
      <c r="M168" s="76">
        <f ca="1">$J$168-EFEITO!$K$168*EFEITO!$Y$168</f>
        <v>0</v>
      </c>
      <c r="N168" s="76">
        <f ca="1">$K$168-EFEITO!$M$168*EFEITO!$Z$168</f>
        <v>0</v>
      </c>
      <c r="O168" s="76">
        <f>$L$168-EFEITO!$O$168*EFEITO!$AA$168</f>
        <v>0</v>
      </c>
      <c r="P168" s="57"/>
      <c r="Q168" s="57"/>
      <c r="R168" s="57"/>
      <c r="S168" s="57"/>
      <c r="T168" s="57"/>
      <c r="U168" s="57"/>
      <c r="V168" s="57"/>
      <c r="W168" s="57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1.25" customHeight="1" x14ac:dyDescent="0.2">
      <c r="A169" s="53" t="s">
        <v>27</v>
      </c>
      <c r="B169" s="53" t="s">
        <v>41</v>
      </c>
      <c r="C169" s="53" t="s">
        <v>42</v>
      </c>
      <c r="D169" s="53" t="s">
        <v>40</v>
      </c>
      <c r="E169" s="53" t="s">
        <v>25</v>
      </c>
      <c r="F169" s="53" t="s">
        <v>25</v>
      </c>
      <c r="G169" s="53" t="s">
        <v>25</v>
      </c>
      <c r="H169" s="53" t="s">
        <v>36</v>
      </c>
      <c r="I169" s="75">
        <v>44593</v>
      </c>
      <c r="J169" s="76">
        <f ca="1">EFEITO!$J$169*EFEITO!$Y$169</f>
        <v>-117545.1594510016</v>
      </c>
      <c r="K169" s="76">
        <f ca="1">EFEITO!$L$169*EFEITO!$Z$169</f>
        <v>0</v>
      </c>
      <c r="L169" s="76">
        <f>EFEITO!$N$169*EFEITO!$AA$169</f>
        <v>0</v>
      </c>
      <c r="M169" s="76">
        <f ca="1">$J$169-EFEITO!$K$169*EFEITO!$Y$169</f>
        <v>0</v>
      </c>
      <c r="N169" s="76">
        <f ca="1">$K$169-EFEITO!$M$169*EFEITO!$Z$169</f>
        <v>0</v>
      </c>
      <c r="O169" s="76">
        <f>$L$169-EFEITO!$O$169*EFEITO!$AA$169</f>
        <v>0</v>
      </c>
      <c r="P169" s="57"/>
      <c r="Q169" s="57"/>
      <c r="R169" s="57"/>
      <c r="S169" s="57"/>
      <c r="T169" s="57"/>
      <c r="U169" s="57"/>
      <c r="V169" s="57"/>
      <c r="W169" s="57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1.25" customHeight="1" x14ac:dyDescent="0.2">
      <c r="A170" s="53" t="s">
        <v>28</v>
      </c>
      <c r="B170" s="53" t="s">
        <v>41</v>
      </c>
      <c r="C170" s="53" t="s">
        <v>42</v>
      </c>
      <c r="D170" s="53" t="s">
        <v>40</v>
      </c>
      <c r="E170" s="53" t="s">
        <v>25</v>
      </c>
      <c r="F170" s="53" t="s">
        <v>25</v>
      </c>
      <c r="G170" s="53" t="s">
        <v>25</v>
      </c>
      <c r="H170" s="53" t="s">
        <v>36</v>
      </c>
      <c r="I170" s="75">
        <v>44593</v>
      </c>
      <c r="J170" s="76">
        <f ca="1">EFEITO!$J$170*EFEITO!$Y$170</f>
        <v>1634.3876453142602</v>
      </c>
      <c r="K170" s="76">
        <f ca="1">EFEITO!$L$170*EFEITO!$Z$170</f>
        <v>330.97293149933927</v>
      </c>
      <c r="L170" s="76">
        <f>EFEITO!$N$170*EFEITO!$AA$170</f>
        <v>1177.014876064487</v>
      </c>
      <c r="M170" s="76">
        <f ca="1">$J$170-EFEITO!$K$170*EFEITO!$Y$170</f>
        <v>0</v>
      </c>
      <c r="N170" s="76">
        <f ca="1">$K$170-EFEITO!$M$170*EFEITO!$Z$170</f>
        <v>0</v>
      </c>
      <c r="O170" s="76">
        <f>$L$170-EFEITO!$O$170*EFEITO!$AA$170</f>
        <v>0</v>
      </c>
      <c r="P170" s="57"/>
      <c r="Q170" s="57"/>
      <c r="R170" s="57"/>
      <c r="S170" s="57"/>
      <c r="T170" s="57"/>
      <c r="U170" s="57"/>
      <c r="V170" s="57"/>
      <c r="W170" s="57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1.25" customHeight="1" x14ac:dyDescent="0.2">
      <c r="A171" s="53" t="s">
        <v>21</v>
      </c>
      <c r="B171" s="53" t="s">
        <v>41</v>
      </c>
      <c r="C171" s="53" t="s">
        <v>42</v>
      </c>
      <c r="D171" s="53" t="s">
        <v>40</v>
      </c>
      <c r="E171" s="53" t="s">
        <v>25</v>
      </c>
      <c r="F171" s="53" t="s">
        <v>25</v>
      </c>
      <c r="G171" s="53" t="s">
        <v>25</v>
      </c>
      <c r="H171" s="53" t="s">
        <v>36</v>
      </c>
      <c r="I171" s="75">
        <v>44593</v>
      </c>
      <c r="J171" s="76">
        <f ca="1">EFEITO!$J$171*EFEITO!$Y$171</f>
        <v>317071.20319096651</v>
      </c>
      <c r="K171" s="76">
        <f ca="1">EFEITO!$L$171*EFEITO!$Z$171</f>
        <v>0</v>
      </c>
      <c r="L171" s="76">
        <f>EFEITO!$N$171*EFEITO!$AA$171</f>
        <v>0</v>
      </c>
      <c r="M171" s="76">
        <f ca="1">$J$171-EFEITO!$K$171*EFEITO!$Y$171</f>
        <v>0</v>
      </c>
      <c r="N171" s="76">
        <f ca="1">$K$171-EFEITO!$M$171*EFEITO!$Z$171</f>
        <v>0</v>
      </c>
      <c r="O171" s="76">
        <f>$L$171-EFEITO!$O$171*EFEITO!$AA$171</f>
        <v>0</v>
      </c>
      <c r="P171" s="57"/>
      <c r="Q171" s="57"/>
      <c r="R171" s="57"/>
      <c r="S171" s="57"/>
      <c r="T171" s="57"/>
      <c r="U171" s="57"/>
      <c r="V171" s="57"/>
      <c r="W171" s="57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1.25" customHeight="1" x14ac:dyDescent="0.2">
      <c r="A172" s="53" t="s">
        <v>21</v>
      </c>
      <c r="B172" s="53" t="s">
        <v>41</v>
      </c>
      <c r="C172" s="53" t="s">
        <v>42</v>
      </c>
      <c r="D172" s="53" t="s">
        <v>40</v>
      </c>
      <c r="E172" s="53" t="s">
        <v>25</v>
      </c>
      <c r="F172" s="53" t="s">
        <v>25</v>
      </c>
      <c r="G172" s="53" t="s">
        <v>25</v>
      </c>
      <c r="H172" s="53" t="s">
        <v>36</v>
      </c>
      <c r="I172" s="75">
        <v>44621</v>
      </c>
      <c r="J172" s="76">
        <f ca="1">EFEITO!$J$172*EFEITO!$Y$172</f>
        <v>140459.27423830752</v>
      </c>
      <c r="K172" s="76">
        <f ca="1">EFEITO!$L$172*EFEITO!$Z$172</f>
        <v>27455.199645238557</v>
      </c>
      <c r="L172" s="76">
        <f>EFEITO!$N$172*EFEITO!$AA$172</f>
        <v>97636.922334933348</v>
      </c>
      <c r="M172" s="76">
        <f ca="1">$J$172-EFEITO!$K$172*EFEITO!$Y$172</f>
        <v>0</v>
      </c>
      <c r="N172" s="76">
        <f ca="1">$K$172-EFEITO!$M$172*EFEITO!$Z$172</f>
        <v>0</v>
      </c>
      <c r="O172" s="76">
        <f>$L$172-EFEITO!$O$172*EFEITO!$AA$172</f>
        <v>0</v>
      </c>
      <c r="P172" s="57"/>
      <c r="Q172" s="57"/>
      <c r="R172" s="57"/>
      <c r="S172" s="57"/>
      <c r="T172" s="57"/>
      <c r="U172" s="57"/>
      <c r="V172" s="57"/>
      <c r="W172" s="57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1.25" customHeight="1" x14ac:dyDescent="0.2">
      <c r="A173" s="53" t="s">
        <v>28</v>
      </c>
      <c r="B173" s="53" t="s">
        <v>41</v>
      </c>
      <c r="C173" s="53" t="s">
        <v>42</v>
      </c>
      <c r="D173" s="53" t="s">
        <v>40</v>
      </c>
      <c r="E173" s="53" t="s">
        <v>25</v>
      </c>
      <c r="F173" s="53" t="s">
        <v>25</v>
      </c>
      <c r="G173" s="53" t="s">
        <v>25</v>
      </c>
      <c r="H173" s="53" t="s">
        <v>36</v>
      </c>
      <c r="I173" s="75">
        <v>44621</v>
      </c>
      <c r="J173" s="76">
        <f ca="1">EFEITO!$J$173*EFEITO!$Y$173</f>
        <v>1634.3876453142602</v>
      </c>
      <c r="K173" s="76">
        <f ca="1">EFEITO!$L$173*EFEITO!$Z$173</f>
        <v>23.178016856899134</v>
      </c>
      <c r="L173" s="76">
        <f>EFEITO!$N$173*EFEITO!$AA$173</f>
        <v>82.426289408800741</v>
      </c>
      <c r="M173" s="76">
        <f ca="1">$J$173-EFEITO!$K$173*EFEITO!$Y$173</f>
        <v>0</v>
      </c>
      <c r="N173" s="76">
        <f ca="1">$K$173-EFEITO!$M$173*EFEITO!$Z$173</f>
        <v>0</v>
      </c>
      <c r="O173" s="76">
        <f>$L$173-EFEITO!$O$173*EFEITO!$AA$173</f>
        <v>0</v>
      </c>
      <c r="P173" s="57"/>
      <c r="Q173" s="57"/>
      <c r="R173" s="57"/>
      <c r="S173" s="57"/>
      <c r="T173" s="57"/>
      <c r="U173" s="57"/>
      <c r="V173" s="57"/>
      <c r="W173" s="57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1.25" customHeight="1" x14ac:dyDescent="0.2">
      <c r="A174" s="53" t="s">
        <v>21</v>
      </c>
      <c r="B174" s="53" t="s">
        <v>41</v>
      </c>
      <c r="C174" s="53" t="s">
        <v>42</v>
      </c>
      <c r="D174" s="53" t="s">
        <v>40</v>
      </c>
      <c r="E174" s="53" t="s">
        <v>25</v>
      </c>
      <c r="F174" s="53" t="s">
        <v>25</v>
      </c>
      <c r="G174" s="53" t="s">
        <v>25</v>
      </c>
      <c r="H174" s="53" t="s">
        <v>36</v>
      </c>
      <c r="I174" s="75">
        <v>44621</v>
      </c>
      <c r="J174" s="76">
        <f ca="1">EFEITO!$J$174*EFEITO!$Y$174</f>
        <v>643948.73225381854</v>
      </c>
      <c r="K174" s="76">
        <f ca="1">EFEITO!$L$174*EFEITO!$Z$174</f>
        <v>0</v>
      </c>
      <c r="L174" s="76">
        <f>EFEITO!$N$174*EFEITO!$AA$174</f>
        <v>0</v>
      </c>
      <c r="M174" s="76">
        <f ca="1">$J$174-EFEITO!$K$174*EFEITO!$Y$174</f>
        <v>0</v>
      </c>
      <c r="N174" s="76">
        <f ca="1">$K$174-EFEITO!$M$174*EFEITO!$Z$174</f>
        <v>0</v>
      </c>
      <c r="O174" s="76">
        <f>$L$174-EFEITO!$O$174*EFEITO!$AA$174</f>
        <v>0</v>
      </c>
      <c r="P174" s="57"/>
      <c r="Q174" s="57"/>
      <c r="R174" s="57"/>
      <c r="S174" s="57"/>
      <c r="T174" s="57"/>
      <c r="U174" s="57"/>
      <c r="V174" s="57"/>
      <c r="W174" s="57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1.25" customHeight="1" x14ac:dyDescent="0.2">
      <c r="A175" s="53" t="s">
        <v>56</v>
      </c>
      <c r="B175" s="53" t="s">
        <v>41</v>
      </c>
      <c r="C175" s="53" t="s">
        <v>42</v>
      </c>
      <c r="D175" s="53" t="s">
        <v>40</v>
      </c>
      <c r="E175" s="53" t="s">
        <v>25</v>
      </c>
      <c r="F175" s="53" t="s">
        <v>25</v>
      </c>
      <c r="G175" s="53" t="s">
        <v>25</v>
      </c>
      <c r="H175" s="53" t="s">
        <v>36</v>
      </c>
      <c r="I175" s="75">
        <v>44652</v>
      </c>
      <c r="J175" s="76">
        <f ca="1">EFEITO!$J$175*EFEITO!$Y$175</f>
        <v>140459.27423830752</v>
      </c>
      <c r="K175" s="76">
        <f ca="1">EFEITO!$L$175*EFEITO!$Z$175</f>
        <v>27455.199645238557</v>
      </c>
      <c r="L175" s="76">
        <f>EFEITO!$N$175*EFEITO!$AA$175</f>
        <v>97636.922334933348</v>
      </c>
      <c r="M175" s="76">
        <f ca="1">$J$175-EFEITO!$K$175*EFEITO!$Y$175</f>
        <v>0</v>
      </c>
      <c r="N175" s="76">
        <f ca="1">$K$175-EFEITO!$M$175*EFEITO!$Z$175</f>
        <v>0</v>
      </c>
      <c r="O175" s="76">
        <f>$L$175-EFEITO!$O$175*EFEITO!$AA$175</f>
        <v>0</v>
      </c>
      <c r="P175" s="57"/>
      <c r="Q175" s="57"/>
      <c r="R175" s="57"/>
      <c r="S175" s="57"/>
      <c r="T175" s="57"/>
      <c r="U175" s="57"/>
      <c r="V175" s="57"/>
      <c r="W175" s="57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1.25" customHeight="1" x14ac:dyDescent="0.2">
      <c r="A176" s="53" t="s">
        <v>56</v>
      </c>
      <c r="B176" s="53" t="s">
        <v>41</v>
      </c>
      <c r="C176" s="53" t="s">
        <v>42</v>
      </c>
      <c r="D176" s="53" t="s">
        <v>40</v>
      </c>
      <c r="E176" s="53" t="s">
        <v>25</v>
      </c>
      <c r="F176" s="53" t="s">
        <v>25</v>
      </c>
      <c r="G176" s="53" t="s">
        <v>25</v>
      </c>
      <c r="H176" s="53" t="s">
        <v>36</v>
      </c>
      <c r="I176" s="75">
        <v>44652</v>
      </c>
      <c r="J176" s="76">
        <f ca="1">EFEITO!$J$176*EFEITO!$Y$176</f>
        <v>1634.3876453142602</v>
      </c>
      <c r="K176" s="76">
        <f ca="1">EFEITO!$L$176*EFEITO!$Z$176</f>
        <v>23.178016856899134</v>
      </c>
      <c r="L176" s="76">
        <f>EFEITO!$N$176*EFEITO!$AA$176</f>
        <v>82.426289408800741</v>
      </c>
      <c r="M176" s="76">
        <f ca="1">$J$176-EFEITO!$K$176*EFEITO!$Y$176</f>
        <v>0</v>
      </c>
      <c r="N176" s="76">
        <f ca="1">$K$176-EFEITO!$M$176*EFEITO!$Z$176</f>
        <v>0</v>
      </c>
      <c r="O176" s="76">
        <f>$L$176-EFEITO!$O$176*EFEITO!$AA$176</f>
        <v>0</v>
      </c>
      <c r="P176" s="57"/>
      <c r="Q176" s="57"/>
      <c r="R176" s="57"/>
      <c r="S176" s="57"/>
      <c r="T176" s="57"/>
      <c r="U176" s="57"/>
      <c r="V176" s="57"/>
      <c r="W176" s="57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1.25" customHeight="1" x14ac:dyDescent="0.2">
      <c r="A177" s="53" t="s">
        <v>56</v>
      </c>
      <c r="B177" s="53" t="s">
        <v>41</v>
      </c>
      <c r="C177" s="53" t="s">
        <v>42</v>
      </c>
      <c r="D177" s="53" t="s">
        <v>40</v>
      </c>
      <c r="E177" s="53" t="s">
        <v>25</v>
      </c>
      <c r="F177" s="53" t="s">
        <v>25</v>
      </c>
      <c r="G177" s="53" t="s">
        <v>25</v>
      </c>
      <c r="H177" s="53" t="s">
        <v>36</v>
      </c>
      <c r="I177" s="75">
        <v>44652</v>
      </c>
      <c r="J177" s="76">
        <f ca="1">EFEITO!$J$177*EFEITO!$Y$177</f>
        <v>643948.73225381854</v>
      </c>
      <c r="K177" s="76">
        <f ca="1">EFEITO!$L$177*EFEITO!$Z$177</f>
        <v>0</v>
      </c>
      <c r="L177" s="76">
        <f>EFEITO!$N$177*EFEITO!$AA$177</f>
        <v>0</v>
      </c>
      <c r="M177" s="76">
        <f ca="1">$J$177-EFEITO!$K$177*EFEITO!$Y$177</f>
        <v>0</v>
      </c>
      <c r="N177" s="76">
        <f ca="1">$K$177-EFEITO!$M$177*EFEITO!$Z$177</f>
        <v>0</v>
      </c>
      <c r="O177" s="76">
        <f>$L$177-EFEITO!$O$177*EFEITO!$AA$177</f>
        <v>0</v>
      </c>
      <c r="P177" s="57"/>
      <c r="Q177" s="57"/>
      <c r="R177" s="57"/>
      <c r="S177" s="57"/>
      <c r="T177" s="57"/>
      <c r="U177" s="57"/>
      <c r="V177" s="57"/>
      <c r="W177" s="57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1.25" customHeight="1" x14ac:dyDescent="0.2">
      <c r="A178" s="53" t="s">
        <v>21</v>
      </c>
      <c r="B178" s="53" t="s">
        <v>41</v>
      </c>
      <c r="C178" s="53" t="s">
        <v>42</v>
      </c>
      <c r="D178" s="53" t="s">
        <v>40</v>
      </c>
      <c r="E178" s="53" t="s">
        <v>25</v>
      </c>
      <c r="F178" s="53" t="s">
        <v>25</v>
      </c>
      <c r="G178" s="53" t="s">
        <v>25</v>
      </c>
      <c r="H178" s="53" t="s">
        <v>25</v>
      </c>
      <c r="I178" s="75">
        <v>44317</v>
      </c>
      <c r="J178" s="76">
        <f>EFEITO!$J$178*EFEITO!$Y$178</f>
        <v>0</v>
      </c>
      <c r="K178" s="76">
        <f ca="1">EFEITO!$L$178*EFEITO!$Z$178</f>
        <v>2239787.8356625568</v>
      </c>
      <c r="L178" s="76">
        <f>EFEITO!$N$178*EFEITO!$AA$178</f>
        <v>0</v>
      </c>
      <c r="M178" s="76">
        <f>$J$178-EFEITO!$K$178*EFEITO!$Y$178</f>
        <v>0</v>
      </c>
      <c r="N178" s="76">
        <f ca="1">$K$178-EFEITO!$M$178*EFEITO!$Z$178</f>
        <v>0</v>
      </c>
      <c r="O178" s="76">
        <f>$L$178-EFEITO!$O$178*EFEITO!$AA$178</f>
        <v>0</v>
      </c>
      <c r="P178" s="57"/>
      <c r="Q178" s="57"/>
      <c r="R178" s="57"/>
      <c r="S178" s="57"/>
      <c r="T178" s="57"/>
      <c r="U178" s="57"/>
      <c r="V178" s="57"/>
      <c r="W178" s="57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1.25" customHeight="1" x14ac:dyDescent="0.2">
      <c r="A179" s="53" t="s">
        <v>21</v>
      </c>
      <c r="B179" s="53" t="s">
        <v>41</v>
      </c>
      <c r="C179" s="53" t="s">
        <v>42</v>
      </c>
      <c r="D179" s="53" t="s">
        <v>40</v>
      </c>
      <c r="E179" s="53" t="s">
        <v>25</v>
      </c>
      <c r="F179" s="53" t="s">
        <v>25</v>
      </c>
      <c r="G179" s="53" t="s">
        <v>25</v>
      </c>
      <c r="H179" s="53" t="s">
        <v>25</v>
      </c>
      <c r="I179" s="75">
        <v>44348</v>
      </c>
      <c r="J179" s="76">
        <f>EFEITO!$J$179*EFEITO!$Y$179</f>
        <v>0</v>
      </c>
      <c r="K179" s="76">
        <f ca="1">EFEITO!$L$179*EFEITO!$Z$179</f>
        <v>1798082.081116335</v>
      </c>
      <c r="L179" s="76">
        <f>EFEITO!$N$179*EFEITO!$AA$179</f>
        <v>0</v>
      </c>
      <c r="M179" s="76">
        <f>$J$179-EFEITO!$K$179*EFEITO!$Y$179</f>
        <v>0</v>
      </c>
      <c r="N179" s="76">
        <f ca="1">$K$179-EFEITO!$M$179*EFEITO!$Z$179</f>
        <v>0</v>
      </c>
      <c r="O179" s="76">
        <f>$L$179-EFEITO!$O$179*EFEITO!$AA$179</f>
        <v>0</v>
      </c>
      <c r="P179" s="57"/>
      <c r="Q179" s="57"/>
      <c r="R179" s="57"/>
      <c r="S179" s="57"/>
      <c r="T179" s="57"/>
      <c r="U179" s="57"/>
      <c r="V179" s="57"/>
      <c r="W179" s="57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1.25" customHeight="1" x14ac:dyDescent="0.2">
      <c r="A180" s="53" t="s">
        <v>21</v>
      </c>
      <c r="B180" s="53" t="s">
        <v>41</v>
      </c>
      <c r="C180" s="53" t="s">
        <v>42</v>
      </c>
      <c r="D180" s="53" t="s">
        <v>40</v>
      </c>
      <c r="E180" s="53" t="s">
        <v>25</v>
      </c>
      <c r="F180" s="53" t="s">
        <v>25</v>
      </c>
      <c r="G180" s="53" t="s">
        <v>25</v>
      </c>
      <c r="H180" s="53" t="s">
        <v>25</v>
      </c>
      <c r="I180" s="75">
        <v>44378</v>
      </c>
      <c r="J180" s="76">
        <f>EFEITO!$J$180*EFEITO!$Y$180</f>
        <v>0</v>
      </c>
      <c r="K180" s="76">
        <f ca="1">EFEITO!$L$180*EFEITO!$Z$180</f>
        <v>1626302.6313030643</v>
      </c>
      <c r="L180" s="76">
        <f>EFEITO!$N$180*EFEITO!$AA$180</f>
        <v>0</v>
      </c>
      <c r="M180" s="76">
        <f>$J$180-EFEITO!$K$180*EFEITO!$Y$180</f>
        <v>0</v>
      </c>
      <c r="N180" s="76">
        <f ca="1">$K$180-EFEITO!$M$180*EFEITO!$Z$180</f>
        <v>0</v>
      </c>
      <c r="O180" s="76">
        <f>$L$180-EFEITO!$O$180*EFEITO!$AA$180</f>
        <v>0</v>
      </c>
      <c r="P180" s="57"/>
      <c r="Q180" s="57"/>
      <c r="R180" s="57"/>
      <c r="S180" s="57"/>
      <c r="T180" s="57"/>
      <c r="U180" s="57"/>
      <c r="V180" s="57"/>
      <c r="W180" s="57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1.25" customHeight="1" x14ac:dyDescent="0.2">
      <c r="A181" s="53" t="s">
        <v>21</v>
      </c>
      <c r="B181" s="53" t="s">
        <v>41</v>
      </c>
      <c r="C181" s="53" t="s">
        <v>42</v>
      </c>
      <c r="D181" s="53" t="s">
        <v>40</v>
      </c>
      <c r="E181" s="53" t="s">
        <v>25</v>
      </c>
      <c r="F181" s="53" t="s">
        <v>25</v>
      </c>
      <c r="G181" s="53" t="s">
        <v>25</v>
      </c>
      <c r="H181" s="53" t="s">
        <v>25</v>
      </c>
      <c r="I181" s="75">
        <v>44409</v>
      </c>
      <c r="J181" s="76">
        <f>EFEITO!$J$181*EFEITO!$Y$181</f>
        <v>0</v>
      </c>
      <c r="K181" s="76">
        <f ca="1">EFEITO!$L$181*EFEITO!$Z$181</f>
        <v>1964900.139183129</v>
      </c>
      <c r="L181" s="76">
        <f>EFEITO!$N$181*EFEITO!$AA$181</f>
        <v>0</v>
      </c>
      <c r="M181" s="76">
        <f>$J$181-EFEITO!$K$181*EFEITO!$Y$181</f>
        <v>0</v>
      </c>
      <c r="N181" s="76">
        <f ca="1">$K$181-EFEITO!$M$181*EFEITO!$Z$181</f>
        <v>0</v>
      </c>
      <c r="O181" s="76">
        <f>$L$181-EFEITO!$O$181*EFEITO!$AA$181</f>
        <v>0</v>
      </c>
      <c r="P181" s="57"/>
      <c r="Q181" s="57"/>
      <c r="R181" s="57"/>
      <c r="S181" s="57"/>
      <c r="T181" s="57"/>
      <c r="U181" s="57"/>
      <c r="V181" s="57"/>
      <c r="W181" s="57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1.25" customHeight="1" x14ac:dyDescent="0.2">
      <c r="A182" s="53" t="s">
        <v>21</v>
      </c>
      <c r="B182" s="53" t="s">
        <v>41</v>
      </c>
      <c r="C182" s="53" t="s">
        <v>42</v>
      </c>
      <c r="D182" s="53" t="s">
        <v>40</v>
      </c>
      <c r="E182" s="53" t="s">
        <v>25</v>
      </c>
      <c r="F182" s="53" t="s">
        <v>25</v>
      </c>
      <c r="G182" s="53" t="s">
        <v>25</v>
      </c>
      <c r="H182" s="53" t="s">
        <v>25</v>
      </c>
      <c r="I182" s="75">
        <v>44440</v>
      </c>
      <c r="J182" s="76">
        <f>EFEITO!$J$182*EFEITO!$Y$182</f>
        <v>0</v>
      </c>
      <c r="K182" s="76">
        <f ca="1">EFEITO!$L$182*EFEITO!$Z$182</f>
        <v>2170990.3733183546</v>
      </c>
      <c r="L182" s="76">
        <f>EFEITO!$N$182*EFEITO!$AA$182</f>
        <v>0</v>
      </c>
      <c r="M182" s="76">
        <f>$J$182-EFEITO!$K$182*EFEITO!$Y$182</f>
        <v>0</v>
      </c>
      <c r="N182" s="76">
        <f ca="1">$K$182-EFEITO!$M$182*EFEITO!$Z$182</f>
        <v>0</v>
      </c>
      <c r="O182" s="76">
        <f>$L$182-EFEITO!$O$182*EFEITO!$AA$182</f>
        <v>0</v>
      </c>
      <c r="P182" s="57"/>
      <c r="Q182" s="57"/>
      <c r="R182" s="57"/>
      <c r="S182" s="57"/>
      <c r="T182" s="57"/>
      <c r="U182" s="57"/>
      <c r="V182" s="57"/>
      <c r="W182" s="57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1.25" customHeight="1" x14ac:dyDescent="0.2">
      <c r="A183" s="53" t="s">
        <v>21</v>
      </c>
      <c r="B183" s="53" t="s">
        <v>41</v>
      </c>
      <c r="C183" s="53" t="s">
        <v>42</v>
      </c>
      <c r="D183" s="53" t="s">
        <v>40</v>
      </c>
      <c r="E183" s="53" t="s">
        <v>25</v>
      </c>
      <c r="F183" s="53" t="s">
        <v>25</v>
      </c>
      <c r="G183" s="53" t="s">
        <v>25</v>
      </c>
      <c r="H183" s="53" t="s">
        <v>25</v>
      </c>
      <c r="I183" s="75">
        <v>44470</v>
      </c>
      <c r="J183" s="76">
        <f>EFEITO!$J$183*EFEITO!$Y$183</f>
        <v>0</v>
      </c>
      <c r="K183" s="76">
        <f ca="1">EFEITO!$L$183*EFEITO!$Z$183</f>
        <v>2065697.5985634348</v>
      </c>
      <c r="L183" s="76">
        <f>EFEITO!$N$183*EFEITO!$AA$183</f>
        <v>0</v>
      </c>
      <c r="M183" s="76">
        <f>$J$183-EFEITO!$K$183*EFEITO!$Y$183</f>
        <v>0</v>
      </c>
      <c r="N183" s="76">
        <f ca="1">$K$183-EFEITO!$M$183*EFEITO!$Z$183</f>
        <v>0</v>
      </c>
      <c r="O183" s="76">
        <f>$L$183-EFEITO!$O$183*EFEITO!$AA$183</f>
        <v>0</v>
      </c>
      <c r="P183" s="57"/>
      <c r="Q183" s="57"/>
      <c r="R183" s="57"/>
      <c r="S183" s="57"/>
      <c r="T183" s="57"/>
      <c r="U183" s="57"/>
      <c r="V183" s="57"/>
      <c r="W183" s="57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1.25" customHeight="1" x14ac:dyDescent="0.2">
      <c r="A184" s="53" t="s">
        <v>21</v>
      </c>
      <c r="B184" s="53" t="s">
        <v>41</v>
      </c>
      <c r="C184" s="53" t="s">
        <v>42</v>
      </c>
      <c r="D184" s="53" t="s">
        <v>40</v>
      </c>
      <c r="E184" s="53" t="s">
        <v>25</v>
      </c>
      <c r="F184" s="53" t="s">
        <v>25</v>
      </c>
      <c r="G184" s="53" t="s">
        <v>25</v>
      </c>
      <c r="H184" s="53" t="s">
        <v>25</v>
      </c>
      <c r="I184" s="75">
        <v>44501</v>
      </c>
      <c r="J184" s="76">
        <f>EFEITO!$J$184*EFEITO!$Y$184</f>
        <v>0</v>
      </c>
      <c r="K184" s="76">
        <f ca="1">EFEITO!$L$184*EFEITO!$Z$184</f>
        <v>2031515.5894732932</v>
      </c>
      <c r="L184" s="76">
        <f>EFEITO!$N$184*EFEITO!$AA$184</f>
        <v>0</v>
      </c>
      <c r="M184" s="76">
        <f>$J$184-EFEITO!$K$184*EFEITO!$Y$184</f>
        <v>0</v>
      </c>
      <c r="N184" s="76">
        <f ca="1">$K$184-EFEITO!$M$184*EFEITO!$Z$184</f>
        <v>0</v>
      </c>
      <c r="O184" s="76">
        <f>$L$184-EFEITO!$O$184*EFEITO!$AA$184</f>
        <v>0</v>
      </c>
      <c r="P184" s="57"/>
      <c r="Q184" s="57"/>
      <c r="R184" s="57"/>
      <c r="S184" s="57"/>
      <c r="T184" s="57"/>
      <c r="U184" s="57"/>
      <c r="V184" s="57"/>
      <c r="W184" s="57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1.25" customHeight="1" x14ac:dyDescent="0.2">
      <c r="A185" s="53" t="s">
        <v>21</v>
      </c>
      <c r="B185" s="53" t="s">
        <v>41</v>
      </c>
      <c r="C185" s="53" t="s">
        <v>42</v>
      </c>
      <c r="D185" s="53" t="s">
        <v>40</v>
      </c>
      <c r="E185" s="53" t="s">
        <v>25</v>
      </c>
      <c r="F185" s="53" t="s">
        <v>25</v>
      </c>
      <c r="G185" s="53" t="s">
        <v>25</v>
      </c>
      <c r="H185" s="53" t="s">
        <v>25</v>
      </c>
      <c r="I185" s="75">
        <v>44531</v>
      </c>
      <c r="J185" s="76">
        <f>EFEITO!$J$185*EFEITO!$Y$185</f>
        <v>0</v>
      </c>
      <c r="K185" s="76">
        <f ca="1">EFEITO!$L$185*EFEITO!$Z$185</f>
        <v>2000504.5465709094</v>
      </c>
      <c r="L185" s="76">
        <f>EFEITO!$N$185*EFEITO!$AA$185</f>
        <v>0</v>
      </c>
      <c r="M185" s="76">
        <f>$J$185-EFEITO!$K$185*EFEITO!$Y$185</f>
        <v>0</v>
      </c>
      <c r="N185" s="76">
        <f ca="1">$K$185-EFEITO!$M$185*EFEITO!$Z$185</f>
        <v>0</v>
      </c>
      <c r="O185" s="76">
        <f>$L$185-EFEITO!$O$185*EFEITO!$AA$185</f>
        <v>0</v>
      </c>
      <c r="P185" s="57"/>
      <c r="Q185" s="57"/>
      <c r="R185" s="57"/>
      <c r="S185" s="57"/>
      <c r="T185" s="57"/>
      <c r="U185" s="57"/>
      <c r="V185" s="57"/>
      <c r="W185" s="57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1.25" customHeight="1" x14ac:dyDescent="0.2">
      <c r="A186" s="53" t="s">
        <v>21</v>
      </c>
      <c r="B186" s="53" t="s">
        <v>41</v>
      </c>
      <c r="C186" s="53" t="s">
        <v>42</v>
      </c>
      <c r="D186" s="53" t="s">
        <v>40</v>
      </c>
      <c r="E186" s="53" t="s">
        <v>25</v>
      </c>
      <c r="F186" s="53" t="s">
        <v>25</v>
      </c>
      <c r="G186" s="53" t="s">
        <v>25</v>
      </c>
      <c r="H186" s="53" t="s">
        <v>25</v>
      </c>
      <c r="I186" s="75">
        <v>44562</v>
      </c>
      <c r="J186" s="76">
        <f>EFEITO!$J$186*EFEITO!$Y$186</f>
        <v>0</v>
      </c>
      <c r="K186" s="76">
        <f ca="1">EFEITO!$L$186*EFEITO!$Z$186</f>
        <v>2239424.0017926851</v>
      </c>
      <c r="L186" s="76">
        <f>EFEITO!$N$186*EFEITO!$AA$186</f>
        <v>0</v>
      </c>
      <c r="M186" s="76">
        <f>$J$186-EFEITO!$K$186*EFEITO!$Y$186</f>
        <v>0</v>
      </c>
      <c r="N186" s="76">
        <f ca="1">$K$186-EFEITO!$M$186*EFEITO!$Z$186</f>
        <v>0</v>
      </c>
      <c r="O186" s="76">
        <f>$L$186-EFEITO!$O$186*EFEITO!$AA$186</f>
        <v>0</v>
      </c>
      <c r="P186" s="57"/>
      <c r="Q186" s="57"/>
      <c r="R186" s="57"/>
      <c r="S186" s="57"/>
      <c r="T186" s="57"/>
      <c r="U186" s="57"/>
      <c r="V186" s="57"/>
      <c r="W186" s="57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1.25" customHeight="1" x14ac:dyDescent="0.2">
      <c r="A187" s="53" t="s">
        <v>21</v>
      </c>
      <c r="B187" s="53" t="s">
        <v>41</v>
      </c>
      <c r="C187" s="53" t="s">
        <v>42</v>
      </c>
      <c r="D187" s="53" t="s">
        <v>40</v>
      </c>
      <c r="E187" s="53" t="s">
        <v>25</v>
      </c>
      <c r="F187" s="53" t="s">
        <v>25</v>
      </c>
      <c r="G187" s="53" t="s">
        <v>25</v>
      </c>
      <c r="H187" s="53" t="s">
        <v>25</v>
      </c>
      <c r="I187" s="75">
        <v>44593</v>
      </c>
      <c r="J187" s="76">
        <f>EFEITO!$J$187*EFEITO!$Y$187</f>
        <v>0</v>
      </c>
      <c r="K187" s="76">
        <f ca="1">EFEITO!$L$187*EFEITO!$Z$187</f>
        <v>1234996.025786116</v>
      </c>
      <c r="L187" s="76">
        <f>EFEITO!$N$187*EFEITO!$AA$187</f>
        <v>0</v>
      </c>
      <c r="M187" s="76">
        <f>$J$187-EFEITO!$K$187*EFEITO!$Y$187</f>
        <v>0</v>
      </c>
      <c r="N187" s="76">
        <f ca="1">$K$187-EFEITO!$M$187*EFEITO!$Z$187</f>
        <v>0</v>
      </c>
      <c r="O187" s="76">
        <f>$L$187-EFEITO!$O$187*EFEITO!$AA$187</f>
        <v>0</v>
      </c>
      <c r="P187" s="57"/>
      <c r="Q187" s="57"/>
      <c r="R187" s="57"/>
      <c r="S187" s="57"/>
      <c r="T187" s="57"/>
      <c r="U187" s="57"/>
      <c r="V187" s="57"/>
      <c r="W187" s="57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1.25" customHeight="1" x14ac:dyDescent="0.2">
      <c r="A188" s="53" t="s">
        <v>21</v>
      </c>
      <c r="B188" s="53" t="s">
        <v>41</v>
      </c>
      <c r="C188" s="53" t="s">
        <v>42</v>
      </c>
      <c r="D188" s="53" t="s">
        <v>40</v>
      </c>
      <c r="E188" s="53" t="s">
        <v>25</v>
      </c>
      <c r="F188" s="53" t="s">
        <v>25</v>
      </c>
      <c r="G188" s="53" t="s">
        <v>25</v>
      </c>
      <c r="H188" s="53" t="s">
        <v>25</v>
      </c>
      <c r="I188" s="75">
        <v>44621</v>
      </c>
      <c r="J188" s="76">
        <f>EFEITO!$J$188*EFEITO!$Y$188</f>
        <v>0</v>
      </c>
      <c r="K188" s="76">
        <f ca="1">EFEITO!$L$188*EFEITO!$Z$188</f>
        <v>1880565.8574406304</v>
      </c>
      <c r="L188" s="76">
        <f>EFEITO!$N$188*EFEITO!$AA$188</f>
        <v>0</v>
      </c>
      <c r="M188" s="76">
        <f>$J$188-EFEITO!$K$188*EFEITO!$Y$188</f>
        <v>0</v>
      </c>
      <c r="N188" s="76">
        <f ca="1">$K$188-EFEITO!$M$188*EFEITO!$Z$188</f>
        <v>0</v>
      </c>
      <c r="O188" s="76">
        <f>$L$188-EFEITO!$O$188*EFEITO!$AA$188</f>
        <v>0</v>
      </c>
      <c r="P188" s="57"/>
      <c r="Q188" s="57"/>
      <c r="R188" s="57"/>
      <c r="S188" s="57"/>
      <c r="T188" s="57"/>
      <c r="U188" s="57"/>
      <c r="V188" s="57"/>
      <c r="W188" s="57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1.25" customHeight="1" x14ac:dyDescent="0.2">
      <c r="A189" s="53" t="s">
        <v>56</v>
      </c>
      <c r="B189" s="53" t="s">
        <v>41</v>
      </c>
      <c r="C189" s="53" t="s">
        <v>42</v>
      </c>
      <c r="D189" s="53" t="s">
        <v>40</v>
      </c>
      <c r="E189" s="53" t="s">
        <v>25</v>
      </c>
      <c r="F189" s="53" t="s">
        <v>25</v>
      </c>
      <c r="G189" s="53" t="s">
        <v>25</v>
      </c>
      <c r="H189" s="53" t="s">
        <v>25</v>
      </c>
      <c r="I189" s="75">
        <v>44652</v>
      </c>
      <c r="J189" s="76">
        <f>EFEITO!$J$189*EFEITO!$Y$189</f>
        <v>0</v>
      </c>
      <c r="K189" s="76">
        <f ca="1">EFEITO!$L$189*EFEITO!$Z$189</f>
        <v>1880565.8574406304</v>
      </c>
      <c r="L189" s="76">
        <f>EFEITO!$N$189*EFEITO!$AA$189</f>
        <v>0</v>
      </c>
      <c r="M189" s="76">
        <f>$J$189-EFEITO!$K$189*EFEITO!$Y$189</f>
        <v>0</v>
      </c>
      <c r="N189" s="76">
        <f ca="1">$K$189-EFEITO!$M$189*EFEITO!$Z$189</f>
        <v>0</v>
      </c>
      <c r="O189" s="76">
        <f>$L$189-EFEITO!$O$189*EFEITO!$AA$189</f>
        <v>0</v>
      </c>
      <c r="P189" s="57"/>
      <c r="Q189" s="57"/>
      <c r="R189" s="57"/>
      <c r="S189" s="57"/>
      <c r="T189" s="57"/>
      <c r="U189" s="57"/>
      <c r="V189" s="57"/>
      <c r="W189" s="57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1.25" customHeight="1" x14ac:dyDescent="0.2">
      <c r="A190" s="53" t="s">
        <v>21</v>
      </c>
      <c r="B190" s="53" t="s">
        <v>41</v>
      </c>
      <c r="C190" s="53" t="s">
        <v>42</v>
      </c>
      <c r="D190" s="53" t="s">
        <v>40</v>
      </c>
      <c r="E190" s="53" t="s">
        <v>25</v>
      </c>
      <c r="F190" s="53" t="s">
        <v>25</v>
      </c>
      <c r="G190" s="53" t="s">
        <v>25</v>
      </c>
      <c r="H190" s="53" t="s">
        <v>35</v>
      </c>
      <c r="I190" s="75">
        <v>44317</v>
      </c>
      <c r="J190" s="76">
        <f ca="1">EFEITO!$J$190*EFEITO!$Y$190</f>
        <v>101023.1938969538</v>
      </c>
      <c r="K190" s="76">
        <f ca="1">EFEITO!$L$190*EFEITO!$Z$190</f>
        <v>3869.7376499076172</v>
      </c>
      <c r="L190" s="76">
        <f>EFEITO!$N$190*EFEITO!$AA$190</f>
        <v>21514.868129122799</v>
      </c>
      <c r="M190" s="76">
        <f ca="1">$J$190-EFEITO!$K$190*EFEITO!$Y$190</f>
        <v>0</v>
      </c>
      <c r="N190" s="76">
        <f ca="1">$K$190-EFEITO!$M$190*EFEITO!$Z$190</f>
        <v>0</v>
      </c>
      <c r="O190" s="76">
        <f>$L$190-EFEITO!$O$190*EFEITO!$AA$190</f>
        <v>0</v>
      </c>
      <c r="P190" s="57"/>
      <c r="Q190" s="57"/>
      <c r="R190" s="57"/>
      <c r="S190" s="57"/>
      <c r="T190" s="57"/>
      <c r="U190" s="57"/>
      <c r="V190" s="57"/>
      <c r="W190" s="57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1.25" customHeight="1" x14ac:dyDescent="0.2">
      <c r="A191" s="53" t="s">
        <v>28</v>
      </c>
      <c r="B191" s="53" t="s">
        <v>41</v>
      </c>
      <c r="C191" s="53" t="s">
        <v>42</v>
      </c>
      <c r="D191" s="53" t="s">
        <v>40</v>
      </c>
      <c r="E191" s="53" t="s">
        <v>25</v>
      </c>
      <c r="F191" s="53" t="s">
        <v>25</v>
      </c>
      <c r="G191" s="53" t="s">
        <v>25</v>
      </c>
      <c r="H191" s="53" t="s">
        <v>35</v>
      </c>
      <c r="I191" s="75">
        <v>44317</v>
      </c>
      <c r="J191" s="76">
        <f ca="1">EFEITO!$J$191*EFEITO!$Y$191</f>
        <v>3033.7295464550693</v>
      </c>
      <c r="K191" s="76">
        <f ca="1">EFEITO!$L$191*EFEITO!$Z$191</f>
        <v>142.6515445370338</v>
      </c>
      <c r="L191" s="76">
        <f>EFEITO!$N$191*EFEITO!$AA$191</f>
        <v>793.11039837629312</v>
      </c>
      <c r="M191" s="76">
        <f ca="1">$J$191-EFEITO!$K$191*EFEITO!$Y$191</f>
        <v>0</v>
      </c>
      <c r="N191" s="76">
        <f ca="1">$K$191-EFEITO!$M$191*EFEITO!$Z$191</f>
        <v>0</v>
      </c>
      <c r="O191" s="76">
        <f>$L$191-EFEITO!$O$191*EFEITO!$AA$191</f>
        <v>0</v>
      </c>
      <c r="P191" s="57"/>
      <c r="Q191" s="57"/>
      <c r="R191" s="57"/>
      <c r="S191" s="57"/>
      <c r="T191" s="57"/>
      <c r="U191" s="57"/>
      <c r="V191" s="57"/>
      <c r="W191" s="57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1.25" customHeight="1" x14ac:dyDescent="0.2">
      <c r="A192" s="53" t="s">
        <v>21</v>
      </c>
      <c r="B192" s="53" t="s">
        <v>41</v>
      </c>
      <c r="C192" s="53" t="s">
        <v>42</v>
      </c>
      <c r="D192" s="53" t="s">
        <v>40</v>
      </c>
      <c r="E192" s="53" t="s">
        <v>25</v>
      </c>
      <c r="F192" s="53" t="s">
        <v>25</v>
      </c>
      <c r="G192" s="53" t="s">
        <v>25</v>
      </c>
      <c r="H192" s="53" t="s">
        <v>35</v>
      </c>
      <c r="I192" s="75">
        <v>44317</v>
      </c>
      <c r="J192" s="76">
        <f ca="1">EFEITO!$J$192*EFEITO!$Y$192</f>
        <v>1359778.2573120911</v>
      </c>
      <c r="K192" s="76">
        <f ca="1">EFEITO!$L$192*EFEITO!$Z$192</f>
        <v>0</v>
      </c>
      <c r="L192" s="76">
        <f>EFEITO!$N$192*EFEITO!$AA$192</f>
        <v>0</v>
      </c>
      <c r="M192" s="76">
        <f ca="1">$J$192-EFEITO!$K$192*EFEITO!$Y$192</f>
        <v>0</v>
      </c>
      <c r="N192" s="76">
        <f ca="1">$K$192-EFEITO!$M$192*EFEITO!$Z$192</f>
        <v>0</v>
      </c>
      <c r="O192" s="76">
        <f>$L$192-EFEITO!$O$192*EFEITO!$AA$192</f>
        <v>0</v>
      </c>
      <c r="P192" s="57"/>
      <c r="Q192" s="57"/>
      <c r="R192" s="57"/>
      <c r="S192" s="57"/>
      <c r="T192" s="57"/>
      <c r="U192" s="57"/>
      <c r="V192" s="57"/>
      <c r="W192" s="57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1.25" customHeight="1" x14ac:dyDescent="0.2">
      <c r="A193" s="53" t="s">
        <v>21</v>
      </c>
      <c r="B193" s="53" t="s">
        <v>41</v>
      </c>
      <c r="C193" s="53" t="s">
        <v>42</v>
      </c>
      <c r="D193" s="53" t="s">
        <v>40</v>
      </c>
      <c r="E193" s="53" t="s">
        <v>25</v>
      </c>
      <c r="F193" s="53" t="s">
        <v>25</v>
      </c>
      <c r="G193" s="53" t="s">
        <v>25</v>
      </c>
      <c r="H193" s="53" t="s">
        <v>35</v>
      </c>
      <c r="I193" s="75">
        <v>44348</v>
      </c>
      <c r="J193" s="76">
        <f ca="1">EFEITO!$J$193*EFEITO!$Y$193</f>
        <v>88584.902756488023</v>
      </c>
      <c r="K193" s="76">
        <f ca="1">EFEITO!$L$193*EFEITO!$Z$193</f>
        <v>4116.0803224886731</v>
      </c>
      <c r="L193" s="76">
        <f>EFEITO!$N$193*EFEITO!$AA$193</f>
        <v>22884.477801572717</v>
      </c>
      <c r="M193" s="76">
        <f ca="1">$J$193-EFEITO!$K$193*EFEITO!$Y$193</f>
        <v>0</v>
      </c>
      <c r="N193" s="76">
        <f ca="1">$K$193-EFEITO!$M$193*EFEITO!$Z$193</f>
        <v>0</v>
      </c>
      <c r="O193" s="76">
        <f>$L$193-EFEITO!$O$193*EFEITO!$AA$193</f>
        <v>0</v>
      </c>
      <c r="P193" s="57"/>
      <c r="Q193" s="57"/>
      <c r="R193" s="57"/>
      <c r="S193" s="57"/>
      <c r="T193" s="57"/>
      <c r="U193" s="57"/>
      <c r="V193" s="57"/>
      <c r="W193" s="57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1.25" customHeight="1" x14ac:dyDescent="0.2">
      <c r="A194" s="53" t="s">
        <v>28</v>
      </c>
      <c r="B194" s="53" t="s">
        <v>41</v>
      </c>
      <c r="C194" s="53" t="s">
        <v>42</v>
      </c>
      <c r="D194" s="53" t="s">
        <v>40</v>
      </c>
      <c r="E194" s="53" t="s">
        <v>25</v>
      </c>
      <c r="F194" s="53" t="s">
        <v>25</v>
      </c>
      <c r="G194" s="53" t="s">
        <v>25</v>
      </c>
      <c r="H194" s="53" t="s">
        <v>35</v>
      </c>
      <c r="I194" s="75">
        <v>44348</v>
      </c>
      <c r="J194" s="76">
        <f ca="1">EFEITO!$J$194*EFEITO!$Y$194</f>
        <v>3033.7295464550693</v>
      </c>
      <c r="K194" s="76">
        <f ca="1">EFEITO!$L$194*EFEITO!$Z$194</f>
        <v>161.78865713927618</v>
      </c>
      <c r="L194" s="76">
        <f>EFEITO!$N$194*EFEITO!$AA$194</f>
        <v>899.50842616488183</v>
      </c>
      <c r="M194" s="76">
        <f ca="1">$J$194-EFEITO!$K$194*EFEITO!$Y$194</f>
        <v>0</v>
      </c>
      <c r="N194" s="76">
        <f ca="1">$K$194-EFEITO!$M$194*EFEITO!$Z$194</f>
        <v>0</v>
      </c>
      <c r="O194" s="76">
        <f>$L$194-EFEITO!$O$194*EFEITO!$AA$194</f>
        <v>0</v>
      </c>
      <c r="P194" s="57"/>
      <c r="Q194" s="57"/>
      <c r="R194" s="57"/>
      <c r="S194" s="57"/>
      <c r="T194" s="57"/>
      <c r="U194" s="57"/>
      <c r="V194" s="57"/>
      <c r="W194" s="57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1.25" customHeight="1" x14ac:dyDescent="0.2">
      <c r="A195" s="53" t="s">
        <v>21</v>
      </c>
      <c r="B195" s="53" t="s">
        <v>41</v>
      </c>
      <c r="C195" s="53" t="s">
        <v>42</v>
      </c>
      <c r="D195" s="53" t="s">
        <v>40</v>
      </c>
      <c r="E195" s="53" t="s">
        <v>25</v>
      </c>
      <c r="F195" s="53" t="s">
        <v>25</v>
      </c>
      <c r="G195" s="53" t="s">
        <v>25</v>
      </c>
      <c r="H195" s="53" t="s">
        <v>35</v>
      </c>
      <c r="I195" s="75">
        <v>44348</v>
      </c>
      <c r="J195" s="76">
        <f ca="1">EFEITO!$J$195*EFEITO!$Y$195</f>
        <v>1346338.8354212951</v>
      </c>
      <c r="K195" s="76">
        <f ca="1">EFEITO!$L$195*EFEITO!$Z$195</f>
        <v>0</v>
      </c>
      <c r="L195" s="76">
        <f>EFEITO!$N$195*EFEITO!$AA$195</f>
        <v>0</v>
      </c>
      <c r="M195" s="76">
        <f ca="1">$J$195-EFEITO!$K$195*EFEITO!$Y$195</f>
        <v>0</v>
      </c>
      <c r="N195" s="76">
        <f ca="1">$K$195-EFEITO!$M$195*EFEITO!$Z$195</f>
        <v>0</v>
      </c>
      <c r="O195" s="76">
        <f>$L$195-EFEITO!$O$195*EFEITO!$AA$195</f>
        <v>0</v>
      </c>
      <c r="P195" s="57"/>
      <c r="Q195" s="57"/>
      <c r="R195" s="57"/>
      <c r="S195" s="57"/>
      <c r="T195" s="57"/>
      <c r="U195" s="57"/>
      <c r="V195" s="57"/>
      <c r="W195" s="57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1.25" customHeight="1" x14ac:dyDescent="0.2">
      <c r="A196" s="53" t="s">
        <v>21</v>
      </c>
      <c r="B196" s="53" t="s">
        <v>41</v>
      </c>
      <c r="C196" s="53" t="s">
        <v>42</v>
      </c>
      <c r="D196" s="53" t="s">
        <v>40</v>
      </c>
      <c r="E196" s="53" t="s">
        <v>25</v>
      </c>
      <c r="F196" s="53" t="s">
        <v>25</v>
      </c>
      <c r="G196" s="53" t="s">
        <v>25</v>
      </c>
      <c r="H196" s="53" t="s">
        <v>35</v>
      </c>
      <c r="I196" s="75">
        <v>44378</v>
      </c>
      <c r="J196" s="76">
        <f ca="1">EFEITO!$J$196*EFEITO!$Y$196</f>
        <v>88160.180619984312</v>
      </c>
      <c r="K196" s="76">
        <f ca="1">EFEITO!$L$196*EFEITO!$Z$196</f>
        <v>4630.4188149776255</v>
      </c>
      <c r="L196" s="76">
        <f>EFEITO!$N$196*EFEITO!$AA$196</f>
        <v>25744.083759587938</v>
      </c>
      <c r="M196" s="76">
        <f ca="1">$J$196-EFEITO!$K$196*EFEITO!$Y$196</f>
        <v>0</v>
      </c>
      <c r="N196" s="76">
        <f ca="1">$K$196-EFEITO!$M$196*EFEITO!$Z$196</f>
        <v>0</v>
      </c>
      <c r="O196" s="76">
        <f>$L$196-EFEITO!$O$196*EFEITO!$AA$196</f>
        <v>0</v>
      </c>
      <c r="P196" s="57"/>
      <c r="Q196" s="57"/>
      <c r="R196" s="57"/>
      <c r="S196" s="57"/>
      <c r="T196" s="57"/>
      <c r="U196" s="57"/>
      <c r="V196" s="57"/>
      <c r="W196" s="57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1.25" customHeight="1" x14ac:dyDescent="0.2">
      <c r="A197" s="53" t="s">
        <v>28</v>
      </c>
      <c r="B197" s="53" t="s">
        <v>41</v>
      </c>
      <c r="C197" s="53" t="s">
        <v>42</v>
      </c>
      <c r="D197" s="53" t="s">
        <v>40</v>
      </c>
      <c r="E197" s="53" t="s">
        <v>25</v>
      </c>
      <c r="F197" s="53" t="s">
        <v>25</v>
      </c>
      <c r="G197" s="53" t="s">
        <v>25</v>
      </c>
      <c r="H197" s="53" t="s">
        <v>35</v>
      </c>
      <c r="I197" s="75">
        <v>44378</v>
      </c>
      <c r="J197" s="76">
        <f ca="1">EFEITO!$J$197*EFEITO!$Y$197</f>
        <v>3033.7295464550693</v>
      </c>
      <c r="K197" s="76">
        <f ca="1">EFEITO!$L$197*EFEITO!$Z$197</f>
        <v>25.007860292970118</v>
      </c>
      <c r="L197" s="76">
        <f>EFEITO!$N$197*EFEITO!$AA$197</f>
        <v>139.03806021775742</v>
      </c>
      <c r="M197" s="76">
        <f ca="1">$J$197-EFEITO!$K$197*EFEITO!$Y$197</f>
        <v>0</v>
      </c>
      <c r="N197" s="76">
        <f ca="1">$K$197-EFEITO!$M$197*EFEITO!$Z$197</f>
        <v>0</v>
      </c>
      <c r="O197" s="76">
        <f>$L$197-EFEITO!$O$197*EFEITO!$AA$197</f>
        <v>0</v>
      </c>
      <c r="P197" s="57"/>
      <c r="Q197" s="57"/>
      <c r="R197" s="57"/>
      <c r="S197" s="57"/>
      <c r="T197" s="57"/>
      <c r="U197" s="57"/>
      <c r="V197" s="57"/>
      <c r="W197" s="57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1.25" customHeight="1" x14ac:dyDescent="0.2">
      <c r="A198" s="53" t="s">
        <v>21</v>
      </c>
      <c r="B198" s="53" t="s">
        <v>41</v>
      </c>
      <c r="C198" s="53" t="s">
        <v>42</v>
      </c>
      <c r="D198" s="53" t="s">
        <v>40</v>
      </c>
      <c r="E198" s="53" t="s">
        <v>25</v>
      </c>
      <c r="F198" s="53" t="s">
        <v>25</v>
      </c>
      <c r="G198" s="53" t="s">
        <v>25</v>
      </c>
      <c r="H198" s="53" t="s">
        <v>35</v>
      </c>
      <c r="I198" s="75">
        <v>44378</v>
      </c>
      <c r="J198" s="76">
        <f ca="1">EFEITO!$J$198*EFEITO!$Y$198</f>
        <v>1355531.0359470539</v>
      </c>
      <c r="K198" s="76">
        <f ca="1">EFEITO!$L$198*EFEITO!$Z$198</f>
        <v>0</v>
      </c>
      <c r="L198" s="76">
        <f>EFEITO!$N$198*EFEITO!$AA$198</f>
        <v>0</v>
      </c>
      <c r="M198" s="76">
        <f ca="1">$J$198-EFEITO!$K$198*EFEITO!$Y$198</f>
        <v>0</v>
      </c>
      <c r="N198" s="76">
        <f ca="1">$K$198-EFEITO!$M$198*EFEITO!$Z$198</f>
        <v>0</v>
      </c>
      <c r="O198" s="76">
        <f>$L$198-EFEITO!$O$198*EFEITO!$AA$198</f>
        <v>0</v>
      </c>
      <c r="P198" s="57"/>
      <c r="Q198" s="57"/>
      <c r="R198" s="57"/>
      <c r="S198" s="57"/>
      <c r="T198" s="57"/>
      <c r="U198" s="57"/>
      <c r="V198" s="57"/>
      <c r="W198" s="57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1.25" customHeight="1" x14ac:dyDescent="0.2">
      <c r="A199" s="53" t="s">
        <v>21</v>
      </c>
      <c r="B199" s="53" t="s">
        <v>41</v>
      </c>
      <c r="C199" s="53" t="s">
        <v>42</v>
      </c>
      <c r="D199" s="53" t="s">
        <v>40</v>
      </c>
      <c r="E199" s="53" t="s">
        <v>25</v>
      </c>
      <c r="F199" s="53" t="s">
        <v>25</v>
      </c>
      <c r="G199" s="53" t="s">
        <v>25</v>
      </c>
      <c r="H199" s="53" t="s">
        <v>35</v>
      </c>
      <c r="I199" s="75">
        <v>44409</v>
      </c>
      <c r="J199" s="76">
        <f ca="1">EFEITO!$J$199*EFEITO!$Y$199</f>
        <v>116373.86540201645</v>
      </c>
      <c r="K199" s="76">
        <f ca="1">EFEITO!$L$199*EFEITO!$Z$199</f>
        <v>7353.0733608982437</v>
      </c>
      <c r="L199" s="76">
        <f>EFEITO!$N$199*EFEITO!$AA$199</f>
        <v>40881.428669271219</v>
      </c>
      <c r="M199" s="76">
        <f ca="1">$J$199-EFEITO!$K$199*EFEITO!$Y$199</f>
        <v>0</v>
      </c>
      <c r="N199" s="76">
        <f ca="1">$K$199-EFEITO!$M$199*EFEITO!$Z$199</f>
        <v>0</v>
      </c>
      <c r="O199" s="76">
        <f>$L$199-EFEITO!$O$199*EFEITO!$AA$199</f>
        <v>0</v>
      </c>
      <c r="P199" s="57"/>
      <c r="Q199" s="57"/>
      <c r="R199" s="57"/>
      <c r="S199" s="57"/>
      <c r="T199" s="57"/>
      <c r="U199" s="57"/>
      <c r="V199" s="57"/>
      <c r="W199" s="57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1.25" customHeight="1" x14ac:dyDescent="0.2">
      <c r="A200" s="53" t="s">
        <v>28</v>
      </c>
      <c r="B200" s="53" t="s">
        <v>41</v>
      </c>
      <c r="C200" s="53" t="s">
        <v>42</v>
      </c>
      <c r="D200" s="53" t="s">
        <v>40</v>
      </c>
      <c r="E200" s="53" t="s">
        <v>25</v>
      </c>
      <c r="F200" s="53" t="s">
        <v>25</v>
      </c>
      <c r="G200" s="53" t="s">
        <v>25</v>
      </c>
      <c r="H200" s="53" t="s">
        <v>35</v>
      </c>
      <c r="I200" s="75">
        <v>44409</v>
      </c>
      <c r="J200" s="76">
        <f ca="1">EFEITO!$J$200*EFEITO!$Y$200</f>
        <v>3033.7295464550693</v>
      </c>
      <c r="K200" s="76">
        <f ca="1">EFEITO!$L$200*EFEITO!$Z$200</f>
        <v>46.965981525821931</v>
      </c>
      <c r="L200" s="76">
        <f>EFEITO!$N$200*EFEITO!$AA$200</f>
        <v>261.1202594333493</v>
      </c>
      <c r="M200" s="76">
        <f ca="1">$J$200-EFEITO!$K$200*EFEITO!$Y$200</f>
        <v>0</v>
      </c>
      <c r="N200" s="76">
        <f ca="1">$K$200-EFEITO!$M$200*EFEITO!$Z$200</f>
        <v>0</v>
      </c>
      <c r="O200" s="76">
        <f>$L$200-EFEITO!$O$200*EFEITO!$AA$200</f>
        <v>0</v>
      </c>
      <c r="P200" s="57"/>
      <c r="Q200" s="57"/>
      <c r="R200" s="57"/>
      <c r="S200" s="57"/>
      <c r="T200" s="57"/>
      <c r="U200" s="57"/>
      <c r="V200" s="57"/>
      <c r="W200" s="57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1.25" customHeight="1" x14ac:dyDescent="0.2">
      <c r="A201" s="53" t="s">
        <v>21</v>
      </c>
      <c r="B201" s="53" t="s">
        <v>41</v>
      </c>
      <c r="C201" s="53" t="s">
        <v>42</v>
      </c>
      <c r="D201" s="53" t="s">
        <v>40</v>
      </c>
      <c r="E201" s="53" t="s">
        <v>25</v>
      </c>
      <c r="F201" s="53" t="s">
        <v>25</v>
      </c>
      <c r="G201" s="53" t="s">
        <v>25</v>
      </c>
      <c r="H201" s="53" t="s">
        <v>35</v>
      </c>
      <c r="I201" s="75">
        <v>44409</v>
      </c>
      <c r="J201" s="76">
        <f ca="1">EFEITO!$J$201*EFEITO!$Y$201</f>
        <v>1350707.4059681904</v>
      </c>
      <c r="K201" s="76">
        <f ca="1">EFEITO!$L$201*EFEITO!$Z$201</f>
        <v>0</v>
      </c>
      <c r="L201" s="76">
        <f>EFEITO!$N$201*EFEITO!$AA$201</f>
        <v>0</v>
      </c>
      <c r="M201" s="76">
        <f ca="1">$J$201-EFEITO!$K$201*EFEITO!$Y$201</f>
        <v>0</v>
      </c>
      <c r="N201" s="76">
        <f ca="1">$K$201-EFEITO!$M$201*EFEITO!$Z$201</f>
        <v>0</v>
      </c>
      <c r="O201" s="76">
        <f>$L$201-EFEITO!$O$201*EFEITO!$AA$201</f>
        <v>0</v>
      </c>
      <c r="P201" s="57"/>
      <c r="Q201" s="57"/>
      <c r="R201" s="57"/>
      <c r="S201" s="57"/>
      <c r="T201" s="57"/>
      <c r="U201" s="57"/>
      <c r="V201" s="57"/>
      <c r="W201" s="57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1.25" customHeight="1" x14ac:dyDescent="0.2">
      <c r="A202" s="53" t="s">
        <v>21</v>
      </c>
      <c r="B202" s="53" t="s">
        <v>41</v>
      </c>
      <c r="C202" s="53" t="s">
        <v>42</v>
      </c>
      <c r="D202" s="53" t="s">
        <v>40</v>
      </c>
      <c r="E202" s="53" t="s">
        <v>25</v>
      </c>
      <c r="F202" s="53" t="s">
        <v>25</v>
      </c>
      <c r="G202" s="53" t="s">
        <v>25</v>
      </c>
      <c r="H202" s="53" t="s">
        <v>35</v>
      </c>
      <c r="I202" s="75">
        <v>44440</v>
      </c>
      <c r="J202" s="76">
        <f ca="1">EFEITO!$J$202*EFEITO!$Y$202</f>
        <v>179475.43996828189</v>
      </c>
      <c r="K202" s="76">
        <f ca="1">EFEITO!$L$202*EFEITO!$Z$202</f>
        <v>3629.2657250172883</v>
      </c>
      <c r="L202" s="76">
        <f>EFEITO!$N$202*EFEITO!$AA$202</f>
        <v>20177.898489102045</v>
      </c>
      <c r="M202" s="76">
        <f ca="1">$J$202-EFEITO!$K$202*EFEITO!$Y$202</f>
        <v>0</v>
      </c>
      <c r="N202" s="76">
        <f ca="1">$K$202-EFEITO!$M$202*EFEITO!$Z$202</f>
        <v>0</v>
      </c>
      <c r="O202" s="76">
        <f>$L$202-EFEITO!$O$202*EFEITO!$AA$202</f>
        <v>0</v>
      </c>
      <c r="P202" s="57"/>
      <c r="Q202" s="57"/>
      <c r="R202" s="57"/>
      <c r="S202" s="57"/>
      <c r="T202" s="57"/>
      <c r="U202" s="57"/>
      <c r="V202" s="57"/>
      <c r="W202" s="57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1.25" customHeight="1" x14ac:dyDescent="0.2">
      <c r="A203" s="53" t="s">
        <v>28</v>
      </c>
      <c r="B203" s="53" t="s">
        <v>41</v>
      </c>
      <c r="C203" s="53" t="s">
        <v>42</v>
      </c>
      <c r="D203" s="53" t="s">
        <v>40</v>
      </c>
      <c r="E203" s="53" t="s">
        <v>25</v>
      </c>
      <c r="F203" s="53" t="s">
        <v>25</v>
      </c>
      <c r="G203" s="53" t="s">
        <v>25</v>
      </c>
      <c r="H203" s="53" t="s">
        <v>35</v>
      </c>
      <c r="I203" s="75">
        <v>44440</v>
      </c>
      <c r="J203" s="76">
        <f ca="1">EFEITO!$J$203*EFEITO!$Y$203</f>
        <v>3033.7295464550693</v>
      </c>
      <c r="K203" s="76">
        <f ca="1">EFEITO!$L$203*EFEITO!$Z$203</f>
        <v>7.7768346033016824</v>
      </c>
      <c r="L203" s="76">
        <f>EFEITO!$N$203*EFEITO!$AA$203</f>
        <v>43.237445555522122</v>
      </c>
      <c r="M203" s="76">
        <f ca="1">$J$203-EFEITO!$K$203*EFEITO!$Y$203</f>
        <v>0</v>
      </c>
      <c r="N203" s="76">
        <f ca="1">$K$203-EFEITO!$M$203*EFEITO!$Z$203</f>
        <v>0</v>
      </c>
      <c r="O203" s="76">
        <f>$L$203-EFEITO!$O$203*EFEITO!$AA$203</f>
        <v>0</v>
      </c>
      <c r="P203" s="57"/>
      <c r="Q203" s="57"/>
      <c r="R203" s="57"/>
      <c r="S203" s="57"/>
      <c r="T203" s="57"/>
      <c r="U203" s="57"/>
      <c r="V203" s="57"/>
      <c r="W203" s="57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1.25" customHeight="1" x14ac:dyDescent="0.2">
      <c r="A204" s="53" t="s">
        <v>21</v>
      </c>
      <c r="B204" s="53" t="s">
        <v>41</v>
      </c>
      <c r="C204" s="53" t="s">
        <v>42</v>
      </c>
      <c r="D204" s="53" t="s">
        <v>40</v>
      </c>
      <c r="E204" s="53" t="s">
        <v>25</v>
      </c>
      <c r="F204" s="53" t="s">
        <v>25</v>
      </c>
      <c r="G204" s="53" t="s">
        <v>25</v>
      </c>
      <c r="H204" s="53" t="s">
        <v>35</v>
      </c>
      <c r="I204" s="75">
        <v>44440</v>
      </c>
      <c r="J204" s="76">
        <f ca="1">EFEITO!$J$204*EFEITO!$Y$204</f>
        <v>1366209.7639505758</v>
      </c>
      <c r="K204" s="76">
        <f ca="1">EFEITO!$L$204*EFEITO!$Z$204</f>
        <v>0</v>
      </c>
      <c r="L204" s="76">
        <f>EFEITO!$N$204*EFEITO!$AA$204</f>
        <v>0</v>
      </c>
      <c r="M204" s="76">
        <f ca="1">$J$204-EFEITO!$K$204*EFEITO!$Y$204</f>
        <v>0</v>
      </c>
      <c r="N204" s="76">
        <f ca="1">$K$204-EFEITO!$M$204*EFEITO!$Z$204</f>
        <v>0</v>
      </c>
      <c r="O204" s="76">
        <f>$L$204-EFEITO!$O$204*EFEITO!$AA$204</f>
        <v>0</v>
      </c>
      <c r="P204" s="57"/>
      <c r="Q204" s="57"/>
      <c r="R204" s="57"/>
      <c r="S204" s="57"/>
      <c r="T204" s="57"/>
      <c r="U204" s="57"/>
      <c r="V204" s="57"/>
      <c r="W204" s="57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1.25" customHeight="1" x14ac:dyDescent="0.2">
      <c r="A205" s="53" t="s">
        <v>21</v>
      </c>
      <c r="B205" s="53" t="s">
        <v>41</v>
      </c>
      <c r="C205" s="53" t="s">
        <v>42</v>
      </c>
      <c r="D205" s="53" t="s">
        <v>40</v>
      </c>
      <c r="E205" s="53" t="s">
        <v>25</v>
      </c>
      <c r="F205" s="53" t="s">
        <v>25</v>
      </c>
      <c r="G205" s="53" t="s">
        <v>25</v>
      </c>
      <c r="H205" s="53" t="s">
        <v>35</v>
      </c>
      <c r="I205" s="75">
        <v>44470</v>
      </c>
      <c r="J205" s="76">
        <f ca="1">EFEITO!$J$205*EFEITO!$Y$205</f>
        <v>86977.02609686683</v>
      </c>
      <c r="K205" s="76">
        <f ca="1">EFEITO!$L$205*EFEITO!$Z$205</f>
        <v>368.63720889180036</v>
      </c>
      <c r="L205" s="76">
        <f>EFEITO!$N$205*EFEITO!$AA$205</f>
        <v>2049.5396986367596</v>
      </c>
      <c r="M205" s="76">
        <f ca="1">$J$205-EFEITO!$K$205*EFEITO!$Y$205</f>
        <v>0</v>
      </c>
      <c r="N205" s="76">
        <f ca="1">$K$205-EFEITO!$M$205*EFEITO!$Z$205</f>
        <v>0</v>
      </c>
      <c r="O205" s="76">
        <f>$L$205-EFEITO!$O$205*EFEITO!$AA$205</f>
        <v>0</v>
      </c>
      <c r="P205" s="57"/>
      <c r="Q205" s="57"/>
      <c r="R205" s="57"/>
      <c r="S205" s="57"/>
      <c r="T205" s="57"/>
      <c r="U205" s="57"/>
      <c r="V205" s="57"/>
      <c r="W205" s="57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1.25" customHeight="1" x14ac:dyDescent="0.2">
      <c r="A206" s="53" t="s">
        <v>28</v>
      </c>
      <c r="B206" s="53" t="s">
        <v>41</v>
      </c>
      <c r="C206" s="53" t="s">
        <v>42</v>
      </c>
      <c r="D206" s="53" t="s">
        <v>40</v>
      </c>
      <c r="E206" s="53" t="s">
        <v>25</v>
      </c>
      <c r="F206" s="53" t="s">
        <v>25</v>
      </c>
      <c r="G206" s="53" t="s">
        <v>25</v>
      </c>
      <c r="H206" s="53" t="s">
        <v>35</v>
      </c>
      <c r="I206" s="75">
        <v>44470</v>
      </c>
      <c r="J206" s="76">
        <f ca="1">EFEITO!$J$206*EFEITO!$Y$206</f>
        <v>3033.7295464550693</v>
      </c>
      <c r="K206" s="76">
        <f ca="1">EFEITO!$L$206*EFEITO!$Z$206</f>
        <v>99.269006406850892</v>
      </c>
      <c r="L206" s="76">
        <f>EFEITO!$N$206*EFEITO!$AA$206</f>
        <v>551.91327562048832</v>
      </c>
      <c r="M206" s="76">
        <f ca="1">$J$206-EFEITO!$K$206*EFEITO!$Y$206</f>
        <v>0</v>
      </c>
      <c r="N206" s="76">
        <f ca="1">$K$206-EFEITO!$M$206*EFEITO!$Z$206</f>
        <v>0</v>
      </c>
      <c r="O206" s="76">
        <f>$L$206-EFEITO!$O$206*EFEITO!$AA$206</f>
        <v>0</v>
      </c>
      <c r="P206" s="57"/>
      <c r="Q206" s="57"/>
      <c r="R206" s="57"/>
      <c r="S206" s="57"/>
      <c r="T206" s="57"/>
      <c r="U206" s="57"/>
      <c r="V206" s="57"/>
      <c r="W206" s="57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1.25" customHeight="1" x14ac:dyDescent="0.2">
      <c r="A207" s="53" t="s">
        <v>21</v>
      </c>
      <c r="B207" s="53" t="s">
        <v>41</v>
      </c>
      <c r="C207" s="53" t="s">
        <v>42</v>
      </c>
      <c r="D207" s="53" t="s">
        <v>40</v>
      </c>
      <c r="E207" s="53" t="s">
        <v>25</v>
      </c>
      <c r="F207" s="53" t="s">
        <v>25</v>
      </c>
      <c r="G207" s="53" t="s">
        <v>25</v>
      </c>
      <c r="H207" s="53" t="s">
        <v>35</v>
      </c>
      <c r="I207" s="75">
        <v>44470</v>
      </c>
      <c r="J207" s="76">
        <f ca="1">EFEITO!$J$207*EFEITO!$Y$207</f>
        <v>1355652.3851289123</v>
      </c>
      <c r="K207" s="76">
        <f ca="1">EFEITO!$L$207*EFEITO!$Z$207</f>
        <v>0</v>
      </c>
      <c r="L207" s="76">
        <f>EFEITO!$N$207*EFEITO!$AA$207</f>
        <v>0</v>
      </c>
      <c r="M207" s="76">
        <f ca="1">$J$207-EFEITO!$K$207*EFEITO!$Y$207</f>
        <v>0</v>
      </c>
      <c r="N207" s="76">
        <f ca="1">$K$207-EFEITO!$M$207*EFEITO!$Z$207</f>
        <v>0</v>
      </c>
      <c r="O207" s="76">
        <f>$L$207-EFEITO!$O$207*EFEITO!$AA$207</f>
        <v>0</v>
      </c>
      <c r="P207" s="57"/>
      <c r="Q207" s="57"/>
      <c r="R207" s="57"/>
      <c r="S207" s="57"/>
      <c r="T207" s="57"/>
      <c r="U207" s="57"/>
      <c r="V207" s="57"/>
      <c r="W207" s="57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1.25" customHeight="1" x14ac:dyDescent="0.2">
      <c r="A208" s="53" t="s">
        <v>21</v>
      </c>
      <c r="B208" s="53" t="s">
        <v>41</v>
      </c>
      <c r="C208" s="53" t="s">
        <v>42</v>
      </c>
      <c r="D208" s="53" t="s">
        <v>40</v>
      </c>
      <c r="E208" s="53" t="s">
        <v>25</v>
      </c>
      <c r="F208" s="53" t="s">
        <v>25</v>
      </c>
      <c r="G208" s="53" t="s">
        <v>25</v>
      </c>
      <c r="H208" s="53" t="s">
        <v>35</v>
      </c>
      <c r="I208" s="75">
        <v>44501</v>
      </c>
      <c r="J208" s="76">
        <f ca="1">EFEITO!$J$208*EFEITO!$Y$208</f>
        <v>162880.93934917267</v>
      </c>
      <c r="K208" s="76">
        <f ca="1">EFEITO!$L$208*EFEITO!$Z$208</f>
        <v>1864.0005135443093</v>
      </c>
      <c r="L208" s="76">
        <f>EFEITO!$N$208*EFEITO!$AA$208</f>
        <v>10363.422244523577</v>
      </c>
      <c r="M208" s="76">
        <f ca="1">$J$208-EFEITO!$K$208*EFEITO!$Y$208</f>
        <v>0</v>
      </c>
      <c r="N208" s="76">
        <f ca="1">$K$208-EFEITO!$M$208*EFEITO!$Z$208</f>
        <v>0</v>
      </c>
      <c r="O208" s="76">
        <f>$L$208-EFEITO!$O$208*EFEITO!$AA$208</f>
        <v>0</v>
      </c>
      <c r="P208" s="57"/>
      <c r="Q208" s="57"/>
      <c r="R208" s="57"/>
      <c r="S208" s="57"/>
      <c r="T208" s="57"/>
      <c r="U208" s="57"/>
      <c r="V208" s="57"/>
      <c r="W208" s="57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1.25" customHeight="1" x14ac:dyDescent="0.2">
      <c r="A209" s="53" t="s">
        <v>27</v>
      </c>
      <c r="B209" s="53" t="s">
        <v>41</v>
      </c>
      <c r="C209" s="53" t="s">
        <v>42</v>
      </c>
      <c r="D209" s="53" t="s">
        <v>40</v>
      </c>
      <c r="E209" s="53" t="s">
        <v>25</v>
      </c>
      <c r="F209" s="53" t="s">
        <v>25</v>
      </c>
      <c r="G209" s="53" t="s">
        <v>25</v>
      </c>
      <c r="H209" s="53" t="s">
        <v>35</v>
      </c>
      <c r="I209" s="75">
        <v>44501</v>
      </c>
      <c r="J209" s="76">
        <f ca="1">EFEITO!$J$209*EFEITO!$Y$209</f>
        <v>0</v>
      </c>
      <c r="K209" s="76">
        <f ca="1">EFEITO!$L$209*EFEITO!$Z$209</f>
        <v>-37.206816533443344</v>
      </c>
      <c r="L209" s="76">
        <f>EFEITO!$N$209*EFEITO!$AA$209</f>
        <v>-206.86150422641956</v>
      </c>
      <c r="M209" s="76">
        <f ca="1">$J$209-EFEITO!$K$209*EFEITO!$Y$209</f>
        <v>0</v>
      </c>
      <c r="N209" s="76">
        <f ca="1">$K$209-EFEITO!$M$209*EFEITO!$Z$209</f>
        <v>0</v>
      </c>
      <c r="O209" s="76">
        <f>$L$209-EFEITO!$O$209*EFEITO!$AA$209</f>
        <v>0</v>
      </c>
      <c r="P209" s="57"/>
      <c r="Q209" s="57"/>
      <c r="R209" s="57"/>
      <c r="S209" s="57"/>
      <c r="T209" s="57"/>
      <c r="U209" s="57"/>
      <c r="V209" s="57"/>
      <c r="W209" s="57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1.25" customHeight="1" x14ac:dyDescent="0.2">
      <c r="A210" s="53" t="s">
        <v>28</v>
      </c>
      <c r="B210" s="53" t="s">
        <v>41</v>
      </c>
      <c r="C210" s="53" t="s">
        <v>42</v>
      </c>
      <c r="D210" s="53" t="s">
        <v>40</v>
      </c>
      <c r="E210" s="53" t="s">
        <v>25</v>
      </c>
      <c r="F210" s="53" t="s">
        <v>25</v>
      </c>
      <c r="G210" s="53" t="s">
        <v>25</v>
      </c>
      <c r="H210" s="53" t="s">
        <v>35</v>
      </c>
      <c r="I210" s="75">
        <v>44501</v>
      </c>
      <c r="J210" s="76">
        <f ca="1">EFEITO!$J$210*EFEITO!$Y$210</f>
        <v>3033.7295464550693</v>
      </c>
      <c r="K210" s="76">
        <f ca="1">EFEITO!$L$210*EFEITO!$Z$210</f>
        <v>160.11130065621111</v>
      </c>
      <c r="L210" s="76">
        <f>EFEITO!$N$210*EFEITO!$AA$210</f>
        <v>890.18270261369082</v>
      </c>
      <c r="M210" s="76">
        <f ca="1">$J$210-EFEITO!$K$210*EFEITO!$Y$210</f>
        <v>0</v>
      </c>
      <c r="N210" s="76">
        <f ca="1">$K$210-EFEITO!$M$210*EFEITO!$Z$210</f>
        <v>0</v>
      </c>
      <c r="O210" s="76">
        <f>$L$210-EFEITO!$O$210*EFEITO!$AA$210</f>
        <v>0</v>
      </c>
      <c r="P210" s="57"/>
      <c r="Q210" s="57"/>
      <c r="R210" s="57"/>
      <c r="S210" s="57"/>
      <c r="T210" s="57"/>
      <c r="U210" s="57"/>
      <c r="V210" s="57"/>
      <c r="W210" s="57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1.25" customHeight="1" x14ac:dyDescent="0.2">
      <c r="A211" s="53" t="s">
        <v>21</v>
      </c>
      <c r="B211" s="53" t="s">
        <v>41</v>
      </c>
      <c r="C211" s="53" t="s">
        <v>42</v>
      </c>
      <c r="D211" s="53" t="s">
        <v>40</v>
      </c>
      <c r="E211" s="53" t="s">
        <v>25</v>
      </c>
      <c r="F211" s="53" t="s">
        <v>25</v>
      </c>
      <c r="G211" s="53" t="s">
        <v>25</v>
      </c>
      <c r="H211" s="53" t="s">
        <v>35</v>
      </c>
      <c r="I211" s="75">
        <v>44501</v>
      </c>
      <c r="J211" s="76">
        <f ca="1">EFEITO!$J$211*EFEITO!$Y$211</f>
        <v>1357533.2974477145</v>
      </c>
      <c r="K211" s="76">
        <f ca="1">EFEITO!$L$211*EFEITO!$Z$211</f>
        <v>0</v>
      </c>
      <c r="L211" s="76">
        <f>EFEITO!$N$211*EFEITO!$AA$211</f>
        <v>0</v>
      </c>
      <c r="M211" s="76">
        <f ca="1">$J$211-EFEITO!$K$211*EFEITO!$Y$211</f>
        <v>0</v>
      </c>
      <c r="N211" s="76">
        <f ca="1">$K$211-EFEITO!$M$211*EFEITO!$Z$211</f>
        <v>0</v>
      </c>
      <c r="O211" s="76">
        <f>$L$211-EFEITO!$O$211*EFEITO!$AA$211</f>
        <v>0</v>
      </c>
      <c r="P211" s="57"/>
      <c r="Q211" s="57"/>
      <c r="R211" s="57"/>
      <c r="S211" s="57"/>
      <c r="T211" s="57"/>
      <c r="U211" s="57"/>
      <c r="V211" s="57"/>
      <c r="W211" s="57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1.25" customHeight="1" x14ac:dyDescent="0.2">
      <c r="A212" s="53" t="s">
        <v>21</v>
      </c>
      <c r="B212" s="53" t="s">
        <v>41</v>
      </c>
      <c r="C212" s="53" t="s">
        <v>42</v>
      </c>
      <c r="D212" s="53" t="s">
        <v>40</v>
      </c>
      <c r="E212" s="53" t="s">
        <v>25</v>
      </c>
      <c r="F212" s="53" t="s">
        <v>25</v>
      </c>
      <c r="G212" s="53" t="s">
        <v>25</v>
      </c>
      <c r="H212" s="53" t="s">
        <v>35</v>
      </c>
      <c r="I212" s="75">
        <v>44531</v>
      </c>
      <c r="J212" s="76">
        <f ca="1">EFEITO!$J$212*EFEITO!$Y$212</f>
        <v>169342.78328312197</v>
      </c>
      <c r="K212" s="76">
        <f ca="1">EFEITO!$L$212*EFEITO!$Z$212</f>
        <v>2374.9080495906287</v>
      </c>
      <c r="L212" s="76">
        <f>EFEITO!$N$212*EFEITO!$AA$212</f>
        <v>13203.95285891136</v>
      </c>
      <c r="M212" s="76">
        <f ca="1">$J$212-EFEITO!$K$212*EFEITO!$Y$212</f>
        <v>0</v>
      </c>
      <c r="N212" s="76">
        <f ca="1">$K$212-EFEITO!$M$212*EFEITO!$Z$212</f>
        <v>0</v>
      </c>
      <c r="O212" s="76">
        <f>$L$212-EFEITO!$O$212*EFEITO!$AA$212</f>
        <v>0</v>
      </c>
      <c r="P212" s="57"/>
      <c r="Q212" s="57"/>
      <c r="R212" s="57"/>
      <c r="S212" s="57"/>
      <c r="T212" s="57"/>
      <c r="U212" s="57"/>
      <c r="V212" s="57"/>
      <c r="W212" s="57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1.25" customHeight="1" x14ac:dyDescent="0.2">
      <c r="A213" s="53" t="s">
        <v>28</v>
      </c>
      <c r="B213" s="53" t="s">
        <v>41</v>
      </c>
      <c r="C213" s="53" t="s">
        <v>42</v>
      </c>
      <c r="D213" s="53" t="s">
        <v>40</v>
      </c>
      <c r="E213" s="53" t="s">
        <v>25</v>
      </c>
      <c r="F213" s="53" t="s">
        <v>25</v>
      </c>
      <c r="G213" s="53" t="s">
        <v>25</v>
      </c>
      <c r="H213" s="53" t="s">
        <v>35</v>
      </c>
      <c r="I213" s="75">
        <v>44531</v>
      </c>
      <c r="J213" s="76">
        <f ca="1">EFEITO!$J$213*EFEITO!$Y$213</f>
        <v>3033.7295464550693</v>
      </c>
      <c r="K213" s="76">
        <f ca="1">EFEITO!$L$213*EFEITO!$Z$213</f>
        <v>4.7270955431833759</v>
      </c>
      <c r="L213" s="76">
        <f>EFEITO!$N$213*EFEITO!$AA$213</f>
        <v>26.281584553356584</v>
      </c>
      <c r="M213" s="76">
        <f ca="1">$J$213-EFEITO!$K$213*EFEITO!$Y$213</f>
        <v>0</v>
      </c>
      <c r="N213" s="76">
        <f ca="1">$K$213-EFEITO!$M$213*EFEITO!$Z$213</f>
        <v>0</v>
      </c>
      <c r="O213" s="76">
        <f>$L$213-EFEITO!$O$213*EFEITO!$AA$213</f>
        <v>0</v>
      </c>
      <c r="P213" s="57"/>
      <c r="Q213" s="57"/>
      <c r="R213" s="57"/>
      <c r="S213" s="57"/>
      <c r="T213" s="57"/>
      <c r="U213" s="57"/>
      <c r="V213" s="57"/>
      <c r="W213" s="57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1.25" customHeight="1" x14ac:dyDescent="0.2">
      <c r="A214" s="53" t="s">
        <v>21</v>
      </c>
      <c r="B214" s="53" t="s">
        <v>41</v>
      </c>
      <c r="C214" s="53" t="s">
        <v>42</v>
      </c>
      <c r="D214" s="53" t="s">
        <v>40</v>
      </c>
      <c r="E214" s="53" t="s">
        <v>25</v>
      </c>
      <c r="F214" s="53" t="s">
        <v>25</v>
      </c>
      <c r="G214" s="53" t="s">
        <v>25</v>
      </c>
      <c r="H214" s="53" t="s">
        <v>35</v>
      </c>
      <c r="I214" s="75">
        <v>44531</v>
      </c>
      <c r="J214" s="76">
        <f ca="1">EFEITO!$J$214*EFEITO!$Y$214</f>
        <v>1359232.1859937292</v>
      </c>
      <c r="K214" s="76">
        <f ca="1">EFEITO!$L$214*EFEITO!$Z$214</f>
        <v>0</v>
      </c>
      <c r="L214" s="76">
        <f>EFEITO!$N$214*EFEITO!$AA$214</f>
        <v>0</v>
      </c>
      <c r="M214" s="76">
        <f ca="1">$J$214-EFEITO!$K$214*EFEITO!$Y$214</f>
        <v>0</v>
      </c>
      <c r="N214" s="76">
        <f ca="1">$K$214-EFEITO!$M$214*EFEITO!$Z$214</f>
        <v>0</v>
      </c>
      <c r="O214" s="76">
        <f>$L$214-EFEITO!$O$214*EFEITO!$AA$214</f>
        <v>0</v>
      </c>
      <c r="P214" s="57"/>
      <c r="Q214" s="57"/>
      <c r="R214" s="57"/>
      <c r="S214" s="57"/>
      <c r="T214" s="57"/>
      <c r="U214" s="57"/>
      <c r="V214" s="57"/>
      <c r="W214" s="57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1.25" customHeight="1" x14ac:dyDescent="0.2">
      <c r="A215" s="53" t="s">
        <v>21</v>
      </c>
      <c r="B215" s="53" t="s">
        <v>41</v>
      </c>
      <c r="C215" s="53" t="s">
        <v>42</v>
      </c>
      <c r="D215" s="53" t="s">
        <v>40</v>
      </c>
      <c r="E215" s="53" t="s">
        <v>25</v>
      </c>
      <c r="F215" s="53" t="s">
        <v>25</v>
      </c>
      <c r="G215" s="53" t="s">
        <v>25</v>
      </c>
      <c r="H215" s="53" t="s">
        <v>35</v>
      </c>
      <c r="I215" s="75">
        <v>44562</v>
      </c>
      <c r="J215" s="76">
        <f ca="1">EFEITO!$J$215*EFEITO!$Y$215</f>
        <v>433580.62677935848</v>
      </c>
      <c r="K215" s="76">
        <f ca="1">EFEITO!$L$215*EFEITO!$Z$215</f>
        <v>1431.928732202048</v>
      </c>
      <c r="L215" s="76">
        <f>EFEITO!$N$215*EFEITO!$AA$215</f>
        <v>7961.2006370417739</v>
      </c>
      <c r="M215" s="76">
        <f ca="1">$J$215-EFEITO!$K$215*EFEITO!$Y$215</f>
        <v>0</v>
      </c>
      <c r="N215" s="76">
        <f ca="1">$K$215-EFEITO!$M$215*EFEITO!$Z$215</f>
        <v>0</v>
      </c>
      <c r="O215" s="76">
        <f>$L$215-EFEITO!$O$215*EFEITO!$AA$215</f>
        <v>0</v>
      </c>
      <c r="P215" s="57"/>
      <c r="Q215" s="57"/>
      <c r="R215" s="57"/>
      <c r="S215" s="57"/>
      <c r="T215" s="57"/>
      <c r="U215" s="57"/>
      <c r="V215" s="57"/>
      <c r="W215" s="57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1.25" customHeight="1" x14ac:dyDescent="0.2">
      <c r="A216" s="53" t="s">
        <v>28</v>
      </c>
      <c r="B216" s="53" t="s">
        <v>41</v>
      </c>
      <c r="C216" s="53" t="s">
        <v>42</v>
      </c>
      <c r="D216" s="53" t="s">
        <v>40</v>
      </c>
      <c r="E216" s="53" t="s">
        <v>25</v>
      </c>
      <c r="F216" s="53" t="s">
        <v>25</v>
      </c>
      <c r="G216" s="53" t="s">
        <v>25</v>
      </c>
      <c r="H216" s="53" t="s">
        <v>35</v>
      </c>
      <c r="I216" s="75">
        <v>44562</v>
      </c>
      <c r="J216" s="76">
        <f ca="1">EFEITO!$J$216*EFEITO!$Y$216</f>
        <v>3033.7295464550693</v>
      </c>
      <c r="K216" s="76">
        <f ca="1">EFEITO!$L$216*EFEITO!$Z$216</f>
        <v>111.62044960033003</v>
      </c>
      <c r="L216" s="76">
        <f>EFEITO!$N$216*EFEITO!$AA$216</f>
        <v>620.58451267925875</v>
      </c>
      <c r="M216" s="76">
        <f ca="1">$J$216-EFEITO!$K$216*EFEITO!$Y$216</f>
        <v>0</v>
      </c>
      <c r="N216" s="76">
        <f ca="1">$K$216-EFEITO!$M$216*EFEITO!$Z$216</f>
        <v>0</v>
      </c>
      <c r="O216" s="76">
        <f>$L$216-EFEITO!$O$216*EFEITO!$AA$216</f>
        <v>0</v>
      </c>
      <c r="P216" s="57"/>
      <c r="Q216" s="57"/>
      <c r="R216" s="57"/>
      <c r="S216" s="57"/>
      <c r="T216" s="57"/>
      <c r="U216" s="57"/>
      <c r="V216" s="57"/>
      <c r="W216" s="57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1.25" customHeight="1" x14ac:dyDescent="0.2">
      <c r="A217" s="53" t="s">
        <v>21</v>
      </c>
      <c r="B217" s="53" t="s">
        <v>41</v>
      </c>
      <c r="C217" s="53" t="s">
        <v>42</v>
      </c>
      <c r="D217" s="53" t="s">
        <v>40</v>
      </c>
      <c r="E217" s="53" t="s">
        <v>25</v>
      </c>
      <c r="F217" s="53" t="s">
        <v>25</v>
      </c>
      <c r="G217" s="53" t="s">
        <v>25</v>
      </c>
      <c r="H217" s="53" t="s">
        <v>35</v>
      </c>
      <c r="I217" s="75">
        <v>44562</v>
      </c>
      <c r="J217" s="76">
        <f ca="1">EFEITO!$J$217*EFEITO!$Y$217</f>
        <v>1358200.7179479345</v>
      </c>
      <c r="K217" s="76">
        <f ca="1">EFEITO!$L$217*EFEITO!$Z$217</f>
        <v>0</v>
      </c>
      <c r="L217" s="76">
        <f>EFEITO!$N$217*EFEITO!$AA$217</f>
        <v>0</v>
      </c>
      <c r="M217" s="76">
        <f ca="1">$J$217-EFEITO!$K$217*EFEITO!$Y$217</f>
        <v>0</v>
      </c>
      <c r="N217" s="76">
        <f ca="1">$K$217-EFEITO!$M$217*EFEITO!$Z$217</f>
        <v>0</v>
      </c>
      <c r="O217" s="76">
        <f>$L$217-EFEITO!$O$217*EFEITO!$AA$217</f>
        <v>0</v>
      </c>
      <c r="P217" s="57"/>
      <c r="Q217" s="57"/>
      <c r="R217" s="57"/>
      <c r="S217" s="57"/>
      <c r="T217" s="57"/>
      <c r="U217" s="57"/>
      <c r="V217" s="57"/>
      <c r="W217" s="57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1.25" customHeight="1" x14ac:dyDescent="0.2">
      <c r="A218" s="53" t="s">
        <v>21</v>
      </c>
      <c r="B218" s="53" t="s">
        <v>41</v>
      </c>
      <c r="C218" s="53" t="s">
        <v>42</v>
      </c>
      <c r="D218" s="53" t="s">
        <v>40</v>
      </c>
      <c r="E218" s="53" t="s">
        <v>25</v>
      </c>
      <c r="F218" s="53" t="s">
        <v>25</v>
      </c>
      <c r="G218" s="53" t="s">
        <v>25</v>
      </c>
      <c r="H218" s="53" t="s">
        <v>35</v>
      </c>
      <c r="I218" s="75">
        <v>44593</v>
      </c>
      <c r="J218" s="76">
        <f ca="1">EFEITO!$J$218*EFEITO!$Y$218</f>
        <v>514793.56673796067</v>
      </c>
      <c r="K218" s="76">
        <f ca="1">EFEITO!$L$218*EFEITO!$Z$218</f>
        <v>633.12582888056056</v>
      </c>
      <c r="L218" s="76">
        <f>EFEITO!$N$218*EFEITO!$AA$218</f>
        <v>3520.0367440495661</v>
      </c>
      <c r="M218" s="76">
        <f ca="1">$J$218-EFEITO!$K$218*EFEITO!$Y$218</f>
        <v>0</v>
      </c>
      <c r="N218" s="76">
        <f ca="1">$K$218-EFEITO!$M$218*EFEITO!$Z$218</f>
        <v>0</v>
      </c>
      <c r="O218" s="76">
        <f>$L$218-EFEITO!$O$218*EFEITO!$AA$218</f>
        <v>0</v>
      </c>
      <c r="P218" s="57"/>
      <c r="Q218" s="57"/>
      <c r="R218" s="57"/>
      <c r="S218" s="57"/>
      <c r="T218" s="57"/>
      <c r="U218" s="57"/>
      <c r="V218" s="57"/>
      <c r="W218" s="57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1.25" customHeight="1" x14ac:dyDescent="0.2">
      <c r="A219" s="53" t="s">
        <v>27</v>
      </c>
      <c r="B219" s="53" t="s">
        <v>41</v>
      </c>
      <c r="C219" s="53" t="s">
        <v>42</v>
      </c>
      <c r="D219" s="53" t="s">
        <v>40</v>
      </c>
      <c r="E219" s="53" t="s">
        <v>25</v>
      </c>
      <c r="F219" s="53" t="s">
        <v>25</v>
      </c>
      <c r="G219" s="53" t="s">
        <v>25</v>
      </c>
      <c r="H219" s="53" t="s">
        <v>35</v>
      </c>
      <c r="I219" s="75">
        <v>44593</v>
      </c>
      <c r="J219" s="76">
        <f ca="1">EFEITO!$J$219*EFEITO!$Y$219</f>
        <v>-174014.72678466278</v>
      </c>
      <c r="K219" s="76">
        <f ca="1">EFEITO!$L$219*EFEITO!$Z$219</f>
        <v>0</v>
      </c>
      <c r="L219" s="76">
        <f>EFEITO!$N$219*EFEITO!$AA$219</f>
        <v>0</v>
      </c>
      <c r="M219" s="76">
        <f ca="1">$J$219-EFEITO!$K$219*EFEITO!$Y$219</f>
        <v>0</v>
      </c>
      <c r="N219" s="76">
        <f ca="1">$K$219-EFEITO!$M$219*EFEITO!$Z$219</f>
        <v>0</v>
      </c>
      <c r="O219" s="76">
        <f>$L$219-EFEITO!$O$219*EFEITO!$AA$219</f>
        <v>0</v>
      </c>
      <c r="P219" s="57"/>
      <c r="Q219" s="57"/>
      <c r="R219" s="57"/>
      <c r="S219" s="57"/>
      <c r="T219" s="57"/>
      <c r="U219" s="57"/>
      <c r="V219" s="57"/>
      <c r="W219" s="57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1.25" customHeight="1" x14ac:dyDescent="0.2">
      <c r="A220" s="53" t="s">
        <v>28</v>
      </c>
      <c r="B220" s="53" t="s">
        <v>41</v>
      </c>
      <c r="C220" s="53" t="s">
        <v>42</v>
      </c>
      <c r="D220" s="53" t="s">
        <v>40</v>
      </c>
      <c r="E220" s="53" t="s">
        <v>25</v>
      </c>
      <c r="F220" s="53" t="s">
        <v>25</v>
      </c>
      <c r="G220" s="53" t="s">
        <v>25</v>
      </c>
      <c r="H220" s="53" t="s">
        <v>35</v>
      </c>
      <c r="I220" s="75">
        <v>44593</v>
      </c>
      <c r="J220" s="76">
        <f ca="1">EFEITO!$J$220*EFEITO!$Y$220</f>
        <v>3033.7295464550693</v>
      </c>
      <c r="K220" s="76">
        <f ca="1">EFEITO!$L$220*EFEITO!$Z$220</f>
        <v>115.35637994897496</v>
      </c>
      <c r="L220" s="76">
        <f>EFEITO!$N$220*EFEITO!$AA$220</f>
        <v>641.35544240691149</v>
      </c>
      <c r="M220" s="76">
        <f ca="1">$J$220-EFEITO!$K$220*EFEITO!$Y$220</f>
        <v>0</v>
      </c>
      <c r="N220" s="76">
        <f ca="1">$K$220-EFEITO!$M$220*EFEITO!$Z$220</f>
        <v>0</v>
      </c>
      <c r="O220" s="76">
        <f>$L$220-EFEITO!$O$220*EFEITO!$AA$220</f>
        <v>0</v>
      </c>
      <c r="P220" s="57"/>
      <c r="Q220" s="57"/>
      <c r="R220" s="57"/>
      <c r="S220" s="57"/>
      <c r="T220" s="57"/>
      <c r="U220" s="57"/>
      <c r="V220" s="57"/>
      <c r="W220" s="57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1.25" customHeight="1" x14ac:dyDescent="0.2">
      <c r="A221" s="53" t="s">
        <v>21</v>
      </c>
      <c r="B221" s="53" t="s">
        <v>41</v>
      </c>
      <c r="C221" s="53" t="s">
        <v>42</v>
      </c>
      <c r="D221" s="53" t="s">
        <v>40</v>
      </c>
      <c r="E221" s="53" t="s">
        <v>25</v>
      </c>
      <c r="F221" s="53" t="s">
        <v>25</v>
      </c>
      <c r="G221" s="53" t="s">
        <v>25</v>
      </c>
      <c r="H221" s="53" t="s">
        <v>35</v>
      </c>
      <c r="I221" s="75">
        <v>44593</v>
      </c>
      <c r="J221" s="76">
        <f ca="1">EFEITO!$J$221*EFEITO!$Y$221</f>
        <v>753275.04638479371</v>
      </c>
      <c r="K221" s="76">
        <f ca="1">EFEITO!$L$221*EFEITO!$Z$221</f>
        <v>0</v>
      </c>
      <c r="L221" s="76">
        <f>EFEITO!$N$221*EFEITO!$AA$221</f>
        <v>0</v>
      </c>
      <c r="M221" s="76">
        <f ca="1">$J$221-EFEITO!$K$221*EFEITO!$Y$221</f>
        <v>0</v>
      </c>
      <c r="N221" s="76">
        <f ca="1">$K$221-EFEITO!$M$221*EFEITO!$Z$221</f>
        <v>0</v>
      </c>
      <c r="O221" s="76">
        <f>$L$221-EFEITO!$O$221*EFEITO!$AA$221</f>
        <v>0</v>
      </c>
      <c r="P221" s="57"/>
      <c r="Q221" s="57"/>
      <c r="R221" s="57"/>
      <c r="S221" s="57"/>
      <c r="T221" s="57"/>
      <c r="U221" s="57"/>
      <c r="V221" s="57"/>
      <c r="W221" s="57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1.25" customHeight="1" x14ac:dyDescent="0.2">
      <c r="A222" s="53" t="s">
        <v>21</v>
      </c>
      <c r="B222" s="53" t="s">
        <v>41</v>
      </c>
      <c r="C222" s="53" t="s">
        <v>42</v>
      </c>
      <c r="D222" s="53" t="s">
        <v>40</v>
      </c>
      <c r="E222" s="53" t="s">
        <v>25</v>
      </c>
      <c r="F222" s="53" t="s">
        <v>25</v>
      </c>
      <c r="G222" s="53" t="s">
        <v>25</v>
      </c>
      <c r="H222" s="53" t="s">
        <v>35</v>
      </c>
      <c r="I222" s="75">
        <v>44621</v>
      </c>
      <c r="J222" s="76">
        <f ca="1">EFEITO!$J$222*EFEITO!$Y$222</f>
        <v>134242.53243063681</v>
      </c>
      <c r="K222" s="76">
        <f ca="1">EFEITO!$L$222*EFEITO!$Z$222</f>
        <v>2210.9845751092694</v>
      </c>
      <c r="L222" s="76">
        <f>EFEITO!$N$222*EFEITO!$AA$222</f>
        <v>12292.575330044961</v>
      </c>
      <c r="M222" s="76">
        <f ca="1">$J$222-EFEITO!$K$222*EFEITO!$Y$222</f>
        <v>0</v>
      </c>
      <c r="N222" s="76">
        <f ca="1">$K$222-EFEITO!$M$222*EFEITO!$Z$222</f>
        <v>0</v>
      </c>
      <c r="O222" s="76">
        <f>$L$222-EFEITO!$O$222*EFEITO!$AA$222</f>
        <v>0</v>
      </c>
      <c r="P222" s="57"/>
      <c r="Q222" s="57"/>
      <c r="R222" s="57"/>
      <c r="S222" s="57"/>
      <c r="T222" s="57"/>
      <c r="U222" s="57"/>
      <c r="V222" s="57"/>
      <c r="W222" s="57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1.25" customHeight="1" x14ac:dyDescent="0.2">
      <c r="A223" s="53" t="s">
        <v>27</v>
      </c>
      <c r="B223" s="53" t="s">
        <v>41</v>
      </c>
      <c r="C223" s="53" t="s">
        <v>42</v>
      </c>
      <c r="D223" s="53" t="s">
        <v>40</v>
      </c>
      <c r="E223" s="53" t="s">
        <v>25</v>
      </c>
      <c r="F223" s="53" t="s">
        <v>25</v>
      </c>
      <c r="G223" s="53" t="s">
        <v>25</v>
      </c>
      <c r="H223" s="53" t="s">
        <v>35</v>
      </c>
      <c r="I223" s="75">
        <v>44621</v>
      </c>
      <c r="J223" s="76">
        <f ca="1">EFEITO!$J$223*EFEITO!$Y$223</f>
        <v>-30.337295464550692</v>
      </c>
      <c r="K223" s="76">
        <f ca="1">EFEITO!$L$223*EFEITO!$Z$223</f>
        <v>0</v>
      </c>
      <c r="L223" s="76">
        <f>EFEITO!$N$223*EFEITO!$AA$223</f>
        <v>0</v>
      </c>
      <c r="M223" s="76">
        <f ca="1">$J$223-EFEITO!$K$223*EFEITO!$Y$223</f>
        <v>0</v>
      </c>
      <c r="N223" s="76">
        <f ca="1">$K$223-EFEITO!$M$223*EFEITO!$Z$223</f>
        <v>0</v>
      </c>
      <c r="O223" s="76">
        <f>$L$223-EFEITO!$O$223*EFEITO!$AA$223</f>
        <v>0</v>
      </c>
      <c r="P223" s="57"/>
      <c r="Q223" s="57"/>
      <c r="R223" s="57"/>
      <c r="S223" s="57"/>
      <c r="T223" s="57"/>
      <c r="U223" s="57"/>
      <c r="V223" s="57"/>
      <c r="W223" s="57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1.25" customHeight="1" x14ac:dyDescent="0.2">
      <c r="A224" s="53" t="s">
        <v>28</v>
      </c>
      <c r="B224" s="53" t="s">
        <v>41</v>
      </c>
      <c r="C224" s="53" t="s">
        <v>42</v>
      </c>
      <c r="D224" s="53" t="s">
        <v>40</v>
      </c>
      <c r="E224" s="53" t="s">
        <v>25</v>
      </c>
      <c r="F224" s="53" t="s">
        <v>25</v>
      </c>
      <c r="G224" s="53" t="s">
        <v>25</v>
      </c>
      <c r="H224" s="53" t="s">
        <v>35</v>
      </c>
      <c r="I224" s="75">
        <v>44621</v>
      </c>
      <c r="J224" s="76">
        <f ca="1">EFEITO!$J$224*EFEITO!$Y$224</f>
        <v>3033.7295464550693</v>
      </c>
      <c r="K224" s="76">
        <f ca="1">EFEITO!$L$224*EFEITO!$Z$224</f>
        <v>7.0906433147750638</v>
      </c>
      <c r="L224" s="76">
        <f>EFEITO!$N$224*EFEITO!$AA$224</f>
        <v>39.422376830034878</v>
      </c>
      <c r="M224" s="76">
        <f ca="1">$J$224-EFEITO!$K$224*EFEITO!$Y$224</f>
        <v>0</v>
      </c>
      <c r="N224" s="76">
        <f ca="1">$K$224-EFEITO!$M$224*EFEITO!$Z$224</f>
        <v>0</v>
      </c>
      <c r="O224" s="76">
        <f>$L$224-EFEITO!$O$224*EFEITO!$AA$224</f>
        <v>0</v>
      </c>
      <c r="P224" s="57"/>
      <c r="Q224" s="57"/>
      <c r="R224" s="57"/>
      <c r="S224" s="57"/>
      <c r="T224" s="57"/>
      <c r="U224" s="57"/>
      <c r="V224" s="57"/>
      <c r="W224" s="57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1.25" customHeight="1" x14ac:dyDescent="0.2">
      <c r="A225" s="53" t="s">
        <v>21</v>
      </c>
      <c r="B225" s="53" t="s">
        <v>41</v>
      </c>
      <c r="C225" s="53" t="s">
        <v>42</v>
      </c>
      <c r="D225" s="53" t="s">
        <v>40</v>
      </c>
      <c r="E225" s="53" t="s">
        <v>25</v>
      </c>
      <c r="F225" s="53" t="s">
        <v>25</v>
      </c>
      <c r="G225" s="53" t="s">
        <v>25</v>
      </c>
      <c r="H225" s="53" t="s">
        <v>35</v>
      </c>
      <c r="I225" s="75">
        <v>44621</v>
      </c>
      <c r="J225" s="76">
        <f ca="1">EFEITO!$J$225*EFEITO!$Y$225</f>
        <v>1154334.0924261538</v>
      </c>
      <c r="K225" s="76">
        <f ca="1">EFEITO!$L$225*EFEITO!$Z$225</f>
        <v>0</v>
      </c>
      <c r="L225" s="76">
        <f>EFEITO!$N$225*EFEITO!$AA$225</f>
        <v>0</v>
      </c>
      <c r="M225" s="76">
        <f ca="1">$J$225-EFEITO!$K$225*EFEITO!$Y$225</f>
        <v>0</v>
      </c>
      <c r="N225" s="76">
        <f ca="1">$K$225-EFEITO!$M$225*EFEITO!$Z$225</f>
        <v>0</v>
      </c>
      <c r="O225" s="76">
        <f>$L$225-EFEITO!$O$225*EFEITO!$AA$225</f>
        <v>0</v>
      </c>
      <c r="P225" s="57"/>
      <c r="Q225" s="57"/>
      <c r="R225" s="57"/>
      <c r="S225" s="57"/>
      <c r="T225" s="57"/>
      <c r="U225" s="57"/>
      <c r="V225" s="57"/>
      <c r="W225" s="57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1.25" customHeight="1" x14ac:dyDescent="0.2">
      <c r="A226" s="53" t="s">
        <v>56</v>
      </c>
      <c r="B226" s="53" t="s">
        <v>41</v>
      </c>
      <c r="C226" s="53" t="s">
        <v>42</v>
      </c>
      <c r="D226" s="53" t="s">
        <v>40</v>
      </c>
      <c r="E226" s="53" t="s">
        <v>25</v>
      </c>
      <c r="F226" s="53" t="s">
        <v>25</v>
      </c>
      <c r="G226" s="53" t="s">
        <v>25</v>
      </c>
      <c r="H226" s="53" t="s">
        <v>35</v>
      </c>
      <c r="I226" s="75">
        <v>44652</v>
      </c>
      <c r="J226" s="76">
        <f ca="1">EFEITO!$J$226*EFEITO!$Y$226</f>
        <v>134242.53243063681</v>
      </c>
      <c r="K226" s="76">
        <f ca="1">EFEITO!$L$226*EFEITO!$Z$226</f>
        <v>2210.9845751092694</v>
      </c>
      <c r="L226" s="76">
        <f>EFEITO!$N$226*EFEITO!$AA$226</f>
        <v>12292.575330044961</v>
      </c>
      <c r="M226" s="76">
        <f ca="1">$J$226-EFEITO!$K$226*EFEITO!$Y$226</f>
        <v>0</v>
      </c>
      <c r="N226" s="76">
        <f ca="1">$K$226-EFEITO!$M$226*EFEITO!$Z$226</f>
        <v>0</v>
      </c>
      <c r="O226" s="76">
        <f>$L$226-EFEITO!$O$226*EFEITO!$AA$226</f>
        <v>0</v>
      </c>
      <c r="P226" s="57"/>
      <c r="Q226" s="57"/>
      <c r="R226" s="57"/>
      <c r="S226" s="57"/>
      <c r="T226" s="57"/>
      <c r="U226" s="57"/>
      <c r="V226" s="57"/>
      <c r="W226" s="57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1.25" customHeight="1" x14ac:dyDescent="0.2">
      <c r="A227" s="53" t="s">
        <v>56</v>
      </c>
      <c r="B227" s="53" t="s">
        <v>41</v>
      </c>
      <c r="C227" s="53" t="s">
        <v>42</v>
      </c>
      <c r="D227" s="53" t="s">
        <v>40</v>
      </c>
      <c r="E227" s="53" t="s">
        <v>25</v>
      </c>
      <c r="F227" s="53" t="s">
        <v>25</v>
      </c>
      <c r="G227" s="53" t="s">
        <v>25</v>
      </c>
      <c r="H227" s="53" t="s">
        <v>35</v>
      </c>
      <c r="I227" s="75">
        <v>44652</v>
      </c>
      <c r="J227" s="76">
        <f ca="1">EFEITO!$J$227*EFEITO!$Y$227</f>
        <v>-30.337295464550692</v>
      </c>
      <c r="K227" s="76">
        <f ca="1">EFEITO!$L$227*EFEITO!$Z$227</f>
        <v>0</v>
      </c>
      <c r="L227" s="76">
        <f>EFEITO!$N$227*EFEITO!$AA$227</f>
        <v>0</v>
      </c>
      <c r="M227" s="76">
        <f ca="1">$J$227-EFEITO!$K$227*EFEITO!$Y$227</f>
        <v>0</v>
      </c>
      <c r="N227" s="76">
        <f ca="1">$K$227-EFEITO!$M$227*EFEITO!$Z$227</f>
        <v>0</v>
      </c>
      <c r="O227" s="76">
        <f>$L$227-EFEITO!$O$227*EFEITO!$AA$227</f>
        <v>0</v>
      </c>
      <c r="P227" s="57"/>
      <c r="Q227" s="57"/>
      <c r="R227" s="57"/>
      <c r="S227" s="57"/>
      <c r="T227" s="57"/>
      <c r="U227" s="57"/>
      <c r="V227" s="57"/>
      <c r="W227" s="57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1.25" customHeight="1" x14ac:dyDescent="0.2">
      <c r="A228" s="53" t="s">
        <v>56</v>
      </c>
      <c r="B228" s="53" t="s">
        <v>41</v>
      </c>
      <c r="C228" s="53" t="s">
        <v>42</v>
      </c>
      <c r="D228" s="53" t="s">
        <v>40</v>
      </c>
      <c r="E228" s="53" t="s">
        <v>25</v>
      </c>
      <c r="F228" s="53" t="s">
        <v>25</v>
      </c>
      <c r="G228" s="53" t="s">
        <v>25</v>
      </c>
      <c r="H228" s="53" t="s">
        <v>35</v>
      </c>
      <c r="I228" s="75">
        <v>44652</v>
      </c>
      <c r="J228" s="76">
        <f ca="1">EFEITO!$J$228*EFEITO!$Y$228</f>
        <v>3033.7295464550693</v>
      </c>
      <c r="K228" s="76">
        <f ca="1">EFEITO!$L$228*EFEITO!$Z$228</f>
        <v>7.0906433147750638</v>
      </c>
      <c r="L228" s="76">
        <f>EFEITO!$N$228*EFEITO!$AA$228</f>
        <v>39.422376830034878</v>
      </c>
      <c r="M228" s="76">
        <f ca="1">$J$228-EFEITO!$K$228*EFEITO!$Y$228</f>
        <v>0</v>
      </c>
      <c r="N228" s="76">
        <f ca="1">$K$228-EFEITO!$M$228*EFEITO!$Z$228</f>
        <v>0</v>
      </c>
      <c r="O228" s="76">
        <f>$L$228-EFEITO!$O$228*EFEITO!$AA$228</f>
        <v>0</v>
      </c>
      <c r="P228" s="57"/>
      <c r="Q228" s="57"/>
      <c r="R228" s="57"/>
      <c r="S228" s="57"/>
      <c r="T228" s="57"/>
      <c r="U228" s="57"/>
      <c r="V228" s="57"/>
      <c r="W228" s="57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1.25" customHeight="1" x14ac:dyDescent="0.2">
      <c r="A229" s="53" t="s">
        <v>56</v>
      </c>
      <c r="B229" s="53" t="s">
        <v>41</v>
      </c>
      <c r="C229" s="53" t="s">
        <v>42</v>
      </c>
      <c r="D229" s="53" t="s">
        <v>40</v>
      </c>
      <c r="E229" s="53" t="s">
        <v>25</v>
      </c>
      <c r="F229" s="53" t="s">
        <v>25</v>
      </c>
      <c r="G229" s="53" t="s">
        <v>25</v>
      </c>
      <c r="H229" s="53" t="s">
        <v>35</v>
      </c>
      <c r="I229" s="75">
        <v>44652</v>
      </c>
      <c r="J229" s="76">
        <f ca="1">EFEITO!$J$229*EFEITO!$Y$229</f>
        <v>1154334.0924261538</v>
      </c>
      <c r="K229" s="76">
        <f ca="1">EFEITO!$L$229*EFEITO!$Z$229</f>
        <v>0</v>
      </c>
      <c r="L229" s="76">
        <f>EFEITO!$N$229*EFEITO!$AA$229</f>
        <v>0</v>
      </c>
      <c r="M229" s="76">
        <f ca="1">$J$229-EFEITO!$K$229*EFEITO!$Y$229</f>
        <v>0</v>
      </c>
      <c r="N229" s="76">
        <f ca="1">$K$229-EFEITO!$M$229*EFEITO!$Z$229</f>
        <v>0</v>
      </c>
      <c r="O229" s="76">
        <f>$L$229-EFEITO!$O$229*EFEITO!$AA$229</f>
        <v>0</v>
      </c>
      <c r="P229" s="57"/>
      <c r="Q229" s="57"/>
      <c r="R229" s="57"/>
      <c r="S229" s="57"/>
      <c r="T229" s="57"/>
      <c r="U229" s="57"/>
      <c r="V229" s="57"/>
      <c r="W229" s="57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1.25" customHeight="1" x14ac:dyDescent="0.2">
      <c r="A230" s="53" t="s">
        <v>21</v>
      </c>
      <c r="B230" s="53" t="s">
        <v>41</v>
      </c>
      <c r="C230" s="53" t="s">
        <v>42</v>
      </c>
      <c r="D230" s="53" t="s">
        <v>45</v>
      </c>
      <c r="E230" s="53" t="s">
        <v>53</v>
      </c>
      <c r="F230" s="53" t="s">
        <v>55</v>
      </c>
      <c r="G230" s="53" t="s">
        <v>25</v>
      </c>
      <c r="H230" s="53" t="s">
        <v>36</v>
      </c>
      <c r="I230" s="75">
        <v>44317</v>
      </c>
      <c r="J230" s="76">
        <f ca="1">EFEITO!$J$230*EFEITO!$Y$176</f>
        <v>0</v>
      </c>
      <c r="K230" s="76">
        <f ca="1">EFEITO!$L$230*EFEITO!$Z$176</f>
        <v>30393.242012280032</v>
      </c>
      <c r="L230" s="76">
        <f>EFEITO!$N$230*EFEITO!$AA$176</f>
        <v>108085.26793482855</v>
      </c>
      <c r="M230" s="76">
        <f ca="1">$J$230-EFEITO!$K$230*EFEITO!$Y$230</f>
        <v>0</v>
      </c>
      <c r="N230" s="76">
        <f ca="1">$K$230-EFEITO!$M$230*EFEITO!$Z$230</f>
        <v>27353.91781105203</v>
      </c>
      <c r="O230" s="76">
        <f>$L$230-EFEITO!$O$230*EFEITO!$AA$230</f>
        <v>97276.741141345687</v>
      </c>
      <c r="P230" s="57"/>
      <c r="Q230" s="57"/>
      <c r="R230" s="57"/>
      <c r="S230" s="57"/>
      <c r="T230" s="57"/>
      <c r="U230" s="57"/>
      <c r="V230" s="57"/>
      <c r="W230" s="57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1.25" customHeight="1" x14ac:dyDescent="0.2">
      <c r="A231" s="53" t="s">
        <v>21</v>
      </c>
      <c r="B231" s="53" t="s">
        <v>41</v>
      </c>
      <c r="C231" s="53" t="s">
        <v>42</v>
      </c>
      <c r="D231" s="53" t="s">
        <v>45</v>
      </c>
      <c r="E231" s="53" t="s">
        <v>53</v>
      </c>
      <c r="F231" s="53" t="s">
        <v>55</v>
      </c>
      <c r="G231" s="53" t="s">
        <v>25</v>
      </c>
      <c r="H231" s="53" t="s">
        <v>36</v>
      </c>
      <c r="I231" s="75">
        <v>44348</v>
      </c>
      <c r="J231" s="76">
        <f ca="1">EFEITO!$J$231*EFEITO!$Y$176</f>
        <v>0</v>
      </c>
      <c r="K231" s="76">
        <f ca="1">EFEITO!$L$231*EFEITO!$Z$176</f>
        <v>30197.220034190927</v>
      </c>
      <c r="L231" s="76">
        <f>EFEITO!$N$231*EFEITO!$AA$176</f>
        <v>107388.16928328239</v>
      </c>
      <c r="M231" s="76">
        <f ca="1">$J$231-EFEITO!$K$231*EFEITO!$Y$231</f>
        <v>0</v>
      </c>
      <c r="N231" s="76">
        <f ca="1">$K$231-EFEITO!$M$231*EFEITO!$Z$231</f>
        <v>27177.498030771836</v>
      </c>
      <c r="O231" s="76">
        <f>$L$231-EFEITO!$O$231*EFEITO!$AA$231</f>
        <v>96649.352354954157</v>
      </c>
      <c r="P231" s="57"/>
      <c r="Q231" s="57"/>
      <c r="R231" s="57"/>
      <c r="S231" s="57"/>
      <c r="T231" s="57"/>
      <c r="U231" s="57"/>
      <c r="V231" s="57"/>
      <c r="W231" s="57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1.25" customHeight="1" x14ac:dyDescent="0.2">
      <c r="A232" s="53" t="s">
        <v>21</v>
      </c>
      <c r="B232" s="53" t="s">
        <v>41</v>
      </c>
      <c r="C232" s="53" t="s">
        <v>42</v>
      </c>
      <c r="D232" s="53" t="s">
        <v>45</v>
      </c>
      <c r="E232" s="53" t="s">
        <v>53</v>
      </c>
      <c r="F232" s="53" t="s">
        <v>55</v>
      </c>
      <c r="G232" s="53" t="s">
        <v>25</v>
      </c>
      <c r="H232" s="53" t="s">
        <v>36</v>
      </c>
      <c r="I232" s="75">
        <v>44378</v>
      </c>
      <c r="J232" s="76">
        <f ca="1">EFEITO!$J$232*EFEITO!$Y$176</f>
        <v>0</v>
      </c>
      <c r="K232" s="76">
        <f ca="1">EFEITO!$L$232*EFEITO!$Z$176</f>
        <v>59390.847187173415</v>
      </c>
      <c r="L232" s="76">
        <f>EFEITO!$N$232*EFEITO!$AA$176</f>
        <v>211207.33446298569</v>
      </c>
      <c r="M232" s="76">
        <f ca="1">$J$232-EFEITO!$K$232*EFEITO!$Y$232</f>
        <v>0</v>
      </c>
      <c r="N232" s="76">
        <f ca="1">$K$232-EFEITO!$M$232*EFEITO!$Z$232</f>
        <v>53451.762468456072</v>
      </c>
      <c r="O232" s="76">
        <f>$L$232-EFEITO!$O$232*EFEITO!$AA$232</f>
        <v>190086.60101668711</v>
      </c>
      <c r="P232" s="57"/>
      <c r="Q232" s="57"/>
      <c r="R232" s="57"/>
      <c r="S232" s="57"/>
      <c r="T232" s="57"/>
      <c r="U232" s="57"/>
      <c r="V232" s="57"/>
      <c r="W232" s="57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1.25" customHeight="1" x14ac:dyDescent="0.2">
      <c r="A233" s="53" t="s">
        <v>21</v>
      </c>
      <c r="B233" s="53" t="s">
        <v>41</v>
      </c>
      <c r="C233" s="53" t="s">
        <v>42</v>
      </c>
      <c r="D233" s="53" t="s">
        <v>45</v>
      </c>
      <c r="E233" s="53" t="s">
        <v>53</v>
      </c>
      <c r="F233" s="53" t="s">
        <v>55</v>
      </c>
      <c r="G233" s="53" t="s">
        <v>25</v>
      </c>
      <c r="H233" s="53" t="s">
        <v>36</v>
      </c>
      <c r="I233" s="75">
        <v>44409</v>
      </c>
      <c r="J233" s="76">
        <f ca="1">EFEITO!$J$233*EFEITO!$Y$176</f>
        <v>0</v>
      </c>
      <c r="K233" s="76">
        <f ca="1">EFEITO!$L$233*EFEITO!$Z$176</f>
        <v>11645.733574967768</v>
      </c>
      <c r="L233" s="76">
        <f>EFEITO!$N$233*EFEITO!$AA$176</f>
        <v>41414.872202164013</v>
      </c>
      <c r="M233" s="76">
        <f ca="1">$J$233-EFEITO!$K$233*EFEITO!$Y$233</f>
        <v>0</v>
      </c>
      <c r="N233" s="76">
        <f ca="1">$K$233-EFEITO!$M$233*EFEITO!$Z$233</f>
        <v>10481.160217470991</v>
      </c>
      <c r="O233" s="76">
        <f>$L$233-EFEITO!$O$233*EFEITO!$AA$233</f>
        <v>37273.384981947609</v>
      </c>
      <c r="P233" s="57"/>
      <c r="Q233" s="57"/>
      <c r="R233" s="57"/>
      <c r="S233" s="57"/>
      <c r="T233" s="57"/>
      <c r="U233" s="57"/>
      <c r="V233" s="57"/>
      <c r="W233" s="57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1.25" customHeight="1" x14ac:dyDescent="0.2">
      <c r="A234" s="53" t="s">
        <v>27</v>
      </c>
      <c r="B234" s="53" t="s">
        <v>41</v>
      </c>
      <c r="C234" s="53" t="s">
        <v>42</v>
      </c>
      <c r="D234" s="53" t="s">
        <v>45</v>
      </c>
      <c r="E234" s="53" t="s">
        <v>53</v>
      </c>
      <c r="F234" s="53" t="s">
        <v>55</v>
      </c>
      <c r="G234" s="53" t="s">
        <v>25</v>
      </c>
      <c r="H234" s="53" t="s">
        <v>36</v>
      </c>
      <c r="I234" s="75">
        <v>44409</v>
      </c>
      <c r="J234" s="76">
        <f ca="1">EFEITO!$J$234*EFEITO!$Y$176</f>
        <v>0</v>
      </c>
      <c r="K234" s="76">
        <f ca="1">EFEITO!$L$234*EFEITO!$Z$176</f>
        <v>-29255.841829808909</v>
      </c>
      <c r="L234" s="76">
        <f>EFEITO!$N$234*EFEITO!$AA$176</f>
        <v>-104040.41469337957</v>
      </c>
      <c r="M234" s="76">
        <f ca="1">$J$234-EFEITO!$K$234*EFEITO!$Y$234</f>
        <v>0</v>
      </c>
      <c r="N234" s="76">
        <f ca="1">$K$234-EFEITO!$M$234*EFEITO!$Z$234</f>
        <v>-26330.257646828017</v>
      </c>
      <c r="O234" s="76">
        <f>$L$234-EFEITO!$O$234*EFEITO!$AA$234</f>
        <v>-93636.373224041614</v>
      </c>
      <c r="P234" s="57"/>
      <c r="Q234" s="57"/>
      <c r="R234" s="57"/>
      <c r="S234" s="57"/>
      <c r="T234" s="57"/>
      <c r="U234" s="57"/>
      <c r="V234" s="57"/>
      <c r="W234" s="57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1.25" customHeight="1" x14ac:dyDescent="0.2">
      <c r="A235" s="53" t="s">
        <v>21</v>
      </c>
      <c r="B235" s="53" t="s">
        <v>41</v>
      </c>
      <c r="C235" s="53" t="s">
        <v>42</v>
      </c>
      <c r="D235" s="53" t="s">
        <v>45</v>
      </c>
      <c r="E235" s="53" t="s">
        <v>53</v>
      </c>
      <c r="F235" s="53" t="s">
        <v>55</v>
      </c>
      <c r="G235" s="53" t="s">
        <v>25</v>
      </c>
      <c r="H235" s="53" t="s">
        <v>36</v>
      </c>
      <c r="I235" s="75">
        <v>44440</v>
      </c>
      <c r="J235" s="76">
        <f ca="1">EFEITO!$J$235*EFEITO!$Y$176</f>
        <v>0</v>
      </c>
      <c r="K235" s="76">
        <f ca="1">EFEITO!$L$235*EFEITO!$Z$176</f>
        <v>197221.05924406619</v>
      </c>
      <c r="L235" s="76">
        <f>EFEITO!$N$235*EFEITO!$AA$176</f>
        <v>701362.85632749647</v>
      </c>
      <c r="M235" s="76">
        <f ca="1">$J$235-EFEITO!$K$235*EFEITO!$Y$235</f>
        <v>0</v>
      </c>
      <c r="N235" s="76">
        <f ca="1">$K$235-EFEITO!$M$235*EFEITO!$Z$235</f>
        <v>177498.95331965957</v>
      </c>
      <c r="O235" s="76">
        <f>$L$235-EFEITO!$O$235*EFEITO!$AA$235</f>
        <v>631226.5706947468</v>
      </c>
      <c r="P235" s="57"/>
      <c r="Q235" s="57"/>
      <c r="R235" s="57"/>
      <c r="S235" s="57"/>
      <c r="T235" s="57"/>
      <c r="U235" s="57"/>
      <c r="V235" s="57"/>
      <c r="W235" s="57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1.25" customHeight="1" x14ac:dyDescent="0.2">
      <c r="A236" s="53" t="s">
        <v>21</v>
      </c>
      <c r="B236" s="53" t="s">
        <v>41</v>
      </c>
      <c r="C236" s="53" t="s">
        <v>42</v>
      </c>
      <c r="D236" s="53" t="s">
        <v>45</v>
      </c>
      <c r="E236" s="53" t="s">
        <v>53</v>
      </c>
      <c r="F236" s="53" t="s">
        <v>55</v>
      </c>
      <c r="G236" s="53" t="s">
        <v>25</v>
      </c>
      <c r="H236" s="53" t="s">
        <v>36</v>
      </c>
      <c r="I236" s="75">
        <v>44470</v>
      </c>
      <c r="J236" s="76">
        <f ca="1">EFEITO!$J$236*EFEITO!$Y$176</f>
        <v>0</v>
      </c>
      <c r="K236" s="76">
        <f ca="1">EFEITO!$L$236*EFEITO!$Z$176</f>
        <v>473220.15688047791</v>
      </c>
      <c r="L236" s="76">
        <f>EFEITO!$N$236*EFEITO!$AA$176</f>
        <v>1682878.2999826821</v>
      </c>
      <c r="M236" s="76">
        <f ca="1">$J$236-EFEITO!$K$236*EFEITO!$Y$236</f>
        <v>0</v>
      </c>
      <c r="N236" s="76">
        <f ca="1">$K$236-EFEITO!$M$236*EFEITO!$Z$236</f>
        <v>425898.14119243011</v>
      </c>
      <c r="O236" s="76">
        <f>$L$236-EFEITO!$O$236*EFEITO!$AA$236</f>
        <v>1514590.4699844138</v>
      </c>
      <c r="P236" s="57"/>
      <c r="Q236" s="57"/>
      <c r="R236" s="57"/>
      <c r="S236" s="57"/>
      <c r="T236" s="57"/>
      <c r="U236" s="57"/>
      <c r="V236" s="57"/>
      <c r="W236" s="57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1.25" customHeight="1" x14ac:dyDescent="0.2">
      <c r="A237" s="53" t="s">
        <v>21</v>
      </c>
      <c r="B237" s="53" t="s">
        <v>41</v>
      </c>
      <c r="C237" s="53" t="s">
        <v>42</v>
      </c>
      <c r="D237" s="53" t="s">
        <v>45</v>
      </c>
      <c r="E237" s="53" t="s">
        <v>53</v>
      </c>
      <c r="F237" s="53" t="s">
        <v>55</v>
      </c>
      <c r="G237" s="53" t="s">
        <v>25</v>
      </c>
      <c r="H237" s="53" t="s">
        <v>36</v>
      </c>
      <c r="I237" s="75">
        <v>44501</v>
      </c>
      <c r="J237" s="76">
        <f ca="1">EFEITO!$J$237*EFEITO!$Y$176</f>
        <v>0</v>
      </c>
      <c r="K237" s="76">
        <f ca="1">EFEITO!$L$237*EFEITO!$Z$176</f>
        <v>528126.82024060632</v>
      </c>
      <c r="L237" s="76">
        <f>EFEITO!$N$237*EFEITO!$AA$176</f>
        <v>1878138.8588361638</v>
      </c>
      <c r="M237" s="76">
        <f ca="1">$J$237-EFEITO!$K$237*EFEITO!$Y$237</f>
        <v>0</v>
      </c>
      <c r="N237" s="76">
        <f ca="1">$K$237-EFEITO!$M$237*EFEITO!$Z$237</f>
        <v>475314.13821654569</v>
      </c>
      <c r="O237" s="76">
        <f>$L$237-EFEITO!$O$237*EFEITO!$AA$237</f>
        <v>1690324.9729525475</v>
      </c>
      <c r="P237" s="57"/>
      <c r="Q237" s="57"/>
      <c r="R237" s="57"/>
      <c r="S237" s="57"/>
      <c r="T237" s="57"/>
      <c r="U237" s="57"/>
      <c r="V237" s="57"/>
      <c r="W237" s="57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1.25" customHeight="1" x14ac:dyDescent="0.2">
      <c r="A238" s="53" t="s">
        <v>21</v>
      </c>
      <c r="B238" s="53" t="s">
        <v>41</v>
      </c>
      <c r="C238" s="53" t="s">
        <v>42</v>
      </c>
      <c r="D238" s="53" t="s">
        <v>45</v>
      </c>
      <c r="E238" s="53" t="s">
        <v>53</v>
      </c>
      <c r="F238" s="53" t="s">
        <v>55</v>
      </c>
      <c r="G238" s="53" t="s">
        <v>25</v>
      </c>
      <c r="H238" s="53" t="s">
        <v>36</v>
      </c>
      <c r="I238" s="75">
        <v>44531</v>
      </c>
      <c r="J238" s="76">
        <f ca="1">EFEITO!$J$238*EFEITO!$Y$176</f>
        <v>0</v>
      </c>
      <c r="K238" s="76">
        <f ca="1">EFEITO!$L$238*EFEITO!$Z$176</f>
        <v>514523.53540642513</v>
      </c>
      <c r="L238" s="76">
        <f>EFEITO!$N$238*EFEITO!$AA$176</f>
        <v>1829762.4899873848</v>
      </c>
      <c r="M238" s="76">
        <f ca="1">$J$238-EFEITO!$K$238*EFEITO!$Y$238</f>
        <v>0</v>
      </c>
      <c r="N238" s="76">
        <f ca="1">$K$238-EFEITO!$M$238*EFEITO!$Z$238</f>
        <v>463071.18186578259</v>
      </c>
      <c r="O238" s="76">
        <f>$L$238-EFEITO!$O$238*EFEITO!$AA$238</f>
        <v>1646786.2409886462</v>
      </c>
      <c r="P238" s="57"/>
      <c r="Q238" s="57"/>
      <c r="R238" s="57"/>
      <c r="S238" s="57"/>
      <c r="T238" s="57"/>
      <c r="U238" s="57"/>
      <c r="V238" s="57"/>
      <c r="W238" s="57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1.25" customHeight="1" x14ac:dyDescent="0.2">
      <c r="A239" s="53" t="s">
        <v>21</v>
      </c>
      <c r="B239" s="53" t="s">
        <v>41</v>
      </c>
      <c r="C239" s="53" t="s">
        <v>42</v>
      </c>
      <c r="D239" s="53" t="s">
        <v>45</v>
      </c>
      <c r="E239" s="53" t="s">
        <v>53</v>
      </c>
      <c r="F239" s="53" t="s">
        <v>55</v>
      </c>
      <c r="G239" s="53" t="s">
        <v>25</v>
      </c>
      <c r="H239" s="53" t="s">
        <v>36</v>
      </c>
      <c r="I239" s="75">
        <v>44562</v>
      </c>
      <c r="J239" s="76">
        <f ca="1">EFEITO!$J$239*EFEITO!$Y$176</f>
        <v>0</v>
      </c>
      <c r="K239" s="76">
        <f ca="1">EFEITO!$L$239*EFEITO!$Z$176</f>
        <v>432083.98029850161</v>
      </c>
      <c r="L239" s="76">
        <f>EFEITO!$N$239*EFEITO!$AA$176</f>
        <v>1536588.7180459842</v>
      </c>
      <c r="M239" s="76">
        <f ca="1">$J$239-EFEITO!$K$239*EFEITO!$Y$239</f>
        <v>0</v>
      </c>
      <c r="N239" s="76">
        <f ca="1">$K$239-EFEITO!$M$239*EFEITO!$Z$239</f>
        <v>388875.58226865146</v>
      </c>
      <c r="O239" s="76">
        <f>$L$239-EFEITO!$O$239*EFEITO!$AA$239</f>
        <v>1382929.8462413857</v>
      </c>
      <c r="P239" s="57"/>
      <c r="Q239" s="57"/>
      <c r="R239" s="57"/>
      <c r="S239" s="57"/>
      <c r="T239" s="57"/>
      <c r="U239" s="57"/>
      <c r="V239" s="57"/>
      <c r="W239" s="57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1.25" customHeight="1" x14ac:dyDescent="0.2">
      <c r="A240" s="53" t="s">
        <v>21</v>
      </c>
      <c r="B240" s="53" t="s">
        <v>41</v>
      </c>
      <c r="C240" s="53" t="s">
        <v>42</v>
      </c>
      <c r="D240" s="53" t="s">
        <v>45</v>
      </c>
      <c r="E240" s="53" t="s">
        <v>53</v>
      </c>
      <c r="F240" s="53" t="s">
        <v>55</v>
      </c>
      <c r="G240" s="53" t="s">
        <v>25</v>
      </c>
      <c r="H240" s="53" t="s">
        <v>36</v>
      </c>
      <c r="I240" s="75">
        <v>44593</v>
      </c>
      <c r="J240" s="76">
        <f ca="1">EFEITO!$J$240*EFEITO!$Y$176</f>
        <v>0</v>
      </c>
      <c r="K240" s="76">
        <f ca="1">EFEITO!$L$240*EFEITO!$Z$176</f>
        <v>421769.45782327553</v>
      </c>
      <c r="L240" s="76">
        <f>EFEITO!$N$240*EFEITO!$AA$176</f>
        <v>1499907.9347026285</v>
      </c>
      <c r="M240" s="76">
        <f ca="1">$J$240-EFEITO!$K$240*EFEITO!$Y$240</f>
        <v>0</v>
      </c>
      <c r="N240" s="76">
        <f ca="1">$K$240-EFEITO!$M$240*EFEITO!$Z$240</f>
        <v>379592.51204094797</v>
      </c>
      <c r="O240" s="76">
        <f>$L$240-EFEITO!$O$240*EFEITO!$AA$240</f>
        <v>1349917.1412323657</v>
      </c>
      <c r="P240" s="57"/>
      <c r="Q240" s="57"/>
      <c r="R240" s="57"/>
      <c r="S240" s="57"/>
      <c r="T240" s="57"/>
      <c r="U240" s="57"/>
      <c r="V240" s="57"/>
      <c r="W240" s="57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1.25" customHeight="1" x14ac:dyDescent="0.2">
      <c r="A241" s="53" t="s">
        <v>21</v>
      </c>
      <c r="B241" s="53" t="s">
        <v>41</v>
      </c>
      <c r="C241" s="53" t="s">
        <v>42</v>
      </c>
      <c r="D241" s="53" t="s">
        <v>45</v>
      </c>
      <c r="E241" s="53" t="s">
        <v>53</v>
      </c>
      <c r="F241" s="53" t="s">
        <v>55</v>
      </c>
      <c r="G241" s="53" t="s">
        <v>25</v>
      </c>
      <c r="H241" s="53" t="s">
        <v>36</v>
      </c>
      <c r="I241" s="75">
        <v>44621</v>
      </c>
      <c r="J241" s="76">
        <f ca="1">EFEITO!$J$241*EFEITO!$Y$176</f>
        <v>0</v>
      </c>
      <c r="K241" s="76">
        <f ca="1">EFEITO!$L$241*EFEITO!$Z$176</f>
        <v>216349.70882041674</v>
      </c>
      <c r="L241" s="76">
        <f>EFEITO!$N$241*EFEITO!$AA$176</f>
        <v>769388.6764705379</v>
      </c>
      <c r="M241" s="76">
        <f ca="1">$J$241-EFEITO!$K$241*EFEITO!$Y$241</f>
        <v>0</v>
      </c>
      <c r="N241" s="76">
        <f ca="1">$K$241-EFEITO!$M$241*EFEITO!$Z$241</f>
        <v>194714.73793837507</v>
      </c>
      <c r="O241" s="76">
        <f>$L$241-EFEITO!$O$241*EFEITO!$AA$241</f>
        <v>692449.80882348411</v>
      </c>
      <c r="P241" s="57"/>
      <c r="Q241" s="57"/>
      <c r="R241" s="57"/>
      <c r="S241" s="57"/>
      <c r="T241" s="57"/>
      <c r="U241" s="57"/>
      <c r="V241" s="57"/>
      <c r="W241" s="57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1.25" customHeight="1" x14ac:dyDescent="0.2">
      <c r="A242" s="53" t="s">
        <v>56</v>
      </c>
      <c r="B242" s="53" t="s">
        <v>41</v>
      </c>
      <c r="C242" s="53" t="s">
        <v>42</v>
      </c>
      <c r="D242" s="53" t="s">
        <v>45</v>
      </c>
      <c r="E242" s="53" t="s">
        <v>53</v>
      </c>
      <c r="F242" s="53" t="s">
        <v>55</v>
      </c>
      <c r="G242" s="53" t="s">
        <v>25</v>
      </c>
      <c r="H242" s="53" t="s">
        <v>36</v>
      </c>
      <c r="I242" s="75">
        <v>44652</v>
      </c>
      <c r="J242" s="76">
        <f ca="1">EFEITO!$J$242*EFEITO!$Y$176</f>
        <v>0</v>
      </c>
      <c r="K242" s="76">
        <f ca="1">EFEITO!$L$242*EFEITO!$Z$176</f>
        <v>216349.70882041674</v>
      </c>
      <c r="L242" s="76">
        <f>EFEITO!$N$242*EFEITO!$AA$176</f>
        <v>769388.6764705379</v>
      </c>
      <c r="M242" s="76">
        <f ca="1">$J$242-EFEITO!$K$242*EFEITO!$Y$242</f>
        <v>0</v>
      </c>
      <c r="N242" s="76">
        <f ca="1">$K$242-EFEITO!$M$242*EFEITO!$Z$242</f>
        <v>194714.73793837507</v>
      </c>
      <c r="O242" s="76">
        <f>$L$242-EFEITO!$O$242*EFEITO!$AA$242</f>
        <v>692449.80882348411</v>
      </c>
      <c r="P242" s="57"/>
      <c r="Q242" s="57"/>
      <c r="R242" s="57"/>
      <c r="S242" s="57"/>
      <c r="T242" s="57"/>
      <c r="U242" s="57"/>
      <c r="V242" s="57"/>
      <c r="W242" s="57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1.25" customHeight="1" x14ac:dyDescent="0.2">
      <c r="A243" s="53" t="s">
        <v>21</v>
      </c>
      <c r="B243" s="53" t="s">
        <v>41</v>
      </c>
      <c r="C243" s="53" t="s">
        <v>42</v>
      </c>
      <c r="D243" s="53" t="s">
        <v>45</v>
      </c>
      <c r="E243" s="53" t="s">
        <v>53</v>
      </c>
      <c r="F243" s="53" t="s">
        <v>25</v>
      </c>
      <c r="G243" s="53" t="s">
        <v>25</v>
      </c>
      <c r="H243" s="53" t="s">
        <v>36</v>
      </c>
      <c r="I243" s="75">
        <v>44317</v>
      </c>
      <c r="J243" s="76">
        <f ca="1">EFEITO!$J$243*EFEITO!$Y$176</f>
        <v>101364.72176239041</v>
      </c>
      <c r="K243" s="76">
        <f ca="1">EFEITO!$L$243*EFEITO!$Z$176</f>
        <v>56180.158148157367</v>
      </c>
      <c r="L243" s="76">
        <f>EFEITO!$N$243*EFEITO!$AA$176</f>
        <v>199789.39540609752</v>
      </c>
      <c r="M243" s="76">
        <f ca="1">$J$243-EFEITO!$K$243*EFEITO!$Y$243</f>
        <v>2027.294435247808</v>
      </c>
      <c r="N243" s="76">
        <f ca="1">$K$243-EFEITO!$M$243*EFEITO!$Z$243</f>
        <v>1123.6031629631398</v>
      </c>
      <c r="O243" s="76">
        <f>$L$243-EFEITO!$O$243*EFEITO!$AA$243</f>
        <v>3995.7879081219435</v>
      </c>
      <c r="P243" s="57"/>
      <c r="Q243" s="57"/>
      <c r="R243" s="57"/>
      <c r="S243" s="57"/>
      <c r="T243" s="57"/>
      <c r="U243" s="57"/>
      <c r="V243" s="57"/>
      <c r="W243" s="57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1.25" customHeight="1" x14ac:dyDescent="0.2">
      <c r="A244" s="53" t="s">
        <v>21</v>
      </c>
      <c r="B244" s="53" t="s">
        <v>41</v>
      </c>
      <c r="C244" s="53" t="s">
        <v>42</v>
      </c>
      <c r="D244" s="53" t="s">
        <v>45</v>
      </c>
      <c r="E244" s="53" t="s">
        <v>53</v>
      </c>
      <c r="F244" s="53" t="s">
        <v>25</v>
      </c>
      <c r="G244" s="53" t="s">
        <v>25</v>
      </c>
      <c r="H244" s="53" t="s">
        <v>36</v>
      </c>
      <c r="I244" s="75">
        <v>44348</v>
      </c>
      <c r="J244" s="76">
        <f ca="1">EFEITO!$J$244*EFEITO!$Y$176</f>
        <v>93356.22230035055</v>
      </c>
      <c r="K244" s="76">
        <f ca="1">EFEITO!$L$244*EFEITO!$Z$176</f>
        <v>51970.75581042908</v>
      </c>
      <c r="L244" s="76">
        <f>EFEITO!$N$244*EFEITO!$AA$176</f>
        <v>184819.8051486637</v>
      </c>
      <c r="M244" s="76">
        <f ca="1">$J$244-EFEITO!$K$244*EFEITO!$Y$244</f>
        <v>1867.1244460070156</v>
      </c>
      <c r="N244" s="76">
        <f ca="1">$K$244-EFEITO!$M$244*EFEITO!$Z$244</f>
        <v>1039.4151162085764</v>
      </c>
      <c r="O244" s="76">
        <f>$L$244-EFEITO!$O$244*EFEITO!$AA$244</f>
        <v>3696.3961029732891</v>
      </c>
      <c r="P244" s="57"/>
      <c r="Q244" s="57"/>
      <c r="R244" s="57"/>
      <c r="S244" s="57"/>
      <c r="T244" s="57"/>
      <c r="U244" s="57"/>
      <c r="V244" s="57"/>
      <c r="W244" s="57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1.25" customHeight="1" x14ac:dyDescent="0.2">
      <c r="A245" s="53" t="s">
        <v>21</v>
      </c>
      <c r="B245" s="53" t="s">
        <v>41</v>
      </c>
      <c r="C245" s="53" t="s">
        <v>42</v>
      </c>
      <c r="D245" s="53" t="s">
        <v>45</v>
      </c>
      <c r="E245" s="53" t="s">
        <v>53</v>
      </c>
      <c r="F245" s="53" t="s">
        <v>25</v>
      </c>
      <c r="G245" s="53" t="s">
        <v>25</v>
      </c>
      <c r="H245" s="53" t="s">
        <v>36</v>
      </c>
      <c r="I245" s="75">
        <v>44378</v>
      </c>
      <c r="J245" s="76">
        <f ca="1">EFEITO!$J$245*EFEITO!$Y$176</f>
        <v>99975.492263873297</v>
      </c>
      <c r="K245" s="76">
        <f ca="1">EFEITO!$L$245*EFEITO!$Z$176</f>
        <v>101161.97944146632</v>
      </c>
      <c r="L245" s="76">
        <f>EFEITO!$N$245*EFEITO!$AA$176</f>
        <v>359754.96290690877</v>
      </c>
      <c r="M245" s="76">
        <f ca="1">$J$245-EFEITO!$K$245*EFEITO!$Y$245</f>
        <v>1999.5098452774691</v>
      </c>
      <c r="N245" s="76">
        <f ca="1">$K$245-EFEITO!$M$245*EFEITO!$Z$245</f>
        <v>2023.2395888293104</v>
      </c>
      <c r="O245" s="76">
        <f>$L$245-EFEITO!$O$245*EFEITO!$AA$245</f>
        <v>7195.0992581381579</v>
      </c>
      <c r="P245" s="57"/>
      <c r="Q245" s="57"/>
      <c r="R245" s="57"/>
      <c r="S245" s="57"/>
      <c r="T245" s="57"/>
      <c r="U245" s="57"/>
      <c r="V245" s="57"/>
      <c r="W245" s="57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1.25" customHeight="1" x14ac:dyDescent="0.2">
      <c r="A246" s="53" t="s">
        <v>21</v>
      </c>
      <c r="B246" s="53" t="s">
        <v>41</v>
      </c>
      <c r="C246" s="53" t="s">
        <v>42</v>
      </c>
      <c r="D246" s="53" t="s">
        <v>45</v>
      </c>
      <c r="E246" s="53" t="s">
        <v>53</v>
      </c>
      <c r="F246" s="53" t="s">
        <v>25</v>
      </c>
      <c r="G246" s="53" t="s">
        <v>25</v>
      </c>
      <c r="H246" s="53" t="s">
        <v>36</v>
      </c>
      <c r="I246" s="75">
        <v>44409</v>
      </c>
      <c r="J246" s="76">
        <f ca="1">EFEITO!$J$246*EFEITO!$Y$176</f>
        <v>82127.979177041576</v>
      </c>
      <c r="K246" s="76">
        <f ca="1">EFEITO!$L$246*EFEITO!$Z$176</f>
        <v>26364.536713863745</v>
      </c>
      <c r="L246" s="76">
        <f>EFEITO!$N$246*EFEITO!$AA$176</f>
        <v>93758.277367851464</v>
      </c>
      <c r="M246" s="76">
        <f ca="1">$J$246-EFEITO!$K$246*EFEITO!$Y$246</f>
        <v>1642.5595835408312</v>
      </c>
      <c r="N246" s="76">
        <f ca="1">$K$246-EFEITO!$M$246*EFEITO!$Z$246</f>
        <v>527.29073427727417</v>
      </c>
      <c r="O246" s="76">
        <f>$L$246-EFEITO!$O$246*EFEITO!$AA$246</f>
        <v>1875.1655473570281</v>
      </c>
      <c r="P246" s="57"/>
      <c r="Q246" s="57"/>
      <c r="R246" s="57"/>
      <c r="S246" s="57"/>
      <c r="T246" s="57"/>
      <c r="U246" s="57"/>
      <c r="V246" s="57"/>
      <c r="W246" s="57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1.25" customHeight="1" x14ac:dyDescent="0.2">
      <c r="A247" s="53" t="s">
        <v>27</v>
      </c>
      <c r="B247" s="53" t="s">
        <v>41</v>
      </c>
      <c r="C247" s="53" t="s">
        <v>42</v>
      </c>
      <c r="D247" s="53" t="s">
        <v>45</v>
      </c>
      <c r="E247" s="53" t="s">
        <v>53</v>
      </c>
      <c r="F247" s="53" t="s">
        <v>25</v>
      </c>
      <c r="G247" s="53" t="s">
        <v>25</v>
      </c>
      <c r="H247" s="53" t="s">
        <v>36</v>
      </c>
      <c r="I247" s="75">
        <v>44409</v>
      </c>
      <c r="J247" s="76">
        <f ca="1">EFEITO!$J$247*EFEITO!$Y$176</f>
        <v>2549.644726690246</v>
      </c>
      <c r="K247" s="76">
        <f ca="1">EFEITO!$L$247*EFEITO!$Z$176</f>
        <v>-44607.618310632439</v>
      </c>
      <c r="L247" s="76">
        <f>EFEITO!$N$247*EFEITO!$AA$176</f>
        <v>-158634.81674943498</v>
      </c>
      <c r="M247" s="76">
        <f ca="1">$J$247-EFEITO!$K$247*EFEITO!$Y$247</f>
        <v>50.992894533804701</v>
      </c>
      <c r="N247" s="76">
        <f ca="1">$K$247-EFEITO!$M$247*EFEITO!$Z$247</f>
        <v>-892.15236621264194</v>
      </c>
      <c r="O247" s="76">
        <f>$L$247-EFEITO!$O$247*EFEITO!$AA$247</f>
        <v>-3172.6963349886937</v>
      </c>
      <c r="P247" s="57"/>
      <c r="Q247" s="57"/>
      <c r="R247" s="57"/>
      <c r="S247" s="57"/>
      <c r="T247" s="57"/>
      <c r="U247" s="57"/>
      <c r="V247" s="57"/>
      <c r="W247" s="57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1.25" customHeight="1" x14ac:dyDescent="0.2">
      <c r="A248" s="53" t="s">
        <v>21</v>
      </c>
      <c r="B248" s="53" t="s">
        <v>41</v>
      </c>
      <c r="C248" s="53" t="s">
        <v>42</v>
      </c>
      <c r="D248" s="53" t="s">
        <v>45</v>
      </c>
      <c r="E248" s="53" t="s">
        <v>53</v>
      </c>
      <c r="F248" s="53" t="s">
        <v>25</v>
      </c>
      <c r="G248" s="53" t="s">
        <v>25</v>
      </c>
      <c r="H248" s="53" t="s">
        <v>36</v>
      </c>
      <c r="I248" s="75">
        <v>44440</v>
      </c>
      <c r="J248" s="76">
        <f ca="1">EFEITO!$J$248*EFEITO!$Y$176</f>
        <v>446531.04857630905</v>
      </c>
      <c r="K248" s="76">
        <f ca="1">EFEITO!$L$248*EFEITO!$Z$176</f>
        <v>295829.18719658948</v>
      </c>
      <c r="L248" s="76">
        <f>EFEITO!$N$248*EFEITO!$AA$176</f>
        <v>1052035.7436092829</v>
      </c>
      <c r="M248" s="76">
        <f ca="1">$J$248-EFEITO!$K$248*EFEITO!$Y$248</f>
        <v>8930.6209715261939</v>
      </c>
      <c r="N248" s="76">
        <f ca="1">$K$248-EFEITO!$M$248*EFEITO!$Z$248</f>
        <v>5916.5837439317838</v>
      </c>
      <c r="O248" s="76">
        <f>$L$248-EFEITO!$O$248*EFEITO!$AA$248</f>
        <v>21040.71487218549</v>
      </c>
      <c r="P248" s="57"/>
      <c r="Q248" s="57"/>
      <c r="R248" s="57"/>
      <c r="S248" s="57"/>
      <c r="T248" s="57"/>
      <c r="U248" s="57"/>
      <c r="V248" s="57"/>
      <c r="W248" s="57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1.25" customHeight="1" x14ac:dyDescent="0.2">
      <c r="A249" s="53" t="s">
        <v>21</v>
      </c>
      <c r="B249" s="53" t="s">
        <v>41</v>
      </c>
      <c r="C249" s="53" t="s">
        <v>42</v>
      </c>
      <c r="D249" s="53" t="s">
        <v>45</v>
      </c>
      <c r="E249" s="53" t="s">
        <v>53</v>
      </c>
      <c r="F249" s="53" t="s">
        <v>25</v>
      </c>
      <c r="G249" s="53" t="s">
        <v>25</v>
      </c>
      <c r="H249" s="53" t="s">
        <v>36</v>
      </c>
      <c r="I249" s="75">
        <v>44470</v>
      </c>
      <c r="J249" s="76">
        <f ca="1">EFEITO!$J$249*EFEITO!$Y$176</f>
        <v>651434.2276693579</v>
      </c>
      <c r="K249" s="76">
        <f ca="1">EFEITO!$L$249*EFEITO!$Z$176</f>
        <v>724480.53369597497</v>
      </c>
      <c r="L249" s="76">
        <f>EFEITO!$N$249*EFEITO!$AA$176</f>
        <v>2576417.2366494676</v>
      </c>
      <c r="M249" s="76">
        <f ca="1">$J$249-EFEITO!$K$249*EFEITO!$Y$249</f>
        <v>13028.684553387226</v>
      </c>
      <c r="N249" s="76">
        <f ca="1">$K$249-EFEITO!$M$249*EFEITO!$Z$249</f>
        <v>14489.610673919437</v>
      </c>
      <c r="O249" s="76">
        <f>$L$249-EFEITO!$O$249*EFEITO!$AA$249</f>
        <v>51528.344732989091</v>
      </c>
      <c r="P249" s="57"/>
      <c r="Q249" s="57"/>
      <c r="R249" s="57"/>
      <c r="S249" s="57"/>
      <c r="T249" s="57"/>
      <c r="U249" s="57"/>
      <c r="V249" s="57"/>
      <c r="W249" s="57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1.25" customHeight="1" x14ac:dyDescent="0.2">
      <c r="A250" s="53" t="s">
        <v>21</v>
      </c>
      <c r="B250" s="53" t="s">
        <v>41</v>
      </c>
      <c r="C250" s="53" t="s">
        <v>42</v>
      </c>
      <c r="D250" s="53" t="s">
        <v>45</v>
      </c>
      <c r="E250" s="53" t="s">
        <v>53</v>
      </c>
      <c r="F250" s="53" t="s">
        <v>25</v>
      </c>
      <c r="G250" s="53" t="s">
        <v>25</v>
      </c>
      <c r="H250" s="53" t="s">
        <v>36</v>
      </c>
      <c r="I250" s="75">
        <v>44501</v>
      </c>
      <c r="J250" s="76">
        <f ca="1">EFEITO!$J$250*EFEITO!$Y$176</f>
        <v>657399.74257475487</v>
      </c>
      <c r="K250" s="76">
        <f ca="1">EFEITO!$L$250*EFEITO!$Z$176</f>
        <v>711466.83966559113</v>
      </c>
      <c r="L250" s="76">
        <f>EFEITO!$N$250*EFEITO!$AA$176</f>
        <v>2530137.5865375251</v>
      </c>
      <c r="M250" s="76">
        <f ca="1">$J$250-EFEITO!$K$250*EFEITO!$Y$250</f>
        <v>13147.994851495023</v>
      </c>
      <c r="N250" s="76">
        <f ca="1">$K$250-EFEITO!$M$250*EFEITO!$Z$250</f>
        <v>14229.336793311755</v>
      </c>
      <c r="O250" s="76">
        <f>$L$250-EFEITO!$O$250*EFEITO!$AA$250</f>
        <v>50602.751730750315</v>
      </c>
      <c r="P250" s="57"/>
      <c r="Q250" s="57"/>
      <c r="R250" s="57"/>
      <c r="S250" s="57"/>
      <c r="T250" s="57"/>
      <c r="U250" s="57"/>
      <c r="V250" s="57"/>
      <c r="W250" s="57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1.25" customHeight="1" x14ac:dyDescent="0.2">
      <c r="A251" s="53" t="s">
        <v>21</v>
      </c>
      <c r="B251" s="53" t="s">
        <v>41</v>
      </c>
      <c r="C251" s="53" t="s">
        <v>42</v>
      </c>
      <c r="D251" s="53" t="s">
        <v>45</v>
      </c>
      <c r="E251" s="53" t="s">
        <v>53</v>
      </c>
      <c r="F251" s="53" t="s">
        <v>25</v>
      </c>
      <c r="G251" s="53" t="s">
        <v>25</v>
      </c>
      <c r="H251" s="53" t="s">
        <v>36</v>
      </c>
      <c r="I251" s="75">
        <v>44531</v>
      </c>
      <c r="J251" s="76">
        <f ca="1">EFEITO!$J$251*EFEITO!$Y$176</f>
        <v>658821.65982617834</v>
      </c>
      <c r="K251" s="76">
        <f ca="1">EFEITO!$L$251*EFEITO!$Z$176</f>
        <v>705514.43521152867</v>
      </c>
      <c r="L251" s="76">
        <f>EFEITO!$N$251*EFEITO!$AA$176</f>
        <v>2508969.4850887274</v>
      </c>
      <c r="M251" s="76">
        <f ca="1">$J$251-EFEITO!$K$251*EFEITO!$Y$251</f>
        <v>13176.433196523576</v>
      </c>
      <c r="N251" s="76">
        <f ca="1">$K$251-EFEITO!$M$251*EFEITO!$Z$251</f>
        <v>14110.28870423045</v>
      </c>
      <c r="O251" s="76">
        <f>$L$251-EFEITO!$O$251*EFEITO!$AA$251</f>
        <v>50179.389701774344</v>
      </c>
      <c r="P251" s="57"/>
      <c r="Q251" s="57"/>
      <c r="R251" s="57"/>
      <c r="S251" s="57"/>
      <c r="T251" s="57"/>
      <c r="U251" s="57"/>
      <c r="V251" s="57"/>
      <c r="W251" s="57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1.25" customHeight="1" x14ac:dyDescent="0.2">
      <c r="A252" s="53" t="s">
        <v>21</v>
      </c>
      <c r="B252" s="53" t="s">
        <v>41</v>
      </c>
      <c r="C252" s="53" t="s">
        <v>42</v>
      </c>
      <c r="D252" s="53" t="s">
        <v>45</v>
      </c>
      <c r="E252" s="53" t="s">
        <v>53</v>
      </c>
      <c r="F252" s="53" t="s">
        <v>25</v>
      </c>
      <c r="G252" s="53" t="s">
        <v>25</v>
      </c>
      <c r="H252" s="53" t="s">
        <v>36</v>
      </c>
      <c r="I252" s="75">
        <v>44562</v>
      </c>
      <c r="J252" s="76">
        <f ca="1">EFEITO!$J$252*EFEITO!$Y$176</f>
        <v>568570.77405192482</v>
      </c>
      <c r="K252" s="76">
        <f ca="1">EFEITO!$L$252*EFEITO!$Z$176</f>
        <v>561433.02051615843</v>
      </c>
      <c r="L252" s="76">
        <f>EFEITO!$N$252*EFEITO!$AA$176</f>
        <v>1996583.2676037312</v>
      </c>
      <c r="M252" s="76">
        <f ca="1">$J$252-EFEITO!$K$252*EFEITO!$Y$252</f>
        <v>11371.415481038508</v>
      </c>
      <c r="N252" s="76">
        <f ca="1">$K$252-EFEITO!$M$252*EFEITO!$Z$252</f>
        <v>11228.66041032318</v>
      </c>
      <c r="O252" s="76">
        <f>$L$252-EFEITO!$O$252*EFEITO!$AA$252</f>
        <v>39931.665352074662</v>
      </c>
      <c r="P252" s="57"/>
      <c r="Q252" s="57"/>
      <c r="R252" s="57"/>
      <c r="S252" s="57"/>
      <c r="T252" s="57"/>
      <c r="U252" s="57"/>
      <c r="V252" s="57"/>
      <c r="W252" s="57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1.25" customHeight="1" x14ac:dyDescent="0.2">
      <c r="A253" s="53" t="s">
        <v>21</v>
      </c>
      <c r="B253" s="53" t="s">
        <v>41</v>
      </c>
      <c r="C253" s="53" t="s">
        <v>42</v>
      </c>
      <c r="D253" s="53" t="s">
        <v>45</v>
      </c>
      <c r="E253" s="53" t="s">
        <v>53</v>
      </c>
      <c r="F253" s="53" t="s">
        <v>25</v>
      </c>
      <c r="G253" s="53" t="s">
        <v>25</v>
      </c>
      <c r="H253" s="53" t="s">
        <v>36</v>
      </c>
      <c r="I253" s="75">
        <v>44593</v>
      </c>
      <c r="J253" s="76">
        <f ca="1">EFEITO!$J$253*EFEITO!$Y$176</f>
        <v>592727.02344966959</v>
      </c>
      <c r="K253" s="76">
        <f ca="1">EFEITO!$L$253*EFEITO!$Z$176</f>
        <v>509920.33551255905</v>
      </c>
      <c r="L253" s="76">
        <f>EFEITO!$N$253*EFEITO!$AA$176</f>
        <v>1813392.466227331</v>
      </c>
      <c r="M253" s="76">
        <f ca="1">$J$253-EFEITO!$K$253*EFEITO!$Y$253</f>
        <v>11854.540468993364</v>
      </c>
      <c r="N253" s="76">
        <f ca="1">$K$253-EFEITO!$M$253*EFEITO!$Z$253</f>
        <v>10198.406710251118</v>
      </c>
      <c r="O253" s="76">
        <f>$L$253-EFEITO!$O$253*EFEITO!$AA$253</f>
        <v>36267.849324546522</v>
      </c>
      <c r="P253" s="57"/>
      <c r="Q253" s="57"/>
      <c r="R253" s="57"/>
      <c r="S253" s="57"/>
      <c r="T253" s="57"/>
      <c r="U253" s="57"/>
      <c r="V253" s="57"/>
      <c r="W253" s="57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1.25" customHeight="1" x14ac:dyDescent="0.2">
      <c r="A254" s="53" t="s">
        <v>21</v>
      </c>
      <c r="B254" s="53" t="s">
        <v>41</v>
      </c>
      <c r="C254" s="53" t="s">
        <v>42</v>
      </c>
      <c r="D254" s="53" t="s">
        <v>45</v>
      </c>
      <c r="E254" s="53" t="s">
        <v>53</v>
      </c>
      <c r="F254" s="53" t="s">
        <v>25</v>
      </c>
      <c r="G254" s="53" t="s">
        <v>25</v>
      </c>
      <c r="H254" s="53" t="s">
        <v>36</v>
      </c>
      <c r="I254" s="75">
        <v>44621</v>
      </c>
      <c r="J254" s="76">
        <f ca="1">EFEITO!$J$254*EFEITO!$Y$176</f>
        <v>475590.46090999659</v>
      </c>
      <c r="K254" s="76">
        <f ca="1">EFEITO!$L$254*EFEITO!$Z$176</f>
        <v>322170.24091969029</v>
      </c>
      <c r="L254" s="76">
        <f>EFEITO!$N$254*EFEITO!$AA$176</f>
        <v>1145710.510131286</v>
      </c>
      <c r="M254" s="76">
        <f ca="1">$J$254-EFEITO!$K$254*EFEITO!$Y$254</f>
        <v>9511.8092181999236</v>
      </c>
      <c r="N254" s="76">
        <f ca="1">$K$254-EFEITO!$M$254*EFEITO!$Z$254</f>
        <v>6443.4048183937557</v>
      </c>
      <c r="O254" s="76">
        <f>$L$254-EFEITO!$O$254*EFEITO!$AA$254</f>
        <v>22914.21020262572</v>
      </c>
      <c r="P254" s="57"/>
      <c r="Q254" s="57"/>
      <c r="R254" s="57"/>
      <c r="S254" s="57"/>
      <c r="T254" s="57"/>
      <c r="U254" s="57"/>
      <c r="V254" s="57"/>
      <c r="W254" s="57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1.25" customHeight="1" x14ac:dyDescent="0.2">
      <c r="A255" s="53" t="s">
        <v>56</v>
      </c>
      <c r="B255" s="53" t="s">
        <v>41</v>
      </c>
      <c r="C255" s="53" t="s">
        <v>42</v>
      </c>
      <c r="D255" s="53" t="s">
        <v>45</v>
      </c>
      <c r="E255" s="53" t="s">
        <v>53</v>
      </c>
      <c r="F255" s="53" t="s">
        <v>25</v>
      </c>
      <c r="G255" s="53" t="s">
        <v>25</v>
      </c>
      <c r="H255" s="53" t="s">
        <v>36</v>
      </c>
      <c r="I255" s="75">
        <v>44652</v>
      </c>
      <c r="J255" s="76">
        <f ca="1">EFEITO!$J$255*EFEITO!$Y$176</f>
        <v>475590.46090999659</v>
      </c>
      <c r="K255" s="76">
        <f ca="1">EFEITO!$L$255*EFEITO!$Z$176</f>
        <v>322170.24091969029</v>
      </c>
      <c r="L255" s="76">
        <f>EFEITO!$N$255*EFEITO!$AA$176</f>
        <v>1145710.510131286</v>
      </c>
      <c r="M255" s="76">
        <f ca="1">$J$255-EFEITO!$K$255*EFEITO!$Y$255</f>
        <v>9511.8092181999236</v>
      </c>
      <c r="N255" s="76">
        <f ca="1">$K$255-EFEITO!$M$255*EFEITO!$Z$255</f>
        <v>6443.4048183937557</v>
      </c>
      <c r="O255" s="76">
        <f>$L$255-EFEITO!$O$255*EFEITO!$AA$255</f>
        <v>22914.21020262572</v>
      </c>
      <c r="P255" s="57"/>
      <c r="Q255" s="57"/>
      <c r="R255" s="57"/>
      <c r="S255" s="57"/>
      <c r="T255" s="57"/>
      <c r="U255" s="57"/>
      <c r="V255" s="57"/>
      <c r="W255" s="57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1.25" customHeight="1" x14ac:dyDescent="0.2">
      <c r="A256" s="53" t="s">
        <v>21</v>
      </c>
      <c r="B256" s="53" t="s">
        <v>41</v>
      </c>
      <c r="C256" s="53" t="s">
        <v>42</v>
      </c>
      <c r="D256" s="53" t="s">
        <v>45</v>
      </c>
      <c r="E256" s="53" t="s">
        <v>53</v>
      </c>
      <c r="F256" s="53" t="s">
        <v>25</v>
      </c>
      <c r="G256" s="53" t="s">
        <v>25</v>
      </c>
      <c r="H256" s="53" t="s">
        <v>35</v>
      </c>
      <c r="I256" s="75">
        <v>44317</v>
      </c>
      <c r="J256" s="76">
        <f ca="1">EFEITO!$J$256*EFEITO!$Y$228</f>
        <v>80575.856753846645</v>
      </c>
      <c r="K256" s="76">
        <f ca="1">EFEITO!$L$256*EFEITO!$Z$228</f>
        <v>4354.6461604664282</v>
      </c>
      <c r="L256" s="76">
        <f>EFEITO!$N$256*EFEITO!$AA$228</f>
        <v>24210.850028467121</v>
      </c>
      <c r="M256" s="76">
        <f ca="1">$J$256-EFEITO!$K$256*EFEITO!$Y$256</f>
        <v>1611.5171350769378</v>
      </c>
      <c r="N256" s="76">
        <f ca="1">$K$256-EFEITO!$M$256*EFEITO!$Z$256</f>
        <v>87.092923209328546</v>
      </c>
      <c r="O256" s="76">
        <f>$L$256-EFEITO!$O$256*EFEITO!$AA$256</f>
        <v>484.21700056934424</v>
      </c>
      <c r="P256" s="57"/>
      <c r="Q256" s="57"/>
      <c r="R256" s="57"/>
      <c r="S256" s="57"/>
      <c r="T256" s="57"/>
      <c r="U256" s="57"/>
      <c r="V256" s="57"/>
      <c r="W256" s="57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1.25" customHeight="1" x14ac:dyDescent="0.2">
      <c r="A257" s="53" t="s">
        <v>21</v>
      </c>
      <c r="B257" s="53" t="s">
        <v>41</v>
      </c>
      <c r="C257" s="53" t="s">
        <v>42</v>
      </c>
      <c r="D257" s="53" t="s">
        <v>45</v>
      </c>
      <c r="E257" s="53" t="s">
        <v>53</v>
      </c>
      <c r="F257" s="53" t="s">
        <v>25</v>
      </c>
      <c r="G257" s="53" t="s">
        <v>25</v>
      </c>
      <c r="H257" s="53" t="s">
        <v>35</v>
      </c>
      <c r="I257" s="75">
        <v>44348</v>
      </c>
      <c r="J257" s="76">
        <f ca="1">EFEITO!$J$257*EFEITO!$Y$228</f>
        <v>87917.482256267904</v>
      </c>
      <c r="K257" s="76">
        <f ca="1">EFEITO!$L$257*EFEITO!$Z$228</f>
        <v>4226.7096068944647</v>
      </c>
      <c r="L257" s="76">
        <f>EFEITO!$N$257*EFEITO!$AA$228</f>
        <v>23499.551659426274</v>
      </c>
      <c r="M257" s="76">
        <f ca="1">$J$257-EFEITO!$K$257*EFEITO!$Y$257</f>
        <v>1758.3496451253595</v>
      </c>
      <c r="N257" s="76">
        <f ca="1">$K$257-EFEITO!$M$257*EFEITO!$Z$257</f>
        <v>84.534192137889477</v>
      </c>
      <c r="O257" s="76">
        <f>$L$257-EFEITO!$O$257*EFEITO!$AA$257</f>
        <v>469.99103318852576</v>
      </c>
      <c r="P257" s="57"/>
      <c r="Q257" s="57"/>
      <c r="R257" s="57"/>
      <c r="S257" s="57"/>
      <c r="T257" s="57"/>
      <c r="U257" s="57"/>
      <c r="V257" s="57"/>
      <c r="W257" s="57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1.25" customHeight="1" x14ac:dyDescent="0.2">
      <c r="A258" s="53" t="s">
        <v>21</v>
      </c>
      <c r="B258" s="53" t="s">
        <v>41</v>
      </c>
      <c r="C258" s="53" t="s">
        <v>42</v>
      </c>
      <c r="D258" s="53" t="s">
        <v>45</v>
      </c>
      <c r="E258" s="53" t="s">
        <v>53</v>
      </c>
      <c r="F258" s="53" t="s">
        <v>25</v>
      </c>
      <c r="G258" s="53" t="s">
        <v>25</v>
      </c>
      <c r="H258" s="53" t="s">
        <v>35</v>
      </c>
      <c r="I258" s="75">
        <v>44378</v>
      </c>
      <c r="J258" s="76">
        <f ca="1">EFEITO!$J$258*EFEITO!$Y$228</f>
        <v>74326.373888149203</v>
      </c>
      <c r="K258" s="76">
        <f ca="1">EFEITO!$L$258*EFEITO!$Z$228</f>
        <v>5044.4208923886863</v>
      </c>
      <c r="L258" s="76">
        <f>EFEITO!$N$258*EFEITO!$AA$228</f>
        <v>28045.841890631913</v>
      </c>
      <c r="M258" s="76">
        <f ca="1">$J$258-EFEITO!$K$258*EFEITO!$Y$258</f>
        <v>1486.5274777629966</v>
      </c>
      <c r="N258" s="76">
        <f ca="1">$K$258-EFEITO!$M$258*EFEITO!$Z$258</f>
        <v>100.88841784777378</v>
      </c>
      <c r="O258" s="76">
        <f>$L$258-EFEITO!$O$258*EFEITO!$AA$258</f>
        <v>560.91683781263782</v>
      </c>
      <c r="P258" s="57"/>
      <c r="Q258" s="57"/>
      <c r="R258" s="57"/>
      <c r="S258" s="57"/>
      <c r="T258" s="57"/>
      <c r="U258" s="57"/>
      <c r="V258" s="57"/>
      <c r="W258" s="57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1.25" customHeight="1" x14ac:dyDescent="0.2">
      <c r="A259" s="53" t="s">
        <v>21</v>
      </c>
      <c r="B259" s="53" t="s">
        <v>41</v>
      </c>
      <c r="C259" s="53" t="s">
        <v>42</v>
      </c>
      <c r="D259" s="53" t="s">
        <v>45</v>
      </c>
      <c r="E259" s="53" t="s">
        <v>53</v>
      </c>
      <c r="F259" s="53" t="s">
        <v>25</v>
      </c>
      <c r="G259" s="53" t="s">
        <v>25</v>
      </c>
      <c r="H259" s="53" t="s">
        <v>35</v>
      </c>
      <c r="I259" s="75">
        <v>44409</v>
      </c>
      <c r="J259" s="76">
        <f ca="1">EFEITO!$J$259*EFEITO!$Y$228</f>
        <v>208295.87065960505</v>
      </c>
      <c r="K259" s="76">
        <f ca="1">EFEITO!$L$259*EFEITO!$Z$228</f>
        <v>3157.699822846495</v>
      </c>
      <c r="L259" s="76">
        <f>EFEITO!$N$259*EFEITO!$AA$228</f>
        <v>17556.098481642199</v>
      </c>
      <c r="M259" s="76">
        <f ca="1">$J$259-EFEITO!$K$259*EFEITO!$Y$259</f>
        <v>4165.9174131921027</v>
      </c>
      <c r="N259" s="76">
        <f ca="1">$K$259-EFEITO!$M$259*EFEITO!$Z$259</f>
        <v>63.15399645692969</v>
      </c>
      <c r="O259" s="76">
        <f>$L$259-EFEITO!$O$259*EFEITO!$AA$259</f>
        <v>351.12196963284441</v>
      </c>
      <c r="P259" s="57"/>
      <c r="Q259" s="57"/>
      <c r="R259" s="57"/>
      <c r="S259" s="57"/>
      <c r="T259" s="57"/>
      <c r="U259" s="57"/>
      <c r="V259" s="57"/>
      <c r="W259" s="57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1.25" customHeight="1" x14ac:dyDescent="0.2">
      <c r="A260" s="53" t="s">
        <v>27</v>
      </c>
      <c r="B260" s="53" t="s">
        <v>41</v>
      </c>
      <c r="C260" s="53" t="s">
        <v>42</v>
      </c>
      <c r="D260" s="53" t="s">
        <v>45</v>
      </c>
      <c r="E260" s="53" t="s">
        <v>53</v>
      </c>
      <c r="F260" s="53" t="s">
        <v>25</v>
      </c>
      <c r="G260" s="53" t="s">
        <v>25</v>
      </c>
      <c r="H260" s="53" t="s">
        <v>35</v>
      </c>
      <c r="I260" s="75">
        <v>44409</v>
      </c>
      <c r="J260" s="76">
        <f ca="1">EFEITO!$J$260*EFEITO!$Y$228</f>
        <v>-30.337295464550692</v>
      </c>
      <c r="K260" s="76">
        <f ca="1">EFEITO!$L$260*EFEITO!$Z$228</f>
        <v>-752.06565222517463</v>
      </c>
      <c r="L260" s="76">
        <f>EFEITO!$N$260*EFEITO!$AA$228</f>
        <v>-4181.315323134022</v>
      </c>
      <c r="M260" s="76">
        <f ca="1">$J$260-EFEITO!$K$260*EFEITO!$Y$260</f>
        <v>-0.60674590929101413</v>
      </c>
      <c r="N260" s="76">
        <f ca="1">$K$260-EFEITO!$M$260*EFEITO!$Z$260</f>
        <v>-15.041313044503454</v>
      </c>
      <c r="O260" s="76">
        <f>$L$260-EFEITO!$O$260*EFEITO!$AA$260</f>
        <v>-83.626306462680077</v>
      </c>
      <c r="P260" s="57"/>
      <c r="Q260" s="57"/>
      <c r="R260" s="57"/>
      <c r="S260" s="57"/>
      <c r="T260" s="57"/>
      <c r="U260" s="57"/>
      <c r="V260" s="57"/>
      <c r="W260" s="57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1.25" customHeight="1" x14ac:dyDescent="0.2">
      <c r="A261" s="53" t="s">
        <v>21</v>
      </c>
      <c r="B261" s="53" t="s">
        <v>41</v>
      </c>
      <c r="C261" s="53" t="s">
        <v>42</v>
      </c>
      <c r="D261" s="53" t="s">
        <v>45</v>
      </c>
      <c r="E261" s="53" t="s">
        <v>53</v>
      </c>
      <c r="F261" s="53" t="s">
        <v>25</v>
      </c>
      <c r="G261" s="53" t="s">
        <v>25</v>
      </c>
      <c r="H261" s="53" t="s">
        <v>35</v>
      </c>
      <c r="I261" s="75">
        <v>44440</v>
      </c>
      <c r="J261" s="76">
        <f ca="1">EFEITO!$J$261*EFEITO!$Y$228</f>
        <v>316660.69005898014</v>
      </c>
      <c r="K261" s="76">
        <f ca="1">EFEITO!$L$261*EFEITO!$Z$228</f>
        <v>21756.762211407498</v>
      </c>
      <c r="L261" s="76">
        <f>EFEITO!$N$261*EFEITO!$AA$228</f>
        <v>120962.68849292389</v>
      </c>
      <c r="M261" s="76">
        <f ca="1">$J$261-EFEITO!$K$261*EFEITO!$Y$261</f>
        <v>6333.2138011796051</v>
      </c>
      <c r="N261" s="76">
        <f ca="1">$K$261-EFEITO!$M$261*EFEITO!$Z$261</f>
        <v>435.13524422814953</v>
      </c>
      <c r="O261" s="76">
        <f>$L$261-EFEITO!$O$261*EFEITO!$AA$261</f>
        <v>2419.2537698584783</v>
      </c>
      <c r="P261" s="57"/>
      <c r="Q261" s="57"/>
      <c r="R261" s="57"/>
      <c r="S261" s="57"/>
      <c r="T261" s="57"/>
      <c r="U261" s="57"/>
      <c r="V261" s="57"/>
      <c r="W261" s="57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1.25" customHeight="1" x14ac:dyDescent="0.2">
      <c r="A262" s="53" t="s">
        <v>27</v>
      </c>
      <c r="B262" s="53" t="s">
        <v>41</v>
      </c>
      <c r="C262" s="53" t="s">
        <v>42</v>
      </c>
      <c r="D262" s="53" t="s">
        <v>45</v>
      </c>
      <c r="E262" s="53" t="s">
        <v>53</v>
      </c>
      <c r="F262" s="53" t="s">
        <v>25</v>
      </c>
      <c r="G262" s="53" t="s">
        <v>25</v>
      </c>
      <c r="H262" s="53" t="s">
        <v>35</v>
      </c>
      <c r="I262" s="75">
        <v>44440</v>
      </c>
      <c r="J262" s="76">
        <f ca="1">EFEITO!$J$262*EFEITO!$Y$228</f>
        <v>-151686.47732275346</v>
      </c>
      <c r="K262" s="76">
        <f ca="1">EFEITO!$L$262*EFEITO!$Z$228</f>
        <v>0</v>
      </c>
      <c r="L262" s="76">
        <f>EFEITO!$N$262*EFEITO!$AA$228</f>
        <v>0</v>
      </c>
      <c r="M262" s="76">
        <f ca="1">$J$262-EFEITO!$K$262*EFEITO!$Y$262</f>
        <v>-3033.7295464550843</v>
      </c>
      <c r="N262" s="76">
        <f ca="1">$K$262-EFEITO!$M$262*EFEITO!$Z$262</f>
        <v>0</v>
      </c>
      <c r="O262" s="76">
        <f>$L$262-EFEITO!$O$262*EFEITO!$AA$262</f>
        <v>0</v>
      </c>
      <c r="P262" s="57"/>
      <c r="Q262" s="57"/>
      <c r="R262" s="57"/>
      <c r="S262" s="57"/>
      <c r="T262" s="57"/>
      <c r="U262" s="57"/>
      <c r="V262" s="57"/>
      <c r="W262" s="57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1.25" customHeight="1" x14ac:dyDescent="0.2">
      <c r="A263" s="53" t="s">
        <v>21</v>
      </c>
      <c r="B263" s="53" t="s">
        <v>41</v>
      </c>
      <c r="C263" s="53" t="s">
        <v>42</v>
      </c>
      <c r="D263" s="53" t="s">
        <v>45</v>
      </c>
      <c r="E263" s="53" t="s">
        <v>53</v>
      </c>
      <c r="F263" s="53" t="s">
        <v>25</v>
      </c>
      <c r="G263" s="53" t="s">
        <v>25</v>
      </c>
      <c r="H263" s="53" t="s">
        <v>35</v>
      </c>
      <c r="I263" s="75">
        <v>44470</v>
      </c>
      <c r="J263" s="76">
        <f ca="1">EFEITO!$J$263*EFEITO!$Y$228</f>
        <v>581899.66430554679</v>
      </c>
      <c r="K263" s="76">
        <f ca="1">EFEITO!$L$263*EFEITO!$Z$228</f>
        <v>33581.134251821699</v>
      </c>
      <c r="L263" s="76">
        <f>EFEITO!$N$263*EFEITO!$AA$228</f>
        <v>186703.52887399509</v>
      </c>
      <c r="M263" s="76">
        <f ca="1">$J$263-EFEITO!$K$263*EFEITO!$Y$263</f>
        <v>11637.993286110926</v>
      </c>
      <c r="N263" s="76">
        <f ca="1">$K$263-EFEITO!$M$263*EFEITO!$Z$263</f>
        <v>671.62268503643281</v>
      </c>
      <c r="O263" s="76">
        <f>$L$263-EFEITO!$O$263*EFEITO!$AA$263</f>
        <v>3734.0705774798989</v>
      </c>
      <c r="P263" s="57"/>
      <c r="Q263" s="57"/>
      <c r="R263" s="57"/>
      <c r="S263" s="57"/>
      <c r="T263" s="57"/>
      <c r="U263" s="57"/>
      <c r="V263" s="57"/>
      <c r="W263" s="57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1.25" customHeight="1" x14ac:dyDescent="0.2">
      <c r="A264" s="53" t="s">
        <v>21</v>
      </c>
      <c r="B264" s="53" t="s">
        <v>41</v>
      </c>
      <c r="C264" s="53" t="s">
        <v>42</v>
      </c>
      <c r="D264" s="53" t="s">
        <v>45</v>
      </c>
      <c r="E264" s="53" t="s">
        <v>53</v>
      </c>
      <c r="F264" s="53" t="s">
        <v>25</v>
      </c>
      <c r="G264" s="53" t="s">
        <v>25</v>
      </c>
      <c r="H264" s="53" t="s">
        <v>35</v>
      </c>
      <c r="I264" s="75">
        <v>44501</v>
      </c>
      <c r="J264" s="76">
        <f ca="1">EFEITO!$J$264*EFEITO!$Y$228</f>
        <v>521316.0852628391</v>
      </c>
      <c r="K264" s="76">
        <f ca="1">EFEITO!$L$264*EFEITO!$Z$228</f>
        <v>30008.288699416597</v>
      </c>
      <c r="L264" s="76">
        <f>EFEITO!$N$264*EFEITO!$AA$228</f>
        <v>166839.31381343308</v>
      </c>
      <c r="M264" s="76">
        <f ca="1">$J$264-EFEITO!$K$264*EFEITO!$Y$264</f>
        <v>10426.321705256763</v>
      </c>
      <c r="N264" s="76">
        <f ca="1">$K$264-EFEITO!$M$264*EFEITO!$Z$264</f>
        <v>600.16577398833033</v>
      </c>
      <c r="O264" s="76">
        <f>$L$264-EFEITO!$O$264*EFEITO!$AA$264</f>
        <v>3336.7862762686564</v>
      </c>
      <c r="P264" s="57"/>
      <c r="Q264" s="57"/>
      <c r="R264" s="57"/>
      <c r="S264" s="57"/>
      <c r="T264" s="57"/>
      <c r="U264" s="57"/>
      <c r="V264" s="57"/>
      <c r="W264" s="57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1.25" customHeight="1" x14ac:dyDescent="0.2">
      <c r="A265" s="53" t="s">
        <v>21</v>
      </c>
      <c r="B265" s="53" t="s">
        <v>41</v>
      </c>
      <c r="C265" s="53" t="s">
        <v>42</v>
      </c>
      <c r="D265" s="53" t="s">
        <v>45</v>
      </c>
      <c r="E265" s="53" t="s">
        <v>53</v>
      </c>
      <c r="F265" s="53" t="s">
        <v>25</v>
      </c>
      <c r="G265" s="53" t="s">
        <v>25</v>
      </c>
      <c r="H265" s="53" t="s">
        <v>35</v>
      </c>
      <c r="I265" s="75">
        <v>44531</v>
      </c>
      <c r="J265" s="76">
        <f ca="1">EFEITO!$J$265*EFEITO!$Y$228</f>
        <v>407520.88997530943</v>
      </c>
      <c r="K265" s="76">
        <f ca="1">EFEITO!$L$265*EFEITO!$Z$228</f>
        <v>25913.93776773127</v>
      </c>
      <c r="L265" s="76">
        <f>EFEITO!$N$265*EFEITO!$AA$228</f>
        <v>144075.64652150081</v>
      </c>
      <c r="M265" s="76">
        <f ca="1">$J$265-EFEITO!$K$265*EFEITO!$Y$265</f>
        <v>8150.4177995061618</v>
      </c>
      <c r="N265" s="76">
        <f ca="1">$K$265-EFEITO!$M$265*EFEITO!$Z$265</f>
        <v>518.2787553546259</v>
      </c>
      <c r="O265" s="76">
        <f>$L$265-EFEITO!$O$265*EFEITO!$AA$265</f>
        <v>2881.5129304300062</v>
      </c>
      <c r="P265" s="57"/>
      <c r="Q265" s="57"/>
      <c r="R265" s="57"/>
      <c r="S265" s="57"/>
      <c r="T265" s="57"/>
      <c r="U265" s="57"/>
      <c r="V265" s="57"/>
      <c r="W265" s="57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1.25" customHeight="1" x14ac:dyDescent="0.2">
      <c r="A266" s="53" t="s">
        <v>21</v>
      </c>
      <c r="B266" s="53" t="s">
        <v>41</v>
      </c>
      <c r="C266" s="53" t="s">
        <v>42</v>
      </c>
      <c r="D266" s="53" t="s">
        <v>45</v>
      </c>
      <c r="E266" s="53" t="s">
        <v>53</v>
      </c>
      <c r="F266" s="53" t="s">
        <v>25</v>
      </c>
      <c r="G266" s="53" t="s">
        <v>25</v>
      </c>
      <c r="H266" s="53" t="s">
        <v>35</v>
      </c>
      <c r="I266" s="75">
        <v>44562</v>
      </c>
      <c r="J266" s="76">
        <f ca="1">EFEITO!$J$266*EFEITO!$Y$228</f>
        <v>430759.25830115529</v>
      </c>
      <c r="K266" s="76">
        <f ca="1">EFEITO!$L$266*EFEITO!$Z$228</f>
        <v>7216.2163205754359</v>
      </c>
      <c r="L266" s="76">
        <f>EFEITO!$N$266*EFEITO!$AA$228</f>
        <v>40120.534406799045</v>
      </c>
      <c r="M266" s="76">
        <f ca="1">$J$266-EFEITO!$K$266*EFEITO!$Y$266</f>
        <v>8615.1851660231478</v>
      </c>
      <c r="N266" s="76">
        <f ca="1">$K$266-EFEITO!$M$266*EFEITO!$Z$266</f>
        <v>144.32432641150899</v>
      </c>
      <c r="O266" s="76">
        <f>$L$266-EFEITO!$O$266*EFEITO!$AA$266</f>
        <v>802.41068813597667</v>
      </c>
      <c r="P266" s="57"/>
      <c r="Q266" s="57"/>
      <c r="R266" s="57"/>
      <c r="S266" s="57"/>
      <c r="T266" s="57"/>
      <c r="U266" s="57"/>
      <c r="V266" s="57"/>
      <c r="W266" s="57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1.25" customHeight="1" x14ac:dyDescent="0.2">
      <c r="A267" s="53" t="s">
        <v>21</v>
      </c>
      <c r="B267" s="53" t="s">
        <v>41</v>
      </c>
      <c r="C267" s="53" t="s">
        <v>42</v>
      </c>
      <c r="D267" s="53" t="s">
        <v>45</v>
      </c>
      <c r="E267" s="53" t="s">
        <v>53</v>
      </c>
      <c r="F267" s="53" t="s">
        <v>25</v>
      </c>
      <c r="G267" s="53" t="s">
        <v>25</v>
      </c>
      <c r="H267" s="53" t="s">
        <v>35</v>
      </c>
      <c r="I267" s="75">
        <v>44593</v>
      </c>
      <c r="J267" s="76">
        <f ca="1">EFEITO!$J$267*EFEITO!$Y$228</f>
        <v>441407.64900921256</v>
      </c>
      <c r="K267" s="76">
        <f ca="1">EFEITO!$L$267*EFEITO!$Z$228</f>
        <v>19612.566921714821</v>
      </c>
      <c r="L267" s="76">
        <f>EFEITO!$N$267*EFEITO!$AA$228</f>
        <v>109041.44651882636</v>
      </c>
      <c r="M267" s="76">
        <f ca="1">$J$267-EFEITO!$K$267*EFEITO!$Y$267</f>
        <v>8828.1529801842407</v>
      </c>
      <c r="N267" s="76">
        <f ca="1">$K$267-EFEITO!$M$267*EFEITO!$Z$267</f>
        <v>392.25133843429649</v>
      </c>
      <c r="O267" s="76">
        <f>$L$267-EFEITO!$O$267*EFEITO!$AA$267</f>
        <v>2180.8289303765196</v>
      </c>
      <c r="P267" s="57"/>
      <c r="Q267" s="57"/>
      <c r="R267" s="57"/>
      <c r="S267" s="57"/>
      <c r="T267" s="57"/>
      <c r="U267" s="57"/>
      <c r="V267" s="57"/>
      <c r="W267" s="57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1.25" customHeight="1" x14ac:dyDescent="0.2">
      <c r="A268" s="53" t="s">
        <v>21</v>
      </c>
      <c r="B268" s="53" t="s">
        <v>41</v>
      </c>
      <c r="C268" s="53" t="s">
        <v>42</v>
      </c>
      <c r="D268" s="53" t="s">
        <v>45</v>
      </c>
      <c r="E268" s="53" t="s">
        <v>53</v>
      </c>
      <c r="F268" s="53" t="s">
        <v>25</v>
      </c>
      <c r="G268" s="53" t="s">
        <v>25</v>
      </c>
      <c r="H268" s="53" t="s">
        <v>35</v>
      </c>
      <c r="I268" s="75">
        <v>44621</v>
      </c>
      <c r="J268" s="76">
        <f ca="1">EFEITO!$J$268*EFEITO!$Y$228</f>
        <v>424418.76354906417</v>
      </c>
      <c r="K268" s="76">
        <f ca="1">EFEITO!$L$268*EFEITO!$Z$228</f>
        <v>22636.306956345619</v>
      </c>
      <c r="L268" s="76">
        <f>EFEITO!$N$268*EFEITO!$AA$228</f>
        <v>125852.75880594843</v>
      </c>
      <c r="M268" s="76">
        <f ca="1">$J$268-EFEITO!$K$268*EFEITO!$Y$268</f>
        <v>8488.3752709812834</v>
      </c>
      <c r="N268" s="76">
        <f ca="1">$K$268-EFEITO!$M$268*EFEITO!$Z$268</f>
        <v>452.72613912691304</v>
      </c>
      <c r="O268" s="76">
        <f>$L$268-EFEITO!$O$268*EFEITO!$AA$268</f>
        <v>2517.0551761189563</v>
      </c>
      <c r="P268" s="57"/>
      <c r="Q268" s="57"/>
      <c r="R268" s="57"/>
      <c r="S268" s="57"/>
      <c r="T268" s="57"/>
      <c r="U268" s="57"/>
      <c r="V268" s="57"/>
      <c r="W268" s="57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1.25" customHeight="1" x14ac:dyDescent="0.2">
      <c r="A269" s="53" t="s">
        <v>56</v>
      </c>
      <c r="B269" s="53" t="s">
        <v>41</v>
      </c>
      <c r="C269" s="53" t="s">
        <v>42</v>
      </c>
      <c r="D269" s="53" t="s">
        <v>45</v>
      </c>
      <c r="E269" s="53" t="s">
        <v>53</v>
      </c>
      <c r="F269" s="53" t="s">
        <v>25</v>
      </c>
      <c r="G269" s="53" t="s">
        <v>25</v>
      </c>
      <c r="H269" s="53" t="s">
        <v>35</v>
      </c>
      <c r="I269" s="75">
        <v>44652</v>
      </c>
      <c r="J269" s="76">
        <f ca="1">EFEITO!$J$269*EFEITO!$Y$228</f>
        <v>424418.76354906417</v>
      </c>
      <c r="K269" s="76">
        <f ca="1">EFEITO!$L$269*EFEITO!$Z$228</f>
        <v>22636.306956345619</v>
      </c>
      <c r="L269" s="76">
        <f>EFEITO!$N$269*EFEITO!$AA$228</f>
        <v>125852.75880594843</v>
      </c>
      <c r="M269" s="76">
        <f ca="1">$J$269-EFEITO!$K$269*EFEITO!$Y$269</f>
        <v>8488.3752709812834</v>
      </c>
      <c r="N269" s="76">
        <f ca="1">$K$269-EFEITO!$M$269*EFEITO!$Z$269</f>
        <v>452.72613912691304</v>
      </c>
      <c r="O269" s="76">
        <f>$L$269-EFEITO!$O$269*EFEITO!$AA$269</f>
        <v>2517.0551761189563</v>
      </c>
      <c r="P269" s="57"/>
      <c r="Q269" s="57"/>
      <c r="R269" s="57"/>
      <c r="S269" s="57"/>
      <c r="T269" s="57"/>
      <c r="U269" s="57"/>
      <c r="V269" s="57"/>
      <c r="W269" s="57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1.25" customHeight="1" x14ac:dyDescent="0.2">
      <c r="A270" s="53" t="s">
        <v>21</v>
      </c>
      <c r="B270" s="53" t="s">
        <v>41</v>
      </c>
      <c r="C270" s="53" t="s">
        <v>42</v>
      </c>
      <c r="D270" s="53" t="s">
        <v>45</v>
      </c>
      <c r="E270" s="53" t="s">
        <v>25</v>
      </c>
      <c r="F270" s="53" t="s">
        <v>25</v>
      </c>
      <c r="G270" s="53" t="s">
        <v>25</v>
      </c>
      <c r="H270" s="53" t="s">
        <v>36</v>
      </c>
      <c r="I270" s="75">
        <v>44317</v>
      </c>
      <c r="J270" s="76">
        <f ca="1">EFEITO!$J$270*EFEITO!$Y$176</f>
        <v>2353.5182092525347</v>
      </c>
      <c r="K270" s="76">
        <f ca="1">EFEITO!$L$270*EFEITO!$Z$176</f>
        <v>657.37125440850104</v>
      </c>
      <c r="L270" s="76">
        <f>EFEITO!$N$270*EFEITO!$AA$176</f>
        <v>2337.7614055351314</v>
      </c>
      <c r="M270" s="76">
        <f ca="1">$J$270-EFEITO!$K$270*EFEITO!$Y$270</f>
        <v>47.070364185050494</v>
      </c>
      <c r="N270" s="76">
        <f ca="1">$K$270-EFEITO!$M$270*EFEITO!$Z$270</f>
        <v>13.147425088169939</v>
      </c>
      <c r="O270" s="76">
        <f>$L$270-EFEITO!$O$270*EFEITO!$AA$270</f>
        <v>46.755228110702319</v>
      </c>
      <c r="P270" s="57"/>
      <c r="Q270" s="57"/>
      <c r="R270" s="57"/>
      <c r="S270" s="57"/>
      <c r="T270" s="57"/>
      <c r="U270" s="57"/>
      <c r="V270" s="57"/>
      <c r="W270" s="57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1.25" customHeight="1" x14ac:dyDescent="0.2">
      <c r="A271" s="53" t="s">
        <v>21</v>
      </c>
      <c r="B271" s="53" t="s">
        <v>41</v>
      </c>
      <c r="C271" s="53" t="s">
        <v>42</v>
      </c>
      <c r="D271" s="53" t="s">
        <v>45</v>
      </c>
      <c r="E271" s="53" t="s">
        <v>25</v>
      </c>
      <c r="F271" s="53" t="s">
        <v>25</v>
      </c>
      <c r="G271" s="53" t="s">
        <v>25</v>
      </c>
      <c r="H271" s="53" t="s">
        <v>36</v>
      </c>
      <c r="I271" s="75">
        <v>44348</v>
      </c>
      <c r="J271" s="76">
        <f ca="1">EFEITO!$J$271*EFEITO!$Y$176</f>
        <v>735.47444039141715</v>
      </c>
      <c r="K271" s="76">
        <f ca="1">EFEITO!$L$271*EFEITO!$Z$176</f>
        <v>612.99755108377963</v>
      </c>
      <c r="L271" s="76">
        <f>EFEITO!$N$271*EFEITO!$AA$176</f>
        <v>2179.9584435748616</v>
      </c>
      <c r="M271" s="76">
        <f ca="1">$J$271-EFEITO!$K$271*EFEITO!$Y$271</f>
        <v>14.709488807828393</v>
      </c>
      <c r="N271" s="76">
        <f ca="1">$K$271-EFEITO!$M$271*EFEITO!$Z$271</f>
        <v>12.259951021675533</v>
      </c>
      <c r="O271" s="76">
        <f>$L$271-EFEITO!$O$271*EFEITO!$AA$271</f>
        <v>43.599168871497113</v>
      </c>
      <c r="P271" s="57"/>
      <c r="Q271" s="57"/>
      <c r="R271" s="57"/>
      <c r="S271" s="57"/>
      <c r="T271" s="57"/>
      <c r="U271" s="57"/>
      <c r="V271" s="57"/>
      <c r="W271" s="57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1.25" customHeight="1" x14ac:dyDescent="0.2">
      <c r="A272" s="53" t="s">
        <v>21</v>
      </c>
      <c r="B272" s="53" t="s">
        <v>41</v>
      </c>
      <c r="C272" s="53" t="s">
        <v>42</v>
      </c>
      <c r="D272" s="53" t="s">
        <v>45</v>
      </c>
      <c r="E272" s="53" t="s">
        <v>25</v>
      </c>
      <c r="F272" s="53" t="s">
        <v>25</v>
      </c>
      <c r="G272" s="53" t="s">
        <v>25</v>
      </c>
      <c r="H272" s="53" t="s">
        <v>36</v>
      </c>
      <c r="I272" s="75">
        <v>44378</v>
      </c>
      <c r="J272" s="76">
        <f ca="1">EFEITO!$J$272*EFEITO!$Y$176</f>
        <v>735.47444039141715</v>
      </c>
      <c r="K272" s="76">
        <f ca="1">EFEITO!$L$272*EFEITO!$Z$176</f>
        <v>621.68930740511689</v>
      </c>
      <c r="L272" s="76">
        <f>EFEITO!$N$272*EFEITO!$AA$176</f>
        <v>2210.868302103162</v>
      </c>
      <c r="M272" s="76">
        <f ca="1">$J$272-EFEITO!$K$272*EFEITO!$Y$272</f>
        <v>14.709488807828393</v>
      </c>
      <c r="N272" s="76">
        <f ca="1">$K$272-EFEITO!$M$272*EFEITO!$Z$272</f>
        <v>12.433786148102286</v>
      </c>
      <c r="O272" s="76">
        <f>$L$272-EFEITO!$O$272*EFEITO!$AA$272</f>
        <v>44.217366042063077</v>
      </c>
      <c r="P272" s="57"/>
      <c r="Q272" s="57"/>
      <c r="R272" s="57"/>
      <c r="S272" s="57"/>
      <c r="T272" s="57"/>
      <c r="U272" s="57"/>
      <c r="V272" s="57"/>
      <c r="W272" s="57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1.25" customHeight="1" x14ac:dyDescent="0.2">
      <c r="A273" s="53" t="s">
        <v>21</v>
      </c>
      <c r="B273" s="53" t="s">
        <v>41</v>
      </c>
      <c r="C273" s="53" t="s">
        <v>42</v>
      </c>
      <c r="D273" s="53" t="s">
        <v>45</v>
      </c>
      <c r="E273" s="53" t="s">
        <v>25</v>
      </c>
      <c r="F273" s="53" t="s">
        <v>25</v>
      </c>
      <c r="G273" s="53" t="s">
        <v>25</v>
      </c>
      <c r="H273" s="53" t="s">
        <v>35</v>
      </c>
      <c r="I273" s="75">
        <v>44317</v>
      </c>
      <c r="J273" s="76">
        <f ca="1">EFEITO!$J$273*EFEITO!$Y$228</f>
        <v>31004.715964770807</v>
      </c>
      <c r="K273" s="76">
        <f ca="1">EFEITO!$L$273*EFEITO!$Z$228</f>
        <v>73.651198301857107</v>
      </c>
      <c r="L273" s="76">
        <f>EFEITO!$N$273*EFEITO!$AA$228</f>
        <v>409.48404320229776</v>
      </c>
      <c r="M273" s="76">
        <f ca="1">$J$273-EFEITO!$K$273*EFEITO!$Y$273</f>
        <v>620.09431929541461</v>
      </c>
      <c r="N273" s="76">
        <f ca="1">$K$273-EFEITO!$M$273*EFEITO!$Z$273</f>
        <v>1.4730239660371325</v>
      </c>
      <c r="O273" s="76">
        <f>$L$273-EFEITO!$O$273*EFEITO!$AA$273</f>
        <v>8.189680864045954</v>
      </c>
      <c r="P273" s="57"/>
      <c r="Q273" s="57"/>
      <c r="R273" s="57"/>
      <c r="S273" s="57"/>
      <c r="T273" s="57"/>
      <c r="U273" s="57"/>
      <c r="V273" s="57"/>
      <c r="W273" s="57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1.25" customHeight="1" x14ac:dyDescent="0.2">
      <c r="A274" s="53" t="s">
        <v>21</v>
      </c>
      <c r="B274" s="53" t="s">
        <v>41</v>
      </c>
      <c r="C274" s="53" t="s">
        <v>42</v>
      </c>
      <c r="D274" s="53" t="s">
        <v>45</v>
      </c>
      <c r="E274" s="53" t="s">
        <v>25</v>
      </c>
      <c r="F274" s="53" t="s">
        <v>25</v>
      </c>
      <c r="G274" s="53" t="s">
        <v>25</v>
      </c>
      <c r="H274" s="53" t="s">
        <v>35</v>
      </c>
      <c r="I274" s="75">
        <v>44348</v>
      </c>
      <c r="J274" s="76">
        <f ca="1">EFEITO!$J$274*EFEITO!$Y$228</f>
        <v>728.09509114921661</v>
      </c>
      <c r="K274" s="76">
        <f ca="1">EFEITO!$L$274*EFEITO!$Z$228</f>
        <v>71.36389400676839</v>
      </c>
      <c r="L274" s="76">
        <f>EFEITO!$N$274*EFEITO!$AA$228</f>
        <v>396.76714745067363</v>
      </c>
      <c r="M274" s="76">
        <f ca="1">$J$274-EFEITO!$K$274*EFEITO!$Y$274</f>
        <v>14.561901822984282</v>
      </c>
      <c r="N274" s="76">
        <f ca="1">$K$274-EFEITO!$M$274*EFEITO!$Z$274</f>
        <v>1.4272778801353638</v>
      </c>
      <c r="O274" s="76">
        <f>$L$274-EFEITO!$O$274*EFEITO!$AA$274</f>
        <v>7.9353429490134886</v>
      </c>
      <c r="P274" s="57"/>
      <c r="Q274" s="57"/>
      <c r="R274" s="57"/>
      <c r="S274" s="57"/>
      <c r="T274" s="57"/>
      <c r="U274" s="57"/>
      <c r="V274" s="57"/>
      <c r="W274" s="57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1.25" customHeight="1" x14ac:dyDescent="0.2">
      <c r="A275" s="53" t="s">
        <v>21</v>
      </c>
      <c r="B275" s="53" t="s">
        <v>41</v>
      </c>
      <c r="C275" s="53" t="s">
        <v>42</v>
      </c>
      <c r="D275" s="53" t="s">
        <v>45</v>
      </c>
      <c r="E275" s="53" t="s">
        <v>25</v>
      </c>
      <c r="F275" s="53" t="s">
        <v>25</v>
      </c>
      <c r="G275" s="53" t="s">
        <v>25</v>
      </c>
      <c r="H275" s="53" t="s">
        <v>35</v>
      </c>
      <c r="I275" s="75">
        <v>44378</v>
      </c>
      <c r="J275" s="76">
        <f ca="1">EFEITO!$J$275*EFEITO!$Y$228</f>
        <v>728.09509114921661</v>
      </c>
      <c r="K275" s="76">
        <f ca="1">EFEITO!$L$275*EFEITO!$Z$228</f>
        <v>75.481041737928095</v>
      </c>
      <c r="L275" s="76">
        <f>EFEITO!$N$275*EFEITO!$AA$228</f>
        <v>419.65755980359705</v>
      </c>
      <c r="M275" s="76">
        <f ca="1">$J$275-EFEITO!$K$275*EFEITO!$Y$275</f>
        <v>14.561901822984282</v>
      </c>
      <c r="N275" s="76">
        <f ca="1">$K$275-EFEITO!$M$275*EFEITO!$Z$275</f>
        <v>1.5096208347585502</v>
      </c>
      <c r="O275" s="76">
        <f>$L$275-EFEITO!$O$275*EFEITO!$AA$275</f>
        <v>8.3931511960719263</v>
      </c>
      <c r="P275" s="57"/>
      <c r="Q275" s="57"/>
      <c r="R275" s="57"/>
      <c r="S275" s="57"/>
      <c r="T275" s="57"/>
      <c r="U275" s="57"/>
      <c r="V275" s="57"/>
      <c r="W275" s="57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1.25" customHeight="1" x14ac:dyDescent="0.2">
      <c r="A276" s="53" t="s">
        <v>21</v>
      </c>
      <c r="B276" s="53" t="s">
        <v>41</v>
      </c>
      <c r="C276" s="53" t="s">
        <v>42</v>
      </c>
      <c r="D276" s="53" t="s">
        <v>50</v>
      </c>
      <c r="E276" s="53" t="s">
        <v>51</v>
      </c>
      <c r="F276" s="53" t="s">
        <v>25</v>
      </c>
      <c r="G276" s="53" t="s">
        <v>25</v>
      </c>
      <c r="H276" s="53" t="s">
        <v>36</v>
      </c>
      <c r="I276" s="75">
        <v>44317</v>
      </c>
      <c r="J276" s="76">
        <f ca="1">EFEITO!$J$276*EFEITO!$Y$176</f>
        <v>75181.831684455974</v>
      </c>
      <c r="K276" s="76">
        <f ca="1">EFEITO!$L$276*EFEITO!$Z$176</f>
        <v>17156.612056601549</v>
      </c>
      <c r="L276" s="76">
        <f>EFEITO!$N$276*EFEITO!$AA$176</f>
        <v>61012.807065545981</v>
      </c>
      <c r="M276" s="76">
        <f ca="1">$J$276-EFEITO!$K$276*EFEITO!$Y$276</f>
        <v>2255.4549505336763</v>
      </c>
      <c r="N276" s="76">
        <f ca="1">$K$276-EFEITO!$M$276*EFEITO!$Z$276</f>
        <v>514.69836169804694</v>
      </c>
      <c r="O276" s="76">
        <f>$L$276-EFEITO!$O$276*EFEITO!$AA$276</f>
        <v>1830.384211966375</v>
      </c>
      <c r="P276" s="57"/>
      <c r="Q276" s="57"/>
      <c r="R276" s="57"/>
      <c r="S276" s="57"/>
      <c r="T276" s="57"/>
      <c r="U276" s="57"/>
      <c r="V276" s="57"/>
      <c r="W276" s="57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1.25" customHeight="1" x14ac:dyDescent="0.2">
      <c r="A277" s="53" t="s">
        <v>21</v>
      </c>
      <c r="B277" s="53" t="s">
        <v>41</v>
      </c>
      <c r="C277" s="53" t="s">
        <v>42</v>
      </c>
      <c r="D277" s="53" t="s">
        <v>50</v>
      </c>
      <c r="E277" s="53" t="s">
        <v>51</v>
      </c>
      <c r="F277" s="53" t="s">
        <v>25</v>
      </c>
      <c r="G277" s="53" t="s">
        <v>25</v>
      </c>
      <c r="H277" s="53" t="s">
        <v>36</v>
      </c>
      <c r="I277" s="75">
        <v>44348</v>
      </c>
      <c r="J277" s="76">
        <f ca="1">EFEITO!$J$277*EFEITO!$Y$176</f>
        <v>75181.831684455974</v>
      </c>
      <c r="K277" s="76">
        <f ca="1">EFEITO!$L$277*EFEITO!$Z$176</f>
        <v>21529.937868811201</v>
      </c>
      <c r="L277" s="76">
        <f>EFEITO!$N$277*EFEITO!$AA$176</f>
        <v>76565.346409259175</v>
      </c>
      <c r="M277" s="76">
        <f ca="1">$J$277-EFEITO!$K$277*EFEITO!$Y$277</f>
        <v>2255.4549505336763</v>
      </c>
      <c r="N277" s="76">
        <f ca="1">$K$277-EFEITO!$M$277*EFEITO!$Z$277</f>
        <v>645.89813606433381</v>
      </c>
      <c r="O277" s="76">
        <f>$L$277-EFEITO!$O$277*EFEITO!$AA$277</f>
        <v>2296.9603922777751</v>
      </c>
      <c r="P277" s="57"/>
      <c r="Q277" s="57"/>
      <c r="R277" s="57"/>
      <c r="S277" s="57"/>
      <c r="T277" s="57"/>
      <c r="U277" s="57"/>
      <c r="V277" s="57"/>
      <c r="W277" s="57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1.25" customHeight="1" x14ac:dyDescent="0.2">
      <c r="A278" s="53" t="s">
        <v>21</v>
      </c>
      <c r="B278" s="53" t="s">
        <v>41</v>
      </c>
      <c r="C278" s="53" t="s">
        <v>42</v>
      </c>
      <c r="D278" s="53" t="s">
        <v>50</v>
      </c>
      <c r="E278" s="53" t="s">
        <v>51</v>
      </c>
      <c r="F278" s="53" t="s">
        <v>25</v>
      </c>
      <c r="G278" s="53" t="s">
        <v>25</v>
      </c>
      <c r="H278" s="53" t="s">
        <v>36</v>
      </c>
      <c r="I278" s="75">
        <v>44378</v>
      </c>
      <c r="J278" s="76">
        <f ca="1">EFEITO!$J$278*EFEITO!$Y$176</f>
        <v>75181.831684455974</v>
      </c>
      <c r="K278" s="76">
        <f ca="1">EFEITO!$L$278*EFEITO!$Z$176</f>
        <v>18305.753734454127</v>
      </c>
      <c r="L278" s="76">
        <f>EFEITO!$N$278*EFEITO!$AA$176</f>
        <v>65099.415729919157</v>
      </c>
      <c r="M278" s="76">
        <f ca="1">$J$278-EFEITO!$K$278*EFEITO!$Y$278</f>
        <v>2255.4549505336763</v>
      </c>
      <c r="N278" s="76">
        <f ca="1">$K$278-EFEITO!$M$278*EFEITO!$Z$278</f>
        <v>549.17261203362432</v>
      </c>
      <c r="O278" s="76">
        <f>$L$278-EFEITO!$O$278*EFEITO!$AA$278</f>
        <v>1952.9824718975724</v>
      </c>
      <c r="P278" s="57"/>
      <c r="Q278" s="57"/>
      <c r="R278" s="57"/>
      <c r="S278" s="57"/>
      <c r="T278" s="57"/>
      <c r="U278" s="57"/>
      <c r="V278" s="57"/>
      <c r="W278" s="57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1.25" customHeight="1" x14ac:dyDescent="0.2">
      <c r="A279" s="53" t="s">
        <v>21</v>
      </c>
      <c r="B279" s="53" t="s">
        <v>41</v>
      </c>
      <c r="C279" s="53" t="s">
        <v>42</v>
      </c>
      <c r="D279" s="53" t="s">
        <v>50</v>
      </c>
      <c r="E279" s="53" t="s">
        <v>51</v>
      </c>
      <c r="F279" s="53" t="s">
        <v>25</v>
      </c>
      <c r="G279" s="53" t="s">
        <v>25</v>
      </c>
      <c r="H279" s="53" t="s">
        <v>36</v>
      </c>
      <c r="I279" s="75">
        <v>44409</v>
      </c>
      <c r="J279" s="76">
        <f ca="1">EFEITO!$J$279*EFEITO!$Y$176</f>
        <v>75181.831684455974</v>
      </c>
      <c r="K279" s="76">
        <f ca="1">EFEITO!$L$279*EFEITO!$Z$176</f>
        <v>26066.119746831169</v>
      </c>
      <c r="L279" s="76">
        <f>EFEITO!$N$279*EFEITO!$AA$176</f>
        <v>92697.038891713149</v>
      </c>
      <c r="M279" s="76">
        <f ca="1">$J$279-EFEITO!$K$279*EFEITO!$Y$279</f>
        <v>2255.4549505336763</v>
      </c>
      <c r="N279" s="76">
        <f ca="1">$K$279-EFEITO!$M$279*EFEITO!$Z$279</f>
        <v>781.98359240493301</v>
      </c>
      <c r="O279" s="76">
        <f>$L$279-EFEITO!$O$279*EFEITO!$AA$279</f>
        <v>2780.9111667513935</v>
      </c>
      <c r="P279" s="57"/>
      <c r="Q279" s="57"/>
      <c r="R279" s="57"/>
      <c r="S279" s="57"/>
      <c r="T279" s="57"/>
      <c r="U279" s="57"/>
      <c r="V279" s="57"/>
      <c r="W279" s="57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1.25" customHeight="1" x14ac:dyDescent="0.2">
      <c r="A280" s="53" t="s">
        <v>21</v>
      </c>
      <c r="B280" s="53" t="s">
        <v>41</v>
      </c>
      <c r="C280" s="53" t="s">
        <v>42</v>
      </c>
      <c r="D280" s="53" t="s">
        <v>50</v>
      </c>
      <c r="E280" s="53" t="s">
        <v>51</v>
      </c>
      <c r="F280" s="53" t="s">
        <v>25</v>
      </c>
      <c r="G280" s="53" t="s">
        <v>25</v>
      </c>
      <c r="H280" s="53" t="s">
        <v>36</v>
      </c>
      <c r="I280" s="75">
        <v>44440</v>
      </c>
      <c r="J280" s="76">
        <f ca="1">EFEITO!$J$280*EFEITO!$Y$176</f>
        <v>75181.831684455974</v>
      </c>
      <c r="K280" s="76">
        <f ca="1">EFEITO!$L$280*EFEITO!$Z$176</f>
        <v>29315.006767575203</v>
      </c>
      <c r="L280" s="76">
        <f>EFEITO!$N$280*EFEITO!$AA$176</f>
        <v>104250.81864265993</v>
      </c>
      <c r="M280" s="76">
        <f ca="1">$J$280-EFEITO!$K$280*EFEITO!$Y$280</f>
        <v>2255.4549505336763</v>
      </c>
      <c r="N280" s="76">
        <f ca="1">$K$280-EFEITO!$M$280*EFEITO!$Z$280</f>
        <v>879.45020302725607</v>
      </c>
      <c r="O280" s="76">
        <f>$L$280-EFEITO!$O$280*EFEITO!$AA$280</f>
        <v>3127.5245592798019</v>
      </c>
      <c r="P280" s="57"/>
      <c r="Q280" s="57"/>
      <c r="R280" s="57"/>
      <c r="S280" s="57"/>
      <c r="T280" s="57"/>
      <c r="U280" s="57"/>
      <c r="V280" s="57"/>
      <c r="W280" s="57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1.25" customHeight="1" x14ac:dyDescent="0.2">
      <c r="A281" s="53" t="s">
        <v>21</v>
      </c>
      <c r="B281" s="53" t="s">
        <v>41</v>
      </c>
      <c r="C281" s="53" t="s">
        <v>42</v>
      </c>
      <c r="D281" s="53" t="s">
        <v>50</v>
      </c>
      <c r="E281" s="53" t="s">
        <v>51</v>
      </c>
      <c r="F281" s="53" t="s">
        <v>25</v>
      </c>
      <c r="G281" s="53" t="s">
        <v>25</v>
      </c>
      <c r="H281" s="53" t="s">
        <v>36</v>
      </c>
      <c r="I281" s="75">
        <v>44470</v>
      </c>
      <c r="J281" s="76">
        <f ca="1">EFEITO!$J$281*EFEITO!$Y$176</f>
        <v>75181.831684455974</v>
      </c>
      <c r="K281" s="76">
        <f ca="1">EFEITO!$L$281*EFEITO!$Z$176</f>
        <v>29046.019782472769</v>
      </c>
      <c r="L281" s="76">
        <f>EFEITO!$N$281*EFEITO!$AA$176</f>
        <v>103294.23986294199</v>
      </c>
      <c r="M281" s="76">
        <f ca="1">$J$281-EFEITO!$K$281*EFEITO!$Y$281</f>
        <v>2255.4549505336763</v>
      </c>
      <c r="N281" s="76">
        <f ca="1">$K$281-EFEITO!$M$281*EFEITO!$Z$281</f>
        <v>871.38059347418312</v>
      </c>
      <c r="O281" s="76">
        <f>$L$281-EFEITO!$O$281*EFEITO!$AA$281</f>
        <v>3098.8271958882542</v>
      </c>
      <c r="P281" s="57"/>
      <c r="Q281" s="57"/>
      <c r="R281" s="57"/>
      <c r="S281" s="57"/>
      <c r="T281" s="57"/>
      <c r="U281" s="57"/>
      <c r="V281" s="57"/>
      <c r="W281" s="57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1.25" customHeight="1" x14ac:dyDescent="0.2">
      <c r="A282" s="53" t="s">
        <v>21</v>
      </c>
      <c r="B282" s="53" t="s">
        <v>41</v>
      </c>
      <c r="C282" s="53" t="s">
        <v>42</v>
      </c>
      <c r="D282" s="53" t="s">
        <v>50</v>
      </c>
      <c r="E282" s="53" t="s">
        <v>51</v>
      </c>
      <c r="F282" s="53" t="s">
        <v>25</v>
      </c>
      <c r="G282" s="53" t="s">
        <v>25</v>
      </c>
      <c r="H282" s="53" t="s">
        <v>36</v>
      </c>
      <c r="I282" s="75">
        <v>44501</v>
      </c>
      <c r="J282" s="76">
        <f ca="1">EFEITO!$J$282*EFEITO!$Y$176</f>
        <v>75181.831684455974</v>
      </c>
      <c r="K282" s="76">
        <f ca="1">EFEITO!$L$282*EFEITO!$Z$176</f>
        <v>32620.618934837436</v>
      </c>
      <c r="L282" s="76">
        <f>EFEITO!$N$282*EFEITO!$AA$176</f>
        <v>116006.32589137033</v>
      </c>
      <c r="M282" s="76">
        <f ca="1">$J$282-EFEITO!$K$282*EFEITO!$Y$282</f>
        <v>2255.4549505336763</v>
      </c>
      <c r="N282" s="76">
        <f ca="1">$K$282-EFEITO!$M$282*EFEITO!$Z$282</f>
        <v>978.61856804512354</v>
      </c>
      <c r="O282" s="76">
        <f>$L$282-EFEITO!$O$282*EFEITO!$AA$282</f>
        <v>3480.1897767410992</v>
      </c>
      <c r="P282" s="57"/>
      <c r="Q282" s="57"/>
      <c r="R282" s="57"/>
      <c r="S282" s="57"/>
      <c r="T282" s="57"/>
      <c r="U282" s="57"/>
      <c r="V282" s="57"/>
      <c r="W282" s="57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1.25" customHeight="1" x14ac:dyDescent="0.2">
      <c r="A283" s="53" t="s">
        <v>21</v>
      </c>
      <c r="B283" s="53" t="s">
        <v>41</v>
      </c>
      <c r="C283" s="53" t="s">
        <v>42</v>
      </c>
      <c r="D283" s="53" t="s">
        <v>50</v>
      </c>
      <c r="E283" s="53" t="s">
        <v>51</v>
      </c>
      <c r="F283" s="53" t="s">
        <v>25</v>
      </c>
      <c r="G283" s="53" t="s">
        <v>25</v>
      </c>
      <c r="H283" s="53" t="s">
        <v>36</v>
      </c>
      <c r="I283" s="75">
        <v>44531</v>
      </c>
      <c r="J283" s="76">
        <f ca="1">EFEITO!$J$283*EFEITO!$Y$176</f>
        <v>75181.831684455974</v>
      </c>
      <c r="K283" s="76">
        <f ca="1">EFEITO!$L$283*EFEITO!$Z$176</f>
        <v>29894.152215091672</v>
      </c>
      <c r="L283" s="76">
        <f>EFEITO!$N$283*EFEITO!$AA$176</f>
        <v>106310.39132144036</v>
      </c>
      <c r="M283" s="76">
        <f ca="1">$J$283-EFEITO!$K$283*EFEITO!$Y$283</f>
        <v>2255.4549505336763</v>
      </c>
      <c r="N283" s="76">
        <f ca="1">$K$283-EFEITO!$M$283*EFEITO!$Z$283</f>
        <v>896.82456645274942</v>
      </c>
      <c r="O283" s="76">
        <f>$L$283-EFEITO!$O$283*EFEITO!$AA$283</f>
        <v>3189.3117396432062</v>
      </c>
      <c r="P283" s="57"/>
      <c r="Q283" s="57"/>
      <c r="R283" s="57"/>
      <c r="S283" s="57"/>
      <c r="T283" s="57"/>
      <c r="U283" s="57"/>
      <c r="V283" s="57"/>
      <c r="W283" s="57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1.25" customHeight="1" x14ac:dyDescent="0.2">
      <c r="A284" s="53" t="s">
        <v>21</v>
      </c>
      <c r="B284" s="53" t="s">
        <v>41</v>
      </c>
      <c r="C284" s="53" t="s">
        <v>42</v>
      </c>
      <c r="D284" s="53" t="s">
        <v>50</v>
      </c>
      <c r="E284" s="53" t="s">
        <v>51</v>
      </c>
      <c r="F284" s="53" t="s">
        <v>25</v>
      </c>
      <c r="G284" s="53" t="s">
        <v>25</v>
      </c>
      <c r="H284" s="53" t="s">
        <v>36</v>
      </c>
      <c r="I284" s="75">
        <v>44562</v>
      </c>
      <c r="J284" s="76">
        <f ca="1">EFEITO!$J$284*EFEITO!$Y$176</f>
        <v>75181.831684455974</v>
      </c>
      <c r="K284" s="76">
        <f ca="1">EFEITO!$L$284*EFEITO!$Z$176</f>
        <v>24822.741132020936</v>
      </c>
      <c r="L284" s="76">
        <f>EFEITO!$N$284*EFEITO!$AA$176</f>
        <v>88275.302287506827</v>
      </c>
      <c r="M284" s="76">
        <f ca="1">$J$284-EFEITO!$K$284*EFEITO!$Y$284</f>
        <v>2255.4549505336763</v>
      </c>
      <c r="N284" s="76">
        <f ca="1">$K$284-EFEITO!$M$284*EFEITO!$Z$284</f>
        <v>744.68223396062604</v>
      </c>
      <c r="O284" s="76">
        <f>$L$284-EFEITO!$O$284*EFEITO!$AA$284</f>
        <v>2648.2590686251933</v>
      </c>
      <c r="P284" s="57"/>
      <c r="Q284" s="57"/>
      <c r="R284" s="57"/>
      <c r="S284" s="57"/>
      <c r="T284" s="57"/>
      <c r="U284" s="57"/>
      <c r="V284" s="57"/>
      <c r="W284" s="57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1.25" customHeight="1" x14ac:dyDescent="0.2">
      <c r="A285" s="53" t="s">
        <v>21</v>
      </c>
      <c r="B285" s="53" t="s">
        <v>41</v>
      </c>
      <c r="C285" s="53" t="s">
        <v>42</v>
      </c>
      <c r="D285" s="53" t="s">
        <v>50</v>
      </c>
      <c r="E285" s="53" t="s">
        <v>51</v>
      </c>
      <c r="F285" s="53" t="s">
        <v>25</v>
      </c>
      <c r="G285" s="53" t="s">
        <v>25</v>
      </c>
      <c r="H285" s="53" t="s">
        <v>36</v>
      </c>
      <c r="I285" s="75">
        <v>44593</v>
      </c>
      <c r="J285" s="76">
        <f ca="1">EFEITO!$J$285*EFEITO!$Y$176</f>
        <v>75181.831684455974</v>
      </c>
      <c r="K285" s="76">
        <f ca="1">EFEITO!$L$285*EFEITO!$Z$176</f>
        <v>24710.205760702571</v>
      </c>
      <c r="L285" s="76">
        <f>EFEITO!$N$285*EFEITO!$AA$176</f>
        <v>87875.100961298318</v>
      </c>
      <c r="M285" s="76">
        <f ca="1">$J$285-EFEITO!$K$285*EFEITO!$Y$285</f>
        <v>2255.4549505336763</v>
      </c>
      <c r="N285" s="76">
        <f ca="1">$K$285-EFEITO!$M$285*EFEITO!$Z$285</f>
        <v>741.30617282107778</v>
      </c>
      <c r="O285" s="76">
        <f>$L$285-EFEITO!$O$285*EFEITO!$AA$285</f>
        <v>2636.2530288389535</v>
      </c>
      <c r="P285" s="57"/>
      <c r="Q285" s="57"/>
      <c r="R285" s="57"/>
      <c r="S285" s="57"/>
      <c r="T285" s="57"/>
      <c r="U285" s="57"/>
      <c r="V285" s="57"/>
      <c r="W285" s="57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1.25" customHeight="1" x14ac:dyDescent="0.2">
      <c r="A286" s="53" t="s">
        <v>21</v>
      </c>
      <c r="B286" s="53" t="s">
        <v>41</v>
      </c>
      <c r="C286" s="53" t="s">
        <v>42</v>
      </c>
      <c r="D286" s="53" t="s">
        <v>50</v>
      </c>
      <c r="E286" s="53" t="s">
        <v>51</v>
      </c>
      <c r="F286" s="53" t="s">
        <v>25</v>
      </c>
      <c r="G286" s="53" t="s">
        <v>25</v>
      </c>
      <c r="H286" s="53" t="s">
        <v>36</v>
      </c>
      <c r="I286" s="75">
        <v>44621</v>
      </c>
      <c r="J286" s="76">
        <f ca="1">EFEITO!$J$286*EFEITO!$Y$176</f>
        <v>75181.831684455974</v>
      </c>
      <c r="K286" s="76">
        <f ca="1">EFEITO!$L$286*EFEITO!$Z$176</f>
        <v>31033.22975404586</v>
      </c>
      <c r="L286" s="76">
        <f>EFEITO!$N$286*EFEITO!$AA$176</f>
        <v>110361.20962330708</v>
      </c>
      <c r="M286" s="76">
        <f ca="1">$J$286-EFEITO!$K$286*EFEITO!$Y$286</f>
        <v>2255.4549505336763</v>
      </c>
      <c r="N286" s="76">
        <f ca="1">$K$286-EFEITO!$M$286*EFEITO!$Z$286</f>
        <v>930.9968926213769</v>
      </c>
      <c r="O286" s="76">
        <f>$L$286-EFEITO!$O$286*EFEITO!$AA$286</f>
        <v>3310.8362886992109</v>
      </c>
      <c r="P286" s="57"/>
      <c r="Q286" s="57"/>
      <c r="R286" s="57"/>
      <c r="S286" s="57"/>
      <c r="T286" s="57"/>
      <c r="U286" s="57"/>
      <c r="V286" s="57"/>
      <c r="W286" s="57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1.25" customHeight="1" x14ac:dyDescent="0.2">
      <c r="A287" s="53" t="s">
        <v>56</v>
      </c>
      <c r="B287" s="53" t="s">
        <v>41</v>
      </c>
      <c r="C287" s="53" t="s">
        <v>42</v>
      </c>
      <c r="D287" s="53" t="s">
        <v>50</v>
      </c>
      <c r="E287" s="53" t="s">
        <v>51</v>
      </c>
      <c r="F287" s="53" t="s">
        <v>25</v>
      </c>
      <c r="G287" s="53" t="s">
        <v>25</v>
      </c>
      <c r="H287" s="53" t="s">
        <v>36</v>
      </c>
      <c r="I287" s="75">
        <v>44652</v>
      </c>
      <c r="J287" s="76">
        <f ca="1">EFEITO!$J$287*EFEITO!$Y$176</f>
        <v>75181.831684455974</v>
      </c>
      <c r="K287" s="76">
        <f ca="1">EFEITO!$L$287*EFEITO!$Z$176</f>
        <v>31033.22975404586</v>
      </c>
      <c r="L287" s="76">
        <f>EFEITO!$N$287*EFEITO!$AA$176</f>
        <v>110361.20962330708</v>
      </c>
      <c r="M287" s="76">
        <f ca="1">$J$287-EFEITO!$K$287*EFEITO!$Y$287</f>
        <v>2255.4549505336763</v>
      </c>
      <c r="N287" s="76">
        <f ca="1">$K$287-EFEITO!$M$287*EFEITO!$Z$287</f>
        <v>930.9968926213769</v>
      </c>
      <c r="O287" s="76">
        <f>$L$287-EFEITO!$O$287*EFEITO!$AA$287</f>
        <v>3310.8362886992109</v>
      </c>
      <c r="P287" s="57"/>
      <c r="Q287" s="57"/>
      <c r="R287" s="57"/>
      <c r="S287" s="57"/>
      <c r="T287" s="57"/>
      <c r="U287" s="57"/>
      <c r="V287" s="57"/>
      <c r="W287" s="57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1.25" customHeight="1" x14ac:dyDescent="0.2">
      <c r="A288" s="53" t="s">
        <v>21</v>
      </c>
      <c r="B288" s="53" t="s">
        <v>41</v>
      </c>
      <c r="C288" s="53" t="s">
        <v>42</v>
      </c>
      <c r="D288" s="53" t="s">
        <v>50</v>
      </c>
      <c r="E288" s="53" t="s">
        <v>51</v>
      </c>
      <c r="F288" s="53" t="s">
        <v>25</v>
      </c>
      <c r="G288" s="53" t="s">
        <v>25</v>
      </c>
      <c r="H288" s="53" t="s">
        <v>35</v>
      </c>
      <c r="I288" s="75">
        <v>44317</v>
      </c>
      <c r="J288" s="76">
        <f ca="1">EFEITO!$J$288*EFEITO!$Y$228</f>
        <v>1516.8647732275347</v>
      </c>
      <c r="K288" s="76">
        <f ca="1">EFEITO!$L$288*EFEITO!$Z$228</f>
        <v>134.49349255121734</v>
      </c>
      <c r="L288" s="76">
        <f>EFEITO!$N$288*EFEITO!$AA$228</f>
        <v>747.75347019550031</v>
      </c>
      <c r="M288" s="76">
        <f ca="1">$J$288-EFEITO!$K$288*EFEITO!$Y$288</f>
        <v>45.505943196826138</v>
      </c>
      <c r="N288" s="76">
        <f ca="1">$K$288-EFEITO!$M$288*EFEITO!$Z$288</f>
        <v>4.0348047765365322</v>
      </c>
      <c r="O288" s="76">
        <f>$L$288-EFEITO!$O$288*EFEITO!$AA$288</f>
        <v>22.432604105865153</v>
      </c>
      <c r="P288" s="57"/>
      <c r="Q288" s="57"/>
      <c r="R288" s="57"/>
      <c r="S288" s="57"/>
      <c r="T288" s="57"/>
      <c r="U288" s="57"/>
      <c r="V288" s="57"/>
      <c r="W288" s="57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1.25" customHeight="1" x14ac:dyDescent="0.2">
      <c r="A289" s="53" t="s">
        <v>21</v>
      </c>
      <c r="B289" s="53" t="s">
        <v>41</v>
      </c>
      <c r="C289" s="53" t="s">
        <v>42</v>
      </c>
      <c r="D289" s="53" t="s">
        <v>50</v>
      </c>
      <c r="E289" s="53" t="s">
        <v>51</v>
      </c>
      <c r="F289" s="53" t="s">
        <v>25</v>
      </c>
      <c r="G289" s="53" t="s">
        <v>25</v>
      </c>
      <c r="H289" s="53" t="s">
        <v>35</v>
      </c>
      <c r="I289" s="75">
        <v>44348</v>
      </c>
      <c r="J289" s="76">
        <f ca="1">EFEITO!$J$289*EFEITO!$Y$228</f>
        <v>1516.8647732275347</v>
      </c>
      <c r="K289" s="76">
        <f ca="1">EFEITO!$L$289*EFEITO!$Z$228</f>
        <v>135.40841426925283</v>
      </c>
      <c r="L289" s="76">
        <f>EFEITO!$N$289*EFEITO!$AA$228</f>
        <v>752.84022849614996</v>
      </c>
      <c r="M289" s="76">
        <f ca="1">$J$289-EFEITO!$K$289*EFEITO!$Y$289</f>
        <v>45.505943196826138</v>
      </c>
      <c r="N289" s="76">
        <f ca="1">$K$289-EFEITO!$M$289*EFEITO!$Z$289</f>
        <v>4.0622524280775849</v>
      </c>
      <c r="O289" s="76">
        <f>$L$289-EFEITO!$O$289*EFEITO!$AA$289</f>
        <v>22.585206854884632</v>
      </c>
      <c r="P289" s="57"/>
      <c r="Q289" s="57"/>
      <c r="R289" s="57"/>
      <c r="S289" s="57"/>
      <c r="T289" s="57"/>
      <c r="U289" s="57"/>
      <c r="V289" s="57"/>
      <c r="W289" s="57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1.25" customHeight="1" x14ac:dyDescent="0.2">
      <c r="A290" s="53" t="s">
        <v>21</v>
      </c>
      <c r="B290" s="53" t="s">
        <v>41</v>
      </c>
      <c r="C290" s="53" t="s">
        <v>42</v>
      </c>
      <c r="D290" s="53" t="s">
        <v>50</v>
      </c>
      <c r="E290" s="53" t="s">
        <v>51</v>
      </c>
      <c r="F290" s="53" t="s">
        <v>25</v>
      </c>
      <c r="G290" s="53" t="s">
        <v>25</v>
      </c>
      <c r="H290" s="53" t="s">
        <v>35</v>
      </c>
      <c r="I290" s="75">
        <v>44378</v>
      </c>
      <c r="J290" s="76">
        <f ca="1">EFEITO!$J$290*EFEITO!$Y$228</f>
        <v>1516.8647732275347</v>
      </c>
      <c r="K290" s="76">
        <f ca="1">EFEITO!$L$290*EFEITO!$Z$228</f>
        <v>134.49349255121734</v>
      </c>
      <c r="L290" s="76">
        <f>EFEITO!$N$290*EFEITO!$AA$228</f>
        <v>747.75347019550031</v>
      </c>
      <c r="M290" s="76">
        <f ca="1">$J$290-EFEITO!$K$290*EFEITO!$Y$290</f>
        <v>45.505943196826138</v>
      </c>
      <c r="N290" s="76">
        <f ca="1">$K$290-EFEITO!$M$290*EFEITO!$Z$290</f>
        <v>4.0348047765365322</v>
      </c>
      <c r="O290" s="76">
        <f>$L$290-EFEITO!$O$290*EFEITO!$AA$290</f>
        <v>22.432604105865153</v>
      </c>
      <c r="P290" s="57"/>
      <c r="Q290" s="57"/>
      <c r="R290" s="57"/>
      <c r="S290" s="57"/>
      <c r="T290" s="57"/>
      <c r="U290" s="57"/>
      <c r="V290" s="57"/>
      <c r="W290" s="57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1.25" customHeight="1" x14ac:dyDescent="0.2">
      <c r="A291" s="53" t="s">
        <v>21</v>
      </c>
      <c r="B291" s="53" t="s">
        <v>41</v>
      </c>
      <c r="C291" s="53" t="s">
        <v>42</v>
      </c>
      <c r="D291" s="53" t="s">
        <v>50</v>
      </c>
      <c r="E291" s="53" t="s">
        <v>51</v>
      </c>
      <c r="F291" s="53" t="s">
        <v>25</v>
      </c>
      <c r="G291" s="53" t="s">
        <v>25</v>
      </c>
      <c r="H291" s="53" t="s">
        <v>35</v>
      </c>
      <c r="I291" s="75">
        <v>44409</v>
      </c>
      <c r="J291" s="76">
        <f ca="1">EFEITO!$J$291*EFEITO!$Y$228</f>
        <v>1516.8647732275347</v>
      </c>
      <c r="K291" s="76">
        <f ca="1">EFEITO!$L$291*EFEITO!$Z$228</f>
        <v>135.40841426925283</v>
      </c>
      <c r="L291" s="76">
        <f>EFEITO!$N$291*EFEITO!$AA$228</f>
        <v>752.84022849614996</v>
      </c>
      <c r="M291" s="76">
        <f ca="1">$J$291-EFEITO!$K$291*EFEITO!$Y$291</f>
        <v>45.505943196826138</v>
      </c>
      <c r="N291" s="76">
        <f ca="1">$K$291-EFEITO!$M$291*EFEITO!$Z$291</f>
        <v>4.0622524280775849</v>
      </c>
      <c r="O291" s="76">
        <f>$L$291-EFEITO!$O$291*EFEITO!$AA$291</f>
        <v>22.585206854884632</v>
      </c>
      <c r="P291" s="57"/>
      <c r="Q291" s="57"/>
      <c r="R291" s="57"/>
      <c r="S291" s="57"/>
      <c r="T291" s="57"/>
      <c r="U291" s="57"/>
      <c r="V291" s="57"/>
      <c r="W291" s="57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1.25" customHeight="1" x14ac:dyDescent="0.2">
      <c r="A292" s="53" t="s">
        <v>21</v>
      </c>
      <c r="B292" s="53" t="s">
        <v>41</v>
      </c>
      <c r="C292" s="53" t="s">
        <v>42</v>
      </c>
      <c r="D292" s="53" t="s">
        <v>50</v>
      </c>
      <c r="E292" s="53" t="s">
        <v>51</v>
      </c>
      <c r="F292" s="53" t="s">
        <v>25</v>
      </c>
      <c r="G292" s="53" t="s">
        <v>25</v>
      </c>
      <c r="H292" s="53" t="s">
        <v>35</v>
      </c>
      <c r="I292" s="75">
        <v>44440</v>
      </c>
      <c r="J292" s="76">
        <f ca="1">EFEITO!$J$292*EFEITO!$Y$228</f>
        <v>1516.8647732275347</v>
      </c>
      <c r="K292" s="76">
        <f ca="1">EFEITO!$L$292*EFEITO!$Z$228</f>
        <v>132.66364911514637</v>
      </c>
      <c r="L292" s="76">
        <f>EFEITO!$N$292*EFEITO!$AA$228</f>
        <v>737.5799535942009</v>
      </c>
      <c r="M292" s="76">
        <f ca="1">$J$292-EFEITO!$K$292*EFEITO!$Y$292</f>
        <v>45.505943196826138</v>
      </c>
      <c r="N292" s="76">
        <f ca="1">$K$292-EFEITO!$M$292*EFEITO!$Z$292</f>
        <v>3.9799094734543985</v>
      </c>
      <c r="O292" s="76">
        <f>$L$292-EFEITO!$O$292*EFEITO!$AA$292</f>
        <v>22.12739860782608</v>
      </c>
      <c r="P292" s="57"/>
      <c r="Q292" s="57"/>
      <c r="R292" s="57"/>
      <c r="S292" s="57"/>
      <c r="T292" s="57"/>
      <c r="U292" s="57"/>
      <c r="V292" s="57"/>
      <c r="W292" s="57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1.25" customHeight="1" x14ac:dyDescent="0.2">
      <c r="A293" s="53" t="s">
        <v>21</v>
      </c>
      <c r="B293" s="53" t="s">
        <v>41</v>
      </c>
      <c r="C293" s="53" t="s">
        <v>42</v>
      </c>
      <c r="D293" s="53" t="s">
        <v>50</v>
      </c>
      <c r="E293" s="53" t="s">
        <v>51</v>
      </c>
      <c r="F293" s="53" t="s">
        <v>25</v>
      </c>
      <c r="G293" s="53" t="s">
        <v>25</v>
      </c>
      <c r="H293" s="53" t="s">
        <v>35</v>
      </c>
      <c r="I293" s="75">
        <v>44470</v>
      </c>
      <c r="J293" s="76">
        <f ca="1">EFEITO!$J$293*EFEITO!$Y$228</f>
        <v>1516.8647732275347</v>
      </c>
      <c r="K293" s="76">
        <f ca="1">EFEITO!$L$293*EFEITO!$Z$228</f>
        <v>96.981702111762161</v>
      </c>
      <c r="L293" s="76">
        <f>EFEITO!$N$293*EFEITO!$AA$228</f>
        <v>539.19637986886414</v>
      </c>
      <c r="M293" s="76">
        <f ca="1">$J$293-EFEITO!$K$293*EFEITO!$Y$293</f>
        <v>45.505943196826138</v>
      </c>
      <c r="N293" s="76">
        <f ca="1">$K$293-EFEITO!$M$293*EFEITO!$Z$293</f>
        <v>2.9094510633528614</v>
      </c>
      <c r="O293" s="76">
        <f>$L$293-EFEITO!$O$293*EFEITO!$AA$293</f>
        <v>16.175891396065936</v>
      </c>
      <c r="P293" s="57"/>
      <c r="Q293" s="57"/>
      <c r="R293" s="57"/>
      <c r="S293" s="57"/>
      <c r="T293" s="57"/>
      <c r="U293" s="57"/>
      <c r="V293" s="57"/>
      <c r="W293" s="57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1.25" customHeight="1" x14ac:dyDescent="0.2">
      <c r="A294" s="53" t="s">
        <v>21</v>
      </c>
      <c r="B294" s="53" t="s">
        <v>41</v>
      </c>
      <c r="C294" s="53" t="s">
        <v>42</v>
      </c>
      <c r="D294" s="53" t="s">
        <v>50</v>
      </c>
      <c r="E294" s="53" t="s">
        <v>51</v>
      </c>
      <c r="F294" s="53" t="s">
        <v>25</v>
      </c>
      <c r="G294" s="53" t="s">
        <v>25</v>
      </c>
      <c r="H294" s="53" t="s">
        <v>35</v>
      </c>
      <c r="I294" s="75">
        <v>44501</v>
      </c>
      <c r="J294" s="76">
        <f ca="1">EFEITO!$J$294*EFEITO!$Y$228</f>
        <v>1516.8647732275347</v>
      </c>
      <c r="K294" s="76">
        <f ca="1">EFEITO!$L$294*EFEITO!$Z$228</f>
        <v>130.83380567907537</v>
      </c>
      <c r="L294" s="76">
        <f>EFEITO!$N$294*EFEITO!$AA$228</f>
        <v>727.4064369929016</v>
      </c>
      <c r="M294" s="76">
        <f ca="1">$J$294-EFEITO!$K$294*EFEITO!$Y$294</f>
        <v>45.505943196826138</v>
      </c>
      <c r="N294" s="76">
        <f ca="1">$K$294-EFEITO!$M$294*EFEITO!$Z$294</f>
        <v>3.9250141703722647</v>
      </c>
      <c r="O294" s="76">
        <f>$L$294-EFEITO!$O$294*EFEITO!$AA$294</f>
        <v>21.822193109787122</v>
      </c>
      <c r="P294" s="57"/>
      <c r="Q294" s="57"/>
      <c r="R294" s="57"/>
      <c r="S294" s="57"/>
      <c r="T294" s="57"/>
      <c r="U294" s="57"/>
      <c r="V294" s="57"/>
      <c r="W294" s="57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1.25" customHeight="1" x14ac:dyDescent="0.2">
      <c r="A295" s="53" t="s">
        <v>21</v>
      </c>
      <c r="B295" s="53" t="s">
        <v>41</v>
      </c>
      <c r="C295" s="53" t="s">
        <v>42</v>
      </c>
      <c r="D295" s="53" t="s">
        <v>50</v>
      </c>
      <c r="E295" s="53" t="s">
        <v>51</v>
      </c>
      <c r="F295" s="53" t="s">
        <v>25</v>
      </c>
      <c r="G295" s="53" t="s">
        <v>25</v>
      </c>
      <c r="H295" s="53" t="s">
        <v>35</v>
      </c>
      <c r="I295" s="75">
        <v>44531</v>
      </c>
      <c r="J295" s="76">
        <f ca="1">EFEITO!$J$295*EFEITO!$Y$228</f>
        <v>1516.8647732275347</v>
      </c>
      <c r="K295" s="76">
        <f ca="1">EFEITO!$L$295*EFEITO!$Z$228</f>
        <v>139.06810114139481</v>
      </c>
      <c r="L295" s="76">
        <f>EFEITO!$N$295*EFEITO!$AA$228</f>
        <v>773.18726169874856</v>
      </c>
      <c r="M295" s="76">
        <f ca="1">$J$295-EFEITO!$K$295*EFEITO!$Y$295</f>
        <v>45.505943196826138</v>
      </c>
      <c r="N295" s="76">
        <f ca="1">$K$295-EFEITO!$M$295*EFEITO!$Z$295</f>
        <v>4.1720430342418524</v>
      </c>
      <c r="O295" s="76">
        <f>$L$295-EFEITO!$O$295*EFEITO!$AA$295</f>
        <v>23.195617850962435</v>
      </c>
      <c r="P295" s="57"/>
      <c r="Q295" s="57"/>
      <c r="R295" s="57"/>
      <c r="S295" s="57"/>
      <c r="T295" s="57"/>
      <c r="U295" s="57"/>
      <c r="V295" s="57"/>
      <c r="W295" s="57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1.25" customHeight="1" x14ac:dyDescent="0.2">
      <c r="A296" s="53" t="s">
        <v>21</v>
      </c>
      <c r="B296" s="53" t="s">
        <v>41</v>
      </c>
      <c r="C296" s="53" t="s">
        <v>42</v>
      </c>
      <c r="D296" s="53" t="s">
        <v>50</v>
      </c>
      <c r="E296" s="53" t="s">
        <v>51</v>
      </c>
      <c r="F296" s="53" t="s">
        <v>25</v>
      </c>
      <c r="G296" s="53" t="s">
        <v>25</v>
      </c>
      <c r="H296" s="53" t="s">
        <v>35</v>
      </c>
      <c r="I296" s="75">
        <v>44562</v>
      </c>
      <c r="J296" s="76">
        <f ca="1">EFEITO!$J$296*EFEITO!$Y$228</f>
        <v>1516.8647732275347</v>
      </c>
      <c r="K296" s="76">
        <f ca="1">EFEITO!$L$296*EFEITO!$Z$228</f>
        <v>121.68458849872046</v>
      </c>
      <c r="L296" s="76">
        <f>EFEITO!$N$296*EFEITO!$AA$228</f>
        <v>676.538853986405</v>
      </c>
      <c r="M296" s="76">
        <f ca="1">$J$296-EFEITO!$K$296*EFEITO!$Y$296</f>
        <v>45.505943196826138</v>
      </c>
      <c r="N296" s="76">
        <f ca="1">$K$296-EFEITO!$M$296*EFEITO!$Z$296</f>
        <v>3.6505376549616102</v>
      </c>
      <c r="O296" s="76">
        <f>$L$296-EFEITO!$O$296*EFEITO!$AA$296</f>
        <v>20.296165619592216</v>
      </c>
      <c r="P296" s="57"/>
      <c r="Q296" s="57"/>
      <c r="R296" s="57"/>
      <c r="S296" s="57"/>
      <c r="T296" s="57"/>
      <c r="U296" s="57"/>
      <c r="V296" s="57"/>
      <c r="W296" s="57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1.25" customHeight="1" x14ac:dyDescent="0.2">
      <c r="A297" s="53" t="s">
        <v>21</v>
      </c>
      <c r="B297" s="53" t="s">
        <v>41</v>
      </c>
      <c r="C297" s="53" t="s">
        <v>42</v>
      </c>
      <c r="D297" s="53" t="s">
        <v>50</v>
      </c>
      <c r="E297" s="53" t="s">
        <v>51</v>
      </c>
      <c r="F297" s="53" t="s">
        <v>25</v>
      </c>
      <c r="G297" s="53" t="s">
        <v>25</v>
      </c>
      <c r="H297" s="53" t="s">
        <v>35</v>
      </c>
      <c r="I297" s="75">
        <v>44593</v>
      </c>
      <c r="J297" s="76">
        <f ca="1">EFEITO!$J$297*EFEITO!$Y$228</f>
        <v>1516.8647732275347</v>
      </c>
      <c r="K297" s="76">
        <f ca="1">EFEITO!$L$297*EFEITO!$Z$228</f>
        <v>122.59951021675595</v>
      </c>
      <c r="L297" s="76">
        <f>EFEITO!$N$297*EFEITO!$AA$228</f>
        <v>681.62561228705465</v>
      </c>
      <c r="M297" s="76">
        <f ca="1">$J$297-EFEITO!$K$297*EFEITO!$Y$297</f>
        <v>45.505943196826138</v>
      </c>
      <c r="N297" s="76">
        <f ca="1">$K$297-EFEITO!$M$297*EFEITO!$Z$297</f>
        <v>3.6779853065026771</v>
      </c>
      <c r="O297" s="76">
        <f>$L$297-EFEITO!$O$297*EFEITO!$AA$297</f>
        <v>20.448768368611695</v>
      </c>
      <c r="P297" s="57"/>
      <c r="Q297" s="57"/>
      <c r="R297" s="57"/>
      <c r="S297" s="57"/>
      <c r="T297" s="57"/>
      <c r="U297" s="57"/>
      <c r="V297" s="57"/>
      <c r="W297" s="57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1.25" customHeight="1" x14ac:dyDescent="0.2">
      <c r="A298" s="53" t="s">
        <v>21</v>
      </c>
      <c r="B298" s="53" t="s">
        <v>41</v>
      </c>
      <c r="C298" s="53" t="s">
        <v>42</v>
      </c>
      <c r="D298" s="53" t="s">
        <v>50</v>
      </c>
      <c r="E298" s="53" t="s">
        <v>51</v>
      </c>
      <c r="F298" s="53" t="s">
        <v>25</v>
      </c>
      <c r="G298" s="53" t="s">
        <v>25</v>
      </c>
      <c r="H298" s="53" t="s">
        <v>35</v>
      </c>
      <c r="I298" s="75">
        <v>44621</v>
      </c>
      <c r="J298" s="76">
        <f ca="1">EFEITO!$J$298*EFEITO!$Y$228</f>
        <v>1516.8647732275347</v>
      </c>
      <c r="K298" s="76">
        <f ca="1">EFEITO!$L$298*EFEITO!$Z$228</f>
        <v>131.74872739711086</v>
      </c>
      <c r="L298" s="76">
        <f>EFEITO!$N$298*EFEITO!$AA$228</f>
        <v>732.49319529355125</v>
      </c>
      <c r="M298" s="76">
        <f ca="1">$J$298-EFEITO!$K$298*EFEITO!$Y$298</f>
        <v>45.505943196826138</v>
      </c>
      <c r="N298" s="76">
        <f ca="1">$K$298-EFEITO!$M$298*EFEITO!$Z$298</f>
        <v>3.9524618219133174</v>
      </c>
      <c r="O298" s="76">
        <f>$L$298-EFEITO!$O$298*EFEITO!$AA$298</f>
        <v>21.974795858806601</v>
      </c>
      <c r="P298" s="57"/>
      <c r="Q298" s="57"/>
      <c r="R298" s="57"/>
      <c r="S298" s="57"/>
      <c r="T298" s="57"/>
      <c r="U298" s="57"/>
      <c r="V298" s="57"/>
      <c r="W298" s="57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1.25" customHeight="1" x14ac:dyDescent="0.2">
      <c r="A299" s="53" t="s">
        <v>56</v>
      </c>
      <c r="B299" s="53" t="s">
        <v>41</v>
      </c>
      <c r="C299" s="53" t="s">
        <v>42</v>
      </c>
      <c r="D299" s="53" t="s">
        <v>50</v>
      </c>
      <c r="E299" s="53" t="s">
        <v>51</v>
      </c>
      <c r="F299" s="53" t="s">
        <v>25</v>
      </c>
      <c r="G299" s="53" t="s">
        <v>25</v>
      </c>
      <c r="H299" s="53" t="s">
        <v>35</v>
      </c>
      <c r="I299" s="75">
        <v>44652</v>
      </c>
      <c r="J299" s="76">
        <f ca="1">EFEITO!$J$299*EFEITO!$Y$228</f>
        <v>1516.8647732275347</v>
      </c>
      <c r="K299" s="76">
        <f ca="1">EFEITO!$L$299*EFEITO!$Z$228</f>
        <v>131.74872739711086</v>
      </c>
      <c r="L299" s="76">
        <f>EFEITO!$N$299*EFEITO!$AA$228</f>
        <v>732.49319529355125</v>
      </c>
      <c r="M299" s="76">
        <f ca="1">$J$299-EFEITO!$K$299*EFEITO!$Y$299</f>
        <v>45.505943196826138</v>
      </c>
      <c r="N299" s="76">
        <f ca="1">$K$299-EFEITO!$M$299*EFEITO!$Z$299</f>
        <v>3.9524618219133174</v>
      </c>
      <c r="O299" s="76">
        <f>$L$299-EFEITO!$O$299*EFEITO!$AA$299</f>
        <v>21.974795858806601</v>
      </c>
      <c r="P299" s="57"/>
      <c r="Q299" s="57"/>
      <c r="R299" s="57"/>
      <c r="S299" s="57"/>
      <c r="T299" s="57"/>
      <c r="U299" s="57"/>
      <c r="V299" s="57"/>
      <c r="W299" s="57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1.25" customHeight="1" x14ac:dyDescent="0.2">
      <c r="A300" s="53" t="s">
        <v>21</v>
      </c>
      <c r="B300" s="53" t="s">
        <v>41</v>
      </c>
      <c r="C300" s="53" t="s">
        <v>61</v>
      </c>
      <c r="D300" s="53" t="s">
        <v>25</v>
      </c>
      <c r="E300" s="53" t="s">
        <v>25</v>
      </c>
      <c r="F300" s="53" t="s">
        <v>25</v>
      </c>
      <c r="G300" s="53" t="s">
        <v>62</v>
      </c>
      <c r="H300" s="53" t="s">
        <v>36</v>
      </c>
      <c r="I300" s="75">
        <v>44317</v>
      </c>
      <c r="J300" s="76">
        <f ca="1">EFEITO!$J$300*EFEITO!$Y$300</f>
        <v>48954.63247350882</v>
      </c>
      <c r="K300" s="76">
        <f ca="1">EFEITO!$L$300*EFEITO!$Z$300</f>
        <v>0</v>
      </c>
      <c r="L300" s="76">
        <f>EFEITO!$N$300*EFEITO!$AA$300</f>
        <v>0</v>
      </c>
      <c r="M300" s="76">
        <f ca="1">$J$300-EFEITO!$K$300*EFEITO!$Y$300</f>
        <v>0</v>
      </c>
      <c r="N300" s="76">
        <f ca="1">$K$300-EFEITO!$M$300*EFEITO!$Z$300</f>
        <v>0</v>
      </c>
      <c r="O300" s="76">
        <f>$L$300-EFEITO!$O$300*EFEITO!$AA$300</f>
        <v>0</v>
      </c>
      <c r="P300" s="57"/>
      <c r="Q300" s="57"/>
      <c r="R300" s="57"/>
      <c r="S300" s="57"/>
      <c r="T300" s="57"/>
      <c r="U300" s="57"/>
      <c r="V300" s="57"/>
      <c r="W300" s="57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1.25" customHeight="1" x14ac:dyDescent="0.2">
      <c r="A301" s="53" t="s">
        <v>21</v>
      </c>
      <c r="B301" s="53" t="s">
        <v>41</v>
      </c>
      <c r="C301" s="53" t="s">
        <v>61</v>
      </c>
      <c r="D301" s="53" t="s">
        <v>25</v>
      </c>
      <c r="E301" s="53" t="s">
        <v>25</v>
      </c>
      <c r="F301" s="53" t="s">
        <v>25</v>
      </c>
      <c r="G301" s="53" t="s">
        <v>62</v>
      </c>
      <c r="H301" s="53" t="s">
        <v>36</v>
      </c>
      <c r="I301" s="75">
        <v>44348</v>
      </c>
      <c r="J301" s="76">
        <f ca="1">EFEITO!$J$301*EFEITO!$Y$301</f>
        <v>48954.63247350882</v>
      </c>
      <c r="K301" s="76">
        <f ca="1">EFEITO!$L$301*EFEITO!$Z$301</f>
        <v>0</v>
      </c>
      <c r="L301" s="76">
        <f>EFEITO!$N$301*EFEITO!$AA$301</f>
        <v>0</v>
      </c>
      <c r="M301" s="76">
        <f ca="1">$J$301-EFEITO!$K$301*EFEITO!$Y$301</f>
        <v>0</v>
      </c>
      <c r="N301" s="76">
        <f ca="1">$K$301-EFEITO!$M$301*EFEITO!$Z$301</f>
        <v>0</v>
      </c>
      <c r="O301" s="76">
        <f>$L$301-EFEITO!$O$301*EFEITO!$AA$301</f>
        <v>0</v>
      </c>
      <c r="P301" s="57"/>
      <c r="Q301" s="57"/>
      <c r="R301" s="57"/>
      <c r="S301" s="57"/>
      <c r="T301" s="57"/>
      <c r="U301" s="57"/>
      <c r="V301" s="57"/>
      <c r="W301" s="57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1.25" customHeight="1" x14ac:dyDescent="0.2">
      <c r="A302" s="53" t="s">
        <v>21</v>
      </c>
      <c r="B302" s="53" t="s">
        <v>41</v>
      </c>
      <c r="C302" s="53" t="s">
        <v>61</v>
      </c>
      <c r="D302" s="53" t="s">
        <v>25</v>
      </c>
      <c r="E302" s="53" t="s">
        <v>25</v>
      </c>
      <c r="F302" s="53" t="s">
        <v>25</v>
      </c>
      <c r="G302" s="53" t="s">
        <v>62</v>
      </c>
      <c r="H302" s="53" t="s">
        <v>36</v>
      </c>
      <c r="I302" s="75">
        <v>44378</v>
      </c>
      <c r="J302" s="76">
        <f ca="1">EFEITO!$J$302*EFEITO!$Y$302</f>
        <v>48954.63247350882</v>
      </c>
      <c r="K302" s="76">
        <f ca="1">EFEITO!$L$302*EFEITO!$Z$302</f>
        <v>0</v>
      </c>
      <c r="L302" s="76">
        <f>EFEITO!$N$302*EFEITO!$AA$302</f>
        <v>0</v>
      </c>
      <c r="M302" s="76">
        <f ca="1">$J$302-EFEITO!$K$302*EFEITO!$Y$302</f>
        <v>0</v>
      </c>
      <c r="N302" s="76">
        <f ca="1">$K$302-EFEITO!$M$302*EFEITO!$Z$302</f>
        <v>0</v>
      </c>
      <c r="O302" s="76">
        <f>$L$302-EFEITO!$O$302*EFEITO!$AA$302</f>
        <v>0</v>
      </c>
      <c r="P302" s="57"/>
      <c r="Q302" s="57"/>
      <c r="R302" s="57"/>
      <c r="S302" s="57"/>
      <c r="T302" s="57"/>
      <c r="U302" s="57"/>
      <c r="V302" s="57"/>
      <c r="W302" s="57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1.25" customHeight="1" x14ac:dyDescent="0.2">
      <c r="A303" s="53" t="s">
        <v>21</v>
      </c>
      <c r="B303" s="53" t="s">
        <v>41</v>
      </c>
      <c r="C303" s="53" t="s">
        <v>61</v>
      </c>
      <c r="D303" s="53" t="s">
        <v>25</v>
      </c>
      <c r="E303" s="53" t="s">
        <v>25</v>
      </c>
      <c r="F303" s="53" t="s">
        <v>25</v>
      </c>
      <c r="G303" s="53" t="s">
        <v>62</v>
      </c>
      <c r="H303" s="53" t="s">
        <v>36</v>
      </c>
      <c r="I303" s="75">
        <v>44409</v>
      </c>
      <c r="J303" s="76">
        <f ca="1">EFEITO!$J$303*EFEITO!$Y$303</f>
        <v>49117.814581753853</v>
      </c>
      <c r="K303" s="76">
        <f ca="1">EFEITO!$L$303*EFEITO!$Z$303</f>
        <v>0</v>
      </c>
      <c r="L303" s="76">
        <f>EFEITO!$N$303*EFEITO!$AA$303</f>
        <v>0</v>
      </c>
      <c r="M303" s="76">
        <f ca="1">$J$303-EFEITO!$K$303*EFEITO!$Y$303</f>
        <v>0</v>
      </c>
      <c r="N303" s="76">
        <f ca="1">$K$303-EFEITO!$M$303*EFEITO!$Z$303</f>
        <v>0</v>
      </c>
      <c r="O303" s="76">
        <f>$L$303-EFEITO!$O$303*EFEITO!$AA$303</f>
        <v>0</v>
      </c>
      <c r="P303" s="57"/>
      <c r="Q303" s="57"/>
      <c r="R303" s="57"/>
      <c r="S303" s="57"/>
      <c r="T303" s="57"/>
      <c r="U303" s="57"/>
      <c r="V303" s="57"/>
      <c r="W303" s="57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1.25" customHeight="1" x14ac:dyDescent="0.2">
      <c r="A304" s="53" t="s">
        <v>21</v>
      </c>
      <c r="B304" s="53" t="s">
        <v>41</v>
      </c>
      <c r="C304" s="53" t="s">
        <v>61</v>
      </c>
      <c r="D304" s="53" t="s">
        <v>25</v>
      </c>
      <c r="E304" s="53" t="s">
        <v>25</v>
      </c>
      <c r="F304" s="53" t="s">
        <v>25</v>
      </c>
      <c r="G304" s="53" t="s">
        <v>62</v>
      </c>
      <c r="H304" s="53" t="s">
        <v>36</v>
      </c>
      <c r="I304" s="75">
        <v>44440</v>
      </c>
      <c r="J304" s="76">
        <f ca="1">EFEITO!$J$304*EFEITO!$Y$304</f>
        <v>49117.814581753853</v>
      </c>
      <c r="K304" s="76">
        <f ca="1">EFEITO!$L$304*EFEITO!$Z$304</f>
        <v>0</v>
      </c>
      <c r="L304" s="76">
        <f>EFEITO!$N$304*EFEITO!$AA$304</f>
        <v>0</v>
      </c>
      <c r="M304" s="76">
        <f ca="1">$J$304-EFEITO!$K$304*EFEITO!$Y$304</f>
        <v>0</v>
      </c>
      <c r="N304" s="76">
        <f ca="1">$K$304-EFEITO!$M$304*EFEITO!$Z$304</f>
        <v>0</v>
      </c>
      <c r="O304" s="76">
        <f>$L$304-EFEITO!$O$304*EFEITO!$AA$304</f>
        <v>0</v>
      </c>
      <c r="P304" s="57"/>
      <c r="Q304" s="57"/>
      <c r="R304" s="57"/>
      <c r="S304" s="57"/>
      <c r="T304" s="57"/>
      <c r="U304" s="57"/>
      <c r="V304" s="57"/>
      <c r="W304" s="57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1.25" customHeight="1" x14ac:dyDescent="0.2">
      <c r="A305" s="53" t="s">
        <v>21</v>
      </c>
      <c r="B305" s="53" t="s">
        <v>41</v>
      </c>
      <c r="C305" s="53" t="s">
        <v>61</v>
      </c>
      <c r="D305" s="53" t="s">
        <v>25</v>
      </c>
      <c r="E305" s="53" t="s">
        <v>25</v>
      </c>
      <c r="F305" s="53" t="s">
        <v>25</v>
      </c>
      <c r="G305" s="53" t="s">
        <v>62</v>
      </c>
      <c r="H305" s="53" t="s">
        <v>36</v>
      </c>
      <c r="I305" s="75">
        <v>44470</v>
      </c>
      <c r="J305" s="76">
        <f ca="1">EFEITO!$J$305*EFEITO!$Y$305</f>
        <v>49117.814581753853</v>
      </c>
      <c r="K305" s="76">
        <f ca="1">EFEITO!$L$305*EFEITO!$Z$305</f>
        <v>0</v>
      </c>
      <c r="L305" s="76">
        <f>EFEITO!$N$305*EFEITO!$AA$305</f>
        <v>0</v>
      </c>
      <c r="M305" s="76">
        <f ca="1">$J$305-EFEITO!$K$305*EFEITO!$Y$305</f>
        <v>0</v>
      </c>
      <c r="N305" s="76">
        <f ca="1">$K$305-EFEITO!$M$305*EFEITO!$Z$305</f>
        <v>0</v>
      </c>
      <c r="O305" s="76">
        <f>$L$305-EFEITO!$O$305*EFEITO!$AA$305</f>
        <v>0</v>
      </c>
      <c r="P305" s="57"/>
      <c r="Q305" s="57"/>
      <c r="R305" s="57"/>
      <c r="S305" s="57"/>
      <c r="T305" s="57"/>
      <c r="U305" s="57"/>
      <c r="V305" s="57"/>
      <c r="W305" s="57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1.25" customHeight="1" x14ac:dyDescent="0.2">
      <c r="A306" s="53" t="s">
        <v>21</v>
      </c>
      <c r="B306" s="53" t="s">
        <v>41</v>
      </c>
      <c r="C306" s="53" t="s">
        <v>61</v>
      </c>
      <c r="D306" s="53" t="s">
        <v>25</v>
      </c>
      <c r="E306" s="53" t="s">
        <v>25</v>
      </c>
      <c r="F306" s="53" t="s">
        <v>25</v>
      </c>
      <c r="G306" s="53" t="s">
        <v>62</v>
      </c>
      <c r="H306" s="53" t="s">
        <v>36</v>
      </c>
      <c r="I306" s="75">
        <v>44501</v>
      </c>
      <c r="J306" s="76">
        <f ca="1">EFEITO!$J$306*EFEITO!$Y$306</f>
        <v>49117.814581753853</v>
      </c>
      <c r="K306" s="76">
        <f ca="1">EFEITO!$L$306*EFEITO!$Z$306</f>
        <v>0</v>
      </c>
      <c r="L306" s="76">
        <f>EFEITO!$N$306*EFEITO!$AA$306</f>
        <v>0</v>
      </c>
      <c r="M306" s="76">
        <f ca="1">$J$306-EFEITO!$K$306*EFEITO!$Y$306</f>
        <v>0</v>
      </c>
      <c r="N306" s="76">
        <f ca="1">$K$306-EFEITO!$M$306*EFEITO!$Z$306</f>
        <v>0</v>
      </c>
      <c r="O306" s="76">
        <f>$L$306-EFEITO!$O$306*EFEITO!$AA$306</f>
        <v>0</v>
      </c>
      <c r="P306" s="57"/>
      <c r="Q306" s="57"/>
      <c r="R306" s="57"/>
      <c r="S306" s="57"/>
      <c r="T306" s="57"/>
      <c r="U306" s="57"/>
      <c r="V306" s="57"/>
      <c r="W306" s="57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1.25" customHeight="1" x14ac:dyDescent="0.2">
      <c r="A307" s="53" t="s">
        <v>21</v>
      </c>
      <c r="B307" s="53" t="s">
        <v>41</v>
      </c>
      <c r="C307" s="53" t="s">
        <v>61</v>
      </c>
      <c r="D307" s="53" t="s">
        <v>25</v>
      </c>
      <c r="E307" s="53" t="s">
        <v>25</v>
      </c>
      <c r="F307" s="53" t="s">
        <v>25</v>
      </c>
      <c r="G307" s="53" t="s">
        <v>62</v>
      </c>
      <c r="H307" s="53" t="s">
        <v>36</v>
      </c>
      <c r="I307" s="75">
        <v>44531</v>
      </c>
      <c r="J307" s="76">
        <f ca="1">EFEITO!$J$307*EFEITO!$Y$307</f>
        <v>49117.814581753853</v>
      </c>
      <c r="K307" s="76">
        <f ca="1">EFEITO!$L$307*EFEITO!$Z$307</f>
        <v>0</v>
      </c>
      <c r="L307" s="76">
        <f>EFEITO!$N$307*EFEITO!$AA$307</f>
        <v>0</v>
      </c>
      <c r="M307" s="76">
        <f ca="1">$J$307-EFEITO!$K$307*EFEITO!$Y$307</f>
        <v>0</v>
      </c>
      <c r="N307" s="76">
        <f ca="1">$K$307-EFEITO!$M$307*EFEITO!$Z$307</f>
        <v>0</v>
      </c>
      <c r="O307" s="76">
        <f>$L$307-EFEITO!$O$307*EFEITO!$AA$307</f>
        <v>0</v>
      </c>
      <c r="P307" s="57"/>
      <c r="Q307" s="57"/>
      <c r="R307" s="57"/>
      <c r="S307" s="57"/>
      <c r="T307" s="57"/>
      <c r="U307" s="57"/>
      <c r="V307" s="57"/>
      <c r="W307" s="57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1.25" customHeight="1" x14ac:dyDescent="0.2">
      <c r="A308" s="53" t="s">
        <v>21</v>
      </c>
      <c r="B308" s="53" t="s">
        <v>41</v>
      </c>
      <c r="C308" s="53" t="s">
        <v>61</v>
      </c>
      <c r="D308" s="53" t="s">
        <v>25</v>
      </c>
      <c r="E308" s="53" t="s">
        <v>25</v>
      </c>
      <c r="F308" s="53" t="s">
        <v>25</v>
      </c>
      <c r="G308" s="53" t="s">
        <v>62</v>
      </c>
      <c r="H308" s="53" t="s">
        <v>36</v>
      </c>
      <c r="I308" s="75">
        <v>44562</v>
      </c>
      <c r="J308" s="76">
        <f ca="1">EFEITO!$J$308*EFEITO!$Y$308</f>
        <v>49117.814581753853</v>
      </c>
      <c r="K308" s="76">
        <f ca="1">EFEITO!$L$308*EFEITO!$Z$308</f>
        <v>0</v>
      </c>
      <c r="L308" s="76">
        <f>EFEITO!$N$308*EFEITO!$AA$308</f>
        <v>0</v>
      </c>
      <c r="M308" s="76">
        <f ca="1">$J$308-EFEITO!$K$308*EFEITO!$Y$308</f>
        <v>0</v>
      </c>
      <c r="N308" s="76">
        <f ca="1">$K$308-EFEITO!$M$308*EFEITO!$Z$308</f>
        <v>0</v>
      </c>
      <c r="O308" s="76">
        <f>$L$308-EFEITO!$O$308*EFEITO!$AA$308</f>
        <v>0</v>
      </c>
      <c r="P308" s="57"/>
      <c r="Q308" s="57"/>
      <c r="R308" s="57"/>
      <c r="S308" s="57"/>
      <c r="T308" s="57"/>
      <c r="U308" s="57"/>
      <c r="V308" s="57"/>
      <c r="W308" s="57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1.25" customHeight="1" x14ac:dyDescent="0.2">
      <c r="A309" s="53" t="s">
        <v>21</v>
      </c>
      <c r="B309" s="53" t="s">
        <v>41</v>
      </c>
      <c r="C309" s="53" t="s">
        <v>61</v>
      </c>
      <c r="D309" s="53" t="s">
        <v>25</v>
      </c>
      <c r="E309" s="53" t="s">
        <v>25</v>
      </c>
      <c r="F309" s="53" t="s">
        <v>25</v>
      </c>
      <c r="G309" s="53" t="s">
        <v>62</v>
      </c>
      <c r="H309" s="53" t="s">
        <v>36</v>
      </c>
      <c r="I309" s="75">
        <v>44593</v>
      </c>
      <c r="J309" s="76">
        <f ca="1">EFEITO!$J$309*EFEITO!$Y$309</f>
        <v>49117.814581753853</v>
      </c>
      <c r="K309" s="76">
        <f ca="1">EFEITO!$L$309*EFEITO!$Z$309</f>
        <v>0</v>
      </c>
      <c r="L309" s="76">
        <f>EFEITO!$N$309*EFEITO!$AA$309</f>
        <v>0</v>
      </c>
      <c r="M309" s="76">
        <f ca="1">$J$309-EFEITO!$K$309*EFEITO!$Y$309</f>
        <v>0</v>
      </c>
      <c r="N309" s="76">
        <f ca="1">$K$309-EFEITO!$M$309*EFEITO!$Z$309</f>
        <v>0</v>
      </c>
      <c r="O309" s="76">
        <f>$L$309-EFEITO!$O$309*EFEITO!$AA$309</f>
        <v>0</v>
      </c>
      <c r="P309" s="57"/>
      <c r="Q309" s="57"/>
      <c r="R309" s="57"/>
      <c r="S309" s="57"/>
      <c r="T309" s="57"/>
      <c r="U309" s="57"/>
      <c r="V309" s="57"/>
      <c r="W309" s="57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1.25" customHeight="1" x14ac:dyDescent="0.2">
      <c r="A310" s="53" t="s">
        <v>21</v>
      </c>
      <c r="B310" s="53" t="s">
        <v>41</v>
      </c>
      <c r="C310" s="53" t="s">
        <v>61</v>
      </c>
      <c r="D310" s="53" t="s">
        <v>25</v>
      </c>
      <c r="E310" s="53" t="s">
        <v>25</v>
      </c>
      <c r="F310" s="53" t="s">
        <v>25</v>
      </c>
      <c r="G310" s="53" t="s">
        <v>62</v>
      </c>
      <c r="H310" s="53" t="s">
        <v>36</v>
      </c>
      <c r="I310" s="75">
        <v>44621</v>
      </c>
      <c r="J310" s="76">
        <f ca="1">EFEITO!$J$310*EFEITO!$Y$310</f>
        <v>49117.814581753853</v>
      </c>
      <c r="K310" s="76">
        <f ca="1">EFEITO!$L$310*EFEITO!$Z$310</f>
        <v>0</v>
      </c>
      <c r="L310" s="76">
        <f>EFEITO!$N$310*EFEITO!$AA$310</f>
        <v>0</v>
      </c>
      <c r="M310" s="76">
        <f ca="1">$J$310-EFEITO!$K$310*EFEITO!$Y$310</f>
        <v>0</v>
      </c>
      <c r="N310" s="76">
        <f ca="1">$K$310-EFEITO!$M$310*EFEITO!$Z$310</f>
        <v>0</v>
      </c>
      <c r="O310" s="76">
        <f>$L$310-EFEITO!$O$310*EFEITO!$AA$310</f>
        <v>0</v>
      </c>
      <c r="P310" s="57"/>
      <c r="Q310" s="57"/>
      <c r="R310" s="57"/>
      <c r="S310" s="57"/>
      <c r="T310" s="57"/>
      <c r="U310" s="57"/>
      <c r="V310" s="57"/>
      <c r="W310" s="57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1.25" customHeight="1" x14ac:dyDescent="0.2">
      <c r="A311" s="53" t="s">
        <v>56</v>
      </c>
      <c r="B311" s="53" t="s">
        <v>41</v>
      </c>
      <c r="C311" s="53" t="s">
        <v>61</v>
      </c>
      <c r="D311" s="53" t="s">
        <v>25</v>
      </c>
      <c r="E311" s="53" t="s">
        <v>25</v>
      </c>
      <c r="F311" s="53" t="s">
        <v>25</v>
      </c>
      <c r="G311" s="53" t="s">
        <v>62</v>
      </c>
      <c r="H311" s="53" t="s">
        <v>36</v>
      </c>
      <c r="I311" s="75">
        <v>44652</v>
      </c>
      <c r="J311" s="76">
        <f ca="1">EFEITO!$J$311*EFEITO!$Y$311</f>
        <v>49117.814581753853</v>
      </c>
      <c r="K311" s="76">
        <f ca="1">EFEITO!$L$311*EFEITO!$Z$311</f>
        <v>0</v>
      </c>
      <c r="L311" s="76">
        <f>EFEITO!$N$311*EFEITO!$AA$311</f>
        <v>0</v>
      </c>
      <c r="M311" s="76">
        <f ca="1">$J$311-EFEITO!$K$311*EFEITO!$Y$311</f>
        <v>0</v>
      </c>
      <c r="N311" s="76">
        <f ca="1">$K$311-EFEITO!$M$311*EFEITO!$Z$311</f>
        <v>0</v>
      </c>
      <c r="O311" s="76">
        <f>$L$311-EFEITO!$O$311*EFEITO!$AA$311</f>
        <v>0</v>
      </c>
      <c r="P311" s="57"/>
      <c r="Q311" s="57"/>
      <c r="R311" s="57"/>
      <c r="S311" s="57"/>
      <c r="T311" s="57"/>
      <c r="U311" s="57"/>
      <c r="V311" s="57"/>
      <c r="W311" s="57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1.25" customHeight="1" x14ac:dyDescent="0.2">
      <c r="A312" s="53" t="s">
        <v>21</v>
      </c>
      <c r="B312" s="53" t="s">
        <v>41</v>
      </c>
      <c r="C312" s="53" t="s">
        <v>61</v>
      </c>
      <c r="D312" s="53" t="s">
        <v>25</v>
      </c>
      <c r="E312" s="53" t="s">
        <v>25</v>
      </c>
      <c r="F312" s="53" t="s">
        <v>25</v>
      </c>
      <c r="G312" s="53" t="s">
        <v>62</v>
      </c>
      <c r="H312" s="53" t="s">
        <v>25</v>
      </c>
      <c r="I312" s="75">
        <v>44317</v>
      </c>
      <c r="J312" s="76">
        <f ca="1">EFEITO!$J$312*EFEITO!$Y$312</f>
        <v>0</v>
      </c>
      <c r="K312" s="76">
        <f ca="1">EFEITO!$L$312*EFEITO!$Z$312</f>
        <v>9334.341787652229</v>
      </c>
      <c r="L312" s="76">
        <f>EFEITO!$N$312*EFEITO!$AA$312</f>
        <v>0</v>
      </c>
      <c r="M312" s="76">
        <f ca="1">$J$312-EFEITO!$K$312*EFEITO!$Y$312</f>
        <v>0</v>
      </c>
      <c r="N312" s="76">
        <f ca="1">$K$312-EFEITO!$M$312*EFEITO!$Z$312</f>
        <v>0</v>
      </c>
      <c r="O312" s="76">
        <f>$L$312-EFEITO!$O$312*EFEITO!$AA$312</f>
        <v>0</v>
      </c>
      <c r="P312" s="57"/>
      <c r="Q312" s="57"/>
      <c r="R312" s="57"/>
      <c r="S312" s="57"/>
      <c r="T312" s="57"/>
      <c r="U312" s="57"/>
      <c r="V312" s="57"/>
      <c r="W312" s="57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1.25" customHeight="1" x14ac:dyDescent="0.2">
      <c r="A313" s="53" t="s">
        <v>21</v>
      </c>
      <c r="B313" s="53" t="s">
        <v>41</v>
      </c>
      <c r="C313" s="53" t="s">
        <v>61</v>
      </c>
      <c r="D313" s="53" t="s">
        <v>25</v>
      </c>
      <c r="E313" s="53" t="s">
        <v>25</v>
      </c>
      <c r="F313" s="53" t="s">
        <v>25</v>
      </c>
      <c r="G313" s="53" t="s">
        <v>62</v>
      </c>
      <c r="H313" s="53" t="s">
        <v>25</v>
      </c>
      <c r="I313" s="75">
        <v>44348</v>
      </c>
      <c r="J313" s="76">
        <f ca="1">EFEITO!$J$313*EFEITO!$Y$313</f>
        <v>0</v>
      </c>
      <c r="K313" s="76">
        <f ca="1">EFEITO!$L$313*EFEITO!$Z$313</f>
        <v>8673.8515443331326</v>
      </c>
      <c r="L313" s="76">
        <f>EFEITO!$N$313*EFEITO!$AA$313</f>
        <v>0</v>
      </c>
      <c r="M313" s="76">
        <f ca="1">$J$313-EFEITO!$K$313*EFEITO!$Y$313</f>
        <v>0</v>
      </c>
      <c r="N313" s="76">
        <f ca="1">$K$313-EFEITO!$M$313*EFEITO!$Z$313</f>
        <v>0</v>
      </c>
      <c r="O313" s="76">
        <f>$L$313-EFEITO!$O$313*EFEITO!$AA$313</f>
        <v>0</v>
      </c>
      <c r="P313" s="57"/>
      <c r="Q313" s="57"/>
      <c r="R313" s="57"/>
      <c r="S313" s="57"/>
      <c r="T313" s="57"/>
      <c r="U313" s="57"/>
      <c r="V313" s="57"/>
      <c r="W313" s="57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1.25" customHeight="1" x14ac:dyDescent="0.2">
      <c r="A314" s="53" t="s">
        <v>21</v>
      </c>
      <c r="B314" s="53" t="s">
        <v>41</v>
      </c>
      <c r="C314" s="53" t="s">
        <v>61</v>
      </c>
      <c r="D314" s="53" t="s">
        <v>25</v>
      </c>
      <c r="E314" s="53" t="s">
        <v>25</v>
      </c>
      <c r="F314" s="53" t="s">
        <v>25</v>
      </c>
      <c r="G314" s="53" t="s">
        <v>62</v>
      </c>
      <c r="H314" s="53" t="s">
        <v>25</v>
      </c>
      <c r="I314" s="75">
        <v>44378</v>
      </c>
      <c r="J314" s="76">
        <f ca="1">EFEITO!$J$314*EFEITO!$Y$314</f>
        <v>0</v>
      </c>
      <c r="K314" s="76">
        <f ca="1">EFEITO!$L$314*EFEITO!$Z$314</f>
        <v>9003.6131445846877</v>
      </c>
      <c r="L314" s="76">
        <f>EFEITO!$N$314*EFEITO!$AA$314</f>
        <v>0</v>
      </c>
      <c r="M314" s="76">
        <f ca="1">$J$314-EFEITO!$K$314*EFEITO!$Y$314</f>
        <v>0</v>
      </c>
      <c r="N314" s="76">
        <f ca="1">$K$314-EFEITO!$M$314*EFEITO!$Z$314</f>
        <v>0</v>
      </c>
      <c r="O314" s="76">
        <f>$L$314-EFEITO!$O$314*EFEITO!$AA$314</f>
        <v>0</v>
      </c>
      <c r="P314" s="57"/>
      <c r="Q314" s="57"/>
      <c r="R314" s="57"/>
      <c r="S314" s="57"/>
      <c r="T314" s="57"/>
      <c r="U314" s="57"/>
      <c r="V314" s="57"/>
      <c r="W314" s="57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1.25" customHeight="1" x14ac:dyDescent="0.2">
      <c r="A315" s="53" t="s">
        <v>21</v>
      </c>
      <c r="B315" s="53" t="s">
        <v>41</v>
      </c>
      <c r="C315" s="53" t="s">
        <v>61</v>
      </c>
      <c r="D315" s="53" t="s">
        <v>25</v>
      </c>
      <c r="E315" s="53" t="s">
        <v>25</v>
      </c>
      <c r="F315" s="53" t="s">
        <v>25</v>
      </c>
      <c r="G315" s="53" t="s">
        <v>62</v>
      </c>
      <c r="H315" s="53" t="s">
        <v>25</v>
      </c>
      <c r="I315" s="75">
        <v>44409</v>
      </c>
      <c r="J315" s="76">
        <f ca="1">EFEITO!$J$315*EFEITO!$Y$315</f>
        <v>0</v>
      </c>
      <c r="K315" s="76">
        <f ca="1">EFEITO!$L$315*EFEITO!$Z$315</f>
        <v>8757.7191124228411</v>
      </c>
      <c r="L315" s="76">
        <f>EFEITO!$N$315*EFEITO!$AA$315</f>
        <v>0</v>
      </c>
      <c r="M315" s="76">
        <f ca="1">$J$315-EFEITO!$K$315*EFEITO!$Y$315</f>
        <v>0</v>
      </c>
      <c r="N315" s="76">
        <f ca="1">$K$315-EFEITO!$M$315*EFEITO!$Z$315</f>
        <v>0</v>
      </c>
      <c r="O315" s="76">
        <f>$L$315-EFEITO!$O$315*EFEITO!$AA$315</f>
        <v>0</v>
      </c>
      <c r="P315" s="57"/>
      <c r="Q315" s="57"/>
      <c r="R315" s="57"/>
      <c r="S315" s="57"/>
      <c r="T315" s="57"/>
      <c r="U315" s="57"/>
      <c r="V315" s="57"/>
      <c r="W315" s="57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1.25" customHeight="1" x14ac:dyDescent="0.2">
      <c r="A316" s="53" t="s">
        <v>21</v>
      </c>
      <c r="B316" s="53" t="s">
        <v>41</v>
      </c>
      <c r="C316" s="53" t="s">
        <v>61</v>
      </c>
      <c r="D316" s="53" t="s">
        <v>25</v>
      </c>
      <c r="E316" s="53" t="s">
        <v>25</v>
      </c>
      <c r="F316" s="53" t="s">
        <v>25</v>
      </c>
      <c r="G316" s="53" t="s">
        <v>62</v>
      </c>
      <c r="H316" s="53" t="s">
        <v>25</v>
      </c>
      <c r="I316" s="75">
        <v>44440</v>
      </c>
      <c r="J316" s="76">
        <f ca="1">EFEITO!$J$316*EFEITO!$Y$316</f>
        <v>0</v>
      </c>
      <c r="K316" s="76">
        <f ca="1">EFEITO!$L$316*EFEITO!$Z$316</f>
        <v>9171.8473996368703</v>
      </c>
      <c r="L316" s="76">
        <f>EFEITO!$N$316*EFEITO!$AA$316</f>
        <v>0</v>
      </c>
      <c r="M316" s="76">
        <f ca="1">$J$316-EFEITO!$K$316*EFEITO!$Y$316</f>
        <v>0</v>
      </c>
      <c r="N316" s="76">
        <f ca="1">$K$316-EFEITO!$M$316*EFEITO!$Z$316</f>
        <v>0</v>
      </c>
      <c r="O316" s="76">
        <f>$L$316-EFEITO!$O$316*EFEITO!$AA$316</f>
        <v>0</v>
      </c>
      <c r="P316" s="57"/>
      <c r="Q316" s="57"/>
      <c r="R316" s="57"/>
      <c r="S316" s="57"/>
      <c r="T316" s="57"/>
      <c r="U316" s="57"/>
      <c r="V316" s="57"/>
      <c r="W316" s="57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1.25" customHeight="1" x14ac:dyDescent="0.2">
      <c r="A317" s="53" t="s">
        <v>21</v>
      </c>
      <c r="B317" s="53" t="s">
        <v>41</v>
      </c>
      <c r="C317" s="53" t="s">
        <v>61</v>
      </c>
      <c r="D317" s="53" t="s">
        <v>25</v>
      </c>
      <c r="E317" s="53" t="s">
        <v>25</v>
      </c>
      <c r="F317" s="53" t="s">
        <v>25</v>
      </c>
      <c r="G317" s="53" t="s">
        <v>62</v>
      </c>
      <c r="H317" s="53" t="s">
        <v>25</v>
      </c>
      <c r="I317" s="75">
        <v>44470</v>
      </c>
      <c r="J317" s="76">
        <f ca="1">EFEITO!$J$317*EFEITO!$Y$317</f>
        <v>0</v>
      </c>
      <c r="K317" s="76">
        <f ca="1">EFEITO!$L$317*EFEITO!$Z$317</f>
        <v>10337.289967548902</v>
      </c>
      <c r="L317" s="76">
        <f>EFEITO!$N$317*EFEITO!$AA$317</f>
        <v>0</v>
      </c>
      <c r="M317" s="76">
        <f ca="1">$J$317-EFEITO!$K$317*EFEITO!$Y$317</f>
        <v>0</v>
      </c>
      <c r="N317" s="76">
        <f ca="1">$K$317-EFEITO!$M$317*EFEITO!$Z$317</f>
        <v>0</v>
      </c>
      <c r="O317" s="76">
        <f>$L$317-EFEITO!$O$317*EFEITO!$AA$317</f>
        <v>0</v>
      </c>
      <c r="P317" s="57"/>
      <c r="Q317" s="57"/>
      <c r="R317" s="57"/>
      <c r="S317" s="57"/>
      <c r="T317" s="57"/>
      <c r="U317" s="57"/>
      <c r="V317" s="57"/>
      <c r="W317" s="57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1.25" customHeight="1" x14ac:dyDescent="0.2">
      <c r="A318" s="53" t="s">
        <v>21</v>
      </c>
      <c r="B318" s="53" t="s">
        <v>41</v>
      </c>
      <c r="C318" s="53" t="s">
        <v>61</v>
      </c>
      <c r="D318" s="53" t="s">
        <v>25</v>
      </c>
      <c r="E318" s="53" t="s">
        <v>25</v>
      </c>
      <c r="F318" s="53" t="s">
        <v>25</v>
      </c>
      <c r="G318" s="53" t="s">
        <v>62</v>
      </c>
      <c r="H318" s="53" t="s">
        <v>25</v>
      </c>
      <c r="I318" s="75">
        <v>44501</v>
      </c>
      <c r="J318" s="76">
        <f ca="1">EFEITO!$J$318*EFEITO!$Y$318</f>
        <v>0</v>
      </c>
      <c r="K318" s="76">
        <f ca="1">EFEITO!$L$318*EFEITO!$Z$318</f>
        <v>10455.73711504253</v>
      </c>
      <c r="L318" s="76">
        <f>EFEITO!$N$318*EFEITO!$AA$318</f>
        <v>0</v>
      </c>
      <c r="M318" s="76">
        <f ca="1">$J$318-EFEITO!$K$318*EFEITO!$Y$318</f>
        <v>0</v>
      </c>
      <c r="N318" s="76">
        <f ca="1">$K$318-EFEITO!$M$318*EFEITO!$Z$318</f>
        <v>0</v>
      </c>
      <c r="O318" s="76">
        <f>$L$318-EFEITO!$O$318*EFEITO!$AA$318</f>
        <v>0</v>
      </c>
      <c r="P318" s="57"/>
      <c r="Q318" s="57"/>
      <c r="R318" s="57"/>
      <c r="S318" s="57"/>
      <c r="T318" s="57"/>
      <c r="U318" s="57"/>
      <c r="V318" s="57"/>
      <c r="W318" s="57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1.25" customHeight="1" x14ac:dyDescent="0.2">
      <c r="A319" s="53" t="s">
        <v>21</v>
      </c>
      <c r="B319" s="53" t="s">
        <v>41</v>
      </c>
      <c r="C319" s="53" t="s">
        <v>61</v>
      </c>
      <c r="D319" s="53" t="s">
        <v>25</v>
      </c>
      <c r="E319" s="53" t="s">
        <v>25</v>
      </c>
      <c r="F319" s="53" t="s">
        <v>25</v>
      </c>
      <c r="G319" s="53" t="s">
        <v>62</v>
      </c>
      <c r="H319" s="53" t="s">
        <v>25</v>
      </c>
      <c r="I319" s="75">
        <v>44531</v>
      </c>
      <c r="J319" s="76">
        <f ca="1">EFEITO!$J$319*EFEITO!$Y$319</f>
        <v>0</v>
      </c>
      <c r="K319" s="76">
        <f ca="1">EFEITO!$L$319*EFEITO!$Z$319</f>
        <v>10705.202966637618</v>
      </c>
      <c r="L319" s="76">
        <f>EFEITO!$N$319*EFEITO!$AA$319</f>
        <v>0</v>
      </c>
      <c r="M319" s="76">
        <f ca="1">$J$319-EFEITO!$K$319*EFEITO!$Y$319</f>
        <v>0</v>
      </c>
      <c r="N319" s="76">
        <f ca="1">$K$319-EFEITO!$M$319*EFEITO!$Z$319</f>
        <v>0</v>
      </c>
      <c r="O319" s="76">
        <f>$L$319-EFEITO!$O$319*EFEITO!$AA$319</f>
        <v>0</v>
      </c>
      <c r="P319" s="57"/>
      <c r="Q319" s="57"/>
      <c r="R319" s="57"/>
      <c r="S319" s="57"/>
      <c r="T319" s="57"/>
      <c r="U319" s="57"/>
      <c r="V319" s="57"/>
      <c r="W319" s="57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1.25" customHeight="1" x14ac:dyDescent="0.2">
      <c r="A320" s="53" t="s">
        <v>21</v>
      </c>
      <c r="B320" s="53" t="s">
        <v>41</v>
      </c>
      <c r="C320" s="53" t="s">
        <v>61</v>
      </c>
      <c r="D320" s="53" t="s">
        <v>25</v>
      </c>
      <c r="E320" s="53" t="s">
        <v>25</v>
      </c>
      <c r="F320" s="53" t="s">
        <v>25</v>
      </c>
      <c r="G320" s="53" t="s">
        <v>62</v>
      </c>
      <c r="H320" s="53" t="s">
        <v>25</v>
      </c>
      <c r="I320" s="75">
        <v>44562</v>
      </c>
      <c r="J320" s="76">
        <f ca="1">EFEITO!$J$320*EFEITO!$Y$320</f>
        <v>0</v>
      </c>
      <c r="K320" s="76">
        <f ca="1">EFEITO!$L$320*EFEITO!$Z$320</f>
        <v>10236.436760320326</v>
      </c>
      <c r="L320" s="76">
        <f>EFEITO!$N$320*EFEITO!$AA$320</f>
        <v>0</v>
      </c>
      <c r="M320" s="76">
        <f ca="1">$J$320-EFEITO!$K$320*EFEITO!$Y$320</f>
        <v>0</v>
      </c>
      <c r="N320" s="76">
        <f ca="1">$K$320-EFEITO!$M$320*EFEITO!$Z$320</f>
        <v>0</v>
      </c>
      <c r="O320" s="76">
        <f>$L$320-EFEITO!$O$320*EFEITO!$AA$320</f>
        <v>0</v>
      </c>
      <c r="P320" s="57"/>
      <c r="Q320" s="57"/>
      <c r="R320" s="57"/>
      <c r="S320" s="57"/>
      <c r="T320" s="57"/>
      <c r="U320" s="57"/>
      <c r="V320" s="57"/>
      <c r="W320" s="57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1.25" customHeight="1" x14ac:dyDescent="0.2">
      <c r="A321" s="53" t="s">
        <v>21</v>
      </c>
      <c r="B321" s="53" t="s">
        <v>41</v>
      </c>
      <c r="C321" s="53" t="s">
        <v>61</v>
      </c>
      <c r="D321" s="53" t="s">
        <v>25</v>
      </c>
      <c r="E321" s="53" t="s">
        <v>25</v>
      </c>
      <c r="F321" s="53" t="s">
        <v>25</v>
      </c>
      <c r="G321" s="53" t="s">
        <v>62</v>
      </c>
      <c r="H321" s="53" t="s">
        <v>25</v>
      </c>
      <c r="I321" s="75">
        <v>44593</v>
      </c>
      <c r="J321" s="76">
        <f ca="1">EFEITO!$J$321*EFEITO!$Y$321</f>
        <v>0</v>
      </c>
      <c r="K321" s="76">
        <f ca="1">EFEITO!$L$321*EFEITO!$Z$321</f>
        <v>9027.2822973792063</v>
      </c>
      <c r="L321" s="76">
        <f>EFEITO!$N$321*EFEITO!$AA$321</f>
        <v>0</v>
      </c>
      <c r="M321" s="76">
        <f ca="1">$J$321-EFEITO!$K$321*EFEITO!$Y$321</f>
        <v>0</v>
      </c>
      <c r="N321" s="76">
        <f ca="1">$K$321-EFEITO!$M$321*EFEITO!$Z$321</f>
        <v>0</v>
      </c>
      <c r="O321" s="76">
        <f>$L$321-EFEITO!$O$321*EFEITO!$AA$321</f>
        <v>0</v>
      </c>
      <c r="P321" s="57"/>
      <c r="Q321" s="57"/>
      <c r="R321" s="57"/>
      <c r="S321" s="57"/>
      <c r="T321" s="57"/>
      <c r="U321" s="57"/>
      <c r="V321" s="57"/>
      <c r="W321" s="57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1.25" customHeight="1" x14ac:dyDescent="0.2">
      <c r="A322" s="53" t="s">
        <v>21</v>
      </c>
      <c r="B322" s="53" t="s">
        <v>41</v>
      </c>
      <c r="C322" s="53" t="s">
        <v>61</v>
      </c>
      <c r="D322" s="53" t="s">
        <v>25</v>
      </c>
      <c r="E322" s="53" t="s">
        <v>25</v>
      </c>
      <c r="F322" s="53" t="s">
        <v>25</v>
      </c>
      <c r="G322" s="53" t="s">
        <v>62</v>
      </c>
      <c r="H322" s="53" t="s">
        <v>25</v>
      </c>
      <c r="I322" s="75">
        <v>44621</v>
      </c>
      <c r="J322" s="76">
        <f ca="1">EFEITO!$J$322*EFEITO!$Y$322</f>
        <v>0</v>
      </c>
      <c r="K322" s="76">
        <f ca="1">EFEITO!$L$322*EFEITO!$Z$322</f>
        <v>10128.291738309912</v>
      </c>
      <c r="L322" s="76">
        <f>EFEITO!$N$322*EFEITO!$AA$322</f>
        <v>0</v>
      </c>
      <c r="M322" s="76">
        <f ca="1">$J$322-EFEITO!$K$322*EFEITO!$Y$322</f>
        <v>0</v>
      </c>
      <c r="N322" s="76">
        <f ca="1">$K$322-EFEITO!$M$322*EFEITO!$Z$322</f>
        <v>0</v>
      </c>
      <c r="O322" s="76">
        <f>$L$322-EFEITO!$O$322*EFEITO!$AA$322</f>
        <v>0</v>
      </c>
      <c r="P322" s="57"/>
      <c r="Q322" s="57"/>
      <c r="R322" s="57"/>
      <c r="S322" s="57"/>
      <c r="T322" s="57"/>
      <c r="U322" s="57"/>
      <c r="V322" s="57"/>
      <c r="W322" s="57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1.25" customHeight="1" x14ac:dyDescent="0.2">
      <c r="A323" s="53" t="s">
        <v>56</v>
      </c>
      <c r="B323" s="53" t="s">
        <v>41</v>
      </c>
      <c r="C323" s="53" t="s">
        <v>61</v>
      </c>
      <c r="D323" s="53" t="s">
        <v>25</v>
      </c>
      <c r="E323" s="53" t="s">
        <v>25</v>
      </c>
      <c r="F323" s="53" t="s">
        <v>25</v>
      </c>
      <c r="G323" s="53" t="s">
        <v>62</v>
      </c>
      <c r="H323" s="53" t="s">
        <v>25</v>
      </c>
      <c r="I323" s="75">
        <v>44652</v>
      </c>
      <c r="J323" s="76">
        <f ca="1">EFEITO!$J$323*EFEITO!$Y$323</f>
        <v>0</v>
      </c>
      <c r="K323" s="76">
        <f ca="1">EFEITO!$L$323*EFEITO!$Z$323</f>
        <v>10128.291738309912</v>
      </c>
      <c r="L323" s="76">
        <f>EFEITO!$N$323*EFEITO!$AA$323</f>
        <v>0</v>
      </c>
      <c r="M323" s="76">
        <f ca="1">$J$323-EFEITO!$K$323*EFEITO!$Y$323</f>
        <v>0</v>
      </c>
      <c r="N323" s="76">
        <f ca="1">$K$323-EFEITO!$M$323*EFEITO!$Z$323</f>
        <v>0</v>
      </c>
      <c r="O323" s="76">
        <f>$L$323-EFEITO!$O$323*EFEITO!$AA$323</f>
        <v>0</v>
      </c>
      <c r="P323" s="57"/>
      <c r="Q323" s="57"/>
      <c r="R323" s="57"/>
      <c r="S323" s="57"/>
      <c r="T323" s="57"/>
      <c r="U323" s="57"/>
      <c r="V323" s="57"/>
      <c r="W323" s="57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1.25" customHeight="1" x14ac:dyDescent="0.2">
      <c r="A324" s="53" t="s">
        <v>21</v>
      </c>
      <c r="B324" s="53" t="s">
        <v>41</v>
      </c>
      <c r="C324" s="53" t="s">
        <v>61</v>
      </c>
      <c r="D324" s="53" t="s">
        <v>25</v>
      </c>
      <c r="E324" s="53" t="s">
        <v>25</v>
      </c>
      <c r="F324" s="53" t="s">
        <v>25</v>
      </c>
      <c r="G324" s="53" t="s">
        <v>62</v>
      </c>
      <c r="H324" s="53" t="s">
        <v>35</v>
      </c>
      <c r="I324" s="75">
        <v>44317</v>
      </c>
      <c r="J324" s="76">
        <f ca="1">EFEITO!$J$324*EFEITO!$Y$324</f>
        <v>90880.254741772791</v>
      </c>
      <c r="K324" s="76">
        <f ca="1">EFEITO!$L$324*EFEITO!$Z$324</f>
        <v>0</v>
      </c>
      <c r="L324" s="76">
        <f>EFEITO!$N$324*EFEITO!$AA$324</f>
        <v>0</v>
      </c>
      <c r="M324" s="76">
        <f ca="1">$J$324-EFEITO!$K$324*EFEITO!$Y$324</f>
        <v>0</v>
      </c>
      <c r="N324" s="76">
        <f ca="1">$K$324-EFEITO!$M$324*EFEITO!$Z$324</f>
        <v>0</v>
      </c>
      <c r="O324" s="76">
        <f>$L$324-EFEITO!$O$324*EFEITO!$AA$324</f>
        <v>0</v>
      </c>
      <c r="P324" s="57"/>
      <c r="Q324" s="57"/>
      <c r="R324" s="57"/>
      <c r="S324" s="57"/>
      <c r="T324" s="57"/>
      <c r="U324" s="57"/>
      <c r="V324" s="57"/>
      <c r="W324" s="57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1.25" customHeight="1" x14ac:dyDescent="0.2">
      <c r="A325" s="53" t="s">
        <v>21</v>
      </c>
      <c r="B325" s="53" t="s">
        <v>41</v>
      </c>
      <c r="C325" s="53" t="s">
        <v>61</v>
      </c>
      <c r="D325" s="53" t="s">
        <v>25</v>
      </c>
      <c r="E325" s="53" t="s">
        <v>25</v>
      </c>
      <c r="F325" s="53" t="s">
        <v>25</v>
      </c>
      <c r="G325" s="53" t="s">
        <v>62</v>
      </c>
      <c r="H325" s="53" t="s">
        <v>35</v>
      </c>
      <c r="I325" s="75">
        <v>44348</v>
      </c>
      <c r="J325" s="76">
        <f ca="1">EFEITO!$J$325*EFEITO!$Y$325</f>
        <v>90880.254741772791</v>
      </c>
      <c r="K325" s="76">
        <f ca="1">EFEITO!$L$325*EFEITO!$Z$325</f>
        <v>0</v>
      </c>
      <c r="L325" s="76">
        <f>EFEITO!$N$325*EFEITO!$AA$325</f>
        <v>0</v>
      </c>
      <c r="M325" s="76">
        <f ca="1">$J$325-EFEITO!$K$325*EFEITO!$Y$325</f>
        <v>0</v>
      </c>
      <c r="N325" s="76">
        <f ca="1">$K$325-EFEITO!$M$325*EFEITO!$Z$325</f>
        <v>0</v>
      </c>
      <c r="O325" s="76">
        <f>$L$325-EFEITO!$O$325*EFEITO!$AA$325</f>
        <v>0</v>
      </c>
      <c r="P325" s="57"/>
      <c r="Q325" s="57"/>
      <c r="R325" s="57"/>
      <c r="S325" s="57"/>
      <c r="T325" s="57"/>
      <c r="U325" s="57"/>
      <c r="V325" s="57"/>
      <c r="W325" s="57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1.25" customHeight="1" x14ac:dyDescent="0.2">
      <c r="A326" s="53" t="s">
        <v>21</v>
      </c>
      <c r="B326" s="53" t="s">
        <v>41</v>
      </c>
      <c r="C326" s="53" t="s">
        <v>61</v>
      </c>
      <c r="D326" s="53" t="s">
        <v>25</v>
      </c>
      <c r="E326" s="53" t="s">
        <v>25</v>
      </c>
      <c r="F326" s="53" t="s">
        <v>25</v>
      </c>
      <c r="G326" s="53" t="s">
        <v>62</v>
      </c>
      <c r="H326" s="53" t="s">
        <v>35</v>
      </c>
      <c r="I326" s="75">
        <v>44378</v>
      </c>
      <c r="J326" s="76">
        <f ca="1">EFEITO!$J$326*EFEITO!$Y$326</f>
        <v>90880.254741772791</v>
      </c>
      <c r="K326" s="76">
        <f ca="1">EFEITO!$L$326*EFEITO!$Z$326</f>
        <v>0</v>
      </c>
      <c r="L326" s="76">
        <f>EFEITO!$N$326*EFEITO!$AA$326</f>
        <v>0</v>
      </c>
      <c r="M326" s="76">
        <f ca="1">$J$326-EFEITO!$K$326*EFEITO!$Y$326</f>
        <v>0</v>
      </c>
      <c r="N326" s="76">
        <f ca="1">$K$326-EFEITO!$M$326*EFEITO!$Z$326</f>
        <v>0</v>
      </c>
      <c r="O326" s="76">
        <f>$L$326-EFEITO!$O$326*EFEITO!$AA$326</f>
        <v>0</v>
      </c>
      <c r="P326" s="57"/>
      <c r="Q326" s="57"/>
      <c r="R326" s="57"/>
      <c r="S326" s="57"/>
      <c r="T326" s="57"/>
      <c r="U326" s="57"/>
      <c r="V326" s="57"/>
      <c r="W326" s="57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1.25" customHeight="1" x14ac:dyDescent="0.2">
      <c r="A327" s="53" t="s">
        <v>21</v>
      </c>
      <c r="B327" s="53" t="s">
        <v>41</v>
      </c>
      <c r="C327" s="53" t="s">
        <v>61</v>
      </c>
      <c r="D327" s="53" t="s">
        <v>25</v>
      </c>
      <c r="E327" s="53" t="s">
        <v>25</v>
      </c>
      <c r="F327" s="53" t="s">
        <v>25</v>
      </c>
      <c r="G327" s="53" t="s">
        <v>62</v>
      </c>
      <c r="H327" s="53" t="s">
        <v>35</v>
      </c>
      <c r="I327" s="75">
        <v>44409</v>
      </c>
      <c r="J327" s="76">
        <f ca="1">EFEITO!$J$327*EFEITO!$Y$327</f>
        <v>91183.188924245362</v>
      </c>
      <c r="K327" s="76">
        <f ca="1">EFEITO!$L$327*EFEITO!$Z$327</f>
        <v>0</v>
      </c>
      <c r="L327" s="76">
        <f>EFEITO!$N$327*EFEITO!$AA$327</f>
        <v>0</v>
      </c>
      <c r="M327" s="76">
        <f ca="1">$J$327-EFEITO!$K$327*EFEITO!$Y$327</f>
        <v>0</v>
      </c>
      <c r="N327" s="76">
        <f ca="1">$K$327-EFEITO!$M$327*EFEITO!$Z$327</f>
        <v>0</v>
      </c>
      <c r="O327" s="76">
        <f>$L$327-EFEITO!$O$327*EFEITO!$AA$327</f>
        <v>0</v>
      </c>
      <c r="P327" s="57"/>
      <c r="Q327" s="57"/>
      <c r="R327" s="57"/>
      <c r="S327" s="57"/>
      <c r="T327" s="57"/>
      <c r="U327" s="57"/>
      <c r="V327" s="57"/>
      <c r="W327" s="57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1.25" customHeight="1" x14ac:dyDescent="0.2">
      <c r="A328" s="53" t="s">
        <v>21</v>
      </c>
      <c r="B328" s="53" t="s">
        <v>41</v>
      </c>
      <c r="C328" s="53" t="s">
        <v>61</v>
      </c>
      <c r="D328" s="53" t="s">
        <v>25</v>
      </c>
      <c r="E328" s="53" t="s">
        <v>25</v>
      </c>
      <c r="F328" s="53" t="s">
        <v>25</v>
      </c>
      <c r="G328" s="53" t="s">
        <v>62</v>
      </c>
      <c r="H328" s="53" t="s">
        <v>35</v>
      </c>
      <c r="I328" s="75">
        <v>44440</v>
      </c>
      <c r="J328" s="76">
        <f ca="1">EFEITO!$J$328*EFEITO!$Y$328</f>
        <v>91183.188924245362</v>
      </c>
      <c r="K328" s="76">
        <f ca="1">EFEITO!$L$328*EFEITO!$Z$328</f>
        <v>0</v>
      </c>
      <c r="L328" s="76">
        <f>EFEITO!$N$328*EFEITO!$AA$328</f>
        <v>0</v>
      </c>
      <c r="M328" s="76">
        <f ca="1">$J$328-EFEITO!$K$328*EFEITO!$Y$328</f>
        <v>0</v>
      </c>
      <c r="N328" s="76">
        <f ca="1">$K$328-EFEITO!$M$328*EFEITO!$Z$328</f>
        <v>0</v>
      </c>
      <c r="O328" s="76">
        <f>$L$328-EFEITO!$O$328*EFEITO!$AA$328</f>
        <v>0</v>
      </c>
      <c r="P328" s="57"/>
      <c r="Q328" s="57"/>
      <c r="R328" s="57"/>
      <c r="S328" s="57"/>
      <c r="T328" s="57"/>
      <c r="U328" s="57"/>
      <c r="V328" s="57"/>
      <c r="W328" s="57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1.25" customHeight="1" x14ac:dyDescent="0.2">
      <c r="A329" s="53" t="s">
        <v>21</v>
      </c>
      <c r="B329" s="53" t="s">
        <v>41</v>
      </c>
      <c r="C329" s="53" t="s">
        <v>61</v>
      </c>
      <c r="D329" s="53" t="s">
        <v>25</v>
      </c>
      <c r="E329" s="53" t="s">
        <v>25</v>
      </c>
      <c r="F329" s="53" t="s">
        <v>25</v>
      </c>
      <c r="G329" s="53" t="s">
        <v>62</v>
      </c>
      <c r="H329" s="53" t="s">
        <v>35</v>
      </c>
      <c r="I329" s="75">
        <v>44470</v>
      </c>
      <c r="J329" s="76">
        <f ca="1">EFEITO!$J$329*EFEITO!$Y$329</f>
        <v>91183.188924245362</v>
      </c>
      <c r="K329" s="76">
        <f ca="1">EFEITO!$L$329*EFEITO!$Z$329</f>
        <v>0</v>
      </c>
      <c r="L329" s="76">
        <f>EFEITO!$N$329*EFEITO!$AA$329</f>
        <v>0</v>
      </c>
      <c r="M329" s="76">
        <f ca="1">$J$329-EFEITO!$K$329*EFEITO!$Y$329</f>
        <v>0</v>
      </c>
      <c r="N329" s="76">
        <f ca="1">$K$329-EFEITO!$M$329*EFEITO!$Z$329</f>
        <v>0</v>
      </c>
      <c r="O329" s="76">
        <f>$L$329-EFEITO!$O$329*EFEITO!$AA$329</f>
        <v>0</v>
      </c>
      <c r="P329" s="57"/>
      <c r="Q329" s="57"/>
      <c r="R329" s="57"/>
      <c r="S329" s="57"/>
      <c r="T329" s="57"/>
      <c r="U329" s="57"/>
      <c r="V329" s="57"/>
      <c r="W329" s="57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1.25" customHeight="1" x14ac:dyDescent="0.2">
      <c r="A330" s="53" t="s">
        <v>21</v>
      </c>
      <c r="B330" s="53" t="s">
        <v>41</v>
      </c>
      <c r="C330" s="53" t="s">
        <v>61</v>
      </c>
      <c r="D330" s="53" t="s">
        <v>25</v>
      </c>
      <c r="E330" s="53" t="s">
        <v>25</v>
      </c>
      <c r="F330" s="53" t="s">
        <v>25</v>
      </c>
      <c r="G330" s="53" t="s">
        <v>62</v>
      </c>
      <c r="H330" s="53" t="s">
        <v>35</v>
      </c>
      <c r="I330" s="75">
        <v>44501</v>
      </c>
      <c r="J330" s="76">
        <f ca="1">EFEITO!$J$330*EFEITO!$Y$330</f>
        <v>91183.188924245362</v>
      </c>
      <c r="K330" s="76">
        <f ca="1">EFEITO!$L$330*EFEITO!$Z$330</f>
        <v>0</v>
      </c>
      <c r="L330" s="76">
        <f>EFEITO!$N$330*EFEITO!$AA$330</f>
        <v>0</v>
      </c>
      <c r="M330" s="76">
        <f ca="1">$J$330-EFEITO!$K$330*EFEITO!$Y$330</f>
        <v>0</v>
      </c>
      <c r="N330" s="76">
        <f ca="1">$K$330-EFEITO!$M$330*EFEITO!$Z$330</f>
        <v>0</v>
      </c>
      <c r="O330" s="76">
        <f>$L$330-EFEITO!$O$330*EFEITO!$AA$330</f>
        <v>0</v>
      </c>
      <c r="P330" s="57"/>
      <c r="Q330" s="57"/>
      <c r="R330" s="57"/>
      <c r="S330" s="57"/>
      <c r="T330" s="57"/>
      <c r="U330" s="57"/>
      <c r="V330" s="57"/>
      <c r="W330" s="57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1.25" customHeight="1" x14ac:dyDescent="0.2">
      <c r="A331" s="53" t="s">
        <v>21</v>
      </c>
      <c r="B331" s="53" t="s">
        <v>41</v>
      </c>
      <c r="C331" s="53" t="s">
        <v>61</v>
      </c>
      <c r="D331" s="53" t="s">
        <v>25</v>
      </c>
      <c r="E331" s="53" t="s">
        <v>25</v>
      </c>
      <c r="F331" s="53" t="s">
        <v>25</v>
      </c>
      <c r="G331" s="53" t="s">
        <v>62</v>
      </c>
      <c r="H331" s="53" t="s">
        <v>35</v>
      </c>
      <c r="I331" s="75">
        <v>44531</v>
      </c>
      <c r="J331" s="76">
        <f ca="1">EFEITO!$J$331*EFEITO!$Y$331</f>
        <v>91183.188924245362</v>
      </c>
      <c r="K331" s="76">
        <f ca="1">EFEITO!$L$331*EFEITO!$Z$331</f>
        <v>0</v>
      </c>
      <c r="L331" s="76">
        <f>EFEITO!$N$331*EFEITO!$AA$331</f>
        <v>0</v>
      </c>
      <c r="M331" s="76">
        <f ca="1">$J$331-EFEITO!$K$331*EFEITO!$Y$331</f>
        <v>0</v>
      </c>
      <c r="N331" s="76">
        <f ca="1">$K$331-EFEITO!$M$331*EFEITO!$Z$331</f>
        <v>0</v>
      </c>
      <c r="O331" s="76">
        <f>$L$331-EFEITO!$O$331*EFEITO!$AA$331</f>
        <v>0</v>
      </c>
      <c r="P331" s="57"/>
      <c r="Q331" s="57"/>
      <c r="R331" s="57"/>
      <c r="S331" s="57"/>
      <c r="T331" s="57"/>
      <c r="U331" s="57"/>
      <c r="V331" s="57"/>
      <c r="W331" s="57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1.25" customHeight="1" x14ac:dyDescent="0.2">
      <c r="A332" s="53" t="s">
        <v>21</v>
      </c>
      <c r="B332" s="53" t="s">
        <v>41</v>
      </c>
      <c r="C332" s="53" t="s">
        <v>61</v>
      </c>
      <c r="D332" s="53" t="s">
        <v>25</v>
      </c>
      <c r="E332" s="53" t="s">
        <v>25</v>
      </c>
      <c r="F332" s="53" t="s">
        <v>25</v>
      </c>
      <c r="G332" s="53" t="s">
        <v>62</v>
      </c>
      <c r="H332" s="53" t="s">
        <v>35</v>
      </c>
      <c r="I332" s="75">
        <v>44562</v>
      </c>
      <c r="J332" s="76">
        <f ca="1">EFEITO!$J$332*EFEITO!$Y$332</f>
        <v>91183.188924245362</v>
      </c>
      <c r="K332" s="76">
        <f ca="1">EFEITO!$L$332*EFEITO!$Z$332</f>
        <v>0</v>
      </c>
      <c r="L332" s="76">
        <f>EFEITO!$N$332*EFEITO!$AA$332</f>
        <v>0</v>
      </c>
      <c r="M332" s="76">
        <f ca="1">$J$332-EFEITO!$K$332*EFEITO!$Y$332</f>
        <v>0</v>
      </c>
      <c r="N332" s="76">
        <f ca="1">$K$332-EFEITO!$M$332*EFEITO!$Z$332</f>
        <v>0</v>
      </c>
      <c r="O332" s="76">
        <f>$L$332-EFEITO!$O$332*EFEITO!$AA$332</f>
        <v>0</v>
      </c>
      <c r="P332" s="57"/>
      <c r="Q332" s="57"/>
      <c r="R332" s="57"/>
      <c r="S332" s="57"/>
      <c r="T332" s="57"/>
      <c r="U332" s="57"/>
      <c r="V332" s="57"/>
      <c r="W332" s="57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1.25" customHeight="1" x14ac:dyDescent="0.2">
      <c r="A333" s="53" t="s">
        <v>21</v>
      </c>
      <c r="B333" s="53" t="s">
        <v>41</v>
      </c>
      <c r="C333" s="53" t="s">
        <v>61</v>
      </c>
      <c r="D333" s="53" t="s">
        <v>25</v>
      </c>
      <c r="E333" s="53" t="s">
        <v>25</v>
      </c>
      <c r="F333" s="53" t="s">
        <v>25</v>
      </c>
      <c r="G333" s="53" t="s">
        <v>62</v>
      </c>
      <c r="H333" s="53" t="s">
        <v>35</v>
      </c>
      <c r="I333" s="75">
        <v>44593</v>
      </c>
      <c r="J333" s="76">
        <f ca="1">EFEITO!$J$333*EFEITO!$Y$333</f>
        <v>91183.188924245362</v>
      </c>
      <c r="K333" s="76">
        <f ca="1">EFEITO!$L$333*EFEITO!$Z$333</f>
        <v>0</v>
      </c>
      <c r="L333" s="76">
        <f>EFEITO!$N$333*EFEITO!$AA$333</f>
        <v>0</v>
      </c>
      <c r="M333" s="76">
        <f ca="1">$J$333-EFEITO!$K$333*EFEITO!$Y$333</f>
        <v>0</v>
      </c>
      <c r="N333" s="76">
        <f ca="1">$K$333-EFEITO!$M$333*EFEITO!$Z$333</f>
        <v>0</v>
      </c>
      <c r="O333" s="76">
        <f>$L$333-EFEITO!$O$333*EFEITO!$AA$333</f>
        <v>0</v>
      </c>
      <c r="P333" s="57"/>
      <c r="Q333" s="57"/>
      <c r="R333" s="57"/>
      <c r="S333" s="57"/>
      <c r="T333" s="57"/>
      <c r="U333" s="57"/>
      <c r="V333" s="57"/>
      <c r="W333" s="57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1.25" customHeight="1" x14ac:dyDescent="0.2">
      <c r="A334" s="53" t="s">
        <v>21</v>
      </c>
      <c r="B334" s="53" t="s">
        <v>41</v>
      </c>
      <c r="C334" s="53" t="s">
        <v>61</v>
      </c>
      <c r="D334" s="53" t="s">
        <v>25</v>
      </c>
      <c r="E334" s="53" t="s">
        <v>25</v>
      </c>
      <c r="F334" s="53" t="s">
        <v>25</v>
      </c>
      <c r="G334" s="53" t="s">
        <v>62</v>
      </c>
      <c r="H334" s="53" t="s">
        <v>35</v>
      </c>
      <c r="I334" s="75">
        <v>44621</v>
      </c>
      <c r="J334" s="76">
        <f ca="1">EFEITO!$J$334*EFEITO!$Y$334</f>
        <v>91183.188924245362</v>
      </c>
      <c r="K334" s="76">
        <f ca="1">EFEITO!$L$334*EFEITO!$Z$334</f>
        <v>0</v>
      </c>
      <c r="L334" s="76">
        <f>EFEITO!$N$334*EFEITO!$AA$334</f>
        <v>0</v>
      </c>
      <c r="M334" s="76">
        <f ca="1">$J$334-EFEITO!$K$334*EFEITO!$Y$334</f>
        <v>0</v>
      </c>
      <c r="N334" s="76">
        <f ca="1">$K$334-EFEITO!$M$334*EFEITO!$Z$334</f>
        <v>0</v>
      </c>
      <c r="O334" s="76">
        <f>$L$334-EFEITO!$O$334*EFEITO!$AA$334</f>
        <v>0</v>
      </c>
      <c r="P334" s="57"/>
      <c r="Q334" s="57"/>
      <c r="R334" s="57"/>
      <c r="S334" s="57"/>
      <c r="T334" s="57"/>
      <c r="U334" s="57"/>
      <c r="V334" s="57"/>
      <c r="W334" s="57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1.25" customHeight="1" x14ac:dyDescent="0.2">
      <c r="A335" s="53" t="s">
        <v>56</v>
      </c>
      <c r="B335" s="53" t="s">
        <v>41</v>
      </c>
      <c r="C335" s="53" t="s">
        <v>61</v>
      </c>
      <c r="D335" s="53" t="s">
        <v>25</v>
      </c>
      <c r="E335" s="53" t="s">
        <v>25</v>
      </c>
      <c r="F335" s="53" t="s">
        <v>25</v>
      </c>
      <c r="G335" s="53" t="s">
        <v>62</v>
      </c>
      <c r="H335" s="53" t="s">
        <v>35</v>
      </c>
      <c r="I335" s="75">
        <v>44652</v>
      </c>
      <c r="J335" s="76">
        <f ca="1">EFEITO!$J$335*EFEITO!$Y$335</f>
        <v>91183.188924245362</v>
      </c>
      <c r="K335" s="76">
        <f ca="1">EFEITO!$L$335*EFEITO!$Z$335</f>
        <v>0</v>
      </c>
      <c r="L335" s="76">
        <f>EFEITO!$N$335*EFEITO!$AA$335</f>
        <v>0</v>
      </c>
      <c r="M335" s="76">
        <f ca="1">$J$335-EFEITO!$K$335*EFEITO!$Y$335</f>
        <v>0</v>
      </c>
      <c r="N335" s="76">
        <f ca="1">$K$335-EFEITO!$M$335*EFEITO!$Z$335</f>
        <v>0</v>
      </c>
      <c r="O335" s="76">
        <f>$L$335-EFEITO!$O$335*EFEITO!$AA$335</f>
        <v>0</v>
      </c>
      <c r="P335" s="57"/>
      <c r="Q335" s="57"/>
      <c r="R335" s="57"/>
      <c r="S335" s="57"/>
      <c r="T335" s="57"/>
      <c r="U335" s="57"/>
      <c r="V335" s="57"/>
      <c r="W335" s="57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1.25" customHeight="1" x14ac:dyDescent="0.2">
      <c r="A336" s="53" t="s">
        <v>21</v>
      </c>
      <c r="B336" s="53" t="s">
        <v>41</v>
      </c>
      <c r="C336" s="53" t="s">
        <v>64</v>
      </c>
      <c r="D336" s="53" t="s">
        <v>25</v>
      </c>
      <c r="E336" s="53" t="s">
        <v>25</v>
      </c>
      <c r="F336" s="53" t="s">
        <v>65</v>
      </c>
      <c r="G336" s="53" t="s">
        <v>66</v>
      </c>
      <c r="H336" s="53" t="s">
        <v>25</v>
      </c>
      <c r="I336" s="75">
        <v>44317</v>
      </c>
      <c r="J336" s="76">
        <f ca="1">EFEITO!$J$336*EFEITO!$Y$336</f>
        <v>39768.381398763522</v>
      </c>
      <c r="K336" s="76">
        <f>EFEITO!$L$336*EFEITO!$Z$336</f>
        <v>0</v>
      </c>
      <c r="L336" s="76">
        <f>EFEITO!$N$336*EFEITO!$AA$336</f>
        <v>0</v>
      </c>
      <c r="M336" s="76">
        <f ca="1">$J$336-EFEITO!$K$336*EFEITO!$Y$336</f>
        <v>19884.190699381761</v>
      </c>
      <c r="N336" s="76">
        <f>$K$336-EFEITO!$M$336*EFEITO!$Z$336</f>
        <v>0</v>
      </c>
      <c r="O336" s="76">
        <f>$L$336-EFEITO!$O$336*EFEITO!$AA$336</f>
        <v>0</v>
      </c>
      <c r="P336" s="57"/>
      <c r="Q336" s="57"/>
      <c r="R336" s="57"/>
      <c r="S336" s="57"/>
      <c r="T336" s="57"/>
      <c r="U336" s="57"/>
      <c r="V336" s="57"/>
      <c r="W336" s="57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1.25" customHeight="1" x14ac:dyDescent="0.2">
      <c r="A337" s="53" t="s">
        <v>21</v>
      </c>
      <c r="B337" s="53" t="s">
        <v>41</v>
      </c>
      <c r="C337" s="53" t="s">
        <v>64</v>
      </c>
      <c r="D337" s="53" t="s">
        <v>25</v>
      </c>
      <c r="E337" s="53" t="s">
        <v>25</v>
      </c>
      <c r="F337" s="53" t="s">
        <v>65</v>
      </c>
      <c r="G337" s="53" t="s">
        <v>70</v>
      </c>
      <c r="H337" s="53" t="s">
        <v>25</v>
      </c>
      <c r="I337" s="75">
        <v>44317</v>
      </c>
      <c r="J337" s="76">
        <f ca="1">EFEITO!$J$337*EFEITO!$Y$337</f>
        <v>246201.64970080499</v>
      </c>
      <c r="K337" s="76">
        <f>EFEITO!$L$337*EFEITO!$Z$337</f>
        <v>0</v>
      </c>
      <c r="L337" s="76">
        <f>EFEITO!$N$337*EFEITO!$AA$337</f>
        <v>0</v>
      </c>
      <c r="M337" s="76">
        <f ca="1">$J$337-EFEITO!$K$337*EFEITO!$Y$337</f>
        <v>115407.02329725235</v>
      </c>
      <c r="N337" s="76">
        <f>$K$337-EFEITO!$M$337*EFEITO!$Z$337</f>
        <v>0</v>
      </c>
      <c r="O337" s="76">
        <f>$L$337-EFEITO!$O$337*EFEITO!$AA$337</f>
        <v>0</v>
      </c>
      <c r="P337" s="57"/>
      <c r="Q337" s="57"/>
      <c r="R337" s="57"/>
      <c r="S337" s="57"/>
      <c r="T337" s="57"/>
      <c r="U337" s="57"/>
      <c r="V337" s="57"/>
      <c r="W337" s="57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1.25" customHeight="1" x14ac:dyDescent="0.2">
      <c r="A338" s="53" t="s">
        <v>21</v>
      </c>
      <c r="B338" s="53" t="s">
        <v>41</v>
      </c>
      <c r="C338" s="53" t="s">
        <v>64</v>
      </c>
      <c r="D338" s="53" t="s">
        <v>25</v>
      </c>
      <c r="E338" s="53" t="s">
        <v>25</v>
      </c>
      <c r="F338" s="53" t="s">
        <v>65</v>
      </c>
      <c r="G338" s="53" t="s">
        <v>71</v>
      </c>
      <c r="H338" s="53" t="s">
        <v>25</v>
      </c>
      <c r="I338" s="75">
        <v>44317</v>
      </c>
      <c r="J338" s="76">
        <f ca="1">EFEITO!$J$338*EFEITO!$Y$338</f>
        <v>517592.81646980724</v>
      </c>
      <c r="K338" s="76">
        <f>EFEITO!$L$338*EFEITO!$Z$338</f>
        <v>0</v>
      </c>
      <c r="L338" s="76">
        <f>EFEITO!$N$338*EFEITO!$AA$338</f>
        <v>0</v>
      </c>
      <c r="M338" s="76">
        <f ca="1">$J$338-EFEITO!$K$338*EFEITO!$Y$338</f>
        <v>258796.40823490362</v>
      </c>
      <c r="N338" s="76">
        <f>$K$338-EFEITO!$M$338*EFEITO!$Z$338</f>
        <v>0</v>
      </c>
      <c r="O338" s="76">
        <f>$L$338-EFEITO!$O$338*EFEITO!$AA$338</f>
        <v>0</v>
      </c>
      <c r="P338" s="57"/>
      <c r="Q338" s="57"/>
      <c r="R338" s="57"/>
      <c r="S338" s="57"/>
      <c r="T338" s="57"/>
      <c r="U338" s="57"/>
      <c r="V338" s="57"/>
      <c r="W338" s="57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1.25" customHeight="1" x14ac:dyDescent="0.2">
      <c r="A339" s="53" t="s">
        <v>21</v>
      </c>
      <c r="B339" s="53" t="s">
        <v>41</v>
      </c>
      <c r="C339" s="53" t="s">
        <v>64</v>
      </c>
      <c r="D339" s="53" t="s">
        <v>25</v>
      </c>
      <c r="E339" s="53" t="s">
        <v>25</v>
      </c>
      <c r="F339" s="53" t="s">
        <v>65</v>
      </c>
      <c r="G339" s="53" t="s">
        <v>73</v>
      </c>
      <c r="H339" s="53" t="s">
        <v>25</v>
      </c>
      <c r="I339" s="75">
        <v>44317</v>
      </c>
      <c r="J339" s="76">
        <f ca="1">EFEITO!$J$339*EFEITO!$Y$339</f>
        <v>284676.04905839398</v>
      </c>
      <c r="K339" s="76">
        <f>EFEITO!$L$339*EFEITO!$Z$339</f>
        <v>0</v>
      </c>
      <c r="L339" s="76">
        <f>EFEITO!$N$339*EFEITO!$AA$339</f>
        <v>0</v>
      </c>
      <c r="M339" s="76">
        <f ca="1">$J$339-EFEITO!$K$339*EFEITO!$Y$339</f>
        <v>142338.02452919699</v>
      </c>
      <c r="N339" s="76">
        <f>$K$339-EFEITO!$M$339*EFEITO!$Z$339</f>
        <v>0</v>
      </c>
      <c r="O339" s="76">
        <f>$L$339-EFEITO!$O$339*EFEITO!$AA$339</f>
        <v>0</v>
      </c>
      <c r="P339" s="57"/>
      <c r="Q339" s="57"/>
      <c r="R339" s="57"/>
      <c r="S339" s="57"/>
      <c r="T339" s="57"/>
      <c r="U339" s="57"/>
      <c r="V339" s="57"/>
      <c r="W339" s="57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1.25" customHeight="1" x14ac:dyDescent="0.2">
      <c r="A340" s="53" t="s">
        <v>21</v>
      </c>
      <c r="B340" s="53" t="s">
        <v>41</v>
      </c>
      <c r="C340" s="53" t="s">
        <v>64</v>
      </c>
      <c r="D340" s="53" t="s">
        <v>25</v>
      </c>
      <c r="E340" s="53" t="s">
        <v>25</v>
      </c>
      <c r="F340" s="53" t="s">
        <v>65</v>
      </c>
      <c r="G340" s="53" t="s">
        <v>66</v>
      </c>
      <c r="H340" s="53" t="s">
        <v>25</v>
      </c>
      <c r="I340" s="75">
        <v>44348</v>
      </c>
      <c r="J340" s="76">
        <f ca="1">EFEITO!$J$340*EFEITO!$Y$340</f>
        <v>39975.418525351444</v>
      </c>
      <c r="K340" s="76">
        <f>EFEITO!$L$340*EFEITO!$Z$340</f>
        <v>0</v>
      </c>
      <c r="L340" s="76">
        <f>EFEITO!$N$340*EFEITO!$AA$340</f>
        <v>0</v>
      </c>
      <c r="M340" s="76">
        <f ca="1">$J$340-EFEITO!$K$340*EFEITO!$Y$340</f>
        <v>19987.709262675722</v>
      </c>
      <c r="N340" s="76">
        <f>$K$340-EFEITO!$M$340*EFEITO!$Z$340</f>
        <v>0</v>
      </c>
      <c r="O340" s="76">
        <f>$L$340-EFEITO!$O$340*EFEITO!$AA$340</f>
        <v>0</v>
      </c>
      <c r="P340" s="57"/>
      <c r="Q340" s="57"/>
      <c r="R340" s="57"/>
      <c r="S340" s="57"/>
      <c r="T340" s="57"/>
      <c r="U340" s="57"/>
      <c r="V340" s="57"/>
      <c r="W340" s="57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1.25" customHeight="1" x14ac:dyDescent="0.2">
      <c r="A341" s="53" t="s">
        <v>21</v>
      </c>
      <c r="B341" s="53" t="s">
        <v>41</v>
      </c>
      <c r="C341" s="53" t="s">
        <v>64</v>
      </c>
      <c r="D341" s="53" t="s">
        <v>25</v>
      </c>
      <c r="E341" s="53" t="s">
        <v>25</v>
      </c>
      <c r="F341" s="53" t="s">
        <v>65</v>
      </c>
      <c r="G341" s="53" t="s">
        <v>70</v>
      </c>
      <c r="H341" s="53" t="s">
        <v>25</v>
      </c>
      <c r="I341" s="75">
        <v>44348</v>
      </c>
      <c r="J341" s="76">
        <f ca="1">EFEITO!$J$341*EFEITO!$Y$341</f>
        <v>245856.58782315845</v>
      </c>
      <c r="K341" s="76">
        <f>EFEITO!$L$341*EFEITO!$Z$341</f>
        <v>0</v>
      </c>
      <c r="L341" s="76">
        <f>EFEITO!$N$341*EFEITO!$AA$341</f>
        <v>0</v>
      </c>
      <c r="M341" s="76">
        <f ca="1">$J$341-EFEITO!$K$341*EFEITO!$Y$341</f>
        <v>115245.27554210553</v>
      </c>
      <c r="N341" s="76">
        <f>$K$341-EFEITO!$M$341*EFEITO!$Z$341</f>
        <v>0</v>
      </c>
      <c r="O341" s="76">
        <f>$L$341-EFEITO!$O$341*EFEITO!$AA$341</f>
        <v>0</v>
      </c>
      <c r="P341" s="57"/>
      <c r="Q341" s="57"/>
      <c r="R341" s="57"/>
      <c r="S341" s="57"/>
      <c r="T341" s="57"/>
      <c r="U341" s="57"/>
      <c r="V341" s="57"/>
      <c r="W341" s="57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1.25" customHeight="1" x14ac:dyDescent="0.2">
      <c r="A342" s="53" t="s">
        <v>21</v>
      </c>
      <c r="B342" s="53" t="s">
        <v>41</v>
      </c>
      <c r="C342" s="53" t="s">
        <v>64</v>
      </c>
      <c r="D342" s="53" t="s">
        <v>25</v>
      </c>
      <c r="E342" s="53" t="s">
        <v>25</v>
      </c>
      <c r="F342" s="53" t="s">
        <v>65</v>
      </c>
      <c r="G342" s="53" t="s">
        <v>71</v>
      </c>
      <c r="H342" s="53" t="s">
        <v>25</v>
      </c>
      <c r="I342" s="75">
        <v>44348</v>
      </c>
      <c r="J342" s="76">
        <f ca="1">EFEITO!$J$342*EFEITO!$Y$342</f>
        <v>517592.81646980724</v>
      </c>
      <c r="K342" s="76">
        <f>EFEITO!$L$342*EFEITO!$Z$342</f>
        <v>0</v>
      </c>
      <c r="L342" s="76">
        <f>EFEITO!$N$342*EFEITO!$AA$342</f>
        <v>0</v>
      </c>
      <c r="M342" s="76">
        <f ca="1">$J$342-EFEITO!$K$342*EFEITO!$Y$342</f>
        <v>258796.40823490362</v>
      </c>
      <c r="N342" s="76">
        <f>$K$342-EFEITO!$M$342*EFEITO!$Z$342</f>
        <v>0</v>
      </c>
      <c r="O342" s="76">
        <f>$L$342-EFEITO!$O$342*EFEITO!$AA$342</f>
        <v>0</v>
      </c>
      <c r="P342" s="57"/>
      <c r="Q342" s="57"/>
      <c r="R342" s="57"/>
      <c r="S342" s="57"/>
      <c r="T342" s="57"/>
      <c r="U342" s="57"/>
      <c r="V342" s="57"/>
      <c r="W342" s="57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1.25" customHeight="1" x14ac:dyDescent="0.2">
      <c r="A343" s="53" t="s">
        <v>21</v>
      </c>
      <c r="B343" s="53" t="s">
        <v>41</v>
      </c>
      <c r="C343" s="53" t="s">
        <v>64</v>
      </c>
      <c r="D343" s="53" t="s">
        <v>25</v>
      </c>
      <c r="E343" s="53" t="s">
        <v>25</v>
      </c>
      <c r="F343" s="53" t="s">
        <v>65</v>
      </c>
      <c r="G343" s="53" t="s">
        <v>73</v>
      </c>
      <c r="H343" s="53" t="s">
        <v>25</v>
      </c>
      <c r="I343" s="75">
        <v>44348</v>
      </c>
      <c r="J343" s="76">
        <f ca="1">EFEITO!$J$343*EFEITO!$Y$343</f>
        <v>284676.04905839398</v>
      </c>
      <c r="K343" s="76">
        <f>EFEITO!$L$343*EFEITO!$Z$343</f>
        <v>0</v>
      </c>
      <c r="L343" s="76">
        <f>EFEITO!$N$343*EFEITO!$AA$343</f>
        <v>0</v>
      </c>
      <c r="M343" s="76">
        <f ca="1">$J$343-EFEITO!$K$343*EFEITO!$Y$343</f>
        <v>142338.02452919699</v>
      </c>
      <c r="N343" s="76">
        <f>$K$343-EFEITO!$M$343*EFEITO!$Z$343</f>
        <v>0</v>
      </c>
      <c r="O343" s="76">
        <f>$L$343-EFEITO!$O$343*EFEITO!$AA$343</f>
        <v>0</v>
      </c>
      <c r="P343" s="57"/>
      <c r="Q343" s="57"/>
      <c r="R343" s="57"/>
      <c r="S343" s="57"/>
      <c r="T343" s="57"/>
      <c r="U343" s="57"/>
      <c r="V343" s="57"/>
      <c r="W343" s="57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1.25" customHeight="1" x14ac:dyDescent="0.2">
      <c r="A344" s="53" t="s">
        <v>21</v>
      </c>
      <c r="B344" s="53" t="s">
        <v>41</v>
      </c>
      <c r="C344" s="53" t="s">
        <v>64</v>
      </c>
      <c r="D344" s="53" t="s">
        <v>25</v>
      </c>
      <c r="E344" s="53" t="s">
        <v>25</v>
      </c>
      <c r="F344" s="53" t="s">
        <v>65</v>
      </c>
      <c r="G344" s="53" t="s">
        <v>66</v>
      </c>
      <c r="H344" s="53" t="s">
        <v>25</v>
      </c>
      <c r="I344" s="75">
        <v>44378</v>
      </c>
      <c r="J344" s="76">
        <f ca="1">EFEITO!$J$344*EFEITO!$Y$344</f>
        <v>40406.745872409621</v>
      </c>
      <c r="K344" s="76">
        <f>EFEITO!$L$344*EFEITO!$Z$344</f>
        <v>0</v>
      </c>
      <c r="L344" s="76">
        <f>EFEITO!$N$344*EFEITO!$AA$344</f>
        <v>0</v>
      </c>
      <c r="M344" s="76">
        <f ca="1">$J$344-EFEITO!$K$344*EFEITO!$Y$344</f>
        <v>20203.372936204811</v>
      </c>
      <c r="N344" s="76">
        <f>$K$344-EFEITO!$M$344*EFEITO!$Z$344</f>
        <v>0</v>
      </c>
      <c r="O344" s="76">
        <f>$L$344-EFEITO!$O$344*EFEITO!$AA$344</f>
        <v>0</v>
      </c>
      <c r="P344" s="57"/>
      <c r="Q344" s="57"/>
      <c r="R344" s="57"/>
      <c r="S344" s="57"/>
      <c r="T344" s="57"/>
      <c r="U344" s="57"/>
      <c r="V344" s="57"/>
      <c r="W344" s="57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1.25" customHeight="1" x14ac:dyDescent="0.2">
      <c r="A345" s="53" t="s">
        <v>21</v>
      </c>
      <c r="B345" s="53" t="s">
        <v>41</v>
      </c>
      <c r="C345" s="53" t="s">
        <v>64</v>
      </c>
      <c r="D345" s="53" t="s">
        <v>25</v>
      </c>
      <c r="E345" s="53" t="s">
        <v>25</v>
      </c>
      <c r="F345" s="53" t="s">
        <v>65</v>
      </c>
      <c r="G345" s="53" t="s">
        <v>70</v>
      </c>
      <c r="H345" s="53" t="s">
        <v>25</v>
      </c>
      <c r="I345" s="75">
        <v>44378</v>
      </c>
      <c r="J345" s="76">
        <f ca="1">EFEITO!$J$345*EFEITO!$Y$345</f>
        <v>266180.73241653951</v>
      </c>
      <c r="K345" s="76">
        <f>EFEITO!$L$345*EFEITO!$Z$345</f>
        <v>0</v>
      </c>
      <c r="L345" s="76">
        <f>EFEITO!$N$345*EFEITO!$AA$345</f>
        <v>0</v>
      </c>
      <c r="M345" s="76">
        <f ca="1">$J$345-EFEITO!$K$345*EFEITO!$Y$345</f>
        <v>124772.21832025287</v>
      </c>
      <c r="N345" s="76">
        <f>$K$345-EFEITO!$M$345*EFEITO!$Z$345</f>
        <v>0</v>
      </c>
      <c r="O345" s="76">
        <f>$L$345-EFEITO!$O$345*EFEITO!$AA$345</f>
        <v>0</v>
      </c>
      <c r="P345" s="57"/>
      <c r="Q345" s="57"/>
      <c r="R345" s="57"/>
      <c r="S345" s="57"/>
      <c r="T345" s="57"/>
      <c r="U345" s="57"/>
      <c r="V345" s="57"/>
      <c r="W345" s="57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1.25" customHeight="1" x14ac:dyDescent="0.2">
      <c r="A346" s="53" t="s">
        <v>21</v>
      </c>
      <c r="B346" s="53" t="s">
        <v>41</v>
      </c>
      <c r="C346" s="53" t="s">
        <v>64</v>
      </c>
      <c r="D346" s="53" t="s">
        <v>25</v>
      </c>
      <c r="E346" s="53" t="s">
        <v>25</v>
      </c>
      <c r="F346" s="53" t="s">
        <v>65</v>
      </c>
      <c r="G346" s="53" t="s">
        <v>71</v>
      </c>
      <c r="H346" s="53" t="s">
        <v>25</v>
      </c>
      <c r="I346" s="75">
        <v>44378</v>
      </c>
      <c r="J346" s="76">
        <f ca="1">EFEITO!$J$346*EFEITO!$Y$346</f>
        <v>517592.81646980724</v>
      </c>
      <c r="K346" s="76">
        <f>EFEITO!$L$346*EFEITO!$Z$346</f>
        <v>0</v>
      </c>
      <c r="L346" s="76">
        <f>EFEITO!$N$346*EFEITO!$AA$346</f>
        <v>0</v>
      </c>
      <c r="M346" s="76">
        <f ca="1">$J$346-EFEITO!$K$346*EFEITO!$Y$346</f>
        <v>258796.40823490362</v>
      </c>
      <c r="N346" s="76">
        <f>$K$346-EFEITO!$M$346*EFEITO!$Z$346</f>
        <v>0</v>
      </c>
      <c r="O346" s="76">
        <f>$L$346-EFEITO!$O$346*EFEITO!$AA$346</f>
        <v>0</v>
      </c>
      <c r="P346" s="57"/>
      <c r="Q346" s="57"/>
      <c r="R346" s="57"/>
      <c r="S346" s="57"/>
      <c r="T346" s="57"/>
      <c r="U346" s="57"/>
      <c r="V346" s="57"/>
      <c r="W346" s="57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1.25" customHeight="1" x14ac:dyDescent="0.2">
      <c r="A347" s="53" t="s">
        <v>21</v>
      </c>
      <c r="B347" s="53" t="s">
        <v>41</v>
      </c>
      <c r="C347" s="53" t="s">
        <v>64</v>
      </c>
      <c r="D347" s="53" t="s">
        <v>25</v>
      </c>
      <c r="E347" s="53" t="s">
        <v>25</v>
      </c>
      <c r="F347" s="53" t="s">
        <v>65</v>
      </c>
      <c r="G347" s="53" t="s">
        <v>73</v>
      </c>
      <c r="H347" s="53" t="s">
        <v>25</v>
      </c>
      <c r="I347" s="75">
        <v>44378</v>
      </c>
      <c r="J347" s="76">
        <f ca="1">EFEITO!$J$347*EFEITO!$Y$347</f>
        <v>284676.04905839398</v>
      </c>
      <c r="K347" s="76">
        <f>EFEITO!$L$347*EFEITO!$Z$347</f>
        <v>0</v>
      </c>
      <c r="L347" s="76">
        <f>EFEITO!$N$347*EFEITO!$AA$347</f>
        <v>0</v>
      </c>
      <c r="M347" s="76">
        <f ca="1">$J$347-EFEITO!$K$347*EFEITO!$Y$347</f>
        <v>142338.02452919699</v>
      </c>
      <c r="N347" s="76">
        <f>$K$347-EFEITO!$M$347*EFEITO!$Z$347</f>
        <v>0</v>
      </c>
      <c r="O347" s="76">
        <f>$L$347-EFEITO!$O$347*EFEITO!$AA$347</f>
        <v>0</v>
      </c>
      <c r="P347" s="57"/>
      <c r="Q347" s="57"/>
      <c r="R347" s="57"/>
      <c r="S347" s="57"/>
      <c r="T347" s="57"/>
      <c r="U347" s="57"/>
      <c r="V347" s="57"/>
      <c r="W347" s="57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1.25" customHeight="1" x14ac:dyDescent="0.2">
      <c r="A348" s="53" t="s">
        <v>21</v>
      </c>
      <c r="B348" s="53" t="s">
        <v>41</v>
      </c>
      <c r="C348" s="53" t="s">
        <v>64</v>
      </c>
      <c r="D348" s="53" t="s">
        <v>25</v>
      </c>
      <c r="E348" s="53" t="s">
        <v>25</v>
      </c>
      <c r="F348" s="53" t="s">
        <v>65</v>
      </c>
      <c r="G348" s="53" t="s">
        <v>66</v>
      </c>
      <c r="H348" s="53" t="s">
        <v>25</v>
      </c>
      <c r="I348" s="75">
        <v>44409</v>
      </c>
      <c r="J348" s="76">
        <f ca="1">EFEITO!$J$348*EFEITO!$Y$348</f>
        <v>26448.99292160715</v>
      </c>
      <c r="K348" s="76">
        <f>EFEITO!$L$348*EFEITO!$Z$348</f>
        <v>0</v>
      </c>
      <c r="L348" s="76">
        <f>EFEITO!$N$348*EFEITO!$AA$348</f>
        <v>0</v>
      </c>
      <c r="M348" s="76">
        <f ca="1">$J$348-EFEITO!$K$348*EFEITO!$Y$348</f>
        <v>13224.496460803575</v>
      </c>
      <c r="N348" s="76">
        <f>$K$348-EFEITO!$M$348*EFEITO!$Z$348</f>
        <v>0</v>
      </c>
      <c r="O348" s="76">
        <f>$L$348-EFEITO!$O$348*EFEITO!$AA$348</f>
        <v>0</v>
      </c>
      <c r="P348" s="57"/>
      <c r="Q348" s="57"/>
      <c r="R348" s="57"/>
      <c r="S348" s="57"/>
      <c r="T348" s="57"/>
      <c r="U348" s="57"/>
      <c r="V348" s="57"/>
      <c r="W348" s="57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1.25" customHeight="1" x14ac:dyDescent="0.2">
      <c r="A349" s="53" t="s">
        <v>21</v>
      </c>
      <c r="B349" s="53" t="s">
        <v>41</v>
      </c>
      <c r="C349" s="53" t="s">
        <v>64</v>
      </c>
      <c r="D349" s="53" t="s">
        <v>25</v>
      </c>
      <c r="E349" s="53" t="s">
        <v>25</v>
      </c>
      <c r="F349" s="53" t="s">
        <v>65</v>
      </c>
      <c r="G349" s="53" t="s">
        <v>70</v>
      </c>
      <c r="H349" s="53" t="s">
        <v>25</v>
      </c>
      <c r="I349" s="75">
        <v>44409</v>
      </c>
      <c r="J349" s="76">
        <f ca="1">EFEITO!$J$349*EFEITO!$Y$349</f>
        <v>248323.7802483312</v>
      </c>
      <c r="K349" s="76">
        <f>EFEITO!$L$349*EFEITO!$Z$349</f>
        <v>0</v>
      </c>
      <c r="L349" s="76">
        <f>EFEITO!$N$349*EFEITO!$AA$349</f>
        <v>0</v>
      </c>
      <c r="M349" s="76">
        <f ca="1">$J$349-EFEITO!$K$349*EFEITO!$Y$349</f>
        <v>116401.77199140526</v>
      </c>
      <c r="N349" s="76">
        <f>$K$349-EFEITO!$M$349*EFEITO!$Z$349</f>
        <v>0</v>
      </c>
      <c r="O349" s="76">
        <f>$L$349-EFEITO!$O$349*EFEITO!$AA$349</f>
        <v>0</v>
      </c>
      <c r="P349" s="57"/>
      <c r="Q349" s="57"/>
      <c r="R349" s="57"/>
      <c r="S349" s="57"/>
      <c r="T349" s="57"/>
      <c r="U349" s="57"/>
      <c r="V349" s="57"/>
      <c r="W349" s="57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1.25" customHeight="1" x14ac:dyDescent="0.2">
      <c r="A350" s="53" t="s">
        <v>21</v>
      </c>
      <c r="B350" s="53" t="s">
        <v>41</v>
      </c>
      <c r="C350" s="53" t="s">
        <v>64</v>
      </c>
      <c r="D350" s="53" t="s">
        <v>25</v>
      </c>
      <c r="E350" s="53" t="s">
        <v>25</v>
      </c>
      <c r="F350" s="53" t="s">
        <v>65</v>
      </c>
      <c r="G350" s="53" t="s">
        <v>71</v>
      </c>
      <c r="H350" s="53" t="s">
        <v>25</v>
      </c>
      <c r="I350" s="75">
        <v>44409</v>
      </c>
      <c r="J350" s="76">
        <f ca="1">EFEITO!$J$350*EFEITO!$Y$350</f>
        <v>517592.81646980724</v>
      </c>
      <c r="K350" s="76">
        <f>EFEITO!$L$350*EFEITO!$Z$350</f>
        <v>0</v>
      </c>
      <c r="L350" s="76">
        <f>EFEITO!$N$350*EFEITO!$AA$350</f>
        <v>0</v>
      </c>
      <c r="M350" s="76">
        <f ca="1">$J$350-EFEITO!$K$350*EFEITO!$Y$350</f>
        <v>258796.40823490362</v>
      </c>
      <c r="N350" s="76">
        <f>$K$350-EFEITO!$M$350*EFEITO!$Z$350</f>
        <v>0</v>
      </c>
      <c r="O350" s="76">
        <f>$L$350-EFEITO!$O$350*EFEITO!$AA$350</f>
        <v>0</v>
      </c>
      <c r="P350" s="57"/>
      <c r="Q350" s="57"/>
      <c r="R350" s="57"/>
      <c r="S350" s="57"/>
      <c r="T350" s="57"/>
      <c r="U350" s="57"/>
      <c r="V350" s="57"/>
      <c r="W350" s="57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1.25" customHeight="1" x14ac:dyDescent="0.2">
      <c r="A351" s="53" t="s">
        <v>21</v>
      </c>
      <c r="B351" s="53" t="s">
        <v>41</v>
      </c>
      <c r="C351" s="53" t="s">
        <v>64</v>
      </c>
      <c r="D351" s="53" t="s">
        <v>25</v>
      </c>
      <c r="E351" s="53" t="s">
        <v>25</v>
      </c>
      <c r="F351" s="53" t="s">
        <v>65</v>
      </c>
      <c r="G351" s="53" t="s">
        <v>73</v>
      </c>
      <c r="H351" s="53" t="s">
        <v>25</v>
      </c>
      <c r="I351" s="75">
        <v>44409</v>
      </c>
      <c r="J351" s="76">
        <f ca="1">EFEITO!$J$351*EFEITO!$Y$351</f>
        <v>284676.04905839398</v>
      </c>
      <c r="K351" s="76">
        <f>EFEITO!$L$351*EFEITO!$Z$351</f>
        <v>0</v>
      </c>
      <c r="L351" s="76">
        <f>EFEITO!$N$351*EFEITO!$AA$351</f>
        <v>0</v>
      </c>
      <c r="M351" s="76">
        <f ca="1">$J$351-EFEITO!$K$351*EFEITO!$Y$351</f>
        <v>142338.02452919699</v>
      </c>
      <c r="N351" s="76">
        <f>$K$351-EFEITO!$M$351*EFEITO!$Z$351</f>
        <v>0</v>
      </c>
      <c r="O351" s="76">
        <f>$L$351-EFEITO!$O$351*EFEITO!$AA$351</f>
        <v>0</v>
      </c>
      <c r="P351" s="57"/>
      <c r="Q351" s="57"/>
      <c r="R351" s="57"/>
      <c r="S351" s="57"/>
      <c r="T351" s="57"/>
      <c r="U351" s="57"/>
      <c r="V351" s="57"/>
      <c r="W351" s="57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1.25" customHeight="1" x14ac:dyDescent="0.2">
      <c r="A352" s="53" t="s">
        <v>21</v>
      </c>
      <c r="B352" s="53" t="s">
        <v>41</v>
      </c>
      <c r="C352" s="53" t="s">
        <v>64</v>
      </c>
      <c r="D352" s="53" t="s">
        <v>25</v>
      </c>
      <c r="E352" s="53" t="s">
        <v>25</v>
      </c>
      <c r="F352" s="53" t="s">
        <v>65</v>
      </c>
      <c r="G352" s="53" t="s">
        <v>66</v>
      </c>
      <c r="H352" s="53" t="s">
        <v>25</v>
      </c>
      <c r="I352" s="75">
        <v>44440</v>
      </c>
      <c r="J352" s="76">
        <f ca="1">EFEITO!$J$352*EFEITO!$Y$352</f>
        <v>18391.798078560485</v>
      </c>
      <c r="K352" s="76">
        <f>EFEITO!$L$352*EFEITO!$Z$352</f>
        <v>0</v>
      </c>
      <c r="L352" s="76">
        <f>EFEITO!$N$352*EFEITO!$AA$352</f>
        <v>0</v>
      </c>
      <c r="M352" s="76">
        <f ca="1">$J$352-EFEITO!$K$352*EFEITO!$Y$352</f>
        <v>9195.8990392802425</v>
      </c>
      <c r="N352" s="76">
        <f>$K$352-EFEITO!$M$352*EFEITO!$Z$352</f>
        <v>0</v>
      </c>
      <c r="O352" s="76">
        <f>$L$352-EFEITO!$O$352*EFEITO!$AA$352</f>
        <v>0</v>
      </c>
      <c r="P352" s="57"/>
      <c r="Q352" s="57"/>
      <c r="R352" s="57"/>
      <c r="S352" s="57"/>
      <c r="T352" s="57"/>
      <c r="U352" s="57"/>
      <c r="V352" s="57"/>
      <c r="W352" s="57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1.25" customHeight="1" x14ac:dyDescent="0.2">
      <c r="A353" s="53" t="s">
        <v>21</v>
      </c>
      <c r="B353" s="53" t="s">
        <v>41</v>
      </c>
      <c r="C353" s="53" t="s">
        <v>64</v>
      </c>
      <c r="D353" s="53" t="s">
        <v>25</v>
      </c>
      <c r="E353" s="53" t="s">
        <v>25</v>
      </c>
      <c r="F353" s="53" t="s">
        <v>65</v>
      </c>
      <c r="G353" s="53" t="s">
        <v>70</v>
      </c>
      <c r="H353" s="53" t="s">
        <v>25</v>
      </c>
      <c r="I353" s="75">
        <v>44440</v>
      </c>
      <c r="J353" s="76">
        <f ca="1">EFEITO!$J$353*EFEITO!$Y$353</f>
        <v>212126.78928320933</v>
      </c>
      <c r="K353" s="76">
        <f>EFEITO!$L$353*EFEITO!$Z$353</f>
        <v>0</v>
      </c>
      <c r="L353" s="76">
        <f>EFEITO!$N$353*EFEITO!$AA$353</f>
        <v>0</v>
      </c>
      <c r="M353" s="76">
        <f ca="1">$J$353-EFEITO!$K$353*EFEITO!$Y$353</f>
        <v>99434.432476504371</v>
      </c>
      <c r="N353" s="76">
        <f>$K$353-EFEITO!$M$353*EFEITO!$Z$353</f>
        <v>0</v>
      </c>
      <c r="O353" s="76">
        <f>$L$353-EFEITO!$O$353*EFEITO!$AA$353</f>
        <v>0</v>
      </c>
      <c r="P353" s="57"/>
      <c r="Q353" s="57"/>
      <c r="R353" s="57"/>
      <c r="S353" s="57"/>
      <c r="T353" s="57"/>
      <c r="U353" s="57"/>
      <c r="V353" s="57"/>
      <c r="W353" s="57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1.25" customHeight="1" x14ac:dyDescent="0.2">
      <c r="A354" s="53" t="s">
        <v>21</v>
      </c>
      <c r="B354" s="53" t="s">
        <v>41</v>
      </c>
      <c r="C354" s="53" t="s">
        <v>64</v>
      </c>
      <c r="D354" s="53" t="s">
        <v>25</v>
      </c>
      <c r="E354" s="53" t="s">
        <v>25</v>
      </c>
      <c r="F354" s="53" t="s">
        <v>65</v>
      </c>
      <c r="G354" s="53" t="s">
        <v>71</v>
      </c>
      <c r="H354" s="53" t="s">
        <v>25</v>
      </c>
      <c r="I354" s="75">
        <v>44440</v>
      </c>
      <c r="J354" s="76">
        <f ca="1">EFEITO!$J$354*EFEITO!$Y$354</f>
        <v>517592.81646980724</v>
      </c>
      <c r="K354" s="76">
        <f>EFEITO!$L$354*EFEITO!$Z$354</f>
        <v>0</v>
      </c>
      <c r="L354" s="76">
        <f>EFEITO!$N$354*EFEITO!$AA$354</f>
        <v>0</v>
      </c>
      <c r="M354" s="76">
        <f ca="1">$J$354-EFEITO!$K$354*EFEITO!$Y$354</f>
        <v>258796.40823490362</v>
      </c>
      <c r="N354" s="76">
        <f>$K$354-EFEITO!$M$354*EFEITO!$Z$354</f>
        <v>0</v>
      </c>
      <c r="O354" s="76">
        <f>$L$354-EFEITO!$O$354*EFEITO!$AA$354</f>
        <v>0</v>
      </c>
      <c r="P354" s="57"/>
      <c r="Q354" s="57"/>
      <c r="R354" s="57"/>
      <c r="S354" s="57"/>
      <c r="T354" s="57"/>
      <c r="U354" s="57"/>
      <c r="V354" s="57"/>
      <c r="W354" s="57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1.25" customHeight="1" x14ac:dyDescent="0.2">
      <c r="A355" s="53" t="s">
        <v>21</v>
      </c>
      <c r="B355" s="53" t="s">
        <v>41</v>
      </c>
      <c r="C355" s="53" t="s">
        <v>64</v>
      </c>
      <c r="D355" s="53" t="s">
        <v>25</v>
      </c>
      <c r="E355" s="53" t="s">
        <v>25</v>
      </c>
      <c r="F355" s="53" t="s">
        <v>65</v>
      </c>
      <c r="G355" s="53" t="s">
        <v>73</v>
      </c>
      <c r="H355" s="53" t="s">
        <v>25</v>
      </c>
      <c r="I355" s="75">
        <v>44440</v>
      </c>
      <c r="J355" s="76">
        <f ca="1">EFEITO!$J$355*EFEITO!$Y$355</f>
        <v>284676.04905839398</v>
      </c>
      <c r="K355" s="76">
        <f>EFEITO!$L$355*EFEITO!$Z$355</f>
        <v>0</v>
      </c>
      <c r="L355" s="76">
        <f>EFEITO!$N$355*EFEITO!$AA$355</f>
        <v>0</v>
      </c>
      <c r="M355" s="76">
        <f ca="1">$J$355-EFEITO!$K$355*EFEITO!$Y$355</f>
        <v>142338.02452919699</v>
      </c>
      <c r="N355" s="76">
        <f>$K$355-EFEITO!$M$355*EFEITO!$Z$355</f>
        <v>0</v>
      </c>
      <c r="O355" s="76">
        <f>$L$355-EFEITO!$O$355*EFEITO!$AA$355</f>
        <v>0</v>
      </c>
      <c r="P355" s="57"/>
      <c r="Q355" s="57"/>
      <c r="R355" s="57"/>
      <c r="S355" s="57"/>
      <c r="T355" s="57"/>
      <c r="U355" s="57"/>
      <c r="V355" s="57"/>
      <c r="W355" s="57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1.25" customHeight="1" x14ac:dyDescent="0.2">
      <c r="A356" s="53" t="s">
        <v>21</v>
      </c>
      <c r="B356" s="53" t="s">
        <v>41</v>
      </c>
      <c r="C356" s="53" t="s">
        <v>64</v>
      </c>
      <c r="D356" s="53" t="s">
        <v>25</v>
      </c>
      <c r="E356" s="53" t="s">
        <v>25</v>
      </c>
      <c r="F356" s="53" t="s">
        <v>65</v>
      </c>
      <c r="G356" s="53" t="s">
        <v>66</v>
      </c>
      <c r="H356" s="53" t="s">
        <v>25</v>
      </c>
      <c r="I356" s="75">
        <v>44470</v>
      </c>
      <c r="J356" s="76">
        <f ca="1">EFEITO!$J$356*EFEITO!$Y$356</f>
        <v>34402.669201359859</v>
      </c>
      <c r="K356" s="76">
        <f>EFEITO!$L$356*EFEITO!$Z$356</f>
        <v>0</v>
      </c>
      <c r="L356" s="76">
        <f>EFEITO!$N$356*EFEITO!$AA$356</f>
        <v>0</v>
      </c>
      <c r="M356" s="76">
        <f ca="1">$J$356-EFEITO!$K$356*EFEITO!$Y$356</f>
        <v>17201.334600679929</v>
      </c>
      <c r="N356" s="76">
        <f>$K$356-EFEITO!$M$356*EFEITO!$Z$356</f>
        <v>0</v>
      </c>
      <c r="O356" s="76">
        <f>$L$356-EFEITO!$O$356*EFEITO!$AA$356</f>
        <v>0</v>
      </c>
      <c r="P356" s="57"/>
      <c r="Q356" s="57"/>
      <c r="R356" s="57"/>
      <c r="S356" s="57"/>
      <c r="T356" s="57"/>
      <c r="U356" s="57"/>
      <c r="V356" s="57"/>
      <c r="W356" s="57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1.25" customHeight="1" x14ac:dyDescent="0.2">
      <c r="A357" s="53" t="s">
        <v>21</v>
      </c>
      <c r="B357" s="53" t="s">
        <v>41</v>
      </c>
      <c r="C357" s="53" t="s">
        <v>64</v>
      </c>
      <c r="D357" s="53" t="s">
        <v>25</v>
      </c>
      <c r="E357" s="53" t="s">
        <v>25</v>
      </c>
      <c r="F357" s="53" t="s">
        <v>65</v>
      </c>
      <c r="G357" s="53" t="s">
        <v>70</v>
      </c>
      <c r="H357" s="53" t="s">
        <v>25</v>
      </c>
      <c r="I357" s="75">
        <v>44470</v>
      </c>
      <c r="J357" s="76">
        <f ca="1">EFEITO!$J$357*EFEITO!$Y$357</f>
        <v>196305.70219311558</v>
      </c>
      <c r="K357" s="76">
        <f>EFEITO!$L$357*EFEITO!$Z$357</f>
        <v>0</v>
      </c>
      <c r="L357" s="76">
        <f>EFEITO!$N$357*EFEITO!$AA$357</f>
        <v>0</v>
      </c>
      <c r="M357" s="76">
        <f ca="1">$J$357-EFEITO!$K$357*EFEITO!$Y$357</f>
        <v>92018.297903022933</v>
      </c>
      <c r="N357" s="76">
        <f>$K$357-EFEITO!$M$357*EFEITO!$Z$357</f>
        <v>0</v>
      </c>
      <c r="O357" s="76">
        <f>$L$357-EFEITO!$O$357*EFEITO!$AA$357</f>
        <v>0</v>
      </c>
      <c r="P357" s="57"/>
      <c r="Q357" s="57"/>
      <c r="R357" s="57"/>
      <c r="S357" s="57"/>
      <c r="T357" s="57"/>
      <c r="U357" s="57"/>
      <c r="V357" s="57"/>
      <c r="W357" s="57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1.25" customHeight="1" x14ac:dyDescent="0.2">
      <c r="A358" s="53" t="s">
        <v>21</v>
      </c>
      <c r="B358" s="53" t="s">
        <v>41</v>
      </c>
      <c r="C358" s="53" t="s">
        <v>64</v>
      </c>
      <c r="D358" s="53" t="s">
        <v>25</v>
      </c>
      <c r="E358" s="53" t="s">
        <v>25</v>
      </c>
      <c r="F358" s="53" t="s">
        <v>65</v>
      </c>
      <c r="G358" s="53" t="s">
        <v>71</v>
      </c>
      <c r="H358" s="53" t="s">
        <v>25</v>
      </c>
      <c r="I358" s="75">
        <v>44470</v>
      </c>
      <c r="J358" s="76">
        <f ca="1">EFEITO!$J$358*EFEITO!$Y$358</f>
        <v>517592.81646980724</v>
      </c>
      <c r="K358" s="76">
        <f>EFEITO!$L$358*EFEITO!$Z$358</f>
        <v>0</v>
      </c>
      <c r="L358" s="76">
        <f>EFEITO!$N$358*EFEITO!$AA$358</f>
        <v>0</v>
      </c>
      <c r="M358" s="76">
        <f ca="1">$J$358-EFEITO!$K$358*EFEITO!$Y$358</f>
        <v>258796.40823490362</v>
      </c>
      <c r="N358" s="76">
        <f>$K$358-EFEITO!$M$358*EFEITO!$Z$358</f>
        <v>0</v>
      </c>
      <c r="O358" s="76">
        <f>$L$358-EFEITO!$O$358*EFEITO!$AA$358</f>
        <v>0</v>
      </c>
      <c r="P358" s="57"/>
      <c r="Q358" s="57"/>
      <c r="R358" s="57"/>
      <c r="S358" s="57"/>
      <c r="T358" s="57"/>
      <c r="U358" s="57"/>
      <c r="V358" s="57"/>
      <c r="W358" s="57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1.25" customHeight="1" x14ac:dyDescent="0.2">
      <c r="A359" s="53" t="s">
        <v>21</v>
      </c>
      <c r="B359" s="53" t="s">
        <v>41</v>
      </c>
      <c r="C359" s="53" t="s">
        <v>64</v>
      </c>
      <c r="D359" s="53" t="s">
        <v>25</v>
      </c>
      <c r="E359" s="53" t="s">
        <v>25</v>
      </c>
      <c r="F359" s="53" t="s">
        <v>65</v>
      </c>
      <c r="G359" s="53" t="s">
        <v>73</v>
      </c>
      <c r="H359" s="53" t="s">
        <v>25</v>
      </c>
      <c r="I359" s="75">
        <v>44470</v>
      </c>
      <c r="J359" s="76">
        <f ca="1">EFEITO!$J$359*EFEITO!$Y$359</f>
        <v>360382.62501404446</v>
      </c>
      <c r="K359" s="76">
        <f>EFEITO!$L$359*EFEITO!$Z$359</f>
        <v>0</v>
      </c>
      <c r="L359" s="76">
        <f>EFEITO!$N$359*EFEITO!$AA$359</f>
        <v>0</v>
      </c>
      <c r="M359" s="76">
        <f ca="1">$J$359-EFEITO!$K$359*EFEITO!$Y$359</f>
        <v>180191.31250702223</v>
      </c>
      <c r="N359" s="76">
        <f>$K$359-EFEITO!$M$359*EFEITO!$Z$359</f>
        <v>0</v>
      </c>
      <c r="O359" s="76">
        <f>$L$359-EFEITO!$O$359*EFEITO!$AA$359</f>
        <v>0</v>
      </c>
      <c r="P359" s="57"/>
      <c r="Q359" s="57"/>
      <c r="R359" s="57"/>
      <c r="S359" s="57"/>
      <c r="T359" s="57"/>
      <c r="U359" s="57"/>
      <c r="V359" s="57"/>
      <c r="W359" s="57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1.25" customHeight="1" x14ac:dyDescent="0.2">
      <c r="A360" s="53" t="s">
        <v>21</v>
      </c>
      <c r="B360" s="53" t="s">
        <v>41</v>
      </c>
      <c r="C360" s="53" t="s">
        <v>64</v>
      </c>
      <c r="D360" s="53" t="s">
        <v>25</v>
      </c>
      <c r="E360" s="53" t="s">
        <v>25</v>
      </c>
      <c r="F360" s="53" t="s">
        <v>65</v>
      </c>
      <c r="G360" s="53" t="s">
        <v>66</v>
      </c>
      <c r="H360" s="53" t="s">
        <v>25</v>
      </c>
      <c r="I360" s="75">
        <v>44501</v>
      </c>
      <c r="J360" s="76">
        <f ca="1">EFEITO!$J$360*EFEITO!$Y$360</f>
        <v>45479.155473813727</v>
      </c>
      <c r="K360" s="76">
        <f>EFEITO!$L$360*EFEITO!$Z$360</f>
        <v>0</v>
      </c>
      <c r="L360" s="76">
        <f>EFEITO!$N$360*EFEITO!$AA$360</f>
        <v>0</v>
      </c>
      <c r="M360" s="76">
        <f ca="1">$J$360-EFEITO!$K$360*EFEITO!$Y$360</f>
        <v>22739.577736906864</v>
      </c>
      <c r="N360" s="76">
        <f>$K$360-EFEITO!$M$360*EFEITO!$Z$360</f>
        <v>0</v>
      </c>
      <c r="O360" s="76">
        <f>$L$360-EFEITO!$O$360*EFEITO!$AA$360</f>
        <v>0</v>
      </c>
      <c r="P360" s="57"/>
      <c r="Q360" s="57"/>
      <c r="R360" s="57"/>
      <c r="S360" s="57"/>
      <c r="T360" s="57"/>
      <c r="U360" s="57"/>
      <c r="V360" s="57"/>
      <c r="W360" s="57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1.25" customHeight="1" x14ac:dyDescent="0.2">
      <c r="A361" s="53" t="s">
        <v>21</v>
      </c>
      <c r="B361" s="53" t="s">
        <v>41</v>
      </c>
      <c r="C361" s="53" t="s">
        <v>64</v>
      </c>
      <c r="D361" s="53" t="s">
        <v>25</v>
      </c>
      <c r="E361" s="53" t="s">
        <v>25</v>
      </c>
      <c r="F361" s="53" t="s">
        <v>65</v>
      </c>
      <c r="G361" s="53" t="s">
        <v>70</v>
      </c>
      <c r="H361" s="53" t="s">
        <v>25</v>
      </c>
      <c r="I361" s="75">
        <v>44501</v>
      </c>
      <c r="J361" s="76">
        <f ca="1">EFEITO!$J$361*EFEITO!$Y$361</f>
        <v>215301.35855755748</v>
      </c>
      <c r="K361" s="76">
        <f>EFEITO!$L$361*EFEITO!$Z$361</f>
        <v>0</v>
      </c>
      <c r="L361" s="76">
        <f>EFEITO!$N$361*EFEITO!$AA$361</f>
        <v>0</v>
      </c>
      <c r="M361" s="76">
        <f ca="1">$J$361-EFEITO!$K$361*EFEITO!$Y$361</f>
        <v>100922.51182385506</v>
      </c>
      <c r="N361" s="76">
        <f>$K$361-EFEITO!$M$361*EFEITO!$Z$361</f>
        <v>0</v>
      </c>
      <c r="O361" s="76">
        <f>$L$361-EFEITO!$O$361*EFEITO!$AA$361</f>
        <v>0</v>
      </c>
      <c r="P361" s="57"/>
      <c r="Q361" s="57"/>
      <c r="R361" s="57"/>
      <c r="S361" s="57"/>
      <c r="T361" s="57"/>
      <c r="U361" s="57"/>
      <c r="V361" s="57"/>
      <c r="W361" s="57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1.25" customHeight="1" x14ac:dyDescent="0.2">
      <c r="A362" s="53" t="s">
        <v>21</v>
      </c>
      <c r="B362" s="53" t="s">
        <v>41</v>
      </c>
      <c r="C362" s="53" t="s">
        <v>64</v>
      </c>
      <c r="D362" s="53" t="s">
        <v>25</v>
      </c>
      <c r="E362" s="53" t="s">
        <v>25</v>
      </c>
      <c r="F362" s="53" t="s">
        <v>65</v>
      </c>
      <c r="G362" s="53" t="s">
        <v>71</v>
      </c>
      <c r="H362" s="53" t="s">
        <v>25</v>
      </c>
      <c r="I362" s="75">
        <v>44501</v>
      </c>
      <c r="J362" s="76">
        <f ca="1">EFEITO!$J$362*EFEITO!$Y$362</f>
        <v>517592.81646980724</v>
      </c>
      <c r="K362" s="76">
        <f>EFEITO!$L$362*EFEITO!$Z$362</f>
        <v>0</v>
      </c>
      <c r="L362" s="76">
        <f>EFEITO!$N$362*EFEITO!$AA$362</f>
        <v>0</v>
      </c>
      <c r="M362" s="76">
        <f ca="1">$J$362-EFEITO!$K$362*EFEITO!$Y$362</f>
        <v>258796.40823490362</v>
      </c>
      <c r="N362" s="76">
        <f>$K$362-EFEITO!$M$362*EFEITO!$Z$362</f>
        <v>0</v>
      </c>
      <c r="O362" s="76">
        <f>$L$362-EFEITO!$O$362*EFEITO!$AA$362</f>
        <v>0</v>
      </c>
      <c r="P362" s="57"/>
      <c r="Q362" s="57"/>
      <c r="R362" s="57"/>
      <c r="S362" s="57"/>
      <c r="T362" s="57"/>
      <c r="U362" s="57"/>
      <c r="V362" s="57"/>
      <c r="W362" s="57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1.25" customHeight="1" x14ac:dyDescent="0.2">
      <c r="A363" s="53" t="s">
        <v>21</v>
      </c>
      <c r="B363" s="53" t="s">
        <v>41</v>
      </c>
      <c r="C363" s="53" t="s">
        <v>64</v>
      </c>
      <c r="D363" s="53" t="s">
        <v>25</v>
      </c>
      <c r="E363" s="53" t="s">
        <v>25</v>
      </c>
      <c r="F363" s="53" t="s">
        <v>65</v>
      </c>
      <c r="G363" s="53" t="s">
        <v>73</v>
      </c>
      <c r="H363" s="53" t="s">
        <v>25</v>
      </c>
      <c r="I363" s="75">
        <v>44501</v>
      </c>
      <c r="J363" s="76">
        <f ca="1">EFEITO!$J$363*EFEITO!$Y$363</f>
        <v>358018.95115216565</v>
      </c>
      <c r="K363" s="76">
        <f>EFEITO!$L$363*EFEITO!$Z$363</f>
        <v>0</v>
      </c>
      <c r="L363" s="76">
        <f>EFEITO!$N$363*EFEITO!$AA$363</f>
        <v>0</v>
      </c>
      <c r="M363" s="76">
        <f ca="1">$J$363-EFEITO!$K$363*EFEITO!$Y$363</f>
        <v>179009.47557608283</v>
      </c>
      <c r="N363" s="76">
        <f>$K$363-EFEITO!$M$363*EFEITO!$Z$363</f>
        <v>0</v>
      </c>
      <c r="O363" s="76">
        <f>$L$363-EFEITO!$O$363*EFEITO!$AA$363</f>
        <v>0</v>
      </c>
      <c r="P363" s="57"/>
      <c r="Q363" s="57"/>
      <c r="R363" s="57"/>
      <c r="S363" s="57"/>
      <c r="T363" s="57"/>
      <c r="U363" s="57"/>
      <c r="V363" s="57"/>
      <c r="W363" s="57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1.25" customHeight="1" x14ac:dyDescent="0.2">
      <c r="A364" s="53" t="s">
        <v>21</v>
      </c>
      <c r="B364" s="53" t="s">
        <v>41</v>
      </c>
      <c r="C364" s="53" t="s">
        <v>64</v>
      </c>
      <c r="D364" s="53" t="s">
        <v>25</v>
      </c>
      <c r="E364" s="53" t="s">
        <v>25</v>
      </c>
      <c r="F364" s="53" t="s">
        <v>65</v>
      </c>
      <c r="G364" s="53" t="s">
        <v>66</v>
      </c>
      <c r="H364" s="53" t="s">
        <v>25</v>
      </c>
      <c r="I364" s="75">
        <v>44531</v>
      </c>
      <c r="J364" s="76">
        <f ca="1">EFEITO!$J$364*EFEITO!$Y$364</f>
        <v>32246.032466068991</v>
      </c>
      <c r="K364" s="76">
        <f>EFEITO!$L$364*EFEITO!$Z$364</f>
        <v>0</v>
      </c>
      <c r="L364" s="76">
        <f>EFEITO!$N$364*EFEITO!$AA$364</f>
        <v>0</v>
      </c>
      <c r="M364" s="76">
        <f ca="1">$J$364-EFEITO!$K$364*EFEITO!$Y$364</f>
        <v>16123.016233034496</v>
      </c>
      <c r="N364" s="76">
        <f>$K$364-EFEITO!$M$364*EFEITO!$Z$364</f>
        <v>0</v>
      </c>
      <c r="O364" s="76">
        <f>$L$364-EFEITO!$O$364*EFEITO!$AA$364</f>
        <v>0</v>
      </c>
      <c r="P364" s="57"/>
      <c r="Q364" s="57"/>
      <c r="R364" s="57"/>
      <c r="S364" s="57"/>
      <c r="T364" s="57"/>
      <c r="U364" s="57"/>
      <c r="V364" s="57"/>
      <c r="W364" s="57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1.25" customHeight="1" x14ac:dyDescent="0.2">
      <c r="A365" s="53" t="s">
        <v>21</v>
      </c>
      <c r="B365" s="53" t="s">
        <v>41</v>
      </c>
      <c r="C365" s="53" t="s">
        <v>64</v>
      </c>
      <c r="D365" s="53" t="s">
        <v>25</v>
      </c>
      <c r="E365" s="53" t="s">
        <v>25</v>
      </c>
      <c r="F365" s="53" t="s">
        <v>65</v>
      </c>
      <c r="G365" s="53" t="s">
        <v>70</v>
      </c>
      <c r="H365" s="53" t="s">
        <v>25</v>
      </c>
      <c r="I365" s="75">
        <v>44531</v>
      </c>
      <c r="J365" s="76">
        <f ca="1">EFEITO!$J$365*EFEITO!$Y$365</f>
        <v>228758.77178577246</v>
      </c>
      <c r="K365" s="76">
        <f>EFEITO!$L$365*EFEITO!$Z$365</f>
        <v>0</v>
      </c>
      <c r="L365" s="76">
        <f>EFEITO!$N$365*EFEITO!$AA$365</f>
        <v>0</v>
      </c>
      <c r="M365" s="76">
        <f ca="1">$J$365-EFEITO!$K$365*EFEITO!$Y$365</f>
        <v>107230.67427458083</v>
      </c>
      <c r="N365" s="76">
        <f>$K$365-EFEITO!$M$365*EFEITO!$Z$365</f>
        <v>0</v>
      </c>
      <c r="O365" s="76">
        <f>$L$365-EFEITO!$O$365*EFEITO!$AA$365</f>
        <v>0</v>
      </c>
      <c r="P365" s="57"/>
      <c r="Q365" s="57"/>
      <c r="R365" s="57"/>
      <c r="S365" s="57"/>
      <c r="T365" s="57"/>
      <c r="U365" s="57"/>
      <c r="V365" s="57"/>
      <c r="W365" s="57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1.25" customHeight="1" x14ac:dyDescent="0.2">
      <c r="A366" s="53" t="s">
        <v>21</v>
      </c>
      <c r="B366" s="53" t="s">
        <v>41</v>
      </c>
      <c r="C366" s="53" t="s">
        <v>64</v>
      </c>
      <c r="D366" s="53" t="s">
        <v>25</v>
      </c>
      <c r="E366" s="53" t="s">
        <v>25</v>
      </c>
      <c r="F366" s="53" t="s">
        <v>65</v>
      </c>
      <c r="G366" s="53" t="s">
        <v>71</v>
      </c>
      <c r="H366" s="53" t="s">
        <v>25</v>
      </c>
      <c r="I366" s="75">
        <v>44531</v>
      </c>
      <c r="J366" s="76">
        <f ca="1">EFEITO!$J$366*EFEITO!$Y$366</f>
        <v>517592.81646980724</v>
      </c>
      <c r="K366" s="76">
        <f>EFEITO!$L$366*EFEITO!$Z$366</f>
        <v>0</v>
      </c>
      <c r="L366" s="76">
        <f>EFEITO!$N$366*EFEITO!$AA$366</f>
        <v>0</v>
      </c>
      <c r="M366" s="76">
        <f ca="1">$J$366-EFEITO!$K$366*EFEITO!$Y$366</f>
        <v>258796.40823490362</v>
      </c>
      <c r="N366" s="76">
        <f>$K$366-EFEITO!$M$366*EFEITO!$Z$366</f>
        <v>0</v>
      </c>
      <c r="O366" s="76">
        <f>$L$366-EFEITO!$O$366*EFEITO!$AA$366</f>
        <v>0</v>
      </c>
      <c r="P366" s="57"/>
      <c r="Q366" s="57"/>
      <c r="R366" s="57"/>
      <c r="S366" s="57"/>
      <c r="T366" s="57"/>
      <c r="U366" s="57"/>
      <c r="V366" s="57"/>
      <c r="W366" s="57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1.25" customHeight="1" x14ac:dyDescent="0.2">
      <c r="A367" s="53" t="s">
        <v>21</v>
      </c>
      <c r="B367" s="53" t="s">
        <v>41</v>
      </c>
      <c r="C367" s="53" t="s">
        <v>64</v>
      </c>
      <c r="D367" s="53" t="s">
        <v>25</v>
      </c>
      <c r="E367" s="53" t="s">
        <v>25</v>
      </c>
      <c r="F367" s="53" t="s">
        <v>65</v>
      </c>
      <c r="G367" s="53" t="s">
        <v>73</v>
      </c>
      <c r="H367" s="53" t="s">
        <v>25</v>
      </c>
      <c r="I367" s="75">
        <v>44531</v>
      </c>
      <c r="J367" s="76">
        <f ca="1">EFEITO!$J$367*EFEITO!$Y$367</f>
        <v>374944.23625072837</v>
      </c>
      <c r="K367" s="76">
        <f>EFEITO!$L$367*EFEITO!$Z$367</f>
        <v>0</v>
      </c>
      <c r="L367" s="76">
        <f>EFEITO!$N$367*EFEITO!$AA$367</f>
        <v>0</v>
      </c>
      <c r="M367" s="76">
        <f ca="1">$J$367-EFEITO!$K$367*EFEITO!$Y$367</f>
        <v>187472.11812536418</v>
      </c>
      <c r="N367" s="76">
        <f>$K$367-EFEITO!$M$367*EFEITO!$Z$367</f>
        <v>0</v>
      </c>
      <c r="O367" s="76">
        <f>$L$367-EFEITO!$O$367*EFEITO!$AA$367</f>
        <v>0</v>
      </c>
      <c r="P367" s="57"/>
      <c r="Q367" s="57"/>
      <c r="R367" s="57"/>
      <c r="S367" s="57"/>
      <c r="T367" s="57"/>
      <c r="U367" s="57"/>
      <c r="V367" s="57"/>
      <c r="W367" s="57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1.25" customHeight="1" x14ac:dyDescent="0.2">
      <c r="A368" s="53" t="s">
        <v>21</v>
      </c>
      <c r="B368" s="53" t="s">
        <v>41</v>
      </c>
      <c r="C368" s="53" t="s">
        <v>64</v>
      </c>
      <c r="D368" s="53" t="s">
        <v>25</v>
      </c>
      <c r="E368" s="53" t="s">
        <v>25</v>
      </c>
      <c r="F368" s="53" t="s">
        <v>65</v>
      </c>
      <c r="G368" s="53" t="s">
        <v>66</v>
      </c>
      <c r="H368" s="53" t="s">
        <v>25</v>
      </c>
      <c r="I368" s="75">
        <v>44562</v>
      </c>
      <c r="J368" s="76">
        <f ca="1">EFEITO!$J$368*EFEITO!$Y$368</f>
        <v>40147.949464174715</v>
      </c>
      <c r="K368" s="76">
        <f>EFEITO!$L$368*EFEITO!$Z$368</f>
        <v>0</v>
      </c>
      <c r="L368" s="76">
        <f>EFEITO!$N$368*EFEITO!$AA$368</f>
        <v>0</v>
      </c>
      <c r="M368" s="76">
        <f ca="1">$J$368-EFEITO!$K$368*EFEITO!$Y$368</f>
        <v>20073.974732087358</v>
      </c>
      <c r="N368" s="76">
        <f>$K$368-EFEITO!$M$368*EFEITO!$Z$368</f>
        <v>0</v>
      </c>
      <c r="O368" s="76">
        <f>$L$368-EFEITO!$O$368*EFEITO!$AA$368</f>
        <v>0</v>
      </c>
      <c r="P368" s="57"/>
      <c r="Q368" s="57"/>
      <c r="R368" s="57"/>
      <c r="S368" s="57"/>
      <c r="T368" s="57"/>
      <c r="U368" s="57"/>
      <c r="V368" s="57"/>
      <c r="W368" s="57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1.25" customHeight="1" x14ac:dyDescent="0.2">
      <c r="A369" s="53" t="s">
        <v>21</v>
      </c>
      <c r="B369" s="53" t="s">
        <v>41</v>
      </c>
      <c r="C369" s="53" t="s">
        <v>64</v>
      </c>
      <c r="D369" s="53" t="s">
        <v>25</v>
      </c>
      <c r="E369" s="53" t="s">
        <v>25</v>
      </c>
      <c r="F369" s="53" t="s">
        <v>65</v>
      </c>
      <c r="G369" s="53" t="s">
        <v>70</v>
      </c>
      <c r="H369" s="53" t="s">
        <v>25</v>
      </c>
      <c r="I369" s="75">
        <v>44562</v>
      </c>
      <c r="J369" s="76">
        <f ca="1">EFEITO!$J$369*EFEITO!$Y$369</f>
        <v>220563.5521916672</v>
      </c>
      <c r="K369" s="76">
        <f>EFEITO!$L$369*EFEITO!$Z$369</f>
        <v>0</v>
      </c>
      <c r="L369" s="76">
        <f>EFEITO!$N$369*EFEITO!$AA$369</f>
        <v>0</v>
      </c>
      <c r="M369" s="76">
        <f ca="1">$J$369-EFEITO!$K$369*EFEITO!$Y$369</f>
        <v>103389.165089844</v>
      </c>
      <c r="N369" s="76">
        <f>$K$369-EFEITO!$M$369*EFEITO!$Z$369</f>
        <v>0</v>
      </c>
      <c r="O369" s="76">
        <f>$L$369-EFEITO!$O$369*EFEITO!$AA$369</f>
        <v>0</v>
      </c>
      <c r="P369" s="57"/>
      <c r="Q369" s="57"/>
      <c r="R369" s="57"/>
      <c r="S369" s="57"/>
      <c r="T369" s="57"/>
      <c r="U369" s="57"/>
      <c r="V369" s="57"/>
      <c r="W369" s="57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1.25" customHeight="1" x14ac:dyDescent="0.2">
      <c r="A370" s="53" t="s">
        <v>21</v>
      </c>
      <c r="B370" s="53" t="s">
        <v>41</v>
      </c>
      <c r="C370" s="53" t="s">
        <v>64</v>
      </c>
      <c r="D370" s="53" t="s">
        <v>25</v>
      </c>
      <c r="E370" s="53" t="s">
        <v>25</v>
      </c>
      <c r="F370" s="53" t="s">
        <v>65</v>
      </c>
      <c r="G370" s="53" t="s">
        <v>71</v>
      </c>
      <c r="H370" s="53" t="s">
        <v>25</v>
      </c>
      <c r="I370" s="75">
        <v>44562</v>
      </c>
      <c r="J370" s="76">
        <f ca="1">EFEITO!$J$370*EFEITO!$Y$370</f>
        <v>517592.81646980724</v>
      </c>
      <c r="K370" s="76">
        <f>EFEITO!$L$370*EFEITO!$Z$370</f>
        <v>0</v>
      </c>
      <c r="L370" s="76">
        <f>EFEITO!$N$370*EFEITO!$AA$370</f>
        <v>0</v>
      </c>
      <c r="M370" s="76">
        <f ca="1">$J$370-EFEITO!$K$370*EFEITO!$Y$370</f>
        <v>258796.40823490362</v>
      </c>
      <c r="N370" s="76">
        <f>$K$370-EFEITO!$M$370*EFEITO!$Z$370</f>
        <v>0</v>
      </c>
      <c r="O370" s="76">
        <f>$L$370-EFEITO!$O$370*EFEITO!$AA$370</f>
        <v>0</v>
      </c>
      <c r="P370" s="57"/>
      <c r="Q370" s="57"/>
      <c r="R370" s="57"/>
      <c r="S370" s="57"/>
      <c r="T370" s="57"/>
      <c r="U370" s="57"/>
      <c r="V370" s="57"/>
      <c r="W370" s="57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1.25" customHeight="1" x14ac:dyDescent="0.2">
      <c r="A371" s="53" t="s">
        <v>21</v>
      </c>
      <c r="B371" s="53" t="s">
        <v>41</v>
      </c>
      <c r="C371" s="53" t="s">
        <v>64</v>
      </c>
      <c r="D371" s="53" t="s">
        <v>25</v>
      </c>
      <c r="E371" s="53" t="s">
        <v>25</v>
      </c>
      <c r="F371" s="53" t="s">
        <v>65</v>
      </c>
      <c r="G371" s="53" t="s">
        <v>73</v>
      </c>
      <c r="H371" s="53" t="s">
        <v>25</v>
      </c>
      <c r="I371" s="75">
        <v>44562</v>
      </c>
      <c r="J371" s="76">
        <f ca="1">EFEITO!$J$371*EFEITO!$Y$371</f>
        <v>284676.04905839398</v>
      </c>
      <c r="K371" s="76">
        <f>EFEITO!$L$371*EFEITO!$Z$371</f>
        <v>0</v>
      </c>
      <c r="L371" s="76">
        <f>EFEITO!$N$371*EFEITO!$AA$371</f>
        <v>0</v>
      </c>
      <c r="M371" s="76">
        <f ca="1">$J$371-EFEITO!$K$371*EFEITO!$Y$371</f>
        <v>142338.02452919699</v>
      </c>
      <c r="N371" s="76">
        <f>$K$371-EFEITO!$M$371*EFEITO!$Z$371</f>
        <v>0</v>
      </c>
      <c r="O371" s="76">
        <f>$L$371-EFEITO!$O$371*EFEITO!$AA$371</f>
        <v>0</v>
      </c>
      <c r="P371" s="57"/>
      <c r="Q371" s="57"/>
      <c r="R371" s="57"/>
      <c r="S371" s="57"/>
      <c r="T371" s="57"/>
      <c r="U371" s="57"/>
      <c r="V371" s="57"/>
      <c r="W371" s="57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1.25" customHeight="1" x14ac:dyDescent="0.2">
      <c r="A372" s="53" t="s">
        <v>21</v>
      </c>
      <c r="B372" s="53" t="s">
        <v>41</v>
      </c>
      <c r="C372" s="53" t="s">
        <v>64</v>
      </c>
      <c r="D372" s="53" t="s">
        <v>25</v>
      </c>
      <c r="E372" s="53" t="s">
        <v>25</v>
      </c>
      <c r="F372" s="53" t="s">
        <v>65</v>
      </c>
      <c r="G372" s="53" t="s">
        <v>66</v>
      </c>
      <c r="H372" s="53" t="s">
        <v>25</v>
      </c>
      <c r="I372" s="75">
        <v>44593</v>
      </c>
      <c r="J372" s="76">
        <f ca="1">EFEITO!$J$372*EFEITO!$Y$372</f>
        <v>23498.71386772925</v>
      </c>
      <c r="K372" s="76">
        <f>EFEITO!$L$372*EFEITO!$Z$372</f>
        <v>0</v>
      </c>
      <c r="L372" s="76">
        <f>EFEITO!$N$372*EFEITO!$AA$372</f>
        <v>0</v>
      </c>
      <c r="M372" s="76">
        <f ca="1">$J$372-EFEITO!$K$372*EFEITO!$Y$372</f>
        <v>11749.356933864625</v>
      </c>
      <c r="N372" s="76">
        <f>$K$372-EFEITO!$M$372*EFEITO!$Z$372</f>
        <v>0</v>
      </c>
      <c r="O372" s="76">
        <f>$L$372-EFEITO!$O$372*EFEITO!$AA$372</f>
        <v>0</v>
      </c>
      <c r="P372" s="57"/>
      <c r="Q372" s="57"/>
      <c r="R372" s="57"/>
      <c r="S372" s="57"/>
      <c r="T372" s="57"/>
      <c r="U372" s="57"/>
      <c r="V372" s="57"/>
      <c r="W372" s="57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1.25" customHeight="1" x14ac:dyDescent="0.2">
      <c r="A373" s="53" t="s">
        <v>21</v>
      </c>
      <c r="B373" s="53" t="s">
        <v>41</v>
      </c>
      <c r="C373" s="53" t="s">
        <v>64</v>
      </c>
      <c r="D373" s="53" t="s">
        <v>25</v>
      </c>
      <c r="E373" s="53" t="s">
        <v>25</v>
      </c>
      <c r="F373" s="53" t="s">
        <v>65</v>
      </c>
      <c r="G373" s="53" t="s">
        <v>70</v>
      </c>
      <c r="H373" s="53" t="s">
        <v>25</v>
      </c>
      <c r="I373" s="75">
        <v>44593</v>
      </c>
      <c r="J373" s="76">
        <f ca="1">EFEITO!$J$373*EFEITO!$Y$373</f>
        <v>206864.59564909962</v>
      </c>
      <c r="K373" s="76">
        <f>EFEITO!$L$373*EFEITO!$Z$373</f>
        <v>0</v>
      </c>
      <c r="L373" s="76">
        <f>EFEITO!$N$373*EFEITO!$AA$373</f>
        <v>0</v>
      </c>
      <c r="M373" s="76">
        <f ca="1">$J$373-EFEITO!$K$373*EFEITO!$Y$373</f>
        <v>96967.779210515437</v>
      </c>
      <c r="N373" s="76">
        <f>$K$373-EFEITO!$M$373*EFEITO!$Z$373</f>
        <v>0</v>
      </c>
      <c r="O373" s="76">
        <f>$L$373-EFEITO!$O$373*EFEITO!$AA$373</f>
        <v>0</v>
      </c>
      <c r="P373" s="57"/>
      <c r="Q373" s="57"/>
      <c r="R373" s="57"/>
      <c r="S373" s="57"/>
      <c r="T373" s="57"/>
      <c r="U373" s="57"/>
      <c r="V373" s="57"/>
      <c r="W373" s="57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1.25" customHeight="1" x14ac:dyDescent="0.2">
      <c r="A374" s="53" t="s">
        <v>21</v>
      </c>
      <c r="B374" s="53" t="s">
        <v>41</v>
      </c>
      <c r="C374" s="53" t="s">
        <v>64</v>
      </c>
      <c r="D374" s="53" t="s">
        <v>25</v>
      </c>
      <c r="E374" s="53" t="s">
        <v>25</v>
      </c>
      <c r="F374" s="53" t="s">
        <v>65</v>
      </c>
      <c r="G374" s="53" t="s">
        <v>71</v>
      </c>
      <c r="H374" s="53" t="s">
        <v>25</v>
      </c>
      <c r="I374" s="75">
        <v>44593</v>
      </c>
      <c r="J374" s="76">
        <f ca="1">EFEITO!$J$374*EFEITO!$Y$374</f>
        <v>517592.81646980724</v>
      </c>
      <c r="K374" s="76">
        <f>EFEITO!$L$374*EFEITO!$Z$374</f>
        <v>0</v>
      </c>
      <c r="L374" s="76">
        <f>EFEITO!$N$374*EFEITO!$AA$374</f>
        <v>0</v>
      </c>
      <c r="M374" s="76">
        <f ca="1">$J$374-EFEITO!$K$374*EFEITO!$Y$374</f>
        <v>258796.40823490362</v>
      </c>
      <c r="N374" s="76">
        <f>$K$374-EFEITO!$M$374*EFEITO!$Z$374</f>
        <v>0</v>
      </c>
      <c r="O374" s="76">
        <f>$L$374-EFEITO!$O$374*EFEITO!$AA$374</f>
        <v>0</v>
      </c>
      <c r="P374" s="57"/>
      <c r="Q374" s="57"/>
      <c r="R374" s="57"/>
      <c r="S374" s="57"/>
      <c r="T374" s="57"/>
      <c r="U374" s="57"/>
      <c r="V374" s="57"/>
      <c r="W374" s="57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1.25" customHeight="1" x14ac:dyDescent="0.2">
      <c r="A375" s="53" t="s">
        <v>21</v>
      </c>
      <c r="B375" s="53" t="s">
        <v>41</v>
      </c>
      <c r="C375" s="53" t="s">
        <v>64</v>
      </c>
      <c r="D375" s="53" t="s">
        <v>25</v>
      </c>
      <c r="E375" s="53" t="s">
        <v>25</v>
      </c>
      <c r="F375" s="53" t="s">
        <v>65</v>
      </c>
      <c r="G375" s="53" t="s">
        <v>73</v>
      </c>
      <c r="H375" s="53" t="s">
        <v>25</v>
      </c>
      <c r="I375" s="75">
        <v>44593</v>
      </c>
      <c r="J375" s="76">
        <f ca="1">EFEITO!$J$375*EFEITO!$Y$375</f>
        <v>284676.04905839398</v>
      </c>
      <c r="K375" s="76">
        <f>EFEITO!$L$375*EFEITO!$Z$375</f>
        <v>0</v>
      </c>
      <c r="L375" s="76">
        <f>EFEITO!$N$375*EFEITO!$AA$375</f>
        <v>0</v>
      </c>
      <c r="M375" s="76">
        <f ca="1">$J$375-EFEITO!$K$375*EFEITO!$Y$375</f>
        <v>142338.02452919699</v>
      </c>
      <c r="N375" s="76">
        <f>$K$375-EFEITO!$M$375*EFEITO!$Z$375</f>
        <v>0</v>
      </c>
      <c r="O375" s="76">
        <f>$L$375-EFEITO!$O$375*EFEITO!$AA$375</f>
        <v>0</v>
      </c>
      <c r="P375" s="57"/>
      <c r="Q375" s="57"/>
      <c r="R375" s="57"/>
      <c r="S375" s="57"/>
      <c r="T375" s="57"/>
      <c r="U375" s="57"/>
      <c r="V375" s="57"/>
      <c r="W375" s="57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1.25" customHeight="1" x14ac:dyDescent="0.2">
      <c r="A376" s="53" t="s">
        <v>21</v>
      </c>
      <c r="B376" s="53" t="s">
        <v>41</v>
      </c>
      <c r="C376" s="53" t="s">
        <v>64</v>
      </c>
      <c r="D376" s="53" t="s">
        <v>25</v>
      </c>
      <c r="E376" s="53" t="s">
        <v>25</v>
      </c>
      <c r="F376" s="53" t="s">
        <v>65</v>
      </c>
      <c r="G376" s="53" t="s">
        <v>66</v>
      </c>
      <c r="H376" s="53" t="s">
        <v>25</v>
      </c>
      <c r="I376" s="75">
        <v>44621</v>
      </c>
      <c r="J376" s="76">
        <f ca="1">EFEITO!$J$376*EFEITO!$Y$376</f>
        <v>19513.249180911735</v>
      </c>
      <c r="K376" s="76">
        <f>EFEITO!$L$376*EFEITO!$Z$376</f>
        <v>0</v>
      </c>
      <c r="L376" s="76">
        <f>EFEITO!$N$376*EFEITO!$AA$376</f>
        <v>0</v>
      </c>
      <c r="M376" s="76">
        <f ca="1">$J$376-EFEITO!$K$376*EFEITO!$Y$376</f>
        <v>9756.6245904558673</v>
      </c>
      <c r="N376" s="76">
        <f>$K$376-EFEITO!$M$376*EFEITO!$Z$376</f>
        <v>0</v>
      </c>
      <c r="O376" s="76">
        <f>$L$376-EFEITO!$O$376*EFEITO!$AA$376</f>
        <v>0</v>
      </c>
      <c r="P376" s="57"/>
      <c r="Q376" s="57"/>
      <c r="R376" s="57"/>
      <c r="S376" s="57"/>
      <c r="T376" s="57"/>
      <c r="U376" s="57"/>
      <c r="V376" s="57"/>
      <c r="W376" s="57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1.25" customHeight="1" x14ac:dyDescent="0.2">
      <c r="A377" s="53" t="s">
        <v>21</v>
      </c>
      <c r="B377" s="53" t="s">
        <v>41</v>
      </c>
      <c r="C377" s="53" t="s">
        <v>64</v>
      </c>
      <c r="D377" s="53" t="s">
        <v>25</v>
      </c>
      <c r="E377" s="53" t="s">
        <v>25</v>
      </c>
      <c r="F377" s="53" t="s">
        <v>65</v>
      </c>
      <c r="G377" s="53" t="s">
        <v>70</v>
      </c>
      <c r="H377" s="53" t="s">
        <v>25</v>
      </c>
      <c r="I377" s="75">
        <v>44621</v>
      </c>
      <c r="J377" s="76">
        <f ca="1">EFEITO!$J$377*EFEITO!$Y$377</f>
        <v>205449.84195074881</v>
      </c>
      <c r="K377" s="76">
        <f>EFEITO!$L$377*EFEITO!$Z$377</f>
        <v>0</v>
      </c>
      <c r="L377" s="76">
        <f>EFEITO!$N$377*EFEITO!$AA$377</f>
        <v>0</v>
      </c>
      <c r="M377" s="76">
        <f ca="1">$J$377-EFEITO!$K$377*EFEITO!$Y$377</f>
        <v>96304.613414413499</v>
      </c>
      <c r="N377" s="76">
        <f>$K$377-EFEITO!$M$377*EFEITO!$Z$377</f>
        <v>0</v>
      </c>
      <c r="O377" s="76">
        <f>$L$377-EFEITO!$O$377*EFEITO!$AA$377</f>
        <v>0</v>
      </c>
      <c r="P377" s="57"/>
      <c r="Q377" s="57"/>
      <c r="R377" s="57"/>
      <c r="S377" s="57"/>
      <c r="T377" s="57"/>
      <c r="U377" s="57"/>
      <c r="V377" s="57"/>
      <c r="W377" s="57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1.25" customHeight="1" x14ac:dyDescent="0.2">
      <c r="A378" s="53" t="s">
        <v>21</v>
      </c>
      <c r="B378" s="53" t="s">
        <v>41</v>
      </c>
      <c r="C378" s="53" t="s">
        <v>64</v>
      </c>
      <c r="D378" s="53" t="s">
        <v>25</v>
      </c>
      <c r="E378" s="53" t="s">
        <v>25</v>
      </c>
      <c r="F378" s="53" t="s">
        <v>65</v>
      </c>
      <c r="G378" s="53" t="s">
        <v>71</v>
      </c>
      <c r="H378" s="53" t="s">
        <v>25</v>
      </c>
      <c r="I378" s="75">
        <v>44621</v>
      </c>
      <c r="J378" s="76">
        <f ca="1">EFEITO!$J$378*EFEITO!$Y$378</f>
        <v>517592.81646980724</v>
      </c>
      <c r="K378" s="76">
        <f>EFEITO!$L$378*EFEITO!$Z$378</f>
        <v>0</v>
      </c>
      <c r="L378" s="76">
        <f>EFEITO!$N$378*EFEITO!$AA$378</f>
        <v>0</v>
      </c>
      <c r="M378" s="76">
        <f ca="1">$J$378-EFEITO!$K$378*EFEITO!$Y$378</f>
        <v>258796.40823490362</v>
      </c>
      <c r="N378" s="76">
        <f>$K$378-EFEITO!$M$378*EFEITO!$Z$378</f>
        <v>0</v>
      </c>
      <c r="O378" s="76">
        <f>$L$378-EFEITO!$O$378*EFEITO!$AA$378</f>
        <v>0</v>
      </c>
      <c r="P378" s="57"/>
      <c r="Q378" s="57"/>
      <c r="R378" s="57"/>
      <c r="S378" s="57"/>
      <c r="T378" s="57"/>
      <c r="U378" s="57"/>
      <c r="V378" s="57"/>
      <c r="W378" s="57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1.25" customHeight="1" x14ac:dyDescent="0.2">
      <c r="A379" s="53" t="s">
        <v>21</v>
      </c>
      <c r="B379" s="53" t="s">
        <v>41</v>
      </c>
      <c r="C379" s="53" t="s">
        <v>64</v>
      </c>
      <c r="D379" s="53" t="s">
        <v>25</v>
      </c>
      <c r="E379" s="53" t="s">
        <v>25</v>
      </c>
      <c r="F379" s="53" t="s">
        <v>65</v>
      </c>
      <c r="G379" s="53" t="s">
        <v>73</v>
      </c>
      <c r="H379" s="53" t="s">
        <v>25</v>
      </c>
      <c r="I379" s="75">
        <v>44621</v>
      </c>
      <c r="J379" s="76">
        <f ca="1">EFEITO!$J$379*EFEITO!$Y$379</f>
        <v>284676.04905839398</v>
      </c>
      <c r="K379" s="76">
        <f>EFEITO!$L$379*EFEITO!$Z$379</f>
        <v>0</v>
      </c>
      <c r="L379" s="76">
        <f>EFEITO!$N$379*EFEITO!$AA$379</f>
        <v>0</v>
      </c>
      <c r="M379" s="76">
        <f ca="1">$J$379-EFEITO!$K$379*EFEITO!$Y$379</f>
        <v>142338.02452919699</v>
      </c>
      <c r="N379" s="76">
        <f>$K$379-EFEITO!$M$379*EFEITO!$Z$379</f>
        <v>0</v>
      </c>
      <c r="O379" s="76">
        <f>$L$379-EFEITO!$O$379*EFEITO!$AA$379</f>
        <v>0</v>
      </c>
      <c r="P379" s="57"/>
      <c r="Q379" s="57"/>
      <c r="R379" s="57"/>
      <c r="S379" s="57"/>
      <c r="T379" s="57"/>
      <c r="U379" s="57"/>
      <c r="V379" s="57"/>
      <c r="W379" s="57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1.25" customHeight="1" x14ac:dyDescent="0.2">
      <c r="A380" s="53" t="s">
        <v>56</v>
      </c>
      <c r="B380" s="53" t="s">
        <v>41</v>
      </c>
      <c r="C380" s="53" t="s">
        <v>64</v>
      </c>
      <c r="D380" s="53" t="s">
        <v>25</v>
      </c>
      <c r="E380" s="53" t="s">
        <v>25</v>
      </c>
      <c r="F380" s="53" t="s">
        <v>65</v>
      </c>
      <c r="G380" s="53" t="s">
        <v>66</v>
      </c>
      <c r="H380" s="53" t="s">
        <v>25</v>
      </c>
      <c r="I380" s="75">
        <v>44652</v>
      </c>
      <c r="J380" s="76">
        <f ca="1">EFEITO!$J$380*EFEITO!$Y$380</f>
        <v>19513.249180911735</v>
      </c>
      <c r="K380" s="76">
        <f>EFEITO!$L$380*EFEITO!$Z$380</f>
        <v>0</v>
      </c>
      <c r="L380" s="76">
        <f>EFEITO!$N$380*EFEITO!$AA$380</f>
        <v>0</v>
      </c>
      <c r="M380" s="76">
        <f ca="1">$J$380-EFEITO!$K$380*EFEITO!$Y$380</f>
        <v>9756.6245904558673</v>
      </c>
      <c r="N380" s="76">
        <f>$K$380-EFEITO!$M$380*EFEITO!$Z$380</f>
        <v>0</v>
      </c>
      <c r="O380" s="76">
        <f>$L$380-EFEITO!$O$380*EFEITO!$AA$380</f>
        <v>0</v>
      </c>
      <c r="P380" s="57"/>
      <c r="Q380" s="57"/>
      <c r="R380" s="57"/>
      <c r="S380" s="57"/>
      <c r="T380" s="57"/>
      <c r="U380" s="57"/>
      <c r="V380" s="57"/>
      <c r="W380" s="57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1.25" customHeight="1" x14ac:dyDescent="0.2">
      <c r="A381" s="53" t="s">
        <v>56</v>
      </c>
      <c r="B381" s="53" t="s">
        <v>41</v>
      </c>
      <c r="C381" s="53" t="s">
        <v>64</v>
      </c>
      <c r="D381" s="53" t="s">
        <v>25</v>
      </c>
      <c r="E381" s="53" t="s">
        <v>25</v>
      </c>
      <c r="F381" s="53" t="s">
        <v>65</v>
      </c>
      <c r="G381" s="53" t="s">
        <v>70</v>
      </c>
      <c r="H381" s="53" t="s">
        <v>25</v>
      </c>
      <c r="I381" s="75">
        <v>44652</v>
      </c>
      <c r="J381" s="76">
        <f ca="1">EFEITO!$J$381*EFEITO!$Y$381</f>
        <v>205449.84195074881</v>
      </c>
      <c r="K381" s="76">
        <f>EFEITO!$L$381*EFEITO!$Z$381</f>
        <v>0</v>
      </c>
      <c r="L381" s="76">
        <f>EFEITO!$N$381*EFEITO!$AA$381</f>
        <v>0</v>
      </c>
      <c r="M381" s="76">
        <f ca="1">$J$381-EFEITO!$K$381*EFEITO!$Y$381</f>
        <v>96304.613414413499</v>
      </c>
      <c r="N381" s="76">
        <f>$K$381-EFEITO!$M$381*EFEITO!$Z$381</f>
        <v>0</v>
      </c>
      <c r="O381" s="76">
        <f>$L$381-EFEITO!$O$381*EFEITO!$AA$381</f>
        <v>0</v>
      </c>
      <c r="P381" s="57"/>
      <c r="Q381" s="57"/>
      <c r="R381" s="57"/>
      <c r="S381" s="57"/>
      <c r="T381" s="57"/>
      <c r="U381" s="57"/>
      <c r="V381" s="57"/>
      <c r="W381" s="57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1.25" customHeight="1" x14ac:dyDescent="0.2">
      <c r="A382" s="53" t="s">
        <v>56</v>
      </c>
      <c r="B382" s="53" t="s">
        <v>41</v>
      </c>
      <c r="C382" s="53" t="s">
        <v>64</v>
      </c>
      <c r="D382" s="53" t="s">
        <v>25</v>
      </c>
      <c r="E382" s="53" t="s">
        <v>25</v>
      </c>
      <c r="F382" s="53" t="s">
        <v>65</v>
      </c>
      <c r="G382" s="53" t="s">
        <v>71</v>
      </c>
      <c r="H382" s="53" t="s">
        <v>25</v>
      </c>
      <c r="I382" s="75">
        <v>44652</v>
      </c>
      <c r="J382" s="76">
        <f ca="1">EFEITO!$J$382*EFEITO!$Y$382</f>
        <v>517592.81646980724</v>
      </c>
      <c r="K382" s="76">
        <f>EFEITO!$L$382*EFEITO!$Z$382</f>
        <v>0</v>
      </c>
      <c r="L382" s="76">
        <f>EFEITO!$N$382*EFEITO!$AA$382</f>
        <v>0</v>
      </c>
      <c r="M382" s="76">
        <f ca="1">$J$382-EFEITO!$K$382*EFEITO!$Y$382</f>
        <v>258796.40823490362</v>
      </c>
      <c r="N382" s="76">
        <f>$K$382-EFEITO!$M$382*EFEITO!$Z$382</f>
        <v>0</v>
      </c>
      <c r="O382" s="76">
        <f>$L$382-EFEITO!$O$382*EFEITO!$AA$382</f>
        <v>0</v>
      </c>
      <c r="P382" s="57"/>
      <c r="Q382" s="57"/>
      <c r="R382" s="57"/>
      <c r="S382" s="57"/>
      <c r="T382" s="57"/>
      <c r="U382" s="57"/>
      <c r="V382" s="57"/>
      <c r="W382" s="57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1.25" customHeight="1" x14ac:dyDescent="0.2">
      <c r="A383" s="53" t="s">
        <v>56</v>
      </c>
      <c r="B383" s="53" t="s">
        <v>41</v>
      </c>
      <c r="C383" s="53" t="s">
        <v>64</v>
      </c>
      <c r="D383" s="53" t="s">
        <v>25</v>
      </c>
      <c r="E383" s="53" t="s">
        <v>25</v>
      </c>
      <c r="F383" s="53" t="s">
        <v>65</v>
      </c>
      <c r="G383" s="53" t="s">
        <v>73</v>
      </c>
      <c r="H383" s="53" t="s">
        <v>25</v>
      </c>
      <c r="I383" s="75">
        <v>44652</v>
      </c>
      <c r="J383" s="76">
        <f ca="1">EFEITO!$J$383*EFEITO!$Y$383</f>
        <v>284676.04905839398</v>
      </c>
      <c r="K383" s="76">
        <f>EFEITO!$L$383*EFEITO!$Z$383</f>
        <v>0</v>
      </c>
      <c r="L383" s="76">
        <f>EFEITO!$N$383*EFEITO!$AA$383</f>
        <v>0</v>
      </c>
      <c r="M383" s="76">
        <f ca="1">$J$383-EFEITO!$K$383*EFEITO!$Y$383</f>
        <v>142338.02452919699</v>
      </c>
      <c r="N383" s="76">
        <f>$K$383-EFEITO!$M$383*EFEITO!$Z$383</f>
        <v>0</v>
      </c>
      <c r="O383" s="76">
        <f>$L$383-EFEITO!$O$383*EFEITO!$AA$383</f>
        <v>0</v>
      </c>
      <c r="P383" s="57"/>
      <c r="Q383" s="57"/>
      <c r="R383" s="57"/>
      <c r="S383" s="57"/>
      <c r="T383" s="57"/>
      <c r="U383" s="57"/>
      <c r="V383" s="57"/>
      <c r="W383" s="57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1.25" customHeight="1" x14ac:dyDescent="0.2">
      <c r="A384" s="53" t="s">
        <v>21</v>
      </c>
      <c r="B384" s="53" t="s">
        <v>41</v>
      </c>
      <c r="C384" s="53" t="s">
        <v>64</v>
      </c>
      <c r="D384" s="53" t="s">
        <v>25</v>
      </c>
      <c r="E384" s="53" t="s">
        <v>25</v>
      </c>
      <c r="F384" s="53" t="s">
        <v>25</v>
      </c>
      <c r="G384" s="53" t="s">
        <v>69</v>
      </c>
      <c r="H384" s="53" t="s">
        <v>25</v>
      </c>
      <c r="I384" s="75">
        <v>44317</v>
      </c>
      <c r="J384" s="76">
        <f ca="1">EFEITO!$J$384*EFEITO!$Y$384</f>
        <v>224290.2204702498</v>
      </c>
      <c r="K384" s="76">
        <f>EFEITO!$L$384*EFEITO!$Z$384</f>
        <v>0</v>
      </c>
      <c r="L384" s="76">
        <f>EFEITO!$N$384*EFEITO!$AA$384</f>
        <v>0</v>
      </c>
      <c r="M384" s="76">
        <f ca="1">$J$384-EFEITO!$K$384*EFEITO!$Y$384</f>
        <v>112145.1102351249</v>
      </c>
      <c r="N384" s="76">
        <f>$K$384-EFEITO!$M$384*EFEITO!$Z$384</f>
        <v>0</v>
      </c>
      <c r="O384" s="76">
        <f>$L$384-EFEITO!$O$384*EFEITO!$AA$384</f>
        <v>0</v>
      </c>
      <c r="P384" s="57"/>
      <c r="Q384" s="57"/>
      <c r="R384" s="57"/>
      <c r="S384" s="57"/>
      <c r="T384" s="57"/>
      <c r="U384" s="57"/>
      <c r="V384" s="57"/>
      <c r="W384" s="57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1.25" customHeight="1" x14ac:dyDescent="0.2">
      <c r="A385" s="53" t="s">
        <v>21</v>
      </c>
      <c r="B385" s="53" t="s">
        <v>41</v>
      </c>
      <c r="C385" s="53" t="s">
        <v>64</v>
      </c>
      <c r="D385" s="53" t="s">
        <v>25</v>
      </c>
      <c r="E385" s="53" t="s">
        <v>25</v>
      </c>
      <c r="F385" s="53" t="s">
        <v>25</v>
      </c>
      <c r="G385" s="53" t="s">
        <v>69</v>
      </c>
      <c r="H385" s="53" t="s">
        <v>25</v>
      </c>
      <c r="I385" s="75">
        <v>44348</v>
      </c>
      <c r="J385" s="76">
        <f ca="1">EFEITO!$J$385*EFEITO!$Y$385</f>
        <v>224290.2204702498</v>
      </c>
      <c r="K385" s="76">
        <f>EFEITO!$L$385*EFEITO!$Z$385</f>
        <v>0</v>
      </c>
      <c r="L385" s="76">
        <f>EFEITO!$N$385*EFEITO!$AA$385</f>
        <v>0</v>
      </c>
      <c r="M385" s="76">
        <f ca="1">$J$385-EFEITO!$K$385*EFEITO!$Y$385</f>
        <v>112145.1102351249</v>
      </c>
      <c r="N385" s="76">
        <f>$K$385-EFEITO!$M$385*EFEITO!$Z$385</f>
        <v>0</v>
      </c>
      <c r="O385" s="76">
        <f>$L$385-EFEITO!$O$385*EFEITO!$AA$385</f>
        <v>0</v>
      </c>
      <c r="P385" s="57"/>
      <c r="Q385" s="57"/>
      <c r="R385" s="57"/>
      <c r="S385" s="57"/>
      <c r="T385" s="57"/>
      <c r="U385" s="57"/>
      <c r="V385" s="57"/>
      <c r="W385" s="57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1.25" customHeight="1" x14ac:dyDescent="0.2">
      <c r="A386" s="53" t="s">
        <v>21</v>
      </c>
      <c r="B386" s="53" t="s">
        <v>41</v>
      </c>
      <c r="C386" s="53" t="s">
        <v>64</v>
      </c>
      <c r="D386" s="53" t="s">
        <v>25</v>
      </c>
      <c r="E386" s="53" t="s">
        <v>25</v>
      </c>
      <c r="F386" s="53" t="s">
        <v>25</v>
      </c>
      <c r="G386" s="53" t="s">
        <v>69</v>
      </c>
      <c r="H386" s="53" t="s">
        <v>25</v>
      </c>
      <c r="I386" s="75">
        <v>44378</v>
      </c>
      <c r="J386" s="76">
        <f ca="1">EFEITO!$J$386*EFEITO!$Y$386</f>
        <v>224290.2204702498</v>
      </c>
      <c r="K386" s="76">
        <f>EFEITO!$L$386*EFEITO!$Z$386</f>
        <v>0</v>
      </c>
      <c r="L386" s="76">
        <f>EFEITO!$N$386*EFEITO!$AA$386</f>
        <v>0</v>
      </c>
      <c r="M386" s="76">
        <f ca="1">$J$386-EFEITO!$K$386*EFEITO!$Y$386</f>
        <v>112145.1102351249</v>
      </c>
      <c r="N386" s="76">
        <f>$K$386-EFEITO!$M$386*EFEITO!$Z$386</f>
        <v>0</v>
      </c>
      <c r="O386" s="76">
        <f>$L$386-EFEITO!$O$386*EFEITO!$AA$386</f>
        <v>0</v>
      </c>
      <c r="P386" s="57"/>
      <c r="Q386" s="57"/>
      <c r="R386" s="57"/>
      <c r="S386" s="57"/>
      <c r="T386" s="57"/>
      <c r="U386" s="57"/>
      <c r="V386" s="57"/>
      <c r="W386" s="57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1.25" customHeight="1" x14ac:dyDescent="0.2">
      <c r="A387" s="53" t="s">
        <v>21</v>
      </c>
      <c r="B387" s="53" t="s">
        <v>41</v>
      </c>
      <c r="C387" s="53" t="s">
        <v>64</v>
      </c>
      <c r="D387" s="53" t="s">
        <v>25</v>
      </c>
      <c r="E387" s="53" t="s">
        <v>25</v>
      </c>
      <c r="F387" s="53" t="s">
        <v>25</v>
      </c>
      <c r="G387" s="53" t="s">
        <v>69</v>
      </c>
      <c r="H387" s="53" t="s">
        <v>25</v>
      </c>
      <c r="I387" s="75">
        <v>44409</v>
      </c>
      <c r="J387" s="76">
        <f ca="1">EFEITO!$J$387*EFEITO!$Y$387</f>
        <v>189784.03270559598</v>
      </c>
      <c r="K387" s="76">
        <f>EFEITO!$L$387*EFEITO!$Z$387</f>
        <v>0</v>
      </c>
      <c r="L387" s="76">
        <f>EFEITO!$N$387*EFEITO!$AA$387</f>
        <v>0</v>
      </c>
      <c r="M387" s="76">
        <f ca="1">$J$387-EFEITO!$K$387*EFEITO!$Y$387</f>
        <v>94892.016352797989</v>
      </c>
      <c r="N387" s="76">
        <f>$K$387-EFEITO!$M$387*EFEITO!$Z$387</f>
        <v>0</v>
      </c>
      <c r="O387" s="76">
        <f>$L$387-EFEITO!$O$387*EFEITO!$AA$387</f>
        <v>0</v>
      </c>
      <c r="P387" s="57"/>
      <c r="Q387" s="57"/>
      <c r="R387" s="57"/>
      <c r="S387" s="57"/>
      <c r="T387" s="57"/>
      <c r="U387" s="57"/>
      <c r="V387" s="57"/>
      <c r="W387" s="57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1.25" customHeight="1" x14ac:dyDescent="0.2">
      <c r="A388" s="53" t="s">
        <v>21</v>
      </c>
      <c r="B388" s="53" t="s">
        <v>41</v>
      </c>
      <c r="C388" s="53" t="s">
        <v>64</v>
      </c>
      <c r="D388" s="53" t="s">
        <v>25</v>
      </c>
      <c r="E388" s="53" t="s">
        <v>25</v>
      </c>
      <c r="F388" s="53" t="s">
        <v>25</v>
      </c>
      <c r="G388" s="53" t="s">
        <v>69</v>
      </c>
      <c r="H388" s="53" t="s">
        <v>25</v>
      </c>
      <c r="I388" s="75">
        <v>44440</v>
      </c>
      <c r="J388" s="76">
        <f ca="1">EFEITO!$J$388*EFEITO!$Y$388</f>
        <v>189784.03270559598</v>
      </c>
      <c r="K388" s="76">
        <f>EFEITO!$L$388*EFEITO!$Z$388</f>
        <v>0</v>
      </c>
      <c r="L388" s="76">
        <f>EFEITO!$N$388*EFEITO!$AA$388</f>
        <v>0</v>
      </c>
      <c r="M388" s="76">
        <f ca="1">$J$388-EFEITO!$K$388*EFEITO!$Y$388</f>
        <v>94892.016352797989</v>
      </c>
      <c r="N388" s="76">
        <f>$K$388-EFEITO!$M$388*EFEITO!$Z$388</f>
        <v>0</v>
      </c>
      <c r="O388" s="76">
        <f>$L$388-EFEITO!$O$388*EFEITO!$AA$388</f>
        <v>0</v>
      </c>
      <c r="P388" s="57"/>
      <c r="Q388" s="57"/>
      <c r="R388" s="57"/>
      <c r="S388" s="57"/>
      <c r="T388" s="57"/>
      <c r="U388" s="57"/>
      <c r="V388" s="57"/>
      <c r="W388" s="57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1.25" customHeight="1" x14ac:dyDescent="0.2">
      <c r="A389" s="53" t="s">
        <v>21</v>
      </c>
      <c r="B389" s="53" t="s">
        <v>41</v>
      </c>
      <c r="C389" s="53" t="s">
        <v>64</v>
      </c>
      <c r="D389" s="53" t="s">
        <v>25</v>
      </c>
      <c r="E389" s="53" t="s">
        <v>25</v>
      </c>
      <c r="F389" s="53" t="s">
        <v>25</v>
      </c>
      <c r="G389" s="53" t="s">
        <v>69</v>
      </c>
      <c r="H389" s="53" t="s">
        <v>25</v>
      </c>
      <c r="I389" s="75">
        <v>44470</v>
      </c>
      <c r="J389" s="76">
        <f ca="1">EFEITO!$J$389*EFEITO!$Y$389</f>
        <v>189784.03270559598</v>
      </c>
      <c r="K389" s="76">
        <f>EFEITO!$L$389*EFEITO!$Z$389</f>
        <v>0</v>
      </c>
      <c r="L389" s="76">
        <f>EFEITO!$N$389*EFEITO!$AA$389</f>
        <v>0</v>
      </c>
      <c r="M389" s="76">
        <f ca="1">$J$389-EFEITO!$K$389*EFEITO!$Y$389</f>
        <v>94892.016352797989</v>
      </c>
      <c r="N389" s="76">
        <f>$K$389-EFEITO!$M$389*EFEITO!$Z$389</f>
        <v>0</v>
      </c>
      <c r="O389" s="76">
        <f>$L$389-EFEITO!$O$389*EFEITO!$AA$389</f>
        <v>0</v>
      </c>
      <c r="P389" s="57"/>
      <c r="Q389" s="57"/>
      <c r="R389" s="57"/>
      <c r="S389" s="57"/>
      <c r="T389" s="57"/>
      <c r="U389" s="57"/>
      <c r="V389" s="57"/>
      <c r="W389" s="57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1.25" customHeight="1" x14ac:dyDescent="0.2">
      <c r="A390" s="53" t="s">
        <v>21</v>
      </c>
      <c r="B390" s="53" t="s">
        <v>41</v>
      </c>
      <c r="C390" s="53" t="s">
        <v>64</v>
      </c>
      <c r="D390" s="53" t="s">
        <v>25</v>
      </c>
      <c r="E390" s="53" t="s">
        <v>25</v>
      </c>
      <c r="F390" s="53" t="s">
        <v>25</v>
      </c>
      <c r="G390" s="53" t="s">
        <v>69</v>
      </c>
      <c r="H390" s="53" t="s">
        <v>25</v>
      </c>
      <c r="I390" s="75">
        <v>44501</v>
      </c>
      <c r="J390" s="76">
        <f ca="1">EFEITO!$J$390*EFEITO!$Y$390</f>
        <v>189784.03270559598</v>
      </c>
      <c r="K390" s="76">
        <f>EFEITO!$L$390*EFEITO!$Z$390</f>
        <v>0</v>
      </c>
      <c r="L390" s="76">
        <f>EFEITO!$N$390*EFEITO!$AA$390</f>
        <v>0</v>
      </c>
      <c r="M390" s="76">
        <f ca="1">$J$390-EFEITO!$K$390*EFEITO!$Y$390</f>
        <v>94892.016352797989</v>
      </c>
      <c r="N390" s="76">
        <f>$K$390-EFEITO!$M$390*EFEITO!$Z$390</f>
        <v>0</v>
      </c>
      <c r="O390" s="76">
        <f>$L$390-EFEITO!$O$390*EFEITO!$AA$390</f>
        <v>0</v>
      </c>
      <c r="P390" s="57"/>
      <c r="Q390" s="57"/>
      <c r="R390" s="57"/>
      <c r="S390" s="57"/>
      <c r="T390" s="57"/>
      <c r="U390" s="57"/>
      <c r="V390" s="57"/>
      <c r="W390" s="57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1.25" customHeight="1" x14ac:dyDescent="0.2">
      <c r="A391" s="53" t="s">
        <v>21</v>
      </c>
      <c r="B391" s="53" t="s">
        <v>41</v>
      </c>
      <c r="C391" s="53" t="s">
        <v>64</v>
      </c>
      <c r="D391" s="53" t="s">
        <v>25</v>
      </c>
      <c r="E391" s="53" t="s">
        <v>25</v>
      </c>
      <c r="F391" s="53" t="s">
        <v>25</v>
      </c>
      <c r="G391" s="53" t="s">
        <v>69</v>
      </c>
      <c r="H391" s="53" t="s">
        <v>25</v>
      </c>
      <c r="I391" s="75">
        <v>44531</v>
      </c>
      <c r="J391" s="76">
        <f ca="1">EFEITO!$J$391*EFEITO!$Y$391</f>
        <v>189784.03270559598</v>
      </c>
      <c r="K391" s="76">
        <f>EFEITO!$L$391*EFEITO!$Z$391</f>
        <v>0</v>
      </c>
      <c r="L391" s="76">
        <f>EFEITO!$N$391*EFEITO!$AA$391</f>
        <v>0</v>
      </c>
      <c r="M391" s="76">
        <f ca="1">$J$391-EFEITO!$K$391*EFEITO!$Y$391</f>
        <v>94892.016352797989</v>
      </c>
      <c r="N391" s="76">
        <f>$K$391-EFEITO!$M$391*EFEITO!$Z$391</f>
        <v>0</v>
      </c>
      <c r="O391" s="76">
        <f>$L$391-EFEITO!$O$391*EFEITO!$AA$391</f>
        <v>0</v>
      </c>
      <c r="P391" s="57"/>
      <c r="Q391" s="57"/>
      <c r="R391" s="57"/>
      <c r="S391" s="57"/>
      <c r="T391" s="57"/>
      <c r="U391" s="57"/>
      <c r="V391" s="57"/>
      <c r="W391" s="57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1.25" customHeight="1" x14ac:dyDescent="0.2">
      <c r="A392" s="53" t="s">
        <v>21</v>
      </c>
      <c r="B392" s="53" t="s">
        <v>41</v>
      </c>
      <c r="C392" s="53" t="s">
        <v>64</v>
      </c>
      <c r="D392" s="53" t="s">
        <v>25</v>
      </c>
      <c r="E392" s="53" t="s">
        <v>25</v>
      </c>
      <c r="F392" s="53" t="s">
        <v>25</v>
      </c>
      <c r="G392" s="53" t="s">
        <v>69</v>
      </c>
      <c r="H392" s="53" t="s">
        <v>25</v>
      </c>
      <c r="I392" s="75">
        <v>44562</v>
      </c>
      <c r="J392" s="76">
        <f ca="1">EFEITO!$J$392*EFEITO!$Y$392</f>
        <v>189784.03270559598</v>
      </c>
      <c r="K392" s="76">
        <f>EFEITO!$L$392*EFEITO!$Z$392</f>
        <v>0</v>
      </c>
      <c r="L392" s="76">
        <f>EFEITO!$N$392*EFEITO!$AA$392</f>
        <v>0</v>
      </c>
      <c r="M392" s="76">
        <f ca="1">$J$392-EFEITO!$K$392*EFEITO!$Y$392</f>
        <v>94892.016352797989</v>
      </c>
      <c r="N392" s="76">
        <f>$K$392-EFEITO!$M$392*EFEITO!$Z$392</f>
        <v>0</v>
      </c>
      <c r="O392" s="76">
        <f>$L$392-EFEITO!$O$392*EFEITO!$AA$392</f>
        <v>0</v>
      </c>
      <c r="P392" s="57"/>
      <c r="Q392" s="57"/>
      <c r="R392" s="57"/>
      <c r="S392" s="57"/>
      <c r="T392" s="57"/>
      <c r="U392" s="57"/>
      <c r="V392" s="57"/>
      <c r="W392" s="57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1.25" customHeight="1" x14ac:dyDescent="0.2">
      <c r="A393" s="53" t="s">
        <v>21</v>
      </c>
      <c r="B393" s="53" t="s">
        <v>41</v>
      </c>
      <c r="C393" s="53" t="s">
        <v>64</v>
      </c>
      <c r="D393" s="53" t="s">
        <v>25</v>
      </c>
      <c r="E393" s="53" t="s">
        <v>25</v>
      </c>
      <c r="F393" s="53" t="s">
        <v>25</v>
      </c>
      <c r="G393" s="53" t="s">
        <v>69</v>
      </c>
      <c r="H393" s="53" t="s">
        <v>25</v>
      </c>
      <c r="I393" s="75">
        <v>44593</v>
      </c>
      <c r="J393" s="76">
        <f ca="1">EFEITO!$J$393*EFEITO!$Y$393</f>
        <v>189784.03270559598</v>
      </c>
      <c r="K393" s="76">
        <f>EFEITO!$L$393*EFEITO!$Z$393</f>
        <v>0</v>
      </c>
      <c r="L393" s="76">
        <f>EFEITO!$N$393*EFEITO!$AA$393</f>
        <v>0</v>
      </c>
      <c r="M393" s="76">
        <f ca="1">$J$393-EFEITO!$K$393*EFEITO!$Y$393</f>
        <v>94892.016352797989</v>
      </c>
      <c r="N393" s="76">
        <f>$K$393-EFEITO!$M$393*EFEITO!$Z$393</f>
        <v>0</v>
      </c>
      <c r="O393" s="76">
        <f>$L$393-EFEITO!$O$393*EFEITO!$AA$393</f>
        <v>0</v>
      </c>
      <c r="P393" s="57"/>
      <c r="Q393" s="57"/>
      <c r="R393" s="57"/>
      <c r="S393" s="57"/>
      <c r="T393" s="57"/>
      <c r="U393" s="57"/>
      <c r="V393" s="57"/>
      <c r="W393" s="57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1.25" customHeight="1" x14ac:dyDescent="0.2">
      <c r="A394" s="53" t="s">
        <v>21</v>
      </c>
      <c r="B394" s="53" t="s">
        <v>41</v>
      </c>
      <c r="C394" s="53" t="s">
        <v>64</v>
      </c>
      <c r="D394" s="53" t="s">
        <v>25</v>
      </c>
      <c r="E394" s="53" t="s">
        <v>25</v>
      </c>
      <c r="F394" s="53" t="s">
        <v>25</v>
      </c>
      <c r="G394" s="53" t="s">
        <v>69</v>
      </c>
      <c r="H394" s="53" t="s">
        <v>25</v>
      </c>
      <c r="I394" s="75">
        <v>44621</v>
      </c>
      <c r="J394" s="76">
        <f ca="1">EFEITO!$J$394*EFEITO!$Y$394</f>
        <v>189784.03270559598</v>
      </c>
      <c r="K394" s="76">
        <f>EFEITO!$L$394*EFEITO!$Z$394</f>
        <v>0</v>
      </c>
      <c r="L394" s="76">
        <f>EFEITO!$N$394*EFEITO!$AA$394</f>
        <v>0</v>
      </c>
      <c r="M394" s="76">
        <f ca="1">$J$394-EFEITO!$K$394*EFEITO!$Y$394</f>
        <v>94892.016352797989</v>
      </c>
      <c r="N394" s="76">
        <f>$K$394-EFEITO!$M$394*EFEITO!$Z$394</f>
        <v>0</v>
      </c>
      <c r="O394" s="76">
        <f>$L$394-EFEITO!$O$394*EFEITO!$AA$394</f>
        <v>0</v>
      </c>
      <c r="P394" s="57"/>
      <c r="Q394" s="57"/>
      <c r="R394" s="57"/>
      <c r="S394" s="57"/>
      <c r="T394" s="57"/>
      <c r="U394" s="57"/>
      <c r="V394" s="57"/>
      <c r="W394" s="57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1.25" customHeight="1" x14ac:dyDescent="0.2">
      <c r="A395" s="53" t="s">
        <v>56</v>
      </c>
      <c r="B395" s="53" t="s">
        <v>41</v>
      </c>
      <c r="C395" s="53" t="s">
        <v>64</v>
      </c>
      <c r="D395" s="53" t="s">
        <v>25</v>
      </c>
      <c r="E395" s="53" t="s">
        <v>25</v>
      </c>
      <c r="F395" s="53" t="s">
        <v>25</v>
      </c>
      <c r="G395" s="53" t="s">
        <v>69</v>
      </c>
      <c r="H395" s="53" t="s">
        <v>25</v>
      </c>
      <c r="I395" s="75">
        <v>44652</v>
      </c>
      <c r="J395" s="76">
        <f ca="1">EFEITO!$J$395*EFEITO!$Y$395</f>
        <v>189784.03270559598</v>
      </c>
      <c r="K395" s="76">
        <f>EFEITO!$L$395*EFEITO!$Z$395</f>
        <v>0</v>
      </c>
      <c r="L395" s="76">
        <f>EFEITO!$N$395*EFEITO!$AA$395</f>
        <v>0</v>
      </c>
      <c r="M395" s="76">
        <f ca="1">$J$395-EFEITO!$K$395*EFEITO!$Y$395</f>
        <v>94892.016352797989</v>
      </c>
      <c r="N395" s="76">
        <f>$K$395-EFEITO!$M$395*EFEITO!$Z$395</f>
        <v>0</v>
      </c>
      <c r="O395" s="76">
        <f>$L$395-EFEITO!$O$395*EFEITO!$AA$395</f>
        <v>0</v>
      </c>
      <c r="P395" s="57"/>
      <c r="Q395" s="57"/>
      <c r="R395" s="57"/>
      <c r="S395" s="57"/>
      <c r="T395" s="57"/>
      <c r="U395" s="57"/>
      <c r="V395" s="57"/>
      <c r="W395" s="57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1.25" customHeight="1" x14ac:dyDescent="0.2">
      <c r="A396" s="53" t="s">
        <v>21</v>
      </c>
      <c r="B396" s="53" t="s">
        <v>33</v>
      </c>
      <c r="C396" s="53" t="s">
        <v>42</v>
      </c>
      <c r="D396" s="53" t="s">
        <v>43</v>
      </c>
      <c r="E396" s="53" t="s">
        <v>25</v>
      </c>
      <c r="F396" s="53" t="s">
        <v>25</v>
      </c>
      <c r="G396" s="53" t="s">
        <v>25</v>
      </c>
      <c r="H396" s="53" t="s">
        <v>36</v>
      </c>
      <c r="I396" s="75">
        <v>44317</v>
      </c>
      <c r="J396" s="76">
        <f ca="1">EFEITO!$J$396*EFEITO!$Y$396</f>
        <v>222024.58939149827</v>
      </c>
      <c r="K396" s="76">
        <f ca="1">EFEITO!$L$396*EFEITO!$Z$396</f>
        <v>273697.15358666715</v>
      </c>
      <c r="L396" s="76">
        <f>EFEITO!$N$396*EFEITO!$AA$396</f>
        <v>631084.95473764744</v>
      </c>
      <c r="M396" s="76">
        <f ca="1">$J$396-EFEITO!$K$396*EFEITO!$Y$396</f>
        <v>0</v>
      </c>
      <c r="N396" s="76">
        <f ca="1">$K$396-EFEITO!$M$396*EFEITO!$Z$396</f>
        <v>0</v>
      </c>
      <c r="O396" s="76">
        <f>$L$396-EFEITO!$O$396*EFEITO!$AA$396</f>
        <v>0</v>
      </c>
      <c r="P396" s="57"/>
      <c r="Q396" s="57"/>
      <c r="R396" s="57"/>
      <c r="S396" s="57"/>
      <c r="T396" s="57"/>
      <c r="U396" s="57"/>
      <c r="V396" s="57"/>
      <c r="W396" s="57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1.25" customHeight="1" x14ac:dyDescent="0.2">
      <c r="A397" s="53" t="s">
        <v>27</v>
      </c>
      <c r="B397" s="53" t="s">
        <v>33</v>
      </c>
      <c r="C397" s="53" t="s">
        <v>42</v>
      </c>
      <c r="D397" s="53" t="s">
        <v>43</v>
      </c>
      <c r="E397" s="53" t="s">
        <v>25</v>
      </c>
      <c r="F397" s="53" t="s">
        <v>25</v>
      </c>
      <c r="G397" s="53" t="s">
        <v>25</v>
      </c>
      <c r="H397" s="53" t="s">
        <v>36</v>
      </c>
      <c r="I397" s="75">
        <v>44317</v>
      </c>
      <c r="J397" s="76">
        <f ca="1">EFEITO!$J$397*EFEITO!$Y$397</f>
        <v>-1307.4781375277121</v>
      </c>
      <c r="K397" s="76">
        <f ca="1">EFEITO!$L$397*EFEITO!$Z$397</f>
        <v>-1126.7583541998326</v>
      </c>
      <c r="L397" s="76">
        <f>EFEITO!$N$397*EFEITO!$AA$397</f>
        <v>-2598.0549510366077</v>
      </c>
      <c r="M397" s="76">
        <f ca="1">$J$397-EFEITO!$K$397*EFEITO!$Y$397</f>
        <v>0</v>
      </c>
      <c r="N397" s="76">
        <f ca="1">$K$397-EFEITO!$M$397*EFEITO!$Z$397</f>
        <v>0</v>
      </c>
      <c r="O397" s="76">
        <f>$L$397-EFEITO!$O$397*EFEITO!$AA$397</f>
        <v>0</v>
      </c>
      <c r="P397" s="57"/>
      <c r="Q397" s="57"/>
      <c r="R397" s="57"/>
      <c r="S397" s="57"/>
      <c r="T397" s="57"/>
      <c r="U397" s="57"/>
      <c r="V397" s="57"/>
      <c r="W397" s="57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1.25" customHeight="1" x14ac:dyDescent="0.2">
      <c r="A398" s="53" t="s">
        <v>28</v>
      </c>
      <c r="B398" s="53" t="s">
        <v>33</v>
      </c>
      <c r="C398" s="53" t="s">
        <v>42</v>
      </c>
      <c r="D398" s="53" t="s">
        <v>43</v>
      </c>
      <c r="E398" s="53" t="s">
        <v>25</v>
      </c>
      <c r="F398" s="53" t="s">
        <v>25</v>
      </c>
      <c r="G398" s="53" t="s">
        <v>25</v>
      </c>
      <c r="H398" s="53" t="s">
        <v>36</v>
      </c>
      <c r="I398" s="75">
        <v>44317</v>
      </c>
      <c r="J398" s="76">
        <f ca="1">EFEITO!$J$398*EFEITO!$Y$398</f>
        <v>2220.2458939149828</v>
      </c>
      <c r="K398" s="76">
        <f ca="1">EFEITO!$L$398*EFEITO!$Z$398</f>
        <v>2158.6206541480196</v>
      </c>
      <c r="L398" s="76">
        <f>EFEITO!$N$398*EFEITO!$AA$398</f>
        <v>4977.3006403860372</v>
      </c>
      <c r="M398" s="76">
        <f ca="1">$J$398-EFEITO!$K$398*EFEITO!$Y$398</f>
        <v>0</v>
      </c>
      <c r="N398" s="76">
        <f ca="1">$K$398-EFEITO!$M$398*EFEITO!$Z$398</f>
        <v>0</v>
      </c>
      <c r="O398" s="76">
        <f>$L$398-EFEITO!$O$398*EFEITO!$AA$398</f>
        <v>0</v>
      </c>
      <c r="P398" s="57"/>
      <c r="Q398" s="57"/>
      <c r="R398" s="57"/>
      <c r="S398" s="57"/>
      <c r="T398" s="57"/>
      <c r="U398" s="57"/>
      <c r="V398" s="57"/>
      <c r="W398" s="57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1.25" customHeight="1" x14ac:dyDescent="0.2">
      <c r="A399" s="53" t="s">
        <v>28</v>
      </c>
      <c r="B399" s="53" t="s">
        <v>33</v>
      </c>
      <c r="C399" s="53" t="s">
        <v>42</v>
      </c>
      <c r="D399" s="53" t="s">
        <v>43</v>
      </c>
      <c r="E399" s="53" t="s">
        <v>25</v>
      </c>
      <c r="F399" s="53" t="s">
        <v>25</v>
      </c>
      <c r="G399" s="53" t="s">
        <v>25</v>
      </c>
      <c r="H399" s="53" t="s">
        <v>36</v>
      </c>
      <c r="I399" s="75">
        <v>44317</v>
      </c>
      <c r="J399" s="76">
        <f ca="1">EFEITO!$J$399*EFEITO!$Y$399</f>
        <v>-888.09835756599307</v>
      </c>
      <c r="K399" s="76">
        <f ca="1">EFEITO!$L$399*EFEITO!$Z$399</f>
        <v>-1170.972624830091</v>
      </c>
      <c r="L399" s="76">
        <f>EFEITO!$N$399*EFEITO!$AA$399</f>
        <v>-2700.0032563580194</v>
      </c>
      <c r="M399" s="76">
        <f ca="1">$J$399-EFEITO!$K$399*EFEITO!$Y$399</f>
        <v>0</v>
      </c>
      <c r="N399" s="76">
        <f ca="1">$K$399-EFEITO!$M$399*EFEITO!$Z$399</f>
        <v>0</v>
      </c>
      <c r="O399" s="76">
        <f>$L$399-EFEITO!$O$399*EFEITO!$AA$399</f>
        <v>0</v>
      </c>
      <c r="P399" s="57"/>
      <c r="Q399" s="57"/>
      <c r="R399" s="57"/>
      <c r="S399" s="57"/>
      <c r="T399" s="57"/>
      <c r="U399" s="57"/>
      <c r="V399" s="57"/>
      <c r="W399" s="57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1.25" customHeight="1" x14ac:dyDescent="0.2">
      <c r="A400" s="53" t="s">
        <v>21</v>
      </c>
      <c r="B400" s="53" t="s">
        <v>33</v>
      </c>
      <c r="C400" s="53" t="s">
        <v>42</v>
      </c>
      <c r="D400" s="53" t="s">
        <v>43</v>
      </c>
      <c r="E400" s="53" t="s">
        <v>25</v>
      </c>
      <c r="F400" s="53" t="s">
        <v>25</v>
      </c>
      <c r="G400" s="53" t="s">
        <v>25</v>
      </c>
      <c r="H400" s="53" t="s">
        <v>36</v>
      </c>
      <c r="I400" s="75">
        <v>44348</v>
      </c>
      <c r="J400" s="76">
        <f ca="1">EFEITO!$J$400*EFEITO!$Y$400</f>
        <v>217608.76700248959</v>
      </c>
      <c r="K400" s="76">
        <f ca="1">EFEITO!$L$400*EFEITO!$Z$400</f>
        <v>263787.63018166047</v>
      </c>
      <c r="L400" s="76">
        <f>EFEITO!$N$400*EFEITO!$AA$400</f>
        <v>608235.79080748605</v>
      </c>
      <c r="M400" s="76">
        <f ca="1">$J$400-EFEITO!$K$400*EFEITO!$Y$400</f>
        <v>0</v>
      </c>
      <c r="N400" s="76">
        <f ca="1">$K$400-EFEITO!$M$400*EFEITO!$Z$400</f>
        <v>0</v>
      </c>
      <c r="O400" s="76">
        <f>$L$400-EFEITO!$O$400*EFEITO!$AA$400</f>
        <v>0</v>
      </c>
      <c r="P400" s="57"/>
      <c r="Q400" s="57"/>
      <c r="R400" s="57"/>
      <c r="S400" s="57"/>
      <c r="T400" s="57"/>
      <c r="U400" s="57"/>
      <c r="V400" s="57"/>
      <c r="W400" s="57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1.25" customHeight="1" x14ac:dyDescent="0.2">
      <c r="A401" s="53" t="s">
        <v>28</v>
      </c>
      <c r="B401" s="53" t="s">
        <v>33</v>
      </c>
      <c r="C401" s="53" t="s">
        <v>42</v>
      </c>
      <c r="D401" s="53" t="s">
        <v>43</v>
      </c>
      <c r="E401" s="53" t="s">
        <v>25</v>
      </c>
      <c r="F401" s="53" t="s">
        <v>25</v>
      </c>
      <c r="G401" s="53" t="s">
        <v>25</v>
      </c>
      <c r="H401" s="53" t="s">
        <v>36</v>
      </c>
      <c r="I401" s="75">
        <v>44348</v>
      </c>
      <c r="J401" s="76">
        <f ca="1">EFEITO!$J$401*EFEITO!$Y$401</f>
        <v>2220.2458939149828</v>
      </c>
      <c r="K401" s="76">
        <f ca="1">EFEITO!$L$401*EFEITO!$Z$401</f>
        <v>1928.7299650997343</v>
      </c>
      <c r="L401" s="76">
        <f>EFEITO!$N$401*EFEITO!$AA$401</f>
        <v>4447.2236805366774</v>
      </c>
      <c r="M401" s="76">
        <f ca="1">$J$401-EFEITO!$K$401*EFEITO!$Y$401</f>
        <v>0</v>
      </c>
      <c r="N401" s="76">
        <f ca="1">$K$401-EFEITO!$M$401*EFEITO!$Z$401</f>
        <v>0</v>
      </c>
      <c r="O401" s="76">
        <f>$L$401-EFEITO!$O$401*EFEITO!$AA$401</f>
        <v>0</v>
      </c>
      <c r="P401" s="57"/>
      <c r="Q401" s="57"/>
      <c r="R401" s="57"/>
      <c r="S401" s="57"/>
      <c r="T401" s="57"/>
      <c r="U401" s="57"/>
      <c r="V401" s="57"/>
      <c r="W401" s="57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1.25" customHeight="1" x14ac:dyDescent="0.2">
      <c r="A402" s="53" t="s">
        <v>21</v>
      </c>
      <c r="B402" s="53" t="s">
        <v>33</v>
      </c>
      <c r="C402" s="53" t="s">
        <v>42</v>
      </c>
      <c r="D402" s="53" t="s">
        <v>43</v>
      </c>
      <c r="E402" s="53" t="s">
        <v>25</v>
      </c>
      <c r="F402" s="53" t="s">
        <v>25</v>
      </c>
      <c r="G402" s="53" t="s">
        <v>25</v>
      </c>
      <c r="H402" s="53" t="s">
        <v>36</v>
      </c>
      <c r="I402" s="75">
        <v>44378</v>
      </c>
      <c r="J402" s="76">
        <f ca="1">EFEITO!$J$402*EFEITO!$Y$402</f>
        <v>220199.05387872373</v>
      </c>
      <c r="K402" s="76">
        <f ca="1">EFEITO!$L$402*EFEITO!$Z$402</f>
        <v>319499.49263411085</v>
      </c>
      <c r="L402" s="76">
        <f>EFEITO!$N$402*EFEITO!$AA$402</f>
        <v>736694.99373822287</v>
      </c>
      <c r="M402" s="76">
        <f ca="1">$J$402-EFEITO!$K$402*EFEITO!$Y$402</f>
        <v>0</v>
      </c>
      <c r="N402" s="76">
        <f ca="1">$K$402-EFEITO!$M$402*EFEITO!$Z$402</f>
        <v>0</v>
      </c>
      <c r="O402" s="76">
        <f>$L$402-EFEITO!$O$402*EFEITO!$AA$402</f>
        <v>0</v>
      </c>
      <c r="P402" s="57"/>
      <c r="Q402" s="57"/>
      <c r="R402" s="57"/>
      <c r="S402" s="57"/>
      <c r="T402" s="57"/>
      <c r="U402" s="57"/>
      <c r="V402" s="57"/>
      <c r="W402" s="57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1.25" customHeight="1" x14ac:dyDescent="0.2">
      <c r="A403" s="53" t="s">
        <v>28</v>
      </c>
      <c r="B403" s="53" t="s">
        <v>33</v>
      </c>
      <c r="C403" s="53" t="s">
        <v>42</v>
      </c>
      <c r="D403" s="53" t="s">
        <v>43</v>
      </c>
      <c r="E403" s="53" t="s">
        <v>25</v>
      </c>
      <c r="F403" s="53" t="s">
        <v>25</v>
      </c>
      <c r="G403" s="53" t="s">
        <v>25</v>
      </c>
      <c r="H403" s="53" t="s">
        <v>36</v>
      </c>
      <c r="I403" s="75">
        <v>44378</v>
      </c>
      <c r="J403" s="76">
        <f ca="1">EFEITO!$J$403*EFEITO!$Y$403</f>
        <v>2220.2458939149828</v>
      </c>
      <c r="K403" s="76">
        <f ca="1">EFEITO!$L$403*EFEITO!$Z$403</f>
        <v>1957.6573868418714</v>
      </c>
      <c r="L403" s="76">
        <f>EFEITO!$N$403*EFEITO!$AA$403</f>
        <v>4513.9239015714302</v>
      </c>
      <c r="M403" s="76">
        <f ca="1">$J$403-EFEITO!$K$403*EFEITO!$Y$403</f>
        <v>0</v>
      </c>
      <c r="N403" s="76">
        <f ca="1">$K$403-EFEITO!$M$403*EFEITO!$Z$403</f>
        <v>0</v>
      </c>
      <c r="O403" s="76">
        <f>$L$403-EFEITO!$O$403*EFEITO!$AA$403</f>
        <v>0</v>
      </c>
      <c r="P403" s="57"/>
      <c r="Q403" s="57"/>
      <c r="R403" s="57"/>
      <c r="S403" s="57"/>
      <c r="T403" s="57"/>
      <c r="U403" s="57"/>
      <c r="V403" s="57"/>
      <c r="W403" s="57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1.25" customHeight="1" x14ac:dyDescent="0.2">
      <c r="A404" s="53" t="s">
        <v>21</v>
      </c>
      <c r="B404" s="53" t="s">
        <v>33</v>
      </c>
      <c r="C404" s="53" t="s">
        <v>42</v>
      </c>
      <c r="D404" s="53" t="s">
        <v>43</v>
      </c>
      <c r="E404" s="53" t="s">
        <v>25</v>
      </c>
      <c r="F404" s="53" t="s">
        <v>25</v>
      </c>
      <c r="G404" s="53" t="s">
        <v>25</v>
      </c>
      <c r="H404" s="53" t="s">
        <v>36</v>
      </c>
      <c r="I404" s="75">
        <v>44409</v>
      </c>
      <c r="J404" s="76">
        <f ca="1">EFEITO!$J$404*EFEITO!$Y$404</f>
        <v>204410.63863310608</v>
      </c>
      <c r="K404" s="76">
        <f ca="1">EFEITO!$L$404*EFEITO!$Z$404</f>
        <v>268160.13932824432</v>
      </c>
      <c r="L404" s="76">
        <f>EFEITO!$N$404*EFEITO!$AA$404</f>
        <v>618317.82746990991</v>
      </c>
      <c r="M404" s="76">
        <f ca="1">$J$404-EFEITO!$K$404*EFEITO!$Y$404</f>
        <v>0</v>
      </c>
      <c r="N404" s="76">
        <f ca="1">$K$404-EFEITO!$M$404*EFEITO!$Z$404</f>
        <v>0</v>
      </c>
      <c r="O404" s="76">
        <f>$L$404-EFEITO!$O$404*EFEITO!$AA$404</f>
        <v>0</v>
      </c>
      <c r="P404" s="57"/>
      <c r="Q404" s="57"/>
      <c r="R404" s="57"/>
      <c r="S404" s="57"/>
      <c r="T404" s="57"/>
      <c r="U404" s="57"/>
      <c r="V404" s="57"/>
      <c r="W404" s="57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1.25" customHeight="1" x14ac:dyDescent="0.2">
      <c r="A405" s="53" t="s">
        <v>28</v>
      </c>
      <c r="B405" s="53" t="s">
        <v>33</v>
      </c>
      <c r="C405" s="53" t="s">
        <v>42</v>
      </c>
      <c r="D405" s="53" t="s">
        <v>43</v>
      </c>
      <c r="E405" s="53" t="s">
        <v>25</v>
      </c>
      <c r="F405" s="53" t="s">
        <v>25</v>
      </c>
      <c r="G405" s="53" t="s">
        <v>25</v>
      </c>
      <c r="H405" s="53" t="s">
        <v>36</v>
      </c>
      <c r="I405" s="75">
        <v>44409</v>
      </c>
      <c r="J405" s="76">
        <f ca="1">EFEITO!$J$405*EFEITO!$Y$405</f>
        <v>1899.543709238374</v>
      </c>
      <c r="K405" s="76">
        <f ca="1">EFEITO!$L$405*EFEITO!$Z$405</f>
        <v>2066.5467873834127</v>
      </c>
      <c r="L405" s="76">
        <f>EFEITO!$N$405*EFEITO!$AA$405</f>
        <v>4764.9987173363961</v>
      </c>
      <c r="M405" s="76">
        <f ca="1">$J$405-EFEITO!$K$405*EFEITO!$Y$405</f>
        <v>0</v>
      </c>
      <c r="N405" s="76">
        <f ca="1">$K$405-EFEITO!$M$405*EFEITO!$Z$405</f>
        <v>0</v>
      </c>
      <c r="O405" s="76">
        <f>$L$405-EFEITO!$O$405*EFEITO!$AA$405</f>
        <v>0</v>
      </c>
      <c r="P405" s="57"/>
      <c r="Q405" s="57"/>
      <c r="R405" s="57"/>
      <c r="S405" s="57"/>
      <c r="T405" s="57"/>
      <c r="U405" s="57"/>
      <c r="V405" s="57"/>
      <c r="W405" s="57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1.25" customHeight="1" x14ac:dyDescent="0.2">
      <c r="A406" s="53" t="s">
        <v>21</v>
      </c>
      <c r="B406" s="53" t="s">
        <v>33</v>
      </c>
      <c r="C406" s="53" t="s">
        <v>42</v>
      </c>
      <c r="D406" s="53" t="s">
        <v>43</v>
      </c>
      <c r="E406" s="53" t="s">
        <v>25</v>
      </c>
      <c r="F406" s="53" t="s">
        <v>25</v>
      </c>
      <c r="G406" s="53" t="s">
        <v>25</v>
      </c>
      <c r="H406" s="53" t="s">
        <v>36</v>
      </c>
      <c r="I406" s="75">
        <v>44440</v>
      </c>
      <c r="J406" s="76">
        <f ca="1">EFEITO!$J$406*EFEITO!$Y$406</f>
        <v>218768.22874708963</v>
      </c>
      <c r="K406" s="76">
        <f ca="1">EFEITO!$L$406*EFEITO!$Z$406</f>
        <v>298616.01077690313</v>
      </c>
      <c r="L406" s="76">
        <f>EFEITO!$N$406*EFEITO!$AA$406</f>
        <v>688542.31465510919</v>
      </c>
      <c r="M406" s="76">
        <f ca="1">$J$406-EFEITO!$K$406*EFEITO!$Y$406</f>
        <v>0</v>
      </c>
      <c r="N406" s="76">
        <f ca="1">$K$406-EFEITO!$M$406*EFEITO!$Z$406</f>
        <v>0</v>
      </c>
      <c r="O406" s="76">
        <f>$L$406-EFEITO!$O$406*EFEITO!$AA$406</f>
        <v>0</v>
      </c>
      <c r="P406" s="57"/>
      <c r="Q406" s="57"/>
      <c r="R406" s="57"/>
      <c r="S406" s="57"/>
      <c r="T406" s="57"/>
      <c r="U406" s="57"/>
      <c r="V406" s="57"/>
      <c r="W406" s="57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1.25" customHeight="1" x14ac:dyDescent="0.2">
      <c r="A407" s="53" t="s">
        <v>27</v>
      </c>
      <c r="B407" s="53" t="s">
        <v>33</v>
      </c>
      <c r="C407" s="53" t="s">
        <v>42</v>
      </c>
      <c r="D407" s="53" t="s">
        <v>43</v>
      </c>
      <c r="E407" s="53" t="s">
        <v>25</v>
      </c>
      <c r="F407" s="53" t="s">
        <v>25</v>
      </c>
      <c r="G407" s="53" t="s">
        <v>25</v>
      </c>
      <c r="H407" s="53" t="s">
        <v>36</v>
      </c>
      <c r="I407" s="75">
        <v>44440</v>
      </c>
      <c r="J407" s="76">
        <f ca="1">EFEITO!$J$407*EFEITO!$Y$407</f>
        <v>5180.5737524682927</v>
      </c>
      <c r="K407" s="76">
        <f ca="1">EFEITO!$L$407*EFEITO!$Z$407</f>
        <v>3228.9352586070968</v>
      </c>
      <c r="L407" s="76">
        <f>EFEITO!$N$407*EFEITO!$AA$407</f>
        <v>7445.2088186719066</v>
      </c>
      <c r="M407" s="76">
        <f ca="1">$J$407-EFEITO!$K$407*EFEITO!$Y$407</f>
        <v>0</v>
      </c>
      <c r="N407" s="76">
        <f ca="1">$K$407-EFEITO!$M$407*EFEITO!$Z$407</f>
        <v>0</v>
      </c>
      <c r="O407" s="76">
        <f>$L$407-EFEITO!$O$407*EFEITO!$AA$407</f>
        <v>0</v>
      </c>
      <c r="P407" s="57"/>
      <c r="Q407" s="57"/>
      <c r="R407" s="57"/>
      <c r="S407" s="57"/>
      <c r="T407" s="57"/>
      <c r="U407" s="57"/>
      <c r="V407" s="57"/>
      <c r="W407" s="57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1.25" customHeight="1" x14ac:dyDescent="0.2">
      <c r="A408" s="53" t="s">
        <v>28</v>
      </c>
      <c r="B408" s="53" t="s">
        <v>33</v>
      </c>
      <c r="C408" s="53" t="s">
        <v>42</v>
      </c>
      <c r="D408" s="53" t="s">
        <v>43</v>
      </c>
      <c r="E408" s="53" t="s">
        <v>25</v>
      </c>
      <c r="F408" s="53" t="s">
        <v>25</v>
      </c>
      <c r="G408" s="53" t="s">
        <v>25</v>
      </c>
      <c r="H408" s="53" t="s">
        <v>36</v>
      </c>
      <c r="I408" s="75">
        <v>44440</v>
      </c>
      <c r="J408" s="76">
        <f ca="1">EFEITO!$J$408*EFEITO!$Y$408</f>
        <v>1899.543709238374</v>
      </c>
      <c r="K408" s="76">
        <f ca="1">EFEITO!$L$408*EFEITO!$Z$408</f>
        <v>1945.8982723125471</v>
      </c>
      <c r="L408" s="76">
        <f>EFEITO!$N$408*EFEITO!$AA$408</f>
        <v>4486.8099905816925</v>
      </c>
      <c r="M408" s="76">
        <f ca="1">$J$408-EFEITO!$K$408*EFEITO!$Y$408</f>
        <v>0</v>
      </c>
      <c r="N408" s="76">
        <f ca="1">$K$408-EFEITO!$M$408*EFEITO!$Z$408</f>
        <v>0</v>
      </c>
      <c r="O408" s="76">
        <f>$L$408-EFEITO!$O$408*EFEITO!$AA$408</f>
        <v>0</v>
      </c>
      <c r="P408" s="57"/>
      <c r="Q408" s="57"/>
      <c r="R408" s="57"/>
      <c r="S408" s="57"/>
      <c r="T408" s="57"/>
      <c r="U408" s="57"/>
      <c r="V408" s="57"/>
      <c r="W408" s="57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1.25" customHeight="1" x14ac:dyDescent="0.2">
      <c r="A409" s="53" t="s">
        <v>21</v>
      </c>
      <c r="B409" s="53" t="s">
        <v>33</v>
      </c>
      <c r="C409" s="53" t="s">
        <v>42</v>
      </c>
      <c r="D409" s="53" t="s">
        <v>43</v>
      </c>
      <c r="E409" s="53" t="s">
        <v>25</v>
      </c>
      <c r="F409" s="53" t="s">
        <v>25</v>
      </c>
      <c r="G409" s="53" t="s">
        <v>25</v>
      </c>
      <c r="H409" s="53" t="s">
        <v>36</v>
      </c>
      <c r="I409" s="75">
        <v>44470</v>
      </c>
      <c r="J409" s="76">
        <f ca="1">EFEITO!$J$409*EFEITO!$Y$409</f>
        <v>211194.72330895741</v>
      </c>
      <c r="K409" s="76">
        <f ca="1">EFEITO!$L$409*EFEITO!$Z$409</f>
        <v>324479.12486384372</v>
      </c>
      <c r="L409" s="76">
        <f>EFEITO!$N$409*EFEITO!$AA$409</f>
        <v>748176.92162504687</v>
      </c>
      <c r="M409" s="76">
        <f ca="1">$J$409-EFEITO!$K$409*EFEITO!$Y$409</f>
        <v>0</v>
      </c>
      <c r="N409" s="76">
        <f ca="1">$K$409-EFEITO!$M$409*EFEITO!$Z$409</f>
        <v>0</v>
      </c>
      <c r="O409" s="76">
        <f>$L$409-EFEITO!$O$409*EFEITO!$AA$409</f>
        <v>0</v>
      </c>
      <c r="P409" s="57"/>
      <c r="Q409" s="57"/>
      <c r="R409" s="57"/>
      <c r="S409" s="57"/>
      <c r="T409" s="57"/>
      <c r="U409" s="57"/>
      <c r="V409" s="57"/>
      <c r="W409" s="57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1.25" customHeight="1" x14ac:dyDescent="0.2">
      <c r="A410" s="53" t="s">
        <v>28</v>
      </c>
      <c r="B410" s="53" t="s">
        <v>33</v>
      </c>
      <c r="C410" s="53" t="s">
        <v>42</v>
      </c>
      <c r="D410" s="53" t="s">
        <v>43</v>
      </c>
      <c r="E410" s="53" t="s">
        <v>25</v>
      </c>
      <c r="F410" s="53" t="s">
        <v>25</v>
      </c>
      <c r="G410" s="53" t="s">
        <v>25</v>
      </c>
      <c r="H410" s="53" t="s">
        <v>36</v>
      </c>
      <c r="I410" s="75">
        <v>44470</v>
      </c>
      <c r="J410" s="76">
        <f ca="1">EFEITO!$J$410*EFEITO!$Y$410</f>
        <v>2022.890703344762</v>
      </c>
      <c r="K410" s="76">
        <f ca="1">EFEITO!$L$410*EFEITO!$Z$410</f>
        <v>2226.4707449822199</v>
      </c>
      <c r="L410" s="76">
        <f>EFEITO!$N$410*EFEITO!$AA$410</f>
        <v>5133.7479067968206</v>
      </c>
      <c r="M410" s="76">
        <f ca="1">$J$410-EFEITO!$K$410*EFEITO!$Y$410</f>
        <v>0</v>
      </c>
      <c r="N410" s="76">
        <f ca="1">$K$410-EFEITO!$M$410*EFEITO!$Z$410</f>
        <v>0</v>
      </c>
      <c r="O410" s="76">
        <f>$L$410-EFEITO!$O$410*EFEITO!$AA$410</f>
        <v>0</v>
      </c>
      <c r="P410" s="57"/>
      <c r="Q410" s="57"/>
      <c r="R410" s="57"/>
      <c r="S410" s="57"/>
      <c r="T410" s="57"/>
      <c r="U410" s="57"/>
      <c r="V410" s="57"/>
      <c r="W410" s="57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1.25" customHeight="1" x14ac:dyDescent="0.2">
      <c r="A411" s="53" t="s">
        <v>21</v>
      </c>
      <c r="B411" s="53" t="s">
        <v>33</v>
      </c>
      <c r="C411" s="53" t="s">
        <v>42</v>
      </c>
      <c r="D411" s="53" t="s">
        <v>43</v>
      </c>
      <c r="E411" s="53" t="s">
        <v>25</v>
      </c>
      <c r="F411" s="53" t="s">
        <v>25</v>
      </c>
      <c r="G411" s="53" t="s">
        <v>25</v>
      </c>
      <c r="H411" s="53" t="s">
        <v>36</v>
      </c>
      <c r="I411" s="75">
        <v>44501</v>
      </c>
      <c r="J411" s="76">
        <f ca="1">EFEITO!$J$411*EFEITO!$Y$411</f>
        <v>197404.52936786323</v>
      </c>
      <c r="K411" s="76">
        <f ca="1">EFEITO!$L$411*EFEITO!$Z$411</f>
        <v>311658.8678393935</v>
      </c>
      <c r="L411" s="76">
        <f>EFEITO!$N$411*EFEITO!$AA$411</f>
        <v>718616.25130759587</v>
      </c>
      <c r="M411" s="76">
        <f ca="1">$J$411-EFEITO!$K$411*EFEITO!$Y$411</f>
        <v>0</v>
      </c>
      <c r="N411" s="76">
        <f ca="1">$K$411-EFEITO!$M$411*EFEITO!$Z$411</f>
        <v>0</v>
      </c>
      <c r="O411" s="76">
        <f>$L$411-EFEITO!$O$411*EFEITO!$AA$411</f>
        <v>0</v>
      </c>
      <c r="P411" s="57"/>
      <c r="Q411" s="57"/>
      <c r="R411" s="57"/>
      <c r="S411" s="57"/>
      <c r="T411" s="57"/>
      <c r="U411" s="57"/>
      <c r="V411" s="57"/>
      <c r="W411" s="57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1.25" customHeight="1" x14ac:dyDescent="0.2">
      <c r="A412" s="53" t="s">
        <v>27</v>
      </c>
      <c r="B412" s="53" t="s">
        <v>33</v>
      </c>
      <c r="C412" s="53" t="s">
        <v>42</v>
      </c>
      <c r="D412" s="53" t="s">
        <v>43</v>
      </c>
      <c r="E412" s="53" t="s">
        <v>25</v>
      </c>
      <c r="F412" s="53" t="s">
        <v>25</v>
      </c>
      <c r="G412" s="53" t="s">
        <v>25</v>
      </c>
      <c r="H412" s="53" t="s">
        <v>36</v>
      </c>
      <c r="I412" s="75">
        <v>44501</v>
      </c>
      <c r="J412" s="76">
        <f ca="1">EFEITO!$J$412*EFEITO!$Y$412</f>
        <v>0</v>
      </c>
      <c r="K412" s="76">
        <f ca="1">EFEITO!$L$412*EFEITO!$Z$412</f>
        <v>101.59874953335998</v>
      </c>
      <c r="L412" s="76">
        <f>EFEITO!$N$412*EFEITO!$AA$412</f>
        <v>234.26419095132843</v>
      </c>
      <c r="M412" s="76">
        <f ca="1">$J$412-EFEITO!$K$412*EFEITO!$Y$412</f>
        <v>0</v>
      </c>
      <c r="N412" s="76">
        <f ca="1">$K$412-EFEITO!$M$412*EFEITO!$Z$412</f>
        <v>0</v>
      </c>
      <c r="O412" s="76">
        <f>$L$412-EFEITO!$O$412*EFEITO!$AA$412</f>
        <v>0</v>
      </c>
      <c r="P412" s="57"/>
      <c r="Q412" s="57"/>
      <c r="R412" s="57"/>
      <c r="S412" s="57"/>
      <c r="T412" s="57"/>
      <c r="U412" s="57"/>
      <c r="V412" s="57"/>
      <c r="W412" s="57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1.25" customHeight="1" x14ac:dyDescent="0.2">
      <c r="A413" s="53" t="s">
        <v>28</v>
      </c>
      <c r="B413" s="53" t="s">
        <v>33</v>
      </c>
      <c r="C413" s="53" t="s">
        <v>42</v>
      </c>
      <c r="D413" s="53" t="s">
        <v>43</v>
      </c>
      <c r="E413" s="53" t="s">
        <v>25</v>
      </c>
      <c r="F413" s="53" t="s">
        <v>25</v>
      </c>
      <c r="G413" s="53" t="s">
        <v>25</v>
      </c>
      <c r="H413" s="53" t="s">
        <v>36</v>
      </c>
      <c r="I413" s="75">
        <v>44501</v>
      </c>
      <c r="J413" s="76">
        <f ca="1">EFEITO!$J$413*EFEITO!$Y$413</f>
        <v>1899.543709238374</v>
      </c>
      <c r="K413" s="76">
        <f ca="1">EFEITO!$L$413*EFEITO!$Z$413</f>
        <v>1962.7138060894806</v>
      </c>
      <c r="L413" s="76">
        <f>EFEITO!$N$413*EFEITO!$AA$413</f>
        <v>4525.5828832970174</v>
      </c>
      <c r="M413" s="76">
        <f ca="1">$J$413-EFEITO!$K$413*EFEITO!$Y$413</f>
        <v>0</v>
      </c>
      <c r="N413" s="76">
        <f ca="1">$K$413-EFEITO!$M$413*EFEITO!$Z$413</f>
        <v>0</v>
      </c>
      <c r="O413" s="76">
        <f>$L$413-EFEITO!$O$413*EFEITO!$AA$413</f>
        <v>0</v>
      </c>
      <c r="P413" s="57"/>
      <c r="Q413" s="57"/>
      <c r="R413" s="57"/>
      <c r="S413" s="57"/>
      <c r="T413" s="57"/>
      <c r="U413" s="57"/>
      <c r="V413" s="57"/>
      <c r="W413" s="57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1.25" customHeight="1" x14ac:dyDescent="0.2">
      <c r="A414" s="53" t="s">
        <v>21</v>
      </c>
      <c r="B414" s="53" t="s">
        <v>33</v>
      </c>
      <c r="C414" s="53" t="s">
        <v>42</v>
      </c>
      <c r="D414" s="53" t="s">
        <v>43</v>
      </c>
      <c r="E414" s="53" t="s">
        <v>25</v>
      </c>
      <c r="F414" s="53" t="s">
        <v>25</v>
      </c>
      <c r="G414" s="53" t="s">
        <v>25</v>
      </c>
      <c r="H414" s="53" t="s">
        <v>36</v>
      </c>
      <c r="I414" s="75">
        <v>44531</v>
      </c>
      <c r="J414" s="76">
        <f ca="1">EFEITO!$J$414*EFEITO!$Y$414</f>
        <v>188720.90098277354</v>
      </c>
      <c r="K414" s="76">
        <f ca="1">EFEITO!$L$414*EFEITO!$Z$414</f>
        <v>298400.8189810164</v>
      </c>
      <c r="L414" s="76">
        <f>EFEITO!$N$414*EFEITO!$AA$414</f>
        <v>688046.13008399692</v>
      </c>
      <c r="M414" s="76">
        <f ca="1">$J$414-EFEITO!$K$414*EFEITO!$Y$414</f>
        <v>0</v>
      </c>
      <c r="N414" s="76">
        <f ca="1">$K$414-EFEITO!$M$414*EFEITO!$Z$414</f>
        <v>0</v>
      </c>
      <c r="O414" s="76">
        <f>$L$414-EFEITO!$O$414*EFEITO!$AA$414</f>
        <v>0</v>
      </c>
      <c r="P414" s="57"/>
      <c r="Q414" s="57"/>
      <c r="R414" s="57"/>
      <c r="S414" s="57"/>
      <c r="T414" s="57"/>
      <c r="U414" s="57"/>
      <c r="V414" s="57"/>
      <c r="W414" s="57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1.25" customHeight="1" x14ac:dyDescent="0.2">
      <c r="A415" s="53" t="s">
        <v>28</v>
      </c>
      <c r="B415" s="53" t="s">
        <v>33</v>
      </c>
      <c r="C415" s="53" t="s">
        <v>42</v>
      </c>
      <c r="D415" s="53" t="s">
        <v>43</v>
      </c>
      <c r="E415" s="53" t="s">
        <v>25</v>
      </c>
      <c r="F415" s="53" t="s">
        <v>25</v>
      </c>
      <c r="G415" s="53" t="s">
        <v>25</v>
      </c>
      <c r="H415" s="53" t="s">
        <v>36</v>
      </c>
      <c r="I415" s="75">
        <v>44531</v>
      </c>
      <c r="J415" s="76">
        <f ca="1">EFEITO!$J$415*EFEITO!$Y$415</f>
        <v>1899.543709238374</v>
      </c>
      <c r="K415" s="76">
        <f ca="1">EFEITO!$L$415*EFEITO!$Z$415</f>
        <v>2285.1487264835469</v>
      </c>
      <c r="L415" s="76">
        <f>EFEITO!$N$415*EFEITO!$AA$415</f>
        <v>5269.0463226356078</v>
      </c>
      <c r="M415" s="76">
        <f ca="1">$J$415-EFEITO!$K$415*EFEITO!$Y$415</f>
        <v>0</v>
      </c>
      <c r="N415" s="76">
        <f ca="1">$K$415-EFEITO!$M$415*EFEITO!$Z$415</f>
        <v>0</v>
      </c>
      <c r="O415" s="76">
        <f>$L$415-EFEITO!$O$415*EFEITO!$AA$415</f>
        <v>0</v>
      </c>
      <c r="P415" s="57"/>
      <c r="Q415" s="57"/>
      <c r="R415" s="57"/>
      <c r="S415" s="57"/>
      <c r="T415" s="57"/>
      <c r="U415" s="57"/>
      <c r="V415" s="57"/>
      <c r="W415" s="57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1.25" customHeight="1" x14ac:dyDescent="0.2">
      <c r="A416" s="53" t="s">
        <v>21</v>
      </c>
      <c r="B416" s="53" t="s">
        <v>33</v>
      </c>
      <c r="C416" s="53" t="s">
        <v>42</v>
      </c>
      <c r="D416" s="53" t="s">
        <v>43</v>
      </c>
      <c r="E416" s="53" t="s">
        <v>25</v>
      </c>
      <c r="F416" s="53" t="s">
        <v>25</v>
      </c>
      <c r="G416" s="53" t="s">
        <v>25</v>
      </c>
      <c r="H416" s="53" t="s">
        <v>36</v>
      </c>
      <c r="I416" s="75">
        <v>44562</v>
      </c>
      <c r="J416" s="76">
        <f ca="1">EFEITO!$J$416*EFEITO!$Y$416</f>
        <v>186772.0184758926</v>
      </c>
      <c r="K416" s="76">
        <f ca="1">EFEITO!$L$416*EFEITO!$Z$416</f>
        <v>303449.71239532705</v>
      </c>
      <c r="L416" s="76">
        <f>EFEITO!$N$416*EFEITO!$AA$416</f>
        <v>699687.75890655047</v>
      </c>
      <c r="M416" s="76">
        <f ca="1">$J$416-EFEITO!$K$416*EFEITO!$Y$416</f>
        <v>0</v>
      </c>
      <c r="N416" s="76">
        <f ca="1">$K$416-EFEITO!$M$416*EFEITO!$Z$416</f>
        <v>0</v>
      </c>
      <c r="O416" s="76">
        <f>$L$416-EFEITO!$O$416*EFEITO!$AA$416</f>
        <v>0</v>
      </c>
      <c r="P416" s="57"/>
      <c r="Q416" s="57"/>
      <c r="R416" s="57"/>
      <c r="S416" s="57"/>
      <c r="T416" s="57"/>
      <c r="U416" s="57"/>
      <c r="V416" s="57"/>
      <c r="W416" s="57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1.25" customHeight="1" x14ac:dyDescent="0.2">
      <c r="A417" s="53" t="s">
        <v>27</v>
      </c>
      <c r="B417" s="53" t="s">
        <v>33</v>
      </c>
      <c r="C417" s="53" t="s">
        <v>42</v>
      </c>
      <c r="D417" s="53" t="s">
        <v>43</v>
      </c>
      <c r="E417" s="53" t="s">
        <v>25</v>
      </c>
      <c r="F417" s="53" t="s">
        <v>25</v>
      </c>
      <c r="G417" s="53" t="s">
        <v>25</v>
      </c>
      <c r="H417" s="53" t="s">
        <v>36</v>
      </c>
      <c r="I417" s="75">
        <v>44562</v>
      </c>
      <c r="J417" s="76">
        <f ca="1">EFEITO!$J$417*EFEITO!$Y$417</f>
        <v>-8239.5792063067129</v>
      </c>
      <c r="K417" s="76">
        <f ca="1">EFEITO!$L$417*EFEITO!$Z$417</f>
        <v>-13914.912995985052</v>
      </c>
      <c r="L417" s="76">
        <f>EFEITO!$N$417*EFEITO!$AA$417</f>
        <v>-32084.704291485588</v>
      </c>
      <c r="M417" s="76">
        <f ca="1">$J$417-EFEITO!$K$417*EFEITO!$Y$417</f>
        <v>0</v>
      </c>
      <c r="N417" s="76">
        <f ca="1">$K$417-EFEITO!$M$417*EFEITO!$Z$417</f>
        <v>0</v>
      </c>
      <c r="O417" s="76">
        <f>$L$417-EFEITO!$O$417*EFEITO!$AA$417</f>
        <v>0</v>
      </c>
      <c r="P417" s="57"/>
      <c r="Q417" s="57"/>
      <c r="R417" s="57"/>
      <c r="S417" s="57"/>
      <c r="T417" s="57"/>
      <c r="U417" s="57"/>
      <c r="V417" s="57"/>
      <c r="W417" s="57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1.25" customHeight="1" x14ac:dyDescent="0.2">
      <c r="A418" s="53" t="s">
        <v>28</v>
      </c>
      <c r="B418" s="53" t="s">
        <v>33</v>
      </c>
      <c r="C418" s="53" t="s">
        <v>42</v>
      </c>
      <c r="D418" s="53" t="s">
        <v>43</v>
      </c>
      <c r="E418" s="53" t="s">
        <v>25</v>
      </c>
      <c r="F418" s="53" t="s">
        <v>25</v>
      </c>
      <c r="G418" s="53" t="s">
        <v>25</v>
      </c>
      <c r="H418" s="53" t="s">
        <v>36</v>
      </c>
      <c r="I418" s="75">
        <v>44562</v>
      </c>
      <c r="J418" s="76">
        <f ca="1">EFEITO!$J$418*EFEITO!$Y$418</f>
        <v>1899.543709238374</v>
      </c>
      <c r="K418" s="76">
        <f ca="1">EFEITO!$L$418*EFEITO!$Z$418</f>
        <v>1646.5112163959566</v>
      </c>
      <c r="L418" s="76">
        <f>EFEITO!$N$418*EFEITO!$AA$418</f>
        <v>3796.489816782987</v>
      </c>
      <c r="M418" s="76">
        <f ca="1">$J$418-EFEITO!$K$418*EFEITO!$Y$418</f>
        <v>0</v>
      </c>
      <c r="N418" s="76">
        <f ca="1">$K$418-EFEITO!$M$418*EFEITO!$Z$418</f>
        <v>0</v>
      </c>
      <c r="O418" s="76">
        <f>$L$418-EFEITO!$O$418*EFEITO!$AA$418</f>
        <v>0</v>
      </c>
      <c r="P418" s="57"/>
      <c r="Q418" s="57"/>
      <c r="R418" s="57"/>
      <c r="S418" s="57"/>
      <c r="T418" s="57"/>
      <c r="U418" s="57"/>
      <c r="V418" s="57"/>
      <c r="W418" s="57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1.25" customHeight="1" x14ac:dyDescent="0.2">
      <c r="A419" s="53" t="s">
        <v>21</v>
      </c>
      <c r="B419" s="53" t="s">
        <v>33</v>
      </c>
      <c r="C419" s="53" t="s">
        <v>42</v>
      </c>
      <c r="D419" s="53" t="s">
        <v>43</v>
      </c>
      <c r="E419" s="53" t="s">
        <v>25</v>
      </c>
      <c r="F419" s="53" t="s">
        <v>25</v>
      </c>
      <c r="G419" s="53" t="s">
        <v>25</v>
      </c>
      <c r="H419" s="53" t="s">
        <v>36</v>
      </c>
      <c r="I419" s="75">
        <v>44593</v>
      </c>
      <c r="J419" s="76">
        <f ca="1">EFEITO!$J$419*EFEITO!$Y$419</f>
        <v>173031.16333244098</v>
      </c>
      <c r="K419" s="76">
        <f ca="1">EFEITO!$L$419*EFEITO!$Z$419</f>
        <v>254128.57591612835</v>
      </c>
      <c r="L419" s="76">
        <f>EFEITO!$N$419*EFEITO!$AA$419</f>
        <v>585964.15318140609</v>
      </c>
      <c r="M419" s="76">
        <f ca="1">$J$419-EFEITO!$K$419*EFEITO!$Y$419</f>
        <v>0</v>
      </c>
      <c r="N419" s="76">
        <f ca="1">$K$419-EFEITO!$M$419*EFEITO!$Z$419</f>
        <v>0</v>
      </c>
      <c r="O419" s="76">
        <f>$L$419-EFEITO!$O$419*EFEITO!$AA$419</f>
        <v>0</v>
      </c>
      <c r="P419" s="57"/>
      <c r="Q419" s="57"/>
      <c r="R419" s="57"/>
      <c r="S419" s="57"/>
      <c r="T419" s="57"/>
      <c r="U419" s="57"/>
      <c r="V419" s="57"/>
      <c r="W419" s="57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1.25" customHeight="1" x14ac:dyDescent="0.2">
      <c r="A420" s="53" t="s">
        <v>28</v>
      </c>
      <c r="B420" s="53" t="s">
        <v>33</v>
      </c>
      <c r="C420" s="53" t="s">
        <v>42</v>
      </c>
      <c r="D420" s="53" t="s">
        <v>43</v>
      </c>
      <c r="E420" s="53" t="s">
        <v>25</v>
      </c>
      <c r="F420" s="53" t="s">
        <v>25</v>
      </c>
      <c r="G420" s="53" t="s">
        <v>25</v>
      </c>
      <c r="H420" s="53" t="s">
        <v>36</v>
      </c>
      <c r="I420" s="75">
        <v>44593</v>
      </c>
      <c r="J420" s="76">
        <f ca="1">EFEITO!$J$420*EFEITO!$Y$420</f>
        <v>1899.543709238374</v>
      </c>
      <c r="K420" s="76">
        <f ca="1">EFEITO!$L$420*EFEITO!$Z$420</f>
        <v>1313.1403194896191</v>
      </c>
      <c r="L420" s="76">
        <f>EFEITO!$N$420*EFEITO!$AA$420</f>
        <v>3027.8104402239405</v>
      </c>
      <c r="M420" s="76">
        <f ca="1">$J$420-EFEITO!$K$420*EFEITO!$Y$420</f>
        <v>0</v>
      </c>
      <c r="N420" s="76">
        <f ca="1">$K$420-EFEITO!$M$420*EFEITO!$Z$420</f>
        <v>0</v>
      </c>
      <c r="O420" s="76">
        <f>$L$420-EFEITO!$O$420*EFEITO!$AA$420</f>
        <v>0</v>
      </c>
      <c r="P420" s="57"/>
      <c r="Q420" s="57"/>
      <c r="R420" s="57"/>
      <c r="S420" s="57"/>
      <c r="T420" s="57"/>
      <c r="U420" s="57"/>
      <c r="V420" s="57"/>
      <c r="W420" s="57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1.25" customHeight="1" x14ac:dyDescent="0.2">
      <c r="A421" s="53" t="s">
        <v>21</v>
      </c>
      <c r="B421" s="53" t="s">
        <v>33</v>
      </c>
      <c r="C421" s="53" t="s">
        <v>42</v>
      </c>
      <c r="D421" s="53" t="s">
        <v>43</v>
      </c>
      <c r="E421" s="53" t="s">
        <v>25</v>
      </c>
      <c r="F421" s="53" t="s">
        <v>25</v>
      </c>
      <c r="G421" s="53" t="s">
        <v>25</v>
      </c>
      <c r="H421" s="53" t="s">
        <v>36</v>
      </c>
      <c r="I421" s="75">
        <v>44621</v>
      </c>
      <c r="J421" s="76">
        <f ca="1">EFEITO!$J$421*EFEITO!$Y$421</f>
        <v>149496.55685694216</v>
      </c>
      <c r="K421" s="76">
        <f ca="1">EFEITO!$L$421*EFEITO!$Z$421</f>
        <v>216289.97959252406</v>
      </c>
      <c r="L421" s="76">
        <f>EFEITO!$N$421*EFEITO!$AA$421</f>
        <v>498716.73925952025</v>
      </c>
      <c r="M421" s="76">
        <f ca="1">$J$421-EFEITO!$K$421*EFEITO!$Y$421</f>
        <v>0</v>
      </c>
      <c r="N421" s="76">
        <f ca="1">$K$421-EFEITO!$M$421*EFEITO!$Z$421</f>
        <v>0</v>
      </c>
      <c r="O421" s="76">
        <f>$L$421-EFEITO!$O$421*EFEITO!$AA$421</f>
        <v>0</v>
      </c>
      <c r="P421" s="57"/>
      <c r="Q421" s="57"/>
      <c r="R421" s="57"/>
      <c r="S421" s="57"/>
      <c r="T421" s="57"/>
      <c r="U421" s="57"/>
      <c r="V421" s="57"/>
      <c r="W421" s="57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1.25" customHeight="1" x14ac:dyDescent="0.2">
      <c r="A422" s="53" t="s">
        <v>28</v>
      </c>
      <c r="B422" s="53" t="s">
        <v>33</v>
      </c>
      <c r="C422" s="53" t="s">
        <v>42</v>
      </c>
      <c r="D422" s="53" t="s">
        <v>43</v>
      </c>
      <c r="E422" s="53" t="s">
        <v>25</v>
      </c>
      <c r="F422" s="53" t="s">
        <v>25</v>
      </c>
      <c r="G422" s="53" t="s">
        <v>25</v>
      </c>
      <c r="H422" s="53" t="s">
        <v>36</v>
      </c>
      <c r="I422" s="75">
        <v>44621</v>
      </c>
      <c r="J422" s="76">
        <f ca="1">EFEITO!$J$422*EFEITO!$Y$422</f>
        <v>1899.543709238374</v>
      </c>
      <c r="K422" s="76">
        <f ca="1">EFEITO!$L$422*EFEITO!$Z$422</f>
        <v>2080.1873602374285</v>
      </c>
      <c r="L422" s="76">
        <f>EFEITO!$N$422*EFEITO!$AA$422</f>
        <v>4796.4508540844909</v>
      </c>
      <c r="M422" s="76">
        <f ca="1">$J$422-EFEITO!$K$422*EFEITO!$Y$422</f>
        <v>0</v>
      </c>
      <c r="N422" s="76">
        <f ca="1">$K$422-EFEITO!$M$422*EFEITO!$Z$422</f>
        <v>0</v>
      </c>
      <c r="O422" s="76">
        <f>$L$422-EFEITO!$O$422*EFEITO!$AA$422</f>
        <v>0</v>
      </c>
      <c r="P422" s="57"/>
      <c r="Q422" s="57"/>
      <c r="R422" s="57"/>
      <c r="S422" s="57"/>
      <c r="T422" s="57"/>
      <c r="U422" s="57"/>
      <c r="V422" s="57"/>
      <c r="W422" s="57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1.25" customHeight="1" x14ac:dyDescent="0.2">
      <c r="A423" s="53" t="s">
        <v>56</v>
      </c>
      <c r="B423" s="53" t="s">
        <v>33</v>
      </c>
      <c r="C423" s="53" t="s">
        <v>42</v>
      </c>
      <c r="D423" s="53" t="s">
        <v>43</v>
      </c>
      <c r="E423" s="53" t="s">
        <v>25</v>
      </c>
      <c r="F423" s="53" t="s">
        <v>25</v>
      </c>
      <c r="G423" s="53" t="s">
        <v>25</v>
      </c>
      <c r="H423" s="53" t="s">
        <v>36</v>
      </c>
      <c r="I423" s="75">
        <v>44652</v>
      </c>
      <c r="J423" s="76">
        <f ca="1">EFEITO!$J$423*EFEITO!$Y$423</f>
        <v>149496.55685694216</v>
      </c>
      <c r="K423" s="76">
        <f ca="1">EFEITO!$L$423*EFEITO!$Z$423</f>
        <v>216289.97959252406</v>
      </c>
      <c r="L423" s="76">
        <f>EFEITO!$N$423*EFEITO!$AA$423</f>
        <v>498716.73925952025</v>
      </c>
      <c r="M423" s="76">
        <f ca="1">$J$423-EFEITO!$K$423*EFEITO!$Y$423</f>
        <v>0</v>
      </c>
      <c r="N423" s="76">
        <f ca="1">$K$423-EFEITO!$M$423*EFEITO!$Z$423</f>
        <v>0</v>
      </c>
      <c r="O423" s="76">
        <f>$L$423-EFEITO!$O$423*EFEITO!$AA$423</f>
        <v>0</v>
      </c>
      <c r="P423" s="57"/>
      <c r="Q423" s="57"/>
      <c r="R423" s="57"/>
      <c r="S423" s="57"/>
      <c r="T423" s="57"/>
      <c r="U423" s="57"/>
      <c r="V423" s="57"/>
      <c r="W423" s="57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1.25" customHeight="1" x14ac:dyDescent="0.2">
      <c r="A424" s="53" t="s">
        <v>56</v>
      </c>
      <c r="B424" s="53" t="s">
        <v>33</v>
      </c>
      <c r="C424" s="53" t="s">
        <v>42</v>
      </c>
      <c r="D424" s="53" t="s">
        <v>43</v>
      </c>
      <c r="E424" s="53" t="s">
        <v>25</v>
      </c>
      <c r="F424" s="53" t="s">
        <v>25</v>
      </c>
      <c r="G424" s="53" t="s">
        <v>25</v>
      </c>
      <c r="H424" s="53" t="s">
        <v>36</v>
      </c>
      <c r="I424" s="75">
        <v>44652</v>
      </c>
      <c r="J424" s="76">
        <f ca="1">EFEITO!$J$424*EFEITO!$Y$424</f>
        <v>1899.543709238374</v>
      </c>
      <c r="K424" s="76">
        <f ca="1">EFEITO!$L$424*EFEITO!$Z$424</f>
        <v>2080.1873602374285</v>
      </c>
      <c r="L424" s="76">
        <f>EFEITO!$N$424*EFEITO!$AA$424</f>
        <v>4796.4508540844909</v>
      </c>
      <c r="M424" s="76">
        <f ca="1">$J$424-EFEITO!$K$424*EFEITO!$Y$424</f>
        <v>0</v>
      </c>
      <c r="N424" s="76">
        <f ca="1">$K$424-EFEITO!$M$424*EFEITO!$Z$424</f>
        <v>0</v>
      </c>
      <c r="O424" s="76">
        <f>$L$424-EFEITO!$O$424*EFEITO!$AA$424</f>
        <v>0</v>
      </c>
      <c r="P424" s="57"/>
      <c r="Q424" s="57"/>
      <c r="R424" s="57"/>
      <c r="S424" s="57"/>
      <c r="T424" s="57"/>
      <c r="U424" s="57"/>
      <c r="V424" s="57"/>
      <c r="W424" s="57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1.25" customHeight="1" x14ac:dyDescent="0.2">
      <c r="A425" s="53" t="s">
        <v>21</v>
      </c>
      <c r="B425" s="53" t="s">
        <v>33</v>
      </c>
      <c r="C425" s="53" t="s">
        <v>42</v>
      </c>
      <c r="D425" s="53" t="s">
        <v>43</v>
      </c>
      <c r="E425" s="53" t="s">
        <v>25</v>
      </c>
      <c r="F425" s="53" t="s">
        <v>25</v>
      </c>
      <c r="G425" s="53" t="s">
        <v>25</v>
      </c>
      <c r="H425" s="53" t="s">
        <v>35</v>
      </c>
      <c r="I425" s="75">
        <v>44317</v>
      </c>
      <c r="J425" s="76">
        <f ca="1">EFEITO!$J$425*EFEITO!$Y$425</f>
        <v>561035.83746168122</v>
      </c>
      <c r="K425" s="76">
        <f ca="1">EFEITO!$L$425*EFEITO!$Z$425</f>
        <v>31639.073552599348</v>
      </c>
      <c r="L425" s="76">
        <f>EFEITO!$N$425*EFEITO!$AA$425</f>
        <v>114053.59903106649</v>
      </c>
      <c r="M425" s="76">
        <f ca="1">$J$425-EFEITO!$K$425*EFEITO!$Y$425</f>
        <v>0</v>
      </c>
      <c r="N425" s="76">
        <f ca="1">$K$425-EFEITO!$M$425*EFEITO!$Z$425</f>
        <v>0</v>
      </c>
      <c r="O425" s="76">
        <f>$L$425-EFEITO!$O$425*EFEITO!$AA$425</f>
        <v>0</v>
      </c>
      <c r="P425" s="57"/>
      <c r="Q425" s="57"/>
      <c r="R425" s="57"/>
      <c r="S425" s="57"/>
      <c r="T425" s="57"/>
      <c r="U425" s="57"/>
      <c r="V425" s="57"/>
      <c r="W425" s="57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1.25" customHeight="1" x14ac:dyDescent="0.2">
      <c r="A426" s="53" t="s">
        <v>27</v>
      </c>
      <c r="B426" s="53" t="s">
        <v>33</v>
      </c>
      <c r="C426" s="53" t="s">
        <v>42</v>
      </c>
      <c r="D426" s="53" t="s">
        <v>43</v>
      </c>
      <c r="E426" s="53" t="s">
        <v>25</v>
      </c>
      <c r="F426" s="53" t="s">
        <v>25</v>
      </c>
      <c r="G426" s="53" t="s">
        <v>25</v>
      </c>
      <c r="H426" s="53" t="s">
        <v>35</v>
      </c>
      <c r="I426" s="75">
        <v>44317</v>
      </c>
      <c r="J426" s="76">
        <f ca="1">EFEITO!$J$426*EFEITO!$Y$426</f>
        <v>-2977.9707456921733</v>
      </c>
      <c r="K426" s="76">
        <f ca="1">EFEITO!$L$426*EFEITO!$Z$426</f>
        <v>-160.39432217998035</v>
      </c>
      <c r="L426" s="76">
        <f>EFEITO!$N$426*EFEITO!$AA$426</f>
        <v>-578.19486017384486</v>
      </c>
      <c r="M426" s="76">
        <f ca="1">$J$426-EFEITO!$K$426*EFEITO!$Y$426</f>
        <v>0</v>
      </c>
      <c r="N426" s="76">
        <f ca="1">$K$426-EFEITO!$M$426*EFEITO!$Z$426</f>
        <v>0</v>
      </c>
      <c r="O426" s="76">
        <f>$L$426-EFEITO!$O$426*EFEITO!$AA$426</f>
        <v>0</v>
      </c>
      <c r="P426" s="57"/>
      <c r="Q426" s="57"/>
      <c r="R426" s="57"/>
      <c r="S426" s="57"/>
      <c r="T426" s="57"/>
      <c r="U426" s="57"/>
      <c r="V426" s="57"/>
      <c r="W426" s="57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1.25" customHeight="1" x14ac:dyDescent="0.2">
      <c r="A427" s="53" t="s">
        <v>28</v>
      </c>
      <c r="B427" s="53" t="s">
        <v>33</v>
      </c>
      <c r="C427" s="53" t="s">
        <v>42</v>
      </c>
      <c r="D427" s="53" t="s">
        <v>43</v>
      </c>
      <c r="E427" s="53" t="s">
        <v>25</v>
      </c>
      <c r="F427" s="53" t="s">
        <v>25</v>
      </c>
      <c r="G427" s="53" t="s">
        <v>25</v>
      </c>
      <c r="H427" s="53" t="s">
        <v>35</v>
      </c>
      <c r="I427" s="75">
        <v>44317</v>
      </c>
      <c r="J427" s="76">
        <f ca="1">EFEITO!$J$427*EFEITO!$Y$427</f>
        <v>6232.9620258673385</v>
      </c>
      <c r="K427" s="76">
        <f ca="1">EFEITO!$L$427*EFEITO!$Z$427</f>
        <v>404.51353980874808</v>
      </c>
      <c r="L427" s="76">
        <f>EFEITO!$N$427*EFEITO!$AA$427</f>
        <v>1458.2040461862364</v>
      </c>
      <c r="M427" s="76">
        <f ca="1">$J$427-EFEITO!$K$427*EFEITO!$Y$427</f>
        <v>0</v>
      </c>
      <c r="N427" s="76">
        <f ca="1">$K$427-EFEITO!$M$427*EFEITO!$Z$427</f>
        <v>0</v>
      </c>
      <c r="O427" s="76">
        <f>$L$427-EFEITO!$O$427*EFEITO!$AA$427</f>
        <v>0</v>
      </c>
      <c r="P427" s="57"/>
      <c r="Q427" s="57"/>
      <c r="R427" s="57"/>
      <c r="S427" s="57"/>
      <c r="T427" s="57"/>
      <c r="U427" s="57"/>
      <c r="V427" s="57"/>
      <c r="W427" s="57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1.25" customHeight="1" x14ac:dyDescent="0.2">
      <c r="A428" s="53" t="s">
        <v>28</v>
      </c>
      <c r="B428" s="53" t="s">
        <v>33</v>
      </c>
      <c r="C428" s="53" t="s">
        <v>42</v>
      </c>
      <c r="D428" s="53" t="s">
        <v>43</v>
      </c>
      <c r="E428" s="53" t="s">
        <v>25</v>
      </c>
      <c r="F428" s="53" t="s">
        <v>25</v>
      </c>
      <c r="G428" s="53" t="s">
        <v>25</v>
      </c>
      <c r="H428" s="53" t="s">
        <v>35</v>
      </c>
      <c r="I428" s="75">
        <v>44317</v>
      </c>
      <c r="J428" s="76">
        <f ca="1">EFEITO!$J$428*EFEITO!$Y$428</f>
        <v>-2631.695077588432</v>
      </c>
      <c r="K428" s="76">
        <f ca="1">EFEITO!$L$428*EFEITO!$Z$428</f>
        <v>-218.60193910013447</v>
      </c>
      <c r="L428" s="76">
        <f>EFEITO!$N$428*EFEITO!$AA$428</f>
        <v>-788.02364007564336</v>
      </c>
      <c r="M428" s="76">
        <f ca="1">$J$428-EFEITO!$K$428*EFEITO!$Y$428</f>
        <v>0</v>
      </c>
      <c r="N428" s="76">
        <f ca="1">$K$428-EFEITO!$M$428*EFEITO!$Z$428</f>
        <v>0</v>
      </c>
      <c r="O428" s="76">
        <f>$L$428-EFEITO!$O$428*EFEITO!$AA$428</f>
        <v>0</v>
      </c>
      <c r="P428" s="57"/>
      <c r="Q428" s="57"/>
      <c r="R428" s="57"/>
      <c r="S428" s="57"/>
      <c r="T428" s="57"/>
      <c r="U428" s="57"/>
      <c r="V428" s="57"/>
      <c r="W428" s="57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1.25" customHeight="1" x14ac:dyDescent="0.2">
      <c r="A429" s="53" t="s">
        <v>21</v>
      </c>
      <c r="B429" s="53" t="s">
        <v>33</v>
      </c>
      <c r="C429" s="53" t="s">
        <v>42</v>
      </c>
      <c r="D429" s="53" t="s">
        <v>43</v>
      </c>
      <c r="E429" s="53" t="s">
        <v>25</v>
      </c>
      <c r="F429" s="53" t="s">
        <v>25</v>
      </c>
      <c r="G429" s="53" t="s">
        <v>25</v>
      </c>
      <c r="H429" s="53" t="s">
        <v>35</v>
      </c>
      <c r="I429" s="75">
        <v>44348</v>
      </c>
      <c r="J429" s="76">
        <f ca="1">EFEITO!$J$429*EFEITO!$Y$429</f>
        <v>548015.87234098057</v>
      </c>
      <c r="K429" s="76">
        <f ca="1">EFEITO!$L$429*EFEITO!$Z$429</f>
        <v>30084.401020677411</v>
      </c>
      <c r="L429" s="76">
        <f>EFEITO!$N$429*EFEITO!$AA$429</f>
        <v>108449.26307332572</v>
      </c>
      <c r="M429" s="76">
        <f ca="1">$J$429-EFEITO!$K$429*EFEITO!$Y$429</f>
        <v>0</v>
      </c>
      <c r="N429" s="76">
        <f ca="1">$K$429-EFEITO!$M$429*EFEITO!$Z$429</f>
        <v>0</v>
      </c>
      <c r="O429" s="76">
        <f>$L$429-EFEITO!$O$429*EFEITO!$AA$429</f>
        <v>0</v>
      </c>
      <c r="P429" s="57"/>
      <c r="Q429" s="57"/>
      <c r="R429" s="57"/>
      <c r="S429" s="57"/>
      <c r="T429" s="57"/>
      <c r="U429" s="57"/>
      <c r="V429" s="57"/>
      <c r="W429" s="57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1.25" customHeight="1" x14ac:dyDescent="0.2">
      <c r="A430" s="53" t="s">
        <v>28</v>
      </c>
      <c r="B430" s="53" t="s">
        <v>33</v>
      </c>
      <c r="C430" s="53" t="s">
        <v>42</v>
      </c>
      <c r="D430" s="53" t="s">
        <v>43</v>
      </c>
      <c r="E430" s="53" t="s">
        <v>25</v>
      </c>
      <c r="F430" s="53" t="s">
        <v>25</v>
      </c>
      <c r="G430" s="53" t="s">
        <v>25</v>
      </c>
      <c r="H430" s="53" t="s">
        <v>35</v>
      </c>
      <c r="I430" s="75">
        <v>44348</v>
      </c>
      <c r="J430" s="76">
        <f ca="1">EFEITO!$J$430*EFEITO!$Y$430</f>
        <v>6232.9620258673385</v>
      </c>
      <c r="K430" s="76">
        <f ca="1">EFEITO!$L$430*EFEITO!$Z$430</f>
        <v>358.41781085379768</v>
      </c>
      <c r="L430" s="76">
        <f>EFEITO!$N$430*EFEITO!$AA$430</f>
        <v>1292.036608365014</v>
      </c>
      <c r="M430" s="76">
        <f ca="1">$J$430-EFEITO!$K$430*EFEITO!$Y$430</f>
        <v>0</v>
      </c>
      <c r="N430" s="76">
        <f ca="1">$K$430-EFEITO!$M$430*EFEITO!$Z$430</f>
        <v>0</v>
      </c>
      <c r="O430" s="76">
        <f>$L$430-EFEITO!$O$430*EFEITO!$AA$430</f>
        <v>0</v>
      </c>
      <c r="P430" s="57"/>
      <c r="Q430" s="57"/>
      <c r="R430" s="57"/>
      <c r="S430" s="57"/>
      <c r="T430" s="57"/>
      <c r="U430" s="57"/>
      <c r="V430" s="57"/>
      <c r="W430" s="57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1.25" customHeight="1" x14ac:dyDescent="0.2">
      <c r="A431" s="53" t="s">
        <v>21</v>
      </c>
      <c r="B431" s="53" t="s">
        <v>33</v>
      </c>
      <c r="C431" s="53" t="s">
        <v>42</v>
      </c>
      <c r="D431" s="53" t="s">
        <v>43</v>
      </c>
      <c r="E431" s="53" t="s">
        <v>25</v>
      </c>
      <c r="F431" s="53" t="s">
        <v>25</v>
      </c>
      <c r="G431" s="53" t="s">
        <v>25</v>
      </c>
      <c r="H431" s="53" t="s">
        <v>35</v>
      </c>
      <c r="I431" s="75">
        <v>44378</v>
      </c>
      <c r="J431" s="76">
        <f ca="1">EFEITO!$J$431*EFEITO!$Y$431</f>
        <v>555980.21270736668</v>
      </c>
      <c r="K431" s="76">
        <f ca="1">EFEITO!$L$431*EFEITO!$Z$431</f>
        <v>37005.227876911093</v>
      </c>
      <c r="L431" s="76">
        <f>EFEITO!$N$431*EFEITO!$AA$431</f>
        <v>133397.69305538706</v>
      </c>
      <c r="M431" s="76">
        <f ca="1">$J$431-EFEITO!$K$431*EFEITO!$Y$431</f>
        <v>0</v>
      </c>
      <c r="N431" s="76">
        <f ca="1">$K$431-EFEITO!$M$431*EFEITO!$Z$431</f>
        <v>0</v>
      </c>
      <c r="O431" s="76">
        <f>$L$431-EFEITO!$O$431*EFEITO!$AA$431</f>
        <v>0</v>
      </c>
      <c r="P431" s="57"/>
      <c r="Q431" s="57"/>
      <c r="R431" s="57"/>
      <c r="S431" s="57"/>
      <c r="T431" s="57"/>
      <c r="U431" s="57"/>
      <c r="V431" s="57"/>
      <c r="W431" s="57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1.25" customHeight="1" x14ac:dyDescent="0.2">
      <c r="A432" s="53" t="s">
        <v>28</v>
      </c>
      <c r="B432" s="53" t="s">
        <v>33</v>
      </c>
      <c r="C432" s="53" t="s">
        <v>42</v>
      </c>
      <c r="D432" s="53" t="s">
        <v>43</v>
      </c>
      <c r="E432" s="53" t="s">
        <v>25</v>
      </c>
      <c r="F432" s="53" t="s">
        <v>25</v>
      </c>
      <c r="G432" s="53" t="s">
        <v>25</v>
      </c>
      <c r="H432" s="53" t="s">
        <v>35</v>
      </c>
      <c r="I432" s="75">
        <v>44378</v>
      </c>
      <c r="J432" s="76">
        <f ca="1">EFEITO!$J$432*EFEITO!$Y$432</f>
        <v>6232.9620258673385</v>
      </c>
      <c r="K432" s="76">
        <f ca="1">EFEITO!$L$432*EFEITO!$Z$432</f>
        <v>359.71131345202338</v>
      </c>
      <c r="L432" s="76">
        <f>EFEITO!$N$432*EFEITO!$AA$432</f>
        <v>1296.6994701406097</v>
      </c>
      <c r="M432" s="76">
        <f ca="1">$J$432-EFEITO!$K$432*EFEITO!$Y$432</f>
        <v>0</v>
      </c>
      <c r="N432" s="76">
        <f ca="1">$K$432-EFEITO!$M$432*EFEITO!$Z$432</f>
        <v>0</v>
      </c>
      <c r="O432" s="76">
        <f>$L$432-EFEITO!$O$432*EFEITO!$AA$432</f>
        <v>0</v>
      </c>
      <c r="P432" s="57"/>
      <c r="Q432" s="57"/>
      <c r="R432" s="57"/>
      <c r="S432" s="57"/>
      <c r="T432" s="57"/>
      <c r="U432" s="57"/>
      <c r="V432" s="57"/>
      <c r="W432" s="57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1.25" customHeight="1" x14ac:dyDescent="0.2">
      <c r="A433" s="53" t="s">
        <v>21</v>
      </c>
      <c r="B433" s="53" t="s">
        <v>33</v>
      </c>
      <c r="C433" s="53" t="s">
        <v>42</v>
      </c>
      <c r="D433" s="53" t="s">
        <v>43</v>
      </c>
      <c r="E433" s="53" t="s">
        <v>25</v>
      </c>
      <c r="F433" s="53" t="s">
        <v>25</v>
      </c>
      <c r="G433" s="53" t="s">
        <v>25</v>
      </c>
      <c r="H433" s="53" t="s">
        <v>35</v>
      </c>
      <c r="I433" s="75">
        <v>44409</v>
      </c>
      <c r="J433" s="76">
        <f ca="1">EFEITO!$J$433*EFEITO!$Y$433</f>
        <v>520313.81889268133</v>
      </c>
      <c r="K433" s="76">
        <f ca="1">EFEITO!$L$433*EFEITO!$Z$433</f>
        <v>31275.599322497939</v>
      </c>
      <c r="L433" s="76">
        <f>EFEITO!$N$433*EFEITO!$AA$433</f>
        <v>112743.33487212415</v>
      </c>
      <c r="M433" s="76">
        <f ca="1">$J$433-EFEITO!$K$433*EFEITO!$Y$433</f>
        <v>0</v>
      </c>
      <c r="N433" s="76">
        <f ca="1">$K$433-EFEITO!$M$433*EFEITO!$Z$433</f>
        <v>0</v>
      </c>
      <c r="O433" s="76">
        <f>$L$433-EFEITO!$O$433*EFEITO!$AA$433</f>
        <v>0</v>
      </c>
      <c r="P433" s="57"/>
      <c r="Q433" s="57"/>
      <c r="R433" s="57"/>
      <c r="S433" s="57"/>
      <c r="T433" s="57"/>
      <c r="U433" s="57"/>
      <c r="V433" s="57"/>
      <c r="W433" s="57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1.25" customHeight="1" x14ac:dyDescent="0.2">
      <c r="A434" s="53" t="s">
        <v>28</v>
      </c>
      <c r="B434" s="53" t="s">
        <v>33</v>
      </c>
      <c r="C434" s="53" t="s">
        <v>42</v>
      </c>
      <c r="D434" s="53" t="s">
        <v>43</v>
      </c>
      <c r="E434" s="53" t="s">
        <v>25</v>
      </c>
      <c r="F434" s="53" t="s">
        <v>25</v>
      </c>
      <c r="G434" s="53" t="s">
        <v>25</v>
      </c>
      <c r="H434" s="53" t="s">
        <v>35</v>
      </c>
      <c r="I434" s="75">
        <v>44409</v>
      </c>
      <c r="J434" s="76">
        <f ca="1">EFEITO!$J$434*EFEITO!$Y$434</f>
        <v>5678.9209569013528</v>
      </c>
      <c r="K434" s="76">
        <f ca="1">EFEITO!$L$434*EFEITO!$Z$434</f>
        <v>379.34903471599455</v>
      </c>
      <c r="L434" s="76">
        <f>EFEITO!$N$434*EFEITO!$AA$434</f>
        <v>1367.4901898246508</v>
      </c>
      <c r="M434" s="76">
        <f ca="1">$J$434-EFEITO!$K$434*EFEITO!$Y$434</f>
        <v>0</v>
      </c>
      <c r="N434" s="76">
        <f ca="1">$K$434-EFEITO!$M$434*EFEITO!$Z$434</f>
        <v>0</v>
      </c>
      <c r="O434" s="76">
        <f>$L$434-EFEITO!$O$434*EFEITO!$AA$434</f>
        <v>0</v>
      </c>
      <c r="P434" s="57"/>
      <c r="Q434" s="57"/>
      <c r="R434" s="57"/>
      <c r="S434" s="57"/>
      <c r="T434" s="57"/>
      <c r="U434" s="57"/>
      <c r="V434" s="57"/>
      <c r="W434" s="57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1.25" customHeight="1" x14ac:dyDescent="0.2">
      <c r="A435" s="53" t="s">
        <v>21</v>
      </c>
      <c r="B435" s="53" t="s">
        <v>33</v>
      </c>
      <c r="C435" s="53" t="s">
        <v>42</v>
      </c>
      <c r="D435" s="53" t="s">
        <v>43</v>
      </c>
      <c r="E435" s="53" t="s">
        <v>25</v>
      </c>
      <c r="F435" s="53" t="s">
        <v>25</v>
      </c>
      <c r="G435" s="53" t="s">
        <v>25</v>
      </c>
      <c r="H435" s="53" t="s">
        <v>35</v>
      </c>
      <c r="I435" s="75">
        <v>44440</v>
      </c>
      <c r="J435" s="76">
        <f ca="1">EFEITO!$J$435*EFEITO!$Y$435</f>
        <v>564637.10440996021</v>
      </c>
      <c r="K435" s="76">
        <f ca="1">EFEITO!$L$435*EFEITO!$Z$435</f>
        <v>34673.865830327304</v>
      </c>
      <c r="L435" s="76">
        <f>EFEITO!$N$435*EFEITO!$AA$435</f>
        <v>124993.52054966369</v>
      </c>
      <c r="M435" s="76">
        <f ca="1">$J$435-EFEITO!$K$435*EFEITO!$Y$435</f>
        <v>0</v>
      </c>
      <c r="N435" s="76">
        <f ca="1">$K$435-EFEITO!$M$435*EFEITO!$Z$435</f>
        <v>0</v>
      </c>
      <c r="O435" s="76">
        <f>$L$435-EFEITO!$O$435*EFEITO!$AA$435</f>
        <v>0</v>
      </c>
      <c r="P435" s="57"/>
      <c r="Q435" s="57"/>
      <c r="R435" s="57"/>
      <c r="S435" s="57"/>
      <c r="T435" s="57"/>
      <c r="U435" s="57"/>
      <c r="V435" s="57"/>
      <c r="W435" s="57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1.25" customHeight="1" x14ac:dyDescent="0.2">
      <c r="A436" s="53" t="s">
        <v>27</v>
      </c>
      <c r="B436" s="53" t="s">
        <v>33</v>
      </c>
      <c r="C436" s="53" t="s">
        <v>42</v>
      </c>
      <c r="D436" s="53" t="s">
        <v>43</v>
      </c>
      <c r="E436" s="53" t="s">
        <v>25</v>
      </c>
      <c r="F436" s="53" t="s">
        <v>25</v>
      </c>
      <c r="G436" s="53" t="s">
        <v>25</v>
      </c>
      <c r="H436" s="53" t="s">
        <v>35</v>
      </c>
      <c r="I436" s="75">
        <v>44440</v>
      </c>
      <c r="J436" s="76">
        <f ca="1">EFEITO!$J$436*EFEITO!$Y$436</f>
        <v>14543.578060357124</v>
      </c>
      <c r="K436" s="76">
        <f ca="1">EFEITO!$L$436*EFEITO!$Z$436</f>
        <v>878.40585534050808</v>
      </c>
      <c r="L436" s="76">
        <f>EFEITO!$N$436*EFEITO!$AA$436</f>
        <v>3166.5070421544142</v>
      </c>
      <c r="M436" s="76">
        <f ca="1">$J$436-EFEITO!$K$436*EFEITO!$Y$436</f>
        <v>0</v>
      </c>
      <c r="N436" s="76">
        <f ca="1">$K$436-EFEITO!$M$436*EFEITO!$Z$436</f>
        <v>0</v>
      </c>
      <c r="O436" s="76">
        <f>$L$436-EFEITO!$O$436*EFEITO!$AA$436</f>
        <v>0</v>
      </c>
      <c r="P436" s="57"/>
      <c r="Q436" s="57"/>
      <c r="R436" s="57"/>
      <c r="S436" s="57"/>
      <c r="T436" s="57"/>
      <c r="U436" s="57"/>
      <c r="V436" s="57"/>
      <c r="W436" s="57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1.25" customHeight="1" x14ac:dyDescent="0.2">
      <c r="A437" s="53" t="s">
        <v>28</v>
      </c>
      <c r="B437" s="53" t="s">
        <v>33</v>
      </c>
      <c r="C437" s="53" t="s">
        <v>42</v>
      </c>
      <c r="D437" s="53" t="s">
        <v>43</v>
      </c>
      <c r="E437" s="53" t="s">
        <v>25</v>
      </c>
      <c r="F437" s="53" t="s">
        <v>25</v>
      </c>
      <c r="G437" s="53" t="s">
        <v>25</v>
      </c>
      <c r="H437" s="53" t="s">
        <v>35</v>
      </c>
      <c r="I437" s="75">
        <v>44440</v>
      </c>
      <c r="J437" s="76">
        <f ca="1">EFEITO!$J$437*EFEITO!$Y$437</f>
        <v>5678.9209569013528</v>
      </c>
      <c r="K437" s="76">
        <f ca="1">EFEITO!$L$437*EFEITO!$Z$437</f>
        <v>365.5908707166854</v>
      </c>
      <c r="L437" s="76">
        <f>EFEITO!$N$437*EFEITO!$AA$437</f>
        <v>1317.8942963933164</v>
      </c>
      <c r="M437" s="76">
        <f ca="1">$J$437-EFEITO!$K$437*EFEITO!$Y$437</f>
        <v>0</v>
      </c>
      <c r="N437" s="76">
        <f ca="1">$K$437-EFEITO!$M$437*EFEITO!$Z$437</f>
        <v>0</v>
      </c>
      <c r="O437" s="76">
        <f>$L$437-EFEITO!$O$437*EFEITO!$AA$437</f>
        <v>0</v>
      </c>
      <c r="P437" s="57"/>
      <c r="Q437" s="57"/>
      <c r="R437" s="57"/>
      <c r="S437" s="57"/>
      <c r="T437" s="57"/>
      <c r="U437" s="57"/>
      <c r="V437" s="57"/>
      <c r="W437" s="57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1.25" customHeight="1" x14ac:dyDescent="0.2">
      <c r="A438" s="53" t="s">
        <v>21</v>
      </c>
      <c r="B438" s="53" t="s">
        <v>33</v>
      </c>
      <c r="C438" s="53" t="s">
        <v>42</v>
      </c>
      <c r="D438" s="53" t="s">
        <v>43</v>
      </c>
      <c r="E438" s="53" t="s">
        <v>25</v>
      </c>
      <c r="F438" s="53" t="s">
        <v>25</v>
      </c>
      <c r="G438" s="53" t="s">
        <v>25</v>
      </c>
      <c r="H438" s="53" t="s">
        <v>35</v>
      </c>
      <c r="I438" s="75">
        <v>44470</v>
      </c>
      <c r="J438" s="76">
        <f ca="1">EFEITO!$J$438*EFEITO!$Y$438</f>
        <v>539358.98063838703</v>
      </c>
      <c r="K438" s="76">
        <f ca="1">EFEITO!$L$438*EFEITO!$Z$438</f>
        <v>33780.290717243966</v>
      </c>
      <c r="L438" s="76">
        <f>EFEITO!$N$438*EFEITO!$AA$438</f>
        <v>121772.3308557773</v>
      </c>
      <c r="M438" s="76">
        <f ca="1">$J$438-EFEITO!$K$438*EFEITO!$Y$438</f>
        <v>0</v>
      </c>
      <c r="N438" s="76">
        <f ca="1">$K$438-EFEITO!$M$438*EFEITO!$Z$438</f>
        <v>0</v>
      </c>
      <c r="O438" s="76">
        <f>$L$438-EFEITO!$O$438*EFEITO!$AA$438</f>
        <v>0</v>
      </c>
      <c r="P438" s="57"/>
      <c r="Q438" s="57"/>
      <c r="R438" s="57"/>
      <c r="S438" s="57"/>
      <c r="T438" s="57"/>
      <c r="U438" s="57"/>
      <c r="V438" s="57"/>
      <c r="W438" s="57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1.25" customHeight="1" x14ac:dyDescent="0.2">
      <c r="A439" s="53" t="s">
        <v>28</v>
      </c>
      <c r="B439" s="53" t="s">
        <v>33</v>
      </c>
      <c r="C439" s="53" t="s">
        <v>42</v>
      </c>
      <c r="D439" s="53" t="s">
        <v>43</v>
      </c>
      <c r="E439" s="53" t="s">
        <v>25</v>
      </c>
      <c r="F439" s="53" t="s">
        <v>25</v>
      </c>
      <c r="G439" s="53" t="s">
        <v>25</v>
      </c>
      <c r="H439" s="53" t="s">
        <v>35</v>
      </c>
      <c r="I439" s="75">
        <v>44470</v>
      </c>
      <c r="J439" s="76">
        <f ca="1">EFEITO!$J$439*EFEITO!$Y$439</f>
        <v>6440.7274267295834</v>
      </c>
      <c r="K439" s="76">
        <f ca="1">EFEITO!$L$439*EFEITO!$Z$439</f>
        <v>404.98390438992101</v>
      </c>
      <c r="L439" s="76">
        <f>EFEITO!$N$439*EFEITO!$AA$439</f>
        <v>1459.8996322864527</v>
      </c>
      <c r="M439" s="76">
        <f ca="1">$J$439-EFEITO!$K$439*EFEITO!$Y$439</f>
        <v>0</v>
      </c>
      <c r="N439" s="76">
        <f ca="1">$K$439-EFEITO!$M$439*EFEITO!$Z$439</f>
        <v>0</v>
      </c>
      <c r="O439" s="76">
        <f>$L$439-EFEITO!$O$439*EFEITO!$AA$439</f>
        <v>0</v>
      </c>
      <c r="P439" s="57"/>
      <c r="Q439" s="57"/>
      <c r="R439" s="57"/>
      <c r="S439" s="57"/>
      <c r="T439" s="57"/>
      <c r="U439" s="57"/>
      <c r="V439" s="57"/>
      <c r="W439" s="57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1.25" customHeight="1" x14ac:dyDescent="0.2">
      <c r="A440" s="53" t="s">
        <v>21</v>
      </c>
      <c r="B440" s="53" t="s">
        <v>33</v>
      </c>
      <c r="C440" s="53" t="s">
        <v>42</v>
      </c>
      <c r="D440" s="53" t="s">
        <v>43</v>
      </c>
      <c r="E440" s="53" t="s">
        <v>25</v>
      </c>
      <c r="F440" s="53" t="s">
        <v>25</v>
      </c>
      <c r="G440" s="53" t="s">
        <v>25</v>
      </c>
      <c r="H440" s="53" t="s">
        <v>35</v>
      </c>
      <c r="I440" s="75">
        <v>44501</v>
      </c>
      <c r="J440" s="76">
        <f ca="1">EFEITO!$J$440*EFEITO!$Y$440</f>
        <v>497528.87993145513</v>
      </c>
      <c r="K440" s="76">
        <f ca="1">EFEITO!$L$440*EFEITO!$Z$440</f>
        <v>32791.114003037226</v>
      </c>
      <c r="L440" s="76">
        <f>EFEITO!$N$440*EFEITO!$AA$440</f>
        <v>118206.51328702189</v>
      </c>
      <c r="M440" s="76">
        <f ca="1">$J$440-EFEITO!$K$440*EFEITO!$Y$440</f>
        <v>0</v>
      </c>
      <c r="N440" s="76">
        <f ca="1">$K$440-EFEITO!$M$440*EFEITO!$Z$440</f>
        <v>0</v>
      </c>
      <c r="O440" s="76">
        <f>$L$440-EFEITO!$O$440*EFEITO!$AA$440</f>
        <v>0</v>
      </c>
      <c r="P440" s="57"/>
      <c r="Q440" s="57"/>
      <c r="R440" s="57"/>
      <c r="S440" s="57"/>
      <c r="T440" s="57"/>
      <c r="U440" s="57"/>
      <c r="V440" s="57"/>
      <c r="W440" s="57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1.25" customHeight="1" x14ac:dyDescent="0.2">
      <c r="A441" s="53" t="s">
        <v>27</v>
      </c>
      <c r="B441" s="53" t="s">
        <v>33</v>
      </c>
      <c r="C441" s="53" t="s">
        <v>42</v>
      </c>
      <c r="D441" s="53" t="s">
        <v>43</v>
      </c>
      <c r="E441" s="53" t="s">
        <v>25</v>
      </c>
      <c r="F441" s="53" t="s">
        <v>25</v>
      </c>
      <c r="G441" s="53" t="s">
        <v>25</v>
      </c>
      <c r="H441" s="53" t="s">
        <v>35</v>
      </c>
      <c r="I441" s="75">
        <v>44501</v>
      </c>
      <c r="J441" s="76">
        <f ca="1">EFEITO!$J$441*EFEITO!$Y$441</f>
        <v>692.55133620748211</v>
      </c>
      <c r="K441" s="76">
        <f ca="1">EFEITO!$L$441*EFEITO!$Z$441</f>
        <v>-1.2935025982256478</v>
      </c>
      <c r="L441" s="76">
        <f>EFEITO!$N$441*EFEITO!$AA$441</f>
        <v>-4.6628617755955233</v>
      </c>
      <c r="M441" s="76">
        <f ca="1">$J$441-EFEITO!$K$441*EFEITO!$Y$441</f>
        <v>0</v>
      </c>
      <c r="N441" s="76">
        <f ca="1">$K$441-EFEITO!$M$441*EFEITO!$Z$441</f>
        <v>0</v>
      </c>
      <c r="O441" s="76">
        <f>$L$441-EFEITO!$O$441*EFEITO!$AA$441</f>
        <v>0</v>
      </c>
      <c r="P441" s="57"/>
      <c r="Q441" s="57"/>
      <c r="R441" s="57"/>
      <c r="S441" s="57"/>
      <c r="T441" s="57"/>
      <c r="U441" s="57"/>
      <c r="V441" s="57"/>
      <c r="W441" s="57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1.25" customHeight="1" x14ac:dyDescent="0.2">
      <c r="A442" s="53" t="s">
        <v>28</v>
      </c>
      <c r="B442" s="53" t="s">
        <v>33</v>
      </c>
      <c r="C442" s="53" t="s">
        <v>42</v>
      </c>
      <c r="D442" s="53" t="s">
        <v>43</v>
      </c>
      <c r="E442" s="53" t="s">
        <v>25</v>
      </c>
      <c r="F442" s="53" t="s">
        <v>25</v>
      </c>
      <c r="G442" s="53" t="s">
        <v>25</v>
      </c>
      <c r="H442" s="53" t="s">
        <v>35</v>
      </c>
      <c r="I442" s="75">
        <v>44501</v>
      </c>
      <c r="J442" s="76">
        <f ca="1">EFEITO!$J$442*EFEITO!$Y$442</f>
        <v>5678.9209569013528</v>
      </c>
      <c r="K442" s="76">
        <f ca="1">EFEITO!$L$442*EFEITO!$Z$442</f>
        <v>351.1271598456168</v>
      </c>
      <c r="L442" s="76">
        <f>EFEITO!$N$442*EFEITO!$AA$442</f>
        <v>1265.7550238116576</v>
      </c>
      <c r="M442" s="76">
        <f ca="1">$J$442-EFEITO!$K$442*EFEITO!$Y$442</f>
        <v>0</v>
      </c>
      <c r="N442" s="76">
        <f ca="1">$K$442-EFEITO!$M$442*EFEITO!$Z$442</f>
        <v>0</v>
      </c>
      <c r="O442" s="76">
        <f>$L$442-EFEITO!$O$442*EFEITO!$AA$442</f>
        <v>0</v>
      </c>
      <c r="P442" s="57"/>
      <c r="Q442" s="57"/>
      <c r="R442" s="57"/>
      <c r="S442" s="57"/>
      <c r="T442" s="57"/>
      <c r="U442" s="57"/>
      <c r="V442" s="57"/>
      <c r="W442" s="57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1.25" customHeight="1" x14ac:dyDescent="0.2">
      <c r="A443" s="53" t="s">
        <v>21</v>
      </c>
      <c r="B443" s="53" t="s">
        <v>33</v>
      </c>
      <c r="C443" s="53" t="s">
        <v>42</v>
      </c>
      <c r="D443" s="53" t="s">
        <v>43</v>
      </c>
      <c r="E443" s="53" t="s">
        <v>25</v>
      </c>
      <c r="F443" s="53" t="s">
        <v>25</v>
      </c>
      <c r="G443" s="53" t="s">
        <v>25</v>
      </c>
      <c r="H443" s="53" t="s">
        <v>35</v>
      </c>
      <c r="I443" s="75">
        <v>44531</v>
      </c>
      <c r="J443" s="76">
        <f ca="1">EFEITO!$J$443*EFEITO!$Y$443</f>
        <v>475367.23717281572</v>
      </c>
      <c r="K443" s="76">
        <f ca="1">EFEITO!$L$443*EFEITO!$Z$443</f>
        <v>34467.375779192378</v>
      </c>
      <c r="L443" s="76">
        <f>EFEITO!$N$443*EFEITO!$AA$443</f>
        <v>124249.15825166865</v>
      </c>
      <c r="M443" s="76">
        <f ca="1">$J$443-EFEITO!$K$443*EFEITO!$Y$443</f>
        <v>0</v>
      </c>
      <c r="N443" s="76">
        <f ca="1">$K$443-EFEITO!$M$443*EFEITO!$Z$443</f>
        <v>0</v>
      </c>
      <c r="O443" s="76">
        <f>$L$443-EFEITO!$O$443*EFEITO!$AA$443</f>
        <v>0</v>
      </c>
      <c r="P443" s="57"/>
      <c r="Q443" s="57"/>
      <c r="R443" s="57"/>
      <c r="S443" s="57"/>
      <c r="T443" s="57"/>
      <c r="U443" s="57"/>
      <c r="V443" s="57"/>
      <c r="W443" s="57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1.25" customHeight="1" x14ac:dyDescent="0.2">
      <c r="A444" s="53" t="s">
        <v>28</v>
      </c>
      <c r="B444" s="53" t="s">
        <v>33</v>
      </c>
      <c r="C444" s="53" t="s">
        <v>42</v>
      </c>
      <c r="D444" s="53" t="s">
        <v>43</v>
      </c>
      <c r="E444" s="53" t="s">
        <v>25</v>
      </c>
      <c r="F444" s="53" t="s">
        <v>25</v>
      </c>
      <c r="G444" s="53" t="s">
        <v>25</v>
      </c>
      <c r="H444" s="53" t="s">
        <v>35</v>
      </c>
      <c r="I444" s="75">
        <v>44531</v>
      </c>
      <c r="J444" s="76">
        <f ca="1">EFEITO!$J$444*EFEITO!$Y$444</f>
        <v>5678.9209569013528</v>
      </c>
      <c r="K444" s="76">
        <f ca="1">EFEITO!$L$444*EFEITO!$Z$444</f>
        <v>457.54714633599963</v>
      </c>
      <c r="L444" s="76">
        <f>EFEITO!$N$444*EFEITO!$AA$444</f>
        <v>1649.3813789856529</v>
      </c>
      <c r="M444" s="76">
        <f ca="1">$J$444-EFEITO!$K$444*EFEITO!$Y$444</f>
        <v>0</v>
      </c>
      <c r="N444" s="76">
        <f ca="1">$K$444-EFEITO!$M$444*EFEITO!$Z$444</f>
        <v>0</v>
      </c>
      <c r="O444" s="76">
        <f>$L$444-EFEITO!$O$444*EFEITO!$AA$444</f>
        <v>0</v>
      </c>
      <c r="P444" s="57"/>
      <c r="Q444" s="57"/>
      <c r="R444" s="57"/>
      <c r="S444" s="57"/>
      <c r="T444" s="57"/>
      <c r="U444" s="57"/>
      <c r="V444" s="57"/>
      <c r="W444" s="57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1.25" customHeight="1" x14ac:dyDescent="0.2">
      <c r="A445" s="53" t="s">
        <v>21</v>
      </c>
      <c r="B445" s="53" t="s">
        <v>33</v>
      </c>
      <c r="C445" s="53" t="s">
        <v>42</v>
      </c>
      <c r="D445" s="53" t="s">
        <v>43</v>
      </c>
      <c r="E445" s="53" t="s">
        <v>25</v>
      </c>
      <c r="F445" s="53" t="s">
        <v>25</v>
      </c>
      <c r="G445" s="53" t="s">
        <v>25</v>
      </c>
      <c r="H445" s="53" t="s">
        <v>35</v>
      </c>
      <c r="I445" s="75">
        <v>44562</v>
      </c>
      <c r="J445" s="76">
        <f ca="1">EFEITO!$J$445*EFEITO!$Y$445</f>
        <v>472042.9907590198</v>
      </c>
      <c r="K445" s="76">
        <f ca="1">EFEITO!$L$445*EFEITO!$Z$445</f>
        <v>31730.206690201605</v>
      </c>
      <c r="L445" s="76">
        <f>EFEITO!$N$445*EFEITO!$AA$445</f>
        <v>114382.11883798345</v>
      </c>
      <c r="M445" s="76">
        <f ca="1">$J$445-EFEITO!$K$445*EFEITO!$Y$445</f>
        <v>0</v>
      </c>
      <c r="N445" s="76">
        <f ca="1">$K$445-EFEITO!$M$445*EFEITO!$Z$445</f>
        <v>0</v>
      </c>
      <c r="O445" s="76">
        <f>$L$445-EFEITO!$O$445*EFEITO!$AA$445</f>
        <v>0</v>
      </c>
      <c r="P445" s="57"/>
      <c r="Q445" s="57"/>
      <c r="R445" s="57"/>
      <c r="S445" s="57"/>
      <c r="T445" s="57"/>
      <c r="U445" s="57"/>
      <c r="V445" s="57"/>
      <c r="W445" s="57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1.25" customHeight="1" x14ac:dyDescent="0.2">
      <c r="A446" s="53" t="s">
        <v>27</v>
      </c>
      <c r="B446" s="53" t="s">
        <v>33</v>
      </c>
      <c r="C446" s="53" t="s">
        <v>42</v>
      </c>
      <c r="D446" s="53" t="s">
        <v>43</v>
      </c>
      <c r="E446" s="53" t="s">
        <v>25</v>
      </c>
      <c r="F446" s="53" t="s">
        <v>25</v>
      </c>
      <c r="G446" s="53" t="s">
        <v>25</v>
      </c>
      <c r="H446" s="53" t="s">
        <v>35</v>
      </c>
      <c r="I446" s="75">
        <v>44562</v>
      </c>
      <c r="J446" s="76">
        <f ca="1">EFEITO!$J$446*EFEITO!$Y$446</f>
        <v>-22646.428693984664</v>
      </c>
      <c r="K446" s="76">
        <f ca="1">EFEITO!$L$446*EFEITO!$Z$446</f>
        <v>-1557.9650839901462</v>
      </c>
      <c r="L446" s="76">
        <f>EFEITO!$N$446*EFEITO!$AA$446</f>
        <v>-5616.2050604422811</v>
      </c>
      <c r="M446" s="76">
        <f ca="1">$J$446-EFEITO!$K$446*EFEITO!$Y$446</f>
        <v>0</v>
      </c>
      <c r="N446" s="76">
        <f ca="1">$K$446-EFEITO!$M$446*EFEITO!$Z$446</f>
        <v>0</v>
      </c>
      <c r="O446" s="76">
        <f>$L$446-EFEITO!$O$446*EFEITO!$AA$446</f>
        <v>0</v>
      </c>
      <c r="P446" s="57"/>
      <c r="Q446" s="57"/>
      <c r="R446" s="57"/>
      <c r="S446" s="57"/>
      <c r="T446" s="57"/>
      <c r="U446" s="57"/>
      <c r="V446" s="57"/>
      <c r="W446" s="57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1.25" customHeight="1" x14ac:dyDescent="0.2">
      <c r="A447" s="53" t="s">
        <v>28</v>
      </c>
      <c r="B447" s="53" t="s">
        <v>33</v>
      </c>
      <c r="C447" s="53" t="s">
        <v>42</v>
      </c>
      <c r="D447" s="53" t="s">
        <v>43</v>
      </c>
      <c r="E447" s="53" t="s">
        <v>25</v>
      </c>
      <c r="F447" s="53" t="s">
        <v>25</v>
      </c>
      <c r="G447" s="53" t="s">
        <v>25</v>
      </c>
      <c r="H447" s="53" t="s">
        <v>35</v>
      </c>
      <c r="I447" s="75">
        <v>44562</v>
      </c>
      <c r="J447" s="76">
        <f ca="1">EFEITO!$J$447*EFEITO!$Y$447</f>
        <v>5678.9209569013528</v>
      </c>
      <c r="K447" s="76">
        <f ca="1">EFEITO!$L$447*EFEITO!$Z$447</f>
        <v>312.43967304414059</v>
      </c>
      <c r="L447" s="76">
        <f>EFEITO!$N$447*EFEITO!$AA$447</f>
        <v>1126.2930670688459</v>
      </c>
      <c r="M447" s="76">
        <f ca="1">$J$447-EFEITO!$K$447*EFEITO!$Y$447</f>
        <v>0</v>
      </c>
      <c r="N447" s="76">
        <f ca="1">$K$447-EFEITO!$M$447*EFEITO!$Z$447</f>
        <v>0</v>
      </c>
      <c r="O447" s="76">
        <f>$L$447-EFEITO!$O$447*EFEITO!$AA$447</f>
        <v>0</v>
      </c>
      <c r="P447" s="57"/>
      <c r="Q447" s="57"/>
      <c r="R447" s="57"/>
      <c r="S447" s="57"/>
      <c r="T447" s="57"/>
      <c r="U447" s="57"/>
      <c r="V447" s="57"/>
      <c r="W447" s="57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1.25" customHeight="1" x14ac:dyDescent="0.2">
      <c r="A448" s="53" t="s">
        <v>21</v>
      </c>
      <c r="B448" s="53" t="s">
        <v>33</v>
      </c>
      <c r="C448" s="53" t="s">
        <v>42</v>
      </c>
      <c r="D448" s="53" t="s">
        <v>43</v>
      </c>
      <c r="E448" s="53" t="s">
        <v>25</v>
      </c>
      <c r="F448" s="53" t="s">
        <v>25</v>
      </c>
      <c r="G448" s="53" t="s">
        <v>25</v>
      </c>
      <c r="H448" s="53" t="s">
        <v>35</v>
      </c>
      <c r="I448" s="75">
        <v>44593</v>
      </c>
      <c r="J448" s="76">
        <f ca="1">EFEITO!$J$448*EFEITO!$Y$448</f>
        <v>443302.1103064093</v>
      </c>
      <c r="K448" s="76">
        <f ca="1">EFEITO!$L$448*EFEITO!$Z$448</f>
        <v>28840.757068056097</v>
      </c>
      <c r="L448" s="76">
        <f>EFEITO!$N$448*EFEITO!$AA$448</f>
        <v>103966.13342435316</v>
      </c>
      <c r="M448" s="76">
        <f ca="1">$J$448-EFEITO!$K$448*EFEITO!$Y$448</f>
        <v>0</v>
      </c>
      <c r="N448" s="76">
        <f ca="1">$K$448-EFEITO!$M$448*EFEITO!$Z$448</f>
        <v>0</v>
      </c>
      <c r="O448" s="76">
        <f>$L$448-EFEITO!$O$448*EFEITO!$AA$448</f>
        <v>0</v>
      </c>
      <c r="P448" s="57"/>
      <c r="Q448" s="57"/>
      <c r="R448" s="57"/>
      <c r="S448" s="57"/>
      <c r="T448" s="57"/>
      <c r="U448" s="57"/>
      <c r="V448" s="57"/>
      <c r="W448" s="57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1.25" customHeight="1" x14ac:dyDescent="0.2">
      <c r="A449" s="53" t="s">
        <v>28</v>
      </c>
      <c r="B449" s="53" t="s">
        <v>33</v>
      </c>
      <c r="C449" s="53" t="s">
        <v>42</v>
      </c>
      <c r="D449" s="53" t="s">
        <v>43</v>
      </c>
      <c r="E449" s="53" t="s">
        <v>25</v>
      </c>
      <c r="F449" s="53" t="s">
        <v>25</v>
      </c>
      <c r="G449" s="53" t="s">
        <v>25</v>
      </c>
      <c r="H449" s="53" t="s">
        <v>35</v>
      </c>
      <c r="I449" s="75">
        <v>44593</v>
      </c>
      <c r="J449" s="76">
        <f ca="1">EFEITO!$J$449*EFEITO!$Y$449</f>
        <v>5678.9209569013528</v>
      </c>
      <c r="K449" s="76">
        <f ca="1">EFEITO!$L$449*EFEITO!$Z$449</f>
        <v>259.87643109806197</v>
      </c>
      <c r="L449" s="76">
        <f>EFEITO!$N$449*EFEITO!$AA$449</f>
        <v>936.81132036964595</v>
      </c>
      <c r="M449" s="76">
        <f ca="1">$J$449-EFEITO!$K$449*EFEITO!$Y$449</f>
        <v>0</v>
      </c>
      <c r="N449" s="76">
        <f ca="1">$K$449-EFEITO!$M$449*EFEITO!$Z$449</f>
        <v>0</v>
      </c>
      <c r="O449" s="76">
        <f>$L$449-EFEITO!$O$449*EFEITO!$AA$449</f>
        <v>0</v>
      </c>
      <c r="P449" s="57"/>
      <c r="Q449" s="57"/>
      <c r="R449" s="57"/>
      <c r="S449" s="57"/>
      <c r="T449" s="57"/>
      <c r="U449" s="57"/>
      <c r="V449" s="57"/>
      <c r="W449" s="57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1.25" customHeight="1" x14ac:dyDescent="0.2">
      <c r="A450" s="53" t="s">
        <v>21</v>
      </c>
      <c r="B450" s="53" t="s">
        <v>33</v>
      </c>
      <c r="C450" s="53" t="s">
        <v>42</v>
      </c>
      <c r="D450" s="53" t="s">
        <v>43</v>
      </c>
      <c r="E450" s="53" t="s">
        <v>25</v>
      </c>
      <c r="F450" s="53" t="s">
        <v>25</v>
      </c>
      <c r="G450" s="53" t="s">
        <v>25</v>
      </c>
      <c r="H450" s="53" t="s">
        <v>35</v>
      </c>
      <c r="I450" s="75">
        <v>44621</v>
      </c>
      <c r="J450" s="76">
        <f ca="1">EFEITO!$J$450*EFEITO!$Y$450</f>
        <v>377371.22309945698</v>
      </c>
      <c r="K450" s="76">
        <f ca="1">EFEITO!$L$450*EFEITO!$Z$450</f>
        <v>24712.01436566512</v>
      </c>
      <c r="L450" s="76">
        <f>EFEITO!$N$450*EFEITO!$AA$450</f>
        <v>89082.702533177304</v>
      </c>
      <c r="M450" s="76">
        <f ca="1">$J$450-EFEITO!$K$450*EFEITO!$Y$450</f>
        <v>0</v>
      </c>
      <c r="N450" s="76">
        <f ca="1">$K$450-EFEITO!$M$450*EFEITO!$Z$450</f>
        <v>0</v>
      </c>
      <c r="O450" s="76">
        <f>$L$450-EFEITO!$O$450*EFEITO!$AA$450</f>
        <v>0</v>
      </c>
      <c r="P450" s="57"/>
      <c r="Q450" s="57"/>
      <c r="R450" s="57"/>
      <c r="S450" s="57"/>
      <c r="T450" s="57"/>
      <c r="U450" s="57"/>
      <c r="V450" s="57"/>
      <c r="W450" s="57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1.25" customHeight="1" x14ac:dyDescent="0.2">
      <c r="A451" s="53" t="s">
        <v>28</v>
      </c>
      <c r="B451" s="53" t="s">
        <v>33</v>
      </c>
      <c r="C451" s="53" t="s">
        <v>42</v>
      </c>
      <c r="D451" s="53" t="s">
        <v>43</v>
      </c>
      <c r="E451" s="53" t="s">
        <v>25</v>
      </c>
      <c r="F451" s="53" t="s">
        <v>25</v>
      </c>
      <c r="G451" s="53" t="s">
        <v>25</v>
      </c>
      <c r="H451" s="53" t="s">
        <v>35</v>
      </c>
      <c r="I451" s="75">
        <v>44621</v>
      </c>
      <c r="J451" s="76">
        <f ca="1">EFEITO!$J$451*EFEITO!$Y$451</f>
        <v>5678.9209569013528</v>
      </c>
      <c r="K451" s="76">
        <f ca="1">EFEITO!$L$451*EFEITO!$Z$451</f>
        <v>343.71891769214261</v>
      </c>
      <c r="L451" s="76">
        <f>EFEITO!$N$451*EFEITO!$AA$451</f>
        <v>1239.0495427332467</v>
      </c>
      <c r="M451" s="76">
        <f ca="1">$J$451-EFEITO!$K$451*EFEITO!$Y$451</f>
        <v>0</v>
      </c>
      <c r="N451" s="76">
        <f ca="1">$K$451-EFEITO!$M$451*EFEITO!$Z$451</f>
        <v>0</v>
      </c>
      <c r="O451" s="76">
        <f>$L$451-EFEITO!$O$451*EFEITO!$AA$451</f>
        <v>0</v>
      </c>
      <c r="P451" s="57"/>
      <c r="Q451" s="57"/>
      <c r="R451" s="57"/>
      <c r="S451" s="57"/>
      <c r="T451" s="57"/>
      <c r="U451" s="57"/>
      <c r="V451" s="57"/>
      <c r="W451" s="57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1.25" customHeight="1" x14ac:dyDescent="0.2">
      <c r="A452" s="53" t="s">
        <v>56</v>
      </c>
      <c r="B452" s="53" t="s">
        <v>33</v>
      </c>
      <c r="C452" s="53" t="s">
        <v>42</v>
      </c>
      <c r="D452" s="53" t="s">
        <v>43</v>
      </c>
      <c r="E452" s="53" t="s">
        <v>25</v>
      </c>
      <c r="F452" s="53" t="s">
        <v>25</v>
      </c>
      <c r="G452" s="53" t="s">
        <v>25</v>
      </c>
      <c r="H452" s="53" t="s">
        <v>35</v>
      </c>
      <c r="I452" s="75">
        <v>44652</v>
      </c>
      <c r="J452" s="76">
        <f ca="1">EFEITO!$J$452*EFEITO!$Y$452</f>
        <v>377371.22309945698</v>
      </c>
      <c r="K452" s="76">
        <f ca="1">EFEITO!$L$452*EFEITO!$Z$452</f>
        <v>24712.01436566512</v>
      </c>
      <c r="L452" s="76">
        <f>EFEITO!$N$452*EFEITO!$AA$452</f>
        <v>89082.702533177304</v>
      </c>
      <c r="M452" s="76">
        <f ca="1">$J$452-EFEITO!$K$452*EFEITO!$Y$452</f>
        <v>0</v>
      </c>
      <c r="N452" s="76">
        <f ca="1">$K$452-EFEITO!$M$452*EFEITO!$Z$452</f>
        <v>0</v>
      </c>
      <c r="O452" s="76">
        <f>$L$452-EFEITO!$O$452*EFEITO!$AA$452</f>
        <v>0</v>
      </c>
      <c r="P452" s="57"/>
      <c r="Q452" s="57"/>
      <c r="R452" s="57"/>
      <c r="S452" s="57"/>
      <c r="T452" s="57"/>
      <c r="U452" s="57"/>
      <c r="V452" s="57"/>
      <c r="W452" s="57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1.25" customHeight="1" x14ac:dyDescent="0.2">
      <c r="A453" s="53" t="s">
        <v>56</v>
      </c>
      <c r="B453" s="53" t="s">
        <v>33</v>
      </c>
      <c r="C453" s="53" t="s">
        <v>42</v>
      </c>
      <c r="D453" s="53" t="s">
        <v>43</v>
      </c>
      <c r="E453" s="53" t="s">
        <v>25</v>
      </c>
      <c r="F453" s="53" t="s">
        <v>25</v>
      </c>
      <c r="G453" s="53" t="s">
        <v>25</v>
      </c>
      <c r="H453" s="53" t="s">
        <v>35</v>
      </c>
      <c r="I453" s="75">
        <v>44652</v>
      </c>
      <c r="J453" s="76">
        <f ca="1">EFEITO!$J$453*EFEITO!$Y$453</f>
        <v>5678.9209569013528</v>
      </c>
      <c r="K453" s="76">
        <f ca="1">EFEITO!$L$453*EFEITO!$Z$453</f>
        <v>343.71891769214261</v>
      </c>
      <c r="L453" s="76">
        <f>EFEITO!$N$453*EFEITO!$AA$453</f>
        <v>1239.0495427332467</v>
      </c>
      <c r="M453" s="76">
        <f ca="1">$J$453-EFEITO!$K$453*EFEITO!$Y$453</f>
        <v>0</v>
      </c>
      <c r="N453" s="76">
        <f ca="1">$K$453-EFEITO!$M$453*EFEITO!$Z$453</f>
        <v>0</v>
      </c>
      <c r="O453" s="76">
        <f>$L$453-EFEITO!$O$453*EFEITO!$AA$453</f>
        <v>0</v>
      </c>
      <c r="P453" s="57"/>
      <c r="Q453" s="57"/>
      <c r="R453" s="57"/>
      <c r="S453" s="57"/>
      <c r="T453" s="57"/>
      <c r="U453" s="57"/>
      <c r="V453" s="57"/>
      <c r="W453" s="57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1.25" customHeight="1" x14ac:dyDescent="0.2">
      <c r="A454" s="53" t="s">
        <v>21</v>
      </c>
      <c r="B454" s="53" t="s">
        <v>33</v>
      </c>
      <c r="C454" s="53" t="s">
        <v>42</v>
      </c>
      <c r="D454" s="53" t="s">
        <v>40</v>
      </c>
      <c r="E454" s="53" t="s">
        <v>25</v>
      </c>
      <c r="F454" s="53" t="s">
        <v>60</v>
      </c>
      <c r="G454" s="53" t="s">
        <v>25</v>
      </c>
      <c r="H454" s="53" t="s">
        <v>36</v>
      </c>
      <c r="I454" s="75">
        <v>44317</v>
      </c>
      <c r="J454" s="76">
        <f ca="1">EFEITO!$J$454*EFEITO!$Y$454</f>
        <v>294404.60553312668</v>
      </c>
      <c r="K454" s="76">
        <f ca="1">EFEITO!$L$454*EFEITO!$Z$454</f>
        <v>0</v>
      </c>
      <c r="L454" s="76">
        <f>EFEITO!$N$454*EFEITO!$AA$454</f>
        <v>0</v>
      </c>
      <c r="M454" s="76">
        <f ca="1">$J$454-EFEITO!$K$454*EFEITO!$Y$454</f>
        <v>181527.24485050639</v>
      </c>
      <c r="N454" s="76">
        <f ca="1">$K$454-EFEITO!$M$454*EFEITO!$Z$454</f>
        <v>0</v>
      </c>
      <c r="O454" s="76">
        <f>$L$454-EFEITO!$O$454*EFEITO!$AA$454</f>
        <v>0</v>
      </c>
      <c r="P454" s="57"/>
      <c r="Q454" s="57"/>
      <c r="R454" s="57"/>
      <c r="S454" s="57"/>
      <c r="T454" s="57"/>
      <c r="U454" s="57"/>
      <c r="V454" s="57"/>
      <c r="W454" s="57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1.25" customHeight="1" x14ac:dyDescent="0.2">
      <c r="A455" s="53" t="s">
        <v>21</v>
      </c>
      <c r="B455" s="53" t="s">
        <v>33</v>
      </c>
      <c r="C455" s="53" t="s">
        <v>42</v>
      </c>
      <c r="D455" s="53" t="s">
        <v>40</v>
      </c>
      <c r="E455" s="53" t="s">
        <v>25</v>
      </c>
      <c r="F455" s="53" t="s">
        <v>60</v>
      </c>
      <c r="G455" s="53" t="s">
        <v>25</v>
      </c>
      <c r="H455" s="53" t="s">
        <v>36</v>
      </c>
      <c r="I455" s="75">
        <v>44348</v>
      </c>
      <c r="J455" s="76">
        <f ca="1">EFEITO!$J$455*EFEITO!$Y$455</f>
        <v>315916.32130528078</v>
      </c>
      <c r="K455" s="76">
        <f ca="1">EFEITO!$L$455*EFEITO!$Z$455</f>
        <v>0</v>
      </c>
      <c r="L455" s="76">
        <f>EFEITO!$N$455*EFEITO!$AA$455</f>
        <v>0</v>
      </c>
      <c r="M455" s="76">
        <f ca="1">$J$455-EFEITO!$K$455*EFEITO!$Y$455</f>
        <v>189251.29292865674</v>
      </c>
      <c r="N455" s="76">
        <f ca="1">$K$455-EFEITO!$M$455*EFEITO!$Z$455</f>
        <v>0</v>
      </c>
      <c r="O455" s="76">
        <f>$L$455-EFEITO!$O$455*EFEITO!$AA$455</f>
        <v>0</v>
      </c>
      <c r="P455" s="57"/>
      <c r="Q455" s="57"/>
      <c r="R455" s="57"/>
      <c r="S455" s="57"/>
      <c r="T455" s="57"/>
      <c r="U455" s="57"/>
      <c r="V455" s="57"/>
      <c r="W455" s="57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1.25" customHeight="1" x14ac:dyDescent="0.2">
      <c r="A456" s="53" t="s">
        <v>21</v>
      </c>
      <c r="B456" s="53" t="s">
        <v>33</v>
      </c>
      <c r="C456" s="53" t="s">
        <v>42</v>
      </c>
      <c r="D456" s="53" t="s">
        <v>40</v>
      </c>
      <c r="E456" s="53" t="s">
        <v>25</v>
      </c>
      <c r="F456" s="53" t="s">
        <v>60</v>
      </c>
      <c r="G456" s="53" t="s">
        <v>25</v>
      </c>
      <c r="H456" s="53" t="s">
        <v>36</v>
      </c>
      <c r="I456" s="75">
        <v>44378</v>
      </c>
      <c r="J456" s="76">
        <f ca="1">EFEITO!$J$456*EFEITO!$Y$456</f>
        <v>356226.11897924833</v>
      </c>
      <c r="K456" s="76">
        <f ca="1">EFEITO!$L$456*EFEITO!$Z$456</f>
        <v>0</v>
      </c>
      <c r="L456" s="76">
        <f>EFEITO!$N$456*EFEITO!$AA$456</f>
        <v>0</v>
      </c>
      <c r="M456" s="76">
        <f ca="1">$J$456-EFEITO!$K$456*EFEITO!$Y$456</f>
        <v>213696.6111936029</v>
      </c>
      <c r="N456" s="76">
        <f ca="1">$K$456-EFEITO!$M$456*EFEITO!$Z$456</f>
        <v>0</v>
      </c>
      <c r="O456" s="76">
        <f>$L$456-EFEITO!$O$456*EFEITO!$AA$456</f>
        <v>0</v>
      </c>
      <c r="P456" s="57"/>
      <c r="Q456" s="57"/>
      <c r="R456" s="57"/>
      <c r="S456" s="57"/>
      <c r="T456" s="57"/>
      <c r="U456" s="57"/>
      <c r="V456" s="57"/>
      <c r="W456" s="57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1.25" customHeight="1" x14ac:dyDescent="0.2">
      <c r="A457" s="53" t="s">
        <v>21</v>
      </c>
      <c r="B457" s="53" t="s">
        <v>33</v>
      </c>
      <c r="C457" s="53" t="s">
        <v>42</v>
      </c>
      <c r="D457" s="53" t="s">
        <v>40</v>
      </c>
      <c r="E457" s="53" t="s">
        <v>25</v>
      </c>
      <c r="F457" s="53" t="s">
        <v>60</v>
      </c>
      <c r="G457" s="53" t="s">
        <v>25</v>
      </c>
      <c r="H457" s="53" t="s">
        <v>36</v>
      </c>
      <c r="I457" s="75">
        <v>44409</v>
      </c>
      <c r="J457" s="76">
        <f ca="1">EFEITO!$J$457*EFEITO!$Y$457</f>
        <v>410449.45758841647</v>
      </c>
      <c r="K457" s="76">
        <f ca="1">EFEITO!$L$457*EFEITO!$Z$457</f>
        <v>0</v>
      </c>
      <c r="L457" s="76">
        <f>EFEITO!$N$457*EFEITO!$AA$457</f>
        <v>0</v>
      </c>
      <c r="M457" s="76">
        <f ca="1">$J$457-EFEITO!$K$457*EFEITO!$Y$457</f>
        <v>234396.291151802</v>
      </c>
      <c r="N457" s="76">
        <f ca="1">$K$457-EFEITO!$M$457*EFEITO!$Z$457</f>
        <v>0</v>
      </c>
      <c r="O457" s="76">
        <f>$L$457-EFEITO!$O$457*EFEITO!$AA$457</f>
        <v>0</v>
      </c>
      <c r="P457" s="57"/>
      <c r="Q457" s="57"/>
      <c r="R457" s="57"/>
      <c r="S457" s="57"/>
      <c r="T457" s="57"/>
      <c r="U457" s="57"/>
      <c r="V457" s="57"/>
      <c r="W457" s="57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1.25" customHeight="1" x14ac:dyDescent="0.2">
      <c r="A458" s="53" t="s">
        <v>21</v>
      </c>
      <c r="B458" s="53" t="s">
        <v>33</v>
      </c>
      <c r="C458" s="53" t="s">
        <v>42</v>
      </c>
      <c r="D458" s="53" t="s">
        <v>40</v>
      </c>
      <c r="E458" s="53" t="s">
        <v>25</v>
      </c>
      <c r="F458" s="53" t="s">
        <v>60</v>
      </c>
      <c r="G458" s="53" t="s">
        <v>25</v>
      </c>
      <c r="H458" s="53" t="s">
        <v>36</v>
      </c>
      <c r="I458" s="75">
        <v>44440</v>
      </c>
      <c r="J458" s="76">
        <f ca="1">EFEITO!$J$458*EFEITO!$Y$458</f>
        <v>409413.3428379228</v>
      </c>
      <c r="K458" s="76">
        <f ca="1">EFEITO!$L$458*EFEITO!$Z$458</f>
        <v>0</v>
      </c>
      <c r="L458" s="76">
        <f>EFEITO!$N$458*EFEITO!$AA$458</f>
        <v>0</v>
      </c>
      <c r="M458" s="76">
        <f ca="1">$J$458-EFEITO!$K$458*EFEITO!$Y$458</f>
        <v>252628.65058694367</v>
      </c>
      <c r="N458" s="76">
        <f ca="1">$K$458-EFEITO!$M$458*EFEITO!$Z$458</f>
        <v>0</v>
      </c>
      <c r="O458" s="76">
        <f>$L$458-EFEITO!$O$458*EFEITO!$AA$458</f>
        <v>0</v>
      </c>
      <c r="P458" s="57"/>
      <c r="Q458" s="57"/>
      <c r="R458" s="57"/>
      <c r="S458" s="57"/>
      <c r="T458" s="57"/>
      <c r="U458" s="57"/>
      <c r="V458" s="57"/>
      <c r="W458" s="57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1.25" customHeight="1" x14ac:dyDescent="0.2">
      <c r="A459" s="53" t="s">
        <v>21</v>
      </c>
      <c r="B459" s="53" t="s">
        <v>33</v>
      </c>
      <c r="C459" s="53" t="s">
        <v>42</v>
      </c>
      <c r="D459" s="53" t="s">
        <v>40</v>
      </c>
      <c r="E459" s="53" t="s">
        <v>25</v>
      </c>
      <c r="F459" s="53" t="s">
        <v>60</v>
      </c>
      <c r="G459" s="53" t="s">
        <v>25</v>
      </c>
      <c r="H459" s="53" t="s">
        <v>36</v>
      </c>
      <c r="I459" s="75">
        <v>44470</v>
      </c>
      <c r="J459" s="76">
        <f ca="1">EFEITO!$J$459*EFEITO!$Y$459</f>
        <v>443802.48479478376</v>
      </c>
      <c r="K459" s="76">
        <f ca="1">EFEITO!$L$459*EFEITO!$Z$459</f>
        <v>0</v>
      </c>
      <c r="L459" s="76">
        <f>EFEITO!$N$459*EFEITO!$AA$459</f>
        <v>0</v>
      </c>
      <c r="M459" s="76">
        <f ca="1">$J$459-EFEITO!$K$459*EFEITO!$Y$459</f>
        <v>254279.82904106189</v>
      </c>
      <c r="N459" s="76">
        <f ca="1">$K$459-EFEITO!$M$459*EFEITO!$Z$459</f>
        <v>0</v>
      </c>
      <c r="O459" s="76">
        <f>$L$459-EFEITO!$O$459*EFEITO!$AA$459</f>
        <v>0</v>
      </c>
      <c r="P459" s="57"/>
      <c r="Q459" s="57"/>
      <c r="R459" s="57"/>
      <c r="S459" s="57"/>
      <c r="T459" s="57"/>
      <c r="U459" s="57"/>
      <c r="V459" s="57"/>
      <c r="W459" s="57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1.25" customHeight="1" x14ac:dyDescent="0.2">
      <c r="A460" s="53" t="s">
        <v>21</v>
      </c>
      <c r="B460" s="53" t="s">
        <v>33</v>
      </c>
      <c r="C460" s="53" t="s">
        <v>42</v>
      </c>
      <c r="D460" s="53" t="s">
        <v>40</v>
      </c>
      <c r="E460" s="53" t="s">
        <v>25</v>
      </c>
      <c r="F460" s="53" t="s">
        <v>60</v>
      </c>
      <c r="G460" s="53" t="s">
        <v>25</v>
      </c>
      <c r="H460" s="53" t="s">
        <v>36</v>
      </c>
      <c r="I460" s="75">
        <v>44501</v>
      </c>
      <c r="J460" s="76">
        <f ca="1">EFEITO!$J$460*EFEITO!$Y$460</f>
        <v>434576.12963562593</v>
      </c>
      <c r="K460" s="76">
        <f ca="1">EFEITO!$L$460*EFEITO!$Z$460</f>
        <v>0</v>
      </c>
      <c r="L460" s="76">
        <f>EFEITO!$N$460*EFEITO!$AA$460</f>
        <v>0</v>
      </c>
      <c r="M460" s="76">
        <f ca="1">$J$460-EFEITO!$K$460*EFEITO!$Y$460</f>
        <v>289962.73508508905</v>
      </c>
      <c r="N460" s="76">
        <f ca="1">$K$460-EFEITO!$M$460*EFEITO!$Z$460</f>
        <v>0</v>
      </c>
      <c r="O460" s="76">
        <f>$L$460-EFEITO!$O$460*EFEITO!$AA$460</f>
        <v>0</v>
      </c>
      <c r="P460" s="57"/>
      <c r="Q460" s="57"/>
      <c r="R460" s="57"/>
      <c r="S460" s="57"/>
      <c r="T460" s="57"/>
      <c r="U460" s="57"/>
      <c r="V460" s="57"/>
      <c r="W460" s="57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1.25" customHeight="1" x14ac:dyDescent="0.2">
      <c r="A461" s="53" t="s">
        <v>21</v>
      </c>
      <c r="B461" s="53" t="s">
        <v>33</v>
      </c>
      <c r="C461" s="53" t="s">
        <v>42</v>
      </c>
      <c r="D461" s="53" t="s">
        <v>40</v>
      </c>
      <c r="E461" s="53" t="s">
        <v>25</v>
      </c>
      <c r="F461" s="53" t="s">
        <v>60</v>
      </c>
      <c r="G461" s="53" t="s">
        <v>25</v>
      </c>
      <c r="H461" s="53" t="s">
        <v>36</v>
      </c>
      <c r="I461" s="75">
        <v>44531</v>
      </c>
      <c r="J461" s="76">
        <f ca="1">EFEITO!$J$461*EFEITO!$Y$461</f>
        <v>454237.64049618418</v>
      </c>
      <c r="K461" s="76">
        <f ca="1">EFEITO!$L$461*EFEITO!$Z$461</f>
        <v>0</v>
      </c>
      <c r="L461" s="76">
        <f>EFEITO!$N$461*EFEITO!$AA$461</f>
        <v>0</v>
      </c>
      <c r="M461" s="76">
        <f ca="1">$J$461-EFEITO!$K$461*EFEITO!$Y$461</f>
        <v>274422.3922643871</v>
      </c>
      <c r="N461" s="76">
        <f ca="1">$K$461-EFEITO!$M$461*EFEITO!$Z$461</f>
        <v>0</v>
      </c>
      <c r="O461" s="76">
        <f>$L$461-EFEITO!$O$461*EFEITO!$AA$461</f>
        <v>0</v>
      </c>
      <c r="P461" s="57"/>
      <c r="Q461" s="57"/>
      <c r="R461" s="57"/>
      <c r="S461" s="57"/>
      <c r="T461" s="57"/>
      <c r="U461" s="57"/>
      <c r="V461" s="57"/>
      <c r="W461" s="57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1.25" customHeight="1" x14ac:dyDescent="0.2">
      <c r="A462" s="53" t="s">
        <v>21</v>
      </c>
      <c r="B462" s="53" t="s">
        <v>33</v>
      </c>
      <c r="C462" s="53" t="s">
        <v>42</v>
      </c>
      <c r="D462" s="53" t="s">
        <v>40</v>
      </c>
      <c r="E462" s="53" t="s">
        <v>25</v>
      </c>
      <c r="F462" s="53" t="s">
        <v>60</v>
      </c>
      <c r="G462" s="53" t="s">
        <v>25</v>
      </c>
      <c r="H462" s="53" t="s">
        <v>36</v>
      </c>
      <c r="I462" s="75">
        <v>44562</v>
      </c>
      <c r="J462" s="76">
        <f ca="1">EFEITO!$J$462*EFEITO!$Y$462</f>
        <v>457419.99294412899</v>
      </c>
      <c r="K462" s="76">
        <f ca="1">EFEITO!$L$462*EFEITO!$Z$462</f>
        <v>0</v>
      </c>
      <c r="L462" s="76">
        <f>EFEITO!$N$462*EFEITO!$AA$462</f>
        <v>0</v>
      </c>
      <c r="M462" s="76">
        <f ca="1">$J$462-EFEITO!$K$462*EFEITO!$Y$462</f>
        <v>261088.58045341299</v>
      </c>
      <c r="N462" s="76">
        <f ca="1">$K$462-EFEITO!$M$462*EFEITO!$Z$462</f>
        <v>0</v>
      </c>
      <c r="O462" s="76">
        <f>$L$462-EFEITO!$O$462*EFEITO!$AA$462</f>
        <v>0</v>
      </c>
      <c r="P462" s="57"/>
      <c r="Q462" s="57"/>
      <c r="R462" s="57"/>
      <c r="S462" s="57"/>
      <c r="T462" s="57"/>
      <c r="U462" s="57"/>
      <c r="V462" s="57"/>
      <c r="W462" s="57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1.25" customHeight="1" x14ac:dyDescent="0.2">
      <c r="A463" s="53" t="s">
        <v>21</v>
      </c>
      <c r="B463" s="53" t="s">
        <v>33</v>
      </c>
      <c r="C463" s="53" t="s">
        <v>42</v>
      </c>
      <c r="D463" s="53" t="s">
        <v>40</v>
      </c>
      <c r="E463" s="53" t="s">
        <v>25</v>
      </c>
      <c r="F463" s="53" t="s">
        <v>60</v>
      </c>
      <c r="G463" s="53" t="s">
        <v>25</v>
      </c>
      <c r="H463" s="53" t="s">
        <v>36</v>
      </c>
      <c r="I463" s="75">
        <v>44593</v>
      </c>
      <c r="J463" s="76">
        <f ca="1">EFEITO!$J$463*EFEITO!$Y$463</f>
        <v>471728.24426046998</v>
      </c>
      <c r="K463" s="76">
        <f ca="1">EFEITO!$L$463*EFEITO!$Z$463</f>
        <v>0</v>
      </c>
      <c r="L463" s="76">
        <f>EFEITO!$N$463*EFEITO!$AA$463</f>
        <v>0</v>
      </c>
      <c r="M463" s="76">
        <f ca="1">$J$463-EFEITO!$K$463*EFEITO!$Y$463</f>
        <v>268242.70913999889</v>
      </c>
      <c r="N463" s="76">
        <f ca="1">$K$463-EFEITO!$M$463*EFEITO!$Z$463</f>
        <v>0</v>
      </c>
      <c r="O463" s="76">
        <f>$L$463-EFEITO!$O$463*EFEITO!$AA$463</f>
        <v>0</v>
      </c>
      <c r="P463" s="57"/>
      <c r="Q463" s="57"/>
      <c r="R463" s="57"/>
      <c r="S463" s="57"/>
      <c r="T463" s="57"/>
      <c r="U463" s="57"/>
      <c r="V463" s="57"/>
      <c r="W463" s="57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1.25" customHeight="1" x14ac:dyDescent="0.2">
      <c r="A464" s="53" t="s">
        <v>21</v>
      </c>
      <c r="B464" s="53" t="s">
        <v>33</v>
      </c>
      <c r="C464" s="53" t="s">
        <v>42</v>
      </c>
      <c r="D464" s="53" t="s">
        <v>40</v>
      </c>
      <c r="E464" s="53" t="s">
        <v>25</v>
      </c>
      <c r="F464" s="53" t="s">
        <v>60</v>
      </c>
      <c r="G464" s="53" t="s">
        <v>25</v>
      </c>
      <c r="H464" s="53" t="s">
        <v>36</v>
      </c>
      <c r="I464" s="75">
        <v>44621</v>
      </c>
      <c r="J464" s="76">
        <f ca="1">EFEITO!$J$464*EFEITO!$Y$464</f>
        <v>490797.68954931758</v>
      </c>
      <c r="K464" s="76">
        <f ca="1">EFEITO!$L$464*EFEITO!$Z$464</f>
        <v>0</v>
      </c>
      <c r="L464" s="76">
        <f>EFEITO!$N$464*EFEITO!$AA$464</f>
        <v>0</v>
      </c>
      <c r="M464" s="76">
        <f ca="1">$J$464-EFEITO!$K$464*EFEITO!$Y$464</f>
        <v>277777.43093110819</v>
      </c>
      <c r="N464" s="76">
        <f ca="1">$K$464-EFEITO!$M$464*EFEITO!$Z$464</f>
        <v>0</v>
      </c>
      <c r="O464" s="76">
        <f>$L$464-EFEITO!$O$464*EFEITO!$AA$464</f>
        <v>0</v>
      </c>
      <c r="P464" s="57"/>
      <c r="Q464" s="57"/>
      <c r="R464" s="57"/>
      <c r="S464" s="57"/>
      <c r="T464" s="57"/>
      <c r="U464" s="57"/>
      <c r="V464" s="57"/>
      <c r="W464" s="57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1.25" customHeight="1" x14ac:dyDescent="0.2">
      <c r="A465" s="53" t="s">
        <v>56</v>
      </c>
      <c r="B465" s="53" t="s">
        <v>33</v>
      </c>
      <c r="C465" s="53" t="s">
        <v>42</v>
      </c>
      <c r="D465" s="53" t="s">
        <v>40</v>
      </c>
      <c r="E465" s="53" t="s">
        <v>25</v>
      </c>
      <c r="F465" s="53" t="s">
        <v>60</v>
      </c>
      <c r="G465" s="53" t="s">
        <v>25</v>
      </c>
      <c r="H465" s="53" t="s">
        <v>36</v>
      </c>
      <c r="I465" s="75">
        <v>44652</v>
      </c>
      <c r="J465" s="76">
        <f ca="1">EFEITO!$J$465*EFEITO!$Y$465</f>
        <v>490797.68954931758</v>
      </c>
      <c r="K465" s="76">
        <f ca="1">EFEITO!$L$465*EFEITO!$Z$465</f>
        <v>0</v>
      </c>
      <c r="L465" s="76">
        <f>EFEITO!$N$465*EFEITO!$AA$465</f>
        <v>0</v>
      </c>
      <c r="M465" s="76">
        <f ca="1">$J$465-EFEITO!$K$465*EFEITO!$Y$465</f>
        <v>277777.43093110819</v>
      </c>
      <c r="N465" s="76">
        <f ca="1">$K$465-EFEITO!$M$465*EFEITO!$Z$465</f>
        <v>0</v>
      </c>
      <c r="O465" s="76">
        <f>$L$465-EFEITO!$O$465*EFEITO!$AA$465</f>
        <v>0</v>
      </c>
      <c r="P465" s="57"/>
      <c r="Q465" s="57"/>
      <c r="R465" s="57"/>
      <c r="S465" s="57"/>
      <c r="T465" s="57"/>
      <c r="U465" s="57"/>
      <c r="V465" s="57"/>
      <c r="W465" s="57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1.25" customHeight="1" x14ac:dyDescent="0.2">
      <c r="A466" s="53" t="s">
        <v>21</v>
      </c>
      <c r="B466" s="53" t="s">
        <v>33</v>
      </c>
      <c r="C466" s="53" t="s">
        <v>42</v>
      </c>
      <c r="D466" s="53" t="s">
        <v>40</v>
      </c>
      <c r="E466" s="53" t="s">
        <v>25</v>
      </c>
      <c r="F466" s="53" t="s">
        <v>60</v>
      </c>
      <c r="G466" s="53" t="s">
        <v>25</v>
      </c>
      <c r="H466" s="53" t="s">
        <v>25</v>
      </c>
      <c r="I466" s="75">
        <v>44317</v>
      </c>
      <c r="J466" s="76">
        <f>EFEITO!$J$466*EFEITO!$Y$466</f>
        <v>0</v>
      </c>
      <c r="K466" s="76">
        <f ca="1">EFEITO!$L$466*EFEITO!$Z$466</f>
        <v>493705.36519336351</v>
      </c>
      <c r="L466" s="76">
        <f>EFEITO!$N$466*EFEITO!$AA$466</f>
        <v>0</v>
      </c>
      <c r="M466" s="76">
        <f>$J$466-EFEITO!$K$466*EFEITO!$Y$466</f>
        <v>0</v>
      </c>
      <c r="N466" s="76">
        <f ca="1">$K$466-EFEITO!$M$466*EFEITO!$Z$466</f>
        <v>0</v>
      </c>
      <c r="O466" s="76">
        <f>$L$466-EFEITO!$O$466*EFEITO!$AA$466</f>
        <v>0</v>
      </c>
      <c r="P466" s="57"/>
      <c r="Q466" s="57"/>
      <c r="R466" s="57"/>
      <c r="S466" s="57"/>
      <c r="T466" s="57"/>
      <c r="U466" s="57"/>
      <c r="V466" s="57"/>
      <c r="W466" s="57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1.25" customHeight="1" x14ac:dyDescent="0.2">
      <c r="A467" s="53" t="s">
        <v>21</v>
      </c>
      <c r="B467" s="53" t="s">
        <v>33</v>
      </c>
      <c r="C467" s="53" t="s">
        <v>42</v>
      </c>
      <c r="D467" s="53" t="s">
        <v>40</v>
      </c>
      <c r="E467" s="53" t="s">
        <v>25</v>
      </c>
      <c r="F467" s="53" t="s">
        <v>60</v>
      </c>
      <c r="G467" s="53" t="s">
        <v>25</v>
      </c>
      <c r="H467" s="53" t="s">
        <v>25</v>
      </c>
      <c r="I467" s="75">
        <v>44348</v>
      </c>
      <c r="J467" s="76">
        <f>EFEITO!$J$467*EFEITO!$Y$467</f>
        <v>0</v>
      </c>
      <c r="K467" s="76">
        <f ca="1">EFEITO!$L$467*EFEITO!$Z$467</f>
        <v>495796.72371240379</v>
      </c>
      <c r="L467" s="76">
        <f>EFEITO!$N$467*EFEITO!$AA$467</f>
        <v>0</v>
      </c>
      <c r="M467" s="76">
        <f>$J$467-EFEITO!$K$467*EFEITO!$Y$467</f>
        <v>0</v>
      </c>
      <c r="N467" s="76">
        <f ca="1">$K$467-EFEITO!$M$467*EFEITO!$Z$467</f>
        <v>0</v>
      </c>
      <c r="O467" s="76">
        <f>$L$467-EFEITO!$O$467*EFEITO!$AA$467</f>
        <v>0</v>
      </c>
      <c r="P467" s="57"/>
      <c r="Q467" s="57"/>
      <c r="R467" s="57"/>
      <c r="S467" s="57"/>
      <c r="T467" s="57"/>
      <c r="U467" s="57"/>
      <c r="V467" s="57"/>
      <c r="W467" s="57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1.25" customHeight="1" x14ac:dyDescent="0.2">
      <c r="A468" s="53" t="s">
        <v>21</v>
      </c>
      <c r="B468" s="53" t="s">
        <v>33</v>
      </c>
      <c r="C468" s="53" t="s">
        <v>42</v>
      </c>
      <c r="D468" s="53" t="s">
        <v>40</v>
      </c>
      <c r="E468" s="53" t="s">
        <v>25</v>
      </c>
      <c r="F468" s="53" t="s">
        <v>60</v>
      </c>
      <c r="G468" s="53" t="s">
        <v>25</v>
      </c>
      <c r="H468" s="53" t="s">
        <v>25</v>
      </c>
      <c r="I468" s="75">
        <v>44378</v>
      </c>
      <c r="J468" s="76">
        <f>EFEITO!$J$468*EFEITO!$Y$468</f>
        <v>0</v>
      </c>
      <c r="K468" s="76">
        <f ca="1">EFEITO!$L$468*EFEITO!$Z$468</f>
        <v>599008.11821231525</v>
      </c>
      <c r="L468" s="76">
        <f>EFEITO!$N$468*EFEITO!$AA$468</f>
        <v>0</v>
      </c>
      <c r="M468" s="76">
        <f>$J$468-EFEITO!$K$468*EFEITO!$Y$468</f>
        <v>0</v>
      </c>
      <c r="N468" s="76">
        <f ca="1">$K$468-EFEITO!$M$468*EFEITO!$Z$468</f>
        <v>0</v>
      </c>
      <c r="O468" s="76">
        <f>$L$468-EFEITO!$O$468*EFEITO!$AA$468</f>
        <v>0</v>
      </c>
      <c r="P468" s="57"/>
      <c r="Q468" s="57"/>
      <c r="R468" s="57"/>
      <c r="S468" s="57"/>
      <c r="T468" s="57"/>
      <c r="U468" s="57"/>
      <c r="V468" s="57"/>
      <c r="W468" s="57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1.25" customHeight="1" x14ac:dyDescent="0.2">
      <c r="A469" s="53" t="s">
        <v>21</v>
      </c>
      <c r="B469" s="53" t="s">
        <v>33</v>
      </c>
      <c r="C469" s="53" t="s">
        <v>42</v>
      </c>
      <c r="D469" s="53" t="s">
        <v>40</v>
      </c>
      <c r="E469" s="53" t="s">
        <v>25</v>
      </c>
      <c r="F469" s="53" t="s">
        <v>60</v>
      </c>
      <c r="G469" s="53" t="s">
        <v>25</v>
      </c>
      <c r="H469" s="53" t="s">
        <v>25</v>
      </c>
      <c r="I469" s="75">
        <v>44409</v>
      </c>
      <c r="J469" s="76">
        <f>EFEITO!$J$469*EFEITO!$Y$469</f>
        <v>0</v>
      </c>
      <c r="K469" s="76">
        <f ca="1">EFEITO!$L$469*EFEITO!$Z$469</f>
        <v>681356.25653200946</v>
      </c>
      <c r="L469" s="76">
        <f>EFEITO!$N$469*EFEITO!$AA$469</f>
        <v>0</v>
      </c>
      <c r="M469" s="76">
        <f>$J$469-EFEITO!$K$469*EFEITO!$Y$469</f>
        <v>0</v>
      </c>
      <c r="N469" s="76">
        <f ca="1">$K$469-EFEITO!$M$469*EFEITO!$Z$469</f>
        <v>0</v>
      </c>
      <c r="O469" s="76">
        <f>$L$469-EFEITO!$O$469*EFEITO!$AA$469</f>
        <v>0</v>
      </c>
      <c r="P469" s="57"/>
      <c r="Q469" s="57"/>
      <c r="R469" s="57"/>
      <c r="S469" s="57"/>
      <c r="T469" s="57"/>
      <c r="U469" s="57"/>
      <c r="V469" s="57"/>
      <c r="W469" s="57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1.25" customHeight="1" x14ac:dyDescent="0.2">
      <c r="A470" s="53" t="s">
        <v>21</v>
      </c>
      <c r="B470" s="53" t="s">
        <v>33</v>
      </c>
      <c r="C470" s="53" t="s">
        <v>42</v>
      </c>
      <c r="D470" s="53" t="s">
        <v>40</v>
      </c>
      <c r="E470" s="53" t="s">
        <v>25</v>
      </c>
      <c r="F470" s="53" t="s">
        <v>60</v>
      </c>
      <c r="G470" s="53" t="s">
        <v>25</v>
      </c>
      <c r="H470" s="53" t="s">
        <v>25</v>
      </c>
      <c r="I470" s="75">
        <v>44440</v>
      </c>
      <c r="J470" s="76">
        <f>EFEITO!$J$470*EFEITO!$Y$470</f>
        <v>0</v>
      </c>
      <c r="K470" s="76">
        <f ca="1">EFEITO!$L$470*EFEITO!$Z$470</f>
        <v>751875.07840863941</v>
      </c>
      <c r="L470" s="76">
        <f>EFEITO!$N$470*EFEITO!$AA$470</f>
        <v>0</v>
      </c>
      <c r="M470" s="76">
        <f>$J$470-EFEITO!$K$470*EFEITO!$Y$470</f>
        <v>0</v>
      </c>
      <c r="N470" s="76">
        <f ca="1">$K$470-EFEITO!$M$470*EFEITO!$Z$470</f>
        <v>0</v>
      </c>
      <c r="O470" s="76">
        <f>$L$470-EFEITO!$O$470*EFEITO!$AA$470</f>
        <v>0</v>
      </c>
      <c r="P470" s="57"/>
      <c r="Q470" s="57"/>
      <c r="R470" s="57"/>
      <c r="S470" s="57"/>
      <c r="T470" s="57"/>
      <c r="U470" s="57"/>
      <c r="V470" s="57"/>
      <c r="W470" s="57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1.25" customHeight="1" x14ac:dyDescent="0.2">
      <c r="A471" s="53" t="s">
        <v>21</v>
      </c>
      <c r="B471" s="53" t="s">
        <v>33</v>
      </c>
      <c r="C471" s="53" t="s">
        <v>42</v>
      </c>
      <c r="D471" s="53" t="s">
        <v>40</v>
      </c>
      <c r="E471" s="53" t="s">
        <v>25</v>
      </c>
      <c r="F471" s="53" t="s">
        <v>60</v>
      </c>
      <c r="G471" s="53" t="s">
        <v>25</v>
      </c>
      <c r="H471" s="53" t="s">
        <v>25</v>
      </c>
      <c r="I471" s="75">
        <v>44470</v>
      </c>
      <c r="J471" s="76">
        <f>EFEITO!$J$471*EFEITO!$Y$471</f>
        <v>0</v>
      </c>
      <c r="K471" s="76">
        <f ca="1">EFEITO!$L$471*EFEITO!$Z$471</f>
        <v>842920.84578994813</v>
      </c>
      <c r="L471" s="76">
        <f>EFEITO!$N$471*EFEITO!$AA$471</f>
        <v>0</v>
      </c>
      <c r="M471" s="76">
        <f>$J$471-EFEITO!$K$471*EFEITO!$Y$471</f>
        <v>0</v>
      </c>
      <c r="N471" s="76">
        <f ca="1">$K$471-EFEITO!$M$471*EFEITO!$Z$471</f>
        <v>0</v>
      </c>
      <c r="O471" s="76">
        <f>$L$471-EFEITO!$O$471*EFEITO!$AA$471</f>
        <v>0</v>
      </c>
      <c r="P471" s="57"/>
      <c r="Q471" s="57"/>
      <c r="R471" s="57"/>
      <c r="S471" s="57"/>
      <c r="T471" s="57"/>
      <c r="U471" s="57"/>
      <c r="V471" s="57"/>
      <c r="W471" s="57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1.25" customHeight="1" x14ac:dyDescent="0.2">
      <c r="A472" s="53" t="s">
        <v>21</v>
      </c>
      <c r="B472" s="53" t="s">
        <v>33</v>
      </c>
      <c r="C472" s="53" t="s">
        <v>42</v>
      </c>
      <c r="D472" s="53" t="s">
        <v>40</v>
      </c>
      <c r="E472" s="53" t="s">
        <v>25</v>
      </c>
      <c r="F472" s="53" t="s">
        <v>60</v>
      </c>
      <c r="G472" s="53" t="s">
        <v>25</v>
      </c>
      <c r="H472" s="53" t="s">
        <v>25</v>
      </c>
      <c r="I472" s="75">
        <v>44501</v>
      </c>
      <c r="J472" s="76">
        <f>EFEITO!$J$472*EFEITO!$Y$472</f>
        <v>0</v>
      </c>
      <c r="K472" s="76">
        <f ca="1">EFEITO!$L$472*EFEITO!$Z$472</f>
        <v>812152.88744168112</v>
      </c>
      <c r="L472" s="76">
        <f>EFEITO!$N$472*EFEITO!$AA$472</f>
        <v>0</v>
      </c>
      <c r="M472" s="76">
        <f>$J$472-EFEITO!$K$472*EFEITO!$Y$472</f>
        <v>0</v>
      </c>
      <c r="N472" s="76">
        <f ca="1">$K$472-EFEITO!$M$472*EFEITO!$Z$472</f>
        <v>0</v>
      </c>
      <c r="O472" s="76">
        <f>$L$472-EFEITO!$O$472*EFEITO!$AA$472</f>
        <v>0</v>
      </c>
      <c r="P472" s="57"/>
      <c r="Q472" s="57"/>
      <c r="R472" s="57"/>
      <c r="S472" s="57"/>
      <c r="T472" s="57"/>
      <c r="U472" s="57"/>
      <c r="V472" s="57"/>
      <c r="W472" s="57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1.25" customHeight="1" x14ac:dyDescent="0.2">
      <c r="A473" s="53" t="s">
        <v>21</v>
      </c>
      <c r="B473" s="53" t="s">
        <v>33</v>
      </c>
      <c r="C473" s="53" t="s">
        <v>42</v>
      </c>
      <c r="D473" s="53" t="s">
        <v>40</v>
      </c>
      <c r="E473" s="53" t="s">
        <v>25</v>
      </c>
      <c r="F473" s="53" t="s">
        <v>60</v>
      </c>
      <c r="G473" s="53" t="s">
        <v>25</v>
      </c>
      <c r="H473" s="53" t="s">
        <v>25</v>
      </c>
      <c r="I473" s="75">
        <v>44531</v>
      </c>
      <c r="J473" s="76">
        <f>EFEITO!$J$473*EFEITO!$Y$473</f>
        <v>0</v>
      </c>
      <c r="K473" s="76">
        <f ca="1">EFEITO!$L$473*EFEITO!$Z$473</f>
        <v>816053.97368678427</v>
      </c>
      <c r="L473" s="76">
        <f>EFEITO!$N$473*EFEITO!$AA$473</f>
        <v>0</v>
      </c>
      <c r="M473" s="76">
        <f>$J$473-EFEITO!$K$473*EFEITO!$Y$473</f>
        <v>0</v>
      </c>
      <c r="N473" s="76">
        <f ca="1">$K$473-EFEITO!$M$473*EFEITO!$Z$473</f>
        <v>0</v>
      </c>
      <c r="O473" s="76">
        <f>$L$473-EFEITO!$O$473*EFEITO!$AA$473</f>
        <v>0</v>
      </c>
      <c r="P473" s="57"/>
      <c r="Q473" s="57"/>
      <c r="R473" s="57"/>
      <c r="S473" s="57"/>
      <c r="T473" s="57"/>
      <c r="U473" s="57"/>
      <c r="V473" s="57"/>
      <c r="W473" s="57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1.25" customHeight="1" x14ac:dyDescent="0.2">
      <c r="A474" s="53" t="s">
        <v>21</v>
      </c>
      <c r="B474" s="53" t="s">
        <v>33</v>
      </c>
      <c r="C474" s="53" t="s">
        <v>42</v>
      </c>
      <c r="D474" s="53" t="s">
        <v>40</v>
      </c>
      <c r="E474" s="53" t="s">
        <v>25</v>
      </c>
      <c r="F474" s="53" t="s">
        <v>60</v>
      </c>
      <c r="G474" s="53" t="s">
        <v>25</v>
      </c>
      <c r="H474" s="53" t="s">
        <v>25</v>
      </c>
      <c r="I474" s="75">
        <v>44562</v>
      </c>
      <c r="J474" s="76">
        <f>EFEITO!$J$474*EFEITO!$Y$474</f>
        <v>0</v>
      </c>
      <c r="K474" s="76">
        <f ca="1">EFEITO!$L$474*EFEITO!$Z$474</f>
        <v>767255.41225726879</v>
      </c>
      <c r="L474" s="76">
        <f>EFEITO!$N$474*EFEITO!$AA$474</f>
        <v>0</v>
      </c>
      <c r="M474" s="76">
        <f>$J$474-EFEITO!$K$474*EFEITO!$Y$474</f>
        <v>0</v>
      </c>
      <c r="N474" s="76">
        <f ca="1">$K$474-EFEITO!$M$474*EFEITO!$Z$474</f>
        <v>0</v>
      </c>
      <c r="O474" s="76">
        <f>$L$474-EFEITO!$O$474*EFEITO!$AA$474</f>
        <v>0</v>
      </c>
      <c r="P474" s="57"/>
      <c r="Q474" s="57"/>
      <c r="R474" s="57"/>
      <c r="S474" s="57"/>
      <c r="T474" s="57"/>
      <c r="U474" s="57"/>
      <c r="V474" s="57"/>
      <c r="W474" s="57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1.25" customHeight="1" x14ac:dyDescent="0.2">
      <c r="A475" s="53" t="s">
        <v>21</v>
      </c>
      <c r="B475" s="53" t="s">
        <v>33</v>
      </c>
      <c r="C475" s="53" t="s">
        <v>42</v>
      </c>
      <c r="D475" s="53" t="s">
        <v>40</v>
      </c>
      <c r="E475" s="53" t="s">
        <v>25</v>
      </c>
      <c r="F475" s="53" t="s">
        <v>60</v>
      </c>
      <c r="G475" s="53" t="s">
        <v>25</v>
      </c>
      <c r="H475" s="53" t="s">
        <v>25</v>
      </c>
      <c r="I475" s="75">
        <v>44593</v>
      </c>
      <c r="J475" s="76">
        <f>EFEITO!$J$475*EFEITO!$Y$475</f>
        <v>0</v>
      </c>
      <c r="K475" s="76">
        <f ca="1">EFEITO!$L$475*EFEITO!$Z$475</f>
        <v>756224.18691731</v>
      </c>
      <c r="L475" s="76">
        <f>EFEITO!$N$475*EFEITO!$AA$475</f>
        <v>0</v>
      </c>
      <c r="M475" s="76">
        <f>$J$475-EFEITO!$K$475*EFEITO!$Y$475</f>
        <v>0</v>
      </c>
      <c r="N475" s="76">
        <f ca="1">$K$475-EFEITO!$M$475*EFEITO!$Z$475</f>
        <v>0</v>
      </c>
      <c r="O475" s="76">
        <f>$L$475-EFEITO!$O$475*EFEITO!$AA$475</f>
        <v>0</v>
      </c>
      <c r="P475" s="57"/>
      <c r="Q475" s="57"/>
      <c r="R475" s="57"/>
      <c r="S475" s="57"/>
      <c r="T475" s="57"/>
      <c r="U475" s="57"/>
      <c r="V475" s="57"/>
      <c r="W475" s="57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1.25" customHeight="1" x14ac:dyDescent="0.2">
      <c r="A476" s="53" t="s">
        <v>21</v>
      </c>
      <c r="B476" s="53" t="s">
        <v>33</v>
      </c>
      <c r="C476" s="53" t="s">
        <v>42</v>
      </c>
      <c r="D476" s="53" t="s">
        <v>40</v>
      </c>
      <c r="E476" s="53" t="s">
        <v>25</v>
      </c>
      <c r="F476" s="53" t="s">
        <v>60</v>
      </c>
      <c r="G476" s="53" t="s">
        <v>25</v>
      </c>
      <c r="H476" s="53" t="s">
        <v>25</v>
      </c>
      <c r="I476" s="75">
        <v>44621</v>
      </c>
      <c r="J476" s="76">
        <f>EFEITO!$J$476*EFEITO!$Y$476</f>
        <v>0</v>
      </c>
      <c r="K476" s="76">
        <f ca="1">EFEITO!$L$476*EFEITO!$Z$476</f>
        <v>834218.74826481228</v>
      </c>
      <c r="L476" s="76">
        <f>EFEITO!$N$476*EFEITO!$AA$476</f>
        <v>0</v>
      </c>
      <c r="M476" s="76">
        <f>$J$476-EFEITO!$K$476*EFEITO!$Y$476</f>
        <v>0</v>
      </c>
      <c r="N476" s="76">
        <f ca="1">$K$476-EFEITO!$M$476*EFEITO!$Z$476</f>
        <v>0</v>
      </c>
      <c r="O476" s="76">
        <f>$L$476-EFEITO!$O$476*EFEITO!$AA$476</f>
        <v>0</v>
      </c>
      <c r="P476" s="57"/>
      <c r="Q476" s="57"/>
      <c r="R476" s="57"/>
      <c r="S476" s="57"/>
      <c r="T476" s="57"/>
      <c r="U476" s="57"/>
      <c r="V476" s="57"/>
      <c r="W476" s="57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1.25" customHeight="1" x14ac:dyDescent="0.2">
      <c r="A477" s="53" t="s">
        <v>56</v>
      </c>
      <c r="B477" s="53" t="s">
        <v>33</v>
      </c>
      <c r="C477" s="53" t="s">
        <v>42</v>
      </c>
      <c r="D477" s="53" t="s">
        <v>40</v>
      </c>
      <c r="E477" s="53" t="s">
        <v>25</v>
      </c>
      <c r="F477" s="53" t="s">
        <v>60</v>
      </c>
      <c r="G477" s="53" t="s">
        <v>25</v>
      </c>
      <c r="H477" s="53" t="s">
        <v>25</v>
      </c>
      <c r="I477" s="75">
        <v>44652</v>
      </c>
      <c r="J477" s="76">
        <f>EFEITO!$J$477*EFEITO!$Y$477</f>
        <v>0</v>
      </c>
      <c r="K477" s="76">
        <f ca="1">EFEITO!$L$477*EFEITO!$Z$477</f>
        <v>834218.74826481228</v>
      </c>
      <c r="L477" s="76">
        <f>EFEITO!$N$477*EFEITO!$AA$477</f>
        <v>0</v>
      </c>
      <c r="M477" s="76">
        <f>$J$477-EFEITO!$K$477*EFEITO!$Y$477</f>
        <v>0</v>
      </c>
      <c r="N477" s="76">
        <f ca="1">$K$477-EFEITO!$M$477*EFEITO!$Z$477</f>
        <v>0</v>
      </c>
      <c r="O477" s="76">
        <f>$L$477-EFEITO!$O$477*EFEITO!$AA$477</f>
        <v>0</v>
      </c>
      <c r="P477" s="57"/>
      <c r="Q477" s="57"/>
      <c r="R477" s="57"/>
      <c r="S477" s="57"/>
      <c r="T477" s="57"/>
      <c r="U477" s="57"/>
      <c r="V477" s="57"/>
      <c r="W477" s="57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1.25" customHeight="1" x14ac:dyDescent="0.2">
      <c r="A478" s="53" t="s">
        <v>21</v>
      </c>
      <c r="B478" s="53" t="s">
        <v>33</v>
      </c>
      <c r="C478" s="53" t="s">
        <v>42</v>
      </c>
      <c r="D478" s="53" t="s">
        <v>40</v>
      </c>
      <c r="E478" s="53" t="s">
        <v>25</v>
      </c>
      <c r="F478" s="53" t="s">
        <v>60</v>
      </c>
      <c r="G478" s="53" t="s">
        <v>25</v>
      </c>
      <c r="H478" s="53" t="s">
        <v>35</v>
      </c>
      <c r="I478" s="75">
        <v>44317</v>
      </c>
      <c r="J478" s="76">
        <f ca="1">EFEITO!$J$478*EFEITO!$Y$478</f>
        <v>764230.39950495656</v>
      </c>
      <c r="K478" s="76">
        <f ca="1">EFEITO!$L$478*EFEITO!$Z$478</f>
        <v>0</v>
      </c>
      <c r="L478" s="76">
        <f>EFEITO!$N$478*EFEITO!$AA$478</f>
        <v>0</v>
      </c>
      <c r="M478" s="76">
        <f ca="1">$J$478-EFEITO!$K$478*EFEITO!$Y$478</f>
        <v>477896.46320307435</v>
      </c>
      <c r="N478" s="76">
        <f ca="1">$K$478-EFEITO!$M$478*EFEITO!$Z$478</f>
        <v>0</v>
      </c>
      <c r="O478" s="76">
        <f>$L$478-EFEITO!$O$478*EFEITO!$AA$478</f>
        <v>0</v>
      </c>
      <c r="P478" s="57"/>
      <c r="Q478" s="57"/>
      <c r="R478" s="57"/>
      <c r="S478" s="57"/>
      <c r="T478" s="57"/>
      <c r="U478" s="57"/>
      <c r="V478" s="57"/>
      <c r="W478" s="57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1.25" customHeight="1" x14ac:dyDescent="0.2">
      <c r="A479" s="53" t="s">
        <v>21</v>
      </c>
      <c r="B479" s="53" t="s">
        <v>33</v>
      </c>
      <c r="C479" s="53" t="s">
        <v>42</v>
      </c>
      <c r="D479" s="53" t="s">
        <v>40</v>
      </c>
      <c r="E479" s="53" t="s">
        <v>25</v>
      </c>
      <c r="F479" s="53" t="s">
        <v>60</v>
      </c>
      <c r="G479" s="53" t="s">
        <v>25</v>
      </c>
      <c r="H479" s="53" t="s">
        <v>35</v>
      </c>
      <c r="I479" s="75">
        <v>44348</v>
      </c>
      <c r="J479" s="76">
        <f ca="1">EFEITO!$J$479*EFEITO!$Y$479</f>
        <v>820188.54747052107</v>
      </c>
      <c r="K479" s="76">
        <f ca="1">EFEITO!$L$479*EFEITO!$Z$479</f>
        <v>0</v>
      </c>
      <c r="L479" s="76">
        <f>EFEITO!$N$479*EFEITO!$AA$479</f>
        <v>0</v>
      </c>
      <c r="M479" s="76">
        <f ca="1">$J$479-EFEITO!$K$479*EFEITO!$Y$479</f>
        <v>495312.716813537</v>
      </c>
      <c r="N479" s="76">
        <f ca="1">$K$479-EFEITO!$M$479*EFEITO!$Z$479</f>
        <v>0</v>
      </c>
      <c r="O479" s="76">
        <f>$L$479-EFEITO!$O$479*EFEITO!$AA$479</f>
        <v>0</v>
      </c>
      <c r="P479" s="57"/>
      <c r="Q479" s="57"/>
      <c r="R479" s="57"/>
      <c r="S479" s="57"/>
      <c r="T479" s="57"/>
      <c r="U479" s="57"/>
      <c r="V479" s="57"/>
      <c r="W479" s="57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1.25" customHeight="1" x14ac:dyDescent="0.2">
      <c r="A480" s="53" t="s">
        <v>21</v>
      </c>
      <c r="B480" s="53" t="s">
        <v>33</v>
      </c>
      <c r="C480" s="53" t="s">
        <v>42</v>
      </c>
      <c r="D480" s="53" t="s">
        <v>40</v>
      </c>
      <c r="E480" s="53" t="s">
        <v>25</v>
      </c>
      <c r="F480" s="53" t="s">
        <v>60</v>
      </c>
      <c r="G480" s="53" t="s">
        <v>25</v>
      </c>
      <c r="H480" s="53" t="s">
        <v>35</v>
      </c>
      <c r="I480" s="75">
        <v>44378</v>
      </c>
      <c r="J480" s="76">
        <f ca="1">EFEITO!$J$480*EFEITO!$Y$480</f>
        <v>937021.95788872335</v>
      </c>
      <c r="K480" s="76">
        <f ca="1">EFEITO!$L$480*EFEITO!$Z$480</f>
        <v>0</v>
      </c>
      <c r="L480" s="76">
        <f>EFEITO!$N$480*EFEITO!$AA$480</f>
        <v>0</v>
      </c>
      <c r="M480" s="76">
        <f ca="1">$J$480-EFEITO!$K$480*EFEITO!$Y$480</f>
        <v>568059.55457552825</v>
      </c>
      <c r="N480" s="76">
        <f ca="1">$K$480-EFEITO!$M$480*EFEITO!$Z$480</f>
        <v>0</v>
      </c>
      <c r="O480" s="76">
        <f>$L$480-EFEITO!$O$480*EFEITO!$AA$480</f>
        <v>0</v>
      </c>
      <c r="P480" s="57"/>
      <c r="Q480" s="57"/>
      <c r="R480" s="57"/>
      <c r="S480" s="57"/>
      <c r="T480" s="57"/>
      <c r="U480" s="57"/>
      <c r="V480" s="57"/>
      <c r="W480" s="57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1.25" customHeight="1" x14ac:dyDescent="0.2">
      <c r="A481" s="53" t="s">
        <v>21</v>
      </c>
      <c r="B481" s="53" t="s">
        <v>33</v>
      </c>
      <c r="C481" s="53" t="s">
        <v>42</v>
      </c>
      <c r="D481" s="53" t="s">
        <v>40</v>
      </c>
      <c r="E481" s="53" t="s">
        <v>25</v>
      </c>
      <c r="F481" s="53" t="s">
        <v>60</v>
      </c>
      <c r="G481" s="53" t="s">
        <v>25</v>
      </c>
      <c r="H481" s="53" t="s">
        <v>35</v>
      </c>
      <c r="I481" s="75">
        <v>44409</v>
      </c>
      <c r="J481" s="76">
        <f ca="1">EFEITO!$J$481*EFEITO!$Y$481</f>
        <v>1062235.239475036</v>
      </c>
      <c r="K481" s="76">
        <f ca="1">EFEITO!$L$481*EFEITO!$Z$481</f>
        <v>0</v>
      </c>
      <c r="L481" s="76">
        <f>EFEITO!$N$481*EFEITO!$AA$481</f>
        <v>0</v>
      </c>
      <c r="M481" s="76">
        <f ca="1">$J$481-EFEITO!$K$481*EFEITO!$Y$481</f>
        <v>612665.53591789282</v>
      </c>
      <c r="N481" s="76">
        <f ca="1">$K$481-EFEITO!$M$481*EFEITO!$Z$481</f>
        <v>0</v>
      </c>
      <c r="O481" s="76">
        <f>$L$481-EFEITO!$O$481*EFEITO!$AA$481</f>
        <v>0</v>
      </c>
      <c r="P481" s="57"/>
      <c r="Q481" s="57"/>
      <c r="R481" s="57"/>
      <c r="S481" s="57"/>
      <c r="T481" s="57"/>
      <c r="U481" s="57"/>
      <c r="V481" s="57"/>
      <c r="W481" s="57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1.25" customHeight="1" x14ac:dyDescent="0.2">
      <c r="A482" s="53" t="s">
        <v>21</v>
      </c>
      <c r="B482" s="53" t="s">
        <v>33</v>
      </c>
      <c r="C482" s="53" t="s">
        <v>42</v>
      </c>
      <c r="D482" s="53" t="s">
        <v>40</v>
      </c>
      <c r="E482" s="53" t="s">
        <v>25</v>
      </c>
      <c r="F482" s="53" t="s">
        <v>60</v>
      </c>
      <c r="G482" s="53" t="s">
        <v>25</v>
      </c>
      <c r="H482" s="53" t="s">
        <v>35</v>
      </c>
      <c r="I482" s="75">
        <v>44440</v>
      </c>
      <c r="J482" s="76">
        <f ca="1">EFEITO!$J$482*EFEITO!$Y$482</f>
        <v>1089383.2518543694</v>
      </c>
      <c r="K482" s="76">
        <f ca="1">EFEITO!$L$482*EFEITO!$Z$482</f>
        <v>0</v>
      </c>
      <c r="L482" s="76">
        <f>EFEITO!$N$482*EFEITO!$AA$482</f>
        <v>0</v>
      </c>
      <c r="M482" s="76">
        <f ca="1">$J$482-EFEITO!$K$482*EFEITO!$Y$482</f>
        <v>678880.3079663883</v>
      </c>
      <c r="N482" s="76">
        <f ca="1">$K$482-EFEITO!$M$482*EFEITO!$Z$482</f>
        <v>0</v>
      </c>
      <c r="O482" s="76">
        <f>$L$482-EFEITO!$O$482*EFEITO!$AA$482</f>
        <v>0</v>
      </c>
      <c r="P482" s="57"/>
      <c r="Q482" s="57"/>
      <c r="R482" s="57"/>
      <c r="S482" s="57"/>
      <c r="T482" s="57"/>
      <c r="U482" s="57"/>
      <c r="V482" s="57"/>
      <c r="W482" s="57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1.25" customHeight="1" x14ac:dyDescent="0.2">
      <c r="A483" s="53" t="s">
        <v>21</v>
      </c>
      <c r="B483" s="53" t="s">
        <v>33</v>
      </c>
      <c r="C483" s="53" t="s">
        <v>42</v>
      </c>
      <c r="D483" s="53" t="s">
        <v>40</v>
      </c>
      <c r="E483" s="53" t="s">
        <v>25</v>
      </c>
      <c r="F483" s="53" t="s">
        <v>60</v>
      </c>
      <c r="G483" s="53" t="s">
        <v>25</v>
      </c>
      <c r="H483" s="53" t="s">
        <v>35</v>
      </c>
      <c r="I483" s="75">
        <v>44470</v>
      </c>
      <c r="J483" s="76">
        <f ca="1">EFEITO!$J$483*EFEITO!$Y$483</f>
        <v>1169165.1657854712</v>
      </c>
      <c r="K483" s="76">
        <f ca="1">EFEITO!$L$483*EFEITO!$Z$483</f>
        <v>0</v>
      </c>
      <c r="L483" s="76">
        <f>EFEITO!$N$483*EFEITO!$AA$483</f>
        <v>0</v>
      </c>
      <c r="M483" s="76">
        <f ca="1">$J$483-EFEITO!$K$483*EFEITO!$Y$483</f>
        <v>675133.66502546263</v>
      </c>
      <c r="N483" s="76">
        <f ca="1">$K$483-EFEITO!$M$483*EFEITO!$Z$483</f>
        <v>0</v>
      </c>
      <c r="O483" s="76">
        <f>$L$483-EFEITO!$O$483*EFEITO!$AA$483</f>
        <v>0</v>
      </c>
      <c r="P483" s="57"/>
      <c r="Q483" s="57"/>
      <c r="R483" s="57"/>
      <c r="S483" s="57"/>
      <c r="T483" s="57"/>
      <c r="U483" s="57"/>
      <c r="V483" s="57"/>
      <c r="W483" s="57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1.25" customHeight="1" x14ac:dyDescent="0.2">
      <c r="A484" s="53" t="s">
        <v>21</v>
      </c>
      <c r="B484" s="53" t="s">
        <v>33</v>
      </c>
      <c r="C484" s="53" t="s">
        <v>42</v>
      </c>
      <c r="D484" s="53" t="s">
        <v>40</v>
      </c>
      <c r="E484" s="53" t="s">
        <v>25</v>
      </c>
      <c r="F484" s="53" t="s">
        <v>60</v>
      </c>
      <c r="G484" s="53" t="s">
        <v>25</v>
      </c>
      <c r="H484" s="53" t="s">
        <v>35</v>
      </c>
      <c r="I484" s="75">
        <v>44501</v>
      </c>
      <c r="J484" s="76">
        <f ca="1">EFEITO!$J$484*EFEITO!$Y$484</f>
        <v>1159746.4676130495</v>
      </c>
      <c r="K484" s="76">
        <f ca="1">EFEITO!$L$484*EFEITO!$Z$484</f>
        <v>0</v>
      </c>
      <c r="L484" s="76">
        <f>EFEITO!$N$484*EFEITO!$AA$484</f>
        <v>0</v>
      </c>
      <c r="M484" s="76">
        <f ca="1">$J$484-EFEITO!$K$484*EFEITO!$Y$484</f>
        <v>779631.15469098231</v>
      </c>
      <c r="N484" s="76">
        <f ca="1">$K$484-EFEITO!$M$484*EFEITO!$Z$484</f>
        <v>0</v>
      </c>
      <c r="O484" s="76">
        <f>$L$484-EFEITO!$O$484*EFEITO!$AA$484</f>
        <v>0</v>
      </c>
      <c r="P484" s="57"/>
      <c r="Q484" s="57"/>
      <c r="R484" s="57"/>
      <c r="S484" s="57"/>
      <c r="T484" s="57"/>
      <c r="U484" s="57"/>
      <c r="V484" s="57"/>
      <c r="W484" s="57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1.25" customHeight="1" x14ac:dyDescent="0.2">
      <c r="A485" s="53" t="s">
        <v>21</v>
      </c>
      <c r="B485" s="53" t="s">
        <v>33</v>
      </c>
      <c r="C485" s="53" t="s">
        <v>42</v>
      </c>
      <c r="D485" s="53" t="s">
        <v>40</v>
      </c>
      <c r="E485" s="53" t="s">
        <v>25</v>
      </c>
      <c r="F485" s="53" t="s">
        <v>60</v>
      </c>
      <c r="G485" s="53" t="s">
        <v>25</v>
      </c>
      <c r="H485" s="53" t="s">
        <v>35</v>
      </c>
      <c r="I485" s="75">
        <v>44531</v>
      </c>
      <c r="J485" s="76">
        <f ca="1">EFEITO!$J$485*EFEITO!$Y$485</f>
        <v>1212241.8588975766</v>
      </c>
      <c r="K485" s="76">
        <f ca="1">EFEITO!$L$485*EFEITO!$Z$485</f>
        <v>0</v>
      </c>
      <c r="L485" s="76">
        <f>EFEITO!$N$485*EFEITO!$AA$485</f>
        <v>0</v>
      </c>
      <c r="M485" s="76">
        <f ca="1">$J$485-EFEITO!$K$485*EFEITO!$Y$485</f>
        <v>738571.37201091298</v>
      </c>
      <c r="N485" s="76">
        <f ca="1">$K$485-EFEITO!$M$485*EFEITO!$Z$485</f>
        <v>0</v>
      </c>
      <c r="O485" s="76">
        <f>$L$485-EFEITO!$O$485*EFEITO!$AA$485</f>
        <v>0</v>
      </c>
      <c r="P485" s="57"/>
      <c r="Q485" s="57"/>
      <c r="R485" s="57"/>
      <c r="S485" s="57"/>
      <c r="T485" s="57"/>
      <c r="U485" s="57"/>
      <c r="V485" s="57"/>
      <c r="W485" s="57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1.25" customHeight="1" x14ac:dyDescent="0.2">
      <c r="A486" s="53" t="s">
        <v>21</v>
      </c>
      <c r="B486" s="53" t="s">
        <v>33</v>
      </c>
      <c r="C486" s="53" t="s">
        <v>42</v>
      </c>
      <c r="D486" s="53" t="s">
        <v>40</v>
      </c>
      <c r="E486" s="53" t="s">
        <v>25</v>
      </c>
      <c r="F486" s="53" t="s">
        <v>60</v>
      </c>
      <c r="G486" s="53" t="s">
        <v>25</v>
      </c>
      <c r="H486" s="53" t="s">
        <v>35</v>
      </c>
      <c r="I486" s="75">
        <v>44562</v>
      </c>
      <c r="J486" s="76">
        <f ca="1">EFEITO!$J$486*EFEITO!$Y$486</f>
        <v>1218613.3311906855</v>
      </c>
      <c r="K486" s="76">
        <f ca="1">EFEITO!$L$486*EFEITO!$Z$486</f>
        <v>0</v>
      </c>
      <c r="L486" s="76">
        <f>EFEITO!$N$486*EFEITO!$AA$486</f>
        <v>0</v>
      </c>
      <c r="M486" s="76">
        <f ca="1">$J$486-EFEITO!$K$486*EFEITO!$Y$486</f>
        <v>699857.75206759642</v>
      </c>
      <c r="N486" s="76">
        <f ca="1">$K$486-EFEITO!$M$486*EFEITO!$Z$486</f>
        <v>0</v>
      </c>
      <c r="O486" s="76">
        <f>$L$486-EFEITO!$O$486*EFEITO!$AA$486</f>
        <v>0</v>
      </c>
      <c r="P486" s="57"/>
      <c r="Q486" s="57"/>
      <c r="R486" s="57"/>
      <c r="S486" s="57"/>
      <c r="T486" s="57"/>
      <c r="U486" s="57"/>
      <c r="V486" s="57"/>
      <c r="W486" s="57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1.25" customHeight="1" x14ac:dyDescent="0.2">
      <c r="A487" s="53" t="s">
        <v>21</v>
      </c>
      <c r="B487" s="53" t="s">
        <v>33</v>
      </c>
      <c r="C487" s="53" t="s">
        <v>42</v>
      </c>
      <c r="D487" s="53" t="s">
        <v>40</v>
      </c>
      <c r="E487" s="53" t="s">
        <v>25</v>
      </c>
      <c r="F487" s="53" t="s">
        <v>60</v>
      </c>
      <c r="G487" s="53" t="s">
        <v>25</v>
      </c>
      <c r="H487" s="53" t="s">
        <v>35</v>
      </c>
      <c r="I487" s="75">
        <v>44593</v>
      </c>
      <c r="J487" s="76">
        <f ca="1">EFEITO!$J$487*EFEITO!$Y$487</f>
        <v>1252340.5812639899</v>
      </c>
      <c r="K487" s="76">
        <f ca="1">EFEITO!$L$487*EFEITO!$Z$487</f>
        <v>0</v>
      </c>
      <c r="L487" s="76">
        <f>EFEITO!$N$487*EFEITO!$AA$487</f>
        <v>0</v>
      </c>
      <c r="M487" s="76">
        <f ca="1">$J$487-EFEITO!$K$487*EFEITO!$Y$487</f>
        <v>716721.37748376676</v>
      </c>
      <c r="N487" s="76">
        <f ca="1">$K$487-EFEITO!$M$487*EFEITO!$Z$487</f>
        <v>0</v>
      </c>
      <c r="O487" s="76">
        <f>$L$487-EFEITO!$O$487*EFEITO!$AA$487</f>
        <v>0</v>
      </c>
      <c r="P487" s="57"/>
      <c r="Q487" s="57"/>
      <c r="R487" s="57"/>
      <c r="S487" s="57"/>
      <c r="T487" s="57"/>
      <c r="U487" s="57"/>
      <c r="V487" s="57"/>
      <c r="W487" s="57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1.25" customHeight="1" x14ac:dyDescent="0.2">
      <c r="A488" s="53" t="s">
        <v>21</v>
      </c>
      <c r="B488" s="53" t="s">
        <v>33</v>
      </c>
      <c r="C488" s="53" t="s">
        <v>42</v>
      </c>
      <c r="D488" s="53" t="s">
        <v>40</v>
      </c>
      <c r="E488" s="53" t="s">
        <v>25</v>
      </c>
      <c r="F488" s="53" t="s">
        <v>60</v>
      </c>
      <c r="G488" s="53" t="s">
        <v>25</v>
      </c>
      <c r="H488" s="53" t="s">
        <v>35</v>
      </c>
      <c r="I488" s="75">
        <v>44621</v>
      </c>
      <c r="J488" s="76">
        <f ca="1">EFEITO!$J$488*EFEITO!$Y$488</f>
        <v>1313977.6501864558</v>
      </c>
      <c r="K488" s="76">
        <f ca="1">EFEITO!$L$488*EFEITO!$Z$488</f>
        <v>0</v>
      </c>
      <c r="L488" s="76">
        <f>EFEITO!$N$488*EFEITO!$AA$488</f>
        <v>0</v>
      </c>
      <c r="M488" s="76">
        <f ca="1">$J$488-EFEITO!$K$488*EFEITO!$Y$488</f>
        <v>747539.91296443529</v>
      </c>
      <c r="N488" s="76">
        <f ca="1">$K$488-EFEITO!$M$488*EFEITO!$Z$488</f>
        <v>0</v>
      </c>
      <c r="O488" s="76">
        <f>$L$488-EFEITO!$O$488*EFEITO!$AA$488</f>
        <v>0</v>
      </c>
      <c r="P488" s="57"/>
      <c r="Q488" s="57"/>
      <c r="R488" s="57"/>
      <c r="S488" s="57"/>
      <c r="T488" s="57"/>
      <c r="U488" s="57"/>
      <c r="V488" s="57"/>
      <c r="W488" s="57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1.25" customHeight="1" x14ac:dyDescent="0.2">
      <c r="A489" s="53" t="s">
        <v>56</v>
      </c>
      <c r="B489" s="53" t="s">
        <v>33</v>
      </c>
      <c r="C489" s="53" t="s">
        <v>42</v>
      </c>
      <c r="D489" s="53" t="s">
        <v>40</v>
      </c>
      <c r="E489" s="53" t="s">
        <v>25</v>
      </c>
      <c r="F489" s="53" t="s">
        <v>60</v>
      </c>
      <c r="G489" s="53" t="s">
        <v>25</v>
      </c>
      <c r="H489" s="53" t="s">
        <v>35</v>
      </c>
      <c r="I489" s="75">
        <v>44652</v>
      </c>
      <c r="J489" s="76">
        <f ca="1">EFEITO!$J$489*EFEITO!$Y$489</f>
        <v>1313977.6501864558</v>
      </c>
      <c r="K489" s="76">
        <f ca="1">EFEITO!$L$489*EFEITO!$Z$489</f>
        <v>0</v>
      </c>
      <c r="L489" s="76">
        <f>EFEITO!$N$489*EFEITO!$AA$489</f>
        <v>0</v>
      </c>
      <c r="M489" s="76">
        <f ca="1">$J$489-EFEITO!$K$489*EFEITO!$Y$489</f>
        <v>747539.91296443529</v>
      </c>
      <c r="N489" s="76">
        <f ca="1">$K$489-EFEITO!$M$489*EFEITO!$Z$489</f>
        <v>0</v>
      </c>
      <c r="O489" s="76">
        <f>$L$489-EFEITO!$O$489*EFEITO!$AA$489</f>
        <v>0</v>
      </c>
      <c r="P489" s="57"/>
      <c r="Q489" s="57"/>
      <c r="R489" s="57"/>
      <c r="S489" s="57"/>
      <c r="T489" s="57"/>
      <c r="U489" s="57"/>
      <c r="V489" s="57"/>
      <c r="W489" s="57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1.25" customHeight="1" x14ac:dyDescent="0.2">
      <c r="A490" s="53" t="s">
        <v>21</v>
      </c>
      <c r="B490" s="53" t="s">
        <v>33</v>
      </c>
      <c r="C490" s="53" t="s">
        <v>42</v>
      </c>
      <c r="D490" s="53" t="s">
        <v>40</v>
      </c>
      <c r="E490" s="53" t="s">
        <v>25</v>
      </c>
      <c r="F490" s="53" t="s">
        <v>25</v>
      </c>
      <c r="G490" s="53" t="s">
        <v>25</v>
      </c>
      <c r="H490" s="53" t="s">
        <v>36</v>
      </c>
      <c r="I490" s="75">
        <v>44317</v>
      </c>
      <c r="J490" s="76">
        <f ca="1">EFEITO!$J$490*EFEITO!$Y$490</f>
        <v>100355.11440495722</v>
      </c>
      <c r="K490" s="76">
        <f ca="1">EFEITO!$L$490*EFEITO!$Z$490</f>
        <v>181034.27277528582</v>
      </c>
      <c r="L490" s="76">
        <f>EFEITO!$N$490*EFEITO!$AA$490</f>
        <v>417424.89588653005</v>
      </c>
      <c r="M490" s="76">
        <f ca="1">$J$490-EFEITO!$K$490*EFEITO!$Y$490</f>
        <v>0</v>
      </c>
      <c r="N490" s="76">
        <f ca="1">$K$490-EFEITO!$M$490*EFEITO!$Z$490</f>
        <v>0</v>
      </c>
      <c r="O490" s="76">
        <f>$L$490-EFEITO!$O$490*EFEITO!$AA$490</f>
        <v>0</v>
      </c>
      <c r="P490" s="57"/>
      <c r="Q490" s="57"/>
      <c r="R490" s="57"/>
      <c r="S490" s="57"/>
      <c r="T490" s="57"/>
      <c r="U490" s="57"/>
      <c r="V490" s="57"/>
      <c r="W490" s="57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1.25" customHeight="1" x14ac:dyDescent="0.2">
      <c r="A491" s="53" t="s">
        <v>21</v>
      </c>
      <c r="B491" s="53" t="s">
        <v>33</v>
      </c>
      <c r="C491" s="53" t="s">
        <v>42</v>
      </c>
      <c r="D491" s="53" t="s">
        <v>40</v>
      </c>
      <c r="E491" s="53" t="s">
        <v>25</v>
      </c>
      <c r="F491" s="53" t="s">
        <v>25</v>
      </c>
      <c r="G491" s="53" t="s">
        <v>25</v>
      </c>
      <c r="H491" s="53" t="s">
        <v>36</v>
      </c>
      <c r="I491" s="75">
        <v>44348</v>
      </c>
      <c r="J491" s="76">
        <f ca="1">EFEITO!$J$491*EFEITO!$Y$491</f>
        <v>98036.190915757121</v>
      </c>
      <c r="K491" s="76">
        <f ca="1">EFEITO!$L$491*EFEITO!$Z$491</f>
        <v>168272.57614119159</v>
      </c>
      <c r="L491" s="76">
        <f>EFEITO!$N$491*EFEITO!$AA$491</f>
        <v>387999.25284580805</v>
      </c>
      <c r="M491" s="76">
        <f ca="1">$J$491-EFEITO!$K$491*EFEITO!$Y$491</f>
        <v>0</v>
      </c>
      <c r="N491" s="76">
        <f ca="1">$K$491-EFEITO!$M$491*EFEITO!$Z$491</f>
        <v>0</v>
      </c>
      <c r="O491" s="76">
        <f>$L$491-EFEITO!$O$491*EFEITO!$AA$491</f>
        <v>0</v>
      </c>
      <c r="P491" s="57"/>
      <c r="Q491" s="57"/>
      <c r="R491" s="57"/>
      <c r="S491" s="57"/>
      <c r="T491" s="57"/>
      <c r="U491" s="57"/>
      <c r="V491" s="57"/>
      <c r="W491" s="57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1.25" customHeight="1" x14ac:dyDescent="0.2">
      <c r="A492" s="53" t="s">
        <v>21</v>
      </c>
      <c r="B492" s="53" t="s">
        <v>33</v>
      </c>
      <c r="C492" s="53" t="s">
        <v>42</v>
      </c>
      <c r="D492" s="53" t="s">
        <v>40</v>
      </c>
      <c r="E492" s="53" t="s">
        <v>25</v>
      </c>
      <c r="F492" s="53" t="s">
        <v>25</v>
      </c>
      <c r="G492" s="53" t="s">
        <v>25</v>
      </c>
      <c r="H492" s="53" t="s">
        <v>36</v>
      </c>
      <c r="I492" s="75">
        <v>44378</v>
      </c>
      <c r="J492" s="76">
        <f ca="1">EFEITO!$J$492*EFEITO!$Y$492</f>
        <v>104622.92040103824</v>
      </c>
      <c r="K492" s="76">
        <f ca="1">EFEITO!$L$492*EFEITO!$Z$492</f>
        <v>178202.3252231887</v>
      </c>
      <c r="L492" s="76">
        <f>EFEITO!$N$492*EFEITO!$AA$492</f>
        <v>410895.05270287173</v>
      </c>
      <c r="M492" s="76">
        <f ca="1">$J$492-EFEITO!$K$492*EFEITO!$Y$492</f>
        <v>0</v>
      </c>
      <c r="N492" s="76">
        <f ca="1">$K$492-EFEITO!$M$492*EFEITO!$Z$492</f>
        <v>0</v>
      </c>
      <c r="O492" s="76">
        <f>$L$492-EFEITO!$O$492*EFEITO!$AA$492</f>
        <v>0</v>
      </c>
      <c r="P492" s="57"/>
      <c r="Q492" s="57"/>
      <c r="R492" s="57"/>
      <c r="S492" s="57"/>
      <c r="T492" s="57"/>
      <c r="U492" s="57"/>
      <c r="V492" s="57"/>
      <c r="W492" s="57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1.25" customHeight="1" x14ac:dyDescent="0.2">
      <c r="A493" s="53" t="s">
        <v>21</v>
      </c>
      <c r="B493" s="53" t="s">
        <v>33</v>
      </c>
      <c r="C493" s="53" t="s">
        <v>42</v>
      </c>
      <c r="D493" s="53" t="s">
        <v>40</v>
      </c>
      <c r="E493" s="53" t="s">
        <v>25</v>
      </c>
      <c r="F493" s="53" t="s">
        <v>25</v>
      </c>
      <c r="G493" s="53" t="s">
        <v>25</v>
      </c>
      <c r="H493" s="53" t="s">
        <v>36</v>
      </c>
      <c r="I493" s="75">
        <v>44409</v>
      </c>
      <c r="J493" s="76">
        <f ca="1">EFEITO!$J$493*EFEITO!$Y$493</f>
        <v>105659.03515153191</v>
      </c>
      <c r="K493" s="76">
        <f ca="1">EFEITO!$L$493*EFEITO!$Z$493</f>
        <v>192131.34915660895</v>
      </c>
      <c r="L493" s="76">
        <f>EFEITO!$N$493*EFEITO!$AA$493</f>
        <v>443012.293687545</v>
      </c>
      <c r="M493" s="76">
        <f ca="1">$J$493-EFEITO!$K$493*EFEITO!$Y$493</f>
        <v>0</v>
      </c>
      <c r="N493" s="76">
        <f ca="1">$K$493-EFEITO!$M$493*EFEITO!$Z$493</f>
        <v>0</v>
      </c>
      <c r="O493" s="76">
        <f>$L$493-EFEITO!$O$493*EFEITO!$AA$493</f>
        <v>0</v>
      </c>
      <c r="P493" s="57"/>
      <c r="Q493" s="57"/>
      <c r="R493" s="57"/>
      <c r="S493" s="57"/>
      <c r="T493" s="57"/>
      <c r="U493" s="57"/>
      <c r="V493" s="57"/>
      <c r="W493" s="57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1.25" customHeight="1" x14ac:dyDescent="0.2">
      <c r="A494" s="53" t="s">
        <v>21</v>
      </c>
      <c r="B494" s="53" t="s">
        <v>33</v>
      </c>
      <c r="C494" s="53" t="s">
        <v>42</v>
      </c>
      <c r="D494" s="53" t="s">
        <v>40</v>
      </c>
      <c r="E494" s="53" t="s">
        <v>25</v>
      </c>
      <c r="F494" s="53" t="s">
        <v>25</v>
      </c>
      <c r="G494" s="53" t="s">
        <v>25</v>
      </c>
      <c r="H494" s="53" t="s">
        <v>36</v>
      </c>
      <c r="I494" s="75">
        <v>44440</v>
      </c>
      <c r="J494" s="76">
        <f ca="1">EFEITO!$J$494*EFEITO!$Y$494</f>
        <v>105116.30837746379</v>
      </c>
      <c r="K494" s="76">
        <f ca="1">EFEITO!$L$494*EFEITO!$Z$494</f>
        <v>181565.07920513951</v>
      </c>
      <c r="L494" s="76">
        <f>EFEITO!$N$494*EFEITO!$AA$494</f>
        <v>418648.81782860681</v>
      </c>
      <c r="M494" s="76">
        <f ca="1">$J$494-EFEITO!$K$494*EFEITO!$Y$494</f>
        <v>0</v>
      </c>
      <c r="N494" s="76">
        <f ca="1">$K$494-EFEITO!$M$494*EFEITO!$Z$494</f>
        <v>0</v>
      </c>
      <c r="O494" s="76">
        <f>$L$494-EFEITO!$O$494*EFEITO!$AA$494</f>
        <v>0</v>
      </c>
      <c r="P494" s="57"/>
      <c r="Q494" s="57"/>
      <c r="R494" s="57"/>
      <c r="S494" s="57"/>
      <c r="T494" s="57"/>
      <c r="U494" s="57"/>
      <c r="V494" s="57"/>
      <c r="W494" s="57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1.25" customHeight="1" x14ac:dyDescent="0.2">
      <c r="A495" s="53" t="s">
        <v>21</v>
      </c>
      <c r="B495" s="53" t="s">
        <v>33</v>
      </c>
      <c r="C495" s="53" t="s">
        <v>42</v>
      </c>
      <c r="D495" s="53" t="s">
        <v>40</v>
      </c>
      <c r="E495" s="53" t="s">
        <v>25</v>
      </c>
      <c r="F495" s="53" t="s">
        <v>25</v>
      </c>
      <c r="G495" s="53" t="s">
        <v>25</v>
      </c>
      <c r="H495" s="53" t="s">
        <v>36</v>
      </c>
      <c r="I495" s="75">
        <v>44470</v>
      </c>
      <c r="J495" s="76">
        <f ca="1">EFEITO!$J$495*EFEITO!$Y$495</f>
        <v>105190.31657392763</v>
      </c>
      <c r="K495" s="76">
        <f ca="1">EFEITO!$L$495*EFEITO!$Z$495</f>
        <v>183194.18693203208</v>
      </c>
      <c r="L495" s="76">
        <f>EFEITO!$N$495*EFEITO!$AA$495</f>
        <v>422405.179057125</v>
      </c>
      <c r="M495" s="76">
        <f ca="1">$J$495-EFEITO!$K$495*EFEITO!$Y$495</f>
        <v>0</v>
      </c>
      <c r="N495" s="76">
        <f ca="1">$K$495-EFEITO!$M$495*EFEITO!$Z$495</f>
        <v>0</v>
      </c>
      <c r="O495" s="76">
        <f>$L$495-EFEITO!$O$495*EFEITO!$AA$495</f>
        <v>0</v>
      </c>
      <c r="P495" s="57"/>
      <c r="Q495" s="57"/>
      <c r="R495" s="57"/>
      <c r="S495" s="57"/>
      <c r="T495" s="57"/>
      <c r="U495" s="57"/>
      <c r="V495" s="57"/>
      <c r="W495" s="57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1.25" customHeight="1" x14ac:dyDescent="0.2">
      <c r="A496" s="53" t="s">
        <v>21</v>
      </c>
      <c r="B496" s="53" t="s">
        <v>33</v>
      </c>
      <c r="C496" s="53" t="s">
        <v>42</v>
      </c>
      <c r="D496" s="53" t="s">
        <v>40</v>
      </c>
      <c r="E496" s="53" t="s">
        <v>25</v>
      </c>
      <c r="F496" s="53" t="s">
        <v>25</v>
      </c>
      <c r="G496" s="53" t="s">
        <v>25</v>
      </c>
      <c r="H496" s="53" t="s">
        <v>36</v>
      </c>
      <c r="I496" s="75">
        <v>44501</v>
      </c>
      <c r="J496" s="76">
        <f ca="1">EFEITO!$J$496*EFEITO!$Y$496</f>
        <v>104302.21821636164</v>
      </c>
      <c r="K496" s="76">
        <f ca="1">EFEITO!$L$496*EFEITO!$Z$496</f>
        <v>152964.4432557722</v>
      </c>
      <c r="L496" s="76">
        <f>EFEITO!$N$496*EFEITO!$AA$496</f>
        <v>352702.09238025837</v>
      </c>
      <c r="M496" s="76">
        <f ca="1">$J$496-EFEITO!$K$496*EFEITO!$Y$496</f>
        <v>0</v>
      </c>
      <c r="N496" s="76">
        <f ca="1">$K$496-EFEITO!$M$496*EFEITO!$Z$496</f>
        <v>0</v>
      </c>
      <c r="O496" s="76">
        <f>$L$496-EFEITO!$O$496*EFEITO!$AA$496</f>
        <v>0</v>
      </c>
      <c r="P496" s="57"/>
      <c r="Q496" s="57"/>
      <c r="R496" s="57"/>
      <c r="S496" s="57"/>
      <c r="T496" s="57"/>
      <c r="U496" s="57"/>
      <c r="V496" s="57"/>
      <c r="W496" s="57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1.25" customHeight="1" x14ac:dyDescent="0.2">
      <c r="A497" s="53" t="s">
        <v>21</v>
      </c>
      <c r="B497" s="53" t="s">
        <v>33</v>
      </c>
      <c r="C497" s="53" t="s">
        <v>42</v>
      </c>
      <c r="D497" s="53" t="s">
        <v>40</v>
      </c>
      <c r="E497" s="53" t="s">
        <v>25</v>
      </c>
      <c r="F497" s="53" t="s">
        <v>25</v>
      </c>
      <c r="G497" s="53" t="s">
        <v>25</v>
      </c>
      <c r="H497" s="53" t="s">
        <v>36</v>
      </c>
      <c r="I497" s="75">
        <v>44531</v>
      </c>
      <c r="J497" s="76">
        <f ca="1">EFEITO!$J$497*EFEITO!$Y$497</f>
        <v>105930.39853856595</v>
      </c>
      <c r="K497" s="76">
        <f ca="1">EFEITO!$L$497*EFEITO!$Z$497</f>
        <v>188412.64677785549</v>
      </c>
      <c r="L497" s="76">
        <f>EFEITO!$N$497*EFEITO!$AA$497</f>
        <v>434437.79047615052</v>
      </c>
      <c r="M497" s="76">
        <f ca="1">$J$497-EFEITO!$K$497*EFEITO!$Y$497</f>
        <v>0</v>
      </c>
      <c r="N497" s="76">
        <f ca="1">$K$497-EFEITO!$M$497*EFEITO!$Z$497</f>
        <v>0</v>
      </c>
      <c r="O497" s="76">
        <f>$L$497-EFEITO!$O$497*EFEITO!$AA$497</f>
        <v>0</v>
      </c>
      <c r="P497" s="57"/>
      <c r="Q497" s="57"/>
      <c r="R497" s="57"/>
      <c r="S497" s="57"/>
      <c r="T497" s="57"/>
      <c r="U497" s="57"/>
      <c r="V497" s="57"/>
      <c r="W497" s="57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1.25" customHeight="1" x14ac:dyDescent="0.2">
      <c r="A498" s="53" t="s">
        <v>21</v>
      </c>
      <c r="B498" s="53" t="s">
        <v>33</v>
      </c>
      <c r="C498" s="53" t="s">
        <v>42</v>
      </c>
      <c r="D498" s="53" t="s">
        <v>40</v>
      </c>
      <c r="E498" s="53" t="s">
        <v>25</v>
      </c>
      <c r="F498" s="53" t="s">
        <v>25</v>
      </c>
      <c r="G498" s="53" t="s">
        <v>25</v>
      </c>
      <c r="H498" s="53" t="s">
        <v>36</v>
      </c>
      <c r="I498" s="75">
        <v>44562</v>
      </c>
      <c r="J498" s="76">
        <f ca="1">EFEITO!$J$498*EFEITO!$Y$498</f>
        <v>104968.29198453613</v>
      </c>
      <c r="K498" s="76">
        <f ca="1">EFEITO!$L$498*EFEITO!$Z$498</f>
        <v>179902.45800183839</v>
      </c>
      <c r="L498" s="76">
        <f>EFEITO!$N$498*EFEITO!$AA$498</f>
        <v>414815.1819537679</v>
      </c>
      <c r="M498" s="76">
        <f ca="1">$J$498-EFEITO!$K$498*EFEITO!$Y$498</f>
        <v>0</v>
      </c>
      <c r="N498" s="76">
        <f ca="1">$K$498-EFEITO!$M$498*EFEITO!$Z$498</f>
        <v>0</v>
      </c>
      <c r="O498" s="76">
        <f>$L$498-EFEITO!$O$498*EFEITO!$AA$498</f>
        <v>0</v>
      </c>
      <c r="P498" s="57"/>
      <c r="Q498" s="57"/>
      <c r="R498" s="57"/>
      <c r="S498" s="57"/>
      <c r="T498" s="57"/>
      <c r="U498" s="57"/>
      <c r="V498" s="57"/>
      <c r="W498" s="57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1.25" customHeight="1" x14ac:dyDescent="0.2">
      <c r="A499" s="53" t="s">
        <v>21</v>
      </c>
      <c r="B499" s="53" t="s">
        <v>33</v>
      </c>
      <c r="C499" s="53" t="s">
        <v>42</v>
      </c>
      <c r="D499" s="53" t="s">
        <v>40</v>
      </c>
      <c r="E499" s="53" t="s">
        <v>25</v>
      </c>
      <c r="F499" s="53" t="s">
        <v>25</v>
      </c>
      <c r="G499" s="53" t="s">
        <v>25</v>
      </c>
      <c r="H499" s="53" t="s">
        <v>36</v>
      </c>
      <c r="I499" s="75">
        <v>44593</v>
      </c>
      <c r="J499" s="76">
        <f ca="1">EFEITO!$J$499*EFEITO!$Y$499</f>
        <v>103784.1608411148</v>
      </c>
      <c r="K499" s="76">
        <f ca="1">EFEITO!$L$499*EFEITO!$Z$499</f>
        <v>166096.43440639487</v>
      </c>
      <c r="L499" s="76">
        <f>EFEITO!$N$499*EFEITO!$AA$499</f>
        <v>382981.55247804726</v>
      </c>
      <c r="M499" s="76">
        <f ca="1">$J$499-EFEITO!$K$499*EFEITO!$Y$499</f>
        <v>0</v>
      </c>
      <c r="N499" s="76">
        <f ca="1">$K$499-EFEITO!$M$499*EFEITO!$Z$499</f>
        <v>0</v>
      </c>
      <c r="O499" s="76">
        <f>$L$499-EFEITO!$O$499*EFEITO!$AA$499</f>
        <v>0</v>
      </c>
      <c r="P499" s="57"/>
      <c r="Q499" s="57"/>
      <c r="R499" s="57"/>
      <c r="S499" s="57"/>
      <c r="T499" s="57"/>
      <c r="U499" s="57"/>
      <c r="V499" s="57"/>
      <c r="W499" s="57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1.25" customHeight="1" x14ac:dyDescent="0.2">
      <c r="A500" s="53" t="s">
        <v>21</v>
      </c>
      <c r="B500" s="53" t="s">
        <v>33</v>
      </c>
      <c r="C500" s="53" t="s">
        <v>42</v>
      </c>
      <c r="D500" s="53" t="s">
        <v>40</v>
      </c>
      <c r="E500" s="53" t="s">
        <v>25</v>
      </c>
      <c r="F500" s="53" t="s">
        <v>25</v>
      </c>
      <c r="G500" s="53" t="s">
        <v>25</v>
      </c>
      <c r="H500" s="53" t="s">
        <v>36</v>
      </c>
      <c r="I500" s="75">
        <v>44621</v>
      </c>
      <c r="J500" s="76">
        <f ca="1">EFEITO!$J$500*EFEITO!$Y$500</f>
        <v>103882.83843639991</v>
      </c>
      <c r="K500" s="76">
        <f ca="1">EFEITO!$L$500*EFEITO!$Z$500</f>
        <v>192731.06399760448</v>
      </c>
      <c r="L500" s="76">
        <f>EFEITO!$N$500*EFEITO!$AA$500</f>
        <v>444395.10314802156</v>
      </c>
      <c r="M500" s="76">
        <f ca="1">$J$500-EFEITO!$K$500*EFEITO!$Y$500</f>
        <v>0</v>
      </c>
      <c r="N500" s="76">
        <f ca="1">$K$500-EFEITO!$M$500*EFEITO!$Z$500</f>
        <v>0</v>
      </c>
      <c r="O500" s="76">
        <f>$L$500-EFEITO!$O$500*EFEITO!$AA$500</f>
        <v>0</v>
      </c>
      <c r="P500" s="57"/>
      <c r="Q500" s="57"/>
      <c r="R500" s="57"/>
      <c r="S500" s="57"/>
      <c r="T500" s="57"/>
      <c r="U500" s="57"/>
      <c r="V500" s="57"/>
      <c r="W500" s="57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1.25" customHeight="1" x14ac:dyDescent="0.2">
      <c r="A501" s="53" t="s">
        <v>56</v>
      </c>
      <c r="B501" s="53" t="s">
        <v>33</v>
      </c>
      <c r="C501" s="53" t="s">
        <v>42</v>
      </c>
      <c r="D501" s="53" t="s">
        <v>40</v>
      </c>
      <c r="E501" s="53" t="s">
        <v>25</v>
      </c>
      <c r="F501" s="53" t="s">
        <v>25</v>
      </c>
      <c r="G501" s="53" t="s">
        <v>25</v>
      </c>
      <c r="H501" s="53" t="s">
        <v>36</v>
      </c>
      <c r="I501" s="75">
        <v>44652</v>
      </c>
      <c r="J501" s="76">
        <f ca="1">EFEITO!$J$501*EFEITO!$Y$501</f>
        <v>103882.83843639991</v>
      </c>
      <c r="K501" s="76">
        <f ca="1">EFEITO!$L$501*EFEITO!$Z$501</f>
        <v>192731.06399760448</v>
      </c>
      <c r="L501" s="76">
        <f>EFEITO!$N$501*EFEITO!$AA$501</f>
        <v>444395.10314802156</v>
      </c>
      <c r="M501" s="76">
        <f ca="1">$J$501-EFEITO!$K$501*EFEITO!$Y$501</f>
        <v>0</v>
      </c>
      <c r="N501" s="76">
        <f ca="1">$K$501-EFEITO!$M$501*EFEITO!$Z$501</f>
        <v>0</v>
      </c>
      <c r="O501" s="76">
        <f>$L$501-EFEITO!$O$501*EFEITO!$AA$501</f>
        <v>0</v>
      </c>
      <c r="P501" s="57"/>
      <c r="Q501" s="57"/>
      <c r="R501" s="57"/>
      <c r="S501" s="57"/>
      <c r="T501" s="57"/>
      <c r="U501" s="57"/>
      <c r="V501" s="57"/>
      <c r="W501" s="57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1.25" customHeight="1" x14ac:dyDescent="0.2">
      <c r="A502" s="53" t="s">
        <v>21</v>
      </c>
      <c r="B502" s="53" t="s">
        <v>33</v>
      </c>
      <c r="C502" s="53" t="s">
        <v>42</v>
      </c>
      <c r="D502" s="53" t="s">
        <v>40</v>
      </c>
      <c r="E502" s="53" t="s">
        <v>25</v>
      </c>
      <c r="F502" s="53" t="s">
        <v>25</v>
      </c>
      <c r="G502" s="53" t="s">
        <v>25</v>
      </c>
      <c r="H502" s="53" t="s">
        <v>35</v>
      </c>
      <c r="I502" s="75">
        <v>44317</v>
      </c>
      <c r="J502" s="76">
        <f ca="1">EFEITO!$J$502*EFEITO!$Y$502</f>
        <v>219885.04924587556</v>
      </c>
      <c r="K502" s="76">
        <f ca="1">EFEITO!$L$502*EFEITO!$Z$502</f>
        <v>15607.519941335961</v>
      </c>
      <c r="L502" s="76">
        <f>EFEITO!$N$502*EFEITO!$AA$502</f>
        <v>56262.514080860637</v>
      </c>
      <c r="M502" s="76">
        <f ca="1">$J$502-EFEITO!$K$502*EFEITO!$Y$502</f>
        <v>0</v>
      </c>
      <c r="N502" s="76">
        <f ca="1">$K$502-EFEITO!$M$502*EFEITO!$Z$502</f>
        <v>0</v>
      </c>
      <c r="O502" s="76">
        <f>$L$502-EFEITO!$O$502*EFEITO!$AA$502</f>
        <v>0</v>
      </c>
      <c r="P502" s="57"/>
      <c r="Q502" s="57"/>
      <c r="R502" s="57"/>
      <c r="S502" s="57"/>
      <c r="T502" s="57"/>
      <c r="U502" s="57"/>
      <c r="V502" s="57"/>
      <c r="W502" s="57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1.25" customHeight="1" x14ac:dyDescent="0.2">
      <c r="A503" s="53" t="s">
        <v>21</v>
      </c>
      <c r="B503" s="53" t="s">
        <v>33</v>
      </c>
      <c r="C503" s="53" t="s">
        <v>42</v>
      </c>
      <c r="D503" s="53" t="s">
        <v>40</v>
      </c>
      <c r="E503" s="53" t="s">
        <v>25</v>
      </c>
      <c r="F503" s="53" t="s">
        <v>25</v>
      </c>
      <c r="G503" s="53" t="s">
        <v>25</v>
      </c>
      <c r="H503" s="53" t="s">
        <v>35</v>
      </c>
      <c r="I503" s="75">
        <v>44348</v>
      </c>
      <c r="J503" s="76">
        <f ca="1">EFEITO!$J$503*EFEITO!$Y$503</f>
        <v>213790.59748724973</v>
      </c>
      <c r="K503" s="76">
        <f ca="1">EFEITO!$L$503*EFEITO!$Z$503</f>
        <v>14300.729543692176</v>
      </c>
      <c r="L503" s="76">
        <f>EFEITO!$N$503*EFEITO!$AA$503</f>
        <v>51551.751997934</v>
      </c>
      <c r="M503" s="76">
        <f ca="1">$J$503-EFEITO!$K$503*EFEITO!$Y$503</f>
        <v>0</v>
      </c>
      <c r="N503" s="76">
        <f ca="1">$K$503-EFEITO!$M$503*EFEITO!$Z$503</f>
        <v>0</v>
      </c>
      <c r="O503" s="76">
        <f>$L$503-EFEITO!$O$503*EFEITO!$AA$503</f>
        <v>0</v>
      </c>
      <c r="P503" s="57"/>
      <c r="Q503" s="57"/>
      <c r="R503" s="57"/>
      <c r="S503" s="57"/>
      <c r="T503" s="57"/>
      <c r="U503" s="57"/>
      <c r="V503" s="57"/>
      <c r="W503" s="57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1.25" customHeight="1" x14ac:dyDescent="0.2">
      <c r="A504" s="53" t="s">
        <v>21</v>
      </c>
      <c r="B504" s="53" t="s">
        <v>33</v>
      </c>
      <c r="C504" s="53" t="s">
        <v>42</v>
      </c>
      <c r="D504" s="53" t="s">
        <v>40</v>
      </c>
      <c r="E504" s="53" t="s">
        <v>25</v>
      </c>
      <c r="F504" s="53" t="s">
        <v>25</v>
      </c>
      <c r="G504" s="53" t="s">
        <v>25</v>
      </c>
      <c r="H504" s="53" t="s">
        <v>35</v>
      </c>
      <c r="I504" s="75">
        <v>44378</v>
      </c>
      <c r="J504" s="76">
        <f ca="1">EFEITO!$J$504*EFEITO!$Y$504</f>
        <v>234082.35163812895</v>
      </c>
      <c r="K504" s="76">
        <f ca="1">EFEITO!$L$504*EFEITO!$Z$504</f>
        <v>15636.447363078099</v>
      </c>
      <c r="L504" s="76">
        <f>EFEITO!$N$504*EFEITO!$AA$504</f>
        <v>56366.792626023962</v>
      </c>
      <c r="M504" s="76">
        <f ca="1">$J$504-EFEITO!$K$504*EFEITO!$Y$504</f>
        <v>0</v>
      </c>
      <c r="N504" s="76">
        <f ca="1">$K$504-EFEITO!$M$504*EFEITO!$Z$504</f>
        <v>0</v>
      </c>
      <c r="O504" s="76">
        <f>$L$504-EFEITO!$O$504*EFEITO!$AA$504</f>
        <v>0</v>
      </c>
      <c r="P504" s="57"/>
      <c r="Q504" s="57"/>
      <c r="R504" s="57"/>
      <c r="S504" s="57"/>
      <c r="T504" s="57"/>
      <c r="U504" s="57"/>
      <c r="V504" s="57"/>
      <c r="W504" s="57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1.25" customHeight="1" x14ac:dyDescent="0.2">
      <c r="A505" s="53" t="s">
        <v>21</v>
      </c>
      <c r="B505" s="53" t="s">
        <v>33</v>
      </c>
      <c r="C505" s="53" t="s">
        <v>42</v>
      </c>
      <c r="D505" s="53" t="s">
        <v>40</v>
      </c>
      <c r="E505" s="53" t="s">
        <v>25</v>
      </c>
      <c r="F505" s="53" t="s">
        <v>25</v>
      </c>
      <c r="G505" s="53" t="s">
        <v>25</v>
      </c>
      <c r="H505" s="53" t="s">
        <v>35</v>
      </c>
      <c r="I505" s="75">
        <v>44409</v>
      </c>
      <c r="J505" s="76">
        <f ca="1">EFEITO!$J$505*EFEITO!$Y$505</f>
        <v>233251.29003467999</v>
      </c>
      <c r="K505" s="76">
        <f ca="1">EFEITO!$L$505*EFEITO!$Z$505</f>
        <v>16602.576212807362</v>
      </c>
      <c r="L505" s="76">
        <f>EFEITO!$N$505*EFEITO!$AA$505</f>
        <v>59849.526475868755</v>
      </c>
      <c r="M505" s="76">
        <f ca="1">$J$505-EFEITO!$K$505*EFEITO!$Y$505</f>
        <v>0</v>
      </c>
      <c r="N505" s="76">
        <f ca="1">$K$505-EFEITO!$M$505*EFEITO!$Z$505</f>
        <v>0</v>
      </c>
      <c r="O505" s="76">
        <f>$L$505-EFEITO!$O$505*EFEITO!$AA$505</f>
        <v>0</v>
      </c>
      <c r="P505" s="57"/>
      <c r="Q505" s="57"/>
      <c r="R505" s="57"/>
      <c r="S505" s="57"/>
      <c r="T505" s="57"/>
      <c r="U505" s="57"/>
      <c r="V505" s="57"/>
      <c r="W505" s="57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1.25" customHeight="1" x14ac:dyDescent="0.2">
      <c r="A506" s="53" t="s">
        <v>21</v>
      </c>
      <c r="B506" s="53" t="s">
        <v>33</v>
      </c>
      <c r="C506" s="53" t="s">
        <v>42</v>
      </c>
      <c r="D506" s="53" t="s">
        <v>40</v>
      </c>
      <c r="E506" s="53" t="s">
        <v>25</v>
      </c>
      <c r="F506" s="53" t="s">
        <v>25</v>
      </c>
      <c r="G506" s="53" t="s">
        <v>25</v>
      </c>
      <c r="H506" s="53" t="s">
        <v>35</v>
      </c>
      <c r="I506" s="75">
        <v>44440</v>
      </c>
      <c r="J506" s="76">
        <f ca="1">EFEITO!$J$506*EFEITO!$Y$506</f>
        <v>233043.52463381772</v>
      </c>
      <c r="K506" s="76">
        <f ca="1">EFEITO!$L$506*EFEITO!$Z$506</f>
        <v>15941.831567404643</v>
      </c>
      <c r="L506" s="76">
        <f>EFEITO!$N$506*EFEITO!$AA$506</f>
        <v>57467.651901589546</v>
      </c>
      <c r="M506" s="76">
        <f ca="1">$J$506-EFEITO!$K$506*EFEITO!$Y$506</f>
        <v>0</v>
      </c>
      <c r="N506" s="76">
        <f ca="1">$K$506-EFEITO!$M$506*EFEITO!$Z$506</f>
        <v>0</v>
      </c>
      <c r="O506" s="76">
        <f>$L$506-EFEITO!$O$506*EFEITO!$AA$506</f>
        <v>0</v>
      </c>
      <c r="P506" s="57"/>
      <c r="Q506" s="57"/>
      <c r="R506" s="57"/>
      <c r="S506" s="57"/>
      <c r="T506" s="57"/>
      <c r="U506" s="57"/>
      <c r="V506" s="57"/>
      <c r="W506" s="57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1.25" customHeight="1" x14ac:dyDescent="0.2">
      <c r="A507" s="53" t="s">
        <v>21</v>
      </c>
      <c r="B507" s="53" t="s">
        <v>33</v>
      </c>
      <c r="C507" s="53" t="s">
        <v>42</v>
      </c>
      <c r="D507" s="53" t="s">
        <v>40</v>
      </c>
      <c r="E507" s="53" t="s">
        <v>25</v>
      </c>
      <c r="F507" s="53" t="s">
        <v>25</v>
      </c>
      <c r="G507" s="53" t="s">
        <v>25</v>
      </c>
      <c r="H507" s="53" t="s">
        <v>35</v>
      </c>
      <c r="I507" s="75">
        <v>44470</v>
      </c>
      <c r="J507" s="76">
        <f ca="1">EFEITO!$J$507*EFEITO!$Y$507</f>
        <v>233597.56570278373</v>
      </c>
      <c r="K507" s="76">
        <f ca="1">EFEITO!$L$507*EFEITO!$Z$507</f>
        <v>14363.875988714646</v>
      </c>
      <c r="L507" s="76">
        <f>EFEITO!$N$507*EFEITO!$AA$507</f>
        <v>51779.384431888066</v>
      </c>
      <c r="M507" s="76">
        <f ca="1">$J$507-EFEITO!$K$507*EFEITO!$Y$507</f>
        <v>0</v>
      </c>
      <c r="N507" s="76">
        <f ca="1">$K$507-EFEITO!$M$507*EFEITO!$Z$507</f>
        <v>0</v>
      </c>
      <c r="O507" s="76">
        <f>$L$507-EFEITO!$O$507*EFEITO!$AA$507</f>
        <v>0</v>
      </c>
      <c r="P507" s="57"/>
      <c r="Q507" s="57"/>
      <c r="R507" s="57"/>
      <c r="S507" s="57"/>
      <c r="T507" s="57"/>
      <c r="U507" s="57"/>
      <c r="V507" s="57"/>
      <c r="W507" s="57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1.25" customHeight="1" x14ac:dyDescent="0.2">
      <c r="A508" s="53" t="s">
        <v>21</v>
      </c>
      <c r="B508" s="53" t="s">
        <v>33</v>
      </c>
      <c r="C508" s="53" t="s">
        <v>42</v>
      </c>
      <c r="D508" s="53" t="s">
        <v>40</v>
      </c>
      <c r="E508" s="53" t="s">
        <v>25</v>
      </c>
      <c r="F508" s="53" t="s">
        <v>25</v>
      </c>
      <c r="G508" s="53" t="s">
        <v>25</v>
      </c>
      <c r="H508" s="53" t="s">
        <v>35</v>
      </c>
      <c r="I508" s="75">
        <v>44501</v>
      </c>
      <c r="J508" s="76">
        <f ca="1">EFEITO!$J$508*EFEITO!$Y$508</f>
        <v>233182.03490105923</v>
      </c>
      <c r="K508" s="76">
        <f ca="1">EFEITO!$L$508*EFEITO!$Z$508</f>
        <v>11969.014723672506</v>
      </c>
      <c r="L508" s="76">
        <f>EFEITO!$N$508*EFEITO!$AA$508</f>
        <v>43146.307802635485</v>
      </c>
      <c r="M508" s="76">
        <f ca="1">$J$508-EFEITO!$K$508*EFEITO!$Y$508</f>
        <v>0</v>
      </c>
      <c r="N508" s="76">
        <f ca="1">$K$508-EFEITO!$M$508*EFEITO!$Z$508</f>
        <v>0</v>
      </c>
      <c r="O508" s="76">
        <f>$L$508-EFEITO!$O$508*EFEITO!$AA$508</f>
        <v>0</v>
      </c>
      <c r="P508" s="57"/>
      <c r="Q508" s="57"/>
      <c r="R508" s="57"/>
      <c r="S508" s="57"/>
      <c r="T508" s="57"/>
      <c r="U508" s="57"/>
      <c r="V508" s="57"/>
      <c r="W508" s="57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1.25" customHeight="1" x14ac:dyDescent="0.2">
      <c r="A509" s="53" t="s">
        <v>21</v>
      </c>
      <c r="B509" s="53" t="s">
        <v>33</v>
      </c>
      <c r="C509" s="53" t="s">
        <v>42</v>
      </c>
      <c r="D509" s="53" t="s">
        <v>40</v>
      </c>
      <c r="E509" s="53" t="s">
        <v>25</v>
      </c>
      <c r="F509" s="53" t="s">
        <v>25</v>
      </c>
      <c r="G509" s="53" t="s">
        <v>25</v>
      </c>
      <c r="H509" s="53" t="s">
        <v>35</v>
      </c>
      <c r="I509" s="75">
        <v>44531</v>
      </c>
      <c r="J509" s="76">
        <f ca="1">EFEITO!$J$509*EFEITO!$Y$509</f>
        <v>235813.72997864767</v>
      </c>
      <c r="K509" s="76">
        <f ca="1">EFEITO!$L$509*EFEITO!$Z$509</f>
        <v>16776.375925550772</v>
      </c>
      <c r="L509" s="76">
        <f>EFEITO!$N$509*EFEITO!$AA$509</f>
        <v>60476.045539898776</v>
      </c>
      <c r="M509" s="76">
        <f ca="1">$J$509-EFEITO!$K$509*EFEITO!$Y$509</f>
        <v>0</v>
      </c>
      <c r="N509" s="76">
        <f ca="1">$K$509-EFEITO!$M$509*EFEITO!$Z$509</f>
        <v>0</v>
      </c>
      <c r="O509" s="76">
        <f>$L$509-EFEITO!$O$509*EFEITO!$AA$509</f>
        <v>0</v>
      </c>
      <c r="P509" s="57"/>
      <c r="Q509" s="57"/>
      <c r="R509" s="57"/>
      <c r="S509" s="57"/>
      <c r="T509" s="57"/>
      <c r="U509" s="57"/>
      <c r="V509" s="57"/>
      <c r="W509" s="57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1.25" customHeight="1" x14ac:dyDescent="0.2">
      <c r="A510" s="53" t="s">
        <v>21</v>
      </c>
      <c r="B510" s="53" t="s">
        <v>33</v>
      </c>
      <c r="C510" s="53" t="s">
        <v>42</v>
      </c>
      <c r="D510" s="53" t="s">
        <v>40</v>
      </c>
      <c r="E510" s="53" t="s">
        <v>25</v>
      </c>
      <c r="F510" s="53" t="s">
        <v>25</v>
      </c>
      <c r="G510" s="53" t="s">
        <v>25</v>
      </c>
      <c r="H510" s="53" t="s">
        <v>35</v>
      </c>
      <c r="I510" s="75">
        <v>44562</v>
      </c>
      <c r="J510" s="76">
        <f ca="1">EFEITO!$J$510*EFEITO!$Y$510</f>
        <v>233043.52463381772</v>
      </c>
      <c r="K510" s="76">
        <f ca="1">EFEITO!$L$510*EFEITO!$Z$510</f>
        <v>14702.656078304473</v>
      </c>
      <c r="L510" s="76">
        <f>EFEITO!$N$510*EFEITO!$AA$510</f>
        <v>53000.630320569042</v>
      </c>
      <c r="M510" s="76">
        <f ca="1">$J$510-EFEITO!$K$510*EFEITO!$Y$510</f>
        <v>0</v>
      </c>
      <c r="N510" s="76">
        <f ca="1">$K$510-EFEITO!$M$510*EFEITO!$Z$510</f>
        <v>0</v>
      </c>
      <c r="O510" s="76">
        <f>$L$510-EFEITO!$O$510*EFEITO!$AA$510</f>
        <v>0</v>
      </c>
      <c r="P510" s="57"/>
      <c r="Q510" s="57"/>
      <c r="R510" s="57"/>
      <c r="S510" s="57"/>
      <c r="T510" s="57"/>
      <c r="U510" s="57"/>
      <c r="V510" s="57"/>
      <c r="W510" s="57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1.25" customHeight="1" x14ac:dyDescent="0.2">
      <c r="A511" s="53" t="s">
        <v>21</v>
      </c>
      <c r="B511" s="53" t="s">
        <v>33</v>
      </c>
      <c r="C511" s="53" t="s">
        <v>42</v>
      </c>
      <c r="D511" s="53" t="s">
        <v>40</v>
      </c>
      <c r="E511" s="53" t="s">
        <v>25</v>
      </c>
      <c r="F511" s="53" t="s">
        <v>25</v>
      </c>
      <c r="G511" s="53" t="s">
        <v>25</v>
      </c>
      <c r="H511" s="53" t="s">
        <v>35</v>
      </c>
      <c r="I511" s="75">
        <v>44593</v>
      </c>
      <c r="J511" s="76">
        <f ca="1">EFEITO!$J$511*EFEITO!$Y$511</f>
        <v>230619.59495709155</v>
      </c>
      <c r="K511" s="76">
        <f ca="1">EFEITO!$L$511*EFEITO!$Z$511</f>
        <v>14329.421783143727</v>
      </c>
      <c r="L511" s="76">
        <f>EFEITO!$N$511*EFEITO!$AA$511</f>
        <v>51655.182750047206</v>
      </c>
      <c r="M511" s="76">
        <f ca="1">$J$511-EFEITO!$K$511*EFEITO!$Y$511</f>
        <v>0</v>
      </c>
      <c r="N511" s="76">
        <f ca="1">$K$511-EFEITO!$M$511*EFEITO!$Z$511</f>
        <v>0</v>
      </c>
      <c r="O511" s="76">
        <f>$L$511-EFEITO!$O$511*EFEITO!$AA$511</f>
        <v>0</v>
      </c>
      <c r="P511" s="57"/>
      <c r="Q511" s="57"/>
      <c r="R511" s="57"/>
      <c r="S511" s="57"/>
      <c r="T511" s="57"/>
      <c r="U511" s="57"/>
      <c r="V511" s="57"/>
      <c r="W511" s="57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1.25" customHeight="1" x14ac:dyDescent="0.2">
      <c r="A512" s="53" t="s">
        <v>21</v>
      </c>
      <c r="B512" s="53" t="s">
        <v>33</v>
      </c>
      <c r="C512" s="53" t="s">
        <v>42</v>
      </c>
      <c r="D512" s="53" t="s">
        <v>40</v>
      </c>
      <c r="E512" s="53" t="s">
        <v>25</v>
      </c>
      <c r="F512" s="53" t="s">
        <v>25</v>
      </c>
      <c r="G512" s="53" t="s">
        <v>25</v>
      </c>
      <c r="H512" s="53" t="s">
        <v>35</v>
      </c>
      <c r="I512" s="75">
        <v>44621</v>
      </c>
      <c r="J512" s="76">
        <f ca="1">EFEITO!$J$512*EFEITO!$Y$512</f>
        <v>230273.31928898781</v>
      </c>
      <c r="K512" s="76">
        <f ca="1">EFEITO!$L$512*EFEITO!$Z$512</f>
        <v>15612.693951728861</v>
      </c>
      <c r="L512" s="76">
        <f>EFEITO!$N$512*EFEITO!$AA$512</f>
        <v>56281.165527963014</v>
      </c>
      <c r="M512" s="76">
        <f ca="1">$J$512-EFEITO!$K$512*EFEITO!$Y$512</f>
        <v>0</v>
      </c>
      <c r="N512" s="76">
        <f ca="1">$K$512-EFEITO!$M$512*EFEITO!$Z$512</f>
        <v>0</v>
      </c>
      <c r="O512" s="76">
        <f>$L$512-EFEITO!$O$512*EFEITO!$AA$512</f>
        <v>0</v>
      </c>
      <c r="P512" s="57"/>
      <c r="Q512" s="57"/>
      <c r="R512" s="57"/>
      <c r="S512" s="57"/>
      <c r="T512" s="57"/>
      <c r="U512" s="57"/>
      <c r="V512" s="57"/>
      <c r="W512" s="57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1.25" customHeight="1" x14ac:dyDescent="0.2">
      <c r="A513" s="53" t="s">
        <v>56</v>
      </c>
      <c r="B513" s="53" t="s">
        <v>33</v>
      </c>
      <c r="C513" s="53" t="s">
        <v>42</v>
      </c>
      <c r="D513" s="53" t="s">
        <v>40</v>
      </c>
      <c r="E513" s="53" t="s">
        <v>25</v>
      </c>
      <c r="F513" s="53" t="s">
        <v>25</v>
      </c>
      <c r="G513" s="53" t="s">
        <v>25</v>
      </c>
      <c r="H513" s="53" t="s">
        <v>35</v>
      </c>
      <c r="I513" s="75">
        <v>44652</v>
      </c>
      <c r="J513" s="76">
        <f ca="1">EFEITO!$J$513*EFEITO!$Y$513</f>
        <v>230273.31928898781</v>
      </c>
      <c r="K513" s="76">
        <f ca="1">EFEITO!$L$513*EFEITO!$Z$513</f>
        <v>15612.693951728861</v>
      </c>
      <c r="L513" s="76">
        <f>EFEITO!$N$513*EFEITO!$AA$513</f>
        <v>56281.165527963014</v>
      </c>
      <c r="M513" s="76">
        <f ca="1">$J$513-EFEITO!$K$513*EFEITO!$Y$513</f>
        <v>0</v>
      </c>
      <c r="N513" s="76">
        <f ca="1">$K$513-EFEITO!$M$513*EFEITO!$Z$513</f>
        <v>0</v>
      </c>
      <c r="O513" s="76">
        <f>$L$513-EFEITO!$O$513*EFEITO!$AA$513</f>
        <v>0</v>
      </c>
      <c r="P513" s="57"/>
      <c r="Q513" s="57"/>
      <c r="R513" s="57"/>
      <c r="S513" s="57"/>
      <c r="T513" s="57"/>
      <c r="U513" s="57"/>
      <c r="V513" s="57"/>
      <c r="W513" s="57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1.25" customHeight="1" x14ac:dyDescent="0.2">
      <c r="A514" s="53" t="s">
        <v>21</v>
      </c>
      <c r="B514" s="53" t="s">
        <v>33</v>
      </c>
      <c r="C514" s="53" t="s">
        <v>42</v>
      </c>
      <c r="D514" s="53" t="s">
        <v>46</v>
      </c>
      <c r="E514" s="53" t="s">
        <v>25</v>
      </c>
      <c r="F514" s="53" t="s">
        <v>25</v>
      </c>
      <c r="G514" s="53" t="s">
        <v>25</v>
      </c>
      <c r="H514" s="53" t="s">
        <v>36</v>
      </c>
      <c r="I514" s="75">
        <v>44317</v>
      </c>
      <c r="J514" s="76">
        <f ca="1">EFEITO!$J$514*EFEITO!$Y$514</f>
        <v>26840.305917550013</v>
      </c>
      <c r="K514" s="76">
        <f ca="1">EFEITO!$L$514*EFEITO!$Z$514</f>
        <v>22832.084725862082</v>
      </c>
      <c r="L514" s="76">
        <f>EFEITO!$N$514*EFEITO!$AA$514</f>
        <v>52645.725273223012</v>
      </c>
      <c r="M514" s="76">
        <f ca="1">$J$514-EFEITO!$K$514*EFEITO!$Y$514</f>
        <v>0</v>
      </c>
      <c r="N514" s="76">
        <f ca="1">$K$514-EFEITO!$M$514*EFEITO!$Z$514</f>
        <v>0</v>
      </c>
      <c r="O514" s="76">
        <f>$L$514-EFEITO!$O$514*EFEITO!$AA$514</f>
        <v>0</v>
      </c>
      <c r="P514" s="57"/>
      <c r="Q514" s="57"/>
      <c r="R514" s="57"/>
      <c r="S514" s="57"/>
      <c r="T514" s="57"/>
      <c r="U514" s="57"/>
      <c r="V514" s="57"/>
      <c r="W514" s="57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1.25" customHeight="1" x14ac:dyDescent="0.2">
      <c r="A515" s="53" t="s">
        <v>21</v>
      </c>
      <c r="B515" s="53" t="s">
        <v>33</v>
      </c>
      <c r="C515" s="53" t="s">
        <v>42</v>
      </c>
      <c r="D515" s="53" t="s">
        <v>46</v>
      </c>
      <c r="E515" s="53" t="s">
        <v>25</v>
      </c>
      <c r="F515" s="53" t="s">
        <v>25</v>
      </c>
      <c r="G515" s="53" t="s">
        <v>25</v>
      </c>
      <c r="H515" s="53" t="s">
        <v>36</v>
      </c>
      <c r="I515" s="75">
        <v>44348</v>
      </c>
      <c r="J515" s="76">
        <f ca="1">EFEITO!$J$515*EFEITO!$Y$515</f>
        <v>26840.305917550013</v>
      </c>
      <c r="K515" s="76">
        <f ca="1">EFEITO!$L$515*EFEITO!$Z$515</f>
        <v>21235.784928506342</v>
      </c>
      <c r="L515" s="76">
        <f>EFEITO!$N$515*EFEITO!$AA$515</f>
        <v>48965.011856366204</v>
      </c>
      <c r="M515" s="76">
        <f ca="1">$J$515-EFEITO!$K$515*EFEITO!$Y$515</f>
        <v>0</v>
      </c>
      <c r="N515" s="76">
        <f ca="1">$K$515-EFEITO!$M$515*EFEITO!$Z$515</f>
        <v>0</v>
      </c>
      <c r="O515" s="76">
        <f>$L$515-EFEITO!$O$515*EFEITO!$AA$515</f>
        <v>0</v>
      </c>
      <c r="P515" s="57"/>
      <c r="Q515" s="57"/>
      <c r="R515" s="57"/>
      <c r="S515" s="57"/>
      <c r="T515" s="57"/>
      <c r="U515" s="57"/>
      <c r="V515" s="57"/>
      <c r="W515" s="57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1.25" customHeight="1" x14ac:dyDescent="0.2">
      <c r="A516" s="53" t="s">
        <v>21</v>
      </c>
      <c r="B516" s="53" t="s">
        <v>33</v>
      </c>
      <c r="C516" s="53" t="s">
        <v>42</v>
      </c>
      <c r="D516" s="53" t="s">
        <v>46</v>
      </c>
      <c r="E516" s="53" t="s">
        <v>25</v>
      </c>
      <c r="F516" s="53" t="s">
        <v>25</v>
      </c>
      <c r="G516" s="53" t="s">
        <v>25</v>
      </c>
      <c r="H516" s="53" t="s">
        <v>36</v>
      </c>
      <c r="I516" s="75">
        <v>44378</v>
      </c>
      <c r="J516" s="76">
        <f ca="1">EFEITO!$J$516*EFEITO!$Y$516</f>
        <v>26840.305917550013</v>
      </c>
      <c r="K516" s="76">
        <f ca="1">EFEITO!$L$516*EFEITO!$Z$516</f>
        <v>21453.328547298835</v>
      </c>
      <c r="L516" s="76">
        <f>EFEITO!$N$516*EFEITO!$AA$516</f>
        <v>49466.619209676341</v>
      </c>
      <c r="M516" s="76">
        <f ca="1">$J$516-EFEITO!$K$516*EFEITO!$Y$516</f>
        <v>0</v>
      </c>
      <c r="N516" s="76">
        <f ca="1">$K$516-EFEITO!$M$516*EFEITO!$Z$516</f>
        <v>0</v>
      </c>
      <c r="O516" s="76">
        <f>$L$516-EFEITO!$O$516*EFEITO!$AA$516</f>
        <v>0</v>
      </c>
      <c r="P516" s="57"/>
      <c r="Q516" s="57"/>
      <c r="R516" s="57"/>
      <c r="S516" s="57"/>
      <c r="T516" s="57"/>
      <c r="U516" s="57"/>
      <c r="V516" s="57"/>
      <c r="W516" s="57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1.25" customHeight="1" x14ac:dyDescent="0.2">
      <c r="A517" s="53" t="s">
        <v>21</v>
      </c>
      <c r="B517" s="53" t="s">
        <v>33</v>
      </c>
      <c r="C517" s="53" t="s">
        <v>42</v>
      </c>
      <c r="D517" s="53" t="s">
        <v>46</v>
      </c>
      <c r="E517" s="53" t="s">
        <v>25</v>
      </c>
      <c r="F517" s="53" t="s">
        <v>25</v>
      </c>
      <c r="G517" s="53" t="s">
        <v>25</v>
      </c>
      <c r="H517" s="53" t="s">
        <v>36</v>
      </c>
      <c r="I517" s="75">
        <v>44409</v>
      </c>
      <c r="J517" s="76">
        <f ca="1">EFEITO!$J$517*EFEITO!$Y$517</f>
        <v>26840.305917550013</v>
      </c>
      <c r="K517" s="76">
        <f ca="1">EFEITO!$L$517*EFEITO!$Z$517</f>
        <v>22684.507838519065</v>
      </c>
      <c r="L517" s="76">
        <f>EFEITO!$N$517*EFEITO!$AA$517</f>
        <v>52305.445690301814</v>
      </c>
      <c r="M517" s="76">
        <f ca="1">$J$517-EFEITO!$K$517*EFEITO!$Y$517</f>
        <v>0</v>
      </c>
      <c r="N517" s="76">
        <f ca="1">$K$517-EFEITO!$M$517*EFEITO!$Z$517</f>
        <v>0</v>
      </c>
      <c r="O517" s="76">
        <f>$L$517-EFEITO!$O$517*EFEITO!$AA$517</f>
        <v>0</v>
      </c>
      <c r="P517" s="57"/>
      <c r="Q517" s="57"/>
      <c r="R517" s="57"/>
      <c r="S517" s="57"/>
      <c r="T517" s="57"/>
      <c r="U517" s="57"/>
      <c r="V517" s="57"/>
      <c r="W517" s="57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1.25" customHeight="1" x14ac:dyDescent="0.2">
      <c r="A518" s="53" t="s">
        <v>28</v>
      </c>
      <c r="B518" s="53" t="s">
        <v>33</v>
      </c>
      <c r="C518" s="53" t="s">
        <v>42</v>
      </c>
      <c r="D518" s="53" t="s">
        <v>46</v>
      </c>
      <c r="E518" s="53" t="s">
        <v>25</v>
      </c>
      <c r="F518" s="53" t="s">
        <v>25</v>
      </c>
      <c r="G518" s="53" t="s">
        <v>25</v>
      </c>
      <c r="H518" s="53" t="s">
        <v>36</v>
      </c>
      <c r="I518" s="75">
        <v>44409</v>
      </c>
      <c r="J518" s="76">
        <f ca="1">EFEITO!$J$518*EFEITO!$Y$518</f>
        <v>7696.8524322386065</v>
      </c>
      <c r="K518" s="76">
        <f ca="1">EFEITO!$L$518*EFEITO!$Z$518</f>
        <v>5262.5565253084014</v>
      </c>
      <c r="L518" s="76">
        <f>EFEITO!$N$518*EFEITO!$AA$518</f>
        <v>12134.288585237038</v>
      </c>
      <c r="M518" s="76">
        <f ca="1">$J$518-EFEITO!$K$518*EFEITO!$Y$518</f>
        <v>0</v>
      </c>
      <c r="N518" s="76">
        <f ca="1">$K$518-EFEITO!$M$518*EFEITO!$Z$518</f>
        <v>0</v>
      </c>
      <c r="O518" s="76">
        <f>$L$518-EFEITO!$O$518*EFEITO!$AA$518</f>
        <v>0</v>
      </c>
      <c r="P518" s="57"/>
      <c r="Q518" s="57"/>
      <c r="R518" s="57"/>
      <c r="S518" s="57"/>
      <c r="T518" s="57"/>
      <c r="U518" s="57"/>
      <c r="V518" s="57"/>
      <c r="W518" s="57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1.25" customHeight="1" x14ac:dyDescent="0.2">
      <c r="A519" s="53" t="s">
        <v>21</v>
      </c>
      <c r="B519" s="53" t="s">
        <v>33</v>
      </c>
      <c r="C519" s="53" t="s">
        <v>42</v>
      </c>
      <c r="D519" s="53" t="s">
        <v>46</v>
      </c>
      <c r="E519" s="53" t="s">
        <v>25</v>
      </c>
      <c r="F519" s="53" t="s">
        <v>25</v>
      </c>
      <c r="G519" s="53" t="s">
        <v>25</v>
      </c>
      <c r="H519" s="53" t="s">
        <v>36</v>
      </c>
      <c r="I519" s="75">
        <v>44440</v>
      </c>
      <c r="J519" s="76">
        <f ca="1">EFEITO!$J$519*EFEITO!$Y$519</f>
        <v>26840.305917550013</v>
      </c>
      <c r="K519" s="76">
        <f ca="1">EFEITO!$L$519*EFEITO!$Z$519</f>
        <v>24245.530292286836</v>
      </c>
      <c r="L519" s="76">
        <f>EFEITO!$N$519*EFEITO!$AA$519</f>
        <v>55904.817374189413</v>
      </c>
      <c r="M519" s="76">
        <f ca="1">$J$519-EFEITO!$K$519*EFEITO!$Y$519</f>
        <v>0</v>
      </c>
      <c r="N519" s="76">
        <f ca="1">$K$519-EFEITO!$M$519*EFEITO!$Z$519</f>
        <v>0</v>
      </c>
      <c r="O519" s="76">
        <f>$L$519-EFEITO!$O$519*EFEITO!$AA$519</f>
        <v>0</v>
      </c>
      <c r="P519" s="57"/>
      <c r="Q519" s="57"/>
      <c r="R519" s="57"/>
      <c r="S519" s="57"/>
      <c r="T519" s="57"/>
      <c r="U519" s="57"/>
      <c r="V519" s="57"/>
      <c r="W519" s="57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1.25" customHeight="1" x14ac:dyDescent="0.2">
      <c r="A520" s="53" t="s">
        <v>28</v>
      </c>
      <c r="B520" s="53" t="s">
        <v>33</v>
      </c>
      <c r="C520" s="53" t="s">
        <v>42</v>
      </c>
      <c r="D520" s="53" t="s">
        <v>46</v>
      </c>
      <c r="E520" s="53" t="s">
        <v>25</v>
      </c>
      <c r="F520" s="53" t="s">
        <v>25</v>
      </c>
      <c r="G520" s="53" t="s">
        <v>25</v>
      </c>
      <c r="H520" s="53" t="s">
        <v>36</v>
      </c>
      <c r="I520" s="75">
        <v>44440</v>
      </c>
      <c r="J520" s="76">
        <f ca="1">EFEITO!$J$520*EFEITO!$Y$520</f>
        <v>7696.8524322386065</v>
      </c>
      <c r="K520" s="76">
        <f ca="1">EFEITO!$L$520*EFEITO!$Z$520</f>
        <v>5651.4304427931493</v>
      </c>
      <c r="L520" s="76">
        <f>EFEITO!$N$520*EFEITO!$AA$520</f>
        <v>13030.945621667644</v>
      </c>
      <c r="M520" s="76">
        <f ca="1">$J$520-EFEITO!$K$520*EFEITO!$Y$520</f>
        <v>0</v>
      </c>
      <c r="N520" s="76">
        <f ca="1">$K$520-EFEITO!$M$520*EFEITO!$Z$520</f>
        <v>0</v>
      </c>
      <c r="O520" s="76">
        <f>$L$520-EFEITO!$O$520*EFEITO!$AA$520</f>
        <v>0</v>
      </c>
      <c r="P520" s="57"/>
      <c r="Q520" s="57"/>
      <c r="R520" s="57"/>
      <c r="S520" s="57"/>
      <c r="T520" s="57"/>
      <c r="U520" s="57"/>
      <c r="V520" s="57"/>
      <c r="W520" s="57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1.25" customHeight="1" x14ac:dyDescent="0.2">
      <c r="A521" s="53" t="s">
        <v>21</v>
      </c>
      <c r="B521" s="53" t="s">
        <v>33</v>
      </c>
      <c r="C521" s="53" t="s">
        <v>42</v>
      </c>
      <c r="D521" s="53" t="s">
        <v>46</v>
      </c>
      <c r="E521" s="53" t="s">
        <v>25</v>
      </c>
      <c r="F521" s="53" t="s">
        <v>25</v>
      </c>
      <c r="G521" s="53" t="s">
        <v>25</v>
      </c>
      <c r="H521" s="53" t="s">
        <v>36</v>
      </c>
      <c r="I521" s="75">
        <v>44470</v>
      </c>
      <c r="J521" s="76">
        <f ca="1">EFEITO!$J$521*EFEITO!$Y$521</f>
        <v>27012.991709298956</v>
      </c>
      <c r="K521" s="76">
        <f ca="1">EFEITO!$L$521*EFEITO!$Z$521</f>
        <v>26168.263108976615</v>
      </c>
      <c r="L521" s="76">
        <f>EFEITO!$N$521*EFEITO!$AA$521</f>
        <v>60338.212960121324</v>
      </c>
      <c r="M521" s="76">
        <f ca="1">$J$521-EFEITO!$K$521*EFEITO!$Y$521</f>
        <v>0</v>
      </c>
      <c r="N521" s="76">
        <f ca="1">$K$521-EFEITO!$M$521*EFEITO!$Z$521</f>
        <v>0</v>
      </c>
      <c r="O521" s="76">
        <f>$L$521-EFEITO!$O$521*EFEITO!$AA$521</f>
        <v>0</v>
      </c>
      <c r="P521" s="57"/>
      <c r="Q521" s="57"/>
      <c r="R521" s="57"/>
      <c r="S521" s="57"/>
      <c r="T521" s="57"/>
      <c r="U521" s="57"/>
      <c r="V521" s="57"/>
      <c r="W521" s="57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1.25" customHeight="1" x14ac:dyDescent="0.2">
      <c r="A522" s="53" t="s">
        <v>28</v>
      </c>
      <c r="B522" s="53" t="s">
        <v>33</v>
      </c>
      <c r="C522" s="53" t="s">
        <v>42</v>
      </c>
      <c r="D522" s="53" t="s">
        <v>46</v>
      </c>
      <c r="E522" s="53" t="s">
        <v>25</v>
      </c>
      <c r="F522" s="53" t="s">
        <v>25</v>
      </c>
      <c r="G522" s="53" t="s">
        <v>25</v>
      </c>
      <c r="H522" s="53" t="s">
        <v>36</v>
      </c>
      <c r="I522" s="75">
        <v>44470</v>
      </c>
      <c r="J522" s="76">
        <f ca="1">EFEITO!$J$522*EFEITO!$Y$522</f>
        <v>7696.8524322386065</v>
      </c>
      <c r="K522" s="76">
        <f ca="1">EFEITO!$L$522*EFEITO!$Z$522</f>
        <v>6191.7617554155895</v>
      </c>
      <c r="L522" s="76">
        <f>EFEITO!$N$522*EFEITO!$AA$522</f>
        <v>14276.829831646064</v>
      </c>
      <c r="M522" s="76">
        <f ca="1">$J$522-EFEITO!$K$522*EFEITO!$Y$522</f>
        <v>0</v>
      </c>
      <c r="N522" s="76">
        <f ca="1">$K$522-EFEITO!$M$522*EFEITO!$Z$522</f>
        <v>0</v>
      </c>
      <c r="O522" s="76">
        <f>$L$522-EFEITO!$O$522*EFEITO!$AA$522</f>
        <v>0</v>
      </c>
      <c r="P522" s="57"/>
      <c r="Q522" s="57"/>
      <c r="R522" s="57"/>
      <c r="S522" s="57"/>
      <c r="T522" s="57"/>
      <c r="U522" s="57"/>
      <c r="V522" s="57"/>
      <c r="W522" s="57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1.25" customHeight="1" x14ac:dyDescent="0.2">
      <c r="A523" s="53" t="s">
        <v>21</v>
      </c>
      <c r="B523" s="53" t="s">
        <v>33</v>
      </c>
      <c r="C523" s="53" t="s">
        <v>42</v>
      </c>
      <c r="D523" s="53" t="s">
        <v>46</v>
      </c>
      <c r="E523" s="53" t="s">
        <v>25</v>
      </c>
      <c r="F523" s="53" t="s">
        <v>25</v>
      </c>
      <c r="G523" s="53" t="s">
        <v>25</v>
      </c>
      <c r="H523" s="53" t="s">
        <v>36</v>
      </c>
      <c r="I523" s="75">
        <v>44501</v>
      </c>
      <c r="J523" s="76">
        <f ca="1">EFEITO!$J$523*EFEITO!$Y$523</f>
        <v>26988.322310477677</v>
      </c>
      <c r="K523" s="76">
        <f ca="1">EFEITO!$L$523*EFEITO!$Z$523</f>
        <v>26817.483822140595</v>
      </c>
      <c r="L523" s="76">
        <f>EFEITO!$N$523*EFEITO!$AA$523</f>
        <v>61835.171985864705</v>
      </c>
      <c r="M523" s="76">
        <f ca="1">$J$523-EFEITO!$K$523*EFEITO!$Y$523</f>
        <v>0</v>
      </c>
      <c r="N523" s="76">
        <f ca="1">$K$523-EFEITO!$M$523*EFEITO!$Z$523</f>
        <v>0</v>
      </c>
      <c r="O523" s="76">
        <f>$L$523-EFEITO!$O$523*EFEITO!$AA$523</f>
        <v>0</v>
      </c>
      <c r="P523" s="57"/>
      <c r="Q523" s="57"/>
      <c r="R523" s="57"/>
      <c r="S523" s="57"/>
      <c r="T523" s="57"/>
      <c r="U523" s="57"/>
      <c r="V523" s="57"/>
      <c r="W523" s="57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1.25" customHeight="1" x14ac:dyDescent="0.2">
      <c r="A524" s="53" t="s">
        <v>28</v>
      </c>
      <c r="B524" s="53" t="s">
        <v>33</v>
      </c>
      <c r="C524" s="53" t="s">
        <v>42</v>
      </c>
      <c r="D524" s="53" t="s">
        <v>46</v>
      </c>
      <c r="E524" s="53" t="s">
        <v>25</v>
      </c>
      <c r="F524" s="53" t="s">
        <v>25</v>
      </c>
      <c r="G524" s="53" t="s">
        <v>25</v>
      </c>
      <c r="H524" s="53" t="s">
        <v>36</v>
      </c>
      <c r="I524" s="75">
        <v>44501</v>
      </c>
      <c r="J524" s="76">
        <f ca="1">EFEITO!$J$524*EFEITO!$Y$524</f>
        <v>7696.8524322386065</v>
      </c>
      <c r="K524" s="76">
        <f ca="1">EFEITO!$L$524*EFEITO!$Z$524</f>
        <v>6170.9481226986863</v>
      </c>
      <c r="L524" s="76">
        <f>EFEITO!$N$524*EFEITO!$AA$524</f>
        <v>14228.838209194229</v>
      </c>
      <c r="M524" s="76">
        <f ca="1">$J$524-EFEITO!$K$524*EFEITO!$Y$524</f>
        <v>0</v>
      </c>
      <c r="N524" s="76">
        <f ca="1">$K$524-EFEITO!$M$524*EFEITO!$Z$524</f>
        <v>0</v>
      </c>
      <c r="O524" s="76">
        <f>$L$524-EFEITO!$O$524*EFEITO!$AA$524</f>
        <v>0</v>
      </c>
      <c r="P524" s="57"/>
      <c r="Q524" s="57"/>
      <c r="R524" s="57"/>
      <c r="S524" s="57"/>
      <c r="T524" s="57"/>
      <c r="U524" s="57"/>
      <c r="V524" s="57"/>
      <c r="W524" s="57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1.25" customHeight="1" x14ac:dyDescent="0.2">
      <c r="A525" s="53" t="s">
        <v>21</v>
      </c>
      <c r="B525" s="53" t="s">
        <v>33</v>
      </c>
      <c r="C525" s="53" t="s">
        <v>42</v>
      </c>
      <c r="D525" s="53" t="s">
        <v>46</v>
      </c>
      <c r="E525" s="53" t="s">
        <v>25</v>
      </c>
      <c r="F525" s="53" t="s">
        <v>25</v>
      </c>
      <c r="G525" s="53" t="s">
        <v>25</v>
      </c>
      <c r="H525" s="53" t="s">
        <v>36</v>
      </c>
      <c r="I525" s="75">
        <v>44531</v>
      </c>
      <c r="J525" s="76">
        <f ca="1">EFEITO!$J$525*EFEITO!$Y$525</f>
        <v>27062.330506941511</v>
      </c>
      <c r="K525" s="76">
        <f ca="1">EFEITO!$L$525*EFEITO!$Z$525</f>
        <v>26603.82071114278</v>
      </c>
      <c r="L525" s="76">
        <f>EFEITO!$N$525*EFEITO!$AA$525</f>
        <v>61342.512223181191</v>
      </c>
      <c r="M525" s="76">
        <f ca="1">$J$525-EFEITO!$K$525*EFEITO!$Y$525</f>
        <v>0</v>
      </c>
      <c r="N525" s="76">
        <f ca="1">$K$525-EFEITO!$M$525*EFEITO!$Z$525</f>
        <v>0</v>
      </c>
      <c r="O525" s="76">
        <f>$L$525-EFEITO!$O$525*EFEITO!$AA$525</f>
        <v>0</v>
      </c>
      <c r="P525" s="57"/>
      <c r="Q525" s="57"/>
      <c r="R525" s="57"/>
      <c r="S525" s="57"/>
      <c r="T525" s="57"/>
      <c r="U525" s="57"/>
      <c r="V525" s="57"/>
      <c r="W525" s="57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1.25" customHeight="1" x14ac:dyDescent="0.2">
      <c r="A526" s="53" t="s">
        <v>28</v>
      </c>
      <c r="B526" s="53" t="s">
        <v>33</v>
      </c>
      <c r="C526" s="53" t="s">
        <v>42</v>
      </c>
      <c r="D526" s="53" t="s">
        <v>46</v>
      </c>
      <c r="E526" s="53" t="s">
        <v>25</v>
      </c>
      <c r="F526" s="53" t="s">
        <v>25</v>
      </c>
      <c r="G526" s="53" t="s">
        <v>25</v>
      </c>
      <c r="H526" s="53" t="s">
        <v>36</v>
      </c>
      <c r="I526" s="75">
        <v>44531</v>
      </c>
      <c r="J526" s="76">
        <f ca="1">EFEITO!$J$526*EFEITO!$Y$526</f>
        <v>7696.8524322386065</v>
      </c>
      <c r="K526" s="76">
        <f ca="1">EFEITO!$L$526*EFEITO!$Z$526</f>
        <v>5470.1048967509714</v>
      </c>
      <c r="L526" s="76">
        <f>EFEITO!$N$526*EFEITO!$AA$526</f>
        <v>12612.849114205899</v>
      </c>
      <c r="M526" s="76">
        <f ca="1">$J$526-EFEITO!$K$526*EFEITO!$Y$526</f>
        <v>0</v>
      </c>
      <c r="N526" s="76">
        <f ca="1">$K$526-EFEITO!$M$526*EFEITO!$Z$526</f>
        <v>0</v>
      </c>
      <c r="O526" s="76">
        <f>$L$526-EFEITO!$O$526*EFEITO!$AA$526</f>
        <v>0</v>
      </c>
      <c r="P526" s="57"/>
      <c r="Q526" s="57"/>
      <c r="R526" s="57"/>
      <c r="S526" s="57"/>
      <c r="T526" s="57"/>
      <c r="U526" s="57"/>
      <c r="V526" s="57"/>
      <c r="W526" s="57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1.25" customHeight="1" x14ac:dyDescent="0.2">
      <c r="A527" s="53" t="s">
        <v>21</v>
      </c>
      <c r="B527" s="53" t="s">
        <v>33</v>
      </c>
      <c r="C527" s="53" t="s">
        <v>42</v>
      </c>
      <c r="D527" s="53" t="s">
        <v>46</v>
      </c>
      <c r="E527" s="53" t="s">
        <v>25</v>
      </c>
      <c r="F527" s="53" t="s">
        <v>25</v>
      </c>
      <c r="G527" s="53" t="s">
        <v>25</v>
      </c>
      <c r="H527" s="53" t="s">
        <v>36</v>
      </c>
      <c r="I527" s="75">
        <v>44562</v>
      </c>
      <c r="J527" s="76">
        <f ca="1">EFEITO!$J$527*EFEITO!$Y$527</f>
        <v>26914.314114013847</v>
      </c>
      <c r="K527" s="76">
        <f ca="1">EFEITO!$L$527*EFEITO!$Z$527</f>
        <v>25877.577797811722</v>
      </c>
      <c r="L527" s="76">
        <f>EFEITO!$N$527*EFEITO!$AA$527</f>
        <v>59667.957080455024</v>
      </c>
      <c r="M527" s="76">
        <f ca="1">$J$527-EFEITO!$K$527*EFEITO!$Y$527</f>
        <v>0</v>
      </c>
      <c r="N527" s="76">
        <f ca="1">$K$527-EFEITO!$M$527*EFEITO!$Z$527</f>
        <v>0</v>
      </c>
      <c r="O527" s="76">
        <f>$L$527-EFEITO!$O$527*EFEITO!$AA$527</f>
        <v>0</v>
      </c>
      <c r="P527" s="57"/>
      <c r="Q527" s="57"/>
      <c r="R527" s="57"/>
      <c r="S527" s="57"/>
      <c r="T527" s="57"/>
      <c r="U527" s="57"/>
      <c r="V527" s="57"/>
      <c r="W527" s="57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1.25" customHeight="1" x14ac:dyDescent="0.2">
      <c r="A528" s="53" t="s">
        <v>28</v>
      </c>
      <c r="B528" s="53" t="s">
        <v>33</v>
      </c>
      <c r="C528" s="53" t="s">
        <v>42</v>
      </c>
      <c r="D528" s="53" t="s">
        <v>46</v>
      </c>
      <c r="E528" s="53" t="s">
        <v>25</v>
      </c>
      <c r="F528" s="53" t="s">
        <v>25</v>
      </c>
      <c r="G528" s="53" t="s">
        <v>25</v>
      </c>
      <c r="H528" s="53" t="s">
        <v>36</v>
      </c>
      <c r="I528" s="75">
        <v>44562</v>
      </c>
      <c r="J528" s="76">
        <f ca="1">EFEITO!$J$528*EFEITO!$Y$528</f>
        <v>7696.8524322386065</v>
      </c>
      <c r="K528" s="76">
        <f ca="1">EFEITO!$L$528*EFEITO!$Z$528</f>
        <v>6277.4857003343623</v>
      </c>
      <c r="L528" s="76">
        <f>EFEITO!$N$528*EFEITO!$AA$528</f>
        <v>14474.490242761247</v>
      </c>
      <c r="M528" s="76">
        <f ca="1">$J$528-EFEITO!$K$528*EFEITO!$Y$528</f>
        <v>0</v>
      </c>
      <c r="N528" s="76">
        <f ca="1">$K$528-EFEITO!$M$528*EFEITO!$Z$528</f>
        <v>0</v>
      </c>
      <c r="O528" s="76">
        <f>$L$528-EFEITO!$O$528*EFEITO!$AA$528</f>
        <v>0</v>
      </c>
      <c r="P528" s="57"/>
      <c r="Q528" s="57"/>
      <c r="R528" s="57"/>
      <c r="S528" s="57"/>
      <c r="T528" s="57"/>
      <c r="U528" s="57"/>
      <c r="V528" s="57"/>
      <c r="W528" s="57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1.25" customHeight="1" x14ac:dyDescent="0.2">
      <c r="A529" s="53" t="s">
        <v>21</v>
      </c>
      <c r="B529" s="53" t="s">
        <v>33</v>
      </c>
      <c r="C529" s="53" t="s">
        <v>42</v>
      </c>
      <c r="D529" s="53" t="s">
        <v>46</v>
      </c>
      <c r="E529" s="53" t="s">
        <v>25</v>
      </c>
      <c r="F529" s="53" t="s">
        <v>25</v>
      </c>
      <c r="G529" s="53" t="s">
        <v>25</v>
      </c>
      <c r="H529" s="53" t="s">
        <v>36</v>
      </c>
      <c r="I529" s="75">
        <v>44593</v>
      </c>
      <c r="J529" s="76">
        <f ca="1">EFEITO!$J$529*EFEITO!$Y$529</f>
        <v>27012.991709298956</v>
      </c>
      <c r="K529" s="76">
        <f ca="1">EFEITO!$L$529*EFEITO!$Z$529</f>
        <v>26643.213744816014</v>
      </c>
      <c r="L529" s="76">
        <f>EFEITO!$N$529*EFEITO!$AA$529</f>
        <v>61433.343824996802</v>
      </c>
      <c r="M529" s="76">
        <f ca="1">$J$529-EFEITO!$K$529*EFEITO!$Y$529</f>
        <v>0</v>
      </c>
      <c r="N529" s="76">
        <f ca="1">$K$529-EFEITO!$M$529*EFEITO!$Z$529</f>
        <v>0</v>
      </c>
      <c r="O529" s="76">
        <f>$L$529-EFEITO!$O$529*EFEITO!$AA$529</f>
        <v>0</v>
      </c>
      <c r="P529" s="57"/>
      <c r="Q529" s="57"/>
      <c r="R529" s="57"/>
      <c r="S529" s="57"/>
      <c r="T529" s="57"/>
      <c r="U529" s="57"/>
      <c r="V529" s="57"/>
      <c r="W529" s="57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1.25" customHeight="1" x14ac:dyDescent="0.2">
      <c r="A530" s="53" t="s">
        <v>28</v>
      </c>
      <c r="B530" s="53" t="s">
        <v>33</v>
      </c>
      <c r="C530" s="53" t="s">
        <v>42</v>
      </c>
      <c r="D530" s="53" t="s">
        <v>46</v>
      </c>
      <c r="E530" s="53" t="s">
        <v>25</v>
      </c>
      <c r="F530" s="53" t="s">
        <v>25</v>
      </c>
      <c r="G530" s="53" t="s">
        <v>25</v>
      </c>
      <c r="H530" s="53" t="s">
        <v>36</v>
      </c>
      <c r="I530" s="75">
        <v>44593</v>
      </c>
      <c r="J530" s="76">
        <f ca="1">EFEITO!$J$530*EFEITO!$Y$530</f>
        <v>7696.8524322386065</v>
      </c>
      <c r="K530" s="76">
        <f ca="1">EFEITO!$L$530*EFEITO!$Z$530</f>
        <v>5799.4776947173395</v>
      </c>
      <c r="L530" s="76">
        <f>EFEITO!$N$530*EFEITO!$AA$530</f>
        <v>13372.309761028435</v>
      </c>
      <c r="M530" s="76">
        <f ca="1">$J$530-EFEITO!$K$530*EFEITO!$Y$530</f>
        <v>0</v>
      </c>
      <c r="N530" s="76">
        <f ca="1">$K$530-EFEITO!$M$530*EFEITO!$Z$530</f>
        <v>0</v>
      </c>
      <c r="O530" s="76">
        <f>$L$530-EFEITO!$O$530*EFEITO!$AA$530</f>
        <v>0</v>
      </c>
      <c r="P530" s="57"/>
      <c r="Q530" s="57"/>
      <c r="R530" s="57"/>
      <c r="S530" s="57"/>
      <c r="T530" s="57"/>
      <c r="U530" s="57"/>
      <c r="V530" s="57"/>
      <c r="W530" s="57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1.25" customHeight="1" x14ac:dyDescent="0.2">
      <c r="A531" s="53" t="s">
        <v>21</v>
      </c>
      <c r="B531" s="53" t="s">
        <v>33</v>
      </c>
      <c r="C531" s="53" t="s">
        <v>42</v>
      </c>
      <c r="D531" s="53" t="s">
        <v>46</v>
      </c>
      <c r="E531" s="53" t="s">
        <v>25</v>
      </c>
      <c r="F531" s="53" t="s">
        <v>25</v>
      </c>
      <c r="G531" s="53" t="s">
        <v>25</v>
      </c>
      <c r="H531" s="53" t="s">
        <v>36</v>
      </c>
      <c r="I531" s="75">
        <v>44621</v>
      </c>
      <c r="J531" s="76">
        <f ca="1">EFEITO!$J$531*EFEITO!$Y$531</f>
        <v>27235.016298690454</v>
      </c>
      <c r="K531" s="76">
        <f ca="1">EFEITO!$L$531*EFEITO!$Z$531</f>
        <v>30110.271072641928</v>
      </c>
      <c r="L531" s="76">
        <f>EFEITO!$N$531*EFEITO!$AA$531</f>
        <v>69427.609341210889</v>
      </c>
      <c r="M531" s="76">
        <f ca="1">$J$531-EFEITO!$K$531*EFEITO!$Y$531</f>
        <v>0</v>
      </c>
      <c r="N531" s="76">
        <f ca="1">$K$531-EFEITO!$M$531*EFEITO!$Z$531</f>
        <v>0</v>
      </c>
      <c r="O531" s="76">
        <f>$L$531-EFEITO!$O$531*EFEITO!$AA$531</f>
        <v>0</v>
      </c>
      <c r="P531" s="57"/>
      <c r="Q531" s="57"/>
      <c r="R531" s="57"/>
      <c r="S531" s="57"/>
      <c r="T531" s="57"/>
      <c r="U531" s="57"/>
      <c r="V531" s="57"/>
      <c r="W531" s="57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1.25" customHeight="1" x14ac:dyDescent="0.2">
      <c r="A532" s="53" t="s">
        <v>28</v>
      </c>
      <c r="B532" s="53" t="s">
        <v>33</v>
      </c>
      <c r="C532" s="53" t="s">
        <v>42</v>
      </c>
      <c r="D532" s="53" t="s">
        <v>46</v>
      </c>
      <c r="E532" s="53" t="s">
        <v>25</v>
      </c>
      <c r="F532" s="53" t="s">
        <v>25</v>
      </c>
      <c r="G532" s="53" t="s">
        <v>25</v>
      </c>
      <c r="H532" s="53" t="s">
        <v>36</v>
      </c>
      <c r="I532" s="75">
        <v>44621</v>
      </c>
      <c r="J532" s="76">
        <f ca="1">EFEITO!$J$532*EFEITO!$Y$532</f>
        <v>7696.8524322386065</v>
      </c>
      <c r="K532" s="76">
        <f ca="1">EFEITO!$L$532*EFEITO!$Z$532</f>
        <v>5962.929386674944</v>
      </c>
      <c r="L532" s="76">
        <f>EFEITO!$N$532*EFEITO!$AA$532</f>
        <v>13749.193123785781</v>
      </c>
      <c r="M532" s="76">
        <f ca="1">$J$532-EFEITO!$K$532*EFEITO!$Y$532</f>
        <v>0</v>
      </c>
      <c r="N532" s="76">
        <f ca="1">$K$532-EFEITO!$M$532*EFEITO!$Z$532</f>
        <v>0</v>
      </c>
      <c r="O532" s="76">
        <f>$L$532-EFEITO!$O$532*EFEITO!$AA$532</f>
        <v>0</v>
      </c>
      <c r="P532" s="57"/>
      <c r="Q532" s="57"/>
      <c r="R532" s="57"/>
      <c r="S532" s="57"/>
      <c r="T532" s="57"/>
      <c r="U532" s="57"/>
      <c r="V532" s="57"/>
      <c r="W532" s="57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1.25" customHeight="1" x14ac:dyDescent="0.2">
      <c r="A533" s="53" t="s">
        <v>56</v>
      </c>
      <c r="B533" s="53" t="s">
        <v>33</v>
      </c>
      <c r="C533" s="53" t="s">
        <v>42</v>
      </c>
      <c r="D533" s="53" t="s">
        <v>46</v>
      </c>
      <c r="E533" s="53" t="s">
        <v>25</v>
      </c>
      <c r="F533" s="53" t="s">
        <v>25</v>
      </c>
      <c r="G533" s="53" t="s">
        <v>25</v>
      </c>
      <c r="H533" s="53" t="s">
        <v>36</v>
      </c>
      <c r="I533" s="75">
        <v>44652</v>
      </c>
      <c r="J533" s="76">
        <f ca="1">EFEITO!$J$533*EFEITO!$Y$533</f>
        <v>27235.016298690454</v>
      </c>
      <c r="K533" s="76">
        <f ca="1">EFEITO!$L$533*EFEITO!$Z$533</f>
        <v>30110.271072641928</v>
      </c>
      <c r="L533" s="76">
        <f>EFEITO!$N$533*EFEITO!$AA$533</f>
        <v>69427.609341210889</v>
      </c>
      <c r="M533" s="76">
        <f ca="1">$J$533-EFEITO!$K$533*EFEITO!$Y$533</f>
        <v>0</v>
      </c>
      <c r="N533" s="76">
        <f ca="1">$K$533-EFEITO!$M$533*EFEITO!$Z$533</f>
        <v>0</v>
      </c>
      <c r="O533" s="76">
        <f>$L$533-EFEITO!$O$533*EFEITO!$AA$533</f>
        <v>0</v>
      </c>
      <c r="P533" s="57"/>
      <c r="Q533" s="57"/>
      <c r="R533" s="57"/>
      <c r="S533" s="57"/>
      <c r="T533" s="57"/>
      <c r="U533" s="57"/>
      <c r="V533" s="57"/>
      <c r="W533" s="57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1.25" customHeight="1" x14ac:dyDescent="0.2">
      <c r="A534" s="53" t="s">
        <v>56</v>
      </c>
      <c r="B534" s="53" t="s">
        <v>33</v>
      </c>
      <c r="C534" s="53" t="s">
        <v>42</v>
      </c>
      <c r="D534" s="53" t="s">
        <v>46</v>
      </c>
      <c r="E534" s="53" t="s">
        <v>25</v>
      </c>
      <c r="F534" s="53" t="s">
        <v>25</v>
      </c>
      <c r="G534" s="53" t="s">
        <v>25</v>
      </c>
      <c r="H534" s="53" t="s">
        <v>36</v>
      </c>
      <c r="I534" s="75">
        <v>44652</v>
      </c>
      <c r="J534" s="76">
        <f ca="1">EFEITO!$J$534*EFEITO!$Y$534</f>
        <v>7696.8524322386065</v>
      </c>
      <c r="K534" s="76">
        <f ca="1">EFEITO!$L$534*EFEITO!$Z$534</f>
        <v>5962.929386674944</v>
      </c>
      <c r="L534" s="76">
        <f>EFEITO!$N$534*EFEITO!$AA$534</f>
        <v>13749.193123785781</v>
      </c>
      <c r="M534" s="76">
        <f ca="1">$J$534-EFEITO!$K$534*EFEITO!$Y$534</f>
        <v>0</v>
      </c>
      <c r="N534" s="76">
        <f ca="1">$K$534-EFEITO!$M$534*EFEITO!$Z$534</f>
        <v>0</v>
      </c>
      <c r="O534" s="76">
        <f>$L$534-EFEITO!$O$534*EFEITO!$AA$534</f>
        <v>0</v>
      </c>
      <c r="P534" s="57"/>
      <c r="Q534" s="57"/>
      <c r="R534" s="57"/>
      <c r="S534" s="57"/>
      <c r="T534" s="57"/>
      <c r="U534" s="57"/>
      <c r="V534" s="57"/>
      <c r="W534" s="57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1.25" customHeight="1" x14ac:dyDescent="0.2">
      <c r="A535" s="53" t="s">
        <v>21</v>
      </c>
      <c r="B535" s="53" t="s">
        <v>33</v>
      </c>
      <c r="C535" s="53" t="s">
        <v>42</v>
      </c>
      <c r="D535" s="53" t="s">
        <v>46</v>
      </c>
      <c r="E535" s="53" t="s">
        <v>25</v>
      </c>
      <c r="F535" s="53" t="s">
        <v>25</v>
      </c>
      <c r="G535" s="53" t="s">
        <v>25</v>
      </c>
      <c r="H535" s="53" t="s">
        <v>35</v>
      </c>
      <c r="I535" s="75">
        <v>44317</v>
      </c>
      <c r="J535" s="76">
        <f ca="1">EFEITO!$J$535*EFEITO!$Y$535</f>
        <v>59974.945715567948</v>
      </c>
      <c r="K535" s="76">
        <f ca="1">EFEITO!$L$535*EFEITO!$Z$535</f>
        <v>2011.278949095589</v>
      </c>
      <c r="L535" s="76">
        <f>EFEITO!$N$535*EFEITO!$AA$535</f>
        <v>7250.3261645259836</v>
      </c>
      <c r="M535" s="76">
        <f ca="1">$J$535-EFEITO!$K$535*EFEITO!$Y$535</f>
        <v>0</v>
      </c>
      <c r="N535" s="76">
        <f ca="1">$K$535-EFEITO!$M$535*EFEITO!$Z$535</f>
        <v>0</v>
      </c>
      <c r="O535" s="76">
        <f>$L$535-EFEITO!$O$535*EFEITO!$AA$535</f>
        <v>0</v>
      </c>
      <c r="P535" s="57"/>
      <c r="Q535" s="57"/>
      <c r="R535" s="57"/>
      <c r="S535" s="57"/>
      <c r="T535" s="57"/>
      <c r="U535" s="57"/>
      <c r="V535" s="57"/>
      <c r="W535" s="57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1.25" customHeight="1" x14ac:dyDescent="0.2">
      <c r="A536" s="53" t="s">
        <v>21</v>
      </c>
      <c r="B536" s="53" t="s">
        <v>33</v>
      </c>
      <c r="C536" s="53" t="s">
        <v>42</v>
      </c>
      <c r="D536" s="53" t="s">
        <v>46</v>
      </c>
      <c r="E536" s="53" t="s">
        <v>25</v>
      </c>
      <c r="F536" s="53" t="s">
        <v>25</v>
      </c>
      <c r="G536" s="53" t="s">
        <v>25</v>
      </c>
      <c r="H536" s="53" t="s">
        <v>35</v>
      </c>
      <c r="I536" s="75">
        <v>44348</v>
      </c>
      <c r="J536" s="76">
        <f ca="1">EFEITO!$J$536*EFEITO!$Y$536</f>
        <v>59767.180314705707</v>
      </c>
      <c r="K536" s="76">
        <f ca="1">EFEITO!$L$536*EFEITO!$Z$536</f>
        <v>1975.7664232170305</v>
      </c>
      <c r="L536" s="76">
        <f>EFEITO!$N$536*EFEITO!$AA$536</f>
        <v>7122.3094139596342</v>
      </c>
      <c r="M536" s="76">
        <f ca="1">$J$536-EFEITO!$K$536*EFEITO!$Y$536</f>
        <v>0</v>
      </c>
      <c r="N536" s="76">
        <f ca="1">$K$536-EFEITO!$M$536*EFEITO!$Z$536</f>
        <v>0</v>
      </c>
      <c r="O536" s="76">
        <f>$L$536-EFEITO!$O$536*EFEITO!$AA$536</f>
        <v>0</v>
      </c>
      <c r="P536" s="57"/>
      <c r="Q536" s="57"/>
      <c r="R536" s="57"/>
      <c r="S536" s="57"/>
      <c r="T536" s="57"/>
      <c r="U536" s="57"/>
      <c r="V536" s="57"/>
      <c r="W536" s="57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1.25" customHeight="1" x14ac:dyDescent="0.2">
      <c r="A537" s="53" t="s">
        <v>21</v>
      </c>
      <c r="B537" s="53" t="s">
        <v>33</v>
      </c>
      <c r="C537" s="53" t="s">
        <v>42</v>
      </c>
      <c r="D537" s="53" t="s">
        <v>46</v>
      </c>
      <c r="E537" s="53" t="s">
        <v>25</v>
      </c>
      <c r="F537" s="53" t="s">
        <v>25</v>
      </c>
      <c r="G537" s="53" t="s">
        <v>25</v>
      </c>
      <c r="H537" s="53" t="s">
        <v>35</v>
      </c>
      <c r="I537" s="75">
        <v>44378</v>
      </c>
      <c r="J537" s="76">
        <f ca="1">EFEITO!$J$537*EFEITO!$Y$537</f>
        <v>59282.39437936047</v>
      </c>
      <c r="K537" s="76">
        <f ca="1">EFEITO!$L$537*EFEITO!$Z$537</f>
        <v>2021.9797433172741</v>
      </c>
      <c r="L537" s="76">
        <f>EFEITO!$N$537*EFEITO!$AA$537</f>
        <v>7288.9007483059113</v>
      </c>
      <c r="M537" s="76">
        <f ca="1">$J$537-EFEITO!$K$537*EFEITO!$Y$537</f>
        <v>0</v>
      </c>
      <c r="N537" s="76">
        <f ca="1">$K$537-EFEITO!$M$537*EFEITO!$Z$537</f>
        <v>0</v>
      </c>
      <c r="O537" s="76">
        <f>$L$537-EFEITO!$O$537*EFEITO!$AA$537</f>
        <v>0</v>
      </c>
      <c r="P537" s="57"/>
      <c r="Q537" s="57"/>
      <c r="R537" s="57"/>
      <c r="S537" s="57"/>
      <c r="T537" s="57"/>
      <c r="U537" s="57"/>
      <c r="V537" s="57"/>
      <c r="W537" s="57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1.25" customHeight="1" x14ac:dyDescent="0.2">
      <c r="A538" s="53" t="s">
        <v>21</v>
      </c>
      <c r="B538" s="53" t="s">
        <v>33</v>
      </c>
      <c r="C538" s="53" t="s">
        <v>42</v>
      </c>
      <c r="D538" s="53" t="s">
        <v>46</v>
      </c>
      <c r="E538" s="53" t="s">
        <v>25</v>
      </c>
      <c r="F538" s="53" t="s">
        <v>25</v>
      </c>
      <c r="G538" s="53" t="s">
        <v>25</v>
      </c>
      <c r="H538" s="53" t="s">
        <v>35</v>
      </c>
      <c r="I538" s="75">
        <v>44409</v>
      </c>
      <c r="J538" s="76">
        <f ca="1">EFEITO!$J$538*EFEITO!$Y$538</f>
        <v>55819.637698323058</v>
      </c>
      <c r="K538" s="76">
        <f ca="1">EFEITO!$L$538*EFEITO!$Z$538</f>
        <v>2144.8624901487105</v>
      </c>
      <c r="L538" s="76">
        <f>EFEITO!$N$538*EFEITO!$AA$538</f>
        <v>7731.8726169874853</v>
      </c>
      <c r="M538" s="76">
        <f ca="1">$J$538-EFEITO!$K$538*EFEITO!$Y$538</f>
        <v>0</v>
      </c>
      <c r="N538" s="76">
        <f ca="1">$K$538-EFEITO!$M$538*EFEITO!$Z$538</f>
        <v>0</v>
      </c>
      <c r="O538" s="76">
        <f>$L$538-EFEITO!$O$538*EFEITO!$AA$538</f>
        <v>0</v>
      </c>
      <c r="P538" s="57"/>
      <c r="Q538" s="57"/>
      <c r="R538" s="57"/>
      <c r="S538" s="57"/>
      <c r="T538" s="57"/>
      <c r="U538" s="57"/>
      <c r="V538" s="57"/>
      <c r="W538" s="57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1.25" customHeight="1" x14ac:dyDescent="0.2">
      <c r="A539" s="53" t="s">
        <v>28</v>
      </c>
      <c r="B539" s="53" t="s">
        <v>33</v>
      </c>
      <c r="C539" s="53" t="s">
        <v>42</v>
      </c>
      <c r="D539" s="53" t="s">
        <v>46</v>
      </c>
      <c r="E539" s="53" t="s">
        <v>25</v>
      </c>
      <c r="F539" s="53" t="s">
        <v>25</v>
      </c>
      <c r="G539" s="53" t="s">
        <v>25</v>
      </c>
      <c r="H539" s="53" t="s">
        <v>35</v>
      </c>
      <c r="I539" s="75">
        <v>44409</v>
      </c>
      <c r="J539" s="76">
        <f ca="1">EFEITO!$J$539*EFEITO!$Y$539</f>
        <v>21607.601689673444</v>
      </c>
      <c r="K539" s="76">
        <f ca="1">EFEITO!$L$539*EFEITO!$Z$539</f>
        <v>726.00773104046823</v>
      </c>
      <c r="L539" s="76">
        <f>EFEITO!$N$539*EFEITO!$AA$539</f>
        <v>2617.1371456842512</v>
      </c>
      <c r="M539" s="76">
        <f ca="1">$J$539-EFEITO!$K$539*EFEITO!$Y$539</f>
        <v>0</v>
      </c>
      <c r="N539" s="76">
        <f ca="1">$K$539-EFEITO!$M$539*EFEITO!$Z$539</f>
        <v>0</v>
      </c>
      <c r="O539" s="76">
        <f>$L$539-EFEITO!$O$539*EFEITO!$AA$539</f>
        <v>0</v>
      </c>
      <c r="P539" s="57"/>
      <c r="Q539" s="57"/>
      <c r="R539" s="57"/>
      <c r="S539" s="57"/>
      <c r="T539" s="57"/>
      <c r="U539" s="57"/>
      <c r="V539" s="57"/>
      <c r="W539" s="57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1.25" customHeight="1" x14ac:dyDescent="0.2">
      <c r="A540" s="53" t="s">
        <v>21</v>
      </c>
      <c r="B540" s="53" t="s">
        <v>33</v>
      </c>
      <c r="C540" s="53" t="s">
        <v>42</v>
      </c>
      <c r="D540" s="53" t="s">
        <v>46</v>
      </c>
      <c r="E540" s="53" t="s">
        <v>25</v>
      </c>
      <c r="F540" s="53" t="s">
        <v>25</v>
      </c>
      <c r="G540" s="53" t="s">
        <v>25</v>
      </c>
      <c r="H540" s="53" t="s">
        <v>35</v>
      </c>
      <c r="I540" s="75">
        <v>44440</v>
      </c>
      <c r="J540" s="76">
        <f ca="1">EFEITO!$J$540*EFEITO!$Y$540</f>
        <v>55888.892831943806</v>
      </c>
      <c r="K540" s="76">
        <f ca="1">EFEITO!$L$540*EFEITO!$Z$540</f>
        <v>2237.1715392039046</v>
      </c>
      <c r="L540" s="76">
        <f>EFEITO!$N$540*EFEITO!$AA$540</f>
        <v>8064.6313891549835</v>
      </c>
      <c r="M540" s="76">
        <f ca="1">$J$540-EFEITO!$K$540*EFEITO!$Y$540</f>
        <v>0</v>
      </c>
      <c r="N540" s="76">
        <f ca="1">$K$540-EFEITO!$M$540*EFEITO!$Z$540</f>
        <v>0</v>
      </c>
      <c r="O540" s="76">
        <f>$L$540-EFEITO!$O$540*EFEITO!$AA$540</f>
        <v>0</v>
      </c>
      <c r="P540" s="57"/>
      <c r="Q540" s="57"/>
      <c r="R540" s="57"/>
      <c r="S540" s="57"/>
      <c r="T540" s="57"/>
      <c r="U540" s="57"/>
      <c r="V540" s="57"/>
      <c r="W540" s="57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1.25" customHeight="1" x14ac:dyDescent="0.2">
      <c r="A541" s="53" t="s">
        <v>28</v>
      </c>
      <c r="B541" s="53" t="s">
        <v>33</v>
      </c>
      <c r="C541" s="53" t="s">
        <v>42</v>
      </c>
      <c r="D541" s="53" t="s">
        <v>46</v>
      </c>
      <c r="E541" s="53" t="s">
        <v>25</v>
      </c>
      <c r="F541" s="53" t="s">
        <v>25</v>
      </c>
      <c r="G541" s="53" t="s">
        <v>25</v>
      </c>
      <c r="H541" s="53" t="s">
        <v>35</v>
      </c>
      <c r="I541" s="75">
        <v>44440</v>
      </c>
      <c r="J541" s="76">
        <f ca="1">EFEITO!$J$541*EFEITO!$Y$541</f>
        <v>21607.601689673444</v>
      </c>
      <c r="K541" s="76">
        <f ca="1">EFEITO!$L$541*EFEITO!$Z$541</f>
        <v>746.11581688561228</v>
      </c>
      <c r="L541" s="76">
        <f>EFEITO!$N$541*EFEITO!$AA$541</f>
        <v>2689.6234514685084</v>
      </c>
      <c r="M541" s="76">
        <f ca="1">$J$541-EFEITO!$K$541*EFEITO!$Y$541</f>
        <v>0</v>
      </c>
      <c r="N541" s="76">
        <f ca="1">$K$541-EFEITO!$M$541*EFEITO!$Z$541</f>
        <v>0</v>
      </c>
      <c r="O541" s="76">
        <f>$L$541-EFEITO!$O$541*EFEITO!$AA$541</f>
        <v>0</v>
      </c>
      <c r="P541" s="57"/>
      <c r="Q541" s="57"/>
      <c r="R541" s="57"/>
      <c r="S541" s="57"/>
      <c r="T541" s="57"/>
      <c r="U541" s="57"/>
      <c r="V541" s="57"/>
      <c r="W541" s="57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1.25" customHeight="1" x14ac:dyDescent="0.2">
      <c r="A542" s="53" t="s">
        <v>21</v>
      </c>
      <c r="B542" s="53" t="s">
        <v>33</v>
      </c>
      <c r="C542" s="53" t="s">
        <v>42</v>
      </c>
      <c r="D542" s="53" t="s">
        <v>46</v>
      </c>
      <c r="E542" s="53" t="s">
        <v>25</v>
      </c>
      <c r="F542" s="53" t="s">
        <v>25</v>
      </c>
      <c r="G542" s="53" t="s">
        <v>25</v>
      </c>
      <c r="H542" s="53" t="s">
        <v>35</v>
      </c>
      <c r="I542" s="75">
        <v>44470</v>
      </c>
      <c r="J542" s="76">
        <f ca="1">EFEITO!$J$542*EFEITO!$Y$542</f>
        <v>55819.637698323058</v>
      </c>
      <c r="K542" s="76">
        <f ca="1">EFEITO!$L$542*EFEITO!$Z$542</f>
        <v>2248.2251068614692</v>
      </c>
      <c r="L542" s="76">
        <f>EFEITO!$N$542*EFEITO!$AA$542</f>
        <v>8104.4776625100731</v>
      </c>
      <c r="M542" s="76">
        <f ca="1">$J$542-EFEITO!$K$542*EFEITO!$Y$542</f>
        <v>0</v>
      </c>
      <c r="N542" s="76">
        <f ca="1">$K$542-EFEITO!$M$542*EFEITO!$Z$542</f>
        <v>0</v>
      </c>
      <c r="O542" s="76">
        <f>$L$542-EFEITO!$O$542*EFEITO!$AA$542</f>
        <v>0</v>
      </c>
      <c r="P542" s="57"/>
      <c r="Q542" s="57"/>
      <c r="R542" s="57"/>
      <c r="S542" s="57"/>
      <c r="T542" s="57"/>
      <c r="U542" s="57"/>
      <c r="V542" s="57"/>
      <c r="W542" s="57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1.25" customHeight="1" x14ac:dyDescent="0.2">
      <c r="A543" s="53" t="s">
        <v>28</v>
      </c>
      <c r="B543" s="53" t="s">
        <v>33</v>
      </c>
      <c r="C543" s="53" t="s">
        <v>42</v>
      </c>
      <c r="D543" s="53" t="s">
        <v>46</v>
      </c>
      <c r="E543" s="53" t="s">
        <v>25</v>
      </c>
      <c r="F543" s="53" t="s">
        <v>25</v>
      </c>
      <c r="G543" s="53" t="s">
        <v>25</v>
      </c>
      <c r="H543" s="53" t="s">
        <v>35</v>
      </c>
      <c r="I543" s="75">
        <v>44470</v>
      </c>
      <c r="J543" s="76">
        <f ca="1">EFEITO!$J$543*EFEITO!$Y$543</f>
        <v>21607.601689673444</v>
      </c>
      <c r="K543" s="76">
        <f ca="1">EFEITO!$L$543*EFEITO!$Z$543</f>
        <v>752.58332987674066</v>
      </c>
      <c r="L543" s="76">
        <f>EFEITO!$N$543*EFEITO!$AA$543</f>
        <v>2712.9377603464864</v>
      </c>
      <c r="M543" s="76">
        <f ca="1">$J$543-EFEITO!$K$543*EFEITO!$Y$543</f>
        <v>0</v>
      </c>
      <c r="N543" s="76">
        <f ca="1">$K$543-EFEITO!$M$543*EFEITO!$Z$543</f>
        <v>0</v>
      </c>
      <c r="O543" s="76">
        <f>$L$543-EFEITO!$O$543*EFEITO!$AA$543</f>
        <v>0</v>
      </c>
      <c r="P543" s="57"/>
      <c r="Q543" s="57"/>
      <c r="R543" s="57"/>
      <c r="S543" s="57"/>
      <c r="T543" s="57"/>
      <c r="U543" s="57"/>
      <c r="V543" s="57"/>
      <c r="W543" s="57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1.25" customHeight="1" x14ac:dyDescent="0.2">
      <c r="A544" s="53" t="s">
        <v>21</v>
      </c>
      <c r="B544" s="53" t="s">
        <v>33</v>
      </c>
      <c r="C544" s="53" t="s">
        <v>42</v>
      </c>
      <c r="D544" s="53" t="s">
        <v>46</v>
      </c>
      <c r="E544" s="53" t="s">
        <v>25</v>
      </c>
      <c r="F544" s="53" t="s">
        <v>25</v>
      </c>
      <c r="G544" s="53" t="s">
        <v>25</v>
      </c>
      <c r="H544" s="53" t="s">
        <v>35</v>
      </c>
      <c r="I544" s="75">
        <v>44501</v>
      </c>
      <c r="J544" s="76">
        <f ca="1">EFEITO!$J$544*EFEITO!$Y$544</f>
        <v>56373.678767289042</v>
      </c>
      <c r="K544" s="76">
        <f ca="1">EFEITO!$L$544*EFEITO!$Z$544</f>
        <v>2277.2701197488996</v>
      </c>
      <c r="L544" s="76">
        <f>EFEITO!$N$544*EFEITO!$AA$544</f>
        <v>8209.1801041984454</v>
      </c>
      <c r="M544" s="76">
        <f ca="1">$J$544-EFEITO!$K$544*EFEITO!$Y$544</f>
        <v>0</v>
      </c>
      <c r="N544" s="76">
        <f ca="1">$K$544-EFEITO!$M$544*EFEITO!$Z$544</f>
        <v>0</v>
      </c>
      <c r="O544" s="76">
        <f>$L$544-EFEITO!$O$544*EFEITO!$AA$544</f>
        <v>0</v>
      </c>
      <c r="P544" s="57"/>
      <c r="Q544" s="57"/>
      <c r="R544" s="57"/>
      <c r="S544" s="57"/>
      <c r="T544" s="57"/>
      <c r="U544" s="57"/>
      <c r="V544" s="57"/>
      <c r="W544" s="57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1.25" customHeight="1" x14ac:dyDescent="0.2">
      <c r="A545" s="53" t="s">
        <v>28</v>
      </c>
      <c r="B545" s="53" t="s">
        <v>33</v>
      </c>
      <c r="C545" s="53" t="s">
        <v>42</v>
      </c>
      <c r="D545" s="53" t="s">
        <v>46</v>
      </c>
      <c r="E545" s="53" t="s">
        <v>25</v>
      </c>
      <c r="F545" s="53" t="s">
        <v>25</v>
      </c>
      <c r="G545" s="53" t="s">
        <v>25</v>
      </c>
      <c r="H545" s="53" t="s">
        <v>35</v>
      </c>
      <c r="I545" s="75">
        <v>44501</v>
      </c>
      <c r="J545" s="76">
        <f ca="1">EFEITO!$J$545*EFEITO!$Y$545</f>
        <v>21607.601689673444</v>
      </c>
      <c r="K545" s="76">
        <f ca="1">EFEITO!$L$545*EFEITO!$Z$545</f>
        <v>781.98111620005079</v>
      </c>
      <c r="L545" s="76">
        <f>EFEITO!$N$545*EFEITO!$AA$545</f>
        <v>2818.911891610021</v>
      </c>
      <c r="M545" s="76">
        <f ca="1">$J$545-EFEITO!$K$545*EFEITO!$Y$545</f>
        <v>0</v>
      </c>
      <c r="N545" s="76">
        <f ca="1">$K$545-EFEITO!$M$545*EFEITO!$Z$545</f>
        <v>0</v>
      </c>
      <c r="O545" s="76">
        <f>$L$545-EFEITO!$O$545*EFEITO!$AA$545</f>
        <v>0</v>
      </c>
      <c r="P545" s="57"/>
      <c r="Q545" s="57"/>
      <c r="R545" s="57"/>
      <c r="S545" s="57"/>
      <c r="T545" s="57"/>
      <c r="U545" s="57"/>
      <c r="V545" s="57"/>
      <c r="W545" s="57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1.25" customHeight="1" x14ac:dyDescent="0.2">
      <c r="A546" s="53" t="s">
        <v>21</v>
      </c>
      <c r="B546" s="53" t="s">
        <v>33</v>
      </c>
      <c r="C546" s="53" t="s">
        <v>42</v>
      </c>
      <c r="D546" s="53" t="s">
        <v>46</v>
      </c>
      <c r="E546" s="53" t="s">
        <v>25</v>
      </c>
      <c r="F546" s="53" t="s">
        <v>25</v>
      </c>
      <c r="G546" s="53" t="s">
        <v>25</v>
      </c>
      <c r="H546" s="53" t="s">
        <v>35</v>
      </c>
      <c r="I546" s="75">
        <v>44531</v>
      </c>
      <c r="J546" s="76">
        <f ca="1">EFEITO!$J$546*EFEITO!$Y$546</f>
        <v>56512.189034530544</v>
      </c>
      <c r="K546" s="76">
        <f ca="1">EFEITO!$L$546*EFEITO!$Z$546</f>
        <v>2588.1811079042282</v>
      </c>
      <c r="L546" s="76">
        <f>EFEITO!$N$546*EFEITO!$AA$546</f>
        <v>9329.9625164415884</v>
      </c>
      <c r="M546" s="76">
        <f ca="1">$J$546-EFEITO!$K$546*EFEITO!$Y$546</f>
        <v>0</v>
      </c>
      <c r="N546" s="76">
        <f ca="1">$K$546-EFEITO!$M$546*EFEITO!$Z$546</f>
        <v>0</v>
      </c>
      <c r="O546" s="76">
        <f>$L$546-EFEITO!$O$546*EFEITO!$AA$546</f>
        <v>0</v>
      </c>
      <c r="P546" s="57"/>
      <c r="Q546" s="57"/>
      <c r="R546" s="57"/>
      <c r="S546" s="57"/>
      <c r="T546" s="57"/>
      <c r="U546" s="57"/>
      <c r="V546" s="57"/>
      <c r="W546" s="57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1.25" customHeight="1" x14ac:dyDescent="0.2">
      <c r="A547" s="53" t="s">
        <v>28</v>
      </c>
      <c r="B547" s="53" t="s">
        <v>33</v>
      </c>
      <c r="C547" s="53" t="s">
        <v>42</v>
      </c>
      <c r="D547" s="53" t="s">
        <v>46</v>
      </c>
      <c r="E547" s="53" t="s">
        <v>25</v>
      </c>
      <c r="F547" s="53" t="s">
        <v>25</v>
      </c>
      <c r="G547" s="53" t="s">
        <v>25</v>
      </c>
      <c r="H547" s="53" t="s">
        <v>35</v>
      </c>
      <c r="I547" s="75">
        <v>44531</v>
      </c>
      <c r="J547" s="76">
        <f ca="1">EFEITO!$J$547*EFEITO!$Y$547</f>
        <v>21607.601689673444</v>
      </c>
      <c r="K547" s="76">
        <f ca="1">EFEITO!$L$547*EFEITO!$Z$547</f>
        <v>748.70282208206368</v>
      </c>
      <c r="L547" s="76">
        <f>EFEITO!$N$547*EFEITO!$AA$547</f>
        <v>2698.9491750196994</v>
      </c>
      <c r="M547" s="76">
        <f ca="1">$J$547-EFEITO!$K$547*EFEITO!$Y$547</f>
        <v>0</v>
      </c>
      <c r="N547" s="76">
        <f ca="1">$K$547-EFEITO!$M$547*EFEITO!$Z$547</f>
        <v>0</v>
      </c>
      <c r="O547" s="76">
        <f>$L$547-EFEITO!$O$547*EFEITO!$AA$547</f>
        <v>0</v>
      </c>
      <c r="P547" s="57"/>
      <c r="Q547" s="57"/>
      <c r="R547" s="57"/>
      <c r="S547" s="57"/>
      <c r="T547" s="57"/>
      <c r="U547" s="57"/>
      <c r="V547" s="57"/>
      <c r="W547" s="57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1.25" customHeight="1" x14ac:dyDescent="0.2">
      <c r="A548" s="53" t="s">
        <v>21</v>
      </c>
      <c r="B548" s="53" t="s">
        <v>33</v>
      </c>
      <c r="C548" s="53" t="s">
        <v>42</v>
      </c>
      <c r="D548" s="53" t="s">
        <v>46</v>
      </c>
      <c r="E548" s="53" t="s">
        <v>25</v>
      </c>
      <c r="F548" s="53" t="s">
        <v>25</v>
      </c>
      <c r="G548" s="53" t="s">
        <v>25</v>
      </c>
      <c r="H548" s="53" t="s">
        <v>35</v>
      </c>
      <c r="I548" s="75">
        <v>44562</v>
      </c>
      <c r="J548" s="76">
        <f ca="1">EFEITO!$J$548*EFEITO!$Y$548</f>
        <v>57204.740370738022</v>
      </c>
      <c r="K548" s="76">
        <f ca="1">EFEITO!$L$548*EFEITO!$Z$548</f>
        <v>2321.7195726697446</v>
      </c>
      <c r="L548" s="76">
        <f>EFEITO!$N$548*EFEITO!$AA$548</f>
        <v>8369.4129906689104</v>
      </c>
      <c r="M548" s="76">
        <f ca="1">$J$548-EFEITO!$K$548*EFEITO!$Y$548</f>
        <v>0</v>
      </c>
      <c r="N548" s="76">
        <f ca="1">$K$548-EFEITO!$M$548*EFEITO!$Z$548</f>
        <v>0</v>
      </c>
      <c r="O548" s="76">
        <f>$L$548-EFEITO!$O$548*EFEITO!$AA$548</f>
        <v>0</v>
      </c>
      <c r="P548" s="57"/>
      <c r="Q548" s="57"/>
      <c r="R548" s="57"/>
      <c r="S548" s="57"/>
      <c r="T548" s="57"/>
      <c r="U548" s="57"/>
      <c r="V548" s="57"/>
      <c r="W548" s="57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1.25" customHeight="1" x14ac:dyDescent="0.2">
      <c r="A549" s="53" t="s">
        <v>28</v>
      </c>
      <c r="B549" s="53" t="s">
        <v>33</v>
      </c>
      <c r="C549" s="53" t="s">
        <v>42</v>
      </c>
      <c r="D549" s="53" t="s">
        <v>46</v>
      </c>
      <c r="E549" s="53" t="s">
        <v>25</v>
      </c>
      <c r="F549" s="53" t="s">
        <v>25</v>
      </c>
      <c r="G549" s="53" t="s">
        <v>25</v>
      </c>
      <c r="H549" s="53" t="s">
        <v>35</v>
      </c>
      <c r="I549" s="75">
        <v>44562</v>
      </c>
      <c r="J549" s="76">
        <f ca="1">EFEITO!$J$549*EFEITO!$Y$549</f>
        <v>21607.601689673444</v>
      </c>
      <c r="K549" s="76">
        <f ca="1">EFEITO!$L$549*EFEITO!$Z$549</f>
        <v>768.81090792720784</v>
      </c>
      <c r="L549" s="76">
        <f>EFEITO!$N$549*EFEITO!$AA$549</f>
        <v>2771.4354808039575</v>
      </c>
      <c r="M549" s="76">
        <f ca="1">$J$549-EFEITO!$K$549*EFEITO!$Y$549</f>
        <v>0</v>
      </c>
      <c r="N549" s="76">
        <f ca="1">$K$549-EFEITO!$M$549*EFEITO!$Z$549</f>
        <v>0</v>
      </c>
      <c r="O549" s="76">
        <f>$L$549-EFEITO!$O$549*EFEITO!$AA$549</f>
        <v>0</v>
      </c>
      <c r="P549" s="57"/>
      <c r="Q549" s="57"/>
      <c r="R549" s="57"/>
      <c r="S549" s="57"/>
      <c r="T549" s="57"/>
      <c r="U549" s="57"/>
      <c r="V549" s="57"/>
      <c r="W549" s="57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1.25" customHeight="1" x14ac:dyDescent="0.2">
      <c r="A550" s="53" t="s">
        <v>21</v>
      </c>
      <c r="B550" s="53" t="s">
        <v>33</v>
      </c>
      <c r="C550" s="53" t="s">
        <v>42</v>
      </c>
      <c r="D550" s="53" t="s">
        <v>46</v>
      </c>
      <c r="E550" s="53" t="s">
        <v>25</v>
      </c>
      <c r="F550" s="53" t="s">
        <v>25</v>
      </c>
      <c r="G550" s="53" t="s">
        <v>25</v>
      </c>
      <c r="H550" s="53" t="s">
        <v>35</v>
      </c>
      <c r="I550" s="75">
        <v>44593</v>
      </c>
      <c r="J550" s="76">
        <f ca="1">EFEITO!$J$550*EFEITO!$Y$550</f>
        <v>56373.678767289042</v>
      </c>
      <c r="K550" s="76">
        <f ca="1">EFEITO!$L$550*EFEITO!$Z$550</f>
        <v>2370.284715675853</v>
      </c>
      <c r="L550" s="76">
        <f>EFEITO!$N$550*EFEITO!$AA$550</f>
        <v>8544.4822555162682</v>
      </c>
      <c r="M550" s="76">
        <f ca="1">$J$550-EFEITO!$K$550*EFEITO!$Y$550</f>
        <v>0</v>
      </c>
      <c r="N550" s="76">
        <f ca="1">$K$550-EFEITO!$M$550*EFEITO!$Z$550</f>
        <v>0</v>
      </c>
      <c r="O550" s="76">
        <f>$L$550-EFEITO!$O$550*EFEITO!$AA$550</f>
        <v>0</v>
      </c>
      <c r="P550" s="57"/>
      <c r="Q550" s="57"/>
      <c r="R550" s="57"/>
      <c r="S550" s="57"/>
      <c r="T550" s="57"/>
      <c r="U550" s="57"/>
      <c r="V550" s="57"/>
      <c r="W550" s="57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1.25" customHeight="1" x14ac:dyDescent="0.2">
      <c r="A551" s="53" t="s">
        <v>28</v>
      </c>
      <c r="B551" s="53" t="s">
        <v>33</v>
      </c>
      <c r="C551" s="53" t="s">
        <v>42</v>
      </c>
      <c r="D551" s="53" t="s">
        <v>46</v>
      </c>
      <c r="E551" s="53" t="s">
        <v>25</v>
      </c>
      <c r="F551" s="53" t="s">
        <v>25</v>
      </c>
      <c r="G551" s="53" t="s">
        <v>25</v>
      </c>
      <c r="H551" s="53" t="s">
        <v>35</v>
      </c>
      <c r="I551" s="75">
        <v>44593</v>
      </c>
      <c r="J551" s="76">
        <f ca="1">EFEITO!$J$551*EFEITO!$Y$551</f>
        <v>21607.601689673444</v>
      </c>
      <c r="K551" s="76">
        <f ca="1">EFEITO!$L$551*EFEITO!$Z$551</f>
        <v>766.34149387604975</v>
      </c>
      <c r="L551" s="76">
        <f>EFEITO!$N$551*EFEITO!$AA$551</f>
        <v>2762.5336537778207</v>
      </c>
      <c r="M551" s="76">
        <f ca="1">$J$551-EFEITO!$K$551*EFEITO!$Y$551</f>
        <v>0</v>
      </c>
      <c r="N551" s="76">
        <f ca="1">$K$551-EFEITO!$M$551*EFEITO!$Z$551</f>
        <v>0</v>
      </c>
      <c r="O551" s="76">
        <f>$L$551-EFEITO!$O$551*EFEITO!$AA$551</f>
        <v>0</v>
      </c>
      <c r="P551" s="57"/>
      <c r="Q551" s="57"/>
      <c r="R551" s="57"/>
      <c r="S551" s="57"/>
      <c r="T551" s="57"/>
      <c r="U551" s="57"/>
      <c r="V551" s="57"/>
      <c r="W551" s="57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1.25" customHeight="1" x14ac:dyDescent="0.2">
      <c r="A552" s="53" t="s">
        <v>21</v>
      </c>
      <c r="B552" s="53" t="s">
        <v>33</v>
      </c>
      <c r="C552" s="53" t="s">
        <v>42</v>
      </c>
      <c r="D552" s="53" t="s">
        <v>46</v>
      </c>
      <c r="E552" s="53" t="s">
        <v>25</v>
      </c>
      <c r="F552" s="53" t="s">
        <v>25</v>
      </c>
      <c r="G552" s="53" t="s">
        <v>25</v>
      </c>
      <c r="H552" s="53" t="s">
        <v>35</v>
      </c>
      <c r="I552" s="75">
        <v>44621</v>
      </c>
      <c r="J552" s="76">
        <f ca="1">EFEITO!$J$552*EFEITO!$Y$552</f>
        <v>56235.168500047548</v>
      </c>
      <c r="K552" s="76">
        <f ca="1">EFEITO!$L$552*EFEITO!$Z$552</f>
        <v>2787.6156903215642</v>
      </c>
      <c r="L552" s="76">
        <f>EFEITO!$N$552*EFEITO!$AA$552</f>
        <v>10048.891022933407</v>
      </c>
      <c r="M552" s="76">
        <f ca="1">$J$552-EFEITO!$K$552*EFEITO!$Y$552</f>
        <v>0</v>
      </c>
      <c r="N552" s="76">
        <f ca="1">$K$552-EFEITO!$M$552*EFEITO!$Z$552</f>
        <v>0</v>
      </c>
      <c r="O552" s="76">
        <f>$L$552-EFEITO!$O$552*EFEITO!$AA$552</f>
        <v>0</v>
      </c>
      <c r="P552" s="57"/>
      <c r="Q552" s="57"/>
      <c r="R552" s="57"/>
      <c r="S552" s="57"/>
      <c r="T552" s="57"/>
      <c r="U552" s="57"/>
      <c r="V552" s="57"/>
      <c r="W552" s="57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1.25" customHeight="1" x14ac:dyDescent="0.2">
      <c r="A553" s="53" t="s">
        <v>28</v>
      </c>
      <c r="B553" s="53" t="s">
        <v>33</v>
      </c>
      <c r="C553" s="53" t="s">
        <v>42</v>
      </c>
      <c r="D553" s="53" t="s">
        <v>46</v>
      </c>
      <c r="E553" s="53" t="s">
        <v>25</v>
      </c>
      <c r="F553" s="53" t="s">
        <v>25</v>
      </c>
      <c r="G553" s="53" t="s">
        <v>25</v>
      </c>
      <c r="H553" s="53" t="s">
        <v>35</v>
      </c>
      <c r="I553" s="75">
        <v>44621</v>
      </c>
      <c r="J553" s="76">
        <f ca="1">EFEITO!$J$553*EFEITO!$Y$553</f>
        <v>21607.601689673444</v>
      </c>
      <c r="K553" s="76">
        <f ca="1">EFEITO!$L$553*EFEITO!$Z$553</f>
        <v>765.40076471370389</v>
      </c>
      <c r="L553" s="76">
        <f>EFEITO!$N$553*EFEITO!$AA$553</f>
        <v>2759.1424815773876</v>
      </c>
      <c r="M553" s="76">
        <f ca="1">$J$553-EFEITO!$K$553*EFEITO!$Y$553</f>
        <v>0</v>
      </c>
      <c r="N553" s="76">
        <f ca="1">$K$553-EFEITO!$M$553*EFEITO!$Z$553</f>
        <v>0</v>
      </c>
      <c r="O553" s="76">
        <f>$L$553-EFEITO!$O$553*EFEITO!$AA$553</f>
        <v>0</v>
      </c>
      <c r="P553" s="57"/>
      <c r="Q553" s="57"/>
      <c r="R553" s="57"/>
      <c r="S553" s="57"/>
      <c r="T553" s="57"/>
      <c r="U553" s="57"/>
      <c r="V553" s="57"/>
      <c r="W553" s="57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1.25" customHeight="1" x14ac:dyDescent="0.2">
      <c r="A554" s="53" t="s">
        <v>56</v>
      </c>
      <c r="B554" s="53" t="s">
        <v>33</v>
      </c>
      <c r="C554" s="53" t="s">
        <v>42</v>
      </c>
      <c r="D554" s="53" t="s">
        <v>46</v>
      </c>
      <c r="E554" s="53" t="s">
        <v>25</v>
      </c>
      <c r="F554" s="53" t="s">
        <v>25</v>
      </c>
      <c r="G554" s="53" t="s">
        <v>25</v>
      </c>
      <c r="H554" s="53" t="s">
        <v>35</v>
      </c>
      <c r="I554" s="75">
        <v>44652</v>
      </c>
      <c r="J554" s="76">
        <f ca="1">EFEITO!$J$554*EFEITO!$Y$554</f>
        <v>56235.168500047548</v>
      </c>
      <c r="K554" s="76">
        <f ca="1">EFEITO!$L$554*EFEITO!$Z$554</f>
        <v>2787.6156903215642</v>
      </c>
      <c r="L554" s="76">
        <f>EFEITO!$N$554*EFEITO!$AA$554</f>
        <v>10048.891022933407</v>
      </c>
      <c r="M554" s="76">
        <f ca="1">$J$554-EFEITO!$K$554*EFEITO!$Y$554</f>
        <v>0</v>
      </c>
      <c r="N554" s="76">
        <f ca="1">$K$554-EFEITO!$M$554*EFEITO!$Z$554</f>
        <v>0</v>
      </c>
      <c r="O554" s="76">
        <f>$L$554-EFEITO!$O$554*EFEITO!$AA$554</f>
        <v>0</v>
      </c>
      <c r="P554" s="57"/>
      <c r="Q554" s="57"/>
      <c r="R554" s="57"/>
      <c r="S554" s="57"/>
      <c r="T554" s="57"/>
      <c r="U554" s="57"/>
      <c r="V554" s="57"/>
      <c r="W554" s="57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1.25" customHeight="1" x14ac:dyDescent="0.2">
      <c r="A555" s="53" t="s">
        <v>56</v>
      </c>
      <c r="B555" s="53" t="s">
        <v>33</v>
      </c>
      <c r="C555" s="53" t="s">
        <v>42</v>
      </c>
      <c r="D555" s="53" t="s">
        <v>46</v>
      </c>
      <c r="E555" s="53" t="s">
        <v>25</v>
      </c>
      <c r="F555" s="53" t="s">
        <v>25</v>
      </c>
      <c r="G555" s="53" t="s">
        <v>25</v>
      </c>
      <c r="H555" s="53" t="s">
        <v>35</v>
      </c>
      <c r="I555" s="75">
        <v>44652</v>
      </c>
      <c r="J555" s="76">
        <f ca="1">EFEITO!$J$555*EFEITO!$Y$555</f>
        <v>21607.601689673444</v>
      </c>
      <c r="K555" s="76">
        <f ca="1">EFEITO!$L$555*EFEITO!$Z$555</f>
        <v>765.40076471370389</v>
      </c>
      <c r="L555" s="76">
        <f>EFEITO!$N$555*EFEITO!$AA$555</f>
        <v>2759.1424815773876</v>
      </c>
      <c r="M555" s="76">
        <f ca="1">$J$555-EFEITO!$K$555*EFEITO!$Y$555</f>
        <v>0</v>
      </c>
      <c r="N555" s="76">
        <f ca="1">$K$555-EFEITO!$M$555*EFEITO!$Z$555</f>
        <v>0</v>
      </c>
      <c r="O555" s="76">
        <f>$L$555-EFEITO!$O$555*EFEITO!$AA$555</f>
        <v>0</v>
      </c>
      <c r="P555" s="57"/>
      <c r="Q555" s="57"/>
      <c r="R555" s="57"/>
      <c r="S555" s="57"/>
      <c r="T555" s="57"/>
      <c r="U555" s="57"/>
      <c r="V555" s="57"/>
      <c r="W555" s="57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1.25" customHeight="1" x14ac:dyDescent="0.2">
      <c r="A556" s="53" t="s">
        <v>21</v>
      </c>
      <c r="B556" s="53" t="s">
        <v>33</v>
      </c>
      <c r="C556" s="53" t="s">
        <v>42</v>
      </c>
      <c r="D556" s="53" t="s">
        <v>50</v>
      </c>
      <c r="E556" s="53" t="s">
        <v>51</v>
      </c>
      <c r="F556" s="53" t="s">
        <v>25</v>
      </c>
      <c r="G556" s="53" t="s">
        <v>25</v>
      </c>
      <c r="H556" s="53" t="s">
        <v>36</v>
      </c>
      <c r="I556" s="75">
        <v>44317</v>
      </c>
      <c r="J556" s="76">
        <f ca="1">EFEITO!$J$556*EFEITO!$Y$534</f>
        <v>504982.59387155221</v>
      </c>
      <c r="K556" s="76">
        <f ca="1">EFEITO!$L$556*EFEITO!$Z$534</f>
        <v>1243860.6731020894</v>
      </c>
      <c r="L556" s="76">
        <f>EFEITO!$N$556*EFEITO!$AA$534</f>
        <v>2868066.9356541354</v>
      </c>
      <c r="M556" s="76">
        <f ca="1">$J$556-EFEITO!$K$556*EFEITO!$Y$556</f>
        <v>15149.477816146624</v>
      </c>
      <c r="N556" s="76">
        <f ca="1">$K$556-EFEITO!$M$556*EFEITO!$Z$556</f>
        <v>37315.820193062769</v>
      </c>
      <c r="O556" s="76">
        <f>$L$556-EFEITO!$O$556*EFEITO!$AA$556</f>
        <v>86042.008069624193</v>
      </c>
      <c r="P556" s="57"/>
      <c r="Q556" s="57"/>
      <c r="R556" s="57"/>
      <c r="S556" s="57"/>
      <c r="T556" s="57"/>
      <c r="U556" s="57"/>
      <c r="V556" s="57"/>
      <c r="W556" s="57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1.25" customHeight="1" x14ac:dyDescent="0.2">
      <c r="A557" s="53" t="s">
        <v>21</v>
      </c>
      <c r="B557" s="53" t="s">
        <v>33</v>
      </c>
      <c r="C557" s="53" t="s">
        <v>42</v>
      </c>
      <c r="D557" s="53" t="s">
        <v>50</v>
      </c>
      <c r="E557" s="53" t="s">
        <v>51</v>
      </c>
      <c r="F557" s="53" t="s">
        <v>25</v>
      </c>
      <c r="G557" s="53" t="s">
        <v>25</v>
      </c>
      <c r="H557" s="53" t="s">
        <v>36</v>
      </c>
      <c r="I557" s="75">
        <v>44348</v>
      </c>
      <c r="J557" s="76">
        <f ca="1">EFEITO!$J$557*EFEITO!$Y$534</f>
        <v>501800.2414236074</v>
      </c>
      <c r="K557" s="76">
        <f ca="1">EFEITO!$L$557*EFEITO!$Z$534</f>
        <v>1183105.6792014476</v>
      </c>
      <c r="L557" s="76">
        <f>EFEITO!$N$557*EFEITO!$AA$534</f>
        <v>2727979.3897172301</v>
      </c>
      <c r="M557" s="76">
        <f ca="1">$J$557-EFEITO!$K$557*EFEITO!$Y$557</f>
        <v>15054.007242708234</v>
      </c>
      <c r="N557" s="76">
        <f ca="1">$K$557-EFEITO!$M$557*EFEITO!$Z$557</f>
        <v>35493.170376043301</v>
      </c>
      <c r="O557" s="76">
        <f>$L$557-EFEITO!$O$557*EFEITO!$AA$557</f>
        <v>81839.381691516843</v>
      </c>
      <c r="P557" s="57"/>
      <c r="Q557" s="57"/>
      <c r="R557" s="57"/>
      <c r="S557" s="57"/>
      <c r="T557" s="57"/>
      <c r="U557" s="57"/>
      <c r="V557" s="57"/>
      <c r="W557" s="57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1.25" customHeight="1" x14ac:dyDescent="0.2">
      <c r="A558" s="53" t="s">
        <v>21</v>
      </c>
      <c r="B558" s="53" t="s">
        <v>33</v>
      </c>
      <c r="C558" s="53" t="s">
        <v>42</v>
      </c>
      <c r="D558" s="53" t="s">
        <v>50</v>
      </c>
      <c r="E558" s="53" t="s">
        <v>51</v>
      </c>
      <c r="F558" s="53" t="s">
        <v>25</v>
      </c>
      <c r="G558" s="53" t="s">
        <v>25</v>
      </c>
      <c r="H558" s="53" t="s">
        <v>36</v>
      </c>
      <c r="I558" s="75">
        <v>44378</v>
      </c>
      <c r="J558" s="76">
        <f ca="1">EFEITO!$J$558*EFEITO!$Y$534</f>
        <v>484753.68683810456</v>
      </c>
      <c r="K558" s="76">
        <f ca="1">EFEITO!$L$558*EFEITO!$Z$534</f>
        <v>1237879.634679039</v>
      </c>
      <c r="L558" s="76">
        <f>EFEITO!$N$558*EFEITO!$AA$534</f>
        <v>2854275.987107425</v>
      </c>
      <c r="M558" s="76">
        <f ca="1">$J$558-EFEITO!$K$558*EFEITO!$Y$558</f>
        <v>14542.610605143185</v>
      </c>
      <c r="N558" s="76">
        <f ca="1">$K$558-EFEITO!$M$558*EFEITO!$Z$558</f>
        <v>37136.38904037117</v>
      </c>
      <c r="O558" s="76">
        <f>$L$558-EFEITO!$O$558*EFEITO!$AA$558</f>
        <v>85628.279613222461</v>
      </c>
      <c r="P558" s="57"/>
      <c r="Q558" s="57"/>
      <c r="R558" s="57"/>
      <c r="S558" s="57"/>
      <c r="T558" s="57"/>
      <c r="U558" s="57"/>
      <c r="V558" s="57"/>
      <c r="W558" s="57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1.25" customHeight="1" x14ac:dyDescent="0.2">
      <c r="A559" s="53" t="s">
        <v>21</v>
      </c>
      <c r="B559" s="53" t="s">
        <v>33</v>
      </c>
      <c r="C559" s="53" t="s">
        <v>42</v>
      </c>
      <c r="D559" s="53" t="s">
        <v>50</v>
      </c>
      <c r="E559" s="53" t="s">
        <v>51</v>
      </c>
      <c r="F559" s="53" t="s">
        <v>25</v>
      </c>
      <c r="G559" s="53" t="s">
        <v>25</v>
      </c>
      <c r="H559" s="53" t="s">
        <v>36</v>
      </c>
      <c r="I559" s="75">
        <v>44409</v>
      </c>
      <c r="J559" s="76">
        <f ca="1">EFEITO!$J$559*EFEITO!$Y$534</f>
        <v>501430.20044128818</v>
      </c>
      <c r="K559" s="76">
        <f ca="1">EFEITO!$L$559*EFEITO!$Z$534</f>
        <v>1236674.6782132194</v>
      </c>
      <c r="L559" s="76">
        <f>EFEITO!$N$559*EFEITO!$AA$534</f>
        <v>2851497.624648307</v>
      </c>
      <c r="M559" s="76">
        <f ca="1">$J$559-EFEITO!$K$559*EFEITO!$Y$559</f>
        <v>15042.906013238651</v>
      </c>
      <c r="N559" s="76">
        <f ca="1">$K$559-EFEITO!$M$559*EFEITO!$Z$559</f>
        <v>37100.240346396575</v>
      </c>
      <c r="O559" s="76">
        <f>$L$559-EFEITO!$O$559*EFEITO!$AA$559</f>
        <v>85544.928739449009</v>
      </c>
      <c r="P559" s="57"/>
      <c r="Q559" s="57"/>
      <c r="R559" s="57"/>
      <c r="S559" s="57"/>
      <c r="T559" s="57"/>
      <c r="U559" s="57"/>
      <c r="V559" s="57"/>
      <c r="W559" s="57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1.25" customHeight="1" x14ac:dyDescent="0.2">
      <c r="A560" s="53" t="s">
        <v>21</v>
      </c>
      <c r="B560" s="53" t="s">
        <v>33</v>
      </c>
      <c r="C560" s="53" t="s">
        <v>42</v>
      </c>
      <c r="D560" s="53" t="s">
        <v>50</v>
      </c>
      <c r="E560" s="53" t="s">
        <v>51</v>
      </c>
      <c r="F560" s="53" t="s">
        <v>25</v>
      </c>
      <c r="G560" s="53" t="s">
        <v>25</v>
      </c>
      <c r="H560" s="53" t="s">
        <v>36</v>
      </c>
      <c r="I560" s="75">
        <v>44440</v>
      </c>
      <c r="J560" s="76">
        <f ca="1">EFEITO!$J$560*EFEITO!$Y$534</f>
        <v>500690.11847664986</v>
      </c>
      <c r="K560" s="76">
        <f ca="1">EFEITO!$L$560*EFEITO!$Z$534</f>
        <v>1179706.942329037</v>
      </c>
      <c r="L560" s="76">
        <f>EFEITO!$N$560*EFEITO!$AA$534</f>
        <v>2720142.656023866</v>
      </c>
      <c r="M560" s="76">
        <f ca="1">$J$560-EFEITO!$K$560*EFEITO!$Y$560</f>
        <v>15020.703554299485</v>
      </c>
      <c r="N560" s="76">
        <f ca="1">$K$560-EFEITO!$M$560*EFEITO!$Z$560</f>
        <v>35391.208269871073</v>
      </c>
      <c r="O560" s="76">
        <f>$L$560-EFEITO!$O$560*EFEITO!$AA$560</f>
        <v>81604.279680715874</v>
      </c>
      <c r="P560" s="57"/>
      <c r="Q560" s="57"/>
      <c r="R560" s="57"/>
      <c r="S560" s="57"/>
      <c r="T560" s="57"/>
      <c r="U560" s="57"/>
      <c r="V560" s="57"/>
      <c r="W560" s="57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1.25" customHeight="1" x14ac:dyDescent="0.2">
      <c r="A561" s="53" t="s">
        <v>21</v>
      </c>
      <c r="B561" s="53" t="s">
        <v>33</v>
      </c>
      <c r="C561" s="53" t="s">
        <v>42</v>
      </c>
      <c r="D561" s="53" t="s">
        <v>50</v>
      </c>
      <c r="E561" s="53" t="s">
        <v>51</v>
      </c>
      <c r="F561" s="53" t="s">
        <v>25</v>
      </c>
      <c r="G561" s="53" t="s">
        <v>25</v>
      </c>
      <c r="H561" s="53" t="s">
        <v>36</v>
      </c>
      <c r="I561" s="75">
        <v>44470</v>
      </c>
      <c r="J561" s="76">
        <f ca="1">EFEITO!$J$561*EFEITO!$Y$534</f>
        <v>478265.63494810858</v>
      </c>
      <c r="K561" s="76">
        <f ca="1">EFEITO!$L$561*EFEITO!$Z$534</f>
        <v>1315513.3088016368</v>
      </c>
      <c r="L561" s="76">
        <f>EFEITO!$N$561*EFEITO!$AA$534</f>
        <v>3033282.0274616694</v>
      </c>
      <c r="M561" s="76">
        <f ca="1">$J$561-EFEITO!$K$561*EFEITO!$Y$561</f>
        <v>14347.969048443309</v>
      </c>
      <c r="N561" s="76">
        <f ca="1">$K$561-EFEITO!$M$561*EFEITO!$Z$561</f>
        <v>39465.399264049251</v>
      </c>
      <c r="O561" s="76">
        <f>$L$561-EFEITO!$O$561*EFEITO!$AA$561</f>
        <v>90998.460823849775</v>
      </c>
      <c r="P561" s="57"/>
      <c r="Q561" s="57"/>
      <c r="R561" s="57"/>
      <c r="S561" s="57"/>
      <c r="T561" s="57"/>
      <c r="U561" s="57"/>
      <c r="V561" s="57"/>
      <c r="W561" s="57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1.25" customHeight="1" x14ac:dyDescent="0.2">
      <c r="A562" s="53" t="s">
        <v>21</v>
      </c>
      <c r="B562" s="53" t="s">
        <v>33</v>
      </c>
      <c r="C562" s="53" t="s">
        <v>42</v>
      </c>
      <c r="D562" s="53" t="s">
        <v>50</v>
      </c>
      <c r="E562" s="53" t="s">
        <v>51</v>
      </c>
      <c r="F562" s="53" t="s">
        <v>25</v>
      </c>
      <c r="G562" s="53" t="s">
        <v>25</v>
      </c>
      <c r="H562" s="53" t="s">
        <v>36</v>
      </c>
      <c r="I562" s="75">
        <v>44501</v>
      </c>
      <c r="J562" s="76">
        <f ca="1">EFEITO!$J$562*EFEITO!$Y$534</f>
        <v>486776.57754144934</v>
      </c>
      <c r="K562" s="76">
        <f ca="1">EFEITO!$L$562*EFEITO!$Z$534</f>
        <v>1213015.6925536552</v>
      </c>
      <c r="L562" s="76">
        <f>EFEITO!$N$562*EFEITO!$AA$534</f>
        <v>2796945.2491542855</v>
      </c>
      <c r="M562" s="76">
        <f ca="1">$J$562-EFEITO!$K$562*EFEITO!$Y$562</f>
        <v>14603.297326243541</v>
      </c>
      <c r="N562" s="76">
        <f ca="1">$K$562-EFEITO!$M$562*EFEITO!$Z$562</f>
        <v>36390.470776609611</v>
      </c>
      <c r="O562" s="76">
        <f>$L$562-EFEITO!$O$562*EFEITO!$AA$562</f>
        <v>83908.35747462837</v>
      </c>
      <c r="P562" s="57"/>
      <c r="Q562" s="57"/>
      <c r="R562" s="57"/>
      <c r="S562" s="57"/>
      <c r="T562" s="57"/>
      <c r="U562" s="57"/>
      <c r="V562" s="57"/>
      <c r="W562" s="57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1.25" customHeight="1" x14ac:dyDescent="0.2">
      <c r="A563" s="53" t="s">
        <v>21</v>
      </c>
      <c r="B563" s="53" t="s">
        <v>33</v>
      </c>
      <c r="C563" s="53" t="s">
        <v>42</v>
      </c>
      <c r="D563" s="53" t="s">
        <v>50</v>
      </c>
      <c r="E563" s="53" t="s">
        <v>51</v>
      </c>
      <c r="F563" s="53" t="s">
        <v>25</v>
      </c>
      <c r="G563" s="53" t="s">
        <v>25</v>
      </c>
      <c r="H563" s="53" t="s">
        <v>36</v>
      </c>
      <c r="I563" s="75">
        <v>44531</v>
      </c>
      <c r="J563" s="76">
        <f ca="1">EFEITO!$J$563*EFEITO!$Y$534</f>
        <v>477180.18139997235</v>
      </c>
      <c r="K563" s="76">
        <f ca="1">EFEITO!$L$563*EFEITO!$Z$534</f>
        <v>1219157.8308457569</v>
      </c>
      <c r="L563" s="76">
        <f>EFEITO!$N$563*EFEITO!$AA$534</f>
        <v>2811107.6582815549</v>
      </c>
      <c r="M563" s="76">
        <f ca="1">$J$563-EFEITO!$K$563*EFEITO!$Y$563</f>
        <v>14315.405441999203</v>
      </c>
      <c r="N563" s="76">
        <f ca="1">$K$563-EFEITO!$M$563*EFEITO!$Z$563</f>
        <v>36574.734925372526</v>
      </c>
      <c r="O563" s="76">
        <f>$L$563-EFEITO!$O$563*EFEITO!$AA$563</f>
        <v>84333.229748446494</v>
      </c>
      <c r="P563" s="57"/>
      <c r="Q563" s="57"/>
      <c r="R563" s="57"/>
      <c r="S563" s="57"/>
      <c r="T563" s="57"/>
      <c r="U563" s="57"/>
      <c r="V563" s="57"/>
      <c r="W563" s="57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1.25" customHeight="1" x14ac:dyDescent="0.2">
      <c r="A564" s="53" t="s">
        <v>21</v>
      </c>
      <c r="B564" s="53" t="s">
        <v>33</v>
      </c>
      <c r="C564" s="53" t="s">
        <v>42</v>
      </c>
      <c r="D564" s="53" t="s">
        <v>50</v>
      </c>
      <c r="E564" s="53" t="s">
        <v>51</v>
      </c>
      <c r="F564" s="53" t="s">
        <v>25</v>
      </c>
      <c r="G564" s="53" t="s">
        <v>25</v>
      </c>
      <c r="H564" s="53" t="s">
        <v>36</v>
      </c>
      <c r="I564" s="75">
        <v>44562</v>
      </c>
      <c r="J564" s="76">
        <f ca="1">EFEITO!$J$564*EFEITO!$Y$534</f>
        <v>476366.09123887017</v>
      </c>
      <c r="K564" s="76">
        <f ca="1">EFEITO!$L$564*EFEITO!$Z$534</f>
        <v>1201000.6996921732</v>
      </c>
      <c r="L564" s="76">
        <f>EFEITO!$N$564*EFEITO!$AA$534</f>
        <v>2769241.3394614118</v>
      </c>
      <c r="M564" s="76">
        <f ca="1">$J$564-EFEITO!$K$564*EFEITO!$Y$564</f>
        <v>14290.982737166109</v>
      </c>
      <c r="N564" s="76">
        <f ca="1">$K$564-EFEITO!$M$564*EFEITO!$Z$564</f>
        <v>36030.020990765188</v>
      </c>
      <c r="O564" s="76">
        <f>$L$564-EFEITO!$O$564*EFEITO!$AA$564</f>
        <v>83077.240183842368</v>
      </c>
      <c r="P564" s="57"/>
      <c r="Q564" s="57"/>
      <c r="R564" s="57"/>
      <c r="S564" s="57"/>
      <c r="T564" s="57"/>
      <c r="U564" s="57"/>
      <c r="V564" s="57"/>
      <c r="W564" s="57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1.25" customHeight="1" x14ac:dyDescent="0.2">
      <c r="A565" s="53" t="s">
        <v>21</v>
      </c>
      <c r="B565" s="53" t="s">
        <v>33</v>
      </c>
      <c r="C565" s="53" t="s">
        <v>42</v>
      </c>
      <c r="D565" s="53" t="s">
        <v>50</v>
      </c>
      <c r="E565" s="53" t="s">
        <v>51</v>
      </c>
      <c r="F565" s="53" t="s">
        <v>25</v>
      </c>
      <c r="G565" s="53" t="s">
        <v>25</v>
      </c>
      <c r="H565" s="53" t="s">
        <v>36</v>
      </c>
      <c r="I565" s="75">
        <v>44593</v>
      </c>
      <c r="J565" s="76">
        <f ca="1">EFEITO!$J$565*EFEITO!$Y$534</f>
        <v>472690.35081449983</v>
      </c>
      <c r="K565" s="76">
        <f ca="1">EFEITO!$L$565*EFEITO!$Z$534</f>
        <v>1045677.7308352542</v>
      </c>
      <c r="L565" s="76">
        <f>EFEITO!$N$565*EFEITO!$AA$534</f>
        <v>2411101.0099539417</v>
      </c>
      <c r="M565" s="76">
        <f ca="1">$J$565-EFEITO!$K$565*EFEITO!$Y$565</f>
        <v>14180.710524435039</v>
      </c>
      <c r="N565" s="76">
        <f ca="1">$K$565-EFEITO!$M$565*EFEITO!$Z$565</f>
        <v>31370.33192505769</v>
      </c>
      <c r="O565" s="76">
        <f>$L$565-EFEITO!$O$565*EFEITO!$AA$565</f>
        <v>72333.030298618134</v>
      </c>
      <c r="P565" s="57"/>
      <c r="Q565" s="57"/>
      <c r="R565" s="57"/>
      <c r="S565" s="57"/>
      <c r="T565" s="57"/>
      <c r="U565" s="57"/>
      <c r="V565" s="57"/>
      <c r="W565" s="57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1.25" customHeight="1" x14ac:dyDescent="0.2">
      <c r="A566" s="53" t="s">
        <v>21</v>
      </c>
      <c r="B566" s="53" t="s">
        <v>33</v>
      </c>
      <c r="C566" s="53" t="s">
        <v>42</v>
      </c>
      <c r="D566" s="53" t="s">
        <v>50</v>
      </c>
      <c r="E566" s="53" t="s">
        <v>51</v>
      </c>
      <c r="F566" s="53" t="s">
        <v>25</v>
      </c>
      <c r="G566" s="53" t="s">
        <v>25</v>
      </c>
      <c r="H566" s="53" t="s">
        <v>36</v>
      </c>
      <c r="I566" s="75">
        <v>44621</v>
      </c>
      <c r="J566" s="76">
        <f ca="1">EFEITO!$J$566*EFEITO!$Y$534</f>
        <v>473529.11037442327</v>
      </c>
      <c r="K566" s="76">
        <f ca="1">EFEITO!$L$566*EFEITO!$Z$534</f>
        <v>1189375.7566596286</v>
      </c>
      <c r="L566" s="76">
        <f>EFEITO!$N$566*EFEITO!$AA$534</f>
        <v>2742436.7981960676</v>
      </c>
      <c r="M566" s="76">
        <f ca="1">$J$566-EFEITO!$K$566*EFEITO!$Y$566</f>
        <v>14205.873311232717</v>
      </c>
      <c r="N566" s="76">
        <f ca="1">$K$566-EFEITO!$M$566*EFEITO!$Z$566</f>
        <v>35681.272699788911</v>
      </c>
      <c r="O566" s="76">
        <f>$L$566-EFEITO!$O$566*EFEITO!$AA$566</f>
        <v>82273.10394588206</v>
      </c>
      <c r="P566" s="57"/>
      <c r="Q566" s="57"/>
      <c r="R566" s="57"/>
      <c r="S566" s="57"/>
      <c r="T566" s="57"/>
      <c r="U566" s="57"/>
      <c r="V566" s="57"/>
      <c r="W566" s="57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1.25" customHeight="1" x14ac:dyDescent="0.2">
      <c r="A567" s="53" t="s">
        <v>56</v>
      </c>
      <c r="B567" s="53" t="s">
        <v>33</v>
      </c>
      <c r="C567" s="53" t="s">
        <v>42</v>
      </c>
      <c r="D567" s="53" t="s">
        <v>50</v>
      </c>
      <c r="E567" s="53" t="s">
        <v>51</v>
      </c>
      <c r="F567" s="53" t="s">
        <v>25</v>
      </c>
      <c r="G567" s="53" t="s">
        <v>25</v>
      </c>
      <c r="H567" s="53" t="s">
        <v>36</v>
      </c>
      <c r="I567" s="75">
        <v>44652</v>
      </c>
      <c r="J567" s="76">
        <f ca="1">EFEITO!$J$567*EFEITO!$Y$534</f>
        <v>473529.11037442327</v>
      </c>
      <c r="K567" s="76">
        <f ca="1">EFEITO!$L$567*EFEITO!$Z$534</f>
        <v>1189375.7566596286</v>
      </c>
      <c r="L567" s="76">
        <f>EFEITO!$N$567*EFEITO!$AA$534</f>
        <v>2742436.7981960676</v>
      </c>
      <c r="M567" s="76">
        <f ca="1">$J$567-EFEITO!$K$567*EFEITO!$Y$567</f>
        <v>14205.873311232717</v>
      </c>
      <c r="N567" s="76">
        <f ca="1">$K$567-EFEITO!$M$567*EFEITO!$Z$567</f>
        <v>35681.272699788911</v>
      </c>
      <c r="O567" s="76">
        <f>$L$567-EFEITO!$O$567*EFEITO!$AA$567</f>
        <v>82273.10394588206</v>
      </c>
      <c r="P567" s="57"/>
      <c r="Q567" s="57"/>
      <c r="R567" s="57"/>
      <c r="S567" s="57"/>
      <c r="T567" s="57"/>
      <c r="U567" s="57"/>
      <c r="V567" s="57"/>
      <c r="W567" s="57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1.25" customHeight="1" x14ac:dyDescent="0.2">
      <c r="A568" s="53" t="s">
        <v>21</v>
      </c>
      <c r="B568" s="53" t="s">
        <v>33</v>
      </c>
      <c r="C568" s="53" t="s">
        <v>42</v>
      </c>
      <c r="D568" s="53" t="s">
        <v>50</v>
      </c>
      <c r="E568" s="53" t="s">
        <v>51</v>
      </c>
      <c r="F568" s="53" t="s">
        <v>25</v>
      </c>
      <c r="G568" s="53" t="s">
        <v>25</v>
      </c>
      <c r="H568" s="53" t="s">
        <v>35</v>
      </c>
      <c r="I568" s="75">
        <v>44317</v>
      </c>
      <c r="J568" s="76">
        <f ca="1">EFEITO!$J$568*EFEITO!$Y$555</f>
        <v>1371390.155958056</v>
      </c>
      <c r="K568" s="76">
        <f ca="1">EFEITO!$L$568*EFEITO!$Z$555</f>
        <v>110342.35673278419</v>
      </c>
      <c r="L568" s="76">
        <f>EFEITO!$N$568*EFEITO!$AA$555</f>
        <v>397765.84766370116</v>
      </c>
      <c r="M568" s="76">
        <f ca="1">$J$568-EFEITO!$K$568*EFEITO!$Y$568</f>
        <v>41141.704678741517</v>
      </c>
      <c r="N568" s="76">
        <f ca="1">$K$568-EFEITO!$M$568*EFEITO!$Z$568</f>
        <v>3310.2707019835216</v>
      </c>
      <c r="O568" s="76">
        <f>$L$568-EFEITO!$O$568*EFEITO!$AA$568</f>
        <v>11932.97542991105</v>
      </c>
      <c r="P568" s="57"/>
      <c r="Q568" s="57"/>
      <c r="R568" s="57"/>
      <c r="S568" s="57"/>
      <c r="T568" s="57"/>
      <c r="U568" s="57"/>
      <c r="V568" s="57"/>
      <c r="W568" s="57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1.25" customHeight="1" x14ac:dyDescent="0.2">
      <c r="A569" s="53" t="s">
        <v>21</v>
      </c>
      <c r="B569" s="53" t="s">
        <v>33</v>
      </c>
      <c r="C569" s="53" t="s">
        <v>42</v>
      </c>
      <c r="D569" s="53" t="s">
        <v>50</v>
      </c>
      <c r="E569" s="53" t="s">
        <v>51</v>
      </c>
      <c r="F569" s="53" t="s">
        <v>25</v>
      </c>
      <c r="G569" s="53" t="s">
        <v>25</v>
      </c>
      <c r="H569" s="53" t="s">
        <v>35</v>
      </c>
      <c r="I569" s="75">
        <v>44348</v>
      </c>
      <c r="J569" s="76">
        <f ca="1">EFEITO!$J$569*EFEITO!$Y$555</f>
        <v>1373814.0856347822</v>
      </c>
      <c r="K569" s="76">
        <f ca="1">EFEITO!$L$569*EFEITO!$Z$555</f>
        <v>108770.51589364944</v>
      </c>
      <c r="L569" s="76">
        <f>EFEITO!$N$569*EFEITO!$AA$555</f>
        <v>392099.6228133025</v>
      </c>
      <c r="M569" s="76">
        <f ca="1">$J$569-EFEITO!$K$569*EFEITO!$Y$569</f>
        <v>41214.422569043469</v>
      </c>
      <c r="N569" s="76">
        <f ca="1">$K$569-EFEITO!$M$569*EFEITO!$Z$569</f>
        <v>3263.1154768094857</v>
      </c>
      <c r="O569" s="76">
        <f>$L$569-EFEITO!$O$569*EFEITO!$AA$569</f>
        <v>11762.988684399112</v>
      </c>
      <c r="P569" s="57"/>
      <c r="Q569" s="57"/>
      <c r="R569" s="57"/>
      <c r="S569" s="57"/>
      <c r="T569" s="57"/>
      <c r="U569" s="57"/>
      <c r="V569" s="57"/>
      <c r="W569" s="57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1.25" customHeight="1" x14ac:dyDescent="0.2">
      <c r="A570" s="53" t="s">
        <v>21</v>
      </c>
      <c r="B570" s="53" t="s">
        <v>33</v>
      </c>
      <c r="C570" s="53" t="s">
        <v>42</v>
      </c>
      <c r="D570" s="53" t="s">
        <v>50</v>
      </c>
      <c r="E570" s="53" t="s">
        <v>51</v>
      </c>
      <c r="F570" s="53" t="s">
        <v>25</v>
      </c>
      <c r="G570" s="53" t="s">
        <v>25</v>
      </c>
      <c r="H570" s="53" t="s">
        <v>35</v>
      </c>
      <c r="I570" s="75">
        <v>44378</v>
      </c>
      <c r="J570" s="76">
        <f ca="1">EFEITO!$J$570*EFEITO!$Y$555</f>
        <v>1357608.3843675272</v>
      </c>
      <c r="K570" s="76">
        <f ca="1">EFEITO!$L$570*EFEITO!$Z$555</f>
        <v>117086.20891535154</v>
      </c>
      <c r="L570" s="76">
        <f>EFEITO!$N$570*EFEITO!$AA$555</f>
        <v>422076.31337555603</v>
      </c>
      <c r="M570" s="76">
        <f ca="1">$J$570-EFEITO!$K$570*EFEITO!$Y$570</f>
        <v>40728.25153102586</v>
      </c>
      <c r="N570" s="76">
        <f ca="1">$K$570-EFEITO!$M$570*EFEITO!$Z$570</f>
        <v>3512.5862674605451</v>
      </c>
      <c r="O570" s="76">
        <f>$L$570-EFEITO!$O$570*EFEITO!$AA$570</f>
        <v>12662.289401266724</v>
      </c>
      <c r="P570" s="57"/>
      <c r="Q570" s="57"/>
      <c r="R570" s="57"/>
      <c r="S570" s="57"/>
      <c r="T570" s="57"/>
      <c r="U570" s="57"/>
      <c r="V570" s="57"/>
      <c r="W570" s="57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1.25" customHeight="1" x14ac:dyDescent="0.2">
      <c r="A571" s="53" t="s">
        <v>21</v>
      </c>
      <c r="B571" s="53" t="s">
        <v>33</v>
      </c>
      <c r="C571" s="53" t="s">
        <v>42</v>
      </c>
      <c r="D571" s="53" t="s">
        <v>50</v>
      </c>
      <c r="E571" s="53" t="s">
        <v>51</v>
      </c>
      <c r="F571" s="53" t="s">
        <v>25</v>
      </c>
      <c r="G571" s="53" t="s">
        <v>25</v>
      </c>
      <c r="H571" s="53" t="s">
        <v>35</v>
      </c>
      <c r="I571" s="75">
        <v>44409</v>
      </c>
      <c r="J571" s="76">
        <f ca="1">EFEITO!$J$571*EFEITO!$Y$555</f>
        <v>1400477.3120787703</v>
      </c>
      <c r="K571" s="76">
        <f ca="1">EFEITO!$L$571*EFEITO!$Z$555</f>
        <v>117136.42033439176</v>
      </c>
      <c r="L571" s="76">
        <f>EFEITO!$N$571*EFEITO!$AA$555</f>
        <v>422257.31719175412</v>
      </c>
      <c r="M571" s="76">
        <f ca="1">$J$571-EFEITO!$K$571*EFEITO!$Y$571</f>
        <v>42014.31936236308</v>
      </c>
      <c r="N571" s="76">
        <f ca="1">$K$571-EFEITO!$M$571*EFEITO!$Z$571</f>
        <v>3514.0926100317592</v>
      </c>
      <c r="O571" s="76">
        <f>$L$571-EFEITO!$O$571*EFEITO!$AA$571</f>
        <v>12667.719515752629</v>
      </c>
      <c r="P571" s="57"/>
      <c r="Q571" s="57"/>
      <c r="R571" s="57"/>
      <c r="S571" s="57"/>
      <c r="T571" s="57"/>
      <c r="U571" s="57"/>
      <c r="V571" s="57"/>
      <c r="W571" s="57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1.25" customHeight="1" x14ac:dyDescent="0.2">
      <c r="A572" s="53" t="s">
        <v>21</v>
      </c>
      <c r="B572" s="53" t="s">
        <v>33</v>
      </c>
      <c r="C572" s="53" t="s">
        <v>42</v>
      </c>
      <c r="D572" s="53" t="s">
        <v>50</v>
      </c>
      <c r="E572" s="53" t="s">
        <v>51</v>
      </c>
      <c r="F572" s="53" t="s">
        <v>25</v>
      </c>
      <c r="G572" s="53" t="s">
        <v>25</v>
      </c>
      <c r="H572" s="53" t="s">
        <v>35</v>
      </c>
      <c r="I572" s="75">
        <v>44440</v>
      </c>
      <c r="J572" s="76">
        <f ca="1">EFEITO!$J$572*EFEITO!$Y$555</f>
        <v>1398053.382402044</v>
      </c>
      <c r="K572" s="76">
        <f ca="1">EFEITO!$L$572*EFEITO!$Z$555</f>
        <v>113173.12837342836</v>
      </c>
      <c r="L572" s="76">
        <f>EFEITO!$N$572*EFEITO!$AA$555</f>
        <v>407970.30871132942</v>
      </c>
      <c r="M572" s="76">
        <f ca="1">$J$572-EFEITO!$K$572*EFEITO!$Y$572</f>
        <v>41941.601472061127</v>
      </c>
      <c r="N572" s="76">
        <f ca="1">$K$572-EFEITO!$M$572*EFEITO!$Z$572</f>
        <v>3395.1938512028428</v>
      </c>
      <c r="O572" s="76">
        <f>$L$572-EFEITO!$O$572*EFEITO!$AA$572</f>
        <v>12239.10926133988</v>
      </c>
      <c r="P572" s="57"/>
      <c r="Q572" s="57"/>
      <c r="R572" s="57"/>
      <c r="S572" s="57"/>
      <c r="T572" s="57"/>
      <c r="U572" s="57"/>
      <c r="V572" s="57"/>
      <c r="W572" s="57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1.25" customHeight="1" x14ac:dyDescent="0.2">
      <c r="A573" s="53" t="s">
        <v>21</v>
      </c>
      <c r="B573" s="53" t="s">
        <v>33</v>
      </c>
      <c r="C573" s="53" t="s">
        <v>42</v>
      </c>
      <c r="D573" s="53" t="s">
        <v>50</v>
      </c>
      <c r="E573" s="53" t="s">
        <v>51</v>
      </c>
      <c r="F573" s="53" t="s">
        <v>25</v>
      </c>
      <c r="G573" s="53" t="s">
        <v>25</v>
      </c>
      <c r="H573" s="53" t="s">
        <v>35</v>
      </c>
      <c r="I573" s="75">
        <v>44470</v>
      </c>
      <c r="J573" s="76">
        <f ca="1">EFEITO!$J$573*EFEITO!$Y$555</f>
        <v>1337039.6096821649</v>
      </c>
      <c r="K573" s="76">
        <f ca="1">EFEITO!$L$573*EFEITO!$Z$555</f>
        <v>117130.30559483651</v>
      </c>
      <c r="L573" s="76">
        <f>EFEITO!$N$573*EFEITO!$AA$555</f>
        <v>422235.27457245131</v>
      </c>
      <c r="M573" s="76">
        <f ca="1">$J$573-EFEITO!$K$573*EFEITO!$Y$573</f>
        <v>40111.188290464925</v>
      </c>
      <c r="N573" s="76">
        <f ca="1">$K$573-EFEITO!$M$573*EFEITO!$Z$573</f>
        <v>3513.9091678450932</v>
      </c>
      <c r="O573" s="76">
        <f>$L$573-EFEITO!$O$573*EFEITO!$AA$573</f>
        <v>12667.058237173595</v>
      </c>
      <c r="P573" s="57"/>
      <c r="Q573" s="57"/>
      <c r="R573" s="57"/>
      <c r="S573" s="57"/>
      <c r="T573" s="57"/>
      <c r="U573" s="57"/>
      <c r="V573" s="57"/>
      <c r="W573" s="57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1.25" customHeight="1" x14ac:dyDescent="0.2">
      <c r="A574" s="53" t="s">
        <v>21</v>
      </c>
      <c r="B574" s="53" t="s">
        <v>33</v>
      </c>
      <c r="C574" s="53" t="s">
        <v>42</v>
      </c>
      <c r="D574" s="53" t="s">
        <v>50</v>
      </c>
      <c r="E574" s="53" t="s">
        <v>51</v>
      </c>
      <c r="F574" s="53" t="s">
        <v>25</v>
      </c>
      <c r="G574" s="53" t="s">
        <v>25</v>
      </c>
      <c r="H574" s="53" t="s">
        <v>35</v>
      </c>
      <c r="I574" s="75">
        <v>44501</v>
      </c>
      <c r="J574" s="76">
        <f ca="1">EFEITO!$J$574*EFEITO!$Y$555</f>
        <v>1337870.6712856139</v>
      </c>
      <c r="K574" s="76">
        <f ca="1">EFEITO!$L$574*EFEITO!$Z$555</f>
        <v>106809.44836359406</v>
      </c>
      <c r="L574" s="76">
        <f>EFEITO!$N$574*EFEITO!$AA$555</f>
        <v>385030.3004649746</v>
      </c>
      <c r="M574" s="76">
        <f ca="1">$J$574-EFEITO!$K$574*EFEITO!$Y$574</f>
        <v>40136.120138568338</v>
      </c>
      <c r="N574" s="76">
        <f ca="1">$K$574-EFEITO!$M$574*EFEITO!$Z$574</f>
        <v>3204.2834509078093</v>
      </c>
      <c r="O574" s="76">
        <f>$L$574-EFEITO!$O$574*EFEITO!$AA$574</f>
        <v>11550.909013949218</v>
      </c>
      <c r="P574" s="57"/>
      <c r="Q574" s="57"/>
      <c r="R574" s="57"/>
      <c r="S574" s="57"/>
      <c r="T574" s="57"/>
      <c r="U574" s="57"/>
      <c r="V574" s="57"/>
      <c r="W574" s="57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1.25" customHeight="1" x14ac:dyDescent="0.2">
      <c r="A575" s="53" t="s">
        <v>21</v>
      </c>
      <c r="B575" s="53" t="s">
        <v>33</v>
      </c>
      <c r="C575" s="53" t="s">
        <v>42</v>
      </c>
      <c r="D575" s="53" t="s">
        <v>50</v>
      </c>
      <c r="E575" s="53" t="s">
        <v>51</v>
      </c>
      <c r="F575" s="53" t="s">
        <v>25</v>
      </c>
      <c r="G575" s="53" t="s">
        <v>25</v>
      </c>
      <c r="H575" s="53" t="s">
        <v>35</v>
      </c>
      <c r="I575" s="75">
        <v>44531</v>
      </c>
      <c r="J575" s="76">
        <f ca="1">EFEITO!$J$575*EFEITO!$Y$555</f>
        <v>1345211.7154494133</v>
      </c>
      <c r="K575" s="76">
        <f ca="1">EFEITO!$L$575*EFEITO!$Z$555</f>
        <v>124615.68753962305</v>
      </c>
      <c r="L575" s="76">
        <f>EFEITO!$N$575*EFEITO!$AA$555</f>
        <v>449218.83177129755</v>
      </c>
      <c r="M575" s="76">
        <f ca="1">$J$575-EFEITO!$K$575*EFEITO!$Y$575</f>
        <v>40356.351463482482</v>
      </c>
      <c r="N575" s="76">
        <f ca="1">$K$575-EFEITO!$M$575*EFEITO!$Z$575</f>
        <v>3738.4706261886895</v>
      </c>
      <c r="O575" s="76">
        <f>$L$575-EFEITO!$O$575*EFEITO!$AA$575</f>
        <v>13476.564953138935</v>
      </c>
      <c r="P575" s="57"/>
      <c r="Q575" s="57"/>
      <c r="R575" s="57"/>
      <c r="S575" s="57"/>
      <c r="T575" s="57"/>
      <c r="U575" s="57"/>
      <c r="V575" s="57"/>
      <c r="W575" s="57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1.25" customHeight="1" x14ac:dyDescent="0.2">
      <c r="A576" s="53" t="s">
        <v>21</v>
      </c>
      <c r="B576" s="53" t="s">
        <v>33</v>
      </c>
      <c r="C576" s="53" t="s">
        <v>42</v>
      </c>
      <c r="D576" s="53" t="s">
        <v>50</v>
      </c>
      <c r="E576" s="53" t="s">
        <v>51</v>
      </c>
      <c r="F576" s="53" t="s">
        <v>25</v>
      </c>
      <c r="G576" s="53" t="s">
        <v>25</v>
      </c>
      <c r="H576" s="53" t="s">
        <v>35</v>
      </c>
      <c r="I576" s="75">
        <v>44562</v>
      </c>
      <c r="J576" s="76">
        <f ca="1">EFEITO!$J$576*EFEITO!$Y$555</f>
        <v>1330114.0963200901</v>
      </c>
      <c r="K576" s="76">
        <f ca="1">EFEITO!$L$576*EFEITO!$Z$555</f>
        <v>111100.584437635</v>
      </c>
      <c r="L576" s="76">
        <f>EFEITO!$N$576*EFEITO!$AA$555</f>
        <v>400499.13245725021</v>
      </c>
      <c r="M576" s="76">
        <f ca="1">$J$576-EFEITO!$K$576*EFEITO!$Y$576</f>
        <v>39903.422889602603</v>
      </c>
      <c r="N576" s="76">
        <f ca="1">$K$576-EFEITO!$M$576*EFEITO!$Z$576</f>
        <v>3333.017533129052</v>
      </c>
      <c r="O576" s="76">
        <f>$L$576-EFEITO!$O$576*EFEITO!$AA$576</f>
        <v>12014.973973717482</v>
      </c>
      <c r="P576" s="57"/>
      <c r="Q576" s="57"/>
      <c r="R576" s="57"/>
      <c r="S576" s="57"/>
      <c r="T576" s="57"/>
      <c r="U576" s="57"/>
      <c r="V576" s="57"/>
      <c r="W576" s="57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1.25" customHeight="1" x14ac:dyDescent="0.2">
      <c r="A577" s="53" t="s">
        <v>21</v>
      </c>
      <c r="B577" s="53" t="s">
        <v>33</v>
      </c>
      <c r="C577" s="53" t="s">
        <v>42</v>
      </c>
      <c r="D577" s="53" t="s">
        <v>50</v>
      </c>
      <c r="E577" s="53" t="s">
        <v>51</v>
      </c>
      <c r="F577" s="53" t="s">
        <v>25</v>
      </c>
      <c r="G577" s="53" t="s">
        <v>25</v>
      </c>
      <c r="H577" s="53" t="s">
        <v>35</v>
      </c>
      <c r="I577" s="75">
        <v>44593</v>
      </c>
      <c r="J577" s="76">
        <f ca="1">EFEITO!$J$577*EFEITO!$Y$555</f>
        <v>1318340.7236045629</v>
      </c>
      <c r="K577" s="76">
        <f ca="1">EFEITO!$L$577*EFEITO!$Z$555</f>
        <v>100469.52176510899</v>
      </c>
      <c r="L577" s="76">
        <f>EFEITO!$N$577*EFEITO!$AA$555</f>
        <v>362175.91931668075</v>
      </c>
      <c r="M577" s="76">
        <f ca="1">$J$577-EFEITO!$K$577*EFEITO!$Y$577</f>
        <v>39550.221708136844</v>
      </c>
      <c r="N577" s="76">
        <f ca="1">$K$577-EFEITO!$M$577*EFEITO!$Z$577</f>
        <v>3014.0856529532612</v>
      </c>
      <c r="O577" s="76">
        <f>$L$577-EFEITO!$O$577*EFEITO!$AA$577</f>
        <v>10865.277579500456</v>
      </c>
      <c r="P577" s="57"/>
      <c r="Q577" s="57"/>
      <c r="R577" s="57"/>
      <c r="S577" s="57"/>
      <c r="T577" s="57"/>
      <c r="U577" s="57"/>
      <c r="V577" s="57"/>
      <c r="W577" s="57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1.25" customHeight="1" x14ac:dyDescent="0.2">
      <c r="A578" s="53" t="s">
        <v>21</v>
      </c>
      <c r="B578" s="53" t="s">
        <v>33</v>
      </c>
      <c r="C578" s="53" t="s">
        <v>42</v>
      </c>
      <c r="D578" s="53" t="s">
        <v>50</v>
      </c>
      <c r="E578" s="53" t="s">
        <v>51</v>
      </c>
      <c r="F578" s="53" t="s">
        <v>25</v>
      </c>
      <c r="G578" s="53" t="s">
        <v>25</v>
      </c>
      <c r="H578" s="53" t="s">
        <v>35</v>
      </c>
      <c r="I578" s="75">
        <v>44621</v>
      </c>
      <c r="J578" s="76">
        <f ca="1">EFEITO!$J$578*EFEITO!$Y$555</f>
        <v>1326859.1050399151</v>
      </c>
      <c r="K578" s="76">
        <f ca="1">EFEITO!$L$578*EFEITO!$Z$555</f>
        <v>113999.67653369455</v>
      </c>
      <c r="L578" s="76">
        <f>EFEITO!$N$578*EFEITO!$AA$555</f>
        <v>410949.87738593493</v>
      </c>
      <c r="M578" s="76">
        <f ca="1">$J$578-EFEITO!$K$578*EFEITO!$Y$578</f>
        <v>39805.773151197471</v>
      </c>
      <c r="N578" s="76">
        <f ca="1">$K$578-EFEITO!$M$578*EFEITO!$Z$578</f>
        <v>3419.9902960108302</v>
      </c>
      <c r="O578" s="76">
        <f>$L$578-EFEITO!$O$578*EFEITO!$AA$578</f>
        <v>12328.496321578044</v>
      </c>
      <c r="P578" s="57"/>
      <c r="Q578" s="57"/>
      <c r="R578" s="57"/>
      <c r="S578" s="57"/>
      <c r="T578" s="57"/>
      <c r="U578" s="57"/>
      <c r="V578" s="57"/>
      <c r="W578" s="57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1.25" customHeight="1" x14ac:dyDescent="0.2">
      <c r="A579" s="53" t="s">
        <v>56</v>
      </c>
      <c r="B579" s="53" t="s">
        <v>33</v>
      </c>
      <c r="C579" s="53" t="s">
        <v>42</v>
      </c>
      <c r="D579" s="53" t="s">
        <v>50</v>
      </c>
      <c r="E579" s="53" t="s">
        <v>51</v>
      </c>
      <c r="F579" s="53" t="s">
        <v>25</v>
      </c>
      <c r="G579" s="53" t="s">
        <v>25</v>
      </c>
      <c r="H579" s="53" t="s">
        <v>35</v>
      </c>
      <c r="I579" s="75">
        <v>44652</v>
      </c>
      <c r="J579" s="76">
        <f ca="1">EFEITO!$J$579*EFEITO!$Y$555</f>
        <v>1326859.1050399151</v>
      </c>
      <c r="K579" s="76">
        <f ca="1">EFEITO!$L$579*EFEITO!$Z$555</f>
        <v>113999.67653369455</v>
      </c>
      <c r="L579" s="76">
        <f>EFEITO!$N$579*EFEITO!$AA$555</f>
        <v>410949.87738593493</v>
      </c>
      <c r="M579" s="76">
        <f ca="1">$J$579-EFEITO!$K$579*EFEITO!$Y$579</f>
        <v>39805.773151197471</v>
      </c>
      <c r="N579" s="76">
        <f ca="1">$K$579-EFEITO!$M$579*EFEITO!$Z$579</f>
        <v>3419.9902960108302</v>
      </c>
      <c r="O579" s="76">
        <f>$L$579-EFEITO!$O$579*EFEITO!$AA$579</f>
        <v>12328.496321578044</v>
      </c>
      <c r="P579" s="57"/>
      <c r="Q579" s="57"/>
      <c r="R579" s="57"/>
      <c r="S579" s="57"/>
      <c r="T579" s="57"/>
      <c r="U579" s="57"/>
      <c r="V579" s="57"/>
      <c r="W579" s="57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1.25" customHeight="1" x14ac:dyDescent="0.2">
      <c r="A580" s="53" t="s">
        <v>21</v>
      </c>
      <c r="B580" s="53" t="s">
        <v>33</v>
      </c>
      <c r="C580" s="53" t="s">
        <v>61</v>
      </c>
      <c r="D580" s="53" t="s">
        <v>25</v>
      </c>
      <c r="E580" s="53" t="s">
        <v>25</v>
      </c>
      <c r="F580" s="53" t="s">
        <v>25</v>
      </c>
      <c r="G580" s="53" t="s">
        <v>62</v>
      </c>
      <c r="H580" s="53" t="s">
        <v>36</v>
      </c>
      <c r="I580" s="75">
        <v>44317</v>
      </c>
      <c r="J580" s="76">
        <f ca="1">EFEITO!$J$580*EFEITO!$Y$580</f>
        <v>7431.520773230216</v>
      </c>
      <c r="K580" s="76">
        <f ca="1">EFEITO!$L$580*EFEITO!$Z$580</f>
        <v>0</v>
      </c>
      <c r="L580" s="76">
        <f>EFEITO!$N$580*EFEITO!$AA$580</f>
        <v>0</v>
      </c>
      <c r="M580" s="76">
        <f ca="1">$J$580-EFEITO!$K$580*EFEITO!$Y$580</f>
        <v>0</v>
      </c>
      <c r="N580" s="76">
        <f ca="1">$K$580-EFEITO!$M$580*EFEITO!$Z$580</f>
        <v>0</v>
      </c>
      <c r="O580" s="76">
        <f>$L$580-EFEITO!$O$580*EFEITO!$AA$580</f>
        <v>0</v>
      </c>
      <c r="P580" s="57"/>
      <c r="Q580" s="57"/>
      <c r="R580" s="57"/>
      <c r="S580" s="57"/>
      <c r="T580" s="57"/>
      <c r="U580" s="57"/>
      <c r="V580" s="57"/>
      <c r="W580" s="57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1.25" customHeight="1" x14ac:dyDescent="0.2">
      <c r="A581" s="53" t="s">
        <v>21</v>
      </c>
      <c r="B581" s="53" t="s">
        <v>33</v>
      </c>
      <c r="C581" s="53" t="s">
        <v>61</v>
      </c>
      <c r="D581" s="53" t="s">
        <v>25</v>
      </c>
      <c r="E581" s="53" t="s">
        <v>25</v>
      </c>
      <c r="F581" s="53" t="s">
        <v>25</v>
      </c>
      <c r="G581" s="53" t="s">
        <v>62</v>
      </c>
      <c r="H581" s="53" t="s">
        <v>36</v>
      </c>
      <c r="I581" s="75">
        <v>44348</v>
      </c>
      <c r="J581" s="76">
        <f ca="1">EFEITO!$J$581*EFEITO!$Y$581</f>
        <v>7431.520773230216</v>
      </c>
      <c r="K581" s="76">
        <f ca="1">EFEITO!$L$581*EFEITO!$Z$581</f>
        <v>0</v>
      </c>
      <c r="L581" s="76">
        <f>EFEITO!$N$581*EFEITO!$AA$581</f>
        <v>0</v>
      </c>
      <c r="M581" s="76">
        <f ca="1">$J$581-EFEITO!$K$581*EFEITO!$Y$581</f>
        <v>0</v>
      </c>
      <c r="N581" s="76">
        <f ca="1">$K$581-EFEITO!$M$581*EFEITO!$Z$581</f>
        <v>0</v>
      </c>
      <c r="O581" s="76">
        <f>$L$581-EFEITO!$O$581*EFEITO!$AA$581</f>
        <v>0</v>
      </c>
      <c r="P581" s="57"/>
      <c r="Q581" s="57"/>
      <c r="R581" s="57"/>
      <c r="S581" s="57"/>
      <c r="T581" s="57"/>
      <c r="U581" s="57"/>
      <c r="V581" s="57"/>
      <c r="W581" s="57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1.25" customHeight="1" x14ac:dyDescent="0.2">
      <c r="A582" s="53" t="s">
        <v>21</v>
      </c>
      <c r="B582" s="53" t="s">
        <v>33</v>
      </c>
      <c r="C582" s="53" t="s">
        <v>61</v>
      </c>
      <c r="D582" s="53" t="s">
        <v>25</v>
      </c>
      <c r="E582" s="53" t="s">
        <v>25</v>
      </c>
      <c r="F582" s="53" t="s">
        <v>25</v>
      </c>
      <c r="G582" s="53" t="s">
        <v>62</v>
      </c>
      <c r="H582" s="53" t="s">
        <v>36</v>
      </c>
      <c r="I582" s="75">
        <v>44378</v>
      </c>
      <c r="J582" s="76">
        <f ca="1">EFEITO!$J$582*EFEITO!$Y$582</f>
        <v>14813.498074638897</v>
      </c>
      <c r="K582" s="76">
        <f ca="1">EFEITO!$L$582*EFEITO!$Z$582</f>
        <v>0</v>
      </c>
      <c r="L582" s="76">
        <f>EFEITO!$N$582*EFEITO!$AA$582</f>
        <v>0</v>
      </c>
      <c r="M582" s="76">
        <f ca="1">$J$582-EFEITO!$K$582*EFEITO!$Y$582</f>
        <v>0</v>
      </c>
      <c r="N582" s="76">
        <f ca="1">$K$582-EFEITO!$M$582*EFEITO!$Z$582</f>
        <v>0</v>
      </c>
      <c r="O582" s="76">
        <f>$L$582-EFEITO!$O$582*EFEITO!$AA$582</f>
        <v>0</v>
      </c>
      <c r="P582" s="57"/>
      <c r="Q582" s="57"/>
      <c r="R582" s="57"/>
      <c r="S582" s="57"/>
      <c r="T582" s="57"/>
      <c r="U582" s="57"/>
      <c r="V582" s="57"/>
      <c r="W582" s="57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1.25" customHeight="1" x14ac:dyDescent="0.2">
      <c r="A583" s="53" t="s">
        <v>21</v>
      </c>
      <c r="B583" s="53" t="s">
        <v>33</v>
      </c>
      <c r="C583" s="53" t="s">
        <v>61</v>
      </c>
      <c r="D583" s="53" t="s">
        <v>25</v>
      </c>
      <c r="E583" s="53" t="s">
        <v>25</v>
      </c>
      <c r="F583" s="53" t="s">
        <v>25</v>
      </c>
      <c r="G583" s="53" t="s">
        <v>62</v>
      </c>
      <c r="H583" s="53" t="s">
        <v>36</v>
      </c>
      <c r="I583" s="75">
        <v>44409</v>
      </c>
      <c r="J583" s="76">
        <f ca="1">EFEITO!$J$583*EFEITO!$Y$583</f>
        <v>7431.520773230216</v>
      </c>
      <c r="K583" s="76">
        <f ca="1">EFEITO!$L$583*EFEITO!$Z$583</f>
        <v>0</v>
      </c>
      <c r="L583" s="76">
        <f>EFEITO!$N$583*EFEITO!$AA$583</f>
        <v>0</v>
      </c>
      <c r="M583" s="76">
        <f ca="1">$J$583-EFEITO!$K$583*EFEITO!$Y$583</f>
        <v>0</v>
      </c>
      <c r="N583" s="76">
        <f ca="1">$K$583-EFEITO!$M$583*EFEITO!$Z$583</f>
        <v>0</v>
      </c>
      <c r="O583" s="76">
        <f>$L$583-EFEITO!$O$583*EFEITO!$AA$583</f>
        <v>0</v>
      </c>
      <c r="P583" s="57"/>
      <c r="Q583" s="57"/>
      <c r="R583" s="57"/>
      <c r="S583" s="57"/>
      <c r="T583" s="57"/>
      <c r="U583" s="57"/>
      <c r="V583" s="57"/>
      <c r="W583" s="57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1.25" customHeight="1" x14ac:dyDescent="0.2">
      <c r="A584" s="53" t="s">
        <v>21</v>
      </c>
      <c r="B584" s="53" t="s">
        <v>33</v>
      </c>
      <c r="C584" s="53" t="s">
        <v>61</v>
      </c>
      <c r="D584" s="53" t="s">
        <v>25</v>
      </c>
      <c r="E584" s="53" t="s">
        <v>25</v>
      </c>
      <c r="F584" s="53" t="s">
        <v>25</v>
      </c>
      <c r="G584" s="53" t="s">
        <v>62</v>
      </c>
      <c r="H584" s="53" t="s">
        <v>36</v>
      </c>
      <c r="I584" s="75">
        <v>44440</v>
      </c>
      <c r="J584" s="76">
        <f ca="1">EFEITO!$J$584*EFEITO!$Y$584</f>
        <v>7431.520773230216</v>
      </c>
      <c r="K584" s="76">
        <f ca="1">EFEITO!$L$584*EFEITO!$Z$584</f>
        <v>0</v>
      </c>
      <c r="L584" s="76">
        <f>EFEITO!$N$584*EFEITO!$AA$584</f>
        <v>0</v>
      </c>
      <c r="M584" s="76">
        <f ca="1">$J$584-EFEITO!$K$584*EFEITO!$Y$584</f>
        <v>0</v>
      </c>
      <c r="N584" s="76">
        <f ca="1">$K$584-EFEITO!$M$584*EFEITO!$Z$584</f>
        <v>0</v>
      </c>
      <c r="O584" s="76">
        <f>$L$584-EFEITO!$O$584*EFEITO!$AA$584</f>
        <v>0</v>
      </c>
      <c r="P584" s="57"/>
      <c r="Q584" s="57"/>
      <c r="R584" s="57"/>
      <c r="S584" s="57"/>
      <c r="T584" s="57"/>
      <c r="U584" s="57"/>
      <c r="V584" s="57"/>
      <c r="W584" s="57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1.25" customHeight="1" x14ac:dyDescent="0.2">
      <c r="A585" s="53" t="s">
        <v>21</v>
      </c>
      <c r="B585" s="53" t="s">
        <v>33</v>
      </c>
      <c r="C585" s="53" t="s">
        <v>61</v>
      </c>
      <c r="D585" s="53" t="s">
        <v>25</v>
      </c>
      <c r="E585" s="53" t="s">
        <v>25</v>
      </c>
      <c r="F585" s="53" t="s">
        <v>25</v>
      </c>
      <c r="G585" s="53" t="s">
        <v>62</v>
      </c>
      <c r="H585" s="53" t="s">
        <v>36</v>
      </c>
      <c r="I585" s="75">
        <v>44470</v>
      </c>
      <c r="J585" s="76">
        <f ca="1">EFEITO!$J$585*EFEITO!$Y$585</f>
        <v>7431.520773230216</v>
      </c>
      <c r="K585" s="76">
        <f ca="1">EFEITO!$L$585*EFEITO!$Z$585</f>
        <v>0</v>
      </c>
      <c r="L585" s="76">
        <f>EFEITO!$N$585*EFEITO!$AA$585</f>
        <v>0</v>
      </c>
      <c r="M585" s="76">
        <f ca="1">$J$585-EFEITO!$K$585*EFEITO!$Y$585</f>
        <v>0</v>
      </c>
      <c r="N585" s="76">
        <f ca="1">$K$585-EFEITO!$M$585*EFEITO!$Z$585</f>
        <v>0</v>
      </c>
      <c r="O585" s="76">
        <f>$L$585-EFEITO!$O$585*EFEITO!$AA$585</f>
        <v>0</v>
      </c>
      <c r="P585" s="57"/>
      <c r="Q585" s="57"/>
      <c r="R585" s="57"/>
      <c r="S585" s="57"/>
      <c r="T585" s="57"/>
      <c r="U585" s="57"/>
      <c r="V585" s="57"/>
      <c r="W585" s="57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1.25" customHeight="1" x14ac:dyDescent="0.2">
      <c r="A586" s="53" t="s">
        <v>21</v>
      </c>
      <c r="B586" s="53" t="s">
        <v>33</v>
      </c>
      <c r="C586" s="53" t="s">
        <v>61</v>
      </c>
      <c r="D586" s="53" t="s">
        <v>25</v>
      </c>
      <c r="E586" s="53" t="s">
        <v>25</v>
      </c>
      <c r="F586" s="53" t="s">
        <v>25</v>
      </c>
      <c r="G586" s="53" t="s">
        <v>62</v>
      </c>
      <c r="H586" s="53" t="s">
        <v>36</v>
      </c>
      <c r="I586" s="75">
        <v>44501</v>
      </c>
      <c r="J586" s="76">
        <f ca="1">EFEITO!$J$586*EFEITO!$Y$586</f>
        <v>7431.520773230216</v>
      </c>
      <c r="K586" s="76">
        <f ca="1">EFEITO!$L$586*EFEITO!$Z$586</f>
        <v>0</v>
      </c>
      <c r="L586" s="76">
        <f>EFEITO!$N$586*EFEITO!$AA$586</f>
        <v>0</v>
      </c>
      <c r="M586" s="76">
        <f ca="1">$J$586-EFEITO!$K$586*EFEITO!$Y$586</f>
        <v>0</v>
      </c>
      <c r="N586" s="76">
        <f ca="1">$K$586-EFEITO!$M$586*EFEITO!$Z$586</f>
        <v>0</v>
      </c>
      <c r="O586" s="76">
        <f>$L$586-EFEITO!$O$586*EFEITO!$AA$586</f>
        <v>0</v>
      </c>
      <c r="P586" s="57"/>
      <c r="Q586" s="57"/>
      <c r="R586" s="57"/>
      <c r="S586" s="57"/>
      <c r="T586" s="57"/>
      <c r="U586" s="57"/>
      <c r="V586" s="57"/>
      <c r="W586" s="57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1.25" customHeight="1" x14ac:dyDescent="0.2">
      <c r="A587" s="53" t="s">
        <v>21</v>
      </c>
      <c r="B587" s="53" t="s">
        <v>33</v>
      </c>
      <c r="C587" s="53" t="s">
        <v>61</v>
      </c>
      <c r="D587" s="53" t="s">
        <v>25</v>
      </c>
      <c r="E587" s="53" t="s">
        <v>25</v>
      </c>
      <c r="F587" s="53" t="s">
        <v>25</v>
      </c>
      <c r="G587" s="53" t="s">
        <v>62</v>
      </c>
      <c r="H587" s="53" t="s">
        <v>36</v>
      </c>
      <c r="I587" s="75">
        <v>44531</v>
      </c>
      <c r="J587" s="76">
        <f ca="1">EFEITO!$J$587*EFEITO!$Y$587</f>
        <v>7431.520773230216</v>
      </c>
      <c r="K587" s="76">
        <f ca="1">EFEITO!$L$587*EFEITO!$Z$587</f>
        <v>0</v>
      </c>
      <c r="L587" s="76">
        <f>EFEITO!$N$587*EFEITO!$AA$587</f>
        <v>0</v>
      </c>
      <c r="M587" s="76">
        <f ca="1">$J$587-EFEITO!$K$587*EFEITO!$Y$587</f>
        <v>0</v>
      </c>
      <c r="N587" s="76">
        <f ca="1">$K$587-EFEITO!$M$587*EFEITO!$Z$587</f>
        <v>0</v>
      </c>
      <c r="O587" s="76">
        <f>$L$587-EFEITO!$O$587*EFEITO!$AA$587</f>
        <v>0</v>
      </c>
      <c r="P587" s="57"/>
      <c r="Q587" s="57"/>
      <c r="R587" s="57"/>
      <c r="S587" s="57"/>
      <c r="T587" s="57"/>
      <c r="U587" s="57"/>
      <c r="V587" s="57"/>
      <c r="W587" s="57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1.25" customHeight="1" x14ac:dyDescent="0.2">
      <c r="A588" s="53" t="s">
        <v>21</v>
      </c>
      <c r="B588" s="53" t="s">
        <v>33</v>
      </c>
      <c r="C588" s="53" t="s">
        <v>61</v>
      </c>
      <c r="D588" s="53" t="s">
        <v>25</v>
      </c>
      <c r="E588" s="53" t="s">
        <v>25</v>
      </c>
      <c r="F588" s="53" t="s">
        <v>25</v>
      </c>
      <c r="G588" s="53" t="s">
        <v>62</v>
      </c>
      <c r="H588" s="53" t="s">
        <v>36</v>
      </c>
      <c r="I588" s="75">
        <v>44562</v>
      </c>
      <c r="J588" s="76">
        <f ca="1">EFEITO!$J$588*EFEITO!$Y$588</f>
        <v>7431.520773230216</v>
      </c>
      <c r="K588" s="76">
        <f ca="1">EFEITO!$L$588*EFEITO!$Z$588</f>
        <v>0</v>
      </c>
      <c r="L588" s="76">
        <f>EFEITO!$N$588*EFEITO!$AA$588</f>
        <v>0</v>
      </c>
      <c r="M588" s="76">
        <f ca="1">$J$588-EFEITO!$K$588*EFEITO!$Y$588</f>
        <v>0</v>
      </c>
      <c r="N588" s="76">
        <f ca="1">$K$588-EFEITO!$M$588*EFEITO!$Z$588</f>
        <v>0</v>
      </c>
      <c r="O588" s="76">
        <f>$L$588-EFEITO!$O$588*EFEITO!$AA$588</f>
        <v>0</v>
      </c>
      <c r="P588" s="57"/>
      <c r="Q588" s="57"/>
      <c r="R588" s="57"/>
      <c r="S588" s="57"/>
      <c r="T588" s="57"/>
      <c r="U588" s="57"/>
      <c r="V588" s="57"/>
      <c r="W588" s="57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1.25" customHeight="1" x14ac:dyDescent="0.2">
      <c r="A589" s="53" t="s">
        <v>21</v>
      </c>
      <c r="B589" s="53" t="s">
        <v>33</v>
      </c>
      <c r="C589" s="53" t="s">
        <v>61</v>
      </c>
      <c r="D589" s="53" t="s">
        <v>25</v>
      </c>
      <c r="E589" s="53" t="s">
        <v>25</v>
      </c>
      <c r="F589" s="53" t="s">
        <v>25</v>
      </c>
      <c r="G589" s="53" t="s">
        <v>62</v>
      </c>
      <c r="H589" s="53" t="s">
        <v>36</v>
      </c>
      <c r="I589" s="75">
        <v>44593</v>
      </c>
      <c r="J589" s="76">
        <f ca="1">EFEITO!$J$589*EFEITO!$Y$589</f>
        <v>7431.520773230216</v>
      </c>
      <c r="K589" s="76">
        <f ca="1">EFEITO!$L$589*EFEITO!$Z$589</f>
        <v>0</v>
      </c>
      <c r="L589" s="76">
        <f>EFEITO!$N$589*EFEITO!$AA$589</f>
        <v>0</v>
      </c>
      <c r="M589" s="76">
        <f ca="1">$J$589-EFEITO!$K$589*EFEITO!$Y$589</f>
        <v>0</v>
      </c>
      <c r="N589" s="76">
        <f ca="1">$K$589-EFEITO!$M$589*EFEITO!$Z$589</f>
        <v>0</v>
      </c>
      <c r="O589" s="76">
        <f>$L$589-EFEITO!$O$589*EFEITO!$AA$589</f>
        <v>0</v>
      </c>
      <c r="P589" s="57"/>
      <c r="Q589" s="57"/>
      <c r="R589" s="57"/>
      <c r="S589" s="57"/>
      <c r="T589" s="57"/>
      <c r="U589" s="57"/>
      <c r="V589" s="57"/>
      <c r="W589" s="57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1.25" customHeight="1" x14ac:dyDescent="0.2">
      <c r="A590" s="53" t="s">
        <v>21</v>
      </c>
      <c r="B590" s="53" t="s">
        <v>33</v>
      </c>
      <c r="C590" s="53" t="s">
        <v>61</v>
      </c>
      <c r="D590" s="53" t="s">
        <v>25</v>
      </c>
      <c r="E590" s="53" t="s">
        <v>25</v>
      </c>
      <c r="F590" s="53" t="s">
        <v>25</v>
      </c>
      <c r="G590" s="53" t="s">
        <v>62</v>
      </c>
      <c r="H590" s="53" t="s">
        <v>36</v>
      </c>
      <c r="I590" s="75">
        <v>44621</v>
      </c>
      <c r="J590" s="76">
        <f ca="1">EFEITO!$J$590*EFEITO!$Y$590</f>
        <v>7431.520773230216</v>
      </c>
      <c r="K590" s="76">
        <f ca="1">EFEITO!$L$590*EFEITO!$Z$590</f>
        <v>0</v>
      </c>
      <c r="L590" s="76">
        <f>EFEITO!$N$590*EFEITO!$AA$590</f>
        <v>0</v>
      </c>
      <c r="M590" s="76">
        <f ca="1">$J$590-EFEITO!$K$590*EFEITO!$Y$590</f>
        <v>0</v>
      </c>
      <c r="N590" s="76">
        <f ca="1">$K$590-EFEITO!$M$590*EFEITO!$Z$590</f>
        <v>0</v>
      </c>
      <c r="O590" s="76">
        <f>$L$590-EFEITO!$O$590*EFEITO!$AA$590</f>
        <v>0</v>
      </c>
      <c r="P590" s="57"/>
      <c r="Q590" s="57"/>
      <c r="R590" s="57"/>
      <c r="S590" s="57"/>
      <c r="T590" s="57"/>
      <c r="U590" s="57"/>
      <c r="V590" s="57"/>
      <c r="W590" s="57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1.25" customHeight="1" x14ac:dyDescent="0.2">
      <c r="A591" s="53" t="s">
        <v>56</v>
      </c>
      <c r="B591" s="53" t="s">
        <v>33</v>
      </c>
      <c r="C591" s="53" t="s">
        <v>61</v>
      </c>
      <c r="D591" s="53" t="s">
        <v>25</v>
      </c>
      <c r="E591" s="53" t="s">
        <v>25</v>
      </c>
      <c r="F591" s="53" t="s">
        <v>25</v>
      </c>
      <c r="G591" s="53" t="s">
        <v>62</v>
      </c>
      <c r="H591" s="53" t="s">
        <v>36</v>
      </c>
      <c r="I591" s="75">
        <v>44652</v>
      </c>
      <c r="J591" s="76">
        <f ca="1">EFEITO!$J$591*EFEITO!$Y$591</f>
        <v>7431.520773230216</v>
      </c>
      <c r="K591" s="76">
        <f ca="1">EFEITO!$L$591*EFEITO!$Z$591</f>
        <v>0</v>
      </c>
      <c r="L591" s="76">
        <f>EFEITO!$N$591*EFEITO!$AA$591</f>
        <v>0</v>
      </c>
      <c r="M591" s="76">
        <f ca="1">$J$591-EFEITO!$K$591*EFEITO!$Y$591</f>
        <v>0</v>
      </c>
      <c r="N591" s="76">
        <f ca="1">$K$591-EFEITO!$M$591*EFEITO!$Z$591</f>
        <v>0</v>
      </c>
      <c r="O591" s="76">
        <f>$L$591-EFEITO!$O$591*EFEITO!$AA$591</f>
        <v>0</v>
      </c>
      <c r="P591" s="57"/>
      <c r="Q591" s="57"/>
      <c r="R591" s="57"/>
      <c r="S591" s="57"/>
      <c r="T591" s="57"/>
      <c r="U591" s="57"/>
      <c r="V591" s="57"/>
      <c r="W591" s="57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1.25" customHeight="1" x14ac:dyDescent="0.2">
      <c r="A592" s="53" t="s">
        <v>21</v>
      </c>
      <c r="B592" s="53" t="s">
        <v>33</v>
      </c>
      <c r="C592" s="53" t="s">
        <v>61</v>
      </c>
      <c r="D592" s="53" t="s">
        <v>25</v>
      </c>
      <c r="E592" s="53" t="s">
        <v>25</v>
      </c>
      <c r="F592" s="53" t="s">
        <v>25</v>
      </c>
      <c r="G592" s="53" t="s">
        <v>62</v>
      </c>
      <c r="H592" s="53" t="s">
        <v>25</v>
      </c>
      <c r="I592" s="75">
        <v>44317</v>
      </c>
      <c r="J592" s="76">
        <f ca="1">EFEITO!$J$592*EFEITO!$Y$592</f>
        <v>0</v>
      </c>
      <c r="K592" s="76">
        <f ca="1">EFEITO!$L$592*EFEITO!$Z$592</f>
        <v>4766.5577380430204</v>
      </c>
      <c r="L592" s="76">
        <f>EFEITO!$N$592*EFEITO!$AA$592</f>
        <v>0</v>
      </c>
      <c r="M592" s="76">
        <f ca="1">$J$592-EFEITO!$K$592*EFEITO!$Y$592</f>
        <v>0</v>
      </c>
      <c r="N592" s="76">
        <f ca="1">$K$592-EFEITO!$M$592*EFEITO!$Z$592</f>
        <v>0</v>
      </c>
      <c r="O592" s="76">
        <f>$L$592-EFEITO!$O$592*EFEITO!$AA$592</f>
        <v>0</v>
      </c>
      <c r="P592" s="57"/>
      <c r="Q592" s="57"/>
      <c r="R592" s="57"/>
      <c r="S592" s="57"/>
      <c r="T592" s="57"/>
      <c r="U592" s="57"/>
      <c r="V592" s="57"/>
      <c r="W592" s="57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1.25" customHeight="1" x14ac:dyDescent="0.2">
      <c r="A593" s="53" t="s">
        <v>21</v>
      </c>
      <c r="B593" s="53" t="s">
        <v>33</v>
      </c>
      <c r="C593" s="53" t="s">
        <v>61</v>
      </c>
      <c r="D593" s="53" t="s">
        <v>25</v>
      </c>
      <c r="E593" s="53" t="s">
        <v>25</v>
      </c>
      <c r="F593" s="53" t="s">
        <v>25</v>
      </c>
      <c r="G593" s="53" t="s">
        <v>62</v>
      </c>
      <c r="H593" s="53" t="s">
        <v>25</v>
      </c>
      <c r="I593" s="75">
        <v>44348</v>
      </c>
      <c r="J593" s="76">
        <f ca="1">EFEITO!$J$593*EFEITO!$Y$593</f>
        <v>0</v>
      </c>
      <c r="K593" s="76">
        <f ca="1">EFEITO!$L$593*EFEITO!$Z$593</f>
        <v>4340.9435319804043</v>
      </c>
      <c r="L593" s="76">
        <f>EFEITO!$N$593*EFEITO!$AA$593</f>
        <v>0</v>
      </c>
      <c r="M593" s="76">
        <f ca="1">$J$593-EFEITO!$K$593*EFEITO!$Y$593</f>
        <v>0</v>
      </c>
      <c r="N593" s="76">
        <f ca="1">$K$593-EFEITO!$M$593*EFEITO!$Z$593</f>
        <v>0</v>
      </c>
      <c r="O593" s="76">
        <f>$L$593-EFEITO!$O$593*EFEITO!$AA$593</f>
        <v>0</v>
      </c>
      <c r="P593" s="57"/>
      <c r="Q593" s="57"/>
      <c r="R593" s="57"/>
      <c r="S593" s="57"/>
      <c r="T593" s="57"/>
      <c r="U593" s="57"/>
      <c r="V593" s="57"/>
      <c r="W593" s="57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1.25" customHeight="1" x14ac:dyDescent="0.2">
      <c r="A594" s="53" t="s">
        <v>21</v>
      </c>
      <c r="B594" s="53" t="s">
        <v>33</v>
      </c>
      <c r="C594" s="53" t="s">
        <v>61</v>
      </c>
      <c r="D594" s="53" t="s">
        <v>25</v>
      </c>
      <c r="E594" s="53" t="s">
        <v>25</v>
      </c>
      <c r="F594" s="53" t="s">
        <v>25</v>
      </c>
      <c r="G594" s="53" t="s">
        <v>62</v>
      </c>
      <c r="H594" s="53" t="s">
        <v>25</v>
      </c>
      <c r="I594" s="75">
        <v>44378</v>
      </c>
      <c r="J594" s="76">
        <f ca="1">EFEITO!$J$594*EFEITO!$Y$594</f>
        <v>0</v>
      </c>
      <c r="K594" s="76">
        <f ca="1">EFEITO!$L$594*EFEITO!$Z$594</f>
        <v>4448.4618351919744</v>
      </c>
      <c r="L594" s="76">
        <f>EFEITO!$N$594*EFEITO!$AA$594</f>
        <v>0</v>
      </c>
      <c r="M594" s="76">
        <f ca="1">$J$594-EFEITO!$K$594*EFEITO!$Y$594</f>
        <v>0</v>
      </c>
      <c r="N594" s="76">
        <f ca="1">$K$594-EFEITO!$M$594*EFEITO!$Z$594</f>
        <v>0</v>
      </c>
      <c r="O594" s="76">
        <f>$L$594-EFEITO!$O$594*EFEITO!$AA$594</f>
        <v>0</v>
      </c>
      <c r="P594" s="57"/>
      <c r="Q594" s="57"/>
      <c r="R594" s="57"/>
      <c r="S594" s="57"/>
      <c r="T594" s="57"/>
      <c r="U594" s="57"/>
      <c r="V594" s="57"/>
      <c r="W594" s="57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1:36" ht="11.25" customHeight="1" x14ac:dyDescent="0.2">
      <c r="A595" s="53" t="s">
        <v>21</v>
      </c>
      <c r="B595" s="53" t="s">
        <v>33</v>
      </c>
      <c r="C595" s="53" t="s">
        <v>61</v>
      </c>
      <c r="D595" s="53" t="s">
        <v>25</v>
      </c>
      <c r="E595" s="53" t="s">
        <v>25</v>
      </c>
      <c r="F595" s="53" t="s">
        <v>25</v>
      </c>
      <c r="G595" s="53" t="s">
        <v>62</v>
      </c>
      <c r="H595" s="53" t="s">
        <v>25</v>
      </c>
      <c r="I595" s="75">
        <v>44409</v>
      </c>
      <c r="J595" s="76">
        <f ca="1">EFEITO!$J$595*EFEITO!$Y$595</f>
        <v>0</v>
      </c>
      <c r="K595" s="76">
        <f ca="1">EFEITO!$L$595*EFEITO!$Z$595</f>
        <v>4364.1625042412998</v>
      </c>
      <c r="L595" s="76">
        <f>EFEITO!$N$595*EFEITO!$AA$595</f>
        <v>0</v>
      </c>
      <c r="M595" s="76">
        <f ca="1">$J$595-EFEITO!$K$595*EFEITO!$Y$595</f>
        <v>0</v>
      </c>
      <c r="N595" s="76">
        <f ca="1">$K$595-EFEITO!$M$595*EFEITO!$Z$595</f>
        <v>0</v>
      </c>
      <c r="O595" s="76">
        <f>$L$595-EFEITO!$O$595*EFEITO!$AA$595</f>
        <v>0</v>
      </c>
      <c r="P595" s="57"/>
      <c r="Q595" s="57"/>
      <c r="R595" s="57"/>
      <c r="S595" s="57"/>
      <c r="T595" s="57"/>
      <c r="U595" s="57"/>
      <c r="V595" s="57"/>
      <c r="W595" s="57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11.25" customHeight="1" x14ac:dyDescent="0.2">
      <c r="A596" s="53" t="s">
        <v>21</v>
      </c>
      <c r="B596" s="53" t="s">
        <v>33</v>
      </c>
      <c r="C596" s="53" t="s">
        <v>61</v>
      </c>
      <c r="D596" s="53" t="s">
        <v>25</v>
      </c>
      <c r="E596" s="53" t="s">
        <v>25</v>
      </c>
      <c r="F596" s="53" t="s">
        <v>25</v>
      </c>
      <c r="G596" s="53" t="s">
        <v>62</v>
      </c>
      <c r="H596" s="53" t="s">
        <v>25</v>
      </c>
      <c r="I596" s="75">
        <v>44440</v>
      </c>
      <c r="J596" s="76">
        <f ca="1">EFEITO!$J$596*EFEITO!$Y$596</f>
        <v>0</v>
      </c>
      <c r="K596" s="76">
        <f ca="1">EFEITO!$L$596*EFEITO!$Z$596</f>
        <v>4403.0884283257428</v>
      </c>
      <c r="L596" s="76">
        <f>EFEITO!$N$596*EFEITO!$AA$596</f>
        <v>0</v>
      </c>
      <c r="M596" s="76">
        <f ca="1">$J$596-EFEITO!$K$596*EFEITO!$Y$596</f>
        <v>0</v>
      </c>
      <c r="N596" s="76">
        <f ca="1">$K$596-EFEITO!$M$596*EFEITO!$Z$596</f>
        <v>0</v>
      </c>
      <c r="O596" s="76">
        <f>$L$596-EFEITO!$O$596*EFEITO!$AA$596</f>
        <v>0</v>
      </c>
      <c r="P596" s="57"/>
      <c r="Q596" s="57"/>
      <c r="R596" s="57"/>
      <c r="S596" s="57"/>
      <c r="T596" s="57"/>
      <c r="U596" s="57"/>
      <c r="V596" s="57"/>
      <c r="W596" s="57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11.25" customHeight="1" x14ac:dyDescent="0.2">
      <c r="A597" s="53" t="s">
        <v>21</v>
      </c>
      <c r="B597" s="53" t="s">
        <v>33</v>
      </c>
      <c r="C597" s="53" t="s">
        <v>61</v>
      </c>
      <c r="D597" s="53" t="s">
        <v>25</v>
      </c>
      <c r="E597" s="53" t="s">
        <v>25</v>
      </c>
      <c r="F597" s="53" t="s">
        <v>25</v>
      </c>
      <c r="G597" s="53" t="s">
        <v>62</v>
      </c>
      <c r="H597" s="53" t="s">
        <v>25</v>
      </c>
      <c r="I597" s="75">
        <v>44470</v>
      </c>
      <c r="J597" s="76">
        <f ca="1">EFEITO!$J$597*EFEITO!$Y$597</f>
        <v>0</v>
      </c>
      <c r="K597" s="76">
        <f ca="1">EFEITO!$L$597*EFEITO!$Z$597</f>
        <v>4844.891640999329</v>
      </c>
      <c r="L597" s="76">
        <f>EFEITO!$N$597*EFEITO!$AA$597</f>
        <v>0</v>
      </c>
      <c r="M597" s="76">
        <f ca="1">$J$597-EFEITO!$K$597*EFEITO!$Y$597</f>
        <v>0</v>
      </c>
      <c r="N597" s="76">
        <f ca="1">$K$597-EFEITO!$M$597*EFEITO!$Z$597</f>
        <v>0</v>
      </c>
      <c r="O597" s="76">
        <f>$L$597-EFEITO!$O$597*EFEITO!$AA$597</f>
        <v>0</v>
      </c>
      <c r="P597" s="57"/>
      <c r="Q597" s="57"/>
      <c r="R597" s="57"/>
      <c r="S597" s="57"/>
      <c r="T597" s="57"/>
      <c r="U597" s="57"/>
      <c r="V597" s="57"/>
      <c r="W597" s="57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11.25" customHeight="1" x14ac:dyDescent="0.2">
      <c r="A598" s="53" t="s">
        <v>21</v>
      </c>
      <c r="B598" s="53" t="s">
        <v>33</v>
      </c>
      <c r="C598" s="53" t="s">
        <v>61</v>
      </c>
      <c r="D598" s="53" t="s">
        <v>25</v>
      </c>
      <c r="E598" s="53" t="s">
        <v>25</v>
      </c>
      <c r="F598" s="53" t="s">
        <v>25</v>
      </c>
      <c r="G598" s="53" t="s">
        <v>62</v>
      </c>
      <c r="H598" s="53" t="s">
        <v>25</v>
      </c>
      <c r="I598" s="75">
        <v>44501</v>
      </c>
      <c r="J598" s="76">
        <f ca="1">EFEITO!$J$598*EFEITO!$Y$598</f>
        <v>0</v>
      </c>
      <c r="K598" s="76">
        <f ca="1">EFEITO!$L$598*EFEITO!$Z$598</f>
        <v>5029.9203369053621</v>
      </c>
      <c r="L598" s="76">
        <f>EFEITO!$N$598*EFEITO!$AA$598</f>
        <v>0</v>
      </c>
      <c r="M598" s="76">
        <f ca="1">$J$598-EFEITO!$K$598*EFEITO!$Y$598</f>
        <v>0</v>
      </c>
      <c r="N598" s="76">
        <f ca="1">$K$598-EFEITO!$M$598*EFEITO!$Z$598</f>
        <v>0</v>
      </c>
      <c r="O598" s="76">
        <f>$L$598-EFEITO!$O$598*EFEITO!$AA$598</f>
        <v>0</v>
      </c>
      <c r="P598" s="57"/>
      <c r="Q598" s="57"/>
      <c r="R598" s="57"/>
      <c r="S598" s="57"/>
      <c r="T598" s="57"/>
      <c r="U598" s="57"/>
      <c r="V598" s="57"/>
      <c r="W598" s="57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11.25" customHeight="1" x14ac:dyDescent="0.2">
      <c r="A599" s="53" t="s">
        <v>21</v>
      </c>
      <c r="B599" s="53" t="s">
        <v>33</v>
      </c>
      <c r="C599" s="53" t="s">
        <v>61</v>
      </c>
      <c r="D599" s="53" t="s">
        <v>25</v>
      </c>
      <c r="E599" s="53" t="s">
        <v>25</v>
      </c>
      <c r="F599" s="53" t="s">
        <v>25</v>
      </c>
      <c r="G599" s="53" t="s">
        <v>62</v>
      </c>
      <c r="H599" s="53" t="s">
        <v>25</v>
      </c>
      <c r="I599" s="75">
        <v>44531</v>
      </c>
      <c r="J599" s="76">
        <f ca="1">EFEITO!$J$599*EFEITO!$Y$599</f>
        <v>0</v>
      </c>
      <c r="K599" s="76">
        <f ca="1">EFEITO!$L$599*EFEITO!$Z$599</f>
        <v>5244.9770289446451</v>
      </c>
      <c r="L599" s="76">
        <f>EFEITO!$N$599*EFEITO!$AA$599</f>
        <v>0</v>
      </c>
      <c r="M599" s="76">
        <f ca="1">$J$599-EFEITO!$K$599*EFEITO!$Y$599</f>
        <v>0</v>
      </c>
      <c r="N599" s="76">
        <f ca="1">$K$599-EFEITO!$M$599*EFEITO!$Z$599</f>
        <v>0</v>
      </c>
      <c r="O599" s="76">
        <f>$L$599-EFEITO!$O$599*EFEITO!$AA$599</f>
        <v>0</v>
      </c>
      <c r="P599" s="57"/>
      <c r="Q599" s="57"/>
      <c r="R599" s="57"/>
      <c r="S599" s="57"/>
      <c r="T599" s="57"/>
      <c r="U599" s="57"/>
      <c r="V599" s="57"/>
      <c r="W599" s="57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11.25" customHeight="1" x14ac:dyDescent="0.2">
      <c r="A600" s="53" t="s">
        <v>21</v>
      </c>
      <c r="B600" s="53" t="s">
        <v>33</v>
      </c>
      <c r="C600" s="53" t="s">
        <v>61</v>
      </c>
      <c r="D600" s="53" t="s">
        <v>25</v>
      </c>
      <c r="E600" s="53" t="s">
        <v>25</v>
      </c>
      <c r="F600" s="53" t="s">
        <v>25</v>
      </c>
      <c r="G600" s="53" t="s">
        <v>62</v>
      </c>
      <c r="H600" s="53" t="s">
        <v>25</v>
      </c>
      <c r="I600" s="75">
        <v>44562</v>
      </c>
      <c r="J600" s="76">
        <f ca="1">EFEITO!$J$600*EFEITO!$Y$600</f>
        <v>0</v>
      </c>
      <c r="K600" s="76">
        <f ca="1">EFEITO!$L$600*EFEITO!$Z$600</f>
        <v>5091.3019798372798</v>
      </c>
      <c r="L600" s="76">
        <f>EFEITO!$N$600*EFEITO!$AA$600</f>
        <v>0</v>
      </c>
      <c r="M600" s="76">
        <f ca="1">$J$600-EFEITO!$K$600*EFEITO!$Y$600</f>
        <v>0</v>
      </c>
      <c r="N600" s="76">
        <f ca="1">$K$600-EFEITO!$M$600*EFEITO!$Z$600</f>
        <v>0</v>
      </c>
      <c r="O600" s="76">
        <f>$L$600-EFEITO!$O$600*EFEITO!$AA$600</f>
        <v>0</v>
      </c>
      <c r="P600" s="57"/>
      <c r="Q600" s="57"/>
      <c r="R600" s="57"/>
      <c r="S600" s="57"/>
      <c r="T600" s="57"/>
      <c r="U600" s="57"/>
      <c r="V600" s="57"/>
      <c r="W600" s="57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11.25" customHeight="1" x14ac:dyDescent="0.2">
      <c r="A601" s="53" t="s">
        <v>21</v>
      </c>
      <c r="B601" s="53" t="s">
        <v>33</v>
      </c>
      <c r="C601" s="53" t="s">
        <v>61</v>
      </c>
      <c r="D601" s="53" t="s">
        <v>25</v>
      </c>
      <c r="E601" s="53" t="s">
        <v>25</v>
      </c>
      <c r="F601" s="53" t="s">
        <v>25</v>
      </c>
      <c r="G601" s="53" t="s">
        <v>62</v>
      </c>
      <c r="H601" s="53" t="s">
        <v>25</v>
      </c>
      <c r="I601" s="75">
        <v>44593</v>
      </c>
      <c r="J601" s="76">
        <f ca="1">EFEITO!$J$601*EFEITO!$Y$601</f>
        <v>0</v>
      </c>
      <c r="K601" s="76">
        <f ca="1">EFEITO!$L$601*EFEITO!$Z$601</f>
        <v>4894.3022567102325</v>
      </c>
      <c r="L601" s="76">
        <f>EFEITO!$N$601*EFEITO!$AA$601</f>
        <v>0</v>
      </c>
      <c r="M601" s="76">
        <f ca="1">$J$601-EFEITO!$K$601*EFEITO!$Y$601</f>
        <v>0</v>
      </c>
      <c r="N601" s="76">
        <f ca="1">$K$601-EFEITO!$M$601*EFEITO!$Z$601</f>
        <v>0</v>
      </c>
      <c r="O601" s="76">
        <f>$L$601-EFEITO!$O$601*EFEITO!$AA$601</f>
        <v>0</v>
      </c>
      <c r="P601" s="57"/>
      <c r="Q601" s="57"/>
      <c r="R601" s="57"/>
      <c r="S601" s="57"/>
      <c r="T601" s="57"/>
      <c r="U601" s="57"/>
      <c r="V601" s="57"/>
      <c r="W601" s="57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11.25" customHeight="1" x14ac:dyDescent="0.2">
      <c r="A602" s="53" t="s">
        <v>21</v>
      </c>
      <c r="B602" s="53" t="s">
        <v>33</v>
      </c>
      <c r="C602" s="53" t="s">
        <v>61</v>
      </c>
      <c r="D602" s="53" t="s">
        <v>25</v>
      </c>
      <c r="E602" s="53" t="s">
        <v>25</v>
      </c>
      <c r="F602" s="53" t="s">
        <v>25</v>
      </c>
      <c r="G602" s="53" t="s">
        <v>62</v>
      </c>
      <c r="H602" s="53" t="s">
        <v>25</v>
      </c>
      <c r="I602" s="75">
        <v>44621</v>
      </c>
      <c r="J602" s="76">
        <f ca="1">EFEITO!$J$602*EFEITO!$Y$602</f>
        <v>0</v>
      </c>
      <c r="K602" s="76">
        <f ca="1">EFEITO!$L$602*EFEITO!$Z$602</f>
        <v>5215.4712588311022</v>
      </c>
      <c r="L602" s="76">
        <f>EFEITO!$N$602*EFEITO!$AA$602</f>
        <v>0</v>
      </c>
      <c r="M602" s="76">
        <f ca="1">$J$602-EFEITO!$K$602*EFEITO!$Y$602</f>
        <v>0</v>
      </c>
      <c r="N602" s="76">
        <f ca="1">$K$602-EFEITO!$M$602*EFEITO!$Z$602</f>
        <v>0</v>
      </c>
      <c r="O602" s="76">
        <f>$L$602-EFEITO!$O$602*EFEITO!$AA$602</f>
        <v>0</v>
      </c>
      <c r="P602" s="57"/>
      <c r="Q602" s="57"/>
      <c r="R602" s="57"/>
      <c r="S602" s="57"/>
      <c r="T602" s="57"/>
      <c r="U602" s="57"/>
      <c r="V602" s="57"/>
      <c r="W602" s="57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11.25" customHeight="1" x14ac:dyDescent="0.2">
      <c r="A603" s="53" t="s">
        <v>56</v>
      </c>
      <c r="B603" s="53" t="s">
        <v>33</v>
      </c>
      <c r="C603" s="53" t="s">
        <v>61</v>
      </c>
      <c r="D603" s="53" t="s">
        <v>25</v>
      </c>
      <c r="E603" s="53" t="s">
        <v>25</v>
      </c>
      <c r="F603" s="53" t="s">
        <v>25</v>
      </c>
      <c r="G603" s="53" t="s">
        <v>62</v>
      </c>
      <c r="H603" s="53" t="s">
        <v>25</v>
      </c>
      <c r="I603" s="75">
        <v>44652</v>
      </c>
      <c r="J603" s="76">
        <f ca="1">EFEITO!$J$603*EFEITO!$Y$603</f>
        <v>0</v>
      </c>
      <c r="K603" s="76">
        <f ca="1">EFEITO!$L$603*EFEITO!$Z$603</f>
        <v>5215.4712588311022</v>
      </c>
      <c r="L603" s="76">
        <f>EFEITO!$N$603*EFEITO!$AA$603</f>
        <v>0</v>
      </c>
      <c r="M603" s="76">
        <f ca="1">$J$603-EFEITO!$K$603*EFEITO!$Y$603</f>
        <v>0</v>
      </c>
      <c r="N603" s="76">
        <f ca="1">$K$603-EFEITO!$M$603*EFEITO!$Z$603</f>
        <v>0</v>
      </c>
      <c r="O603" s="76">
        <f>$L$603-EFEITO!$O$603*EFEITO!$AA$603</f>
        <v>0</v>
      </c>
      <c r="P603" s="57"/>
      <c r="Q603" s="57"/>
      <c r="R603" s="57"/>
      <c r="S603" s="57"/>
      <c r="T603" s="57"/>
      <c r="U603" s="57"/>
      <c r="V603" s="57"/>
      <c r="W603" s="57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11.25" customHeight="1" x14ac:dyDescent="0.2">
      <c r="A604" s="53" t="s">
        <v>21</v>
      </c>
      <c r="B604" s="53" t="s">
        <v>33</v>
      </c>
      <c r="C604" s="53" t="s">
        <v>61</v>
      </c>
      <c r="D604" s="53" t="s">
        <v>25</v>
      </c>
      <c r="E604" s="53" t="s">
        <v>25</v>
      </c>
      <c r="F604" s="53" t="s">
        <v>25</v>
      </c>
      <c r="G604" s="53" t="s">
        <v>62</v>
      </c>
      <c r="H604" s="53" t="s">
        <v>35</v>
      </c>
      <c r="I604" s="75">
        <v>44317</v>
      </c>
      <c r="J604" s="76">
        <f ca="1">EFEITO!$J$604*EFEITO!$Y$604</f>
        <v>14335.396525254839</v>
      </c>
      <c r="K604" s="76">
        <f ca="1">EFEITO!$L$604*EFEITO!$Z$604</f>
        <v>0</v>
      </c>
      <c r="L604" s="76">
        <f>EFEITO!$N$604*EFEITO!$AA$604</f>
        <v>0</v>
      </c>
      <c r="M604" s="76">
        <f ca="1">$J$604-EFEITO!$K$604*EFEITO!$Y$604</f>
        <v>0</v>
      </c>
      <c r="N604" s="76">
        <f ca="1">$K$604-EFEITO!$M$604*EFEITO!$Z$604</f>
        <v>0</v>
      </c>
      <c r="O604" s="76">
        <f>$L$604-EFEITO!$O$604*EFEITO!$AA$604</f>
        <v>0</v>
      </c>
      <c r="P604" s="57"/>
      <c r="Q604" s="57"/>
      <c r="R604" s="57"/>
      <c r="S604" s="57"/>
      <c r="T604" s="57"/>
      <c r="U604" s="57"/>
      <c r="V604" s="57"/>
      <c r="W604" s="57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11.25" customHeight="1" x14ac:dyDescent="0.2">
      <c r="A605" s="53" t="s">
        <v>21</v>
      </c>
      <c r="B605" s="53" t="s">
        <v>33</v>
      </c>
      <c r="C605" s="53" t="s">
        <v>61</v>
      </c>
      <c r="D605" s="53" t="s">
        <v>25</v>
      </c>
      <c r="E605" s="53" t="s">
        <v>25</v>
      </c>
      <c r="F605" s="53" t="s">
        <v>25</v>
      </c>
      <c r="G605" s="53" t="s">
        <v>62</v>
      </c>
      <c r="H605" s="53" t="s">
        <v>35</v>
      </c>
      <c r="I605" s="75">
        <v>44348</v>
      </c>
      <c r="J605" s="76">
        <f ca="1">EFEITO!$J$605*EFEITO!$Y$605</f>
        <v>14335.396525254839</v>
      </c>
      <c r="K605" s="76">
        <f ca="1">EFEITO!$L$605*EFEITO!$Z$605</f>
        <v>0</v>
      </c>
      <c r="L605" s="76">
        <f>EFEITO!$N$605*EFEITO!$AA$605</f>
        <v>0</v>
      </c>
      <c r="M605" s="76">
        <f ca="1">$J$605-EFEITO!$K$605*EFEITO!$Y$605</f>
        <v>0</v>
      </c>
      <c r="N605" s="76">
        <f ca="1">$K$605-EFEITO!$M$605*EFEITO!$Z$605</f>
        <v>0</v>
      </c>
      <c r="O605" s="76">
        <f>$L$605-EFEITO!$O$605*EFEITO!$AA$605</f>
        <v>0</v>
      </c>
      <c r="P605" s="57"/>
      <c r="Q605" s="57"/>
      <c r="R605" s="57"/>
      <c r="S605" s="57"/>
      <c r="T605" s="57"/>
      <c r="U605" s="57"/>
      <c r="V605" s="57"/>
      <c r="W605" s="57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11.25" customHeight="1" x14ac:dyDescent="0.2">
      <c r="A606" s="53" t="s">
        <v>21</v>
      </c>
      <c r="B606" s="53" t="s">
        <v>33</v>
      </c>
      <c r="C606" s="53" t="s">
        <v>61</v>
      </c>
      <c r="D606" s="53" t="s">
        <v>25</v>
      </c>
      <c r="E606" s="53" t="s">
        <v>25</v>
      </c>
      <c r="F606" s="53" t="s">
        <v>25</v>
      </c>
      <c r="G606" s="53" t="s">
        <v>62</v>
      </c>
      <c r="H606" s="53" t="s">
        <v>35</v>
      </c>
      <c r="I606" s="75">
        <v>44378</v>
      </c>
      <c r="J606" s="76">
        <f ca="1">EFEITO!$J$606*EFEITO!$Y$606</f>
        <v>14335.396525254839</v>
      </c>
      <c r="K606" s="76">
        <f ca="1">EFEITO!$L$606*EFEITO!$Z$606</f>
        <v>0</v>
      </c>
      <c r="L606" s="76">
        <f>EFEITO!$N$606*EFEITO!$AA$606</f>
        <v>0</v>
      </c>
      <c r="M606" s="76">
        <f ca="1">$J$606-EFEITO!$K$606*EFEITO!$Y$606</f>
        <v>0</v>
      </c>
      <c r="N606" s="76">
        <f ca="1">$K$606-EFEITO!$M$606*EFEITO!$Z$606</f>
        <v>0</v>
      </c>
      <c r="O606" s="76">
        <f>$L$606-EFEITO!$O$606*EFEITO!$AA$606</f>
        <v>0</v>
      </c>
      <c r="P606" s="57"/>
      <c r="Q606" s="57"/>
      <c r="R606" s="57"/>
      <c r="S606" s="57"/>
      <c r="T606" s="57"/>
      <c r="U606" s="57"/>
      <c r="V606" s="57"/>
      <c r="W606" s="57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11.25" customHeight="1" x14ac:dyDescent="0.2">
      <c r="A607" s="53" t="s">
        <v>21</v>
      </c>
      <c r="B607" s="53" t="s">
        <v>33</v>
      </c>
      <c r="C607" s="53" t="s">
        <v>61</v>
      </c>
      <c r="D607" s="53" t="s">
        <v>25</v>
      </c>
      <c r="E607" s="53" t="s">
        <v>25</v>
      </c>
      <c r="F607" s="53" t="s">
        <v>25</v>
      </c>
      <c r="G607" s="53" t="s">
        <v>62</v>
      </c>
      <c r="H607" s="53" t="s">
        <v>35</v>
      </c>
      <c r="I607" s="75">
        <v>44409</v>
      </c>
      <c r="J607" s="76">
        <f ca="1">EFEITO!$J$607*EFEITO!$Y$607</f>
        <v>14335.396525254839</v>
      </c>
      <c r="K607" s="76">
        <f ca="1">EFEITO!$L$607*EFEITO!$Z$607</f>
        <v>0</v>
      </c>
      <c r="L607" s="76">
        <f>EFEITO!$N$607*EFEITO!$AA$607</f>
        <v>0</v>
      </c>
      <c r="M607" s="76">
        <f ca="1">$J$607-EFEITO!$K$607*EFEITO!$Y$607</f>
        <v>0</v>
      </c>
      <c r="N607" s="76">
        <f ca="1">$K$607-EFEITO!$M$607*EFEITO!$Z$607</f>
        <v>0</v>
      </c>
      <c r="O607" s="76">
        <f>$L$607-EFEITO!$O$607*EFEITO!$AA$607</f>
        <v>0</v>
      </c>
      <c r="P607" s="57"/>
      <c r="Q607" s="57"/>
      <c r="R607" s="57"/>
      <c r="S607" s="57"/>
      <c r="T607" s="57"/>
      <c r="U607" s="57"/>
      <c r="V607" s="57"/>
      <c r="W607" s="57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11.25" customHeight="1" x14ac:dyDescent="0.2">
      <c r="A608" s="53" t="s">
        <v>21</v>
      </c>
      <c r="B608" s="53" t="s">
        <v>33</v>
      </c>
      <c r="C608" s="53" t="s">
        <v>61</v>
      </c>
      <c r="D608" s="53" t="s">
        <v>25</v>
      </c>
      <c r="E608" s="53" t="s">
        <v>25</v>
      </c>
      <c r="F608" s="53" t="s">
        <v>25</v>
      </c>
      <c r="G608" s="53" t="s">
        <v>62</v>
      </c>
      <c r="H608" s="53" t="s">
        <v>35</v>
      </c>
      <c r="I608" s="75">
        <v>44440</v>
      </c>
      <c r="J608" s="76">
        <f ca="1">EFEITO!$J$608*EFEITO!$Y$608</f>
        <v>14335.396525254839</v>
      </c>
      <c r="K608" s="76">
        <f ca="1">EFEITO!$L$608*EFEITO!$Z$608</f>
        <v>0</v>
      </c>
      <c r="L608" s="76">
        <f>EFEITO!$N$608*EFEITO!$AA$608</f>
        <v>0</v>
      </c>
      <c r="M608" s="76">
        <f ca="1">$J$608-EFEITO!$K$608*EFEITO!$Y$608</f>
        <v>0</v>
      </c>
      <c r="N608" s="76">
        <f ca="1">$K$608-EFEITO!$M$608*EFEITO!$Z$608</f>
        <v>0</v>
      </c>
      <c r="O608" s="76">
        <f>$L$608-EFEITO!$O$608*EFEITO!$AA$608</f>
        <v>0</v>
      </c>
      <c r="P608" s="57"/>
      <c r="Q608" s="57"/>
      <c r="R608" s="57"/>
      <c r="S608" s="57"/>
      <c r="T608" s="57"/>
      <c r="U608" s="57"/>
      <c r="V608" s="57"/>
      <c r="W608" s="57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11.25" customHeight="1" x14ac:dyDescent="0.2">
      <c r="A609" s="53" t="s">
        <v>21</v>
      </c>
      <c r="B609" s="53" t="s">
        <v>33</v>
      </c>
      <c r="C609" s="53" t="s">
        <v>61</v>
      </c>
      <c r="D609" s="53" t="s">
        <v>25</v>
      </c>
      <c r="E609" s="53" t="s">
        <v>25</v>
      </c>
      <c r="F609" s="53" t="s">
        <v>25</v>
      </c>
      <c r="G609" s="53" t="s">
        <v>62</v>
      </c>
      <c r="H609" s="53" t="s">
        <v>35</v>
      </c>
      <c r="I609" s="75">
        <v>44470</v>
      </c>
      <c r="J609" s="76">
        <f ca="1">EFEITO!$J$609*EFEITO!$Y$609</f>
        <v>14335.396525254839</v>
      </c>
      <c r="K609" s="76">
        <f ca="1">EFEITO!$L$609*EFEITO!$Z$609</f>
        <v>0</v>
      </c>
      <c r="L609" s="76">
        <f>EFEITO!$N$609*EFEITO!$AA$609</f>
        <v>0</v>
      </c>
      <c r="M609" s="76">
        <f ca="1">$J$609-EFEITO!$K$609*EFEITO!$Y$609</f>
        <v>0</v>
      </c>
      <c r="N609" s="76">
        <f ca="1">$K$609-EFEITO!$M$609*EFEITO!$Z$609</f>
        <v>0</v>
      </c>
      <c r="O609" s="76">
        <f>$L$609-EFEITO!$O$609*EFEITO!$AA$609</f>
        <v>0</v>
      </c>
      <c r="P609" s="57"/>
      <c r="Q609" s="57"/>
      <c r="R609" s="57"/>
      <c r="S609" s="57"/>
      <c r="T609" s="57"/>
      <c r="U609" s="57"/>
      <c r="V609" s="57"/>
      <c r="W609" s="57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11.25" customHeight="1" x14ac:dyDescent="0.2">
      <c r="A610" s="53" t="s">
        <v>21</v>
      </c>
      <c r="B610" s="53" t="s">
        <v>33</v>
      </c>
      <c r="C610" s="53" t="s">
        <v>61</v>
      </c>
      <c r="D610" s="53" t="s">
        <v>25</v>
      </c>
      <c r="E610" s="53" t="s">
        <v>25</v>
      </c>
      <c r="F610" s="53" t="s">
        <v>25</v>
      </c>
      <c r="G610" s="53" t="s">
        <v>62</v>
      </c>
      <c r="H610" s="53" t="s">
        <v>35</v>
      </c>
      <c r="I610" s="75">
        <v>44501</v>
      </c>
      <c r="J610" s="76">
        <f ca="1">EFEITO!$J$610*EFEITO!$Y$610</f>
        <v>14335.396525254839</v>
      </c>
      <c r="K610" s="76">
        <f ca="1">EFEITO!$L$610*EFEITO!$Z$610</f>
        <v>0</v>
      </c>
      <c r="L610" s="76">
        <f>EFEITO!$N$610*EFEITO!$AA$610</f>
        <v>0</v>
      </c>
      <c r="M610" s="76">
        <f ca="1">$J$610-EFEITO!$K$610*EFEITO!$Y$610</f>
        <v>0</v>
      </c>
      <c r="N610" s="76">
        <f ca="1">$K$610-EFEITO!$M$610*EFEITO!$Z$610</f>
        <v>0</v>
      </c>
      <c r="O610" s="76">
        <f>$L$610-EFEITO!$O$610*EFEITO!$AA$610</f>
        <v>0</v>
      </c>
      <c r="P610" s="57"/>
      <c r="Q610" s="57"/>
      <c r="R610" s="57"/>
      <c r="S610" s="57"/>
      <c r="T610" s="57"/>
      <c r="U610" s="57"/>
      <c r="V610" s="57"/>
      <c r="W610" s="57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11.25" customHeight="1" x14ac:dyDescent="0.2">
      <c r="A611" s="53" t="s">
        <v>21</v>
      </c>
      <c r="B611" s="53" t="s">
        <v>33</v>
      </c>
      <c r="C611" s="53" t="s">
        <v>61</v>
      </c>
      <c r="D611" s="53" t="s">
        <v>25</v>
      </c>
      <c r="E611" s="53" t="s">
        <v>25</v>
      </c>
      <c r="F611" s="53" t="s">
        <v>25</v>
      </c>
      <c r="G611" s="53" t="s">
        <v>62</v>
      </c>
      <c r="H611" s="53" t="s">
        <v>35</v>
      </c>
      <c r="I611" s="75">
        <v>44531</v>
      </c>
      <c r="J611" s="76">
        <f ca="1">EFEITO!$J$611*EFEITO!$Y$611</f>
        <v>15311.423522718997</v>
      </c>
      <c r="K611" s="76">
        <f ca="1">EFEITO!$L$611*EFEITO!$Z$611</f>
        <v>0</v>
      </c>
      <c r="L611" s="76">
        <f>EFEITO!$N$611*EFEITO!$AA$611</f>
        <v>0</v>
      </c>
      <c r="M611" s="76">
        <f ca="1">$J$611-EFEITO!$K$611*EFEITO!$Y$611</f>
        <v>0</v>
      </c>
      <c r="N611" s="76">
        <f ca="1">$K$611-EFEITO!$M$611*EFEITO!$Z$611</f>
        <v>0</v>
      </c>
      <c r="O611" s="76">
        <f>$L$611-EFEITO!$O$611*EFEITO!$AA$611</f>
        <v>0</v>
      </c>
      <c r="P611" s="57"/>
      <c r="Q611" s="57"/>
      <c r="R611" s="57"/>
      <c r="S611" s="57"/>
      <c r="T611" s="57"/>
      <c r="U611" s="57"/>
      <c r="V611" s="57"/>
      <c r="W611" s="57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11.25" customHeight="1" x14ac:dyDescent="0.2">
      <c r="A612" s="53" t="s">
        <v>21</v>
      </c>
      <c r="B612" s="53" t="s">
        <v>33</v>
      </c>
      <c r="C612" s="53" t="s">
        <v>61</v>
      </c>
      <c r="D612" s="53" t="s">
        <v>25</v>
      </c>
      <c r="E612" s="53" t="s">
        <v>25</v>
      </c>
      <c r="F612" s="53" t="s">
        <v>25</v>
      </c>
      <c r="G612" s="53" t="s">
        <v>62</v>
      </c>
      <c r="H612" s="53" t="s">
        <v>35</v>
      </c>
      <c r="I612" s="75">
        <v>44562</v>
      </c>
      <c r="J612" s="76">
        <f ca="1">EFEITO!$J$612*EFEITO!$Y$612</f>
        <v>14335.396525254839</v>
      </c>
      <c r="K612" s="76">
        <f ca="1">EFEITO!$L$612*EFEITO!$Z$612</f>
        <v>0</v>
      </c>
      <c r="L612" s="76">
        <f>EFEITO!$N$612*EFEITO!$AA$612</f>
        <v>0</v>
      </c>
      <c r="M612" s="76">
        <f ca="1">$J$612-EFEITO!$K$612*EFEITO!$Y$612</f>
        <v>0</v>
      </c>
      <c r="N612" s="76">
        <f ca="1">$K$612-EFEITO!$M$612*EFEITO!$Z$612</f>
        <v>0</v>
      </c>
      <c r="O612" s="76">
        <f>$L$612-EFEITO!$O$612*EFEITO!$AA$612</f>
        <v>0</v>
      </c>
      <c r="P612" s="57"/>
      <c r="Q612" s="57"/>
      <c r="R612" s="57"/>
      <c r="S612" s="57"/>
      <c r="T612" s="57"/>
      <c r="U612" s="57"/>
      <c r="V612" s="57"/>
      <c r="W612" s="57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11.25" customHeight="1" x14ac:dyDescent="0.2">
      <c r="A613" s="53" t="s">
        <v>21</v>
      </c>
      <c r="B613" s="53" t="s">
        <v>33</v>
      </c>
      <c r="C613" s="53" t="s">
        <v>61</v>
      </c>
      <c r="D613" s="53" t="s">
        <v>25</v>
      </c>
      <c r="E613" s="53" t="s">
        <v>25</v>
      </c>
      <c r="F613" s="53" t="s">
        <v>25</v>
      </c>
      <c r="G613" s="53" t="s">
        <v>62</v>
      </c>
      <c r="H613" s="53" t="s">
        <v>35</v>
      </c>
      <c r="I613" s="75">
        <v>44593</v>
      </c>
      <c r="J613" s="76">
        <f ca="1">EFEITO!$J$613*EFEITO!$Y$613</f>
        <v>14609.904118291633</v>
      </c>
      <c r="K613" s="76">
        <f ca="1">EFEITO!$L$613*EFEITO!$Z$613</f>
        <v>0</v>
      </c>
      <c r="L613" s="76">
        <f>EFEITO!$N$613*EFEITO!$AA$613</f>
        <v>0</v>
      </c>
      <c r="M613" s="76">
        <f ca="1">$J$613-EFEITO!$K$613*EFEITO!$Y$613</f>
        <v>0</v>
      </c>
      <c r="N613" s="76">
        <f ca="1">$K$613-EFEITO!$M$613*EFEITO!$Z$613</f>
        <v>0</v>
      </c>
      <c r="O613" s="76">
        <f>$L$613-EFEITO!$O$613*EFEITO!$AA$613</f>
        <v>0</v>
      </c>
      <c r="P613" s="57"/>
      <c r="Q613" s="57"/>
      <c r="R613" s="57"/>
      <c r="S613" s="57"/>
      <c r="T613" s="57"/>
      <c r="U613" s="57"/>
      <c r="V613" s="57"/>
      <c r="W613" s="57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11.25" customHeight="1" x14ac:dyDescent="0.2">
      <c r="A614" s="53" t="s">
        <v>21</v>
      </c>
      <c r="B614" s="53" t="s">
        <v>33</v>
      </c>
      <c r="C614" s="53" t="s">
        <v>61</v>
      </c>
      <c r="D614" s="53" t="s">
        <v>25</v>
      </c>
      <c r="E614" s="53" t="s">
        <v>25</v>
      </c>
      <c r="F614" s="53" t="s">
        <v>25</v>
      </c>
      <c r="G614" s="53" t="s">
        <v>62</v>
      </c>
      <c r="H614" s="53" t="s">
        <v>35</v>
      </c>
      <c r="I614" s="75">
        <v>44621</v>
      </c>
      <c r="J614" s="76">
        <f ca="1">EFEITO!$J$614*EFEITO!$Y$614</f>
        <v>14487.900743608612</v>
      </c>
      <c r="K614" s="76">
        <f ca="1">EFEITO!$L$614*EFEITO!$Z$614</f>
        <v>0</v>
      </c>
      <c r="L614" s="76">
        <f>EFEITO!$N$614*EFEITO!$AA$614</f>
        <v>0</v>
      </c>
      <c r="M614" s="76">
        <f ca="1">$J$614-EFEITO!$K$614*EFEITO!$Y$614</f>
        <v>0</v>
      </c>
      <c r="N614" s="76">
        <f ca="1">$K$614-EFEITO!$M$614*EFEITO!$Z$614</f>
        <v>0</v>
      </c>
      <c r="O614" s="76">
        <f>$L$614-EFEITO!$O$614*EFEITO!$AA$614</f>
        <v>0</v>
      </c>
      <c r="P614" s="57"/>
      <c r="Q614" s="57"/>
      <c r="R614" s="57"/>
      <c r="S614" s="57"/>
      <c r="T614" s="57"/>
      <c r="U614" s="57"/>
      <c r="V614" s="57"/>
      <c r="W614" s="57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11.25" customHeight="1" x14ac:dyDescent="0.2">
      <c r="A615" s="53" t="s">
        <v>56</v>
      </c>
      <c r="B615" s="53" t="s">
        <v>33</v>
      </c>
      <c r="C615" s="53" t="s">
        <v>61</v>
      </c>
      <c r="D615" s="53" t="s">
        <v>25</v>
      </c>
      <c r="E615" s="53" t="s">
        <v>25</v>
      </c>
      <c r="F615" s="53" t="s">
        <v>25</v>
      </c>
      <c r="G615" s="53" t="s">
        <v>62</v>
      </c>
      <c r="H615" s="53" t="s">
        <v>35</v>
      </c>
      <c r="I615" s="75">
        <v>44652</v>
      </c>
      <c r="J615" s="76">
        <f ca="1">EFEITO!$J$615*EFEITO!$Y$615</f>
        <v>14487.900743608612</v>
      </c>
      <c r="K615" s="76">
        <f ca="1">EFEITO!$L$615*EFEITO!$Z$615</f>
        <v>0</v>
      </c>
      <c r="L615" s="76">
        <f>EFEITO!$N$615*EFEITO!$AA$615</f>
        <v>0</v>
      </c>
      <c r="M615" s="76">
        <f ca="1">$J$615-EFEITO!$K$615*EFEITO!$Y$615</f>
        <v>0</v>
      </c>
      <c r="N615" s="76">
        <f ca="1">$K$615-EFEITO!$M$615*EFEITO!$Z$615</f>
        <v>0</v>
      </c>
      <c r="O615" s="76">
        <f>$L$615-EFEITO!$O$615*EFEITO!$AA$615</f>
        <v>0</v>
      </c>
      <c r="P615" s="57"/>
      <c r="Q615" s="57"/>
      <c r="R615" s="57"/>
      <c r="S615" s="57"/>
      <c r="T615" s="57"/>
      <c r="U615" s="57"/>
      <c r="V615" s="57"/>
      <c r="W615" s="57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11.25" customHeight="1" x14ac:dyDescent="0.2">
      <c r="A616" s="53" t="s">
        <v>21</v>
      </c>
      <c r="B616" s="53" t="s">
        <v>33</v>
      </c>
      <c r="C616" s="53" t="s">
        <v>64</v>
      </c>
      <c r="D616" s="53" t="s">
        <v>25</v>
      </c>
      <c r="E616" s="53" t="s">
        <v>25</v>
      </c>
      <c r="F616" s="53" t="s">
        <v>65</v>
      </c>
      <c r="G616" s="53" t="s">
        <v>68</v>
      </c>
      <c r="H616" s="53" t="s">
        <v>25</v>
      </c>
      <c r="I616" s="75">
        <v>44317</v>
      </c>
      <c r="J616" s="76">
        <f ca="1">EFEITO!$J$616*EFEITO!$Y$616</f>
        <v>33645.776523174158</v>
      </c>
      <c r="K616" s="76">
        <f>EFEITO!$L$616*EFEITO!$Z$616</f>
        <v>0</v>
      </c>
      <c r="L616" s="76">
        <f>EFEITO!$N$616*EFEITO!$AA$616</f>
        <v>0</v>
      </c>
      <c r="M616" s="76">
        <f ca="1">$J$616-EFEITO!$K$616*EFEITO!$Y$616</f>
        <v>16822.888261587079</v>
      </c>
      <c r="N616" s="76">
        <f>$K$616-EFEITO!$M$616*EFEITO!$Z$616</f>
        <v>0</v>
      </c>
      <c r="O616" s="76">
        <f>$L$616-EFEITO!$O$616*EFEITO!$AA$616</f>
        <v>0</v>
      </c>
      <c r="P616" s="57"/>
      <c r="Q616" s="57"/>
      <c r="R616" s="57"/>
      <c r="S616" s="57"/>
      <c r="T616" s="57"/>
      <c r="U616" s="57"/>
      <c r="V616" s="57"/>
      <c r="W616" s="57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11.25" customHeight="1" x14ac:dyDescent="0.2">
      <c r="A617" s="53" t="s">
        <v>21</v>
      </c>
      <c r="B617" s="53" t="s">
        <v>33</v>
      </c>
      <c r="C617" s="53" t="s">
        <v>64</v>
      </c>
      <c r="D617" s="53" t="s">
        <v>25</v>
      </c>
      <c r="E617" s="53" t="s">
        <v>25</v>
      </c>
      <c r="F617" s="53" t="s">
        <v>65</v>
      </c>
      <c r="G617" s="53" t="s">
        <v>68</v>
      </c>
      <c r="H617" s="53" t="s">
        <v>25</v>
      </c>
      <c r="I617" s="75">
        <v>44348</v>
      </c>
      <c r="J617" s="76">
        <f ca="1">EFEITO!$J$617*EFEITO!$Y$617</f>
        <v>34687.768704547147</v>
      </c>
      <c r="K617" s="76">
        <f>EFEITO!$L$617*EFEITO!$Z$617</f>
        <v>0</v>
      </c>
      <c r="L617" s="76">
        <f>EFEITO!$N$617*EFEITO!$AA$617</f>
        <v>0</v>
      </c>
      <c r="M617" s="76">
        <f ca="1">$J$617-EFEITO!$K$617*EFEITO!$Y$617</f>
        <v>17343.884352273573</v>
      </c>
      <c r="N617" s="76">
        <f>$K$617-EFEITO!$M$617*EFEITO!$Z$617</f>
        <v>0</v>
      </c>
      <c r="O617" s="76">
        <f>$L$617-EFEITO!$O$617*EFEITO!$AA$617</f>
        <v>0</v>
      </c>
      <c r="P617" s="57"/>
      <c r="Q617" s="57"/>
      <c r="R617" s="57"/>
      <c r="S617" s="57"/>
      <c r="T617" s="57"/>
      <c r="U617" s="57"/>
      <c r="V617" s="57"/>
      <c r="W617" s="57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11.25" customHeight="1" x14ac:dyDescent="0.2">
      <c r="A618" s="53" t="s">
        <v>21</v>
      </c>
      <c r="B618" s="53" t="s">
        <v>33</v>
      </c>
      <c r="C618" s="53" t="s">
        <v>64</v>
      </c>
      <c r="D618" s="53" t="s">
        <v>25</v>
      </c>
      <c r="E618" s="53" t="s">
        <v>25</v>
      </c>
      <c r="F618" s="53" t="s">
        <v>65</v>
      </c>
      <c r="G618" s="53" t="s">
        <v>68</v>
      </c>
      <c r="H618" s="53" t="s">
        <v>25</v>
      </c>
      <c r="I618" s="75">
        <v>44378</v>
      </c>
      <c r="J618" s="76">
        <f ca="1">EFEITO!$J$618*EFEITO!$Y$618</f>
        <v>34219.627289727396</v>
      </c>
      <c r="K618" s="76">
        <f>EFEITO!$L$618*EFEITO!$Z$618</f>
        <v>0</v>
      </c>
      <c r="L618" s="76">
        <f>EFEITO!$N$618*EFEITO!$AA$618</f>
        <v>0</v>
      </c>
      <c r="M618" s="76">
        <f ca="1">$J$618-EFEITO!$K$618*EFEITO!$Y$618</f>
        <v>17109.813644863698</v>
      </c>
      <c r="N618" s="76">
        <f>$K$618-EFEITO!$M$618*EFEITO!$Z$618</f>
        <v>0</v>
      </c>
      <c r="O618" s="76">
        <f>$L$618-EFEITO!$O$618*EFEITO!$AA$618</f>
        <v>0</v>
      </c>
      <c r="P618" s="57"/>
      <c r="Q618" s="57"/>
      <c r="R618" s="57"/>
      <c r="S618" s="57"/>
      <c r="T618" s="57"/>
      <c r="U618" s="57"/>
      <c r="V618" s="57"/>
      <c r="W618" s="57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11.25" customHeight="1" x14ac:dyDescent="0.2">
      <c r="A619" s="53" t="s">
        <v>21</v>
      </c>
      <c r="B619" s="53" t="s">
        <v>33</v>
      </c>
      <c r="C619" s="53" t="s">
        <v>64</v>
      </c>
      <c r="D619" s="53" t="s">
        <v>25</v>
      </c>
      <c r="E619" s="53" t="s">
        <v>25</v>
      </c>
      <c r="F619" s="53" t="s">
        <v>65</v>
      </c>
      <c r="G619" s="53" t="s">
        <v>68</v>
      </c>
      <c r="H619" s="53" t="s">
        <v>25</v>
      </c>
      <c r="I619" s="75">
        <v>44409</v>
      </c>
      <c r="J619" s="76">
        <f ca="1">EFEITO!$J$619*EFEITO!$Y$619</f>
        <v>32815.20304526815</v>
      </c>
      <c r="K619" s="76">
        <f>EFEITO!$L$619*EFEITO!$Z$619</f>
        <v>0</v>
      </c>
      <c r="L619" s="76">
        <f>EFEITO!$N$619*EFEITO!$AA$619</f>
        <v>0</v>
      </c>
      <c r="M619" s="76">
        <f ca="1">$J$619-EFEITO!$K$619*EFEITO!$Y$619</f>
        <v>16407.601522634075</v>
      </c>
      <c r="N619" s="76">
        <f>$K$619-EFEITO!$M$619*EFEITO!$Z$619</f>
        <v>0</v>
      </c>
      <c r="O619" s="76">
        <f>$L$619-EFEITO!$O$619*EFEITO!$AA$619</f>
        <v>0</v>
      </c>
      <c r="P619" s="57"/>
      <c r="Q619" s="57"/>
      <c r="R619" s="57"/>
      <c r="S619" s="57"/>
      <c r="T619" s="57"/>
      <c r="U619" s="57"/>
      <c r="V619" s="57"/>
      <c r="W619" s="57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11.25" customHeight="1" x14ac:dyDescent="0.2">
      <c r="A620" s="53" t="s">
        <v>21</v>
      </c>
      <c r="B620" s="53" t="s">
        <v>33</v>
      </c>
      <c r="C620" s="53" t="s">
        <v>64</v>
      </c>
      <c r="D620" s="53" t="s">
        <v>25</v>
      </c>
      <c r="E620" s="53" t="s">
        <v>25</v>
      </c>
      <c r="F620" s="53" t="s">
        <v>65</v>
      </c>
      <c r="G620" s="53" t="s">
        <v>68</v>
      </c>
      <c r="H620" s="53" t="s">
        <v>25</v>
      </c>
      <c r="I620" s="75">
        <v>44440</v>
      </c>
      <c r="J620" s="76">
        <f ca="1">EFEITO!$J$620*EFEITO!$Y$620</f>
        <v>47357.789576604198</v>
      </c>
      <c r="K620" s="76">
        <f>EFEITO!$L$620*EFEITO!$Z$620</f>
        <v>0</v>
      </c>
      <c r="L620" s="76">
        <f>EFEITO!$N$620*EFEITO!$AA$620</f>
        <v>0</v>
      </c>
      <c r="M620" s="76">
        <f ca="1">$J$620-EFEITO!$K$620*EFEITO!$Y$620</f>
        <v>23678.894788302099</v>
      </c>
      <c r="N620" s="76">
        <f>$K$620-EFEITO!$M$620*EFEITO!$Z$620</f>
        <v>0</v>
      </c>
      <c r="O620" s="76">
        <f>$L$620-EFEITO!$O$620*EFEITO!$AA$620</f>
        <v>0</v>
      </c>
      <c r="P620" s="57"/>
      <c r="Q620" s="57"/>
      <c r="R620" s="57"/>
      <c r="S620" s="57"/>
      <c r="T620" s="57"/>
      <c r="U620" s="57"/>
      <c r="V620" s="57"/>
      <c r="W620" s="57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11.25" customHeight="1" x14ac:dyDescent="0.2">
      <c r="A621" s="53" t="s">
        <v>21</v>
      </c>
      <c r="B621" s="53" t="s">
        <v>33</v>
      </c>
      <c r="C621" s="53" t="s">
        <v>64</v>
      </c>
      <c r="D621" s="53" t="s">
        <v>25</v>
      </c>
      <c r="E621" s="53" t="s">
        <v>25</v>
      </c>
      <c r="F621" s="53" t="s">
        <v>65</v>
      </c>
      <c r="G621" s="53" t="s">
        <v>68</v>
      </c>
      <c r="H621" s="53" t="s">
        <v>25</v>
      </c>
      <c r="I621" s="75">
        <v>44470</v>
      </c>
      <c r="J621" s="76">
        <f ca="1">EFEITO!$J$621*EFEITO!$Y$621</f>
        <v>36348.915660359155</v>
      </c>
      <c r="K621" s="76">
        <f>EFEITO!$L$621*EFEITO!$Z$621</f>
        <v>0</v>
      </c>
      <c r="L621" s="76">
        <f>EFEITO!$N$621*EFEITO!$AA$621</f>
        <v>0</v>
      </c>
      <c r="M621" s="76">
        <f ca="1">$J$621-EFEITO!$K$621*EFEITO!$Y$621</f>
        <v>18174.457830179577</v>
      </c>
      <c r="N621" s="76">
        <f>$K$621-EFEITO!$M$621*EFEITO!$Z$621</f>
        <v>0</v>
      </c>
      <c r="O621" s="76">
        <f>$L$621-EFEITO!$O$621*EFEITO!$AA$621</f>
        <v>0</v>
      </c>
      <c r="P621" s="57"/>
      <c r="Q621" s="57"/>
      <c r="R621" s="57"/>
      <c r="S621" s="57"/>
      <c r="T621" s="57"/>
      <c r="U621" s="57"/>
      <c r="V621" s="57"/>
      <c r="W621" s="57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11.25" customHeight="1" x14ac:dyDescent="0.2">
      <c r="A622" s="53" t="s">
        <v>21</v>
      </c>
      <c r="B622" s="53" t="s">
        <v>33</v>
      </c>
      <c r="C622" s="53" t="s">
        <v>64</v>
      </c>
      <c r="D622" s="53" t="s">
        <v>25</v>
      </c>
      <c r="E622" s="53" t="s">
        <v>25</v>
      </c>
      <c r="F622" s="53" t="s">
        <v>65</v>
      </c>
      <c r="G622" s="53" t="s">
        <v>68</v>
      </c>
      <c r="H622" s="53" t="s">
        <v>25</v>
      </c>
      <c r="I622" s="75">
        <v>44501</v>
      </c>
      <c r="J622" s="76">
        <f ca="1">EFEITO!$J$622*EFEITO!$Y$622</f>
        <v>30232.874595778576</v>
      </c>
      <c r="K622" s="76">
        <f>EFEITO!$L$622*EFEITO!$Z$622</f>
        <v>0</v>
      </c>
      <c r="L622" s="76">
        <f>EFEITO!$N$622*EFEITO!$AA$622</f>
        <v>0</v>
      </c>
      <c r="M622" s="76">
        <f ca="1">$J$622-EFEITO!$K$622*EFEITO!$Y$622</f>
        <v>15116.437297889288</v>
      </c>
      <c r="N622" s="76">
        <f>$K$622-EFEITO!$M$622*EFEITO!$Z$622</f>
        <v>0</v>
      </c>
      <c r="O622" s="76">
        <f>$L$622-EFEITO!$O$622*EFEITO!$AA$622</f>
        <v>0</v>
      </c>
      <c r="P622" s="57"/>
      <c r="Q622" s="57"/>
      <c r="R622" s="57"/>
      <c r="S622" s="57"/>
      <c r="T622" s="57"/>
      <c r="U622" s="57"/>
      <c r="V622" s="57"/>
      <c r="W622" s="57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11.25" customHeight="1" x14ac:dyDescent="0.2">
      <c r="A623" s="53" t="s">
        <v>21</v>
      </c>
      <c r="B623" s="53" t="s">
        <v>33</v>
      </c>
      <c r="C623" s="53" t="s">
        <v>64</v>
      </c>
      <c r="D623" s="53" t="s">
        <v>25</v>
      </c>
      <c r="E623" s="53" t="s">
        <v>25</v>
      </c>
      <c r="F623" s="53" t="s">
        <v>65</v>
      </c>
      <c r="G623" s="53" t="s">
        <v>68</v>
      </c>
      <c r="H623" s="53" t="s">
        <v>25</v>
      </c>
      <c r="I623" s="75">
        <v>44531</v>
      </c>
      <c r="J623" s="76">
        <f ca="1">EFEITO!$J$623*EFEITO!$Y$623</f>
        <v>31999.730903324074</v>
      </c>
      <c r="K623" s="76">
        <f>EFEITO!$L$623*EFEITO!$Z$623</f>
        <v>0</v>
      </c>
      <c r="L623" s="76">
        <f>EFEITO!$N$623*EFEITO!$AA$623</f>
        <v>0</v>
      </c>
      <c r="M623" s="76">
        <f ca="1">$J$623-EFEITO!$K$623*EFEITO!$Y$623</f>
        <v>15999.865451662037</v>
      </c>
      <c r="N623" s="76">
        <f>$K$623-EFEITO!$M$623*EFEITO!$Z$623</f>
        <v>0</v>
      </c>
      <c r="O623" s="76">
        <f>$L$623-EFEITO!$O$623*EFEITO!$AA$623</f>
        <v>0</v>
      </c>
      <c r="P623" s="57"/>
      <c r="Q623" s="57"/>
      <c r="R623" s="57"/>
      <c r="S623" s="57"/>
      <c r="T623" s="57"/>
      <c r="U623" s="57"/>
      <c r="V623" s="57"/>
      <c r="W623" s="57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11.25" customHeight="1" x14ac:dyDescent="0.2">
      <c r="A624" s="53" t="s">
        <v>21</v>
      </c>
      <c r="B624" s="53" t="s">
        <v>33</v>
      </c>
      <c r="C624" s="53" t="s">
        <v>64</v>
      </c>
      <c r="D624" s="53" t="s">
        <v>25</v>
      </c>
      <c r="E624" s="53" t="s">
        <v>25</v>
      </c>
      <c r="F624" s="53" t="s">
        <v>65</v>
      </c>
      <c r="G624" s="53" t="s">
        <v>68</v>
      </c>
      <c r="H624" s="53" t="s">
        <v>25</v>
      </c>
      <c r="I624" s="75">
        <v>44562</v>
      </c>
      <c r="J624" s="76">
        <f ca="1">EFEITO!$J$624*EFEITO!$Y$624</f>
        <v>31456.082808694689</v>
      </c>
      <c r="K624" s="76">
        <f>EFEITO!$L$624*EFEITO!$Z$624</f>
        <v>0</v>
      </c>
      <c r="L624" s="76">
        <f>EFEITO!$N$624*EFEITO!$AA$624</f>
        <v>0</v>
      </c>
      <c r="M624" s="76">
        <f ca="1">$J$624-EFEITO!$K$624*EFEITO!$Y$624</f>
        <v>15728.041404347345</v>
      </c>
      <c r="N624" s="76">
        <f>$K$624-EFEITO!$M$624*EFEITO!$Z$624</f>
        <v>0</v>
      </c>
      <c r="O624" s="76">
        <f>$L$624-EFEITO!$O$624*EFEITO!$AA$624</f>
        <v>0</v>
      </c>
      <c r="P624" s="57"/>
      <c r="Q624" s="57"/>
      <c r="R624" s="57"/>
      <c r="S624" s="57"/>
      <c r="T624" s="57"/>
      <c r="U624" s="57"/>
      <c r="V624" s="57"/>
      <c r="W624" s="57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11.25" customHeight="1" x14ac:dyDescent="0.2">
      <c r="A625" s="53" t="s">
        <v>21</v>
      </c>
      <c r="B625" s="53" t="s">
        <v>33</v>
      </c>
      <c r="C625" s="53" t="s">
        <v>64</v>
      </c>
      <c r="D625" s="53" t="s">
        <v>25</v>
      </c>
      <c r="E625" s="53" t="s">
        <v>25</v>
      </c>
      <c r="F625" s="53" t="s">
        <v>65</v>
      </c>
      <c r="G625" s="53" t="s">
        <v>68</v>
      </c>
      <c r="H625" s="53" t="s">
        <v>25</v>
      </c>
      <c r="I625" s="75">
        <v>44593</v>
      </c>
      <c r="J625" s="76">
        <f ca="1">EFEITO!$J$625*EFEITO!$Y$625</f>
        <v>30157.367915968938</v>
      </c>
      <c r="K625" s="76">
        <f>EFEITO!$L$625*EFEITO!$Z$625</f>
        <v>0</v>
      </c>
      <c r="L625" s="76">
        <f>EFEITO!$N$625*EFEITO!$AA$625</f>
        <v>0</v>
      </c>
      <c r="M625" s="76">
        <f ca="1">$J$625-EFEITO!$K$625*EFEITO!$Y$625</f>
        <v>15078.683957984469</v>
      </c>
      <c r="N625" s="76">
        <f>$K$625-EFEITO!$M$625*EFEITO!$Z$625</f>
        <v>0</v>
      </c>
      <c r="O625" s="76">
        <f>$L$625-EFEITO!$O$625*EFEITO!$AA$625</f>
        <v>0</v>
      </c>
      <c r="P625" s="57"/>
      <c r="Q625" s="57"/>
      <c r="R625" s="57"/>
      <c r="S625" s="57"/>
      <c r="T625" s="57"/>
      <c r="U625" s="57"/>
      <c r="V625" s="57"/>
      <c r="W625" s="57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11.25" customHeight="1" x14ac:dyDescent="0.2">
      <c r="A626" s="53" t="s">
        <v>21</v>
      </c>
      <c r="B626" s="53" t="s">
        <v>33</v>
      </c>
      <c r="C626" s="53" t="s">
        <v>64</v>
      </c>
      <c r="D626" s="53" t="s">
        <v>25</v>
      </c>
      <c r="E626" s="53" t="s">
        <v>25</v>
      </c>
      <c r="F626" s="53" t="s">
        <v>65</v>
      </c>
      <c r="G626" s="53" t="s">
        <v>68</v>
      </c>
      <c r="H626" s="53" t="s">
        <v>25</v>
      </c>
      <c r="I626" s="75">
        <v>44621</v>
      </c>
      <c r="J626" s="76">
        <f ca="1">EFEITO!$J$626*EFEITO!$Y$626</f>
        <v>29643.922493263406</v>
      </c>
      <c r="K626" s="76">
        <f>EFEITO!$L$626*EFEITO!$Z$626</f>
        <v>0</v>
      </c>
      <c r="L626" s="76">
        <f>EFEITO!$N$626*EFEITO!$AA$626</f>
        <v>0</v>
      </c>
      <c r="M626" s="76">
        <f ca="1">$J$626-EFEITO!$K$626*EFEITO!$Y$626</f>
        <v>14821.961246631703</v>
      </c>
      <c r="N626" s="76">
        <f>$K$626-EFEITO!$M$626*EFEITO!$Z$626</f>
        <v>0</v>
      </c>
      <c r="O626" s="76">
        <f>$L$626-EFEITO!$O$626*EFEITO!$AA$626</f>
        <v>0</v>
      </c>
      <c r="P626" s="57"/>
      <c r="Q626" s="57"/>
      <c r="R626" s="57"/>
      <c r="S626" s="57"/>
      <c r="T626" s="57"/>
      <c r="U626" s="57"/>
      <c r="V626" s="57"/>
      <c r="W626" s="57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11.25" customHeight="1" x14ac:dyDescent="0.2">
      <c r="A627" s="53" t="s">
        <v>56</v>
      </c>
      <c r="B627" s="53" t="s">
        <v>33</v>
      </c>
      <c r="C627" s="53" t="s">
        <v>64</v>
      </c>
      <c r="D627" s="53" t="s">
        <v>25</v>
      </c>
      <c r="E627" s="53" t="s">
        <v>25</v>
      </c>
      <c r="F627" s="53" t="s">
        <v>65</v>
      </c>
      <c r="G627" s="53" t="s">
        <v>68</v>
      </c>
      <c r="H627" s="53" t="s">
        <v>25</v>
      </c>
      <c r="I627" s="75">
        <v>44652</v>
      </c>
      <c r="J627" s="76">
        <f ca="1">EFEITO!$J$627*EFEITO!$Y$627</f>
        <v>29643.922493263406</v>
      </c>
      <c r="K627" s="76">
        <f>EFEITO!$L$627*EFEITO!$Z$627</f>
        <v>0</v>
      </c>
      <c r="L627" s="76">
        <f>EFEITO!$N$627*EFEITO!$AA$627</f>
        <v>0</v>
      </c>
      <c r="M627" s="76">
        <f ca="1">$J$627-EFEITO!$K$627*EFEITO!$Y$627</f>
        <v>14821.961246631703</v>
      </c>
      <c r="N627" s="76">
        <f>$K$627-EFEITO!$M$627*EFEITO!$Z$627</f>
        <v>0</v>
      </c>
      <c r="O627" s="76">
        <f>$L$627-EFEITO!$O$627*EFEITO!$AA$627</f>
        <v>0</v>
      </c>
      <c r="P627" s="57"/>
      <c r="Q627" s="57"/>
      <c r="R627" s="57"/>
      <c r="S627" s="57"/>
      <c r="T627" s="57"/>
      <c r="U627" s="57"/>
      <c r="V627" s="57"/>
      <c r="W627" s="57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11.25" customHeight="1" x14ac:dyDescent="0.2">
      <c r="A628" s="53" t="s">
        <v>21</v>
      </c>
      <c r="B628" s="53" t="s">
        <v>33</v>
      </c>
      <c r="C628" s="53" t="s">
        <v>64</v>
      </c>
      <c r="D628" s="53" t="s">
        <v>25</v>
      </c>
      <c r="E628" s="53" t="s">
        <v>25</v>
      </c>
      <c r="F628" s="53" t="s">
        <v>25</v>
      </c>
      <c r="G628" s="53" t="s">
        <v>72</v>
      </c>
      <c r="H628" s="53" t="s">
        <v>25</v>
      </c>
      <c r="I628" s="75">
        <v>44317</v>
      </c>
      <c r="J628" s="76">
        <f ca="1">EFEITO!$J$628*EFEITO!$Y$628</f>
        <v>14346.269163830992</v>
      </c>
      <c r="K628" s="76">
        <f>EFEITO!$L$628*EFEITO!$Z$628</f>
        <v>0</v>
      </c>
      <c r="L628" s="76">
        <f>EFEITO!$N$628*EFEITO!$AA$628</f>
        <v>0</v>
      </c>
      <c r="M628" s="76">
        <f ca="1">$J$628-EFEITO!$K$628*EFEITO!$Y$628</f>
        <v>7173.1345819154958</v>
      </c>
      <c r="N628" s="76">
        <f>$K$628-EFEITO!$M$628*EFEITO!$Z$628</f>
        <v>0</v>
      </c>
      <c r="O628" s="76">
        <f>$L$628-EFEITO!$O$628*EFEITO!$AA$628</f>
        <v>0</v>
      </c>
      <c r="P628" s="57"/>
      <c r="Q628" s="57"/>
      <c r="R628" s="57"/>
      <c r="S628" s="57"/>
      <c r="T628" s="57"/>
      <c r="U628" s="57"/>
      <c r="V628" s="57"/>
      <c r="W628" s="57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11.25" customHeight="1" x14ac:dyDescent="0.2">
      <c r="A629" s="53" t="s">
        <v>21</v>
      </c>
      <c r="B629" s="53" t="s">
        <v>33</v>
      </c>
      <c r="C629" s="53" t="s">
        <v>64</v>
      </c>
      <c r="D629" s="53" t="s">
        <v>25</v>
      </c>
      <c r="E629" s="53" t="s">
        <v>25</v>
      </c>
      <c r="F629" s="53" t="s">
        <v>25</v>
      </c>
      <c r="G629" s="53" t="s">
        <v>72</v>
      </c>
      <c r="H629" s="53" t="s">
        <v>25</v>
      </c>
      <c r="I629" s="75">
        <v>44348</v>
      </c>
      <c r="J629" s="76">
        <f ca="1">EFEITO!$J$629*EFEITO!$Y$629</f>
        <v>14346.269163830992</v>
      </c>
      <c r="K629" s="76">
        <f>EFEITO!$L$629*EFEITO!$Z$629</f>
        <v>0</v>
      </c>
      <c r="L629" s="76">
        <f>EFEITO!$N$629*EFEITO!$AA$629</f>
        <v>0</v>
      </c>
      <c r="M629" s="76">
        <f ca="1">$J$629-EFEITO!$K$629*EFEITO!$Y$629</f>
        <v>7173.1345819154958</v>
      </c>
      <c r="N629" s="76">
        <f>$K$629-EFEITO!$M$629*EFEITO!$Z$629</f>
        <v>0</v>
      </c>
      <c r="O629" s="76">
        <f>$L$629-EFEITO!$O$629*EFEITO!$AA$629</f>
        <v>0</v>
      </c>
      <c r="P629" s="57"/>
      <c r="Q629" s="57"/>
      <c r="R629" s="57"/>
      <c r="S629" s="57"/>
      <c r="T629" s="57"/>
      <c r="U629" s="57"/>
      <c r="V629" s="57"/>
      <c r="W629" s="57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11.25" customHeight="1" x14ac:dyDescent="0.2">
      <c r="A630" s="53" t="s">
        <v>21</v>
      </c>
      <c r="B630" s="53" t="s">
        <v>33</v>
      </c>
      <c r="C630" s="53" t="s">
        <v>64</v>
      </c>
      <c r="D630" s="53" t="s">
        <v>25</v>
      </c>
      <c r="E630" s="53" t="s">
        <v>25</v>
      </c>
      <c r="F630" s="53" t="s">
        <v>25</v>
      </c>
      <c r="G630" s="53" t="s">
        <v>72</v>
      </c>
      <c r="H630" s="53" t="s">
        <v>25</v>
      </c>
      <c r="I630" s="75">
        <v>44378</v>
      </c>
      <c r="J630" s="76">
        <f ca="1">EFEITO!$J$630*EFEITO!$Y$630</f>
        <v>14421.775843640629</v>
      </c>
      <c r="K630" s="76">
        <f>EFEITO!$L$630*EFEITO!$Z$630</f>
        <v>0</v>
      </c>
      <c r="L630" s="76">
        <f>EFEITO!$N$630*EFEITO!$AA$630</f>
        <v>0</v>
      </c>
      <c r="M630" s="76">
        <f ca="1">$J$630-EFEITO!$K$630*EFEITO!$Y$630</f>
        <v>7210.8879218203147</v>
      </c>
      <c r="N630" s="76">
        <f>$K$630-EFEITO!$M$630*EFEITO!$Z$630</f>
        <v>0</v>
      </c>
      <c r="O630" s="76">
        <f>$L$630-EFEITO!$O$630*EFEITO!$AA$630</f>
        <v>0</v>
      </c>
      <c r="P630" s="57"/>
      <c r="Q630" s="57"/>
      <c r="R630" s="57"/>
      <c r="S630" s="57"/>
      <c r="T630" s="57"/>
      <c r="U630" s="57"/>
      <c r="V630" s="57"/>
      <c r="W630" s="57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11.25" customHeight="1" x14ac:dyDescent="0.2">
      <c r="A631" s="53" t="s">
        <v>21</v>
      </c>
      <c r="B631" s="53" t="s">
        <v>33</v>
      </c>
      <c r="C631" s="53" t="s">
        <v>64</v>
      </c>
      <c r="D631" s="53" t="s">
        <v>25</v>
      </c>
      <c r="E631" s="53" t="s">
        <v>25</v>
      </c>
      <c r="F631" s="53" t="s">
        <v>25</v>
      </c>
      <c r="G631" s="53" t="s">
        <v>72</v>
      </c>
      <c r="H631" s="53" t="s">
        <v>25</v>
      </c>
      <c r="I631" s="75">
        <v>44409</v>
      </c>
      <c r="J631" s="76">
        <f ca="1">EFEITO!$J$631*EFEITO!$Y$631</f>
        <v>14874.81592249845</v>
      </c>
      <c r="K631" s="76">
        <f>EFEITO!$L$631*EFEITO!$Z$631</f>
        <v>0</v>
      </c>
      <c r="L631" s="76">
        <f>EFEITO!$N$631*EFEITO!$AA$631</f>
        <v>0</v>
      </c>
      <c r="M631" s="76">
        <f ca="1">$J$631-EFEITO!$K$631*EFEITO!$Y$631</f>
        <v>7437.4079612492251</v>
      </c>
      <c r="N631" s="76">
        <f>$K$631-EFEITO!$M$631*EFEITO!$Z$631</f>
        <v>0</v>
      </c>
      <c r="O631" s="76">
        <f>$L$631-EFEITO!$O$631*EFEITO!$AA$631</f>
        <v>0</v>
      </c>
      <c r="P631" s="57"/>
      <c r="Q631" s="57"/>
      <c r="R631" s="57"/>
      <c r="S631" s="57"/>
      <c r="T631" s="57"/>
      <c r="U631" s="57"/>
      <c r="V631" s="57"/>
      <c r="W631" s="57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11.25" customHeight="1" x14ac:dyDescent="0.2">
      <c r="A632" s="53" t="s">
        <v>21</v>
      </c>
      <c r="B632" s="53" t="s">
        <v>33</v>
      </c>
      <c r="C632" s="53" t="s">
        <v>64</v>
      </c>
      <c r="D632" s="53" t="s">
        <v>25</v>
      </c>
      <c r="E632" s="53" t="s">
        <v>25</v>
      </c>
      <c r="F632" s="53" t="s">
        <v>25</v>
      </c>
      <c r="G632" s="53" t="s">
        <v>72</v>
      </c>
      <c r="H632" s="53" t="s">
        <v>25</v>
      </c>
      <c r="I632" s="75">
        <v>44440</v>
      </c>
      <c r="J632" s="76">
        <f ca="1">EFEITO!$J$632*EFEITO!$Y$632</f>
        <v>15252.349321546633</v>
      </c>
      <c r="K632" s="76">
        <f>EFEITO!$L$632*EFEITO!$Z$632</f>
        <v>0</v>
      </c>
      <c r="L632" s="76">
        <f>EFEITO!$N$632*EFEITO!$AA$632</f>
        <v>0</v>
      </c>
      <c r="M632" s="76">
        <f ca="1">$J$632-EFEITO!$K$632*EFEITO!$Y$632</f>
        <v>7626.1746607733166</v>
      </c>
      <c r="N632" s="76">
        <f>$K$632-EFEITO!$M$632*EFEITO!$Z$632</f>
        <v>0</v>
      </c>
      <c r="O632" s="76">
        <f>$L$632-EFEITO!$O$632*EFEITO!$AA$632</f>
        <v>0</v>
      </c>
      <c r="P632" s="57"/>
      <c r="Q632" s="57"/>
      <c r="R632" s="57"/>
      <c r="S632" s="57"/>
      <c r="T632" s="57"/>
      <c r="U632" s="57"/>
      <c r="V632" s="57"/>
      <c r="W632" s="57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11.25" customHeight="1" x14ac:dyDescent="0.2">
      <c r="A633" s="53" t="s">
        <v>21</v>
      </c>
      <c r="B633" s="53" t="s">
        <v>33</v>
      </c>
      <c r="C633" s="53" t="s">
        <v>64</v>
      </c>
      <c r="D633" s="53" t="s">
        <v>25</v>
      </c>
      <c r="E633" s="53" t="s">
        <v>25</v>
      </c>
      <c r="F633" s="53" t="s">
        <v>25</v>
      </c>
      <c r="G633" s="53" t="s">
        <v>72</v>
      </c>
      <c r="H633" s="53" t="s">
        <v>25</v>
      </c>
      <c r="I633" s="75">
        <v>44470</v>
      </c>
      <c r="J633" s="76">
        <f ca="1">EFEITO!$J$633*EFEITO!$Y$633</f>
        <v>15252.349321546633</v>
      </c>
      <c r="K633" s="76">
        <f>EFEITO!$L$633*EFEITO!$Z$633</f>
        <v>0</v>
      </c>
      <c r="L633" s="76">
        <f>EFEITO!$N$633*EFEITO!$AA$633</f>
        <v>0</v>
      </c>
      <c r="M633" s="76">
        <f ca="1">$J$633-EFEITO!$K$633*EFEITO!$Y$633</f>
        <v>7626.1746607733166</v>
      </c>
      <c r="N633" s="76">
        <f>$K$633-EFEITO!$M$633*EFEITO!$Z$633</f>
        <v>0</v>
      </c>
      <c r="O633" s="76">
        <f>$L$633-EFEITO!$O$633*EFEITO!$AA$633</f>
        <v>0</v>
      </c>
      <c r="P633" s="57"/>
      <c r="Q633" s="57"/>
      <c r="R633" s="57"/>
      <c r="S633" s="57"/>
      <c r="T633" s="57"/>
      <c r="U633" s="57"/>
      <c r="V633" s="57"/>
      <c r="W633" s="57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11.25" customHeight="1" x14ac:dyDescent="0.2">
      <c r="A634" s="53" t="s">
        <v>21</v>
      </c>
      <c r="B634" s="53" t="s">
        <v>33</v>
      </c>
      <c r="C634" s="53" t="s">
        <v>64</v>
      </c>
      <c r="D634" s="53" t="s">
        <v>25</v>
      </c>
      <c r="E634" s="53" t="s">
        <v>25</v>
      </c>
      <c r="F634" s="53" t="s">
        <v>25</v>
      </c>
      <c r="G634" s="53" t="s">
        <v>72</v>
      </c>
      <c r="H634" s="53" t="s">
        <v>25</v>
      </c>
      <c r="I634" s="75">
        <v>44501</v>
      </c>
      <c r="J634" s="76">
        <f ca="1">EFEITO!$J$634*EFEITO!$Y$634</f>
        <v>15252.349321546633</v>
      </c>
      <c r="K634" s="76">
        <f>EFEITO!$L$634*EFEITO!$Z$634</f>
        <v>0</v>
      </c>
      <c r="L634" s="76">
        <f>EFEITO!$N$634*EFEITO!$AA$634</f>
        <v>0</v>
      </c>
      <c r="M634" s="76">
        <f ca="1">$J$634-EFEITO!$K$634*EFEITO!$Y$634</f>
        <v>7626.1746607733166</v>
      </c>
      <c r="N634" s="76">
        <f>$K$634-EFEITO!$M$634*EFEITO!$Z$634</f>
        <v>0</v>
      </c>
      <c r="O634" s="76">
        <f>$L$634-EFEITO!$O$634*EFEITO!$AA$634</f>
        <v>0</v>
      </c>
      <c r="P634" s="57"/>
      <c r="Q634" s="57"/>
      <c r="R634" s="57"/>
      <c r="S634" s="57"/>
      <c r="T634" s="57"/>
      <c r="U634" s="57"/>
      <c r="V634" s="57"/>
      <c r="W634" s="57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11.25" customHeight="1" x14ac:dyDescent="0.2">
      <c r="A635" s="53" t="s">
        <v>21</v>
      </c>
      <c r="B635" s="53" t="s">
        <v>33</v>
      </c>
      <c r="C635" s="53" t="s">
        <v>64</v>
      </c>
      <c r="D635" s="53" t="s">
        <v>25</v>
      </c>
      <c r="E635" s="53" t="s">
        <v>25</v>
      </c>
      <c r="F635" s="53" t="s">
        <v>25</v>
      </c>
      <c r="G635" s="53" t="s">
        <v>72</v>
      </c>
      <c r="H635" s="53" t="s">
        <v>25</v>
      </c>
      <c r="I635" s="75">
        <v>44531</v>
      </c>
      <c r="J635" s="76">
        <f ca="1">EFEITO!$J$635*EFEITO!$Y$635</f>
        <v>15252.349321546633</v>
      </c>
      <c r="K635" s="76">
        <f>EFEITO!$L$635*EFEITO!$Z$635</f>
        <v>0</v>
      </c>
      <c r="L635" s="76">
        <f>EFEITO!$N$635*EFEITO!$AA$635</f>
        <v>0</v>
      </c>
      <c r="M635" s="76">
        <f ca="1">$J$635-EFEITO!$K$635*EFEITO!$Y$635</f>
        <v>7626.1746607733166</v>
      </c>
      <c r="N635" s="76">
        <f>$K$635-EFEITO!$M$635*EFEITO!$Z$635</f>
        <v>0</v>
      </c>
      <c r="O635" s="76">
        <f>$L$635-EFEITO!$O$635*EFEITO!$AA$635</f>
        <v>0</v>
      </c>
      <c r="P635" s="57"/>
      <c r="Q635" s="57"/>
      <c r="R635" s="57"/>
      <c r="S635" s="57"/>
      <c r="T635" s="57"/>
      <c r="U635" s="57"/>
      <c r="V635" s="57"/>
      <c r="W635" s="57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11.25" customHeight="1" x14ac:dyDescent="0.2">
      <c r="A636" s="53" t="s">
        <v>21</v>
      </c>
      <c r="B636" s="53" t="s">
        <v>33</v>
      </c>
      <c r="C636" s="53" t="s">
        <v>64</v>
      </c>
      <c r="D636" s="53" t="s">
        <v>25</v>
      </c>
      <c r="E636" s="53" t="s">
        <v>25</v>
      </c>
      <c r="F636" s="53" t="s">
        <v>25</v>
      </c>
      <c r="G636" s="53" t="s">
        <v>72</v>
      </c>
      <c r="H636" s="53" t="s">
        <v>25</v>
      </c>
      <c r="I636" s="75">
        <v>44562</v>
      </c>
      <c r="J636" s="76">
        <f ca="1">EFEITO!$J$636*EFEITO!$Y$636</f>
        <v>14316.066491907137</v>
      </c>
      <c r="K636" s="76">
        <f>EFEITO!$L$636*EFEITO!$Z$636</f>
        <v>0</v>
      </c>
      <c r="L636" s="76">
        <f>EFEITO!$N$636*EFEITO!$AA$636</f>
        <v>0</v>
      </c>
      <c r="M636" s="76">
        <f ca="1">$J$636-EFEITO!$K$636*EFEITO!$Y$636</f>
        <v>7158.0332459535684</v>
      </c>
      <c r="N636" s="76">
        <f>$K$636-EFEITO!$M$636*EFEITO!$Z$636</f>
        <v>0</v>
      </c>
      <c r="O636" s="76">
        <f>$L$636-EFEITO!$O$636*EFEITO!$AA$636</f>
        <v>0</v>
      </c>
      <c r="P636" s="57"/>
      <c r="Q636" s="57"/>
      <c r="R636" s="57"/>
      <c r="S636" s="57"/>
      <c r="T636" s="57"/>
      <c r="U636" s="57"/>
      <c r="V636" s="57"/>
      <c r="W636" s="57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11.25" customHeight="1" x14ac:dyDescent="0.2">
      <c r="A637" s="53" t="s">
        <v>21</v>
      </c>
      <c r="B637" s="53" t="s">
        <v>33</v>
      </c>
      <c r="C637" s="53" t="s">
        <v>64</v>
      </c>
      <c r="D637" s="53" t="s">
        <v>25</v>
      </c>
      <c r="E637" s="53" t="s">
        <v>25</v>
      </c>
      <c r="F637" s="53" t="s">
        <v>25</v>
      </c>
      <c r="G637" s="53" t="s">
        <v>72</v>
      </c>
      <c r="H637" s="53" t="s">
        <v>25</v>
      </c>
      <c r="I637" s="75">
        <v>44593</v>
      </c>
      <c r="J637" s="76">
        <f ca="1">EFEITO!$J$637*EFEITO!$Y$637</f>
        <v>12987.148927257529</v>
      </c>
      <c r="K637" s="76">
        <f>EFEITO!$L$637*EFEITO!$Z$637</f>
        <v>0</v>
      </c>
      <c r="L637" s="76">
        <f>EFEITO!$N$637*EFEITO!$AA$637</f>
        <v>0</v>
      </c>
      <c r="M637" s="76">
        <f ca="1">$J$637-EFEITO!$K$637*EFEITO!$Y$637</f>
        <v>6493.5744636287645</v>
      </c>
      <c r="N637" s="76">
        <f>$K$637-EFEITO!$M$637*EFEITO!$Z$637</f>
        <v>0</v>
      </c>
      <c r="O637" s="76">
        <f>$L$637-EFEITO!$O$637*EFEITO!$AA$637</f>
        <v>0</v>
      </c>
      <c r="P637" s="57"/>
      <c r="Q637" s="57"/>
      <c r="R637" s="57"/>
      <c r="S637" s="57"/>
      <c r="T637" s="57"/>
      <c r="U637" s="57"/>
      <c r="V637" s="57"/>
      <c r="W637" s="57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11.25" customHeight="1" x14ac:dyDescent="0.2">
      <c r="A638" s="53" t="s">
        <v>21</v>
      </c>
      <c r="B638" s="53" t="s">
        <v>33</v>
      </c>
      <c r="C638" s="53" t="s">
        <v>64</v>
      </c>
      <c r="D638" s="53" t="s">
        <v>25</v>
      </c>
      <c r="E638" s="53" t="s">
        <v>25</v>
      </c>
      <c r="F638" s="53" t="s">
        <v>25</v>
      </c>
      <c r="G638" s="53" t="s">
        <v>72</v>
      </c>
      <c r="H638" s="53" t="s">
        <v>25</v>
      </c>
      <c r="I638" s="75">
        <v>44621</v>
      </c>
      <c r="J638" s="76">
        <f ca="1">EFEITO!$J$638*EFEITO!$Y$638</f>
        <v>13712.013053430042</v>
      </c>
      <c r="K638" s="76">
        <f>EFEITO!$L$638*EFEITO!$Z$638</f>
        <v>0</v>
      </c>
      <c r="L638" s="76">
        <f>EFEITO!$N$638*EFEITO!$AA$638</f>
        <v>0</v>
      </c>
      <c r="M638" s="76">
        <f ca="1">$J$638-EFEITO!$K$638*EFEITO!$Y$638</f>
        <v>6856.0065267150212</v>
      </c>
      <c r="N638" s="76">
        <f>$K$638-EFEITO!$M$638*EFEITO!$Z$638</f>
        <v>0</v>
      </c>
      <c r="O638" s="76">
        <f>$L$638-EFEITO!$O$638*EFEITO!$AA$638</f>
        <v>0</v>
      </c>
      <c r="P638" s="57"/>
      <c r="Q638" s="57"/>
      <c r="R638" s="57"/>
      <c r="S638" s="57"/>
      <c r="T638" s="57"/>
      <c r="U638" s="57"/>
      <c r="V638" s="57"/>
      <c r="W638" s="57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11.25" customHeight="1" x14ac:dyDescent="0.2">
      <c r="A639" s="53" t="s">
        <v>56</v>
      </c>
      <c r="B639" s="53" t="s">
        <v>33</v>
      </c>
      <c r="C639" s="53" t="s">
        <v>64</v>
      </c>
      <c r="D639" s="53" t="s">
        <v>25</v>
      </c>
      <c r="E639" s="53" t="s">
        <v>25</v>
      </c>
      <c r="F639" s="53" t="s">
        <v>25</v>
      </c>
      <c r="G639" s="53" t="s">
        <v>72</v>
      </c>
      <c r="H639" s="53" t="s">
        <v>25</v>
      </c>
      <c r="I639" s="75">
        <v>44652</v>
      </c>
      <c r="J639" s="76">
        <f ca="1">EFEITO!$J$639*EFEITO!$Y$639</f>
        <v>13712.013053430042</v>
      </c>
      <c r="K639" s="76">
        <f>EFEITO!$L$639*EFEITO!$Z$639</f>
        <v>0</v>
      </c>
      <c r="L639" s="76">
        <f>EFEITO!$N$639*EFEITO!$AA$639</f>
        <v>0</v>
      </c>
      <c r="M639" s="76">
        <f ca="1">$J$639-EFEITO!$K$639*EFEITO!$Y$639</f>
        <v>6856.0065267150212</v>
      </c>
      <c r="N639" s="76">
        <f>$K$639-EFEITO!$M$639*EFEITO!$Z$639</f>
        <v>0</v>
      </c>
      <c r="O639" s="76">
        <f>$L$639-EFEITO!$O$639*EFEITO!$AA$639</f>
        <v>0</v>
      </c>
      <c r="P639" s="57"/>
      <c r="Q639" s="57"/>
      <c r="R639" s="57"/>
      <c r="S639" s="57"/>
      <c r="T639" s="57"/>
      <c r="U639" s="57"/>
      <c r="V639" s="57"/>
      <c r="W639" s="57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11.25" customHeight="1" x14ac:dyDescent="0.2">
      <c r="A640" s="53" t="s">
        <v>21</v>
      </c>
      <c r="B640" s="53" t="s">
        <v>33</v>
      </c>
      <c r="C640" s="53" t="s">
        <v>34</v>
      </c>
      <c r="D640" s="53" t="s">
        <v>43</v>
      </c>
      <c r="E640" s="53" t="s">
        <v>25</v>
      </c>
      <c r="F640" s="53" t="s">
        <v>25</v>
      </c>
      <c r="G640" s="53" t="s">
        <v>25</v>
      </c>
      <c r="H640" s="53" t="s">
        <v>36</v>
      </c>
      <c r="I640" s="75">
        <v>44317</v>
      </c>
      <c r="J640" s="76">
        <f>EFEITO!$J$640*EFEITO!$Y$640</f>
        <v>0</v>
      </c>
      <c r="K640" s="76">
        <f ca="1">EFEITO!$L$640*EFEITO!$Z$640</f>
        <v>2106328.8125652783</v>
      </c>
      <c r="L640" s="76">
        <f>EFEITO!$N$640*EFEITO!$AA$640</f>
        <v>4856727.2473275559</v>
      </c>
      <c r="M640" s="76">
        <f>$J$640-EFEITO!$K$640*EFEITO!$Y$640</f>
        <v>0</v>
      </c>
      <c r="N640" s="76">
        <f ca="1">$K$640-EFEITO!$M$640*EFEITO!$Z$640</f>
        <v>0</v>
      </c>
      <c r="O640" s="76">
        <f>$L$640-EFEITO!$O$640*EFEITO!$AA$640</f>
        <v>0</v>
      </c>
      <c r="P640" s="57"/>
      <c r="Q640" s="57"/>
      <c r="R640" s="57"/>
      <c r="S640" s="57"/>
      <c r="T640" s="57"/>
      <c r="U640" s="57"/>
      <c r="V640" s="57"/>
      <c r="W640" s="57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11.25" customHeight="1" x14ac:dyDescent="0.2">
      <c r="A641" s="53" t="s">
        <v>28</v>
      </c>
      <c r="B641" s="53" t="s">
        <v>33</v>
      </c>
      <c r="C641" s="53" t="s">
        <v>34</v>
      </c>
      <c r="D641" s="53" t="s">
        <v>43</v>
      </c>
      <c r="E641" s="53" t="s">
        <v>25</v>
      </c>
      <c r="F641" s="53" t="s">
        <v>25</v>
      </c>
      <c r="G641" s="53" t="s">
        <v>25</v>
      </c>
      <c r="H641" s="53" t="s">
        <v>36</v>
      </c>
      <c r="I641" s="75">
        <v>44317</v>
      </c>
      <c r="J641" s="76">
        <f>EFEITO!$J$641*EFEITO!$Y$641</f>
        <v>0</v>
      </c>
      <c r="K641" s="76">
        <f ca="1">EFEITO!$L$641*EFEITO!$Z$641</f>
        <v>27630.391409552769</v>
      </c>
      <c r="L641" s="76">
        <f>EFEITO!$N$641*EFEITO!$AA$641</f>
        <v>63709.556652585234</v>
      </c>
      <c r="M641" s="76">
        <f>$J$641-EFEITO!$K$641*EFEITO!$Y$641</f>
        <v>0</v>
      </c>
      <c r="N641" s="76">
        <f ca="1">$K$641-EFEITO!$M$641*EFEITO!$Z$641</f>
        <v>0</v>
      </c>
      <c r="O641" s="76">
        <f>$L$641-EFEITO!$O$641*EFEITO!$AA$641</f>
        <v>0</v>
      </c>
      <c r="P641" s="57"/>
      <c r="Q641" s="57"/>
      <c r="R641" s="57"/>
      <c r="S641" s="57"/>
      <c r="T641" s="57"/>
      <c r="U641" s="57"/>
      <c r="V641" s="57"/>
      <c r="W641" s="57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11.25" customHeight="1" x14ac:dyDescent="0.2">
      <c r="A642" s="53" t="s">
        <v>28</v>
      </c>
      <c r="B642" s="53" t="s">
        <v>33</v>
      </c>
      <c r="C642" s="53" t="s">
        <v>34</v>
      </c>
      <c r="D642" s="53" t="s">
        <v>43</v>
      </c>
      <c r="E642" s="53" t="s">
        <v>25</v>
      </c>
      <c r="F642" s="53" t="s">
        <v>25</v>
      </c>
      <c r="G642" s="53" t="s">
        <v>25</v>
      </c>
      <c r="H642" s="53" t="s">
        <v>36</v>
      </c>
      <c r="I642" s="75">
        <v>44317</v>
      </c>
      <c r="J642" s="76">
        <f>EFEITO!$J$642*EFEITO!$Y$642</f>
        <v>0</v>
      </c>
      <c r="K642" s="76">
        <f ca="1">EFEITO!$L$642*EFEITO!$Z$642</f>
        <v>-1542.5606439567318</v>
      </c>
      <c r="L642" s="76">
        <f>EFEITO!$N$642*EFEITO!$AA$642</f>
        <v>-3556.8028436337113</v>
      </c>
      <c r="M642" s="76">
        <f>$J$642-EFEITO!$K$642*EFEITO!$Y$642</f>
        <v>0</v>
      </c>
      <c r="N642" s="76">
        <f ca="1">$K$642-EFEITO!$M$642*EFEITO!$Z$642</f>
        <v>0</v>
      </c>
      <c r="O642" s="76">
        <f>$L$642-EFEITO!$O$642*EFEITO!$AA$642</f>
        <v>0</v>
      </c>
      <c r="P642" s="57"/>
      <c r="Q642" s="57"/>
      <c r="R642" s="57"/>
      <c r="S642" s="57"/>
      <c r="T642" s="57"/>
      <c r="U642" s="57"/>
      <c r="V642" s="57"/>
      <c r="W642" s="57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11.25" customHeight="1" x14ac:dyDescent="0.2">
      <c r="A643" s="53" t="s">
        <v>21</v>
      </c>
      <c r="B643" s="53" t="s">
        <v>33</v>
      </c>
      <c r="C643" s="53" t="s">
        <v>34</v>
      </c>
      <c r="D643" s="53" t="s">
        <v>43</v>
      </c>
      <c r="E643" s="53" t="s">
        <v>25</v>
      </c>
      <c r="F643" s="53" t="s">
        <v>25</v>
      </c>
      <c r="G643" s="53" t="s">
        <v>25</v>
      </c>
      <c r="H643" s="53" t="s">
        <v>36</v>
      </c>
      <c r="I643" s="75">
        <v>44348</v>
      </c>
      <c r="J643" s="76">
        <f>EFEITO!$J$643*EFEITO!$Y$643</f>
        <v>0</v>
      </c>
      <c r="K643" s="76">
        <f ca="1">EFEITO!$L$643*EFEITO!$Z$643</f>
        <v>1896789.858215184</v>
      </c>
      <c r="L643" s="76">
        <f>EFEITO!$N$643*EFEITO!$AA$643</f>
        <v>4373576.8755063526</v>
      </c>
      <c r="M643" s="76">
        <f>$J$643-EFEITO!$K$643*EFEITO!$Y$643</f>
        <v>0</v>
      </c>
      <c r="N643" s="76">
        <f ca="1">$K$643-EFEITO!$M$643*EFEITO!$Z$643</f>
        <v>0</v>
      </c>
      <c r="O643" s="76">
        <f>$L$643-EFEITO!$O$643*EFEITO!$AA$643</f>
        <v>0</v>
      </c>
      <c r="P643" s="57"/>
      <c r="Q643" s="57"/>
      <c r="R643" s="57"/>
      <c r="S643" s="57"/>
      <c r="T643" s="57"/>
      <c r="U643" s="57"/>
      <c r="V643" s="57"/>
      <c r="W643" s="57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11.25" customHeight="1" x14ac:dyDescent="0.2">
      <c r="A644" s="53" t="s">
        <v>27</v>
      </c>
      <c r="B644" s="53" t="s">
        <v>33</v>
      </c>
      <c r="C644" s="53" t="s">
        <v>34</v>
      </c>
      <c r="D644" s="53" t="s">
        <v>43</v>
      </c>
      <c r="E644" s="53" t="s">
        <v>25</v>
      </c>
      <c r="F644" s="53" t="s">
        <v>25</v>
      </c>
      <c r="G644" s="53" t="s">
        <v>25</v>
      </c>
      <c r="H644" s="53" t="s">
        <v>36</v>
      </c>
      <c r="I644" s="75">
        <v>44348</v>
      </c>
      <c r="J644" s="76">
        <f>EFEITO!$J$644*EFEITO!$Y$644</f>
        <v>0</v>
      </c>
      <c r="K644" s="76">
        <f ca="1">EFEITO!$L$644*EFEITO!$Z$644</f>
        <v>-13832.364011989199</v>
      </c>
      <c r="L644" s="76">
        <f>EFEITO!$N$644*EFEITO!$AA$644</f>
        <v>-31894.364636337632</v>
      </c>
      <c r="M644" s="76">
        <f>$J$644-EFEITO!$K$644*EFEITO!$Y$644</f>
        <v>0</v>
      </c>
      <c r="N644" s="76">
        <f ca="1">$K$644-EFEITO!$M$644*EFEITO!$Z$644</f>
        <v>0</v>
      </c>
      <c r="O644" s="76">
        <f>$L$644-EFEITO!$O$644*EFEITO!$AA$644</f>
        <v>0</v>
      </c>
      <c r="P644" s="57"/>
      <c r="Q644" s="57"/>
      <c r="R644" s="57"/>
      <c r="S644" s="57"/>
      <c r="T644" s="57"/>
      <c r="U644" s="57"/>
      <c r="V644" s="57"/>
      <c r="W644" s="57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11.25" customHeight="1" x14ac:dyDescent="0.2">
      <c r="A645" s="53" t="s">
        <v>28</v>
      </c>
      <c r="B645" s="53" t="s">
        <v>33</v>
      </c>
      <c r="C645" s="53" t="s">
        <v>34</v>
      </c>
      <c r="D645" s="53" t="s">
        <v>43</v>
      </c>
      <c r="E645" s="53" t="s">
        <v>25</v>
      </c>
      <c r="F645" s="53" t="s">
        <v>25</v>
      </c>
      <c r="G645" s="53" t="s">
        <v>25</v>
      </c>
      <c r="H645" s="53" t="s">
        <v>36</v>
      </c>
      <c r="I645" s="75">
        <v>44348</v>
      </c>
      <c r="J645" s="76">
        <f>EFEITO!$J$645*EFEITO!$Y$645</f>
        <v>0</v>
      </c>
      <c r="K645" s="76">
        <f ca="1">EFEITO!$L$645*EFEITO!$Z$645</f>
        <v>25223.771029981304</v>
      </c>
      <c r="L645" s="76">
        <f>EFEITO!$N$645*EFEITO!$AA$645</f>
        <v>58160.423629425641</v>
      </c>
      <c r="M645" s="76">
        <f>$J$645-EFEITO!$K$645*EFEITO!$Y$645</f>
        <v>0</v>
      </c>
      <c r="N645" s="76">
        <f ca="1">$K$645-EFEITO!$M$645*EFEITO!$Z$645</f>
        <v>0</v>
      </c>
      <c r="O645" s="76">
        <f>$L$645-EFEITO!$O$645*EFEITO!$AA$645</f>
        <v>0</v>
      </c>
      <c r="P645" s="57"/>
      <c r="Q645" s="57"/>
      <c r="R645" s="57"/>
      <c r="S645" s="57"/>
      <c r="T645" s="57"/>
      <c r="U645" s="57"/>
      <c r="V645" s="57"/>
      <c r="W645" s="57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11.25" customHeight="1" x14ac:dyDescent="0.2">
      <c r="A646" s="53" t="s">
        <v>21</v>
      </c>
      <c r="B646" s="53" t="s">
        <v>33</v>
      </c>
      <c r="C646" s="53" t="s">
        <v>34</v>
      </c>
      <c r="D646" s="53" t="s">
        <v>43</v>
      </c>
      <c r="E646" s="53" t="s">
        <v>25</v>
      </c>
      <c r="F646" s="53" t="s">
        <v>25</v>
      </c>
      <c r="G646" s="53" t="s">
        <v>25</v>
      </c>
      <c r="H646" s="53" t="s">
        <v>36</v>
      </c>
      <c r="I646" s="75">
        <v>44378</v>
      </c>
      <c r="J646" s="76">
        <f>EFEITO!$J$646*EFEITO!$Y$646</f>
        <v>0</v>
      </c>
      <c r="K646" s="76">
        <f ca="1">EFEITO!$L$646*EFEITO!$Z$646</f>
        <v>2011491.4362951342</v>
      </c>
      <c r="L646" s="76">
        <f>EFEITO!$N$646*EFEITO!$AA$646</f>
        <v>4638053.2840562165</v>
      </c>
      <c r="M646" s="76">
        <f>$J$646-EFEITO!$K$646*EFEITO!$Y$646</f>
        <v>0</v>
      </c>
      <c r="N646" s="76">
        <f ca="1">$K$646-EFEITO!$M$646*EFEITO!$Z$646</f>
        <v>0</v>
      </c>
      <c r="O646" s="76">
        <f>$L$646-EFEITO!$O$646*EFEITO!$AA$646</f>
        <v>0</v>
      </c>
      <c r="P646" s="57"/>
      <c r="Q646" s="57"/>
      <c r="R646" s="57"/>
      <c r="S646" s="57"/>
      <c r="T646" s="57"/>
      <c r="U646" s="57"/>
      <c r="V646" s="57"/>
      <c r="W646" s="57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11.25" customHeight="1" x14ac:dyDescent="0.2">
      <c r="A647" s="53" t="s">
        <v>27</v>
      </c>
      <c r="B647" s="53" t="s">
        <v>33</v>
      </c>
      <c r="C647" s="53" t="s">
        <v>34</v>
      </c>
      <c r="D647" s="53" t="s">
        <v>43</v>
      </c>
      <c r="E647" s="53" t="s">
        <v>25</v>
      </c>
      <c r="F647" s="53" t="s">
        <v>25</v>
      </c>
      <c r="G647" s="53" t="s">
        <v>25</v>
      </c>
      <c r="H647" s="53" t="s">
        <v>36</v>
      </c>
      <c r="I647" s="75">
        <v>44378</v>
      </c>
      <c r="J647" s="76">
        <f>EFEITO!$J$647*EFEITO!$Y$647</f>
        <v>0</v>
      </c>
      <c r="K647" s="76">
        <f ca="1">EFEITO!$L$647*EFEITO!$Z$647</f>
        <v>469.54144315591014</v>
      </c>
      <c r="L647" s="76">
        <f>EFEITO!$N$647*EFEITO!$AA$647</f>
        <v>1082.6584658202019</v>
      </c>
      <c r="M647" s="76">
        <f>$J$647-EFEITO!$K$647*EFEITO!$Y$647</f>
        <v>0</v>
      </c>
      <c r="N647" s="76">
        <f ca="1">$K$647-EFEITO!$M$647*EFEITO!$Z$647</f>
        <v>0</v>
      </c>
      <c r="O647" s="76">
        <f>$L$647-EFEITO!$O$647*EFEITO!$AA$647</f>
        <v>0</v>
      </c>
      <c r="P647" s="57"/>
      <c r="Q647" s="57"/>
      <c r="R647" s="57"/>
      <c r="S647" s="57"/>
      <c r="T647" s="57"/>
      <c r="U647" s="57"/>
      <c r="V647" s="57"/>
      <c r="W647" s="57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11.25" customHeight="1" x14ac:dyDescent="0.2">
      <c r="A648" s="53" t="s">
        <v>28</v>
      </c>
      <c r="B648" s="53" t="s">
        <v>33</v>
      </c>
      <c r="C648" s="53" t="s">
        <v>34</v>
      </c>
      <c r="D648" s="53" t="s">
        <v>43</v>
      </c>
      <c r="E648" s="53" t="s">
        <v>25</v>
      </c>
      <c r="F648" s="53" t="s">
        <v>25</v>
      </c>
      <c r="G648" s="53" t="s">
        <v>25</v>
      </c>
      <c r="H648" s="53" t="s">
        <v>36</v>
      </c>
      <c r="I648" s="75">
        <v>44378</v>
      </c>
      <c r="J648" s="76">
        <f>EFEITO!$J$648*EFEITO!$Y$648</f>
        <v>0</v>
      </c>
      <c r="K648" s="76">
        <f ca="1">EFEITO!$L$648*EFEITO!$Z$648</f>
        <v>33286.643089302946</v>
      </c>
      <c r="L648" s="76">
        <f>EFEITO!$N$648*EFEITO!$AA$648</f>
        <v>76751.618977758684</v>
      </c>
      <c r="M648" s="76">
        <f>$J$648-EFEITO!$K$648*EFEITO!$Y$648</f>
        <v>0</v>
      </c>
      <c r="N648" s="76">
        <f ca="1">$K$648-EFEITO!$M$648*EFEITO!$Z$648</f>
        <v>0</v>
      </c>
      <c r="O648" s="76">
        <f>$L$648-EFEITO!$O$648*EFEITO!$AA$648</f>
        <v>0</v>
      </c>
      <c r="P648" s="57"/>
      <c r="Q648" s="57"/>
      <c r="R648" s="57"/>
      <c r="S648" s="57"/>
      <c r="T648" s="57"/>
      <c r="U648" s="57"/>
      <c r="V648" s="57"/>
      <c r="W648" s="57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11.25" customHeight="1" x14ac:dyDescent="0.2">
      <c r="A649" s="53" t="s">
        <v>28</v>
      </c>
      <c r="B649" s="53" t="s">
        <v>33</v>
      </c>
      <c r="C649" s="53" t="s">
        <v>34</v>
      </c>
      <c r="D649" s="53" t="s">
        <v>43</v>
      </c>
      <c r="E649" s="53" t="s">
        <v>25</v>
      </c>
      <c r="F649" s="53" t="s">
        <v>25</v>
      </c>
      <c r="G649" s="53" t="s">
        <v>25</v>
      </c>
      <c r="H649" s="53" t="s">
        <v>36</v>
      </c>
      <c r="I649" s="75">
        <v>44378</v>
      </c>
      <c r="J649" s="76">
        <f>EFEITO!$J$649*EFEITO!$Y$649</f>
        <v>0</v>
      </c>
      <c r="K649" s="76">
        <f ca="1">EFEITO!$L$649*EFEITO!$Z$649</f>
        <v>1058.2027164938734</v>
      </c>
      <c r="L649" s="76">
        <f>EFEITO!$N$649*EFEITO!$AA$649</f>
        <v>2439.9808499664405</v>
      </c>
      <c r="M649" s="76">
        <f>$J$649-EFEITO!$K$649*EFEITO!$Y$649</f>
        <v>0</v>
      </c>
      <c r="N649" s="76">
        <f ca="1">$K$649-EFEITO!$M$649*EFEITO!$Z$649</f>
        <v>0</v>
      </c>
      <c r="O649" s="76">
        <f>$L$649-EFEITO!$O$649*EFEITO!$AA$649</f>
        <v>0</v>
      </c>
      <c r="P649" s="57"/>
      <c r="Q649" s="57"/>
      <c r="R649" s="57"/>
      <c r="S649" s="57"/>
      <c r="T649" s="57"/>
      <c r="U649" s="57"/>
      <c r="V649" s="57"/>
      <c r="W649" s="57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11.25" customHeight="1" x14ac:dyDescent="0.2">
      <c r="A650" s="53" t="s">
        <v>21</v>
      </c>
      <c r="B650" s="53" t="s">
        <v>33</v>
      </c>
      <c r="C650" s="53" t="s">
        <v>34</v>
      </c>
      <c r="D650" s="53" t="s">
        <v>43</v>
      </c>
      <c r="E650" s="53" t="s">
        <v>25</v>
      </c>
      <c r="F650" s="53" t="s">
        <v>25</v>
      </c>
      <c r="G650" s="53" t="s">
        <v>25</v>
      </c>
      <c r="H650" s="53" t="s">
        <v>36</v>
      </c>
      <c r="I650" s="75">
        <v>44409</v>
      </c>
      <c r="J650" s="76">
        <f>EFEITO!$J$650*EFEITO!$Y$650</f>
        <v>0</v>
      </c>
      <c r="K650" s="76">
        <f ca="1">EFEITO!$L$650*EFEITO!$Z$650</f>
        <v>1980487.8252916995</v>
      </c>
      <c r="L650" s="76">
        <f>EFEITO!$N$650*EFEITO!$AA$650</f>
        <v>4566565.8308971152</v>
      </c>
      <c r="M650" s="76">
        <f>$J$650-EFEITO!$K$650*EFEITO!$Y$650</f>
        <v>0</v>
      </c>
      <c r="N650" s="76">
        <f ca="1">$K$650-EFEITO!$M$650*EFEITO!$Z$650</f>
        <v>0</v>
      </c>
      <c r="O650" s="76">
        <f>$L$650-EFEITO!$O$650*EFEITO!$AA$650</f>
        <v>0</v>
      </c>
      <c r="P650" s="57"/>
      <c r="Q650" s="57"/>
      <c r="R650" s="57"/>
      <c r="S650" s="57"/>
      <c r="T650" s="57"/>
      <c r="U650" s="57"/>
      <c r="V650" s="57"/>
      <c r="W650" s="57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11.25" customHeight="1" x14ac:dyDescent="0.2">
      <c r="A651" s="53" t="s">
        <v>27</v>
      </c>
      <c r="B651" s="53" t="s">
        <v>33</v>
      </c>
      <c r="C651" s="53" t="s">
        <v>34</v>
      </c>
      <c r="D651" s="53" t="s">
        <v>43</v>
      </c>
      <c r="E651" s="53" t="s">
        <v>25</v>
      </c>
      <c r="F651" s="53" t="s">
        <v>25</v>
      </c>
      <c r="G651" s="53" t="s">
        <v>25</v>
      </c>
      <c r="H651" s="53" t="s">
        <v>36</v>
      </c>
      <c r="I651" s="75">
        <v>44409</v>
      </c>
      <c r="J651" s="76">
        <f>EFEITO!$J$651*EFEITO!$Y$651</f>
        <v>0</v>
      </c>
      <c r="K651" s="76">
        <f ca="1">EFEITO!$L$651*EFEITO!$Z$651</f>
        <v>-7408.0069711835786</v>
      </c>
      <c r="L651" s="76">
        <f>EFEITO!$N$651*EFEITO!$AA$651</f>
        <v>-17081.22164531457</v>
      </c>
      <c r="M651" s="76">
        <f>$J$651-EFEITO!$K$651*EFEITO!$Y$651</f>
        <v>0</v>
      </c>
      <c r="N651" s="76">
        <f ca="1">$K$651-EFEITO!$M$651*EFEITO!$Z$651</f>
        <v>0</v>
      </c>
      <c r="O651" s="76">
        <f>$L$651-EFEITO!$O$651*EFEITO!$AA$651</f>
        <v>0</v>
      </c>
      <c r="P651" s="57"/>
      <c r="Q651" s="57"/>
      <c r="R651" s="57"/>
      <c r="S651" s="57"/>
      <c r="T651" s="57"/>
      <c r="U651" s="57"/>
      <c r="V651" s="57"/>
      <c r="W651" s="57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11.25" customHeight="1" x14ac:dyDescent="0.2">
      <c r="A652" s="53" t="s">
        <v>28</v>
      </c>
      <c r="B652" s="53" t="s">
        <v>33</v>
      </c>
      <c r="C652" s="53" t="s">
        <v>34</v>
      </c>
      <c r="D652" s="53" t="s">
        <v>43</v>
      </c>
      <c r="E652" s="53" t="s">
        <v>25</v>
      </c>
      <c r="F652" s="53" t="s">
        <v>25</v>
      </c>
      <c r="G652" s="53" t="s">
        <v>25</v>
      </c>
      <c r="H652" s="53" t="s">
        <v>36</v>
      </c>
      <c r="I652" s="75">
        <v>44409</v>
      </c>
      <c r="J652" s="76">
        <f>EFEITO!$J$652*EFEITO!$Y$652</f>
        <v>0</v>
      </c>
      <c r="K652" s="76">
        <f ca="1">EFEITO!$L$652*EFEITO!$Z$652</f>
        <v>40044.488618160198</v>
      </c>
      <c r="L652" s="76">
        <f>EFEITO!$N$652*EFEITO!$AA$652</f>
        <v>92333.712484450676</v>
      </c>
      <c r="M652" s="76">
        <f>$J$652-EFEITO!$K$652*EFEITO!$Y$652</f>
        <v>0</v>
      </c>
      <c r="N652" s="76">
        <f ca="1">$K$652-EFEITO!$M$652*EFEITO!$Z$652</f>
        <v>0</v>
      </c>
      <c r="O652" s="76">
        <f>$L$652-EFEITO!$O$652*EFEITO!$AA$652</f>
        <v>0</v>
      </c>
      <c r="P652" s="57"/>
      <c r="Q652" s="57"/>
      <c r="R652" s="57"/>
      <c r="S652" s="57"/>
      <c r="T652" s="57"/>
      <c r="U652" s="57"/>
      <c r="V652" s="57"/>
      <c r="W652" s="57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11.25" customHeight="1" x14ac:dyDescent="0.2">
      <c r="A653" s="53" t="s">
        <v>28</v>
      </c>
      <c r="B653" s="53" t="s">
        <v>33</v>
      </c>
      <c r="C653" s="53" t="s">
        <v>34</v>
      </c>
      <c r="D653" s="53" t="s">
        <v>43</v>
      </c>
      <c r="E653" s="53" t="s">
        <v>25</v>
      </c>
      <c r="F653" s="53" t="s">
        <v>25</v>
      </c>
      <c r="G653" s="53" t="s">
        <v>25</v>
      </c>
      <c r="H653" s="53" t="s">
        <v>36</v>
      </c>
      <c r="I653" s="75">
        <v>44409</v>
      </c>
      <c r="J653" s="76">
        <f>EFEITO!$J$653*EFEITO!$Y$653</f>
        <v>0</v>
      </c>
      <c r="K653" s="76">
        <f ca="1">EFEITO!$L$653*EFEITO!$Z$653</f>
        <v>-1457.6598370550121</v>
      </c>
      <c r="L653" s="76">
        <f>EFEITO!$N$653*EFEITO!$AA$653</f>
        <v>-3361.0404062878097</v>
      </c>
      <c r="M653" s="76">
        <f>$J$653-EFEITO!$K$653*EFEITO!$Y$653</f>
        <v>0</v>
      </c>
      <c r="N653" s="76">
        <f ca="1">$K$653-EFEITO!$M$653*EFEITO!$Z$653</f>
        <v>0</v>
      </c>
      <c r="O653" s="76">
        <f>$L$653-EFEITO!$O$653*EFEITO!$AA$653</f>
        <v>0</v>
      </c>
      <c r="P653" s="57"/>
      <c r="Q653" s="57"/>
      <c r="R653" s="57"/>
      <c r="S653" s="57"/>
      <c r="T653" s="57"/>
      <c r="U653" s="57"/>
      <c r="V653" s="57"/>
      <c r="W653" s="57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11.25" customHeight="1" x14ac:dyDescent="0.2">
      <c r="A654" s="53" t="s">
        <v>21</v>
      </c>
      <c r="B654" s="53" t="s">
        <v>33</v>
      </c>
      <c r="C654" s="53" t="s">
        <v>34</v>
      </c>
      <c r="D654" s="53" t="s">
        <v>43</v>
      </c>
      <c r="E654" s="53" t="s">
        <v>25</v>
      </c>
      <c r="F654" s="53" t="s">
        <v>25</v>
      </c>
      <c r="G654" s="53" t="s">
        <v>25</v>
      </c>
      <c r="H654" s="53" t="s">
        <v>36</v>
      </c>
      <c r="I654" s="75">
        <v>44440</v>
      </c>
      <c r="J654" s="76">
        <f>EFEITO!$J$654*EFEITO!$Y$654</f>
        <v>0</v>
      </c>
      <c r="K654" s="76">
        <f ca="1">EFEITO!$L$654*EFEITO!$Z$654</f>
        <v>2112974.240959235</v>
      </c>
      <c r="L654" s="76">
        <f>EFEITO!$N$654*EFEITO!$AA$654</f>
        <v>4872050.1318451855</v>
      </c>
      <c r="M654" s="76">
        <f>$J$654-EFEITO!$K$654*EFEITO!$Y$654</f>
        <v>0</v>
      </c>
      <c r="N654" s="76">
        <f ca="1">$K$654-EFEITO!$M$654*EFEITO!$Z$654</f>
        <v>0</v>
      </c>
      <c r="O654" s="76">
        <f>$L$654-EFEITO!$O$654*EFEITO!$AA$654</f>
        <v>0</v>
      </c>
      <c r="P654" s="57"/>
      <c r="Q654" s="57"/>
      <c r="R654" s="57"/>
      <c r="S654" s="57"/>
      <c r="T654" s="57"/>
      <c r="U654" s="57"/>
      <c r="V654" s="57"/>
      <c r="W654" s="57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11.25" customHeight="1" x14ac:dyDescent="0.2">
      <c r="A655" s="53" t="s">
        <v>27</v>
      </c>
      <c r="B655" s="53" t="s">
        <v>33</v>
      </c>
      <c r="C655" s="53" t="s">
        <v>34</v>
      </c>
      <c r="D655" s="53" t="s">
        <v>43</v>
      </c>
      <c r="E655" s="53" t="s">
        <v>25</v>
      </c>
      <c r="F655" s="53" t="s">
        <v>25</v>
      </c>
      <c r="G655" s="53" t="s">
        <v>25</v>
      </c>
      <c r="H655" s="53" t="s">
        <v>36</v>
      </c>
      <c r="I655" s="75">
        <v>44440</v>
      </c>
      <c r="J655" s="76">
        <f>EFEITO!$J$655*EFEITO!$Y$655</f>
        <v>0</v>
      </c>
      <c r="K655" s="76">
        <f ca="1">EFEITO!$L$655*EFEITO!$Z$655</f>
        <v>-3249.984073614587</v>
      </c>
      <c r="L655" s="76">
        <f>EFEITO!$N$655*EFEITO!$AA$655</f>
        <v>-7493.7427193435369</v>
      </c>
      <c r="M655" s="76">
        <f>$J$655-EFEITO!$K$655*EFEITO!$Y$655</f>
        <v>0</v>
      </c>
      <c r="N655" s="76">
        <f ca="1">$K$655-EFEITO!$M$655*EFEITO!$Z$655</f>
        <v>0</v>
      </c>
      <c r="O655" s="76">
        <f>$L$655-EFEITO!$O$655*EFEITO!$AA$655</f>
        <v>0</v>
      </c>
      <c r="P655" s="57"/>
      <c r="Q655" s="57"/>
      <c r="R655" s="57"/>
      <c r="S655" s="57"/>
      <c r="T655" s="57"/>
      <c r="U655" s="57"/>
      <c r="V655" s="57"/>
      <c r="W655" s="57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11.25" customHeight="1" x14ac:dyDescent="0.2">
      <c r="A656" s="53" t="s">
        <v>28</v>
      </c>
      <c r="B656" s="53" t="s">
        <v>33</v>
      </c>
      <c r="C656" s="53" t="s">
        <v>34</v>
      </c>
      <c r="D656" s="53" t="s">
        <v>43</v>
      </c>
      <c r="E656" s="53" t="s">
        <v>25</v>
      </c>
      <c r="F656" s="53" t="s">
        <v>25</v>
      </c>
      <c r="G656" s="53" t="s">
        <v>25</v>
      </c>
      <c r="H656" s="53" t="s">
        <v>36</v>
      </c>
      <c r="I656" s="75">
        <v>44440</v>
      </c>
      <c r="J656" s="76">
        <f>EFEITO!$J$656*EFEITO!$Y$656</f>
        <v>0</v>
      </c>
      <c r="K656" s="76">
        <f ca="1">EFEITO!$L$656*EFEITO!$Z$656</f>
        <v>39668.314544367116</v>
      </c>
      <c r="L656" s="76">
        <f>EFEITO!$N$656*EFEITO!$AA$656</f>
        <v>91466.338471888987</v>
      </c>
      <c r="M656" s="76">
        <f>$J$656-EFEITO!$K$656*EFEITO!$Y$656</f>
        <v>0</v>
      </c>
      <c r="N656" s="76">
        <f ca="1">$K$656-EFEITO!$M$656*EFEITO!$Z$656</f>
        <v>0</v>
      </c>
      <c r="O656" s="76">
        <f>$L$656-EFEITO!$O$656*EFEITO!$AA$656</f>
        <v>0</v>
      </c>
      <c r="P656" s="57"/>
      <c r="Q656" s="57"/>
      <c r="R656" s="57"/>
      <c r="S656" s="57"/>
      <c r="T656" s="57"/>
      <c r="U656" s="57"/>
      <c r="V656" s="57"/>
      <c r="W656" s="57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11.25" customHeight="1" x14ac:dyDescent="0.2">
      <c r="A657" s="53" t="s">
        <v>28</v>
      </c>
      <c r="B657" s="53" t="s">
        <v>33</v>
      </c>
      <c r="C657" s="53" t="s">
        <v>34</v>
      </c>
      <c r="D657" s="53" t="s">
        <v>43</v>
      </c>
      <c r="E657" s="53" t="s">
        <v>25</v>
      </c>
      <c r="F657" s="53" t="s">
        <v>25</v>
      </c>
      <c r="G657" s="53" t="s">
        <v>25</v>
      </c>
      <c r="H657" s="53" t="s">
        <v>36</v>
      </c>
      <c r="I657" s="75">
        <v>44440</v>
      </c>
      <c r="J657" s="76">
        <f>EFEITO!$J$657*EFEITO!$Y$657</f>
        <v>0</v>
      </c>
      <c r="K657" s="76">
        <f ca="1">EFEITO!$L$657*EFEITO!$Z$657</f>
        <v>67.262135107733684</v>
      </c>
      <c r="L657" s="76">
        <f>EFEITO!$N$657*EFEITO!$AA$657</f>
        <v>155.09157086129613</v>
      </c>
      <c r="M657" s="76">
        <f>$J$657-EFEITO!$K$657*EFEITO!$Y$657</f>
        <v>0</v>
      </c>
      <c r="N657" s="76">
        <f ca="1">$K$657-EFEITO!$M$657*EFEITO!$Z$657</f>
        <v>0</v>
      </c>
      <c r="O657" s="76">
        <f>$L$657-EFEITO!$O$657*EFEITO!$AA$657</f>
        <v>0</v>
      </c>
      <c r="P657" s="57"/>
      <c r="Q657" s="57"/>
      <c r="R657" s="57"/>
      <c r="S657" s="57"/>
      <c r="T657" s="57"/>
      <c r="U657" s="57"/>
      <c r="V657" s="57"/>
      <c r="W657" s="57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11.25" customHeight="1" x14ac:dyDescent="0.2">
      <c r="A658" s="53" t="s">
        <v>21</v>
      </c>
      <c r="B658" s="53" t="s">
        <v>33</v>
      </c>
      <c r="C658" s="53" t="s">
        <v>34</v>
      </c>
      <c r="D658" s="53" t="s">
        <v>43</v>
      </c>
      <c r="E658" s="53" t="s">
        <v>25</v>
      </c>
      <c r="F658" s="53" t="s">
        <v>25</v>
      </c>
      <c r="G658" s="53" t="s">
        <v>25</v>
      </c>
      <c r="H658" s="53" t="s">
        <v>36</v>
      </c>
      <c r="I658" s="75">
        <v>44470</v>
      </c>
      <c r="J658" s="76">
        <f>EFEITO!$J$658*EFEITO!$Y$658</f>
        <v>0</v>
      </c>
      <c r="K658" s="76">
        <f ca="1">EFEITO!$L$658*EFEITO!$Z$658</f>
        <v>2322369.49892978</v>
      </c>
      <c r="L658" s="76">
        <f>EFEITO!$N$658*EFEITO!$AA$658</f>
        <v>5354869.1716740932</v>
      </c>
      <c r="M658" s="76">
        <f>$J$658-EFEITO!$K$658*EFEITO!$Y$658</f>
        <v>0</v>
      </c>
      <c r="N658" s="76">
        <f ca="1">$K$658-EFEITO!$M$658*EFEITO!$Z$658</f>
        <v>0</v>
      </c>
      <c r="O658" s="76">
        <f>$L$658-EFEITO!$O$658*EFEITO!$AA$658</f>
        <v>0</v>
      </c>
      <c r="P658" s="57"/>
      <c r="Q658" s="57"/>
      <c r="R658" s="57"/>
      <c r="S658" s="57"/>
      <c r="T658" s="57"/>
      <c r="U658" s="57"/>
      <c r="V658" s="57"/>
      <c r="W658" s="57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11.25" customHeight="1" x14ac:dyDescent="0.2">
      <c r="A659" s="53" t="s">
        <v>27</v>
      </c>
      <c r="B659" s="53" t="s">
        <v>33</v>
      </c>
      <c r="C659" s="53" t="s">
        <v>34</v>
      </c>
      <c r="D659" s="53" t="s">
        <v>43</v>
      </c>
      <c r="E659" s="53" t="s">
        <v>25</v>
      </c>
      <c r="F659" s="53" t="s">
        <v>25</v>
      </c>
      <c r="G659" s="53" t="s">
        <v>25</v>
      </c>
      <c r="H659" s="53" t="s">
        <v>36</v>
      </c>
      <c r="I659" s="75">
        <v>44470</v>
      </c>
      <c r="J659" s="76">
        <f>EFEITO!$J$659*EFEITO!$Y$659</f>
        <v>0</v>
      </c>
      <c r="K659" s="76">
        <f ca="1">EFEITO!$L$659*EFEITO!$Z$659</f>
        <v>-99633.331130928738</v>
      </c>
      <c r="L659" s="76">
        <f>EFEITO!$N$659*EFEITO!$AA$659</f>
        <v>-229732.37186850377</v>
      </c>
      <c r="M659" s="76">
        <f>$J$659-EFEITO!$K$659*EFEITO!$Y$659</f>
        <v>0</v>
      </c>
      <c r="N659" s="76">
        <f ca="1">$K$659-EFEITO!$M$659*EFEITO!$Z$659</f>
        <v>0</v>
      </c>
      <c r="O659" s="76">
        <f>$L$659-EFEITO!$O$659*EFEITO!$AA$659</f>
        <v>0</v>
      </c>
      <c r="P659" s="57"/>
      <c r="Q659" s="57"/>
      <c r="R659" s="57"/>
      <c r="S659" s="57"/>
      <c r="T659" s="57"/>
      <c r="U659" s="57"/>
      <c r="V659" s="57"/>
      <c r="W659" s="57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11.25" customHeight="1" x14ac:dyDescent="0.2">
      <c r="A660" s="53" t="s">
        <v>28</v>
      </c>
      <c r="B660" s="53" t="s">
        <v>33</v>
      </c>
      <c r="C660" s="53" t="s">
        <v>34</v>
      </c>
      <c r="D660" s="53" t="s">
        <v>43</v>
      </c>
      <c r="E660" s="53" t="s">
        <v>25</v>
      </c>
      <c r="F660" s="53" t="s">
        <v>25</v>
      </c>
      <c r="G660" s="53" t="s">
        <v>25</v>
      </c>
      <c r="H660" s="53" t="s">
        <v>36</v>
      </c>
      <c r="I660" s="75">
        <v>44470</v>
      </c>
      <c r="J660" s="76">
        <f>EFEITO!$J$660*EFEITO!$Y$660</f>
        <v>0</v>
      </c>
      <c r="K660" s="76">
        <f ca="1">EFEITO!$L$660*EFEITO!$Z$660</f>
        <v>55123.318770257742</v>
      </c>
      <c r="L660" s="76">
        <f>EFEITO!$N$660*EFEITO!$AA$660</f>
        <v>127102.15168570045</v>
      </c>
      <c r="M660" s="76">
        <f>$J$660-EFEITO!$K$660*EFEITO!$Y$660</f>
        <v>0</v>
      </c>
      <c r="N660" s="76">
        <f ca="1">$K$660-EFEITO!$M$660*EFEITO!$Z$660</f>
        <v>0</v>
      </c>
      <c r="O660" s="76">
        <f>$L$660-EFEITO!$O$660*EFEITO!$AA$660</f>
        <v>0</v>
      </c>
      <c r="P660" s="57"/>
      <c r="Q660" s="57"/>
      <c r="R660" s="57"/>
      <c r="S660" s="57"/>
      <c r="T660" s="57"/>
      <c r="U660" s="57"/>
      <c r="V660" s="57"/>
      <c r="W660" s="57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11.25" customHeight="1" x14ac:dyDescent="0.2">
      <c r="A661" s="53" t="s">
        <v>28</v>
      </c>
      <c r="B661" s="53" t="s">
        <v>33</v>
      </c>
      <c r="C661" s="53" t="s">
        <v>34</v>
      </c>
      <c r="D661" s="53" t="s">
        <v>43</v>
      </c>
      <c r="E661" s="53" t="s">
        <v>25</v>
      </c>
      <c r="F661" s="53" t="s">
        <v>25</v>
      </c>
      <c r="G661" s="53" t="s">
        <v>25</v>
      </c>
      <c r="H661" s="53" t="s">
        <v>36</v>
      </c>
      <c r="I661" s="75">
        <v>44470</v>
      </c>
      <c r="J661" s="76">
        <f>EFEITO!$J$661*EFEITO!$Y$661</f>
        <v>0</v>
      </c>
      <c r="K661" s="76">
        <f ca="1">EFEITO!$L$661*EFEITO!$Z$661</f>
        <v>4275.7316340075249</v>
      </c>
      <c r="L661" s="76">
        <f>EFEITO!$N$661*EFEITO!$AA$661</f>
        <v>9858.8891749783015</v>
      </c>
      <c r="M661" s="76">
        <f>$J$661-EFEITO!$K$661*EFEITO!$Y$661</f>
        <v>0</v>
      </c>
      <c r="N661" s="76">
        <f ca="1">$K$661-EFEITO!$M$661*EFEITO!$Z$661</f>
        <v>0</v>
      </c>
      <c r="O661" s="76">
        <f>$L$661-EFEITO!$O$661*EFEITO!$AA$661</f>
        <v>0</v>
      </c>
      <c r="P661" s="57"/>
      <c r="Q661" s="57"/>
      <c r="R661" s="57"/>
      <c r="S661" s="57"/>
      <c r="T661" s="57"/>
      <c r="U661" s="57"/>
      <c r="V661" s="57"/>
      <c r="W661" s="57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11.25" customHeight="1" x14ac:dyDescent="0.2">
      <c r="A662" s="53" t="s">
        <v>21</v>
      </c>
      <c r="B662" s="53" t="s">
        <v>33</v>
      </c>
      <c r="C662" s="53" t="s">
        <v>34</v>
      </c>
      <c r="D662" s="53" t="s">
        <v>43</v>
      </c>
      <c r="E662" s="53" t="s">
        <v>25</v>
      </c>
      <c r="F662" s="53" t="s">
        <v>25</v>
      </c>
      <c r="G662" s="53" t="s">
        <v>25</v>
      </c>
      <c r="H662" s="53" t="s">
        <v>36</v>
      </c>
      <c r="I662" s="75">
        <v>44501</v>
      </c>
      <c r="J662" s="76">
        <f>EFEITO!$J$662*EFEITO!$Y$662</f>
        <v>0</v>
      </c>
      <c r="K662" s="76">
        <f ca="1">EFEITO!$L$662*EFEITO!$Z$662</f>
        <v>2371187.4628982693</v>
      </c>
      <c r="L662" s="76">
        <f>EFEITO!$N$662*EFEITO!$AA$662</f>
        <v>5467432.573147987</v>
      </c>
      <c r="M662" s="76">
        <f>$J$662-EFEITO!$K$662*EFEITO!$Y$662</f>
        <v>0</v>
      </c>
      <c r="N662" s="76">
        <f ca="1">$K$662-EFEITO!$M$662*EFEITO!$Z$662</f>
        <v>0</v>
      </c>
      <c r="O662" s="76">
        <f>$L$662-EFEITO!$O$662*EFEITO!$AA$662</f>
        <v>0</v>
      </c>
      <c r="P662" s="57"/>
      <c r="Q662" s="57"/>
      <c r="R662" s="57"/>
      <c r="S662" s="57"/>
      <c r="T662" s="57"/>
      <c r="U662" s="57"/>
      <c r="V662" s="57"/>
      <c r="W662" s="57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11.25" customHeight="1" x14ac:dyDescent="0.2">
      <c r="A663" s="53" t="s">
        <v>27</v>
      </c>
      <c r="B663" s="53" t="s">
        <v>33</v>
      </c>
      <c r="C663" s="53" t="s">
        <v>34</v>
      </c>
      <c r="D663" s="53" t="s">
        <v>43</v>
      </c>
      <c r="E663" s="53" t="s">
        <v>25</v>
      </c>
      <c r="F663" s="53" t="s">
        <v>25</v>
      </c>
      <c r="G663" s="53" t="s">
        <v>25</v>
      </c>
      <c r="H663" s="53" t="s">
        <v>36</v>
      </c>
      <c r="I663" s="75">
        <v>44501</v>
      </c>
      <c r="J663" s="76">
        <f>EFEITO!$J$663*EFEITO!$Y$663</f>
        <v>0</v>
      </c>
      <c r="K663" s="76">
        <f ca="1">EFEITO!$L$663*EFEITO!$Z$663</f>
        <v>2404.7389212467724</v>
      </c>
      <c r="L663" s="76">
        <f>EFEITO!$N$663*EFEITO!$AA$663</f>
        <v>5544.7947974012341</v>
      </c>
      <c r="M663" s="76">
        <f>$J$663-EFEITO!$K$663*EFEITO!$Y$663</f>
        <v>0</v>
      </c>
      <c r="N663" s="76">
        <f ca="1">$K$663-EFEITO!$M$663*EFEITO!$Z$663</f>
        <v>0</v>
      </c>
      <c r="O663" s="76">
        <f>$L$663-EFEITO!$O$663*EFEITO!$AA$663</f>
        <v>0</v>
      </c>
      <c r="P663" s="57"/>
      <c r="Q663" s="57"/>
      <c r="R663" s="57"/>
      <c r="S663" s="57"/>
      <c r="T663" s="57"/>
      <c r="U663" s="57"/>
      <c r="V663" s="57"/>
      <c r="W663" s="57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11.25" customHeight="1" x14ac:dyDescent="0.2">
      <c r="A664" s="53" t="s">
        <v>28</v>
      </c>
      <c r="B664" s="53" t="s">
        <v>33</v>
      </c>
      <c r="C664" s="53" t="s">
        <v>34</v>
      </c>
      <c r="D664" s="53" t="s">
        <v>43</v>
      </c>
      <c r="E664" s="53" t="s">
        <v>25</v>
      </c>
      <c r="F664" s="53" t="s">
        <v>25</v>
      </c>
      <c r="G664" s="53" t="s">
        <v>25</v>
      </c>
      <c r="H664" s="53" t="s">
        <v>36</v>
      </c>
      <c r="I664" s="75">
        <v>44501</v>
      </c>
      <c r="J664" s="76">
        <f>EFEITO!$J$664*EFEITO!$Y$664</f>
        <v>0</v>
      </c>
      <c r="K664" s="76">
        <f ca="1">EFEITO!$L$664*EFEITO!$Z$664</f>
        <v>60848.361270004461</v>
      </c>
      <c r="L664" s="76">
        <f>EFEITO!$N$664*EFEITO!$AA$664</f>
        <v>140302.83039016384</v>
      </c>
      <c r="M664" s="76">
        <f>$J$664-EFEITO!$K$664*EFEITO!$Y$664</f>
        <v>0</v>
      </c>
      <c r="N664" s="76">
        <f ca="1">$K$664-EFEITO!$M$664*EFEITO!$Z$664</f>
        <v>0</v>
      </c>
      <c r="O664" s="76">
        <f>$L$664-EFEITO!$O$664*EFEITO!$AA$664</f>
        <v>0</v>
      </c>
      <c r="P664" s="57"/>
      <c r="Q664" s="57"/>
      <c r="R664" s="57"/>
      <c r="S664" s="57"/>
      <c r="T664" s="57"/>
      <c r="U664" s="57"/>
      <c r="V664" s="57"/>
      <c r="W664" s="57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11.25" customHeight="1" x14ac:dyDescent="0.2">
      <c r="A665" s="53" t="s">
        <v>28</v>
      </c>
      <c r="B665" s="53" t="s">
        <v>33</v>
      </c>
      <c r="C665" s="53" t="s">
        <v>34</v>
      </c>
      <c r="D665" s="53" t="s">
        <v>43</v>
      </c>
      <c r="E665" s="53" t="s">
        <v>25</v>
      </c>
      <c r="F665" s="53" t="s">
        <v>25</v>
      </c>
      <c r="G665" s="53" t="s">
        <v>25</v>
      </c>
      <c r="H665" s="53" t="s">
        <v>36</v>
      </c>
      <c r="I665" s="75">
        <v>44501</v>
      </c>
      <c r="J665" s="76">
        <f>EFEITO!$J$665*EFEITO!$Y$665</f>
        <v>0</v>
      </c>
      <c r="K665" s="76">
        <f ca="1">EFEITO!$L$665*EFEITO!$Z$665</f>
        <v>1502.5796545570299</v>
      </c>
      <c r="L665" s="76">
        <f>EFEITO!$N$665*EFEITO!$AA$665</f>
        <v>3464.6155462686052</v>
      </c>
      <c r="M665" s="76">
        <f>$J$665-EFEITO!$K$665*EFEITO!$Y$665</f>
        <v>0</v>
      </c>
      <c r="N665" s="76">
        <f ca="1">$K$665-EFEITO!$M$665*EFEITO!$Z$665</f>
        <v>0</v>
      </c>
      <c r="O665" s="76">
        <f>$L$665-EFEITO!$O$665*EFEITO!$AA$665</f>
        <v>0</v>
      </c>
      <c r="P665" s="57"/>
      <c r="Q665" s="57"/>
      <c r="R665" s="57"/>
      <c r="S665" s="57"/>
      <c r="T665" s="57"/>
      <c r="U665" s="57"/>
      <c r="V665" s="57"/>
      <c r="W665" s="57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11.25" customHeight="1" x14ac:dyDescent="0.2">
      <c r="A666" s="53" t="s">
        <v>21</v>
      </c>
      <c r="B666" s="53" t="s">
        <v>33</v>
      </c>
      <c r="C666" s="53" t="s">
        <v>34</v>
      </c>
      <c r="D666" s="53" t="s">
        <v>43</v>
      </c>
      <c r="E666" s="53" t="s">
        <v>25</v>
      </c>
      <c r="F666" s="53" t="s">
        <v>25</v>
      </c>
      <c r="G666" s="53" t="s">
        <v>25</v>
      </c>
      <c r="H666" s="53" t="s">
        <v>36</v>
      </c>
      <c r="I666" s="75">
        <v>44531</v>
      </c>
      <c r="J666" s="76">
        <f>EFEITO!$J$666*EFEITO!$Y$666</f>
        <v>0</v>
      </c>
      <c r="K666" s="76">
        <f ca="1">EFEITO!$L$666*EFEITO!$Z$666</f>
        <v>2325818.0944477953</v>
      </c>
      <c r="L666" s="76">
        <f>EFEITO!$N$666*EFEITO!$AA$666</f>
        <v>5362820.8683500532</v>
      </c>
      <c r="M666" s="76">
        <f>$J$666-EFEITO!$K$666*EFEITO!$Y$666</f>
        <v>0</v>
      </c>
      <c r="N666" s="76">
        <f ca="1">$K$666-EFEITO!$M$666*EFEITO!$Z$666</f>
        <v>0</v>
      </c>
      <c r="O666" s="76">
        <f>$L$666-EFEITO!$O$666*EFEITO!$AA$666</f>
        <v>0</v>
      </c>
      <c r="P666" s="57"/>
      <c r="Q666" s="57"/>
      <c r="R666" s="57"/>
      <c r="S666" s="57"/>
      <c r="T666" s="57"/>
      <c r="U666" s="57"/>
      <c r="V666" s="57"/>
      <c r="W666" s="57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11.25" customHeight="1" x14ac:dyDescent="0.2">
      <c r="A667" s="53" t="s">
        <v>27</v>
      </c>
      <c r="B667" s="53" t="s">
        <v>33</v>
      </c>
      <c r="C667" s="53" t="s">
        <v>34</v>
      </c>
      <c r="D667" s="53" t="s">
        <v>43</v>
      </c>
      <c r="E667" s="53" t="s">
        <v>25</v>
      </c>
      <c r="F667" s="53" t="s">
        <v>25</v>
      </c>
      <c r="G667" s="53" t="s">
        <v>25</v>
      </c>
      <c r="H667" s="53" t="s">
        <v>36</v>
      </c>
      <c r="I667" s="75">
        <v>44531</v>
      </c>
      <c r="J667" s="76">
        <f>EFEITO!$J$667*EFEITO!$Y$667</f>
        <v>0</v>
      </c>
      <c r="K667" s="76">
        <f ca="1">EFEITO!$L$667*EFEITO!$Z$667</f>
        <v>4901.3165269675656</v>
      </c>
      <c r="L667" s="76">
        <f>EFEITO!$N$667*EFEITO!$AA$667</f>
        <v>11301.349239632314</v>
      </c>
      <c r="M667" s="76">
        <f>$J$667-EFEITO!$K$667*EFEITO!$Y$667</f>
        <v>0</v>
      </c>
      <c r="N667" s="76">
        <f ca="1">$K$667-EFEITO!$M$667*EFEITO!$Z$667</f>
        <v>0</v>
      </c>
      <c r="O667" s="76">
        <f>$L$667-EFEITO!$O$667*EFEITO!$AA$667</f>
        <v>0</v>
      </c>
      <c r="P667" s="57"/>
      <c r="Q667" s="57"/>
      <c r="R667" s="57"/>
      <c r="S667" s="57"/>
      <c r="T667" s="57"/>
      <c r="U667" s="57"/>
      <c r="V667" s="57"/>
      <c r="W667" s="57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1:36" ht="11.25" customHeight="1" x14ac:dyDescent="0.2">
      <c r="A668" s="53" t="s">
        <v>28</v>
      </c>
      <c r="B668" s="53" t="s">
        <v>33</v>
      </c>
      <c r="C668" s="53" t="s">
        <v>34</v>
      </c>
      <c r="D668" s="53" t="s">
        <v>43</v>
      </c>
      <c r="E668" s="53" t="s">
        <v>25</v>
      </c>
      <c r="F668" s="53" t="s">
        <v>25</v>
      </c>
      <c r="G668" s="53" t="s">
        <v>25</v>
      </c>
      <c r="H668" s="53" t="s">
        <v>36</v>
      </c>
      <c r="I668" s="75">
        <v>44531</v>
      </c>
      <c r="J668" s="76">
        <f>EFEITO!$J$668*EFEITO!$Y$668</f>
        <v>0</v>
      </c>
      <c r="K668" s="76">
        <f ca="1">EFEITO!$L$668*EFEITO!$Z$668</f>
        <v>104203.98135733172</v>
      </c>
      <c r="L668" s="76">
        <f>EFEITO!$N$668*EFEITO!$AA$668</f>
        <v>240271.27793110468</v>
      </c>
      <c r="M668" s="76">
        <f>$J$668-EFEITO!$K$668*EFEITO!$Y$668</f>
        <v>0</v>
      </c>
      <c r="N668" s="76">
        <f ca="1">$K$668-EFEITO!$M$668*EFEITO!$Z$668</f>
        <v>0</v>
      </c>
      <c r="O668" s="76">
        <f>$L$668-EFEITO!$O$668*EFEITO!$AA$668</f>
        <v>0</v>
      </c>
      <c r="P668" s="57"/>
      <c r="Q668" s="57"/>
      <c r="R668" s="57"/>
      <c r="S668" s="57"/>
      <c r="T668" s="57"/>
      <c r="U668" s="57"/>
      <c r="V668" s="57"/>
      <c r="W668" s="57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ht="11.25" customHeight="1" x14ac:dyDescent="0.2">
      <c r="A669" s="53" t="s">
        <v>28</v>
      </c>
      <c r="B669" s="53" t="s">
        <v>33</v>
      </c>
      <c r="C669" s="53" t="s">
        <v>34</v>
      </c>
      <c r="D669" s="53" t="s">
        <v>43</v>
      </c>
      <c r="E669" s="53" t="s">
        <v>25</v>
      </c>
      <c r="F669" s="53" t="s">
        <v>25</v>
      </c>
      <c r="G669" s="53" t="s">
        <v>25</v>
      </c>
      <c r="H669" s="53" t="s">
        <v>36</v>
      </c>
      <c r="I669" s="75">
        <v>44531</v>
      </c>
      <c r="J669" s="76">
        <f>EFEITO!$J$669*EFEITO!$Y$669</f>
        <v>0</v>
      </c>
      <c r="K669" s="76">
        <f ca="1">EFEITO!$L$669*EFEITO!$Z$669</f>
        <v>1084.4255418942657</v>
      </c>
      <c r="L669" s="76">
        <f>EFEITO!$N$669*EFEITO!$AA$669</f>
        <v>2500.444871473554</v>
      </c>
      <c r="M669" s="76">
        <f>$J$669-EFEITO!$K$669*EFEITO!$Y$669</f>
        <v>0</v>
      </c>
      <c r="N669" s="76">
        <f ca="1">$K$669-EFEITO!$M$669*EFEITO!$Z$669</f>
        <v>0</v>
      </c>
      <c r="O669" s="76">
        <f>$L$669-EFEITO!$O$669*EFEITO!$AA$669</f>
        <v>0</v>
      </c>
      <c r="P669" s="57"/>
      <c r="Q669" s="57"/>
      <c r="R669" s="57"/>
      <c r="S669" s="57"/>
      <c r="T669" s="57"/>
      <c r="U669" s="57"/>
      <c r="V669" s="57"/>
      <c r="W669" s="57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1:36" ht="11.25" customHeight="1" x14ac:dyDescent="0.2">
      <c r="A670" s="53" t="s">
        <v>21</v>
      </c>
      <c r="B670" s="53" t="s">
        <v>33</v>
      </c>
      <c r="C670" s="53" t="s">
        <v>34</v>
      </c>
      <c r="D670" s="53" t="s">
        <v>43</v>
      </c>
      <c r="E670" s="53" t="s">
        <v>25</v>
      </c>
      <c r="F670" s="53" t="s">
        <v>25</v>
      </c>
      <c r="G670" s="53" t="s">
        <v>25</v>
      </c>
      <c r="H670" s="53" t="s">
        <v>36</v>
      </c>
      <c r="I670" s="75">
        <v>44562</v>
      </c>
      <c r="J670" s="76">
        <f>EFEITO!$J$670*EFEITO!$Y$670</f>
        <v>0</v>
      </c>
      <c r="K670" s="76">
        <f ca="1">EFEITO!$L$670*EFEITO!$Z$670</f>
        <v>2316026.8677349538</v>
      </c>
      <c r="L670" s="76">
        <f>EFEITO!$N$670*EFEITO!$AA$670</f>
        <v>5340244.4703644486</v>
      </c>
      <c r="M670" s="76">
        <f>$J$670-EFEITO!$K$670*EFEITO!$Y$670</f>
        <v>0</v>
      </c>
      <c r="N670" s="76">
        <f ca="1">$K$670-EFEITO!$M$670*EFEITO!$Z$670</f>
        <v>0</v>
      </c>
      <c r="O670" s="76">
        <f>$L$670-EFEITO!$O$670*EFEITO!$AA$670</f>
        <v>0</v>
      </c>
      <c r="P670" s="57"/>
      <c r="Q670" s="57"/>
      <c r="R670" s="57"/>
      <c r="S670" s="57"/>
      <c r="T670" s="57"/>
      <c r="U670" s="57"/>
      <c r="V670" s="57"/>
      <c r="W670" s="57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1:36" ht="11.25" customHeight="1" x14ac:dyDescent="0.2">
      <c r="A671" s="53" t="s">
        <v>27</v>
      </c>
      <c r="B671" s="53" t="s">
        <v>33</v>
      </c>
      <c r="C671" s="53" t="s">
        <v>34</v>
      </c>
      <c r="D671" s="53" t="s">
        <v>43</v>
      </c>
      <c r="E671" s="53" t="s">
        <v>25</v>
      </c>
      <c r="F671" s="53" t="s">
        <v>25</v>
      </c>
      <c r="G671" s="53" t="s">
        <v>25</v>
      </c>
      <c r="H671" s="53" t="s">
        <v>36</v>
      </c>
      <c r="I671" s="75">
        <v>44562</v>
      </c>
      <c r="J671" s="76">
        <f>EFEITO!$J$671*EFEITO!$Y$671</f>
        <v>0</v>
      </c>
      <c r="K671" s="76">
        <f ca="1">EFEITO!$L$671*EFEITO!$Z$671</f>
        <v>15694.890162288839</v>
      </c>
      <c r="L671" s="76">
        <f>EFEITO!$N$671*EFEITO!$AA$671</f>
        <v>36188.936998002093</v>
      </c>
      <c r="M671" s="76">
        <f>$J$671-EFEITO!$K$671*EFEITO!$Y$671</f>
        <v>0</v>
      </c>
      <c r="N671" s="76">
        <f ca="1">$K$671-EFEITO!$M$671*EFEITO!$Z$671</f>
        <v>0</v>
      </c>
      <c r="O671" s="76">
        <f>$L$671-EFEITO!$O$671*EFEITO!$AA$671</f>
        <v>0</v>
      </c>
      <c r="P671" s="57"/>
      <c r="Q671" s="57"/>
      <c r="R671" s="57"/>
      <c r="S671" s="57"/>
      <c r="T671" s="57"/>
      <c r="U671" s="57"/>
      <c r="V671" s="57"/>
      <c r="W671" s="57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1:36" ht="11.25" customHeight="1" x14ac:dyDescent="0.2">
      <c r="A672" s="53" t="s">
        <v>28</v>
      </c>
      <c r="B672" s="53" t="s">
        <v>33</v>
      </c>
      <c r="C672" s="53" t="s">
        <v>34</v>
      </c>
      <c r="D672" s="53" t="s">
        <v>43</v>
      </c>
      <c r="E672" s="53" t="s">
        <v>25</v>
      </c>
      <c r="F672" s="53" t="s">
        <v>25</v>
      </c>
      <c r="G672" s="53" t="s">
        <v>25</v>
      </c>
      <c r="H672" s="53" t="s">
        <v>36</v>
      </c>
      <c r="I672" s="75">
        <v>44562</v>
      </c>
      <c r="J672" s="76">
        <f>EFEITO!$J$672*EFEITO!$Y$672</f>
        <v>0</v>
      </c>
      <c r="K672" s="76">
        <f ca="1">EFEITO!$L$672*EFEITO!$Z$672</f>
        <v>77781.015827649942</v>
      </c>
      <c r="L672" s="76">
        <f>EFEITO!$N$672*EFEITO!$AA$672</f>
        <v>179345.77765894565</v>
      </c>
      <c r="M672" s="76">
        <f>$J$672-EFEITO!$K$672*EFEITO!$Y$672</f>
        <v>0</v>
      </c>
      <c r="N672" s="76">
        <f ca="1">$K$672-EFEITO!$M$672*EFEITO!$Z$672</f>
        <v>0</v>
      </c>
      <c r="O672" s="76">
        <f>$L$672-EFEITO!$O$672*EFEITO!$AA$672</f>
        <v>0</v>
      </c>
      <c r="P672" s="57"/>
      <c r="Q672" s="57"/>
      <c r="R672" s="57"/>
      <c r="S672" s="57"/>
      <c r="T672" s="57"/>
      <c r="U672" s="57"/>
      <c r="V672" s="57"/>
      <c r="W672" s="57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1:36" ht="11.25" customHeight="1" x14ac:dyDescent="0.2">
      <c r="A673" s="53" t="s">
        <v>28</v>
      </c>
      <c r="B673" s="53" t="s">
        <v>33</v>
      </c>
      <c r="C673" s="53" t="s">
        <v>34</v>
      </c>
      <c r="D673" s="53" t="s">
        <v>43</v>
      </c>
      <c r="E673" s="53" t="s">
        <v>25</v>
      </c>
      <c r="F673" s="53" t="s">
        <v>25</v>
      </c>
      <c r="G673" s="53" t="s">
        <v>25</v>
      </c>
      <c r="H673" s="53" t="s">
        <v>36</v>
      </c>
      <c r="I673" s="75">
        <v>44562</v>
      </c>
      <c r="J673" s="76">
        <f>EFEITO!$J$673*EFEITO!$Y$673</f>
        <v>0</v>
      </c>
      <c r="K673" s="76">
        <f ca="1">EFEITO!$L$673*EFEITO!$Z$673</f>
        <v>-717.54116857935492</v>
      </c>
      <c r="L673" s="76">
        <f>EFEITO!$N$673*EFEITO!$AA$673</f>
        <v>-1654.4908485937572</v>
      </c>
      <c r="M673" s="76">
        <f>$J$673-EFEITO!$K$673*EFEITO!$Y$673</f>
        <v>0</v>
      </c>
      <c r="N673" s="76">
        <f ca="1">$K$673-EFEITO!$M$673*EFEITO!$Z$673</f>
        <v>0</v>
      </c>
      <c r="O673" s="76">
        <f>$L$673-EFEITO!$O$673*EFEITO!$AA$673</f>
        <v>0</v>
      </c>
      <c r="P673" s="57"/>
      <c r="Q673" s="57"/>
      <c r="R673" s="57"/>
      <c r="S673" s="57"/>
      <c r="T673" s="57"/>
      <c r="U673" s="57"/>
      <c r="V673" s="57"/>
      <c r="W673" s="57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1:36" ht="11.25" customHeight="1" x14ac:dyDescent="0.2">
      <c r="A674" s="53" t="s">
        <v>21</v>
      </c>
      <c r="B674" s="53" t="s">
        <v>33</v>
      </c>
      <c r="C674" s="53" t="s">
        <v>34</v>
      </c>
      <c r="D674" s="53" t="s">
        <v>43</v>
      </c>
      <c r="E674" s="53" t="s">
        <v>25</v>
      </c>
      <c r="F674" s="53" t="s">
        <v>25</v>
      </c>
      <c r="G674" s="53" t="s">
        <v>25</v>
      </c>
      <c r="H674" s="53" t="s">
        <v>36</v>
      </c>
      <c r="I674" s="75">
        <v>44593</v>
      </c>
      <c r="J674" s="76">
        <f>EFEITO!$J$674*EFEITO!$Y$674</f>
        <v>0</v>
      </c>
      <c r="K674" s="76">
        <f ca="1">EFEITO!$L$674*EFEITO!$Z$674</f>
        <v>2204345.265448425</v>
      </c>
      <c r="L674" s="76">
        <f>EFEITO!$N$674*EFEITO!$AA$674</f>
        <v>5082731.4564349707</v>
      </c>
      <c r="M674" s="76">
        <f>$J$674-EFEITO!$K$674*EFEITO!$Y$674</f>
        <v>0</v>
      </c>
      <c r="N674" s="76">
        <f ca="1">$K$674-EFEITO!$M$674*EFEITO!$Z$674</f>
        <v>0</v>
      </c>
      <c r="O674" s="76">
        <f>$L$674-EFEITO!$O$674*EFEITO!$AA$674</f>
        <v>0</v>
      </c>
      <c r="P674" s="57"/>
      <c r="Q674" s="57"/>
      <c r="R674" s="57"/>
      <c r="S674" s="57"/>
      <c r="T674" s="57"/>
      <c r="U674" s="57"/>
      <c r="V674" s="57"/>
      <c r="W674" s="57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ht="11.25" customHeight="1" x14ac:dyDescent="0.2">
      <c r="A675" s="53" t="s">
        <v>27</v>
      </c>
      <c r="B675" s="53" t="s">
        <v>33</v>
      </c>
      <c r="C675" s="53" t="s">
        <v>34</v>
      </c>
      <c r="D675" s="53" t="s">
        <v>43</v>
      </c>
      <c r="E675" s="53" t="s">
        <v>25</v>
      </c>
      <c r="F675" s="53" t="s">
        <v>25</v>
      </c>
      <c r="G675" s="53" t="s">
        <v>25</v>
      </c>
      <c r="H675" s="53" t="s">
        <v>36</v>
      </c>
      <c r="I675" s="75">
        <v>44593</v>
      </c>
      <c r="J675" s="76">
        <f>EFEITO!$J$675*EFEITO!$Y$675</f>
        <v>0</v>
      </c>
      <c r="K675" s="76">
        <f ca="1">EFEITO!$L$675*EFEITO!$Z$675</f>
        <v>-286.21684764374794</v>
      </c>
      <c r="L675" s="76">
        <f>EFEITO!$N$675*EFEITO!$AA$675</f>
        <v>-659.9525934902008</v>
      </c>
      <c r="M675" s="76">
        <f>$J$675-EFEITO!$K$675*EFEITO!$Y$675</f>
        <v>0</v>
      </c>
      <c r="N675" s="76">
        <f ca="1">$K$675-EFEITO!$M$675*EFEITO!$Z$675</f>
        <v>0</v>
      </c>
      <c r="O675" s="76">
        <f>$L$675-EFEITO!$O$675*EFEITO!$AA$675</f>
        <v>0</v>
      </c>
      <c r="P675" s="57"/>
      <c r="Q675" s="57"/>
      <c r="R675" s="57"/>
      <c r="S675" s="57"/>
      <c r="T675" s="57"/>
      <c r="U675" s="57"/>
      <c r="V675" s="57"/>
      <c r="W675" s="57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1:36" ht="11.25" customHeight="1" x14ac:dyDescent="0.2">
      <c r="A676" s="53" t="s">
        <v>28</v>
      </c>
      <c r="B676" s="53" t="s">
        <v>33</v>
      </c>
      <c r="C676" s="53" t="s">
        <v>34</v>
      </c>
      <c r="D676" s="53" t="s">
        <v>43</v>
      </c>
      <c r="E676" s="53" t="s">
        <v>25</v>
      </c>
      <c r="F676" s="53" t="s">
        <v>25</v>
      </c>
      <c r="G676" s="53" t="s">
        <v>25</v>
      </c>
      <c r="H676" s="53" t="s">
        <v>36</v>
      </c>
      <c r="I676" s="75">
        <v>44593</v>
      </c>
      <c r="J676" s="76">
        <f>EFEITO!$J$676*EFEITO!$Y$676</f>
        <v>0</v>
      </c>
      <c r="K676" s="76">
        <f ca="1">EFEITO!$L$676*EFEITO!$Z$676</f>
        <v>69330.916126877666</v>
      </c>
      <c r="L676" s="76">
        <f>EFEITO!$N$676*EFEITO!$AA$676</f>
        <v>159861.72122172057</v>
      </c>
      <c r="M676" s="76">
        <f>$J$676-EFEITO!$K$676*EFEITO!$Y$676</f>
        <v>0</v>
      </c>
      <c r="N676" s="76">
        <f ca="1">$K$676-EFEITO!$M$676*EFEITO!$Z$676</f>
        <v>0</v>
      </c>
      <c r="O676" s="76">
        <f>$L$676-EFEITO!$O$676*EFEITO!$AA$676</f>
        <v>0</v>
      </c>
      <c r="P676" s="57"/>
      <c r="Q676" s="57"/>
      <c r="R676" s="57"/>
      <c r="S676" s="57"/>
      <c r="T676" s="57"/>
      <c r="U676" s="57"/>
      <c r="V676" s="57"/>
      <c r="W676" s="57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1:36" ht="11.25" customHeight="1" x14ac:dyDescent="0.2">
      <c r="A677" s="53" t="s">
        <v>28</v>
      </c>
      <c r="B677" s="53" t="s">
        <v>33</v>
      </c>
      <c r="C677" s="53" t="s">
        <v>34</v>
      </c>
      <c r="D677" s="53" t="s">
        <v>43</v>
      </c>
      <c r="E677" s="53" t="s">
        <v>25</v>
      </c>
      <c r="F677" s="53" t="s">
        <v>25</v>
      </c>
      <c r="G677" s="53" t="s">
        <v>25</v>
      </c>
      <c r="H677" s="53" t="s">
        <v>36</v>
      </c>
      <c r="I677" s="75">
        <v>44593</v>
      </c>
      <c r="J677" s="76">
        <f>EFEITO!$J$677*EFEITO!$Y$677</f>
        <v>0</v>
      </c>
      <c r="K677" s="76">
        <f ca="1">EFEITO!$L$677*EFEITO!$Z$677</f>
        <v>-632.52277053234172</v>
      </c>
      <c r="L677" s="76">
        <f>EFEITO!$N$677*EFEITO!$AA$677</f>
        <v>-1458.4572721379577</v>
      </c>
      <c r="M677" s="76">
        <f>$J$677-EFEITO!$K$677*EFEITO!$Y$677</f>
        <v>0</v>
      </c>
      <c r="N677" s="76">
        <f ca="1">$K$677-EFEITO!$M$677*EFEITO!$Z$677</f>
        <v>0</v>
      </c>
      <c r="O677" s="76">
        <f>$L$677-EFEITO!$O$677*EFEITO!$AA$677</f>
        <v>0</v>
      </c>
      <c r="P677" s="57"/>
      <c r="Q677" s="57"/>
      <c r="R677" s="57"/>
      <c r="S677" s="57"/>
      <c r="T677" s="57"/>
      <c r="U677" s="57"/>
      <c r="V677" s="57"/>
      <c r="W677" s="57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1:36" ht="11.25" customHeight="1" x14ac:dyDescent="0.2">
      <c r="A678" s="53" t="s">
        <v>21</v>
      </c>
      <c r="B678" s="53" t="s">
        <v>33</v>
      </c>
      <c r="C678" s="53" t="s">
        <v>34</v>
      </c>
      <c r="D678" s="53" t="s">
        <v>43</v>
      </c>
      <c r="E678" s="53" t="s">
        <v>25</v>
      </c>
      <c r="F678" s="53" t="s">
        <v>25</v>
      </c>
      <c r="G678" s="53" t="s">
        <v>25</v>
      </c>
      <c r="H678" s="53" t="s">
        <v>36</v>
      </c>
      <c r="I678" s="75">
        <v>44621</v>
      </c>
      <c r="J678" s="76">
        <f>EFEITO!$J$678*EFEITO!$Y$678</f>
        <v>0</v>
      </c>
      <c r="K678" s="76">
        <f ca="1">EFEITO!$L$678*EFEITO!$Z$678</f>
        <v>2371465.2131834519</v>
      </c>
      <c r="L678" s="76">
        <f>EFEITO!$N$678*EFEITO!$AA$678</f>
        <v>5468073.0037255641</v>
      </c>
      <c r="M678" s="76">
        <f>$J$678-EFEITO!$K$678*EFEITO!$Y$678</f>
        <v>0</v>
      </c>
      <c r="N678" s="76">
        <f ca="1">$K$678-EFEITO!$M$678*EFEITO!$Z$678</f>
        <v>0</v>
      </c>
      <c r="O678" s="76">
        <f>$L$678-EFEITO!$O$678*EFEITO!$AA$678</f>
        <v>0</v>
      </c>
      <c r="P678" s="57"/>
      <c r="Q678" s="57"/>
      <c r="R678" s="57"/>
      <c r="S678" s="57"/>
      <c r="T678" s="57"/>
      <c r="U678" s="57"/>
      <c r="V678" s="57"/>
      <c r="W678" s="57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1:36" ht="11.25" customHeight="1" x14ac:dyDescent="0.2">
      <c r="A679" s="53" t="s">
        <v>27</v>
      </c>
      <c r="B679" s="53" t="s">
        <v>33</v>
      </c>
      <c r="C679" s="53" t="s">
        <v>34</v>
      </c>
      <c r="D679" s="53" t="s">
        <v>43</v>
      </c>
      <c r="E679" s="53" t="s">
        <v>25</v>
      </c>
      <c r="F679" s="53" t="s">
        <v>25</v>
      </c>
      <c r="G679" s="53" t="s">
        <v>25</v>
      </c>
      <c r="H679" s="53" t="s">
        <v>36</v>
      </c>
      <c r="I679" s="75">
        <v>44621</v>
      </c>
      <c r="J679" s="76">
        <f>EFEITO!$J$679*EFEITO!$Y$679</f>
        <v>0</v>
      </c>
      <c r="K679" s="76">
        <f ca="1">EFEITO!$L$679*EFEITO!$Z$679</f>
        <v>85.723944918772474</v>
      </c>
      <c r="L679" s="76">
        <f>EFEITO!$N$679*EFEITO!$AA$679</f>
        <v>197.66041111518336</v>
      </c>
      <c r="M679" s="76">
        <f>$J$679-EFEITO!$K$679*EFEITO!$Y$679</f>
        <v>0</v>
      </c>
      <c r="N679" s="76">
        <f ca="1">$K$679-EFEITO!$M$679*EFEITO!$Z$679</f>
        <v>0</v>
      </c>
      <c r="O679" s="76">
        <f>$L$679-EFEITO!$O$679*EFEITO!$AA$679</f>
        <v>0</v>
      </c>
      <c r="P679" s="57"/>
      <c r="Q679" s="57"/>
      <c r="R679" s="57"/>
      <c r="S679" s="57"/>
      <c r="T679" s="57"/>
      <c r="U679" s="57"/>
      <c r="V679" s="57"/>
      <c r="W679" s="57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1:36" ht="11.25" customHeight="1" x14ac:dyDescent="0.2">
      <c r="A680" s="53" t="s">
        <v>28</v>
      </c>
      <c r="B680" s="53" t="s">
        <v>33</v>
      </c>
      <c r="C680" s="53" t="s">
        <v>34</v>
      </c>
      <c r="D680" s="53" t="s">
        <v>43</v>
      </c>
      <c r="E680" s="53" t="s">
        <v>25</v>
      </c>
      <c r="F680" s="53" t="s">
        <v>25</v>
      </c>
      <c r="G680" s="53" t="s">
        <v>25</v>
      </c>
      <c r="H680" s="53" t="s">
        <v>36</v>
      </c>
      <c r="I680" s="75">
        <v>44621</v>
      </c>
      <c r="J680" s="76">
        <f>EFEITO!$J$680*EFEITO!$Y$680</f>
        <v>0</v>
      </c>
      <c r="K680" s="76">
        <f ca="1">EFEITO!$L$680*EFEITO!$Z$680</f>
        <v>94053.278513328594</v>
      </c>
      <c r="L680" s="76">
        <f>EFEITO!$N$680*EFEITO!$AA$680</f>
        <v>216866.00768654383</v>
      </c>
      <c r="M680" s="76">
        <f>$J$680-EFEITO!$K$680*EFEITO!$Y$680</f>
        <v>0</v>
      </c>
      <c r="N680" s="76">
        <f ca="1">$K$680-EFEITO!$M$680*EFEITO!$Z$680</f>
        <v>0</v>
      </c>
      <c r="O680" s="76">
        <f>$L$680-EFEITO!$O$680*EFEITO!$AA$680</f>
        <v>0</v>
      </c>
      <c r="P680" s="57"/>
      <c r="Q680" s="57"/>
      <c r="R680" s="57"/>
      <c r="S680" s="57"/>
      <c r="T680" s="57"/>
      <c r="U680" s="57"/>
      <c r="V680" s="57"/>
      <c r="W680" s="57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ht="11.25" customHeight="1" x14ac:dyDescent="0.2">
      <c r="A681" s="53" t="s">
        <v>56</v>
      </c>
      <c r="B681" s="53" t="s">
        <v>33</v>
      </c>
      <c r="C681" s="53" t="s">
        <v>34</v>
      </c>
      <c r="D681" s="53" t="s">
        <v>43</v>
      </c>
      <c r="E681" s="53" t="s">
        <v>25</v>
      </c>
      <c r="F681" s="53" t="s">
        <v>25</v>
      </c>
      <c r="G681" s="53" t="s">
        <v>25</v>
      </c>
      <c r="H681" s="53" t="s">
        <v>36</v>
      </c>
      <c r="I681" s="75">
        <v>44652</v>
      </c>
      <c r="J681" s="76">
        <f>EFEITO!$J$681*EFEITO!$Y$681</f>
        <v>0</v>
      </c>
      <c r="K681" s="76">
        <f ca="1">EFEITO!$L$681*EFEITO!$Z$681</f>
        <v>2371465.2131834519</v>
      </c>
      <c r="L681" s="76">
        <f>EFEITO!$N$681*EFEITO!$AA$681</f>
        <v>5468073.0037255641</v>
      </c>
      <c r="M681" s="76">
        <f>$J$681-EFEITO!$K$681*EFEITO!$Y$681</f>
        <v>0</v>
      </c>
      <c r="N681" s="76">
        <f ca="1">$K$681-EFEITO!$M$681*EFEITO!$Z$681</f>
        <v>0</v>
      </c>
      <c r="O681" s="76">
        <f>$L$681-EFEITO!$O$681*EFEITO!$AA$681</f>
        <v>0</v>
      </c>
      <c r="P681" s="57"/>
      <c r="Q681" s="57"/>
      <c r="R681" s="57"/>
      <c r="S681" s="57"/>
      <c r="T681" s="57"/>
      <c r="U681" s="57"/>
      <c r="V681" s="57"/>
      <c r="W681" s="57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1:36" ht="11.25" customHeight="1" x14ac:dyDescent="0.2">
      <c r="A682" s="53" t="s">
        <v>56</v>
      </c>
      <c r="B682" s="53" t="s">
        <v>33</v>
      </c>
      <c r="C682" s="53" t="s">
        <v>34</v>
      </c>
      <c r="D682" s="53" t="s">
        <v>43</v>
      </c>
      <c r="E682" s="53" t="s">
        <v>25</v>
      </c>
      <c r="F682" s="53" t="s">
        <v>25</v>
      </c>
      <c r="G682" s="53" t="s">
        <v>25</v>
      </c>
      <c r="H682" s="53" t="s">
        <v>36</v>
      </c>
      <c r="I682" s="75">
        <v>44652</v>
      </c>
      <c r="J682" s="76">
        <f>EFEITO!$J$682*EFEITO!$Y$682</f>
        <v>0</v>
      </c>
      <c r="K682" s="76">
        <f ca="1">EFEITO!$L$682*EFEITO!$Z$682</f>
        <v>85.723944918772474</v>
      </c>
      <c r="L682" s="76">
        <f>EFEITO!$N$682*EFEITO!$AA$682</f>
        <v>197.66041111518336</v>
      </c>
      <c r="M682" s="76">
        <f>$J$682-EFEITO!$K$682*EFEITO!$Y$682</f>
        <v>0</v>
      </c>
      <c r="N682" s="76">
        <f ca="1">$K$682-EFEITO!$M$682*EFEITO!$Z$682</f>
        <v>0</v>
      </c>
      <c r="O682" s="76">
        <f>$L$682-EFEITO!$O$682*EFEITO!$AA$682</f>
        <v>0</v>
      </c>
      <c r="P682" s="57"/>
      <c r="Q682" s="57"/>
      <c r="R682" s="57"/>
      <c r="S682" s="57"/>
      <c r="T682" s="57"/>
      <c r="U682" s="57"/>
      <c r="V682" s="57"/>
      <c r="W682" s="57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1:36" ht="11.25" customHeight="1" x14ac:dyDescent="0.2">
      <c r="A683" s="53" t="s">
        <v>56</v>
      </c>
      <c r="B683" s="53" t="s">
        <v>33</v>
      </c>
      <c r="C683" s="53" t="s">
        <v>34</v>
      </c>
      <c r="D683" s="53" t="s">
        <v>43</v>
      </c>
      <c r="E683" s="53" t="s">
        <v>25</v>
      </c>
      <c r="F683" s="53" t="s">
        <v>25</v>
      </c>
      <c r="G683" s="53" t="s">
        <v>25</v>
      </c>
      <c r="H683" s="53" t="s">
        <v>36</v>
      </c>
      <c r="I683" s="75">
        <v>44652</v>
      </c>
      <c r="J683" s="76">
        <f>EFEITO!$J$683*EFEITO!$Y$683</f>
        <v>0</v>
      </c>
      <c r="K683" s="76">
        <f ca="1">EFEITO!$L$683*EFEITO!$Z$683</f>
        <v>94053.278513328594</v>
      </c>
      <c r="L683" s="76">
        <f>EFEITO!$N$683*EFEITO!$AA$683</f>
        <v>216866.00768654383</v>
      </c>
      <c r="M683" s="76">
        <f>$J$683-EFEITO!$K$683*EFEITO!$Y$683</f>
        <v>0</v>
      </c>
      <c r="N683" s="76">
        <f ca="1">$K$683-EFEITO!$M$683*EFEITO!$Z$683</f>
        <v>0</v>
      </c>
      <c r="O683" s="76">
        <f>$L$683-EFEITO!$O$683*EFEITO!$AA$683</f>
        <v>0</v>
      </c>
      <c r="P683" s="57"/>
      <c r="Q683" s="57"/>
      <c r="R683" s="57"/>
      <c r="S683" s="57"/>
      <c r="T683" s="57"/>
      <c r="U683" s="57"/>
      <c r="V683" s="57"/>
      <c r="W683" s="57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1:36" ht="11.25" customHeight="1" x14ac:dyDescent="0.2">
      <c r="A684" s="53" t="s">
        <v>21</v>
      </c>
      <c r="B684" s="53" t="s">
        <v>33</v>
      </c>
      <c r="C684" s="53" t="s">
        <v>34</v>
      </c>
      <c r="D684" s="53" t="s">
        <v>43</v>
      </c>
      <c r="E684" s="53" t="s">
        <v>25</v>
      </c>
      <c r="F684" s="53" t="s">
        <v>25</v>
      </c>
      <c r="G684" s="53" t="s">
        <v>25</v>
      </c>
      <c r="H684" s="53" t="s">
        <v>25</v>
      </c>
      <c r="I684" s="75">
        <v>44317</v>
      </c>
      <c r="J684" s="76">
        <f ca="1">EFEITO!$J$684*EFEITO!$Y$684</f>
        <v>2216101.434913008</v>
      </c>
      <c r="K684" s="76">
        <f>EFEITO!$L$684*EFEITO!$Z$684</f>
        <v>0</v>
      </c>
      <c r="L684" s="76">
        <f>EFEITO!$N$684*EFEITO!$AA$684</f>
        <v>0</v>
      </c>
      <c r="M684" s="76">
        <f ca="1">$J$684-EFEITO!$K$684*EFEITO!$Y$684</f>
        <v>0</v>
      </c>
      <c r="N684" s="76">
        <f>$K$684-EFEITO!$M$684*EFEITO!$Z$684</f>
        <v>0</v>
      </c>
      <c r="O684" s="76">
        <f>$L$684-EFEITO!$O$684*EFEITO!$AA$684</f>
        <v>0</v>
      </c>
      <c r="P684" s="57"/>
      <c r="Q684" s="57"/>
      <c r="R684" s="57"/>
      <c r="S684" s="57"/>
      <c r="T684" s="57"/>
      <c r="U684" s="57"/>
      <c r="V684" s="57"/>
      <c r="W684" s="57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1:36" ht="11.25" customHeight="1" x14ac:dyDescent="0.2">
      <c r="A685" s="53" t="s">
        <v>28</v>
      </c>
      <c r="B685" s="53" t="s">
        <v>33</v>
      </c>
      <c r="C685" s="53" t="s">
        <v>34</v>
      </c>
      <c r="D685" s="53" t="s">
        <v>43</v>
      </c>
      <c r="E685" s="53" t="s">
        <v>25</v>
      </c>
      <c r="F685" s="53" t="s">
        <v>25</v>
      </c>
      <c r="G685" s="53" t="s">
        <v>25</v>
      </c>
      <c r="H685" s="53" t="s">
        <v>25</v>
      </c>
      <c r="I685" s="75">
        <v>44317</v>
      </c>
      <c r="J685" s="76">
        <f ca="1">EFEITO!$J$685*EFEITO!$Y$685</f>
        <v>111234.31928514063</v>
      </c>
      <c r="K685" s="76">
        <f>EFEITO!$L$685*EFEITO!$Z$685</f>
        <v>0</v>
      </c>
      <c r="L685" s="76">
        <f>EFEITO!$N$685*EFEITO!$AA$685</f>
        <v>0</v>
      </c>
      <c r="M685" s="76">
        <f ca="1">$J$685-EFEITO!$K$685*EFEITO!$Y$685</f>
        <v>0</v>
      </c>
      <c r="N685" s="76">
        <f>$K$685-EFEITO!$M$685*EFEITO!$Z$685</f>
        <v>0</v>
      </c>
      <c r="O685" s="76">
        <f>$L$685-EFEITO!$O$685*EFEITO!$AA$685</f>
        <v>0</v>
      </c>
      <c r="P685" s="57"/>
      <c r="Q685" s="57"/>
      <c r="R685" s="57"/>
      <c r="S685" s="57"/>
      <c r="T685" s="57"/>
      <c r="U685" s="57"/>
      <c r="V685" s="57"/>
      <c r="W685" s="57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1:36" ht="11.25" customHeight="1" x14ac:dyDescent="0.2">
      <c r="A686" s="53" t="s">
        <v>28</v>
      </c>
      <c r="B686" s="53" t="s">
        <v>33</v>
      </c>
      <c r="C686" s="53" t="s">
        <v>34</v>
      </c>
      <c r="D686" s="53" t="s">
        <v>43</v>
      </c>
      <c r="E686" s="53" t="s">
        <v>25</v>
      </c>
      <c r="F686" s="53" t="s">
        <v>25</v>
      </c>
      <c r="G686" s="53" t="s">
        <v>25</v>
      </c>
      <c r="H686" s="53" t="s">
        <v>25</v>
      </c>
      <c r="I686" s="75">
        <v>44317</v>
      </c>
      <c r="J686" s="76">
        <f ca="1">EFEITO!$J$686*EFEITO!$Y$686</f>
        <v>-1480.1639292766552</v>
      </c>
      <c r="K686" s="76">
        <f>EFEITO!$L$686*EFEITO!$Z$686</f>
        <v>0</v>
      </c>
      <c r="L686" s="76">
        <f>EFEITO!$N$686*EFEITO!$AA$686</f>
        <v>0</v>
      </c>
      <c r="M686" s="76">
        <f ca="1">$J$686-EFEITO!$K$686*EFEITO!$Y$686</f>
        <v>0</v>
      </c>
      <c r="N686" s="76">
        <f>$K$686-EFEITO!$M$686*EFEITO!$Z$686</f>
        <v>0</v>
      </c>
      <c r="O686" s="76">
        <f>$L$686-EFEITO!$O$686*EFEITO!$AA$686</f>
        <v>0</v>
      </c>
      <c r="P686" s="57"/>
      <c r="Q686" s="57"/>
      <c r="R686" s="57"/>
      <c r="S686" s="57"/>
      <c r="T686" s="57"/>
      <c r="U686" s="57"/>
      <c r="V686" s="57"/>
      <c r="W686" s="57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ht="11.25" customHeight="1" x14ac:dyDescent="0.2">
      <c r="A687" s="53" t="s">
        <v>21</v>
      </c>
      <c r="B687" s="53" t="s">
        <v>33</v>
      </c>
      <c r="C687" s="53" t="s">
        <v>34</v>
      </c>
      <c r="D687" s="53" t="s">
        <v>43</v>
      </c>
      <c r="E687" s="53" t="s">
        <v>25</v>
      </c>
      <c r="F687" s="53" t="s">
        <v>25</v>
      </c>
      <c r="G687" s="53" t="s">
        <v>25</v>
      </c>
      <c r="H687" s="53" t="s">
        <v>25</v>
      </c>
      <c r="I687" s="75">
        <v>44348</v>
      </c>
      <c r="J687" s="76">
        <f ca="1">EFEITO!$J$687*EFEITO!$Y$687</f>
        <v>2213585.1562332376</v>
      </c>
      <c r="K687" s="76">
        <f>EFEITO!$L$687*EFEITO!$Z$687</f>
        <v>0</v>
      </c>
      <c r="L687" s="76">
        <f>EFEITO!$N$687*EFEITO!$AA$687</f>
        <v>0</v>
      </c>
      <c r="M687" s="76">
        <f ca="1">$J$687-EFEITO!$K$687*EFEITO!$Y$687</f>
        <v>0</v>
      </c>
      <c r="N687" s="76">
        <f>$K$687-EFEITO!$M$687*EFEITO!$Z$687</f>
        <v>0</v>
      </c>
      <c r="O687" s="76">
        <f>$L$687-EFEITO!$O$687*EFEITO!$AA$687</f>
        <v>0</v>
      </c>
      <c r="P687" s="57"/>
      <c r="Q687" s="57"/>
      <c r="R687" s="57"/>
      <c r="S687" s="57"/>
      <c r="T687" s="57"/>
      <c r="U687" s="57"/>
      <c r="V687" s="57"/>
      <c r="W687" s="57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1:36" ht="11.25" customHeight="1" x14ac:dyDescent="0.2">
      <c r="A688" s="53" t="s">
        <v>27</v>
      </c>
      <c r="B688" s="53" t="s">
        <v>33</v>
      </c>
      <c r="C688" s="53" t="s">
        <v>34</v>
      </c>
      <c r="D688" s="53" t="s">
        <v>43</v>
      </c>
      <c r="E688" s="53" t="s">
        <v>25</v>
      </c>
      <c r="F688" s="53" t="s">
        <v>25</v>
      </c>
      <c r="G688" s="53" t="s">
        <v>25</v>
      </c>
      <c r="H688" s="53" t="s">
        <v>25</v>
      </c>
      <c r="I688" s="75">
        <v>44348</v>
      </c>
      <c r="J688" s="76">
        <f ca="1">EFEITO!$J$688*EFEITO!$Y$688</f>
        <v>-345.37158349788621</v>
      </c>
      <c r="K688" s="76">
        <f>EFEITO!$L$688*EFEITO!$Z$688</f>
        <v>0</v>
      </c>
      <c r="L688" s="76">
        <f>EFEITO!$N$688*EFEITO!$AA$688</f>
        <v>0</v>
      </c>
      <c r="M688" s="76">
        <f ca="1">$J$688-EFEITO!$K$688*EFEITO!$Y$688</f>
        <v>0</v>
      </c>
      <c r="N688" s="76">
        <f>$K$688-EFEITO!$M$688*EFEITO!$Z$688</f>
        <v>0</v>
      </c>
      <c r="O688" s="76">
        <f>$L$688-EFEITO!$O$688*EFEITO!$AA$688</f>
        <v>0</v>
      </c>
      <c r="P688" s="57"/>
      <c r="Q688" s="57"/>
      <c r="R688" s="57"/>
      <c r="S688" s="57"/>
      <c r="T688" s="57"/>
      <c r="U688" s="57"/>
      <c r="V688" s="57"/>
      <c r="W688" s="57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ht="11.25" customHeight="1" x14ac:dyDescent="0.2">
      <c r="A689" s="53" t="s">
        <v>28</v>
      </c>
      <c r="B689" s="53" t="s">
        <v>33</v>
      </c>
      <c r="C689" s="53" t="s">
        <v>34</v>
      </c>
      <c r="D689" s="53" t="s">
        <v>43</v>
      </c>
      <c r="E689" s="53" t="s">
        <v>25</v>
      </c>
      <c r="F689" s="53" t="s">
        <v>25</v>
      </c>
      <c r="G689" s="53" t="s">
        <v>25</v>
      </c>
      <c r="H689" s="53" t="s">
        <v>25</v>
      </c>
      <c r="I689" s="75">
        <v>44348</v>
      </c>
      <c r="J689" s="76">
        <f ca="1">EFEITO!$J$689*EFEITO!$Y$689</f>
        <v>111678.36846392363</v>
      </c>
      <c r="K689" s="76">
        <f>EFEITO!$L$689*EFEITO!$Z$689</f>
        <v>0</v>
      </c>
      <c r="L689" s="76">
        <f>EFEITO!$N$689*EFEITO!$AA$689</f>
        <v>0</v>
      </c>
      <c r="M689" s="76">
        <f ca="1">$J$689-EFEITO!$K$689*EFEITO!$Y$689</f>
        <v>0</v>
      </c>
      <c r="N689" s="76">
        <f>$K$689-EFEITO!$M$689*EFEITO!$Z$689</f>
        <v>0</v>
      </c>
      <c r="O689" s="76">
        <f>$L$689-EFEITO!$O$689*EFEITO!$AA$689</f>
        <v>0</v>
      </c>
      <c r="P689" s="57"/>
      <c r="Q689" s="57"/>
      <c r="R689" s="57"/>
      <c r="S689" s="57"/>
      <c r="T689" s="57"/>
      <c r="U689" s="57"/>
      <c r="V689" s="57"/>
      <c r="W689" s="57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1:36" ht="11.25" customHeight="1" x14ac:dyDescent="0.2">
      <c r="A690" s="53" t="s">
        <v>21</v>
      </c>
      <c r="B690" s="53" t="s">
        <v>33</v>
      </c>
      <c r="C690" s="53" t="s">
        <v>34</v>
      </c>
      <c r="D690" s="53" t="s">
        <v>43</v>
      </c>
      <c r="E690" s="53" t="s">
        <v>25</v>
      </c>
      <c r="F690" s="53" t="s">
        <v>25</v>
      </c>
      <c r="G690" s="53" t="s">
        <v>25</v>
      </c>
      <c r="H690" s="53" t="s">
        <v>25</v>
      </c>
      <c r="I690" s="75">
        <v>44378</v>
      </c>
      <c r="J690" s="76">
        <f ca="1">EFEITO!$J$690*EFEITO!$Y$690</f>
        <v>2189310.4677931005</v>
      </c>
      <c r="K690" s="76">
        <f>EFEITO!$L$690*EFEITO!$Z$690</f>
        <v>0</v>
      </c>
      <c r="L690" s="76">
        <f>EFEITO!$N$690*EFEITO!$AA$690</f>
        <v>0</v>
      </c>
      <c r="M690" s="76">
        <f ca="1">$J$690-EFEITO!$K$690*EFEITO!$Y$690</f>
        <v>0</v>
      </c>
      <c r="N690" s="76">
        <f>$K$690-EFEITO!$M$690*EFEITO!$Z$690</f>
        <v>0</v>
      </c>
      <c r="O690" s="76">
        <f>$L$690-EFEITO!$O$690*EFEITO!$AA$690</f>
        <v>0</v>
      </c>
      <c r="P690" s="57"/>
      <c r="Q690" s="57"/>
      <c r="R690" s="57"/>
      <c r="S690" s="57"/>
      <c r="T690" s="57"/>
      <c r="U690" s="57"/>
      <c r="V690" s="57"/>
      <c r="W690" s="57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1:36" ht="11.25" customHeight="1" x14ac:dyDescent="0.2">
      <c r="A691" s="53" t="s">
        <v>27</v>
      </c>
      <c r="B691" s="53" t="s">
        <v>33</v>
      </c>
      <c r="C691" s="53" t="s">
        <v>34</v>
      </c>
      <c r="D691" s="53" t="s">
        <v>43</v>
      </c>
      <c r="E691" s="53" t="s">
        <v>25</v>
      </c>
      <c r="F691" s="53" t="s">
        <v>25</v>
      </c>
      <c r="G691" s="53" t="s">
        <v>25</v>
      </c>
      <c r="H691" s="53" t="s">
        <v>25</v>
      </c>
      <c r="I691" s="75">
        <v>44378</v>
      </c>
      <c r="J691" s="76">
        <f ca="1">EFEITO!$J$691*EFEITO!$Y$691</f>
        <v>-22695.846915575377</v>
      </c>
      <c r="K691" s="76">
        <f>EFEITO!$L$691*EFEITO!$Z$691</f>
        <v>0</v>
      </c>
      <c r="L691" s="76">
        <f>EFEITO!$N$691*EFEITO!$AA$691</f>
        <v>0</v>
      </c>
      <c r="M691" s="76">
        <f ca="1">$J$691-EFEITO!$K$691*EFEITO!$Y$691</f>
        <v>0</v>
      </c>
      <c r="N691" s="76">
        <f>$K$691-EFEITO!$M$691*EFEITO!$Z$691</f>
        <v>0</v>
      </c>
      <c r="O691" s="76">
        <f>$L$691-EFEITO!$O$691*EFEITO!$AA$691</f>
        <v>0</v>
      </c>
      <c r="P691" s="57"/>
      <c r="Q691" s="57"/>
      <c r="R691" s="57"/>
      <c r="S691" s="57"/>
      <c r="T691" s="57"/>
      <c r="U691" s="57"/>
      <c r="V691" s="57"/>
      <c r="W691" s="57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1:36" ht="11.25" customHeight="1" x14ac:dyDescent="0.2">
      <c r="A692" s="53" t="s">
        <v>28</v>
      </c>
      <c r="B692" s="53" t="s">
        <v>33</v>
      </c>
      <c r="C692" s="53" t="s">
        <v>34</v>
      </c>
      <c r="D692" s="53" t="s">
        <v>43</v>
      </c>
      <c r="E692" s="53" t="s">
        <v>25</v>
      </c>
      <c r="F692" s="53" t="s">
        <v>25</v>
      </c>
      <c r="G692" s="53" t="s">
        <v>25</v>
      </c>
      <c r="H692" s="53" t="s">
        <v>25</v>
      </c>
      <c r="I692" s="75">
        <v>44378</v>
      </c>
      <c r="J692" s="76">
        <f ca="1">EFEITO!$J$692*EFEITO!$Y$692</f>
        <v>122113.52416532405</v>
      </c>
      <c r="K692" s="76">
        <f>EFEITO!$L$692*EFEITO!$Z$692</f>
        <v>0</v>
      </c>
      <c r="L692" s="76">
        <f>EFEITO!$N$692*EFEITO!$AA$692</f>
        <v>0</v>
      </c>
      <c r="M692" s="76">
        <f ca="1">$J$692-EFEITO!$K$692*EFEITO!$Y$692</f>
        <v>0</v>
      </c>
      <c r="N692" s="76">
        <f>$K$692-EFEITO!$M$692*EFEITO!$Z$692</f>
        <v>0</v>
      </c>
      <c r="O692" s="76">
        <f>$L$692-EFEITO!$O$692*EFEITO!$AA$692</f>
        <v>0</v>
      </c>
      <c r="P692" s="57"/>
      <c r="Q692" s="57"/>
      <c r="R692" s="57"/>
      <c r="S692" s="57"/>
      <c r="T692" s="57"/>
      <c r="U692" s="57"/>
      <c r="V692" s="57"/>
      <c r="W692" s="57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ht="11.25" customHeight="1" x14ac:dyDescent="0.2">
      <c r="A693" s="53" t="s">
        <v>28</v>
      </c>
      <c r="B693" s="53" t="s">
        <v>33</v>
      </c>
      <c r="C693" s="53" t="s">
        <v>34</v>
      </c>
      <c r="D693" s="53" t="s">
        <v>43</v>
      </c>
      <c r="E693" s="53" t="s">
        <v>25</v>
      </c>
      <c r="F693" s="53" t="s">
        <v>25</v>
      </c>
      <c r="G693" s="53" t="s">
        <v>25</v>
      </c>
      <c r="H693" s="53" t="s">
        <v>25</v>
      </c>
      <c r="I693" s="75">
        <v>44378</v>
      </c>
      <c r="J693" s="76">
        <f ca="1">EFEITO!$J$693*EFEITO!$Y$693</f>
        <v>2960.3278585533103</v>
      </c>
      <c r="K693" s="76">
        <f>EFEITO!$L$693*EFEITO!$Z$693</f>
        <v>0</v>
      </c>
      <c r="L693" s="76">
        <f>EFEITO!$N$693*EFEITO!$AA$693</f>
        <v>0</v>
      </c>
      <c r="M693" s="76">
        <f ca="1">$J$693-EFEITO!$K$693*EFEITO!$Y$693</f>
        <v>0</v>
      </c>
      <c r="N693" s="76">
        <f>$K$693-EFEITO!$M$693*EFEITO!$Z$693</f>
        <v>0</v>
      </c>
      <c r="O693" s="76">
        <f>$L$693-EFEITO!$O$693*EFEITO!$AA$693</f>
        <v>0</v>
      </c>
      <c r="P693" s="57"/>
      <c r="Q693" s="57"/>
      <c r="R693" s="57"/>
      <c r="S693" s="57"/>
      <c r="T693" s="57"/>
      <c r="U693" s="57"/>
      <c r="V693" s="57"/>
      <c r="W693" s="57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36" ht="11.25" customHeight="1" x14ac:dyDescent="0.2">
      <c r="A694" s="53" t="s">
        <v>21</v>
      </c>
      <c r="B694" s="53" t="s">
        <v>33</v>
      </c>
      <c r="C694" s="53" t="s">
        <v>34</v>
      </c>
      <c r="D694" s="53" t="s">
        <v>43</v>
      </c>
      <c r="E694" s="53" t="s">
        <v>25</v>
      </c>
      <c r="F694" s="53" t="s">
        <v>25</v>
      </c>
      <c r="G694" s="53" t="s">
        <v>25</v>
      </c>
      <c r="H694" s="53" t="s">
        <v>25</v>
      </c>
      <c r="I694" s="75">
        <v>44409</v>
      </c>
      <c r="J694" s="76">
        <f ca="1">EFEITO!$J$694*EFEITO!$Y$694</f>
        <v>2205197.5606340035</v>
      </c>
      <c r="K694" s="76">
        <f>EFEITO!$L$694*EFEITO!$Z$694</f>
        <v>0</v>
      </c>
      <c r="L694" s="76">
        <f>EFEITO!$N$694*EFEITO!$AA$694</f>
        <v>0</v>
      </c>
      <c r="M694" s="76">
        <f ca="1">$J$694-EFEITO!$K$694*EFEITO!$Y$694</f>
        <v>0</v>
      </c>
      <c r="N694" s="76">
        <f>$K$694-EFEITO!$M$694*EFEITO!$Z$694</f>
        <v>0</v>
      </c>
      <c r="O694" s="76">
        <f>$L$694-EFEITO!$O$694*EFEITO!$AA$694</f>
        <v>0</v>
      </c>
      <c r="P694" s="57"/>
      <c r="Q694" s="57"/>
      <c r="R694" s="57"/>
      <c r="S694" s="57"/>
      <c r="T694" s="57"/>
      <c r="U694" s="57"/>
      <c r="V694" s="57"/>
      <c r="W694" s="57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1:36" ht="11.25" customHeight="1" x14ac:dyDescent="0.2">
      <c r="A695" s="53" t="s">
        <v>27</v>
      </c>
      <c r="B695" s="53" t="s">
        <v>33</v>
      </c>
      <c r="C695" s="53" t="s">
        <v>34</v>
      </c>
      <c r="D695" s="53" t="s">
        <v>43</v>
      </c>
      <c r="E695" s="53" t="s">
        <v>25</v>
      </c>
      <c r="F695" s="53" t="s">
        <v>25</v>
      </c>
      <c r="G695" s="53" t="s">
        <v>25</v>
      </c>
      <c r="H695" s="53" t="s">
        <v>25</v>
      </c>
      <c r="I695" s="75">
        <v>44409</v>
      </c>
      <c r="J695" s="76">
        <f ca="1">EFEITO!$J$695*EFEITO!$Y$695</f>
        <v>740.08196463832758</v>
      </c>
      <c r="K695" s="76">
        <f>EFEITO!$L$695*EFEITO!$Z$695</f>
        <v>0</v>
      </c>
      <c r="L695" s="76">
        <f>EFEITO!$N$695*EFEITO!$AA$695</f>
        <v>0</v>
      </c>
      <c r="M695" s="76">
        <f ca="1">$J$695-EFEITO!$K$695*EFEITO!$Y$695</f>
        <v>0</v>
      </c>
      <c r="N695" s="76">
        <f>$K$695-EFEITO!$M$695*EFEITO!$Z$695</f>
        <v>0</v>
      </c>
      <c r="O695" s="76">
        <f>$L$695-EFEITO!$O$695*EFEITO!$AA$695</f>
        <v>0</v>
      </c>
      <c r="P695" s="57"/>
      <c r="Q695" s="57"/>
      <c r="R695" s="57"/>
      <c r="S695" s="57"/>
      <c r="T695" s="57"/>
      <c r="U695" s="57"/>
      <c r="V695" s="57"/>
      <c r="W695" s="57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1:36" ht="11.25" customHeight="1" x14ac:dyDescent="0.2">
      <c r="A696" s="53" t="s">
        <v>28</v>
      </c>
      <c r="B696" s="53" t="s">
        <v>33</v>
      </c>
      <c r="C696" s="53" t="s">
        <v>34</v>
      </c>
      <c r="D696" s="53" t="s">
        <v>43</v>
      </c>
      <c r="E696" s="53" t="s">
        <v>25</v>
      </c>
      <c r="F696" s="53" t="s">
        <v>25</v>
      </c>
      <c r="G696" s="53" t="s">
        <v>25</v>
      </c>
      <c r="H696" s="53" t="s">
        <v>25</v>
      </c>
      <c r="I696" s="75">
        <v>44409</v>
      </c>
      <c r="J696" s="76">
        <f ca="1">EFEITO!$J$696*EFEITO!$Y$696</f>
        <v>270647.97446823638</v>
      </c>
      <c r="K696" s="76">
        <f>EFEITO!$L$696*EFEITO!$Z$696</f>
        <v>0</v>
      </c>
      <c r="L696" s="76">
        <f>EFEITO!$N$696*EFEITO!$AA$696</f>
        <v>0</v>
      </c>
      <c r="M696" s="76">
        <f ca="1">$J$696-EFEITO!$K$696*EFEITO!$Y$696</f>
        <v>0</v>
      </c>
      <c r="N696" s="76">
        <f>$K$696-EFEITO!$M$696*EFEITO!$Z$696</f>
        <v>0</v>
      </c>
      <c r="O696" s="76">
        <f>$L$696-EFEITO!$O$696*EFEITO!$AA$696</f>
        <v>0</v>
      </c>
      <c r="P696" s="57"/>
      <c r="Q696" s="57"/>
      <c r="R696" s="57"/>
      <c r="S696" s="57"/>
      <c r="T696" s="57"/>
      <c r="U696" s="57"/>
      <c r="V696" s="57"/>
      <c r="W696" s="57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1:36" ht="11.25" customHeight="1" x14ac:dyDescent="0.2">
      <c r="A697" s="53" t="s">
        <v>28</v>
      </c>
      <c r="B697" s="53" t="s">
        <v>33</v>
      </c>
      <c r="C697" s="53" t="s">
        <v>34</v>
      </c>
      <c r="D697" s="53" t="s">
        <v>43</v>
      </c>
      <c r="E697" s="53" t="s">
        <v>25</v>
      </c>
      <c r="F697" s="53" t="s">
        <v>25</v>
      </c>
      <c r="G697" s="53" t="s">
        <v>25</v>
      </c>
      <c r="H697" s="53" t="s">
        <v>25</v>
      </c>
      <c r="I697" s="75">
        <v>44409</v>
      </c>
      <c r="J697" s="76">
        <f ca="1">EFEITO!$J$697*EFEITO!$Y$697</f>
        <v>-1208.8005422426018</v>
      </c>
      <c r="K697" s="76">
        <f>EFEITO!$L$697*EFEITO!$Z$697</f>
        <v>0</v>
      </c>
      <c r="L697" s="76">
        <f>EFEITO!$N$697*EFEITO!$AA$697</f>
        <v>0</v>
      </c>
      <c r="M697" s="76">
        <f ca="1">$J$697-EFEITO!$K$697*EFEITO!$Y$697</f>
        <v>0</v>
      </c>
      <c r="N697" s="76">
        <f>$K$697-EFEITO!$M$697*EFEITO!$Z$697</f>
        <v>0</v>
      </c>
      <c r="O697" s="76">
        <f>$L$697-EFEITO!$O$697*EFEITO!$AA$697</f>
        <v>0</v>
      </c>
      <c r="P697" s="57"/>
      <c r="Q697" s="57"/>
      <c r="R697" s="57"/>
      <c r="S697" s="57"/>
      <c r="T697" s="57"/>
      <c r="U697" s="57"/>
      <c r="V697" s="57"/>
      <c r="W697" s="57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1:36" ht="11.25" customHeight="1" x14ac:dyDescent="0.2">
      <c r="A698" s="53" t="s">
        <v>21</v>
      </c>
      <c r="B698" s="53" t="s">
        <v>33</v>
      </c>
      <c r="C698" s="53" t="s">
        <v>34</v>
      </c>
      <c r="D698" s="53" t="s">
        <v>43</v>
      </c>
      <c r="E698" s="53" t="s">
        <v>25</v>
      </c>
      <c r="F698" s="53" t="s">
        <v>25</v>
      </c>
      <c r="G698" s="53" t="s">
        <v>25</v>
      </c>
      <c r="H698" s="53" t="s">
        <v>25</v>
      </c>
      <c r="I698" s="75">
        <v>44440</v>
      </c>
      <c r="J698" s="76">
        <f ca="1">EFEITO!$J$698*EFEITO!$Y$698</f>
        <v>2213338.4622450252</v>
      </c>
      <c r="K698" s="76">
        <f>EFEITO!$L$698*EFEITO!$Z$698</f>
        <v>0</v>
      </c>
      <c r="L698" s="76">
        <f>EFEITO!$N$698*EFEITO!$AA$698</f>
        <v>0</v>
      </c>
      <c r="M698" s="76">
        <f ca="1">$J$698-EFEITO!$K$698*EFEITO!$Y$698</f>
        <v>0</v>
      </c>
      <c r="N698" s="76">
        <f>$K$698-EFEITO!$M$698*EFEITO!$Z$698</f>
        <v>0</v>
      </c>
      <c r="O698" s="76">
        <f>$L$698-EFEITO!$O$698*EFEITO!$AA$698</f>
        <v>0</v>
      </c>
      <c r="P698" s="57"/>
      <c r="Q698" s="57"/>
      <c r="R698" s="57"/>
      <c r="S698" s="57"/>
      <c r="T698" s="57"/>
      <c r="U698" s="57"/>
      <c r="V698" s="57"/>
      <c r="W698" s="57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ht="11.25" customHeight="1" x14ac:dyDescent="0.2">
      <c r="A699" s="53" t="s">
        <v>27</v>
      </c>
      <c r="B699" s="53" t="s">
        <v>33</v>
      </c>
      <c r="C699" s="53" t="s">
        <v>34</v>
      </c>
      <c r="D699" s="53" t="s">
        <v>43</v>
      </c>
      <c r="E699" s="53" t="s">
        <v>25</v>
      </c>
      <c r="F699" s="53" t="s">
        <v>25</v>
      </c>
      <c r="G699" s="53" t="s">
        <v>25</v>
      </c>
      <c r="H699" s="53" t="s">
        <v>25</v>
      </c>
      <c r="I699" s="75">
        <v>44440</v>
      </c>
      <c r="J699" s="76">
        <f ca="1">EFEITO!$J$699*EFEITO!$Y$699</f>
        <v>11989.327827140907</v>
      </c>
      <c r="K699" s="76">
        <f>EFEITO!$L$699*EFEITO!$Z$699</f>
        <v>0</v>
      </c>
      <c r="L699" s="76">
        <f>EFEITO!$N$699*EFEITO!$AA$699</f>
        <v>0</v>
      </c>
      <c r="M699" s="76">
        <f ca="1">$J$699-EFEITO!$K$699*EFEITO!$Y$699</f>
        <v>0</v>
      </c>
      <c r="N699" s="76">
        <f>$K$699-EFEITO!$M$699*EFEITO!$Z$699</f>
        <v>0</v>
      </c>
      <c r="O699" s="76">
        <f>$L$699-EFEITO!$O$699*EFEITO!$AA$699</f>
        <v>0</v>
      </c>
      <c r="P699" s="57"/>
      <c r="Q699" s="57"/>
      <c r="R699" s="57"/>
      <c r="S699" s="57"/>
      <c r="T699" s="57"/>
      <c r="U699" s="57"/>
      <c r="V699" s="57"/>
      <c r="W699" s="57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1:36" ht="11.25" customHeight="1" x14ac:dyDescent="0.2">
      <c r="A700" s="53" t="s">
        <v>28</v>
      </c>
      <c r="B700" s="53" t="s">
        <v>33</v>
      </c>
      <c r="C700" s="53" t="s">
        <v>34</v>
      </c>
      <c r="D700" s="53" t="s">
        <v>43</v>
      </c>
      <c r="E700" s="53" t="s">
        <v>25</v>
      </c>
      <c r="F700" s="53" t="s">
        <v>25</v>
      </c>
      <c r="G700" s="53" t="s">
        <v>25</v>
      </c>
      <c r="H700" s="53" t="s">
        <v>25</v>
      </c>
      <c r="I700" s="75">
        <v>44440</v>
      </c>
      <c r="J700" s="76">
        <f ca="1">EFEITO!$J$700*EFEITO!$Y$700</f>
        <v>327905.64913242165</v>
      </c>
      <c r="K700" s="76">
        <f>EFEITO!$L$700*EFEITO!$Z$700</f>
        <v>0</v>
      </c>
      <c r="L700" s="76">
        <f>EFEITO!$N$700*EFEITO!$AA$700</f>
        <v>0</v>
      </c>
      <c r="M700" s="76">
        <f ca="1">$J$700-EFEITO!$K$700*EFEITO!$Y$700</f>
        <v>0</v>
      </c>
      <c r="N700" s="76">
        <f>$K$700-EFEITO!$M$700*EFEITO!$Z$700</f>
        <v>0</v>
      </c>
      <c r="O700" s="76">
        <f>$L$700-EFEITO!$O$700*EFEITO!$AA$700</f>
        <v>0</v>
      </c>
      <c r="P700" s="57"/>
      <c r="Q700" s="57"/>
      <c r="R700" s="57"/>
      <c r="S700" s="57"/>
      <c r="T700" s="57"/>
      <c r="U700" s="57"/>
      <c r="V700" s="57"/>
      <c r="W700" s="57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1:36" ht="11.25" customHeight="1" x14ac:dyDescent="0.2">
      <c r="A701" s="53" t="s">
        <v>28</v>
      </c>
      <c r="B701" s="53" t="s">
        <v>33</v>
      </c>
      <c r="C701" s="53" t="s">
        <v>34</v>
      </c>
      <c r="D701" s="53" t="s">
        <v>43</v>
      </c>
      <c r="E701" s="53" t="s">
        <v>25</v>
      </c>
      <c r="F701" s="53" t="s">
        <v>25</v>
      </c>
      <c r="G701" s="53" t="s">
        <v>25</v>
      </c>
      <c r="H701" s="53" t="s">
        <v>25</v>
      </c>
      <c r="I701" s="75">
        <v>44440</v>
      </c>
      <c r="J701" s="76">
        <f ca="1">EFEITO!$J$701*EFEITO!$Y$701</f>
        <v>-16232.464424400652</v>
      </c>
      <c r="K701" s="76">
        <f>EFEITO!$L$701*EFEITO!$Z$701</f>
        <v>0</v>
      </c>
      <c r="L701" s="76">
        <f>EFEITO!$N$701*EFEITO!$AA$701</f>
        <v>0</v>
      </c>
      <c r="M701" s="76">
        <f ca="1">$J$701-EFEITO!$K$701*EFEITO!$Y$701</f>
        <v>0</v>
      </c>
      <c r="N701" s="76">
        <f>$K$701-EFEITO!$M$701*EFEITO!$Z$701</f>
        <v>0</v>
      </c>
      <c r="O701" s="76">
        <f>$L$701-EFEITO!$O$701*EFEITO!$AA$701</f>
        <v>0</v>
      </c>
      <c r="P701" s="57"/>
      <c r="Q701" s="57"/>
      <c r="R701" s="57"/>
      <c r="S701" s="57"/>
      <c r="T701" s="57"/>
      <c r="U701" s="57"/>
      <c r="V701" s="57"/>
      <c r="W701" s="57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spans="1:36" ht="11.25" customHeight="1" x14ac:dyDescent="0.2">
      <c r="A702" s="53" t="s">
        <v>21</v>
      </c>
      <c r="B702" s="53" t="s">
        <v>33</v>
      </c>
      <c r="C702" s="53" t="s">
        <v>34</v>
      </c>
      <c r="D702" s="53" t="s">
        <v>43</v>
      </c>
      <c r="E702" s="53" t="s">
        <v>25</v>
      </c>
      <c r="F702" s="53" t="s">
        <v>25</v>
      </c>
      <c r="G702" s="53" t="s">
        <v>25</v>
      </c>
      <c r="H702" s="53" t="s">
        <v>25</v>
      </c>
      <c r="I702" s="75">
        <v>44470</v>
      </c>
      <c r="J702" s="76">
        <f ca="1">EFEITO!$J$702*EFEITO!$Y$702</f>
        <v>2245310.0031174007</v>
      </c>
      <c r="K702" s="76">
        <f>EFEITO!$L$702*EFEITO!$Z$702</f>
        <v>0</v>
      </c>
      <c r="L702" s="76">
        <f>EFEITO!$N$702*EFEITO!$AA$702</f>
        <v>0</v>
      </c>
      <c r="M702" s="76">
        <f ca="1">$J$702-EFEITO!$K$702*EFEITO!$Y$702</f>
        <v>0</v>
      </c>
      <c r="N702" s="76">
        <f>$K$702-EFEITO!$M$702*EFEITO!$Z$702</f>
        <v>0</v>
      </c>
      <c r="O702" s="76">
        <f>$L$702-EFEITO!$O$702*EFEITO!$AA$702</f>
        <v>0</v>
      </c>
      <c r="P702" s="57"/>
      <c r="Q702" s="57"/>
      <c r="R702" s="57"/>
      <c r="S702" s="57"/>
      <c r="T702" s="57"/>
      <c r="U702" s="57"/>
      <c r="V702" s="57"/>
      <c r="W702" s="57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spans="1:36" ht="11.25" customHeight="1" x14ac:dyDescent="0.2">
      <c r="A703" s="53" t="s">
        <v>27</v>
      </c>
      <c r="B703" s="53" t="s">
        <v>33</v>
      </c>
      <c r="C703" s="53" t="s">
        <v>34</v>
      </c>
      <c r="D703" s="53" t="s">
        <v>43</v>
      </c>
      <c r="E703" s="53" t="s">
        <v>25</v>
      </c>
      <c r="F703" s="53" t="s">
        <v>25</v>
      </c>
      <c r="G703" s="53" t="s">
        <v>25</v>
      </c>
      <c r="H703" s="53" t="s">
        <v>25</v>
      </c>
      <c r="I703" s="75">
        <v>44470</v>
      </c>
      <c r="J703" s="76">
        <f ca="1">EFEITO!$J$703*EFEITO!$Y$703</f>
        <v>-57973.087230002326</v>
      </c>
      <c r="K703" s="76">
        <f>EFEITO!$L$703*EFEITO!$Z$703</f>
        <v>0</v>
      </c>
      <c r="L703" s="76">
        <f>EFEITO!$N$703*EFEITO!$AA$703</f>
        <v>0</v>
      </c>
      <c r="M703" s="76">
        <f ca="1">$J$703-EFEITO!$K$703*EFEITO!$Y$703</f>
        <v>0</v>
      </c>
      <c r="N703" s="76">
        <f>$K$703-EFEITO!$M$703*EFEITO!$Z$703</f>
        <v>0</v>
      </c>
      <c r="O703" s="76">
        <f>$L$703-EFEITO!$O$703*EFEITO!$AA$703</f>
        <v>0</v>
      </c>
      <c r="P703" s="57"/>
      <c r="Q703" s="57"/>
      <c r="R703" s="57"/>
      <c r="S703" s="57"/>
      <c r="T703" s="57"/>
      <c r="U703" s="57"/>
      <c r="V703" s="57"/>
      <c r="W703" s="57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spans="1:36" ht="11.25" customHeight="1" x14ac:dyDescent="0.2">
      <c r="A704" s="53" t="s">
        <v>28</v>
      </c>
      <c r="B704" s="53" t="s">
        <v>33</v>
      </c>
      <c r="C704" s="53" t="s">
        <v>34</v>
      </c>
      <c r="D704" s="53" t="s">
        <v>43</v>
      </c>
      <c r="E704" s="53" t="s">
        <v>25</v>
      </c>
      <c r="F704" s="53" t="s">
        <v>25</v>
      </c>
      <c r="G704" s="53" t="s">
        <v>25</v>
      </c>
      <c r="H704" s="53" t="s">
        <v>25</v>
      </c>
      <c r="I704" s="75">
        <v>44470</v>
      </c>
      <c r="J704" s="76">
        <f ca="1">EFEITO!$J$704*EFEITO!$Y$704</f>
        <v>355412.02881814615</v>
      </c>
      <c r="K704" s="76">
        <f>EFEITO!$L$704*EFEITO!$Z$704</f>
        <v>0</v>
      </c>
      <c r="L704" s="76">
        <f>EFEITO!$N$704*EFEITO!$AA$704</f>
        <v>0</v>
      </c>
      <c r="M704" s="76">
        <f ca="1">$J$704-EFEITO!$K$704*EFEITO!$Y$704</f>
        <v>0</v>
      </c>
      <c r="N704" s="76">
        <f>$K$704-EFEITO!$M$704*EFEITO!$Z$704</f>
        <v>0</v>
      </c>
      <c r="O704" s="76">
        <f>$L$704-EFEITO!$O$704*EFEITO!$AA$704</f>
        <v>0</v>
      </c>
      <c r="P704" s="57"/>
      <c r="Q704" s="57"/>
      <c r="R704" s="57"/>
      <c r="S704" s="57"/>
      <c r="T704" s="57"/>
      <c r="U704" s="57"/>
      <c r="V704" s="57"/>
      <c r="W704" s="57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ht="11.25" customHeight="1" x14ac:dyDescent="0.2">
      <c r="A705" s="53" t="s">
        <v>28</v>
      </c>
      <c r="B705" s="53" t="s">
        <v>33</v>
      </c>
      <c r="C705" s="53" t="s">
        <v>34</v>
      </c>
      <c r="D705" s="53" t="s">
        <v>43</v>
      </c>
      <c r="E705" s="53" t="s">
        <v>25</v>
      </c>
      <c r="F705" s="53" t="s">
        <v>25</v>
      </c>
      <c r="G705" s="53" t="s">
        <v>25</v>
      </c>
      <c r="H705" s="53" t="s">
        <v>25</v>
      </c>
      <c r="I705" s="75">
        <v>44470</v>
      </c>
      <c r="J705" s="76">
        <f ca="1">EFEITO!$J$705*EFEITO!$Y$705</f>
        <v>4933.8797642555173</v>
      </c>
      <c r="K705" s="76">
        <f>EFEITO!$L$705*EFEITO!$Z$705</f>
        <v>0</v>
      </c>
      <c r="L705" s="76">
        <f>EFEITO!$N$705*EFEITO!$AA$705</f>
        <v>0</v>
      </c>
      <c r="M705" s="76">
        <f ca="1">$J$705-EFEITO!$K$705*EFEITO!$Y$705</f>
        <v>0</v>
      </c>
      <c r="N705" s="76">
        <f>$K$705-EFEITO!$M$705*EFEITO!$Z$705</f>
        <v>0</v>
      </c>
      <c r="O705" s="76">
        <f>$L$705-EFEITO!$O$705*EFEITO!$AA$705</f>
        <v>0</v>
      </c>
      <c r="P705" s="57"/>
      <c r="Q705" s="57"/>
      <c r="R705" s="57"/>
      <c r="S705" s="57"/>
      <c r="T705" s="57"/>
      <c r="U705" s="57"/>
      <c r="V705" s="57"/>
      <c r="W705" s="57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spans="1:36" ht="11.25" customHeight="1" x14ac:dyDescent="0.2">
      <c r="A706" s="53" t="s">
        <v>21</v>
      </c>
      <c r="B706" s="53" t="s">
        <v>33</v>
      </c>
      <c r="C706" s="53" t="s">
        <v>34</v>
      </c>
      <c r="D706" s="53" t="s">
        <v>43</v>
      </c>
      <c r="E706" s="53" t="s">
        <v>25</v>
      </c>
      <c r="F706" s="53" t="s">
        <v>25</v>
      </c>
      <c r="G706" s="53" t="s">
        <v>25</v>
      </c>
      <c r="H706" s="53" t="s">
        <v>25</v>
      </c>
      <c r="I706" s="75">
        <v>44501</v>
      </c>
      <c r="J706" s="76">
        <f ca="1">EFEITO!$J$706*EFEITO!$Y$706</f>
        <v>2229743.6124611744</v>
      </c>
      <c r="K706" s="76">
        <f>EFEITO!$L$706*EFEITO!$Z$706</f>
        <v>0</v>
      </c>
      <c r="L706" s="76">
        <f>EFEITO!$N$706*EFEITO!$AA$706</f>
        <v>0</v>
      </c>
      <c r="M706" s="76">
        <f ca="1">$J$706-EFEITO!$K$706*EFEITO!$Y$706</f>
        <v>0</v>
      </c>
      <c r="N706" s="76">
        <f>$K$706-EFEITO!$M$706*EFEITO!$Z$706</f>
        <v>0</v>
      </c>
      <c r="O706" s="76">
        <f>$L$706-EFEITO!$O$706*EFEITO!$AA$706</f>
        <v>0</v>
      </c>
      <c r="P706" s="57"/>
      <c r="Q706" s="57"/>
      <c r="R706" s="57"/>
      <c r="S706" s="57"/>
      <c r="T706" s="57"/>
      <c r="U706" s="57"/>
      <c r="V706" s="57"/>
      <c r="W706" s="57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spans="1:36" ht="11.25" customHeight="1" x14ac:dyDescent="0.2">
      <c r="A707" s="53" t="s">
        <v>27</v>
      </c>
      <c r="B707" s="53" t="s">
        <v>33</v>
      </c>
      <c r="C707" s="53" t="s">
        <v>34</v>
      </c>
      <c r="D707" s="53" t="s">
        <v>43</v>
      </c>
      <c r="E707" s="53" t="s">
        <v>25</v>
      </c>
      <c r="F707" s="53" t="s">
        <v>25</v>
      </c>
      <c r="G707" s="53" t="s">
        <v>25</v>
      </c>
      <c r="H707" s="53" t="s">
        <v>25</v>
      </c>
      <c r="I707" s="75">
        <v>44501</v>
      </c>
      <c r="J707" s="76">
        <f ca="1">EFEITO!$J$707*EFEITO!$Y$707</f>
        <v>-18526.718514779466</v>
      </c>
      <c r="K707" s="76">
        <f>EFEITO!$L$707*EFEITO!$Z$707</f>
        <v>0</v>
      </c>
      <c r="L707" s="76">
        <f>EFEITO!$N$707*EFEITO!$AA$707</f>
        <v>0</v>
      </c>
      <c r="M707" s="76">
        <f ca="1">$J$707-EFEITO!$K$707*EFEITO!$Y$707</f>
        <v>0</v>
      </c>
      <c r="N707" s="76">
        <f>$K$707-EFEITO!$M$707*EFEITO!$Z$707</f>
        <v>0</v>
      </c>
      <c r="O707" s="76">
        <f>$L$707-EFEITO!$O$707*EFEITO!$AA$707</f>
        <v>0</v>
      </c>
      <c r="P707" s="57"/>
      <c r="Q707" s="57"/>
      <c r="R707" s="57"/>
      <c r="S707" s="57"/>
      <c r="T707" s="57"/>
      <c r="U707" s="57"/>
      <c r="V707" s="57"/>
      <c r="W707" s="57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spans="1:36" ht="11.25" customHeight="1" x14ac:dyDescent="0.2">
      <c r="A708" s="53" t="s">
        <v>28</v>
      </c>
      <c r="B708" s="53" t="s">
        <v>33</v>
      </c>
      <c r="C708" s="53" t="s">
        <v>34</v>
      </c>
      <c r="D708" s="53" t="s">
        <v>43</v>
      </c>
      <c r="E708" s="53" t="s">
        <v>25</v>
      </c>
      <c r="F708" s="53" t="s">
        <v>25</v>
      </c>
      <c r="G708" s="53" t="s">
        <v>25</v>
      </c>
      <c r="H708" s="53" t="s">
        <v>25</v>
      </c>
      <c r="I708" s="75">
        <v>44501</v>
      </c>
      <c r="J708" s="76">
        <f ca="1">EFEITO!$J$708*EFEITO!$Y$708</f>
        <v>399866.28549408837</v>
      </c>
      <c r="K708" s="76">
        <f>EFEITO!$L$708*EFEITO!$Z$708</f>
        <v>0</v>
      </c>
      <c r="L708" s="76">
        <f>EFEITO!$N$708*EFEITO!$AA$708</f>
        <v>0</v>
      </c>
      <c r="M708" s="76">
        <f ca="1">$J$708-EFEITO!$K$708*EFEITO!$Y$708</f>
        <v>0</v>
      </c>
      <c r="N708" s="76">
        <f>$K$708-EFEITO!$M$708*EFEITO!$Z$708</f>
        <v>0</v>
      </c>
      <c r="O708" s="76">
        <f>$L$708-EFEITO!$O$708*EFEITO!$AA$708</f>
        <v>0</v>
      </c>
      <c r="P708" s="57"/>
      <c r="Q708" s="57"/>
      <c r="R708" s="57"/>
      <c r="S708" s="57"/>
      <c r="T708" s="57"/>
      <c r="U708" s="57"/>
      <c r="V708" s="57"/>
      <c r="W708" s="57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spans="1:36" ht="11.25" customHeight="1" x14ac:dyDescent="0.2">
      <c r="A709" s="53" t="s">
        <v>28</v>
      </c>
      <c r="B709" s="53" t="s">
        <v>33</v>
      </c>
      <c r="C709" s="53" t="s">
        <v>34</v>
      </c>
      <c r="D709" s="53" t="s">
        <v>43</v>
      </c>
      <c r="E709" s="53" t="s">
        <v>25</v>
      </c>
      <c r="F709" s="53" t="s">
        <v>25</v>
      </c>
      <c r="G709" s="53" t="s">
        <v>25</v>
      </c>
      <c r="H709" s="53" t="s">
        <v>25</v>
      </c>
      <c r="I709" s="75">
        <v>44501</v>
      </c>
      <c r="J709" s="76">
        <f ca="1">EFEITO!$J$709*EFEITO!$Y$709</f>
        <v>1652.8497210255982</v>
      </c>
      <c r="K709" s="76">
        <f>EFEITO!$L$709*EFEITO!$Z$709</f>
        <v>0</v>
      </c>
      <c r="L709" s="76">
        <f>EFEITO!$N$709*EFEITO!$AA$709</f>
        <v>0</v>
      </c>
      <c r="M709" s="76">
        <f ca="1">$J$709-EFEITO!$K$709*EFEITO!$Y$709</f>
        <v>0</v>
      </c>
      <c r="N709" s="76">
        <f>$K$709-EFEITO!$M$709*EFEITO!$Z$709</f>
        <v>0</v>
      </c>
      <c r="O709" s="76">
        <f>$L$709-EFEITO!$O$709*EFEITO!$AA$709</f>
        <v>0</v>
      </c>
      <c r="P709" s="57"/>
      <c r="Q709" s="57"/>
      <c r="R709" s="57"/>
      <c r="S709" s="57"/>
      <c r="T709" s="57"/>
      <c r="U709" s="57"/>
      <c r="V709" s="57"/>
      <c r="W709" s="57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spans="1:36" ht="11.25" customHeight="1" x14ac:dyDescent="0.2">
      <c r="A710" s="53" t="s">
        <v>21</v>
      </c>
      <c r="B710" s="53" t="s">
        <v>33</v>
      </c>
      <c r="C710" s="53" t="s">
        <v>34</v>
      </c>
      <c r="D710" s="53" t="s">
        <v>43</v>
      </c>
      <c r="E710" s="53" t="s">
        <v>25</v>
      </c>
      <c r="F710" s="53" t="s">
        <v>25</v>
      </c>
      <c r="G710" s="53" t="s">
        <v>25</v>
      </c>
      <c r="H710" s="53" t="s">
        <v>25</v>
      </c>
      <c r="I710" s="75">
        <v>44531</v>
      </c>
      <c r="J710" s="76">
        <f ca="1">EFEITO!$J$710*EFEITO!$Y$710</f>
        <v>2187509.6016791472</v>
      </c>
      <c r="K710" s="76">
        <f>EFEITO!$L$710*EFEITO!$Z$710</f>
        <v>0</v>
      </c>
      <c r="L710" s="76">
        <f>EFEITO!$N$710*EFEITO!$AA$710</f>
        <v>0</v>
      </c>
      <c r="M710" s="76">
        <f ca="1">$J$710-EFEITO!$K$710*EFEITO!$Y$710</f>
        <v>0</v>
      </c>
      <c r="N710" s="76">
        <f>$K$710-EFEITO!$M$710*EFEITO!$Z$710</f>
        <v>0</v>
      </c>
      <c r="O710" s="76">
        <f>$L$710-EFEITO!$O$710*EFEITO!$AA$710</f>
        <v>0</v>
      </c>
      <c r="P710" s="57"/>
      <c r="Q710" s="57"/>
      <c r="R710" s="57"/>
      <c r="S710" s="57"/>
      <c r="T710" s="57"/>
      <c r="U710" s="57"/>
      <c r="V710" s="57"/>
      <c r="W710" s="57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ht="11.25" customHeight="1" x14ac:dyDescent="0.2">
      <c r="A711" s="53" t="s">
        <v>27</v>
      </c>
      <c r="B711" s="53" t="s">
        <v>33</v>
      </c>
      <c r="C711" s="53" t="s">
        <v>34</v>
      </c>
      <c r="D711" s="53" t="s">
        <v>43</v>
      </c>
      <c r="E711" s="53" t="s">
        <v>25</v>
      </c>
      <c r="F711" s="53" t="s">
        <v>25</v>
      </c>
      <c r="G711" s="53" t="s">
        <v>25</v>
      </c>
      <c r="H711" s="53" t="s">
        <v>25</v>
      </c>
      <c r="I711" s="75">
        <v>44531</v>
      </c>
      <c r="J711" s="76">
        <f ca="1">EFEITO!$J$711*EFEITO!$Y$711</f>
        <v>-690.74316699577241</v>
      </c>
      <c r="K711" s="76">
        <f>EFEITO!$L$711*EFEITO!$Z$711</f>
        <v>0</v>
      </c>
      <c r="L711" s="76">
        <f>EFEITO!$N$711*EFEITO!$AA$711</f>
        <v>0</v>
      </c>
      <c r="M711" s="76">
        <f ca="1">$J$711-EFEITO!$K$711*EFEITO!$Y$711</f>
        <v>0</v>
      </c>
      <c r="N711" s="76">
        <f>$K$711-EFEITO!$M$711*EFEITO!$Z$711</f>
        <v>0</v>
      </c>
      <c r="O711" s="76">
        <f>$L$711-EFEITO!$O$711*EFEITO!$AA$711</f>
        <v>0</v>
      </c>
      <c r="P711" s="57"/>
      <c r="Q711" s="57"/>
      <c r="R711" s="57"/>
      <c r="S711" s="57"/>
      <c r="T711" s="57"/>
      <c r="U711" s="57"/>
      <c r="V711" s="57"/>
      <c r="W711" s="57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spans="1:36" ht="11.25" customHeight="1" x14ac:dyDescent="0.2">
      <c r="A712" s="53" t="s">
        <v>28</v>
      </c>
      <c r="B712" s="53" t="s">
        <v>33</v>
      </c>
      <c r="C712" s="53" t="s">
        <v>34</v>
      </c>
      <c r="D712" s="53" t="s">
        <v>43</v>
      </c>
      <c r="E712" s="53" t="s">
        <v>25</v>
      </c>
      <c r="F712" s="53" t="s">
        <v>25</v>
      </c>
      <c r="G712" s="53" t="s">
        <v>25</v>
      </c>
      <c r="H712" s="53" t="s">
        <v>25</v>
      </c>
      <c r="I712" s="75">
        <v>44531</v>
      </c>
      <c r="J712" s="76">
        <f ca="1">EFEITO!$J$712*EFEITO!$Y$712</f>
        <v>447527.56401679671</v>
      </c>
      <c r="K712" s="76">
        <f>EFEITO!$L$712*EFEITO!$Z$712</f>
        <v>0</v>
      </c>
      <c r="L712" s="76">
        <f>EFEITO!$N$712*EFEITO!$AA$712</f>
        <v>0</v>
      </c>
      <c r="M712" s="76">
        <f ca="1">$J$712-EFEITO!$K$712*EFEITO!$Y$712</f>
        <v>0</v>
      </c>
      <c r="N712" s="76">
        <f>$K$712-EFEITO!$M$712*EFEITO!$Z$712</f>
        <v>0</v>
      </c>
      <c r="O712" s="76">
        <f>$L$712-EFEITO!$O$712*EFEITO!$AA$712</f>
        <v>0</v>
      </c>
      <c r="P712" s="57"/>
      <c r="Q712" s="57"/>
      <c r="R712" s="57"/>
      <c r="S712" s="57"/>
      <c r="T712" s="57"/>
      <c r="U712" s="57"/>
      <c r="V712" s="57"/>
      <c r="W712" s="57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36" ht="11.25" customHeight="1" x14ac:dyDescent="0.2">
      <c r="A713" s="53" t="s">
        <v>28</v>
      </c>
      <c r="B713" s="53" t="s">
        <v>33</v>
      </c>
      <c r="C713" s="53" t="s">
        <v>34</v>
      </c>
      <c r="D713" s="53" t="s">
        <v>43</v>
      </c>
      <c r="E713" s="53" t="s">
        <v>25</v>
      </c>
      <c r="F713" s="53" t="s">
        <v>25</v>
      </c>
      <c r="G713" s="53" t="s">
        <v>25</v>
      </c>
      <c r="H713" s="53" t="s">
        <v>25</v>
      </c>
      <c r="I713" s="75">
        <v>44531</v>
      </c>
      <c r="J713" s="76">
        <f ca="1">EFEITO!$J$713*EFEITO!$Y$713</f>
        <v>1628.1803222043206</v>
      </c>
      <c r="K713" s="76">
        <f>EFEITO!$L$713*EFEITO!$Z$713</f>
        <v>0</v>
      </c>
      <c r="L713" s="76">
        <f>EFEITO!$N$713*EFEITO!$AA$713</f>
        <v>0</v>
      </c>
      <c r="M713" s="76">
        <f ca="1">$J$713-EFEITO!$K$713*EFEITO!$Y$713</f>
        <v>0</v>
      </c>
      <c r="N713" s="76">
        <f>$K$713-EFEITO!$M$713*EFEITO!$Z$713</f>
        <v>0</v>
      </c>
      <c r="O713" s="76">
        <f>$L$713-EFEITO!$O$713*EFEITO!$AA$713</f>
        <v>0</v>
      </c>
      <c r="P713" s="57"/>
      <c r="Q713" s="57"/>
      <c r="R713" s="57"/>
      <c r="S713" s="57"/>
      <c r="T713" s="57"/>
      <c r="U713" s="57"/>
      <c r="V713" s="57"/>
      <c r="W713" s="57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spans="1:36" ht="11.25" customHeight="1" x14ac:dyDescent="0.2">
      <c r="A714" s="53" t="s">
        <v>21</v>
      </c>
      <c r="B714" s="53" t="s">
        <v>33</v>
      </c>
      <c r="C714" s="53" t="s">
        <v>34</v>
      </c>
      <c r="D714" s="53" t="s">
        <v>43</v>
      </c>
      <c r="E714" s="53" t="s">
        <v>25</v>
      </c>
      <c r="F714" s="53" t="s">
        <v>25</v>
      </c>
      <c r="G714" s="53" t="s">
        <v>25</v>
      </c>
      <c r="H714" s="53" t="s">
        <v>25</v>
      </c>
      <c r="I714" s="75">
        <v>44562</v>
      </c>
      <c r="J714" s="76">
        <f ca="1">EFEITO!$J$714*EFEITO!$Y$714</f>
        <v>2182082.3339384664</v>
      </c>
      <c r="K714" s="76">
        <f>EFEITO!$L$714*EFEITO!$Z$714</f>
        <v>0</v>
      </c>
      <c r="L714" s="76">
        <f>EFEITO!$N$714*EFEITO!$AA$714</f>
        <v>0</v>
      </c>
      <c r="M714" s="76">
        <f ca="1">$J$714-EFEITO!$K$714*EFEITO!$Y$714</f>
        <v>0</v>
      </c>
      <c r="N714" s="76">
        <f>$K$714-EFEITO!$M$714*EFEITO!$Z$714</f>
        <v>0</v>
      </c>
      <c r="O714" s="76">
        <f>$L$714-EFEITO!$O$714*EFEITO!$AA$714</f>
        <v>0</v>
      </c>
      <c r="P714" s="57"/>
      <c r="Q714" s="57"/>
      <c r="R714" s="57"/>
      <c r="S714" s="57"/>
      <c r="T714" s="57"/>
      <c r="U714" s="57"/>
      <c r="V714" s="57"/>
      <c r="W714" s="57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spans="1:36" ht="11.25" customHeight="1" x14ac:dyDescent="0.2">
      <c r="A715" s="53" t="s">
        <v>27</v>
      </c>
      <c r="B715" s="53" t="s">
        <v>33</v>
      </c>
      <c r="C715" s="53" t="s">
        <v>34</v>
      </c>
      <c r="D715" s="53" t="s">
        <v>43</v>
      </c>
      <c r="E715" s="53" t="s">
        <v>25</v>
      </c>
      <c r="F715" s="53" t="s">
        <v>25</v>
      </c>
      <c r="G715" s="53" t="s">
        <v>25</v>
      </c>
      <c r="H715" s="53" t="s">
        <v>25</v>
      </c>
      <c r="I715" s="75">
        <v>44562</v>
      </c>
      <c r="J715" s="76">
        <f ca="1">EFEITO!$J$715*EFEITO!$Y$715</f>
        <v>5797.3087230002329</v>
      </c>
      <c r="K715" s="76">
        <f>EFEITO!$L$715*EFEITO!$Z$715</f>
        <v>0</v>
      </c>
      <c r="L715" s="76">
        <f>EFEITO!$N$715*EFEITO!$AA$715</f>
        <v>0</v>
      </c>
      <c r="M715" s="76">
        <f ca="1">$J$715-EFEITO!$K$715*EFEITO!$Y$715</f>
        <v>0</v>
      </c>
      <c r="N715" s="76">
        <f>$K$715-EFEITO!$M$715*EFEITO!$Z$715</f>
        <v>0</v>
      </c>
      <c r="O715" s="76">
        <f>$L$715-EFEITO!$O$715*EFEITO!$AA$715</f>
        <v>0</v>
      </c>
      <c r="P715" s="57"/>
      <c r="Q715" s="57"/>
      <c r="R715" s="57"/>
      <c r="S715" s="57"/>
      <c r="T715" s="57"/>
      <c r="U715" s="57"/>
      <c r="V715" s="57"/>
      <c r="W715" s="57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</row>
    <row r="716" spans="1:36" ht="11.25" customHeight="1" x14ac:dyDescent="0.2">
      <c r="A716" s="53" t="s">
        <v>28</v>
      </c>
      <c r="B716" s="53" t="s">
        <v>33</v>
      </c>
      <c r="C716" s="53" t="s">
        <v>34</v>
      </c>
      <c r="D716" s="53" t="s">
        <v>43</v>
      </c>
      <c r="E716" s="53" t="s">
        <v>25</v>
      </c>
      <c r="F716" s="53" t="s">
        <v>25</v>
      </c>
      <c r="G716" s="53" t="s">
        <v>25</v>
      </c>
      <c r="H716" s="53" t="s">
        <v>25</v>
      </c>
      <c r="I716" s="75">
        <v>44562</v>
      </c>
      <c r="J716" s="76">
        <f ca="1">EFEITO!$J$716*EFEITO!$Y$716</f>
        <v>473825.14316027856</v>
      </c>
      <c r="K716" s="76">
        <f>EFEITO!$L$716*EFEITO!$Z$716</f>
        <v>0</v>
      </c>
      <c r="L716" s="76">
        <f>EFEITO!$N$716*EFEITO!$AA$716</f>
        <v>0</v>
      </c>
      <c r="M716" s="76">
        <f ca="1">$J$716-EFEITO!$K$716*EFEITO!$Y$716</f>
        <v>0</v>
      </c>
      <c r="N716" s="76">
        <f>$K$716-EFEITO!$M$716*EFEITO!$Z$716</f>
        <v>0</v>
      </c>
      <c r="O716" s="76">
        <f>$L$716-EFEITO!$O$716*EFEITO!$AA$716</f>
        <v>0</v>
      </c>
      <c r="P716" s="57"/>
      <c r="Q716" s="57"/>
      <c r="R716" s="57"/>
      <c r="S716" s="57"/>
      <c r="T716" s="57"/>
      <c r="U716" s="57"/>
      <c r="V716" s="57"/>
      <c r="W716" s="57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ht="11.25" customHeight="1" x14ac:dyDescent="0.2">
      <c r="A717" s="53" t="s">
        <v>21</v>
      </c>
      <c r="B717" s="53" t="s">
        <v>33</v>
      </c>
      <c r="C717" s="53" t="s">
        <v>34</v>
      </c>
      <c r="D717" s="53" t="s">
        <v>43</v>
      </c>
      <c r="E717" s="53" t="s">
        <v>25</v>
      </c>
      <c r="F717" s="53" t="s">
        <v>25</v>
      </c>
      <c r="G717" s="53" t="s">
        <v>25</v>
      </c>
      <c r="H717" s="53" t="s">
        <v>25</v>
      </c>
      <c r="I717" s="75">
        <v>44593</v>
      </c>
      <c r="J717" s="76">
        <f ca="1">EFEITO!$J$717*EFEITO!$Y$717</f>
        <v>2199276.904916897</v>
      </c>
      <c r="K717" s="76">
        <f>EFEITO!$L$717*EFEITO!$Z$717</f>
        <v>0</v>
      </c>
      <c r="L717" s="76">
        <f>EFEITO!$N$717*EFEITO!$AA$717</f>
        <v>0</v>
      </c>
      <c r="M717" s="76">
        <f ca="1">$J$717-EFEITO!$K$717*EFEITO!$Y$717</f>
        <v>0</v>
      </c>
      <c r="N717" s="76">
        <f>$K$717-EFEITO!$M$717*EFEITO!$Z$717</f>
        <v>0</v>
      </c>
      <c r="O717" s="76">
        <f>$L$717-EFEITO!$O$717*EFEITO!$AA$717</f>
        <v>0</v>
      </c>
      <c r="P717" s="57"/>
      <c r="Q717" s="57"/>
      <c r="R717" s="57"/>
      <c r="S717" s="57"/>
      <c r="T717" s="57"/>
      <c r="U717" s="57"/>
      <c r="V717" s="57"/>
      <c r="W717" s="57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spans="1:36" ht="11.25" customHeight="1" x14ac:dyDescent="0.2">
      <c r="A718" s="53" t="s">
        <v>28</v>
      </c>
      <c r="B718" s="53" t="s">
        <v>33</v>
      </c>
      <c r="C718" s="53" t="s">
        <v>34</v>
      </c>
      <c r="D718" s="53" t="s">
        <v>43</v>
      </c>
      <c r="E718" s="53" t="s">
        <v>25</v>
      </c>
      <c r="F718" s="53" t="s">
        <v>25</v>
      </c>
      <c r="G718" s="53" t="s">
        <v>25</v>
      </c>
      <c r="H718" s="53" t="s">
        <v>25</v>
      </c>
      <c r="I718" s="75">
        <v>44593</v>
      </c>
      <c r="J718" s="76">
        <f ca="1">EFEITO!$J$718*EFEITO!$Y$718</f>
        <v>480732.57483023632</v>
      </c>
      <c r="K718" s="76">
        <f>EFEITO!$L$718*EFEITO!$Z$718</f>
        <v>0</v>
      </c>
      <c r="L718" s="76">
        <f>EFEITO!$N$718*EFEITO!$AA$718</f>
        <v>0</v>
      </c>
      <c r="M718" s="76">
        <f ca="1">$J$718-EFEITO!$K$718*EFEITO!$Y$718</f>
        <v>0</v>
      </c>
      <c r="N718" s="76">
        <f>$K$718-EFEITO!$M$718*EFEITO!$Z$718</f>
        <v>0</v>
      </c>
      <c r="O718" s="76">
        <f>$L$718-EFEITO!$O$718*EFEITO!$AA$718</f>
        <v>0</v>
      </c>
      <c r="P718" s="57"/>
      <c r="Q718" s="57"/>
      <c r="R718" s="57"/>
      <c r="S718" s="57"/>
      <c r="T718" s="57"/>
      <c r="U718" s="57"/>
      <c r="V718" s="57"/>
      <c r="W718" s="57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spans="1:36" ht="11.25" customHeight="1" x14ac:dyDescent="0.2">
      <c r="A719" s="53" t="s">
        <v>21</v>
      </c>
      <c r="B719" s="53" t="s">
        <v>33</v>
      </c>
      <c r="C719" s="53" t="s">
        <v>34</v>
      </c>
      <c r="D719" s="53" t="s">
        <v>43</v>
      </c>
      <c r="E719" s="53" t="s">
        <v>25</v>
      </c>
      <c r="F719" s="53" t="s">
        <v>25</v>
      </c>
      <c r="G719" s="53" t="s">
        <v>25</v>
      </c>
      <c r="H719" s="53" t="s">
        <v>25</v>
      </c>
      <c r="I719" s="75">
        <v>44621</v>
      </c>
      <c r="J719" s="76">
        <f ca="1">EFEITO!$J$719*EFEITO!$Y$719</f>
        <v>2200090.9950779988</v>
      </c>
      <c r="K719" s="76">
        <f>EFEITO!$L$719*EFEITO!$Z$719</f>
        <v>0</v>
      </c>
      <c r="L719" s="76">
        <f>EFEITO!$N$719*EFEITO!$AA$719</f>
        <v>0</v>
      </c>
      <c r="M719" s="76">
        <f ca="1">$J$719-EFEITO!$K$719*EFEITO!$Y$719</f>
        <v>0</v>
      </c>
      <c r="N719" s="76">
        <f>$K$719-EFEITO!$M$719*EFEITO!$Z$719</f>
        <v>0</v>
      </c>
      <c r="O719" s="76">
        <f>$L$719-EFEITO!$O$719*EFEITO!$AA$719</f>
        <v>0</v>
      </c>
      <c r="P719" s="57"/>
      <c r="Q719" s="57"/>
      <c r="R719" s="57"/>
      <c r="S719" s="57"/>
      <c r="T719" s="57"/>
      <c r="U719" s="57"/>
      <c r="V719" s="57"/>
      <c r="W719" s="57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spans="1:36" ht="11.25" customHeight="1" x14ac:dyDescent="0.2">
      <c r="A720" s="53" t="s">
        <v>27</v>
      </c>
      <c r="B720" s="53" t="s">
        <v>33</v>
      </c>
      <c r="C720" s="53" t="s">
        <v>34</v>
      </c>
      <c r="D720" s="53" t="s">
        <v>43</v>
      </c>
      <c r="E720" s="53" t="s">
        <v>25</v>
      </c>
      <c r="F720" s="53" t="s">
        <v>25</v>
      </c>
      <c r="G720" s="53" t="s">
        <v>25</v>
      </c>
      <c r="H720" s="53" t="s">
        <v>25</v>
      </c>
      <c r="I720" s="75">
        <v>44621</v>
      </c>
      <c r="J720" s="76">
        <f ca="1">EFEITO!$J$720*EFEITO!$Y$720</f>
        <v>-7154.1256581705002</v>
      </c>
      <c r="K720" s="76">
        <f>EFEITO!$L$720*EFEITO!$Z$720</f>
        <v>0</v>
      </c>
      <c r="L720" s="76">
        <f>EFEITO!$N$720*EFEITO!$AA$720</f>
        <v>0</v>
      </c>
      <c r="M720" s="76">
        <f ca="1">$J$720-EFEITO!$K$720*EFEITO!$Y$720</f>
        <v>0</v>
      </c>
      <c r="N720" s="76">
        <f>$K$720-EFEITO!$M$720*EFEITO!$Z$720</f>
        <v>0</v>
      </c>
      <c r="O720" s="76">
        <f>$L$720-EFEITO!$O$720*EFEITO!$AA$720</f>
        <v>0</v>
      </c>
      <c r="P720" s="57"/>
      <c r="Q720" s="57"/>
      <c r="R720" s="57"/>
      <c r="S720" s="57"/>
      <c r="T720" s="57"/>
      <c r="U720" s="57"/>
      <c r="V720" s="57"/>
      <c r="W720" s="57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spans="1:36" ht="11.25" customHeight="1" x14ac:dyDescent="0.2">
      <c r="A721" s="53" t="s">
        <v>28</v>
      </c>
      <c r="B721" s="53" t="s">
        <v>33</v>
      </c>
      <c r="C721" s="53" t="s">
        <v>34</v>
      </c>
      <c r="D721" s="53" t="s">
        <v>43</v>
      </c>
      <c r="E721" s="53" t="s">
        <v>25</v>
      </c>
      <c r="F721" s="53" t="s">
        <v>25</v>
      </c>
      <c r="G721" s="53" t="s">
        <v>25</v>
      </c>
      <c r="H721" s="53" t="s">
        <v>25</v>
      </c>
      <c r="I721" s="75">
        <v>44621</v>
      </c>
      <c r="J721" s="76">
        <f ca="1">EFEITO!$J$721*EFEITO!$Y$721</f>
        <v>487047.94092848338</v>
      </c>
      <c r="K721" s="76">
        <f>EFEITO!$L$721*EFEITO!$Z$721</f>
        <v>0</v>
      </c>
      <c r="L721" s="76">
        <f>EFEITO!$N$721*EFEITO!$AA$721</f>
        <v>0</v>
      </c>
      <c r="M721" s="76">
        <f ca="1">$J$721-EFEITO!$K$721*EFEITO!$Y$721</f>
        <v>0</v>
      </c>
      <c r="N721" s="76">
        <f>$K$721-EFEITO!$M$721*EFEITO!$Z$721</f>
        <v>0</v>
      </c>
      <c r="O721" s="76">
        <f>$L$721-EFEITO!$O$721*EFEITO!$AA$721</f>
        <v>0</v>
      </c>
      <c r="P721" s="57"/>
      <c r="Q721" s="57"/>
      <c r="R721" s="57"/>
      <c r="S721" s="57"/>
      <c r="T721" s="57"/>
      <c r="U721" s="57"/>
      <c r="V721" s="57"/>
      <c r="W721" s="57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spans="1:36" ht="11.25" customHeight="1" x14ac:dyDescent="0.2">
      <c r="A722" s="53" t="s">
        <v>56</v>
      </c>
      <c r="B722" s="53" t="s">
        <v>33</v>
      </c>
      <c r="C722" s="53" t="s">
        <v>34</v>
      </c>
      <c r="D722" s="53" t="s">
        <v>43</v>
      </c>
      <c r="E722" s="53" t="s">
        <v>25</v>
      </c>
      <c r="F722" s="53" t="s">
        <v>25</v>
      </c>
      <c r="G722" s="53" t="s">
        <v>25</v>
      </c>
      <c r="H722" s="53" t="s">
        <v>25</v>
      </c>
      <c r="I722" s="75">
        <v>44652</v>
      </c>
      <c r="J722" s="76">
        <f ca="1">EFEITO!$J$722*EFEITO!$Y$722</f>
        <v>2200090.9950779988</v>
      </c>
      <c r="K722" s="76">
        <f>EFEITO!$L$722*EFEITO!$Z$722</f>
        <v>0</v>
      </c>
      <c r="L722" s="76">
        <f>EFEITO!$N$722*EFEITO!$AA$722</f>
        <v>0</v>
      </c>
      <c r="M722" s="76">
        <f ca="1">$J$722-EFEITO!$K$722*EFEITO!$Y$722</f>
        <v>0</v>
      </c>
      <c r="N722" s="76">
        <f>$K$722-EFEITO!$M$722*EFEITO!$Z$722</f>
        <v>0</v>
      </c>
      <c r="O722" s="76">
        <f>$L$722-EFEITO!$O$722*EFEITO!$AA$722</f>
        <v>0</v>
      </c>
      <c r="P722" s="57"/>
      <c r="Q722" s="57"/>
      <c r="R722" s="57"/>
      <c r="S722" s="57"/>
      <c r="T722" s="57"/>
      <c r="U722" s="57"/>
      <c r="V722" s="57"/>
      <c r="W722" s="57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ht="11.25" customHeight="1" x14ac:dyDescent="0.2">
      <c r="A723" s="53" t="s">
        <v>56</v>
      </c>
      <c r="B723" s="53" t="s">
        <v>33</v>
      </c>
      <c r="C723" s="53" t="s">
        <v>34</v>
      </c>
      <c r="D723" s="53" t="s">
        <v>43</v>
      </c>
      <c r="E723" s="53" t="s">
        <v>25</v>
      </c>
      <c r="F723" s="53" t="s">
        <v>25</v>
      </c>
      <c r="G723" s="53" t="s">
        <v>25</v>
      </c>
      <c r="H723" s="53" t="s">
        <v>25</v>
      </c>
      <c r="I723" s="75">
        <v>44652</v>
      </c>
      <c r="J723" s="76">
        <f ca="1">EFEITO!$J$723*EFEITO!$Y$723</f>
        <v>-7154.1256581705002</v>
      </c>
      <c r="K723" s="76">
        <f>EFEITO!$L$723*EFEITO!$Z$723</f>
        <v>0</v>
      </c>
      <c r="L723" s="76">
        <f>EFEITO!$N$723*EFEITO!$AA$723</f>
        <v>0</v>
      </c>
      <c r="M723" s="76">
        <f ca="1">$J$723-EFEITO!$K$723*EFEITO!$Y$723</f>
        <v>0</v>
      </c>
      <c r="N723" s="76">
        <f>$K$723-EFEITO!$M$723*EFEITO!$Z$723</f>
        <v>0</v>
      </c>
      <c r="O723" s="76">
        <f>$L$723-EFEITO!$O$723*EFEITO!$AA$723</f>
        <v>0</v>
      </c>
      <c r="P723" s="57"/>
      <c r="Q723" s="57"/>
      <c r="R723" s="57"/>
      <c r="S723" s="57"/>
      <c r="T723" s="57"/>
      <c r="U723" s="57"/>
      <c r="V723" s="57"/>
      <c r="W723" s="57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spans="1:36" ht="11.25" customHeight="1" x14ac:dyDescent="0.2">
      <c r="A724" s="53" t="s">
        <v>56</v>
      </c>
      <c r="B724" s="53" t="s">
        <v>33</v>
      </c>
      <c r="C724" s="53" t="s">
        <v>34</v>
      </c>
      <c r="D724" s="53" t="s">
        <v>43</v>
      </c>
      <c r="E724" s="53" t="s">
        <v>25</v>
      </c>
      <c r="F724" s="53" t="s">
        <v>25</v>
      </c>
      <c r="G724" s="53" t="s">
        <v>25</v>
      </c>
      <c r="H724" s="53" t="s">
        <v>25</v>
      </c>
      <c r="I724" s="75">
        <v>44652</v>
      </c>
      <c r="J724" s="76">
        <f ca="1">EFEITO!$J$724*EFEITO!$Y$724</f>
        <v>487047.94092848338</v>
      </c>
      <c r="K724" s="76">
        <f>EFEITO!$L$724*EFEITO!$Z$724</f>
        <v>0</v>
      </c>
      <c r="L724" s="76">
        <f>EFEITO!$N$724*EFEITO!$AA$724</f>
        <v>0</v>
      </c>
      <c r="M724" s="76">
        <f ca="1">$J$724-EFEITO!$K$724*EFEITO!$Y$724</f>
        <v>0</v>
      </c>
      <c r="N724" s="76">
        <f>$K$724-EFEITO!$M$724*EFEITO!$Z$724</f>
        <v>0</v>
      </c>
      <c r="O724" s="76">
        <f>$L$724-EFEITO!$O$724*EFEITO!$AA$724</f>
        <v>0</v>
      </c>
      <c r="P724" s="57"/>
      <c r="Q724" s="57"/>
      <c r="R724" s="57"/>
      <c r="S724" s="57"/>
      <c r="T724" s="57"/>
      <c r="U724" s="57"/>
      <c r="V724" s="57"/>
      <c r="W724" s="57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spans="1:36" ht="11.25" customHeight="1" x14ac:dyDescent="0.2">
      <c r="A725" s="53" t="s">
        <v>21</v>
      </c>
      <c r="B725" s="53" t="s">
        <v>33</v>
      </c>
      <c r="C725" s="53" t="s">
        <v>34</v>
      </c>
      <c r="D725" s="53" t="s">
        <v>43</v>
      </c>
      <c r="E725" s="53" t="s">
        <v>25</v>
      </c>
      <c r="F725" s="53" t="s">
        <v>25</v>
      </c>
      <c r="G725" s="53" t="s">
        <v>25</v>
      </c>
      <c r="H725" s="53" t="s">
        <v>35</v>
      </c>
      <c r="I725" s="75">
        <v>44317</v>
      </c>
      <c r="J725" s="76">
        <f>EFEITO!$J$725*EFEITO!$Y$725</f>
        <v>0</v>
      </c>
      <c r="K725" s="76">
        <f ca="1">EFEITO!$L$725*EFEITO!$Z$725</f>
        <v>1827090.510926333</v>
      </c>
      <c r="L725" s="76">
        <f>EFEITO!$N$725*EFEITO!$AA$725</f>
        <v>430483.87705347978</v>
      </c>
      <c r="M725" s="76">
        <f>$J$725-EFEITO!$K$725*EFEITO!$Y$725</f>
        <v>0</v>
      </c>
      <c r="N725" s="76">
        <f ca="1">$K$725-EFEITO!$M$725*EFEITO!$Z$725</f>
        <v>0</v>
      </c>
      <c r="O725" s="76">
        <f>$L$725-EFEITO!$O$725*EFEITO!$AA$725</f>
        <v>0</v>
      </c>
      <c r="P725" s="57"/>
      <c r="Q725" s="57"/>
      <c r="R725" s="57"/>
      <c r="S725" s="57"/>
      <c r="T725" s="57"/>
      <c r="U725" s="57"/>
      <c r="V725" s="57"/>
      <c r="W725" s="57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spans="1:36" ht="11.25" customHeight="1" x14ac:dyDescent="0.2">
      <c r="A726" s="53" t="s">
        <v>28</v>
      </c>
      <c r="B726" s="53" t="s">
        <v>33</v>
      </c>
      <c r="C726" s="53" t="s">
        <v>34</v>
      </c>
      <c r="D726" s="53" t="s">
        <v>43</v>
      </c>
      <c r="E726" s="53" t="s">
        <v>25</v>
      </c>
      <c r="F726" s="53" t="s">
        <v>25</v>
      </c>
      <c r="G726" s="53" t="s">
        <v>25</v>
      </c>
      <c r="H726" s="53" t="s">
        <v>35</v>
      </c>
      <c r="I726" s="75">
        <v>44317</v>
      </c>
      <c r="J726" s="76">
        <f>EFEITO!$J$726*EFEITO!$Y$726</f>
        <v>0</v>
      </c>
      <c r="K726" s="76">
        <f ca="1">EFEITO!$L$726*EFEITO!$Z$726</f>
        <v>43760.287627529397</v>
      </c>
      <c r="L726" s="76">
        <f>EFEITO!$N$726*EFEITO!$AA$726</f>
        <v>10310.43517889181</v>
      </c>
      <c r="M726" s="76">
        <f>$J$726-EFEITO!$K$726*EFEITO!$Y$726</f>
        <v>0</v>
      </c>
      <c r="N726" s="76">
        <f ca="1">$K$726-EFEITO!$M$726*EFEITO!$Z$726</f>
        <v>0</v>
      </c>
      <c r="O726" s="76">
        <f>$L$726-EFEITO!$O$726*EFEITO!$AA$726</f>
        <v>0</v>
      </c>
      <c r="P726" s="57"/>
      <c r="Q726" s="57"/>
      <c r="R726" s="57"/>
      <c r="S726" s="57"/>
      <c r="T726" s="57"/>
      <c r="U726" s="57"/>
      <c r="V726" s="57"/>
      <c r="W726" s="57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spans="1:36" ht="11.25" customHeight="1" x14ac:dyDescent="0.2">
      <c r="A727" s="53" t="s">
        <v>28</v>
      </c>
      <c r="B727" s="53" t="s">
        <v>33</v>
      </c>
      <c r="C727" s="53" t="s">
        <v>34</v>
      </c>
      <c r="D727" s="53" t="s">
        <v>43</v>
      </c>
      <c r="E727" s="53" t="s">
        <v>25</v>
      </c>
      <c r="F727" s="53" t="s">
        <v>25</v>
      </c>
      <c r="G727" s="53" t="s">
        <v>25</v>
      </c>
      <c r="H727" s="53" t="s">
        <v>35</v>
      </c>
      <c r="I727" s="75">
        <v>44317</v>
      </c>
      <c r="J727" s="76">
        <f>EFEITO!$J$727*EFEITO!$Y$727</f>
        <v>0</v>
      </c>
      <c r="K727" s="76">
        <f ca="1">EFEITO!$L$727*EFEITO!$Z$727</f>
        <v>-2551.1691755061743</v>
      </c>
      <c r="L727" s="76">
        <f>EFEITO!$N$727*EFEITO!$AA$727</f>
        <v>-601.08527252676834</v>
      </c>
      <c r="M727" s="76">
        <f>$J$727-EFEITO!$K$727*EFEITO!$Y$727</f>
        <v>0</v>
      </c>
      <c r="N727" s="76">
        <f ca="1">$K$727-EFEITO!$M$727*EFEITO!$Z$727</f>
        <v>0</v>
      </c>
      <c r="O727" s="76">
        <f>$L$727-EFEITO!$O$727*EFEITO!$AA$727</f>
        <v>0</v>
      </c>
      <c r="P727" s="57"/>
      <c r="Q727" s="57"/>
      <c r="R727" s="57"/>
      <c r="S727" s="57"/>
      <c r="T727" s="57"/>
      <c r="U727" s="57"/>
      <c r="V727" s="57"/>
      <c r="W727" s="57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spans="1:36" ht="11.25" customHeight="1" x14ac:dyDescent="0.2">
      <c r="A728" s="53" t="s">
        <v>21</v>
      </c>
      <c r="B728" s="53" t="s">
        <v>33</v>
      </c>
      <c r="C728" s="53" t="s">
        <v>34</v>
      </c>
      <c r="D728" s="53" t="s">
        <v>43</v>
      </c>
      <c r="E728" s="53" t="s">
        <v>25</v>
      </c>
      <c r="F728" s="53" t="s">
        <v>25</v>
      </c>
      <c r="G728" s="53" t="s">
        <v>25</v>
      </c>
      <c r="H728" s="53" t="s">
        <v>35</v>
      </c>
      <c r="I728" s="75">
        <v>44348</v>
      </c>
      <c r="J728" s="76">
        <f>EFEITO!$J$728*EFEITO!$Y$728</f>
        <v>0</v>
      </c>
      <c r="K728" s="76">
        <f ca="1">EFEITO!$L$728*EFEITO!$Z$728</f>
        <v>1655302.191071586</v>
      </c>
      <c r="L728" s="76">
        <f>EFEITO!$N$728*EFEITO!$AA$728</f>
        <v>390008.54125521041</v>
      </c>
      <c r="M728" s="76">
        <f>$J$728-EFEITO!$K$728*EFEITO!$Y$728</f>
        <v>0</v>
      </c>
      <c r="N728" s="76">
        <f ca="1">$K$728-EFEITO!$M$728*EFEITO!$Z$728</f>
        <v>0</v>
      </c>
      <c r="O728" s="76">
        <f>$L$728-EFEITO!$O$728*EFEITO!$AA$728</f>
        <v>0</v>
      </c>
      <c r="P728" s="57"/>
      <c r="Q728" s="57"/>
      <c r="R728" s="57"/>
      <c r="S728" s="57"/>
      <c r="T728" s="57"/>
      <c r="U728" s="57"/>
      <c r="V728" s="57"/>
      <c r="W728" s="57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ht="11.25" customHeight="1" x14ac:dyDescent="0.2">
      <c r="A729" s="53" t="s">
        <v>27</v>
      </c>
      <c r="B729" s="53" t="s">
        <v>33</v>
      </c>
      <c r="C729" s="53" t="s">
        <v>34</v>
      </c>
      <c r="D729" s="53" t="s">
        <v>43</v>
      </c>
      <c r="E729" s="53" t="s">
        <v>25</v>
      </c>
      <c r="F729" s="53" t="s">
        <v>25</v>
      </c>
      <c r="G729" s="53" t="s">
        <v>25</v>
      </c>
      <c r="H729" s="53" t="s">
        <v>35</v>
      </c>
      <c r="I729" s="75">
        <v>44348</v>
      </c>
      <c r="J729" s="76">
        <f>EFEITO!$J$729*EFEITO!$Y$729</f>
        <v>0</v>
      </c>
      <c r="K729" s="76">
        <f ca="1">EFEITO!$L$729*EFEITO!$Z$729</f>
        <v>-33487.243909517929</v>
      </c>
      <c r="L729" s="76">
        <f>EFEITO!$N$729*EFEITO!$AA$729</f>
        <v>-7889.9860208326791</v>
      </c>
      <c r="M729" s="76">
        <f>$J$729-EFEITO!$K$729*EFEITO!$Y$729</f>
        <v>0</v>
      </c>
      <c r="N729" s="76">
        <f ca="1">$K$729-EFEITO!$M$729*EFEITO!$Z$729</f>
        <v>0</v>
      </c>
      <c r="O729" s="76">
        <f>$L$729-EFEITO!$O$729*EFEITO!$AA$729</f>
        <v>0</v>
      </c>
      <c r="P729" s="57"/>
      <c r="Q729" s="57"/>
      <c r="R729" s="57"/>
      <c r="S729" s="57"/>
      <c r="T729" s="57"/>
      <c r="U729" s="57"/>
      <c r="V729" s="57"/>
      <c r="W729" s="57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spans="1:36" ht="11.25" customHeight="1" x14ac:dyDescent="0.2">
      <c r="A730" s="53" t="s">
        <v>28</v>
      </c>
      <c r="B730" s="53" t="s">
        <v>33</v>
      </c>
      <c r="C730" s="53" t="s">
        <v>34</v>
      </c>
      <c r="D730" s="53" t="s">
        <v>43</v>
      </c>
      <c r="E730" s="53" t="s">
        <v>25</v>
      </c>
      <c r="F730" s="53" t="s">
        <v>25</v>
      </c>
      <c r="G730" s="53" t="s">
        <v>25</v>
      </c>
      <c r="H730" s="53" t="s">
        <v>35</v>
      </c>
      <c r="I730" s="75">
        <v>44348</v>
      </c>
      <c r="J730" s="76">
        <f>EFEITO!$J$730*EFEITO!$Y$730</f>
        <v>0</v>
      </c>
      <c r="K730" s="76">
        <f ca="1">EFEITO!$L$730*EFEITO!$Z$730</f>
        <v>41450.202139976558</v>
      </c>
      <c r="L730" s="76">
        <f>EFEITO!$N$730*EFEITO!$AA$730</f>
        <v>9766.1520407222961</v>
      </c>
      <c r="M730" s="76">
        <f>$J$730-EFEITO!$K$730*EFEITO!$Y$730</f>
        <v>0</v>
      </c>
      <c r="N730" s="76">
        <f ca="1">$K$730-EFEITO!$M$730*EFEITO!$Z$730</f>
        <v>0</v>
      </c>
      <c r="O730" s="76">
        <f>$L$730-EFEITO!$O$730*EFEITO!$AA$730</f>
        <v>0</v>
      </c>
      <c r="P730" s="57"/>
      <c r="Q730" s="57"/>
      <c r="R730" s="57"/>
      <c r="S730" s="57"/>
      <c r="T730" s="57"/>
      <c r="U730" s="57"/>
      <c r="V730" s="57"/>
      <c r="W730" s="57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spans="1:36" ht="11.25" customHeight="1" x14ac:dyDescent="0.2">
      <c r="A731" s="53" t="s">
        <v>21</v>
      </c>
      <c r="B731" s="53" t="s">
        <v>33</v>
      </c>
      <c r="C731" s="53" t="s">
        <v>34</v>
      </c>
      <c r="D731" s="53" t="s">
        <v>43</v>
      </c>
      <c r="E731" s="53" t="s">
        <v>25</v>
      </c>
      <c r="F731" s="53" t="s">
        <v>25</v>
      </c>
      <c r="G731" s="53" t="s">
        <v>25</v>
      </c>
      <c r="H731" s="53" t="s">
        <v>35</v>
      </c>
      <c r="I731" s="75">
        <v>44378</v>
      </c>
      <c r="J731" s="76">
        <f>EFEITO!$J$731*EFEITO!$Y$731</f>
        <v>0</v>
      </c>
      <c r="K731" s="76">
        <f ca="1">EFEITO!$L$731*EFEITO!$Z$731</f>
        <v>1825267.9902106859</v>
      </c>
      <c r="L731" s="76">
        <f>EFEITO!$N$731*EFEITO!$AA$731</f>
        <v>430054.46987359994</v>
      </c>
      <c r="M731" s="76">
        <f>$J$731-EFEITO!$K$731*EFEITO!$Y$731</f>
        <v>0</v>
      </c>
      <c r="N731" s="76">
        <f ca="1">$K$731-EFEITO!$M$731*EFEITO!$Z$731</f>
        <v>0</v>
      </c>
      <c r="O731" s="76">
        <f>$L$731-EFEITO!$O$731*EFEITO!$AA$731</f>
        <v>0</v>
      </c>
      <c r="P731" s="57"/>
      <c r="Q731" s="57"/>
      <c r="R731" s="57"/>
      <c r="S731" s="57"/>
      <c r="T731" s="57"/>
      <c r="U731" s="57"/>
      <c r="V731" s="57"/>
      <c r="W731" s="57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36" ht="11.25" customHeight="1" x14ac:dyDescent="0.2">
      <c r="A732" s="53" t="s">
        <v>27</v>
      </c>
      <c r="B732" s="53" t="s">
        <v>33</v>
      </c>
      <c r="C732" s="53" t="s">
        <v>34</v>
      </c>
      <c r="D732" s="53" t="s">
        <v>43</v>
      </c>
      <c r="E732" s="53" t="s">
        <v>25</v>
      </c>
      <c r="F732" s="53" t="s">
        <v>25</v>
      </c>
      <c r="G732" s="53" t="s">
        <v>25</v>
      </c>
      <c r="H732" s="53" t="s">
        <v>35</v>
      </c>
      <c r="I732" s="75">
        <v>44378</v>
      </c>
      <c r="J732" s="76">
        <f>EFEITO!$J$732*EFEITO!$Y$732</f>
        <v>0</v>
      </c>
      <c r="K732" s="76">
        <f ca="1">EFEITO!$L$732*EFEITO!$Z$732</f>
        <v>-20824.952895968949</v>
      </c>
      <c r="L732" s="76">
        <f>EFEITO!$N$732*EFEITO!$AA$732</f>
        <v>-4906.6022775016527</v>
      </c>
      <c r="M732" s="76">
        <f>$J$732-EFEITO!$K$732*EFEITO!$Y$732</f>
        <v>0</v>
      </c>
      <c r="N732" s="76">
        <f ca="1">$K$732-EFEITO!$M$732*EFEITO!$Z$732</f>
        <v>0</v>
      </c>
      <c r="O732" s="76">
        <f>$L$732-EFEITO!$O$732*EFEITO!$AA$732</f>
        <v>0</v>
      </c>
      <c r="P732" s="57"/>
      <c r="Q732" s="57"/>
      <c r="R732" s="57"/>
      <c r="S732" s="57"/>
      <c r="T732" s="57"/>
      <c r="U732" s="57"/>
      <c r="V732" s="57"/>
      <c r="W732" s="57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spans="1:36" ht="11.25" customHeight="1" x14ac:dyDescent="0.2">
      <c r="A733" s="53" t="s">
        <v>28</v>
      </c>
      <c r="B733" s="53" t="s">
        <v>33</v>
      </c>
      <c r="C733" s="53" t="s">
        <v>34</v>
      </c>
      <c r="D733" s="53" t="s">
        <v>43</v>
      </c>
      <c r="E733" s="53" t="s">
        <v>25</v>
      </c>
      <c r="F733" s="53" t="s">
        <v>25</v>
      </c>
      <c r="G733" s="53" t="s">
        <v>25</v>
      </c>
      <c r="H733" s="53" t="s">
        <v>35</v>
      </c>
      <c r="I733" s="75">
        <v>44378</v>
      </c>
      <c r="J733" s="76">
        <f>EFEITO!$J$733*EFEITO!$Y$733</f>
        <v>0</v>
      </c>
      <c r="K733" s="76">
        <f ca="1">EFEITO!$L$733*EFEITO!$Z$733</f>
        <v>50561.006586212992</v>
      </c>
      <c r="L733" s="76">
        <f>EFEITO!$N$733*EFEITO!$AA$733</f>
        <v>11912.764043596453</v>
      </c>
      <c r="M733" s="76">
        <f>$J$733-EFEITO!$K$733*EFEITO!$Y$733</f>
        <v>0</v>
      </c>
      <c r="N733" s="76">
        <f ca="1">$K$733-EFEITO!$M$733*EFEITO!$Z$733</f>
        <v>0</v>
      </c>
      <c r="O733" s="76">
        <f>$L$733-EFEITO!$O$733*EFEITO!$AA$733</f>
        <v>0</v>
      </c>
      <c r="P733" s="57"/>
      <c r="Q733" s="57"/>
      <c r="R733" s="57"/>
      <c r="S733" s="57"/>
      <c r="T733" s="57"/>
      <c r="U733" s="57"/>
      <c r="V733" s="57"/>
      <c r="W733" s="57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spans="1:36" ht="11.25" customHeight="1" x14ac:dyDescent="0.2">
      <c r="A734" s="53" t="s">
        <v>28</v>
      </c>
      <c r="B734" s="53" t="s">
        <v>33</v>
      </c>
      <c r="C734" s="53" t="s">
        <v>34</v>
      </c>
      <c r="D734" s="53" t="s">
        <v>43</v>
      </c>
      <c r="E734" s="53" t="s">
        <v>25</v>
      </c>
      <c r="F734" s="53" t="s">
        <v>25</v>
      </c>
      <c r="G734" s="53" t="s">
        <v>25</v>
      </c>
      <c r="H734" s="53" t="s">
        <v>35</v>
      </c>
      <c r="I734" s="75">
        <v>44378</v>
      </c>
      <c r="J734" s="76">
        <f>EFEITO!$J$734*EFEITO!$Y$734</f>
        <v>0</v>
      </c>
      <c r="K734" s="76">
        <f ca="1">EFEITO!$L$734*EFEITO!$Z$734</f>
        <v>2389.2472955375174</v>
      </c>
      <c r="L734" s="76">
        <f>EFEITO!$N$734*EFEITO!$AA$734</f>
        <v>562.93458527189591</v>
      </c>
      <c r="M734" s="76">
        <f>$J$734-EFEITO!$K$734*EFEITO!$Y$734</f>
        <v>0</v>
      </c>
      <c r="N734" s="76">
        <f ca="1">$K$734-EFEITO!$M$734*EFEITO!$Z$734</f>
        <v>0</v>
      </c>
      <c r="O734" s="76">
        <f>$L$734-EFEITO!$O$734*EFEITO!$AA$734</f>
        <v>0</v>
      </c>
      <c r="P734" s="57"/>
      <c r="Q734" s="57"/>
      <c r="R734" s="57"/>
      <c r="S734" s="57"/>
      <c r="T734" s="57"/>
      <c r="U734" s="57"/>
      <c r="V734" s="57"/>
      <c r="W734" s="57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ht="11.25" customHeight="1" x14ac:dyDescent="0.2">
      <c r="A735" s="53" t="s">
        <v>21</v>
      </c>
      <c r="B735" s="53" t="s">
        <v>33</v>
      </c>
      <c r="C735" s="53" t="s">
        <v>34</v>
      </c>
      <c r="D735" s="53" t="s">
        <v>43</v>
      </c>
      <c r="E735" s="53" t="s">
        <v>25</v>
      </c>
      <c r="F735" s="53" t="s">
        <v>25</v>
      </c>
      <c r="G735" s="53" t="s">
        <v>25</v>
      </c>
      <c r="H735" s="53" t="s">
        <v>35</v>
      </c>
      <c r="I735" s="75">
        <v>44409</v>
      </c>
      <c r="J735" s="76">
        <f>EFEITO!$J$735*EFEITO!$Y$735</f>
        <v>0</v>
      </c>
      <c r="K735" s="76">
        <f ca="1">EFEITO!$L$735*EFEITO!$Z$735</f>
        <v>1821765.0802073639</v>
      </c>
      <c r="L735" s="76">
        <f>EFEITO!$N$735*EFEITO!$AA$735</f>
        <v>429229.14333931956</v>
      </c>
      <c r="M735" s="76">
        <f>$J$735-EFEITO!$K$735*EFEITO!$Y$735</f>
        <v>0</v>
      </c>
      <c r="N735" s="76">
        <f ca="1">$K$735-EFEITO!$M$735*EFEITO!$Z$735</f>
        <v>0</v>
      </c>
      <c r="O735" s="76">
        <f>$L$735-EFEITO!$O$735*EFEITO!$AA$735</f>
        <v>0</v>
      </c>
      <c r="P735" s="57"/>
      <c r="Q735" s="57"/>
      <c r="R735" s="57"/>
      <c r="S735" s="57"/>
      <c r="T735" s="57"/>
      <c r="U735" s="57"/>
      <c r="V735" s="57"/>
      <c r="W735" s="57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spans="1:36" ht="11.25" customHeight="1" x14ac:dyDescent="0.2">
      <c r="A736" s="53" t="s">
        <v>27</v>
      </c>
      <c r="B736" s="53" t="s">
        <v>33</v>
      </c>
      <c r="C736" s="53" t="s">
        <v>34</v>
      </c>
      <c r="D736" s="53" t="s">
        <v>43</v>
      </c>
      <c r="E736" s="53" t="s">
        <v>25</v>
      </c>
      <c r="F736" s="53" t="s">
        <v>25</v>
      </c>
      <c r="G736" s="53" t="s">
        <v>25</v>
      </c>
      <c r="H736" s="53" t="s">
        <v>35</v>
      </c>
      <c r="I736" s="75">
        <v>44409</v>
      </c>
      <c r="J736" s="76">
        <f>EFEITO!$J$736*EFEITO!$Y$736</f>
        <v>0</v>
      </c>
      <c r="K736" s="76">
        <f ca="1">EFEITO!$L$736*EFEITO!$Z$736</f>
        <v>-10762.407621916738</v>
      </c>
      <c r="L736" s="76">
        <f>EFEITO!$N$736*EFEITO!$AA$736</f>
        <v>-2535.7490128738564</v>
      </c>
      <c r="M736" s="76">
        <f>$J$736-EFEITO!$K$736*EFEITO!$Y$736</f>
        <v>0</v>
      </c>
      <c r="N736" s="76">
        <f ca="1">$K$736-EFEITO!$M$736*EFEITO!$Z$736</f>
        <v>0</v>
      </c>
      <c r="O736" s="76">
        <f>$L$736-EFEITO!$O$736*EFEITO!$AA$736</f>
        <v>0</v>
      </c>
      <c r="P736" s="57"/>
      <c r="Q736" s="57"/>
      <c r="R736" s="57"/>
      <c r="S736" s="57"/>
      <c r="T736" s="57"/>
      <c r="U736" s="57"/>
      <c r="V736" s="57"/>
      <c r="W736" s="57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spans="1:36" ht="11.25" customHeight="1" x14ac:dyDescent="0.2">
      <c r="A737" s="53" t="s">
        <v>28</v>
      </c>
      <c r="B737" s="53" t="s">
        <v>33</v>
      </c>
      <c r="C737" s="53" t="s">
        <v>34</v>
      </c>
      <c r="D737" s="53" t="s">
        <v>43</v>
      </c>
      <c r="E737" s="53" t="s">
        <v>25</v>
      </c>
      <c r="F737" s="53" t="s">
        <v>25</v>
      </c>
      <c r="G737" s="53" t="s">
        <v>25</v>
      </c>
      <c r="H737" s="53" t="s">
        <v>35</v>
      </c>
      <c r="I737" s="75">
        <v>44409</v>
      </c>
      <c r="J737" s="76">
        <f>EFEITO!$J$737*EFEITO!$Y$737</f>
        <v>0</v>
      </c>
      <c r="K737" s="76">
        <f ca="1">EFEITO!$L$737*EFEITO!$Z$737</f>
        <v>56352.412493091957</v>
      </c>
      <c r="L737" s="76">
        <f>EFEITO!$N$737*EFEITO!$AA$737</f>
        <v>13277.286957745724</v>
      </c>
      <c r="M737" s="76">
        <f>$J$737-EFEITO!$K$737*EFEITO!$Y$737</f>
        <v>0</v>
      </c>
      <c r="N737" s="76">
        <f ca="1">$K$737-EFEITO!$M$737*EFEITO!$Z$737</f>
        <v>0</v>
      </c>
      <c r="O737" s="76">
        <f>$L$737-EFEITO!$O$737*EFEITO!$AA$737</f>
        <v>0</v>
      </c>
      <c r="P737" s="57"/>
      <c r="Q737" s="57"/>
      <c r="R737" s="57"/>
      <c r="S737" s="57"/>
      <c r="T737" s="57"/>
      <c r="U737" s="57"/>
      <c r="V737" s="57"/>
      <c r="W737" s="57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spans="1:36" ht="11.25" customHeight="1" x14ac:dyDescent="0.2">
      <c r="A738" s="53" t="s">
        <v>28</v>
      </c>
      <c r="B738" s="53" t="s">
        <v>33</v>
      </c>
      <c r="C738" s="53" t="s">
        <v>34</v>
      </c>
      <c r="D738" s="53" t="s">
        <v>43</v>
      </c>
      <c r="E738" s="53" t="s">
        <v>25</v>
      </c>
      <c r="F738" s="53" t="s">
        <v>25</v>
      </c>
      <c r="G738" s="53" t="s">
        <v>25</v>
      </c>
      <c r="H738" s="53" t="s">
        <v>35</v>
      </c>
      <c r="I738" s="75">
        <v>44409</v>
      </c>
      <c r="J738" s="76">
        <f>EFEITO!$J$738*EFEITO!$Y$738</f>
        <v>0</v>
      </c>
      <c r="K738" s="76">
        <f ca="1">EFEITO!$L$738*EFEITO!$Z$738</f>
        <v>-1988.0408596151781</v>
      </c>
      <c r="L738" s="76">
        <f>EFEITO!$N$738*EFEITO!$AA$738</f>
        <v>-468.40566018482298</v>
      </c>
      <c r="M738" s="76">
        <f>$J$738-EFEITO!$K$738*EFEITO!$Y$738</f>
        <v>0</v>
      </c>
      <c r="N738" s="76">
        <f ca="1">$K$738-EFEITO!$M$738*EFEITO!$Z$738</f>
        <v>0</v>
      </c>
      <c r="O738" s="76">
        <f>$L$738-EFEITO!$O$738*EFEITO!$AA$738</f>
        <v>0</v>
      </c>
      <c r="P738" s="57"/>
      <c r="Q738" s="57"/>
      <c r="R738" s="57"/>
      <c r="S738" s="57"/>
      <c r="T738" s="57"/>
      <c r="U738" s="57"/>
      <c r="V738" s="57"/>
      <c r="W738" s="57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spans="1:36" ht="11.25" customHeight="1" x14ac:dyDescent="0.2">
      <c r="A739" s="53" t="s">
        <v>21</v>
      </c>
      <c r="B739" s="53" t="s">
        <v>33</v>
      </c>
      <c r="C739" s="53" t="s">
        <v>34</v>
      </c>
      <c r="D739" s="53" t="s">
        <v>43</v>
      </c>
      <c r="E739" s="53" t="s">
        <v>25</v>
      </c>
      <c r="F739" s="53" t="s">
        <v>25</v>
      </c>
      <c r="G739" s="53" t="s">
        <v>25</v>
      </c>
      <c r="H739" s="53" t="s">
        <v>35</v>
      </c>
      <c r="I739" s="75">
        <v>44440</v>
      </c>
      <c r="J739" s="76">
        <f>EFEITO!$J$739*EFEITO!$Y$739</f>
        <v>0</v>
      </c>
      <c r="K739" s="76">
        <f ca="1">EFEITO!$L$739*EFEITO!$Z$739</f>
        <v>1857062.2509085317</v>
      </c>
      <c r="L739" s="76">
        <f>EFEITO!$N$739*EFEITO!$AA$739</f>
        <v>437545.56926435669</v>
      </c>
      <c r="M739" s="76">
        <f>$J$739-EFEITO!$K$739*EFEITO!$Y$739</f>
        <v>0</v>
      </c>
      <c r="N739" s="76">
        <f ca="1">$K$739-EFEITO!$M$739*EFEITO!$Z$739</f>
        <v>0</v>
      </c>
      <c r="O739" s="76">
        <f>$L$739-EFEITO!$O$739*EFEITO!$AA$739</f>
        <v>0</v>
      </c>
      <c r="P739" s="57"/>
      <c r="Q739" s="57"/>
      <c r="R739" s="57"/>
      <c r="S739" s="57"/>
      <c r="T739" s="57"/>
      <c r="U739" s="57"/>
      <c r="V739" s="57"/>
      <c r="W739" s="57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spans="1:36" ht="11.25" customHeight="1" x14ac:dyDescent="0.2">
      <c r="A740" s="53" t="s">
        <v>27</v>
      </c>
      <c r="B740" s="53" t="s">
        <v>33</v>
      </c>
      <c r="C740" s="53" t="s">
        <v>34</v>
      </c>
      <c r="D740" s="53" t="s">
        <v>43</v>
      </c>
      <c r="E740" s="53" t="s">
        <v>25</v>
      </c>
      <c r="F740" s="53" t="s">
        <v>25</v>
      </c>
      <c r="G740" s="53" t="s">
        <v>25</v>
      </c>
      <c r="H740" s="53" t="s">
        <v>35</v>
      </c>
      <c r="I740" s="75">
        <v>44440</v>
      </c>
      <c r="J740" s="76">
        <f>EFEITO!$J$740*EFEITO!$Y$740</f>
        <v>0</v>
      </c>
      <c r="K740" s="76">
        <f ca="1">EFEITO!$L$740*EFEITO!$Z$740</f>
        <v>-7567.1491905352405</v>
      </c>
      <c r="L740" s="76">
        <f>EFEITO!$N$740*EFEITO!$AA$740</f>
        <v>-1782.9087843777065</v>
      </c>
      <c r="M740" s="76">
        <f>$J$740-EFEITO!$K$740*EFEITO!$Y$740</f>
        <v>0</v>
      </c>
      <c r="N740" s="76">
        <f ca="1">$K$740-EFEITO!$M$740*EFEITO!$Z$740</f>
        <v>0</v>
      </c>
      <c r="O740" s="76">
        <f>$L$740-EFEITO!$O$740*EFEITO!$AA$740</f>
        <v>0</v>
      </c>
      <c r="P740" s="57"/>
      <c r="Q740" s="57"/>
      <c r="R740" s="57"/>
      <c r="S740" s="57"/>
      <c r="T740" s="57"/>
      <c r="U740" s="57"/>
      <c r="V740" s="57"/>
      <c r="W740" s="57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ht="11.25" customHeight="1" x14ac:dyDescent="0.2">
      <c r="A741" s="53" t="s">
        <v>28</v>
      </c>
      <c r="B741" s="53" t="s">
        <v>33</v>
      </c>
      <c r="C741" s="53" t="s">
        <v>34</v>
      </c>
      <c r="D741" s="53" t="s">
        <v>43</v>
      </c>
      <c r="E741" s="53" t="s">
        <v>25</v>
      </c>
      <c r="F741" s="53" t="s">
        <v>25</v>
      </c>
      <c r="G741" s="53" t="s">
        <v>25</v>
      </c>
      <c r="H741" s="53" t="s">
        <v>35</v>
      </c>
      <c r="I741" s="75">
        <v>44440</v>
      </c>
      <c r="J741" s="76">
        <f>EFEITO!$J$741*EFEITO!$Y$741</f>
        <v>0</v>
      </c>
      <c r="K741" s="76">
        <f ca="1">EFEITO!$L$741*EFEITO!$Z$741</f>
        <v>57352.729884898326</v>
      </c>
      <c r="L741" s="76">
        <f>EFEITO!$N$741*EFEITO!$AA$741</f>
        <v>13512.973425675826</v>
      </c>
      <c r="M741" s="76">
        <f>$J$741-EFEITO!$K$741*EFEITO!$Y$741</f>
        <v>0</v>
      </c>
      <c r="N741" s="76">
        <f ca="1">$K$741-EFEITO!$M$741*EFEITO!$Z$741</f>
        <v>0</v>
      </c>
      <c r="O741" s="76">
        <f>$L$741-EFEITO!$O$741*EFEITO!$AA$741</f>
        <v>0</v>
      </c>
      <c r="P741" s="57"/>
      <c r="Q741" s="57"/>
      <c r="R741" s="57"/>
      <c r="S741" s="57"/>
      <c r="T741" s="57"/>
      <c r="U741" s="57"/>
      <c r="V741" s="57"/>
      <c r="W741" s="57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spans="1:36" ht="11.25" customHeight="1" x14ac:dyDescent="0.2">
      <c r="A742" s="53" t="s">
        <v>28</v>
      </c>
      <c r="B742" s="53" t="s">
        <v>33</v>
      </c>
      <c r="C742" s="53" t="s">
        <v>34</v>
      </c>
      <c r="D742" s="53" t="s">
        <v>43</v>
      </c>
      <c r="E742" s="53" t="s">
        <v>25</v>
      </c>
      <c r="F742" s="53" t="s">
        <v>25</v>
      </c>
      <c r="G742" s="53" t="s">
        <v>25</v>
      </c>
      <c r="H742" s="53" t="s">
        <v>35</v>
      </c>
      <c r="I742" s="75">
        <v>44440</v>
      </c>
      <c r="J742" s="76">
        <f>EFEITO!$J$742*EFEITO!$Y$742</f>
        <v>0</v>
      </c>
      <c r="K742" s="76">
        <f ca="1">EFEITO!$L$742*EFEITO!$Z$742</f>
        <v>97.153127981194231</v>
      </c>
      <c r="L742" s="76">
        <f>EFEITO!$N$742*EFEITO!$AA$742</f>
        <v>22.890412352923477</v>
      </c>
      <c r="M742" s="76">
        <f>$J$742-EFEITO!$K$742*EFEITO!$Y$742</f>
        <v>0</v>
      </c>
      <c r="N742" s="76">
        <f ca="1">$K$742-EFEITO!$M$742*EFEITO!$Z$742</f>
        <v>0</v>
      </c>
      <c r="O742" s="76">
        <f>$L$742-EFEITO!$O$742*EFEITO!$AA$742</f>
        <v>0</v>
      </c>
      <c r="P742" s="57"/>
      <c r="Q742" s="57"/>
      <c r="R742" s="57"/>
      <c r="S742" s="57"/>
      <c r="T742" s="57"/>
      <c r="U742" s="57"/>
      <c r="V742" s="57"/>
      <c r="W742" s="57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spans="1:36" ht="11.25" customHeight="1" x14ac:dyDescent="0.2">
      <c r="A743" s="53" t="s">
        <v>21</v>
      </c>
      <c r="B743" s="53" t="s">
        <v>33</v>
      </c>
      <c r="C743" s="53" t="s">
        <v>34</v>
      </c>
      <c r="D743" s="53" t="s">
        <v>43</v>
      </c>
      <c r="E743" s="53" t="s">
        <v>25</v>
      </c>
      <c r="F743" s="53" t="s">
        <v>25</v>
      </c>
      <c r="G743" s="53" t="s">
        <v>25</v>
      </c>
      <c r="H743" s="53" t="s">
        <v>35</v>
      </c>
      <c r="I743" s="75">
        <v>44470</v>
      </c>
      <c r="J743" s="76">
        <f>EFEITO!$J$743*EFEITO!$Y$743</f>
        <v>0</v>
      </c>
      <c r="K743" s="76">
        <f ca="1">EFEITO!$L$743*EFEITO!$Z$743</f>
        <v>1909836.1898543159</v>
      </c>
      <c r="L743" s="76">
        <f>EFEITO!$N$743*EFEITO!$AA$743</f>
        <v>449979.72603376966</v>
      </c>
      <c r="M743" s="76">
        <f>$J$743-EFEITO!$K$743*EFEITO!$Y$743</f>
        <v>0</v>
      </c>
      <c r="N743" s="76">
        <f ca="1">$K$743-EFEITO!$M$743*EFEITO!$Z$743</f>
        <v>0</v>
      </c>
      <c r="O743" s="76">
        <f>$L$743-EFEITO!$O$743*EFEITO!$AA$743</f>
        <v>0</v>
      </c>
      <c r="P743" s="57"/>
      <c r="Q743" s="57"/>
      <c r="R743" s="57"/>
      <c r="S743" s="57"/>
      <c r="T743" s="57"/>
      <c r="U743" s="57"/>
      <c r="V743" s="57"/>
      <c r="W743" s="57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spans="1:36" ht="11.25" customHeight="1" x14ac:dyDescent="0.2">
      <c r="A744" s="53" t="s">
        <v>27</v>
      </c>
      <c r="B744" s="53" t="s">
        <v>33</v>
      </c>
      <c r="C744" s="53" t="s">
        <v>34</v>
      </c>
      <c r="D744" s="53" t="s">
        <v>43</v>
      </c>
      <c r="E744" s="53" t="s">
        <v>25</v>
      </c>
      <c r="F744" s="53" t="s">
        <v>25</v>
      </c>
      <c r="G744" s="53" t="s">
        <v>25</v>
      </c>
      <c r="H744" s="53" t="s">
        <v>35</v>
      </c>
      <c r="I744" s="75">
        <v>44470</v>
      </c>
      <c r="J744" s="76">
        <f>EFEITO!$J$744*EFEITO!$Y$744</f>
        <v>0</v>
      </c>
      <c r="K744" s="76">
        <f ca="1">EFEITO!$L$744*EFEITO!$Z$744</f>
        <v>-64997.241751418595</v>
      </c>
      <c r="L744" s="76">
        <f>EFEITO!$N$744*EFEITO!$AA$744</f>
        <v>-15314.109760630861</v>
      </c>
      <c r="M744" s="76">
        <f>$J$744-EFEITO!$K$744*EFEITO!$Y$744</f>
        <v>0</v>
      </c>
      <c r="N744" s="76">
        <f ca="1">$K$744-EFEITO!$M$744*EFEITO!$Z$744</f>
        <v>0</v>
      </c>
      <c r="O744" s="76">
        <f>$L$744-EFEITO!$O$744*EFEITO!$AA$744</f>
        <v>0</v>
      </c>
      <c r="P744" s="57"/>
      <c r="Q744" s="57"/>
      <c r="R744" s="57"/>
      <c r="S744" s="57"/>
      <c r="T744" s="57"/>
      <c r="U744" s="57"/>
      <c r="V744" s="57"/>
      <c r="W744" s="57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spans="1:36" ht="11.25" customHeight="1" x14ac:dyDescent="0.2">
      <c r="A745" s="53" t="s">
        <v>28</v>
      </c>
      <c r="B745" s="53" t="s">
        <v>33</v>
      </c>
      <c r="C745" s="53" t="s">
        <v>34</v>
      </c>
      <c r="D745" s="53" t="s">
        <v>43</v>
      </c>
      <c r="E745" s="53" t="s">
        <v>25</v>
      </c>
      <c r="F745" s="53" t="s">
        <v>25</v>
      </c>
      <c r="G745" s="53" t="s">
        <v>25</v>
      </c>
      <c r="H745" s="53" t="s">
        <v>35</v>
      </c>
      <c r="I745" s="75">
        <v>44470</v>
      </c>
      <c r="J745" s="76">
        <f>EFEITO!$J$745*EFEITO!$Y$745</f>
        <v>0</v>
      </c>
      <c r="K745" s="76">
        <f ca="1">EFEITO!$L$745*EFEITO!$Z$745</f>
        <v>70979.355650260637</v>
      </c>
      <c r="L745" s="76">
        <f>EFEITO!$N$745*EFEITO!$AA$745</f>
        <v>16723.565706435871</v>
      </c>
      <c r="M745" s="76">
        <f>$J$745-EFEITO!$K$745*EFEITO!$Y$745</f>
        <v>0</v>
      </c>
      <c r="N745" s="76">
        <f ca="1">$K$745-EFEITO!$M$745*EFEITO!$Z$745</f>
        <v>0</v>
      </c>
      <c r="O745" s="76">
        <f>$L$745-EFEITO!$O$745*EFEITO!$AA$745</f>
        <v>0</v>
      </c>
      <c r="P745" s="57"/>
      <c r="Q745" s="57"/>
      <c r="R745" s="57"/>
      <c r="S745" s="57"/>
      <c r="T745" s="57"/>
      <c r="U745" s="57"/>
      <c r="V745" s="57"/>
      <c r="W745" s="57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spans="1:36" ht="11.25" customHeight="1" x14ac:dyDescent="0.2">
      <c r="A746" s="53" t="s">
        <v>28</v>
      </c>
      <c r="B746" s="53" t="s">
        <v>33</v>
      </c>
      <c r="C746" s="53" t="s">
        <v>34</v>
      </c>
      <c r="D746" s="53" t="s">
        <v>43</v>
      </c>
      <c r="E746" s="53" t="s">
        <v>25</v>
      </c>
      <c r="F746" s="53" t="s">
        <v>25</v>
      </c>
      <c r="G746" s="53" t="s">
        <v>25</v>
      </c>
      <c r="H746" s="53" t="s">
        <v>35</v>
      </c>
      <c r="I746" s="75">
        <v>44470</v>
      </c>
      <c r="J746" s="76">
        <f>EFEITO!$J$746*EFEITO!$Y$746</f>
        <v>0</v>
      </c>
      <c r="K746" s="76">
        <f ca="1">EFEITO!$L$746*EFEITO!$Z$746</f>
        <v>9591.172690143454</v>
      </c>
      <c r="L746" s="76">
        <f>EFEITO!$N$746*EFEITO!$AA$746</f>
        <v>2259.7923750636123</v>
      </c>
      <c r="M746" s="76">
        <f>$J$746-EFEITO!$K$746*EFEITO!$Y$746</f>
        <v>0</v>
      </c>
      <c r="N746" s="76">
        <f ca="1">$K$746-EFEITO!$M$746*EFEITO!$Z$746</f>
        <v>0</v>
      </c>
      <c r="O746" s="76">
        <f>$L$746-EFEITO!$O$746*EFEITO!$AA$746</f>
        <v>0</v>
      </c>
      <c r="P746" s="57"/>
      <c r="Q746" s="57"/>
      <c r="R746" s="57"/>
      <c r="S746" s="57"/>
      <c r="T746" s="57"/>
      <c r="U746" s="57"/>
      <c r="V746" s="57"/>
      <c r="W746" s="57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spans="1:36" ht="11.25" customHeight="1" x14ac:dyDescent="0.2">
      <c r="A747" s="53" t="s">
        <v>21</v>
      </c>
      <c r="B747" s="53" t="s">
        <v>33</v>
      </c>
      <c r="C747" s="53" t="s">
        <v>34</v>
      </c>
      <c r="D747" s="53" t="s">
        <v>43</v>
      </c>
      <c r="E747" s="53" t="s">
        <v>25</v>
      </c>
      <c r="F747" s="53" t="s">
        <v>25</v>
      </c>
      <c r="G747" s="53" t="s">
        <v>25</v>
      </c>
      <c r="H747" s="53" t="s">
        <v>35</v>
      </c>
      <c r="I747" s="75">
        <v>44501</v>
      </c>
      <c r="J747" s="76">
        <f>EFEITO!$J$747*EFEITO!$Y$747</f>
        <v>0</v>
      </c>
      <c r="K747" s="76">
        <f ca="1">EFEITO!$L$747*EFEITO!$Z$747</f>
        <v>2059957.5630372574</v>
      </c>
      <c r="L747" s="76">
        <f>EFEITO!$N$747*EFEITO!$AA$747</f>
        <v>485350.07598081208</v>
      </c>
      <c r="M747" s="76">
        <f>$J$747-EFEITO!$K$747*EFEITO!$Y$747</f>
        <v>0</v>
      </c>
      <c r="N747" s="76">
        <f ca="1">$K$747-EFEITO!$M$747*EFEITO!$Z$747</f>
        <v>0</v>
      </c>
      <c r="O747" s="76">
        <f>$L$747-EFEITO!$O$747*EFEITO!$AA$747</f>
        <v>0</v>
      </c>
      <c r="P747" s="57"/>
      <c r="Q747" s="57"/>
      <c r="R747" s="57"/>
      <c r="S747" s="57"/>
      <c r="T747" s="57"/>
      <c r="U747" s="57"/>
      <c r="V747" s="57"/>
      <c r="W747" s="57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spans="1:36" ht="11.25" customHeight="1" x14ac:dyDescent="0.2">
      <c r="A748" s="53" t="s">
        <v>27</v>
      </c>
      <c r="B748" s="53" t="s">
        <v>33</v>
      </c>
      <c r="C748" s="53" t="s">
        <v>34</v>
      </c>
      <c r="D748" s="53" t="s">
        <v>43</v>
      </c>
      <c r="E748" s="53" t="s">
        <v>25</v>
      </c>
      <c r="F748" s="53" t="s">
        <v>25</v>
      </c>
      <c r="G748" s="53" t="s">
        <v>25</v>
      </c>
      <c r="H748" s="53" t="s">
        <v>35</v>
      </c>
      <c r="I748" s="75">
        <v>44501</v>
      </c>
      <c r="J748" s="76">
        <f>EFEITO!$J$748*EFEITO!$Y$748</f>
        <v>0</v>
      </c>
      <c r="K748" s="76">
        <f ca="1">EFEITO!$L$748*EFEITO!$Z$748</f>
        <v>-10416.974277983603</v>
      </c>
      <c r="L748" s="76">
        <f>EFEITO!$N$748*EFEITO!$AA$748</f>
        <v>-2454.3608800634615</v>
      </c>
      <c r="M748" s="76">
        <f>$J$748-EFEITO!$K$748*EFEITO!$Y$748</f>
        <v>0</v>
      </c>
      <c r="N748" s="76">
        <f ca="1">$K$748-EFEITO!$M$748*EFEITO!$Z$748</f>
        <v>0</v>
      </c>
      <c r="O748" s="76">
        <f>$L$748-EFEITO!$O$748*EFEITO!$AA$748</f>
        <v>0</v>
      </c>
      <c r="P748" s="57"/>
      <c r="Q748" s="57"/>
      <c r="R748" s="57"/>
      <c r="S748" s="57"/>
      <c r="T748" s="57"/>
      <c r="U748" s="57"/>
      <c r="V748" s="57"/>
      <c r="W748" s="57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spans="1:36" ht="11.25" customHeight="1" x14ac:dyDescent="0.2">
      <c r="A749" s="53" t="s">
        <v>28</v>
      </c>
      <c r="B749" s="53" t="s">
        <v>33</v>
      </c>
      <c r="C749" s="53" t="s">
        <v>34</v>
      </c>
      <c r="D749" s="53" t="s">
        <v>43</v>
      </c>
      <c r="E749" s="53" t="s">
        <v>25</v>
      </c>
      <c r="F749" s="53" t="s">
        <v>25</v>
      </c>
      <c r="G749" s="53" t="s">
        <v>25</v>
      </c>
      <c r="H749" s="53" t="s">
        <v>35</v>
      </c>
      <c r="I749" s="75">
        <v>44501</v>
      </c>
      <c r="J749" s="76">
        <f>EFEITO!$J$749*EFEITO!$Y$749</f>
        <v>0</v>
      </c>
      <c r="K749" s="76">
        <f ca="1">EFEITO!$L$749*EFEITO!$Z$749</f>
        <v>86068.675731339827</v>
      </c>
      <c r="L749" s="76">
        <f>EFEITO!$N$749*EFEITO!$AA$749</f>
        <v>20278.785862064928</v>
      </c>
      <c r="M749" s="76">
        <f>$J$749-EFEITO!$K$749*EFEITO!$Y$749</f>
        <v>0</v>
      </c>
      <c r="N749" s="76">
        <f ca="1">$K$749-EFEITO!$M$749*EFEITO!$Z$749</f>
        <v>0</v>
      </c>
      <c r="O749" s="76">
        <f>$L$749-EFEITO!$O$749*EFEITO!$AA$749</f>
        <v>0</v>
      </c>
      <c r="P749" s="57"/>
      <c r="Q749" s="57"/>
      <c r="R749" s="57"/>
      <c r="S749" s="57"/>
      <c r="T749" s="57"/>
      <c r="U749" s="57"/>
      <c r="V749" s="57"/>
      <c r="W749" s="57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spans="1:36" ht="11.25" customHeight="1" x14ac:dyDescent="0.2">
      <c r="A750" s="53" t="s">
        <v>28</v>
      </c>
      <c r="B750" s="53" t="s">
        <v>33</v>
      </c>
      <c r="C750" s="53" t="s">
        <v>34</v>
      </c>
      <c r="D750" s="53" t="s">
        <v>43</v>
      </c>
      <c r="E750" s="53" t="s">
        <v>25</v>
      </c>
      <c r="F750" s="53" t="s">
        <v>25</v>
      </c>
      <c r="G750" s="53" t="s">
        <v>25</v>
      </c>
      <c r="H750" s="53" t="s">
        <v>35</v>
      </c>
      <c r="I750" s="75">
        <v>44501</v>
      </c>
      <c r="J750" s="76">
        <f>EFEITO!$J$750*EFEITO!$Y$750</f>
        <v>0</v>
      </c>
      <c r="K750" s="76">
        <f ca="1">EFEITO!$L$750*EFEITO!$Z$750</f>
        <v>5201.2906109931946</v>
      </c>
      <c r="L750" s="76">
        <f>EFEITO!$N$750*EFEITO!$AA$750</f>
        <v>1225.4848539315144</v>
      </c>
      <c r="M750" s="76">
        <f>$J$750-EFEITO!$K$750*EFEITO!$Y$750</f>
        <v>0</v>
      </c>
      <c r="N750" s="76">
        <f ca="1">$K$750-EFEITO!$M$750*EFEITO!$Z$750</f>
        <v>0</v>
      </c>
      <c r="O750" s="76">
        <f>$L$750-EFEITO!$O$750*EFEITO!$AA$750</f>
        <v>0</v>
      </c>
      <c r="P750" s="57"/>
      <c r="Q750" s="57"/>
      <c r="R750" s="57"/>
      <c r="S750" s="57"/>
      <c r="T750" s="57"/>
      <c r="U750" s="57"/>
      <c r="V750" s="57"/>
      <c r="W750" s="57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36" ht="11.25" customHeight="1" x14ac:dyDescent="0.2">
      <c r="A751" s="53" t="s">
        <v>21</v>
      </c>
      <c r="B751" s="53" t="s">
        <v>33</v>
      </c>
      <c r="C751" s="53" t="s">
        <v>34</v>
      </c>
      <c r="D751" s="53" t="s">
        <v>43</v>
      </c>
      <c r="E751" s="53" t="s">
        <v>25</v>
      </c>
      <c r="F751" s="53" t="s">
        <v>25</v>
      </c>
      <c r="G751" s="53" t="s">
        <v>25</v>
      </c>
      <c r="H751" s="53" t="s">
        <v>35</v>
      </c>
      <c r="I751" s="75">
        <v>44531</v>
      </c>
      <c r="J751" s="76">
        <f>EFEITO!$J$751*EFEITO!$Y$751</f>
        <v>0</v>
      </c>
      <c r="K751" s="76">
        <f ca="1">EFEITO!$L$751*EFEITO!$Z$751</f>
        <v>2192145.1884476701</v>
      </c>
      <c r="L751" s="76">
        <f>EFEITO!$N$751*EFEITO!$AA$751</f>
        <v>516495.02536611474</v>
      </c>
      <c r="M751" s="76">
        <f>$J$751-EFEITO!$K$751*EFEITO!$Y$751</f>
        <v>0</v>
      </c>
      <c r="N751" s="76">
        <f ca="1">$K$751-EFEITO!$M$751*EFEITO!$Z$751</f>
        <v>0</v>
      </c>
      <c r="O751" s="76">
        <f>$L$751-EFEITO!$O$751*EFEITO!$AA$751</f>
        <v>0</v>
      </c>
      <c r="P751" s="57"/>
      <c r="Q751" s="57"/>
      <c r="R751" s="57"/>
      <c r="S751" s="57"/>
      <c r="T751" s="57"/>
      <c r="U751" s="57"/>
      <c r="V751" s="57"/>
      <c r="W751" s="57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spans="1:36" ht="11.25" customHeight="1" x14ac:dyDescent="0.2">
      <c r="A752" s="53" t="s">
        <v>27</v>
      </c>
      <c r="B752" s="53" t="s">
        <v>33</v>
      </c>
      <c r="C752" s="53" t="s">
        <v>34</v>
      </c>
      <c r="D752" s="53" t="s">
        <v>43</v>
      </c>
      <c r="E752" s="53" t="s">
        <v>25</v>
      </c>
      <c r="F752" s="53" t="s">
        <v>25</v>
      </c>
      <c r="G752" s="53" t="s">
        <v>25</v>
      </c>
      <c r="H752" s="53" t="s">
        <v>35</v>
      </c>
      <c r="I752" s="75">
        <v>44531</v>
      </c>
      <c r="J752" s="76">
        <f>EFEITO!$J$752*EFEITO!$Y$752</f>
        <v>0</v>
      </c>
      <c r="K752" s="76">
        <f ca="1">EFEITO!$L$752*EFEITO!$Z$752</f>
        <v>492.96216790457817</v>
      </c>
      <c r="L752" s="76">
        <f>EFEITO!$N$752*EFEITO!$AA$752</f>
        <v>116.14764786483394</v>
      </c>
      <c r="M752" s="76">
        <f>$J$752-EFEITO!$K$752*EFEITO!$Y$752</f>
        <v>0</v>
      </c>
      <c r="N752" s="76">
        <f ca="1">$K$752-EFEITO!$M$752*EFEITO!$Z$752</f>
        <v>0</v>
      </c>
      <c r="O752" s="76">
        <f>$L$752-EFEITO!$O$752*EFEITO!$AA$752</f>
        <v>0</v>
      </c>
      <c r="P752" s="57"/>
      <c r="Q752" s="57"/>
      <c r="R752" s="57"/>
      <c r="S752" s="57"/>
      <c r="T752" s="57"/>
      <c r="U752" s="57"/>
      <c r="V752" s="57"/>
      <c r="W752" s="57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ht="11.25" customHeight="1" x14ac:dyDescent="0.2">
      <c r="A753" s="53" t="s">
        <v>28</v>
      </c>
      <c r="B753" s="53" t="s">
        <v>33</v>
      </c>
      <c r="C753" s="53" t="s">
        <v>34</v>
      </c>
      <c r="D753" s="53" t="s">
        <v>43</v>
      </c>
      <c r="E753" s="53" t="s">
        <v>25</v>
      </c>
      <c r="F753" s="53" t="s">
        <v>25</v>
      </c>
      <c r="G753" s="53" t="s">
        <v>25</v>
      </c>
      <c r="H753" s="53" t="s">
        <v>35</v>
      </c>
      <c r="I753" s="75">
        <v>44531</v>
      </c>
      <c r="J753" s="76">
        <f>EFEITO!$J$753*EFEITO!$Y$753</f>
        <v>0</v>
      </c>
      <c r="K753" s="76">
        <f ca="1">EFEITO!$L$753*EFEITO!$Z$753</f>
        <v>163301.81421238993</v>
      </c>
      <c r="L753" s="76">
        <f>EFEITO!$N$753*EFEITO!$AA$753</f>
        <v>38475.815889588986</v>
      </c>
      <c r="M753" s="76">
        <f>$J$753-EFEITO!$K$753*EFEITO!$Y$753</f>
        <v>0</v>
      </c>
      <c r="N753" s="76">
        <f ca="1">$K$753-EFEITO!$M$753*EFEITO!$Z$753</f>
        <v>0</v>
      </c>
      <c r="O753" s="76">
        <f>$L$753-EFEITO!$O$753*EFEITO!$AA$753</f>
        <v>0</v>
      </c>
      <c r="P753" s="57"/>
      <c r="Q753" s="57"/>
      <c r="R753" s="57"/>
      <c r="S753" s="57"/>
      <c r="T753" s="57"/>
      <c r="U753" s="57"/>
      <c r="V753" s="57"/>
      <c r="W753" s="57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spans="1:36" ht="11.25" customHeight="1" x14ac:dyDescent="0.2">
      <c r="A754" s="53" t="s">
        <v>28</v>
      </c>
      <c r="B754" s="53" t="s">
        <v>33</v>
      </c>
      <c r="C754" s="53" t="s">
        <v>34</v>
      </c>
      <c r="D754" s="53" t="s">
        <v>43</v>
      </c>
      <c r="E754" s="53" t="s">
        <v>25</v>
      </c>
      <c r="F754" s="53" t="s">
        <v>25</v>
      </c>
      <c r="G754" s="53" t="s">
        <v>25</v>
      </c>
      <c r="H754" s="53" t="s">
        <v>35</v>
      </c>
      <c r="I754" s="75">
        <v>44531</v>
      </c>
      <c r="J754" s="76">
        <f>EFEITO!$J$754*EFEITO!$Y$754</f>
        <v>0</v>
      </c>
      <c r="K754" s="76">
        <f ca="1">EFEITO!$L$754*EFEITO!$Z$754</f>
        <v>-349.03160793243853</v>
      </c>
      <c r="L754" s="76">
        <f>EFEITO!$N$754*EFEITO!$AA$754</f>
        <v>-82.23592586050286</v>
      </c>
      <c r="M754" s="76">
        <f>$J$754-EFEITO!$K$754*EFEITO!$Y$754</f>
        <v>0</v>
      </c>
      <c r="N754" s="76">
        <f ca="1">$K$754-EFEITO!$M$754*EFEITO!$Z$754</f>
        <v>0</v>
      </c>
      <c r="O754" s="76">
        <f>$L$754-EFEITO!$O$754*EFEITO!$AA$754</f>
        <v>0</v>
      </c>
      <c r="P754" s="57"/>
      <c r="Q754" s="57"/>
      <c r="R754" s="57"/>
      <c r="S754" s="57"/>
      <c r="T754" s="57"/>
      <c r="U754" s="57"/>
      <c r="V754" s="57"/>
      <c r="W754" s="57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spans="1:36" ht="11.25" customHeight="1" x14ac:dyDescent="0.2">
      <c r="A755" s="53" t="s">
        <v>21</v>
      </c>
      <c r="B755" s="53" t="s">
        <v>33</v>
      </c>
      <c r="C755" s="53" t="s">
        <v>34</v>
      </c>
      <c r="D755" s="53" t="s">
        <v>43</v>
      </c>
      <c r="E755" s="53" t="s">
        <v>25</v>
      </c>
      <c r="F755" s="53" t="s">
        <v>25</v>
      </c>
      <c r="G755" s="53" t="s">
        <v>25</v>
      </c>
      <c r="H755" s="53" t="s">
        <v>35</v>
      </c>
      <c r="I755" s="75">
        <v>44562</v>
      </c>
      <c r="J755" s="76">
        <f>EFEITO!$J$755*EFEITO!$Y$755</f>
        <v>0</v>
      </c>
      <c r="K755" s="76">
        <f ca="1">EFEITO!$L$755*EFEITO!$Z$755</f>
        <v>1991270.3015545532</v>
      </c>
      <c r="L755" s="76">
        <f>EFEITO!$N$755*EFEITO!$AA$755</f>
        <v>469166.5544472952</v>
      </c>
      <c r="M755" s="76">
        <f>$J$755-EFEITO!$K$755*EFEITO!$Y$755</f>
        <v>0</v>
      </c>
      <c r="N755" s="76">
        <f ca="1">$K$755-EFEITO!$M$755*EFEITO!$Z$755</f>
        <v>0</v>
      </c>
      <c r="O755" s="76">
        <f>$L$755-EFEITO!$O$755*EFEITO!$AA$755</f>
        <v>0</v>
      </c>
      <c r="P755" s="57"/>
      <c r="Q755" s="57"/>
      <c r="R755" s="57"/>
      <c r="S755" s="57"/>
      <c r="T755" s="57"/>
      <c r="U755" s="57"/>
      <c r="V755" s="57"/>
      <c r="W755" s="57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spans="1:36" ht="11.25" customHeight="1" x14ac:dyDescent="0.2">
      <c r="A756" s="53" t="s">
        <v>27</v>
      </c>
      <c r="B756" s="53" t="s">
        <v>33</v>
      </c>
      <c r="C756" s="53" t="s">
        <v>34</v>
      </c>
      <c r="D756" s="53" t="s">
        <v>43</v>
      </c>
      <c r="E756" s="53" t="s">
        <v>25</v>
      </c>
      <c r="F756" s="53" t="s">
        <v>25</v>
      </c>
      <c r="G756" s="53" t="s">
        <v>25</v>
      </c>
      <c r="H756" s="53" t="s">
        <v>35</v>
      </c>
      <c r="I756" s="75">
        <v>44562</v>
      </c>
      <c r="J756" s="76">
        <f>EFEITO!$J$756*EFEITO!$Y$756</f>
        <v>0</v>
      </c>
      <c r="K756" s="76">
        <f ca="1">EFEITO!$L$756*EFEITO!$Z$756</f>
        <v>23583.022251435075</v>
      </c>
      <c r="L756" s="76">
        <f>EFEITO!$N$756*EFEITO!$AA$756</f>
        <v>5556.4356504096477</v>
      </c>
      <c r="M756" s="76">
        <f>$J$756-EFEITO!$K$756*EFEITO!$Y$756</f>
        <v>0</v>
      </c>
      <c r="N756" s="76">
        <f ca="1">$K$756-EFEITO!$M$756*EFEITO!$Z$756</f>
        <v>0</v>
      </c>
      <c r="O756" s="76">
        <f>$L$756-EFEITO!$O$756*EFEITO!$AA$756</f>
        <v>0</v>
      </c>
      <c r="P756" s="57"/>
      <c r="Q756" s="57"/>
      <c r="R756" s="57"/>
      <c r="S756" s="57"/>
      <c r="T756" s="57"/>
      <c r="U756" s="57"/>
      <c r="V756" s="57"/>
      <c r="W756" s="57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spans="1:36" ht="11.25" customHeight="1" x14ac:dyDescent="0.2">
      <c r="A757" s="53" t="s">
        <v>28</v>
      </c>
      <c r="B757" s="53" t="s">
        <v>33</v>
      </c>
      <c r="C757" s="53" t="s">
        <v>34</v>
      </c>
      <c r="D757" s="53" t="s">
        <v>43</v>
      </c>
      <c r="E757" s="53" t="s">
        <v>25</v>
      </c>
      <c r="F757" s="53" t="s">
        <v>25</v>
      </c>
      <c r="G757" s="53" t="s">
        <v>25</v>
      </c>
      <c r="H757" s="53" t="s">
        <v>35</v>
      </c>
      <c r="I757" s="75">
        <v>44562</v>
      </c>
      <c r="J757" s="76">
        <f>EFEITO!$J$757*EFEITO!$Y$757</f>
        <v>0</v>
      </c>
      <c r="K757" s="76">
        <f ca="1">EFEITO!$L$757*EFEITO!$Z$757</f>
        <v>110475.7004386154</v>
      </c>
      <c r="L757" s="76">
        <f>EFEITO!$N$757*EFEITO!$AA$757</f>
        <v>26029.366120949373</v>
      </c>
      <c r="M757" s="76">
        <f>$J$757-EFEITO!$K$757*EFEITO!$Y$757</f>
        <v>0</v>
      </c>
      <c r="N757" s="76">
        <f ca="1">$K$757-EFEITO!$M$757*EFEITO!$Z$757</f>
        <v>0</v>
      </c>
      <c r="O757" s="76">
        <f>$L$757-EFEITO!$O$757*EFEITO!$AA$757</f>
        <v>0</v>
      </c>
      <c r="P757" s="57"/>
      <c r="Q757" s="57"/>
      <c r="R757" s="57"/>
      <c r="S757" s="57"/>
      <c r="T757" s="57"/>
      <c r="U757" s="57"/>
      <c r="V757" s="57"/>
      <c r="W757" s="57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spans="1:36" ht="11.25" customHeight="1" x14ac:dyDescent="0.2">
      <c r="A758" s="53" t="s">
        <v>28</v>
      </c>
      <c r="B758" s="53" t="s">
        <v>33</v>
      </c>
      <c r="C758" s="53" t="s">
        <v>34</v>
      </c>
      <c r="D758" s="53" t="s">
        <v>43</v>
      </c>
      <c r="E758" s="53" t="s">
        <v>25</v>
      </c>
      <c r="F758" s="53" t="s">
        <v>25</v>
      </c>
      <c r="G758" s="53" t="s">
        <v>25</v>
      </c>
      <c r="H758" s="53" t="s">
        <v>35</v>
      </c>
      <c r="I758" s="75">
        <v>44562</v>
      </c>
      <c r="J758" s="76">
        <f>EFEITO!$J$758*EFEITO!$Y$758</f>
        <v>0</v>
      </c>
      <c r="K758" s="76">
        <f ca="1">EFEITO!$L$758*EFEITO!$Z$758</f>
        <v>-1234.2045517610973</v>
      </c>
      <c r="L758" s="76">
        <f>EFEITO!$N$758*EFEITO!$AA$758</f>
        <v>-290.79301618713902</v>
      </c>
      <c r="M758" s="76">
        <f>$J$758-EFEITO!$K$758*EFEITO!$Y$758</f>
        <v>0</v>
      </c>
      <c r="N758" s="76">
        <f ca="1">$K$758-EFEITO!$M$758*EFEITO!$Z$758</f>
        <v>0</v>
      </c>
      <c r="O758" s="76">
        <f>$L$758-EFEITO!$O$758*EFEITO!$AA$758</f>
        <v>0</v>
      </c>
      <c r="P758" s="57"/>
      <c r="Q758" s="57"/>
      <c r="R758" s="57"/>
      <c r="S758" s="57"/>
      <c r="T758" s="57"/>
      <c r="U758" s="57"/>
      <c r="V758" s="57"/>
      <c r="W758" s="57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ht="11.25" customHeight="1" x14ac:dyDescent="0.2">
      <c r="A759" s="53" t="s">
        <v>21</v>
      </c>
      <c r="B759" s="53" t="s">
        <v>33</v>
      </c>
      <c r="C759" s="53" t="s">
        <v>34</v>
      </c>
      <c r="D759" s="53" t="s">
        <v>43</v>
      </c>
      <c r="E759" s="53" t="s">
        <v>25</v>
      </c>
      <c r="F759" s="53" t="s">
        <v>25</v>
      </c>
      <c r="G759" s="53" t="s">
        <v>25</v>
      </c>
      <c r="H759" s="53" t="s">
        <v>35</v>
      </c>
      <c r="I759" s="75">
        <v>44593</v>
      </c>
      <c r="J759" s="76">
        <f>EFEITO!$J$759*EFEITO!$Y$759</f>
        <v>0</v>
      </c>
      <c r="K759" s="76">
        <f ca="1">EFEITO!$L$759*EFEITO!$Z$759</f>
        <v>2067015.5578718912</v>
      </c>
      <c r="L759" s="76">
        <f>EFEITO!$N$759*EFEITO!$AA$759</f>
        <v>487013.02204859944</v>
      </c>
      <c r="M759" s="76">
        <f>$J$759-EFEITO!$K$759*EFEITO!$Y$759</f>
        <v>0</v>
      </c>
      <c r="N759" s="76">
        <f ca="1">$K$759-EFEITO!$M$759*EFEITO!$Z$759</f>
        <v>0</v>
      </c>
      <c r="O759" s="76">
        <f>$L$759-EFEITO!$O$759*EFEITO!$AA$759</f>
        <v>0</v>
      </c>
      <c r="P759" s="57"/>
      <c r="Q759" s="57"/>
      <c r="R759" s="57"/>
      <c r="S759" s="57"/>
      <c r="T759" s="57"/>
      <c r="U759" s="57"/>
      <c r="V759" s="57"/>
      <c r="W759" s="57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spans="1:36" ht="11.25" customHeight="1" x14ac:dyDescent="0.2">
      <c r="A760" s="53" t="s">
        <v>27</v>
      </c>
      <c r="B760" s="53" t="s">
        <v>33</v>
      </c>
      <c r="C760" s="53" t="s">
        <v>34</v>
      </c>
      <c r="D760" s="53" t="s">
        <v>43</v>
      </c>
      <c r="E760" s="53" t="s">
        <v>25</v>
      </c>
      <c r="F760" s="53" t="s">
        <v>25</v>
      </c>
      <c r="G760" s="53" t="s">
        <v>25</v>
      </c>
      <c r="H760" s="53" t="s">
        <v>35</v>
      </c>
      <c r="I760" s="75">
        <v>44593</v>
      </c>
      <c r="J760" s="76">
        <f>EFEITO!$J$760*EFEITO!$Y$760</f>
        <v>0</v>
      </c>
      <c r="K760" s="76">
        <f ca="1">EFEITO!$L$760*EFEITO!$Z$760</f>
        <v>-385.0142479254734</v>
      </c>
      <c r="L760" s="76">
        <f>EFEITO!$N$760*EFEITO!$AA$760</f>
        <v>-90.713856361585627</v>
      </c>
      <c r="M760" s="76">
        <f>$J$760-EFEITO!$K$760*EFEITO!$Y$760</f>
        <v>0</v>
      </c>
      <c r="N760" s="76">
        <f ca="1">$K$760-EFEITO!$M$760*EFEITO!$Z$760</f>
        <v>0</v>
      </c>
      <c r="O760" s="76">
        <f>$L$760-EFEITO!$O$760*EFEITO!$AA$760</f>
        <v>0</v>
      </c>
      <c r="P760" s="57"/>
      <c r="Q760" s="57"/>
      <c r="R760" s="57"/>
      <c r="S760" s="57"/>
      <c r="T760" s="57"/>
      <c r="U760" s="57"/>
      <c r="V760" s="57"/>
      <c r="W760" s="57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spans="1:36" ht="11.25" customHeight="1" x14ac:dyDescent="0.2">
      <c r="A761" s="53" t="s">
        <v>28</v>
      </c>
      <c r="B761" s="53" t="s">
        <v>33</v>
      </c>
      <c r="C761" s="53" t="s">
        <v>34</v>
      </c>
      <c r="D761" s="53" t="s">
        <v>43</v>
      </c>
      <c r="E761" s="53" t="s">
        <v>25</v>
      </c>
      <c r="F761" s="53" t="s">
        <v>25</v>
      </c>
      <c r="G761" s="53" t="s">
        <v>25</v>
      </c>
      <c r="H761" s="53" t="s">
        <v>35</v>
      </c>
      <c r="I761" s="75">
        <v>44593</v>
      </c>
      <c r="J761" s="76">
        <f>EFEITO!$J$761*EFEITO!$Y$761</f>
        <v>0</v>
      </c>
      <c r="K761" s="76">
        <f ca="1">EFEITO!$L$761*EFEITO!$Z$761</f>
        <v>107284.0402712332</v>
      </c>
      <c r="L761" s="76">
        <f>EFEITO!$N$761*EFEITO!$AA$761</f>
        <v>25277.373685503331</v>
      </c>
      <c r="M761" s="76">
        <f>$J$761-EFEITO!$K$761*EFEITO!$Y$761</f>
        <v>0</v>
      </c>
      <c r="N761" s="76">
        <f ca="1">$K$761-EFEITO!$M$761*EFEITO!$Z$761</f>
        <v>0</v>
      </c>
      <c r="O761" s="76">
        <f>$L$761-EFEITO!$O$761*EFEITO!$AA$761</f>
        <v>0</v>
      </c>
      <c r="P761" s="57"/>
      <c r="Q761" s="57"/>
      <c r="R761" s="57"/>
      <c r="S761" s="57"/>
      <c r="T761" s="57"/>
      <c r="U761" s="57"/>
      <c r="V761" s="57"/>
      <c r="W761" s="57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spans="1:36" ht="11.25" customHeight="1" x14ac:dyDescent="0.2">
      <c r="A762" s="53" t="s">
        <v>28</v>
      </c>
      <c r="B762" s="53" t="s">
        <v>33</v>
      </c>
      <c r="C762" s="53" t="s">
        <v>34</v>
      </c>
      <c r="D762" s="53" t="s">
        <v>43</v>
      </c>
      <c r="E762" s="53" t="s">
        <v>25</v>
      </c>
      <c r="F762" s="53" t="s">
        <v>25</v>
      </c>
      <c r="G762" s="53" t="s">
        <v>25</v>
      </c>
      <c r="H762" s="53" t="s">
        <v>35</v>
      </c>
      <c r="I762" s="75">
        <v>44593</v>
      </c>
      <c r="J762" s="76">
        <f>EFEITO!$J$762*EFEITO!$Y$762</f>
        <v>0</v>
      </c>
      <c r="K762" s="76">
        <f ca="1">EFEITO!$L$762*EFEITO!$Z$762</f>
        <v>-1525.6639357046797</v>
      </c>
      <c r="L762" s="76">
        <f>EFEITO!$N$762*EFEITO!$AA$762</f>
        <v>-359.46425324590939</v>
      </c>
      <c r="M762" s="76">
        <f>$J$762-EFEITO!$K$762*EFEITO!$Y$762</f>
        <v>0</v>
      </c>
      <c r="N762" s="76">
        <f ca="1">$K$762-EFEITO!$M$762*EFEITO!$Z$762</f>
        <v>0</v>
      </c>
      <c r="O762" s="76">
        <f>$L$762-EFEITO!$O$762*EFEITO!$AA$762</f>
        <v>0</v>
      </c>
      <c r="P762" s="57"/>
      <c r="Q762" s="57"/>
      <c r="R762" s="57"/>
      <c r="S762" s="57"/>
      <c r="T762" s="57"/>
      <c r="U762" s="57"/>
      <c r="V762" s="57"/>
      <c r="W762" s="57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1:36" ht="11.25" customHeight="1" x14ac:dyDescent="0.2">
      <c r="A763" s="53" t="s">
        <v>21</v>
      </c>
      <c r="B763" s="53" t="s">
        <v>33</v>
      </c>
      <c r="C763" s="53" t="s">
        <v>34</v>
      </c>
      <c r="D763" s="53" t="s">
        <v>43</v>
      </c>
      <c r="E763" s="53" t="s">
        <v>25</v>
      </c>
      <c r="F763" s="53" t="s">
        <v>25</v>
      </c>
      <c r="G763" s="53" t="s">
        <v>25</v>
      </c>
      <c r="H763" s="53" t="s">
        <v>35</v>
      </c>
      <c r="I763" s="75">
        <v>44621</v>
      </c>
      <c r="J763" s="76">
        <f>EFEITO!$J$763*EFEITO!$Y$763</f>
        <v>0</v>
      </c>
      <c r="K763" s="76">
        <f ca="1">EFEITO!$L$763*EFEITO!$Z$763</f>
        <v>2165086.2431729077</v>
      </c>
      <c r="L763" s="76">
        <f>EFEITO!$N$763*EFEITO!$AA$763</f>
        <v>510119.62162930053</v>
      </c>
      <c r="M763" s="76">
        <f>$J$763-EFEITO!$K$763*EFEITO!$Y$763</f>
        <v>0</v>
      </c>
      <c r="N763" s="76">
        <f ca="1">$K$763-EFEITO!$M$763*EFEITO!$Z$763</f>
        <v>0</v>
      </c>
      <c r="O763" s="76">
        <f>$L$763-EFEITO!$O$763*EFEITO!$AA$763</f>
        <v>0</v>
      </c>
      <c r="P763" s="57"/>
      <c r="Q763" s="57"/>
      <c r="R763" s="57"/>
      <c r="S763" s="57"/>
      <c r="T763" s="57"/>
      <c r="U763" s="57"/>
      <c r="V763" s="57"/>
      <c r="W763" s="57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1:36" ht="11.25" customHeight="1" x14ac:dyDescent="0.2">
      <c r="A764" s="53" t="s">
        <v>27</v>
      </c>
      <c r="B764" s="53" t="s">
        <v>33</v>
      </c>
      <c r="C764" s="53" t="s">
        <v>34</v>
      </c>
      <c r="D764" s="53" t="s">
        <v>43</v>
      </c>
      <c r="E764" s="53" t="s">
        <v>25</v>
      </c>
      <c r="F764" s="53" t="s">
        <v>25</v>
      </c>
      <c r="G764" s="53" t="s">
        <v>25</v>
      </c>
      <c r="H764" s="53" t="s">
        <v>35</v>
      </c>
      <c r="I764" s="75">
        <v>44621</v>
      </c>
      <c r="J764" s="76">
        <f>EFEITO!$J$764*EFEITO!$Y$764</f>
        <v>0</v>
      </c>
      <c r="K764" s="76">
        <f ca="1">EFEITO!$L$764*EFEITO!$Z$764</f>
        <v>212.2975759589059</v>
      </c>
      <c r="L764" s="76">
        <f>EFEITO!$N$764*EFEITO!$AA$764</f>
        <v>50.019789956388337</v>
      </c>
      <c r="M764" s="76">
        <f>$J$764-EFEITO!$K$764*EFEITO!$Y$764</f>
        <v>0</v>
      </c>
      <c r="N764" s="76">
        <f ca="1">$K$764-EFEITO!$M$764*EFEITO!$Z$764</f>
        <v>0</v>
      </c>
      <c r="O764" s="76">
        <f>$L$764-EFEITO!$O$764*EFEITO!$AA$764</f>
        <v>0</v>
      </c>
      <c r="P764" s="57"/>
      <c r="Q764" s="57"/>
      <c r="R764" s="57"/>
      <c r="S764" s="57"/>
      <c r="T764" s="57"/>
      <c r="U764" s="57"/>
      <c r="V764" s="57"/>
      <c r="W764" s="57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ht="11.25" customHeight="1" x14ac:dyDescent="0.2">
      <c r="A765" s="53" t="s">
        <v>28</v>
      </c>
      <c r="B765" s="53" t="s">
        <v>33</v>
      </c>
      <c r="C765" s="53" t="s">
        <v>34</v>
      </c>
      <c r="D765" s="53" t="s">
        <v>43</v>
      </c>
      <c r="E765" s="53" t="s">
        <v>25</v>
      </c>
      <c r="F765" s="53" t="s">
        <v>25</v>
      </c>
      <c r="G765" s="53" t="s">
        <v>25</v>
      </c>
      <c r="H765" s="53" t="s">
        <v>35</v>
      </c>
      <c r="I765" s="75">
        <v>44621</v>
      </c>
      <c r="J765" s="76">
        <f>EFEITO!$J$765*EFEITO!$Y$765</f>
        <v>0</v>
      </c>
      <c r="K765" s="76">
        <f ca="1">EFEITO!$L$765*EFEITO!$Z$765</f>
        <v>145861.02860776591</v>
      </c>
      <c r="L765" s="76">
        <f>EFEITO!$N$765*EFEITO!$AA$765</f>
        <v>34366.562975714165</v>
      </c>
      <c r="M765" s="76">
        <f>$J$765-EFEITO!$K$765*EFEITO!$Y$765</f>
        <v>0</v>
      </c>
      <c r="N765" s="76">
        <f ca="1">$K$765-EFEITO!$M$765*EFEITO!$Z$765</f>
        <v>0</v>
      </c>
      <c r="O765" s="76">
        <f>$L$765-EFEITO!$O$765*EFEITO!$AA$765</f>
        <v>0</v>
      </c>
      <c r="P765" s="57"/>
      <c r="Q765" s="57"/>
      <c r="R765" s="57"/>
      <c r="S765" s="57"/>
      <c r="T765" s="57"/>
      <c r="U765" s="57"/>
      <c r="V765" s="57"/>
      <c r="W765" s="57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1:36" ht="11.25" customHeight="1" x14ac:dyDescent="0.2">
      <c r="A766" s="53" t="s">
        <v>56</v>
      </c>
      <c r="B766" s="53" t="s">
        <v>33</v>
      </c>
      <c r="C766" s="53" t="s">
        <v>34</v>
      </c>
      <c r="D766" s="53" t="s">
        <v>43</v>
      </c>
      <c r="E766" s="53" t="s">
        <v>25</v>
      </c>
      <c r="F766" s="53" t="s">
        <v>25</v>
      </c>
      <c r="G766" s="53" t="s">
        <v>25</v>
      </c>
      <c r="H766" s="53" t="s">
        <v>35</v>
      </c>
      <c r="I766" s="75">
        <v>44652</v>
      </c>
      <c r="J766" s="76">
        <f>EFEITO!$J$766*EFEITO!$Y$766</f>
        <v>0</v>
      </c>
      <c r="K766" s="76">
        <f ca="1">EFEITO!$L$766*EFEITO!$Z$766</f>
        <v>2165086.2431729077</v>
      </c>
      <c r="L766" s="76">
        <f>EFEITO!$N$766*EFEITO!$AA$766</f>
        <v>510119.62162930053</v>
      </c>
      <c r="M766" s="76">
        <f>$J$766-EFEITO!$K$766*EFEITO!$Y$766</f>
        <v>0</v>
      </c>
      <c r="N766" s="76">
        <f ca="1">$K$766-EFEITO!$M$766*EFEITO!$Z$766</f>
        <v>0</v>
      </c>
      <c r="O766" s="76">
        <f>$L$766-EFEITO!$O$766*EFEITO!$AA$766</f>
        <v>0</v>
      </c>
      <c r="P766" s="57"/>
      <c r="Q766" s="57"/>
      <c r="R766" s="57"/>
      <c r="S766" s="57"/>
      <c r="T766" s="57"/>
      <c r="U766" s="57"/>
      <c r="V766" s="57"/>
      <c r="W766" s="57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1:36" ht="11.25" customHeight="1" x14ac:dyDescent="0.2">
      <c r="A767" s="53" t="s">
        <v>56</v>
      </c>
      <c r="B767" s="53" t="s">
        <v>33</v>
      </c>
      <c r="C767" s="53" t="s">
        <v>34</v>
      </c>
      <c r="D767" s="53" t="s">
        <v>43</v>
      </c>
      <c r="E767" s="53" t="s">
        <v>25</v>
      </c>
      <c r="F767" s="53" t="s">
        <v>25</v>
      </c>
      <c r="G767" s="53" t="s">
        <v>25</v>
      </c>
      <c r="H767" s="53" t="s">
        <v>35</v>
      </c>
      <c r="I767" s="75">
        <v>44652</v>
      </c>
      <c r="J767" s="76">
        <f>EFEITO!$J$767*EFEITO!$Y$767</f>
        <v>0</v>
      </c>
      <c r="K767" s="76">
        <f ca="1">EFEITO!$L$767*EFEITO!$Z$767</f>
        <v>212.2975759589059</v>
      </c>
      <c r="L767" s="76">
        <f>EFEITO!$N$767*EFEITO!$AA$767</f>
        <v>50.019789956388337</v>
      </c>
      <c r="M767" s="76">
        <f>$J$767-EFEITO!$K$767*EFEITO!$Y$767</f>
        <v>0</v>
      </c>
      <c r="N767" s="76">
        <f ca="1">$K$767-EFEITO!$M$767*EFEITO!$Z$767</f>
        <v>0</v>
      </c>
      <c r="O767" s="76">
        <f>$L$767-EFEITO!$O$767*EFEITO!$AA$767</f>
        <v>0</v>
      </c>
      <c r="P767" s="57"/>
      <c r="Q767" s="57"/>
      <c r="R767" s="57"/>
      <c r="S767" s="57"/>
      <c r="T767" s="57"/>
      <c r="U767" s="57"/>
      <c r="V767" s="57"/>
      <c r="W767" s="57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1:36" ht="11.25" customHeight="1" x14ac:dyDescent="0.2">
      <c r="A768" s="53" t="s">
        <v>56</v>
      </c>
      <c r="B768" s="53" t="s">
        <v>33</v>
      </c>
      <c r="C768" s="53" t="s">
        <v>34</v>
      </c>
      <c r="D768" s="53" t="s">
        <v>43</v>
      </c>
      <c r="E768" s="53" t="s">
        <v>25</v>
      </c>
      <c r="F768" s="53" t="s">
        <v>25</v>
      </c>
      <c r="G768" s="53" t="s">
        <v>25</v>
      </c>
      <c r="H768" s="53" t="s">
        <v>35</v>
      </c>
      <c r="I768" s="75">
        <v>44652</v>
      </c>
      <c r="J768" s="76">
        <f>EFEITO!$J$768*EFEITO!$Y$768</f>
        <v>0</v>
      </c>
      <c r="K768" s="76">
        <f ca="1">EFEITO!$L$768*EFEITO!$Z$768</f>
        <v>145861.02860776591</v>
      </c>
      <c r="L768" s="76">
        <f>EFEITO!$N$768*EFEITO!$AA$768</f>
        <v>34366.562975714165</v>
      </c>
      <c r="M768" s="76">
        <f>$J$768-EFEITO!$K$768*EFEITO!$Y$768</f>
        <v>0</v>
      </c>
      <c r="N768" s="76">
        <f ca="1">$K$768-EFEITO!$M$768*EFEITO!$Z$768</f>
        <v>0</v>
      </c>
      <c r="O768" s="76">
        <f>$L$768-EFEITO!$O$768*EFEITO!$AA$768</f>
        <v>0</v>
      </c>
      <c r="P768" s="57"/>
      <c r="Q768" s="57"/>
      <c r="R768" s="57"/>
      <c r="S768" s="57"/>
      <c r="T768" s="57"/>
      <c r="U768" s="57"/>
      <c r="V768" s="57"/>
      <c r="W768" s="57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1:36" ht="11.25" customHeight="1" x14ac:dyDescent="0.2">
      <c r="A769" s="53" t="s">
        <v>21</v>
      </c>
      <c r="B769" s="53" t="s">
        <v>33</v>
      </c>
      <c r="C769" s="53" t="s">
        <v>34</v>
      </c>
      <c r="D769" s="53" t="s">
        <v>52</v>
      </c>
      <c r="E769" s="53" t="s">
        <v>25</v>
      </c>
      <c r="F769" s="53" t="s">
        <v>25</v>
      </c>
      <c r="G769" s="53" t="s">
        <v>25</v>
      </c>
      <c r="H769" s="53" t="s">
        <v>36</v>
      </c>
      <c r="I769" s="75">
        <v>44317</v>
      </c>
      <c r="J769" s="76">
        <f>EFEITO!$J$769*EFEITO!$Y$769</f>
        <v>0</v>
      </c>
      <c r="K769" s="76">
        <f ca="1">EFEITO!$L$769*EFEITO!$Z$769</f>
        <v>10899.876030666361</v>
      </c>
      <c r="L769" s="76">
        <f>EFEITO!$N$769*EFEITO!$AA$769</f>
        <v>25132.697513716997</v>
      </c>
      <c r="M769" s="76">
        <f>$J$769-EFEITO!$K$769*EFEITO!$Y$769</f>
        <v>0</v>
      </c>
      <c r="N769" s="76">
        <f ca="1">$K$769-EFEITO!$M$769*EFEITO!$Z$769</f>
        <v>0</v>
      </c>
      <c r="O769" s="76">
        <f>$L$769-EFEITO!$O$769*EFEITO!$AA$769</f>
        <v>0</v>
      </c>
      <c r="P769" s="57"/>
      <c r="Q769" s="57"/>
      <c r="R769" s="57"/>
      <c r="S769" s="57"/>
      <c r="T769" s="57"/>
      <c r="U769" s="57"/>
      <c r="V769" s="57"/>
      <c r="W769" s="57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36" ht="11.25" customHeight="1" x14ac:dyDescent="0.2">
      <c r="A770" s="53" t="s">
        <v>21</v>
      </c>
      <c r="B770" s="53" t="s">
        <v>33</v>
      </c>
      <c r="C770" s="53" t="s">
        <v>34</v>
      </c>
      <c r="D770" s="53" t="s">
        <v>52</v>
      </c>
      <c r="E770" s="53" t="s">
        <v>25</v>
      </c>
      <c r="F770" s="53" t="s">
        <v>25</v>
      </c>
      <c r="G770" s="53" t="s">
        <v>25</v>
      </c>
      <c r="H770" s="53" t="s">
        <v>36</v>
      </c>
      <c r="I770" s="75">
        <v>44348</v>
      </c>
      <c r="J770" s="76">
        <f>EFEITO!$J$770*EFEITO!$Y$770</f>
        <v>0</v>
      </c>
      <c r="K770" s="76">
        <f ca="1">EFEITO!$L$770*EFEITO!$Z$770</f>
        <v>9633.0666224222787</v>
      </c>
      <c r="L770" s="76">
        <f>EFEITO!$N$770*EFEITO!$AA$770</f>
        <v>22211.715882792621</v>
      </c>
      <c r="M770" s="76">
        <f>$J$770-EFEITO!$K$770*EFEITO!$Y$770</f>
        <v>0</v>
      </c>
      <c r="N770" s="76">
        <f ca="1">$K$770-EFEITO!$M$770*EFEITO!$Z$770</f>
        <v>0</v>
      </c>
      <c r="O770" s="76">
        <f>$L$770-EFEITO!$O$770*EFEITO!$AA$770</f>
        <v>0</v>
      </c>
      <c r="P770" s="57"/>
      <c r="Q770" s="57"/>
      <c r="R770" s="57"/>
      <c r="S770" s="57"/>
      <c r="T770" s="57"/>
      <c r="U770" s="57"/>
      <c r="V770" s="57"/>
      <c r="W770" s="57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ht="11.25" customHeight="1" x14ac:dyDescent="0.2">
      <c r="A771" s="53" t="s">
        <v>21</v>
      </c>
      <c r="B771" s="53" t="s">
        <v>33</v>
      </c>
      <c r="C771" s="53" t="s">
        <v>34</v>
      </c>
      <c r="D771" s="53" t="s">
        <v>52</v>
      </c>
      <c r="E771" s="53" t="s">
        <v>25</v>
      </c>
      <c r="F771" s="53" t="s">
        <v>25</v>
      </c>
      <c r="G771" s="53" t="s">
        <v>25</v>
      </c>
      <c r="H771" s="53" t="s">
        <v>36</v>
      </c>
      <c r="I771" s="75">
        <v>44378</v>
      </c>
      <c r="J771" s="76">
        <f>EFEITO!$J$771*EFEITO!$Y$771</f>
        <v>0</v>
      </c>
      <c r="K771" s="76">
        <f ca="1">EFEITO!$L$771*EFEITO!$Z$771</f>
        <v>9968.9069333797743</v>
      </c>
      <c r="L771" s="76">
        <f>EFEITO!$N$771*EFEITO!$AA$771</f>
        <v>22986.089180659514</v>
      </c>
      <c r="M771" s="76">
        <f>$J$771-EFEITO!$K$771*EFEITO!$Y$771</f>
        <v>0</v>
      </c>
      <c r="N771" s="76">
        <f ca="1">$K$771-EFEITO!$M$771*EFEITO!$Z$771</f>
        <v>0</v>
      </c>
      <c r="O771" s="76">
        <f>$L$771-EFEITO!$O$771*EFEITO!$AA$771</f>
        <v>0</v>
      </c>
      <c r="P771" s="57"/>
      <c r="Q771" s="57"/>
      <c r="R771" s="57"/>
      <c r="S771" s="57"/>
      <c r="T771" s="57"/>
      <c r="U771" s="57"/>
      <c r="V771" s="57"/>
      <c r="W771" s="57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1:36" ht="11.25" customHeight="1" x14ac:dyDescent="0.2">
      <c r="A772" s="53" t="s">
        <v>21</v>
      </c>
      <c r="B772" s="53" t="s">
        <v>33</v>
      </c>
      <c r="C772" s="53" t="s">
        <v>34</v>
      </c>
      <c r="D772" s="53" t="s">
        <v>52</v>
      </c>
      <c r="E772" s="53" t="s">
        <v>25</v>
      </c>
      <c r="F772" s="53" t="s">
        <v>25</v>
      </c>
      <c r="G772" s="53" t="s">
        <v>25</v>
      </c>
      <c r="H772" s="53" t="s">
        <v>36</v>
      </c>
      <c r="I772" s="75">
        <v>44409</v>
      </c>
      <c r="J772" s="76">
        <f>EFEITO!$J$772*EFEITO!$Y$772</f>
        <v>0</v>
      </c>
      <c r="K772" s="76">
        <f ca="1">EFEITO!$L$772*EFEITO!$Z$772</f>
        <v>9326.2713243522157</v>
      </c>
      <c r="L772" s="76">
        <f>EFEITO!$N$772*EFEITO!$AA$772</f>
        <v>21504.313945070382</v>
      </c>
      <c r="M772" s="76">
        <f>$J$772-EFEITO!$K$772*EFEITO!$Y$772</f>
        <v>0</v>
      </c>
      <c r="N772" s="76">
        <f ca="1">$K$772-EFEITO!$M$772*EFEITO!$Z$772</f>
        <v>0</v>
      </c>
      <c r="O772" s="76">
        <f>$L$772-EFEITO!$O$772*EFEITO!$AA$772</f>
        <v>0</v>
      </c>
      <c r="P772" s="57"/>
      <c r="Q772" s="57"/>
      <c r="R772" s="57"/>
      <c r="S772" s="57"/>
      <c r="T772" s="57"/>
      <c r="U772" s="57"/>
      <c r="V772" s="57"/>
      <c r="W772" s="57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1:36" ht="11.25" customHeight="1" x14ac:dyDescent="0.2">
      <c r="A773" s="53" t="s">
        <v>21</v>
      </c>
      <c r="B773" s="53" t="s">
        <v>33</v>
      </c>
      <c r="C773" s="53" t="s">
        <v>34</v>
      </c>
      <c r="D773" s="53" t="s">
        <v>52</v>
      </c>
      <c r="E773" s="53" t="s">
        <v>25</v>
      </c>
      <c r="F773" s="53" t="s">
        <v>25</v>
      </c>
      <c r="G773" s="53" t="s">
        <v>25</v>
      </c>
      <c r="H773" s="53" t="s">
        <v>36</v>
      </c>
      <c r="I773" s="75">
        <v>44440</v>
      </c>
      <c r="J773" s="76">
        <f>EFEITO!$J$773*EFEITO!$Y$773</f>
        <v>0</v>
      </c>
      <c r="K773" s="76">
        <f ca="1">EFEITO!$L$773*EFEITO!$Z$773</f>
        <v>10340.965317087588</v>
      </c>
      <c r="L773" s="76">
        <f>EFEITO!$N$773*EFEITO!$AA$773</f>
        <v>23843.973324374794</v>
      </c>
      <c r="M773" s="76">
        <f>$J$773-EFEITO!$K$773*EFEITO!$Y$773</f>
        <v>0</v>
      </c>
      <c r="N773" s="76">
        <f ca="1">$K$773-EFEITO!$M$773*EFEITO!$Z$773</f>
        <v>0</v>
      </c>
      <c r="O773" s="76">
        <f>$L$773-EFEITO!$O$773*EFEITO!$AA$773</f>
        <v>0</v>
      </c>
      <c r="P773" s="57"/>
      <c r="Q773" s="57"/>
      <c r="R773" s="57"/>
      <c r="S773" s="57"/>
      <c r="T773" s="57"/>
      <c r="U773" s="57"/>
      <c r="V773" s="57"/>
      <c r="W773" s="57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1:36" ht="11.25" customHeight="1" x14ac:dyDescent="0.2">
      <c r="A774" s="53" t="s">
        <v>21</v>
      </c>
      <c r="B774" s="53" t="s">
        <v>33</v>
      </c>
      <c r="C774" s="53" t="s">
        <v>34</v>
      </c>
      <c r="D774" s="53" t="s">
        <v>52</v>
      </c>
      <c r="E774" s="53" t="s">
        <v>25</v>
      </c>
      <c r="F774" s="53" t="s">
        <v>25</v>
      </c>
      <c r="G774" s="53" t="s">
        <v>25</v>
      </c>
      <c r="H774" s="53" t="s">
        <v>36</v>
      </c>
      <c r="I774" s="75">
        <v>44470</v>
      </c>
      <c r="J774" s="76">
        <f>EFEITO!$J$774*EFEITO!$Y$774</f>
        <v>0</v>
      </c>
      <c r="K774" s="76">
        <f ca="1">EFEITO!$L$774*EFEITO!$Z$774</f>
        <v>12447.610685015996</v>
      </c>
      <c r="L774" s="76">
        <f>EFEITO!$N$774*EFEITO!$AA$774</f>
        <v>28701.430478186194</v>
      </c>
      <c r="M774" s="76">
        <f>$J$774-EFEITO!$K$774*EFEITO!$Y$774</f>
        <v>0</v>
      </c>
      <c r="N774" s="76">
        <f ca="1">$K$774-EFEITO!$M$774*EFEITO!$Z$774</f>
        <v>0</v>
      </c>
      <c r="O774" s="76">
        <f>$L$774-EFEITO!$O$774*EFEITO!$AA$774</f>
        <v>0</v>
      </c>
      <c r="P774" s="57"/>
      <c r="Q774" s="57"/>
      <c r="R774" s="57"/>
      <c r="S774" s="57"/>
      <c r="T774" s="57"/>
      <c r="U774" s="57"/>
      <c r="V774" s="57"/>
      <c r="W774" s="57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1:36" ht="11.25" customHeight="1" x14ac:dyDescent="0.2">
      <c r="A775" s="53" t="s">
        <v>21</v>
      </c>
      <c r="B775" s="53" t="s">
        <v>33</v>
      </c>
      <c r="C775" s="53" t="s">
        <v>34</v>
      </c>
      <c r="D775" s="53" t="s">
        <v>52</v>
      </c>
      <c r="E775" s="53" t="s">
        <v>25</v>
      </c>
      <c r="F775" s="53" t="s">
        <v>25</v>
      </c>
      <c r="G775" s="53" t="s">
        <v>25</v>
      </c>
      <c r="H775" s="53" t="s">
        <v>36</v>
      </c>
      <c r="I775" s="75">
        <v>44501</v>
      </c>
      <c r="J775" s="76">
        <f>EFEITO!$J$775*EFEITO!$Y$775</f>
        <v>0</v>
      </c>
      <c r="K775" s="76">
        <f ca="1">EFEITO!$L$775*EFEITO!$Z$775</f>
        <v>13195.490369081008</v>
      </c>
      <c r="L775" s="76">
        <f>EFEITO!$N$775*EFEITO!$AA$775</f>
        <v>30425.875217133475</v>
      </c>
      <c r="M775" s="76">
        <f>$J$775-EFEITO!$K$775*EFEITO!$Y$775</f>
        <v>0</v>
      </c>
      <c r="N775" s="76">
        <f ca="1">$K$775-EFEITO!$M$775*EFEITO!$Z$775</f>
        <v>0</v>
      </c>
      <c r="O775" s="76">
        <f>$L$775-EFEITO!$O$775*EFEITO!$AA$775</f>
        <v>0</v>
      </c>
      <c r="P775" s="57"/>
      <c r="Q775" s="57"/>
      <c r="R775" s="57"/>
      <c r="S775" s="57"/>
      <c r="T775" s="57"/>
      <c r="U775" s="57"/>
      <c r="V775" s="57"/>
      <c r="W775" s="57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1:36" ht="11.25" customHeight="1" x14ac:dyDescent="0.2">
      <c r="A776" s="53" t="s">
        <v>21</v>
      </c>
      <c r="B776" s="53" t="s">
        <v>33</v>
      </c>
      <c r="C776" s="53" t="s">
        <v>34</v>
      </c>
      <c r="D776" s="53" t="s">
        <v>52</v>
      </c>
      <c r="E776" s="53" t="s">
        <v>25</v>
      </c>
      <c r="F776" s="53" t="s">
        <v>25</v>
      </c>
      <c r="G776" s="53" t="s">
        <v>25</v>
      </c>
      <c r="H776" s="53" t="s">
        <v>36</v>
      </c>
      <c r="I776" s="75">
        <v>44531</v>
      </c>
      <c r="J776" s="76">
        <f>EFEITO!$J$776*EFEITO!$Y$776</f>
        <v>0</v>
      </c>
      <c r="K776" s="76">
        <f ca="1">EFEITO!$L$776*EFEITO!$Z$776</f>
        <v>13770.511069564955</v>
      </c>
      <c r="L776" s="76">
        <f>EFEITO!$N$776*EFEITO!$AA$776</f>
        <v>31751.745464531617</v>
      </c>
      <c r="M776" s="76">
        <f>$J$776-EFEITO!$K$776*EFEITO!$Y$776</f>
        <v>0</v>
      </c>
      <c r="N776" s="76">
        <f ca="1">$K$776-EFEITO!$M$776*EFEITO!$Z$776</f>
        <v>0</v>
      </c>
      <c r="O776" s="76">
        <f>$L$776-EFEITO!$O$776*EFEITO!$AA$776</f>
        <v>0</v>
      </c>
      <c r="P776" s="57"/>
      <c r="Q776" s="57"/>
      <c r="R776" s="57"/>
      <c r="S776" s="57"/>
      <c r="T776" s="57"/>
      <c r="U776" s="57"/>
      <c r="V776" s="57"/>
      <c r="W776" s="57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ht="11.25" customHeight="1" x14ac:dyDescent="0.2">
      <c r="A777" s="53" t="s">
        <v>21</v>
      </c>
      <c r="B777" s="53" t="s">
        <v>33</v>
      </c>
      <c r="C777" s="53" t="s">
        <v>34</v>
      </c>
      <c r="D777" s="53" t="s">
        <v>52</v>
      </c>
      <c r="E777" s="53" t="s">
        <v>25</v>
      </c>
      <c r="F777" s="53" t="s">
        <v>25</v>
      </c>
      <c r="G777" s="53" t="s">
        <v>25</v>
      </c>
      <c r="H777" s="53" t="s">
        <v>36</v>
      </c>
      <c r="I777" s="75">
        <v>44562</v>
      </c>
      <c r="J777" s="76">
        <f>EFEITO!$J$777*EFEITO!$Y$777</f>
        <v>0</v>
      </c>
      <c r="K777" s="76">
        <f ca="1">EFEITO!$L$777*EFEITO!$Z$777</f>
        <v>13713.00899951656</v>
      </c>
      <c r="L777" s="76">
        <f>EFEITO!$N$777*EFEITO!$AA$777</f>
        <v>31619.158439791801</v>
      </c>
      <c r="M777" s="76">
        <f>$J$777-EFEITO!$K$777*EFEITO!$Y$777</f>
        <v>0</v>
      </c>
      <c r="N777" s="76">
        <f ca="1">$K$777-EFEITO!$M$777*EFEITO!$Z$777</f>
        <v>0</v>
      </c>
      <c r="O777" s="76">
        <f>$L$777-EFEITO!$O$777*EFEITO!$AA$777</f>
        <v>0</v>
      </c>
      <c r="P777" s="57"/>
      <c r="Q777" s="57"/>
      <c r="R777" s="57"/>
      <c r="S777" s="57"/>
      <c r="T777" s="57"/>
      <c r="U777" s="57"/>
      <c r="V777" s="57"/>
      <c r="W777" s="57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1:36" ht="11.25" customHeight="1" x14ac:dyDescent="0.2">
      <c r="A778" s="53" t="s">
        <v>21</v>
      </c>
      <c r="B778" s="53" t="s">
        <v>33</v>
      </c>
      <c r="C778" s="53" t="s">
        <v>34</v>
      </c>
      <c r="D778" s="53" t="s">
        <v>52</v>
      </c>
      <c r="E778" s="53" t="s">
        <v>25</v>
      </c>
      <c r="F778" s="53" t="s">
        <v>25</v>
      </c>
      <c r="G778" s="53" t="s">
        <v>25</v>
      </c>
      <c r="H778" s="53" t="s">
        <v>36</v>
      </c>
      <c r="I778" s="75">
        <v>44593</v>
      </c>
      <c r="J778" s="76">
        <f>EFEITO!$J$778*EFEITO!$Y$778</f>
        <v>0</v>
      </c>
      <c r="K778" s="76">
        <f ca="1">EFEITO!$L$778*EFEITO!$Z$778</f>
        <v>12730.299798300946</v>
      </c>
      <c r="L778" s="76">
        <f>EFEITO!$N$778*EFEITO!$AA$778</f>
        <v>29353.248898379472</v>
      </c>
      <c r="M778" s="76">
        <f>$J$778-EFEITO!$K$778*EFEITO!$Y$778</f>
        <v>0</v>
      </c>
      <c r="N778" s="76">
        <f ca="1">$K$778-EFEITO!$M$778*EFEITO!$Z$778</f>
        <v>0</v>
      </c>
      <c r="O778" s="76">
        <f>$L$778-EFEITO!$O$778*EFEITO!$AA$778</f>
        <v>0</v>
      </c>
      <c r="P778" s="57"/>
      <c r="Q778" s="57"/>
      <c r="R778" s="57"/>
      <c r="S778" s="57"/>
      <c r="T778" s="57"/>
      <c r="U778" s="57"/>
      <c r="V778" s="57"/>
      <c r="W778" s="57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1:36" ht="11.25" customHeight="1" x14ac:dyDescent="0.2">
      <c r="A779" s="53" t="s">
        <v>21</v>
      </c>
      <c r="B779" s="53" t="s">
        <v>33</v>
      </c>
      <c r="C779" s="53" t="s">
        <v>34</v>
      </c>
      <c r="D779" s="53" t="s">
        <v>52</v>
      </c>
      <c r="E779" s="53" t="s">
        <v>25</v>
      </c>
      <c r="F779" s="53" t="s">
        <v>25</v>
      </c>
      <c r="G779" s="53" t="s">
        <v>25</v>
      </c>
      <c r="H779" s="53" t="s">
        <v>36</v>
      </c>
      <c r="I779" s="75">
        <v>44621</v>
      </c>
      <c r="J779" s="76">
        <f>EFEITO!$J$779*EFEITO!$Y$779</f>
        <v>0</v>
      </c>
      <c r="K779" s="76">
        <f ca="1">EFEITO!$L$779*EFEITO!$Z$779</f>
        <v>13799.08571787121</v>
      </c>
      <c r="L779" s="76">
        <f>EFEITO!$N$779*EFEITO!$AA$779</f>
        <v>31817.632268236677</v>
      </c>
      <c r="M779" s="76">
        <f>$J$779-EFEITO!$K$779*EFEITO!$Y$779</f>
        <v>0</v>
      </c>
      <c r="N779" s="76">
        <f ca="1">$K$779-EFEITO!$M$779*EFEITO!$Z$779</f>
        <v>0</v>
      </c>
      <c r="O779" s="76">
        <f>$L$779-EFEITO!$O$779*EFEITO!$AA$779</f>
        <v>0</v>
      </c>
      <c r="P779" s="57"/>
      <c r="Q779" s="57"/>
      <c r="R779" s="57"/>
      <c r="S779" s="57"/>
      <c r="T779" s="57"/>
      <c r="U779" s="57"/>
      <c r="V779" s="57"/>
      <c r="W779" s="57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1:36" ht="11.25" customHeight="1" x14ac:dyDescent="0.2">
      <c r="A780" s="53" t="s">
        <v>56</v>
      </c>
      <c r="B780" s="53" t="s">
        <v>33</v>
      </c>
      <c r="C780" s="53" t="s">
        <v>34</v>
      </c>
      <c r="D780" s="53" t="s">
        <v>52</v>
      </c>
      <c r="E780" s="53" t="s">
        <v>25</v>
      </c>
      <c r="F780" s="53" t="s">
        <v>25</v>
      </c>
      <c r="G780" s="53" t="s">
        <v>25</v>
      </c>
      <c r="H780" s="53" t="s">
        <v>36</v>
      </c>
      <c r="I780" s="75">
        <v>44652</v>
      </c>
      <c r="J780" s="76">
        <f>EFEITO!$J$780*EFEITO!$Y$780</f>
        <v>0</v>
      </c>
      <c r="K780" s="76">
        <f ca="1">EFEITO!$L$780*EFEITO!$Z$780</f>
        <v>13799.08571787121</v>
      </c>
      <c r="L780" s="76">
        <f>EFEITO!$N$780*EFEITO!$AA$780</f>
        <v>31817.632268236677</v>
      </c>
      <c r="M780" s="76">
        <f>$J$780-EFEITO!$K$780*EFEITO!$Y$780</f>
        <v>0</v>
      </c>
      <c r="N780" s="76">
        <f ca="1">$K$780-EFEITO!$M$780*EFEITO!$Z$780</f>
        <v>0</v>
      </c>
      <c r="O780" s="76">
        <f>$L$780-EFEITO!$O$780*EFEITO!$AA$780</f>
        <v>0</v>
      </c>
      <c r="P780" s="57"/>
      <c r="Q780" s="57"/>
      <c r="R780" s="57"/>
      <c r="S780" s="57"/>
      <c r="T780" s="57"/>
      <c r="U780" s="57"/>
      <c r="V780" s="57"/>
      <c r="W780" s="57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1:36" ht="11.25" customHeight="1" x14ac:dyDescent="0.2">
      <c r="A781" s="53" t="s">
        <v>21</v>
      </c>
      <c r="B781" s="53" t="s">
        <v>33</v>
      </c>
      <c r="C781" s="53" t="s">
        <v>34</v>
      </c>
      <c r="D781" s="53" t="s">
        <v>52</v>
      </c>
      <c r="E781" s="53" t="s">
        <v>25</v>
      </c>
      <c r="F781" s="53" t="s">
        <v>25</v>
      </c>
      <c r="G781" s="53" t="s">
        <v>25</v>
      </c>
      <c r="H781" s="53" t="s">
        <v>25</v>
      </c>
      <c r="I781" s="75">
        <v>44317</v>
      </c>
      <c r="J781" s="76">
        <f ca="1">EFEITO!$J$781*EFEITO!$Y$781</f>
        <v>13272.136565847341</v>
      </c>
      <c r="K781" s="76">
        <f>EFEITO!$L$781*EFEITO!$Z$781</f>
        <v>0</v>
      </c>
      <c r="L781" s="76">
        <f>EFEITO!$N$781*EFEITO!$AA$781</f>
        <v>0</v>
      </c>
      <c r="M781" s="76">
        <f ca="1">$J$781-EFEITO!$K$781*EFEITO!$Y$781</f>
        <v>0</v>
      </c>
      <c r="N781" s="76">
        <f>$K$781-EFEITO!$M$781*EFEITO!$Z$781</f>
        <v>0</v>
      </c>
      <c r="O781" s="76">
        <f>$L$781-EFEITO!$O$781*EFEITO!$AA$781</f>
        <v>0</v>
      </c>
      <c r="P781" s="57"/>
      <c r="Q781" s="57"/>
      <c r="R781" s="57"/>
      <c r="S781" s="57"/>
      <c r="T781" s="57"/>
      <c r="U781" s="57"/>
      <c r="V781" s="57"/>
      <c r="W781" s="57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1:36" ht="11.25" customHeight="1" x14ac:dyDescent="0.2">
      <c r="A782" s="53" t="s">
        <v>21</v>
      </c>
      <c r="B782" s="53" t="s">
        <v>33</v>
      </c>
      <c r="C782" s="53" t="s">
        <v>34</v>
      </c>
      <c r="D782" s="53" t="s">
        <v>52</v>
      </c>
      <c r="E782" s="53" t="s">
        <v>25</v>
      </c>
      <c r="F782" s="53" t="s">
        <v>25</v>
      </c>
      <c r="G782" s="53" t="s">
        <v>25</v>
      </c>
      <c r="H782" s="53" t="s">
        <v>25</v>
      </c>
      <c r="I782" s="75">
        <v>44348</v>
      </c>
      <c r="J782" s="76">
        <f ca="1">EFEITO!$J$782*EFEITO!$Y$782</f>
        <v>12556.724000030292</v>
      </c>
      <c r="K782" s="76">
        <f>EFEITO!$L$782*EFEITO!$Z$782</f>
        <v>0</v>
      </c>
      <c r="L782" s="76">
        <f>EFEITO!$N$782*EFEITO!$AA$782</f>
        <v>0</v>
      </c>
      <c r="M782" s="76">
        <f ca="1">$J$782-EFEITO!$K$782*EFEITO!$Y$782</f>
        <v>0</v>
      </c>
      <c r="N782" s="76">
        <f>$K$782-EFEITO!$M$782*EFEITO!$Z$782</f>
        <v>0</v>
      </c>
      <c r="O782" s="76">
        <f>$L$782-EFEITO!$O$782*EFEITO!$AA$782</f>
        <v>0</v>
      </c>
      <c r="P782" s="57"/>
      <c r="Q782" s="57"/>
      <c r="R782" s="57"/>
      <c r="S782" s="57"/>
      <c r="T782" s="57"/>
      <c r="U782" s="57"/>
      <c r="V782" s="57"/>
      <c r="W782" s="57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ht="11.25" customHeight="1" x14ac:dyDescent="0.2">
      <c r="A783" s="53" t="s">
        <v>21</v>
      </c>
      <c r="B783" s="53" t="s">
        <v>33</v>
      </c>
      <c r="C783" s="53" t="s">
        <v>34</v>
      </c>
      <c r="D783" s="53" t="s">
        <v>52</v>
      </c>
      <c r="E783" s="53" t="s">
        <v>25</v>
      </c>
      <c r="F783" s="53" t="s">
        <v>25</v>
      </c>
      <c r="G783" s="53" t="s">
        <v>25</v>
      </c>
      <c r="H783" s="53" t="s">
        <v>25</v>
      </c>
      <c r="I783" s="75">
        <v>44378</v>
      </c>
      <c r="J783" s="76">
        <f ca="1">EFEITO!$J$783*EFEITO!$Y$783</f>
        <v>12951.434381170733</v>
      </c>
      <c r="K783" s="76">
        <f>EFEITO!$L$783*EFEITO!$Z$783</f>
        <v>0</v>
      </c>
      <c r="L783" s="76">
        <f>EFEITO!$N$783*EFEITO!$AA$783</f>
        <v>0</v>
      </c>
      <c r="M783" s="76">
        <f ca="1">$J$783-EFEITO!$K$783*EFEITO!$Y$783</f>
        <v>0</v>
      </c>
      <c r="N783" s="76">
        <f>$K$783-EFEITO!$M$783*EFEITO!$Z$783</f>
        <v>0</v>
      </c>
      <c r="O783" s="76">
        <f>$L$783-EFEITO!$O$783*EFEITO!$AA$783</f>
        <v>0</v>
      </c>
      <c r="P783" s="57"/>
      <c r="Q783" s="57"/>
      <c r="R783" s="57"/>
      <c r="S783" s="57"/>
      <c r="T783" s="57"/>
      <c r="U783" s="57"/>
      <c r="V783" s="57"/>
      <c r="W783" s="57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1:36" ht="11.25" customHeight="1" x14ac:dyDescent="0.2">
      <c r="A784" s="53" t="s">
        <v>21</v>
      </c>
      <c r="B784" s="53" t="s">
        <v>33</v>
      </c>
      <c r="C784" s="53" t="s">
        <v>34</v>
      </c>
      <c r="D784" s="53" t="s">
        <v>52</v>
      </c>
      <c r="E784" s="53" t="s">
        <v>25</v>
      </c>
      <c r="F784" s="53" t="s">
        <v>25</v>
      </c>
      <c r="G784" s="53" t="s">
        <v>25</v>
      </c>
      <c r="H784" s="53" t="s">
        <v>25</v>
      </c>
      <c r="I784" s="75">
        <v>44409</v>
      </c>
      <c r="J784" s="76">
        <f ca="1">EFEITO!$J$784*EFEITO!$Y$784</f>
        <v>13321.475363489897</v>
      </c>
      <c r="K784" s="76">
        <f>EFEITO!$L$784*EFEITO!$Z$784</f>
        <v>0</v>
      </c>
      <c r="L784" s="76">
        <f>EFEITO!$N$784*EFEITO!$AA$784</f>
        <v>0</v>
      </c>
      <c r="M784" s="76">
        <f ca="1">$J$784-EFEITO!$K$784*EFEITO!$Y$784</f>
        <v>0</v>
      </c>
      <c r="N784" s="76">
        <f>$K$784-EFEITO!$M$784*EFEITO!$Z$784</f>
        <v>0</v>
      </c>
      <c r="O784" s="76">
        <f>$L$784-EFEITO!$O$784*EFEITO!$AA$784</f>
        <v>0</v>
      </c>
      <c r="P784" s="57"/>
      <c r="Q784" s="57"/>
      <c r="R784" s="57"/>
      <c r="S784" s="57"/>
      <c r="T784" s="57"/>
      <c r="U784" s="57"/>
      <c r="V784" s="57"/>
      <c r="W784" s="57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1:36" ht="11.25" customHeight="1" x14ac:dyDescent="0.2">
      <c r="A785" s="53" t="s">
        <v>21</v>
      </c>
      <c r="B785" s="53" t="s">
        <v>33</v>
      </c>
      <c r="C785" s="53" t="s">
        <v>34</v>
      </c>
      <c r="D785" s="53" t="s">
        <v>52</v>
      </c>
      <c r="E785" s="53" t="s">
        <v>25</v>
      </c>
      <c r="F785" s="53" t="s">
        <v>25</v>
      </c>
      <c r="G785" s="53" t="s">
        <v>25</v>
      </c>
      <c r="H785" s="53" t="s">
        <v>25</v>
      </c>
      <c r="I785" s="75">
        <v>44440</v>
      </c>
      <c r="J785" s="76">
        <f ca="1">EFEITO!$J$785*EFEITO!$Y$785</f>
        <v>19488.825068809292</v>
      </c>
      <c r="K785" s="76">
        <f>EFEITO!$L$785*EFEITO!$Z$785</f>
        <v>0</v>
      </c>
      <c r="L785" s="76">
        <f>EFEITO!$N$785*EFEITO!$AA$785</f>
        <v>0</v>
      </c>
      <c r="M785" s="76">
        <f ca="1">$J$785-EFEITO!$K$785*EFEITO!$Y$785</f>
        <v>0</v>
      </c>
      <c r="N785" s="76">
        <f>$K$785-EFEITO!$M$785*EFEITO!$Z$785</f>
        <v>0</v>
      </c>
      <c r="O785" s="76">
        <f>$L$785-EFEITO!$O$785*EFEITO!$AA$785</f>
        <v>0</v>
      </c>
      <c r="P785" s="57"/>
      <c r="Q785" s="57"/>
      <c r="R785" s="57"/>
      <c r="S785" s="57"/>
      <c r="T785" s="57"/>
      <c r="U785" s="57"/>
      <c r="V785" s="57"/>
      <c r="W785" s="57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spans="1:36" ht="11.25" customHeight="1" x14ac:dyDescent="0.2">
      <c r="A786" s="53" t="s">
        <v>21</v>
      </c>
      <c r="B786" s="53" t="s">
        <v>33</v>
      </c>
      <c r="C786" s="53" t="s">
        <v>34</v>
      </c>
      <c r="D786" s="53" t="s">
        <v>52</v>
      </c>
      <c r="E786" s="53" t="s">
        <v>25</v>
      </c>
      <c r="F786" s="53" t="s">
        <v>25</v>
      </c>
      <c r="G786" s="53" t="s">
        <v>25</v>
      </c>
      <c r="H786" s="53" t="s">
        <v>25</v>
      </c>
      <c r="I786" s="75">
        <v>44470</v>
      </c>
      <c r="J786" s="76">
        <f ca="1">EFEITO!$J$786*EFEITO!$Y$786</f>
        <v>19488.825068809292</v>
      </c>
      <c r="K786" s="76">
        <f>EFEITO!$L$786*EFEITO!$Z$786</f>
        <v>0</v>
      </c>
      <c r="L786" s="76">
        <f>EFEITO!$N$786*EFEITO!$AA$786</f>
        <v>0</v>
      </c>
      <c r="M786" s="76">
        <f ca="1">$J$786-EFEITO!$K$786*EFEITO!$Y$786</f>
        <v>0</v>
      </c>
      <c r="N786" s="76">
        <f>$K$786-EFEITO!$M$786*EFEITO!$Z$786</f>
        <v>0</v>
      </c>
      <c r="O786" s="76">
        <f>$L$786-EFEITO!$O$786*EFEITO!$AA$786</f>
        <v>0</v>
      </c>
      <c r="P786" s="57"/>
      <c r="Q786" s="57"/>
      <c r="R786" s="57"/>
      <c r="S786" s="57"/>
      <c r="T786" s="57"/>
      <c r="U786" s="57"/>
      <c r="V786" s="57"/>
      <c r="W786" s="57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spans="1:36" ht="11.25" customHeight="1" x14ac:dyDescent="0.2">
      <c r="A787" s="53" t="s">
        <v>21</v>
      </c>
      <c r="B787" s="53" t="s">
        <v>33</v>
      </c>
      <c r="C787" s="53" t="s">
        <v>34</v>
      </c>
      <c r="D787" s="53" t="s">
        <v>52</v>
      </c>
      <c r="E787" s="53" t="s">
        <v>25</v>
      </c>
      <c r="F787" s="53" t="s">
        <v>25</v>
      </c>
      <c r="G787" s="53" t="s">
        <v>25</v>
      </c>
      <c r="H787" s="53" t="s">
        <v>25</v>
      </c>
      <c r="I787" s="75">
        <v>44501</v>
      </c>
      <c r="J787" s="76">
        <f ca="1">EFEITO!$J$787*EFEITO!$Y$787</f>
        <v>19488.825068809292</v>
      </c>
      <c r="K787" s="76">
        <f>EFEITO!$L$787*EFEITO!$Z$787</f>
        <v>0</v>
      </c>
      <c r="L787" s="76">
        <f>EFEITO!$N$787*EFEITO!$AA$787</f>
        <v>0</v>
      </c>
      <c r="M787" s="76">
        <f ca="1">$J$787-EFEITO!$K$787*EFEITO!$Y$787</f>
        <v>0</v>
      </c>
      <c r="N787" s="76">
        <f>$K$787-EFEITO!$M$787*EFEITO!$Z$787</f>
        <v>0</v>
      </c>
      <c r="O787" s="76">
        <f>$L$787-EFEITO!$O$787*EFEITO!$AA$787</f>
        <v>0</v>
      </c>
      <c r="P787" s="57"/>
      <c r="Q787" s="57"/>
      <c r="R787" s="57"/>
      <c r="S787" s="57"/>
      <c r="T787" s="57"/>
      <c r="U787" s="57"/>
      <c r="V787" s="57"/>
      <c r="W787" s="57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spans="1:36" ht="11.25" customHeight="1" x14ac:dyDescent="0.2">
      <c r="A788" s="53" t="s">
        <v>21</v>
      </c>
      <c r="B788" s="53" t="s">
        <v>33</v>
      </c>
      <c r="C788" s="53" t="s">
        <v>34</v>
      </c>
      <c r="D788" s="53" t="s">
        <v>52</v>
      </c>
      <c r="E788" s="53" t="s">
        <v>25</v>
      </c>
      <c r="F788" s="53" t="s">
        <v>25</v>
      </c>
      <c r="G788" s="53" t="s">
        <v>25</v>
      </c>
      <c r="H788" s="53" t="s">
        <v>25</v>
      </c>
      <c r="I788" s="75">
        <v>44531</v>
      </c>
      <c r="J788" s="76">
        <f ca="1">EFEITO!$J$788*EFEITO!$Y$788</f>
        <v>17169.901579609199</v>
      </c>
      <c r="K788" s="76">
        <f>EFEITO!$L$788*EFEITO!$Z$788</f>
        <v>0</v>
      </c>
      <c r="L788" s="76">
        <f>EFEITO!$N$788*EFEITO!$AA$788</f>
        <v>0</v>
      </c>
      <c r="M788" s="76">
        <f ca="1">$J$788-EFEITO!$K$788*EFEITO!$Y$788</f>
        <v>0</v>
      </c>
      <c r="N788" s="76">
        <f>$K$788-EFEITO!$M$788*EFEITO!$Z$788</f>
        <v>0</v>
      </c>
      <c r="O788" s="76">
        <f>$L$788-EFEITO!$O$788*EFEITO!$AA$788</f>
        <v>0</v>
      </c>
      <c r="P788" s="57"/>
      <c r="Q788" s="57"/>
      <c r="R788" s="57"/>
      <c r="S788" s="57"/>
      <c r="T788" s="57"/>
      <c r="U788" s="57"/>
      <c r="V788" s="57"/>
      <c r="W788" s="57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36" ht="11.25" customHeight="1" x14ac:dyDescent="0.2">
      <c r="A789" s="53" t="s">
        <v>21</v>
      </c>
      <c r="B789" s="53" t="s">
        <v>33</v>
      </c>
      <c r="C789" s="53" t="s">
        <v>34</v>
      </c>
      <c r="D789" s="53" t="s">
        <v>52</v>
      </c>
      <c r="E789" s="53" t="s">
        <v>25</v>
      </c>
      <c r="F789" s="53" t="s">
        <v>25</v>
      </c>
      <c r="G789" s="53" t="s">
        <v>25</v>
      </c>
      <c r="H789" s="53" t="s">
        <v>25</v>
      </c>
      <c r="I789" s="75">
        <v>44562</v>
      </c>
      <c r="J789" s="76">
        <f ca="1">EFEITO!$J$789*EFEITO!$Y$789</f>
        <v>13716.185744630338</v>
      </c>
      <c r="K789" s="76">
        <f>EFEITO!$L$789*EFEITO!$Z$789</f>
        <v>0</v>
      </c>
      <c r="L789" s="76">
        <f>EFEITO!$N$789*EFEITO!$AA$789</f>
        <v>0</v>
      </c>
      <c r="M789" s="76">
        <f ca="1">$J$789-EFEITO!$K$789*EFEITO!$Y$789</f>
        <v>0</v>
      </c>
      <c r="N789" s="76">
        <f>$K$789-EFEITO!$M$789*EFEITO!$Z$789</f>
        <v>0</v>
      </c>
      <c r="O789" s="76">
        <f>$L$789-EFEITO!$O$789*EFEITO!$AA$789</f>
        <v>0</v>
      </c>
      <c r="P789" s="57"/>
      <c r="Q789" s="57"/>
      <c r="R789" s="57"/>
      <c r="S789" s="57"/>
      <c r="T789" s="57"/>
      <c r="U789" s="57"/>
      <c r="V789" s="57"/>
      <c r="W789" s="57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spans="1:36" ht="11.25" customHeight="1" x14ac:dyDescent="0.2">
      <c r="A790" s="53" t="s">
        <v>21</v>
      </c>
      <c r="B790" s="53" t="s">
        <v>33</v>
      </c>
      <c r="C790" s="53" t="s">
        <v>34</v>
      </c>
      <c r="D790" s="53" t="s">
        <v>52</v>
      </c>
      <c r="E790" s="53" t="s">
        <v>25</v>
      </c>
      <c r="F790" s="53" t="s">
        <v>25</v>
      </c>
      <c r="G790" s="53" t="s">
        <v>25</v>
      </c>
      <c r="H790" s="53" t="s">
        <v>25</v>
      </c>
      <c r="I790" s="75">
        <v>44593</v>
      </c>
      <c r="J790" s="76">
        <f ca="1">EFEITO!$J$790*EFEITO!$Y$790</f>
        <v>14530.275905732498</v>
      </c>
      <c r="K790" s="76">
        <f>EFEITO!$L$790*EFEITO!$Z$790</f>
        <v>0</v>
      </c>
      <c r="L790" s="76">
        <f>EFEITO!$N$790*EFEITO!$AA$790</f>
        <v>0</v>
      </c>
      <c r="M790" s="76">
        <f ca="1">$J$790-EFEITO!$K$790*EFEITO!$Y$790</f>
        <v>0</v>
      </c>
      <c r="N790" s="76">
        <f>$K$790-EFEITO!$M$790*EFEITO!$Z$790</f>
        <v>0</v>
      </c>
      <c r="O790" s="76">
        <f>$L$790-EFEITO!$O$790*EFEITO!$AA$790</f>
        <v>0</v>
      </c>
      <c r="P790" s="57"/>
      <c r="Q790" s="57"/>
      <c r="R790" s="57"/>
      <c r="S790" s="57"/>
      <c r="T790" s="57"/>
      <c r="U790" s="57"/>
      <c r="V790" s="57"/>
      <c r="W790" s="57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spans="1:36" ht="11.25" customHeight="1" x14ac:dyDescent="0.2">
      <c r="A791" s="53" t="s">
        <v>21</v>
      </c>
      <c r="B791" s="53" t="s">
        <v>33</v>
      </c>
      <c r="C791" s="53" t="s">
        <v>34</v>
      </c>
      <c r="D791" s="53" t="s">
        <v>52</v>
      </c>
      <c r="E791" s="53" t="s">
        <v>25</v>
      </c>
      <c r="F791" s="53" t="s">
        <v>25</v>
      </c>
      <c r="G791" s="53" t="s">
        <v>25</v>
      </c>
      <c r="H791" s="53" t="s">
        <v>25</v>
      </c>
      <c r="I791" s="75">
        <v>44621</v>
      </c>
      <c r="J791" s="76">
        <f ca="1">EFEITO!$J$791*EFEITO!$Y$791</f>
        <v>14826.308691587828</v>
      </c>
      <c r="K791" s="76">
        <f>EFEITO!$L$791*EFEITO!$Z$791</f>
        <v>0</v>
      </c>
      <c r="L791" s="76">
        <f>EFEITO!$N$791*EFEITO!$AA$791</f>
        <v>0</v>
      </c>
      <c r="M791" s="76">
        <f ca="1">$J$791-EFEITO!$K$791*EFEITO!$Y$791</f>
        <v>0</v>
      </c>
      <c r="N791" s="76">
        <f>$K$791-EFEITO!$M$791*EFEITO!$Z$791</f>
        <v>0</v>
      </c>
      <c r="O791" s="76">
        <f>$L$791-EFEITO!$O$791*EFEITO!$AA$791</f>
        <v>0</v>
      </c>
      <c r="P791" s="57"/>
      <c r="Q791" s="57"/>
      <c r="R791" s="57"/>
      <c r="S791" s="57"/>
      <c r="T791" s="57"/>
      <c r="U791" s="57"/>
      <c r="V791" s="57"/>
      <c r="W791" s="57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spans="1:36" ht="11.25" customHeight="1" x14ac:dyDescent="0.2">
      <c r="A792" s="53" t="s">
        <v>56</v>
      </c>
      <c r="B792" s="53" t="s">
        <v>33</v>
      </c>
      <c r="C792" s="53" t="s">
        <v>34</v>
      </c>
      <c r="D792" s="53" t="s">
        <v>52</v>
      </c>
      <c r="E792" s="53" t="s">
        <v>25</v>
      </c>
      <c r="F792" s="53" t="s">
        <v>25</v>
      </c>
      <c r="G792" s="53" t="s">
        <v>25</v>
      </c>
      <c r="H792" s="53" t="s">
        <v>25</v>
      </c>
      <c r="I792" s="75">
        <v>44652</v>
      </c>
      <c r="J792" s="76">
        <f ca="1">EFEITO!$J$792*EFEITO!$Y$792</f>
        <v>14826.308691587828</v>
      </c>
      <c r="K792" s="76">
        <f>EFEITO!$L$792*EFEITO!$Z$792</f>
        <v>0</v>
      </c>
      <c r="L792" s="76">
        <f>EFEITO!$N$792*EFEITO!$AA$792</f>
        <v>0</v>
      </c>
      <c r="M792" s="76">
        <f ca="1">$J$792-EFEITO!$K$792*EFEITO!$Y$792</f>
        <v>0</v>
      </c>
      <c r="N792" s="76">
        <f>$K$792-EFEITO!$M$792*EFEITO!$Z$792</f>
        <v>0</v>
      </c>
      <c r="O792" s="76">
        <f>$L$792-EFEITO!$O$792*EFEITO!$AA$792</f>
        <v>0</v>
      </c>
      <c r="P792" s="57"/>
      <c r="Q792" s="57"/>
      <c r="R792" s="57"/>
      <c r="S792" s="57"/>
      <c r="T792" s="57"/>
      <c r="U792" s="57"/>
      <c r="V792" s="57"/>
      <c r="W792" s="57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spans="1:36" ht="11.25" customHeight="1" x14ac:dyDescent="0.2">
      <c r="A793" s="53" t="s">
        <v>21</v>
      </c>
      <c r="B793" s="53" t="s">
        <v>33</v>
      </c>
      <c r="C793" s="53" t="s">
        <v>34</v>
      </c>
      <c r="D793" s="53" t="s">
        <v>52</v>
      </c>
      <c r="E793" s="53" t="s">
        <v>25</v>
      </c>
      <c r="F793" s="53" t="s">
        <v>25</v>
      </c>
      <c r="G793" s="53" t="s">
        <v>25</v>
      </c>
      <c r="H793" s="53" t="s">
        <v>35</v>
      </c>
      <c r="I793" s="75">
        <v>44317</v>
      </c>
      <c r="J793" s="76">
        <f>EFEITO!$J$793*EFEITO!$Y$793</f>
        <v>0</v>
      </c>
      <c r="K793" s="76">
        <f ca="1">EFEITO!$L$793*EFEITO!$Z$793</f>
        <v>13529.472637381121</v>
      </c>
      <c r="L793" s="76">
        <f>EFEITO!$N$793*EFEITO!$AA$793</f>
        <v>3187.7018684071209</v>
      </c>
      <c r="M793" s="76">
        <f>$J$793-EFEITO!$K$793*EFEITO!$Y$793</f>
        <v>0</v>
      </c>
      <c r="N793" s="76">
        <f ca="1">$K$793-EFEITO!$M$793*EFEITO!$Z$793</f>
        <v>0</v>
      </c>
      <c r="O793" s="76">
        <f>$L$793-EFEITO!$O$793*EFEITO!$AA$793</f>
        <v>0</v>
      </c>
      <c r="P793" s="57"/>
      <c r="Q793" s="57"/>
      <c r="R793" s="57"/>
      <c r="S793" s="57"/>
      <c r="T793" s="57"/>
      <c r="U793" s="57"/>
      <c r="V793" s="57"/>
      <c r="W793" s="57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spans="1:36" ht="11.25" customHeight="1" x14ac:dyDescent="0.2">
      <c r="A794" s="53" t="s">
        <v>21</v>
      </c>
      <c r="B794" s="53" t="s">
        <v>33</v>
      </c>
      <c r="C794" s="53" t="s">
        <v>34</v>
      </c>
      <c r="D794" s="53" t="s">
        <v>52</v>
      </c>
      <c r="E794" s="53" t="s">
        <v>25</v>
      </c>
      <c r="F794" s="53" t="s">
        <v>25</v>
      </c>
      <c r="G794" s="53" t="s">
        <v>25</v>
      </c>
      <c r="H794" s="53" t="s">
        <v>35</v>
      </c>
      <c r="I794" s="75">
        <v>44348</v>
      </c>
      <c r="J794" s="76">
        <f>EFEITO!$J$794*EFEITO!$Y$794</f>
        <v>0</v>
      </c>
      <c r="K794" s="76">
        <f ca="1">EFEITO!$L$794*EFEITO!$Z$794</f>
        <v>13329.768985419778</v>
      </c>
      <c r="L794" s="76">
        <f>EFEITO!$N$794*EFEITO!$AA$794</f>
        <v>3140.649354126112</v>
      </c>
      <c r="M794" s="76">
        <f>$J$794-EFEITO!$K$794*EFEITO!$Y$794</f>
        <v>0</v>
      </c>
      <c r="N794" s="76">
        <f ca="1">$K$794-EFEITO!$M$794*EFEITO!$Z$794</f>
        <v>0</v>
      </c>
      <c r="O794" s="76">
        <f>$L$794-EFEITO!$O$794*EFEITO!$AA$794</f>
        <v>0</v>
      </c>
      <c r="P794" s="57"/>
      <c r="Q794" s="57"/>
      <c r="R794" s="57"/>
      <c r="S794" s="57"/>
      <c r="T794" s="57"/>
      <c r="U794" s="57"/>
      <c r="V794" s="57"/>
      <c r="W794" s="57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1:36" ht="11.25" customHeight="1" x14ac:dyDescent="0.2">
      <c r="A795" s="53" t="s">
        <v>21</v>
      </c>
      <c r="B795" s="53" t="s">
        <v>33</v>
      </c>
      <c r="C795" s="53" t="s">
        <v>34</v>
      </c>
      <c r="D795" s="53" t="s">
        <v>52</v>
      </c>
      <c r="E795" s="53" t="s">
        <v>25</v>
      </c>
      <c r="F795" s="53" t="s">
        <v>25</v>
      </c>
      <c r="G795" s="53" t="s">
        <v>25</v>
      </c>
      <c r="H795" s="53" t="s">
        <v>35</v>
      </c>
      <c r="I795" s="75">
        <v>44378</v>
      </c>
      <c r="J795" s="76">
        <f>EFEITO!$J$795*EFEITO!$Y$795</f>
        <v>0</v>
      </c>
      <c r="K795" s="76">
        <f ca="1">EFEITO!$L$795*EFEITO!$Z$795</f>
        <v>13765.158929335501</v>
      </c>
      <c r="L795" s="76">
        <f>EFEITO!$N$795*EFEITO!$AA$795</f>
        <v>3243.2323131892135</v>
      </c>
      <c r="M795" s="76">
        <f>$J$795-EFEITO!$K$795*EFEITO!$Y$795</f>
        <v>0</v>
      </c>
      <c r="N795" s="76">
        <f ca="1">$K$795-EFEITO!$M$795*EFEITO!$Z$795</f>
        <v>0</v>
      </c>
      <c r="O795" s="76">
        <f>$L$795-EFEITO!$O$795*EFEITO!$AA$795</f>
        <v>0</v>
      </c>
      <c r="P795" s="57"/>
      <c r="Q795" s="57"/>
      <c r="R795" s="57"/>
      <c r="S795" s="57"/>
      <c r="T795" s="57"/>
      <c r="U795" s="57"/>
      <c r="V795" s="57"/>
      <c r="W795" s="57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</row>
    <row r="796" spans="1:36" ht="11.25" customHeight="1" x14ac:dyDescent="0.2">
      <c r="A796" s="53" t="s">
        <v>21</v>
      </c>
      <c r="B796" s="53" t="s">
        <v>33</v>
      </c>
      <c r="C796" s="53" t="s">
        <v>34</v>
      </c>
      <c r="D796" s="53" t="s">
        <v>52</v>
      </c>
      <c r="E796" s="53" t="s">
        <v>25</v>
      </c>
      <c r="F796" s="53" t="s">
        <v>25</v>
      </c>
      <c r="G796" s="53" t="s">
        <v>25</v>
      </c>
      <c r="H796" s="53" t="s">
        <v>35</v>
      </c>
      <c r="I796" s="75">
        <v>44409</v>
      </c>
      <c r="J796" s="76">
        <f>EFEITO!$J$796*EFEITO!$Y$796</f>
        <v>0</v>
      </c>
      <c r="K796" s="76">
        <f ca="1">EFEITO!$L$796*EFEITO!$Z$796</f>
        <v>12322.255065614801</v>
      </c>
      <c r="L796" s="76">
        <f>EFEITO!$N$796*EFEITO!$AA$796</f>
        <v>2903.2673000957943</v>
      </c>
      <c r="M796" s="76">
        <f>$J$796-EFEITO!$K$796*EFEITO!$Y$796</f>
        <v>0</v>
      </c>
      <c r="N796" s="76">
        <f ca="1">$K$796-EFEITO!$M$796*EFEITO!$Z$796</f>
        <v>0</v>
      </c>
      <c r="O796" s="76">
        <f>$L$796-EFEITO!$O$796*EFEITO!$AA$796</f>
        <v>0</v>
      </c>
      <c r="P796" s="57"/>
      <c r="Q796" s="57"/>
      <c r="R796" s="57"/>
      <c r="S796" s="57"/>
      <c r="T796" s="57"/>
      <c r="U796" s="57"/>
      <c r="V796" s="57"/>
      <c r="W796" s="57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spans="1:36" ht="11.25" customHeight="1" x14ac:dyDescent="0.2">
      <c r="A797" s="53" t="s">
        <v>21</v>
      </c>
      <c r="B797" s="53" t="s">
        <v>33</v>
      </c>
      <c r="C797" s="53" t="s">
        <v>34</v>
      </c>
      <c r="D797" s="53" t="s">
        <v>52</v>
      </c>
      <c r="E797" s="53" t="s">
        <v>25</v>
      </c>
      <c r="F797" s="53" t="s">
        <v>25</v>
      </c>
      <c r="G797" s="53" t="s">
        <v>25</v>
      </c>
      <c r="H797" s="53" t="s">
        <v>35</v>
      </c>
      <c r="I797" s="75">
        <v>44440</v>
      </c>
      <c r="J797" s="76">
        <f>EFEITO!$J$797*EFEITO!$Y$797</f>
        <v>0</v>
      </c>
      <c r="K797" s="76">
        <f ca="1">EFEITO!$L$797*EFEITO!$Z$797</f>
        <v>13189.436689446944</v>
      </c>
      <c r="L797" s="76">
        <f>EFEITO!$N$797*EFEITO!$AA$797</f>
        <v>3107.5854251718893</v>
      </c>
      <c r="M797" s="76">
        <f>$J$797-EFEITO!$K$797*EFEITO!$Y$797</f>
        <v>0</v>
      </c>
      <c r="N797" s="76">
        <f ca="1">$K$797-EFEITO!$M$797*EFEITO!$Z$797</f>
        <v>0</v>
      </c>
      <c r="O797" s="76">
        <f>$L$797-EFEITO!$O$797*EFEITO!$AA$797</f>
        <v>0</v>
      </c>
      <c r="P797" s="57"/>
      <c r="Q797" s="57"/>
      <c r="R797" s="57"/>
      <c r="S797" s="57"/>
      <c r="T797" s="57"/>
      <c r="U797" s="57"/>
      <c r="V797" s="57"/>
      <c r="W797" s="57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spans="1:36" ht="11.25" customHeight="1" x14ac:dyDescent="0.2">
      <c r="A798" s="53" t="s">
        <v>21</v>
      </c>
      <c r="B798" s="53" t="s">
        <v>33</v>
      </c>
      <c r="C798" s="53" t="s">
        <v>34</v>
      </c>
      <c r="D798" s="53" t="s">
        <v>52</v>
      </c>
      <c r="E798" s="53" t="s">
        <v>25</v>
      </c>
      <c r="F798" s="53" t="s">
        <v>25</v>
      </c>
      <c r="G798" s="53" t="s">
        <v>25</v>
      </c>
      <c r="H798" s="53" t="s">
        <v>35</v>
      </c>
      <c r="I798" s="75">
        <v>44470</v>
      </c>
      <c r="J798" s="76">
        <f>EFEITO!$J$798*EFEITO!$Y$798</f>
        <v>0</v>
      </c>
      <c r="K798" s="76">
        <f ca="1">EFEITO!$L$798*EFEITO!$Z$798</f>
        <v>15199.067133057943</v>
      </c>
      <c r="L798" s="76">
        <f>EFEITO!$N$798*EFEITO!$AA$798</f>
        <v>3581.0778436573619</v>
      </c>
      <c r="M798" s="76">
        <f>$J$798-EFEITO!$K$798*EFEITO!$Y$798</f>
        <v>0</v>
      </c>
      <c r="N798" s="76">
        <f ca="1">$K$798-EFEITO!$M$798*EFEITO!$Z$798</f>
        <v>0</v>
      </c>
      <c r="O798" s="76">
        <f>$L$798-EFEITO!$O$798*EFEITO!$AA$798</f>
        <v>0</v>
      </c>
      <c r="P798" s="57"/>
      <c r="Q798" s="57"/>
      <c r="R798" s="57"/>
      <c r="S798" s="57"/>
      <c r="T798" s="57"/>
      <c r="U798" s="57"/>
      <c r="V798" s="57"/>
      <c r="W798" s="57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spans="1:36" ht="11.25" customHeight="1" x14ac:dyDescent="0.2">
      <c r="A799" s="53" t="s">
        <v>21</v>
      </c>
      <c r="B799" s="53" t="s">
        <v>33</v>
      </c>
      <c r="C799" s="53" t="s">
        <v>34</v>
      </c>
      <c r="D799" s="53" t="s">
        <v>52</v>
      </c>
      <c r="E799" s="53" t="s">
        <v>25</v>
      </c>
      <c r="F799" s="53" t="s">
        <v>25</v>
      </c>
      <c r="G799" s="53" t="s">
        <v>25</v>
      </c>
      <c r="H799" s="53" t="s">
        <v>35</v>
      </c>
      <c r="I799" s="75">
        <v>44501</v>
      </c>
      <c r="J799" s="76">
        <f>EFEITO!$J$799*EFEITO!$Y$799</f>
        <v>0</v>
      </c>
      <c r="K799" s="76">
        <f ca="1">EFEITO!$L$799*EFEITO!$Z$799</f>
        <v>16073.445284888689</v>
      </c>
      <c r="L799" s="76">
        <f>EFEITO!$N$799*EFEITO!$AA$799</f>
        <v>3787.0915548336729</v>
      </c>
      <c r="M799" s="76">
        <f>$J$799-EFEITO!$K$799*EFEITO!$Y$799</f>
        <v>0</v>
      </c>
      <c r="N799" s="76">
        <f ca="1">$K$799-EFEITO!$M$799*EFEITO!$Z$799</f>
        <v>0</v>
      </c>
      <c r="O799" s="76">
        <f>$L$799-EFEITO!$O$799*EFEITO!$AA$799</f>
        <v>0</v>
      </c>
      <c r="P799" s="57"/>
      <c r="Q799" s="57"/>
      <c r="R799" s="57"/>
      <c r="S799" s="57"/>
      <c r="T799" s="57"/>
      <c r="U799" s="57"/>
      <c r="V799" s="57"/>
      <c r="W799" s="57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spans="1:36" ht="11.25" customHeight="1" x14ac:dyDescent="0.2">
      <c r="A800" s="53" t="s">
        <v>21</v>
      </c>
      <c r="B800" s="53" t="s">
        <v>33</v>
      </c>
      <c r="C800" s="53" t="s">
        <v>34</v>
      </c>
      <c r="D800" s="53" t="s">
        <v>52</v>
      </c>
      <c r="E800" s="53" t="s">
        <v>25</v>
      </c>
      <c r="F800" s="53" t="s">
        <v>25</v>
      </c>
      <c r="G800" s="53" t="s">
        <v>25</v>
      </c>
      <c r="H800" s="53" t="s">
        <v>35</v>
      </c>
      <c r="I800" s="75">
        <v>44531</v>
      </c>
      <c r="J800" s="76">
        <f>EFEITO!$J$800*EFEITO!$Y$800</f>
        <v>0</v>
      </c>
      <c r="K800" s="76">
        <f ca="1">EFEITO!$L$800*EFEITO!$Z$800</f>
        <v>17881.572944538693</v>
      </c>
      <c r="L800" s="76">
        <f>EFEITO!$N$800*EFEITO!$AA$800</f>
        <v>4213.1075625130825</v>
      </c>
      <c r="M800" s="76">
        <f>$J$800-EFEITO!$K$800*EFEITO!$Y$800</f>
        <v>0</v>
      </c>
      <c r="N800" s="76">
        <f ca="1">$K$800-EFEITO!$M$800*EFEITO!$Z$800</f>
        <v>0</v>
      </c>
      <c r="O800" s="76">
        <f>$L$800-EFEITO!$O$800*EFEITO!$AA$800</f>
        <v>0</v>
      </c>
      <c r="P800" s="57"/>
      <c r="Q800" s="57"/>
      <c r="R800" s="57"/>
      <c r="S800" s="57"/>
      <c r="T800" s="57"/>
      <c r="U800" s="57"/>
      <c r="V800" s="57"/>
      <c r="W800" s="57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1:36" ht="11.25" customHeight="1" x14ac:dyDescent="0.2">
      <c r="A801" s="53" t="s">
        <v>21</v>
      </c>
      <c r="B801" s="53" t="s">
        <v>33</v>
      </c>
      <c r="C801" s="53" t="s">
        <v>34</v>
      </c>
      <c r="D801" s="53" t="s">
        <v>52</v>
      </c>
      <c r="E801" s="53" t="s">
        <v>25</v>
      </c>
      <c r="F801" s="53" t="s">
        <v>25</v>
      </c>
      <c r="G801" s="53" t="s">
        <v>25</v>
      </c>
      <c r="H801" s="53" t="s">
        <v>35</v>
      </c>
      <c r="I801" s="75">
        <v>44562</v>
      </c>
      <c r="J801" s="76">
        <f>EFEITO!$J$801*EFEITO!$Y$801</f>
        <v>0</v>
      </c>
      <c r="K801" s="76">
        <f ca="1">EFEITO!$L$801*EFEITO!$Z$801</f>
        <v>16465.656060812769</v>
      </c>
      <c r="L801" s="76">
        <f>EFEITO!$N$801*EFEITO!$AA$801</f>
        <v>3879.5009972954749</v>
      </c>
      <c r="M801" s="76">
        <f>$J$801-EFEITO!$K$801*EFEITO!$Y$801</f>
        <v>0</v>
      </c>
      <c r="N801" s="76">
        <f ca="1">$K$801-EFEITO!$M$801*EFEITO!$Z$801</f>
        <v>0</v>
      </c>
      <c r="O801" s="76">
        <f>$L$801-EFEITO!$O$801*EFEITO!$AA$801</f>
        <v>0</v>
      </c>
      <c r="P801" s="57"/>
      <c r="Q801" s="57"/>
      <c r="R801" s="57"/>
      <c r="S801" s="57"/>
      <c r="T801" s="57"/>
      <c r="U801" s="57"/>
      <c r="V801" s="57"/>
      <c r="W801" s="57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spans="1:36" ht="11.25" customHeight="1" x14ac:dyDescent="0.2">
      <c r="A802" s="53" t="s">
        <v>21</v>
      </c>
      <c r="B802" s="53" t="s">
        <v>33</v>
      </c>
      <c r="C802" s="53" t="s">
        <v>34</v>
      </c>
      <c r="D802" s="53" t="s">
        <v>52</v>
      </c>
      <c r="E802" s="53" t="s">
        <v>25</v>
      </c>
      <c r="F802" s="53" t="s">
        <v>25</v>
      </c>
      <c r="G802" s="53" t="s">
        <v>25</v>
      </c>
      <c r="H802" s="53" t="s">
        <v>35</v>
      </c>
      <c r="I802" s="75">
        <v>44593</v>
      </c>
      <c r="J802" s="76">
        <f>EFEITO!$J$802*EFEITO!$Y$802</f>
        <v>0</v>
      </c>
      <c r="K802" s="76">
        <f ca="1">EFEITO!$L$802*EFEITO!$Z$802</f>
        <v>15808.972880939884</v>
      </c>
      <c r="L802" s="76">
        <f>EFEITO!$N$802*EFEITO!$AA$802</f>
        <v>3724.7787656507148</v>
      </c>
      <c r="M802" s="76">
        <f>$J$802-EFEITO!$K$802*EFEITO!$Y$802</f>
        <v>0</v>
      </c>
      <c r="N802" s="76">
        <f ca="1">$K$802-EFEITO!$M$802*EFEITO!$Z$802</f>
        <v>0</v>
      </c>
      <c r="O802" s="76">
        <f>$L$802-EFEITO!$O$802*EFEITO!$AA$802</f>
        <v>0</v>
      </c>
      <c r="P802" s="57"/>
      <c r="Q802" s="57"/>
      <c r="R802" s="57"/>
      <c r="S802" s="57"/>
      <c r="T802" s="57"/>
      <c r="U802" s="57"/>
      <c r="V802" s="57"/>
      <c r="W802" s="57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spans="1:36" ht="11.25" customHeight="1" x14ac:dyDescent="0.2">
      <c r="A803" s="53" t="s">
        <v>21</v>
      </c>
      <c r="B803" s="53" t="s">
        <v>33</v>
      </c>
      <c r="C803" s="53" t="s">
        <v>34</v>
      </c>
      <c r="D803" s="53" t="s">
        <v>52</v>
      </c>
      <c r="E803" s="53" t="s">
        <v>25</v>
      </c>
      <c r="F803" s="53" t="s">
        <v>25</v>
      </c>
      <c r="G803" s="53" t="s">
        <v>25</v>
      </c>
      <c r="H803" s="53" t="s">
        <v>35</v>
      </c>
      <c r="I803" s="75">
        <v>44621</v>
      </c>
      <c r="J803" s="76">
        <f>EFEITO!$J$803*EFEITO!$Y$803</f>
        <v>0</v>
      </c>
      <c r="K803" s="76">
        <f ca="1">EFEITO!$L$803*EFEITO!$Z$803</f>
        <v>17358.025532640037</v>
      </c>
      <c r="L803" s="76">
        <f>EFEITO!$N$803*EFEITO!$AA$803</f>
        <v>4089.7536737223277</v>
      </c>
      <c r="M803" s="76">
        <f>$J$803-EFEITO!$K$803*EFEITO!$Y$803</f>
        <v>0</v>
      </c>
      <c r="N803" s="76">
        <f ca="1">$K$803-EFEITO!$M$803*EFEITO!$Z$803</f>
        <v>0</v>
      </c>
      <c r="O803" s="76">
        <f>$L$803-EFEITO!$O$803*EFEITO!$AA$803</f>
        <v>0</v>
      </c>
      <c r="P803" s="57"/>
      <c r="Q803" s="57"/>
      <c r="R803" s="57"/>
      <c r="S803" s="57"/>
      <c r="T803" s="57"/>
      <c r="U803" s="57"/>
      <c r="V803" s="57"/>
      <c r="W803" s="57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spans="1:36" ht="11.25" customHeight="1" x14ac:dyDescent="0.2">
      <c r="A804" s="53" t="s">
        <v>56</v>
      </c>
      <c r="B804" s="53" t="s">
        <v>33</v>
      </c>
      <c r="C804" s="53" t="s">
        <v>34</v>
      </c>
      <c r="D804" s="53" t="s">
        <v>52</v>
      </c>
      <c r="E804" s="53" t="s">
        <v>25</v>
      </c>
      <c r="F804" s="53" t="s">
        <v>25</v>
      </c>
      <c r="G804" s="53" t="s">
        <v>25</v>
      </c>
      <c r="H804" s="53" t="s">
        <v>35</v>
      </c>
      <c r="I804" s="75">
        <v>44652</v>
      </c>
      <c r="J804" s="76">
        <f>EFEITO!$J$804*EFEITO!$Y$804</f>
        <v>0</v>
      </c>
      <c r="K804" s="76">
        <f ca="1">EFEITO!$L$804*EFEITO!$Z$804</f>
        <v>17358.025532640037</v>
      </c>
      <c r="L804" s="76">
        <f>EFEITO!$N$804*EFEITO!$AA$804</f>
        <v>4089.7536737223277</v>
      </c>
      <c r="M804" s="76">
        <f>$J$804-EFEITO!$K$804*EFEITO!$Y$804</f>
        <v>0</v>
      </c>
      <c r="N804" s="76">
        <f ca="1">$K$804-EFEITO!$M$804*EFEITO!$Z$804</f>
        <v>0</v>
      </c>
      <c r="O804" s="76">
        <f>$L$804-EFEITO!$O$804*EFEITO!$AA$804</f>
        <v>0</v>
      </c>
      <c r="P804" s="57"/>
      <c r="Q804" s="57"/>
      <c r="R804" s="57"/>
      <c r="S804" s="57"/>
      <c r="T804" s="57"/>
      <c r="U804" s="57"/>
      <c r="V804" s="57"/>
      <c r="W804" s="57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spans="1:36" ht="11.25" customHeight="1" x14ac:dyDescent="0.2">
      <c r="A805" s="53" t="s">
        <v>21</v>
      </c>
      <c r="B805" s="53" t="s">
        <v>33</v>
      </c>
      <c r="C805" s="53" t="s">
        <v>34</v>
      </c>
      <c r="D805" s="53" t="s">
        <v>40</v>
      </c>
      <c r="E805" s="53" t="s">
        <v>25</v>
      </c>
      <c r="F805" s="53" t="s">
        <v>60</v>
      </c>
      <c r="G805" s="53" t="s">
        <v>25</v>
      </c>
      <c r="H805" s="53" t="s">
        <v>36</v>
      </c>
      <c r="I805" s="75">
        <v>44317</v>
      </c>
      <c r="J805" s="76">
        <f>EFEITO!$J$805*EFEITO!$Y$805</f>
        <v>0</v>
      </c>
      <c r="K805" s="76">
        <f ca="1">EFEITO!$L$805*EFEITO!$Z$805</f>
        <v>1832839.0897589081</v>
      </c>
      <c r="L805" s="76">
        <f>EFEITO!$N$805*EFEITO!$AA$805</f>
        <v>0</v>
      </c>
      <c r="M805" s="76">
        <f>$J$805-EFEITO!$K$805*EFEITO!$Y$805</f>
        <v>0</v>
      </c>
      <c r="N805" s="76">
        <f ca="1">$K$805-EFEITO!$M$805*EFEITO!$Z$805</f>
        <v>0</v>
      </c>
      <c r="O805" s="76">
        <f>$L$805-EFEITO!$O$805*EFEITO!$AA$805</f>
        <v>0</v>
      </c>
      <c r="P805" s="57"/>
      <c r="Q805" s="57"/>
      <c r="R805" s="57"/>
      <c r="S805" s="57"/>
      <c r="T805" s="57"/>
      <c r="U805" s="57"/>
      <c r="V805" s="57"/>
      <c r="W805" s="57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spans="1:36" ht="11.25" customHeight="1" x14ac:dyDescent="0.2">
      <c r="A806" s="53" t="s">
        <v>21</v>
      </c>
      <c r="B806" s="53" t="s">
        <v>33</v>
      </c>
      <c r="C806" s="53" t="s">
        <v>34</v>
      </c>
      <c r="D806" s="53" t="s">
        <v>40</v>
      </c>
      <c r="E806" s="53" t="s">
        <v>25</v>
      </c>
      <c r="F806" s="53" t="s">
        <v>60</v>
      </c>
      <c r="G806" s="53" t="s">
        <v>25</v>
      </c>
      <c r="H806" s="53" t="s">
        <v>36</v>
      </c>
      <c r="I806" s="75">
        <v>44348</v>
      </c>
      <c r="J806" s="76">
        <f>EFEITO!$J$806*EFEITO!$Y$806</f>
        <v>0</v>
      </c>
      <c r="K806" s="76">
        <f ca="1">EFEITO!$L$806*EFEITO!$Z$806</f>
        <v>1804772.7879737532</v>
      </c>
      <c r="L806" s="76">
        <f>EFEITO!$N$806*EFEITO!$AA$806</f>
        <v>0</v>
      </c>
      <c r="M806" s="76">
        <f>$J$806-EFEITO!$K$806*EFEITO!$Y$806</f>
        <v>0</v>
      </c>
      <c r="N806" s="76">
        <f ca="1">$K$806-EFEITO!$M$806*EFEITO!$Z$806</f>
        <v>0</v>
      </c>
      <c r="O806" s="76">
        <f>$L$806-EFEITO!$O$806*EFEITO!$AA$806</f>
        <v>0</v>
      </c>
      <c r="P806" s="57"/>
      <c r="Q806" s="57"/>
      <c r="R806" s="57"/>
      <c r="S806" s="57"/>
      <c r="T806" s="57"/>
      <c r="U806" s="57"/>
      <c r="V806" s="57"/>
      <c r="W806" s="57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1:36" ht="11.25" customHeight="1" x14ac:dyDescent="0.2">
      <c r="A807" s="53" t="s">
        <v>21</v>
      </c>
      <c r="B807" s="53" t="s">
        <v>33</v>
      </c>
      <c r="C807" s="53" t="s">
        <v>34</v>
      </c>
      <c r="D807" s="53" t="s">
        <v>40</v>
      </c>
      <c r="E807" s="53" t="s">
        <v>25</v>
      </c>
      <c r="F807" s="53" t="s">
        <v>60</v>
      </c>
      <c r="G807" s="53" t="s">
        <v>25</v>
      </c>
      <c r="H807" s="53" t="s">
        <v>36</v>
      </c>
      <c r="I807" s="75">
        <v>44378</v>
      </c>
      <c r="J807" s="76">
        <f>EFEITO!$J$807*EFEITO!$Y$807</f>
        <v>0</v>
      </c>
      <c r="K807" s="76">
        <f ca="1">EFEITO!$L$807*EFEITO!$Z$807</f>
        <v>1863371.3954520074</v>
      </c>
      <c r="L807" s="76">
        <f>EFEITO!$N$807*EFEITO!$AA$807</f>
        <v>0</v>
      </c>
      <c r="M807" s="76">
        <f>$J$807-EFEITO!$K$807*EFEITO!$Y$807</f>
        <v>0</v>
      </c>
      <c r="N807" s="76">
        <f ca="1">$K$807-EFEITO!$M$807*EFEITO!$Z$807</f>
        <v>0</v>
      </c>
      <c r="O807" s="76">
        <f>$L$807-EFEITO!$O$807*EFEITO!$AA$807</f>
        <v>0</v>
      </c>
      <c r="P807" s="57"/>
      <c r="Q807" s="57"/>
      <c r="R807" s="57"/>
      <c r="S807" s="57"/>
      <c r="T807" s="57"/>
      <c r="U807" s="57"/>
      <c r="V807" s="57"/>
      <c r="W807" s="57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36" ht="11.25" customHeight="1" x14ac:dyDescent="0.2">
      <c r="A808" s="53" t="s">
        <v>21</v>
      </c>
      <c r="B808" s="53" t="s">
        <v>33</v>
      </c>
      <c r="C808" s="53" t="s">
        <v>34</v>
      </c>
      <c r="D808" s="53" t="s">
        <v>40</v>
      </c>
      <c r="E808" s="53" t="s">
        <v>25</v>
      </c>
      <c r="F808" s="53" t="s">
        <v>60</v>
      </c>
      <c r="G808" s="53" t="s">
        <v>25</v>
      </c>
      <c r="H808" s="53" t="s">
        <v>36</v>
      </c>
      <c r="I808" s="75">
        <v>44409</v>
      </c>
      <c r="J808" s="76">
        <f>EFEITO!$J$808*EFEITO!$Y$808</f>
        <v>0</v>
      </c>
      <c r="K808" s="76">
        <f ca="1">EFEITO!$L$808*EFEITO!$Z$808</f>
        <v>1885089.8920319425</v>
      </c>
      <c r="L808" s="76">
        <f>EFEITO!$N$808*EFEITO!$AA$808</f>
        <v>0</v>
      </c>
      <c r="M808" s="76">
        <f>$J$808-EFEITO!$K$808*EFEITO!$Y$808</f>
        <v>0</v>
      </c>
      <c r="N808" s="76">
        <f ca="1">$K$808-EFEITO!$M$808*EFEITO!$Z$808</f>
        <v>0</v>
      </c>
      <c r="O808" s="76">
        <f>$L$808-EFEITO!$O$808*EFEITO!$AA$808</f>
        <v>0</v>
      </c>
      <c r="P808" s="57"/>
      <c r="Q808" s="57"/>
      <c r="R808" s="57"/>
      <c r="S808" s="57"/>
      <c r="T808" s="57"/>
      <c r="U808" s="57"/>
      <c r="V808" s="57"/>
      <c r="W808" s="57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spans="1:36" ht="11.25" customHeight="1" x14ac:dyDescent="0.2">
      <c r="A809" s="53" t="s">
        <v>21</v>
      </c>
      <c r="B809" s="53" t="s">
        <v>33</v>
      </c>
      <c r="C809" s="53" t="s">
        <v>34</v>
      </c>
      <c r="D809" s="53" t="s">
        <v>40</v>
      </c>
      <c r="E809" s="53" t="s">
        <v>25</v>
      </c>
      <c r="F809" s="53" t="s">
        <v>60</v>
      </c>
      <c r="G809" s="53" t="s">
        <v>25</v>
      </c>
      <c r="H809" s="53" t="s">
        <v>36</v>
      </c>
      <c r="I809" s="75">
        <v>44440</v>
      </c>
      <c r="J809" s="76">
        <f>EFEITO!$J$809*EFEITO!$Y$809</f>
        <v>0</v>
      </c>
      <c r="K809" s="76">
        <f ca="1">EFEITO!$L$809*EFEITO!$Z$809</f>
        <v>1826803.6066355873</v>
      </c>
      <c r="L809" s="76">
        <f>EFEITO!$N$809*EFEITO!$AA$809</f>
        <v>0</v>
      </c>
      <c r="M809" s="76">
        <f>$J$809-EFEITO!$K$809*EFEITO!$Y$809</f>
        <v>0</v>
      </c>
      <c r="N809" s="76">
        <f ca="1">$K$809-EFEITO!$M$809*EFEITO!$Z$809</f>
        <v>0</v>
      </c>
      <c r="O809" s="76">
        <f>$L$809-EFEITO!$O$809*EFEITO!$AA$809</f>
        <v>0</v>
      </c>
      <c r="P809" s="57"/>
      <c r="Q809" s="57"/>
      <c r="R809" s="57"/>
      <c r="S809" s="57"/>
      <c r="T809" s="57"/>
      <c r="U809" s="57"/>
      <c r="V809" s="57"/>
      <c r="W809" s="57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spans="1:36" ht="11.25" customHeight="1" x14ac:dyDescent="0.2">
      <c r="A810" s="53" t="s">
        <v>21</v>
      </c>
      <c r="B810" s="53" t="s">
        <v>33</v>
      </c>
      <c r="C810" s="53" t="s">
        <v>34</v>
      </c>
      <c r="D810" s="53" t="s">
        <v>40</v>
      </c>
      <c r="E810" s="53" t="s">
        <v>25</v>
      </c>
      <c r="F810" s="53" t="s">
        <v>60</v>
      </c>
      <c r="G810" s="53" t="s">
        <v>25</v>
      </c>
      <c r="H810" s="53" t="s">
        <v>36</v>
      </c>
      <c r="I810" s="75">
        <v>44470</v>
      </c>
      <c r="J810" s="76">
        <f>EFEITO!$J$810*EFEITO!$Y$810</f>
        <v>0</v>
      </c>
      <c r="K810" s="76">
        <f ca="1">EFEITO!$L$810*EFEITO!$Z$810</f>
        <v>2035107.5011866661</v>
      </c>
      <c r="L810" s="76">
        <f>EFEITO!$N$810*EFEITO!$AA$810</f>
        <v>0</v>
      </c>
      <c r="M810" s="76">
        <f>$J$810-EFEITO!$K$810*EFEITO!$Y$810</f>
        <v>0</v>
      </c>
      <c r="N810" s="76">
        <f ca="1">$K$810-EFEITO!$M$810*EFEITO!$Z$810</f>
        <v>0</v>
      </c>
      <c r="O810" s="76">
        <f>$L$810-EFEITO!$O$810*EFEITO!$AA$810</f>
        <v>0</v>
      </c>
      <c r="P810" s="57"/>
      <c r="Q810" s="57"/>
      <c r="R810" s="57"/>
      <c r="S810" s="57"/>
      <c r="T810" s="57"/>
      <c r="U810" s="57"/>
      <c r="V810" s="57"/>
      <c r="W810" s="57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spans="1:36" ht="11.25" customHeight="1" x14ac:dyDescent="0.2">
      <c r="A811" s="53" t="s">
        <v>21</v>
      </c>
      <c r="B811" s="53" t="s">
        <v>33</v>
      </c>
      <c r="C811" s="53" t="s">
        <v>34</v>
      </c>
      <c r="D811" s="53" t="s">
        <v>40</v>
      </c>
      <c r="E811" s="53" t="s">
        <v>25</v>
      </c>
      <c r="F811" s="53" t="s">
        <v>60</v>
      </c>
      <c r="G811" s="53" t="s">
        <v>25</v>
      </c>
      <c r="H811" s="53" t="s">
        <v>36</v>
      </c>
      <c r="I811" s="75">
        <v>44501</v>
      </c>
      <c r="J811" s="76">
        <f>EFEITO!$J$811*EFEITO!$Y$811</f>
        <v>0</v>
      </c>
      <c r="K811" s="76">
        <f ca="1">EFEITO!$L$811*EFEITO!$Z$811</f>
        <v>2171171.9802231845</v>
      </c>
      <c r="L811" s="76">
        <f>EFEITO!$N$811*EFEITO!$AA$811</f>
        <v>0</v>
      </c>
      <c r="M811" s="76">
        <f>$J$811-EFEITO!$K$811*EFEITO!$Y$811</f>
        <v>0</v>
      </c>
      <c r="N811" s="76">
        <f ca="1">$K$811-EFEITO!$M$811*EFEITO!$Z$811</f>
        <v>0</v>
      </c>
      <c r="O811" s="76">
        <f>$L$811-EFEITO!$O$811*EFEITO!$AA$811</f>
        <v>0</v>
      </c>
      <c r="P811" s="57"/>
      <c r="Q811" s="57"/>
      <c r="R811" s="57"/>
      <c r="S811" s="57"/>
      <c r="T811" s="57"/>
      <c r="U811" s="57"/>
      <c r="V811" s="57"/>
      <c r="W811" s="57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spans="1:36" ht="11.25" customHeight="1" x14ac:dyDescent="0.2">
      <c r="A812" s="53" t="s">
        <v>21</v>
      </c>
      <c r="B812" s="53" t="s">
        <v>33</v>
      </c>
      <c r="C812" s="53" t="s">
        <v>34</v>
      </c>
      <c r="D812" s="53" t="s">
        <v>40</v>
      </c>
      <c r="E812" s="53" t="s">
        <v>25</v>
      </c>
      <c r="F812" s="53" t="s">
        <v>60</v>
      </c>
      <c r="G812" s="53" t="s">
        <v>25</v>
      </c>
      <c r="H812" s="53" t="s">
        <v>36</v>
      </c>
      <c r="I812" s="75">
        <v>44531</v>
      </c>
      <c r="J812" s="76">
        <f>EFEITO!$J$812*EFEITO!$Y$812</f>
        <v>0</v>
      </c>
      <c r="K812" s="76">
        <f ca="1">EFEITO!$L$812*EFEITO!$Z$812</f>
        <v>1149165.6997088955</v>
      </c>
      <c r="L812" s="76">
        <f>EFEITO!$N$812*EFEITO!$AA$812</f>
        <v>0</v>
      </c>
      <c r="M812" s="76">
        <f>$J$812-EFEITO!$K$812*EFEITO!$Y$812</f>
        <v>0</v>
      </c>
      <c r="N812" s="76">
        <f ca="1">$K$812-EFEITO!$M$812*EFEITO!$Z$812</f>
        <v>0</v>
      </c>
      <c r="O812" s="76">
        <f>$L$812-EFEITO!$O$812*EFEITO!$AA$812</f>
        <v>0</v>
      </c>
      <c r="P812" s="57"/>
      <c r="Q812" s="57"/>
      <c r="R812" s="57"/>
      <c r="S812" s="57"/>
      <c r="T812" s="57"/>
      <c r="U812" s="57"/>
      <c r="V812" s="57"/>
      <c r="W812" s="57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1:36" ht="11.25" customHeight="1" x14ac:dyDescent="0.2">
      <c r="A813" s="53" t="s">
        <v>21</v>
      </c>
      <c r="B813" s="53" t="s">
        <v>33</v>
      </c>
      <c r="C813" s="53" t="s">
        <v>34</v>
      </c>
      <c r="D813" s="53" t="s">
        <v>40</v>
      </c>
      <c r="E813" s="53" t="s">
        <v>25</v>
      </c>
      <c r="F813" s="53" t="s">
        <v>60</v>
      </c>
      <c r="G813" s="53" t="s">
        <v>25</v>
      </c>
      <c r="H813" s="53" t="s">
        <v>36</v>
      </c>
      <c r="I813" s="75">
        <v>44562</v>
      </c>
      <c r="J813" s="76">
        <f>EFEITO!$J$813*EFEITO!$Y$813</f>
        <v>0</v>
      </c>
      <c r="K813" s="76">
        <f ca="1">EFEITO!$L$813*EFEITO!$Z$813</f>
        <v>1688963.2661228504</v>
      </c>
      <c r="L813" s="76">
        <f>EFEITO!$N$813*EFEITO!$AA$813</f>
        <v>0</v>
      </c>
      <c r="M813" s="76">
        <f>$J$813-EFEITO!$K$813*EFEITO!$Y$813</f>
        <v>0</v>
      </c>
      <c r="N813" s="76">
        <f ca="1">$K$813-EFEITO!$M$813*EFEITO!$Z$813</f>
        <v>0</v>
      </c>
      <c r="O813" s="76">
        <f>$L$813-EFEITO!$O$813*EFEITO!$AA$813</f>
        <v>0</v>
      </c>
      <c r="P813" s="57"/>
      <c r="Q813" s="57"/>
      <c r="R813" s="57"/>
      <c r="S813" s="57"/>
      <c r="T813" s="57"/>
      <c r="U813" s="57"/>
      <c r="V813" s="57"/>
      <c r="W813" s="57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spans="1:36" ht="11.25" customHeight="1" x14ac:dyDescent="0.2">
      <c r="A814" s="53" t="s">
        <v>21</v>
      </c>
      <c r="B814" s="53" t="s">
        <v>33</v>
      </c>
      <c r="C814" s="53" t="s">
        <v>34</v>
      </c>
      <c r="D814" s="53" t="s">
        <v>40</v>
      </c>
      <c r="E814" s="53" t="s">
        <v>25</v>
      </c>
      <c r="F814" s="53" t="s">
        <v>60</v>
      </c>
      <c r="G814" s="53" t="s">
        <v>25</v>
      </c>
      <c r="H814" s="53" t="s">
        <v>36</v>
      </c>
      <c r="I814" s="75">
        <v>44593</v>
      </c>
      <c r="J814" s="76">
        <f>EFEITO!$J$814*EFEITO!$Y$814</f>
        <v>0</v>
      </c>
      <c r="K814" s="76">
        <f ca="1">EFEITO!$L$814*EFEITO!$Z$814</f>
        <v>1593400.1173039568</v>
      </c>
      <c r="L814" s="76">
        <f>EFEITO!$N$814*EFEITO!$AA$814</f>
        <v>0</v>
      </c>
      <c r="M814" s="76">
        <f>$J$814-EFEITO!$K$814*EFEITO!$Y$814</f>
        <v>0</v>
      </c>
      <c r="N814" s="76">
        <f ca="1">$K$814-EFEITO!$M$814*EFEITO!$Z$814</f>
        <v>0</v>
      </c>
      <c r="O814" s="76">
        <f>$L$814-EFEITO!$O$814*EFEITO!$AA$814</f>
        <v>0</v>
      </c>
      <c r="P814" s="57"/>
      <c r="Q814" s="57"/>
      <c r="R814" s="57"/>
      <c r="S814" s="57"/>
      <c r="T814" s="57"/>
      <c r="U814" s="57"/>
      <c r="V814" s="57"/>
      <c r="W814" s="57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spans="1:36" ht="11.25" customHeight="1" x14ac:dyDescent="0.2">
      <c r="A815" s="53" t="s">
        <v>21</v>
      </c>
      <c r="B815" s="53" t="s">
        <v>33</v>
      </c>
      <c r="C815" s="53" t="s">
        <v>34</v>
      </c>
      <c r="D815" s="53" t="s">
        <v>40</v>
      </c>
      <c r="E815" s="53" t="s">
        <v>25</v>
      </c>
      <c r="F815" s="53" t="s">
        <v>60</v>
      </c>
      <c r="G815" s="53" t="s">
        <v>25</v>
      </c>
      <c r="H815" s="53" t="s">
        <v>36</v>
      </c>
      <c r="I815" s="75">
        <v>44621</v>
      </c>
      <c r="J815" s="76">
        <f>EFEITO!$J$815*EFEITO!$Y$815</f>
        <v>0</v>
      </c>
      <c r="K815" s="76">
        <f ca="1">EFEITO!$L$815*EFEITO!$Z$815</f>
        <v>1755328.8863388684</v>
      </c>
      <c r="L815" s="76">
        <f>EFEITO!$N$815*EFEITO!$AA$815</f>
        <v>0</v>
      </c>
      <c r="M815" s="76">
        <f>$J$815-EFEITO!$K$815*EFEITO!$Y$815</f>
        <v>0</v>
      </c>
      <c r="N815" s="76">
        <f ca="1">$K$815-EFEITO!$M$815*EFEITO!$Z$815</f>
        <v>0</v>
      </c>
      <c r="O815" s="76">
        <f>$L$815-EFEITO!$O$815*EFEITO!$AA$815</f>
        <v>0</v>
      </c>
      <c r="P815" s="57"/>
      <c r="Q815" s="57"/>
      <c r="R815" s="57"/>
      <c r="S815" s="57"/>
      <c r="T815" s="57"/>
      <c r="U815" s="57"/>
      <c r="V815" s="57"/>
      <c r="W815" s="57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spans="1:36" ht="11.25" customHeight="1" x14ac:dyDescent="0.2">
      <c r="A816" s="53" t="s">
        <v>56</v>
      </c>
      <c r="B816" s="53" t="s">
        <v>33</v>
      </c>
      <c r="C816" s="53" t="s">
        <v>34</v>
      </c>
      <c r="D816" s="53" t="s">
        <v>40</v>
      </c>
      <c r="E816" s="53" t="s">
        <v>25</v>
      </c>
      <c r="F816" s="53" t="s">
        <v>60</v>
      </c>
      <c r="G816" s="53" t="s">
        <v>25</v>
      </c>
      <c r="H816" s="53" t="s">
        <v>36</v>
      </c>
      <c r="I816" s="75">
        <v>44652</v>
      </c>
      <c r="J816" s="76">
        <f>EFEITO!$J$816*EFEITO!$Y$816</f>
        <v>0</v>
      </c>
      <c r="K816" s="76">
        <f ca="1">EFEITO!$L$816*EFEITO!$Z$816</f>
        <v>1755328.8863388684</v>
      </c>
      <c r="L816" s="76">
        <f>EFEITO!$N$816*EFEITO!$AA$816</f>
        <v>0</v>
      </c>
      <c r="M816" s="76">
        <f>$J$816-EFEITO!$K$816*EFEITO!$Y$816</f>
        <v>0</v>
      </c>
      <c r="N816" s="76">
        <f ca="1">$K$816-EFEITO!$M$816*EFEITO!$Z$816</f>
        <v>0</v>
      </c>
      <c r="O816" s="76">
        <f>$L$816-EFEITO!$O$816*EFEITO!$AA$816</f>
        <v>0</v>
      </c>
      <c r="P816" s="57"/>
      <c r="Q816" s="57"/>
      <c r="R816" s="57"/>
      <c r="S816" s="57"/>
      <c r="T816" s="57"/>
      <c r="U816" s="57"/>
      <c r="V816" s="57"/>
      <c r="W816" s="57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spans="1:36" ht="11.25" customHeight="1" x14ac:dyDescent="0.2">
      <c r="A817" s="53" t="s">
        <v>21</v>
      </c>
      <c r="B817" s="53" t="s">
        <v>33</v>
      </c>
      <c r="C817" s="53" t="s">
        <v>34</v>
      </c>
      <c r="D817" s="53" t="s">
        <v>40</v>
      </c>
      <c r="E817" s="53" t="s">
        <v>25</v>
      </c>
      <c r="F817" s="53" t="s">
        <v>60</v>
      </c>
      <c r="G817" s="53" t="s">
        <v>25</v>
      </c>
      <c r="H817" s="53" t="s">
        <v>25</v>
      </c>
      <c r="I817" s="75">
        <v>44317</v>
      </c>
      <c r="J817" s="76">
        <f ca="1">EFEITO!$J$817*EFEITO!$Y$817</f>
        <v>1210453.3919636272</v>
      </c>
      <c r="K817" s="76">
        <f>EFEITO!$L$817*EFEITO!$Z$817</f>
        <v>0</v>
      </c>
      <c r="L817" s="76">
        <f>EFEITO!$N$817*EFEITO!$AA$817</f>
        <v>0</v>
      </c>
      <c r="M817" s="76">
        <f ca="1">$J$817-EFEITO!$K$817*EFEITO!$Y$817</f>
        <v>699804.67286365293</v>
      </c>
      <c r="N817" s="76">
        <f>$K$817-EFEITO!$M$817*EFEITO!$Z$817</f>
        <v>0</v>
      </c>
      <c r="O817" s="76">
        <f>$L$817-EFEITO!$O$817*EFEITO!$AA$817</f>
        <v>0</v>
      </c>
      <c r="P817" s="57"/>
      <c r="Q817" s="57"/>
      <c r="R817" s="57"/>
      <c r="S817" s="57"/>
      <c r="T817" s="57"/>
      <c r="U817" s="57"/>
      <c r="V817" s="57"/>
      <c r="W817" s="57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spans="1:36" ht="11.25" customHeight="1" x14ac:dyDescent="0.2">
      <c r="A818" s="53" t="s">
        <v>21</v>
      </c>
      <c r="B818" s="53" t="s">
        <v>33</v>
      </c>
      <c r="C818" s="53" t="s">
        <v>34</v>
      </c>
      <c r="D818" s="53" t="s">
        <v>40</v>
      </c>
      <c r="E818" s="53" t="s">
        <v>25</v>
      </c>
      <c r="F818" s="53" t="s">
        <v>60</v>
      </c>
      <c r="G818" s="53" t="s">
        <v>25</v>
      </c>
      <c r="H818" s="53" t="s">
        <v>25</v>
      </c>
      <c r="I818" s="75">
        <v>44348</v>
      </c>
      <c r="J818" s="76">
        <f ca="1">EFEITO!$J$818*EFEITO!$Y$818</f>
        <v>1257275.9109264121</v>
      </c>
      <c r="K818" s="76">
        <f>EFEITO!$L$818*EFEITO!$Z$818</f>
        <v>0</v>
      </c>
      <c r="L818" s="76">
        <f>EFEITO!$N$818*EFEITO!$AA$818</f>
        <v>0</v>
      </c>
      <c r="M818" s="76">
        <f ca="1">$J$818-EFEITO!$K$818*EFEITO!$Y$818</f>
        <v>693575.52704252687</v>
      </c>
      <c r="N818" s="76">
        <f>$K$818-EFEITO!$M$818*EFEITO!$Z$818</f>
        <v>0</v>
      </c>
      <c r="O818" s="76">
        <f>$L$818-EFEITO!$O$818*EFEITO!$AA$818</f>
        <v>0</v>
      </c>
      <c r="P818" s="57"/>
      <c r="Q818" s="57"/>
      <c r="R818" s="57"/>
      <c r="S818" s="57"/>
      <c r="T818" s="57"/>
      <c r="U818" s="57"/>
      <c r="V818" s="57"/>
      <c r="W818" s="57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1:36" ht="11.25" customHeight="1" x14ac:dyDescent="0.2">
      <c r="A819" s="53" t="s">
        <v>21</v>
      </c>
      <c r="B819" s="53" t="s">
        <v>33</v>
      </c>
      <c r="C819" s="53" t="s">
        <v>34</v>
      </c>
      <c r="D819" s="53" t="s">
        <v>40</v>
      </c>
      <c r="E819" s="53" t="s">
        <v>25</v>
      </c>
      <c r="F819" s="53" t="s">
        <v>60</v>
      </c>
      <c r="G819" s="53" t="s">
        <v>25</v>
      </c>
      <c r="H819" s="53" t="s">
        <v>25</v>
      </c>
      <c r="I819" s="75">
        <v>44378</v>
      </c>
      <c r="J819" s="76">
        <f ca="1">EFEITO!$J$819*EFEITO!$Y$819</f>
        <v>1209885.9957907379</v>
      </c>
      <c r="K819" s="76">
        <f>EFEITO!$L$819*EFEITO!$Z$819</f>
        <v>0</v>
      </c>
      <c r="L819" s="76">
        <f>EFEITO!$N$819*EFEITO!$AA$819</f>
        <v>0</v>
      </c>
      <c r="M819" s="76">
        <f ca="1">$J$819-EFEITO!$K$819*EFEITO!$Y$819</f>
        <v>682324.52344835422</v>
      </c>
      <c r="N819" s="76">
        <f>$K$819-EFEITO!$M$819*EFEITO!$Z$819</f>
        <v>0</v>
      </c>
      <c r="O819" s="76">
        <f>$L$819-EFEITO!$O$819*EFEITO!$AA$819</f>
        <v>0</v>
      </c>
      <c r="P819" s="57"/>
      <c r="Q819" s="57"/>
      <c r="R819" s="57"/>
      <c r="S819" s="57"/>
      <c r="T819" s="57"/>
      <c r="U819" s="57"/>
      <c r="V819" s="57"/>
      <c r="W819" s="57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spans="1:36" ht="11.25" customHeight="1" x14ac:dyDescent="0.2">
      <c r="A820" s="53" t="s">
        <v>21</v>
      </c>
      <c r="B820" s="53" t="s">
        <v>33</v>
      </c>
      <c r="C820" s="53" t="s">
        <v>34</v>
      </c>
      <c r="D820" s="53" t="s">
        <v>40</v>
      </c>
      <c r="E820" s="53" t="s">
        <v>25</v>
      </c>
      <c r="F820" s="53" t="s">
        <v>60</v>
      </c>
      <c r="G820" s="53" t="s">
        <v>25</v>
      </c>
      <c r="H820" s="53" t="s">
        <v>25</v>
      </c>
      <c r="I820" s="75">
        <v>44409</v>
      </c>
      <c r="J820" s="76">
        <f ca="1">EFEITO!$J$820*EFEITO!$Y$820</f>
        <v>1189509.0723643627</v>
      </c>
      <c r="K820" s="76">
        <f>EFEITO!$L$820*EFEITO!$Z$820</f>
        <v>0</v>
      </c>
      <c r="L820" s="76">
        <f>EFEITO!$N$820*EFEITO!$AA$820</f>
        <v>0</v>
      </c>
      <c r="M820" s="76">
        <f ca="1">$J$820-EFEITO!$K$820*EFEITO!$Y$820</f>
        <v>640750.62762854598</v>
      </c>
      <c r="N820" s="76">
        <f>$K$820-EFEITO!$M$820*EFEITO!$Z$820</f>
        <v>0</v>
      </c>
      <c r="O820" s="76">
        <f>$L$820-EFEITO!$O$820*EFEITO!$AA$820</f>
        <v>0</v>
      </c>
      <c r="P820" s="57"/>
      <c r="Q820" s="57"/>
      <c r="R820" s="57"/>
      <c r="S820" s="57"/>
      <c r="T820" s="57"/>
      <c r="U820" s="57"/>
      <c r="V820" s="57"/>
      <c r="W820" s="57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spans="1:36" ht="11.25" customHeight="1" x14ac:dyDescent="0.2">
      <c r="A821" s="53" t="s">
        <v>21</v>
      </c>
      <c r="B821" s="53" t="s">
        <v>33</v>
      </c>
      <c r="C821" s="53" t="s">
        <v>34</v>
      </c>
      <c r="D821" s="53" t="s">
        <v>40</v>
      </c>
      <c r="E821" s="53" t="s">
        <v>25</v>
      </c>
      <c r="F821" s="53" t="s">
        <v>60</v>
      </c>
      <c r="G821" s="53" t="s">
        <v>25</v>
      </c>
      <c r="H821" s="53" t="s">
        <v>25</v>
      </c>
      <c r="I821" s="75">
        <v>44440</v>
      </c>
      <c r="J821" s="76">
        <f ca="1">EFEITO!$J$821*EFEITO!$Y$821</f>
        <v>1183662.4248437199</v>
      </c>
      <c r="K821" s="76">
        <f>EFEITO!$L$821*EFEITO!$Z$821</f>
        <v>0</v>
      </c>
      <c r="L821" s="76">
        <f>EFEITO!$N$821*EFEITO!$AA$821</f>
        <v>0</v>
      </c>
      <c r="M821" s="76">
        <f ca="1">$J$821-EFEITO!$K$821*EFEITO!$Y$821</f>
        <v>637836.7856010003</v>
      </c>
      <c r="N821" s="76">
        <f>$K$821-EFEITO!$M$821*EFEITO!$Z$821</f>
        <v>0</v>
      </c>
      <c r="O821" s="76">
        <f>$L$821-EFEITO!$O$821*EFEITO!$AA$821</f>
        <v>0</v>
      </c>
      <c r="P821" s="57"/>
      <c r="Q821" s="57"/>
      <c r="R821" s="57"/>
      <c r="S821" s="57"/>
      <c r="T821" s="57"/>
      <c r="U821" s="57"/>
      <c r="V821" s="57"/>
      <c r="W821" s="57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spans="1:36" ht="11.25" customHeight="1" x14ac:dyDescent="0.2">
      <c r="A822" s="53" t="s">
        <v>21</v>
      </c>
      <c r="B822" s="53" t="s">
        <v>33</v>
      </c>
      <c r="C822" s="53" t="s">
        <v>34</v>
      </c>
      <c r="D822" s="53" t="s">
        <v>40</v>
      </c>
      <c r="E822" s="53" t="s">
        <v>25</v>
      </c>
      <c r="F822" s="53" t="s">
        <v>60</v>
      </c>
      <c r="G822" s="53" t="s">
        <v>25</v>
      </c>
      <c r="H822" s="53" t="s">
        <v>25</v>
      </c>
      <c r="I822" s="75">
        <v>44470</v>
      </c>
      <c r="J822" s="76">
        <f ca="1">EFEITO!$J$822*EFEITO!$Y$822</f>
        <v>1269832.6349264425</v>
      </c>
      <c r="K822" s="76">
        <f>EFEITO!$L$822*EFEITO!$Z$822</f>
        <v>0</v>
      </c>
      <c r="L822" s="76">
        <f>EFEITO!$N$822*EFEITO!$AA$822</f>
        <v>0</v>
      </c>
      <c r="M822" s="76">
        <f ca="1">$J$822-EFEITO!$K$822*EFEITO!$Y$822</f>
        <v>680601.88616452995</v>
      </c>
      <c r="N822" s="76">
        <f>$K$822-EFEITO!$M$822*EFEITO!$Z$822</f>
        <v>0</v>
      </c>
      <c r="O822" s="76">
        <f>$L$822-EFEITO!$O$822*EFEITO!$AA$822</f>
        <v>0</v>
      </c>
      <c r="P822" s="57"/>
      <c r="Q822" s="57"/>
      <c r="R822" s="57"/>
      <c r="S822" s="57"/>
      <c r="T822" s="57"/>
      <c r="U822" s="57"/>
      <c r="V822" s="57"/>
      <c r="W822" s="57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spans="1:36" ht="11.25" customHeight="1" x14ac:dyDescent="0.2">
      <c r="A823" s="53" t="s">
        <v>21</v>
      </c>
      <c r="B823" s="53" t="s">
        <v>33</v>
      </c>
      <c r="C823" s="53" t="s">
        <v>34</v>
      </c>
      <c r="D823" s="53" t="s">
        <v>40</v>
      </c>
      <c r="E823" s="53" t="s">
        <v>25</v>
      </c>
      <c r="F823" s="53" t="s">
        <v>60</v>
      </c>
      <c r="G823" s="53" t="s">
        <v>25</v>
      </c>
      <c r="H823" s="53" t="s">
        <v>25</v>
      </c>
      <c r="I823" s="75">
        <v>44501</v>
      </c>
      <c r="J823" s="76">
        <f ca="1">EFEITO!$J$823*EFEITO!$Y$823</f>
        <v>1298473.8069579457</v>
      </c>
      <c r="K823" s="76">
        <f>EFEITO!$L$823*EFEITO!$Z$823</f>
        <v>0</v>
      </c>
      <c r="L823" s="76">
        <f>EFEITO!$N$823*EFEITO!$AA$823</f>
        <v>0</v>
      </c>
      <c r="M823" s="76">
        <f ca="1">$J$823-EFEITO!$K$823*EFEITO!$Y$823</f>
        <v>695233.00083760556</v>
      </c>
      <c r="N823" s="76">
        <f>$K$823-EFEITO!$M$823*EFEITO!$Z$823</f>
        <v>0</v>
      </c>
      <c r="O823" s="76">
        <f>$L$823-EFEITO!$O$823*EFEITO!$AA$823</f>
        <v>0</v>
      </c>
      <c r="P823" s="57"/>
      <c r="Q823" s="57"/>
      <c r="R823" s="57"/>
      <c r="S823" s="57"/>
      <c r="T823" s="57"/>
      <c r="U823" s="57"/>
      <c r="V823" s="57"/>
      <c r="W823" s="57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spans="1:36" ht="11.25" customHeight="1" x14ac:dyDescent="0.2">
      <c r="A824" s="53" t="s">
        <v>21</v>
      </c>
      <c r="B824" s="53" t="s">
        <v>33</v>
      </c>
      <c r="C824" s="53" t="s">
        <v>34</v>
      </c>
      <c r="D824" s="53" t="s">
        <v>40</v>
      </c>
      <c r="E824" s="53" t="s">
        <v>25</v>
      </c>
      <c r="F824" s="53" t="s">
        <v>60</v>
      </c>
      <c r="G824" s="53" t="s">
        <v>25</v>
      </c>
      <c r="H824" s="53" t="s">
        <v>25</v>
      </c>
      <c r="I824" s="75">
        <v>44531</v>
      </c>
      <c r="J824" s="76">
        <f ca="1">EFEITO!$J$824*EFEITO!$Y$824</f>
        <v>1004340.5648118531</v>
      </c>
      <c r="K824" s="76">
        <f>EFEITO!$L$824*EFEITO!$Z$824</f>
        <v>0</v>
      </c>
      <c r="L824" s="76">
        <f>EFEITO!$N$824*EFEITO!$AA$824</f>
        <v>0</v>
      </c>
      <c r="M824" s="76">
        <f ca="1">$J$824-EFEITO!$K$824*EFEITO!$Y$824</f>
        <v>553198.93834375497</v>
      </c>
      <c r="N824" s="76">
        <f>$K$824-EFEITO!$M$824*EFEITO!$Z$824</f>
        <v>0</v>
      </c>
      <c r="O824" s="76">
        <f>$L$824-EFEITO!$O$824*EFEITO!$AA$824</f>
        <v>0</v>
      </c>
      <c r="P824" s="57"/>
      <c r="Q824" s="57"/>
      <c r="R824" s="57"/>
      <c r="S824" s="57"/>
      <c r="T824" s="57"/>
      <c r="U824" s="57"/>
      <c r="V824" s="57"/>
      <c r="W824" s="57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1:36" ht="11.25" customHeight="1" x14ac:dyDescent="0.2">
      <c r="A825" s="53" t="s">
        <v>21</v>
      </c>
      <c r="B825" s="53" t="s">
        <v>33</v>
      </c>
      <c r="C825" s="53" t="s">
        <v>34</v>
      </c>
      <c r="D825" s="53" t="s">
        <v>40</v>
      </c>
      <c r="E825" s="53" t="s">
        <v>25</v>
      </c>
      <c r="F825" s="53" t="s">
        <v>60</v>
      </c>
      <c r="G825" s="53" t="s">
        <v>25</v>
      </c>
      <c r="H825" s="53" t="s">
        <v>25</v>
      </c>
      <c r="I825" s="75">
        <v>44562</v>
      </c>
      <c r="J825" s="76">
        <f ca="1">EFEITO!$J$825*EFEITO!$Y$825</f>
        <v>1169329.5041285576</v>
      </c>
      <c r="K825" s="76">
        <f>EFEITO!$L$825*EFEITO!$Z$825</f>
        <v>0</v>
      </c>
      <c r="L825" s="76">
        <f>EFEITO!$N$825*EFEITO!$AA$825</f>
        <v>0</v>
      </c>
      <c r="M825" s="76">
        <f ca="1">$J$825-EFEITO!$K$825*EFEITO!$Y$825</f>
        <v>635767.40979834227</v>
      </c>
      <c r="N825" s="76">
        <f>$K$825-EFEITO!$M$825*EFEITO!$Z$825</f>
        <v>0</v>
      </c>
      <c r="O825" s="76">
        <f>$L$825-EFEITO!$O$825*EFEITO!$AA$825</f>
        <v>0</v>
      </c>
      <c r="P825" s="57"/>
      <c r="Q825" s="57"/>
      <c r="R825" s="57"/>
      <c r="S825" s="57"/>
      <c r="T825" s="57"/>
      <c r="U825" s="57"/>
      <c r="V825" s="57"/>
      <c r="W825" s="57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spans="1:36" ht="11.25" customHeight="1" x14ac:dyDescent="0.2">
      <c r="A826" s="53" t="s">
        <v>21</v>
      </c>
      <c r="B826" s="53" t="s">
        <v>33</v>
      </c>
      <c r="C826" s="53" t="s">
        <v>34</v>
      </c>
      <c r="D826" s="53" t="s">
        <v>40</v>
      </c>
      <c r="E826" s="53" t="s">
        <v>25</v>
      </c>
      <c r="F826" s="53" t="s">
        <v>60</v>
      </c>
      <c r="G826" s="53" t="s">
        <v>25</v>
      </c>
      <c r="H826" s="53" t="s">
        <v>25</v>
      </c>
      <c r="I826" s="75">
        <v>44593</v>
      </c>
      <c r="J826" s="76">
        <f ca="1">EFEITO!$J$826*EFEITO!$Y$826</f>
        <v>1172807.8893623578</v>
      </c>
      <c r="K826" s="76">
        <f>EFEITO!$L$826*EFEITO!$Z$826</f>
        <v>0</v>
      </c>
      <c r="L826" s="76">
        <f>EFEITO!$N$826*EFEITO!$AA$826</f>
        <v>0</v>
      </c>
      <c r="M826" s="76">
        <f ca="1">$J$826-EFEITO!$K$826*EFEITO!$Y$826</f>
        <v>632406.36071086931</v>
      </c>
      <c r="N826" s="76">
        <f>$K$826-EFEITO!$M$826*EFEITO!$Z$826</f>
        <v>0</v>
      </c>
      <c r="O826" s="76">
        <f>$L$826-EFEITO!$O$826*EFEITO!$AA$826</f>
        <v>0</v>
      </c>
      <c r="P826" s="57"/>
      <c r="Q826" s="57"/>
      <c r="R826" s="57"/>
      <c r="S826" s="57"/>
      <c r="T826" s="57"/>
      <c r="U826" s="57"/>
      <c r="V826" s="57"/>
      <c r="W826" s="57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36" ht="11.25" customHeight="1" x14ac:dyDescent="0.2">
      <c r="A827" s="53" t="s">
        <v>21</v>
      </c>
      <c r="B827" s="53" t="s">
        <v>33</v>
      </c>
      <c r="C827" s="53" t="s">
        <v>34</v>
      </c>
      <c r="D827" s="53" t="s">
        <v>40</v>
      </c>
      <c r="E827" s="53" t="s">
        <v>25</v>
      </c>
      <c r="F827" s="53" t="s">
        <v>60</v>
      </c>
      <c r="G827" s="53" t="s">
        <v>25</v>
      </c>
      <c r="H827" s="53" t="s">
        <v>25</v>
      </c>
      <c r="I827" s="75">
        <v>44621</v>
      </c>
      <c r="J827" s="76">
        <f ca="1">EFEITO!$J$827*EFEITO!$Y$827</f>
        <v>1196564.520427248</v>
      </c>
      <c r="K827" s="76">
        <f>EFEITO!$L$827*EFEITO!$Z$827</f>
        <v>0</v>
      </c>
      <c r="L827" s="76">
        <f>EFEITO!$N$827*EFEITO!$AA$827</f>
        <v>0</v>
      </c>
      <c r="M827" s="76">
        <f ca="1">$J$827-EFEITO!$K$827*EFEITO!$Y$827</f>
        <v>642847.52800999861</v>
      </c>
      <c r="N827" s="76">
        <f>$K$827-EFEITO!$M$827*EFEITO!$Z$827</f>
        <v>0</v>
      </c>
      <c r="O827" s="76">
        <f>$L$827-EFEITO!$O$827*EFEITO!$AA$827</f>
        <v>0</v>
      </c>
      <c r="P827" s="57"/>
      <c r="Q827" s="57"/>
      <c r="R827" s="57"/>
      <c r="S827" s="57"/>
      <c r="T827" s="57"/>
      <c r="U827" s="57"/>
      <c r="V827" s="57"/>
      <c r="W827" s="57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  <row r="828" spans="1:36" ht="11.25" customHeight="1" x14ac:dyDescent="0.2">
      <c r="A828" s="53" t="s">
        <v>56</v>
      </c>
      <c r="B828" s="53" t="s">
        <v>33</v>
      </c>
      <c r="C828" s="53" t="s">
        <v>34</v>
      </c>
      <c r="D828" s="53" t="s">
        <v>40</v>
      </c>
      <c r="E828" s="53" t="s">
        <v>25</v>
      </c>
      <c r="F828" s="53" t="s">
        <v>60</v>
      </c>
      <c r="G828" s="53" t="s">
        <v>25</v>
      </c>
      <c r="H828" s="53" t="s">
        <v>25</v>
      </c>
      <c r="I828" s="75">
        <v>44652</v>
      </c>
      <c r="J828" s="76">
        <f ca="1">EFEITO!$J$828*EFEITO!$Y$828</f>
        <v>1196564.520427248</v>
      </c>
      <c r="K828" s="76">
        <f>EFEITO!$L$828*EFEITO!$Z$828</f>
        <v>0</v>
      </c>
      <c r="L828" s="76">
        <f>EFEITO!$N$828*EFEITO!$AA$828</f>
        <v>0</v>
      </c>
      <c r="M828" s="76">
        <f ca="1">$J$828-EFEITO!$K$828*EFEITO!$Y$828</f>
        <v>642847.52800999861</v>
      </c>
      <c r="N828" s="76">
        <f>$K$828-EFEITO!$M$828*EFEITO!$Z$828</f>
        <v>0</v>
      </c>
      <c r="O828" s="76">
        <f>$L$828-EFEITO!$O$828*EFEITO!$AA$828</f>
        <v>0</v>
      </c>
      <c r="P828" s="57"/>
      <c r="Q828" s="57"/>
      <c r="R828" s="57"/>
      <c r="S828" s="57"/>
      <c r="T828" s="57"/>
      <c r="U828" s="57"/>
      <c r="V828" s="57"/>
      <c r="W828" s="57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</row>
    <row r="829" spans="1:36" ht="11.25" customHeight="1" x14ac:dyDescent="0.2">
      <c r="A829" s="53" t="s">
        <v>21</v>
      </c>
      <c r="B829" s="53" t="s">
        <v>33</v>
      </c>
      <c r="C829" s="53" t="s">
        <v>34</v>
      </c>
      <c r="D829" s="53" t="s">
        <v>40</v>
      </c>
      <c r="E829" s="53" t="s">
        <v>25</v>
      </c>
      <c r="F829" s="53" t="s">
        <v>60</v>
      </c>
      <c r="G829" s="53" t="s">
        <v>25</v>
      </c>
      <c r="H829" s="53" t="s">
        <v>35</v>
      </c>
      <c r="I829" s="75">
        <v>44317</v>
      </c>
      <c r="J829" s="76">
        <f>EFEITO!$J$829*EFEITO!$Y$829</f>
        <v>0</v>
      </c>
      <c r="K829" s="76">
        <f ca="1">EFEITO!$L$829*EFEITO!$Z$829</f>
        <v>2825964.9988689828</v>
      </c>
      <c r="L829" s="76">
        <f>EFEITO!$N$829*EFEITO!$AA$829</f>
        <v>0</v>
      </c>
      <c r="M829" s="76">
        <f>$J$829-EFEITO!$K$829*EFEITO!$Y$829</f>
        <v>0</v>
      </c>
      <c r="N829" s="76">
        <f ca="1">$K$829-EFEITO!$M$829*EFEITO!$Z$829</f>
        <v>1478277.296782509</v>
      </c>
      <c r="O829" s="76">
        <f>$L$829-EFEITO!$O$829*EFEITO!$AA$829</f>
        <v>0</v>
      </c>
      <c r="P829" s="57"/>
      <c r="Q829" s="57"/>
      <c r="R829" s="57"/>
      <c r="S829" s="57"/>
      <c r="T829" s="57"/>
      <c r="U829" s="57"/>
      <c r="V829" s="57"/>
      <c r="W829" s="57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</row>
    <row r="830" spans="1:36" ht="11.25" customHeight="1" x14ac:dyDescent="0.2">
      <c r="A830" s="53" t="s">
        <v>21</v>
      </c>
      <c r="B830" s="53" t="s">
        <v>33</v>
      </c>
      <c r="C830" s="53" t="s">
        <v>34</v>
      </c>
      <c r="D830" s="53" t="s">
        <v>40</v>
      </c>
      <c r="E830" s="53" t="s">
        <v>25</v>
      </c>
      <c r="F830" s="53" t="s">
        <v>60</v>
      </c>
      <c r="G830" s="53" t="s">
        <v>25</v>
      </c>
      <c r="H830" s="53" t="s">
        <v>35</v>
      </c>
      <c r="I830" s="75">
        <v>44348</v>
      </c>
      <c r="J830" s="76">
        <f>EFEITO!$J$830*EFEITO!$Y$830</f>
        <v>0</v>
      </c>
      <c r="K830" s="76">
        <f ca="1">EFEITO!$L$830*EFEITO!$Z$830</f>
        <v>2773649.8385831094</v>
      </c>
      <c r="L830" s="76">
        <f>EFEITO!$N$830*EFEITO!$AA$830</f>
        <v>0</v>
      </c>
      <c r="M830" s="76">
        <f>$J$830-EFEITO!$K$830*EFEITO!$Y$830</f>
        <v>0</v>
      </c>
      <c r="N830" s="76">
        <f ca="1">$K$830-EFEITO!$M$830*EFEITO!$Z$830</f>
        <v>1396239.1028911816</v>
      </c>
      <c r="O830" s="76">
        <f>$L$830-EFEITO!$O$830*EFEITO!$AA$830</f>
        <v>0</v>
      </c>
      <c r="P830" s="57"/>
      <c r="Q830" s="57"/>
      <c r="R830" s="57"/>
      <c r="S830" s="57"/>
      <c r="T830" s="57"/>
      <c r="U830" s="57"/>
      <c r="V830" s="57"/>
      <c r="W830" s="57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spans="1:36" ht="11.25" customHeight="1" x14ac:dyDescent="0.2">
      <c r="A831" s="53" t="s">
        <v>21</v>
      </c>
      <c r="B831" s="53" t="s">
        <v>33</v>
      </c>
      <c r="C831" s="53" t="s">
        <v>34</v>
      </c>
      <c r="D831" s="53" t="s">
        <v>40</v>
      </c>
      <c r="E831" s="53" t="s">
        <v>25</v>
      </c>
      <c r="F831" s="53" t="s">
        <v>60</v>
      </c>
      <c r="G831" s="53" t="s">
        <v>25</v>
      </c>
      <c r="H831" s="53" t="s">
        <v>35</v>
      </c>
      <c r="I831" s="75">
        <v>44378</v>
      </c>
      <c r="J831" s="76">
        <f>EFEITO!$J$831*EFEITO!$Y$831</f>
        <v>0</v>
      </c>
      <c r="K831" s="76">
        <f ca="1">EFEITO!$L$831*EFEITO!$Z$831</f>
        <v>2940735.2273907666</v>
      </c>
      <c r="L831" s="76">
        <f>EFEITO!$N$831*EFEITO!$AA$831</f>
        <v>0</v>
      </c>
      <c r="M831" s="76">
        <f>$J$831-EFEITO!$K$831*EFEITO!$Y$831</f>
        <v>0</v>
      </c>
      <c r="N831" s="76">
        <f ca="1">$K$831-EFEITO!$M$831*EFEITO!$Z$831</f>
        <v>1489870.0992058024</v>
      </c>
      <c r="O831" s="76">
        <f>$L$831-EFEITO!$O$831*EFEITO!$AA$831</f>
        <v>0</v>
      </c>
      <c r="P831" s="57"/>
      <c r="Q831" s="57"/>
      <c r="R831" s="57"/>
      <c r="S831" s="57"/>
      <c r="T831" s="57"/>
      <c r="U831" s="57"/>
      <c r="V831" s="57"/>
      <c r="W831" s="57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</row>
    <row r="832" spans="1:36" ht="11.25" customHeight="1" x14ac:dyDescent="0.2">
      <c r="A832" s="53" t="s">
        <v>21</v>
      </c>
      <c r="B832" s="53" t="s">
        <v>33</v>
      </c>
      <c r="C832" s="53" t="s">
        <v>34</v>
      </c>
      <c r="D832" s="53" t="s">
        <v>40</v>
      </c>
      <c r="E832" s="53" t="s">
        <v>25</v>
      </c>
      <c r="F832" s="53" t="s">
        <v>60</v>
      </c>
      <c r="G832" s="53" t="s">
        <v>25</v>
      </c>
      <c r="H832" s="53" t="s">
        <v>35</v>
      </c>
      <c r="I832" s="75">
        <v>44409</v>
      </c>
      <c r="J832" s="76">
        <f>EFEITO!$J$832*EFEITO!$Y$832</f>
        <v>0</v>
      </c>
      <c r="K832" s="76">
        <f ca="1">EFEITO!$L$832*EFEITO!$Z$832</f>
        <v>2971363.6505528381</v>
      </c>
      <c r="L832" s="76">
        <f>EFEITO!$N$832*EFEITO!$AA$832</f>
        <v>0</v>
      </c>
      <c r="M832" s="76">
        <f>$J$832-EFEITO!$K$832*EFEITO!$Y$832</f>
        <v>0</v>
      </c>
      <c r="N832" s="76">
        <f ca="1">$K$832-EFEITO!$M$832*EFEITO!$Z$832</f>
        <v>1464484.5032706498</v>
      </c>
      <c r="O832" s="76">
        <f>$L$832-EFEITO!$O$832*EFEITO!$AA$832</f>
        <v>0</v>
      </c>
      <c r="P832" s="57"/>
      <c r="Q832" s="57"/>
      <c r="R832" s="57"/>
      <c r="S832" s="57"/>
      <c r="T832" s="57"/>
      <c r="U832" s="57"/>
      <c r="V832" s="57"/>
      <c r="W832" s="57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</row>
    <row r="833" spans="1:36" ht="11.25" customHeight="1" x14ac:dyDescent="0.2">
      <c r="A833" s="53" t="s">
        <v>21</v>
      </c>
      <c r="B833" s="53" t="s">
        <v>33</v>
      </c>
      <c r="C833" s="53" t="s">
        <v>34</v>
      </c>
      <c r="D833" s="53" t="s">
        <v>40</v>
      </c>
      <c r="E833" s="53" t="s">
        <v>25</v>
      </c>
      <c r="F833" s="53" t="s">
        <v>60</v>
      </c>
      <c r="G833" s="53" t="s">
        <v>25</v>
      </c>
      <c r="H833" s="53" t="s">
        <v>35</v>
      </c>
      <c r="I833" s="75">
        <v>44440</v>
      </c>
      <c r="J833" s="76">
        <f>EFEITO!$J$833*EFEITO!$Y$833</f>
        <v>0</v>
      </c>
      <c r="K833" s="76">
        <f ca="1">EFEITO!$L$833*EFEITO!$Z$833</f>
        <v>2870131.8903284334</v>
      </c>
      <c r="L833" s="76">
        <f>EFEITO!$N$833*EFEITO!$AA$833</f>
        <v>0</v>
      </c>
      <c r="M833" s="76">
        <f>$J$833-EFEITO!$K$833*EFEITO!$Y$833</f>
        <v>0</v>
      </c>
      <c r="N833" s="76">
        <f ca="1">$K$833-EFEITO!$M$833*EFEITO!$Z$833</f>
        <v>1392963.8082570755</v>
      </c>
      <c r="O833" s="76">
        <f>$L$833-EFEITO!$O$833*EFEITO!$AA$833</f>
        <v>0</v>
      </c>
      <c r="P833" s="57"/>
      <c r="Q833" s="57"/>
      <c r="R833" s="57"/>
      <c r="S833" s="57"/>
      <c r="T833" s="57"/>
      <c r="U833" s="57"/>
      <c r="V833" s="57"/>
      <c r="W833" s="57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</row>
    <row r="834" spans="1:36" ht="11.25" customHeight="1" x14ac:dyDescent="0.2">
      <c r="A834" s="53" t="s">
        <v>21</v>
      </c>
      <c r="B834" s="53" t="s">
        <v>33</v>
      </c>
      <c r="C834" s="53" t="s">
        <v>34</v>
      </c>
      <c r="D834" s="53" t="s">
        <v>40</v>
      </c>
      <c r="E834" s="53" t="s">
        <v>25</v>
      </c>
      <c r="F834" s="53" t="s">
        <v>60</v>
      </c>
      <c r="G834" s="53" t="s">
        <v>25</v>
      </c>
      <c r="H834" s="53" t="s">
        <v>35</v>
      </c>
      <c r="I834" s="75">
        <v>44470</v>
      </c>
      <c r="J834" s="76">
        <f>EFEITO!$J$834*EFEITO!$Y$834</f>
        <v>0</v>
      </c>
      <c r="K834" s="76">
        <f ca="1">EFEITO!$L$834*EFEITO!$Z$834</f>
        <v>2853768.7847916009</v>
      </c>
      <c r="L834" s="76">
        <f>EFEITO!$N$834*EFEITO!$AA$834</f>
        <v>0</v>
      </c>
      <c r="M834" s="76">
        <f>$J$834-EFEITO!$K$834*EFEITO!$Y$834</f>
        <v>0</v>
      </c>
      <c r="N834" s="76">
        <f ca="1">$K$834-EFEITO!$M$834*EFEITO!$Z$834</f>
        <v>1415945.5541914401</v>
      </c>
      <c r="O834" s="76">
        <f>$L$834-EFEITO!$O$834*EFEITO!$AA$834</f>
        <v>0</v>
      </c>
      <c r="P834" s="57"/>
      <c r="Q834" s="57"/>
      <c r="R834" s="57"/>
      <c r="S834" s="57"/>
      <c r="T834" s="57"/>
      <c r="U834" s="57"/>
      <c r="V834" s="57"/>
      <c r="W834" s="57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</row>
    <row r="835" spans="1:36" ht="11.25" customHeight="1" x14ac:dyDescent="0.2">
      <c r="A835" s="53" t="s">
        <v>21</v>
      </c>
      <c r="B835" s="53" t="s">
        <v>33</v>
      </c>
      <c r="C835" s="53" t="s">
        <v>34</v>
      </c>
      <c r="D835" s="53" t="s">
        <v>40</v>
      </c>
      <c r="E835" s="53" t="s">
        <v>25</v>
      </c>
      <c r="F835" s="53" t="s">
        <v>60</v>
      </c>
      <c r="G835" s="53" t="s">
        <v>25</v>
      </c>
      <c r="H835" s="53" t="s">
        <v>35</v>
      </c>
      <c r="I835" s="75">
        <v>44501</v>
      </c>
      <c r="J835" s="76">
        <f>EFEITO!$J$835*EFEITO!$Y$835</f>
        <v>0</v>
      </c>
      <c r="K835" s="76">
        <f ca="1">EFEITO!$L$835*EFEITO!$Z$835</f>
        <v>3260324.0401489045</v>
      </c>
      <c r="L835" s="76">
        <f>EFEITO!$N$835*EFEITO!$AA$835</f>
        <v>0</v>
      </c>
      <c r="M835" s="76">
        <f>$J$835-EFEITO!$K$835*EFEITO!$Y$835</f>
        <v>0</v>
      </c>
      <c r="N835" s="76">
        <f ca="1">$K$835-EFEITO!$M$835*EFEITO!$Z$835</f>
        <v>1597518.1234321827</v>
      </c>
      <c r="O835" s="76">
        <f>$L$835-EFEITO!$O$835*EFEITO!$AA$835</f>
        <v>0</v>
      </c>
      <c r="P835" s="57"/>
      <c r="Q835" s="57"/>
      <c r="R835" s="57"/>
      <c r="S835" s="57"/>
      <c r="T835" s="57"/>
      <c r="U835" s="57"/>
      <c r="V835" s="57"/>
      <c r="W835" s="57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</row>
    <row r="836" spans="1:36" ht="11.25" customHeight="1" x14ac:dyDescent="0.2">
      <c r="A836" s="53" t="s">
        <v>21</v>
      </c>
      <c r="B836" s="53" t="s">
        <v>33</v>
      </c>
      <c r="C836" s="53" t="s">
        <v>34</v>
      </c>
      <c r="D836" s="53" t="s">
        <v>40</v>
      </c>
      <c r="E836" s="53" t="s">
        <v>25</v>
      </c>
      <c r="F836" s="53" t="s">
        <v>60</v>
      </c>
      <c r="G836" s="53" t="s">
        <v>25</v>
      </c>
      <c r="H836" s="53" t="s">
        <v>35</v>
      </c>
      <c r="I836" s="75">
        <v>44531</v>
      </c>
      <c r="J836" s="76">
        <f>EFEITO!$J$836*EFEITO!$Y$836</f>
        <v>0</v>
      </c>
      <c r="K836" s="76">
        <f ca="1">EFEITO!$L$836*EFEITO!$Z$836</f>
        <v>1881172.4188358644</v>
      </c>
      <c r="L836" s="76">
        <f>EFEITO!$N$836*EFEITO!$AA$836</f>
        <v>0</v>
      </c>
      <c r="M836" s="76">
        <f>$J$836-EFEITO!$K$836*EFEITO!$Y$836</f>
        <v>0</v>
      </c>
      <c r="N836" s="76">
        <f ca="1">$K$836-EFEITO!$M$836*EFEITO!$Z$836</f>
        <v>966753.99498600978</v>
      </c>
      <c r="O836" s="76">
        <f>$L$836-EFEITO!$O$836*EFEITO!$AA$836</f>
        <v>0</v>
      </c>
      <c r="P836" s="57"/>
      <c r="Q836" s="57"/>
      <c r="R836" s="57"/>
      <c r="S836" s="57"/>
      <c r="T836" s="57"/>
      <c r="U836" s="57"/>
      <c r="V836" s="57"/>
      <c r="W836" s="57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spans="1:36" ht="11.25" customHeight="1" x14ac:dyDescent="0.2">
      <c r="A837" s="53" t="s">
        <v>21</v>
      </c>
      <c r="B837" s="53" t="s">
        <v>33</v>
      </c>
      <c r="C837" s="53" t="s">
        <v>34</v>
      </c>
      <c r="D837" s="53" t="s">
        <v>40</v>
      </c>
      <c r="E837" s="53" t="s">
        <v>25</v>
      </c>
      <c r="F837" s="53" t="s">
        <v>60</v>
      </c>
      <c r="G837" s="53" t="s">
        <v>25</v>
      </c>
      <c r="H837" s="53" t="s">
        <v>35</v>
      </c>
      <c r="I837" s="75">
        <v>44562</v>
      </c>
      <c r="J837" s="76">
        <f>EFEITO!$J$837*EFEITO!$Y$837</f>
        <v>0</v>
      </c>
      <c r="K837" s="76">
        <f ca="1">EFEITO!$L$837*EFEITO!$Z$837</f>
        <v>2515638.1176450523</v>
      </c>
      <c r="L837" s="76">
        <f>EFEITO!$N$837*EFEITO!$AA$837</f>
        <v>0</v>
      </c>
      <c r="M837" s="76">
        <f>$J$837-EFEITO!$K$837*EFEITO!$Y$837</f>
        <v>0</v>
      </c>
      <c r="N837" s="76">
        <f ca="1">$K$837-EFEITO!$M$837*EFEITO!$Z$837</f>
        <v>1242989.6991519639</v>
      </c>
      <c r="O837" s="76">
        <f>$L$837-EFEITO!$O$837*EFEITO!$AA$837</f>
        <v>0</v>
      </c>
      <c r="P837" s="57"/>
      <c r="Q837" s="57"/>
      <c r="R837" s="57"/>
      <c r="S837" s="57"/>
      <c r="T837" s="57"/>
      <c r="U837" s="57"/>
      <c r="V837" s="57"/>
      <c r="W837" s="57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</row>
    <row r="838" spans="1:36" ht="11.25" customHeight="1" x14ac:dyDescent="0.2">
      <c r="A838" s="53" t="s">
        <v>21</v>
      </c>
      <c r="B838" s="53" t="s">
        <v>33</v>
      </c>
      <c r="C838" s="53" t="s">
        <v>34</v>
      </c>
      <c r="D838" s="53" t="s">
        <v>40</v>
      </c>
      <c r="E838" s="53" t="s">
        <v>25</v>
      </c>
      <c r="F838" s="53" t="s">
        <v>60</v>
      </c>
      <c r="G838" s="53" t="s">
        <v>25</v>
      </c>
      <c r="H838" s="53" t="s">
        <v>35</v>
      </c>
      <c r="I838" s="75">
        <v>44593</v>
      </c>
      <c r="J838" s="76">
        <f>EFEITO!$J$838*EFEITO!$Y$838</f>
        <v>0</v>
      </c>
      <c r="K838" s="76">
        <f ca="1">EFEITO!$L$838*EFEITO!$Z$838</f>
        <v>2404230.4668306168</v>
      </c>
      <c r="L838" s="76">
        <f>EFEITO!$N$838*EFEITO!$AA$838</f>
        <v>0</v>
      </c>
      <c r="M838" s="76">
        <f>$J$838-EFEITO!$K$838*EFEITO!$Y$838</f>
        <v>0</v>
      </c>
      <c r="N838" s="76">
        <f ca="1">$K$838-EFEITO!$M$838*EFEITO!$Z$838</f>
        <v>1195985.5997555142</v>
      </c>
      <c r="O838" s="76">
        <f>$L$838-EFEITO!$O$838*EFEITO!$AA$838</f>
        <v>0</v>
      </c>
      <c r="P838" s="57"/>
      <c r="Q838" s="57"/>
      <c r="R838" s="57"/>
      <c r="S838" s="57"/>
      <c r="T838" s="57"/>
      <c r="U838" s="57"/>
      <c r="V838" s="57"/>
      <c r="W838" s="57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</row>
    <row r="839" spans="1:36" ht="11.25" customHeight="1" x14ac:dyDescent="0.2">
      <c r="A839" s="53" t="s">
        <v>21</v>
      </c>
      <c r="B839" s="53" t="s">
        <v>33</v>
      </c>
      <c r="C839" s="53" t="s">
        <v>34</v>
      </c>
      <c r="D839" s="53" t="s">
        <v>40</v>
      </c>
      <c r="E839" s="53" t="s">
        <v>25</v>
      </c>
      <c r="F839" s="53" t="s">
        <v>60</v>
      </c>
      <c r="G839" s="53" t="s">
        <v>25</v>
      </c>
      <c r="H839" s="53" t="s">
        <v>35</v>
      </c>
      <c r="I839" s="75">
        <v>44621</v>
      </c>
      <c r="J839" s="76">
        <f>EFEITO!$J$839*EFEITO!$Y$839</f>
        <v>0</v>
      </c>
      <c r="K839" s="76">
        <f ca="1">EFEITO!$L$839*EFEITO!$Z$839</f>
        <v>2679772.929973281</v>
      </c>
      <c r="L839" s="76">
        <f>EFEITO!$N$839*EFEITO!$AA$839</f>
        <v>0</v>
      </c>
      <c r="M839" s="76">
        <f>$J$839-EFEITO!$K$839*EFEITO!$Y$839</f>
        <v>0</v>
      </c>
      <c r="N839" s="76">
        <f ca="1">$K$839-EFEITO!$M$839*EFEITO!$Z$839</f>
        <v>1336568.0217742666</v>
      </c>
      <c r="O839" s="76">
        <f>$L$839-EFEITO!$O$839*EFEITO!$AA$839</f>
        <v>0</v>
      </c>
      <c r="P839" s="57"/>
      <c r="Q839" s="57"/>
      <c r="R839" s="57"/>
      <c r="S839" s="57"/>
      <c r="T839" s="57"/>
      <c r="U839" s="57"/>
      <c r="V839" s="57"/>
      <c r="W839" s="57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</row>
    <row r="840" spans="1:36" ht="11.25" customHeight="1" x14ac:dyDescent="0.2">
      <c r="A840" s="53" t="s">
        <v>56</v>
      </c>
      <c r="B840" s="53" t="s">
        <v>33</v>
      </c>
      <c r="C840" s="53" t="s">
        <v>34</v>
      </c>
      <c r="D840" s="53" t="s">
        <v>40</v>
      </c>
      <c r="E840" s="53" t="s">
        <v>25</v>
      </c>
      <c r="F840" s="53" t="s">
        <v>60</v>
      </c>
      <c r="G840" s="53" t="s">
        <v>25</v>
      </c>
      <c r="H840" s="53" t="s">
        <v>35</v>
      </c>
      <c r="I840" s="75">
        <v>44652</v>
      </c>
      <c r="J840" s="76">
        <f>EFEITO!$J$840*EFEITO!$Y$840</f>
        <v>0</v>
      </c>
      <c r="K840" s="76">
        <f ca="1">EFEITO!$L$840*EFEITO!$Z$840</f>
        <v>2679772.929973281</v>
      </c>
      <c r="L840" s="76">
        <f>EFEITO!$N$840*EFEITO!$AA$840</f>
        <v>0</v>
      </c>
      <c r="M840" s="76">
        <f>$J$840-EFEITO!$K$840*EFEITO!$Y$840</f>
        <v>0</v>
      </c>
      <c r="N840" s="76">
        <f ca="1">$K$840-EFEITO!$M$840*EFEITO!$Z$840</f>
        <v>1336568.0217742666</v>
      </c>
      <c r="O840" s="76">
        <f>$L$840-EFEITO!$O$840*EFEITO!$AA$840</f>
        <v>0</v>
      </c>
      <c r="P840" s="57"/>
      <c r="Q840" s="57"/>
      <c r="R840" s="57"/>
      <c r="S840" s="57"/>
      <c r="T840" s="57"/>
      <c r="U840" s="57"/>
      <c r="V840" s="57"/>
      <c r="W840" s="57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</row>
    <row r="841" spans="1:36" ht="11.25" customHeight="1" x14ac:dyDescent="0.2">
      <c r="A841" s="53" t="s">
        <v>21</v>
      </c>
      <c r="B841" s="53" t="s">
        <v>33</v>
      </c>
      <c r="C841" s="53" t="s">
        <v>34</v>
      </c>
      <c r="D841" s="53" t="s">
        <v>40</v>
      </c>
      <c r="E841" s="53" t="s">
        <v>25</v>
      </c>
      <c r="F841" s="53" t="s">
        <v>25</v>
      </c>
      <c r="G841" s="53" t="s">
        <v>25</v>
      </c>
      <c r="H841" s="53" t="s">
        <v>36</v>
      </c>
      <c r="I841" s="75">
        <v>44317</v>
      </c>
      <c r="J841" s="76">
        <f>EFEITO!$J$841*EFEITO!$Y$841</f>
        <v>0</v>
      </c>
      <c r="K841" s="76">
        <f ca="1">EFEITO!$L$841*EFEITO!$Z$841</f>
        <v>784208.52767419536</v>
      </c>
      <c r="L841" s="76">
        <f>EFEITO!$N$841*EFEITO!$AA$841</f>
        <v>1808210.9978371924</v>
      </c>
      <c r="M841" s="76">
        <f>$J$841-EFEITO!$K$841*EFEITO!$Y$841</f>
        <v>0</v>
      </c>
      <c r="N841" s="76">
        <f ca="1">$K$841-EFEITO!$M$841*EFEITO!$Z$841</f>
        <v>0</v>
      </c>
      <c r="O841" s="76">
        <f>$L$841-EFEITO!$O$841*EFEITO!$AA$841</f>
        <v>0</v>
      </c>
      <c r="P841" s="57"/>
      <c r="Q841" s="57"/>
      <c r="R841" s="57"/>
      <c r="S841" s="57"/>
      <c r="T841" s="57"/>
      <c r="U841" s="57"/>
      <c r="V841" s="57"/>
      <c r="W841" s="57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</row>
    <row r="842" spans="1:36" ht="11.25" customHeight="1" x14ac:dyDescent="0.2">
      <c r="A842" s="53" t="s">
        <v>28</v>
      </c>
      <c r="B842" s="53" t="s">
        <v>33</v>
      </c>
      <c r="C842" s="53" t="s">
        <v>34</v>
      </c>
      <c r="D842" s="53" t="s">
        <v>40</v>
      </c>
      <c r="E842" s="53" t="s">
        <v>25</v>
      </c>
      <c r="F842" s="53" t="s">
        <v>25</v>
      </c>
      <c r="G842" s="53" t="s">
        <v>25</v>
      </c>
      <c r="H842" s="53" t="s">
        <v>36</v>
      </c>
      <c r="I842" s="75">
        <v>44317</v>
      </c>
      <c r="J842" s="76">
        <f>EFEITO!$J$842*EFEITO!$Y$842</f>
        <v>0</v>
      </c>
      <c r="K842" s="76">
        <f ca="1">EFEITO!$L$842*EFEITO!$Z$842</f>
        <v>32104.49930566999</v>
      </c>
      <c r="L842" s="76">
        <f>EFEITO!$N$842*EFEITO!$AA$842</f>
        <v>74025.85750596039</v>
      </c>
      <c r="M842" s="76">
        <f>$J$842-EFEITO!$K$842*EFEITO!$Y$842</f>
        <v>0</v>
      </c>
      <c r="N842" s="76">
        <f ca="1">$K$842-EFEITO!$M$842*EFEITO!$Z$842</f>
        <v>0</v>
      </c>
      <c r="O842" s="76">
        <f>$L$842-EFEITO!$O$842*EFEITO!$AA$842</f>
        <v>0</v>
      </c>
      <c r="P842" s="57"/>
      <c r="Q842" s="57"/>
      <c r="R842" s="57"/>
      <c r="S842" s="57"/>
      <c r="T842" s="57"/>
      <c r="U842" s="57"/>
      <c r="V842" s="57"/>
      <c r="W842" s="57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spans="1:36" ht="11.25" customHeight="1" x14ac:dyDescent="0.2">
      <c r="A843" s="53" t="s">
        <v>21</v>
      </c>
      <c r="B843" s="53" t="s">
        <v>33</v>
      </c>
      <c r="C843" s="53" t="s">
        <v>34</v>
      </c>
      <c r="D843" s="53" t="s">
        <v>40</v>
      </c>
      <c r="E843" s="53" t="s">
        <v>25</v>
      </c>
      <c r="F843" s="53" t="s">
        <v>25</v>
      </c>
      <c r="G843" s="53" t="s">
        <v>25</v>
      </c>
      <c r="H843" s="53" t="s">
        <v>36</v>
      </c>
      <c r="I843" s="75">
        <v>44317</v>
      </c>
      <c r="J843" s="76">
        <f>EFEITO!$J$843*EFEITO!$Y$843</f>
        <v>0</v>
      </c>
      <c r="K843" s="76">
        <f ca="1">EFEITO!$L$843*EFEITO!$Z$843</f>
        <v>98407.443441246724</v>
      </c>
      <c r="L843" s="76">
        <f>EFEITO!$N$843*EFEITO!$AA$843</f>
        <v>0</v>
      </c>
      <c r="M843" s="76">
        <f>$J$843-EFEITO!$K$843*EFEITO!$Y$843</f>
        <v>0</v>
      </c>
      <c r="N843" s="76">
        <f ca="1">$K$843-EFEITO!$M$843*EFEITO!$Z$843</f>
        <v>0</v>
      </c>
      <c r="O843" s="76">
        <f>$L$843-EFEITO!$O$843*EFEITO!$AA$843</f>
        <v>0</v>
      </c>
      <c r="P843" s="57"/>
      <c r="Q843" s="57"/>
      <c r="R843" s="57"/>
      <c r="S843" s="57"/>
      <c r="T843" s="57"/>
      <c r="U843" s="57"/>
      <c r="V843" s="57"/>
      <c r="W843" s="57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</row>
    <row r="844" spans="1:36" ht="11.25" customHeight="1" x14ac:dyDescent="0.2">
      <c r="A844" s="53" t="s">
        <v>21</v>
      </c>
      <c r="B844" s="53" t="s">
        <v>33</v>
      </c>
      <c r="C844" s="53" t="s">
        <v>34</v>
      </c>
      <c r="D844" s="53" t="s">
        <v>40</v>
      </c>
      <c r="E844" s="53" t="s">
        <v>25</v>
      </c>
      <c r="F844" s="53" t="s">
        <v>25</v>
      </c>
      <c r="G844" s="53" t="s">
        <v>25</v>
      </c>
      <c r="H844" s="53" t="s">
        <v>36</v>
      </c>
      <c r="I844" s="75">
        <v>44348</v>
      </c>
      <c r="J844" s="76">
        <f>EFEITO!$J$844*EFEITO!$Y$844</f>
        <v>0</v>
      </c>
      <c r="K844" s="76">
        <f ca="1">EFEITO!$L$844*EFEITO!$Z$844</f>
        <v>736113.51406696928</v>
      </c>
      <c r="L844" s="76">
        <f>EFEITO!$N$844*EFEITO!$AA$844</f>
        <v>1697314.5596109477</v>
      </c>
      <c r="M844" s="76">
        <f>$J$844-EFEITO!$K$844*EFEITO!$Y$844</f>
        <v>0</v>
      </c>
      <c r="N844" s="76">
        <f ca="1">$K$844-EFEITO!$M$844*EFEITO!$Z$844</f>
        <v>0</v>
      </c>
      <c r="O844" s="76">
        <f>$L$844-EFEITO!$O$844*EFEITO!$AA$844</f>
        <v>0</v>
      </c>
      <c r="P844" s="57"/>
      <c r="Q844" s="57"/>
      <c r="R844" s="57"/>
      <c r="S844" s="57"/>
      <c r="T844" s="57"/>
      <c r="U844" s="57"/>
      <c r="V844" s="57"/>
      <c r="W844" s="57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</row>
    <row r="845" spans="1:36" ht="11.25" customHeight="1" x14ac:dyDescent="0.2">
      <c r="A845" s="53" t="s">
        <v>27</v>
      </c>
      <c r="B845" s="53" t="s">
        <v>33</v>
      </c>
      <c r="C845" s="53" t="s">
        <v>34</v>
      </c>
      <c r="D845" s="53" t="s">
        <v>40</v>
      </c>
      <c r="E845" s="53" t="s">
        <v>25</v>
      </c>
      <c r="F845" s="53" t="s">
        <v>25</v>
      </c>
      <c r="G845" s="53" t="s">
        <v>25</v>
      </c>
      <c r="H845" s="53" t="s">
        <v>36</v>
      </c>
      <c r="I845" s="75">
        <v>44348</v>
      </c>
      <c r="J845" s="76">
        <f>EFEITO!$J$845*EFEITO!$Y$845</f>
        <v>0</v>
      </c>
      <c r="K845" s="76">
        <f ca="1">EFEITO!$L$845*EFEITO!$Z$845</f>
        <v>-22485.190847247024</v>
      </c>
      <c r="L845" s="76">
        <f>EFEITO!$N$845*EFEITO!$AA$845</f>
        <v>-51845.864899025772</v>
      </c>
      <c r="M845" s="76">
        <f>$J$845-EFEITO!$K$845*EFEITO!$Y$845</f>
        <v>0</v>
      </c>
      <c r="N845" s="76">
        <f ca="1">$K$845-EFEITO!$M$845*EFEITO!$Z$845</f>
        <v>0</v>
      </c>
      <c r="O845" s="76">
        <f>$L$845-EFEITO!$O$845*EFEITO!$AA$845</f>
        <v>0</v>
      </c>
      <c r="P845" s="57"/>
      <c r="Q845" s="57"/>
      <c r="R845" s="57"/>
      <c r="S845" s="57"/>
      <c r="T845" s="57"/>
      <c r="U845" s="57"/>
      <c r="V845" s="57"/>
      <c r="W845" s="57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1:36" ht="11.25" customHeight="1" x14ac:dyDescent="0.2">
      <c r="A846" s="53" t="s">
        <v>28</v>
      </c>
      <c r="B846" s="53" t="s">
        <v>33</v>
      </c>
      <c r="C846" s="53" t="s">
        <v>34</v>
      </c>
      <c r="D846" s="53" t="s">
        <v>40</v>
      </c>
      <c r="E846" s="53" t="s">
        <v>25</v>
      </c>
      <c r="F846" s="53" t="s">
        <v>25</v>
      </c>
      <c r="G846" s="53" t="s">
        <v>25</v>
      </c>
      <c r="H846" s="53" t="s">
        <v>36</v>
      </c>
      <c r="I846" s="75">
        <v>44348</v>
      </c>
      <c r="J846" s="76">
        <f>EFEITO!$J$846*EFEITO!$Y$846</f>
        <v>0</v>
      </c>
      <c r="K846" s="76">
        <f ca="1">EFEITO!$L$846*EFEITO!$Z$846</f>
        <v>25714.47887929</v>
      </c>
      <c r="L846" s="76">
        <f>EFEITO!$N$846*EFEITO!$AA$846</f>
        <v>59291.887135027369</v>
      </c>
      <c r="M846" s="76">
        <f>$J$846-EFEITO!$K$846*EFEITO!$Y$846</f>
        <v>0</v>
      </c>
      <c r="N846" s="76">
        <f ca="1">$K$846-EFEITO!$M$846*EFEITO!$Z$846</f>
        <v>0</v>
      </c>
      <c r="O846" s="76">
        <f>$L$846-EFEITO!$O$846*EFEITO!$AA$846</f>
        <v>0</v>
      </c>
      <c r="P846" s="57"/>
      <c r="Q846" s="57"/>
      <c r="R846" s="57"/>
      <c r="S846" s="57"/>
      <c r="T846" s="57"/>
      <c r="U846" s="57"/>
      <c r="V846" s="57"/>
      <c r="W846" s="57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</row>
    <row r="847" spans="1:36" ht="11.25" customHeight="1" x14ac:dyDescent="0.2">
      <c r="A847" s="53" t="s">
        <v>21</v>
      </c>
      <c r="B847" s="53" t="s">
        <v>33</v>
      </c>
      <c r="C847" s="53" t="s">
        <v>34</v>
      </c>
      <c r="D847" s="53" t="s">
        <v>40</v>
      </c>
      <c r="E847" s="53" t="s">
        <v>25</v>
      </c>
      <c r="F847" s="53" t="s">
        <v>25</v>
      </c>
      <c r="G847" s="53" t="s">
        <v>25</v>
      </c>
      <c r="H847" s="53" t="s">
        <v>36</v>
      </c>
      <c r="I847" s="75">
        <v>44348</v>
      </c>
      <c r="J847" s="76">
        <f>EFEITO!$J$847*EFEITO!$Y$847</f>
        <v>0</v>
      </c>
      <c r="K847" s="76">
        <f ca="1">EFEITO!$L$847*EFEITO!$Z$847</f>
        <v>105950.44504722692</v>
      </c>
      <c r="L847" s="76">
        <f>EFEITO!$N$847*EFEITO!$AA$847</f>
        <v>0</v>
      </c>
      <c r="M847" s="76">
        <f>$J$847-EFEITO!$K$847*EFEITO!$Y$847</f>
        <v>0</v>
      </c>
      <c r="N847" s="76">
        <f ca="1">$K$847-EFEITO!$M$847*EFEITO!$Z$847</f>
        <v>0</v>
      </c>
      <c r="O847" s="76">
        <f>$L$847-EFEITO!$O$847*EFEITO!$AA$847</f>
        <v>0</v>
      </c>
      <c r="P847" s="57"/>
      <c r="Q847" s="57"/>
      <c r="R847" s="57"/>
      <c r="S847" s="57"/>
      <c r="T847" s="57"/>
      <c r="U847" s="57"/>
      <c r="V847" s="57"/>
      <c r="W847" s="57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</row>
    <row r="848" spans="1:36" ht="11.25" customHeight="1" x14ac:dyDescent="0.2">
      <c r="A848" s="53" t="s">
        <v>21</v>
      </c>
      <c r="B848" s="53" t="s">
        <v>33</v>
      </c>
      <c r="C848" s="53" t="s">
        <v>34</v>
      </c>
      <c r="D848" s="53" t="s">
        <v>40</v>
      </c>
      <c r="E848" s="53" t="s">
        <v>25</v>
      </c>
      <c r="F848" s="53" t="s">
        <v>25</v>
      </c>
      <c r="G848" s="53" t="s">
        <v>25</v>
      </c>
      <c r="H848" s="53" t="s">
        <v>36</v>
      </c>
      <c r="I848" s="75">
        <v>44378</v>
      </c>
      <c r="J848" s="76">
        <f>EFEITO!$J$848*EFEITO!$Y$848</f>
        <v>0</v>
      </c>
      <c r="K848" s="76">
        <f ca="1">EFEITO!$L$848*EFEITO!$Z$848</f>
        <v>809244.50564514333</v>
      </c>
      <c r="L848" s="76">
        <f>EFEITO!$N$848*EFEITO!$AA$848</f>
        <v>1865938.4123081118</v>
      </c>
      <c r="M848" s="76">
        <f>$J$848-EFEITO!$K$848*EFEITO!$Y$848</f>
        <v>0</v>
      </c>
      <c r="N848" s="76">
        <f ca="1">$K$848-EFEITO!$M$848*EFEITO!$Z$848</f>
        <v>0</v>
      </c>
      <c r="O848" s="76">
        <f>$L$848-EFEITO!$O$848*EFEITO!$AA$848</f>
        <v>0</v>
      </c>
      <c r="P848" s="57"/>
      <c r="Q848" s="57"/>
      <c r="R848" s="57"/>
      <c r="S848" s="57"/>
      <c r="T848" s="57"/>
      <c r="U848" s="57"/>
      <c r="V848" s="57"/>
      <c r="W848" s="57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spans="1:36" ht="11.25" customHeight="1" x14ac:dyDescent="0.2">
      <c r="A849" s="53" t="s">
        <v>27</v>
      </c>
      <c r="B849" s="53" t="s">
        <v>33</v>
      </c>
      <c r="C849" s="53" t="s">
        <v>34</v>
      </c>
      <c r="D849" s="53" t="s">
        <v>40</v>
      </c>
      <c r="E849" s="53" t="s">
        <v>25</v>
      </c>
      <c r="F849" s="53" t="s">
        <v>25</v>
      </c>
      <c r="G849" s="53" t="s">
        <v>25</v>
      </c>
      <c r="H849" s="53" t="s">
        <v>36</v>
      </c>
      <c r="I849" s="75">
        <v>44378</v>
      </c>
      <c r="J849" s="76">
        <f>EFEITO!$J$849*EFEITO!$Y$849</f>
        <v>0</v>
      </c>
      <c r="K849" s="76">
        <f ca="1">EFEITO!$L$849*EFEITO!$Z$849</f>
        <v>-7483.9708510430119</v>
      </c>
      <c r="L849" s="76">
        <f>EFEITO!$N$849*EFEITO!$AA$849</f>
        <v>-17256.37751030827</v>
      </c>
      <c r="M849" s="76">
        <f>$J$849-EFEITO!$K$849*EFEITO!$Y$849</f>
        <v>0</v>
      </c>
      <c r="N849" s="76">
        <f ca="1">$K$849-EFEITO!$M$849*EFEITO!$Z$849</f>
        <v>0</v>
      </c>
      <c r="O849" s="76">
        <f>$L$849-EFEITO!$O$849*EFEITO!$AA$849</f>
        <v>0</v>
      </c>
      <c r="P849" s="57"/>
      <c r="Q849" s="57"/>
      <c r="R849" s="57"/>
      <c r="S849" s="57"/>
      <c r="T849" s="57"/>
      <c r="U849" s="57"/>
      <c r="V849" s="57"/>
      <c r="W849" s="57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</row>
    <row r="850" spans="1:36" ht="11.25" customHeight="1" x14ac:dyDescent="0.2">
      <c r="A850" s="53" t="s">
        <v>28</v>
      </c>
      <c r="B850" s="53" t="s">
        <v>33</v>
      </c>
      <c r="C850" s="53" t="s">
        <v>34</v>
      </c>
      <c r="D850" s="53" t="s">
        <v>40</v>
      </c>
      <c r="E850" s="53" t="s">
        <v>25</v>
      </c>
      <c r="F850" s="53" t="s">
        <v>25</v>
      </c>
      <c r="G850" s="53" t="s">
        <v>25</v>
      </c>
      <c r="H850" s="53" t="s">
        <v>36</v>
      </c>
      <c r="I850" s="75">
        <v>44378</v>
      </c>
      <c r="J850" s="76">
        <f>EFEITO!$J$850*EFEITO!$Y$850</f>
        <v>0</v>
      </c>
      <c r="K850" s="76">
        <f ca="1">EFEITO!$L$850*EFEITO!$Z$850</f>
        <v>31181.408815118055</v>
      </c>
      <c r="L850" s="76">
        <f>EFEITO!$N$850*EFEITO!$AA$850</f>
        <v>71897.415493266046</v>
      </c>
      <c r="M850" s="76">
        <f>$J$850-EFEITO!$K$850*EFEITO!$Y$850</f>
        <v>0</v>
      </c>
      <c r="N850" s="76">
        <f ca="1">$K$850-EFEITO!$M$850*EFEITO!$Z$850</f>
        <v>0</v>
      </c>
      <c r="O850" s="76">
        <f>$L$850-EFEITO!$O$850*EFEITO!$AA$850</f>
        <v>0</v>
      </c>
      <c r="P850" s="57"/>
      <c r="Q850" s="57"/>
      <c r="R850" s="57"/>
      <c r="S850" s="57"/>
      <c r="T850" s="57"/>
      <c r="U850" s="57"/>
      <c r="V850" s="57"/>
      <c r="W850" s="57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</row>
    <row r="851" spans="1:36" ht="11.25" customHeight="1" x14ac:dyDescent="0.2">
      <c r="A851" s="53" t="s">
        <v>21</v>
      </c>
      <c r="B851" s="53" t="s">
        <v>33</v>
      </c>
      <c r="C851" s="53" t="s">
        <v>34</v>
      </c>
      <c r="D851" s="53" t="s">
        <v>40</v>
      </c>
      <c r="E851" s="53" t="s">
        <v>25</v>
      </c>
      <c r="F851" s="53" t="s">
        <v>25</v>
      </c>
      <c r="G851" s="53" t="s">
        <v>25</v>
      </c>
      <c r="H851" s="53" t="s">
        <v>36</v>
      </c>
      <c r="I851" s="75">
        <v>44378</v>
      </c>
      <c r="J851" s="76">
        <f>EFEITO!$J$851*EFEITO!$Y$851</f>
        <v>0</v>
      </c>
      <c r="K851" s="76">
        <f ca="1">EFEITO!$L$851*EFEITO!$Z$851</f>
        <v>100408.13918726592</v>
      </c>
      <c r="L851" s="76">
        <f>EFEITO!$N$851*EFEITO!$AA$851</f>
        <v>0</v>
      </c>
      <c r="M851" s="76">
        <f>$J$851-EFEITO!$K$851*EFEITO!$Y$851</f>
        <v>0</v>
      </c>
      <c r="N851" s="76">
        <f ca="1">$K$851-EFEITO!$M$851*EFEITO!$Z$851</f>
        <v>0</v>
      </c>
      <c r="O851" s="76">
        <f>$L$851-EFEITO!$O$851*EFEITO!$AA$851</f>
        <v>0</v>
      </c>
      <c r="P851" s="57"/>
      <c r="Q851" s="57"/>
      <c r="R851" s="57"/>
      <c r="S851" s="57"/>
      <c r="T851" s="57"/>
      <c r="U851" s="57"/>
      <c r="V851" s="57"/>
      <c r="W851" s="57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</row>
    <row r="852" spans="1:36" ht="11.25" customHeight="1" x14ac:dyDescent="0.2">
      <c r="A852" s="53" t="s">
        <v>21</v>
      </c>
      <c r="B852" s="53" t="s">
        <v>33</v>
      </c>
      <c r="C852" s="53" t="s">
        <v>34</v>
      </c>
      <c r="D852" s="53" t="s">
        <v>40</v>
      </c>
      <c r="E852" s="53" t="s">
        <v>25</v>
      </c>
      <c r="F852" s="53" t="s">
        <v>25</v>
      </c>
      <c r="G852" s="53" t="s">
        <v>25</v>
      </c>
      <c r="H852" s="53" t="s">
        <v>36</v>
      </c>
      <c r="I852" s="75">
        <v>44409</v>
      </c>
      <c r="J852" s="76">
        <f>EFEITO!$J$852*EFEITO!$Y$852</f>
        <v>0</v>
      </c>
      <c r="K852" s="76">
        <f ca="1">EFEITO!$L$852*EFEITO!$Z$852</f>
        <v>784998.97535285645</v>
      </c>
      <c r="L852" s="76">
        <f>EFEITO!$N$852*EFEITO!$AA$852</f>
        <v>1810033.5949339224</v>
      </c>
      <c r="M852" s="76">
        <f>$J$852-EFEITO!$K$852*EFEITO!$Y$852</f>
        <v>0</v>
      </c>
      <c r="N852" s="76">
        <f ca="1">$K$852-EFEITO!$M$852*EFEITO!$Z$852</f>
        <v>0</v>
      </c>
      <c r="O852" s="76">
        <f>$L$852-EFEITO!$O$852*EFEITO!$AA$852</f>
        <v>0</v>
      </c>
      <c r="P852" s="57"/>
      <c r="Q852" s="57"/>
      <c r="R852" s="57"/>
      <c r="S852" s="57"/>
      <c r="T852" s="57"/>
      <c r="U852" s="57"/>
      <c r="V852" s="57"/>
      <c r="W852" s="57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</row>
    <row r="853" spans="1:36" ht="11.25" customHeight="1" x14ac:dyDescent="0.2">
      <c r="A853" s="53" t="s">
        <v>27</v>
      </c>
      <c r="B853" s="53" t="s">
        <v>33</v>
      </c>
      <c r="C853" s="53" t="s">
        <v>34</v>
      </c>
      <c r="D853" s="53" t="s">
        <v>40</v>
      </c>
      <c r="E853" s="53" t="s">
        <v>25</v>
      </c>
      <c r="F853" s="53" t="s">
        <v>25</v>
      </c>
      <c r="G853" s="53" t="s">
        <v>25</v>
      </c>
      <c r="H853" s="53" t="s">
        <v>36</v>
      </c>
      <c r="I853" s="75">
        <v>44409</v>
      </c>
      <c r="J853" s="76">
        <f>EFEITO!$J$853*EFEITO!$Y$853</f>
        <v>0</v>
      </c>
      <c r="K853" s="76">
        <f ca="1">EFEITO!$L$853*EFEITO!$Z$853</f>
        <v>-820.31582956564728</v>
      </c>
      <c r="L853" s="76">
        <f>EFEITO!$N$853*EFEITO!$AA$853</f>
        <v>-1891.4664306440593</v>
      </c>
      <c r="M853" s="76">
        <f>$J$853-EFEITO!$K$853*EFEITO!$Y$853</f>
        <v>0</v>
      </c>
      <c r="N853" s="76">
        <f ca="1">$K$853-EFEITO!$M$853*EFEITO!$Z$853</f>
        <v>0</v>
      </c>
      <c r="O853" s="76">
        <f>$L$853-EFEITO!$O$853*EFEITO!$AA$853</f>
        <v>0</v>
      </c>
      <c r="P853" s="57"/>
      <c r="Q853" s="57"/>
      <c r="R853" s="57"/>
      <c r="S853" s="57"/>
      <c r="T853" s="57"/>
      <c r="U853" s="57"/>
      <c r="V853" s="57"/>
      <c r="W853" s="57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</row>
    <row r="854" spans="1:36" ht="11.25" customHeight="1" x14ac:dyDescent="0.2">
      <c r="A854" s="53" t="s">
        <v>28</v>
      </c>
      <c r="B854" s="53" t="s">
        <v>33</v>
      </c>
      <c r="C854" s="53" t="s">
        <v>34</v>
      </c>
      <c r="D854" s="53" t="s">
        <v>40</v>
      </c>
      <c r="E854" s="53" t="s">
        <v>25</v>
      </c>
      <c r="F854" s="53" t="s">
        <v>25</v>
      </c>
      <c r="G854" s="53" t="s">
        <v>25</v>
      </c>
      <c r="H854" s="53" t="s">
        <v>36</v>
      </c>
      <c r="I854" s="75">
        <v>44409</v>
      </c>
      <c r="J854" s="76">
        <f>EFEITO!$J$854*EFEITO!$Y$854</f>
        <v>0</v>
      </c>
      <c r="K854" s="76">
        <f ca="1">EFEITO!$L$854*EFEITO!$Z$854</f>
        <v>30762.901929019408</v>
      </c>
      <c r="L854" s="76">
        <f>EFEITO!$N$854*EFEITO!$AA$854</f>
        <v>70932.431401141293</v>
      </c>
      <c r="M854" s="76">
        <f>$J$854-EFEITO!$K$854*EFEITO!$Y$854</f>
        <v>0</v>
      </c>
      <c r="N854" s="76">
        <f ca="1">$K$854-EFEITO!$M$854*EFEITO!$Z$854</f>
        <v>0</v>
      </c>
      <c r="O854" s="76">
        <f>$L$854-EFEITO!$O$854*EFEITO!$AA$854</f>
        <v>0</v>
      </c>
      <c r="P854" s="57"/>
      <c r="Q854" s="57"/>
      <c r="R854" s="57"/>
      <c r="S854" s="57"/>
      <c r="T854" s="57"/>
      <c r="U854" s="57"/>
      <c r="V854" s="57"/>
      <c r="W854" s="57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spans="1:36" ht="11.25" customHeight="1" x14ac:dyDescent="0.2">
      <c r="A855" s="53" t="s">
        <v>21</v>
      </c>
      <c r="B855" s="53" t="s">
        <v>33</v>
      </c>
      <c r="C855" s="53" t="s">
        <v>34</v>
      </c>
      <c r="D855" s="53" t="s">
        <v>40</v>
      </c>
      <c r="E855" s="53" t="s">
        <v>25</v>
      </c>
      <c r="F855" s="53" t="s">
        <v>25</v>
      </c>
      <c r="G855" s="53" t="s">
        <v>25</v>
      </c>
      <c r="H855" s="53" t="s">
        <v>36</v>
      </c>
      <c r="I855" s="75">
        <v>44409</v>
      </c>
      <c r="J855" s="76">
        <f>EFEITO!$J$855*EFEITO!$Y$855</f>
        <v>0</v>
      </c>
      <c r="K855" s="76">
        <f ca="1">EFEITO!$L$855*EFEITO!$Z$855</f>
        <v>76855.808696482738</v>
      </c>
      <c r="L855" s="76">
        <f>EFEITO!$N$855*EFEITO!$AA$855</f>
        <v>0</v>
      </c>
      <c r="M855" s="76">
        <f>$J$855-EFEITO!$K$855*EFEITO!$Y$855</f>
        <v>0</v>
      </c>
      <c r="N855" s="76">
        <f ca="1">$K$855-EFEITO!$M$855*EFEITO!$Z$855</f>
        <v>0</v>
      </c>
      <c r="O855" s="76">
        <f>$L$855-EFEITO!$O$855*EFEITO!$AA$855</f>
        <v>0</v>
      </c>
      <c r="P855" s="57"/>
      <c r="Q855" s="57"/>
      <c r="R855" s="57"/>
      <c r="S855" s="57"/>
      <c r="T855" s="57"/>
      <c r="U855" s="57"/>
      <c r="V855" s="57"/>
      <c r="W855" s="57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</row>
    <row r="856" spans="1:36" ht="11.25" customHeight="1" x14ac:dyDescent="0.2">
      <c r="A856" s="53" t="s">
        <v>21</v>
      </c>
      <c r="B856" s="53" t="s">
        <v>33</v>
      </c>
      <c r="C856" s="53" t="s">
        <v>34</v>
      </c>
      <c r="D856" s="53" t="s">
        <v>40</v>
      </c>
      <c r="E856" s="53" t="s">
        <v>25</v>
      </c>
      <c r="F856" s="53" t="s">
        <v>25</v>
      </c>
      <c r="G856" s="53" t="s">
        <v>25</v>
      </c>
      <c r="H856" s="53" t="s">
        <v>36</v>
      </c>
      <c r="I856" s="75">
        <v>44440</v>
      </c>
      <c r="J856" s="76">
        <f>EFEITO!$J$856*EFEITO!$Y$856</f>
        <v>0</v>
      </c>
      <c r="K856" s="76">
        <f ca="1">EFEITO!$L$856*EFEITO!$Z$856</f>
        <v>771279.02847576758</v>
      </c>
      <c r="L856" s="76">
        <f>EFEITO!$N$856*EFEITO!$AA$856</f>
        <v>1778398.4392866467</v>
      </c>
      <c r="M856" s="76">
        <f>$J$856-EFEITO!$K$856*EFEITO!$Y$856</f>
        <v>0</v>
      </c>
      <c r="N856" s="76">
        <f ca="1">$K$856-EFEITO!$M$856*EFEITO!$Z$856</f>
        <v>0</v>
      </c>
      <c r="O856" s="76">
        <f>$L$856-EFEITO!$O$856*EFEITO!$AA$856</f>
        <v>0</v>
      </c>
      <c r="P856" s="57"/>
      <c r="Q856" s="57"/>
      <c r="R856" s="57"/>
      <c r="S856" s="57"/>
      <c r="T856" s="57"/>
      <c r="U856" s="57"/>
      <c r="V856" s="57"/>
      <c r="W856" s="57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</row>
    <row r="857" spans="1:36" ht="11.25" customHeight="1" x14ac:dyDescent="0.2">
      <c r="A857" s="53" t="s">
        <v>27</v>
      </c>
      <c r="B857" s="53" t="s">
        <v>33</v>
      </c>
      <c r="C857" s="53" t="s">
        <v>34</v>
      </c>
      <c r="D857" s="53" t="s">
        <v>40</v>
      </c>
      <c r="E857" s="53" t="s">
        <v>25</v>
      </c>
      <c r="F857" s="53" t="s">
        <v>25</v>
      </c>
      <c r="G857" s="53" t="s">
        <v>25</v>
      </c>
      <c r="H857" s="53" t="s">
        <v>36</v>
      </c>
      <c r="I857" s="75">
        <v>44440</v>
      </c>
      <c r="J857" s="76">
        <f>EFEITO!$J$857*EFEITO!$Y$857</f>
        <v>0</v>
      </c>
      <c r="K857" s="76">
        <f ca="1">EFEITO!$L$857*EFEITO!$Z$857</f>
        <v>51.975286219612393</v>
      </c>
      <c r="L857" s="76">
        <f>EFEITO!$N$857*EFEITO!$AA$857</f>
        <v>119.84348657463792</v>
      </c>
      <c r="M857" s="76">
        <f>$J$857-EFEITO!$K$857*EFEITO!$Y$857</f>
        <v>0</v>
      </c>
      <c r="N857" s="76">
        <f ca="1">$K$857-EFEITO!$M$857*EFEITO!$Z$857</f>
        <v>0</v>
      </c>
      <c r="O857" s="76">
        <f>$L$857-EFEITO!$O$857*EFEITO!$AA$857</f>
        <v>0</v>
      </c>
      <c r="P857" s="57"/>
      <c r="Q857" s="57"/>
      <c r="R857" s="57"/>
      <c r="S857" s="57"/>
      <c r="T857" s="57"/>
      <c r="U857" s="57"/>
      <c r="V857" s="57"/>
      <c r="W857" s="57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</row>
    <row r="858" spans="1:36" ht="11.25" customHeight="1" x14ac:dyDescent="0.2">
      <c r="A858" s="53" t="s">
        <v>28</v>
      </c>
      <c r="B858" s="53" t="s">
        <v>33</v>
      </c>
      <c r="C858" s="53" t="s">
        <v>34</v>
      </c>
      <c r="D858" s="53" t="s">
        <v>40</v>
      </c>
      <c r="E858" s="53" t="s">
        <v>25</v>
      </c>
      <c r="F858" s="53" t="s">
        <v>25</v>
      </c>
      <c r="G858" s="53" t="s">
        <v>25</v>
      </c>
      <c r="H858" s="53" t="s">
        <v>36</v>
      </c>
      <c r="I858" s="75">
        <v>44440</v>
      </c>
      <c r="J858" s="76">
        <f>EFEITO!$J$858*EFEITO!$Y$858</f>
        <v>0</v>
      </c>
      <c r="K858" s="76">
        <f ca="1">EFEITO!$L$858*EFEITO!$Z$858</f>
        <v>27652.14577143202</v>
      </c>
      <c r="L858" s="76">
        <f>EFEITO!$N$858*EFEITO!$AA$858</f>
        <v>63759.717387916251</v>
      </c>
      <c r="M858" s="76">
        <f>$J$858-EFEITO!$K$858*EFEITO!$Y$858</f>
        <v>0</v>
      </c>
      <c r="N858" s="76">
        <f ca="1">$K$858-EFEITO!$M$858*EFEITO!$Z$858</f>
        <v>0</v>
      </c>
      <c r="O858" s="76">
        <f>$L$858-EFEITO!$O$858*EFEITO!$AA$858</f>
        <v>0</v>
      </c>
      <c r="P858" s="57"/>
      <c r="Q858" s="57"/>
      <c r="R858" s="57"/>
      <c r="S858" s="57"/>
      <c r="T858" s="57"/>
      <c r="U858" s="57"/>
      <c r="V858" s="57"/>
      <c r="W858" s="57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</row>
    <row r="859" spans="1:36" ht="11.25" customHeight="1" x14ac:dyDescent="0.2">
      <c r="A859" s="53" t="s">
        <v>21</v>
      </c>
      <c r="B859" s="53" t="s">
        <v>33</v>
      </c>
      <c r="C859" s="53" t="s">
        <v>34</v>
      </c>
      <c r="D859" s="53" t="s">
        <v>40</v>
      </c>
      <c r="E859" s="53" t="s">
        <v>25</v>
      </c>
      <c r="F859" s="53" t="s">
        <v>25</v>
      </c>
      <c r="G859" s="53" t="s">
        <v>25</v>
      </c>
      <c r="H859" s="53" t="s">
        <v>36</v>
      </c>
      <c r="I859" s="75">
        <v>44440</v>
      </c>
      <c r="J859" s="76">
        <f>EFEITO!$J$859*EFEITO!$Y$859</f>
        <v>0</v>
      </c>
      <c r="K859" s="76">
        <f ca="1">EFEITO!$L$859*EFEITO!$Z$859</f>
        <v>90792.711236637624</v>
      </c>
      <c r="L859" s="76">
        <f>EFEITO!$N$859*EFEITO!$AA$859</f>
        <v>0</v>
      </c>
      <c r="M859" s="76">
        <f>$J$859-EFEITO!$K$859*EFEITO!$Y$859</f>
        <v>0</v>
      </c>
      <c r="N859" s="76">
        <f ca="1">$K$859-EFEITO!$M$859*EFEITO!$Z$859</f>
        <v>0</v>
      </c>
      <c r="O859" s="76">
        <f>$L$859-EFEITO!$O$859*EFEITO!$AA$859</f>
        <v>0</v>
      </c>
      <c r="P859" s="57"/>
      <c r="Q859" s="57"/>
      <c r="R859" s="57"/>
      <c r="S859" s="57"/>
      <c r="T859" s="57"/>
      <c r="U859" s="57"/>
      <c r="V859" s="57"/>
      <c r="W859" s="57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</row>
    <row r="860" spans="1:36" ht="11.25" customHeight="1" x14ac:dyDescent="0.2">
      <c r="A860" s="53" t="s">
        <v>21</v>
      </c>
      <c r="B860" s="53" t="s">
        <v>33</v>
      </c>
      <c r="C860" s="53" t="s">
        <v>34</v>
      </c>
      <c r="D860" s="53" t="s">
        <v>40</v>
      </c>
      <c r="E860" s="53" t="s">
        <v>25</v>
      </c>
      <c r="F860" s="53" t="s">
        <v>25</v>
      </c>
      <c r="G860" s="53" t="s">
        <v>25</v>
      </c>
      <c r="H860" s="53" t="s">
        <v>36</v>
      </c>
      <c r="I860" s="75">
        <v>44470</v>
      </c>
      <c r="J860" s="76">
        <f>EFEITO!$J$860*EFEITO!$Y$860</f>
        <v>0</v>
      </c>
      <c r="K860" s="76">
        <f ca="1">EFEITO!$L$860*EFEITO!$Z$860</f>
        <v>760706.40860245237</v>
      </c>
      <c r="L860" s="76">
        <f>EFEITO!$N$860*EFEITO!$AA$860</f>
        <v>1754020.3219157739</v>
      </c>
      <c r="M860" s="76">
        <f>$J$860-EFEITO!$K$860*EFEITO!$Y$860</f>
        <v>0</v>
      </c>
      <c r="N860" s="76">
        <f ca="1">$K$860-EFEITO!$M$860*EFEITO!$Z$860</f>
        <v>0</v>
      </c>
      <c r="O860" s="76">
        <f>$L$860-EFEITO!$O$860*EFEITO!$AA$860</f>
        <v>0</v>
      </c>
      <c r="P860" s="57"/>
      <c r="Q860" s="57"/>
      <c r="R860" s="57"/>
      <c r="S860" s="57"/>
      <c r="T860" s="57"/>
      <c r="U860" s="57"/>
      <c r="V860" s="57"/>
      <c r="W860" s="57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spans="1:36" ht="11.25" customHeight="1" x14ac:dyDescent="0.2">
      <c r="A861" s="53" t="s">
        <v>27</v>
      </c>
      <c r="B861" s="53" t="s">
        <v>33</v>
      </c>
      <c r="C861" s="53" t="s">
        <v>34</v>
      </c>
      <c r="D861" s="53" t="s">
        <v>40</v>
      </c>
      <c r="E861" s="53" t="s">
        <v>25</v>
      </c>
      <c r="F861" s="53" t="s">
        <v>25</v>
      </c>
      <c r="G861" s="53" t="s">
        <v>25</v>
      </c>
      <c r="H861" s="53" t="s">
        <v>36</v>
      </c>
      <c r="I861" s="75">
        <v>44470</v>
      </c>
      <c r="J861" s="76">
        <f>EFEITO!$J$861*EFEITO!$Y$861</f>
        <v>0</v>
      </c>
      <c r="K861" s="76">
        <f ca="1">EFEITO!$L$861*EFEITO!$Z$861</f>
        <v>-12096.718707460965</v>
      </c>
      <c r="L861" s="76">
        <f>EFEITO!$N$861*EFEITO!$AA$861</f>
        <v>-27892.351374252437</v>
      </c>
      <c r="M861" s="76">
        <f>$J$861-EFEITO!$K$861*EFEITO!$Y$861</f>
        <v>0</v>
      </c>
      <c r="N861" s="76">
        <f ca="1">$K$861-EFEITO!$M$861*EFEITO!$Z$861</f>
        <v>0</v>
      </c>
      <c r="O861" s="76">
        <f>$L$861-EFEITO!$O$861*EFEITO!$AA$861</f>
        <v>0</v>
      </c>
      <c r="P861" s="57"/>
      <c r="Q861" s="57"/>
      <c r="R861" s="57"/>
      <c r="S861" s="57"/>
      <c r="T861" s="57"/>
      <c r="U861" s="57"/>
      <c r="V861" s="57"/>
      <c r="W861" s="57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</row>
    <row r="862" spans="1:36" ht="11.25" customHeight="1" x14ac:dyDescent="0.2">
      <c r="A862" s="53" t="s">
        <v>28</v>
      </c>
      <c r="B862" s="53" t="s">
        <v>33</v>
      </c>
      <c r="C862" s="53" t="s">
        <v>34</v>
      </c>
      <c r="D862" s="53" t="s">
        <v>40</v>
      </c>
      <c r="E862" s="53" t="s">
        <v>25</v>
      </c>
      <c r="F862" s="53" t="s">
        <v>25</v>
      </c>
      <c r="G862" s="53" t="s">
        <v>25</v>
      </c>
      <c r="H862" s="53" t="s">
        <v>36</v>
      </c>
      <c r="I862" s="75">
        <v>44470</v>
      </c>
      <c r="J862" s="76">
        <f>EFEITO!$J$862*EFEITO!$Y$862</f>
        <v>0</v>
      </c>
      <c r="K862" s="76">
        <f ca="1">EFEITO!$L$862*EFEITO!$Z$862</f>
        <v>32430.932325004029</v>
      </c>
      <c r="L862" s="76">
        <f>EFEITO!$N$862*EFEITO!$AA$862</f>
        <v>74778.539675035499</v>
      </c>
      <c r="M862" s="76">
        <f>$J$862-EFEITO!$K$862*EFEITO!$Y$862</f>
        <v>0</v>
      </c>
      <c r="N862" s="76">
        <f ca="1">$K$862-EFEITO!$M$862*EFEITO!$Z$862</f>
        <v>0</v>
      </c>
      <c r="O862" s="76">
        <f>$L$862-EFEITO!$O$862*EFEITO!$AA$862</f>
        <v>0</v>
      </c>
      <c r="P862" s="57"/>
      <c r="Q862" s="57"/>
      <c r="R862" s="57"/>
      <c r="S862" s="57"/>
      <c r="T862" s="57"/>
      <c r="U862" s="57"/>
      <c r="V862" s="57"/>
      <c r="W862" s="57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</row>
    <row r="863" spans="1:36" ht="11.25" customHeight="1" x14ac:dyDescent="0.2">
      <c r="A863" s="53" t="s">
        <v>21</v>
      </c>
      <c r="B863" s="53" t="s">
        <v>33</v>
      </c>
      <c r="C863" s="53" t="s">
        <v>34</v>
      </c>
      <c r="D863" s="53" t="s">
        <v>40</v>
      </c>
      <c r="E863" s="53" t="s">
        <v>25</v>
      </c>
      <c r="F863" s="53" t="s">
        <v>25</v>
      </c>
      <c r="G863" s="53" t="s">
        <v>25</v>
      </c>
      <c r="H863" s="53" t="s">
        <v>36</v>
      </c>
      <c r="I863" s="75">
        <v>44470</v>
      </c>
      <c r="J863" s="76">
        <f>EFEITO!$J$863*EFEITO!$Y$863</f>
        <v>0</v>
      </c>
      <c r="K863" s="76">
        <f ca="1">EFEITO!$L$863*EFEITO!$Z$863</f>
        <v>90620.675391073615</v>
      </c>
      <c r="L863" s="76">
        <f>EFEITO!$N$863*EFEITO!$AA$863</f>
        <v>0</v>
      </c>
      <c r="M863" s="76">
        <f>$J$863-EFEITO!$K$863*EFEITO!$Y$863</f>
        <v>0</v>
      </c>
      <c r="N863" s="76">
        <f ca="1">$K$863-EFEITO!$M$863*EFEITO!$Z$863</f>
        <v>0</v>
      </c>
      <c r="O863" s="76">
        <f>$L$863-EFEITO!$O$863*EFEITO!$AA$863</f>
        <v>0</v>
      </c>
      <c r="P863" s="57"/>
      <c r="Q863" s="57"/>
      <c r="R863" s="57"/>
      <c r="S863" s="57"/>
      <c r="T863" s="57"/>
      <c r="U863" s="57"/>
      <c r="V863" s="57"/>
      <c r="W863" s="57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spans="1:36" ht="11.25" customHeight="1" x14ac:dyDescent="0.2">
      <c r="A864" s="53" t="s">
        <v>21</v>
      </c>
      <c r="B864" s="53" t="s">
        <v>33</v>
      </c>
      <c r="C864" s="53" t="s">
        <v>34</v>
      </c>
      <c r="D864" s="53" t="s">
        <v>40</v>
      </c>
      <c r="E864" s="53" t="s">
        <v>25</v>
      </c>
      <c r="F864" s="53" t="s">
        <v>25</v>
      </c>
      <c r="G864" s="53" t="s">
        <v>25</v>
      </c>
      <c r="H864" s="53" t="s">
        <v>36</v>
      </c>
      <c r="I864" s="75">
        <v>44501</v>
      </c>
      <c r="J864" s="76">
        <f>EFEITO!$J$864*EFEITO!$Y$864</f>
        <v>0</v>
      </c>
      <c r="K864" s="76">
        <f ca="1">EFEITO!$L$864*EFEITO!$Z$864</f>
        <v>730563.2120091283</v>
      </c>
      <c r="L864" s="76">
        <f>EFEITO!$N$864*EFEITO!$AA$864</f>
        <v>1684516.7936237918</v>
      </c>
      <c r="M864" s="76">
        <f>$J$864-EFEITO!$K$864*EFEITO!$Y$864</f>
        <v>0</v>
      </c>
      <c r="N864" s="76">
        <f ca="1">$K$864-EFEITO!$M$864*EFEITO!$Z$864</f>
        <v>0</v>
      </c>
      <c r="O864" s="76">
        <f>$L$864-EFEITO!$O$864*EFEITO!$AA$864</f>
        <v>0</v>
      </c>
      <c r="P864" s="57"/>
      <c r="Q864" s="57"/>
      <c r="R864" s="57"/>
      <c r="S864" s="57"/>
      <c r="T864" s="57"/>
      <c r="U864" s="57"/>
      <c r="V864" s="57"/>
      <c r="W864" s="57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1:36" ht="11.25" customHeight="1" x14ac:dyDescent="0.2">
      <c r="A865" s="53" t="s">
        <v>27</v>
      </c>
      <c r="B865" s="53" t="s">
        <v>33</v>
      </c>
      <c r="C865" s="53" t="s">
        <v>34</v>
      </c>
      <c r="D865" s="53" t="s">
        <v>40</v>
      </c>
      <c r="E865" s="53" t="s">
        <v>25</v>
      </c>
      <c r="F865" s="53" t="s">
        <v>25</v>
      </c>
      <c r="G865" s="53" t="s">
        <v>25</v>
      </c>
      <c r="H865" s="53" t="s">
        <v>36</v>
      </c>
      <c r="I865" s="75">
        <v>44501</v>
      </c>
      <c r="J865" s="76">
        <f>EFEITO!$J$865*EFEITO!$Y$865</f>
        <v>0</v>
      </c>
      <c r="K865" s="76">
        <f ca="1">EFEITO!$L$865*EFEITO!$Z$865</f>
        <v>19764.366927452018</v>
      </c>
      <c r="L865" s="76">
        <f>EFEITO!$N$865*EFEITO!$AA$865</f>
        <v>45572.248174220404</v>
      </c>
      <c r="M865" s="76">
        <f>$J$865-EFEITO!$K$865*EFEITO!$Y$865</f>
        <v>0</v>
      </c>
      <c r="N865" s="76">
        <f ca="1">$K$865-EFEITO!$M$865*EFEITO!$Z$865</f>
        <v>0</v>
      </c>
      <c r="O865" s="76">
        <f>$L$865-EFEITO!$O$865*EFEITO!$AA$865</f>
        <v>0</v>
      </c>
      <c r="P865" s="57"/>
      <c r="Q865" s="57"/>
      <c r="R865" s="57"/>
      <c r="S865" s="57"/>
      <c r="T865" s="57"/>
      <c r="U865" s="57"/>
      <c r="V865" s="57"/>
      <c r="W865" s="57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</row>
    <row r="866" spans="1:36" ht="11.25" customHeight="1" x14ac:dyDescent="0.2">
      <c r="A866" s="53" t="s">
        <v>28</v>
      </c>
      <c r="B866" s="53" t="s">
        <v>33</v>
      </c>
      <c r="C866" s="53" t="s">
        <v>34</v>
      </c>
      <c r="D866" s="53" t="s">
        <v>40</v>
      </c>
      <c r="E866" s="53" t="s">
        <v>25</v>
      </c>
      <c r="F866" s="53" t="s">
        <v>25</v>
      </c>
      <c r="G866" s="53" t="s">
        <v>25</v>
      </c>
      <c r="H866" s="53" t="s">
        <v>36</v>
      </c>
      <c r="I866" s="75">
        <v>44501</v>
      </c>
      <c r="J866" s="76">
        <f>EFEITO!$J$866*EFEITO!$Y$866</f>
        <v>0</v>
      </c>
      <c r="K866" s="76">
        <f ca="1">EFEITO!$L$866*EFEITO!$Z$866</f>
        <v>31916.823837781983</v>
      </c>
      <c r="L866" s="76">
        <f>EFEITO!$N$866*EFEITO!$AA$866</f>
        <v>73593.119486564203</v>
      </c>
      <c r="M866" s="76">
        <f>$J$866-EFEITO!$K$866*EFEITO!$Y$866</f>
        <v>0</v>
      </c>
      <c r="N866" s="76">
        <f ca="1">$K$866-EFEITO!$M$866*EFEITO!$Z$866</f>
        <v>0</v>
      </c>
      <c r="O866" s="76">
        <f>$L$866-EFEITO!$O$866*EFEITO!$AA$866</f>
        <v>0</v>
      </c>
      <c r="P866" s="57"/>
      <c r="Q866" s="57"/>
      <c r="R866" s="57"/>
      <c r="S866" s="57"/>
      <c r="T866" s="57"/>
      <c r="U866" s="57"/>
      <c r="V866" s="57"/>
      <c r="W866" s="57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spans="1:36" ht="11.25" customHeight="1" x14ac:dyDescent="0.2">
      <c r="A867" s="53" t="s">
        <v>21</v>
      </c>
      <c r="B867" s="53" t="s">
        <v>33</v>
      </c>
      <c r="C867" s="53" t="s">
        <v>34</v>
      </c>
      <c r="D867" s="53" t="s">
        <v>40</v>
      </c>
      <c r="E867" s="53" t="s">
        <v>25</v>
      </c>
      <c r="F867" s="53" t="s">
        <v>25</v>
      </c>
      <c r="G867" s="53" t="s">
        <v>25</v>
      </c>
      <c r="H867" s="53" t="s">
        <v>36</v>
      </c>
      <c r="I867" s="75">
        <v>44501</v>
      </c>
      <c r="J867" s="76">
        <f>EFEITO!$J$867*EFEITO!$Y$867</f>
        <v>0</v>
      </c>
      <c r="K867" s="76">
        <f ca="1">EFEITO!$L$867*EFEITO!$Z$867</f>
        <v>81322.978715027653</v>
      </c>
      <c r="L867" s="76">
        <f>EFEITO!$N$867*EFEITO!$AA$867</f>
        <v>0</v>
      </c>
      <c r="M867" s="76">
        <f>$J$867-EFEITO!$K$867*EFEITO!$Y$867</f>
        <v>0</v>
      </c>
      <c r="N867" s="76">
        <f ca="1">$K$867-EFEITO!$M$867*EFEITO!$Z$867</f>
        <v>0</v>
      </c>
      <c r="O867" s="76">
        <f>$L$867-EFEITO!$O$867*EFEITO!$AA$867</f>
        <v>0</v>
      </c>
      <c r="P867" s="57"/>
      <c r="Q867" s="57"/>
      <c r="R867" s="57"/>
      <c r="S867" s="57"/>
      <c r="T867" s="57"/>
      <c r="U867" s="57"/>
      <c r="V867" s="57"/>
      <c r="W867" s="57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</row>
    <row r="868" spans="1:36" ht="11.25" customHeight="1" x14ac:dyDescent="0.2">
      <c r="A868" s="53" t="s">
        <v>21</v>
      </c>
      <c r="B868" s="53" t="s">
        <v>33</v>
      </c>
      <c r="C868" s="53" t="s">
        <v>34</v>
      </c>
      <c r="D868" s="53" t="s">
        <v>40</v>
      </c>
      <c r="E868" s="53" t="s">
        <v>25</v>
      </c>
      <c r="F868" s="53" t="s">
        <v>25</v>
      </c>
      <c r="G868" s="53" t="s">
        <v>25</v>
      </c>
      <c r="H868" s="53" t="s">
        <v>36</v>
      </c>
      <c r="I868" s="75">
        <v>44531</v>
      </c>
      <c r="J868" s="76">
        <f>EFEITO!$J$868*EFEITO!$Y$868</f>
        <v>0</v>
      </c>
      <c r="K868" s="76">
        <f ca="1">EFEITO!$L$868*EFEITO!$Z$868</f>
        <v>746297.61279623571</v>
      </c>
      <c r="L868" s="76">
        <f>EFEITO!$N$868*EFEITO!$AA$868</f>
        <v>1720796.8333627195</v>
      </c>
      <c r="M868" s="76">
        <f>$J$868-EFEITO!$K$868*EFEITO!$Y$868</f>
        <v>0</v>
      </c>
      <c r="N868" s="76">
        <f ca="1">$K$868-EFEITO!$M$868*EFEITO!$Z$868</f>
        <v>0</v>
      </c>
      <c r="O868" s="76">
        <f>$L$868-EFEITO!$O$868*EFEITO!$AA$868</f>
        <v>0</v>
      </c>
      <c r="P868" s="57"/>
      <c r="Q868" s="57"/>
      <c r="R868" s="57"/>
      <c r="S868" s="57"/>
      <c r="T868" s="57"/>
      <c r="U868" s="57"/>
      <c r="V868" s="57"/>
      <c r="W868" s="57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</row>
    <row r="869" spans="1:36" ht="11.25" customHeight="1" x14ac:dyDescent="0.2">
      <c r="A869" s="53" t="s">
        <v>27</v>
      </c>
      <c r="B869" s="53" t="s">
        <v>33</v>
      </c>
      <c r="C869" s="53" t="s">
        <v>34</v>
      </c>
      <c r="D869" s="53" t="s">
        <v>40</v>
      </c>
      <c r="E869" s="53" t="s">
        <v>25</v>
      </c>
      <c r="F869" s="53" t="s">
        <v>25</v>
      </c>
      <c r="G869" s="53" t="s">
        <v>25</v>
      </c>
      <c r="H869" s="53" t="s">
        <v>36</v>
      </c>
      <c r="I869" s="75">
        <v>44531</v>
      </c>
      <c r="J869" s="76">
        <f>EFEITO!$J$869*EFEITO!$Y$869</f>
        <v>0</v>
      </c>
      <c r="K869" s="76">
        <f ca="1">EFEITO!$L$869*EFEITO!$Z$869</f>
        <v>13426.086605001052</v>
      </c>
      <c r="L869" s="76">
        <f>EFEITO!$N$869*EFEITO!$AA$869</f>
        <v>30957.579011642218</v>
      </c>
      <c r="M869" s="76">
        <f>$J$869-EFEITO!$K$869*EFEITO!$Y$869</f>
        <v>0</v>
      </c>
      <c r="N869" s="76">
        <f ca="1">$K$869-EFEITO!$M$869*EFEITO!$Z$869</f>
        <v>0</v>
      </c>
      <c r="O869" s="76">
        <f>$L$869-EFEITO!$O$869*EFEITO!$AA$869</f>
        <v>0</v>
      </c>
      <c r="P869" s="57"/>
      <c r="Q869" s="57"/>
      <c r="R869" s="57"/>
      <c r="S869" s="57"/>
      <c r="T869" s="57"/>
      <c r="U869" s="57"/>
      <c r="V869" s="57"/>
      <c r="W869" s="57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</row>
    <row r="870" spans="1:36" ht="11.25" customHeight="1" x14ac:dyDescent="0.2">
      <c r="A870" s="53" t="s">
        <v>28</v>
      </c>
      <c r="B870" s="53" t="s">
        <v>33</v>
      </c>
      <c r="C870" s="53" t="s">
        <v>34</v>
      </c>
      <c r="D870" s="53" t="s">
        <v>40</v>
      </c>
      <c r="E870" s="53" t="s">
        <v>25</v>
      </c>
      <c r="F870" s="53" t="s">
        <v>25</v>
      </c>
      <c r="G870" s="53" t="s">
        <v>25</v>
      </c>
      <c r="H870" s="53" t="s">
        <v>36</v>
      </c>
      <c r="I870" s="75">
        <v>44531</v>
      </c>
      <c r="J870" s="76">
        <f>EFEITO!$J$870*EFEITO!$Y$870</f>
        <v>0</v>
      </c>
      <c r="K870" s="76">
        <f ca="1">EFEITO!$L$870*EFEITO!$Z$870</f>
        <v>36040.392529780052</v>
      </c>
      <c r="L870" s="76">
        <f>EFEITO!$N$870*EFEITO!$AA$870</f>
        <v>83101.154653335296</v>
      </c>
      <c r="M870" s="76">
        <f>$J$870-EFEITO!$K$870*EFEITO!$Y$870</f>
        <v>0</v>
      </c>
      <c r="N870" s="76">
        <f ca="1">$K$870-EFEITO!$M$870*EFEITO!$Z$870</f>
        <v>0</v>
      </c>
      <c r="O870" s="76">
        <f>$L$870-EFEITO!$O$870*EFEITO!$AA$870</f>
        <v>0</v>
      </c>
      <c r="P870" s="57"/>
      <c r="Q870" s="57"/>
      <c r="R870" s="57"/>
      <c r="S870" s="57"/>
      <c r="T870" s="57"/>
      <c r="U870" s="57"/>
      <c r="V870" s="57"/>
      <c r="W870" s="57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</row>
    <row r="871" spans="1:36" ht="11.25" customHeight="1" x14ac:dyDescent="0.2">
      <c r="A871" s="53" t="s">
        <v>21</v>
      </c>
      <c r="B871" s="53" t="s">
        <v>33</v>
      </c>
      <c r="C871" s="53" t="s">
        <v>34</v>
      </c>
      <c r="D871" s="53" t="s">
        <v>40</v>
      </c>
      <c r="E871" s="53" t="s">
        <v>25</v>
      </c>
      <c r="F871" s="53" t="s">
        <v>25</v>
      </c>
      <c r="G871" s="53" t="s">
        <v>25</v>
      </c>
      <c r="H871" s="53" t="s">
        <v>36</v>
      </c>
      <c r="I871" s="75">
        <v>44531</v>
      </c>
      <c r="J871" s="76">
        <f>EFEITO!$J$871*EFEITO!$Y$871</f>
        <v>0</v>
      </c>
      <c r="K871" s="76">
        <f ca="1">EFEITO!$L$871*EFEITO!$Z$871</f>
        <v>79762.779399276944</v>
      </c>
      <c r="L871" s="76">
        <f>EFEITO!$N$871*EFEITO!$AA$871</f>
        <v>0</v>
      </c>
      <c r="M871" s="76">
        <f>$J$871-EFEITO!$K$871*EFEITO!$Y$871</f>
        <v>0</v>
      </c>
      <c r="N871" s="76">
        <f ca="1">$K$871-EFEITO!$M$871*EFEITO!$Z$871</f>
        <v>0</v>
      </c>
      <c r="O871" s="76">
        <f>$L$871-EFEITO!$O$871*EFEITO!$AA$871</f>
        <v>0</v>
      </c>
      <c r="P871" s="57"/>
      <c r="Q871" s="57"/>
      <c r="R871" s="57"/>
      <c r="S871" s="57"/>
      <c r="T871" s="57"/>
      <c r="U871" s="57"/>
      <c r="V871" s="57"/>
      <c r="W871" s="57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</row>
    <row r="872" spans="1:36" ht="11.25" customHeight="1" x14ac:dyDescent="0.2">
      <c r="A872" s="53" t="s">
        <v>21</v>
      </c>
      <c r="B872" s="53" t="s">
        <v>33</v>
      </c>
      <c r="C872" s="53" t="s">
        <v>34</v>
      </c>
      <c r="D872" s="53" t="s">
        <v>40</v>
      </c>
      <c r="E872" s="53" t="s">
        <v>25</v>
      </c>
      <c r="F872" s="53" t="s">
        <v>25</v>
      </c>
      <c r="G872" s="53" t="s">
        <v>25</v>
      </c>
      <c r="H872" s="53" t="s">
        <v>36</v>
      </c>
      <c r="I872" s="75">
        <v>44562</v>
      </c>
      <c r="J872" s="76">
        <f>EFEITO!$J$872*EFEITO!$Y$872</f>
        <v>0</v>
      </c>
      <c r="K872" s="76">
        <f ca="1">EFEITO!$L$872*EFEITO!$Z$872</f>
        <v>710657.5005250338</v>
      </c>
      <c r="L872" s="76">
        <f>EFEITO!$N$872*EFEITO!$AA$872</f>
        <v>1638618.6362394749</v>
      </c>
      <c r="M872" s="76">
        <f>$J$872-EFEITO!$K$872*EFEITO!$Y$872</f>
        <v>0</v>
      </c>
      <c r="N872" s="76">
        <f ca="1">$K$872-EFEITO!$M$872*EFEITO!$Z$872</f>
        <v>0</v>
      </c>
      <c r="O872" s="76">
        <f>$L$872-EFEITO!$O$872*EFEITO!$AA$872</f>
        <v>0</v>
      </c>
      <c r="P872" s="57"/>
      <c r="Q872" s="57"/>
      <c r="R872" s="57"/>
      <c r="S872" s="57"/>
      <c r="T872" s="57"/>
      <c r="U872" s="57"/>
      <c r="V872" s="57"/>
      <c r="W872" s="57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spans="1:36" ht="11.25" customHeight="1" x14ac:dyDescent="0.2">
      <c r="A873" s="53" t="s">
        <v>27</v>
      </c>
      <c r="B873" s="53" t="s">
        <v>33</v>
      </c>
      <c r="C873" s="53" t="s">
        <v>34</v>
      </c>
      <c r="D873" s="53" t="s">
        <v>40</v>
      </c>
      <c r="E873" s="53" t="s">
        <v>25</v>
      </c>
      <c r="F873" s="53" t="s">
        <v>25</v>
      </c>
      <c r="G873" s="53" t="s">
        <v>25</v>
      </c>
      <c r="H873" s="53" t="s">
        <v>36</v>
      </c>
      <c r="I873" s="75">
        <v>44562</v>
      </c>
      <c r="J873" s="76">
        <f>EFEITO!$J$873*EFEITO!$Y$873</f>
        <v>0</v>
      </c>
      <c r="K873" s="76">
        <f ca="1">EFEITO!$L$873*EFEITO!$Z$873</f>
        <v>5892.4922906442926</v>
      </c>
      <c r="L873" s="76">
        <f>EFEITO!$N$873*EFEITO!$AA$873</f>
        <v>13586.780796957255</v>
      </c>
      <c r="M873" s="76">
        <f>$J$873-EFEITO!$K$873*EFEITO!$Y$873</f>
        <v>0</v>
      </c>
      <c r="N873" s="76">
        <f ca="1">$K$873-EFEITO!$M$873*EFEITO!$Z$873</f>
        <v>0</v>
      </c>
      <c r="O873" s="76">
        <f>$L$873-EFEITO!$O$873*EFEITO!$AA$873</f>
        <v>0</v>
      </c>
      <c r="P873" s="57"/>
      <c r="Q873" s="57"/>
      <c r="R873" s="57"/>
      <c r="S873" s="57"/>
      <c r="T873" s="57"/>
      <c r="U873" s="57"/>
      <c r="V873" s="57"/>
      <c r="W873" s="57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</row>
    <row r="874" spans="1:36" ht="11.25" customHeight="1" x14ac:dyDescent="0.2">
      <c r="A874" s="53" t="s">
        <v>28</v>
      </c>
      <c r="B874" s="53" t="s">
        <v>33</v>
      </c>
      <c r="C874" s="53" t="s">
        <v>34</v>
      </c>
      <c r="D874" s="53" t="s">
        <v>40</v>
      </c>
      <c r="E874" s="53" t="s">
        <v>25</v>
      </c>
      <c r="F874" s="53" t="s">
        <v>25</v>
      </c>
      <c r="G874" s="53" t="s">
        <v>25</v>
      </c>
      <c r="H874" s="53" t="s">
        <v>36</v>
      </c>
      <c r="I874" s="75">
        <v>44562</v>
      </c>
      <c r="J874" s="76">
        <f>EFEITO!$J$874*EFEITO!$Y$874</f>
        <v>0</v>
      </c>
      <c r="K874" s="76">
        <f ca="1">EFEITO!$L$874*EFEITO!$Z$874</f>
        <v>31843.799736554876</v>
      </c>
      <c r="L874" s="76">
        <f>EFEITO!$N$874*EFEITO!$AA$874</f>
        <v>73424.742099317926</v>
      </c>
      <c r="M874" s="76">
        <f>$J$874-EFEITO!$K$874*EFEITO!$Y$874</f>
        <v>0</v>
      </c>
      <c r="N874" s="76">
        <f ca="1">$K$874-EFEITO!$M$874*EFEITO!$Z$874</f>
        <v>0</v>
      </c>
      <c r="O874" s="76">
        <f>$L$874-EFEITO!$O$874*EFEITO!$AA$874</f>
        <v>0</v>
      </c>
      <c r="P874" s="57"/>
      <c r="Q874" s="57"/>
      <c r="R874" s="57"/>
      <c r="S874" s="57"/>
      <c r="T874" s="57"/>
      <c r="U874" s="57"/>
      <c r="V874" s="57"/>
      <c r="W874" s="57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</row>
    <row r="875" spans="1:36" ht="11.25" customHeight="1" x14ac:dyDescent="0.2">
      <c r="A875" s="53" t="s">
        <v>21</v>
      </c>
      <c r="B875" s="53" t="s">
        <v>33</v>
      </c>
      <c r="C875" s="53" t="s">
        <v>34</v>
      </c>
      <c r="D875" s="53" t="s">
        <v>40</v>
      </c>
      <c r="E875" s="53" t="s">
        <v>25</v>
      </c>
      <c r="F875" s="53" t="s">
        <v>25</v>
      </c>
      <c r="G875" s="53" t="s">
        <v>25</v>
      </c>
      <c r="H875" s="53" t="s">
        <v>36</v>
      </c>
      <c r="I875" s="75">
        <v>44562</v>
      </c>
      <c r="J875" s="76">
        <f>EFEITO!$J$875*EFEITO!$Y$875</f>
        <v>0</v>
      </c>
      <c r="K875" s="76">
        <f ca="1">EFEITO!$L$875*EFEITO!$Z$875</f>
        <v>90289.891499363715</v>
      </c>
      <c r="L875" s="76">
        <f>EFEITO!$N$875*EFEITO!$AA$875</f>
        <v>0</v>
      </c>
      <c r="M875" s="76">
        <f>$J$875-EFEITO!$K$875*EFEITO!$Y$875</f>
        <v>0</v>
      </c>
      <c r="N875" s="76">
        <f ca="1">$K$875-EFEITO!$M$875*EFEITO!$Z$875</f>
        <v>0</v>
      </c>
      <c r="O875" s="76">
        <f>$L$875-EFEITO!$O$875*EFEITO!$AA$875</f>
        <v>0</v>
      </c>
      <c r="P875" s="57"/>
      <c r="Q875" s="57"/>
      <c r="R875" s="57"/>
      <c r="S875" s="57"/>
      <c r="T875" s="57"/>
      <c r="U875" s="57"/>
      <c r="V875" s="57"/>
      <c r="W875" s="57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</row>
    <row r="876" spans="1:36" ht="11.25" customHeight="1" x14ac:dyDescent="0.2">
      <c r="A876" s="53" t="s">
        <v>21</v>
      </c>
      <c r="B876" s="53" t="s">
        <v>33</v>
      </c>
      <c r="C876" s="53" t="s">
        <v>34</v>
      </c>
      <c r="D876" s="53" t="s">
        <v>40</v>
      </c>
      <c r="E876" s="53" t="s">
        <v>25</v>
      </c>
      <c r="F876" s="53" t="s">
        <v>25</v>
      </c>
      <c r="G876" s="53" t="s">
        <v>25</v>
      </c>
      <c r="H876" s="53" t="s">
        <v>36</v>
      </c>
      <c r="I876" s="75">
        <v>44593</v>
      </c>
      <c r="J876" s="76">
        <f>EFEITO!$J$876*EFEITO!$Y$876</f>
        <v>0</v>
      </c>
      <c r="K876" s="76">
        <f ca="1">EFEITO!$L$876*EFEITO!$Z$876</f>
        <v>714311.29259158543</v>
      </c>
      <c r="L876" s="76">
        <f>EFEITO!$N$876*EFEITO!$AA$876</f>
        <v>1647043.4706622062</v>
      </c>
      <c r="M876" s="76">
        <f>$J$876-EFEITO!$K$876*EFEITO!$Y$876</f>
        <v>0</v>
      </c>
      <c r="N876" s="76">
        <f ca="1">$K$876-EFEITO!$M$876*EFEITO!$Z$876</f>
        <v>0</v>
      </c>
      <c r="O876" s="76">
        <f>$L$876-EFEITO!$O$876*EFEITO!$AA$876</f>
        <v>0</v>
      </c>
      <c r="P876" s="57"/>
      <c r="Q876" s="57"/>
      <c r="R876" s="57"/>
      <c r="S876" s="57"/>
      <c r="T876" s="57"/>
      <c r="U876" s="57"/>
      <c r="V876" s="57"/>
      <c r="W876" s="57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</row>
    <row r="877" spans="1:36" ht="11.25" customHeight="1" x14ac:dyDescent="0.2">
      <c r="A877" s="53" t="s">
        <v>27</v>
      </c>
      <c r="B877" s="53" t="s">
        <v>33</v>
      </c>
      <c r="C877" s="53" t="s">
        <v>34</v>
      </c>
      <c r="D877" s="53" t="s">
        <v>40</v>
      </c>
      <c r="E877" s="53" t="s">
        <v>25</v>
      </c>
      <c r="F877" s="53" t="s">
        <v>25</v>
      </c>
      <c r="G877" s="53" t="s">
        <v>25</v>
      </c>
      <c r="H877" s="53" t="s">
        <v>36</v>
      </c>
      <c r="I877" s="75">
        <v>44593</v>
      </c>
      <c r="J877" s="76">
        <f>EFEITO!$J$877*EFEITO!$Y$877</f>
        <v>0</v>
      </c>
      <c r="K877" s="76">
        <f ca="1">EFEITO!$L$877*EFEITO!$Z$877</f>
        <v>-4315.4774411166409</v>
      </c>
      <c r="L877" s="76">
        <f>EFEITO!$N$877*EFEITO!$AA$877</f>
        <v>-9950.5341941236129</v>
      </c>
      <c r="M877" s="76">
        <f>$J$877-EFEITO!$K$877*EFEITO!$Y$877</f>
        <v>0</v>
      </c>
      <c r="N877" s="76">
        <f ca="1">$K$877-EFEITO!$M$877*EFEITO!$Z$877</f>
        <v>0</v>
      </c>
      <c r="O877" s="76">
        <f>$L$877-EFEITO!$O$877*EFEITO!$AA$877</f>
        <v>0</v>
      </c>
      <c r="P877" s="57"/>
      <c r="Q877" s="57"/>
      <c r="R877" s="57"/>
      <c r="S877" s="57"/>
      <c r="T877" s="57"/>
      <c r="U877" s="57"/>
      <c r="V877" s="57"/>
      <c r="W877" s="57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</row>
    <row r="878" spans="1:36" ht="11.25" customHeight="1" x14ac:dyDescent="0.2">
      <c r="A878" s="53" t="s">
        <v>28</v>
      </c>
      <c r="B878" s="53" t="s">
        <v>33</v>
      </c>
      <c r="C878" s="53" t="s">
        <v>34</v>
      </c>
      <c r="D878" s="53" t="s">
        <v>40</v>
      </c>
      <c r="E878" s="53" t="s">
        <v>25</v>
      </c>
      <c r="F878" s="53" t="s">
        <v>25</v>
      </c>
      <c r="G878" s="53" t="s">
        <v>25</v>
      </c>
      <c r="H878" s="53" t="s">
        <v>36</v>
      </c>
      <c r="I878" s="75">
        <v>44593</v>
      </c>
      <c r="J878" s="76">
        <f>EFEITO!$J$878*EFEITO!$Y$878</f>
        <v>0</v>
      </c>
      <c r="K878" s="76">
        <f ca="1">EFEITO!$L$878*EFEITO!$Z$878</f>
        <v>29998.79466690393</v>
      </c>
      <c r="L878" s="76">
        <f>EFEITO!$N$878*EFEITO!$AA$878</f>
        <v>69170.56946502818</v>
      </c>
      <c r="M878" s="76">
        <f>$J$878-EFEITO!$K$878*EFEITO!$Y$878</f>
        <v>0</v>
      </c>
      <c r="N878" s="76">
        <f ca="1">$K$878-EFEITO!$M$878*EFEITO!$Z$878</f>
        <v>0</v>
      </c>
      <c r="O878" s="76">
        <f>$L$878-EFEITO!$O$878*EFEITO!$AA$878</f>
        <v>0</v>
      </c>
      <c r="P878" s="57"/>
      <c r="Q878" s="57"/>
      <c r="R878" s="57"/>
      <c r="S878" s="57"/>
      <c r="T878" s="57"/>
      <c r="U878" s="57"/>
      <c r="V878" s="57"/>
      <c r="W878" s="57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spans="1:36" ht="11.25" customHeight="1" x14ac:dyDescent="0.2">
      <c r="A879" s="53" t="s">
        <v>21</v>
      </c>
      <c r="B879" s="53" t="s">
        <v>33</v>
      </c>
      <c r="C879" s="53" t="s">
        <v>34</v>
      </c>
      <c r="D879" s="53" t="s">
        <v>40</v>
      </c>
      <c r="E879" s="53" t="s">
        <v>25</v>
      </c>
      <c r="F879" s="53" t="s">
        <v>25</v>
      </c>
      <c r="G879" s="53" t="s">
        <v>25</v>
      </c>
      <c r="H879" s="53" t="s">
        <v>36</v>
      </c>
      <c r="I879" s="75">
        <v>44593</v>
      </c>
      <c r="J879" s="76">
        <f>EFEITO!$J$879*EFEITO!$Y$879</f>
        <v>0</v>
      </c>
      <c r="K879" s="76">
        <f ca="1">EFEITO!$L$879*EFEITO!$Z$879</f>
        <v>92409.001528693218</v>
      </c>
      <c r="L879" s="76">
        <f>EFEITO!$N$879*EFEITO!$AA$879</f>
        <v>0</v>
      </c>
      <c r="M879" s="76">
        <f>$J$879-EFEITO!$K$879*EFEITO!$Y$879</f>
        <v>0</v>
      </c>
      <c r="N879" s="76">
        <f ca="1">$K$879-EFEITO!$M$879*EFEITO!$Z$879</f>
        <v>0</v>
      </c>
      <c r="O879" s="76">
        <f>$L$879-EFEITO!$O$879*EFEITO!$AA$879</f>
        <v>0</v>
      </c>
      <c r="P879" s="57"/>
      <c r="Q879" s="57"/>
      <c r="R879" s="57"/>
      <c r="S879" s="57"/>
      <c r="T879" s="57"/>
      <c r="U879" s="57"/>
      <c r="V879" s="57"/>
      <c r="W879" s="57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</row>
    <row r="880" spans="1:36" ht="11.25" customHeight="1" x14ac:dyDescent="0.2">
      <c r="A880" s="53" t="s">
        <v>21</v>
      </c>
      <c r="B880" s="53" t="s">
        <v>33</v>
      </c>
      <c r="C880" s="53" t="s">
        <v>34</v>
      </c>
      <c r="D880" s="53" t="s">
        <v>40</v>
      </c>
      <c r="E880" s="53" t="s">
        <v>25</v>
      </c>
      <c r="F880" s="53" t="s">
        <v>25</v>
      </c>
      <c r="G880" s="53" t="s">
        <v>25</v>
      </c>
      <c r="H880" s="53" t="s">
        <v>36</v>
      </c>
      <c r="I880" s="75">
        <v>44621</v>
      </c>
      <c r="J880" s="76">
        <f>EFEITO!$J$880*EFEITO!$Y$880</f>
        <v>0</v>
      </c>
      <c r="K880" s="76">
        <f ca="1">EFEITO!$L$880*EFEITO!$Z$880</f>
        <v>805022.0427999536</v>
      </c>
      <c r="L880" s="76">
        <f>EFEITO!$N$880*EFEITO!$AA$880</f>
        <v>1856202.349149917</v>
      </c>
      <c r="M880" s="76">
        <f>$J$880-EFEITO!$K$880*EFEITO!$Y$880</f>
        <v>0</v>
      </c>
      <c r="N880" s="76">
        <f ca="1">$K$880-EFEITO!$M$880*EFEITO!$Z$880</f>
        <v>0</v>
      </c>
      <c r="O880" s="76">
        <f>$L$880-EFEITO!$O$880*EFEITO!$AA$880</f>
        <v>0</v>
      </c>
      <c r="P880" s="57"/>
      <c r="Q880" s="57"/>
      <c r="R880" s="57"/>
      <c r="S880" s="57"/>
      <c r="T880" s="57"/>
      <c r="U880" s="57"/>
      <c r="V880" s="57"/>
      <c r="W880" s="57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</row>
    <row r="881" spans="1:36" ht="11.25" customHeight="1" x14ac:dyDescent="0.2">
      <c r="A881" s="53" t="s">
        <v>28</v>
      </c>
      <c r="B881" s="53" t="s">
        <v>33</v>
      </c>
      <c r="C881" s="53" t="s">
        <v>34</v>
      </c>
      <c r="D881" s="53" t="s">
        <v>40</v>
      </c>
      <c r="E881" s="53" t="s">
        <v>25</v>
      </c>
      <c r="F881" s="53" t="s">
        <v>25</v>
      </c>
      <c r="G881" s="53" t="s">
        <v>25</v>
      </c>
      <c r="H881" s="53" t="s">
        <v>36</v>
      </c>
      <c r="I881" s="75">
        <v>44621</v>
      </c>
      <c r="J881" s="76">
        <f>EFEITO!$J$881*EFEITO!$Y$881</f>
        <v>0</v>
      </c>
      <c r="K881" s="76">
        <f ca="1">EFEITO!$L$881*EFEITO!$Z$881</f>
        <v>45638.652173195536</v>
      </c>
      <c r="L881" s="76">
        <f>EFEITO!$N$881*EFEITO!$AA$881</f>
        <v>105232.6133595983</v>
      </c>
      <c r="M881" s="76">
        <f>$J$881-EFEITO!$K$881*EFEITO!$Y$881</f>
        <v>0</v>
      </c>
      <c r="N881" s="76">
        <f ca="1">$K$881-EFEITO!$M$881*EFEITO!$Z$881</f>
        <v>0</v>
      </c>
      <c r="O881" s="76">
        <f>$L$881-EFEITO!$O$881*EFEITO!$AA$881</f>
        <v>0</v>
      </c>
      <c r="P881" s="57"/>
      <c r="Q881" s="57"/>
      <c r="R881" s="57"/>
      <c r="S881" s="57"/>
      <c r="T881" s="57"/>
      <c r="U881" s="57"/>
      <c r="V881" s="57"/>
      <c r="W881" s="57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</row>
    <row r="882" spans="1:36" ht="11.25" customHeight="1" x14ac:dyDescent="0.2">
      <c r="A882" s="53" t="s">
        <v>21</v>
      </c>
      <c r="B882" s="53" t="s">
        <v>33</v>
      </c>
      <c r="C882" s="53" t="s">
        <v>34</v>
      </c>
      <c r="D882" s="53" t="s">
        <v>40</v>
      </c>
      <c r="E882" s="53" t="s">
        <v>25</v>
      </c>
      <c r="F882" s="53" t="s">
        <v>25</v>
      </c>
      <c r="G882" s="53" t="s">
        <v>25</v>
      </c>
      <c r="H882" s="53" t="s">
        <v>36</v>
      </c>
      <c r="I882" s="75">
        <v>44621</v>
      </c>
      <c r="J882" s="76">
        <f>EFEITO!$J$882*EFEITO!$Y$882</f>
        <v>0</v>
      </c>
      <c r="K882" s="76">
        <f ca="1">EFEITO!$L$882*EFEITO!$Z$882</f>
        <v>99546.901639138232</v>
      </c>
      <c r="L882" s="76">
        <f>EFEITO!$N$882*EFEITO!$AA$882</f>
        <v>0</v>
      </c>
      <c r="M882" s="76">
        <f>$J$882-EFEITO!$K$882*EFEITO!$Y$882</f>
        <v>0</v>
      </c>
      <c r="N882" s="76">
        <f ca="1">$K$882-EFEITO!$M$882*EFEITO!$Z$882</f>
        <v>0</v>
      </c>
      <c r="O882" s="76">
        <f>$L$882-EFEITO!$O$882*EFEITO!$AA$882</f>
        <v>0</v>
      </c>
      <c r="P882" s="57"/>
      <c r="Q882" s="57"/>
      <c r="R882" s="57"/>
      <c r="S882" s="57"/>
      <c r="T882" s="57"/>
      <c r="U882" s="57"/>
      <c r="V882" s="57"/>
      <c r="W882" s="57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</row>
    <row r="883" spans="1:36" ht="11.25" customHeight="1" x14ac:dyDescent="0.2">
      <c r="A883" s="53" t="s">
        <v>56</v>
      </c>
      <c r="B883" s="53" t="s">
        <v>33</v>
      </c>
      <c r="C883" s="53" t="s">
        <v>34</v>
      </c>
      <c r="D883" s="53" t="s">
        <v>40</v>
      </c>
      <c r="E883" s="53" t="s">
        <v>25</v>
      </c>
      <c r="F883" s="53" t="s">
        <v>25</v>
      </c>
      <c r="G883" s="53" t="s">
        <v>25</v>
      </c>
      <c r="H883" s="53" t="s">
        <v>36</v>
      </c>
      <c r="I883" s="75">
        <v>44652</v>
      </c>
      <c r="J883" s="76">
        <f>EFEITO!$J$883*EFEITO!$Y$883</f>
        <v>0</v>
      </c>
      <c r="K883" s="76">
        <f ca="1">EFEITO!$L$883*EFEITO!$Z$883</f>
        <v>805022.0427999536</v>
      </c>
      <c r="L883" s="76">
        <f>EFEITO!$N$883*EFEITO!$AA$883</f>
        <v>1856202.349149917</v>
      </c>
      <c r="M883" s="76">
        <f>$J$883-EFEITO!$K$883*EFEITO!$Y$883</f>
        <v>0</v>
      </c>
      <c r="N883" s="76">
        <f ca="1">$K$883-EFEITO!$M$883*EFEITO!$Z$883</f>
        <v>0</v>
      </c>
      <c r="O883" s="76">
        <f>$L$883-EFEITO!$O$883*EFEITO!$AA$883</f>
        <v>0</v>
      </c>
      <c r="P883" s="57"/>
      <c r="Q883" s="57"/>
      <c r="R883" s="57"/>
      <c r="S883" s="57"/>
      <c r="T883" s="57"/>
      <c r="U883" s="57"/>
      <c r="V883" s="57"/>
      <c r="W883" s="57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1:36" ht="11.25" customHeight="1" x14ac:dyDescent="0.2">
      <c r="A884" s="53" t="s">
        <v>56</v>
      </c>
      <c r="B884" s="53" t="s">
        <v>33</v>
      </c>
      <c r="C884" s="53" t="s">
        <v>34</v>
      </c>
      <c r="D884" s="53" t="s">
        <v>40</v>
      </c>
      <c r="E884" s="53" t="s">
        <v>25</v>
      </c>
      <c r="F884" s="53" t="s">
        <v>25</v>
      </c>
      <c r="G884" s="53" t="s">
        <v>25</v>
      </c>
      <c r="H884" s="53" t="s">
        <v>36</v>
      </c>
      <c r="I884" s="75">
        <v>44652</v>
      </c>
      <c r="J884" s="76">
        <f>EFEITO!$J$884*EFEITO!$Y$884</f>
        <v>0</v>
      </c>
      <c r="K884" s="76">
        <f ca="1">EFEITO!$L$884*EFEITO!$Z$884</f>
        <v>45638.652173195536</v>
      </c>
      <c r="L884" s="76">
        <f>EFEITO!$N$884*EFEITO!$AA$884</f>
        <v>105232.6133595983</v>
      </c>
      <c r="M884" s="76">
        <f>$J$884-EFEITO!$K$884*EFEITO!$Y$884</f>
        <v>0</v>
      </c>
      <c r="N884" s="76">
        <f ca="1">$K$884-EFEITO!$M$884*EFEITO!$Z$884</f>
        <v>0</v>
      </c>
      <c r="O884" s="76">
        <f>$L$884-EFEITO!$O$884*EFEITO!$AA$884</f>
        <v>0</v>
      </c>
      <c r="P884" s="57"/>
      <c r="Q884" s="57"/>
      <c r="R884" s="57"/>
      <c r="S884" s="57"/>
      <c r="T884" s="57"/>
      <c r="U884" s="57"/>
      <c r="V884" s="57"/>
      <c r="W884" s="57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spans="1:36" ht="11.25" customHeight="1" x14ac:dyDescent="0.2">
      <c r="A885" s="53" t="s">
        <v>56</v>
      </c>
      <c r="B885" s="53" t="s">
        <v>33</v>
      </c>
      <c r="C885" s="53" t="s">
        <v>34</v>
      </c>
      <c r="D885" s="53" t="s">
        <v>40</v>
      </c>
      <c r="E885" s="53" t="s">
        <v>25</v>
      </c>
      <c r="F885" s="53" t="s">
        <v>25</v>
      </c>
      <c r="G885" s="53" t="s">
        <v>25</v>
      </c>
      <c r="H885" s="53" t="s">
        <v>36</v>
      </c>
      <c r="I885" s="75">
        <v>44652</v>
      </c>
      <c r="J885" s="76">
        <f>EFEITO!$J$885*EFEITO!$Y$885</f>
        <v>0</v>
      </c>
      <c r="K885" s="76">
        <f ca="1">EFEITO!$L$885*EFEITO!$Z$885</f>
        <v>99546.901639138232</v>
      </c>
      <c r="L885" s="76">
        <f>EFEITO!$N$885*EFEITO!$AA$885</f>
        <v>0</v>
      </c>
      <c r="M885" s="76">
        <f>$J$885-EFEITO!$K$885*EFEITO!$Y$885</f>
        <v>0</v>
      </c>
      <c r="N885" s="76">
        <f ca="1">$K$885-EFEITO!$M$885*EFEITO!$Z$885</f>
        <v>0</v>
      </c>
      <c r="O885" s="76">
        <f>$L$885-EFEITO!$O$885*EFEITO!$AA$885</f>
        <v>0</v>
      </c>
      <c r="P885" s="57"/>
      <c r="Q885" s="57"/>
      <c r="R885" s="57"/>
      <c r="S885" s="57"/>
      <c r="T885" s="57"/>
      <c r="U885" s="57"/>
      <c r="V885" s="57"/>
      <c r="W885" s="57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</row>
    <row r="886" spans="1:36" ht="11.25" customHeight="1" x14ac:dyDescent="0.2">
      <c r="A886" s="53" t="s">
        <v>21</v>
      </c>
      <c r="B886" s="53" t="s">
        <v>33</v>
      </c>
      <c r="C886" s="53" t="s">
        <v>34</v>
      </c>
      <c r="D886" s="53" t="s">
        <v>40</v>
      </c>
      <c r="E886" s="53" t="s">
        <v>25</v>
      </c>
      <c r="F886" s="53" t="s">
        <v>25</v>
      </c>
      <c r="G886" s="53" t="s">
        <v>25</v>
      </c>
      <c r="H886" s="53" t="s">
        <v>25</v>
      </c>
      <c r="I886" s="75">
        <v>44317</v>
      </c>
      <c r="J886" s="76">
        <f ca="1">EFEITO!$J$886*EFEITO!$Y$886</f>
        <v>1024816.1658335135</v>
      </c>
      <c r="K886" s="76">
        <f>EFEITO!$L$886*EFEITO!$Z$886</f>
        <v>0</v>
      </c>
      <c r="L886" s="76">
        <f>EFEITO!$N$886*EFEITO!$AA$886</f>
        <v>0</v>
      </c>
      <c r="M886" s="76">
        <f ca="1">$J$886-EFEITO!$K$886*EFEITO!$Y$886</f>
        <v>0</v>
      </c>
      <c r="N886" s="76">
        <f>$K$886-EFEITO!$M$886*EFEITO!$Z$886</f>
        <v>0</v>
      </c>
      <c r="O886" s="76">
        <f>$L$886-EFEITO!$O$886*EFEITO!$AA$886</f>
        <v>0</v>
      </c>
      <c r="P886" s="57"/>
      <c r="Q886" s="57"/>
      <c r="R886" s="57"/>
      <c r="S886" s="57"/>
      <c r="T886" s="57"/>
      <c r="U886" s="57"/>
      <c r="V886" s="57"/>
      <c r="W886" s="57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</row>
    <row r="887" spans="1:36" ht="11.25" customHeight="1" x14ac:dyDescent="0.2">
      <c r="A887" s="53" t="s">
        <v>27</v>
      </c>
      <c r="B887" s="53" t="s">
        <v>33</v>
      </c>
      <c r="C887" s="53" t="s">
        <v>34</v>
      </c>
      <c r="D887" s="53" t="s">
        <v>40</v>
      </c>
      <c r="E887" s="53" t="s">
        <v>25</v>
      </c>
      <c r="F887" s="53" t="s">
        <v>25</v>
      </c>
      <c r="G887" s="53" t="s">
        <v>25</v>
      </c>
      <c r="H887" s="53" t="s">
        <v>25</v>
      </c>
      <c r="I887" s="75">
        <v>44317</v>
      </c>
      <c r="J887" s="76">
        <f ca="1">EFEITO!$J$887*EFEITO!$Y$887</f>
        <v>-838.75955992343791</v>
      </c>
      <c r="K887" s="76">
        <f>EFEITO!$L$887*EFEITO!$Z$887</f>
        <v>0</v>
      </c>
      <c r="L887" s="76">
        <f>EFEITO!$N$887*EFEITO!$AA$887</f>
        <v>0</v>
      </c>
      <c r="M887" s="76">
        <f ca="1">$J$887-EFEITO!$K$887*EFEITO!$Y$887</f>
        <v>0</v>
      </c>
      <c r="N887" s="76">
        <f>$K$887-EFEITO!$M$887*EFEITO!$Z$887</f>
        <v>0</v>
      </c>
      <c r="O887" s="76">
        <f>$L$887-EFEITO!$O$887*EFEITO!$AA$887</f>
        <v>0</v>
      </c>
      <c r="P887" s="57"/>
      <c r="Q887" s="57"/>
      <c r="R887" s="57"/>
      <c r="S887" s="57"/>
      <c r="T887" s="57"/>
      <c r="U887" s="57"/>
      <c r="V887" s="57"/>
      <c r="W887" s="57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</row>
    <row r="888" spans="1:36" ht="11.25" customHeight="1" x14ac:dyDescent="0.2">
      <c r="A888" s="53" t="s">
        <v>28</v>
      </c>
      <c r="B888" s="53" t="s">
        <v>33</v>
      </c>
      <c r="C888" s="53" t="s">
        <v>34</v>
      </c>
      <c r="D888" s="53" t="s">
        <v>40</v>
      </c>
      <c r="E888" s="53" t="s">
        <v>25</v>
      </c>
      <c r="F888" s="53" t="s">
        <v>25</v>
      </c>
      <c r="G888" s="53" t="s">
        <v>25</v>
      </c>
      <c r="H888" s="53" t="s">
        <v>25</v>
      </c>
      <c r="I888" s="75">
        <v>44317</v>
      </c>
      <c r="J888" s="76">
        <f ca="1">EFEITO!$J$888*EFEITO!$Y$888</f>
        <v>43048.100943129386</v>
      </c>
      <c r="K888" s="76">
        <f>EFEITO!$L$888*EFEITO!$Z$888</f>
        <v>0</v>
      </c>
      <c r="L888" s="76">
        <f>EFEITO!$N$888*EFEITO!$AA$888</f>
        <v>0</v>
      </c>
      <c r="M888" s="76">
        <f ca="1">$J$888-EFEITO!$K$888*EFEITO!$Y$888</f>
        <v>0</v>
      </c>
      <c r="N888" s="76">
        <f>$K$888-EFEITO!$M$888*EFEITO!$Z$888</f>
        <v>0</v>
      </c>
      <c r="O888" s="76">
        <f>$L$888-EFEITO!$O$888*EFEITO!$AA$888</f>
        <v>0</v>
      </c>
      <c r="P888" s="57"/>
      <c r="Q888" s="57"/>
      <c r="R888" s="57"/>
      <c r="S888" s="57"/>
      <c r="T888" s="57"/>
      <c r="U888" s="57"/>
      <c r="V888" s="57"/>
      <c r="W888" s="57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</row>
    <row r="889" spans="1:36" ht="11.25" customHeight="1" x14ac:dyDescent="0.2">
      <c r="A889" s="53" t="s">
        <v>21</v>
      </c>
      <c r="B889" s="53" t="s">
        <v>33</v>
      </c>
      <c r="C889" s="53" t="s">
        <v>34</v>
      </c>
      <c r="D889" s="53" t="s">
        <v>40</v>
      </c>
      <c r="E889" s="53" t="s">
        <v>25</v>
      </c>
      <c r="F889" s="53" t="s">
        <v>25</v>
      </c>
      <c r="G889" s="53" t="s">
        <v>25</v>
      </c>
      <c r="H889" s="53" t="s">
        <v>25</v>
      </c>
      <c r="I889" s="75">
        <v>44317</v>
      </c>
      <c r="J889" s="76">
        <f ca="1">EFEITO!$J$889*EFEITO!$Y$889</f>
        <v>61673.497053193962</v>
      </c>
      <c r="K889" s="76">
        <f>EFEITO!$L$889*EFEITO!$Z$889</f>
        <v>0</v>
      </c>
      <c r="L889" s="76">
        <f>EFEITO!$N$889*EFEITO!$AA$889</f>
        <v>0</v>
      </c>
      <c r="M889" s="76">
        <f ca="1">$J$889-EFEITO!$K$889*EFEITO!$Y$889</f>
        <v>0</v>
      </c>
      <c r="N889" s="76">
        <f>$K$889-EFEITO!$M$889*EFEITO!$Z$889</f>
        <v>0</v>
      </c>
      <c r="O889" s="76">
        <f>$L$889-EFEITO!$O$889*EFEITO!$AA$889</f>
        <v>0</v>
      </c>
      <c r="P889" s="57"/>
      <c r="Q889" s="57"/>
      <c r="R889" s="57"/>
      <c r="S889" s="57"/>
      <c r="T889" s="57"/>
      <c r="U889" s="57"/>
      <c r="V889" s="57"/>
      <c r="W889" s="57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</row>
    <row r="890" spans="1:36" ht="11.25" customHeight="1" x14ac:dyDescent="0.2">
      <c r="A890" s="53" t="s">
        <v>21</v>
      </c>
      <c r="B890" s="53" t="s">
        <v>33</v>
      </c>
      <c r="C890" s="53" t="s">
        <v>34</v>
      </c>
      <c r="D890" s="53" t="s">
        <v>40</v>
      </c>
      <c r="E890" s="53" t="s">
        <v>25</v>
      </c>
      <c r="F890" s="53" t="s">
        <v>25</v>
      </c>
      <c r="G890" s="53" t="s">
        <v>25</v>
      </c>
      <c r="H890" s="53" t="s">
        <v>25</v>
      </c>
      <c r="I890" s="75">
        <v>44348</v>
      </c>
      <c r="J890" s="76">
        <f ca="1">EFEITO!$J$890*EFEITO!$Y$890</f>
        <v>1018895.5101164068</v>
      </c>
      <c r="K890" s="76">
        <f>EFEITO!$L$890*EFEITO!$Z$890</f>
        <v>0</v>
      </c>
      <c r="L890" s="76">
        <f>EFEITO!$N$890*EFEITO!$AA$890</f>
        <v>0</v>
      </c>
      <c r="M890" s="76">
        <f ca="1">$J$890-EFEITO!$K$890*EFEITO!$Y$890</f>
        <v>0</v>
      </c>
      <c r="N890" s="76">
        <f>$K$890-EFEITO!$M$890*EFEITO!$Z$890</f>
        <v>0</v>
      </c>
      <c r="O890" s="76">
        <f>$L$890-EFEITO!$O$890*EFEITO!$AA$890</f>
        <v>0</v>
      </c>
      <c r="P890" s="57"/>
      <c r="Q890" s="57"/>
      <c r="R890" s="57"/>
      <c r="S890" s="57"/>
      <c r="T890" s="57"/>
      <c r="U890" s="57"/>
      <c r="V890" s="57"/>
      <c r="W890" s="57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spans="1:36" ht="11.25" customHeight="1" x14ac:dyDescent="0.2">
      <c r="A891" s="53" t="s">
        <v>27</v>
      </c>
      <c r="B891" s="53" t="s">
        <v>33</v>
      </c>
      <c r="C891" s="53" t="s">
        <v>34</v>
      </c>
      <c r="D891" s="53" t="s">
        <v>40</v>
      </c>
      <c r="E891" s="53" t="s">
        <v>25</v>
      </c>
      <c r="F891" s="53" t="s">
        <v>25</v>
      </c>
      <c r="G891" s="53" t="s">
        <v>25</v>
      </c>
      <c r="H891" s="53" t="s">
        <v>25</v>
      </c>
      <c r="I891" s="75">
        <v>44348</v>
      </c>
      <c r="J891" s="76">
        <f ca="1">EFEITO!$J$891*EFEITO!$Y$891</f>
        <v>-24866.754011847806</v>
      </c>
      <c r="K891" s="76">
        <f>EFEITO!$L$891*EFEITO!$Z$891</f>
        <v>0</v>
      </c>
      <c r="L891" s="76">
        <f>EFEITO!$N$891*EFEITO!$AA$891</f>
        <v>0</v>
      </c>
      <c r="M891" s="76">
        <f ca="1">$J$891-EFEITO!$K$891*EFEITO!$Y$891</f>
        <v>0</v>
      </c>
      <c r="N891" s="76">
        <f>$K$891-EFEITO!$M$891*EFEITO!$Z$891</f>
        <v>0</v>
      </c>
      <c r="O891" s="76">
        <f>$L$891-EFEITO!$O$891*EFEITO!$AA$891</f>
        <v>0</v>
      </c>
      <c r="P891" s="57"/>
      <c r="Q891" s="57"/>
      <c r="R891" s="57"/>
      <c r="S891" s="57"/>
      <c r="T891" s="57"/>
      <c r="U891" s="57"/>
      <c r="V891" s="57"/>
      <c r="W891" s="57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</row>
    <row r="892" spans="1:36" ht="11.25" customHeight="1" x14ac:dyDescent="0.2">
      <c r="A892" s="53" t="s">
        <v>28</v>
      </c>
      <c r="B892" s="53" t="s">
        <v>33</v>
      </c>
      <c r="C892" s="53" t="s">
        <v>34</v>
      </c>
      <c r="D892" s="53" t="s">
        <v>40</v>
      </c>
      <c r="E892" s="53" t="s">
        <v>25</v>
      </c>
      <c r="F892" s="53" t="s">
        <v>25</v>
      </c>
      <c r="G892" s="53" t="s">
        <v>25</v>
      </c>
      <c r="H892" s="53" t="s">
        <v>25</v>
      </c>
      <c r="I892" s="75">
        <v>44348</v>
      </c>
      <c r="J892" s="76">
        <f ca="1">EFEITO!$J$892*EFEITO!$Y$892</f>
        <v>42826.076353737888</v>
      </c>
      <c r="K892" s="76">
        <f>EFEITO!$L$892*EFEITO!$Z$892</f>
        <v>0</v>
      </c>
      <c r="L892" s="76">
        <f>EFEITO!$N$892*EFEITO!$AA$892</f>
        <v>0</v>
      </c>
      <c r="M892" s="76">
        <f ca="1">$J$892-EFEITO!$K$892*EFEITO!$Y$892</f>
        <v>0</v>
      </c>
      <c r="N892" s="76">
        <f>$K$892-EFEITO!$M$892*EFEITO!$Z$892</f>
        <v>0</v>
      </c>
      <c r="O892" s="76">
        <f>$L$892-EFEITO!$O$892*EFEITO!$AA$892</f>
        <v>0</v>
      </c>
      <c r="P892" s="57"/>
      <c r="Q892" s="57"/>
      <c r="R892" s="57"/>
      <c r="S892" s="57"/>
      <c r="T892" s="57"/>
      <c r="U892" s="57"/>
      <c r="V892" s="57"/>
      <c r="W892" s="57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</row>
    <row r="893" spans="1:36" ht="11.25" customHeight="1" x14ac:dyDescent="0.2">
      <c r="A893" s="53" t="s">
        <v>21</v>
      </c>
      <c r="B893" s="53" t="s">
        <v>33</v>
      </c>
      <c r="C893" s="53" t="s">
        <v>34</v>
      </c>
      <c r="D893" s="53" t="s">
        <v>40</v>
      </c>
      <c r="E893" s="53" t="s">
        <v>25</v>
      </c>
      <c r="F893" s="53" t="s">
        <v>25</v>
      </c>
      <c r="G893" s="53" t="s">
        <v>25</v>
      </c>
      <c r="H893" s="53" t="s">
        <v>25</v>
      </c>
      <c r="I893" s="75">
        <v>44348</v>
      </c>
      <c r="J893" s="76">
        <f ca="1">EFEITO!$J$893*EFEITO!$Y$893</f>
        <v>64485.808518819606</v>
      </c>
      <c r="K893" s="76">
        <f>EFEITO!$L$893*EFEITO!$Z$893</f>
        <v>0</v>
      </c>
      <c r="L893" s="76">
        <f>EFEITO!$N$893*EFEITO!$AA$893</f>
        <v>0</v>
      </c>
      <c r="M893" s="76">
        <f ca="1">$J$893-EFEITO!$K$893*EFEITO!$Y$893</f>
        <v>0</v>
      </c>
      <c r="N893" s="76">
        <f>$K$893-EFEITO!$M$893*EFEITO!$Z$893</f>
        <v>0</v>
      </c>
      <c r="O893" s="76">
        <f>$L$893-EFEITO!$O$893*EFEITO!$AA$893</f>
        <v>0</v>
      </c>
      <c r="P893" s="57"/>
      <c r="Q893" s="57"/>
      <c r="R893" s="57"/>
      <c r="S893" s="57"/>
      <c r="T893" s="57"/>
      <c r="U893" s="57"/>
      <c r="V893" s="57"/>
      <c r="W893" s="57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</row>
    <row r="894" spans="1:36" ht="11.25" customHeight="1" x14ac:dyDescent="0.2">
      <c r="A894" s="53" t="s">
        <v>21</v>
      </c>
      <c r="B894" s="53" t="s">
        <v>33</v>
      </c>
      <c r="C894" s="53" t="s">
        <v>34</v>
      </c>
      <c r="D894" s="53" t="s">
        <v>40</v>
      </c>
      <c r="E894" s="53" t="s">
        <v>25</v>
      </c>
      <c r="F894" s="53" t="s">
        <v>25</v>
      </c>
      <c r="G894" s="53" t="s">
        <v>25</v>
      </c>
      <c r="H894" s="53" t="s">
        <v>25</v>
      </c>
      <c r="I894" s="75">
        <v>44378</v>
      </c>
      <c r="J894" s="76">
        <f ca="1">EFEITO!$J$894*EFEITO!$Y$894</f>
        <v>1031698.9281046499</v>
      </c>
      <c r="K894" s="76">
        <f>EFEITO!$L$894*EFEITO!$Z$894</f>
        <v>0</v>
      </c>
      <c r="L894" s="76">
        <f>EFEITO!$N$894*EFEITO!$AA$894</f>
        <v>0</v>
      </c>
      <c r="M894" s="76">
        <f ca="1">$J$894-EFEITO!$K$894*EFEITO!$Y$894</f>
        <v>0</v>
      </c>
      <c r="N894" s="76">
        <f>$K$894-EFEITO!$M$894*EFEITO!$Z$894</f>
        <v>0</v>
      </c>
      <c r="O894" s="76">
        <f>$L$894-EFEITO!$O$894*EFEITO!$AA$894</f>
        <v>0</v>
      </c>
      <c r="P894" s="57"/>
      <c r="Q894" s="57"/>
      <c r="R894" s="57"/>
      <c r="S894" s="57"/>
      <c r="T894" s="57"/>
      <c r="U894" s="57"/>
      <c r="V894" s="57"/>
      <c r="W894" s="57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</row>
    <row r="895" spans="1:36" ht="11.25" customHeight="1" x14ac:dyDescent="0.2">
      <c r="A895" s="53" t="s">
        <v>28</v>
      </c>
      <c r="B895" s="53" t="s">
        <v>33</v>
      </c>
      <c r="C895" s="53" t="s">
        <v>34</v>
      </c>
      <c r="D895" s="53" t="s">
        <v>40</v>
      </c>
      <c r="E895" s="53" t="s">
        <v>25</v>
      </c>
      <c r="F895" s="53" t="s">
        <v>25</v>
      </c>
      <c r="G895" s="53" t="s">
        <v>25</v>
      </c>
      <c r="H895" s="53" t="s">
        <v>25</v>
      </c>
      <c r="I895" s="75">
        <v>44378</v>
      </c>
      <c r="J895" s="76">
        <f ca="1">EFEITO!$J$895*EFEITO!$Y$895</f>
        <v>58836.516188747039</v>
      </c>
      <c r="K895" s="76">
        <f>EFEITO!$L$895*EFEITO!$Z$895</f>
        <v>0</v>
      </c>
      <c r="L895" s="76">
        <f>EFEITO!$N$895*EFEITO!$AA$895</f>
        <v>0</v>
      </c>
      <c r="M895" s="76">
        <f ca="1">$J$895-EFEITO!$K$895*EFEITO!$Y$895</f>
        <v>0</v>
      </c>
      <c r="N895" s="76">
        <f>$K$895-EFEITO!$M$895*EFEITO!$Z$895</f>
        <v>0</v>
      </c>
      <c r="O895" s="76">
        <f>$L$895-EFEITO!$O$895*EFEITO!$AA$895</f>
        <v>0</v>
      </c>
      <c r="P895" s="57"/>
      <c r="Q895" s="57"/>
      <c r="R895" s="57"/>
      <c r="S895" s="57"/>
      <c r="T895" s="57"/>
      <c r="U895" s="57"/>
      <c r="V895" s="57"/>
      <c r="W895" s="57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</row>
    <row r="896" spans="1:36" ht="11.25" customHeight="1" x14ac:dyDescent="0.2">
      <c r="A896" s="53" t="s">
        <v>21</v>
      </c>
      <c r="B896" s="53" t="s">
        <v>33</v>
      </c>
      <c r="C896" s="53" t="s">
        <v>34</v>
      </c>
      <c r="D896" s="53" t="s">
        <v>40</v>
      </c>
      <c r="E896" s="53" t="s">
        <v>25</v>
      </c>
      <c r="F896" s="53" t="s">
        <v>25</v>
      </c>
      <c r="G896" s="53" t="s">
        <v>25</v>
      </c>
      <c r="H896" s="53" t="s">
        <v>25</v>
      </c>
      <c r="I896" s="75">
        <v>44378</v>
      </c>
      <c r="J896" s="76">
        <f ca="1">EFEITO!$J$896*EFEITO!$Y$896</f>
        <v>65793.286656347322</v>
      </c>
      <c r="K896" s="76">
        <f>EFEITO!$L$896*EFEITO!$Z$896</f>
        <v>0</v>
      </c>
      <c r="L896" s="76">
        <f>EFEITO!$N$896*EFEITO!$AA$896</f>
        <v>0</v>
      </c>
      <c r="M896" s="76">
        <f ca="1">$J$896-EFEITO!$K$896*EFEITO!$Y$896</f>
        <v>0</v>
      </c>
      <c r="N896" s="76">
        <f>$K$896-EFEITO!$M$896*EFEITO!$Z$896</f>
        <v>0</v>
      </c>
      <c r="O896" s="76">
        <f>$L$896-EFEITO!$O$896*EFEITO!$AA$896</f>
        <v>0</v>
      </c>
      <c r="P896" s="57"/>
      <c r="Q896" s="57"/>
      <c r="R896" s="57"/>
      <c r="S896" s="57"/>
      <c r="T896" s="57"/>
      <c r="U896" s="57"/>
      <c r="V896" s="57"/>
      <c r="W896" s="57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spans="1:36" ht="11.25" customHeight="1" x14ac:dyDescent="0.2">
      <c r="A897" s="53" t="s">
        <v>21</v>
      </c>
      <c r="B897" s="53" t="s">
        <v>33</v>
      </c>
      <c r="C897" s="53" t="s">
        <v>34</v>
      </c>
      <c r="D897" s="53" t="s">
        <v>40</v>
      </c>
      <c r="E897" s="53" t="s">
        <v>25</v>
      </c>
      <c r="F897" s="53" t="s">
        <v>25</v>
      </c>
      <c r="G897" s="53" t="s">
        <v>25</v>
      </c>
      <c r="H897" s="53" t="s">
        <v>25</v>
      </c>
      <c r="I897" s="75">
        <v>44409</v>
      </c>
      <c r="J897" s="76">
        <f ca="1">EFEITO!$J$897*EFEITO!$Y$897</f>
        <v>1051434.4471616719</v>
      </c>
      <c r="K897" s="76">
        <f>EFEITO!$L$897*EFEITO!$Z$897</f>
        <v>0</v>
      </c>
      <c r="L897" s="76">
        <f>EFEITO!$N$897*EFEITO!$AA$897</f>
        <v>0</v>
      </c>
      <c r="M897" s="76">
        <f ca="1">$J$897-EFEITO!$K$897*EFEITO!$Y$897</f>
        <v>0</v>
      </c>
      <c r="N897" s="76">
        <f>$K$897-EFEITO!$M$897*EFEITO!$Z$897</f>
        <v>0</v>
      </c>
      <c r="O897" s="76">
        <f>$L$897-EFEITO!$O$897*EFEITO!$AA$897</f>
        <v>0</v>
      </c>
      <c r="P897" s="57"/>
      <c r="Q897" s="57"/>
      <c r="R897" s="57"/>
      <c r="S897" s="57"/>
      <c r="T897" s="57"/>
      <c r="U897" s="57"/>
      <c r="V897" s="57"/>
      <c r="W897" s="57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</row>
    <row r="898" spans="1:36" ht="11.25" customHeight="1" x14ac:dyDescent="0.2">
      <c r="A898" s="53" t="s">
        <v>27</v>
      </c>
      <c r="B898" s="53" t="s">
        <v>33</v>
      </c>
      <c r="C898" s="53" t="s">
        <v>34</v>
      </c>
      <c r="D898" s="53" t="s">
        <v>40</v>
      </c>
      <c r="E898" s="53" t="s">
        <v>25</v>
      </c>
      <c r="F898" s="53" t="s">
        <v>25</v>
      </c>
      <c r="G898" s="53" t="s">
        <v>25</v>
      </c>
      <c r="H898" s="53" t="s">
        <v>25</v>
      </c>
      <c r="I898" s="75">
        <v>44409</v>
      </c>
      <c r="J898" s="76">
        <f ca="1">EFEITO!$J$898*EFEITO!$Y$898</f>
        <v>912.76775638727065</v>
      </c>
      <c r="K898" s="76">
        <f>EFEITO!$L$898*EFEITO!$Z$898</f>
        <v>0</v>
      </c>
      <c r="L898" s="76">
        <f>EFEITO!$N$898*EFEITO!$AA$898</f>
        <v>0</v>
      </c>
      <c r="M898" s="76">
        <f ca="1">$J$898-EFEITO!$K$898*EFEITO!$Y$898</f>
        <v>0</v>
      </c>
      <c r="N898" s="76">
        <f>$K$898-EFEITO!$M$898*EFEITO!$Z$898</f>
        <v>0</v>
      </c>
      <c r="O898" s="76">
        <f>$L$898-EFEITO!$O$898*EFEITO!$AA$898</f>
        <v>0</v>
      </c>
      <c r="P898" s="57"/>
      <c r="Q898" s="57"/>
      <c r="R898" s="57"/>
      <c r="S898" s="57"/>
      <c r="T898" s="57"/>
      <c r="U898" s="57"/>
      <c r="V898" s="57"/>
      <c r="W898" s="57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</row>
    <row r="899" spans="1:36" ht="11.25" customHeight="1" x14ac:dyDescent="0.2">
      <c r="A899" s="53" t="s">
        <v>28</v>
      </c>
      <c r="B899" s="53" t="s">
        <v>33</v>
      </c>
      <c r="C899" s="53" t="s">
        <v>34</v>
      </c>
      <c r="D899" s="53" t="s">
        <v>40</v>
      </c>
      <c r="E899" s="53" t="s">
        <v>25</v>
      </c>
      <c r="F899" s="53" t="s">
        <v>25</v>
      </c>
      <c r="G899" s="53" t="s">
        <v>25</v>
      </c>
      <c r="H899" s="53" t="s">
        <v>25</v>
      </c>
      <c r="I899" s="75">
        <v>44409</v>
      </c>
      <c r="J899" s="76">
        <f ca="1">EFEITO!$J$899*EFEITO!$Y$899</f>
        <v>63277.007976577006</v>
      </c>
      <c r="K899" s="76">
        <f>EFEITO!$L$899*EFEITO!$Z$899</f>
        <v>0</v>
      </c>
      <c r="L899" s="76">
        <f>EFEITO!$N$899*EFEITO!$AA$899</f>
        <v>0</v>
      </c>
      <c r="M899" s="76">
        <f ca="1">$J$899-EFEITO!$K$899*EFEITO!$Y$899</f>
        <v>0</v>
      </c>
      <c r="N899" s="76">
        <f>$K$899-EFEITO!$M$899*EFEITO!$Z$899</f>
        <v>0</v>
      </c>
      <c r="O899" s="76">
        <f>$L$899-EFEITO!$O$899*EFEITO!$AA$899</f>
        <v>0</v>
      </c>
      <c r="P899" s="57"/>
      <c r="Q899" s="57"/>
      <c r="R899" s="57"/>
      <c r="S899" s="57"/>
      <c r="T899" s="57"/>
      <c r="U899" s="57"/>
      <c r="V899" s="57"/>
      <c r="W899" s="57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</row>
    <row r="900" spans="1:36" ht="11.25" customHeight="1" x14ac:dyDescent="0.2">
      <c r="A900" s="53" t="s">
        <v>21</v>
      </c>
      <c r="B900" s="53" t="s">
        <v>33</v>
      </c>
      <c r="C900" s="53" t="s">
        <v>34</v>
      </c>
      <c r="D900" s="53" t="s">
        <v>40</v>
      </c>
      <c r="E900" s="53" t="s">
        <v>25</v>
      </c>
      <c r="F900" s="53" t="s">
        <v>25</v>
      </c>
      <c r="G900" s="53" t="s">
        <v>25</v>
      </c>
      <c r="H900" s="53" t="s">
        <v>25</v>
      </c>
      <c r="I900" s="75">
        <v>44409</v>
      </c>
      <c r="J900" s="76">
        <f ca="1">EFEITO!$J$900*EFEITO!$Y$900</f>
        <v>65793.286656347322</v>
      </c>
      <c r="K900" s="76">
        <f>EFEITO!$L$900*EFEITO!$Z$900</f>
        <v>0</v>
      </c>
      <c r="L900" s="76">
        <f>EFEITO!$N$900*EFEITO!$AA$900</f>
        <v>0</v>
      </c>
      <c r="M900" s="76">
        <f ca="1">$J$900-EFEITO!$K$900*EFEITO!$Y$900</f>
        <v>0</v>
      </c>
      <c r="N900" s="76">
        <f>$K$900-EFEITO!$M$900*EFEITO!$Z$900</f>
        <v>0</v>
      </c>
      <c r="O900" s="76">
        <f>$L$900-EFEITO!$O$900*EFEITO!$AA$900</f>
        <v>0</v>
      </c>
      <c r="P900" s="57"/>
      <c r="Q900" s="57"/>
      <c r="R900" s="57"/>
      <c r="S900" s="57"/>
      <c r="T900" s="57"/>
      <c r="U900" s="57"/>
      <c r="V900" s="57"/>
      <c r="W900" s="57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</row>
    <row r="901" spans="1:36" ht="11.25" customHeight="1" x14ac:dyDescent="0.2">
      <c r="A901" s="53" t="s">
        <v>21</v>
      </c>
      <c r="B901" s="53" t="s">
        <v>33</v>
      </c>
      <c r="C901" s="53" t="s">
        <v>34</v>
      </c>
      <c r="D901" s="53" t="s">
        <v>40</v>
      </c>
      <c r="E901" s="53" t="s">
        <v>25</v>
      </c>
      <c r="F901" s="53" t="s">
        <v>25</v>
      </c>
      <c r="G901" s="53" t="s">
        <v>25</v>
      </c>
      <c r="H901" s="53" t="s">
        <v>25</v>
      </c>
      <c r="I901" s="75">
        <v>44440</v>
      </c>
      <c r="J901" s="76">
        <f ca="1">EFEITO!$J$901*EFEITO!$Y$901</f>
        <v>1071145.2968198727</v>
      </c>
      <c r="K901" s="76">
        <f>EFEITO!$L$901*EFEITO!$Z$901</f>
        <v>0</v>
      </c>
      <c r="L901" s="76">
        <f>EFEITO!$N$901*EFEITO!$AA$901</f>
        <v>0</v>
      </c>
      <c r="M901" s="76">
        <f ca="1">$J$901-EFEITO!$K$901*EFEITO!$Y$901</f>
        <v>0</v>
      </c>
      <c r="N901" s="76">
        <f>$K$901-EFEITO!$M$901*EFEITO!$Z$901</f>
        <v>0</v>
      </c>
      <c r="O901" s="76">
        <f>$L$901-EFEITO!$O$901*EFEITO!$AA$901</f>
        <v>0</v>
      </c>
      <c r="P901" s="57"/>
      <c r="Q901" s="57"/>
      <c r="R901" s="57"/>
      <c r="S901" s="57"/>
      <c r="T901" s="57"/>
      <c r="U901" s="57"/>
      <c r="V901" s="57"/>
      <c r="W901" s="57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</row>
    <row r="902" spans="1:36" ht="11.25" customHeight="1" x14ac:dyDescent="0.2">
      <c r="A902" s="53" t="s">
        <v>27</v>
      </c>
      <c r="B902" s="53" t="s">
        <v>33</v>
      </c>
      <c r="C902" s="53" t="s">
        <v>34</v>
      </c>
      <c r="D902" s="53" t="s">
        <v>40</v>
      </c>
      <c r="E902" s="53" t="s">
        <v>25</v>
      </c>
      <c r="F902" s="53" t="s">
        <v>25</v>
      </c>
      <c r="G902" s="53" t="s">
        <v>25</v>
      </c>
      <c r="H902" s="53" t="s">
        <v>25</v>
      </c>
      <c r="I902" s="75">
        <v>44440</v>
      </c>
      <c r="J902" s="76">
        <f ca="1">EFEITO!$J$902*EFEITO!$Y$902</f>
        <v>-4119.7896031533564</v>
      </c>
      <c r="K902" s="76">
        <f>EFEITO!$L$902*EFEITO!$Z$902</f>
        <v>0</v>
      </c>
      <c r="L902" s="76">
        <f>EFEITO!$N$902*EFEITO!$AA$902</f>
        <v>0</v>
      </c>
      <c r="M902" s="76">
        <f ca="1">$J$902-EFEITO!$K$902*EFEITO!$Y$902</f>
        <v>0</v>
      </c>
      <c r="N902" s="76">
        <f>$K$902-EFEITO!$M$902*EFEITO!$Z$902</f>
        <v>0</v>
      </c>
      <c r="O902" s="76">
        <f>$L$902-EFEITO!$O$902*EFEITO!$AA$902</f>
        <v>0</v>
      </c>
      <c r="P902" s="57"/>
      <c r="Q902" s="57"/>
      <c r="R902" s="57"/>
      <c r="S902" s="57"/>
      <c r="T902" s="57"/>
      <c r="U902" s="57"/>
      <c r="V902" s="57"/>
      <c r="W902" s="57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1:36" ht="11.25" customHeight="1" x14ac:dyDescent="0.2">
      <c r="A903" s="53" t="s">
        <v>28</v>
      </c>
      <c r="B903" s="53" t="s">
        <v>33</v>
      </c>
      <c r="C903" s="53" t="s">
        <v>34</v>
      </c>
      <c r="D903" s="53" t="s">
        <v>40</v>
      </c>
      <c r="E903" s="53" t="s">
        <v>25</v>
      </c>
      <c r="F903" s="53" t="s">
        <v>25</v>
      </c>
      <c r="G903" s="53" t="s">
        <v>25</v>
      </c>
      <c r="H903" s="53" t="s">
        <v>25</v>
      </c>
      <c r="I903" s="75">
        <v>44440</v>
      </c>
      <c r="J903" s="76">
        <f ca="1">EFEITO!$J$903*EFEITO!$Y$903</f>
        <v>61796.84404730035</v>
      </c>
      <c r="K903" s="76">
        <f>EFEITO!$L$903*EFEITO!$Z$903</f>
        <v>0</v>
      </c>
      <c r="L903" s="76">
        <f>EFEITO!$N$903*EFEITO!$AA$903</f>
        <v>0</v>
      </c>
      <c r="M903" s="76">
        <f ca="1">$J$903-EFEITO!$K$903*EFEITO!$Y$903</f>
        <v>0</v>
      </c>
      <c r="N903" s="76">
        <f>$K$903-EFEITO!$M$903*EFEITO!$Z$903</f>
        <v>0</v>
      </c>
      <c r="O903" s="76">
        <f>$L$903-EFEITO!$O$903*EFEITO!$AA$903</f>
        <v>0</v>
      </c>
      <c r="P903" s="57"/>
      <c r="Q903" s="57"/>
      <c r="R903" s="57"/>
      <c r="S903" s="57"/>
      <c r="T903" s="57"/>
      <c r="U903" s="57"/>
      <c r="V903" s="57"/>
      <c r="W903" s="57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</row>
    <row r="904" spans="1:36" ht="11.25" customHeight="1" x14ac:dyDescent="0.2">
      <c r="A904" s="53" t="s">
        <v>21</v>
      </c>
      <c r="B904" s="53" t="s">
        <v>33</v>
      </c>
      <c r="C904" s="53" t="s">
        <v>34</v>
      </c>
      <c r="D904" s="53" t="s">
        <v>40</v>
      </c>
      <c r="E904" s="53" t="s">
        <v>25</v>
      </c>
      <c r="F904" s="53" t="s">
        <v>25</v>
      </c>
      <c r="G904" s="53" t="s">
        <v>25</v>
      </c>
      <c r="H904" s="53" t="s">
        <v>25</v>
      </c>
      <c r="I904" s="75">
        <v>44440</v>
      </c>
      <c r="J904" s="76">
        <f ca="1">EFEITO!$J$904*EFEITO!$Y$904</f>
        <v>65793.286656347322</v>
      </c>
      <c r="K904" s="76">
        <f>EFEITO!$L$904*EFEITO!$Z$904</f>
        <v>0</v>
      </c>
      <c r="L904" s="76">
        <f>EFEITO!$N$904*EFEITO!$AA$904</f>
        <v>0</v>
      </c>
      <c r="M904" s="76">
        <f ca="1">$J$904-EFEITO!$K$904*EFEITO!$Y$904</f>
        <v>0</v>
      </c>
      <c r="N904" s="76">
        <f>$K$904-EFEITO!$M$904*EFEITO!$Z$904</f>
        <v>0</v>
      </c>
      <c r="O904" s="76">
        <f>$L$904-EFEITO!$O$904*EFEITO!$AA$904</f>
        <v>0</v>
      </c>
      <c r="P904" s="57"/>
      <c r="Q904" s="57"/>
      <c r="R904" s="57"/>
      <c r="S904" s="57"/>
      <c r="T904" s="57"/>
      <c r="U904" s="57"/>
      <c r="V904" s="57"/>
      <c r="W904" s="57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</row>
    <row r="905" spans="1:36" ht="11.25" customHeight="1" x14ac:dyDescent="0.2">
      <c r="A905" s="53" t="s">
        <v>21</v>
      </c>
      <c r="B905" s="53" t="s">
        <v>33</v>
      </c>
      <c r="C905" s="53" t="s">
        <v>34</v>
      </c>
      <c r="D905" s="53" t="s">
        <v>40</v>
      </c>
      <c r="E905" s="53" t="s">
        <v>25</v>
      </c>
      <c r="F905" s="53" t="s">
        <v>25</v>
      </c>
      <c r="G905" s="53" t="s">
        <v>25</v>
      </c>
      <c r="H905" s="53" t="s">
        <v>25</v>
      </c>
      <c r="I905" s="75">
        <v>44470</v>
      </c>
      <c r="J905" s="76">
        <f ca="1">EFEITO!$J$905*EFEITO!$Y$905</f>
        <v>1091472.8814486056</v>
      </c>
      <c r="K905" s="76">
        <f>EFEITO!$L$905*EFEITO!$Z$905</f>
        <v>0</v>
      </c>
      <c r="L905" s="76">
        <f>EFEITO!$N$905*EFEITO!$AA$905</f>
        <v>0</v>
      </c>
      <c r="M905" s="76">
        <f ca="1">$J$905-EFEITO!$K$905*EFEITO!$Y$905</f>
        <v>0</v>
      </c>
      <c r="N905" s="76">
        <f>$K$905-EFEITO!$M$905*EFEITO!$Z$905</f>
        <v>0</v>
      </c>
      <c r="O905" s="76">
        <f>$L$905-EFEITO!$O$905*EFEITO!$AA$905</f>
        <v>0</v>
      </c>
      <c r="P905" s="57"/>
      <c r="Q905" s="57"/>
      <c r="R905" s="57"/>
      <c r="S905" s="57"/>
      <c r="T905" s="57"/>
      <c r="U905" s="57"/>
      <c r="V905" s="57"/>
      <c r="W905" s="57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</row>
    <row r="906" spans="1:36" ht="11.25" customHeight="1" x14ac:dyDescent="0.2">
      <c r="A906" s="53" t="s">
        <v>27</v>
      </c>
      <c r="B906" s="53" t="s">
        <v>33</v>
      </c>
      <c r="C906" s="53" t="s">
        <v>34</v>
      </c>
      <c r="D906" s="53" t="s">
        <v>40</v>
      </c>
      <c r="E906" s="53" t="s">
        <v>25</v>
      </c>
      <c r="F906" s="53" t="s">
        <v>25</v>
      </c>
      <c r="G906" s="53" t="s">
        <v>25</v>
      </c>
      <c r="H906" s="53" t="s">
        <v>25</v>
      </c>
      <c r="I906" s="75">
        <v>44470</v>
      </c>
      <c r="J906" s="76">
        <f ca="1">EFEITO!$J$906*EFEITO!$Y$906</f>
        <v>-5969.9945147491753</v>
      </c>
      <c r="K906" s="76">
        <f>EFEITO!$L$906*EFEITO!$Z$906</f>
        <v>0</v>
      </c>
      <c r="L906" s="76">
        <f>EFEITO!$N$906*EFEITO!$AA$906</f>
        <v>0</v>
      </c>
      <c r="M906" s="76">
        <f ca="1">$J$906-EFEITO!$K$906*EFEITO!$Y$906</f>
        <v>0</v>
      </c>
      <c r="N906" s="76">
        <f>$K$906-EFEITO!$M$906*EFEITO!$Z$906</f>
        <v>0</v>
      </c>
      <c r="O906" s="76">
        <f>$L$906-EFEITO!$O$906*EFEITO!$AA$906</f>
        <v>0</v>
      </c>
      <c r="P906" s="57"/>
      <c r="Q906" s="57"/>
      <c r="R906" s="57"/>
      <c r="S906" s="57"/>
      <c r="T906" s="57"/>
      <c r="U906" s="57"/>
      <c r="V906" s="57"/>
      <c r="W906" s="57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</row>
    <row r="907" spans="1:36" ht="11.25" customHeight="1" x14ac:dyDescent="0.2">
      <c r="A907" s="53" t="s">
        <v>28</v>
      </c>
      <c r="B907" s="53" t="s">
        <v>33</v>
      </c>
      <c r="C907" s="53" t="s">
        <v>34</v>
      </c>
      <c r="D907" s="53" t="s">
        <v>40</v>
      </c>
      <c r="E907" s="53" t="s">
        <v>25</v>
      </c>
      <c r="F907" s="53" t="s">
        <v>25</v>
      </c>
      <c r="G907" s="53" t="s">
        <v>25</v>
      </c>
      <c r="H907" s="53" t="s">
        <v>25</v>
      </c>
      <c r="I907" s="75">
        <v>44470</v>
      </c>
      <c r="J907" s="76">
        <f ca="1">EFEITO!$J$907*EFEITO!$Y$907</f>
        <v>62536.926011938682</v>
      </c>
      <c r="K907" s="76">
        <f>EFEITO!$L$907*EFEITO!$Z$907</f>
        <v>0</v>
      </c>
      <c r="L907" s="76">
        <f>EFEITO!$N$907*EFEITO!$AA$907</f>
        <v>0</v>
      </c>
      <c r="M907" s="76">
        <f ca="1">$J$907-EFEITO!$K$907*EFEITO!$Y$907</f>
        <v>0</v>
      </c>
      <c r="N907" s="76">
        <f>$K$907-EFEITO!$M$907*EFEITO!$Z$907</f>
        <v>0</v>
      </c>
      <c r="O907" s="76">
        <f>$L$907-EFEITO!$O$907*EFEITO!$AA$907</f>
        <v>0</v>
      </c>
      <c r="P907" s="57"/>
      <c r="Q907" s="57"/>
      <c r="R907" s="57"/>
      <c r="S907" s="57"/>
      <c r="T907" s="57"/>
      <c r="U907" s="57"/>
      <c r="V907" s="57"/>
      <c r="W907" s="57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</row>
    <row r="908" spans="1:36" ht="11.25" customHeight="1" x14ac:dyDescent="0.2">
      <c r="A908" s="53" t="s">
        <v>21</v>
      </c>
      <c r="B908" s="53" t="s">
        <v>33</v>
      </c>
      <c r="C908" s="53" t="s">
        <v>34</v>
      </c>
      <c r="D908" s="53" t="s">
        <v>40</v>
      </c>
      <c r="E908" s="53" t="s">
        <v>25</v>
      </c>
      <c r="F908" s="53" t="s">
        <v>25</v>
      </c>
      <c r="G908" s="53" t="s">
        <v>25</v>
      </c>
      <c r="H908" s="53" t="s">
        <v>25</v>
      </c>
      <c r="I908" s="75">
        <v>44470</v>
      </c>
      <c r="J908" s="76">
        <f ca="1">EFEITO!$J$908*EFEITO!$Y$908</f>
        <v>65225.890483457937</v>
      </c>
      <c r="K908" s="76">
        <f>EFEITO!$L$908*EFEITO!$Z$908</f>
        <v>0</v>
      </c>
      <c r="L908" s="76">
        <f>EFEITO!$N$908*EFEITO!$AA$908</f>
        <v>0</v>
      </c>
      <c r="M908" s="76">
        <f ca="1">$J$908-EFEITO!$K$908*EFEITO!$Y$908</f>
        <v>0</v>
      </c>
      <c r="N908" s="76">
        <f>$K$908-EFEITO!$M$908*EFEITO!$Z$908</f>
        <v>0</v>
      </c>
      <c r="O908" s="76">
        <f>$L$908-EFEITO!$O$908*EFEITO!$AA$908</f>
        <v>0</v>
      </c>
      <c r="P908" s="57"/>
      <c r="Q908" s="57"/>
      <c r="R908" s="57"/>
      <c r="S908" s="57"/>
      <c r="T908" s="57"/>
      <c r="U908" s="57"/>
      <c r="V908" s="57"/>
      <c r="W908" s="57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</row>
    <row r="909" spans="1:36" ht="11.25" customHeight="1" x14ac:dyDescent="0.2">
      <c r="A909" s="53" t="s">
        <v>21</v>
      </c>
      <c r="B909" s="53" t="s">
        <v>33</v>
      </c>
      <c r="C909" s="53" t="s">
        <v>34</v>
      </c>
      <c r="D909" s="53" t="s">
        <v>40</v>
      </c>
      <c r="E909" s="53" t="s">
        <v>25</v>
      </c>
      <c r="F909" s="53" t="s">
        <v>25</v>
      </c>
      <c r="G909" s="53" t="s">
        <v>25</v>
      </c>
      <c r="H909" s="53" t="s">
        <v>25</v>
      </c>
      <c r="I909" s="75">
        <v>44501</v>
      </c>
      <c r="J909" s="76">
        <f ca="1">EFEITO!$J$909*EFEITO!$Y$909</f>
        <v>1053531.3460614805</v>
      </c>
      <c r="K909" s="76">
        <f>EFEITO!$L$909*EFEITO!$Z$909</f>
        <v>0</v>
      </c>
      <c r="L909" s="76">
        <f>EFEITO!$N$909*EFEITO!$AA$909</f>
        <v>0</v>
      </c>
      <c r="M909" s="76">
        <f ca="1">$J$909-EFEITO!$K$909*EFEITO!$Y$909</f>
        <v>0</v>
      </c>
      <c r="N909" s="76">
        <f>$K$909-EFEITO!$M$909*EFEITO!$Z$909</f>
        <v>0</v>
      </c>
      <c r="O909" s="76">
        <f>$L$909-EFEITO!$O$909*EFEITO!$AA$909</f>
        <v>0</v>
      </c>
      <c r="P909" s="57"/>
      <c r="Q909" s="57"/>
      <c r="R909" s="57"/>
      <c r="S909" s="57"/>
      <c r="T909" s="57"/>
      <c r="U909" s="57"/>
      <c r="V909" s="57"/>
      <c r="W909" s="57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</row>
    <row r="910" spans="1:36" ht="11.25" customHeight="1" x14ac:dyDescent="0.2">
      <c r="A910" s="53" t="s">
        <v>27</v>
      </c>
      <c r="B910" s="53" t="s">
        <v>33</v>
      </c>
      <c r="C910" s="53" t="s">
        <v>34</v>
      </c>
      <c r="D910" s="53" t="s">
        <v>40</v>
      </c>
      <c r="E910" s="53" t="s">
        <v>25</v>
      </c>
      <c r="F910" s="53" t="s">
        <v>25</v>
      </c>
      <c r="G910" s="53" t="s">
        <v>25</v>
      </c>
      <c r="H910" s="53" t="s">
        <v>25</v>
      </c>
      <c r="I910" s="75">
        <v>44501</v>
      </c>
      <c r="J910" s="76">
        <f ca="1">EFEITO!$J$910*EFEITO!$Y$910</f>
        <v>15393.704864477213</v>
      </c>
      <c r="K910" s="76">
        <f>EFEITO!$L$910*EFEITO!$Z$910</f>
        <v>0</v>
      </c>
      <c r="L910" s="76">
        <f>EFEITO!$N$910*EFEITO!$AA$910</f>
        <v>0</v>
      </c>
      <c r="M910" s="76">
        <f ca="1">$J$910-EFEITO!$K$910*EFEITO!$Y$910</f>
        <v>0</v>
      </c>
      <c r="N910" s="76">
        <f>$K$910-EFEITO!$M$910*EFEITO!$Z$910</f>
        <v>0</v>
      </c>
      <c r="O910" s="76">
        <f>$L$910-EFEITO!$O$910*EFEITO!$AA$910</f>
        <v>0</v>
      </c>
      <c r="P910" s="57"/>
      <c r="Q910" s="57"/>
      <c r="R910" s="57"/>
      <c r="S910" s="57"/>
      <c r="T910" s="57"/>
      <c r="U910" s="57"/>
      <c r="V910" s="57"/>
      <c r="W910" s="57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</row>
    <row r="911" spans="1:36" ht="11.25" customHeight="1" x14ac:dyDescent="0.2">
      <c r="A911" s="53" t="s">
        <v>28</v>
      </c>
      <c r="B911" s="53" t="s">
        <v>33</v>
      </c>
      <c r="C911" s="53" t="s">
        <v>34</v>
      </c>
      <c r="D911" s="53" t="s">
        <v>40</v>
      </c>
      <c r="E911" s="53" t="s">
        <v>25</v>
      </c>
      <c r="F911" s="53" t="s">
        <v>25</v>
      </c>
      <c r="G911" s="53" t="s">
        <v>25</v>
      </c>
      <c r="H911" s="53" t="s">
        <v>25</v>
      </c>
      <c r="I911" s="75">
        <v>44501</v>
      </c>
      <c r="J911" s="76">
        <f ca="1">EFEITO!$J$911*EFEITO!$Y$911</f>
        <v>62364.240220189735</v>
      </c>
      <c r="K911" s="76">
        <f>EFEITO!$L$911*EFEITO!$Z$911</f>
        <v>0</v>
      </c>
      <c r="L911" s="76">
        <f>EFEITO!$N$911*EFEITO!$AA$911</f>
        <v>0</v>
      </c>
      <c r="M911" s="76">
        <f ca="1">$J$911-EFEITO!$K$911*EFEITO!$Y$911</f>
        <v>0</v>
      </c>
      <c r="N911" s="76">
        <f>$K$911-EFEITO!$M$911*EFEITO!$Z$911</f>
        <v>0</v>
      </c>
      <c r="O911" s="76">
        <f>$L$911-EFEITO!$O$911*EFEITO!$AA$911</f>
        <v>0</v>
      </c>
      <c r="P911" s="57"/>
      <c r="Q911" s="57"/>
      <c r="R911" s="57"/>
      <c r="S911" s="57"/>
      <c r="T911" s="57"/>
      <c r="U911" s="57"/>
      <c r="V911" s="57"/>
      <c r="W911" s="57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</row>
    <row r="912" spans="1:36" ht="11.25" customHeight="1" x14ac:dyDescent="0.2">
      <c r="A912" s="53" t="s">
        <v>21</v>
      </c>
      <c r="B912" s="53" t="s">
        <v>33</v>
      </c>
      <c r="C912" s="53" t="s">
        <v>34</v>
      </c>
      <c r="D912" s="53" t="s">
        <v>40</v>
      </c>
      <c r="E912" s="53" t="s">
        <v>25</v>
      </c>
      <c r="F912" s="53" t="s">
        <v>25</v>
      </c>
      <c r="G912" s="53" t="s">
        <v>25</v>
      </c>
      <c r="H912" s="53" t="s">
        <v>25</v>
      </c>
      <c r="I912" s="75">
        <v>44501</v>
      </c>
      <c r="J912" s="76">
        <f ca="1">EFEITO!$J$912*EFEITO!$Y$912</f>
        <v>64929.857697602609</v>
      </c>
      <c r="K912" s="76">
        <f>EFEITO!$L$912*EFEITO!$Z$912</f>
        <v>0</v>
      </c>
      <c r="L912" s="76">
        <f>EFEITO!$N$912*EFEITO!$AA$912</f>
        <v>0</v>
      </c>
      <c r="M912" s="76">
        <f ca="1">$J$912-EFEITO!$K$912*EFEITO!$Y$912</f>
        <v>0</v>
      </c>
      <c r="N912" s="76">
        <f>$K$912-EFEITO!$M$912*EFEITO!$Z$912</f>
        <v>0</v>
      </c>
      <c r="O912" s="76">
        <f>$L$912-EFEITO!$O$912*EFEITO!$AA$912</f>
        <v>0</v>
      </c>
      <c r="P912" s="57"/>
      <c r="Q912" s="57"/>
      <c r="R912" s="57"/>
      <c r="S912" s="57"/>
      <c r="T912" s="57"/>
      <c r="U912" s="57"/>
      <c r="V912" s="57"/>
      <c r="W912" s="57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</row>
    <row r="913" spans="1:36" ht="11.25" customHeight="1" x14ac:dyDescent="0.2">
      <c r="A913" s="53" t="s">
        <v>21</v>
      </c>
      <c r="B913" s="53" t="s">
        <v>33</v>
      </c>
      <c r="C913" s="53" t="s">
        <v>34</v>
      </c>
      <c r="D913" s="53" t="s">
        <v>40</v>
      </c>
      <c r="E913" s="53" t="s">
        <v>25</v>
      </c>
      <c r="F913" s="53" t="s">
        <v>25</v>
      </c>
      <c r="G913" s="53" t="s">
        <v>25</v>
      </c>
      <c r="H913" s="53" t="s">
        <v>25</v>
      </c>
      <c r="I913" s="75">
        <v>44531</v>
      </c>
      <c r="J913" s="76">
        <f ca="1">EFEITO!$J$913*EFEITO!$Y$913</f>
        <v>1121643.556207028</v>
      </c>
      <c r="K913" s="76">
        <f>EFEITO!$L$913*EFEITO!$Z$913</f>
        <v>0</v>
      </c>
      <c r="L913" s="76">
        <f>EFEITO!$N$913*EFEITO!$AA$913</f>
        <v>0</v>
      </c>
      <c r="M913" s="76">
        <f ca="1">$J$913-EFEITO!$K$913*EFEITO!$Y$913</f>
        <v>0</v>
      </c>
      <c r="N913" s="76">
        <f>$K$913-EFEITO!$M$913*EFEITO!$Z$913</f>
        <v>0</v>
      </c>
      <c r="O913" s="76">
        <f>$L$913-EFEITO!$O$913*EFEITO!$AA$913</f>
        <v>0</v>
      </c>
      <c r="P913" s="57"/>
      <c r="Q913" s="57"/>
      <c r="R913" s="57"/>
      <c r="S913" s="57"/>
      <c r="T913" s="57"/>
      <c r="U913" s="57"/>
      <c r="V913" s="57"/>
      <c r="W913" s="57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</row>
    <row r="914" spans="1:36" ht="11.25" customHeight="1" x14ac:dyDescent="0.2">
      <c r="A914" s="53" t="s">
        <v>27</v>
      </c>
      <c r="B914" s="53" t="s">
        <v>33</v>
      </c>
      <c r="C914" s="53" t="s">
        <v>34</v>
      </c>
      <c r="D914" s="53" t="s">
        <v>40</v>
      </c>
      <c r="E914" s="53" t="s">
        <v>25</v>
      </c>
      <c r="F914" s="53" t="s">
        <v>25</v>
      </c>
      <c r="G914" s="53" t="s">
        <v>25</v>
      </c>
      <c r="H914" s="53" t="s">
        <v>25</v>
      </c>
      <c r="I914" s="75">
        <v>44531</v>
      </c>
      <c r="J914" s="76">
        <f ca="1">EFEITO!$J$914*EFEITO!$Y$914</f>
        <v>6759.4152770300589</v>
      </c>
      <c r="K914" s="76">
        <f>EFEITO!$L$914*EFEITO!$Z$914</f>
        <v>0</v>
      </c>
      <c r="L914" s="76">
        <f>EFEITO!$N$914*EFEITO!$AA$914</f>
        <v>0</v>
      </c>
      <c r="M914" s="76">
        <f ca="1">$J$914-EFEITO!$K$914*EFEITO!$Y$914</f>
        <v>0</v>
      </c>
      <c r="N914" s="76">
        <f>$K$914-EFEITO!$M$914*EFEITO!$Z$914</f>
        <v>0</v>
      </c>
      <c r="O914" s="76">
        <f>$L$914-EFEITO!$O$914*EFEITO!$AA$914</f>
        <v>0</v>
      </c>
      <c r="P914" s="57"/>
      <c r="Q914" s="57"/>
      <c r="R914" s="57"/>
      <c r="S914" s="57"/>
      <c r="T914" s="57"/>
      <c r="U914" s="57"/>
      <c r="V914" s="57"/>
      <c r="W914" s="57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spans="1:36" ht="11.25" customHeight="1" x14ac:dyDescent="0.2">
      <c r="A915" s="53" t="s">
        <v>28</v>
      </c>
      <c r="B915" s="53" t="s">
        <v>33</v>
      </c>
      <c r="C915" s="53" t="s">
        <v>34</v>
      </c>
      <c r="D915" s="53" t="s">
        <v>40</v>
      </c>
      <c r="E915" s="53" t="s">
        <v>25</v>
      </c>
      <c r="F915" s="53" t="s">
        <v>25</v>
      </c>
      <c r="G915" s="53" t="s">
        <v>25</v>
      </c>
      <c r="H915" s="53" t="s">
        <v>25</v>
      </c>
      <c r="I915" s="75">
        <v>44531</v>
      </c>
      <c r="J915" s="76">
        <f ca="1">EFEITO!$J$915*EFEITO!$Y$915</f>
        <v>69148.324896041071</v>
      </c>
      <c r="K915" s="76">
        <f>EFEITO!$L$915*EFEITO!$Z$915</f>
        <v>0</v>
      </c>
      <c r="L915" s="76">
        <f>EFEITO!$N$915*EFEITO!$AA$915</f>
        <v>0</v>
      </c>
      <c r="M915" s="76">
        <f ca="1">$J$915-EFEITO!$K$915*EFEITO!$Y$915</f>
        <v>0</v>
      </c>
      <c r="N915" s="76">
        <f>$K$915-EFEITO!$M$915*EFEITO!$Z$915</f>
        <v>0</v>
      </c>
      <c r="O915" s="76">
        <f>$L$915-EFEITO!$O$915*EFEITO!$AA$915</f>
        <v>0</v>
      </c>
      <c r="P915" s="57"/>
      <c r="Q915" s="57"/>
      <c r="R915" s="57"/>
      <c r="S915" s="57"/>
      <c r="T915" s="57"/>
      <c r="U915" s="57"/>
      <c r="V915" s="57"/>
      <c r="W915" s="57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</row>
    <row r="916" spans="1:36" ht="11.25" customHeight="1" x14ac:dyDescent="0.2">
      <c r="A916" s="53" t="s">
        <v>21</v>
      </c>
      <c r="B916" s="53" t="s">
        <v>33</v>
      </c>
      <c r="C916" s="53" t="s">
        <v>34</v>
      </c>
      <c r="D916" s="53" t="s">
        <v>40</v>
      </c>
      <c r="E916" s="53" t="s">
        <v>25</v>
      </c>
      <c r="F916" s="53" t="s">
        <v>25</v>
      </c>
      <c r="G916" s="53" t="s">
        <v>25</v>
      </c>
      <c r="H916" s="53" t="s">
        <v>25</v>
      </c>
      <c r="I916" s="75">
        <v>44531</v>
      </c>
      <c r="J916" s="76">
        <f ca="1">EFEITO!$J$916*EFEITO!$Y$916</f>
        <v>66706.054412734593</v>
      </c>
      <c r="K916" s="76">
        <f>EFEITO!$L$916*EFEITO!$Z$916</f>
        <v>0</v>
      </c>
      <c r="L916" s="76">
        <f>EFEITO!$N$916*EFEITO!$AA$916</f>
        <v>0</v>
      </c>
      <c r="M916" s="76">
        <f ca="1">$J$916-EFEITO!$K$916*EFEITO!$Y$916</f>
        <v>0</v>
      </c>
      <c r="N916" s="76">
        <f>$K$916-EFEITO!$M$916*EFEITO!$Z$916</f>
        <v>0</v>
      </c>
      <c r="O916" s="76">
        <f>$L$916-EFEITO!$O$916*EFEITO!$AA$916</f>
        <v>0</v>
      </c>
      <c r="P916" s="57"/>
      <c r="Q916" s="57"/>
      <c r="R916" s="57"/>
      <c r="S916" s="57"/>
      <c r="T916" s="57"/>
      <c r="U916" s="57"/>
      <c r="V916" s="57"/>
      <c r="W916" s="57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</row>
    <row r="917" spans="1:36" ht="11.25" customHeight="1" x14ac:dyDescent="0.2">
      <c r="A917" s="53" t="s">
        <v>21</v>
      </c>
      <c r="B917" s="53" t="s">
        <v>33</v>
      </c>
      <c r="C917" s="53" t="s">
        <v>34</v>
      </c>
      <c r="D917" s="53" t="s">
        <v>40</v>
      </c>
      <c r="E917" s="53" t="s">
        <v>25</v>
      </c>
      <c r="F917" s="53" t="s">
        <v>25</v>
      </c>
      <c r="G917" s="53" t="s">
        <v>25</v>
      </c>
      <c r="H917" s="53" t="s">
        <v>25</v>
      </c>
      <c r="I917" s="75">
        <v>44562</v>
      </c>
      <c r="J917" s="76">
        <f ca="1">EFEITO!$J$917*EFEITO!$Y$917</f>
        <v>1049140.1930712932</v>
      </c>
      <c r="K917" s="76">
        <f>EFEITO!$L$917*EFEITO!$Z$917</f>
        <v>0</v>
      </c>
      <c r="L917" s="76">
        <f>EFEITO!$N$917*EFEITO!$AA$917</f>
        <v>0</v>
      </c>
      <c r="M917" s="76">
        <f ca="1">$J$917-EFEITO!$K$917*EFEITO!$Y$917</f>
        <v>0</v>
      </c>
      <c r="N917" s="76">
        <f>$K$917-EFEITO!$M$917*EFEITO!$Z$917</f>
        <v>0</v>
      </c>
      <c r="O917" s="76">
        <f>$L$917-EFEITO!$O$917*EFEITO!$AA$917</f>
        <v>0</v>
      </c>
      <c r="P917" s="57"/>
      <c r="Q917" s="57"/>
      <c r="R917" s="57"/>
      <c r="S917" s="57"/>
      <c r="T917" s="57"/>
      <c r="U917" s="57"/>
      <c r="V917" s="57"/>
      <c r="W917" s="57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</row>
    <row r="918" spans="1:36" ht="11.25" customHeight="1" x14ac:dyDescent="0.2">
      <c r="A918" s="53" t="s">
        <v>27</v>
      </c>
      <c r="B918" s="53" t="s">
        <v>33</v>
      </c>
      <c r="C918" s="53" t="s">
        <v>34</v>
      </c>
      <c r="D918" s="53" t="s">
        <v>40</v>
      </c>
      <c r="E918" s="53" t="s">
        <v>25</v>
      </c>
      <c r="F918" s="53" t="s">
        <v>25</v>
      </c>
      <c r="G918" s="53" t="s">
        <v>25</v>
      </c>
      <c r="H918" s="53" t="s">
        <v>25</v>
      </c>
      <c r="I918" s="75">
        <v>44562</v>
      </c>
      <c r="J918" s="76">
        <f ca="1">EFEITO!$J$918*EFEITO!$Y$918</f>
        <v>-38385.58456590792</v>
      </c>
      <c r="K918" s="76">
        <f>EFEITO!$L$918*EFEITO!$Z$918</f>
        <v>0</v>
      </c>
      <c r="L918" s="76">
        <f>EFEITO!$N$918*EFEITO!$AA$918</f>
        <v>0</v>
      </c>
      <c r="M918" s="76">
        <f ca="1">$J$918-EFEITO!$K$918*EFEITO!$Y$918</f>
        <v>0</v>
      </c>
      <c r="N918" s="76">
        <f>$K$918-EFEITO!$M$918*EFEITO!$Z$918</f>
        <v>0</v>
      </c>
      <c r="O918" s="76">
        <f>$L$918-EFEITO!$O$918*EFEITO!$AA$918</f>
        <v>0</v>
      </c>
      <c r="P918" s="57"/>
      <c r="Q918" s="57"/>
      <c r="R918" s="57"/>
      <c r="S918" s="57"/>
      <c r="T918" s="57"/>
      <c r="U918" s="57"/>
      <c r="V918" s="57"/>
      <c r="W918" s="57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</row>
    <row r="919" spans="1:36" ht="11.25" customHeight="1" x14ac:dyDescent="0.2">
      <c r="A919" s="53" t="s">
        <v>28</v>
      </c>
      <c r="B919" s="53" t="s">
        <v>33</v>
      </c>
      <c r="C919" s="53" t="s">
        <v>34</v>
      </c>
      <c r="D919" s="53" t="s">
        <v>40</v>
      </c>
      <c r="E919" s="53" t="s">
        <v>25</v>
      </c>
      <c r="F919" s="53" t="s">
        <v>25</v>
      </c>
      <c r="G919" s="53" t="s">
        <v>25</v>
      </c>
      <c r="H919" s="53" t="s">
        <v>25</v>
      </c>
      <c r="I919" s="75">
        <v>44562</v>
      </c>
      <c r="J919" s="76">
        <f ca="1">EFEITO!$J$919*EFEITO!$Y$919</f>
        <v>74230.221053224261</v>
      </c>
      <c r="K919" s="76">
        <f>EFEITO!$L$919*EFEITO!$Z$919</f>
        <v>0</v>
      </c>
      <c r="L919" s="76">
        <f>EFEITO!$N$919*EFEITO!$AA$919</f>
        <v>0</v>
      </c>
      <c r="M919" s="76">
        <f ca="1">$J$919-EFEITO!$K$919*EFEITO!$Y$919</f>
        <v>0</v>
      </c>
      <c r="N919" s="76">
        <f>$K$919-EFEITO!$M$919*EFEITO!$Z$919</f>
        <v>0</v>
      </c>
      <c r="O919" s="76">
        <f>$L$919-EFEITO!$O$919*EFEITO!$AA$919</f>
        <v>0</v>
      </c>
      <c r="P919" s="57"/>
      <c r="Q919" s="57"/>
      <c r="R919" s="57"/>
      <c r="S919" s="57"/>
      <c r="T919" s="57"/>
      <c r="U919" s="57"/>
      <c r="V919" s="57"/>
      <c r="W919" s="57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</row>
    <row r="920" spans="1:36" ht="11.25" customHeight="1" x14ac:dyDescent="0.2">
      <c r="A920" s="53" t="s">
        <v>21</v>
      </c>
      <c r="B920" s="53" t="s">
        <v>33</v>
      </c>
      <c r="C920" s="53" t="s">
        <v>34</v>
      </c>
      <c r="D920" s="53" t="s">
        <v>40</v>
      </c>
      <c r="E920" s="53" t="s">
        <v>25</v>
      </c>
      <c r="F920" s="53" t="s">
        <v>25</v>
      </c>
      <c r="G920" s="53" t="s">
        <v>25</v>
      </c>
      <c r="H920" s="53" t="s">
        <v>25</v>
      </c>
      <c r="I920" s="75">
        <v>44562</v>
      </c>
      <c r="J920" s="76">
        <f ca="1">EFEITO!$J$920*EFEITO!$Y$920</f>
        <v>67791.507960870804</v>
      </c>
      <c r="K920" s="76">
        <f>EFEITO!$L$920*EFEITO!$Z$920</f>
        <v>0</v>
      </c>
      <c r="L920" s="76">
        <f>EFEITO!$N$920*EFEITO!$AA$920</f>
        <v>0</v>
      </c>
      <c r="M920" s="76">
        <f ca="1">$J$920-EFEITO!$K$920*EFEITO!$Y$920</f>
        <v>0</v>
      </c>
      <c r="N920" s="76">
        <f>$K$920-EFEITO!$M$920*EFEITO!$Z$920</f>
        <v>0</v>
      </c>
      <c r="O920" s="76">
        <f>$L$920-EFEITO!$O$920*EFEITO!$AA$920</f>
        <v>0</v>
      </c>
      <c r="P920" s="57"/>
      <c r="Q920" s="57"/>
      <c r="R920" s="57"/>
      <c r="S920" s="57"/>
      <c r="T920" s="57"/>
      <c r="U920" s="57"/>
      <c r="V920" s="57"/>
      <c r="W920" s="57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spans="1:36" ht="11.25" customHeight="1" x14ac:dyDescent="0.2">
      <c r="A921" s="53" t="s">
        <v>21</v>
      </c>
      <c r="B921" s="53" t="s">
        <v>33</v>
      </c>
      <c r="C921" s="53" t="s">
        <v>34</v>
      </c>
      <c r="D921" s="53" t="s">
        <v>40</v>
      </c>
      <c r="E921" s="53" t="s">
        <v>25</v>
      </c>
      <c r="F921" s="53" t="s">
        <v>25</v>
      </c>
      <c r="G921" s="53" t="s">
        <v>25</v>
      </c>
      <c r="H921" s="53" t="s">
        <v>25</v>
      </c>
      <c r="I921" s="75">
        <v>44593</v>
      </c>
      <c r="J921" s="76">
        <f ca="1">EFEITO!$J$921*EFEITO!$Y$921</f>
        <v>1033203.7614327478</v>
      </c>
      <c r="K921" s="76">
        <f>EFEITO!$L$921*EFEITO!$Z$921</f>
        <v>0</v>
      </c>
      <c r="L921" s="76">
        <f>EFEITO!$N$921*EFEITO!$AA$921</f>
        <v>0</v>
      </c>
      <c r="M921" s="76">
        <f ca="1">$J$921-EFEITO!$K$921*EFEITO!$Y$921</f>
        <v>0</v>
      </c>
      <c r="N921" s="76">
        <f>$K$921-EFEITO!$M$921*EFEITO!$Z$921</f>
        <v>0</v>
      </c>
      <c r="O921" s="76">
        <f>$L$921-EFEITO!$O$921*EFEITO!$AA$921</f>
        <v>0</v>
      </c>
      <c r="P921" s="57"/>
      <c r="Q921" s="57"/>
      <c r="R921" s="57"/>
      <c r="S921" s="57"/>
      <c r="T921" s="57"/>
      <c r="U921" s="57"/>
      <c r="V921" s="57"/>
      <c r="W921" s="57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</row>
    <row r="922" spans="1:36" ht="11.25" customHeight="1" x14ac:dyDescent="0.2">
      <c r="A922" s="53" t="s">
        <v>27</v>
      </c>
      <c r="B922" s="53" t="s">
        <v>33</v>
      </c>
      <c r="C922" s="53" t="s">
        <v>34</v>
      </c>
      <c r="D922" s="53" t="s">
        <v>40</v>
      </c>
      <c r="E922" s="53" t="s">
        <v>25</v>
      </c>
      <c r="F922" s="53" t="s">
        <v>25</v>
      </c>
      <c r="G922" s="53" t="s">
        <v>25</v>
      </c>
      <c r="H922" s="53" t="s">
        <v>25</v>
      </c>
      <c r="I922" s="75">
        <v>44593</v>
      </c>
      <c r="J922" s="76">
        <f ca="1">EFEITO!$J$922*EFEITO!$Y$922</f>
        <v>-45046.322247652868</v>
      </c>
      <c r="K922" s="76">
        <f>EFEITO!$L$922*EFEITO!$Z$922</f>
        <v>0</v>
      </c>
      <c r="L922" s="76">
        <f>EFEITO!$N$922*EFEITO!$AA$922</f>
        <v>0</v>
      </c>
      <c r="M922" s="76">
        <f ca="1">$J$922-EFEITO!$K$922*EFEITO!$Y$922</f>
        <v>0</v>
      </c>
      <c r="N922" s="76">
        <f>$K$922-EFEITO!$M$922*EFEITO!$Z$922</f>
        <v>0</v>
      </c>
      <c r="O922" s="76">
        <f>$L$922-EFEITO!$O$922*EFEITO!$AA$922</f>
        <v>0</v>
      </c>
      <c r="P922" s="57"/>
      <c r="Q922" s="57"/>
      <c r="R922" s="57"/>
      <c r="S922" s="57"/>
      <c r="T922" s="57"/>
      <c r="U922" s="57"/>
      <c r="V922" s="57"/>
      <c r="W922" s="57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</row>
    <row r="923" spans="1:36" ht="11.25" customHeight="1" x14ac:dyDescent="0.2">
      <c r="A923" s="53" t="s">
        <v>28</v>
      </c>
      <c r="B923" s="53" t="s">
        <v>33</v>
      </c>
      <c r="C923" s="53" t="s">
        <v>34</v>
      </c>
      <c r="D923" s="53" t="s">
        <v>40</v>
      </c>
      <c r="E923" s="53" t="s">
        <v>25</v>
      </c>
      <c r="F923" s="53" t="s">
        <v>25</v>
      </c>
      <c r="G923" s="53" t="s">
        <v>25</v>
      </c>
      <c r="H923" s="53" t="s">
        <v>25</v>
      </c>
      <c r="I923" s="75">
        <v>44593</v>
      </c>
      <c r="J923" s="76">
        <f ca="1">EFEITO!$J$923*EFEITO!$Y$923</f>
        <v>74871.625422577476</v>
      </c>
      <c r="K923" s="76">
        <f>EFEITO!$L$923*EFEITO!$Z$923</f>
        <v>0</v>
      </c>
      <c r="L923" s="76">
        <f>EFEITO!$N$923*EFEITO!$AA$923</f>
        <v>0</v>
      </c>
      <c r="M923" s="76">
        <f ca="1">$J$923-EFEITO!$K$923*EFEITO!$Y$923</f>
        <v>0</v>
      </c>
      <c r="N923" s="76">
        <f>$K$923-EFEITO!$M$923*EFEITO!$Z$923</f>
        <v>0</v>
      </c>
      <c r="O923" s="76">
        <f>$L$923-EFEITO!$O$923*EFEITO!$AA$923</f>
        <v>0</v>
      </c>
      <c r="P923" s="57"/>
      <c r="Q923" s="57"/>
      <c r="R923" s="57"/>
      <c r="S923" s="57"/>
      <c r="T923" s="57"/>
      <c r="U923" s="57"/>
      <c r="V923" s="57"/>
      <c r="W923" s="57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spans="1:36" ht="11.25" customHeight="1" x14ac:dyDescent="0.2">
      <c r="A924" s="53" t="s">
        <v>21</v>
      </c>
      <c r="B924" s="53" t="s">
        <v>33</v>
      </c>
      <c r="C924" s="53" t="s">
        <v>34</v>
      </c>
      <c r="D924" s="53" t="s">
        <v>40</v>
      </c>
      <c r="E924" s="53" t="s">
        <v>25</v>
      </c>
      <c r="F924" s="53" t="s">
        <v>25</v>
      </c>
      <c r="G924" s="53" t="s">
        <v>25</v>
      </c>
      <c r="H924" s="53" t="s">
        <v>25</v>
      </c>
      <c r="I924" s="75">
        <v>44593</v>
      </c>
      <c r="J924" s="76">
        <f ca="1">EFEITO!$J$924*EFEITO!$Y$924</f>
        <v>65102.543489351548</v>
      </c>
      <c r="K924" s="76">
        <f>EFEITO!$L$924*EFEITO!$Z$924</f>
        <v>0</v>
      </c>
      <c r="L924" s="76">
        <f>EFEITO!$N$924*EFEITO!$AA$924</f>
        <v>0</v>
      </c>
      <c r="M924" s="76">
        <f ca="1">$J$924-EFEITO!$K$924*EFEITO!$Y$924</f>
        <v>0</v>
      </c>
      <c r="N924" s="76">
        <f>$K$924-EFEITO!$M$924*EFEITO!$Z$924</f>
        <v>0</v>
      </c>
      <c r="O924" s="76">
        <f>$L$924-EFEITO!$O$924*EFEITO!$AA$924</f>
        <v>0</v>
      </c>
      <c r="P924" s="57"/>
      <c r="Q924" s="57"/>
      <c r="R924" s="57"/>
      <c r="S924" s="57"/>
      <c r="T924" s="57"/>
      <c r="U924" s="57"/>
      <c r="V924" s="57"/>
      <c r="W924" s="57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</row>
    <row r="925" spans="1:36" ht="11.25" customHeight="1" x14ac:dyDescent="0.2">
      <c r="A925" s="53" t="s">
        <v>21</v>
      </c>
      <c r="B925" s="53" t="s">
        <v>33</v>
      </c>
      <c r="C925" s="53" t="s">
        <v>34</v>
      </c>
      <c r="D925" s="53" t="s">
        <v>40</v>
      </c>
      <c r="E925" s="53" t="s">
        <v>25</v>
      </c>
      <c r="F925" s="53" t="s">
        <v>25</v>
      </c>
      <c r="G925" s="53" t="s">
        <v>25</v>
      </c>
      <c r="H925" s="53" t="s">
        <v>25</v>
      </c>
      <c r="I925" s="75">
        <v>44621</v>
      </c>
      <c r="J925" s="76">
        <f ca="1">EFEITO!$J$925*EFEITO!$Y$925</f>
        <v>996273.67139729531</v>
      </c>
      <c r="K925" s="76">
        <f>EFEITO!$L$925*EFEITO!$Z$925</f>
        <v>0</v>
      </c>
      <c r="L925" s="76">
        <f>EFEITO!$N$925*EFEITO!$AA$925</f>
        <v>0</v>
      </c>
      <c r="M925" s="76">
        <f ca="1">$J$925-EFEITO!$K$925*EFEITO!$Y$925</f>
        <v>0</v>
      </c>
      <c r="N925" s="76">
        <f>$K$925-EFEITO!$M$925*EFEITO!$Z$925</f>
        <v>0</v>
      </c>
      <c r="O925" s="76">
        <f>$L$925-EFEITO!$O$925*EFEITO!$AA$925</f>
        <v>0</v>
      </c>
      <c r="P925" s="57"/>
      <c r="Q925" s="57"/>
      <c r="R925" s="57"/>
      <c r="S925" s="57"/>
      <c r="T925" s="57"/>
      <c r="U925" s="57"/>
      <c r="V925" s="57"/>
      <c r="W925" s="57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</row>
    <row r="926" spans="1:36" ht="11.25" customHeight="1" x14ac:dyDescent="0.2">
      <c r="A926" s="53" t="s">
        <v>28</v>
      </c>
      <c r="B926" s="53" t="s">
        <v>33</v>
      </c>
      <c r="C926" s="53" t="s">
        <v>34</v>
      </c>
      <c r="D926" s="53" t="s">
        <v>40</v>
      </c>
      <c r="E926" s="53" t="s">
        <v>25</v>
      </c>
      <c r="F926" s="53" t="s">
        <v>25</v>
      </c>
      <c r="G926" s="53" t="s">
        <v>25</v>
      </c>
      <c r="H926" s="53" t="s">
        <v>25</v>
      </c>
      <c r="I926" s="75">
        <v>44621</v>
      </c>
      <c r="J926" s="76">
        <f ca="1">EFEITO!$J$926*EFEITO!$Y$926</f>
        <v>86466.24286857793</v>
      </c>
      <c r="K926" s="76">
        <f>EFEITO!$L$926*EFEITO!$Z$926</f>
        <v>0</v>
      </c>
      <c r="L926" s="76">
        <f>EFEITO!$N$926*EFEITO!$AA$926</f>
        <v>0</v>
      </c>
      <c r="M926" s="76">
        <f ca="1">$J$926-EFEITO!$K$926*EFEITO!$Y$926</f>
        <v>0</v>
      </c>
      <c r="N926" s="76">
        <f>$K$926-EFEITO!$M$926*EFEITO!$Z$926</f>
        <v>0</v>
      </c>
      <c r="O926" s="76">
        <f>$L$926-EFEITO!$O$926*EFEITO!$AA$926</f>
        <v>0</v>
      </c>
      <c r="P926" s="57"/>
      <c r="Q926" s="57"/>
      <c r="R926" s="57"/>
      <c r="S926" s="57"/>
      <c r="T926" s="57"/>
      <c r="U926" s="57"/>
      <c r="V926" s="57"/>
      <c r="W926" s="57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spans="1:36" ht="11.25" customHeight="1" x14ac:dyDescent="0.2">
      <c r="A927" s="53" t="s">
        <v>21</v>
      </c>
      <c r="B927" s="53" t="s">
        <v>33</v>
      </c>
      <c r="C927" s="53" t="s">
        <v>34</v>
      </c>
      <c r="D927" s="53" t="s">
        <v>40</v>
      </c>
      <c r="E927" s="53" t="s">
        <v>25</v>
      </c>
      <c r="F927" s="53" t="s">
        <v>25</v>
      </c>
      <c r="G927" s="53" t="s">
        <v>25</v>
      </c>
      <c r="H927" s="53" t="s">
        <v>25</v>
      </c>
      <c r="I927" s="75">
        <v>44621</v>
      </c>
      <c r="J927" s="76">
        <f ca="1">EFEITO!$J$927*EFEITO!$Y$927</f>
        <v>61673.497053193962</v>
      </c>
      <c r="K927" s="76">
        <f>EFEITO!$L$927*EFEITO!$Z$927</f>
        <v>0</v>
      </c>
      <c r="L927" s="76">
        <f>EFEITO!$N$927*EFEITO!$AA$927</f>
        <v>0</v>
      </c>
      <c r="M927" s="76">
        <f ca="1">$J$927-EFEITO!$K$927*EFEITO!$Y$927</f>
        <v>0</v>
      </c>
      <c r="N927" s="76">
        <f>$K$927-EFEITO!$M$927*EFEITO!$Z$927</f>
        <v>0</v>
      </c>
      <c r="O927" s="76">
        <f>$L$927-EFEITO!$O$927*EFEITO!$AA$927</f>
        <v>0</v>
      </c>
      <c r="P927" s="57"/>
      <c r="Q927" s="57"/>
      <c r="R927" s="57"/>
      <c r="S927" s="57"/>
      <c r="T927" s="57"/>
      <c r="U927" s="57"/>
      <c r="V927" s="57"/>
      <c r="W927" s="57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</row>
    <row r="928" spans="1:36" ht="11.25" customHeight="1" x14ac:dyDescent="0.2">
      <c r="A928" s="53" t="s">
        <v>56</v>
      </c>
      <c r="B928" s="53" t="s">
        <v>33</v>
      </c>
      <c r="C928" s="53" t="s">
        <v>34</v>
      </c>
      <c r="D928" s="53" t="s">
        <v>40</v>
      </c>
      <c r="E928" s="53" t="s">
        <v>25</v>
      </c>
      <c r="F928" s="53" t="s">
        <v>25</v>
      </c>
      <c r="G928" s="53" t="s">
        <v>25</v>
      </c>
      <c r="H928" s="53" t="s">
        <v>25</v>
      </c>
      <c r="I928" s="75">
        <v>44652</v>
      </c>
      <c r="J928" s="76">
        <f ca="1">EFEITO!$J$928*EFEITO!$Y$928</f>
        <v>996273.67139729531</v>
      </c>
      <c r="K928" s="76">
        <f>EFEITO!$L$928*EFEITO!$Z$928</f>
        <v>0</v>
      </c>
      <c r="L928" s="76">
        <f>EFEITO!$N$928*EFEITO!$AA$928</f>
        <v>0</v>
      </c>
      <c r="M928" s="76">
        <f ca="1">$J$928-EFEITO!$K$928*EFEITO!$Y$928</f>
        <v>0</v>
      </c>
      <c r="N928" s="76">
        <f>$K$928-EFEITO!$M$928*EFEITO!$Z$928</f>
        <v>0</v>
      </c>
      <c r="O928" s="76">
        <f>$L$928-EFEITO!$O$928*EFEITO!$AA$928</f>
        <v>0</v>
      </c>
      <c r="P928" s="57"/>
      <c r="Q928" s="57"/>
      <c r="R928" s="57"/>
      <c r="S928" s="57"/>
      <c r="T928" s="57"/>
      <c r="U928" s="57"/>
      <c r="V928" s="57"/>
      <c r="W928" s="57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</row>
    <row r="929" spans="1:36" ht="11.25" customHeight="1" x14ac:dyDescent="0.2">
      <c r="A929" s="53" t="s">
        <v>56</v>
      </c>
      <c r="B929" s="53" t="s">
        <v>33</v>
      </c>
      <c r="C929" s="53" t="s">
        <v>34</v>
      </c>
      <c r="D929" s="53" t="s">
        <v>40</v>
      </c>
      <c r="E929" s="53" t="s">
        <v>25</v>
      </c>
      <c r="F929" s="53" t="s">
        <v>25</v>
      </c>
      <c r="G929" s="53" t="s">
        <v>25</v>
      </c>
      <c r="H929" s="53" t="s">
        <v>25</v>
      </c>
      <c r="I929" s="75">
        <v>44652</v>
      </c>
      <c r="J929" s="76">
        <f ca="1">EFEITO!$J$929*EFEITO!$Y$929</f>
        <v>86466.24286857793</v>
      </c>
      <c r="K929" s="76">
        <f>EFEITO!$L$929*EFEITO!$Z$929</f>
        <v>0</v>
      </c>
      <c r="L929" s="76">
        <f>EFEITO!$N$929*EFEITO!$AA$929</f>
        <v>0</v>
      </c>
      <c r="M929" s="76">
        <f ca="1">$J$929-EFEITO!$K$929*EFEITO!$Y$929</f>
        <v>0</v>
      </c>
      <c r="N929" s="76">
        <f>$K$929-EFEITO!$M$929*EFEITO!$Z$929</f>
        <v>0</v>
      </c>
      <c r="O929" s="76">
        <f>$L$929-EFEITO!$O$929*EFEITO!$AA$929</f>
        <v>0</v>
      </c>
      <c r="P929" s="57"/>
      <c r="Q929" s="57"/>
      <c r="R929" s="57"/>
      <c r="S929" s="57"/>
      <c r="T929" s="57"/>
      <c r="U929" s="57"/>
      <c r="V929" s="57"/>
      <c r="W929" s="57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</row>
    <row r="930" spans="1:36" ht="11.25" customHeight="1" x14ac:dyDescent="0.2">
      <c r="A930" s="53" t="s">
        <v>56</v>
      </c>
      <c r="B930" s="53" t="s">
        <v>33</v>
      </c>
      <c r="C930" s="53" t="s">
        <v>34</v>
      </c>
      <c r="D930" s="53" t="s">
        <v>40</v>
      </c>
      <c r="E930" s="53" t="s">
        <v>25</v>
      </c>
      <c r="F930" s="53" t="s">
        <v>25</v>
      </c>
      <c r="G930" s="53" t="s">
        <v>25</v>
      </c>
      <c r="H930" s="53" t="s">
        <v>25</v>
      </c>
      <c r="I930" s="75">
        <v>44652</v>
      </c>
      <c r="J930" s="76">
        <f ca="1">EFEITO!$J$930*EFEITO!$Y$930</f>
        <v>61673.497053193962</v>
      </c>
      <c r="K930" s="76">
        <f>EFEITO!$L$930*EFEITO!$Z$930</f>
        <v>0</v>
      </c>
      <c r="L930" s="76">
        <f>EFEITO!$N$930*EFEITO!$AA$930</f>
        <v>0</v>
      </c>
      <c r="M930" s="76">
        <f ca="1">$J$930-EFEITO!$K$930*EFEITO!$Y$930</f>
        <v>0</v>
      </c>
      <c r="N930" s="76">
        <f>$K$930-EFEITO!$M$930*EFEITO!$Z$930</f>
        <v>0</v>
      </c>
      <c r="O930" s="76">
        <f>$L$930-EFEITO!$O$930*EFEITO!$AA$930</f>
        <v>0</v>
      </c>
      <c r="P930" s="57"/>
      <c r="Q930" s="57"/>
      <c r="R930" s="57"/>
      <c r="S930" s="57"/>
      <c r="T930" s="57"/>
      <c r="U930" s="57"/>
      <c r="V930" s="57"/>
      <c r="W930" s="57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</row>
    <row r="931" spans="1:36" ht="11.25" customHeight="1" x14ac:dyDescent="0.2">
      <c r="A931" s="53" t="s">
        <v>21</v>
      </c>
      <c r="B931" s="53" t="s">
        <v>33</v>
      </c>
      <c r="C931" s="53" t="s">
        <v>34</v>
      </c>
      <c r="D931" s="53" t="s">
        <v>40</v>
      </c>
      <c r="E931" s="53" t="s">
        <v>25</v>
      </c>
      <c r="F931" s="53" t="s">
        <v>25</v>
      </c>
      <c r="G931" s="53" t="s">
        <v>25</v>
      </c>
      <c r="H931" s="53" t="s">
        <v>35</v>
      </c>
      <c r="I931" s="75">
        <v>44317</v>
      </c>
      <c r="J931" s="76">
        <f>EFEITO!$J$931*EFEITO!$Y$931</f>
        <v>0</v>
      </c>
      <c r="K931" s="76">
        <f ca="1">EFEITO!$L$931*EFEITO!$Z$931</f>
        <v>567660.32939811889</v>
      </c>
      <c r="L931" s="76">
        <f>EFEITO!$N$931*EFEITO!$AA$931</f>
        <v>133747.4076885567</v>
      </c>
      <c r="M931" s="76">
        <f>$J$931-EFEITO!$K$931*EFEITO!$Y$931</f>
        <v>0</v>
      </c>
      <c r="N931" s="76">
        <f ca="1">$K$931-EFEITO!$M$931*EFEITO!$Z$931</f>
        <v>0</v>
      </c>
      <c r="O931" s="76">
        <f>$L$931-EFEITO!$O$931*EFEITO!$AA$931</f>
        <v>0</v>
      </c>
      <c r="P931" s="57"/>
      <c r="Q931" s="57"/>
      <c r="R931" s="57"/>
      <c r="S931" s="57"/>
      <c r="T931" s="57"/>
      <c r="U931" s="57"/>
      <c r="V931" s="57"/>
      <c r="W931" s="57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</row>
    <row r="932" spans="1:36" ht="11.25" customHeight="1" x14ac:dyDescent="0.2">
      <c r="A932" s="53" t="s">
        <v>28</v>
      </c>
      <c r="B932" s="53" t="s">
        <v>33</v>
      </c>
      <c r="C932" s="53" t="s">
        <v>34</v>
      </c>
      <c r="D932" s="53" t="s">
        <v>40</v>
      </c>
      <c r="E932" s="53" t="s">
        <v>25</v>
      </c>
      <c r="F932" s="53" t="s">
        <v>25</v>
      </c>
      <c r="G932" s="53" t="s">
        <v>25</v>
      </c>
      <c r="H932" s="53" t="s">
        <v>35</v>
      </c>
      <c r="I932" s="75">
        <v>44317</v>
      </c>
      <c r="J932" s="76">
        <f>EFEITO!$J$932*EFEITO!$Y$932</f>
        <v>0</v>
      </c>
      <c r="K932" s="76">
        <f ca="1">EFEITO!$L$932*EFEITO!$Z$932</f>
        <v>19162.554928290734</v>
      </c>
      <c r="L932" s="76">
        <f>EFEITO!$N$932*EFEITO!$AA$932</f>
        <v>4514.9218883516287</v>
      </c>
      <c r="M932" s="76">
        <f>$J$932-EFEITO!$K$932*EFEITO!$Y$932</f>
        <v>0</v>
      </c>
      <c r="N932" s="76">
        <f ca="1">$K$932-EFEITO!$M$932*EFEITO!$Z$932</f>
        <v>0</v>
      </c>
      <c r="O932" s="76">
        <f>$L$932-EFEITO!$O$932*EFEITO!$AA$932</f>
        <v>0</v>
      </c>
      <c r="P932" s="57"/>
      <c r="Q932" s="57"/>
      <c r="R932" s="57"/>
      <c r="S932" s="57"/>
      <c r="T932" s="57"/>
      <c r="U932" s="57"/>
      <c r="V932" s="57"/>
      <c r="W932" s="57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spans="1:36" ht="11.25" customHeight="1" x14ac:dyDescent="0.2">
      <c r="A933" s="53" t="s">
        <v>21</v>
      </c>
      <c r="B933" s="53" t="s">
        <v>33</v>
      </c>
      <c r="C933" s="53" t="s">
        <v>34</v>
      </c>
      <c r="D933" s="53" t="s">
        <v>40</v>
      </c>
      <c r="E933" s="53" t="s">
        <v>25</v>
      </c>
      <c r="F933" s="53" t="s">
        <v>25</v>
      </c>
      <c r="G933" s="53" t="s">
        <v>25</v>
      </c>
      <c r="H933" s="53" t="s">
        <v>35</v>
      </c>
      <c r="I933" s="75">
        <v>44317</v>
      </c>
      <c r="J933" s="76">
        <f>EFEITO!$J$933*EFEITO!$Y$933</f>
        <v>0</v>
      </c>
      <c r="K933" s="76">
        <f ca="1">EFEITO!$L$933*EFEITO!$Z$933</f>
        <v>22719.438891602236</v>
      </c>
      <c r="L933" s="76">
        <f>EFEITO!$N$933*EFEITO!$AA$933</f>
        <v>0</v>
      </c>
      <c r="M933" s="76">
        <f>$J$933-EFEITO!$K$933*EFEITO!$Y$933</f>
        <v>0</v>
      </c>
      <c r="N933" s="76">
        <f ca="1">$K$933-EFEITO!$M$933*EFEITO!$Z$933</f>
        <v>0</v>
      </c>
      <c r="O933" s="76">
        <f>$L$933-EFEITO!$O$933*EFEITO!$AA$933</f>
        <v>0</v>
      </c>
      <c r="P933" s="57"/>
      <c r="Q933" s="57"/>
      <c r="R933" s="57"/>
      <c r="S933" s="57"/>
      <c r="T933" s="57"/>
      <c r="U933" s="57"/>
      <c r="V933" s="57"/>
      <c r="W933" s="57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</row>
    <row r="934" spans="1:36" ht="11.25" customHeight="1" x14ac:dyDescent="0.2">
      <c r="A934" s="53" t="s">
        <v>21</v>
      </c>
      <c r="B934" s="53" t="s">
        <v>33</v>
      </c>
      <c r="C934" s="53" t="s">
        <v>34</v>
      </c>
      <c r="D934" s="53" t="s">
        <v>40</v>
      </c>
      <c r="E934" s="53" t="s">
        <v>25</v>
      </c>
      <c r="F934" s="53" t="s">
        <v>25</v>
      </c>
      <c r="G934" s="53" t="s">
        <v>25</v>
      </c>
      <c r="H934" s="53" t="s">
        <v>35</v>
      </c>
      <c r="I934" s="75">
        <v>44348</v>
      </c>
      <c r="J934" s="76">
        <f>EFEITO!$J$934*EFEITO!$Y$934</f>
        <v>0</v>
      </c>
      <c r="K934" s="76">
        <f ca="1">EFEITO!$L$934*EFEITO!$Z$934</f>
        <v>560350.45608353394</v>
      </c>
      <c r="L934" s="76">
        <f>EFEITO!$N$934*EFEITO!$AA$934</f>
        <v>132025.11610726177</v>
      </c>
      <c r="M934" s="76">
        <f>$J$934-EFEITO!$K$934*EFEITO!$Y$934</f>
        <v>0</v>
      </c>
      <c r="N934" s="76">
        <f ca="1">$K$934-EFEITO!$M$934*EFEITO!$Z$934</f>
        <v>0</v>
      </c>
      <c r="O934" s="76">
        <f>$L$934-EFEITO!$O$934*EFEITO!$AA$934</f>
        <v>0</v>
      </c>
      <c r="P934" s="57"/>
      <c r="Q934" s="57"/>
      <c r="R934" s="57"/>
      <c r="S934" s="57"/>
      <c r="T934" s="57"/>
      <c r="U934" s="57"/>
      <c r="V934" s="57"/>
      <c r="W934" s="57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</row>
    <row r="935" spans="1:36" ht="11.25" customHeight="1" x14ac:dyDescent="0.2">
      <c r="A935" s="53" t="s">
        <v>27</v>
      </c>
      <c r="B935" s="53" t="s">
        <v>33</v>
      </c>
      <c r="C935" s="53" t="s">
        <v>34</v>
      </c>
      <c r="D935" s="53" t="s">
        <v>40</v>
      </c>
      <c r="E935" s="53" t="s">
        <v>25</v>
      </c>
      <c r="F935" s="53" t="s">
        <v>25</v>
      </c>
      <c r="G935" s="53" t="s">
        <v>25</v>
      </c>
      <c r="H935" s="53" t="s">
        <v>35</v>
      </c>
      <c r="I935" s="75">
        <v>44348</v>
      </c>
      <c r="J935" s="76">
        <f>EFEITO!$J$935*EFEITO!$Y$935</f>
        <v>0</v>
      </c>
      <c r="K935" s="76">
        <f ca="1">EFEITO!$L$935*EFEITO!$Z$935</f>
        <v>-6224.9967187950379</v>
      </c>
      <c r="L935" s="76">
        <f>EFEITO!$N$935*EFEITO!$AA$935</f>
        <v>-1466.6819766873191</v>
      </c>
      <c r="M935" s="76">
        <f>$J$935-EFEITO!$K$935*EFEITO!$Y$935</f>
        <v>0</v>
      </c>
      <c r="N935" s="76">
        <f ca="1">$K$935-EFEITO!$M$935*EFEITO!$Z$935</f>
        <v>0</v>
      </c>
      <c r="O935" s="76">
        <f>$L$935-EFEITO!$O$935*EFEITO!$AA$935</f>
        <v>0</v>
      </c>
      <c r="P935" s="57"/>
      <c r="Q935" s="57"/>
      <c r="R935" s="57"/>
      <c r="S935" s="57"/>
      <c r="T935" s="57"/>
      <c r="U935" s="57"/>
      <c r="V935" s="57"/>
      <c r="W935" s="57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</row>
    <row r="936" spans="1:36" ht="11.25" customHeight="1" x14ac:dyDescent="0.2">
      <c r="A936" s="53" t="s">
        <v>28</v>
      </c>
      <c r="B936" s="53" t="s">
        <v>33</v>
      </c>
      <c r="C936" s="53" t="s">
        <v>34</v>
      </c>
      <c r="D936" s="53" t="s">
        <v>40</v>
      </c>
      <c r="E936" s="53" t="s">
        <v>25</v>
      </c>
      <c r="F936" s="53" t="s">
        <v>25</v>
      </c>
      <c r="G936" s="53" t="s">
        <v>25</v>
      </c>
      <c r="H936" s="53" t="s">
        <v>35</v>
      </c>
      <c r="I936" s="75">
        <v>44348</v>
      </c>
      <c r="J936" s="76">
        <f>EFEITO!$J$936*EFEITO!$Y$936</f>
        <v>0</v>
      </c>
      <c r="K936" s="76">
        <f ca="1">EFEITO!$L$936*EFEITO!$Z$936</f>
        <v>15130.700117071176</v>
      </c>
      <c r="L936" s="76">
        <f>EFEITO!$N$936*EFEITO!$AA$936</f>
        <v>3564.9697757053045</v>
      </c>
      <c r="M936" s="76">
        <f>$J$936-EFEITO!$K$936*EFEITO!$Y$936</f>
        <v>0</v>
      </c>
      <c r="N936" s="76">
        <f ca="1">$K$936-EFEITO!$M$936*EFEITO!$Z$936</f>
        <v>0</v>
      </c>
      <c r="O936" s="76">
        <f>$L$936-EFEITO!$O$936*EFEITO!$AA$936</f>
        <v>0</v>
      </c>
      <c r="P936" s="57"/>
      <c r="Q936" s="57"/>
      <c r="R936" s="57"/>
      <c r="S936" s="57"/>
      <c r="T936" s="57"/>
      <c r="U936" s="57"/>
      <c r="V936" s="57"/>
      <c r="W936" s="57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</row>
    <row r="937" spans="1:36" ht="11.25" customHeight="1" x14ac:dyDescent="0.2">
      <c r="A937" s="53" t="s">
        <v>21</v>
      </c>
      <c r="B937" s="53" t="s">
        <v>33</v>
      </c>
      <c r="C937" s="53" t="s">
        <v>34</v>
      </c>
      <c r="D937" s="53" t="s">
        <v>40</v>
      </c>
      <c r="E937" s="53" t="s">
        <v>25</v>
      </c>
      <c r="F937" s="53" t="s">
        <v>25</v>
      </c>
      <c r="G937" s="53" t="s">
        <v>25</v>
      </c>
      <c r="H937" s="53" t="s">
        <v>35</v>
      </c>
      <c r="I937" s="75">
        <v>44348</v>
      </c>
      <c r="J937" s="76">
        <f>EFEITO!$J$937*EFEITO!$Y$937</f>
        <v>0</v>
      </c>
      <c r="K937" s="76">
        <f ca="1">EFEITO!$L$937*EFEITO!$Z$937</f>
        <v>24637.313603230996</v>
      </c>
      <c r="L937" s="76">
        <f>EFEITO!$N$937*EFEITO!$AA$937</f>
        <v>0</v>
      </c>
      <c r="M937" s="76">
        <f>$J$937-EFEITO!$K$937*EFEITO!$Y$937</f>
        <v>0</v>
      </c>
      <c r="N937" s="76">
        <f ca="1">$K$937-EFEITO!$M$937*EFEITO!$Z$937</f>
        <v>0</v>
      </c>
      <c r="O937" s="76">
        <f>$L$937-EFEITO!$O$937*EFEITO!$AA$937</f>
        <v>0</v>
      </c>
      <c r="P937" s="57"/>
      <c r="Q937" s="57"/>
      <c r="R937" s="57"/>
      <c r="S937" s="57"/>
      <c r="T937" s="57"/>
      <c r="U937" s="57"/>
      <c r="V937" s="57"/>
      <c r="W937" s="57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</row>
    <row r="938" spans="1:36" ht="11.25" customHeight="1" x14ac:dyDescent="0.2">
      <c r="A938" s="53" t="s">
        <v>21</v>
      </c>
      <c r="B938" s="53" t="s">
        <v>33</v>
      </c>
      <c r="C938" s="53" t="s">
        <v>34</v>
      </c>
      <c r="D938" s="53" t="s">
        <v>40</v>
      </c>
      <c r="E938" s="53" t="s">
        <v>25</v>
      </c>
      <c r="F938" s="53" t="s">
        <v>25</v>
      </c>
      <c r="G938" s="53" t="s">
        <v>25</v>
      </c>
      <c r="H938" s="53" t="s">
        <v>35</v>
      </c>
      <c r="I938" s="75">
        <v>44378</v>
      </c>
      <c r="J938" s="76">
        <f>EFEITO!$J$938*EFEITO!$Y$938</f>
        <v>0</v>
      </c>
      <c r="K938" s="76">
        <f ca="1">EFEITO!$L$938*EFEITO!$Z$938</f>
        <v>613187.3646493064</v>
      </c>
      <c r="L938" s="76">
        <f>EFEITO!$N$938*EFEITO!$AA$938</f>
        <v>144474.10925505171</v>
      </c>
      <c r="M938" s="76">
        <f>$J$938-EFEITO!$K$938*EFEITO!$Y$938</f>
        <v>0</v>
      </c>
      <c r="N938" s="76">
        <f ca="1">$K$938-EFEITO!$M$938*EFEITO!$Z$938</f>
        <v>0</v>
      </c>
      <c r="O938" s="76">
        <f>$L$938-EFEITO!$O$938*EFEITO!$AA$938</f>
        <v>0</v>
      </c>
      <c r="P938" s="57"/>
      <c r="Q938" s="57"/>
      <c r="R938" s="57"/>
      <c r="S938" s="57"/>
      <c r="T938" s="57"/>
      <c r="U938" s="57"/>
      <c r="V938" s="57"/>
      <c r="W938" s="57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spans="1:36" ht="11.25" customHeight="1" x14ac:dyDescent="0.2">
      <c r="A939" s="53" t="s">
        <v>27</v>
      </c>
      <c r="B939" s="53" t="s">
        <v>33</v>
      </c>
      <c r="C939" s="53" t="s">
        <v>34</v>
      </c>
      <c r="D939" s="53" t="s">
        <v>40</v>
      </c>
      <c r="E939" s="53" t="s">
        <v>25</v>
      </c>
      <c r="F939" s="53" t="s">
        <v>25</v>
      </c>
      <c r="G939" s="53" t="s">
        <v>25</v>
      </c>
      <c r="H939" s="53" t="s">
        <v>35</v>
      </c>
      <c r="I939" s="75">
        <v>44378</v>
      </c>
      <c r="J939" s="76">
        <f>EFEITO!$J$939*EFEITO!$Y$939</f>
        <v>0</v>
      </c>
      <c r="K939" s="76">
        <f ca="1">EFEITO!$L$939*EFEITO!$Z$939</f>
        <v>-7903.5868744701156</v>
      </c>
      <c r="L939" s="76">
        <f>EFEITO!$N$939*EFEITO!$AA$939</f>
        <v>-1862.1774345628303</v>
      </c>
      <c r="M939" s="76">
        <f>$J$939-EFEITO!$K$939*EFEITO!$Y$939</f>
        <v>0</v>
      </c>
      <c r="N939" s="76">
        <f ca="1">$K$939-EFEITO!$M$939*EFEITO!$Z$939</f>
        <v>0</v>
      </c>
      <c r="O939" s="76">
        <f>$L$939-EFEITO!$O$939*EFEITO!$AA$939</f>
        <v>0</v>
      </c>
      <c r="P939" s="57"/>
      <c r="Q939" s="57"/>
      <c r="R939" s="57"/>
      <c r="S939" s="57"/>
      <c r="T939" s="57"/>
      <c r="U939" s="57"/>
      <c r="V939" s="57"/>
      <c r="W939" s="57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</row>
    <row r="940" spans="1:36" ht="11.25" customHeight="1" x14ac:dyDescent="0.2">
      <c r="A940" s="53" t="s">
        <v>28</v>
      </c>
      <c r="B940" s="53" t="s">
        <v>33</v>
      </c>
      <c r="C940" s="53" t="s">
        <v>34</v>
      </c>
      <c r="D940" s="53" t="s">
        <v>40</v>
      </c>
      <c r="E940" s="53" t="s">
        <v>25</v>
      </c>
      <c r="F940" s="53" t="s">
        <v>25</v>
      </c>
      <c r="G940" s="53" t="s">
        <v>25</v>
      </c>
      <c r="H940" s="53" t="s">
        <v>35</v>
      </c>
      <c r="I940" s="75">
        <v>44378</v>
      </c>
      <c r="J940" s="76">
        <f>EFEITO!$J$940*EFEITO!$Y$940</f>
        <v>0</v>
      </c>
      <c r="K940" s="76">
        <f ca="1">EFEITO!$L$940*EFEITO!$Z$940</f>
        <v>33158.002753581663</v>
      </c>
      <c r="L940" s="76">
        <f>EFEITO!$N$940*EFEITO!$AA$940</f>
        <v>7812.4129567477721</v>
      </c>
      <c r="M940" s="76">
        <f>$J$940-EFEITO!$K$940*EFEITO!$Y$940</f>
        <v>0</v>
      </c>
      <c r="N940" s="76">
        <f ca="1">$K$940-EFEITO!$M$940*EFEITO!$Z$940</f>
        <v>0</v>
      </c>
      <c r="O940" s="76">
        <f>$L$940-EFEITO!$O$940*EFEITO!$AA$940</f>
        <v>0</v>
      </c>
      <c r="P940" s="57"/>
      <c r="Q940" s="57"/>
      <c r="R940" s="57"/>
      <c r="S940" s="57"/>
      <c r="T940" s="57"/>
      <c r="U940" s="57"/>
      <c r="V940" s="57"/>
      <c r="W940" s="57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</row>
    <row r="941" spans="1:36" ht="11.25" customHeight="1" x14ac:dyDescent="0.2">
      <c r="A941" s="53" t="s">
        <v>21</v>
      </c>
      <c r="B941" s="53" t="s">
        <v>33</v>
      </c>
      <c r="C941" s="53" t="s">
        <v>34</v>
      </c>
      <c r="D941" s="53" t="s">
        <v>40</v>
      </c>
      <c r="E941" s="53" t="s">
        <v>25</v>
      </c>
      <c r="F941" s="53" t="s">
        <v>25</v>
      </c>
      <c r="G941" s="53" t="s">
        <v>25</v>
      </c>
      <c r="H941" s="53" t="s">
        <v>35</v>
      </c>
      <c r="I941" s="75">
        <v>44378</v>
      </c>
      <c r="J941" s="76">
        <f>EFEITO!$J$941*EFEITO!$Y$941</f>
        <v>0</v>
      </c>
      <c r="K941" s="76">
        <f ca="1">EFEITO!$L$941*EFEITO!$Z$941</f>
        <v>20893.319911955714</v>
      </c>
      <c r="L941" s="76">
        <f>EFEITO!$N$941*EFEITO!$AA$941</f>
        <v>0</v>
      </c>
      <c r="M941" s="76">
        <f>$J$941-EFEITO!$K$941*EFEITO!$Y$941</f>
        <v>0</v>
      </c>
      <c r="N941" s="76">
        <f ca="1">$K$941-EFEITO!$M$941*EFEITO!$Z$941</f>
        <v>0</v>
      </c>
      <c r="O941" s="76">
        <f>$L$941-EFEITO!$O$941*EFEITO!$AA$941</f>
        <v>0</v>
      </c>
      <c r="P941" s="57"/>
      <c r="Q941" s="57"/>
      <c r="R941" s="57"/>
      <c r="S941" s="57"/>
      <c r="T941" s="57"/>
      <c r="U941" s="57"/>
      <c r="V941" s="57"/>
      <c r="W941" s="57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</row>
    <row r="942" spans="1:36" ht="11.25" customHeight="1" x14ac:dyDescent="0.2">
      <c r="A942" s="53" t="s">
        <v>21</v>
      </c>
      <c r="B942" s="53" t="s">
        <v>33</v>
      </c>
      <c r="C942" s="53" t="s">
        <v>34</v>
      </c>
      <c r="D942" s="53" t="s">
        <v>40</v>
      </c>
      <c r="E942" s="53" t="s">
        <v>25</v>
      </c>
      <c r="F942" s="53" t="s">
        <v>25</v>
      </c>
      <c r="G942" s="53" t="s">
        <v>25</v>
      </c>
      <c r="H942" s="53" t="s">
        <v>35</v>
      </c>
      <c r="I942" s="75">
        <v>44409</v>
      </c>
      <c r="J942" s="76">
        <f>EFEITO!$J$942*EFEITO!$Y$942</f>
        <v>0</v>
      </c>
      <c r="K942" s="76">
        <f ca="1">EFEITO!$L$942*EFEITO!$Z$942</f>
        <v>626261.65689077554</v>
      </c>
      <c r="L942" s="76">
        <f>EFEITO!$N$942*EFEITO!$AA$942</f>
        <v>147554.56530262012</v>
      </c>
      <c r="M942" s="76">
        <f>$J$942-EFEITO!$K$942*EFEITO!$Y$942</f>
        <v>0</v>
      </c>
      <c r="N942" s="76">
        <f ca="1">$K$942-EFEITO!$M$942*EFEITO!$Z$942</f>
        <v>0</v>
      </c>
      <c r="O942" s="76">
        <f>$L$942-EFEITO!$O$942*EFEITO!$AA$942</f>
        <v>0</v>
      </c>
      <c r="P942" s="57"/>
      <c r="Q942" s="57"/>
      <c r="R942" s="57"/>
      <c r="S942" s="57"/>
      <c r="T942" s="57"/>
      <c r="U942" s="57"/>
      <c r="V942" s="57"/>
      <c r="W942" s="57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</row>
    <row r="943" spans="1:36" ht="11.25" customHeight="1" x14ac:dyDescent="0.2">
      <c r="A943" s="53" t="s">
        <v>27</v>
      </c>
      <c r="B943" s="53" t="s">
        <v>33</v>
      </c>
      <c r="C943" s="53" t="s">
        <v>34</v>
      </c>
      <c r="D943" s="53" t="s">
        <v>40</v>
      </c>
      <c r="E943" s="53" t="s">
        <v>25</v>
      </c>
      <c r="F943" s="53" t="s">
        <v>25</v>
      </c>
      <c r="G943" s="53" t="s">
        <v>25</v>
      </c>
      <c r="H943" s="53" t="s">
        <v>35</v>
      </c>
      <c r="I943" s="75">
        <v>44409</v>
      </c>
      <c r="J943" s="76">
        <f>EFEITO!$J$943*EFEITO!$Y$943</f>
        <v>0</v>
      </c>
      <c r="K943" s="76">
        <f ca="1">EFEITO!$L$943*EFEITO!$Z$943</f>
        <v>-3612.6570553007041</v>
      </c>
      <c r="L943" s="76">
        <f>EFEITO!$N$943*EFEITO!$AA$943</f>
        <v>-851.18422230870999</v>
      </c>
      <c r="M943" s="76">
        <f>$J$943-EFEITO!$K$943*EFEITO!$Y$943</f>
        <v>0</v>
      </c>
      <c r="N943" s="76">
        <f ca="1">$K$943-EFEITO!$M$943*EFEITO!$Z$943</f>
        <v>0</v>
      </c>
      <c r="O943" s="76">
        <f>$L$943-EFEITO!$O$943*EFEITO!$AA$943</f>
        <v>0</v>
      </c>
      <c r="P943" s="57"/>
      <c r="Q943" s="57"/>
      <c r="R943" s="57"/>
      <c r="S943" s="57"/>
      <c r="T943" s="57"/>
      <c r="U943" s="57"/>
      <c r="V943" s="57"/>
      <c r="W943" s="57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</row>
    <row r="944" spans="1:36" ht="11.25" customHeight="1" x14ac:dyDescent="0.2">
      <c r="A944" s="53" t="s">
        <v>28</v>
      </c>
      <c r="B944" s="53" t="s">
        <v>33</v>
      </c>
      <c r="C944" s="53" t="s">
        <v>34</v>
      </c>
      <c r="D944" s="53" t="s">
        <v>40</v>
      </c>
      <c r="E944" s="53" t="s">
        <v>25</v>
      </c>
      <c r="F944" s="53" t="s">
        <v>25</v>
      </c>
      <c r="G944" s="53" t="s">
        <v>25</v>
      </c>
      <c r="H944" s="53" t="s">
        <v>35</v>
      </c>
      <c r="I944" s="75">
        <v>44409</v>
      </c>
      <c r="J944" s="76">
        <f>EFEITO!$J$944*EFEITO!$Y$944</f>
        <v>0</v>
      </c>
      <c r="K944" s="76">
        <f ca="1">EFEITO!$L$944*EFEITO!$Z$944</f>
        <v>28710.548450442548</v>
      </c>
      <c r="L944" s="76">
        <f>EFEITO!$N$944*EFEITO!$AA$944</f>
        <v>6764.540746813942</v>
      </c>
      <c r="M944" s="76">
        <f>$J$944-EFEITO!$K$944*EFEITO!$Y$944</f>
        <v>0</v>
      </c>
      <c r="N944" s="76">
        <f ca="1">$K$944-EFEITO!$M$944*EFEITO!$Z$944</f>
        <v>0</v>
      </c>
      <c r="O944" s="76">
        <f>$L$944-EFEITO!$O$944*EFEITO!$AA$944</f>
        <v>0</v>
      </c>
      <c r="P944" s="57"/>
      <c r="Q944" s="57"/>
      <c r="R944" s="57"/>
      <c r="S944" s="57"/>
      <c r="T944" s="57"/>
      <c r="U944" s="57"/>
      <c r="V944" s="57"/>
      <c r="W944" s="57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spans="1:36" ht="11.25" customHeight="1" x14ac:dyDescent="0.2">
      <c r="A945" s="53" t="s">
        <v>21</v>
      </c>
      <c r="B945" s="53" t="s">
        <v>33</v>
      </c>
      <c r="C945" s="53" t="s">
        <v>34</v>
      </c>
      <c r="D945" s="53" t="s">
        <v>40</v>
      </c>
      <c r="E945" s="53" t="s">
        <v>25</v>
      </c>
      <c r="F945" s="53" t="s">
        <v>25</v>
      </c>
      <c r="G945" s="53" t="s">
        <v>25</v>
      </c>
      <c r="H945" s="53" t="s">
        <v>35</v>
      </c>
      <c r="I945" s="75">
        <v>44409</v>
      </c>
      <c r="J945" s="76">
        <f>EFEITO!$J$945*EFEITO!$Y$945</f>
        <v>0</v>
      </c>
      <c r="K945" s="76">
        <f ca="1">EFEITO!$L$945*EFEITO!$Z$945</f>
        <v>21558.998751826861</v>
      </c>
      <c r="L945" s="76">
        <f>EFEITO!$N$945*EFEITO!$AA$945</f>
        <v>0</v>
      </c>
      <c r="M945" s="76">
        <f>$J$945-EFEITO!$K$945*EFEITO!$Y$945</f>
        <v>0</v>
      </c>
      <c r="N945" s="76">
        <f ca="1">$K$945-EFEITO!$M$945*EFEITO!$Z$945</f>
        <v>0</v>
      </c>
      <c r="O945" s="76">
        <f>$L$945-EFEITO!$O$945*EFEITO!$AA$945</f>
        <v>0</v>
      </c>
      <c r="P945" s="57"/>
      <c r="Q945" s="57"/>
      <c r="R945" s="57"/>
      <c r="S945" s="57"/>
      <c r="T945" s="57"/>
      <c r="U945" s="57"/>
      <c r="V945" s="57"/>
      <c r="W945" s="57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</row>
    <row r="946" spans="1:36" ht="11.25" customHeight="1" x14ac:dyDescent="0.2">
      <c r="A946" s="53" t="s">
        <v>21</v>
      </c>
      <c r="B946" s="53" t="s">
        <v>33</v>
      </c>
      <c r="C946" s="53" t="s">
        <v>34</v>
      </c>
      <c r="D946" s="53" t="s">
        <v>40</v>
      </c>
      <c r="E946" s="53" t="s">
        <v>25</v>
      </c>
      <c r="F946" s="53" t="s">
        <v>25</v>
      </c>
      <c r="G946" s="53" t="s">
        <v>25</v>
      </c>
      <c r="H946" s="53" t="s">
        <v>35</v>
      </c>
      <c r="I946" s="75">
        <v>44440</v>
      </c>
      <c r="J946" s="76">
        <f>EFEITO!$J$946*EFEITO!$Y$946</f>
        <v>0</v>
      </c>
      <c r="K946" s="76">
        <f ca="1">EFEITO!$L$946*EFEITO!$Z$946</f>
        <v>540918.03135529533</v>
      </c>
      <c r="L946" s="76">
        <f>EFEITO!$N$946*EFEITO!$AA$946</f>
        <v>127446.60974015199</v>
      </c>
      <c r="M946" s="76">
        <f>$J$946-EFEITO!$K$946*EFEITO!$Y$946</f>
        <v>0</v>
      </c>
      <c r="N946" s="76">
        <f ca="1">$K$946-EFEITO!$M$946*EFEITO!$Z$946</f>
        <v>0</v>
      </c>
      <c r="O946" s="76">
        <f>$L$946-EFEITO!$O$946*EFEITO!$AA$946</f>
        <v>0</v>
      </c>
      <c r="P946" s="57"/>
      <c r="Q946" s="57"/>
      <c r="R946" s="57"/>
      <c r="S946" s="57"/>
      <c r="T946" s="57"/>
      <c r="U946" s="57"/>
      <c r="V946" s="57"/>
      <c r="W946" s="57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</row>
    <row r="947" spans="1:36" ht="11.25" customHeight="1" x14ac:dyDescent="0.2">
      <c r="A947" s="53" t="s">
        <v>27</v>
      </c>
      <c r="B947" s="53" t="s">
        <v>33</v>
      </c>
      <c r="C947" s="53" t="s">
        <v>34</v>
      </c>
      <c r="D947" s="53" t="s">
        <v>40</v>
      </c>
      <c r="E947" s="53" t="s">
        <v>25</v>
      </c>
      <c r="F947" s="53" t="s">
        <v>25</v>
      </c>
      <c r="G947" s="53" t="s">
        <v>25</v>
      </c>
      <c r="H947" s="53" t="s">
        <v>35</v>
      </c>
      <c r="I947" s="75">
        <v>44440</v>
      </c>
      <c r="J947" s="76">
        <f>EFEITO!$J$947*EFEITO!$Y$947</f>
        <v>0</v>
      </c>
      <c r="K947" s="76">
        <f ca="1">EFEITO!$L$947*EFEITO!$Z$947</f>
        <v>-795.21634384607125</v>
      </c>
      <c r="L947" s="76">
        <f>EFEITO!$N$947*EFEITO!$AA$947</f>
        <v>-187.3622640739292</v>
      </c>
      <c r="M947" s="76">
        <f>$J$947-EFEITO!$K$947*EFEITO!$Y$947</f>
        <v>0</v>
      </c>
      <c r="N947" s="76">
        <f ca="1">$K$947-EFEITO!$M$947*EFEITO!$Z$947</f>
        <v>0</v>
      </c>
      <c r="O947" s="76">
        <f>$L$947-EFEITO!$O$947*EFEITO!$AA$947</f>
        <v>0</v>
      </c>
      <c r="P947" s="57"/>
      <c r="Q947" s="57"/>
      <c r="R947" s="57"/>
      <c r="S947" s="57"/>
      <c r="T947" s="57"/>
      <c r="U947" s="57"/>
      <c r="V947" s="57"/>
      <c r="W947" s="57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</row>
    <row r="948" spans="1:36" ht="11.25" customHeight="1" x14ac:dyDescent="0.2">
      <c r="A948" s="53" t="s">
        <v>28</v>
      </c>
      <c r="B948" s="53" t="s">
        <v>33</v>
      </c>
      <c r="C948" s="53" t="s">
        <v>34</v>
      </c>
      <c r="D948" s="53" t="s">
        <v>40</v>
      </c>
      <c r="E948" s="53" t="s">
        <v>25</v>
      </c>
      <c r="F948" s="53" t="s">
        <v>25</v>
      </c>
      <c r="G948" s="53" t="s">
        <v>25</v>
      </c>
      <c r="H948" s="53" t="s">
        <v>35</v>
      </c>
      <c r="I948" s="75">
        <v>44440</v>
      </c>
      <c r="J948" s="76">
        <f>EFEITO!$J$948*EFEITO!$Y$948</f>
        <v>0</v>
      </c>
      <c r="K948" s="76">
        <f ca="1">EFEITO!$L$948*EFEITO!$Z$948</f>
        <v>25119.480979137665</v>
      </c>
      <c r="L948" s="76">
        <f>EFEITO!$N$948*EFEITO!$AA$948</f>
        <v>5918.4432828058807</v>
      </c>
      <c r="M948" s="76">
        <f>$J$948-EFEITO!$K$948*EFEITO!$Y$948</f>
        <v>0</v>
      </c>
      <c r="N948" s="76">
        <f ca="1">$K$948-EFEITO!$M$948*EFEITO!$Z$948</f>
        <v>0</v>
      </c>
      <c r="O948" s="76">
        <f>$L$948-EFEITO!$O$948*EFEITO!$AA$948</f>
        <v>0</v>
      </c>
      <c r="P948" s="57"/>
      <c r="Q948" s="57"/>
      <c r="R948" s="57"/>
      <c r="S948" s="57"/>
      <c r="T948" s="57"/>
      <c r="U948" s="57"/>
      <c r="V948" s="57"/>
      <c r="W948" s="57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</row>
    <row r="949" spans="1:36" ht="11.25" customHeight="1" x14ac:dyDescent="0.2">
      <c r="A949" s="53" t="s">
        <v>21</v>
      </c>
      <c r="B949" s="53" t="s">
        <v>33</v>
      </c>
      <c r="C949" s="53" t="s">
        <v>34</v>
      </c>
      <c r="D949" s="53" t="s">
        <v>40</v>
      </c>
      <c r="E949" s="53" t="s">
        <v>25</v>
      </c>
      <c r="F949" s="53" t="s">
        <v>25</v>
      </c>
      <c r="G949" s="53" t="s">
        <v>25</v>
      </c>
      <c r="H949" s="53" t="s">
        <v>35</v>
      </c>
      <c r="I949" s="75">
        <v>44440</v>
      </c>
      <c r="J949" s="76">
        <f>EFEITO!$J$949*EFEITO!$Y$949</f>
        <v>0</v>
      </c>
      <c r="K949" s="76">
        <f ca="1">EFEITO!$L$949*EFEITO!$Z$949</f>
        <v>20278.01676807482</v>
      </c>
      <c r="L949" s="76">
        <f>EFEITO!$N$949*EFEITO!$AA$949</f>
        <v>0</v>
      </c>
      <c r="M949" s="76">
        <f>$J$949-EFEITO!$K$949*EFEITO!$Y$949</f>
        <v>0</v>
      </c>
      <c r="N949" s="76">
        <f ca="1">$K$949-EFEITO!$M$949*EFEITO!$Z$949</f>
        <v>0</v>
      </c>
      <c r="O949" s="76">
        <f>$L$949-EFEITO!$O$949*EFEITO!$AA$949</f>
        <v>0</v>
      </c>
      <c r="P949" s="57"/>
      <c r="Q949" s="57"/>
      <c r="R949" s="57"/>
      <c r="S949" s="57"/>
      <c r="T949" s="57"/>
      <c r="U949" s="57"/>
      <c r="V949" s="57"/>
      <c r="W949" s="57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</row>
    <row r="950" spans="1:36" ht="11.25" customHeight="1" x14ac:dyDescent="0.2">
      <c r="A950" s="53" t="s">
        <v>21</v>
      </c>
      <c r="B950" s="53" t="s">
        <v>33</v>
      </c>
      <c r="C950" s="53" t="s">
        <v>34</v>
      </c>
      <c r="D950" s="53" t="s">
        <v>40</v>
      </c>
      <c r="E950" s="53" t="s">
        <v>25</v>
      </c>
      <c r="F950" s="53" t="s">
        <v>25</v>
      </c>
      <c r="G950" s="53" t="s">
        <v>25</v>
      </c>
      <c r="H950" s="53" t="s">
        <v>35</v>
      </c>
      <c r="I950" s="75">
        <v>44470</v>
      </c>
      <c r="J950" s="76">
        <f>EFEITO!$J$950*EFEITO!$Y$950</f>
        <v>0</v>
      </c>
      <c r="K950" s="76">
        <f ca="1">EFEITO!$L$950*EFEITO!$Z$950</f>
        <v>453023.23664430901</v>
      </c>
      <c r="L950" s="76">
        <f>EFEITO!$N$950*EFEITO!$AA$950</f>
        <v>106737.56890515711</v>
      </c>
      <c r="M950" s="76">
        <f>$J$950-EFEITO!$K$950*EFEITO!$Y$950</f>
        <v>0</v>
      </c>
      <c r="N950" s="76">
        <f ca="1">$K$950-EFEITO!$M$950*EFEITO!$Z$950</f>
        <v>0</v>
      </c>
      <c r="O950" s="76">
        <f>$L$950-EFEITO!$O$950*EFEITO!$AA$950</f>
        <v>0</v>
      </c>
      <c r="P950" s="57"/>
      <c r="Q950" s="57"/>
      <c r="R950" s="57"/>
      <c r="S950" s="57"/>
      <c r="T950" s="57"/>
      <c r="U950" s="57"/>
      <c r="V950" s="57"/>
      <c r="W950" s="57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spans="1:36" ht="11.25" customHeight="1" x14ac:dyDescent="0.2">
      <c r="A951" s="53" t="s">
        <v>27</v>
      </c>
      <c r="B951" s="53" t="s">
        <v>33</v>
      </c>
      <c r="C951" s="53" t="s">
        <v>34</v>
      </c>
      <c r="D951" s="53" t="s">
        <v>40</v>
      </c>
      <c r="E951" s="53" t="s">
        <v>25</v>
      </c>
      <c r="F951" s="53" t="s">
        <v>25</v>
      </c>
      <c r="G951" s="53" t="s">
        <v>25</v>
      </c>
      <c r="H951" s="53" t="s">
        <v>35</v>
      </c>
      <c r="I951" s="75">
        <v>44470</v>
      </c>
      <c r="J951" s="76">
        <f>EFEITO!$J$951*EFEITO!$Y$951</f>
        <v>0</v>
      </c>
      <c r="K951" s="76">
        <f ca="1">EFEITO!$L$951*EFEITO!$Z$951</f>
        <v>1307.9689637468186</v>
      </c>
      <c r="L951" s="76">
        <f>EFEITO!$N$951*EFEITO!$AA$951</f>
        <v>308.17277371435864</v>
      </c>
      <c r="M951" s="76">
        <f>$J$951-EFEITO!$K$951*EFEITO!$Y$951</f>
        <v>0</v>
      </c>
      <c r="N951" s="76">
        <f ca="1">$K$951-EFEITO!$M$951*EFEITO!$Z$951</f>
        <v>0</v>
      </c>
      <c r="O951" s="76">
        <f>$L$951-EFEITO!$O$951*EFEITO!$AA$951</f>
        <v>0</v>
      </c>
      <c r="P951" s="57"/>
      <c r="Q951" s="57"/>
      <c r="R951" s="57"/>
      <c r="S951" s="57"/>
      <c r="T951" s="57"/>
      <c r="U951" s="57"/>
      <c r="V951" s="57"/>
      <c r="W951" s="57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</row>
    <row r="952" spans="1:36" ht="11.25" customHeight="1" x14ac:dyDescent="0.2">
      <c r="A952" s="53" t="s">
        <v>28</v>
      </c>
      <c r="B952" s="53" t="s">
        <v>33</v>
      </c>
      <c r="C952" s="53" t="s">
        <v>34</v>
      </c>
      <c r="D952" s="53" t="s">
        <v>40</v>
      </c>
      <c r="E952" s="53" t="s">
        <v>25</v>
      </c>
      <c r="F952" s="53" t="s">
        <v>25</v>
      </c>
      <c r="G952" s="53" t="s">
        <v>25</v>
      </c>
      <c r="H952" s="53" t="s">
        <v>35</v>
      </c>
      <c r="I952" s="75">
        <v>44470</v>
      </c>
      <c r="J952" s="76">
        <f>EFEITO!$J$952*EFEITO!$Y$952</f>
        <v>0</v>
      </c>
      <c r="K952" s="76">
        <f ca="1">EFEITO!$L$952*EFEITO!$Z$952</f>
        <v>34629.692729296788</v>
      </c>
      <c r="L952" s="76">
        <f>EFEITO!$N$952*EFEITO!$AA$952</f>
        <v>8159.1603142420572</v>
      </c>
      <c r="M952" s="76">
        <f>$J$952-EFEITO!$K$952*EFEITO!$Y$952</f>
        <v>0</v>
      </c>
      <c r="N952" s="76">
        <f ca="1">$K$952-EFEITO!$M$952*EFEITO!$Z$952</f>
        <v>0</v>
      </c>
      <c r="O952" s="76">
        <f>$L$952-EFEITO!$O$952*EFEITO!$AA$952</f>
        <v>0</v>
      </c>
      <c r="P952" s="57"/>
      <c r="Q952" s="57"/>
      <c r="R952" s="57"/>
      <c r="S952" s="57"/>
      <c r="T952" s="57"/>
      <c r="U952" s="57"/>
      <c r="V952" s="57"/>
      <c r="W952" s="57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</row>
    <row r="953" spans="1:36" ht="11.25" customHeight="1" x14ac:dyDescent="0.2">
      <c r="A953" s="53" t="s">
        <v>21</v>
      </c>
      <c r="B953" s="53" t="s">
        <v>33</v>
      </c>
      <c r="C953" s="53" t="s">
        <v>34</v>
      </c>
      <c r="D953" s="53" t="s">
        <v>40</v>
      </c>
      <c r="E953" s="53" t="s">
        <v>25</v>
      </c>
      <c r="F953" s="53" t="s">
        <v>25</v>
      </c>
      <c r="G953" s="53" t="s">
        <v>25</v>
      </c>
      <c r="H953" s="53" t="s">
        <v>35</v>
      </c>
      <c r="I953" s="75">
        <v>44470</v>
      </c>
      <c r="J953" s="76">
        <f>EFEITO!$J$953*EFEITO!$Y$953</f>
        <v>0</v>
      </c>
      <c r="K953" s="76">
        <f ca="1">EFEITO!$L$953*EFEITO!$Z$953</f>
        <v>21218.962803892682</v>
      </c>
      <c r="L953" s="76">
        <f>EFEITO!$N$953*EFEITO!$AA$953</f>
        <v>0</v>
      </c>
      <c r="M953" s="76">
        <f>$J$953-EFEITO!$K$953*EFEITO!$Y$953</f>
        <v>0</v>
      </c>
      <c r="N953" s="76">
        <f ca="1">$K$953-EFEITO!$M$953*EFEITO!$Z$953</f>
        <v>0</v>
      </c>
      <c r="O953" s="76">
        <f>$L$953-EFEITO!$O$953*EFEITO!$AA$953</f>
        <v>0</v>
      </c>
      <c r="P953" s="57"/>
      <c r="Q953" s="57"/>
      <c r="R953" s="57"/>
      <c r="S953" s="57"/>
      <c r="T953" s="57"/>
      <c r="U953" s="57"/>
      <c r="V953" s="57"/>
      <c r="W953" s="57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</row>
    <row r="954" spans="1:36" ht="11.25" customHeight="1" x14ac:dyDescent="0.2">
      <c r="A954" s="53" t="s">
        <v>21</v>
      </c>
      <c r="B954" s="53" t="s">
        <v>33</v>
      </c>
      <c r="C954" s="53" t="s">
        <v>34</v>
      </c>
      <c r="D954" s="53" t="s">
        <v>40</v>
      </c>
      <c r="E954" s="53" t="s">
        <v>25</v>
      </c>
      <c r="F954" s="53" t="s">
        <v>25</v>
      </c>
      <c r="G954" s="53" t="s">
        <v>25</v>
      </c>
      <c r="H954" s="53" t="s">
        <v>35</v>
      </c>
      <c r="I954" s="75">
        <v>44501</v>
      </c>
      <c r="J954" s="76">
        <f>EFEITO!$J$954*EFEITO!$Y$954</f>
        <v>0</v>
      </c>
      <c r="K954" s="76">
        <f ca="1">EFEITO!$L$954*EFEITO!$Z$954</f>
        <v>510782.5703611286</v>
      </c>
      <c r="L954" s="76">
        <f>EFEITO!$N$954*EFEITO!$AA$954</f>
        <v>120346.34294549517</v>
      </c>
      <c r="M954" s="76">
        <f>$J$954-EFEITO!$K$954*EFEITO!$Y$954</f>
        <v>0</v>
      </c>
      <c r="N954" s="76">
        <f ca="1">$K$954-EFEITO!$M$954*EFEITO!$Z$954</f>
        <v>0</v>
      </c>
      <c r="O954" s="76">
        <f>$L$954-EFEITO!$O$954*EFEITO!$AA$954</f>
        <v>0</v>
      </c>
      <c r="P954" s="57"/>
      <c r="Q954" s="57"/>
      <c r="R954" s="57"/>
      <c r="S954" s="57"/>
      <c r="T954" s="57"/>
      <c r="U954" s="57"/>
      <c r="V954" s="57"/>
      <c r="W954" s="57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</row>
    <row r="955" spans="1:36" ht="11.25" customHeight="1" x14ac:dyDescent="0.2">
      <c r="A955" s="53" t="s">
        <v>27</v>
      </c>
      <c r="B955" s="53" t="s">
        <v>33</v>
      </c>
      <c r="C955" s="53" t="s">
        <v>34</v>
      </c>
      <c r="D955" s="53" t="s">
        <v>40</v>
      </c>
      <c r="E955" s="53" t="s">
        <v>25</v>
      </c>
      <c r="F955" s="53" t="s">
        <v>25</v>
      </c>
      <c r="G955" s="53" t="s">
        <v>25</v>
      </c>
      <c r="H955" s="53" t="s">
        <v>35</v>
      </c>
      <c r="I955" s="75">
        <v>44501</v>
      </c>
      <c r="J955" s="76">
        <f>EFEITO!$J$955*EFEITO!$Y$955</f>
        <v>0</v>
      </c>
      <c r="K955" s="76">
        <f ca="1">EFEITO!$L$955*EFEITO!$Z$955</f>
        <v>21492.430867839746</v>
      </c>
      <c r="L955" s="76">
        <f>EFEITO!$N$955*EFEITO!$AA$955</f>
        <v>5063.8678882967379</v>
      </c>
      <c r="M955" s="76">
        <f>$J$955-EFEITO!$K$955*EFEITO!$Y$955</f>
        <v>0</v>
      </c>
      <c r="N955" s="76">
        <f ca="1">$K$955-EFEITO!$M$955*EFEITO!$Z$955</f>
        <v>0</v>
      </c>
      <c r="O955" s="76">
        <f>$L$955-EFEITO!$O$955*EFEITO!$AA$955</f>
        <v>0</v>
      </c>
      <c r="P955" s="57"/>
      <c r="Q955" s="57"/>
      <c r="R955" s="57"/>
      <c r="S955" s="57"/>
      <c r="T955" s="57"/>
      <c r="U955" s="57"/>
      <c r="V955" s="57"/>
      <c r="W955" s="57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</row>
    <row r="956" spans="1:36" ht="11.25" customHeight="1" x14ac:dyDescent="0.2">
      <c r="A956" s="53" t="s">
        <v>28</v>
      </c>
      <c r="B956" s="53" t="s">
        <v>33</v>
      </c>
      <c r="C956" s="53" t="s">
        <v>34</v>
      </c>
      <c r="D956" s="53" t="s">
        <v>40</v>
      </c>
      <c r="E956" s="53" t="s">
        <v>25</v>
      </c>
      <c r="F956" s="53" t="s">
        <v>25</v>
      </c>
      <c r="G956" s="53" t="s">
        <v>25</v>
      </c>
      <c r="H956" s="53" t="s">
        <v>35</v>
      </c>
      <c r="I956" s="75">
        <v>44501</v>
      </c>
      <c r="J956" s="76">
        <f>EFEITO!$J$956*EFEITO!$Y$956</f>
        <v>0</v>
      </c>
      <c r="K956" s="76">
        <f ca="1">EFEITO!$L$956*EFEITO!$Z$956</f>
        <v>29378.026422313345</v>
      </c>
      <c r="L956" s="76">
        <f>EFEITO!$N$956*EFEITO!$AA$956</f>
        <v>6921.8063576090271</v>
      </c>
      <c r="M956" s="76">
        <f>$J$956-EFEITO!$K$956*EFEITO!$Y$956</f>
        <v>0</v>
      </c>
      <c r="N956" s="76">
        <f ca="1">$K$956-EFEITO!$M$956*EFEITO!$Z$956</f>
        <v>0</v>
      </c>
      <c r="O956" s="76">
        <f>$L$956-EFEITO!$O$956*EFEITO!$AA$956</f>
        <v>0</v>
      </c>
      <c r="P956" s="57"/>
      <c r="Q956" s="57"/>
      <c r="R956" s="57"/>
      <c r="S956" s="57"/>
      <c r="T956" s="57"/>
      <c r="U956" s="57"/>
      <c r="V956" s="57"/>
      <c r="W956" s="57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spans="1:36" ht="11.25" customHeight="1" x14ac:dyDescent="0.2">
      <c r="A957" s="53" t="s">
        <v>21</v>
      </c>
      <c r="B957" s="53" t="s">
        <v>33</v>
      </c>
      <c r="C957" s="53" t="s">
        <v>34</v>
      </c>
      <c r="D957" s="53" t="s">
        <v>40</v>
      </c>
      <c r="E957" s="53" t="s">
        <v>25</v>
      </c>
      <c r="F957" s="53" t="s">
        <v>25</v>
      </c>
      <c r="G957" s="53" t="s">
        <v>25</v>
      </c>
      <c r="H957" s="53" t="s">
        <v>35</v>
      </c>
      <c r="I957" s="75">
        <v>44501</v>
      </c>
      <c r="J957" s="76">
        <f>EFEITO!$J$957*EFEITO!$Y$957</f>
        <v>0</v>
      </c>
      <c r="K957" s="76">
        <f ca="1">EFEITO!$L$957*EFEITO!$Z$957</f>
        <v>22183.297555706016</v>
      </c>
      <c r="L957" s="76">
        <f>EFEITO!$N$957*EFEITO!$AA$957</f>
        <v>0</v>
      </c>
      <c r="M957" s="76">
        <f>$J$957-EFEITO!$K$957*EFEITO!$Y$957</f>
        <v>0</v>
      </c>
      <c r="N957" s="76">
        <f ca="1">$K$957-EFEITO!$M$957*EFEITO!$Z$957</f>
        <v>0</v>
      </c>
      <c r="O957" s="76">
        <f>$L$957-EFEITO!$O$957*EFEITO!$AA$957</f>
        <v>0</v>
      </c>
      <c r="P957" s="57"/>
      <c r="Q957" s="57"/>
      <c r="R957" s="57"/>
      <c r="S957" s="57"/>
      <c r="T957" s="57"/>
      <c r="U957" s="57"/>
      <c r="V957" s="57"/>
      <c r="W957" s="57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</row>
    <row r="958" spans="1:36" ht="11.25" customHeight="1" x14ac:dyDescent="0.2">
      <c r="A958" s="53" t="s">
        <v>21</v>
      </c>
      <c r="B958" s="53" t="s">
        <v>33</v>
      </c>
      <c r="C958" s="53" t="s">
        <v>34</v>
      </c>
      <c r="D958" s="53" t="s">
        <v>40</v>
      </c>
      <c r="E958" s="53" t="s">
        <v>25</v>
      </c>
      <c r="F958" s="53" t="s">
        <v>25</v>
      </c>
      <c r="G958" s="53" t="s">
        <v>25</v>
      </c>
      <c r="H958" s="53" t="s">
        <v>35</v>
      </c>
      <c r="I958" s="75">
        <v>44531</v>
      </c>
      <c r="J958" s="76">
        <f>EFEITO!$J$958*EFEITO!$Y$958</f>
        <v>0</v>
      </c>
      <c r="K958" s="76">
        <f ca="1">EFEITO!$L$958*EFEITO!$Z$958</f>
        <v>581941.8392113545</v>
      </c>
      <c r="L958" s="76">
        <f>EFEITO!$N$958*EFEITO!$AA$958</f>
        <v>137112.29830443647</v>
      </c>
      <c r="M958" s="76">
        <f>$J$958-EFEITO!$K$958*EFEITO!$Y$958</f>
        <v>0</v>
      </c>
      <c r="N958" s="76">
        <f ca="1">$K$958-EFEITO!$M$958*EFEITO!$Z$958</f>
        <v>0</v>
      </c>
      <c r="O958" s="76">
        <f>$L$958-EFEITO!$O$958*EFEITO!$AA$958</f>
        <v>0</v>
      </c>
      <c r="P958" s="57"/>
      <c r="Q958" s="57"/>
      <c r="R958" s="57"/>
      <c r="S958" s="57"/>
      <c r="T958" s="57"/>
      <c r="U958" s="57"/>
      <c r="V958" s="57"/>
      <c r="W958" s="57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</row>
    <row r="959" spans="1:36" ht="11.25" customHeight="1" x14ac:dyDescent="0.2">
      <c r="A959" s="53" t="s">
        <v>27</v>
      </c>
      <c r="B959" s="53" t="s">
        <v>33</v>
      </c>
      <c r="C959" s="53" t="s">
        <v>34</v>
      </c>
      <c r="D959" s="53" t="s">
        <v>40</v>
      </c>
      <c r="E959" s="53" t="s">
        <v>25</v>
      </c>
      <c r="F959" s="53" t="s">
        <v>25</v>
      </c>
      <c r="G959" s="53" t="s">
        <v>25</v>
      </c>
      <c r="H959" s="53" t="s">
        <v>35</v>
      </c>
      <c r="I959" s="75">
        <v>44531</v>
      </c>
      <c r="J959" s="76">
        <f>EFEITO!$J$959*EFEITO!$Y$959</f>
        <v>0</v>
      </c>
      <c r="K959" s="76">
        <f ca="1">EFEITO!$L$959*EFEITO!$Z$959</f>
        <v>3447.1369113327432</v>
      </c>
      <c r="L959" s="76">
        <f>EFEITO!$N$959*EFEITO!$AA$959</f>
        <v>812.18574200372927</v>
      </c>
      <c r="M959" s="76">
        <f>$J$959-EFEITO!$K$959*EFEITO!$Y$959</f>
        <v>0</v>
      </c>
      <c r="N959" s="76">
        <f ca="1">$K$959-EFEITO!$M$959*EFEITO!$Z$959</f>
        <v>0</v>
      </c>
      <c r="O959" s="76">
        <f>$L$959-EFEITO!$O$959*EFEITO!$AA$959</f>
        <v>0</v>
      </c>
      <c r="P959" s="57"/>
      <c r="Q959" s="57"/>
      <c r="R959" s="57"/>
      <c r="S959" s="57"/>
      <c r="T959" s="57"/>
      <c r="U959" s="57"/>
      <c r="V959" s="57"/>
      <c r="W959" s="57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</row>
    <row r="960" spans="1:36" ht="11.25" customHeight="1" x14ac:dyDescent="0.2">
      <c r="A960" s="53" t="s">
        <v>28</v>
      </c>
      <c r="B960" s="53" t="s">
        <v>33</v>
      </c>
      <c r="C960" s="53" t="s">
        <v>34</v>
      </c>
      <c r="D960" s="53" t="s">
        <v>40</v>
      </c>
      <c r="E960" s="53" t="s">
        <v>25</v>
      </c>
      <c r="F960" s="53" t="s">
        <v>25</v>
      </c>
      <c r="G960" s="53" t="s">
        <v>25</v>
      </c>
      <c r="H960" s="53" t="s">
        <v>35</v>
      </c>
      <c r="I960" s="75">
        <v>44531</v>
      </c>
      <c r="J960" s="76">
        <f>EFEITO!$J$960*EFEITO!$Y$960</f>
        <v>0</v>
      </c>
      <c r="K960" s="76">
        <f ca="1">EFEITO!$L$960*EFEITO!$Z$960</f>
        <v>29505.764794288614</v>
      </c>
      <c r="L960" s="76">
        <f>EFEITO!$N$960*EFEITO!$AA$960</f>
        <v>6951.9030108878706</v>
      </c>
      <c r="M960" s="76">
        <f>$J$960-EFEITO!$K$960*EFEITO!$Y$960</f>
        <v>0</v>
      </c>
      <c r="N960" s="76">
        <f ca="1">$K$960-EFEITO!$M$960*EFEITO!$Z$960</f>
        <v>0</v>
      </c>
      <c r="O960" s="76">
        <f>$L$960-EFEITO!$O$960*EFEITO!$AA$960</f>
        <v>0</v>
      </c>
      <c r="P960" s="57"/>
      <c r="Q960" s="57"/>
      <c r="R960" s="57"/>
      <c r="S960" s="57"/>
      <c r="T960" s="57"/>
      <c r="U960" s="57"/>
      <c r="V960" s="57"/>
      <c r="W960" s="57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</row>
    <row r="961" spans="1:36" ht="11.25" customHeight="1" x14ac:dyDescent="0.2">
      <c r="A961" s="53" t="s">
        <v>21</v>
      </c>
      <c r="B961" s="53" t="s">
        <v>33</v>
      </c>
      <c r="C961" s="53" t="s">
        <v>34</v>
      </c>
      <c r="D961" s="53" t="s">
        <v>40</v>
      </c>
      <c r="E961" s="53" t="s">
        <v>25</v>
      </c>
      <c r="F961" s="53" t="s">
        <v>25</v>
      </c>
      <c r="G961" s="53" t="s">
        <v>25</v>
      </c>
      <c r="H961" s="53" t="s">
        <v>35</v>
      </c>
      <c r="I961" s="75">
        <v>44531</v>
      </c>
      <c r="J961" s="76">
        <f>EFEITO!$J$961*EFEITO!$Y$961</f>
        <v>0</v>
      </c>
      <c r="K961" s="76">
        <f ca="1">EFEITO!$L$961*EFEITO!$Z$961</f>
        <v>26940.202562785231</v>
      </c>
      <c r="L961" s="76">
        <f>EFEITO!$N$961*EFEITO!$AA$961</f>
        <v>0</v>
      </c>
      <c r="M961" s="76">
        <f>$J$961-EFEITO!$K$961*EFEITO!$Y$961</f>
        <v>0</v>
      </c>
      <c r="N961" s="76">
        <f ca="1">$K$961-EFEITO!$M$961*EFEITO!$Z$961</f>
        <v>0</v>
      </c>
      <c r="O961" s="76">
        <f>$L$961-EFEITO!$O$961*EFEITO!$AA$961</f>
        <v>0</v>
      </c>
      <c r="P961" s="57"/>
      <c r="Q961" s="57"/>
      <c r="R961" s="57"/>
      <c r="S961" s="57"/>
      <c r="T961" s="57"/>
      <c r="U961" s="57"/>
      <c r="V961" s="57"/>
      <c r="W961" s="57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</row>
    <row r="962" spans="1:36" ht="11.25" customHeight="1" x14ac:dyDescent="0.2">
      <c r="A962" s="53" t="s">
        <v>21</v>
      </c>
      <c r="B962" s="53" t="s">
        <v>33</v>
      </c>
      <c r="C962" s="53" t="s">
        <v>34</v>
      </c>
      <c r="D962" s="53" t="s">
        <v>40</v>
      </c>
      <c r="E962" s="53" t="s">
        <v>25</v>
      </c>
      <c r="F962" s="53" t="s">
        <v>25</v>
      </c>
      <c r="G962" s="53" t="s">
        <v>25</v>
      </c>
      <c r="H962" s="53" t="s">
        <v>35</v>
      </c>
      <c r="I962" s="75">
        <v>44562</v>
      </c>
      <c r="J962" s="76">
        <f>EFEITO!$J$962*EFEITO!$Y$962</f>
        <v>0</v>
      </c>
      <c r="K962" s="76">
        <f ca="1">EFEITO!$L$962*EFEITO!$Z$962</f>
        <v>513878.87653252925</v>
      </c>
      <c r="L962" s="76">
        <f>EFEITO!$N$962*EFEITO!$AA$962</f>
        <v>121075.86886511334</v>
      </c>
      <c r="M962" s="76">
        <f>$J$962-EFEITO!$K$962*EFEITO!$Y$962</f>
        <v>0</v>
      </c>
      <c r="N962" s="76">
        <f ca="1">$K$962-EFEITO!$M$962*EFEITO!$Z$962</f>
        <v>0</v>
      </c>
      <c r="O962" s="76">
        <f>$L$962-EFEITO!$O$962*EFEITO!$AA$962</f>
        <v>0</v>
      </c>
      <c r="P962" s="57"/>
      <c r="Q962" s="57"/>
      <c r="R962" s="57"/>
      <c r="S962" s="57"/>
      <c r="T962" s="57"/>
      <c r="U962" s="57"/>
      <c r="V962" s="57"/>
      <c r="W962" s="57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spans="1:36" ht="11.25" customHeight="1" x14ac:dyDescent="0.2">
      <c r="A963" s="53" t="s">
        <v>27</v>
      </c>
      <c r="B963" s="53" t="s">
        <v>33</v>
      </c>
      <c r="C963" s="53" t="s">
        <v>34</v>
      </c>
      <c r="D963" s="53" t="s">
        <v>40</v>
      </c>
      <c r="E963" s="53" t="s">
        <v>25</v>
      </c>
      <c r="F963" s="53" t="s">
        <v>25</v>
      </c>
      <c r="G963" s="53" t="s">
        <v>25</v>
      </c>
      <c r="H963" s="53" t="s">
        <v>35</v>
      </c>
      <c r="I963" s="75">
        <v>44562</v>
      </c>
      <c r="J963" s="76">
        <f>EFEITO!$J$963*EFEITO!$Y$963</f>
        <v>0</v>
      </c>
      <c r="K963" s="76">
        <f ca="1">EFEITO!$L$963*EFEITO!$Z$963</f>
        <v>921.15558382169343</v>
      </c>
      <c r="L963" s="76">
        <f>EFEITO!$N$963*EFEITO!$AA$963</f>
        <v>217.03502082771891</v>
      </c>
      <c r="M963" s="76">
        <f>$J$963-EFEITO!$K$963*EFEITO!$Y$963</f>
        <v>0</v>
      </c>
      <c r="N963" s="76">
        <f ca="1">$K$963-EFEITO!$M$963*EFEITO!$Z$963</f>
        <v>0</v>
      </c>
      <c r="O963" s="76">
        <f>$L$963-EFEITO!$O$963*EFEITO!$AA$963</f>
        <v>0</v>
      </c>
      <c r="P963" s="57"/>
      <c r="Q963" s="57"/>
      <c r="R963" s="57"/>
      <c r="S963" s="57"/>
      <c r="T963" s="57"/>
      <c r="U963" s="57"/>
      <c r="V963" s="57"/>
      <c r="W963" s="57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</row>
    <row r="964" spans="1:36" ht="11.25" customHeight="1" x14ac:dyDescent="0.2">
      <c r="A964" s="53" t="s">
        <v>28</v>
      </c>
      <c r="B964" s="53" t="s">
        <v>33</v>
      </c>
      <c r="C964" s="53" t="s">
        <v>34</v>
      </c>
      <c r="D964" s="53" t="s">
        <v>40</v>
      </c>
      <c r="E964" s="53" t="s">
        <v>25</v>
      </c>
      <c r="F964" s="53" t="s">
        <v>25</v>
      </c>
      <c r="G964" s="53" t="s">
        <v>25</v>
      </c>
      <c r="H964" s="53" t="s">
        <v>35</v>
      </c>
      <c r="I964" s="75">
        <v>44562</v>
      </c>
      <c r="J964" s="76">
        <f>EFEITO!$J$964*EFEITO!$Y$964</f>
        <v>0</v>
      </c>
      <c r="K964" s="76">
        <f ca="1">EFEITO!$L$964*EFEITO!$Z$964</f>
        <v>28795.107654426178</v>
      </c>
      <c r="L964" s="76">
        <f>EFEITO!$N$964*EFEITO!$AA$964</f>
        <v>6784.4638834914858</v>
      </c>
      <c r="M964" s="76">
        <f>$J$964-EFEITO!$K$964*EFEITO!$Y$964</f>
        <v>0</v>
      </c>
      <c r="N964" s="76">
        <f ca="1">$K$964-EFEITO!$M$964*EFEITO!$Z$964</f>
        <v>0</v>
      </c>
      <c r="O964" s="76">
        <f>$L$964-EFEITO!$O$964*EFEITO!$AA$964</f>
        <v>0</v>
      </c>
      <c r="P964" s="57"/>
      <c r="Q964" s="57"/>
      <c r="R964" s="57"/>
      <c r="S964" s="57"/>
      <c r="T964" s="57"/>
      <c r="U964" s="57"/>
      <c r="V964" s="57"/>
      <c r="W964" s="57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</row>
    <row r="965" spans="1:36" ht="11.25" customHeight="1" x14ac:dyDescent="0.2">
      <c r="A965" s="53" t="s">
        <v>21</v>
      </c>
      <c r="B965" s="53" t="s">
        <v>33</v>
      </c>
      <c r="C965" s="53" t="s">
        <v>34</v>
      </c>
      <c r="D965" s="53" t="s">
        <v>40</v>
      </c>
      <c r="E965" s="53" t="s">
        <v>25</v>
      </c>
      <c r="F965" s="53" t="s">
        <v>25</v>
      </c>
      <c r="G965" s="53" t="s">
        <v>25</v>
      </c>
      <c r="H965" s="53" t="s">
        <v>35</v>
      </c>
      <c r="I965" s="75">
        <v>44562</v>
      </c>
      <c r="J965" s="76">
        <f>EFEITO!$J$965*EFEITO!$Y$965</f>
        <v>0</v>
      </c>
      <c r="K965" s="76">
        <f ca="1">EFEITO!$L$965*EFEITO!$Z$965</f>
        <v>23888.87469137587</v>
      </c>
      <c r="L965" s="76">
        <f>EFEITO!$N$965*EFEITO!$AA$965</f>
        <v>0</v>
      </c>
      <c r="M965" s="76">
        <f>$J$965-EFEITO!$K$965*EFEITO!$Y$965</f>
        <v>0</v>
      </c>
      <c r="N965" s="76">
        <f ca="1">$K$965-EFEITO!$M$965*EFEITO!$Z$965</f>
        <v>0</v>
      </c>
      <c r="O965" s="76">
        <f>$L$965-EFEITO!$O$965*EFEITO!$AA$965</f>
        <v>0</v>
      </c>
      <c r="P965" s="57"/>
      <c r="Q965" s="57"/>
      <c r="R965" s="57"/>
      <c r="S965" s="57"/>
      <c r="T965" s="57"/>
      <c r="U965" s="57"/>
      <c r="V965" s="57"/>
      <c r="W965" s="57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</row>
    <row r="966" spans="1:36" ht="11.25" customHeight="1" x14ac:dyDescent="0.2">
      <c r="A966" s="53" t="s">
        <v>21</v>
      </c>
      <c r="B966" s="53" t="s">
        <v>33</v>
      </c>
      <c r="C966" s="53" t="s">
        <v>34</v>
      </c>
      <c r="D966" s="53" t="s">
        <v>40</v>
      </c>
      <c r="E966" s="53" t="s">
        <v>25</v>
      </c>
      <c r="F966" s="53" t="s">
        <v>25</v>
      </c>
      <c r="G966" s="53" t="s">
        <v>25</v>
      </c>
      <c r="H966" s="53" t="s">
        <v>35</v>
      </c>
      <c r="I966" s="75">
        <v>44593</v>
      </c>
      <c r="J966" s="76">
        <f>EFEITO!$J$966*EFEITO!$Y$966</f>
        <v>0</v>
      </c>
      <c r="K966" s="76">
        <f ca="1">EFEITO!$L$966*EFEITO!$Z$966</f>
        <v>499543.39275930426</v>
      </c>
      <c r="L966" s="76">
        <f>EFEITO!$N$966*EFEITO!$AA$966</f>
        <v>117698.26135348198</v>
      </c>
      <c r="M966" s="76">
        <f>$J$966-EFEITO!$K$966*EFEITO!$Y$966</f>
        <v>0</v>
      </c>
      <c r="N966" s="76">
        <f ca="1">$K$966-EFEITO!$M$966*EFEITO!$Z$966</f>
        <v>0</v>
      </c>
      <c r="O966" s="76">
        <f>$L$966-EFEITO!$O$966*EFEITO!$AA$966</f>
        <v>0</v>
      </c>
      <c r="P966" s="57"/>
      <c r="Q966" s="57"/>
      <c r="R966" s="57"/>
      <c r="S966" s="57"/>
      <c r="T966" s="57"/>
      <c r="U966" s="57"/>
      <c r="V966" s="57"/>
      <c r="W966" s="57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</row>
    <row r="967" spans="1:36" ht="11.25" customHeight="1" x14ac:dyDescent="0.2">
      <c r="A967" s="53" t="s">
        <v>27</v>
      </c>
      <c r="B967" s="53" t="s">
        <v>33</v>
      </c>
      <c r="C967" s="53" t="s">
        <v>34</v>
      </c>
      <c r="D967" s="53" t="s">
        <v>40</v>
      </c>
      <c r="E967" s="53" t="s">
        <v>25</v>
      </c>
      <c r="F967" s="53" t="s">
        <v>25</v>
      </c>
      <c r="G967" s="53" t="s">
        <v>25</v>
      </c>
      <c r="H967" s="53" t="s">
        <v>35</v>
      </c>
      <c r="I967" s="75">
        <v>44593</v>
      </c>
      <c r="J967" s="76">
        <f>EFEITO!$J$967*EFEITO!$Y$967</f>
        <v>0</v>
      </c>
      <c r="K967" s="76">
        <f ca="1">EFEITO!$L$967*EFEITO!$Z$967</f>
        <v>-20033.33481612218</v>
      </c>
      <c r="L967" s="76">
        <f>EFEITO!$N$967*EFEITO!$AA$967</f>
        <v>-4720.0878064778317</v>
      </c>
      <c r="M967" s="76">
        <f>$J$967-EFEITO!$K$967*EFEITO!$Y$967</f>
        <v>0</v>
      </c>
      <c r="N967" s="76">
        <f ca="1">$K$967-EFEITO!$M$967*EFEITO!$Z$967</f>
        <v>0</v>
      </c>
      <c r="O967" s="76">
        <f>$L$967-EFEITO!$O$967*EFEITO!$AA$967</f>
        <v>0</v>
      </c>
      <c r="P967" s="57"/>
      <c r="Q967" s="57"/>
      <c r="R967" s="57"/>
      <c r="S967" s="57"/>
      <c r="T967" s="57"/>
      <c r="U967" s="57"/>
      <c r="V967" s="57"/>
      <c r="W967" s="57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</row>
    <row r="968" spans="1:36" ht="11.25" customHeight="1" x14ac:dyDescent="0.2">
      <c r="A968" s="53" t="s">
        <v>28</v>
      </c>
      <c r="B968" s="53" t="s">
        <v>33</v>
      </c>
      <c r="C968" s="53" t="s">
        <v>34</v>
      </c>
      <c r="D968" s="53" t="s">
        <v>40</v>
      </c>
      <c r="E968" s="53" t="s">
        <v>25</v>
      </c>
      <c r="F968" s="53" t="s">
        <v>25</v>
      </c>
      <c r="G968" s="53" t="s">
        <v>25</v>
      </c>
      <c r="H968" s="53" t="s">
        <v>35</v>
      </c>
      <c r="I968" s="75">
        <v>44593</v>
      </c>
      <c r="J968" s="76">
        <f>EFEITO!$J$968*EFEITO!$Y$968</f>
        <v>0</v>
      </c>
      <c r="K968" s="76">
        <f ca="1">EFEITO!$L$968*EFEITO!$Z$968</f>
        <v>26362.681190897019</v>
      </c>
      <c r="L968" s="76">
        <f>EFEITO!$N$968*EFEITO!$AA$968</f>
        <v>6211.3557816182911</v>
      </c>
      <c r="M968" s="76">
        <f>$J$968-EFEITO!$K$968*EFEITO!$Y$968</f>
        <v>0</v>
      </c>
      <c r="N968" s="76">
        <f ca="1">$K$968-EFEITO!$M$968*EFEITO!$Z$968</f>
        <v>0</v>
      </c>
      <c r="O968" s="76">
        <f>$L$968-EFEITO!$O$968*EFEITO!$AA$968</f>
        <v>0</v>
      </c>
      <c r="P968" s="57"/>
      <c r="Q968" s="57"/>
      <c r="R968" s="57"/>
      <c r="S968" s="57"/>
      <c r="T968" s="57"/>
      <c r="U968" s="57"/>
      <c r="V968" s="57"/>
      <c r="W968" s="57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</row>
    <row r="969" spans="1:36" ht="11.25" customHeight="1" x14ac:dyDescent="0.2">
      <c r="A969" s="53" t="s">
        <v>21</v>
      </c>
      <c r="B969" s="53" t="s">
        <v>33</v>
      </c>
      <c r="C969" s="53" t="s">
        <v>34</v>
      </c>
      <c r="D969" s="53" t="s">
        <v>40</v>
      </c>
      <c r="E969" s="53" t="s">
        <v>25</v>
      </c>
      <c r="F969" s="53" t="s">
        <v>25</v>
      </c>
      <c r="G969" s="53" t="s">
        <v>25</v>
      </c>
      <c r="H969" s="53" t="s">
        <v>35</v>
      </c>
      <c r="I969" s="75">
        <v>44593</v>
      </c>
      <c r="J969" s="76">
        <f>EFEITO!$J$969*EFEITO!$Y$969</f>
        <v>0</v>
      </c>
      <c r="K969" s="76">
        <f ca="1">EFEITO!$L$969*EFEITO!$Z$969</f>
        <v>21602.177919818503</v>
      </c>
      <c r="L969" s="76">
        <f>EFEITO!$N$969*EFEITO!$AA$969</f>
        <v>0</v>
      </c>
      <c r="M969" s="76">
        <f>$J$969-EFEITO!$K$969*EFEITO!$Y$969</f>
        <v>0</v>
      </c>
      <c r="N969" s="76">
        <f ca="1">$K$969-EFEITO!$M$969*EFEITO!$Z$969</f>
        <v>0</v>
      </c>
      <c r="O969" s="76">
        <f>$L$969-EFEITO!$O$969*EFEITO!$AA$969</f>
        <v>0</v>
      </c>
      <c r="P969" s="57"/>
      <c r="Q969" s="57"/>
      <c r="R969" s="57"/>
      <c r="S969" s="57"/>
      <c r="T969" s="57"/>
      <c r="U969" s="57"/>
      <c r="V969" s="57"/>
      <c r="W969" s="57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</row>
    <row r="970" spans="1:36" ht="11.25" customHeight="1" x14ac:dyDescent="0.2">
      <c r="A970" s="53" t="s">
        <v>21</v>
      </c>
      <c r="B970" s="53" t="s">
        <v>33</v>
      </c>
      <c r="C970" s="53" t="s">
        <v>34</v>
      </c>
      <c r="D970" s="53" t="s">
        <v>40</v>
      </c>
      <c r="E970" s="53" t="s">
        <v>25</v>
      </c>
      <c r="F970" s="53" t="s">
        <v>25</v>
      </c>
      <c r="G970" s="53" t="s">
        <v>25</v>
      </c>
      <c r="H970" s="53" t="s">
        <v>35</v>
      </c>
      <c r="I970" s="75">
        <v>44621</v>
      </c>
      <c r="J970" s="76">
        <f>EFEITO!$J$970*EFEITO!$Y$970</f>
        <v>0</v>
      </c>
      <c r="K970" s="76">
        <f ca="1">EFEITO!$L$970*EFEITO!$Z$970</f>
        <v>639458.29010822112</v>
      </c>
      <c r="L970" s="76">
        <f>EFEITO!$N$970*EFEITO!$AA$970</f>
        <v>150663.84631389222</v>
      </c>
      <c r="M970" s="76">
        <f>$J$970-EFEITO!$K$970*EFEITO!$Y$970</f>
        <v>0</v>
      </c>
      <c r="N970" s="76">
        <f ca="1">$K$970-EFEITO!$M$970*EFEITO!$Z$970</f>
        <v>0</v>
      </c>
      <c r="O970" s="76">
        <f>$L$970-EFEITO!$O$970*EFEITO!$AA$970</f>
        <v>0</v>
      </c>
      <c r="P970" s="57"/>
      <c r="Q970" s="57"/>
      <c r="R970" s="57"/>
      <c r="S970" s="57"/>
      <c r="T970" s="57"/>
      <c r="U970" s="57"/>
      <c r="V970" s="57"/>
      <c r="W970" s="57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</row>
    <row r="971" spans="1:36" ht="11.25" customHeight="1" x14ac:dyDescent="0.2">
      <c r="A971" s="53" t="s">
        <v>28</v>
      </c>
      <c r="B971" s="53" t="s">
        <v>33</v>
      </c>
      <c r="C971" s="53" t="s">
        <v>34</v>
      </c>
      <c r="D971" s="53" t="s">
        <v>40</v>
      </c>
      <c r="E971" s="53" t="s">
        <v>25</v>
      </c>
      <c r="F971" s="53" t="s">
        <v>25</v>
      </c>
      <c r="G971" s="53" t="s">
        <v>25</v>
      </c>
      <c r="H971" s="53" t="s">
        <v>35</v>
      </c>
      <c r="I971" s="75">
        <v>44621</v>
      </c>
      <c r="J971" s="76">
        <f>EFEITO!$J$971*EFEITO!$Y$971</f>
        <v>0</v>
      </c>
      <c r="K971" s="76">
        <f ca="1">EFEITO!$L$971*EFEITO!$Z$971</f>
        <v>38305.319404585302</v>
      </c>
      <c r="L971" s="76">
        <f>EFEITO!$N$971*EFEITO!$AA$971</f>
        <v>9025.1809149276614</v>
      </c>
      <c r="M971" s="76">
        <f>$J$971-EFEITO!$K$971*EFEITO!$Y$971</f>
        <v>0</v>
      </c>
      <c r="N971" s="76">
        <f ca="1">$K$971-EFEITO!$M$971*EFEITO!$Z$971</f>
        <v>0</v>
      </c>
      <c r="O971" s="76">
        <f>$L$971-EFEITO!$O$971*EFEITO!$AA$971</f>
        <v>0</v>
      </c>
      <c r="P971" s="57"/>
      <c r="Q971" s="57"/>
      <c r="R971" s="57"/>
      <c r="S971" s="57"/>
      <c r="T971" s="57"/>
      <c r="U971" s="57"/>
      <c r="V971" s="57"/>
      <c r="W971" s="57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</row>
    <row r="972" spans="1:36" ht="11.25" customHeight="1" x14ac:dyDescent="0.2">
      <c r="A972" s="53" t="s">
        <v>21</v>
      </c>
      <c r="B972" s="53" t="s">
        <v>33</v>
      </c>
      <c r="C972" s="53" t="s">
        <v>34</v>
      </c>
      <c r="D972" s="53" t="s">
        <v>40</v>
      </c>
      <c r="E972" s="53" t="s">
        <v>25</v>
      </c>
      <c r="F972" s="53" t="s">
        <v>25</v>
      </c>
      <c r="G972" s="53" t="s">
        <v>25</v>
      </c>
      <c r="H972" s="53" t="s">
        <v>35</v>
      </c>
      <c r="I972" s="75">
        <v>44621</v>
      </c>
      <c r="J972" s="76">
        <f>EFEITO!$J$972*EFEITO!$Y$972</f>
        <v>0</v>
      </c>
      <c r="K972" s="76">
        <f ca="1">EFEITO!$L$972*EFEITO!$Z$972</f>
        <v>25067.306151147764</v>
      </c>
      <c r="L972" s="76">
        <f>EFEITO!$N$972*EFEITO!$AA$972</f>
        <v>0</v>
      </c>
      <c r="M972" s="76">
        <f>$J$972-EFEITO!$K$972*EFEITO!$Y$972</f>
        <v>0</v>
      </c>
      <c r="N972" s="76">
        <f ca="1">$K$972-EFEITO!$M$972*EFEITO!$Z$972</f>
        <v>0</v>
      </c>
      <c r="O972" s="76">
        <f>$L$972-EFEITO!$O$972*EFEITO!$AA$972</f>
        <v>0</v>
      </c>
      <c r="P972" s="57"/>
      <c r="Q972" s="57"/>
      <c r="R972" s="57"/>
      <c r="S972" s="57"/>
      <c r="T972" s="57"/>
      <c r="U972" s="57"/>
      <c r="V972" s="57"/>
      <c r="W972" s="57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</row>
    <row r="973" spans="1:36" ht="11.25" customHeight="1" x14ac:dyDescent="0.2">
      <c r="A973" s="53" t="s">
        <v>56</v>
      </c>
      <c r="B973" s="53" t="s">
        <v>33</v>
      </c>
      <c r="C973" s="53" t="s">
        <v>34</v>
      </c>
      <c r="D973" s="53" t="s">
        <v>40</v>
      </c>
      <c r="E973" s="53" t="s">
        <v>25</v>
      </c>
      <c r="F973" s="53" t="s">
        <v>25</v>
      </c>
      <c r="G973" s="53" t="s">
        <v>25</v>
      </c>
      <c r="H973" s="53" t="s">
        <v>35</v>
      </c>
      <c r="I973" s="75">
        <v>44652</v>
      </c>
      <c r="J973" s="76">
        <f>EFEITO!$J$973*EFEITO!$Y$973</f>
        <v>0</v>
      </c>
      <c r="K973" s="76">
        <f ca="1">EFEITO!$L$973*EFEITO!$Z$973</f>
        <v>639458.29010822112</v>
      </c>
      <c r="L973" s="76">
        <f>EFEITO!$N$973*EFEITO!$AA$973</f>
        <v>150663.84631389222</v>
      </c>
      <c r="M973" s="76">
        <f>$J$973-EFEITO!$K$973*EFEITO!$Y$973</f>
        <v>0</v>
      </c>
      <c r="N973" s="76">
        <f ca="1">$K$973-EFEITO!$M$973*EFEITO!$Z$973</f>
        <v>0</v>
      </c>
      <c r="O973" s="76">
        <f>$L$973-EFEITO!$O$973*EFEITO!$AA$973</f>
        <v>0</v>
      </c>
      <c r="P973" s="57"/>
      <c r="Q973" s="57"/>
      <c r="R973" s="57"/>
      <c r="S973" s="57"/>
      <c r="T973" s="57"/>
      <c r="U973" s="57"/>
      <c r="V973" s="57"/>
      <c r="W973" s="57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</row>
    <row r="974" spans="1:36" ht="11.25" customHeight="1" x14ac:dyDescent="0.2">
      <c r="A974" s="53" t="s">
        <v>56</v>
      </c>
      <c r="B974" s="53" t="s">
        <v>33</v>
      </c>
      <c r="C974" s="53" t="s">
        <v>34</v>
      </c>
      <c r="D974" s="53" t="s">
        <v>40</v>
      </c>
      <c r="E974" s="53" t="s">
        <v>25</v>
      </c>
      <c r="F974" s="53" t="s">
        <v>25</v>
      </c>
      <c r="G974" s="53" t="s">
        <v>25</v>
      </c>
      <c r="H974" s="53" t="s">
        <v>35</v>
      </c>
      <c r="I974" s="75">
        <v>44652</v>
      </c>
      <c r="J974" s="76">
        <f>EFEITO!$J$974*EFEITO!$Y$974</f>
        <v>0</v>
      </c>
      <c r="K974" s="76">
        <f ca="1">EFEITO!$L$974*EFEITO!$Z$974</f>
        <v>38305.319404585302</v>
      </c>
      <c r="L974" s="76">
        <f>EFEITO!$N$974*EFEITO!$AA$974</f>
        <v>9025.1809149276614</v>
      </c>
      <c r="M974" s="76">
        <f>$J$974-EFEITO!$K$974*EFEITO!$Y$974</f>
        <v>0</v>
      </c>
      <c r="N974" s="76">
        <f ca="1">$K$974-EFEITO!$M$974*EFEITO!$Z$974</f>
        <v>0</v>
      </c>
      <c r="O974" s="76">
        <f>$L$974-EFEITO!$O$974*EFEITO!$AA$974</f>
        <v>0</v>
      </c>
      <c r="P974" s="57"/>
      <c r="Q974" s="57"/>
      <c r="R974" s="57"/>
      <c r="S974" s="57"/>
      <c r="T974" s="57"/>
      <c r="U974" s="57"/>
      <c r="V974" s="57"/>
      <c r="W974" s="57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</row>
    <row r="975" spans="1:36" ht="11.25" customHeight="1" x14ac:dyDescent="0.2">
      <c r="A975" s="53" t="s">
        <v>56</v>
      </c>
      <c r="B975" s="53" t="s">
        <v>33</v>
      </c>
      <c r="C975" s="53" t="s">
        <v>34</v>
      </c>
      <c r="D975" s="53" t="s">
        <v>40</v>
      </c>
      <c r="E975" s="53" t="s">
        <v>25</v>
      </c>
      <c r="F975" s="53" t="s">
        <v>25</v>
      </c>
      <c r="G975" s="53" t="s">
        <v>25</v>
      </c>
      <c r="H975" s="53" t="s">
        <v>35</v>
      </c>
      <c r="I975" s="75">
        <v>44652</v>
      </c>
      <c r="J975" s="76">
        <f>EFEITO!$J$975*EFEITO!$Y$975</f>
        <v>0</v>
      </c>
      <c r="K975" s="76">
        <f ca="1">EFEITO!$L$975*EFEITO!$Z$975</f>
        <v>25067.306151147764</v>
      </c>
      <c r="L975" s="76">
        <f>EFEITO!$N$975*EFEITO!$AA$975</f>
        <v>0</v>
      </c>
      <c r="M975" s="76">
        <f>$J$975-EFEITO!$K$975*EFEITO!$Y$975</f>
        <v>0</v>
      </c>
      <c r="N975" s="76">
        <f ca="1">$K$975-EFEITO!$M$975*EFEITO!$Z$975</f>
        <v>0</v>
      </c>
      <c r="O975" s="76">
        <f>$L$975-EFEITO!$O$975*EFEITO!$AA$975</f>
        <v>0</v>
      </c>
      <c r="P975" s="57"/>
      <c r="Q975" s="57"/>
      <c r="R975" s="57"/>
      <c r="S975" s="57"/>
      <c r="T975" s="57"/>
      <c r="U975" s="57"/>
      <c r="V975" s="57"/>
      <c r="W975" s="57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</row>
    <row r="976" spans="1:36" ht="11.25" customHeight="1" x14ac:dyDescent="0.2">
      <c r="A976" s="53" t="s">
        <v>21</v>
      </c>
      <c r="B976" s="53" t="s">
        <v>33</v>
      </c>
      <c r="C976" s="53" t="s">
        <v>34</v>
      </c>
      <c r="D976" s="53" t="s">
        <v>46</v>
      </c>
      <c r="E976" s="53" t="s">
        <v>25</v>
      </c>
      <c r="F976" s="53" t="s">
        <v>25</v>
      </c>
      <c r="G976" s="53" t="s">
        <v>25</v>
      </c>
      <c r="H976" s="53" t="s">
        <v>36</v>
      </c>
      <c r="I976" s="75">
        <v>44317</v>
      </c>
      <c r="J976" s="76">
        <f>EFEITO!$J$976*EFEITO!$Y$976</f>
        <v>0</v>
      </c>
      <c r="K976" s="76">
        <f ca="1">EFEITO!$L$976*EFEITO!$Z$976</f>
        <v>692045.99718603678</v>
      </c>
      <c r="L976" s="76">
        <f>EFEITO!$N$976*EFEITO!$AA$976</f>
        <v>1595704.6358986883</v>
      </c>
      <c r="M976" s="76">
        <f>$J$976-EFEITO!$K$976*EFEITO!$Y$976</f>
        <v>0</v>
      </c>
      <c r="N976" s="76">
        <f ca="1">$K$976-EFEITO!$M$976*EFEITO!$Z$976</f>
        <v>0</v>
      </c>
      <c r="O976" s="76">
        <f>$L$976-EFEITO!$O$976*EFEITO!$AA$976</f>
        <v>0</v>
      </c>
      <c r="P976" s="57"/>
      <c r="Q976" s="57"/>
      <c r="R976" s="57"/>
      <c r="S976" s="57"/>
      <c r="T976" s="57"/>
      <c r="U976" s="57"/>
      <c r="V976" s="57"/>
      <c r="W976" s="57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</row>
    <row r="977" spans="1:36" ht="11.25" customHeight="1" x14ac:dyDescent="0.2">
      <c r="A977" s="53" t="s">
        <v>27</v>
      </c>
      <c r="B977" s="53" t="s">
        <v>33</v>
      </c>
      <c r="C977" s="53" t="s">
        <v>34</v>
      </c>
      <c r="D977" s="53" t="s">
        <v>46</v>
      </c>
      <c r="E977" s="53" t="s">
        <v>25</v>
      </c>
      <c r="F977" s="53" t="s">
        <v>25</v>
      </c>
      <c r="G977" s="53" t="s">
        <v>25</v>
      </c>
      <c r="H977" s="53" t="s">
        <v>36</v>
      </c>
      <c r="I977" s="75">
        <v>44317</v>
      </c>
      <c r="J977" s="76">
        <f>EFEITO!$J$977*EFEITO!$Y$977</f>
        <v>0</v>
      </c>
      <c r="K977" s="76">
        <f ca="1">EFEITO!$L$977*EFEITO!$Z$977</f>
        <v>1164.1523384030831</v>
      </c>
      <c r="L977" s="76">
        <f>EFEITO!$N$977*EFEITO!$AA$977</f>
        <v>2684.2771879839715</v>
      </c>
      <c r="M977" s="76">
        <f>$J$977-EFEITO!$K$977*EFEITO!$Y$977</f>
        <v>0</v>
      </c>
      <c r="N977" s="76">
        <f ca="1">$K$977-EFEITO!$M$977*EFEITO!$Z$977</f>
        <v>0</v>
      </c>
      <c r="O977" s="76">
        <f>$L$977-EFEITO!$O$977*EFEITO!$AA$977</f>
        <v>0</v>
      </c>
      <c r="P977" s="57"/>
      <c r="Q977" s="57"/>
      <c r="R977" s="57"/>
      <c r="S977" s="57"/>
      <c r="T977" s="57"/>
      <c r="U977" s="57"/>
      <c r="V977" s="57"/>
      <c r="W977" s="57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</row>
    <row r="978" spans="1:36" ht="11.25" customHeight="1" x14ac:dyDescent="0.2">
      <c r="A978" s="53" t="s">
        <v>28</v>
      </c>
      <c r="B978" s="53" t="s">
        <v>33</v>
      </c>
      <c r="C978" s="53" t="s">
        <v>34</v>
      </c>
      <c r="D978" s="53" t="s">
        <v>46</v>
      </c>
      <c r="E978" s="53" t="s">
        <v>25</v>
      </c>
      <c r="F978" s="53" t="s">
        <v>25</v>
      </c>
      <c r="G978" s="53" t="s">
        <v>25</v>
      </c>
      <c r="H978" s="53" t="s">
        <v>36</v>
      </c>
      <c r="I978" s="75">
        <v>44317</v>
      </c>
      <c r="J978" s="76">
        <f>EFEITO!$J$978*EFEITO!$Y$978</f>
        <v>0</v>
      </c>
      <c r="K978" s="76">
        <f ca="1">EFEITO!$L$978*EFEITO!$Z$978</f>
        <v>14914.555322122893</v>
      </c>
      <c r="L978" s="76">
        <f>EFEITO!$N$978*EFEITO!$AA$978</f>
        <v>34389.657864723136</v>
      </c>
      <c r="M978" s="76">
        <f>$J$978-EFEITO!$K$978*EFEITO!$Y$978</f>
        <v>0</v>
      </c>
      <c r="N978" s="76">
        <f ca="1">$K$978-EFEITO!$M$978*EFEITO!$Z$978</f>
        <v>0</v>
      </c>
      <c r="O978" s="76">
        <f>$L$978-EFEITO!$O$978*EFEITO!$AA$978</f>
        <v>0</v>
      </c>
      <c r="P978" s="57"/>
      <c r="Q978" s="57"/>
      <c r="R978" s="57"/>
      <c r="S978" s="57"/>
      <c r="T978" s="57"/>
      <c r="U978" s="57"/>
      <c r="V978" s="57"/>
      <c r="W978" s="57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</row>
    <row r="979" spans="1:36" ht="11.25" customHeight="1" x14ac:dyDescent="0.2">
      <c r="A979" s="53" t="s">
        <v>21</v>
      </c>
      <c r="B979" s="53" t="s">
        <v>33</v>
      </c>
      <c r="C979" s="53" t="s">
        <v>34</v>
      </c>
      <c r="D979" s="53" t="s">
        <v>46</v>
      </c>
      <c r="E979" s="53" t="s">
        <v>25</v>
      </c>
      <c r="F979" s="53" t="s">
        <v>25</v>
      </c>
      <c r="G979" s="53" t="s">
        <v>25</v>
      </c>
      <c r="H979" s="53" t="s">
        <v>36</v>
      </c>
      <c r="I979" s="75">
        <v>44348</v>
      </c>
      <c r="J979" s="76">
        <f>EFEITO!$J$979*EFEITO!$Y$979</f>
        <v>0</v>
      </c>
      <c r="K979" s="76">
        <f ca="1">EFEITO!$L$979*EFEITO!$Z$979</f>
        <v>608740.90212594625</v>
      </c>
      <c r="L979" s="76">
        <f>EFEITO!$N$979*EFEITO!$AA$979</f>
        <v>1403621.5562740937</v>
      </c>
      <c r="M979" s="76">
        <f>$J$979-EFEITO!$K$979*EFEITO!$Y$979</f>
        <v>0</v>
      </c>
      <c r="N979" s="76">
        <f ca="1">$K$979-EFEITO!$M$979*EFEITO!$Z$979</f>
        <v>0</v>
      </c>
      <c r="O979" s="76">
        <f>$L$979-EFEITO!$O$979*EFEITO!$AA$979</f>
        <v>0</v>
      </c>
      <c r="P979" s="57"/>
      <c r="Q979" s="57"/>
      <c r="R979" s="57"/>
      <c r="S979" s="57"/>
      <c r="T979" s="57"/>
      <c r="U979" s="57"/>
      <c r="V979" s="57"/>
      <c r="W979" s="57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</row>
    <row r="980" spans="1:36" ht="11.25" customHeight="1" x14ac:dyDescent="0.2">
      <c r="A980" s="53" t="s">
        <v>27</v>
      </c>
      <c r="B980" s="53" t="s">
        <v>33</v>
      </c>
      <c r="C980" s="53" t="s">
        <v>34</v>
      </c>
      <c r="D980" s="53" t="s">
        <v>46</v>
      </c>
      <c r="E980" s="53" t="s">
        <v>25</v>
      </c>
      <c r="F980" s="53" t="s">
        <v>25</v>
      </c>
      <c r="G980" s="53" t="s">
        <v>25</v>
      </c>
      <c r="H980" s="53" t="s">
        <v>36</v>
      </c>
      <c r="I980" s="75">
        <v>44348</v>
      </c>
      <c r="J980" s="76">
        <f>EFEITO!$J$980*EFEITO!$Y$980</f>
        <v>0</v>
      </c>
      <c r="K980" s="76">
        <f ca="1">EFEITO!$L$980*EFEITO!$Z$980</f>
        <v>331.01907400047259</v>
      </c>
      <c r="L980" s="76">
        <f>EFEITO!$N$980*EFEITO!$AA$980</f>
        <v>763.25659436109902</v>
      </c>
      <c r="M980" s="76">
        <f>$J$980-EFEITO!$K$980*EFEITO!$Y$980</f>
        <v>0</v>
      </c>
      <c r="N980" s="76">
        <f ca="1">$K$980-EFEITO!$M$980*EFEITO!$Z$980</f>
        <v>0</v>
      </c>
      <c r="O980" s="76">
        <f>$L$980-EFEITO!$O$980*EFEITO!$AA$980</f>
        <v>0</v>
      </c>
      <c r="P980" s="57"/>
      <c r="Q980" s="57"/>
      <c r="R980" s="57"/>
      <c r="S980" s="57"/>
      <c r="T980" s="57"/>
      <c r="U980" s="57"/>
      <c r="V980" s="57"/>
      <c r="W980" s="57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1:36" ht="11.25" customHeight="1" x14ac:dyDescent="0.2">
      <c r="A981" s="53" t="s">
        <v>28</v>
      </c>
      <c r="B981" s="53" t="s">
        <v>33</v>
      </c>
      <c r="C981" s="53" t="s">
        <v>34</v>
      </c>
      <c r="D981" s="53" t="s">
        <v>46</v>
      </c>
      <c r="E981" s="53" t="s">
        <v>25</v>
      </c>
      <c r="F981" s="53" t="s">
        <v>25</v>
      </c>
      <c r="G981" s="53" t="s">
        <v>25</v>
      </c>
      <c r="H981" s="53" t="s">
        <v>36</v>
      </c>
      <c r="I981" s="75">
        <v>44348</v>
      </c>
      <c r="J981" s="76">
        <f>EFEITO!$J$981*EFEITO!$Y$981</f>
        <v>0</v>
      </c>
      <c r="K981" s="76">
        <f ca="1">EFEITO!$L$981*EFEITO!$Z$981</f>
        <v>14072.485130677996</v>
      </c>
      <c r="L981" s="76">
        <f>EFEITO!$N$981*EFEITO!$AA$981</f>
        <v>32448.030698748065</v>
      </c>
      <c r="M981" s="76">
        <f>$J$981-EFEITO!$K$981*EFEITO!$Y$981</f>
        <v>0</v>
      </c>
      <c r="N981" s="76">
        <f ca="1">$K$981-EFEITO!$M$981*EFEITO!$Z$981</f>
        <v>0</v>
      </c>
      <c r="O981" s="76">
        <f>$L$981-EFEITO!$O$981*EFEITO!$AA$981</f>
        <v>0</v>
      </c>
      <c r="P981" s="57"/>
      <c r="Q981" s="57"/>
      <c r="R981" s="57"/>
      <c r="S981" s="57"/>
      <c r="T981" s="57"/>
      <c r="U981" s="57"/>
      <c r="V981" s="57"/>
      <c r="W981" s="57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</row>
    <row r="982" spans="1:36" ht="11.25" customHeight="1" x14ac:dyDescent="0.2">
      <c r="A982" s="53" t="s">
        <v>21</v>
      </c>
      <c r="B982" s="53" t="s">
        <v>33</v>
      </c>
      <c r="C982" s="53" t="s">
        <v>34</v>
      </c>
      <c r="D982" s="53" t="s">
        <v>46</v>
      </c>
      <c r="E982" s="53" t="s">
        <v>25</v>
      </c>
      <c r="F982" s="53" t="s">
        <v>25</v>
      </c>
      <c r="G982" s="53" t="s">
        <v>25</v>
      </c>
      <c r="H982" s="53" t="s">
        <v>36</v>
      </c>
      <c r="I982" s="75">
        <v>44378</v>
      </c>
      <c r="J982" s="76">
        <f>EFEITO!$J$982*EFEITO!$Y$982</f>
        <v>0</v>
      </c>
      <c r="K982" s="76">
        <f ca="1">EFEITO!$L$982*EFEITO!$Z$982</f>
        <v>628187.89055225183</v>
      </c>
      <c r="L982" s="76">
        <f>EFEITO!$N$982*EFEITO!$AA$982</f>
        <v>1448461.9999907014</v>
      </c>
      <c r="M982" s="76">
        <f>$J$982-EFEITO!$K$982*EFEITO!$Y$982</f>
        <v>0</v>
      </c>
      <c r="N982" s="76">
        <f ca="1">$K$982-EFEITO!$M$982*EFEITO!$Z$982</f>
        <v>0</v>
      </c>
      <c r="O982" s="76">
        <f>$L$982-EFEITO!$O$982*EFEITO!$AA$982</f>
        <v>0</v>
      </c>
      <c r="P982" s="57"/>
      <c r="Q982" s="57"/>
      <c r="R982" s="57"/>
      <c r="S982" s="57"/>
      <c r="T982" s="57"/>
      <c r="U982" s="57"/>
      <c r="V982" s="57"/>
      <c r="W982" s="57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</row>
    <row r="983" spans="1:36" ht="11.25" customHeight="1" x14ac:dyDescent="0.2">
      <c r="A983" s="53" t="s">
        <v>28</v>
      </c>
      <c r="B983" s="53" t="s">
        <v>33</v>
      </c>
      <c r="C983" s="53" t="s">
        <v>34</v>
      </c>
      <c r="D983" s="53" t="s">
        <v>46</v>
      </c>
      <c r="E983" s="53" t="s">
        <v>25</v>
      </c>
      <c r="F983" s="53" t="s">
        <v>25</v>
      </c>
      <c r="G983" s="53" t="s">
        <v>25</v>
      </c>
      <c r="H983" s="53" t="s">
        <v>36</v>
      </c>
      <c r="I983" s="75">
        <v>44378</v>
      </c>
      <c r="J983" s="76">
        <f>EFEITO!$J$983*EFEITO!$Y$983</f>
        <v>0</v>
      </c>
      <c r="K983" s="76">
        <f ca="1">EFEITO!$L$983*EFEITO!$Z$983</f>
        <v>14705.595856936805</v>
      </c>
      <c r="L983" s="76">
        <f>EFEITO!$N$983*EFEITO!$AA$983</f>
        <v>33907.84366643551</v>
      </c>
      <c r="M983" s="76">
        <f>$J$983-EFEITO!$K$983*EFEITO!$Y$983</f>
        <v>0</v>
      </c>
      <c r="N983" s="76">
        <f ca="1">$K$983-EFEITO!$M$983*EFEITO!$Z$983</f>
        <v>0</v>
      </c>
      <c r="O983" s="76">
        <f>$L$983-EFEITO!$O$983*EFEITO!$AA$983</f>
        <v>0</v>
      </c>
      <c r="P983" s="57"/>
      <c r="Q983" s="57"/>
      <c r="R983" s="57"/>
      <c r="S983" s="57"/>
      <c r="T983" s="57"/>
      <c r="U983" s="57"/>
      <c r="V983" s="57"/>
      <c r="W983" s="57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</row>
    <row r="984" spans="1:36" ht="11.25" customHeight="1" x14ac:dyDescent="0.2">
      <c r="A984" s="53" t="s">
        <v>21</v>
      </c>
      <c r="B984" s="53" t="s">
        <v>33</v>
      </c>
      <c r="C984" s="53" t="s">
        <v>34</v>
      </c>
      <c r="D984" s="53" t="s">
        <v>46</v>
      </c>
      <c r="E984" s="53" t="s">
        <v>25</v>
      </c>
      <c r="F984" s="53" t="s">
        <v>25</v>
      </c>
      <c r="G984" s="53" t="s">
        <v>25</v>
      </c>
      <c r="H984" s="53" t="s">
        <v>36</v>
      </c>
      <c r="I984" s="75">
        <v>44409</v>
      </c>
      <c r="J984" s="76">
        <f>EFEITO!$J$984*EFEITO!$Y$984</f>
        <v>0</v>
      </c>
      <c r="K984" s="76">
        <f ca="1">EFEITO!$L$984*EFEITO!$Z$984</f>
        <v>618352.68475107045</v>
      </c>
      <c r="L984" s="76">
        <f>EFEITO!$N$984*EFEITO!$AA$984</f>
        <v>1425784.1959779952</v>
      </c>
      <c r="M984" s="76">
        <f>$J$984-EFEITO!$K$984*EFEITO!$Y$984</f>
        <v>0</v>
      </c>
      <c r="N984" s="76">
        <f ca="1">$K$984-EFEITO!$M$984*EFEITO!$Z$984</f>
        <v>0</v>
      </c>
      <c r="O984" s="76">
        <f>$L$984-EFEITO!$O$984*EFEITO!$AA$984</f>
        <v>0</v>
      </c>
      <c r="P984" s="57"/>
      <c r="Q984" s="57"/>
      <c r="R984" s="57"/>
      <c r="S984" s="57"/>
      <c r="T984" s="57"/>
      <c r="U984" s="57"/>
      <c r="V984" s="57"/>
      <c r="W984" s="57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</row>
    <row r="985" spans="1:36" ht="11.25" customHeight="1" x14ac:dyDescent="0.2">
      <c r="A985" s="53" t="s">
        <v>27</v>
      </c>
      <c r="B985" s="53" t="s">
        <v>33</v>
      </c>
      <c r="C985" s="53" t="s">
        <v>34</v>
      </c>
      <c r="D985" s="53" t="s">
        <v>46</v>
      </c>
      <c r="E985" s="53" t="s">
        <v>25</v>
      </c>
      <c r="F985" s="53" t="s">
        <v>25</v>
      </c>
      <c r="G985" s="53" t="s">
        <v>25</v>
      </c>
      <c r="H985" s="53" t="s">
        <v>36</v>
      </c>
      <c r="I985" s="75">
        <v>44409</v>
      </c>
      <c r="J985" s="76">
        <f>EFEITO!$J$985*EFEITO!$Y$985</f>
        <v>0</v>
      </c>
      <c r="K985" s="76">
        <f ca="1">EFEITO!$L$985*EFEITO!$Z$985</f>
        <v>-762.34339493607956</v>
      </c>
      <c r="L985" s="76">
        <f>EFEITO!$N$985*EFEITO!$AA$985</f>
        <v>-1757.7948494646553</v>
      </c>
      <c r="M985" s="76">
        <f>$J$985-EFEITO!$K$985*EFEITO!$Y$985</f>
        <v>0</v>
      </c>
      <c r="N985" s="76">
        <f ca="1">$K$985-EFEITO!$M$985*EFEITO!$Z$985</f>
        <v>0</v>
      </c>
      <c r="O985" s="76">
        <f>$L$985-EFEITO!$O$985*EFEITO!$AA$985</f>
        <v>0</v>
      </c>
      <c r="P985" s="57"/>
      <c r="Q985" s="57"/>
      <c r="R985" s="57"/>
      <c r="S985" s="57"/>
      <c r="T985" s="57"/>
      <c r="U985" s="57"/>
      <c r="V985" s="57"/>
      <c r="W985" s="57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</row>
    <row r="986" spans="1:36" ht="11.25" customHeight="1" x14ac:dyDescent="0.2">
      <c r="A986" s="53" t="s">
        <v>28</v>
      </c>
      <c r="B986" s="53" t="s">
        <v>33</v>
      </c>
      <c r="C986" s="53" t="s">
        <v>34</v>
      </c>
      <c r="D986" s="53" t="s">
        <v>46</v>
      </c>
      <c r="E986" s="53" t="s">
        <v>25</v>
      </c>
      <c r="F986" s="53" t="s">
        <v>25</v>
      </c>
      <c r="G986" s="53" t="s">
        <v>25</v>
      </c>
      <c r="H986" s="53" t="s">
        <v>36</v>
      </c>
      <c r="I986" s="75">
        <v>44409</v>
      </c>
      <c r="J986" s="76">
        <f>EFEITO!$J$986*EFEITO!$Y$986</f>
        <v>0</v>
      </c>
      <c r="K986" s="76">
        <f ca="1">EFEITO!$L$986*EFEITO!$Z$986</f>
        <v>17455.935154200411</v>
      </c>
      <c r="L986" s="76">
        <f>EFEITO!$N$986*EFEITO!$AA$986</f>
        <v>40249.516307825113</v>
      </c>
      <c r="M986" s="76">
        <f>$J$986-EFEITO!$K$986*EFEITO!$Y$986</f>
        <v>0</v>
      </c>
      <c r="N986" s="76">
        <f ca="1">$K$986-EFEITO!$M$986*EFEITO!$Z$986</f>
        <v>0</v>
      </c>
      <c r="O986" s="76">
        <f>$L$986-EFEITO!$O$986*EFEITO!$AA$986</f>
        <v>0</v>
      </c>
      <c r="P986" s="57"/>
      <c r="Q986" s="57"/>
      <c r="R986" s="57"/>
      <c r="S986" s="57"/>
      <c r="T986" s="57"/>
      <c r="U986" s="57"/>
      <c r="V986" s="57"/>
      <c r="W986" s="57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spans="1:36" ht="11.25" customHeight="1" x14ac:dyDescent="0.2">
      <c r="A987" s="53" t="s">
        <v>21</v>
      </c>
      <c r="B987" s="53" t="s">
        <v>33</v>
      </c>
      <c r="C987" s="53" t="s">
        <v>34</v>
      </c>
      <c r="D987" s="53" t="s">
        <v>46</v>
      </c>
      <c r="E987" s="53" t="s">
        <v>25</v>
      </c>
      <c r="F987" s="53" t="s">
        <v>25</v>
      </c>
      <c r="G987" s="53" t="s">
        <v>25</v>
      </c>
      <c r="H987" s="53" t="s">
        <v>36</v>
      </c>
      <c r="I987" s="75">
        <v>44440</v>
      </c>
      <c r="J987" s="76">
        <f>EFEITO!$J$987*EFEITO!$Y$987</f>
        <v>0</v>
      </c>
      <c r="K987" s="76">
        <f ca="1">EFEITO!$L$987*EFEITO!$Z$987</f>
        <v>687183.25055472541</v>
      </c>
      <c r="L987" s="76">
        <f>EFEITO!$N$987*EFEITO!$AA$987</f>
        <v>1584492.2202871023</v>
      </c>
      <c r="M987" s="76">
        <f>$J$987-EFEITO!$K$987*EFEITO!$Y$987</f>
        <v>0</v>
      </c>
      <c r="N987" s="76">
        <f ca="1">$K$987-EFEITO!$M$987*EFEITO!$Z$987</f>
        <v>0</v>
      </c>
      <c r="O987" s="76">
        <f>$L$987-EFEITO!$O$987*EFEITO!$AA$987</f>
        <v>0</v>
      </c>
      <c r="P987" s="57"/>
      <c r="Q987" s="57"/>
      <c r="R987" s="57"/>
      <c r="S987" s="57"/>
      <c r="T987" s="57"/>
      <c r="U987" s="57"/>
      <c r="V987" s="57"/>
      <c r="W987" s="57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</row>
    <row r="988" spans="1:36" ht="11.25" customHeight="1" x14ac:dyDescent="0.2">
      <c r="A988" s="53" t="s">
        <v>28</v>
      </c>
      <c r="B988" s="53" t="s">
        <v>33</v>
      </c>
      <c r="C988" s="53" t="s">
        <v>34</v>
      </c>
      <c r="D988" s="53" t="s">
        <v>46</v>
      </c>
      <c r="E988" s="53" t="s">
        <v>25</v>
      </c>
      <c r="F988" s="53" t="s">
        <v>25</v>
      </c>
      <c r="G988" s="53" t="s">
        <v>25</v>
      </c>
      <c r="H988" s="53" t="s">
        <v>36</v>
      </c>
      <c r="I988" s="75">
        <v>44440</v>
      </c>
      <c r="J988" s="76">
        <f>EFEITO!$J$988*EFEITO!$Y$988</f>
        <v>0</v>
      </c>
      <c r="K988" s="76">
        <f ca="1">EFEITO!$L$988*EFEITO!$Z$988</f>
        <v>18703.694796906988</v>
      </c>
      <c r="L988" s="76">
        <f>EFEITO!$N$988*EFEITO!$AA$988</f>
        <v>43126.573402946116</v>
      </c>
      <c r="M988" s="76">
        <f>$J$988-EFEITO!$K$988*EFEITO!$Y$988</f>
        <v>0</v>
      </c>
      <c r="N988" s="76">
        <f ca="1">$K$988-EFEITO!$M$988*EFEITO!$Z$988</f>
        <v>0</v>
      </c>
      <c r="O988" s="76">
        <f>$L$988-EFEITO!$O$988*EFEITO!$AA$988</f>
        <v>0</v>
      </c>
      <c r="P988" s="57"/>
      <c r="Q988" s="57"/>
      <c r="R988" s="57"/>
      <c r="S988" s="57"/>
      <c r="T988" s="57"/>
      <c r="U988" s="57"/>
      <c r="V988" s="57"/>
      <c r="W988" s="57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</row>
    <row r="989" spans="1:36" ht="11.25" customHeight="1" x14ac:dyDescent="0.2">
      <c r="A989" s="53" t="s">
        <v>21</v>
      </c>
      <c r="B989" s="53" t="s">
        <v>33</v>
      </c>
      <c r="C989" s="53" t="s">
        <v>34</v>
      </c>
      <c r="D989" s="53" t="s">
        <v>46</v>
      </c>
      <c r="E989" s="53" t="s">
        <v>25</v>
      </c>
      <c r="F989" s="53" t="s">
        <v>25</v>
      </c>
      <c r="G989" s="53" t="s">
        <v>25</v>
      </c>
      <c r="H989" s="53" t="s">
        <v>36</v>
      </c>
      <c r="I989" s="75">
        <v>44470</v>
      </c>
      <c r="J989" s="76">
        <f>EFEITO!$J$989*EFEITO!$Y$989</f>
        <v>0</v>
      </c>
      <c r="K989" s="76">
        <f ca="1">EFEITO!$L$989*EFEITO!$Z$989</f>
        <v>758392.68522766256</v>
      </c>
      <c r="L989" s="76">
        <f>EFEITO!$N$989*EFEITO!$AA$989</f>
        <v>1748685.3887894335</v>
      </c>
      <c r="M989" s="76">
        <f>$J$989-EFEITO!$K$989*EFEITO!$Y$989</f>
        <v>0</v>
      </c>
      <c r="N989" s="76">
        <f ca="1">$K$989-EFEITO!$M$989*EFEITO!$Z$989</f>
        <v>0</v>
      </c>
      <c r="O989" s="76">
        <f>$L$989-EFEITO!$O$989*EFEITO!$AA$989</f>
        <v>0</v>
      </c>
      <c r="P989" s="57"/>
      <c r="Q989" s="57"/>
      <c r="R989" s="57"/>
      <c r="S989" s="57"/>
      <c r="T989" s="57"/>
      <c r="U989" s="57"/>
      <c r="V989" s="57"/>
      <c r="W989" s="57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</row>
    <row r="990" spans="1:36" ht="11.25" customHeight="1" x14ac:dyDescent="0.2">
      <c r="A990" s="53" t="s">
        <v>27</v>
      </c>
      <c r="B990" s="53" t="s">
        <v>33</v>
      </c>
      <c r="C990" s="53" t="s">
        <v>34</v>
      </c>
      <c r="D990" s="53" t="s">
        <v>46</v>
      </c>
      <c r="E990" s="53" t="s">
        <v>25</v>
      </c>
      <c r="F990" s="53" t="s">
        <v>25</v>
      </c>
      <c r="G990" s="53" t="s">
        <v>25</v>
      </c>
      <c r="H990" s="53" t="s">
        <v>36</v>
      </c>
      <c r="I990" s="75">
        <v>44470</v>
      </c>
      <c r="J990" s="76">
        <f>EFEITO!$J$990*EFEITO!$Y$990</f>
        <v>0</v>
      </c>
      <c r="K990" s="76">
        <f ca="1">EFEITO!$L$990*EFEITO!$Z$990</f>
        <v>786.91994430236684</v>
      </c>
      <c r="L990" s="76">
        <f>EFEITO!$N$990*EFEITO!$AA$990</f>
        <v>1814.462923433206</v>
      </c>
      <c r="M990" s="76">
        <f>$J$990-EFEITO!$K$990*EFEITO!$Y$990</f>
        <v>0</v>
      </c>
      <c r="N990" s="76">
        <f ca="1">$K$990-EFEITO!$M$990*EFEITO!$Z$990</f>
        <v>0</v>
      </c>
      <c r="O990" s="76">
        <f>$L$990-EFEITO!$O$990*EFEITO!$AA$990</f>
        <v>0</v>
      </c>
      <c r="P990" s="57"/>
      <c r="Q990" s="57"/>
      <c r="R990" s="57"/>
      <c r="S990" s="57"/>
      <c r="T990" s="57"/>
      <c r="U990" s="57"/>
      <c r="V990" s="57"/>
      <c r="W990" s="57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</row>
    <row r="991" spans="1:36" ht="11.25" customHeight="1" x14ac:dyDescent="0.2">
      <c r="A991" s="53" t="s">
        <v>28</v>
      </c>
      <c r="B991" s="53" t="s">
        <v>33</v>
      </c>
      <c r="C991" s="53" t="s">
        <v>34</v>
      </c>
      <c r="D991" s="53" t="s">
        <v>46</v>
      </c>
      <c r="E991" s="53" t="s">
        <v>25</v>
      </c>
      <c r="F991" s="53" t="s">
        <v>25</v>
      </c>
      <c r="G991" s="53" t="s">
        <v>25</v>
      </c>
      <c r="H991" s="53" t="s">
        <v>36</v>
      </c>
      <c r="I991" s="75">
        <v>44470</v>
      </c>
      <c r="J991" s="76">
        <f>EFEITO!$J$991*EFEITO!$Y$991</f>
        <v>0</v>
      </c>
      <c r="K991" s="76">
        <f ca="1">EFEITO!$L$991*EFEITO!$Z$991</f>
        <v>20205.451313446967</v>
      </c>
      <c r="L991" s="76">
        <f>EFEITO!$N$991*EFEITO!$AA$991</f>
        <v>46589.290975445445</v>
      </c>
      <c r="M991" s="76">
        <f>$J$991-EFEITO!$K$991*EFEITO!$Y$991</f>
        <v>0</v>
      </c>
      <c r="N991" s="76">
        <f ca="1">$K$991-EFEITO!$M$991*EFEITO!$Z$991</f>
        <v>0</v>
      </c>
      <c r="O991" s="76">
        <f>$L$991-EFEITO!$O$991*EFEITO!$AA$991</f>
        <v>0</v>
      </c>
      <c r="P991" s="57"/>
      <c r="Q991" s="57"/>
      <c r="R991" s="57"/>
      <c r="S991" s="57"/>
      <c r="T991" s="57"/>
      <c r="U991" s="57"/>
      <c r="V991" s="57"/>
      <c r="W991" s="57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</row>
    <row r="992" spans="1:36" ht="11.25" customHeight="1" x14ac:dyDescent="0.2">
      <c r="A992" s="53" t="s">
        <v>21</v>
      </c>
      <c r="B992" s="53" t="s">
        <v>33</v>
      </c>
      <c r="C992" s="53" t="s">
        <v>34</v>
      </c>
      <c r="D992" s="53" t="s">
        <v>46</v>
      </c>
      <c r="E992" s="53" t="s">
        <v>25</v>
      </c>
      <c r="F992" s="53" t="s">
        <v>25</v>
      </c>
      <c r="G992" s="53" t="s">
        <v>25</v>
      </c>
      <c r="H992" s="53" t="s">
        <v>36</v>
      </c>
      <c r="I992" s="75">
        <v>44501</v>
      </c>
      <c r="J992" s="76">
        <f>EFEITO!$J$992*EFEITO!$Y$992</f>
        <v>0</v>
      </c>
      <c r="K992" s="76">
        <f ca="1">EFEITO!$L$992*EFEITO!$Z$992</f>
        <v>825593.5553486984</v>
      </c>
      <c r="L992" s="76">
        <f>EFEITO!$N$992*EFEITO!$AA$992</f>
        <v>1903635.6961744728</v>
      </c>
      <c r="M992" s="76">
        <f>$J$992-EFEITO!$K$992*EFEITO!$Y$992</f>
        <v>0</v>
      </c>
      <c r="N992" s="76">
        <f ca="1">$K$992-EFEITO!$M$992*EFEITO!$Z$992</f>
        <v>0</v>
      </c>
      <c r="O992" s="76">
        <f>$L$992-EFEITO!$O$992*EFEITO!$AA$992</f>
        <v>0</v>
      </c>
      <c r="P992" s="57"/>
      <c r="Q992" s="57"/>
      <c r="R992" s="57"/>
      <c r="S992" s="57"/>
      <c r="T992" s="57"/>
      <c r="U992" s="57"/>
      <c r="V992" s="57"/>
      <c r="W992" s="57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spans="1:36" ht="11.25" customHeight="1" x14ac:dyDescent="0.2">
      <c r="A993" s="53" t="s">
        <v>28</v>
      </c>
      <c r="B993" s="53" t="s">
        <v>33</v>
      </c>
      <c r="C993" s="53" t="s">
        <v>34</v>
      </c>
      <c r="D993" s="53" t="s">
        <v>46</v>
      </c>
      <c r="E993" s="53" t="s">
        <v>25</v>
      </c>
      <c r="F993" s="53" t="s">
        <v>25</v>
      </c>
      <c r="G993" s="53" t="s">
        <v>25</v>
      </c>
      <c r="H993" s="53" t="s">
        <v>36</v>
      </c>
      <c r="I993" s="75">
        <v>44501</v>
      </c>
      <c r="J993" s="76">
        <f>EFEITO!$J$993*EFEITO!$Y$993</f>
        <v>0</v>
      </c>
      <c r="K993" s="76">
        <f ca="1">EFEITO!$L$993*EFEITO!$Z$993</f>
        <v>23395.111129526122</v>
      </c>
      <c r="L993" s="76">
        <f>EFEITO!$N$993*EFEITO!$AA$993</f>
        <v>53943.939331411631</v>
      </c>
      <c r="M993" s="76">
        <f>$J$993-EFEITO!$K$993*EFEITO!$Y$993</f>
        <v>0</v>
      </c>
      <c r="N993" s="76">
        <f ca="1">$K$993-EFEITO!$M$993*EFEITO!$Z$993</f>
        <v>0</v>
      </c>
      <c r="O993" s="76">
        <f>$L$993-EFEITO!$O$993*EFEITO!$AA$993</f>
        <v>0</v>
      </c>
      <c r="P993" s="57"/>
      <c r="Q993" s="57"/>
      <c r="R993" s="57"/>
      <c r="S993" s="57"/>
      <c r="T993" s="57"/>
      <c r="U993" s="57"/>
      <c r="V993" s="57"/>
      <c r="W993" s="57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</row>
    <row r="994" spans="1:36" ht="11.25" customHeight="1" x14ac:dyDescent="0.2">
      <c r="A994" s="53" t="s">
        <v>21</v>
      </c>
      <c r="B994" s="53" t="s">
        <v>33</v>
      </c>
      <c r="C994" s="53" t="s">
        <v>34</v>
      </c>
      <c r="D994" s="53" t="s">
        <v>46</v>
      </c>
      <c r="E994" s="53" t="s">
        <v>25</v>
      </c>
      <c r="F994" s="53" t="s">
        <v>25</v>
      </c>
      <c r="G994" s="53" t="s">
        <v>25</v>
      </c>
      <c r="H994" s="53" t="s">
        <v>36</v>
      </c>
      <c r="I994" s="75">
        <v>44531</v>
      </c>
      <c r="J994" s="76">
        <f>EFEITO!$J$994*EFEITO!$Y$994</f>
        <v>0</v>
      </c>
      <c r="K994" s="76">
        <f ca="1">EFEITO!$L$994*EFEITO!$Z$994</f>
        <v>811095.50786320423</v>
      </c>
      <c r="L994" s="76">
        <f>EFEITO!$N$994*EFEITO!$AA$994</f>
        <v>1870206.4130370063</v>
      </c>
      <c r="M994" s="76">
        <f>$J$994-EFEITO!$K$994*EFEITO!$Y$994</f>
        <v>0</v>
      </c>
      <c r="N994" s="76">
        <f ca="1">$K$994-EFEITO!$M$994*EFEITO!$Z$994</f>
        <v>0</v>
      </c>
      <c r="O994" s="76">
        <f>$L$994-EFEITO!$O$994*EFEITO!$AA$994</f>
        <v>0</v>
      </c>
      <c r="P994" s="57"/>
      <c r="Q994" s="57"/>
      <c r="R994" s="57"/>
      <c r="S994" s="57"/>
      <c r="T994" s="57"/>
      <c r="U994" s="57"/>
      <c r="V994" s="57"/>
      <c r="W994" s="57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</row>
    <row r="995" spans="1:36" ht="11.25" customHeight="1" x14ac:dyDescent="0.2">
      <c r="A995" s="53" t="s">
        <v>28</v>
      </c>
      <c r="B995" s="53" t="s">
        <v>33</v>
      </c>
      <c r="C995" s="53" t="s">
        <v>34</v>
      </c>
      <c r="D995" s="53" t="s">
        <v>46</v>
      </c>
      <c r="E995" s="53" t="s">
        <v>25</v>
      </c>
      <c r="F995" s="53" t="s">
        <v>25</v>
      </c>
      <c r="G995" s="53" t="s">
        <v>25</v>
      </c>
      <c r="H995" s="53" t="s">
        <v>36</v>
      </c>
      <c r="I995" s="75">
        <v>44531</v>
      </c>
      <c r="J995" s="76">
        <f>EFEITO!$J$995*EFEITO!$Y$995</f>
        <v>0</v>
      </c>
      <c r="K995" s="76">
        <f ca="1">EFEITO!$L$995*EFEITO!$Z$995</f>
        <v>18715.218729145727</v>
      </c>
      <c r="L995" s="76">
        <f>EFEITO!$N$995*EFEITO!$AA$995</f>
        <v>43153.145035716065</v>
      </c>
      <c r="M995" s="76">
        <f>$J$995-EFEITO!$K$995*EFEITO!$Y$995</f>
        <v>0</v>
      </c>
      <c r="N995" s="76">
        <f ca="1">$K$995-EFEITO!$M$995*EFEITO!$Z$995</f>
        <v>0</v>
      </c>
      <c r="O995" s="76">
        <f>$L$995-EFEITO!$O$995*EFEITO!$AA$995</f>
        <v>0</v>
      </c>
      <c r="P995" s="57"/>
      <c r="Q995" s="57"/>
      <c r="R995" s="57"/>
      <c r="S995" s="57"/>
      <c r="T995" s="57"/>
      <c r="U995" s="57"/>
      <c r="V995" s="57"/>
      <c r="W995" s="57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</row>
    <row r="996" spans="1:36" ht="11.25" customHeight="1" x14ac:dyDescent="0.2">
      <c r="A996" s="53" t="s">
        <v>21</v>
      </c>
      <c r="B996" s="53" t="s">
        <v>33</v>
      </c>
      <c r="C996" s="53" t="s">
        <v>34</v>
      </c>
      <c r="D996" s="53" t="s">
        <v>46</v>
      </c>
      <c r="E996" s="53" t="s">
        <v>25</v>
      </c>
      <c r="F996" s="53" t="s">
        <v>25</v>
      </c>
      <c r="G996" s="53" t="s">
        <v>25</v>
      </c>
      <c r="H996" s="53" t="s">
        <v>36</v>
      </c>
      <c r="I996" s="75">
        <v>44562</v>
      </c>
      <c r="J996" s="76">
        <f>EFEITO!$J$996*EFEITO!$Y$996</f>
        <v>0</v>
      </c>
      <c r="K996" s="76">
        <f ca="1">EFEITO!$L$996*EFEITO!$Z$996</f>
        <v>804993.11537821149</v>
      </c>
      <c r="L996" s="76">
        <f>EFEITO!$N$996*EFEITO!$AA$996</f>
        <v>1856135.6489288823</v>
      </c>
      <c r="M996" s="76">
        <f>$J$996-EFEITO!$K$996*EFEITO!$Y$996</f>
        <v>0</v>
      </c>
      <c r="N996" s="76">
        <f ca="1">$K$996-EFEITO!$M$996*EFEITO!$Z$996</f>
        <v>0</v>
      </c>
      <c r="O996" s="76">
        <f>$L$996-EFEITO!$O$996*EFEITO!$AA$996</f>
        <v>0</v>
      </c>
      <c r="P996" s="57"/>
      <c r="Q996" s="57"/>
      <c r="R996" s="57"/>
      <c r="S996" s="57"/>
      <c r="T996" s="57"/>
      <c r="U996" s="57"/>
      <c r="V996" s="57"/>
      <c r="W996" s="57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</row>
    <row r="997" spans="1:36" ht="11.25" customHeight="1" x14ac:dyDescent="0.2">
      <c r="A997" s="53" t="s">
        <v>28</v>
      </c>
      <c r="B997" s="53" t="s">
        <v>33</v>
      </c>
      <c r="C997" s="53" t="s">
        <v>34</v>
      </c>
      <c r="D997" s="53" t="s">
        <v>46</v>
      </c>
      <c r="E997" s="53" t="s">
        <v>25</v>
      </c>
      <c r="F997" s="53" t="s">
        <v>25</v>
      </c>
      <c r="G997" s="53" t="s">
        <v>25</v>
      </c>
      <c r="H997" s="53" t="s">
        <v>36</v>
      </c>
      <c r="I997" s="75">
        <v>44562</v>
      </c>
      <c r="J997" s="76">
        <f>EFEITO!$J$997*EFEITO!$Y$997</f>
        <v>0</v>
      </c>
      <c r="K997" s="76">
        <f ca="1">EFEITO!$L$997*EFEITO!$Z$997</f>
        <v>20072.926092701484</v>
      </c>
      <c r="L997" s="76">
        <f>EFEITO!$N$997*EFEITO!$AA$997</f>
        <v>46283.717198591105</v>
      </c>
      <c r="M997" s="76">
        <f>$J$997-EFEITO!$K$997*EFEITO!$Y$997</f>
        <v>0</v>
      </c>
      <c r="N997" s="76">
        <f ca="1">$K$997-EFEITO!$M$997*EFEITO!$Z$997</f>
        <v>0</v>
      </c>
      <c r="O997" s="76">
        <f>$L$997-EFEITO!$O$997*EFEITO!$AA$997</f>
        <v>0</v>
      </c>
      <c r="P997" s="57"/>
      <c r="Q997" s="57"/>
      <c r="R997" s="57"/>
      <c r="S997" s="57"/>
      <c r="T997" s="57"/>
      <c r="U997" s="57"/>
      <c r="V997" s="57"/>
      <c r="W997" s="57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</row>
    <row r="998" spans="1:36" ht="11.25" customHeight="1" x14ac:dyDescent="0.2">
      <c r="A998" s="53" t="s">
        <v>21</v>
      </c>
      <c r="B998" s="53" t="s">
        <v>33</v>
      </c>
      <c r="C998" s="53" t="s">
        <v>34</v>
      </c>
      <c r="D998" s="53" t="s">
        <v>46</v>
      </c>
      <c r="E998" s="53" t="s">
        <v>25</v>
      </c>
      <c r="F998" s="53" t="s">
        <v>25</v>
      </c>
      <c r="G998" s="53" t="s">
        <v>25</v>
      </c>
      <c r="H998" s="53" t="s">
        <v>36</v>
      </c>
      <c r="I998" s="75">
        <v>44593</v>
      </c>
      <c r="J998" s="76">
        <f>EFEITO!$J$998*EFEITO!$Y$998</f>
        <v>0</v>
      </c>
      <c r="K998" s="76">
        <f ca="1">EFEITO!$L$998*EFEITO!$Z$998</f>
        <v>802316.50572904677</v>
      </c>
      <c r="L998" s="76">
        <f>EFEITO!$N$998*EFEITO!$AA$998</f>
        <v>1849963.9805093983</v>
      </c>
      <c r="M998" s="76">
        <f>$J$998-EFEITO!$K$998*EFEITO!$Y$998</f>
        <v>0</v>
      </c>
      <c r="N998" s="76">
        <f ca="1">$K$998-EFEITO!$M$998*EFEITO!$Z$998</f>
        <v>0</v>
      </c>
      <c r="O998" s="76">
        <f>$L$998-EFEITO!$O$998*EFEITO!$AA$998</f>
        <v>0</v>
      </c>
      <c r="P998" s="57"/>
      <c r="Q998" s="57"/>
      <c r="R998" s="57"/>
      <c r="S998" s="57"/>
      <c r="T998" s="57"/>
      <c r="U998" s="57"/>
      <c r="V998" s="57"/>
      <c r="W998" s="57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spans="1:36" ht="11.25" customHeight="1" x14ac:dyDescent="0.2">
      <c r="A999" s="53" t="s">
        <v>28</v>
      </c>
      <c r="B999" s="53" t="s">
        <v>33</v>
      </c>
      <c r="C999" s="53" t="s">
        <v>34</v>
      </c>
      <c r="D999" s="53" t="s">
        <v>46</v>
      </c>
      <c r="E999" s="53" t="s">
        <v>25</v>
      </c>
      <c r="F999" s="53" t="s">
        <v>25</v>
      </c>
      <c r="G999" s="53" t="s">
        <v>25</v>
      </c>
      <c r="H999" s="53" t="s">
        <v>36</v>
      </c>
      <c r="I999" s="75">
        <v>44593</v>
      </c>
      <c r="J999" s="76">
        <f>EFEITO!$J$999*EFEITO!$Y$999</f>
        <v>0</v>
      </c>
      <c r="K999" s="76">
        <f ca="1">EFEITO!$L$999*EFEITO!$Z$999</f>
        <v>21434.513964051919</v>
      </c>
      <c r="L999" s="76">
        <f>EFEITO!$N$999*EFEITO!$AA$999</f>
        <v>49423.23695209276</v>
      </c>
      <c r="M999" s="76">
        <f>$J$999-EFEITO!$K$999*EFEITO!$Y$999</f>
        <v>0</v>
      </c>
      <c r="N999" s="76">
        <f ca="1">$K$999-EFEITO!$M$999*EFEITO!$Z$999</f>
        <v>0</v>
      </c>
      <c r="O999" s="76">
        <f>$L$999-EFEITO!$O$999*EFEITO!$AA$999</f>
        <v>0</v>
      </c>
      <c r="P999" s="57"/>
      <c r="Q999" s="57"/>
      <c r="R999" s="57"/>
      <c r="S999" s="57"/>
      <c r="T999" s="57"/>
      <c r="U999" s="57"/>
      <c r="V999" s="57"/>
      <c r="W999" s="57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</row>
    <row r="1000" spans="1:36" ht="11.25" customHeight="1" x14ac:dyDescent="0.2">
      <c r="A1000" s="53" t="s">
        <v>21</v>
      </c>
      <c r="B1000" s="53" t="s">
        <v>33</v>
      </c>
      <c r="C1000" s="53" t="s">
        <v>34</v>
      </c>
      <c r="D1000" s="53" t="s">
        <v>46</v>
      </c>
      <c r="E1000" s="53" t="s">
        <v>25</v>
      </c>
      <c r="F1000" s="53" t="s">
        <v>25</v>
      </c>
      <c r="G1000" s="53" t="s">
        <v>25</v>
      </c>
      <c r="H1000" s="53" t="s">
        <v>36</v>
      </c>
      <c r="I1000" s="75">
        <v>44621</v>
      </c>
      <c r="J1000" s="76">
        <f>EFEITO!$J$1000*EFEITO!$Y$1000</f>
        <v>0</v>
      </c>
      <c r="K1000" s="76">
        <f ca="1">EFEITO!$L$1000*EFEITO!$Z$1000</f>
        <v>881319.05837400293</v>
      </c>
      <c r="L1000" s="76">
        <f>EFEITO!$N$1000*EFEITO!$AA$1000</f>
        <v>2032126.3512419579</v>
      </c>
      <c r="M1000" s="76">
        <f>$J$1000-EFEITO!$K$1000*EFEITO!$Y$1000</f>
        <v>0</v>
      </c>
      <c r="N1000" s="76">
        <f ca="1">$K$1000-EFEITO!$M$1000*EFEITO!$Z$1000</f>
        <v>0</v>
      </c>
      <c r="O1000" s="76">
        <f>$L$1000-EFEITO!$O$1000*EFEITO!$AA$1000</f>
        <v>0</v>
      </c>
      <c r="P1000" s="57"/>
      <c r="Q1000" s="57"/>
      <c r="R1000" s="57"/>
      <c r="S1000" s="57"/>
      <c r="T1000" s="57"/>
      <c r="U1000" s="57"/>
      <c r="V1000" s="57"/>
      <c r="W1000" s="57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</row>
    <row r="1001" spans="1:36" ht="11.25" customHeight="1" x14ac:dyDescent="0.2">
      <c r="A1001" s="53" t="s">
        <v>28</v>
      </c>
      <c r="B1001" s="53" t="s">
        <v>33</v>
      </c>
      <c r="C1001" s="53" t="s">
        <v>34</v>
      </c>
      <c r="D1001" s="53" t="s">
        <v>46</v>
      </c>
      <c r="E1001" s="53" t="s">
        <v>25</v>
      </c>
      <c r="F1001" s="53" t="s">
        <v>25</v>
      </c>
      <c r="G1001" s="53" t="s">
        <v>25</v>
      </c>
      <c r="H1001" s="53" t="s">
        <v>36</v>
      </c>
      <c r="I1001" s="75">
        <v>44621</v>
      </c>
      <c r="J1001" s="76">
        <f>EFEITO!$J$1001*EFEITO!$Y$1001</f>
        <v>0</v>
      </c>
      <c r="K1001" s="76">
        <f ca="1">EFEITO!$L$1001*EFEITO!$Z$1001</f>
        <v>27174.372948105585</v>
      </c>
      <c r="L1001" s="76">
        <f>EFEITO!$N$1001*EFEITO!$AA$1001</f>
        <v>62658.079184403236</v>
      </c>
      <c r="M1001" s="76">
        <f>$J$1001-EFEITO!$K$1001*EFEITO!$Y$1001</f>
        <v>0</v>
      </c>
      <c r="N1001" s="76">
        <f ca="1">$K$1001-EFEITO!$M$1001*EFEITO!$Z$1001</f>
        <v>0</v>
      </c>
      <c r="O1001" s="76">
        <f>$L$1001-EFEITO!$O$1001*EFEITO!$AA$1001</f>
        <v>0</v>
      </c>
      <c r="P1001" s="57"/>
      <c r="Q1001" s="57"/>
      <c r="R1001" s="57"/>
      <c r="S1001" s="57"/>
      <c r="T1001" s="57"/>
      <c r="U1001" s="57"/>
      <c r="V1001" s="57"/>
      <c r="W1001" s="57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</row>
    <row r="1002" spans="1:36" ht="11.25" customHeight="1" x14ac:dyDescent="0.2">
      <c r="A1002" s="53" t="s">
        <v>56</v>
      </c>
      <c r="B1002" s="53" t="s">
        <v>33</v>
      </c>
      <c r="C1002" s="53" t="s">
        <v>34</v>
      </c>
      <c r="D1002" s="53" t="s">
        <v>46</v>
      </c>
      <c r="E1002" s="53" t="s">
        <v>25</v>
      </c>
      <c r="F1002" s="53" t="s">
        <v>25</v>
      </c>
      <c r="G1002" s="53" t="s">
        <v>25</v>
      </c>
      <c r="H1002" s="53" t="s">
        <v>36</v>
      </c>
      <c r="I1002" s="75">
        <v>44652</v>
      </c>
      <c r="J1002" s="76">
        <f>EFEITO!$J$1002*EFEITO!$Y$1002</f>
        <v>0</v>
      </c>
      <c r="K1002" s="76">
        <f ca="1">EFEITO!$L$1002*EFEITO!$Z$1002</f>
        <v>881319.05837400293</v>
      </c>
      <c r="L1002" s="76">
        <f>EFEITO!$N$1002*EFEITO!$AA$1002</f>
        <v>2032126.3512419579</v>
      </c>
      <c r="M1002" s="76">
        <f>$J$1002-EFEITO!$K$1002*EFEITO!$Y$1002</f>
        <v>0</v>
      </c>
      <c r="N1002" s="76">
        <f ca="1">$K$1002-EFEITO!$M$1002*EFEITO!$Z$1002</f>
        <v>0</v>
      </c>
      <c r="O1002" s="76">
        <f>$L$1002-EFEITO!$O$1002*EFEITO!$AA$1002</f>
        <v>0</v>
      </c>
      <c r="P1002" s="57"/>
      <c r="Q1002" s="57"/>
      <c r="R1002" s="57"/>
      <c r="S1002" s="57"/>
      <c r="T1002" s="57"/>
      <c r="U1002" s="57"/>
      <c r="V1002" s="57"/>
      <c r="W1002" s="57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</row>
    <row r="1003" spans="1:36" ht="11.25" customHeight="1" x14ac:dyDescent="0.2">
      <c r="A1003" s="53" t="s">
        <v>56</v>
      </c>
      <c r="B1003" s="53" t="s">
        <v>33</v>
      </c>
      <c r="C1003" s="53" t="s">
        <v>34</v>
      </c>
      <c r="D1003" s="53" t="s">
        <v>46</v>
      </c>
      <c r="E1003" s="53" t="s">
        <v>25</v>
      </c>
      <c r="F1003" s="53" t="s">
        <v>25</v>
      </c>
      <c r="G1003" s="53" t="s">
        <v>25</v>
      </c>
      <c r="H1003" s="53" t="s">
        <v>36</v>
      </c>
      <c r="I1003" s="75">
        <v>44652</v>
      </c>
      <c r="J1003" s="76">
        <f>EFEITO!$J$1003*EFEITO!$Y$1003</f>
        <v>0</v>
      </c>
      <c r="K1003" s="76">
        <f ca="1">EFEITO!$L$1003*EFEITO!$Z$1003</f>
        <v>27174.372948105585</v>
      </c>
      <c r="L1003" s="76">
        <f>EFEITO!$N$1003*EFEITO!$AA$1003</f>
        <v>62658.079184403236</v>
      </c>
      <c r="M1003" s="76">
        <f>$J$1003-EFEITO!$K$1003*EFEITO!$Y$1003</f>
        <v>0</v>
      </c>
      <c r="N1003" s="76">
        <f ca="1">$K$1003-EFEITO!$M$1003*EFEITO!$Z$1003</f>
        <v>0</v>
      </c>
      <c r="O1003" s="76">
        <f>$L$1003-EFEITO!$O$1003*EFEITO!$AA$1003</f>
        <v>0</v>
      </c>
      <c r="P1003" s="57"/>
      <c r="Q1003" s="57"/>
      <c r="R1003" s="57"/>
      <c r="S1003" s="57"/>
      <c r="T1003" s="57"/>
      <c r="U1003" s="57"/>
      <c r="V1003" s="57"/>
      <c r="W1003" s="57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</row>
    <row r="1004" spans="1:36" ht="11.25" customHeight="1" x14ac:dyDescent="0.2">
      <c r="A1004" s="53" t="s">
        <v>21</v>
      </c>
      <c r="B1004" s="53" t="s">
        <v>33</v>
      </c>
      <c r="C1004" s="53" t="s">
        <v>34</v>
      </c>
      <c r="D1004" s="53" t="s">
        <v>46</v>
      </c>
      <c r="E1004" s="53" t="s">
        <v>25</v>
      </c>
      <c r="F1004" s="53" t="s">
        <v>25</v>
      </c>
      <c r="G1004" s="53" t="s">
        <v>25</v>
      </c>
      <c r="H1004" s="53" t="s">
        <v>25</v>
      </c>
      <c r="I1004" s="75">
        <v>44317</v>
      </c>
      <c r="J1004" s="76">
        <f ca="1">EFEITO!$J$1004*EFEITO!$Y$1004</f>
        <v>1025926.288780471</v>
      </c>
      <c r="K1004" s="76">
        <f>EFEITO!$L$1004*EFEITO!$Z$1004</f>
        <v>0</v>
      </c>
      <c r="L1004" s="76">
        <f>EFEITO!$N$1004*EFEITO!$AA$1004</f>
        <v>0</v>
      </c>
      <c r="M1004" s="76">
        <f ca="1">$J$1004-EFEITO!$K$1004*EFEITO!$Y$1004</f>
        <v>0</v>
      </c>
      <c r="N1004" s="76">
        <f>$K$1004-EFEITO!$M$1004*EFEITO!$Z$1004</f>
        <v>0</v>
      </c>
      <c r="O1004" s="76">
        <f>$L$1004-EFEITO!$O$1004*EFEITO!$AA$1004</f>
        <v>0</v>
      </c>
      <c r="P1004" s="57"/>
      <c r="Q1004" s="57"/>
      <c r="R1004" s="57"/>
      <c r="S1004" s="57"/>
      <c r="T1004" s="57"/>
      <c r="U1004" s="57"/>
      <c r="V1004" s="57"/>
      <c r="W1004" s="57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</row>
    <row r="1005" spans="1:36" ht="11.25" customHeight="1" x14ac:dyDescent="0.2">
      <c r="A1005" s="53" t="s">
        <v>27</v>
      </c>
      <c r="B1005" s="53" t="s">
        <v>33</v>
      </c>
      <c r="C1005" s="53" t="s">
        <v>34</v>
      </c>
      <c r="D1005" s="53" t="s">
        <v>46</v>
      </c>
      <c r="E1005" s="53" t="s">
        <v>25</v>
      </c>
      <c r="F1005" s="53" t="s">
        <v>25</v>
      </c>
      <c r="G1005" s="53" t="s">
        <v>25</v>
      </c>
      <c r="H1005" s="53" t="s">
        <v>25</v>
      </c>
      <c r="I1005" s="75">
        <v>44317</v>
      </c>
      <c r="J1005" s="76">
        <f ca="1">EFEITO!$J$1005*EFEITO!$Y$1005</f>
        <v>1480.1639292766552</v>
      </c>
      <c r="K1005" s="76">
        <f>EFEITO!$L$1005*EFEITO!$Z$1005</f>
        <v>0</v>
      </c>
      <c r="L1005" s="76">
        <f>EFEITO!$N$1005*EFEITO!$AA$1005</f>
        <v>0</v>
      </c>
      <c r="M1005" s="76">
        <f ca="1">$J$1005-EFEITO!$K$1005*EFEITO!$Y$1005</f>
        <v>0</v>
      </c>
      <c r="N1005" s="76">
        <f>$K$1005-EFEITO!$M$1005*EFEITO!$Z$1005</f>
        <v>0</v>
      </c>
      <c r="O1005" s="76">
        <f>$L$1005-EFEITO!$O$1005*EFEITO!$AA$1005</f>
        <v>0</v>
      </c>
      <c r="P1005" s="57"/>
      <c r="Q1005" s="57"/>
      <c r="R1005" s="57"/>
      <c r="S1005" s="57"/>
      <c r="T1005" s="57"/>
      <c r="U1005" s="57"/>
      <c r="V1005" s="57"/>
      <c r="W1005" s="57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</row>
    <row r="1006" spans="1:36" ht="11.25" customHeight="1" x14ac:dyDescent="0.2">
      <c r="A1006" s="53" t="s">
        <v>28</v>
      </c>
      <c r="B1006" s="53" t="s">
        <v>33</v>
      </c>
      <c r="C1006" s="53" t="s">
        <v>34</v>
      </c>
      <c r="D1006" s="53" t="s">
        <v>46</v>
      </c>
      <c r="E1006" s="53" t="s">
        <v>25</v>
      </c>
      <c r="F1006" s="53" t="s">
        <v>25</v>
      </c>
      <c r="G1006" s="53" t="s">
        <v>25</v>
      </c>
      <c r="H1006" s="53" t="s">
        <v>25</v>
      </c>
      <c r="I1006" s="75">
        <v>44317</v>
      </c>
      <c r="J1006" s="76">
        <f ca="1">EFEITO!$J$1006*EFEITO!$Y$1006</f>
        <v>53927.305823312803</v>
      </c>
      <c r="K1006" s="76">
        <f>EFEITO!$L$1006*EFEITO!$Z$1006</f>
        <v>0</v>
      </c>
      <c r="L1006" s="76">
        <f>EFEITO!$N$1006*EFEITO!$AA$1006</f>
        <v>0</v>
      </c>
      <c r="M1006" s="76">
        <f ca="1">$J$1006-EFEITO!$K$1006*EFEITO!$Y$1006</f>
        <v>0</v>
      </c>
      <c r="N1006" s="76">
        <f>$K$1006-EFEITO!$M$1006*EFEITO!$Z$1006</f>
        <v>0</v>
      </c>
      <c r="O1006" s="76">
        <f>$L$1006-EFEITO!$O$1006*EFEITO!$AA$1006</f>
        <v>0</v>
      </c>
      <c r="P1006" s="57"/>
      <c r="Q1006" s="57"/>
      <c r="R1006" s="57"/>
      <c r="S1006" s="57"/>
      <c r="T1006" s="57"/>
      <c r="U1006" s="57"/>
      <c r="V1006" s="57"/>
      <c r="W1006" s="57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</row>
    <row r="1007" spans="1:36" ht="11.25" customHeight="1" x14ac:dyDescent="0.2">
      <c r="A1007" s="53" t="s">
        <v>21</v>
      </c>
      <c r="B1007" s="53" t="s">
        <v>33</v>
      </c>
      <c r="C1007" s="53" t="s">
        <v>34</v>
      </c>
      <c r="D1007" s="53" t="s">
        <v>46</v>
      </c>
      <c r="E1007" s="53" t="s">
        <v>25</v>
      </c>
      <c r="F1007" s="53" t="s">
        <v>25</v>
      </c>
      <c r="G1007" s="53" t="s">
        <v>25</v>
      </c>
      <c r="H1007" s="53" t="s">
        <v>25</v>
      </c>
      <c r="I1007" s="75">
        <v>44348</v>
      </c>
      <c r="J1007" s="76">
        <f ca="1">EFEITO!$J$1007*EFEITO!$Y$1007</f>
        <v>1023706.042886556</v>
      </c>
      <c r="K1007" s="76">
        <f>EFEITO!$L$1007*EFEITO!$Z$1007</f>
        <v>0</v>
      </c>
      <c r="L1007" s="76">
        <f>EFEITO!$N$1007*EFEITO!$AA$1007</f>
        <v>0</v>
      </c>
      <c r="M1007" s="76">
        <f ca="1">$J$1007-EFEITO!$K$1007*EFEITO!$Y$1007</f>
        <v>0</v>
      </c>
      <c r="N1007" s="76">
        <f>$K$1007-EFEITO!$M$1007*EFEITO!$Z$1007</f>
        <v>0</v>
      </c>
      <c r="O1007" s="76">
        <f>$L$1007-EFEITO!$O$1007*EFEITO!$AA$1007</f>
        <v>0</v>
      </c>
      <c r="P1007" s="57"/>
      <c r="Q1007" s="57"/>
      <c r="R1007" s="57"/>
      <c r="S1007" s="57"/>
      <c r="T1007" s="57"/>
      <c r="U1007" s="57"/>
      <c r="V1007" s="57"/>
      <c r="W1007" s="57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</row>
    <row r="1008" spans="1:36" ht="11.25" customHeight="1" x14ac:dyDescent="0.2">
      <c r="A1008" s="53" t="s">
        <v>28</v>
      </c>
      <c r="B1008" s="53" t="s">
        <v>33</v>
      </c>
      <c r="C1008" s="53" t="s">
        <v>34</v>
      </c>
      <c r="D1008" s="53" t="s">
        <v>46</v>
      </c>
      <c r="E1008" s="53" t="s">
        <v>25</v>
      </c>
      <c r="F1008" s="53" t="s">
        <v>25</v>
      </c>
      <c r="G1008" s="53" t="s">
        <v>25</v>
      </c>
      <c r="H1008" s="53" t="s">
        <v>25</v>
      </c>
      <c r="I1008" s="75">
        <v>44348</v>
      </c>
      <c r="J1008" s="76">
        <f ca="1">EFEITO!$J$1008*EFEITO!$Y$1008</f>
        <v>53927.305823312803</v>
      </c>
      <c r="K1008" s="76">
        <f>EFEITO!$L$1008*EFEITO!$Z$1008</f>
        <v>0</v>
      </c>
      <c r="L1008" s="76">
        <f>EFEITO!$N$1008*EFEITO!$AA$1008</f>
        <v>0</v>
      </c>
      <c r="M1008" s="76">
        <f ca="1">$J$1008-EFEITO!$K$1008*EFEITO!$Y$1008</f>
        <v>0</v>
      </c>
      <c r="N1008" s="76">
        <f>$K$1008-EFEITO!$M$1008*EFEITO!$Z$1008</f>
        <v>0</v>
      </c>
      <c r="O1008" s="76">
        <f>$L$1008-EFEITO!$O$1008*EFEITO!$AA$1008</f>
        <v>0</v>
      </c>
      <c r="P1008" s="57"/>
      <c r="Q1008" s="57"/>
      <c r="R1008" s="57"/>
      <c r="S1008" s="57"/>
      <c r="T1008" s="57"/>
      <c r="U1008" s="57"/>
      <c r="V1008" s="57"/>
      <c r="W1008" s="57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</row>
    <row r="1009" spans="1:36" ht="11.25" customHeight="1" x14ac:dyDescent="0.2">
      <c r="A1009" s="53" t="s">
        <v>21</v>
      </c>
      <c r="B1009" s="53" t="s">
        <v>33</v>
      </c>
      <c r="C1009" s="53" t="s">
        <v>34</v>
      </c>
      <c r="D1009" s="53" t="s">
        <v>46</v>
      </c>
      <c r="E1009" s="53" t="s">
        <v>25</v>
      </c>
      <c r="F1009" s="53" t="s">
        <v>25</v>
      </c>
      <c r="G1009" s="53" t="s">
        <v>25</v>
      </c>
      <c r="H1009" s="53" t="s">
        <v>25</v>
      </c>
      <c r="I1009" s="75">
        <v>44378</v>
      </c>
      <c r="J1009" s="76">
        <f ca="1">EFEITO!$J$1009*EFEITO!$Y$1009</f>
        <v>1038507.6821793225</v>
      </c>
      <c r="K1009" s="76">
        <f>EFEITO!$L$1009*EFEITO!$Z$1009</f>
        <v>0</v>
      </c>
      <c r="L1009" s="76">
        <f>EFEITO!$N$1009*EFEITO!$AA$1009</f>
        <v>0</v>
      </c>
      <c r="M1009" s="76">
        <f ca="1">$J$1009-EFEITO!$K$1009*EFEITO!$Y$1009</f>
        <v>0</v>
      </c>
      <c r="N1009" s="76">
        <f>$K$1009-EFEITO!$M$1009*EFEITO!$Z$1009</f>
        <v>0</v>
      </c>
      <c r="O1009" s="76">
        <f>$L$1009-EFEITO!$O$1009*EFEITO!$AA$1009</f>
        <v>0</v>
      </c>
      <c r="P1009" s="57"/>
      <c r="Q1009" s="57"/>
      <c r="R1009" s="57"/>
      <c r="S1009" s="57"/>
      <c r="T1009" s="57"/>
      <c r="U1009" s="57"/>
      <c r="V1009" s="57"/>
      <c r="W1009" s="57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</row>
    <row r="1010" spans="1:36" ht="11.25" customHeight="1" x14ac:dyDescent="0.2">
      <c r="A1010" s="53" t="s">
        <v>27</v>
      </c>
      <c r="B1010" s="53" t="s">
        <v>33</v>
      </c>
      <c r="C1010" s="53" t="s">
        <v>34</v>
      </c>
      <c r="D1010" s="53" t="s">
        <v>46</v>
      </c>
      <c r="E1010" s="53" t="s">
        <v>25</v>
      </c>
      <c r="F1010" s="53" t="s">
        <v>25</v>
      </c>
      <c r="G1010" s="53" t="s">
        <v>25</v>
      </c>
      <c r="H1010" s="53" t="s">
        <v>25</v>
      </c>
      <c r="I1010" s="75">
        <v>44378</v>
      </c>
      <c r="J1010" s="76">
        <f ca="1">EFEITO!$J$1010*EFEITO!$Y$1010</f>
        <v>5550.6147347874567</v>
      </c>
      <c r="K1010" s="76">
        <f>EFEITO!$L$1010*EFEITO!$Z$1010</f>
        <v>0</v>
      </c>
      <c r="L1010" s="76">
        <f>EFEITO!$N$1010*EFEITO!$AA$1010</f>
        <v>0</v>
      </c>
      <c r="M1010" s="76">
        <f ca="1">$J$1010-EFEITO!$K$1010*EFEITO!$Y$1010</f>
        <v>0</v>
      </c>
      <c r="N1010" s="76">
        <f>$K$1010-EFEITO!$M$1010*EFEITO!$Z$1010</f>
        <v>0</v>
      </c>
      <c r="O1010" s="76">
        <f>$L$1010-EFEITO!$O$1010*EFEITO!$AA$1010</f>
        <v>0</v>
      </c>
      <c r="P1010" s="57"/>
      <c r="Q1010" s="57"/>
      <c r="R1010" s="57"/>
      <c r="S1010" s="57"/>
      <c r="T1010" s="57"/>
      <c r="U1010" s="57"/>
      <c r="V1010" s="57"/>
      <c r="W1010" s="57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</row>
    <row r="1011" spans="1:36" ht="11.25" customHeight="1" x14ac:dyDescent="0.2">
      <c r="A1011" s="53" t="s">
        <v>28</v>
      </c>
      <c r="B1011" s="53" t="s">
        <v>33</v>
      </c>
      <c r="C1011" s="53" t="s">
        <v>34</v>
      </c>
      <c r="D1011" s="53" t="s">
        <v>46</v>
      </c>
      <c r="E1011" s="53" t="s">
        <v>25</v>
      </c>
      <c r="F1011" s="53" t="s">
        <v>25</v>
      </c>
      <c r="G1011" s="53" t="s">
        <v>25</v>
      </c>
      <c r="H1011" s="53" t="s">
        <v>25</v>
      </c>
      <c r="I1011" s="75">
        <v>44378</v>
      </c>
      <c r="J1011" s="76">
        <f ca="1">EFEITO!$J$1011*EFEITO!$Y$1011</f>
        <v>53927.305823312803</v>
      </c>
      <c r="K1011" s="76">
        <f>EFEITO!$L$1011*EFEITO!$Z$1011</f>
        <v>0</v>
      </c>
      <c r="L1011" s="76">
        <f>EFEITO!$N$1011*EFEITO!$AA$1011</f>
        <v>0</v>
      </c>
      <c r="M1011" s="76">
        <f ca="1">$J$1011-EFEITO!$K$1011*EFEITO!$Y$1011</f>
        <v>0</v>
      </c>
      <c r="N1011" s="76">
        <f>$K$1011-EFEITO!$M$1011*EFEITO!$Z$1011</f>
        <v>0</v>
      </c>
      <c r="O1011" s="76">
        <f>$L$1011-EFEITO!$O$1011*EFEITO!$AA$1011</f>
        <v>0</v>
      </c>
      <c r="P1011" s="57"/>
      <c r="Q1011" s="57"/>
      <c r="R1011" s="57"/>
      <c r="S1011" s="57"/>
      <c r="T1011" s="57"/>
      <c r="U1011" s="57"/>
      <c r="V1011" s="57"/>
      <c r="W1011" s="57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</row>
    <row r="1012" spans="1:36" ht="11.25" customHeight="1" x14ac:dyDescent="0.2">
      <c r="A1012" s="53" t="s">
        <v>21</v>
      </c>
      <c r="B1012" s="53" t="s">
        <v>33</v>
      </c>
      <c r="C1012" s="53" t="s">
        <v>34</v>
      </c>
      <c r="D1012" s="53" t="s">
        <v>46</v>
      </c>
      <c r="E1012" s="53" t="s">
        <v>25</v>
      </c>
      <c r="F1012" s="53" t="s">
        <v>25</v>
      </c>
      <c r="G1012" s="53" t="s">
        <v>25</v>
      </c>
      <c r="H1012" s="53" t="s">
        <v>25</v>
      </c>
      <c r="I1012" s="75">
        <v>44409</v>
      </c>
      <c r="J1012" s="76">
        <f ca="1">EFEITO!$J$1012*EFEITO!$Y$1012</f>
        <v>1033253.1002303904</v>
      </c>
      <c r="K1012" s="76">
        <f>EFEITO!$L$1012*EFEITO!$Z$1012</f>
        <v>0</v>
      </c>
      <c r="L1012" s="76">
        <f>EFEITO!$N$1012*EFEITO!$AA$1012</f>
        <v>0</v>
      </c>
      <c r="M1012" s="76">
        <f ca="1">$J$1012-EFEITO!$K$1012*EFEITO!$Y$1012</f>
        <v>0</v>
      </c>
      <c r="N1012" s="76">
        <f>$K$1012-EFEITO!$M$1012*EFEITO!$Z$1012</f>
        <v>0</v>
      </c>
      <c r="O1012" s="76">
        <f>$L$1012-EFEITO!$O$1012*EFEITO!$AA$1012</f>
        <v>0</v>
      </c>
      <c r="P1012" s="57"/>
      <c r="Q1012" s="57"/>
      <c r="R1012" s="57"/>
      <c r="S1012" s="57"/>
      <c r="T1012" s="57"/>
      <c r="U1012" s="57"/>
      <c r="V1012" s="57"/>
      <c r="W1012" s="57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</row>
    <row r="1013" spans="1:36" ht="11.25" customHeight="1" x14ac:dyDescent="0.2">
      <c r="A1013" s="53" t="s">
        <v>28</v>
      </c>
      <c r="B1013" s="53" t="s">
        <v>33</v>
      </c>
      <c r="C1013" s="53" t="s">
        <v>34</v>
      </c>
      <c r="D1013" s="53" t="s">
        <v>46</v>
      </c>
      <c r="E1013" s="53" t="s">
        <v>25</v>
      </c>
      <c r="F1013" s="53" t="s">
        <v>25</v>
      </c>
      <c r="G1013" s="53" t="s">
        <v>25</v>
      </c>
      <c r="H1013" s="53" t="s">
        <v>25</v>
      </c>
      <c r="I1013" s="75">
        <v>44409</v>
      </c>
      <c r="J1013" s="76">
        <f ca="1">EFEITO!$J$1013*EFEITO!$Y$1013</f>
        <v>61081.431481483305</v>
      </c>
      <c r="K1013" s="76">
        <f>EFEITO!$L$1013*EFEITO!$Z$1013</f>
        <v>0</v>
      </c>
      <c r="L1013" s="76">
        <f>EFEITO!$N$1013*EFEITO!$AA$1013</f>
        <v>0</v>
      </c>
      <c r="M1013" s="76">
        <f ca="1">$J$1013-EFEITO!$K$1013*EFEITO!$Y$1013</f>
        <v>0</v>
      </c>
      <c r="N1013" s="76">
        <f>$K$1013-EFEITO!$M$1013*EFEITO!$Z$1013</f>
        <v>0</v>
      </c>
      <c r="O1013" s="76">
        <f>$L$1013-EFEITO!$O$1013*EFEITO!$AA$1013</f>
        <v>0</v>
      </c>
      <c r="P1013" s="57"/>
      <c r="Q1013" s="57"/>
      <c r="R1013" s="57"/>
      <c r="S1013" s="57"/>
      <c r="T1013" s="57"/>
      <c r="U1013" s="57"/>
      <c r="V1013" s="57"/>
      <c r="W1013" s="57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</row>
    <row r="1014" spans="1:36" ht="11.25" customHeight="1" x14ac:dyDescent="0.2">
      <c r="A1014" s="53" t="s">
        <v>21</v>
      </c>
      <c r="B1014" s="53" t="s">
        <v>33</v>
      </c>
      <c r="C1014" s="53" t="s">
        <v>34</v>
      </c>
      <c r="D1014" s="53" t="s">
        <v>46</v>
      </c>
      <c r="E1014" s="53" t="s">
        <v>25</v>
      </c>
      <c r="F1014" s="53" t="s">
        <v>25</v>
      </c>
      <c r="G1014" s="53" t="s">
        <v>25</v>
      </c>
      <c r="H1014" s="53" t="s">
        <v>25</v>
      </c>
      <c r="I1014" s="75">
        <v>44440</v>
      </c>
      <c r="J1014" s="76">
        <f ca="1">EFEITO!$J$1014*EFEITO!$Y$1014</f>
        <v>1042405.4471930844</v>
      </c>
      <c r="K1014" s="76">
        <f>EFEITO!$L$1014*EFEITO!$Z$1014</f>
        <v>0</v>
      </c>
      <c r="L1014" s="76">
        <f>EFEITO!$N$1014*EFEITO!$AA$1014</f>
        <v>0</v>
      </c>
      <c r="M1014" s="76">
        <f ca="1">$J$1014-EFEITO!$K$1014*EFEITO!$Y$1014</f>
        <v>0</v>
      </c>
      <c r="N1014" s="76">
        <f>$K$1014-EFEITO!$M$1014*EFEITO!$Z$1014</f>
        <v>0</v>
      </c>
      <c r="O1014" s="76">
        <f>$L$1014-EFEITO!$O$1014*EFEITO!$AA$1014</f>
        <v>0</v>
      </c>
      <c r="P1014" s="57"/>
      <c r="Q1014" s="57"/>
      <c r="R1014" s="57"/>
      <c r="S1014" s="57"/>
      <c r="T1014" s="57"/>
      <c r="U1014" s="57"/>
      <c r="V1014" s="57"/>
      <c r="W1014" s="57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</row>
    <row r="1015" spans="1:36" ht="11.25" customHeight="1" x14ac:dyDescent="0.2">
      <c r="A1015" s="53" t="s">
        <v>28</v>
      </c>
      <c r="B1015" s="53" t="s">
        <v>33</v>
      </c>
      <c r="C1015" s="53" t="s">
        <v>34</v>
      </c>
      <c r="D1015" s="53" t="s">
        <v>46</v>
      </c>
      <c r="E1015" s="53" t="s">
        <v>25</v>
      </c>
      <c r="F1015" s="53" t="s">
        <v>25</v>
      </c>
      <c r="G1015" s="53" t="s">
        <v>25</v>
      </c>
      <c r="H1015" s="53" t="s">
        <v>25</v>
      </c>
      <c r="I1015" s="75">
        <v>44440</v>
      </c>
      <c r="J1015" s="76">
        <f ca="1">EFEITO!$J$1015*EFEITO!$Y$1015</f>
        <v>61081.431481483305</v>
      </c>
      <c r="K1015" s="76">
        <f>EFEITO!$L$1015*EFEITO!$Z$1015</f>
        <v>0</v>
      </c>
      <c r="L1015" s="76">
        <f>EFEITO!$N$1015*EFEITO!$AA$1015</f>
        <v>0</v>
      </c>
      <c r="M1015" s="76">
        <f ca="1">$J$1015-EFEITO!$K$1015*EFEITO!$Y$1015</f>
        <v>0</v>
      </c>
      <c r="N1015" s="76">
        <f>$K$1015-EFEITO!$M$1015*EFEITO!$Z$1015</f>
        <v>0</v>
      </c>
      <c r="O1015" s="76">
        <f>$L$1015-EFEITO!$O$1015*EFEITO!$AA$1015</f>
        <v>0</v>
      </c>
      <c r="P1015" s="57"/>
      <c r="Q1015" s="57"/>
      <c r="R1015" s="57"/>
      <c r="S1015" s="57"/>
      <c r="T1015" s="57"/>
      <c r="U1015" s="57"/>
      <c r="V1015" s="57"/>
      <c r="W1015" s="57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</row>
    <row r="1016" spans="1:36" ht="11.25" customHeight="1" x14ac:dyDescent="0.2">
      <c r="A1016" s="53" t="s">
        <v>21</v>
      </c>
      <c r="B1016" s="53" t="s">
        <v>33</v>
      </c>
      <c r="C1016" s="53" t="s">
        <v>34</v>
      </c>
      <c r="D1016" s="53" t="s">
        <v>46</v>
      </c>
      <c r="E1016" s="53" t="s">
        <v>25</v>
      </c>
      <c r="F1016" s="53" t="s">
        <v>25</v>
      </c>
      <c r="G1016" s="53" t="s">
        <v>25</v>
      </c>
      <c r="H1016" s="53" t="s">
        <v>25</v>
      </c>
      <c r="I1016" s="75">
        <v>44470</v>
      </c>
      <c r="J1016" s="76">
        <f ca="1">EFEITO!$J$1016*EFEITO!$Y$1016</f>
        <v>1043737.5947294334</v>
      </c>
      <c r="K1016" s="76">
        <f>EFEITO!$L$1016*EFEITO!$Z$1016</f>
        <v>0</v>
      </c>
      <c r="L1016" s="76">
        <f>EFEITO!$N$1016*EFEITO!$AA$1016</f>
        <v>0</v>
      </c>
      <c r="M1016" s="76">
        <f ca="1">$J$1016-EFEITO!$K$1016*EFEITO!$Y$1016</f>
        <v>0</v>
      </c>
      <c r="N1016" s="76">
        <f>$K$1016-EFEITO!$M$1016*EFEITO!$Z$1016</f>
        <v>0</v>
      </c>
      <c r="O1016" s="76">
        <f>$L$1016-EFEITO!$O$1016*EFEITO!$AA$1016</f>
        <v>0</v>
      </c>
      <c r="P1016" s="57"/>
      <c r="Q1016" s="57"/>
      <c r="R1016" s="57"/>
      <c r="S1016" s="57"/>
      <c r="T1016" s="57"/>
      <c r="U1016" s="57"/>
      <c r="V1016" s="57"/>
      <c r="W1016" s="57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</row>
    <row r="1017" spans="1:36" ht="11.25" customHeight="1" x14ac:dyDescent="0.2">
      <c r="A1017" s="53" t="s">
        <v>27</v>
      </c>
      <c r="B1017" s="53" t="s">
        <v>33</v>
      </c>
      <c r="C1017" s="53" t="s">
        <v>34</v>
      </c>
      <c r="D1017" s="53" t="s">
        <v>46</v>
      </c>
      <c r="E1017" s="53" t="s">
        <v>25</v>
      </c>
      <c r="F1017" s="53" t="s">
        <v>25</v>
      </c>
      <c r="G1017" s="53" t="s">
        <v>25</v>
      </c>
      <c r="H1017" s="53" t="s">
        <v>25</v>
      </c>
      <c r="I1017" s="75">
        <v>44470</v>
      </c>
      <c r="J1017" s="76">
        <f ca="1">EFEITO!$J$1017*EFEITO!$Y$1017</f>
        <v>740.08196463832758</v>
      </c>
      <c r="K1017" s="76">
        <f>EFEITO!$L$1017*EFEITO!$Z$1017</f>
        <v>0</v>
      </c>
      <c r="L1017" s="76">
        <f>EFEITO!$N$1017*EFEITO!$AA$1017</f>
        <v>0</v>
      </c>
      <c r="M1017" s="76">
        <f ca="1">$J$1017-EFEITO!$K$1017*EFEITO!$Y$1017</f>
        <v>0</v>
      </c>
      <c r="N1017" s="76">
        <f>$K$1017-EFEITO!$M$1017*EFEITO!$Z$1017</f>
        <v>0</v>
      </c>
      <c r="O1017" s="76">
        <f>$L$1017-EFEITO!$O$1017*EFEITO!$AA$1017</f>
        <v>0</v>
      </c>
      <c r="P1017" s="57"/>
      <c r="Q1017" s="57"/>
      <c r="R1017" s="57"/>
      <c r="S1017" s="57"/>
      <c r="T1017" s="57"/>
      <c r="U1017" s="57"/>
      <c r="V1017" s="57"/>
      <c r="W1017" s="57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</row>
    <row r="1018" spans="1:36" ht="11.25" customHeight="1" x14ac:dyDescent="0.2">
      <c r="A1018" s="53" t="s">
        <v>28</v>
      </c>
      <c r="B1018" s="53" t="s">
        <v>33</v>
      </c>
      <c r="C1018" s="53" t="s">
        <v>34</v>
      </c>
      <c r="D1018" s="53" t="s">
        <v>46</v>
      </c>
      <c r="E1018" s="53" t="s">
        <v>25</v>
      </c>
      <c r="F1018" s="53" t="s">
        <v>25</v>
      </c>
      <c r="G1018" s="53" t="s">
        <v>25</v>
      </c>
      <c r="H1018" s="53" t="s">
        <v>25</v>
      </c>
      <c r="I1018" s="75">
        <v>44470</v>
      </c>
      <c r="J1018" s="76">
        <f ca="1">EFEITO!$J$1018*EFEITO!$Y$1018</f>
        <v>61254.117273232245</v>
      </c>
      <c r="K1018" s="76">
        <f>EFEITO!$L$1018*EFEITO!$Z$1018</f>
        <v>0</v>
      </c>
      <c r="L1018" s="76">
        <f>EFEITO!$N$1018*EFEITO!$AA$1018</f>
        <v>0</v>
      </c>
      <c r="M1018" s="76">
        <f ca="1">$J$1018-EFEITO!$K$1018*EFEITO!$Y$1018</f>
        <v>0</v>
      </c>
      <c r="N1018" s="76">
        <f>$K$1018-EFEITO!$M$1018*EFEITO!$Z$1018</f>
        <v>0</v>
      </c>
      <c r="O1018" s="76">
        <f>$L$1018-EFEITO!$O$1018*EFEITO!$AA$1018</f>
        <v>0</v>
      </c>
      <c r="P1018" s="57"/>
      <c r="Q1018" s="57"/>
      <c r="R1018" s="57"/>
      <c r="S1018" s="57"/>
      <c r="T1018" s="57"/>
      <c r="U1018" s="57"/>
      <c r="V1018" s="57"/>
      <c r="W1018" s="57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</row>
    <row r="1019" spans="1:36" ht="11.25" customHeight="1" x14ac:dyDescent="0.2">
      <c r="A1019" s="53" t="s">
        <v>21</v>
      </c>
      <c r="B1019" s="53" t="s">
        <v>33</v>
      </c>
      <c r="C1019" s="53" t="s">
        <v>34</v>
      </c>
      <c r="D1019" s="53" t="s">
        <v>46</v>
      </c>
      <c r="E1019" s="53" t="s">
        <v>25</v>
      </c>
      <c r="F1019" s="53" t="s">
        <v>25</v>
      </c>
      <c r="G1019" s="53" t="s">
        <v>25</v>
      </c>
      <c r="H1019" s="53" t="s">
        <v>25</v>
      </c>
      <c r="I1019" s="75">
        <v>44501</v>
      </c>
      <c r="J1019" s="76">
        <f ca="1">EFEITO!$J$1019*EFEITO!$Y$1019</f>
        <v>1058884.6056056977</v>
      </c>
      <c r="K1019" s="76">
        <f>EFEITO!$L$1019*EFEITO!$Z$1019</f>
        <v>0</v>
      </c>
      <c r="L1019" s="76">
        <f>EFEITO!$N$1019*EFEITO!$AA$1019</f>
        <v>0</v>
      </c>
      <c r="M1019" s="76">
        <f ca="1">$J$1019-EFEITO!$K$1019*EFEITO!$Y$1019</f>
        <v>0</v>
      </c>
      <c r="N1019" s="76">
        <f>$K$1019-EFEITO!$M$1019*EFEITO!$Z$1019</f>
        <v>0</v>
      </c>
      <c r="O1019" s="76">
        <f>$L$1019-EFEITO!$O$1019*EFEITO!$AA$1019</f>
        <v>0</v>
      </c>
      <c r="P1019" s="57"/>
      <c r="Q1019" s="57"/>
      <c r="R1019" s="57"/>
      <c r="S1019" s="57"/>
      <c r="T1019" s="57"/>
      <c r="U1019" s="57"/>
      <c r="V1019" s="57"/>
      <c r="W1019" s="57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</row>
    <row r="1020" spans="1:36" ht="11.25" customHeight="1" x14ac:dyDescent="0.2">
      <c r="A1020" s="53" t="s">
        <v>27</v>
      </c>
      <c r="B1020" s="53" t="s">
        <v>33</v>
      </c>
      <c r="C1020" s="53" t="s">
        <v>34</v>
      </c>
      <c r="D1020" s="53" t="s">
        <v>46</v>
      </c>
      <c r="E1020" s="53" t="s">
        <v>25</v>
      </c>
      <c r="F1020" s="53" t="s">
        <v>25</v>
      </c>
      <c r="G1020" s="53" t="s">
        <v>25</v>
      </c>
      <c r="H1020" s="53" t="s">
        <v>25</v>
      </c>
      <c r="I1020" s="75">
        <v>44501</v>
      </c>
      <c r="J1020" s="76">
        <f ca="1">EFEITO!$J$1020*EFEITO!$Y$1020</f>
        <v>3700.4098231916378</v>
      </c>
      <c r="K1020" s="76">
        <f>EFEITO!$L$1020*EFEITO!$Z$1020</f>
        <v>0</v>
      </c>
      <c r="L1020" s="76">
        <f>EFEITO!$N$1020*EFEITO!$AA$1020</f>
        <v>0</v>
      </c>
      <c r="M1020" s="76">
        <f ca="1">$J$1020-EFEITO!$K$1020*EFEITO!$Y$1020</f>
        <v>0</v>
      </c>
      <c r="N1020" s="76">
        <f>$K$1020-EFEITO!$M$1020*EFEITO!$Z$1020</f>
        <v>0</v>
      </c>
      <c r="O1020" s="76">
        <f>$L$1020-EFEITO!$O$1020*EFEITO!$AA$1020</f>
        <v>0</v>
      </c>
      <c r="P1020" s="57"/>
      <c r="Q1020" s="57"/>
      <c r="R1020" s="57"/>
      <c r="S1020" s="57"/>
      <c r="T1020" s="57"/>
      <c r="U1020" s="57"/>
      <c r="V1020" s="57"/>
      <c r="W1020" s="57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</row>
    <row r="1021" spans="1:36" ht="11.25" customHeight="1" x14ac:dyDescent="0.2">
      <c r="A1021" s="53" t="s">
        <v>28</v>
      </c>
      <c r="B1021" s="53" t="s">
        <v>33</v>
      </c>
      <c r="C1021" s="53" t="s">
        <v>34</v>
      </c>
      <c r="D1021" s="53" t="s">
        <v>46</v>
      </c>
      <c r="E1021" s="53" t="s">
        <v>25</v>
      </c>
      <c r="F1021" s="53" t="s">
        <v>25</v>
      </c>
      <c r="G1021" s="53" t="s">
        <v>25</v>
      </c>
      <c r="H1021" s="53" t="s">
        <v>25</v>
      </c>
      <c r="I1021" s="75">
        <v>44501</v>
      </c>
      <c r="J1021" s="76">
        <f ca="1">EFEITO!$J$1021*EFEITO!$Y$1021</f>
        <v>61574.819457908852</v>
      </c>
      <c r="K1021" s="76">
        <f>EFEITO!$L$1021*EFEITO!$Z$1021</f>
        <v>0</v>
      </c>
      <c r="L1021" s="76">
        <f>EFEITO!$N$1021*EFEITO!$AA$1021</f>
        <v>0</v>
      </c>
      <c r="M1021" s="76">
        <f ca="1">$J$1021-EFEITO!$K$1021*EFEITO!$Y$1021</f>
        <v>0</v>
      </c>
      <c r="N1021" s="76">
        <f>$K$1021-EFEITO!$M$1021*EFEITO!$Z$1021</f>
        <v>0</v>
      </c>
      <c r="O1021" s="76">
        <f>$L$1021-EFEITO!$O$1021*EFEITO!$AA$1021</f>
        <v>0</v>
      </c>
      <c r="P1021" s="57"/>
      <c r="Q1021" s="57"/>
      <c r="R1021" s="57"/>
      <c r="S1021" s="57"/>
      <c r="T1021" s="57"/>
      <c r="U1021" s="57"/>
      <c r="V1021" s="57"/>
      <c r="W1021" s="57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</row>
    <row r="1022" spans="1:36" ht="11.25" customHeight="1" x14ac:dyDescent="0.2">
      <c r="A1022" s="53" t="s">
        <v>21</v>
      </c>
      <c r="B1022" s="53" t="s">
        <v>33</v>
      </c>
      <c r="C1022" s="53" t="s">
        <v>34</v>
      </c>
      <c r="D1022" s="53" t="s">
        <v>46</v>
      </c>
      <c r="E1022" s="53" t="s">
        <v>25</v>
      </c>
      <c r="F1022" s="53" t="s">
        <v>25</v>
      </c>
      <c r="G1022" s="53" t="s">
        <v>25</v>
      </c>
      <c r="H1022" s="53" t="s">
        <v>25</v>
      </c>
      <c r="I1022" s="75">
        <v>44531</v>
      </c>
      <c r="J1022" s="76">
        <f ca="1">EFEITO!$J$1022*EFEITO!$Y$1022</f>
        <v>1040431.8952873822</v>
      </c>
      <c r="K1022" s="76">
        <f>EFEITO!$L$1022*EFEITO!$Z$1022</f>
        <v>0</v>
      </c>
      <c r="L1022" s="76">
        <f>EFEITO!$N$1022*EFEITO!$AA$1022</f>
        <v>0</v>
      </c>
      <c r="M1022" s="76">
        <f ca="1">$J$1022-EFEITO!$K$1022*EFEITO!$Y$1022</f>
        <v>0</v>
      </c>
      <c r="N1022" s="76">
        <f>$K$1022-EFEITO!$M$1022*EFEITO!$Z$1022</f>
        <v>0</v>
      </c>
      <c r="O1022" s="76">
        <f>$L$1022-EFEITO!$O$1022*EFEITO!$AA$1022</f>
        <v>0</v>
      </c>
      <c r="P1022" s="57"/>
      <c r="Q1022" s="57"/>
      <c r="R1022" s="57"/>
      <c r="S1022" s="57"/>
      <c r="T1022" s="57"/>
      <c r="U1022" s="57"/>
      <c r="V1022" s="57"/>
      <c r="W1022" s="57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</row>
    <row r="1023" spans="1:36" ht="11.25" customHeight="1" x14ac:dyDescent="0.2">
      <c r="A1023" s="53" t="s">
        <v>28</v>
      </c>
      <c r="B1023" s="53" t="s">
        <v>33</v>
      </c>
      <c r="C1023" s="53" t="s">
        <v>34</v>
      </c>
      <c r="D1023" s="53" t="s">
        <v>46</v>
      </c>
      <c r="E1023" s="53" t="s">
        <v>25</v>
      </c>
      <c r="F1023" s="53" t="s">
        <v>25</v>
      </c>
      <c r="G1023" s="53" t="s">
        <v>25</v>
      </c>
      <c r="H1023" s="53" t="s">
        <v>25</v>
      </c>
      <c r="I1023" s="75">
        <v>44531</v>
      </c>
      <c r="J1023" s="76">
        <f ca="1">EFEITO!$J$1023*EFEITO!$Y$1023</f>
        <v>59921.969736883257</v>
      </c>
      <c r="K1023" s="76">
        <f>EFEITO!$L$1023*EFEITO!$Z$1023</f>
        <v>0</v>
      </c>
      <c r="L1023" s="76">
        <f>EFEITO!$N$1023*EFEITO!$AA$1023</f>
        <v>0</v>
      </c>
      <c r="M1023" s="76">
        <f ca="1">$J$1023-EFEITO!$K$1023*EFEITO!$Y$1023</f>
        <v>0</v>
      </c>
      <c r="N1023" s="76">
        <f>$K$1023-EFEITO!$M$1023*EFEITO!$Z$1023</f>
        <v>0</v>
      </c>
      <c r="O1023" s="76">
        <f>$L$1023-EFEITO!$O$1023*EFEITO!$AA$1023</f>
        <v>0</v>
      </c>
      <c r="P1023" s="57"/>
      <c r="Q1023" s="57"/>
      <c r="R1023" s="57"/>
      <c r="S1023" s="57"/>
      <c r="T1023" s="57"/>
      <c r="U1023" s="57"/>
      <c r="V1023" s="57"/>
      <c r="W1023" s="57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</row>
    <row r="1024" spans="1:36" ht="11.25" customHeight="1" x14ac:dyDescent="0.2">
      <c r="A1024" s="53" t="s">
        <v>21</v>
      </c>
      <c r="B1024" s="53" t="s">
        <v>33</v>
      </c>
      <c r="C1024" s="53" t="s">
        <v>34</v>
      </c>
      <c r="D1024" s="53" t="s">
        <v>46</v>
      </c>
      <c r="E1024" s="53" t="s">
        <v>25</v>
      </c>
      <c r="F1024" s="53" t="s">
        <v>25</v>
      </c>
      <c r="G1024" s="53" t="s">
        <v>25</v>
      </c>
      <c r="H1024" s="53" t="s">
        <v>25</v>
      </c>
      <c r="I1024" s="75">
        <v>44562</v>
      </c>
      <c r="J1024" s="76">
        <f ca="1">EFEITO!$J$1024*EFEITO!$Y$1024</f>
        <v>1050151.6384229655</v>
      </c>
      <c r="K1024" s="76">
        <f>EFEITO!$L$1024*EFEITO!$Z$1024</f>
        <v>0</v>
      </c>
      <c r="L1024" s="76">
        <f>EFEITO!$N$1024*EFEITO!$AA$1024</f>
        <v>0</v>
      </c>
      <c r="M1024" s="76">
        <f ca="1">$J$1024-EFEITO!$K$1024*EFEITO!$Y$1024</f>
        <v>0</v>
      </c>
      <c r="N1024" s="76">
        <f>$K$1024-EFEITO!$M$1024*EFEITO!$Z$1024</f>
        <v>0</v>
      </c>
      <c r="O1024" s="76">
        <f>$L$1024-EFEITO!$O$1024*EFEITO!$AA$1024</f>
        <v>0</v>
      </c>
      <c r="P1024" s="57"/>
      <c r="Q1024" s="57"/>
      <c r="R1024" s="57"/>
      <c r="S1024" s="57"/>
      <c r="T1024" s="57"/>
      <c r="U1024" s="57"/>
      <c r="V1024" s="57"/>
      <c r="W1024" s="57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</row>
    <row r="1025" spans="1:36" ht="11.25" customHeight="1" x14ac:dyDescent="0.2">
      <c r="A1025" s="53" t="s">
        <v>28</v>
      </c>
      <c r="B1025" s="53" t="s">
        <v>33</v>
      </c>
      <c r="C1025" s="53" t="s">
        <v>34</v>
      </c>
      <c r="D1025" s="53" t="s">
        <v>46</v>
      </c>
      <c r="E1025" s="53" t="s">
        <v>25</v>
      </c>
      <c r="F1025" s="53" t="s">
        <v>25</v>
      </c>
      <c r="G1025" s="53" t="s">
        <v>25</v>
      </c>
      <c r="H1025" s="53" t="s">
        <v>25</v>
      </c>
      <c r="I1025" s="75">
        <v>44562</v>
      </c>
      <c r="J1025" s="76">
        <f ca="1">EFEITO!$J$1025*EFEITO!$Y$1025</f>
        <v>60020.647332168366</v>
      </c>
      <c r="K1025" s="76">
        <f>EFEITO!$L$1025*EFEITO!$Z$1025</f>
        <v>0</v>
      </c>
      <c r="L1025" s="76">
        <f>EFEITO!$N$1025*EFEITO!$AA$1025</f>
        <v>0</v>
      </c>
      <c r="M1025" s="76">
        <f ca="1">$J$1025-EFEITO!$K$1025*EFEITO!$Y$1025</f>
        <v>0</v>
      </c>
      <c r="N1025" s="76">
        <f>$K$1025-EFEITO!$M$1025*EFEITO!$Z$1025</f>
        <v>0</v>
      </c>
      <c r="O1025" s="76">
        <f>$L$1025-EFEITO!$O$1025*EFEITO!$AA$1025</f>
        <v>0</v>
      </c>
      <c r="P1025" s="57"/>
      <c r="Q1025" s="57"/>
      <c r="R1025" s="57"/>
      <c r="S1025" s="57"/>
      <c r="T1025" s="57"/>
      <c r="U1025" s="57"/>
      <c r="V1025" s="57"/>
      <c r="W1025" s="57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</row>
    <row r="1026" spans="1:36" ht="11.25" customHeight="1" x14ac:dyDescent="0.2">
      <c r="A1026" s="53" t="s">
        <v>21</v>
      </c>
      <c r="B1026" s="53" t="s">
        <v>33</v>
      </c>
      <c r="C1026" s="53" t="s">
        <v>34</v>
      </c>
      <c r="D1026" s="53" t="s">
        <v>46</v>
      </c>
      <c r="E1026" s="53" t="s">
        <v>25</v>
      </c>
      <c r="F1026" s="53" t="s">
        <v>25</v>
      </c>
      <c r="G1026" s="53" t="s">
        <v>25</v>
      </c>
      <c r="H1026" s="53" t="s">
        <v>25</v>
      </c>
      <c r="I1026" s="75">
        <v>44593</v>
      </c>
      <c r="J1026" s="76">
        <f ca="1">EFEITO!$J$1026*EFEITO!$Y$1026</f>
        <v>1077361.9853228347</v>
      </c>
      <c r="K1026" s="76">
        <f>EFEITO!$L$1026*EFEITO!$Z$1026</f>
        <v>0</v>
      </c>
      <c r="L1026" s="76">
        <f>EFEITO!$N$1026*EFEITO!$AA$1026</f>
        <v>0</v>
      </c>
      <c r="M1026" s="76">
        <f ca="1">$J$1026-EFEITO!$K$1026*EFEITO!$Y$1026</f>
        <v>0</v>
      </c>
      <c r="N1026" s="76">
        <f>$K$1026-EFEITO!$M$1026*EFEITO!$Z$1026</f>
        <v>0</v>
      </c>
      <c r="O1026" s="76">
        <f>$L$1026-EFEITO!$O$1026*EFEITO!$AA$1026</f>
        <v>0</v>
      </c>
      <c r="P1026" s="57"/>
      <c r="Q1026" s="57"/>
      <c r="R1026" s="57"/>
      <c r="S1026" s="57"/>
      <c r="T1026" s="57"/>
      <c r="U1026" s="57"/>
      <c r="V1026" s="57"/>
      <c r="W1026" s="57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</row>
    <row r="1027" spans="1:36" ht="11.25" customHeight="1" x14ac:dyDescent="0.2">
      <c r="A1027" s="53" t="s">
        <v>28</v>
      </c>
      <c r="B1027" s="53" t="s">
        <v>33</v>
      </c>
      <c r="C1027" s="53" t="s">
        <v>34</v>
      </c>
      <c r="D1027" s="53" t="s">
        <v>46</v>
      </c>
      <c r="E1027" s="53" t="s">
        <v>25</v>
      </c>
      <c r="F1027" s="53" t="s">
        <v>25</v>
      </c>
      <c r="G1027" s="53" t="s">
        <v>25</v>
      </c>
      <c r="H1027" s="53" t="s">
        <v>25</v>
      </c>
      <c r="I1027" s="75">
        <v>44593</v>
      </c>
      <c r="J1027" s="76">
        <f ca="1">EFEITO!$J$1027*EFEITO!$Y$1027</f>
        <v>59847.961540419419</v>
      </c>
      <c r="K1027" s="76">
        <f>EFEITO!$L$1027*EFEITO!$Z$1027</f>
        <v>0</v>
      </c>
      <c r="L1027" s="76">
        <f>EFEITO!$N$1027*EFEITO!$AA$1027</f>
        <v>0</v>
      </c>
      <c r="M1027" s="76">
        <f ca="1">$J$1027-EFEITO!$K$1027*EFEITO!$Y$1027</f>
        <v>0</v>
      </c>
      <c r="N1027" s="76">
        <f>$K$1027-EFEITO!$M$1027*EFEITO!$Z$1027</f>
        <v>0</v>
      </c>
      <c r="O1027" s="76">
        <f>$L$1027-EFEITO!$O$1027*EFEITO!$AA$1027</f>
        <v>0</v>
      </c>
      <c r="P1027" s="57"/>
      <c r="Q1027" s="57"/>
      <c r="R1027" s="57"/>
      <c r="S1027" s="57"/>
      <c r="T1027" s="57"/>
      <c r="U1027" s="57"/>
      <c r="V1027" s="57"/>
      <c r="W1027" s="57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</row>
    <row r="1028" spans="1:36" ht="11.25" customHeight="1" x14ac:dyDescent="0.2">
      <c r="A1028" s="53" t="s">
        <v>21</v>
      </c>
      <c r="B1028" s="53" t="s">
        <v>33</v>
      </c>
      <c r="C1028" s="53" t="s">
        <v>34</v>
      </c>
      <c r="D1028" s="53" t="s">
        <v>46</v>
      </c>
      <c r="E1028" s="53" t="s">
        <v>25</v>
      </c>
      <c r="F1028" s="53" t="s">
        <v>25</v>
      </c>
      <c r="G1028" s="53" t="s">
        <v>25</v>
      </c>
      <c r="H1028" s="53" t="s">
        <v>25</v>
      </c>
      <c r="I1028" s="75">
        <v>44621</v>
      </c>
      <c r="J1028" s="76">
        <f ca="1">EFEITO!$J$1028*EFEITO!$Y$1028</f>
        <v>1085848.2585173543</v>
      </c>
      <c r="K1028" s="76">
        <f>EFEITO!$L$1028*EFEITO!$Z$1028</f>
        <v>0</v>
      </c>
      <c r="L1028" s="76">
        <f>EFEITO!$N$1028*EFEITO!$AA$1028</f>
        <v>0</v>
      </c>
      <c r="M1028" s="76">
        <f ca="1">$J$1028-EFEITO!$K$1028*EFEITO!$Y$1028</f>
        <v>0</v>
      </c>
      <c r="N1028" s="76">
        <f>$K$1028-EFEITO!$M$1028*EFEITO!$Z$1028</f>
        <v>0</v>
      </c>
      <c r="O1028" s="76">
        <f>$L$1028-EFEITO!$O$1028*EFEITO!$AA$1028</f>
        <v>0</v>
      </c>
      <c r="P1028" s="57"/>
      <c r="Q1028" s="57"/>
      <c r="R1028" s="57"/>
      <c r="S1028" s="57"/>
      <c r="T1028" s="57"/>
      <c r="U1028" s="57"/>
      <c r="V1028" s="57"/>
      <c r="W1028" s="57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</row>
    <row r="1029" spans="1:36" ht="11.25" customHeight="1" x14ac:dyDescent="0.2">
      <c r="A1029" s="53" t="s">
        <v>28</v>
      </c>
      <c r="B1029" s="53" t="s">
        <v>33</v>
      </c>
      <c r="C1029" s="53" t="s">
        <v>34</v>
      </c>
      <c r="D1029" s="53" t="s">
        <v>46</v>
      </c>
      <c r="E1029" s="53" t="s">
        <v>25</v>
      </c>
      <c r="F1029" s="53" t="s">
        <v>25</v>
      </c>
      <c r="G1029" s="53" t="s">
        <v>25</v>
      </c>
      <c r="H1029" s="53" t="s">
        <v>25</v>
      </c>
      <c r="I1029" s="75">
        <v>44621</v>
      </c>
      <c r="J1029" s="76">
        <f ca="1">EFEITO!$J$1029*EFEITO!$Y$1029</f>
        <v>59847.961540419419</v>
      </c>
      <c r="K1029" s="76">
        <f>EFEITO!$L$1029*EFEITO!$Z$1029</f>
        <v>0</v>
      </c>
      <c r="L1029" s="76">
        <f>EFEITO!$N$1029*EFEITO!$AA$1029</f>
        <v>0</v>
      </c>
      <c r="M1029" s="76">
        <f ca="1">$J$1029-EFEITO!$K$1029*EFEITO!$Y$1029</f>
        <v>0</v>
      </c>
      <c r="N1029" s="76">
        <f>$K$1029-EFEITO!$M$1029*EFEITO!$Z$1029</f>
        <v>0</v>
      </c>
      <c r="O1029" s="76">
        <f>$L$1029-EFEITO!$O$1029*EFEITO!$AA$1029</f>
        <v>0</v>
      </c>
      <c r="P1029" s="57"/>
      <c r="Q1029" s="57"/>
      <c r="R1029" s="57"/>
      <c r="S1029" s="57"/>
      <c r="T1029" s="57"/>
      <c r="U1029" s="57"/>
      <c r="V1029" s="57"/>
      <c r="W1029" s="57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</row>
    <row r="1030" spans="1:36" ht="11.25" customHeight="1" x14ac:dyDescent="0.2">
      <c r="A1030" s="53" t="s">
        <v>56</v>
      </c>
      <c r="B1030" s="53" t="s">
        <v>33</v>
      </c>
      <c r="C1030" s="53" t="s">
        <v>34</v>
      </c>
      <c r="D1030" s="53" t="s">
        <v>46</v>
      </c>
      <c r="E1030" s="53" t="s">
        <v>25</v>
      </c>
      <c r="F1030" s="53" t="s">
        <v>25</v>
      </c>
      <c r="G1030" s="53" t="s">
        <v>25</v>
      </c>
      <c r="H1030" s="53" t="s">
        <v>25</v>
      </c>
      <c r="I1030" s="75">
        <v>44652</v>
      </c>
      <c r="J1030" s="76">
        <f ca="1">EFEITO!$J$1030*EFEITO!$Y$1030</f>
        <v>1085848.2585173543</v>
      </c>
      <c r="K1030" s="76">
        <f>EFEITO!$L$1030*EFEITO!$Z$1030</f>
        <v>0</v>
      </c>
      <c r="L1030" s="76">
        <f>EFEITO!$N$1030*EFEITO!$AA$1030</f>
        <v>0</v>
      </c>
      <c r="M1030" s="76">
        <f ca="1">$J$1030-EFEITO!$K$1030*EFEITO!$Y$1030</f>
        <v>0</v>
      </c>
      <c r="N1030" s="76">
        <f>$K$1030-EFEITO!$M$1030*EFEITO!$Z$1030</f>
        <v>0</v>
      </c>
      <c r="O1030" s="76">
        <f>$L$1030-EFEITO!$O$1030*EFEITO!$AA$1030</f>
        <v>0</v>
      </c>
      <c r="P1030" s="57"/>
      <c r="Q1030" s="57"/>
      <c r="R1030" s="57"/>
      <c r="S1030" s="57"/>
      <c r="T1030" s="57"/>
      <c r="U1030" s="57"/>
      <c r="V1030" s="57"/>
      <c r="W1030" s="57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</row>
    <row r="1031" spans="1:36" ht="11.25" customHeight="1" x14ac:dyDescent="0.2">
      <c r="A1031" s="53" t="s">
        <v>56</v>
      </c>
      <c r="B1031" s="53" t="s">
        <v>33</v>
      </c>
      <c r="C1031" s="53" t="s">
        <v>34</v>
      </c>
      <c r="D1031" s="53" t="s">
        <v>46</v>
      </c>
      <c r="E1031" s="53" t="s">
        <v>25</v>
      </c>
      <c r="F1031" s="53" t="s">
        <v>25</v>
      </c>
      <c r="G1031" s="53" t="s">
        <v>25</v>
      </c>
      <c r="H1031" s="53" t="s">
        <v>25</v>
      </c>
      <c r="I1031" s="75">
        <v>44652</v>
      </c>
      <c r="J1031" s="76">
        <f ca="1">EFEITO!$J$1031*EFEITO!$Y$1031</f>
        <v>59847.961540419419</v>
      </c>
      <c r="K1031" s="76">
        <f>EFEITO!$L$1031*EFEITO!$Z$1031</f>
        <v>0</v>
      </c>
      <c r="L1031" s="76">
        <f>EFEITO!$N$1031*EFEITO!$AA$1031</f>
        <v>0</v>
      </c>
      <c r="M1031" s="76">
        <f ca="1">$J$1031-EFEITO!$K$1031*EFEITO!$Y$1031</f>
        <v>0</v>
      </c>
      <c r="N1031" s="76">
        <f>$K$1031-EFEITO!$M$1031*EFEITO!$Z$1031</f>
        <v>0</v>
      </c>
      <c r="O1031" s="76">
        <f>$L$1031-EFEITO!$O$1031*EFEITO!$AA$1031</f>
        <v>0</v>
      </c>
      <c r="P1031" s="57"/>
      <c r="Q1031" s="57"/>
      <c r="R1031" s="57"/>
      <c r="S1031" s="57"/>
      <c r="T1031" s="57"/>
      <c r="U1031" s="57"/>
      <c r="V1031" s="57"/>
      <c r="W1031" s="57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</row>
    <row r="1032" spans="1:36" ht="11.25" customHeight="1" x14ac:dyDescent="0.2">
      <c r="A1032" s="53" t="s">
        <v>21</v>
      </c>
      <c r="B1032" s="53" t="s">
        <v>33</v>
      </c>
      <c r="C1032" s="53" t="s">
        <v>34</v>
      </c>
      <c r="D1032" s="53" t="s">
        <v>46</v>
      </c>
      <c r="E1032" s="53" t="s">
        <v>25</v>
      </c>
      <c r="F1032" s="53" t="s">
        <v>25</v>
      </c>
      <c r="G1032" s="53" t="s">
        <v>25</v>
      </c>
      <c r="H1032" s="53" t="s">
        <v>35</v>
      </c>
      <c r="I1032" s="75">
        <v>44317</v>
      </c>
      <c r="J1032" s="76">
        <f>EFEITO!$J$1032*EFEITO!$Y$1032</f>
        <v>0</v>
      </c>
      <c r="K1032" s="76">
        <f ca="1">EFEITO!$L$1032*EFEITO!$Z$1032</f>
        <v>912721.25300732604</v>
      </c>
      <c r="L1032" s="76">
        <f>EFEITO!$N$1032*EFEITO!$AA$1032</f>
        <v>215047.79391826509</v>
      </c>
      <c r="M1032" s="76">
        <f>$J$1032-EFEITO!$K$1032*EFEITO!$Y$1032</f>
        <v>0</v>
      </c>
      <c r="N1032" s="76">
        <f ca="1">$K$1032-EFEITO!$M$1032*EFEITO!$Z$1032</f>
        <v>0</v>
      </c>
      <c r="O1032" s="76">
        <f>$L$1032-EFEITO!$O$1032*EFEITO!$AA$1032</f>
        <v>0</v>
      </c>
      <c r="P1032" s="57"/>
      <c r="Q1032" s="57"/>
      <c r="R1032" s="57"/>
      <c r="S1032" s="57"/>
      <c r="T1032" s="57"/>
      <c r="U1032" s="57"/>
      <c r="V1032" s="57"/>
      <c r="W1032" s="57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</row>
    <row r="1033" spans="1:36" ht="11.25" customHeight="1" x14ac:dyDescent="0.2">
      <c r="A1033" s="53" t="s">
        <v>27</v>
      </c>
      <c r="B1033" s="53" t="s">
        <v>33</v>
      </c>
      <c r="C1033" s="53" t="s">
        <v>34</v>
      </c>
      <c r="D1033" s="53" t="s">
        <v>46</v>
      </c>
      <c r="E1033" s="53" t="s">
        <v>25</v>
      </c>
      <c r="F1033" s="53" t="s">
        <v>25</v>
      </c>
      <c r="G1033" s="53" t="s">
        <v>25</v>
      </c>
      <c r="H1033" s="53" t="s">
        <v>35</v>
      </c>
      <c r="I1033" s="75">
        <v>44317</v>
      </c>
      <c r="J1033" s="76">
        <f>EFEITO!$J$1033*EFEITO!$Y$1033</f>
        <v>0</v>
      </c>
      <c r="K1033" s="76">
        <f ca="1">EFEITO!$L$1033*EFEITO!$Z$1033</f>
        <v>1203.6193077670175</v>
      </c>
      <c r="L1033" s="76">
        <f>EFEITO!$N$1033*EFEITO!$AA$1033</f>
        <v>283.58677526121863</v>
      </c>
      <c r="M1033" s="76">
        <f>$J$1033-EFEITO!$K$1033*EFEITO!$Y$1033</f>
        <v>0</v>
      </c>
      <c r="N1033" s="76">
        <f ca="1">$K$1033-EFEITO!$M$1033*EFEITO!$Z$1033</f>
        <v>0</v>
      </c>
      <c r="O1033" s="76">
        <f>$L$1033-EFEITO!$O$1033*EFEITO!$AA$1033</f>
        <v>0</v>
      </c>
      <c r="P1033" s="57"/>
      <c r="Q1033" s="57"/>
      <c r="R1033" s="57"/>
      <c r="S1033" s="57"/>
      <c r="T1033" s="57"/>
      <c r="U1033" s="57"/>
      <c r="V1033" s="57"/>
      <c r="W1033" s="57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</row>
    <row r="1034" spans="1:36" ht="11.25" customHeight="1" x14ac:dyDescent="0.2">
      <c r="A1034" s="53" t="s">
        <v>28</v>
      </c>
      <c r="B1034" s="53" t="s">
        <v>33</v>
      </c>
      <c r="C1034" s="53" t="s">
        <v>34</v>
      </c>
      <c r="D1034" s="53" t="s">
        <v>46</v>
      </c>
      <c r="E1034" s="53" t="s">
        <v>25</v>
      </c>
      <c r="F1034" s="53" t="s">
        <v>25</v>
      </c>
      <c r="G1034" s="53" t="s">
        <v>25</v>
      </c>
      <c r="H1034" s="53" t="s">
        <v>35</v>
      </c>
      <c r="I1034" s="75">
        <v>44317</v>
      </c>
      <c r="J1034" s="76">
        <f>EFEITO!$J$1034*EFEITO!$Y$1034</f>
        <v>0</v>
      </c>
      <c r="K1034" s="76">
        <f ca="1">EFEITO!$L$1034*EFEITO!$Z$1034</f>
        <v>23707.162359411042</v>
      </c>
      <c r="L1034" s="76">
        <f>EFEITO!$N$1034*EFEITO!$AA$1034</f>
        <v>5585.6845106383826</v>
      </c>
      <c r="M1034" s="76">
        <f>$J$1034-EFEITO!$K$1034*EFEITO!$Y$1034</f>
        <v>0</v>
      </c>
      <c r="N1034" s="76">
        <f ca="1">$K$1034-EFEITO!$M$1034*EFEITO!$Z$1034</f>
        <v>0</v>
      </c>
      <c r="O1034" s="76">
        <f>$L$1034-EFEITO!$O$1034*EFEITO!$AA$1034</f>
        <v>0</v>
      </c>
      <c r="P1034" s="57"/>
      <c r="Q1034" s="57"/>
      <c r="R1034" s="57"/>
      <c r="S1034" s="57"/>
      <c r="T1034" s="57"/>
      <c r="U1034" s="57"/>
      <c r="V1034" s="57"/>
      <c r="W1034" s="57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</row>
    <row r="1035" spans="1:36" ht="11.25" customHeight="1" x14ac:dyDescent="0.2">
      <c r="A1035" s="53" t="s">
        <v>21</v>
      </c>
      <c r="B1035" s="53" t="s">
        <v>33</v>
      </c>
      <c r="C1035" s="53" t="s">
        <v>34</v>
      </c>
      <c r="D1035" s="53" t="s">
        <v>46</v>
      </c>
      <c r="E1035" s="53" t="s">
        <v>25</v>
      </c>
      <c r="F1035" s="53" t="s">
        <v>25</v>
      </c>
      <c r="G1035" s="53" t="s">
        <v>25</v>
      </c>
      <c r="H1035" s="53" t="s">
        <v>35</v>
      </c>
      <c r="I1035" s="75">
        <v>44348</v>
      </c>
      <c r="J1035" s="76">
        <f>EFEITO!$J$1035*EFEITO!$Y$1035</f>
        <v>0</v>
      </c>
      <c r="K1035" s="76">
        <f ca="1">EFEITO!$L$1035*EFEITO!$Z$1035</f>
        <v>844557.53893652046</v>
      </c>
      <c r="L1035" s="76">
        <f>EFEITO!$N$1035*EFEITO!$AA$1035</f>
        <v>198987.62627353895</v>
      </c>
      <c r="M1035" s="76">
        <f>$J$1035-EFEITO!$K$1035*EFEITO!$Y$1035</f>
        <v>0</v>
      </c>
      <c r="N1035" s="76">
        <f ca="1">$K$1035-EFEITO!$M$1035*EFEITO!$Z$1035</f>
        <v>0</v>
      </c>
      <c r="O1035" s="76">
        <f>$L$1035-EFEITO!$O$1035*EFEITO!$AA$1035</f>
        <v>0</v>
      </c>
      <c r="P1035" s="57"/>
      <c r="Q1035" s="57"/>
      <c r="R1035" s="57"/>
      <c r="S1035" s="57"/>
      <c r="T1035" s="57"/>
      <c r="U1035" s="57"/>
      <c r="V1035" s="57"/>
      <c r="W1035" s="57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</row>
    <row r="1036" spans="1:36" ht="11.25" customHeight="1" x14ac:dyDescent="0.2">
      <c r="A1036" s="53" t="s">
        <v>27</v>
      </c>
      <c r="B1036" s="53" t="s">
        <v>33</v>
      </c>
      <c r="C1036" s="53" t="s">
        <v>34</v>
      </c>
      <c r="D1036" s="53" t="s">
        <v>46</v>
      </c>
      <c r="E1036" s="53" t="s">
        <v>25</v>
      </c>
      <c r="F1036" s="53" t="s">
        <v>25</v>
      </c>
      <c r="G1036" s="53" t="s">
        <v>25</v>
      </c>
      <c r="H1036" s="53" t="s">
        <v>35</v>
      </c>
      <c r="I1036" s="75">
        <v>44348</v>
      </c>
      <c r="J1036" s="76">
        <f>EFEITO!$J$1036*EFEITO!$Y$1036</f>
        <v>0</v>
      </c>
      <c r="K1036" s="76">
        <f ca="1">EFEITO!$L$1036*EFEITO!$Z$1036</f>
        <v>881.57467982935498</v>
      </c>
      <c r="L1036" s="76">
        <f>EFEITO!$N$1036*EFEITO!$AA$1036</f>
        <v>207.70929727652785</v>
      </c>
      <c r="M1036" s="76">
        <f>$J$1036-EFEITO!$K$1036*EFEITO!$Y$1036</f>
        <v>0</v>
      </c>
      <c r="N1036" s="76">
        <f ca="1">$K$1036-EFEITO!$M$1036*EFEITO!$Z$1036</f>
        <v>0</v>
      </c>
      <c r="O1036" s="76">
        <f>$L$1036-EFEITO!$O$1036*EFEITO!$AA$1036</f>
        <v>0</v>
      </c>
      <c r="P1036" s="57"/>
      <c r="Q1036" s="57"/>
      <c r="R1036" s="57"/>
      <c r="S1036" s="57"/>
      <c r="T1036" s="57"/>
      <c r="U1036" s="57"/>
      <c r="V1036" s="57"/>
      <c r="W1036" s="57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</row>
    <row r="1037" spans="1:36" ht="11.25" customHeight="1" x14ac:dyDescent="0.2">
      <c r="A1037" s="53" t="s">
        <v>28</v>
      </c>
      <c r="B1037" s="53" t="s">
        <v>33</v>
      </c>
      <c r="C1037" s="53" t="s">
        <v>34</v>
      </c>
      <c r="D1037" s="53" t="s">
        <v>46</v>
      </c>
      <c r="E1037" s="53" t="s">
        <v>25</v>
      </c>
      <c r="F1037" s="53" t="s">
        <v>25</v>
      </c>
      <c r="G1037" s="53" t="s">
        <v>25</v>
      </c>
      <c r="H1037" s="53" t="s">
        <v>35</v>
      </c>
      <c r="I1037" s="75">
        <v>44348</v>
      </c>
      <c r="J1037" s="76">
        <f>EFEITO!$J$1037*EFEITO!$Y$1037</f>
        <v>0</v>
      </c>
      <c r="K1037" s="76">
        <f ca="1">EFEITO!$L$1037*EFEITO!$Z$1037</f>
        <v>24403.426443276268</v>
      </c>
      <c r="L1037" s="76">
        <f>EFEITO!$N$1037*EFEITO!$AA$1037</f>
        <v>5749.7324658343341</v>
      </c>
      <c r="M1037" s="76">
        <f>$J$1037-EFEITO!$K$1037*EFEITO!$Y$1037</f>
        <v>0</v>
      </c>
      <c r="N1037" s="76">
        <f ca="1">$K$1037-EFEITO!$M$1037*EFEITO!$Z$1037</f>
        <v>0</v>
      </c>
      <c r="O1037" s="76">
        <f>$L$1037-EFEITO!$O$1037*EFEITO!$AA$1037</f>
        <v>0</v>
      </c>
      <c r="P1037" s="57"/>
      <c r="Q1037" s="57"/>
      <c r="R1037" s="57"/>
      <c r="S1037" s="57"/>
      <c r="T1037" s="57"/>
      <c r="U1037" s="57"/>
      <c r="V1037" s="57"/>
      <c r="W1037" s="57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</row>
    <row r="1038" spans="1:36" ht="11.25" customHeight="1" x14ac:dyDescent="0.2">
      <c r="A1038" s="53" t="s">
        <v>21</v>
      </c>
      <c r="B1038" s="53" t="s">
        <v>33</v>
      </c>
      <c r="C1038" s="53" t="s">
        <v>34</v>
      </c>
      <c r="D1038" s="53" t="s">
        <v>46</v>
      </c>
      <c r="E1038" s="53" t="s">
        <v>25</v>
      </c>
      <c r="F1038" s="53" t="s">
        <v>25</v>
      </c>
      <c r="G1038" s="53" t="s">
        <v>25</v>
      </c>
      <c r="H1038" s="53" t="s">
        <v>35</v>
      </c>
      <c r="I1038" s="75">
        <v>44378</v>
      </c>
      <c r="J1038" s="76">
        <f>EFEITO!$J$1038*EFEITO!$Y$1038</f>
        <v>0</v>
      </c>
      <c r="K1038" s="76">
        <f ca="1">EFEITO!$L$1038*EFEITO!$Z$1038</f>
        <v>877746.1269340961</v>
      </c>
      <c r="L1038" s="76">
        <f>EFEITO!$N$1038*EFEITO!$AA$1038</f>
        <v>206807.24547121263</v>
      </c>
      <c r="M1038" s="76">
        <f>$J$1038-EFEITO!$K$1038*EFEITO!$Y$1038</f>
        <v>0</v>
      </c>
      <c r="N1038" s="76">
        <f ca="1">$K$1038-EFEITO!$M$1038*EFEITO!$Z$1038</f>
        <v>0</v>
      </c>
      <c r="O1038" s="76">
        <f>$L$1038-EFEITO!$O$1038*EFEITO!$AA$1038</f>
        <v>0</v>
      </c>
      <c r="P1038" s="57"/>
      <c r="Q1038" s="57"/>
      <c r="R1038" s="57"/>
      <c r="S1038" s="57"/>
      <c r="T1038" s="57"/>
      <c r="U1038" s="57"/>
      <c r="V1038" s="57"/>
      <c r="W1038" s="57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</row>
    <row r="1039" spans="1:36" ht="11.25" customHeight="1" x14ac:dyDescent="0.2">
      <c r="A1039" s="53" t="s">
        <v>28</v>
      </c>
      <c r="B1039" s="53" t="s">
        <v>33</v>
      </c>
      <c r="C1039" s="53" t="s">
        <v>34</v>
      </c>
      <c r="D1039" s="53" t="s">
        <v>46</v>
      </c>
      <c r="E1039" s="53" t="s">
        <v>25</v>
      </c>
      <c r="F1039" s="53" t="s">
        <v>25</v>
      </c>
      <c r="G1039" s="53" t="s">
        <v>25</v>
      </c>
      <c r="H1039" s="53" t="s">
        <v>35</v>
      </c>
      <c r="I1039" s="75">
        <v>44378</v>
      </c>
      <c r="J1039" s="76">
        <f>EFEITO!$J$1039*EFEITO!$Y$1039</f>
        <v>0</v>
      </c>
      <c r="K1039" s="76">
        <f ca="1">EFEITO!$L$1039*EFEITO!$Z$1039</f>
        <v>25858.924230994529</v>
      </c>
      <c r="L1039" s="76">
        <f>EFEITO!$N$1039*EFEITO!$AA$1039</f>
        <v>6092.6647546031318</v>
      </c>
      <c r="M1039" s="76">
        <f>$J$1039-EFEITO!$K$1039*EFEITO!$Y$1039</f>
        <v>0</v>
      </c>
      <c r="N1039" s="76">
        <f ca="1">$K$1039-EFEITO!$M$1039*EFEITO!$Z$1039</f>
        <v>0</v>
      </c>
      <c r="O1039" s="76">
        <f>$L$1039-EFEITO!$O$1039*EFEITO!$AA$1039</f>
        <v>0</v>
      </c>
      <c r="P1039" s="57"/>
      <c r="Q1039" s="57"/>
      <c r="R1039" s="57"/>
      <c r="S1039" s="57"/>
      <c r="T1039" s="57"/>
      <c r="U1039" s="57"/>
      <c r="V1039" s="57"/>
      <c r="W1039" s="57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</row>
    <row r="1040" spans="1:36" ht="11.25" customHeight="1" x14ac:dyDescent="0.2">
      <c r="A1040" s="53" t="s">
        <v>21</v>
      </c>
      <c r="B1040" s="53" t="s">
        <v>33</v>
      </c>
      <c r="C1040" s="53" t="s">
        <v>34</v>
      </c>
      <c r="D1040" s="53" t="s">
        <v>46</v>
      </c>
      <c r="E1040" s="53" t="s">
        <v>25</v>
      </c>
      <c r="F1040" s="53" t="s">
        <v>25</v>
      </c>
      <c r="G1040" s="53" t="s">
        <v>25</v>
      </c>
      <c r="H1040" s="53" t="s">
        <v>35</v>
      </c>
      <c r="I1040" s="75">
        <v>44409</v>
      </c>
      <c r="J1040" s="76">
        <f>EFEITO!$J$1040*EFEITO!$Y$1040</f>
        <v>0</v>
      </c>
      <c r="K1040" s="76">
        <f ca="1">EFEITO!$L$1040*EFEITO!$Z$1040</f>
        <v>863203.74298091105</v>
      </c>
      <c r="L1040" s="76">
        <f>EFEITO!$N$1040*EFEITO!$AA$1040</f>
        <v>203380.88985920005</v>
      </c>
      <c r="M1040" s="76">
        <f>$J$1040-EFEITO!$K$1040*EFEITO!$Y$1040</f>
        <v>0</v>
      </c>
      <c r="N1040" s="76">
        <f ca="1">$K$1040-EFEITO!$M$1040*EFEITO!$Z$1040</f>
        <v>0</v>
      </c>
      <c r="O1040" s="76">
        <f>$L$1040-EFEITO!$O$1040*EFEITO!$AA$1040</f>
        <v>0</v>
      </c>
      <c r="P1040" s="57"/>
      <c r="Q1040" s="57"/>
      <c r="R1040" s="57"/>
      <c r="S1040" s="57"/>
      <c r="T1040" s="57"/>
      <c r="U1040" s="57"/>
      <c r="V1040" s="57"/>
      <c r="W1040" s="57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</row>
    <row r="1041" spans="1:36" ht="11.25" customHeight="1" x14ac:dyDescent="0.2">
      <c r="A1041" s="53" t="s">
        <v>27</v>
      </c>
      <c r="B1041" s="53" t="s">
        <v>33</v>
      </c>
      <c r="C1041" s="53" t="s">
        <v>34</v>
      </c>
      <c r="D1041" s="53" t="s">
        <v>46</v>
      </c>
      <c r="E1041" s="53" t="s">
        <v>25</v>
      </c>
      <c r="F1041" s="53" t="s">
        <v>25</v>
      </c>
      <c r="G1041" s="53" t="s">
        <v>25</v>
      </c>
      <c r="H1041" s="53" t="s">
        <v>35</v>
      </c>
      <c r="I1041" s="75">
        <v>44409</v>
      </c>
      <c r="J1041" s="76">
        <f>EFEITO!$J$1041*EFEITO!$Y$1041</f>
        <v>0</v>
      </c>
      <c r="K1041" s="76">
        <f ca="1">EFEITO!$L$1041*EFEITO!$Z$1041</f>
        <v>-208.69931195960243</v>
      </c>
      <c r="L1041" s="76">
        <f>EFEITO!$N$1041*EFEITO!$AA$1041</f>
        <v>-49.171996906280064</v>
      </c>
      <c r="M1041" s="76">
        <f>$J$1041-EFEITO!$K$1041*EFEITO!$Y$1041</f>
        <v>0</v>
      </c>
      <c r="N1041" s="76">
        <f ca="1">$K$1041-EFEITO!$M$1041*EFEITO!$Z$1041</f>
        <v>0</v>
      </c>
      <c r="O1041" s="76">
        <f>$L$1041-EFEITO!$O$1041*EFEITO!$AA$1041</f>
        <v>0</v>
      </c>
      <c r="P1041" s="57"/>
      <c r="Q1041" s="57"/>
      <c r="R1041" s="57"/>
      <c r="S1041" s="57"/>
      <c r="T1041" s="57"/>
      <c r="U1041" s="57"/>
      <c r="V1041" s="57"/>
      <c r="W1041" s="57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</row>
    <row r="1042" spans="1:36" ht="11.25" customHeight="1" x14ac:dyDescent="0.2">
      <c r="A1042" s="53" t="s">
        <v>28</v>
      </c>
      <c r="B1042" s="53" t="s">
        <v>33</v>
      </c>
      <c r="C1042" s="53" t="s">
        <v>34</v>
      </c>
      <c r="D1042" s="53" t="s">
        <v>46</v>
      </c>
      <c r="E1042" s="53" t="s">
        <v>25</v>
      </c>
      <c r="F1042" s="53" t="s">
        <v>25</v>
      </c>
      <c r="G1042" s="53" t="s">
        <v>25</v>
      </c>
      <c r="H1042" s="53" t="s">
        <v>35</v>
      </c>
      <c r="I1042" s="75">
        <v>44409</v>
      </c>
      <c r="J1042" s="76">
        <f>EFEITO!$J$1042*EFEITO!$Y$1042</f>
        <v>0</v>
      </c>
      <c r="K1042" s="76">
        <f ca="1">EFEITO!$L$1042*EFEITO!$Z$1042</f>
        <v>32211.659321764841</v>
      </c>
      <c r="L1042" s="76">
        <f>EFEITO!$N$1042*EFEITO!$AA$1042</f>
        <v>7589.4433845692947</v>
      </c>
      <c r="M1042" s="76">
        <f>$J$1042-EFEITO!$K$1042*EFEITO!$Y$1042</f>
        <v>0</v>
      </c>
      <c r="N1042" s="76">
        <f ca="1">$K$1042-EFEITO!$M$1042*EFEITO!$Z$1042</f>
        <v>0</v>
      </c>
      <c r="O1042" s="76">
        <f>$L$1042-EFEITO!$O$1042*EFEITO!$AA$1042</f>
        <v>0</v>
      </c>
      <c r="P1042" s="57"/>
      <c r="Q1042" s="57"/>
      <c r="R1042" s="57"/>
      <c r="S1042" s="57"/>
      <c r="T1042" s="57"/>
      <c r="U1042" s="57"/>
      <c r="V1042" s="57"/>
      <c r="W1042" s="57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</row>
    <row r="1043" spans="1:36" ht="11.25" customHeight="1" x14ac:dyDescent="0.2">
      <c r="A1043" s="53" t="s">
        <v>21</v>
      </c>
      <c r="B1043" s="53" t="s">
        <v>33</v>
      </c>
      <c r="C1043" s="53" t="s">
        <v>34</v>
      </c>
      <c r="D1043" s="53" t="s">
        <v>46</v>
      </c>
      <c r="E1043" s="53" t="s">
        <v>25</v>
      </c>
      <c r="F1043" s="53" t="s">
        <v>25</v>
      </c>
      <c r="G1043" s="53" t="s">
        <v>25</v>
      </c>
      <c r="H1043" s="53" t="s">
        <v>35</v>
      </c>
      <c r="I1043" s="75">
        <v>44440</v>
      </c>
      <c r="J1043" s="76">
        <f>EFEITO!$J$1043*EFEITO!$Y$1043</f>
        <v>0</v>
      </c>
      <c r="K1043" s="76">
        <f ca="1">EFEITO!$L$1043*EFEITO!$Z$1043</f>
        <v>920425.13622983487</v>
      </c>
      <c r="L1043" s="76">
        <f>EFEITO!$N$1043*EFEITO!$AA$1043</f>
        <v>216862.9188385469</v>
      </c>
      <c r="M1043" s="76">
        <f>$J$1043-EFEITO!$K$1043*EFEITO!$Y$1043</f>
        <v>0</v>
      </c>
      <c r="N1043" s="76">
        <f ca="1">$K$1043-EFEITO!$M$1043*EFEITO!$Z$1043</f>
        <v>0</v>
      </c>
      <c r="O1043" s="76">
        <f>$L$1043-EFEITO!$O$1043*EFEITO!$AA$1043</f>
        <v>0</v>
      </c>
      <c r="P1043" s="57"/>
      <c r="Q1043" s="57"/>
      <c r="R1043" s="57"/>
      <c r="S1043" s="57"/>
      <c r="T1043" s="57"/>
      <c r="U1043" s="57"/>
      <c r="V1043" s="57"/>
      <c r="W1043" s="57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</row>
    <row r="1044" spans="1:36" ht="11.25" customHeight="1" x14ac:dyDescent="0.2">
      <c r="A1044" s="53" t="s">
        <v>28</v>
      </c>
      <c r="B1044" s="53" t="s">
        <v>33</v>
      </c>
      <c r="C1044" s="53" t="s">
        <v>34</v>
      </c>
      <c r="D1044" s="53" t="s">
        <v>46</v>
      </c>
      <c r="E1044" s="53" t="s">
        <v>25</v>
      </c>
      <c r="F1044" s="53" t="s">
        <v>25</v>
      </c>
      <c r="G1044" s="53" t="s">
        <v>25</v>
      </c>
      <c r="H1044" s="53" t="s">
        <v>35</v>
      </c>
      <c r="I1044" s="75">
        <v>44440</v>
      </c>
      <c r="J1044" s="76">
        <f>EFEITO!$J$1044*EFEITO!$Y$1044</f>
        <v>0</v>
      </c>
      <c r="K1044" s="76">
        <f ca="1">EFEITO!$L$1044*EFEITO!$Z$1044</f>
        <v>33424.27428953012</v>
      </c>
      <c r="L1044" s="76">
        <f>EFEITO!$N$1044*EFEITO!$AA$1044</f>
        <v>7875.1496424557845</v>
      </c>
      <c r="M1044" s="76">
        <f>$J$1044-EFEITO!$K$1044*EFEITO!$Y$1044</f>
        <v>0</v>
      </c>
      <c r="N1044" s="76">
        <f ca="1">$K$1044-EFEITO!$M$1044*EFEITO!$Z$1044</f>
        <v>0</v>
      </c>
      <c r="O1044" s="76">
        <f>$L$1044-EFEITO!$O$1044*EFEITO!$AA$1044</f>
        <v>0</v>
      </c>
      <c r="P1044" s="57"/>
      <c r="Q1044" s="57"/>
      <c r="R1044" s="57"/>
      <c r="S1044" s="57"/>
      <c r="T1044" s="57"/>
      <c r="U1044" s="57"/>
      <c r="V1044" s="57"/>
      <c r="W1044" s="57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</row>
    <row r="1045" spans="1:36" ht="11.25" customHeight="1" x14ac:dyDescent="0.2">
      <c r="A1045" s="53" t="s">
        <v>21</v>
      </c>
      <c r="B1045" s="53" t="s">
        <v>33</v>
      </c>
      <c r="C1045" s="53" t="s">
        <v>34</v>
      </c>
      <c r="D1045" s="53" t="s">
        <v>46</v>
      </c>
      <c r="E1045" s="53" t="s">
        <v>25</v>
      </c>
      <c r="F1045" s="53" t="s">
        <v>25</v>
      </c>
      <c r="G1045" s="53" t="s">
        <v>25</v>
      </c>
      <c r="H1045" s="53" t="s">
        <v>35</v>
      </c>
      <c r="I1045" s="75">
        <v>44470</v>
      </c>
      <c r="J1045" s="76">
        <f>EFEITO!$J$1045*EFEITO!$Y$1045</f>
        <v>0</v>
      </c>
      <c r="K1045" s="76">
        <f ca="1">EFEITO!$L$1045*EFEITO!$Z$1045</f>
        <v>946627.69467276288</v>
      </c>
      <c r="L1045" s="76">
        <f>EFEITO!$N$1045*EFEITO!$AA$1045</f>
        <v>223036.54782943538</v>
      </c>
      <c r="M1045" s="76">
        <f>$J$1045-EFEITO!$K$1045*EFEITO!$Y$1045</f>
        <v>0</v>
      </c>
      <c r="N1045" s="76">
        <f ca="1">$K$1045-EFEITO!$M$1045*EFEITO!$Z$1045</f>
        <v>0</v>
      </c>
      <c r="O1045" s="76">
        <f>$L$1045-EFEITO!$O$1045*EFEITO!$AA$1045</f>
        <v>0</v>
      </c>
      <c r="P1045" s="57"/>
      <c r="Q1045" s="57"/>
      <c r="R1045" s="57"/>
      <c r="S1045" s="57"/>
      <c r="T1045" s="57"/>
      <c r="U1045" s="57"/>
      <c r="V1045" s="57"/>
      <c r="W1045" s="57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</row>
    <row r="1046" spans="1:36" ht="11.25" customHeight="1" x14ac:dyDescent="0.2">
      <c r="A1046" s="53" t="s">
        <v>27</v>
      </c>
      <c r="B1046" s="53" t="s">
        <v>33</v>
      </c>
      <c r="C1046" s="53" t="s">
        <v>34</v>
      </c>
      <c r="D1046" s="53" t="s">
        <v>46</v>
      </c>
      <c r="E1046" s="53" t="s">
        <v>25</v>
      </c>
      <c r="F1046" s="53" t="s">
        <v>25</v>
      </c>
      <c r="G1046" s="53" t="s">
        <v>25</v>
      </c>
      <c r="H1046" s="53" t="s">
        <v>35</v>
      </c>
      <c r="I1046" s="75">
        <v>44470</v>
      </c>
      <c r="J1046" s="76">
        <f>EFEITO!$J$1046*EFEITO!$Y$1046</f>
        <v>0</v>
      </c>
      <c r="K1046" s="76">
        <f ca="1">EFEITO!$L$1046*EFEITO!$Z$1046</f>
        <v>1280.9819837520424</v>
      </c>
      <c r="L1046" s="76">
        <f>EFEITO!$N$1046*EFEITO!$AA$1046</f>
        <v>301.81432583854655</v>
      </c>
      <c r="M1046" s="76">
        <f>$J$1046-EFEITO!$K$1046*EFEITO!$Y$1046</f>
        <v>0</v>
      </c>
      <c r="N1046" s="76">
        <f ca="1">$K$1046-EFEITO!$M$1046*EFEITO!$Z$1046</f>
        <v>0</v>
      </c>
      <c r="O1046" s="76">
        <f>$L$1046-EFEITO!$O$1046*EFEITO!$AA$1046</f>
        <v>0</v>
      </c>
      <c r="P1046" s="57"/>
      <c r="Q1046" s="57"/>
      <c r="R1046" s="57"/>
      <c r="S1046" s="57"/>
      <c r="T1046" s="57"/>
      <c r="U1046" s="57"/>
      <c r="V1046" s="57"/>
      <c r="W1046" s="57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</row>
    <row r="1047" spans="1:36" ht="11.25" customHeight="1" x14ac:dyDescent="0.2">
      <c r="A1047" s="53" t="s">
        <v>28</v>
      </c>
      <c r="B1047" s="53" t="s">
        <v>33</v>
      </c>
      <c r="C1047" s="53" t="s">
        <v>34</v>
      </c>
      <c r="D1047" s="53" t="s">
        <v>46</v>
      </c>
      <c r="E1047" s="53" t="s">
        <v>25</v>
      </c>
      <c r="F1047" s="53" t="s">
        <v>25</v>
      </c>
      <c r="G1047" s="53" t="s">
        <v>25</v>
      </c>
      <c r="H1047" s="53" t="s">
        <v>35</v>
      </c>
      <c r="I1047" s="75">
        <v>44470</v>
      </c>
      <c r="J1047" s="76">
        <f>EFEITO!$J$1047*EFEITO!$Y$1047</f>
        <v>0</v>
      </c>
      <c r="K1047" s="76">
        <f ca="1">EFEITO!$L$1047*EFEITO!$Z$1047</f>
        <v>35854.901621059624</v>
      </c>
      <c r="L1047" s="76">
        <f>EFEITO!$N$1047*EFEITO!$AA$1047</f>
        <v>8447.8338478039241</v>
      </c>
      <c r="M1047" s="76">
        <f>$J$1047-EFEITO!$K$1047*EFEITO!$Y$1047</f>
        <v>0</v>
      </c>
      <c r="N1047" s="76">
        <f ca="1">$K$1047-EFEITO!$M$1047*EFEITO!$Z$1047</f>
        <v>0</v>
      </c>
      <c r="O1047" s="76">
        <f>$L$1047-EFEITO!$O$1047*EFEITO!$AA$1047</f>
        <v>0</v>
      </c>
      <c r="P1047" s="57"/>
      <c r="Q1047" s="57"/>
      <c r="R1047" s="57"/>
      <c r="S1047" s="57"/>
      <c r="T1047" s="57"/>
      <c r="U1047" s="57"/>
      <c r="V1047" s="57"/>
      <c r="W1047" s="57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</row>
    <row r="1048" spans="1:36" ht="11.25" customHeight="1" x14ac:dyDescent="0.2">
      <c r="A1048" s="53" t="s">
        <v>21</v>
      </c>
      <c r="B1048" s="53" t="s">
        <v>33</v>
      </c>
      <c r="C1048" s="53" t="s">
        <v>34</v>
      </c>
      <c r="D1048" s="53" t="s">
        <v>46</v>
      </c>
      <c r="E1048" s="53" t="s">
        <v>25</v>
      </c>
      <c r="F1048" s="53" t="s">
        <v>25</v>
      </c>
      <c r="G1048" s="53" t="s">
        <v>25</v>
      </c>
      <c r="H1048" s="53" t="s">
        <v>35</v>
      </c>
      <c r="I1048" s="75">
        <v>44501</v>
      </c>
      <c r="J1048" s="76">
        <f>EFEITO!$J$1048*EFEITO!$Y$1048</f>
        <v>0</v>
      </c>
      <c r="K1048" s="76">
        <f ca="1">EFEITO!$L$1048*EFEITO!$Z$1048</f>
        <v>1063216.8456461949</v>
      </c>
      <c r="L1048" s="76">
        <f>EFEITO!$N$1048*EFEITO!$AA$1048</f>
        <v>250506.31434251872</v>
      </c>
      <c r="M1048" s="76">
        <f>$J$1048-EFEITO!$K$1048*EFEITO!$Y$1048</f>
        <v>0</v>
      </c>
      <c r="N1048" s="76">
        <f ca="1">$K$1048-EFEITO!$M$1048*EFEITO!$Z$1048</f>
        <v>0</v>
      </c>
      <c r="O1048" s="76">
        <f>$L$1048-EFEITO!$O$1048*EFEITO!$AA$1048</f>
        <v>0</v>
      </c>
      <c r="P1048" s="57"/>
      <c r="Q1048" s="57"/>
      <c r="R1048" s="57"/>
      <c r="S1048" s="57"/>
      <c r="T1048" s="57"/>
      <c r="U1048" s="57"/>
      <c r="V1048" s="57"/>
      <c r="W1048" s="57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</row>
    <row r="1049" spans="1:36" ht="11.25" customHeight="1" x14ac:dyDescent="0.2">
      <c r="A1049" s="53" t="s">
        <v>28</v>
      </c>
      <c r="B1049" s="53" t="s">
        <v>33</v>
      </c>
      <c r="C1049" s="53" t="s">
        <v>34</v>
      </c>
      <c r="D1049" s="53" t="s">
        <v>46</v>
      </c>
      <c r="E1049" s="53" t="s">
        <v>25</v>
      </c>
      <c r="F1049" s="53" t="s">
        <v>25</v>
      </c>
      <c r="G1049" s="53" t="s">
        <v>25</v>
      </c>
      <c r="H1049" s="53" t="s">
        <v>35</v>
      </c>
      <c r="I1049" s="75">
        <v>44501</v>
      </c>
      <c r="J1049" s="76">
        <f>EFEITO!$J$1049*EFEITO!$Y$1049</f>
        <v>0</v>
      </c>
      <c r="K1049" s="76">
        <f ca="1">EFEITO!$L$1049*EFEITO!$Z$1049</f>
        <v>40489.465652162522</v>
      </c>
      <c r="L1049" s="76">
        <f>EFEITO!$N$1049*EFEITO!$AA$1049</f>
        <v>9539.7912963433864</v>
      </c>
      <c r="M1049" s="76">
        <f>$J$1049-EFEITO!$K$1049*EFEITO!$Y$1049</f>
        <v>0</v>
      </c>
      <c r="N1049" s="76">
        <f ca="1">$K$1049-EFEITO!$M$1049*EFEITO!$Z$1049</f>
        <v>0</v>
      </c>
      <c r="O1049" s="76">
        <f>$L$1049-EFEITO!$O$1049*EFEITO!$AA$1049</f>
        <v>0</v>
      </c>
      <c r="P1049" s="57"/>
      <c r="Q1049" s="57"/>
      <c r="R1049" s="57"/>
      <c r="S1049" s="57"/>
      <c r="T1049" s="57"/>
      <c r="U1049" s="57"/>
      <c r="V1049" s="57"/>
      <c r="W1049" s="57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</row>
    <row r="1050" spans="1:36" ht="11.25" customHeight="1" x14ac:dyDescent="0.2">
      <c r="A1050" s="53" t="s">
        <v>21</v>
      </c>
      <c r="B1050" s="53" t="s">
        <v>33</v>
      </c>
      <c r="C1050" s="53" t="s">
        <v>34</v>
      </c>
      <c r="D1050" s="53" t="s">
        <v>46</v>
      </c>
      <c r="E1050" s="53" t="s">
        <v>25</v>
      </c>
      <c r="F1050" s="53" t="s">
        <v>25</v>
      </c>
      <c r="G1050" s="53" t="s">
        <v>25</v>
      </c>
      <c r="H1050" s="53" t="s">
        <v>35</v>
      </c>
      <c r="I1050" s="75">
        <v>44531</v>
      </c>
      <c r="J1050" s="76">
        <f>EFEITO!$J$1050*EFEITO!$Y$1050</f>
        <v>0</v>
      </c>
      <c r="K1050" s="76">
        <f ca="1">EFEITO!$L$1050*EFEITO!$Z$1050</f>
        <v>1146638.9982060469</v>
      </c>
      <c r="L1050" s="76">
        <f>EFEITO!$N$1050*EFEITO!$AA$1050</f>
        <v>270161.54841622896</v>
      </c>
      <c r="M1050" s="76">
        <f>$J$1050-EFEITO!$K$1050*EFEITO!$Y$1050</f>
        <v>0</v>
      </c>
      <c r="N1050" s="76">
        <f ca="1">$K$1050-EFEITO!$M$1050*EFEITO!$Z$1050</f>
        <v>0</v>
      </c>
      <c r="O1050" s="76">
        <f>$L$1050-EFEITO!$O$1050*EFEITO!$AA$1050</f>
        <v>0</v>
      </c>
      <c r="P1050" s="57"/>
      <c r="Q1050" s="57"/>
      <c r="R1050" s="57"/>
      <c r="S1050" s="57"/>
      <c r="T1050" s="57"/>
      <c r="U1050" s="57"/>
      <c r="V1050" s="57"/>
      <c r="W1050" s="57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</row>
    <row r="1051" spans="1:36" ht="11.25" customHeight="1" x14ac:dyDescent="0.2">
      <c r="A1051" s="53" t="s">
        <v>28</v>
      </c>
      <c r="B1051" s="53" t="s">
        <v>33</v>
      </c>
      <c r="C1051" s="53" t="s">
        <v>34</v>
      </c>
      <c r="D1051" s="53" t="s">
        <v>46</v>
      </c>
      <c r="E1051" s="53" t="s">
        <v>25</v>
      </c>
      <c r="F1051" s="53" t="s">
        <v>25</v>
      </c>
      <c r="G1051" s="53" t="s">
        <v>25</v>
      </c>
      <c r="H1051" s="53" t="s">
        <v>35</v>
      </c>
      <c r="I1051" s="75">
        <v>44531</v>
      </c>
      <c r="J1051" s="76">
        <f>EFEITO!$J$1051*EFEITO!$Y$1051</f>
        <v>0</v>
      </c>
      <c r="K1051" s="76">
        <f ca="1">EFEITO!$L$1051*EFEITO!$Z$1051</f>
        <v>34858.182493252556</v>
      </c>
      <c r="L1051" s="76">
        <f>EFEITO!$N$1051*EFEITO!$AA$1051</f>
        <v>8212.9951729239328</v>
      </c>
      <c r="M1051" s="76">
        <f>$J$1051-EFEITO!$K$1051*EFEITO!$Y$1051</f>
        <v>0</v>
      </c>
      <c r="N1051" s="76">
        <f ca="1">$K$1051-EFEITO!$M$1051*EFEITO!$Z$1051</f>
        <v>0</v>
      </c>
      <c r="O1051" s="76">
        <f>$L$1051-EFEITO!$O$1051*EFEITO!$AA$1051</f>
        <v>0</v>
      </c>
      <c r="P1051" s="57"/>
      <c r="Q1051" s="57"/>
      <c r="R1051" s="57"/>
      <c r="S1051" s="57"/>
      <c r="T1051" s="57"/>
      <c r="U1051" s="57"/>
      <c r="V1051" s="57"/>
      <c r="W1051" s="57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</row>
    <row r="1052" spans="1:36" ht="11.25" customHeight="1" x14ac:dyDescent="0.2">
      <c r="A1052" s="53" t="s">
        <v>21</v>
      </c>
      <c r="B1052" s="53" t="s">
        <v>33</v>
      </c>
      <c r="C1052" s="53" t="s">
        <v>34</v>
      </c>
      <c r="D1052" s="53" t="s">
        <v>46</v>
      </c>
      <c r="E1052" s="53" t="s">
        <v>25</v>
      </c>
      <c r="F1052" s="53" t="s">
        <v>25</v>
      </c>
      <c r="G1052" s="53" t="s">
        <v>25</v>
      </c>
      <c r="H1052" s="53" t="s">
        <v>35</v>
      </c>
      <c r="I1052" s="75">
        <v>44562</v>
      </c>
      <c r="J1052" s="76">
        <f>EFEITO!$J$1052*EFEITO!$Y$1052</f>
        <v>0</v>
      </c>
      <c r="K1052" s="76">
        <f ca="1">EFEITO!$L$1052*EFEITO!$Z$1052</f>
        <v>1038775.6374309259</v>
      </c>
      <c r="L1052" s="76">
        <f>EFEITO!$N$1052*EFEITO!$AA$1052</f>
        <v>244747.68004965823</v>
      </c>
      <c r="M1052" s="76">
        <f>$J$1052-EFEITO!$K$1052*EFEITO!$Y$1052</f>
        <v>0</v>
      </c>
      <c r="N1052" s="76">
        <f ca="1">$K$1052-EFEITO!$M$1052*EFEITO!$Z$1052</f>
        <v>0</v>
      </c>
      <c r="O1052" s="76">
        <f>$L$1052-EFEITO!$O$1052*EFEITO!$AA$1052</f>
        <v>0</v>
      </c>
      <c r="P1052" s="57"/>
      <c r="Q1052" s="57"/>
      <c r="R1052" s="57"/>
      <c r="S1052" s="57"/>
      <c r="T1052" s="57"/>
      <c r="U1052" s="57"/>
      <c r="V1052" s="57"/>
      <c r="W1052" s="57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</row>
    <row r="1053" spans="1:36" ht="11.25" customHeight="1" x14ac:dyDescent="0.2">
      <c r="A1053" s="53" t="s">
        <v>28</v>
      </c>
      <c r="B1053" s="53" t="s">
        <v>33</v>
      </c>
      <c r="C1053" s="53" t="s">
        <v>34</v>
      </c>
      <c r="D1053" s="53" t="s">
        <v>46</v>
      </c>
      <c r="E1053" s="53" t="s">
        <v>25</v>
      </c>
      <c r="F1053" s="53" t="s">
        <v>25</v>
      </c>
      <c r="G1053" s="53" t="s">
        <v>25</v>
      </c>
      <c r="H1053" s="53" t="s">
        <v>35</v>
      </c>
      <c r="I1053" s="75">
        <v>44562</v>
      </c>
      <c r="J1053" s="76">
        <f>EFEITO!$J$1053*EFEITO!$Y$1053</f>
        <v>0</v>
      </c>
      <c r="K1053" s="76">
        <f ca="1">EFEITO!$L$1053*EFEITO!$Z$1053</f>
        <v>36353.261184963158</v>
      </c>
      <c r="L1053" s="76">
        <f>EFEITO!$N$1053*EFEITO!$AA$1053</f>
        <v>8565.2531852439224</v>
      </c>
      <c r="M1053" s="76">
        <f>$J$1053-EFEITO!$K$1053*EFEITO!$Y$1053</f>
        <v>0</v>
      </c>
      <c r="N1053" s="76">
        <f ca="1">$K$1053-EFEITO!$M$1053*EFEITO!$Z$1053</f>
        <v>0</v>
      </c>
      <c r="O1053" s="76">
        <f>$L$1053-EFEITO!$O$1053*EFEITO!$AA$1053</f>
        <v>0</v>
      </c>
      <c r="P1053" s="57"/>
      <c r="Q1053" s="57"/>
      <c r="R1053" s="57"/>
      <c r="S1053" s="57"/>
      <c r="T1053" s="57"/>
      <c r="U1053" s="57"/>
      <c r="V1053" s="57"/>
      <c r="W1053" s="57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</row>
    <row r="1054" spans="1:36" ht="11.25" customHeight="1" x14ac:dyDescent="0.2">
      <c r="A1054" s="53" t="s">
        <v>21</v>
      </c>
      <c r="B1054" s="53" t="s">
        <v>33</v>
      </c>
      <c r="C1054" s="53" t="s">
        <v>34</v>
      </c>
      <c r="D1054" s="53" t="s">
        <v>46</v>
      </c>
      <c r="E1054" s="53" t="s">
        <v>25</v>
      </c>
      <c r="F1054" s="53" t="s">
        <v>25</v>
      </c>
      <c r="G1054" s="53" t="s">
        <v>25</v>
      </c>
      <c r="H1054" s="53" t="s">
        <v>35</v>
      </c>
      <c r="I1054" s="75">
        <v>44593</v>
      </c>
      <c r="J1054" s="76">
        <f>EFEITO!$J$1054*EFEITO!$Y$1054</f>
        <v>0</v>
      </c>
      <c r="K1054" s="76">
        <f ca="1">EFEITO!$L$1054*EFEITO!$Z$1054</f>
        <v>1090387.3371049354</v>
      </c>
      <c r="L1054" s="76">
        <f>EFEITO!$N$1054*EFEITO!$AA$1054</f>
        <v>256907.99966388632</v>
      </c>
      <c r="M1054" s="76">
        <f>$J$1054-EFEITO!$K$1054*EFEITO!$Y$1054</f>
        <v>0</v>
      </c>
      <c r="N1054" s="76">
        <f ca="1">$K$1054-EFEITO!$M$1054*EFEITO!$Z$1054</f>
        <v>0</v>
      </c>
      <c r="O1054" s="76">
        <f>$L$1054-EFEITO!$O$1054*EFEITO!$AA$1054</f>
        <v>0</v>
      </c>
      <c r="P1054" s="57"/>
      <c r="Q1054" s="57"/>
      <c r="R1054" s="57"/>
      <c r="S1054" s="57"/>
      <c r="T1054" s="57"/>
      <c r="U1054" s="57"/>
      <c r="V1054" s="57"/>
      <c r="W1054" s="57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</row>
    <row r="1055" spans="1:36" ht="11.25" customHeight="1" x14ac:dyDescent="0.2">
      <c r="A1055" s="53" t="s">
        <v>28</v>
      </c>
      <c r="B1055" s="53" t="s">
        <v>33</v>
      </c>
      <c r="C1055" s="53" t="s">
        <v>34</v>
      </c>
      <c r="D1055" s="53" t="s">
        <v>46</v>
      </c>
      <c r="E1055" s="53" t="s">
        <v>25</v>
      </c>
      <c r="F1055" s="53" t="s">
        <v>25</v>
      </c>
      <c r="G1055" s="53" t="s">
        <v>25</v>
      </c>
      <c r="H1055" s="53" t="s">
        <v>35</v>
      </c>
      <c r="I1055" s="75">
        <v>44593</v>
      </c>
      <c r="J1055" s="76">
        <f>EFEITO!$J$1055*EFEITO!$Y$1055</f>
        <v>0</v>
      </c>
      <c r="K1055" s="76">
        <f ca="1">EFEITO!$L$1055*EFEITO!$Z$1055</f>
        <v>39969.516504263171</v>
      </c>
      <c r="L1055" s="76">
        <f>EFEITO!$N$1055*EFEITO!$AA$1055</f>
        <v>9417.2852006027406</v>
      </c>
      <c r="M1055" s="76">
        <f>$J$1055-EFEITO!$K$1055*EFEITO!$Y$1055</f>
        <v>0</v>
      </c>
      <c r="N1055" s="76">
        <f ca="1">$K$1055-EFEITO!$M$1055*EFEITO!$Z$1055</f>
        <v>0</v>
      </c>
      <c r="O1055" s="76">
        <f>$L$1055-EFEITO!$O$1055*EFEITO!$AA$1055</f>
        <v>0</v>
      </c>
      <c r="P1055" s="57"/>
      <c r="Q1055" s="57"/>
      <c r="R1055" s="57"/>
      <c r="S1055" s="57"/>
      <c r="T1055" s="57"/>
      <c r="U1055" s="57"/>
      <c r="V1055" s="57"/>
      <c r="W1055" s="57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</row>
    <row r="1056" spans="1:36" ht="11.25" customHeight="1" x14ac:dyDescent="0.2">
      <c r="A1056" s="53" t="s">
        <v>21</v>
      </c>
      <c r="B1056" s="53" t="s">
        <v>33</v>
      </c>
      <c r="C1056" s="53" t="s">
        <v>34</v>
      </c>
      <c r="D1056" s="53" t="s">
        <v>46</v>
      </c>
      <c r="E1056" s="53" t="s">
        <v>25</v>
      </c>
      <c r="F1056" s="53" t="s">
        <v>25</v>
      </c>
      <c r="G1056" s="53" t="s">
        <v>25</v>
      </c>
      <c r="H1056" s="53" t="s">
        <v>35</v>
      </c>
      <c r="I1056" s="75">
        <v>44621</v>
      </c>
      <c r="J1056" s="76">
        <f>EFEITO!$J$1056*EFEITO!$Y$1056</f>
        <v>0</v>
      </c>
      <c r="K1056" s="76">
        <f ca="1">EFEITO!$L$1056*EFEITO!$Z$1056</f>
        <v>1221229.2117796086</v>
      </c>
      <c r="L1056" s="76">
        <f>EFEITO!$N$1056*EFEITO!$AA$1056</f>
        <v>287735.87444844854</v>
      </c>
      <c r="M1056" s="76">
        <f>$J$1056-EFEITO!$K$1056*EFEITO!$Y$1056</f>
        <v>0</v>
      </c>
      <c r="N1056" s="76">
        <f ca="1">$K$1056-EFEITO!$M$1056*EFEITO!$Z$1056</f>
        <v>0</v>
      </c>
      <c r="O1056" s="76">
        <f>$L$1056-EFEITO!$O$1056*EFEITO!$AA$1056</f>
        <v>0</v>
      </c>
      <c r="P1056" s="57"/>
      <c r="Q1056" s="57"/>
      <c r="R1056" s="57"/>
      <c r="S1056" s="57"/>
      <c r="T1056" s="57"/>
      <c r="U1056" s="57"/>
      <c r="V1056" s="57"/>
      <c r="W1056" s="57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</row>
    <row r="1057" spans="1:36" ht="11.25" customHeight="1" x14ac:dyDescent="0.2">
      <c r="A1057" s="53" t="s">
        <v>28</v>
      </c>
      <c r="B1057" s="53" t="s">
        <v>33</v>
      </c>
      <c r="C1057" s="53" t="s">
        <v>34</v>
      </c>
      <c r="D1057" s="53" t="s">
        <v>46</v>
      </c>
      <c r="E1057" s="53" t="s">
        <v>25</v>
      </c>
      <c r="F1057" s="53" t="s">
        <v>25</v>
      </c>
      <c r="G1057" s="53" t="s">
        <v>25</v>
      </c>
      <c r="H1057" s="53" t="s">
        <v>35</v>
      </c>
      <c r="I1057" s="75">
        <v>44621</v>
      </c>
      <c r="J1057" s="76">
        <f>EFEITO!$J$1057*EFEITO!$Y$1057</f>
        <v>0</v>
      </c>
      <c r="K1057" s="76">
        <f ca="1">EFEITO!$L$1057*EFEITO!$Z$1057</f>
        <v>46259.281975045669</v>
      </c>
      <c r="L1057" s="76">
        <f>EFEITO!$N$1057*EFEITO!$AA$1057</f>
        <v>10899.227452192008</v>
      </c>
      <c r="M1057" s="76">
        <f>$J$1057-EFEITO!$K$1057*EFEITO!$Y$1057</f>
        <v>0</v>
      </c>
      <c r="N1057" s="76">
        <f ca="1">$K$1057-EFEITO!$M$1057*EFEITO!$Z$1057</f>
        <v>0</v>
      </c>
      <c r="O1057" s="76">
        <f>$L$1057-EFEITO!$O$1057*EFEITO!$AA$1057</f>
        <v>0</v>
      </c>
      <c r="P1057" s="57"/>
      <c r="Q1057" s="57"/>
      <c r="R1057" s="57"/>
      <c r="S1057" s="57"/>
      <c r="T1057" s="57"/>
      <c r="U1057" s="57"/>
      <c r="V1057" s="57"/>
      <c r="W1057" s="57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</row>
    <row r="1058" spans="1:36" ht="11.25" customHeight="1" x14ac:dyDescent="0.2">
      <c r="A1058" s="53" t="s">
        <v>56</v>
      </c>
      <c r="B1058" s="53" t="s">
        <v>33</v>
      </c>
      <c r="C1058" s="53" t="s">
        <v>34</v>
      </c>
      <c r="D1058" s="53" t="s">
        <v>46</v>
      </c>
      <c r="E1058" s="53" t="s">
        <v>25</v>
      </c>
      <c r="F1058" s="53" t="s">
        <v>25</v>
      </c>
      <c r="G1058" s="53" t="s">
        <v>25</v>
      </c>
      <c r="H1058" s="53" t="s">
        <v>35</v>
      </c>
      <c r="I1058" s="75">
        <v>44652</v>
      </c>
      <c r="J1058" s="76">
        <f>EFEITO!$J$1058*EFEITO!$Y$1058</f>
        <v>0</v>
      </c>
      <c r="K1058" s="76">
        <f ca="1">EFEITO!$L$1058*EFEITO!$Z$1058</f>
        <v>1221229.2117796086</v>
      </c>
      <c r="L1058" s="76">
        <f>EFEITO!$N$1058*EFEITO!$AA$1058</f>
        <v>287735.87444844854</v>
      </c>
      <c r="M1058" s="76">
        <f>$J$1058-EFEITO!$K$1058*EFEITO!$Y$1058</f>
        <v>0</v>
      </c>
      <c r="N1058" s="76">
        <f ca="1">$K$1058-EFEITO!$M$1058*EFEITO!$Z$1058</f>
        <v>0</v>
      </c>
      <c r="O1058" s="76">
        <f>$L$1058-EFEITO!$O$1058*EFEITO!$AA$1058</f>
        <v>0</v>
      </c>
      <c r="P1058" s="57"/>
      <c r="Q1058" s="57"/>
      <c r="R1058" s="57"/>
      <c r="S1058" s="57"/>
      <c r="T1058" s="57"/>
      <c r="U1058" s="57"/>
      <c r="V1058" s="57"/>
      <c r="W1058" s="57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</row>
    <row r="1059" spans="1:36" ht="11.25" customHeight="1" x14ac:dyDescent="0.2">
      <c r="A1059" s="53" t="s">
        <v>56</v>
      </c>
      <c r="B1059" s="53" t="s">
        <v>33</v>
      </c>
      <c r="C1059" s="53" t="s">
        <v>34</v>
      </c>
      <c r="D1059" s="53" t="s">
        <v>46</v>
      </c>
      <c r="E1059" s="53" t="s">
        <v>25</v>
      </c>
      <c r="F1059" s="53" t="s">
        <v>25</v>
      </c>
      <c r="G1059" s="53" t="s">
        <v>25</v>
      </c>
      <c r="H1059" s="53" t="s">
        <v>35</v>
      </c>
      <c r="I1059" s="75">
        <v>44652</v>
      </c>
      <c r="J1059" s="76">
        <f>EFEITO!$J$1059*EFEITO!$Y$1059</f>
        <v>0</v>
      </c>
      <c r="K1059" s="76">
        <f ca="1">EFEITO!$L$1059*EFEITO!$Z$1059</f>
        <v>46259.281975045669</v>
      </c>
      <c r="L1059" s="76">
        <f>EFEITO!$N$1059*EFEITO!$AA$1059</f>
        <v>10899.227452192008</v>
      </c>
      <c r="M1059" s="76">
        <f>$J$1059-EFEITO!$K$1059*EFEITO!$Y$1059</f>
        <v>0</v>
      </c>
      <c r="N1059" s="76">
        <f ca="1">$K$1059-EFEITO!$M$1059*EFEITO!$Z$1059</f>
        <v>0</v>
      </c>
      <c r="O1059" s="76">
        <f>$L$1059-EFEITO!$O$1059*EFEITO!$AA$1059</f>
        <v>0</v>
      </c>
      <c r="P1059" s="57"/>
      <c r="Q1059" s="57"/>
      <c r="R1059" s="57"/>
      <c r="S1059" s="57"/>
      <c r="T1059" s="57"/>
      <c r="U1059" s="57"/>
      <c r="V1059" s="57"/>
      <c r="W1059" s="57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</row>
    <row r="1060" spans="1:36" ht="11.25" customHeight="1" x14ac:dyDescent="0.2">
      <c r="A1060" s="53" t="s">
        <v>21</v>
      </c>
      <c r="B1060" s="53" t="s">
        <v>33</v>
      </c>
      <c r="C1060" s="53" t="s">
        <v>34</v>
      </c>
      <c r="D1060" s="53" t="s">
        <v>24</v>
      </c>
      <c r="E1060" s="53" t="s">
        <v>24</v>
      </c>
      <c r="F1060" s="53" t="s">
        <v>25</v>
      </c>
      <c r="G1060" s="53" t="s">
        <v>25</v>
      </c>
      <c r="H1060" s="53" t="s">
        <v>36</v>
      </c>
      <c r="I1060" s="75">
        <v>44317</v>
      </c>
      <c r="J1060" s="76">
        <f>EFEITO!$J$1060*EFEITO!$Y$1060</f>
        <v>0</v>
      </c>
      <c r="K1060" s="76">
        <f ca="1">EFEITO!$L$1060*EFEITO!$Z$1060</f>
        <v>220.71857971541283</v>
      </c>
      <c r="L1060" s="76">
        <f>EFEITO!$N$1060*EFEITO!$AA$1060</f>
        <v>508.92810927736514</v>
      </c>
      <c r="M1060" s="76">
        <f>$J$1060-EFEITO!$K$1060*EFEITO!$Y$1060</f>
        <v>0</v>
      </c>
      <c r="N1060" s="76">
        <f ca="1">$K$1060-EFEITO!$M$1060*EFEITO!$Z$1060</f>
        <v>0</v>
      </c>
      <c r="O1060" s="76">
        <f>$L$1060-EFEITO!$O$1060*EFEITO!$AA$1060</f>
        <v>0</v>
      </c>
      <c r="P1060" s="57"/>
      <c r="Q1060" s="57"/>
      <c r="R1060" s="57"/>
      <c r="S1060" s="57"/>
      <c r="T1060" s="57"/>
      <c r="U1060" s="57"/>
      <c r="V1060" s="57"/>
      <c r="W1060" s="57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</row>
    <row r="1061" spans="1:36" ht="11.25" customHeight="1" x14ac:dyDescent="0.2">
      <c r="A1061" s="53" t="s">
        <v>21</v>
      </c>
      <c r="B1061" s="53" t="s">
        <v>33</v>
      </c>
      <c r="C1061" s="53" t="s">
        <v>34</v>
      </c>
      <c r="D1061" s="53" t="s">
        <v>24</v>
      </c>
      <c r="E1061" s="53" t="s">
        <v>24</v>
      </c>
      <c r="F1061" s="53" t="s">
        <v>25</v>
      </c>
      <c r="G1061" s="53" t="s">
        <v>25</v>
      </c>
      <c r="H1061" s="53" t="s">
        <v>36</v>
      </c>
      <c r="I1061" s="75">
        <v>44348</v>
      </c>
      <c r="J1061" s="76">
        <f>EFEITO!$J$1061*EFEITO!$Y$1061</f>
        <v>0</v>
      </c>
      <c r="K1061" s="76">
        <f ca="1">EFEITO!$L$1061*EFEITO!$Z$1061</f>
        <v>198.02348867381735</v>
      </c>
      <c r="L1061" s="76">
        <f>EFEITO!$N$1061*EFEITO!$AA$1061</f>
        <v>456.59826106717253</v>
      </c>
      <c r="M1061" s="76">
        <f>$J$1061-EFEITO!$K$1061*EFEITO!$Y$1061</f>
        <v>0</v>
      </c>
      <c r="N1061" s="76">
        <f ca="1">$K$1061-EFEITO!$M$1061*EFEITO!$Z$1061</f>
        <v>0</v>
      </c>
      <c r="O1061" s="76">
        <f>$L$1061-EFEITO!$O$1061*EFEITO!$AA$1061</f>
        <v>0</v>
      </c>
      <c r="P1061" s="57"/>
      <c r="Q1061" s="57"/>
      <c r="R1061" s="57"/>
      <c r="S1061" s="57"/>
      <c r="T1061" s="57"/>
      <c r="U1061" s="57"/>
      <c r="V1061" s="57"/>
      <c r="W1061" s="57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</row>
    <row r="1062" spans="1:36" ht="11.25" customHeight="1" x14ac:dyDescent="0.2">
      <c r="A1062" s="53" t="s">
        <v>21</v>
      </c>
      <c r="B1062" s="53" t="s">
        <v>33</v>
      </c>
      <c r="C1062" s="53" t="s">
        <v>34</v>
      </c>
      <c r="D1062" s="53" t="s">
        <v>24</v>
      </c>
      <c r="E1062" s="53" t="s">
        <v>24</v>
      </c>
      <c r="F1062" s="53" t="s">
        <v>25</v>
      </c>
      <c r="G1062" s="53" t="s">
        <v>25</v>
      </c>
      <c r="H1062" s="53" t="s">
        <v>36</v>
      </c>
      <c r="I1062" s="75">
        <v>44378</v>
      </c>
      <c r="J1062" s="76">
        <f>EFEITO!$J$1062*EFEITO!$Y$1062</f>
        <v>0</v>
      </c>
      <c r="K1062" s="76">
        <f ca="1">EFEITO!$L$1062*EFEITO!$Z$1062</f>
        <v>216.60288963014941</v>
      </c>
      <c r="L1062" s="76">
        <f>EFEITO!$N$1062*EFEITO!$AA$1062</f>
        <v>499.43824043095719</v>
      </c>
      <c r="M1062" s="76">
        <f>$J$1062-EFEITO!$K$1062*EFEITO!$Y$1062</f>
        <v>0</v>
      </c>
      <c r="N1062" s="76">
        <f ca="1">$K$1062-EFEITO!$M$1062*EFEITO!$Z$1062</f>
        <v>0</v>
      </c>
      <c r="O1062" s="76">
        <f>$L$1062-EFEITO!$O$1062*EFEITO!$AA$1062</f>
        <v>0</v>
      </c>
      <c r="P1062" s="57"/>
      <c r="Q1062" s="57"/>
      <c r="R1062" s="57"/>
      <c r="S1062" s="57"/>
      <c r="T1062" s="57"/>
      <c r="U1062" s="57"/>
      <c r="V1062" s="57"/>
      <c r="W1062" s="57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</row>
    <row r="1063" spans="1:36" ht="11.25" customHeight="1" x14ac:dyDescent="0.2">
      <c r="A1063" s="53" t="s">
        <v>21</v>
      </c>
      <c r="B1063" s="53" t="s">
        <v>33</v>
      </c>
      <c r="C1063" s="53" t="s">
        <v>34</v>
      </c>
      <c r="D1063" s="53" t="s">
        <v>24</v>
      </c>
      <c r="E1063" s="53" t="s">
        <v>24</v>
      </c>
      <c r="F1063" s="53" t="s">
        <v>25</v>
      </c>
      <c r="G1063" s="53" t="s">
        <v>25</v>
      </c>
      <c r="H1063" s="53" t="s">
        <v>36</v>
      </c>
      <c r="I1063" s="75">
        <v>44409</v>
      </c>
      <c r="J1063" s="76">
        <f>EFEITO!$J$1063*EFEITO!$Y$1063</f>
        <v>0</v>
      </c>
      <c r="K1063" s="76">
        <f ca="1">EFEITO!$L$1063*EFEITO!$Z$1063</f>
        <v>211.31128809195354</v>
      </c>
      <c r="L1063" s="76">
        <f>EFEITO!$N$1063*EFEITO!$AA$1063</f>
        <v>487.23698048557543</v>
      </c>
      <c r="M1063" s="76">
        <f>$J$1063-EFEITO!$K$1063*EFEITO!$Y$1063</f>
        <v>0</v>
      </c>
      <c r="N1063" s="76">
        <f ca="1">$K$1063-EFEITO!$M$1063*EFEITO!$Z$1063</f>
        <v>0</v>
      </c>
      <c r="O1063" s="76">
        <f>$L$1063-EFEITO!$O$1063*EFEITO!$AA$1063</f>
        <v>0</v>
      </c>
      <c r="P1063" s="57"/>
      <c r="Q1063" s="57"/>
      <c r="R1063" s="57"/>
      <c r="S1063" s="57"/>
      <c r="T1063" s="57"/>
      <c r="U1063" s="57"/>
      <c r="V1063" s="57"/>
      <c r="W1063" s="57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</row>
    <row r="1064" spans="1:36" ht="11.25" customHeight="1" x14ac:dyDescent="0.2">
      <c r="A1064" s="53" t="s">
        <v>21</v>
      </c>
      <c r="B1064" s="53" t="s">
        <v>33</v>
      </c>
      <c r="C1064" s="53" t="s">
        <v>34</v>
      </c>
      <c r="D1064" s="53" t="s">
        <v>24</v>
      </c>
      <c r="E1064" s="53" t="s">
        <v>24</v>
      </c>
      <c r="F1064" s="53" t="s">
        <v>25</v>
      </c>
      <c r="G1064" s="53" t="s">
        <v>25</v>
      </c>
      <c r="H1064" s="53" t="s">
        <v>36</v>
      </c>
      <c r="I1064" s="75">
        <v>44440</v>
      </c>
      <c r="J1064" s="76">
        <f>EFEITO!$J$1064*EFEITO!$Y$1064</f>
        <v>0</v>
      </c>
      <c r="K1064" s="76">
        <f ca="1">EFEITO!$L$1064*EFEITO!$Z$1064</f>
        <v>198.02348867381735</v>
      </c>
      <c r="L1064" s="76">
        <f>EFEITO!$N$1064*EFEITO!$AA$1064</f>
        <v>456.59826106717253</v>
      </c>
      <c r="M1064" s="76">
        <f>$J$1064-EFEITO!$K$1064*EFEITO!$Y$1064</f>
        <v>0</v>
      </c>
      <c r="N1064" s="76">
        <f ca="1">$K$1064-EFEITO!$M$1064*EFEITO!$Z$1064</f>
        <v>0</v>
      </c>
      <c r="O1064" s="76">
        <f>$L$1064-EFEITO!$O$1064*EFEITO!$AA$1064</f>
        <v>0</v>
      </c>
      <c r="P1064" s="57"/>
      <c r="Q1064" s="57"/>
      <c r="R1064" s="57"/>
      <c r="S1064" s="57"/>
      <c r="T1064" s="57"/>
      <c r="U1064" s="57"/>
      <c r="V1064" s="57"/>
      <c r="W1064" s="57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</row>
    <row r="1065" spans="1:36" ht="11.25" customHeight="1" x14ac:dyDescent="0.2">
      <c r="A1065" s="53" t="s">
        <v>21</v>
      </c>
      <c r="B1065" s="53" t="s">
        <v>33</v>
      </c>
      <c r="C1065" s="53" t="s">
        <v>34</v>
      </c>
      <c r="D1065" s="53" t="s">
        <v>24</v>
      </c>
      <c r="E1065" s="53" t="s">
        <v>24</v>
      </c>
      <c r="F1065" s="53" t="s">
        <v>25</v>
      </c>
      <c r="G1065" s="53" t="s">
        <v>25</v>
      </c>
      <c r="H1065" s="53" t="s">
        <v>36</v>
      </c>
      <c r="I1065" s="75">
        <v>44470</v>
      </c>
      <c r="J1065" s="76">
        <f>EFEITO!$J$1065*EFEITO!$Y$1065</f>
        <v>0</v>
      </c>
      <c r="K1065" s="76">
        <f ca="1">EFEITO!$L$1065*EFEITO!$Z$1065</f>
        <v>210.37055892960763</v>
      </c>
      <c r="L1065" s="76">
        <f>EFEITO!$N$1065*EFEITO!$AA$1065</f>
        <v>485.06786760639648</v>
      </c>
      <c r="M1065" s="76">
        <f>$J$1065-EFEITO!$K$1065*EFEITO!$Y$1065</f>
        <v>0</v>
      </c>
      <c r="N1065" s="76">
        <f ca="1">$K$1065-EFEITO!$M$1065*EFEITO!$Z$1065</f>
        <v>0</v>
      </c>
      <c r="O1065" s="76">
        <f>$L$1065-EFEITO!$O$1065*EFEITO!$AA$1065</f>
        <v>0</v>
      </c>
      <c r="P1065" s="57"/>
      <c r="Q1065" s="57"/>
      <c r="R1065" s="57"/>
      <c r="S1065" s="57"/>
      <c r="T1065" s="57"/>
      <c r="U1065" s="57"/>
      <c r="V1065" s="57"/>
      <c r="W1065" s="57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</row>
    <row r="1066" spans="1:36" ht="11.25" customHeight="1" x14ac:dyDescent="0.2">
      <c r="A1066" s="53" t="s">
        <v>21</v>
      </c>
      <c r="B1066" s="53" t="s">
        <v>33</v>
      </c>
      <c r="C1066" s="53" t="s">
        <v>34</v>
      </c>
      <c r="D1066" s="53" t="s">
        <v>24</v>
      </c>
      <c r="E1066" s="53" t="s">
        <v>24</v>
      </c>
      <c r="F1066" s="53" t="s">
        <v>25</v>
      </c>
      <c r="G1066" s="53" t="s">
        <v>25</v>
      </c>
      <c r="H1066" s="53" t="s">
        <v>36</v>
      </c>
      <c r="I1066" s="75">
        <v>44501</v>
      </c>
      <c r="J1066" s="76">
        <f>EFEITO!$J$1066*EFEITO!$Y$1066</f>
        <v>0</v>
      </c>
      <c r="K1066" s="76">
        <f ca="1">EFEITO!$L$1066*EFEITO!$Z$1066</f>
        <v>212.36960839959275</v>
      </c>
      <c r="L1066" s="76">
        <f>EFEITO!$N$1066*EFEITO!$AA$1066</f>
        <v>489.67723247465182</v>
      </c>
      <c r="M1066" s="76">
        <f>$J$1066-EFEITO!$K$1066*EFEITO!$Y$1066</f>
        <v>0</v>
      </c>
      <c r="N1066" s="76">
        <f ca="1">$K$1066-EFEITO!$M$1066*EFEITO!$Z$1066</f>
        <v>0</v>
      </c>
      <c r="O1066" s="76">
        <f>$L$1066-EFEITO!$O$1066*EFEITO!$AA$1066</f>
        <v>0</v>
      </c>
      <c r="P1066" s="57"/>
      <c r="Q1066" s="57"/>
      <c r="R1066" s="57"/>
      <c r="S1066" s="57"/>
      <c r="T1066" s="57"/>
      <c r="U1066" s="57"/>
      <c r="V1066" s="57"/>
      <c r="W1066" s="57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</row>
    <row r="1067" spans="1:36" ht="11.25" customHeight="1" x14ac:dyDescent="0.2">
      <c r="A1067" s="53" t="s">
        <v>21</v>
      </c>
      <c r="B1067" s="53" t="s">
        <v>33</v>
      </c>
      <c r="C1067" s="53" t="s">
        <v>34</v>
      </c>
      <c r="D1067" s="53" t="s">
        <v>24</v>
      </c>
      <c r="E1067" s="53" t="s">
        <v>24</v>
      </c>
      <c r="F1067" s="53" t="s">
        <v>25</v>
      </c>
      <c r="G1067" s="53" t="s">
        <v>25</v>
      </c>
      <c r="H1067" s="53" t="s">
        <v>36</v>
      </c>
      <c r="I1067" s="75">
        <v>44531</v>
      </c>
      <c r="J1067" s="76">
        <f>EFEITO!$J$1067*EFEITO!$Y$1067</f>
        <v>0</v>
      </c>
      <c r="K1067" s="76">
        <f ca="1">EFEITO!$L$1067*EFEITO!$Z$1067</f>
        <v>208.72428289550226</v>
      </c>
      <c r="L1067" s="76">
        <f>EFEITO!$N$1067*EFEITO!$AA$1067</f>
        <v>481.27192006783326</v>
      </c>
      <c r="M1067" s="76">
        <f>$J$1067-EFEITO!$K$1067*EFEITO!$Y$1067</f>
        <v>0</v>
      </c>
      <c r="N1067" s="76">
        <f ca="1">$K$1067-EFEITO!$M$1067*EFEITO!$Z$1067</f>
        <v>0</v>
      </c>
      <c r="O1067" s="76">
        <f>$L$1067-EFEITO!$O$1067*EFEITO!$AA$1067</f>
        <v>0</v>
      </c>
      <c r="P1067" s="57"/>
      <c r="Q1067" s="57"/>
      <c r="R1067" s="57"/>
      <c r="S1067" s="57"/>
      <c r="T1067" s="57"/>
      <c r="U1067" s="57"/>
      <c r="V1067" s="57"/>
      <c r="W1067" s="57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</row>
    <row r="1068" spans="1:36" ht="11.25" customHeight="1" x14ac:dyDescent="0.2">
      <c r="A1068" s="53" t="s">
        <v>21</v>
      </c>
      <c r="B1068" s="53" t="s">
        <v>33</v>
      </c>
      <c r="C1068" s="53" t="s">
        <v>34</v>
      </c>
      <c r="D1068" s="53" t="s">
        <v>24</v>
      </c>
      <c r="E1068" s="53" t="s">
        <v>24</v>
      </c>
      <c r="F1068" s="53" t="s">
        <v>25</v>
      </c>
      <c r="G1068" s="53" t="s">
        <v>25</v>
      </c>
      <c r="H1068" s="53" t="s">
        <v>36</v>
      </c>
      <c r="I1068" s="75">
        <v>44562</v>
      </c>
      <c r="J1068" s="76">
        <f>EFEITO!$J$1068*EFEITO!$Y$1068</f>
        <v>0</v>
      </c>
      <c r="K1068" s="76">
        <f ca="1">EFEITO!$L$1068*EFEITO!$Z$1068</f>
        <v>192.0263402638621</v>
      </c>
      <c r="L1068" s="76">
        <f>EFEITO!$N$1068*EFEITO!$AA$1068</f>
        <v>442.77016646240662</v>
      </c>
      <c r="M1068" s="76">
        <f>$J$1068-EFEITO!$K$1068*EFEITO!$Y$1068</f>
        <v>0</v>
      </c>
      <c r="N1068" s="76">
        <f ca="1">$K$1068-EFEITO!$M$1068*EFEITO!$Z$1068</f>
        <v>0</v>
      </c>
      <c r="O1068" s="76">
        <f>$L$1068-EFEITO!$O$1068*EFEITO!$AA$1068</f>
        <v>0</v>
      </c>
      <c r="P1068" s="57"/>
      <c r="Q1068" s="57"/>
      <c r="R1068" s="57"/>
      <c r="S1068" s="57"/>
      <c r="T1068" s="57"/>
      <c r="U1068" s="57"/>
      <c r="V1068" s="57"/>
      <c r="W1068" s="57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</row>
    <row r="1069" spans="1:36" ht="11.25" customHeight="1" x14ac:dyDescent="0.2">
      <c r="A1069" s="53" t="s">
        <v>28</v>
      </c>
      <c r="B1069" s="53" t="s">
        <v>33</v>
      </c>
      <c r="C1069" s="53" t="s">
        <v>34</v>
      </c>
      <c r="D1069" s="53" t="s">
        <v>24</v>
      </c>
      <c r="E1069" s="53" t="s">
        <v>24</v>
      </c>
      <c r="F1069" s="53" t="s">
        <v>25</v>
      </c>
      <c r="G1069" s="53" t="s">
        <v>25</v>
      </c>
      <c r="H1069" s="53" t="s">
        <v>36</v>
      </c>
      <c r="I1069" s="75">
        <v>44562</v>
      </c>
      <c r="J1069" s="76">
        <f>EFEITO!$J$1069*EFEITO!$Y$1069</f>
        <v>0</v>
      </c>
      <c r="K1069" s="76">
        <f ca="1">EFEITO!$L$1069*EFEITO!$Z$1069</f>
        <v>58.090025774860912</v>
      </c>
      <c r="L1069" s="76">
        <f>EFEITO!$N$1069*EFEITO!$AA$1069</f>
        <v>133.94272028930121</v>
      </c>
      <c r="M1069" s="76">
        <f>$J$1069-EFEITO!$K$1069*EFEITO!$Y$1069</f>
        <v>0</v>
      </c>
      <c r="N1069" s="76">
        <f ca="1">$K$1069-EFEITO!$M$1069*EFEITO!$Z$1069</f>
        <v>0</v>
      </c>
      <c r="O1069" s="76">
        <f>$L$1069-EFEITO!$O$1069*EFEITO!$AA$1069</f>
        <v>0</v>
      </c>
      <c r="P1069" s="57"/>
      <c r="Q1069" s="57"/>
      <c r="R1069" s="57"/>
      <c r="S1069" s="57"/>
      <c r="T1069" s="57"/>
      <c r="U1069" s="57"/>
      <c r="V1069" s="57"/>
      <c r="W1069" s="57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</row>
    <row r="1070" spans="1:36" ht="11.25" customHeight="1" x14ac:dyDescent="0.2">
      <c r="A1070" s="53" t="s">
        <v>21</v>
      </c>
      <c r="B1070" s="53" t="s">
        <v>33</v>
      </c>
      <c r="C1070" s="53" t="s">
        <v>34</v>
      </c>
      <c r="D1070" s="53" t="s">
        <v>24</v>
      </c>
      <c r="E1070" s="53" t="s">
        <v>24</v>
      </c>
      <c r="F1070" s="53" t="s">
        <v>25</v>
      </c>
      <c r="G1070" s="53" t="s">
        <v>25</v>
      </c>
      <c r="H1070" s="53" t="s">
        <v>36</v>
      </c>
      <c r="I1070" s="75">
        <v>44593</v>
      </c>
      <c r="J1070" s="76">
        <f>EFEITO!$J$1070*EFEITO!$Y$1070</f>
        <v>0</v>
      </c>
      <c r="K1070" s="76">
        <f ca="1">EFEITO!$L$1070*EFEITO!$Z$1070</f>
        <v>331.60702972693878</v>
      </c>
      <c r="L1070" s="76">
        <f>EFEITO!$N$1070*EFEITO!$AA$1070</f>
        <v>764.61228991058579</v>
      </c>
      <c r="M1070" s="76">
        <f>$J$1070-EFEITO!$K$1070*EFEITO!$Y$1070</f>
        <v>0</v>
      </c>
      <c r="N1070" s="76">
        <f ca="1">$K$1070-EFEITO!$M$1070*EFEITO!$Z$1070</f>
        <v>0</v>
      </c>
      <c r="O1070" s="76">
        <f>$L$1070-EFEITO!$O$1070*EFEITO!$AA$1070</f>
        <v>0</v>
      </c>
      <c r="P1070" s="57"/>
      <c r="Q1070" s="57"/>
      <c r="R1070" s="57"/>
      <c r="S1070" s="57"/>
      <c r="T1070" s="57"/>
      <c r="U1070" s="57"/>
      <c r="V1070" s="57"/>
      <c r="W1070" s="57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</row>
    <row r="1071" spans="1:36" ht="11.25" customHeight="1" x14ac:dyDescent="0.2">
      <c r="A1071" s="53" t="s">
        <v>28</v>
      </c>
      <c r="B1071" s="53" t="s">
        <v>33</v>
      </c>
      <c r="C1071" s="53" t="s">
        <v>34</v>
      </c>
      <c r="D1071" s="53" t="s">
        <v>24</v>
      </c>
      <c r="E1071" s="53" t="s">
        <v>24</v>
      </c>
      <c r="F1071" s="53" t="s">
        <v>25</v>
      </c>
      <c r="G1071" s="53" t="s">
        <v>25</v>
      </c>
      <c r="H1071" s="53" t="s">
        <v>36</v>
      </c>
      <c r="I1071" s="75">
        <v>44593</v>
      </c>
      <c r="J1071" s="76">
        <f>EFEITO!$J$1071*EFEITO!$Y$1071</f>
        <v>0</v>
      </c>
      <c r="K1071" s="76">
        <f ca="1">EFEITO!$L$1071*EFEITO!$Z$1071</f>
        <v>16.697942631640181</v>
      </c>
      <c r="L1071" s="76">
        <f>EFEITO!$N$1071*EFEITO!$AA$1071</f>
        <v>38.501753605426657</v>
      </c>
      <c r="M1071" s="76">
        <f>$J$1071-EFEITO!$K$1071*EFEITO!$Y$1071</f>
        <v>0</v>
      </c>
      <c r="N1071" s="76">
        <f ca="1">$K$1071-EFEITO!$M$1071*EFEITO!$Z$1071</f>
        <v>0</v>
      </c>
      <c r="O1071" s="76">
        <f>$L$1071-EFEITO!$O$1071*EFEITO!$AA$1071</f>
        <v>0</v>
      </c>
      <c r="P1071" s="57"/>
      <c r="Q1071" s="57"/>
      <c r="R1071" s="57"/>
      <c r="S1071" s="57"/>
      <c r="T1071" s="57"/>
      <c r="U1071" s="57"/>
      <c r="V1071" s="57"/>
      <c r="W1071" s="57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</row>
    <row r="1072" spans="1:36" ht="11.25" customHeight="1" x14ac:dyDescent="0.2">
      <c r="A1072" s="53" t="s">
        <v>21</v>
      </c>
      <c r="B1072" s="53" t="s">
        <v>33</v>
      </c>
      <c r="C1072" s="53" t="s">
        <v>34</v>
      </c>
      <c r="D1072" s="53" t="s">
        <v>24</v>
      </c>
      <c r="E1072" s="53" t="s">
        <v>24</v>
      </c>
      <c r="F1072" s="53" t="s">
        <v>25</v>
      </c>
      <c r="G1072" s="53" t="s">
        <v>25</v>
      </c>
      <c r="H1072" s="53" t="s">
        <v>36</v>
      </c>
      <c r="I1072" s="75">
        <v>44621</v>
      </c>
      <c r="J1072" s="76">
        <f>EFEITO!$J$1072*EFEITO!$Y$1072</f>
        <v>0</v>
      </c>
      <c r="K1072" s="76">
        <f ca="1">EFEITO!$L$1072*EFEITO!$Z$1072</f>
        <v>504.34842216270937</v>
      </c>
      <c r="L1072" s="76">
        <f>EFEITO!$N$1072*EFEITO!$AA$1072</f>
        <v>1162.9156423498237</v>
      </c>
      <c r="M1072" s="76">
        <f>$J$1072-EFEITO!$K$1072*EFEITO!$Y$1072</f>
        <v>0</v>
      </c>
      <c r="N1072" s="76">
        <f ca="1">$K$1072-EFEITO!$M$1072*EFEITO!$Z$1072</f>
        <v>0</v>
      </c>
      <c r="O1072" s="76">
        <f>$L$1072-EFEITO!$O$1072*EFEITO!$AA$1072</f>
        <v>0</v>
      </c>
      <c r="P1072" s="57"/>
      <c r="Q1072" s="57"/>
      <c r="R1072" s="57"/>
      <c r="S1072" s="57"/>
      <c r="T1072" s="57"/>
      <c r="U1072" s="57"/>
      <c r="V1072" s="57"/>
      <c r="W1072" s="57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</row>
    <row r="1073" spans="1:36" ht="11.25" customHeight="1" x14ac:dyDescent="0.2">
      <c r="A1073" s="53" t="s">
        <v>28</v>
      </c>
      <c r="B1073" s="53" t="s">
        <v>33</v>
      </c>
      <c r="C1073" s="53" t="s">
        <v>34</v>
      </c>
      <c r="D1073" s="53" t="s">
        <v>24</v>
      </c>
      <c r="E1073" s="53" t="s">
        <v>24</v>
      </c>
      <c r="F1073" s="53" t="s">
        <v>25</v>
      </c>
      <c r="G1073" s="53" t="s">
        <v>25</v>
      </c>
      <c r="H1073" s="53" t="s">
        <v>36</v>
      </c>
      <c r="I1073" s="75">
        <v>44621</v>
      </c>
      <c r="J1073" s="76">
        <f>EFEITO!$J$1073*EFEITO!$Y$1073</f>
        <v>0</v>
      </c>
      <c r="K1073" s="76">
        <f ca="1">EFEITO!$L$1073*EFEITO!$Z$1073</f>
        <v>18.226627520452311</v>
      </c>
      <c r="L1073" s="76">
        <f>EFEITO!$N$1073*EFEITO!$AA$1073</f>
        <v>42.026562034092485</v>
      </c>
      <c r="M1073" s="76">
        <f>$J$1073-EFEITO!$K$1073*EFEITO!$Y$1073</f>
        <v>0</v>
      </c>
      <c r="N1073" s="76">
        <f ca="1">$K$1073-EFEITO!$M$1073*EFEITO!$Z$1073</f>
        <v>0</v>
      </c>
      <c r="O1073" s="76">
        <f>$L$1073-EFEITO!$O$1073*EFEITO!$AA$1073</f>
        <v>0</v>
      </c>
      <c r="P1073" s="57"/>
      <c r="Q1073" s="57"/>
      <c r="R1073" s="57"/>
      <c r="S1073" s="57"/>
      <c r="T1073" s="57"/>
      <c r="U1073" s="57"/>
      <c r="V1073" s="57"/>
      <c r="W1073" s="57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</row>
    <row r="1074" spans="1:36" ht="11.25" customHeight="1" x14ac:dyDescent="0.2">
      <c r="A1074" s="53" t="s">
        <v>56</v>
      </c>
      <c r="B1074" s="53" t="s">
        <v>33</v>
      </c>
      <c r="C1074" s="53" t="s">
        <v>34</v>
      </c>
      <c r="D1074" s="53" t="s">
        <v>24</v>
      </c>
      <c r="E1074" s="53" t="s">
        <v>24</v>
      </c>
      <c r="F1074" s="53" t="s">
        <v>25</v>
      </c>
      <c r="G1074" s="53" t="s">
        <v>25</v>
      </c>
      <c r="H1074" s="53" t="s">
        <v>36</v>
      </c>
      <c r="I1074" s="75">
        <v>44652</v>
      </c>
      <c r="J1074" s="76">
        <f>EFEITO!$J$1074*EFEITO!$Y$1074</f>
        <v>0</v>
      </c>
      <c r="K1074" s="76">
        <f ca="1">EFEITO!$L$1074*EFEITO!$Z$1074</f>
        <v>504.34842216270937</v>
      </c>
      <c r="L1074" s="76">
        <f>EFEITO!$N$1074*EFEITO!$AA$1074</f>
        <v>1162.9156423498237</v>
      </c>
      <c r="M1074" s="76">
        <f>$J$1074-EFEITO!$K$1074*EFEITO!$Y$1074</f>
        <v>0</v>
      </c>
      <c r="N1074" s="76">
        <f ca="1">$K$1074-EFEITO!$M$1074*EFEITO!$Z$1074</f>
        <v>0</v>
      </c>
      <c r="O1074" s="76">
        <f>$L$1074-EFEITO!$O$1074*EFEITO!$AA$1074</f>
        <v>0</v>
      </c>
      <c r="P1074" s="57"/>
      <c r="Q1074" s="57"/>
      <c r="R1074" s="57"/>
      <c r="S1074" s="57"/>
      <c r="T1074" s="57"/>
      <c r="U1074" s="57"/>
      <c r="V1074" s="57"/>
      <c r="W1074" s="57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</row>
    <row r="1075" spans="1:36" ht="11.25" customHeight="1" x14ac:dyDescent="0.2">
      <c r="A1075" s="53" t="s">
        <v>56</v>
      </c>
      <c r="B1075" s="53" t="s">
        <v>33</v>
      </c>
      <c r="C1075" s="53" t="s">
        <v>34</v>
      </c>
      <c r="D1075" s="53" t="s">
        <v>24</v>
      </c>
      <c r="E1075" s="53" t="s">
        <v>24</v>
      </c>
      <c r="F1075" s="53" t="s">
        <v>25</v>
      </c>
      <c r="G1075" s="53" t="s">
        <v>25</v>
      </c>
      <c r="H1075" s="53" t="s">
        <v>36</v>
      </c>
      <c r="I1075" s="75">
        <v>44652</v>
      </c>
      <c r="J1075" s="76">
        <f>EFEITO!$J$1075*EFEITO!$Y$1075</f>
        <v>0</v>
      </c>
      <c r="K1075" s="76">
        <f ca="1">EFEITO!$L$1075*EFEITO!$Z$1075</f>
        <v>18.226627520452311</v>
      </c>
      <c r="L1075" s="76">
        <f>EFEITO!$N$1075*EFEITO!$AA$1075</f>
        <v>42.026562034092485</v>
      </c>
      <c r="M1075" s="76">
        <f>$J$1075-EFEITO!$K$1075*EFEITO!$Y$1075</f>
        <v>0</v>
      </c>
      <c r="N1075" s="76">
        <f ca="1">$K$1075-EFEITO!$M$1075*EFEITO!$Z$1075</f>
        <v>0</v>
      </c>
      <c r="O1075" s="76">
        <f>$L$1075-EFEITO!$O$1075*EFEITO!$AA$1075</f>
        <v>0</v>
      </c>
      <c r="P1075" s="57"/>
      <c r="Q1075" s="57"/>
      <c r="R1075" s="57"/>
      <c r="S1075" s="57"/>
      <c r="T1075" s="57"/>
      <c r="U1075" s="57"/>
      <c r="V1075" s="57"/>
      <c r="W1075" s="57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</row>
    <row r="1076" spans="1:36" ht="11.25" customHeight="1" x14ac:dyDescent="0.2">
      <c r="A1076" s="53" t="s">
        <v>21</v>
      </c>
      <c r="B1076" s="53" t="s">
        <v>33</v>
      </c>
      <c r="C1076" s="53" t="s">
        <v>34</v>
      </c>
      <c r="D1076" s="53" t="s">
        <v>24</v>
      </c>
      <c r="E1076" s="53" t="s">
        <v>24</v>
      </c>
      <c r="F1076" s="53" t="s">
        <v>25</v>
      </c>
      <c r="G1076" s="53" t="s">
        <v>25</v>
      </c>
      <c r="H1076" s="53" t="s">
        <v>25</v>
      </c>
      <c r="I1076" s="75">
        <v>44317</v>
      </c>
      <c r="J1076" s="76">
        <f ca="1">EFEITO!$J$1076*EFEITO!$Y$1076</f>
        <v>740.08196463832758</v>
      </c>
      <c r="K1076" s="76">
        <f>EFEITO!$L$1076*EFEITO!$Z$1076</f>
        <v>0</v>
      </c>
      <c r="L1076" s="76">
        <f>EFEITO!$N$1076*EFEITO!$AA$1076</f>
        <v>0</v>
      </c>
      <c r="M1076" s="76">
        <f ca="1">$J$1076-EFEITO!$K$1076*EFEITO!$Y$1076</f>
        <v>0</v>
      </c>
      <c r="N1076" s="76">
        <f>$K$1076-EFEITO!$M$1076*EFEITO!$Z$1076</f>
        <v>0</v>
      </c>
      <c r="O1076" s="76">
        <f>$L$1076-EFEITO!$O$1076*EFEITO!$AA$1076</f>
        <v>0</v>
      </c>
      <c r="P1076" s="57"/>
      <c r="Q1076" s="57"/>
      <c r="R1076" s="57"/>
      <c r="S1076" s="57"/>
      <c r="T1076" s="57"/>
      <c r="U1076" s="57"/>
      <c r="V1076" s="57"/>
      <c r="W1076" s="57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</row>
    <row r="1077" spans="1:36" ht="11.25" customHeight="1" x14ac:dyDescent="0.2">
      <c r="A1077" s="53" t="s">
        <v>21</v>
      </c>
      <c r="B1077" s="53" t="s">
        <v>33</v>
      </c>
      <c r="C1077" s="53" t="s">
        <v>34</v>
      </c>
      <c r="D1077" s="53" t="s">
        <v>24</v>
      </c>
      <c r="E1077" s="53" t="s">
        <v>24</v>
      </c>
      <c r="F1077" s="53" t="s">
        <v>25</v>
      </c>
      <c r="G1077" s="53" t="s">
        <v>25</v>
      </c>
      <c r="H1077" s="53" t="s">
        <v>25</v>
      </c>
      <c r="I1077" s="75">
        <v>44348</v>
      </c>
      <c r="J1077" s="76">
        <f ca="1">EFEITO!$J$1077*EFEITO!$Y$1077</f>
        <v>740.08196463832758</v>
      </c>
      <c r="K1077" s="76">
        <f>EFEITO!$L$1077*EFEITO!$Z$1077</f>
        <v>0</v>
      </c>
      <c r="L1077" s="76">
        <f>EFEITO!$N$1077*EFEITO!$AA$1077</f>
        <v>0</v>
      </c>
      <c r="M1077" s="76">
        <f ca="1">$J$1077-EFEITO!$K$1077*EFEITO!$Y$1077</f>
        <v>0</v>
      </c>
      <c r="N1077" s="76">
        <f>$K$1077-EFEITO!$M$1077*EFEITO!$Z$1077</f>
        <v>0</v>
      </c>
      <c r="O1077" s="76">
        <f>$L$1077-EFEITO!$O$1077*EFEITO!$AA$1077</f>
        <v>0</v>
      </c>
      <c r="P1077" s="57"/>
      <c r="Q1077" s="57"/>
      <c r="R1077" s="57"/>
      <c r="S1077" s="57"/>
      <c r="T1077" s="57"/>
      <c r="U1077" s="57"/>
      <c r="V1077" s="57"/>
      <c r="W1077" s="57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</row>
    <row r="1078" spans="1:36" ht="11.25" customHeight="1" x14ac:dyDescent="0.2">
      <c r="A1078" s="53" t="s">
        <v>21</v>
      </c>
      <c r="B1078" s="53" t="s">
        <v>33</v>
      </c>
      <c r="C1078" s="53" t="s">
        <v>34</v>
      </c>
      <c r="D1078" s="53" t="s">
        <v>24</v>
      </c>
      <c r="E1078" s="53" t="s">
        <v>24</v>
      </c>
      <c r="F1078" s="53" t="s">
        <v>25</v>
      </c>
      <c r="G1078" s="53" t="s">
        <v>25</v>
      </c>
      <c r="H1078" s="53" t="s">
        <v>25</v>
      </c>
      <c r="I1078" s="75">
        <v>44378</v>
      </c>
      <c r="J1078" s="76">
        <f ca="1">EFEITO!$J$1078*EFEITO!$Y$1078</f>
        <v>740.08196463832758</v>
      </c>
      <c r="K1078" s="76">
        <f>EFEITO!$L$1078*EFEITO!$Z$1078</f>
        <v>0</v>
      </c>
      <c r="L1078" s="76">
        <f>EFEITO!$N$1078*EFEITO!$AA$1078</f>
        <v>0</v>
      </c>
      <c r="M1078" s="76">
        <f ca="1">$J$1078-EFEITO!$K$1078*EFEITO!$Y$1078</f>
        <v>0</v>
      </c>
      <c r="N1078" s="76">
        <f>$K$1078-EFEITO!$M$1078*EFEITO!$Z$1078</f>
        <v>0</v>
      </c>
      <c r="O1078" s="76">
        <f>$L$1078-EFEITO!$O$1078*EFEITO!$AA$1078</f>
        <v>0</v>
      </c>
      <c r="P1078" s="57"/>
      <c r="Q1078" s="57"/>
      <c r="R1078" s="57"/>
      <c r="S1078" s="57"/>
      <c r="T1078" s="57"/>
      <c r="U1078" s="57"/>
      <c r="V1078" s="57"/>
      <c r="W1078" s="57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</row>
    <row r="1079" spans="1:36" ht="11.25" customHeight="1" x14ac:dyDescent="0.2">
      <c r="A1079" s="53" t="s">
        <v>21</v>
      </c>
      <c r="B1079" s="53" t="s">
        <v>33</v>
      </c>
      <c r="C1079" s="53" t="s">
        <v>34</v>
      </c>
      <c r="D1079" s="53" t="s">
        <v>24</v>
      </c>
      <c r="E1079" s="53" t="s">
        <v>24</v>
      </c>
      <c r="F1079" s="53" t="s">
        <v>25</v>
      </c>
      <c r="G1079" s="53" t="s">
        <v>25</v>
      </c>
      <c r="H1079" s="53" t="s">
        <v>25</v>
      </c>
      <c r="I1079" s="75">
        <v>44409</v>
      </c>
      <c r="J1079" s="76">
        <f ca="1">EFEITO!$J$1079*EFEITO!$Y$1079</f>
        <v>740.08196463832758</v>
      </c>
      <c r="K1079" s="76">
        <f>EFEITO!$L$1079*EFEITO!$Z$1079</f>
        <v>0</v>
      </c>
      <c r="L1079" s="76">
        <f>EFEITO!$N$1079*EFEITO!$AA$1079</f>
        <v>0</v>
      </c>
      <c r="M1079" s="76">
        <f ca="1">$J$1079-EFEITO!$K$1079*EFEITO!$Y$1079</f>
        <v>0</v>
      </c>
      <c r="N1079" s="76">
        <f>$K$1079-EFEITO!$M$1079*EFEITO!$Z$1079</f>
        <v>0</v>
      </c>
      <c r="O1079" s="76">
        <f>$L$1079-EFEITO!$O$1079*EFEITO!$AA$1079</f>
        <v>0</v>
      </c>
      <c r="P1079" s="57"/>
      <c r="Q1079" s="57"/>
      <c r="R1079" s="57"/>
      <c r="S1079" s="57"/>
      <c r="T1079" s="57"/>
      <c r="U1079" s="57"/>
      <c r="V1079" s="57"/>
      <c r="W1079" s="57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</row>
    <row r="1080" spans="1:36" ht="11.25" customHeight="1" x14ac:dyDescent="0.2">
      <c r="A1080" s="53" t="s">
        <v>21</v>
      </c>
      <c r="B1080" s="53" t="s">
        <v>33</v>
      </c>
      <c r="C1080" s="53" t="s">
        <v>34</v>
      </c>
      <c r="D1080" s="53" t="s">
        <v>24</v>
      </c>
      <c r="E1080" s="53" t="s">
        <v>24</v>
      </c>
      <c r="F1080" s="53" t="s">
        <v>25</v>
      </c>
      <c r="G1080" s="53" t="s">
        <v>25</v>
      </c>
      <c r="H1080" s="53" t="s">
        <v>25</v>
      </c>
      <c r="I1080" s="75">
        <v>44440</v>
      </c>
      <c r="J1080" s="76">
        <f ca="1">EFEITO!$J$1080*EFEITO!$Y$1080</f>
        <v>740.08196463832758</v>
      </c>
      <c r="K1080" s="76">
        <f>EFEITO!$L$1080*EFEITO!$Z$1080</f>
        <v>0</v>
      </c>
      <c r="L1080" s="76">
        <f>EFEITO!$N$1080*EFEITO!$AA$1080</f>
        <v>0</v>
      </c>
      <c r="M1080" s="76">
        <f ca="1">$J$1080-EFEITO!$K$1080*EFEITO!$Y$1080</f>
        <v>0</v>
      </c>
      <c r="N1080" s="76">
        <f>$K$1080-EFEITO!$M$1080*EFEITO!$Z$1080</f>
        <v>0</v>
      </c>
      <c r="O1080" s="76">
        <f>$L$1080-EFEITO!$O$1080*EFEITO!$AA$1080</f>
        <v>0</v>
      </c>
      <c r="P1080" s="57"/>
      <c r="Q1080" s="57"/>
      <c r="R1080" s="57"/>
      <c r="S1080" s="57"/>
      <c r="T1080" s="57"/>
      <c r="U1080" s="57"/>
      <c r="V1080" s="57"/>
      <c r="W1080" s="57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</row>
    <row r="1081" spans="1:36" ht="11.25" customHeight="1" x14ac:dyDescent="0.2">
      <c r="A1081" s="53" t="s">
        <v>21</v>
      </c>
      <c r="B1081" s="53" t="s">
        <v>33</v>
      </c>
      <c r="C1081" s="53" t="s">
        <v>34</v>
      </c>
      <c r="D1081" s="53" t="s">
        <v>24</v>
      </c>
      <c r="E1081" s="53" t="s">
        <v>24</v>
      </c>
      <c r="F1081" s="53" t="s">
        <v>25</v>
      </c>
      <c r="G1081" s="53" t="s">
        <v>25</v>
      </c>
      <c r="H1081" s="53" t="s">
        <v>25</v>
      </c>
      <c r="I1081" s="75">
        <v>44470</v>
      </c>
      <c r="J1081" s="76">
        <f ca="1">EFEITO!$J$1081*EFEITO!$Y$1081</f>
        <v>740.08196463832758</v>
      </c>
      <c r="K1081" s="76">
        <f>EFEITO!$L$1081*EFEITO!$Z$1081</f>
        <v>0</v>
      </c>
      <c r="L1081" s="76">
        <f>EFEITO!$N$1081*EFEITO!$AA$1081</f>
        <v>0</v>
      </c>
      <c r="M1081" s="76">
        <f ca="1">$J$1081-EFEITO!$K$1081*EFEITO!$Y$1081</f>
        <v>0</v>
      </c>
      <c r="N1081" s="76">
        <f>$K$1081-EFEITO!$M$1081*EFEITO!$Z$1081</f>
        <v>0</v>
      </c>
      <c r="O1081" s="76">
        <f>$L$1081-EFEITO!$O$1081*EFEITO!$AA$1081</f>
        <v>0</v>
      </c>
      <c r="P1081" s="57"/>
      <c r="Q1081" s="57"/>
      <c r="R1081" s="57"/>
      <c r="S1081" s="57"/>
      <c r="T1081" s="57"/>
      <c r="U1081" s="57"/>
      <c r="V1081" s="57"/>
      <c r="W1081" s="57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</row>
    <row r="1082" spans="1:36" ht="11.25" customHeight="1" x14ac:dyDescent="0.2">
      <c r="A1082" s="53" t="s">
        <v>21</v>
      </c>
      <c r="B1082" s="53" t="s">
        <v>33</v>
      </c>
      <c r="C1082" s="53" t="s">
        <v>34</v>
      </c>
      <c r="D1082" s="53" t="s">
        <v>24</v>
      </c>
      <c r="E1082" s="53" t="s">
        <v>24</v>
      </c>
      <c r="F1082" s="53" t="s">
        <v>25</v>
      </c>
      <c r="G1082" s="53" t="s">
        <v>25</v>
      </c>
      <c r="H1082" s="53" t="s">
        <v>25</v>
      </c>
      <c r="I1082" s="75">
        <v>44501</v>
      </c>
      <c r="J1082" s="76">
        <f ca="1">EFEITO!$J$1082*EFEITO!$Y$1082</f>
        <v>740.08196463832758</v>
      </c>
      <c r="K1082" s="76">
        <f>EFEITO!$L$1082*EFEITO!$Z$1082</f>
        <v>0</v>
      </c>
      <c r="L1082" s="76">
        <f>EFEITO!$N$1082*EFEITO!$AA$1082</f>
        <v>0</v>
      </c>
      <c r="M1082" s="76">
        <f ca="1">$J$1082-EFEITO!$K$1082*EFEITO!$Y$1082</f>
        <v>0</v>
      </c>
      <c r="N1082" s="76">
        <f>$K$1082-EFEITO!$M$1082*EFEITO!$Z$1082</f>
        <v>0</v>
      </c>
      <c r="O1082" s="76">
        <f>$L$1082-EFEITO!$O$1082*EFEITO!$AA$1082</f>
        <v>0</v>
      </c>
      <c r="P1082" s="57"/>
      <c r="Q1082" s="57"/>
      <c r="R1082" s="57"/>
      <c r="S1082" s="57"/>
      <c r="T1082" s="57"/>
      <c r="U1082" s="57"/>
      <c r="V1082" s="57"/>
      <c r="W1082" s="57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</row>
    <row r="1083" spans="1:36" ht="11.25" customHeight="1" x14ac:dyDescent="0.2">
      <c r="A1083" s="53" t="s">
        <v>21</v>
      </c>
      <c r="B1083" s="53" t="s">
        <v>33</v>
      </c>
      <c r="C1083" s="53" t="s">
        <v>34</v>
      </c>
      <c r="D1083" s="53" t="s">
        <v>24</v>
      </c>
      <c r="E1083" s="53" t="s">
        <v>24</v>
      </c>
      <c r="F1083" s="53" t="s">
        <v>25</v>
      </c>
      <c r="G1083" s="53" t="s">
        <v>25</v>
      </c>
      <c r="H1083" s="53" t="s">
        <v>25</v>
      </c>
      <c r="I1083" s="75">
        <v>44531</v>
      </c>
      <c r="J1083" s="76">
        <f ca="1">EFEITO!$J$1083*EFEITO!$Y$1083</f>
        <v>740.08196463832758</v>
      </c>
      <c r="K1083" s="76">
        <f>EFEITO!$L$1083*EFEITO!$Z$1083</f>
        <v>0</v>
      </c>
      <c r="L1083" s="76">
        <f>EFEITO!$N$1083*EFEITO!$AA$1083</f>
        <v>0</v>
      </c>
      <c r="M1083" s="76">
        <f ca="1">$J$1083-EFEITO!$K$1083*EFEITO!$Y$1083</f>
        <v>0</v>
      </c>
      <c r="N1083" s="76">
        <f>$K$1083-EFEITO!$M$1083*EFEITO!$Z$1083</f>
        <v>0</v>
      </c>
      <c r="O1083" s="76">
        <f>$L$1083-EFEITO!$O$1083*EFEITO!$AA$1083</f>
        <v>0</v>
      </c>
      <c r="P1083" s="57"/>
      <c r="Q1083" s="57"/>
      <c r="R1083" s="57"/>
      <c r="S1083" s="57"/>
      <c r="T1083" s="57"/>
      <c r="U1083" s="57"/>
      <c r="V1083" s="57"/>
      <c r="W1083" s="57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</row>
    <row r="1084" spans="1:36" ht="11.25" customHeight="1" x14ac:dyDescent="0.2">
      <c r="A1084" s="53" t="s">
        <v>21</v>
      </c>
      <c r="B1084" s="53" t="s">
        <v>33</v>
      </c>
      <c r="C1084" s="53" t="s">
        <v>34</v>
      </c>
      <c r="D1084" s="53" t="s">
        <v>24</v>
      </c>
      <c r="E1084" s="53" t="s">
        <v>24</v>
      </c>
      <c r="F1084" s="53" t="s">
        <v>25</v>
      </c>
      <c r="G1084" s="53" t="s">
        <v>25</v>
      </c>
      <c r="H1084" s="53" t="s">
        <v>25</v>
      </c>
      <c r="I1084" s="75">
        <v>44562</v>
      </c>
      <c r="J1084" s="76">
        <f ca="1">EFEITO!$J$1084*EFEITO!$Y$1084</f>
        <v>740.08196463832758</v>
      </c>
      <c r="K1084" s="76">
        <f>EFEITO!$L$1084*EFEITO!$Z$1084</f>
        <v>0</v>
      </c>
      <c r="L1084" s="76">
        <f>EFEITO!$N$1084*EFEITO!$AA$1084</f>
        <v>0</v>
      </c>
      <c r="M1084" s="76">
        <f ca="1">$J$1084-EFEITO!$K$1084*EFEITO!$Y$1084</f>
        <v>0</v>
      </c>
      <c r="N1084" s="76">
        <f>$K$1084-EFEITO!$M$1084*EFEITO!$Z$1084</f>
        <v>0</v>
      </c>
      <c r="O1084" s="76">
        <f>$L$1084-EFEITO!$O$1084*EFEITO!$AA$1084</f>
        <v>0</v>
      </c>
      <c r="P1084" s="57"/>
      <c r="Q1084" s="57"/>
      <c r="R1084" s="57"/>
      <c r="S1084" s="57"/>
      <c r="T1084" s="57"/>
      <c r="U1084" s="57"/>
      <c r="V1084" s="57"/>
      <c r="W1084" s="57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</row>
    <row r="1085" spans="1:36" ht="11.25" customHeight="1" x14ac:dyDescent="0.2">
      <c r="A1085" s="53" t="s">
        <v>28</v>
      </c>
      <c r="B1085" s="53" t="s">
        <v>33</v>
      </c>
      <c r="C1085" s="53" t="s">
        <v>34</v>
      </c>
      <c r="D1085" s="53" t="s">
        <v>24</v>
      </c>
      <c r="E1085" s="53" t="s">
        <v>24</v>
      </c>
      <c r="F1085" s="53" t="s">
        <v>25</v>
      </c>
      <c r="G1085" s="53" t="s">
        <v>25</v>
      </c>
      <c r="H1085" s="53" t="s">
        <v>25</v>
      </c>
      <c r="I1085" s="75">
        <v>44562</v>
      </c>
      <c r="J1085" s="76">
        <f ca="1">EFEITO!$J$1085*EFEITO!$Y$1085</f>
        <v>49.338797642555171</v>
      </c>
      <c r="K1085" s="76">
        <f>EFEITO!$L$1085*EFEITO!$Z$1085</f>
        <v>0</v>
      </c>
      <c r="L1085" s="76">
        <f>EFEITO!$N$1085*EFEITO!$AA$1085</f>
        <v>0</v>
      </c>
      <c r="M1085" s="76">
        <f ca="1">$J$1085-EFEITO!$K$1085*EFEITO!$Y$1085</f>
        <v>0</v>
      </c>
      <c r="N1085" s="76">
        <f>$K$1085-EFEITO!$M$1085*EFEITO!$Z$1085</f>
        <v>0</v>
      </c>
      <c r="O1085" s="76">
        <f>$L$1085-EFEITO!$O$1085*EFEITO!$AA$1085</f>
        <v>0</v>
      </c>
      <c r="P1085" s="57"/>
      <c r="Q1085" s="57"/>
      <c r="R1085" s="57"/>
      <c r="S1085" s="57"/>
      <c r="T1085" s="57"/>
      <c r="U1085" s="57"/>
      <c r="V1085" s="57"/>
      <c r="W1085" s="57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</row>
    <row r="1086" spans="1:36" ht="11.25" customHeight="1" x14ac:dyDescent="0.2">
      <c r="A1086" s="53" t="s">
        <v>21</v>
      </c>
      <c r="B1086" s="53" t="s">
        <v>33</v>
      </c>
      <c r="C1086" s="53" t="s">
        <v>34</v>
      </c>
      <c r="D1086" s="53" t="s">
        <v>24</v>
      </c>
      <c r="E1086" s="53" t="s">
        <v>24</v>
      </c>
      <c r="F1086" s="53" t="s">
        <v>25</v>
      </c>
      <c r="G1086" s="53" t="s">
        <v>25</v>
      </c>
      <c r="H1086" s="53" t="s">
        <v>25</v>
      </c>
      <c r="I1086" s="75">
        <v>44593</v>
      </c>
      <c r="J1086" s="76">
        <f ca="1">EFEITO!$J$1086*EFEITO!$Y$1086</f>
        <v>888.09835756599307</v>
      </c>
      <c r="K1086" s="76">
        <f>EFEITO!$L$1086*EFEITO!$Z$1086</f>
        <v>0</v>
      </c>
      <c r="L1086" s="76">
        <f>EFEITO!$N$1086*EFEITO!$AA$1086</f>
        <v>0</v>
      </c>
      <c r="M1086" s="76">
        <f ca="1">$J$1086-EFEITO!$K$1086*EFEITO!$Y$1086</f>
        <v>0</v>
      </c>
      <c r="N1086" s="76">
        <f>$K$1086-EFEITO!$M$1086*EFEITO!$Z$1086</f>
        <v>0</v>
      </c>
      <c r="O1086" s="76">
        <f>$L$1086-EFEITO!$O$1086*EFEITO!$AA$1086</f>
        <v>0</v>
      </c>
      <c r="P1086" s="57"/>
      <c r="Q1086" s="57"/>
      <c r="R1086" s="57"/>
      <c r="S1086" s="57"/>
      <c r="T1086" s="57"/>
      <c r="U1086" s="57"/>
      <c r="V1086" s="57"/>
      <c r="W1086" s="57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</row>
    <row r="1087" spans="1:36" ht="11.25" customHeight="1" x14ac:dyDescent="0.2">
      <c r="A1087" s="53" t="s">
        <v>28</v>
      </c>
      <c r="B1087" s="53" t="s">
        <v>33</v>
      </c>
      <c r="C1087" s="53" t="s">
        <v>34</v>
      </c>
      <c r="D1087" s="53" t="s">
        <v>24</v>
      </c>
      <c r="E1087" s="53" t="s">
        <v>24</v>
      </c>
      <c r="F1087" s="53" t="s">
        <v>25</v>
      </c>
      <c r="G1087" s="53" t="s">
        <v>25</v>
      </c>
      <c r="H1087" s="53" t="s">
        <v>25</v>
      </c>
      <c r="I1087" s="75">
        <v>44593</v>
      </c>
      <c r="J1087" s="76">
        <f ca="1">EFEITO!$J$1087*EFEITO!$Y$1087</f>
        <v>5994.6639135704536</v>
      </c>
      <c r="K1087" s="76">
        <f>EFEITO!$L$1087*EFEITO!$Z$1087</f>
        <v>0</v>
      </c>
      <c r="L1087" s="76">
        <f>EFEITO!$N$1087*EFEITO!$AA$1087</f>
        <v>0</v>
      </c>
      <c r="M1087" s="76">
        <f ca="1">$J$1087-EFEITO!$K$1087*EFEITO!$Y$1087</f>
        <v>0</v>
      </c>
      <c r="N1087" s="76">
        <f>$K$1087-EFEITO!$M$1087*EFEITO!$Z$1087</f>
        <v>0</v>
      </c>
      <c r="O1087" s="76">
        <f>$L$1087-EFEITO!$O$1087*EFEITO!$AA$1087</f>
        <v>0</v>
      </c>
      <c r="P1087" s="57"/>
      <c r="Q1087" s="57"/>
      <c r="R1087" s="57"/>
      <c r="S1087" s="57"/>
      <c r="T1087" s="57"/>
      <c r="U1087" s="57"/>
      <c r="V1087" s="57"/>
      <c r="W1087" s="57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</row>
    <row r="1088" spans="1:36" ht="11.25" customHeight="1" x14ac:dyDescent="0.2">
      <c r="A1088" s="53" t="s">
        <v>21</v>
      </c>
      <c r="B1088" s="53" t="s">
        <v>33</v>
      </c>
      <c r="C1088" s="53" t="s">
        <v>34</v>
      </c>
      <c r="D1088" s="53" t="s">
        <v>24</v>
      </c>
      <c r="E1088" s="53" t="s">
        <v>24</v>
      </c>
      <c r="F1088" s="53" t="s">
        <v>25</v>
      </c>
      <c r="G1088" s="53" t="s">
        <v>25</v>
      </c>
      <c r="H1088" s="53" t="s">
        <v>25</v>
      </c>
      <c r="I1088" s="75">
        <v>44621</v>
      </c>
      <c r="J1088" s="76">
        <f ca="1">EFEITO!$J$1088*EFEITO!$Y$1088</f>
        <v>8017.5546169152158</v>
      </c>
      <c r="K1088" s="76">
        <f>EFEITO!$L$1088*EFEITO!$Z$1088</f>
        <v>0</v>
      </c>
      <c r="L1088" s="76">
        <f>EFEITO!$N$1088*EFEITO!$AA$1088</f>
        <v>0</v>
      </c>
      <c r="M1088" s="76">
        <f ca="1">$J$1088-EFEITO!$K$1088*EFEITO!$Y$1088</f>
        <v>0</v>
      </c>
      <c r="N1088" s="76">
        <f>$K$1088-EFEITO!$M$1088*EFEITO!$Z$1088</f>
        <v>0</v>
      </c>
      <c r="O1088" s="76">
        <f>$L$1088-EFEITO!$O$1088*EFEITO!$AA$1088</f>
        <v>0</v>
      </c>
      <c r="P1088" s="57"/>
      <c r="Q1088" s="57"/>
      <c r="R1088" s="57"/>
      <c r="S1088" s="57"/>
      <c r="T1088" s="57"/>
      <c r="U1088" s="57"/>
      <c r="V1088" s="57"/>
      <c r="W1088" s="57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</row>
    <row r="1089" spans="1:36" ht="11.25" customHeight="1" x14ac:dyDescent="0.2">
      <c r="A1089" s="53" t="s">
        <v>28</v>
      </c>
      <c r="B1089" s="53" t="s">
        <v>33</v>
      </c>
      <c r="C1089" s="53" t="s">
        <v>34</v>
      </c>
      <c r="D1089" s="53" t="s">
        <v>24</v>
      </c>
      <c r="E1089" s="53" t="s">
        <v>24</v>
      </c>
      <c r="F1089" s="53" t="s">
        <v>25</v>
      </c>
      <c r="G1089" s="53" t="s">
        <v>25</v>
      </c>
      <c r="H1089" s="53" t="s">
        <v>25</v>
      </c>
      <c r="I1089" s="75">
        <v>44621</v>
      </c>
      <c r="J1089" s="76">
        <f ca="1">EFEITO!$J$1089*EFEITO!$Y$1089</f>
        <v>6290.6966994257846</v>
      </c>
      <c r="K1089" s="76">
        <f>EFEITO!$L$1089*EFEITO!$Z$1089</f>
        <v>0</v>
      </c>
      <c r="L1089" s="76">
        <f>EFEITO!$N$1089*EFEITO!$AA$1089</f>
        <v>0</v>
      </c>
      <c r="M1089" s="76">
        <f ca="1">$J$1089-EFEITO!$K$1089*EFEITO!$Y$1089</f>
        <v>0</v>
      </c>
      <c r="N1089" s="76">
        <f>$K$1089-EFEITO!$M$1089*EFEITO!$Z$1089</f>
        <v>0</v>
      </c>
      <c r="O1089" s="76">
        <f>$L$1089-EFEITO!$O$1089*EFEITO!$AA$1089</f>
        <v>0</v>
      </c>
      <c r="P1089" s="57"/>
      <c r="Q1089" s="57"/>
      <c r="R1089" s="57"/>
      <c r="S1089" s="57"/>
      <c r="T1089" s="57"/>
      <c r="U1089" s="57"/>
      <c r="V1089" s="57"/>
      <c r="W1089" s="57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</row>
    <row r="1090" spans="1:36" ht="11.25" customHeight="1" x14ac:dyDescent="0.2">
      <c r="A1090" s="53" t="s">
        <v>56</v>
      </c>
      <c r="B1090" s="53" t="s">
        <v>33</v>
      </c>
      <c r="C1090" s="53" t="s">
        <v>34</v>
      </c>
      <c r="D1090" s="53" t="s">
        <v>24</v>
      </c>
      <c r="E1090" s="53" t="s">
        <v>24</v>
      </c>
      <c r="F1090" s="53" t="s">
        <v>25</v>
      </c>
      <c r="G1090" s="53" t="s">
        <v>25</v>
      </c>
      <c r="H1090" s="53" t="s">
        <v>25</v>
      </c>
      <c r="I1090" s="75">
        <v>44652</v>
      </c>
      <c r="J1090" s="76">
        <f ca="1">EFEITO!$J$1090*EFEITO!$Y$1090</f>
        <v>8017.5546169152158</v>
      </c>
      <c r="K1090" s="76">
        <f>EFEITO!$L$1090*EFEITO!$Z$1090</f>
        <v>0</v>
      </c>
      <c r="L1090" s="76">
        <f>EFEITO!$N$1090*EFEITO!$AA$1090</f>
        <v>0</v>
      </c>
      <c r="M1090" s="76">
        <f ca="1">$J$1090-EFEITO!$K$1090*EFEITO!$Y$1090</f>
        <v>0</v>
      </c>
      <c r="N1090" s="76">
        <f>$K$1090-EFEITO!$M$1090*EFEITO!$Z$1090</f>
        <v>0</v>
      </c>
      <c r="O1090" s="76">
        <f>$L$1090-EFEITO!$O$1090*EFEITO!$AA$1090</f>
        <v>0</v>
      </c>
      <c r="P1090" s="57"/>
      <c r="Q1090" s="57"/>
      <c r="R1090" s="57"/>
      <c r="S1090" s="57"/>
      <c r="T1090" s="57"/>
      <c r="U1090" s="57"/>
      <c r="V1090" s="57"/>
      <c r="W1090" s="57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</row>
    <row r="1091" spans="1:36" ht="11.25" customHeight="1" x14ac:dyDescent="0.2">
      <c r="A1091" s="53" t="s">
        <v>56</v>
      </c>
      <c r="B1091" s="53" t="s">
        <v>33</v>
      </c>
      <c r="C1091" s="53" t="s">
        <v>34</v>
      </c>
      <c r="D1091" s="53" t="s">
        <v>24</v>
      </c>
      <c r="E1091" s="53" t="s">
        <v>24</v>
      </c>
      <c r="F1091" s="53" t="s">
        <v>25</v>
      </c>
      <c r="G1091" s="53" t="s">
        <v>25</v>
      </c>
      <c r="H1091" s="53" t="s">
        <v>25</v>
      </c>
      <c r="I1091" s="75">
        <v>44652</v>
      </c>
      <c r="J1091" s="76">
        <f ca="1">EFEITO!$J$1091*EFEITO!$Y$1091</f>
        <v>6290.6966994257846</v>
      </c>
      <c r="K1091" s="76">
        <f>EFEITO!$L$1091*EFEITO!$Z$1091</f>
        <v>0</v>
      </c>
      <c r="L1091" s="76">
        <f>EFEITO!$N$1091*EFEITO!$AA$1091</f>
        <v>0</v>
      </c>
      <c r="M1091" s="76">
        <f ca="1">$J$1091-EFEITO!$K$1091*EFEITO!$Y$1091</f>
        <v>0</v>
      </c>
      <c r="N1091" s="76">
        <f>$K$1091-EFEITO!$M$1091*EFEITO!$Z$1091</f>
        <v>0</v>
      </c>
      <c r="O1091" s="76">
        <f>$L$1091-EFEITO!$O$1091*EFEITO!$AA$1091</f>
        <v>0</v>
      </c>
      <c r="P1091" s="57"/>
      <c r="Q1091" s="57"/>
      <c r="R1091" s="57"/>
      <c r="S1091" s="57"/>
      <c r="T1091" s="57"/>
      <c r="U1091" s="57"/>
      <c r="V1091" s="57"/>
      <c r="W1091" s="57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</row>
    <row r="1092" spans="1:36" ht="11.25" customHeight="1" x14ac:dyDescent="0.2">
      <c r="A1092" s="53" t="s">
        <v>21</v>
      </c>
      <c r="B1092" s="53" t="s">
        <v>33</v>
      </c>
      <c r="C1092" s="53" t="s">
        <v>34</v>
      </c>
      <c r="D1092" s="53" t="s">
        <v>24</v>
      </c>
      <c r="E1092" s="53" t="s">
        <v>24</v>
      </c>
      <c r="F1092" s="53" t="s">
        <v>25</v>
      </c>
      <c r="G1092" s="53" t="s">
        <v>25</v>
      </c>
      <c r="H1092" s="53" t="s">
        <v>35</v>
      </c>
      <c r="I1092" s="75">
        <v>44317</v>
      </c>
      <c r="J1092" s="76">
        <f>EFEITO!$J$1092*EFEITO!$Y$1092</f>
        <v>0</v>
      </c>
      <c r="K1092" s="76">
        <f ca="1">EFEITO!$L$1092*EFEITO!$Z$1092</f>
        <v>327.4420239366176</v>
      </c>
      <c r="L1092" s="76">
        <f>EFEITO!$N$1092*EFEITO!$AA$1092</f>
        <v>77.149167559853197</v>
      </c>
      <c r="M1092" s="76">
        <f>$J$1092-EFEITO!$K$1092*EFEITO!$Y$1092</f>
        <v>0</v>
      </c>
      <c r="N1092" s="76">
        <f ca="1">$K$1092-EFEITO!$M$1092*EFEITO!$Z$1092</f>
        <v>0</v>
      </c>
      <c r="O1092" s="76">
        <f>$L$1092-EFEITO!$O$1092*EFEITO!$AA$1092</f>
        <v>0</v>
      </c>
      <c r="P1092" s="57"/>
      <c r="Q1092" s="57"/>
      <c r="R1092" s="57"/>
      <c r="S1092" s="57"/>
      <c r="T1092" s="57"/>
      <c r="U1092" s="57"/>
      <c r="V1092" s="57"/>
      <c r="W1092" s="57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</row>
    <row r="1093" spans="1:36" ht="11.25" customHeight="1" x14ac:dyDescent="0.2">
      <c r="A1093" s="53" t="s">
        <v>21</v>
      </c>
      <c r="B1093" s="53" t="s">
        <v>33</v>
      </c>
      <c r="C1093" s="53" t="s">
        <v>34</v>
      </c>
      <c r="D1093" s="53" t="s">
        <v>24</v>
      </c>
      <c r="E1093" s="53" t="s">
        <v>24</v>
      </c>
      <c r="F1093" s="53" t="s">
        <v>25</v>
      </c>
      <c r="G1093" s="53" t="s">
        <v>25</v>
      </c>
      <c r="H1093" s="53" t="s">
        <v>35</v>
      </c>
      <c r="I1093" s="75">
        <v>44348</v>
      </c>
      <c r="J1093" s="76">
        <f>EFEITO!$J$1093*EFEITO!$Y$1093</f>
        <v>0</v>
      </c>
      <c r="K1093" s="76">
        <f ca="1">EFEITO!$L$1093*EFEITO!$Z$1093</f>
        <v>295.05764794288621</v>
      </c>
      <c r="L1093" s="76">
        <f>EFEITO!$N$1093*EFEITO!$AA$1093</f>
        <v>69.519030108878709</v>
      </c>
      <c r="M1093" s="76">
        <f>$J$1093-EFEITO!$K$1093*EFEITO!$Y$1093</f>
        <v>0</v>
      </c>
      <c r="N1093" s="76">
        <f ca="1">$K$1093-EFEITO!$M$1093*EFEITO!$Z$1093</f>
        <v>0</v>
      </c>
      <c r="O1093" s="76">
        <f>$L$1093-EFEITO!$O$1093*EFEITO!$AA$1093</f>
        <v>0</v>
      </c>
      <c r="P1093" s="57"/>
      <c r="Q1093" s="57"/>
      <c r="R1093" s="57"/>
      <c r="S1093" s="57"/>
      <c r="T1093" s="57"/>
      <c r="U1093" s="57"/>
      <c r="V1093" s="57"/>
      <c r="W1093" s="57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</row>
    <row r="1094" spans="1:36" ht="11.25" customHeight="1" x14ac:dyDescent="0.2">
      <c r="A1094" s="53" t="s">
        <v>21</v>
      </c>
      <c r="B1094" s="53" t="s">
        <v>33</v>
      </c>
      <c r="C1094" s="53" t="s">
        <v>34</v>
      </c>
      <c r="D1094" s="53" t="s">
        <v>24</v>
      </c>
      <c r="E1094" s="53" t="s">
        <v>24</v>
      </c>
      <c r="F1094" s="53" t="s">
        <v>25</v>
      </c>
      <c r="G1094" s="53" t="s">
        <v>25</v>
      </c>
      <c r="H1094" s="53" t="s">
        <v>35</v>
      </c>
      <c r="I1094" s="75">
        <v>44378</v>
      </c>
      <c r="J1094" s="76">
        <f>EFEITO!$J$1094*EFEITO!$Y$1094</f>
        <v>0</v>
      </c>
      <c r="K1094" s="76">
        <f ca="1">EFEITO!$L$1094*EFEITO!$Z$1094</f>
        <v>345.43334393313506</v>
      </c>
      <c r="L1094" s="76">
        <f>EFEITO!$N$1094*EFEITO!$AA$1094</f>
        <v>81.38813281039458</v>
      </c>
      <c r="M1094" s="76">
        <f>$J$1094-EFEITO!$K$1094*EFEITO!$Y$1094</f>
        <v>0</v>
      </c>
      <c r="N1094" s="76">
        <f ca="1">$K$1094-EFEITO!$M$1094*EFEITO!$Z$1094</f>
        <v>0</v>
      </c>
      <c r="O1094" s="76">
        <f>$L$1094-EFEITO!$O$1094*EFEITO!$AA$1094</f>
        <v>0</v>
      </c>
      <c r="P1094" s="57"/>
      <c r="Q1094" s="57"/>
      <c r="R1094" s="57"/>
      <c r="S1094" s="57"/>
      <c r="T1094" s="57"/>
      <c r="U1094" s="57"/>
      <c r="V1094" s="57"/>
      <c r="W1094" s="57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</row>
    <row r="1095" spans="1:36" ht="11.25" customHeight="1" x14ac:dyDescent="0.2">
      <c r="A1095" s="53" t="s">
        <v>21</v>
      </c>
      <c r="B1095" s="53" t="s">
        <v>33</v>
      </c>
      <c r="C1095" s="53" t="s">
        <v>34</v>
      </c>
      <c r="D1095" s="53" t="s">
        <v>24</v>
      </c>
      <c r="E1095" s="53" t="s">
        <v>24</v>
      </c>
      <c r="F1095" s="53" t="s">
        <v>25</v>
      </c>
      <c r="G1095" s="53" t="s">
        <v>25</v>
      </c>
      <c r="H1095" s="53" t="s">
        <v>35</v>
      </c>
      <c r="I1095" s="75">
        <v>44409</v>
      </c>
      <c r="J1095" s="76">
        <f>EFEITO!$J$1095*EFEITO!$Y$1095</f>
        <v>0</v>
      </c>
      <c r="K1095" s="76">
        <f ca="1">EFEITO!$L$1095*EFEITO!$Z$1095</f>
        <v>300.45504394184144</v>
      </c>
      <c r="L1095" s="76">
        <f>EFEITO!$N$1095*EFEITO!$AA$1095</f>
        <v>70.790719684041122</v>
      </c>
      <c r="M1095" s="76">
        <f>$J$1095-EFEITO!$K$1095*EFEITO!$Y$1095</f>
        <v>0</v>
      </c>
      <c r="N1095" s="76">
        <f ca="1">$K$1095-EFEITO!$M$1095*EFEITO!$Z$1095</f>
        <v>0</v>
      </c>
      <c r="O1095" s="76">
        <f>$L$1095-EFEITO!$O$1095*EFEITO!$AA$1095</f>
        <v>0</v>
      </c>
      <c r="P1095" s="57"/>
      <c r="Q1095" s="57"/>
      <c r="R1095" s="57"/>
      <c r="S1095" s="57"/>
      <c r="T1095" s="57"/>
      <c r="U1095" s="57"/>
      <c r="V1095" s="57"/>
      <c r="W1095" s="57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</row>
    <row r="1096" spans="1:36" ht="11.25" customHeight="1" x14ac:dyDescent="0.2">
      <c r="A1096" s="53" t="s">
        <v>21</v>
      </c>
      <c r="B1096" s="53" t="s">
        <v>33</v>
      </c>
      <c r="C1096" s="53" t="s">
        <v>34</v>
      </c>
      <c r="D1096" s="53" t="s">
        <v>24</v>
      </c>
      <c r="E1096" s="53" t="s">
        <v>24</v>
      </c>
      <c r="F1096" s="53" t="s">
        <v>25</v>
      </c>
      <c r="G1096" s="53" t="s">
        <v>25</v>
      </c>
      <c r="H1096" s="53" t="s">
        <v>35</v>
      </c>
      <c r="I1096" s="75">
        <v>44440</v>
      </c>
      <c r="J1096" s="76">
        <f>EFEITO!$J$1096*EFEITO!$Y$1096</f>
        <v>0</v>
      </c>
      <c r="K1096" s="76">
        <f ca="1">EFEITO!$L$1096*EFEITO!$Z$1096</f>
        <v>340.03594793417983</v>
      </c>
      <c r="L1096" s="76">
        <f>EFEITO!$N$1096*EFEITO!$AA$1096</f>
        <v>80.116443235232168</v>
      </c>
      <c r="M1096" s="76">
        <f>$J$1096-EFEITO!$K$1096*EFEITO!$Y$1096</f>
        <v>0</v>
      </c>
      <c r="N1096" s="76">
        <f ca="1">$K$1096-EFEITO!$M$1096*EFEITO!$Z$1096</f>
        <v>0</v>
      </c>
      <c r="O1096" s="76">
        <f>$L$1096-EFEITO!$O$1096*EFEITO!$AA$1096</f>
        <v>0</v>
      </c>
      <c r="P1096" s="57"/>
      <c r="Q1096" s="57"/>
      <c r="R1096" s="57"/>
      <c r="S1096" s="57"/>
      <c r="T1096" s="57"/>
      <c r="U1096" s="57"/>
      <c r="V1096" s="57"/>
      <c r="W1096" s="57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</row>
    <row r="1097" spans="1:36" ht="11.25" customHeight="1" x14ac:dyDescent="0.2">
      <c r="A1097" s="53" t="s">
        <v>21</v>
      </c>
      <c r="B1097" s="53" t="s">
        <v>33</v>
      </c>
      <c r="C1097" s="53" t="s">
        <v>34</v>
      </c>
      <c r="D1097" s="53" t="s">
        <v>24</v>
      </c>
      <c r="E1097" s="53" t="s">
        <v>24</v>
      </c>
      <c r="F1097" s="53" t="s">
        <v>25</v>
      </c>
      <c r="G1097" s="53" t="s">
        <v>25</v>
      </c>
      <c r="H1097" s="53" t="s">
        <v>35</v>
      </c>
      <c r="I1097" s="75">
        <v>44470</v>
      </c>
      <c r="J1097" s="76">
        <f>EFEITO!$J$1097*EFEITO!$Y$1097</f>
        <v>0</v>
      </c>
      <c r="K1097" s="76">
        <f ca="1">EFEITO!$L$1097*EFEITO!$Z$1097</f>
        <v>320.24549593801061</v>
      </c>
      <c r="L1097" s="76">
        <f>EFEITO!$N$1097*EFEITO!$AA$1097</f>
        <v>75.453581459636638</v>
      </c>
      <c r="M1097" s="76">
        <f>$J$1097-EFEITO!$K$1097*EFEITO!$Y$1097</f>
        <v>0</v>
      </c>
      <c r="N1097" s="76">
        <f ca="1">$K$1097-EFEITO!$M$1097*EFEITO!$Z$1097</f>
        <v>0</v>
      </c>
      <c r="O1097" s="76">
        <f>$L$1097-EFEITO!$O$1097*EFEITO!$AA$1097</f>
        <v>0</v>
      </c>
      <c r="P1097" s="57"/>
      <c r="Q1097" s="57"/>
      <c r="R1097" s="57"/>
      <c r="S1097" s="57"/>
      <c r="T1097" s="57"/>
      <c r="U1097" s="57"/>
      <c r="V1097" s="57"/>
      <c r="W1097" s="57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</row>
    <row r="1098" spans="1:36" ht="11.25" customHeight="1" x14ac:dyDescent="0.2">
      <c r="A1098" s="53" t="s">
        <v>21</v>
      </c>
      <c r="B1098" s="53" t="s">
        <v>33</v>
      </c>
      <c r="C1098" s="53" t="s">
        <v>34</v>
      </c>
      <c r="D1098" s="53" t="s">
        <v>24</v>
      </c>
      <c r="E1098" s="53" t="s">
        <v>24</v>
      </c>
      <c r="F1098" s="53" t="s">
        <v>25</v>
      </c>
      <c r="G1098" s="53" t="s">
        <v>25</v>
      </c>
      <c r="H1098" s="53" t="s">
        <v>35</v>
      </c>
      <c r="I1098" s="75">
        <v>44501</v>
      </c>
      <c r="J1098" s="76">
        <f>EFEITO!$J$1098*EFEITO!$Y$1098</f>
        <v>0</v>
      </c>
      <c r="K1098" s="76">
        <f ca="1">EFEITO!$L$1098*EFEITO!$Z$1098</f>
        <v>356.22813593104553</v>
      </c>
      <c r="L1098" s="76">
        <f>EFEITO!$N$1098*EFEITO!$AA$1098</f>
        <v>83.931511960719419</v>
      </c>
      <c r="M1098" s="76">
        <f>$J$1098-EFEITO!$K$1098*EFEITO!$Y$1098</f>
        <v>0</v>
      </c>
      <c r="N1098" s="76">
        <f ca="1">$K$1098-EFEITO!$M$1098*EFEITO!$Z$1098</f>
        <v>0</v>
      </c>
      <c r="O1098" s="76">
        <f>$L$1098-EFEITO!$O$1098*EFEITO!$AA$1098</f>
        <v>0</v>
      </c>
      <c r="P1098" s="57"/>
      <c r="Q1098" s="57"/>
      <c r="R1098" s="57"/>
      <c r="S1098" s="57"/>
      <c r="T1098" s="57"/>
      <c r="U1098" s="57"/>
      <c r="V1098" s="57"/>
      <c r="W1098" s="57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</row>
    <row r="1099" spans="1:36" ht="11.25" customHeight="1" x14ac:dyDescent="0.2">
      <c r="A1099" s="53" t="s">
        <v>21</v>
      </c>
      <c r="B1099" s="53" t="s">
        <v>33</v>
      </c>
      <c r="C1099" s="53" t="s">
        <v>34</v>
      </c>
      <c r="D1099" s="53" t="s">
        <v>24</v>
      </c>
      <c r="E1099" s="53" t="s">
        <v>24</v>
      </c>
      <c r="F1099" s="53" t="s">
        <v>25</v>
      </c>
      <c r="G1099" s="53" t="s">
        <v>25</v>
      </c>
      <c r="H1099" s="53" t="s">
        <v>35</v>
      </c>
      <c r="I1099" s="75">
        <v>44531</v>
      </c>
      <c r="J1099" s="76">
        <f>EFEITO!$J$1099*EFEITO!$Y$1099</f>
        <v>0</v>
      </c>
      <c r="K1099" s="76">
        <f ca="1">EFEITO!$L$1099*EFEITO!$Z$1099</f>
        <v>377.81771992686646</v>
      </c>
      <c r="L1099" s="76">
        <f>EFEITO!$N$1099*EFEITO!$AA$1099</f>
        <v>89.018270261369068</v>
      </c>
      <c r="M1099" s="76">
        <f>$J$1099-EFEITO!$K$1099*EFEITO!$Y$1099</f>
        <v>0</v>
      </c>
      <c r="N1099" s="76">
        <f ca="1">$K$1099-EFEITO!$M$1099*EFEITO!$Z$1099</f>
        <v>0</v>
      </c>
      <c r="O1099" s="76">
        <f>$L$1099-EFEITO!$O$1099*EFEITO!$AA$1099</f>
        <v>0</v>
      </c>
      <c r="P1099" s="57"/>
      <c r="Q1099" s="57"/>
      <c r="R1099" s="57"/>
      <c r="S1099" s="57"/>
      <c r="T1099" s="57"/>
      <c r="U1099" s="57"/>
      <c r="V1099" s="57"/>
      <c r="W1099" s="57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</row>
    <row r="1100" spans="1:36" ht="11.25" customHeight="1" x14ac:dyDescent="0.2">
      <c r="A1100" s="53" t="s">
        <v>21</v>
      </c>
      <c r="B1100" s="53" t="s">
        <v>33</v>
      </c>
      <c r="C1100" s="53" t="s">
        <v>34</v>
      </c>
      <c r="D1100" s="53" t="s">
        <v>24</v>
      </c>
      <c r="E1100" s="53" t="s">
        <v>24</v>
      </c>
      <c r="F1100" s="53" t="s">
        <v>25</v>
      </c>
      <c r="G1100" s="53" t="s">
        <v>25</v>
      </c>
      <c r="H1100" s="53" t="s">
        <v>35</v>
      </c>
      <c r="I1100" s="75">
        <v>44562</v>
      </c>
      <c r="J1100" s="76">
        <f>EFEITO!$J$1100*EFEITO!$Y$1100</f>
        <v>0</v>
      </c>
      <c r="K1100" s="76">
        <f ca="1">EFEITO!$L$1100*EFEITO!$Z$1100</f>
        <v>332.83941993557283</v>
      </c>
      <c r="L1100" s="76">
        <f>EFEITO!$N$1100*EFEITO!$AA$1100</f>
        <v>78.420857135015609</v>
      </c>
      <c r="M1100" s="76">
        <f>$J$1100-EFEITO!$K$1100*EFEITO!$Y$1100</f>
        <v>0</v>
      </c>
      <c r="N1100" s="76">
        <f ca="1">$K$1100-EFEITO!$M$1100*EFEITO!$Z$1100</f>
        <v>0</v>
      </c>
      <c r="O1100" s="76">
        <f>$L$1100-EFEITO!$O$1100*EFEITO!$AA$1100</f>
        <v>0</v>
      </c>
      <c r="P1100" s="57"/>
      <c r="Q1100" s="57"/>
      <c r="R1100" s="57"/>
      <c r="S1100" s="57"/>
      <c r="T1100" s="57"/>
      <c r="U1100" s="57"/>
      <c r="V1100" s="57"/>
      <c r="W1100" s="57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</row>
    <row r="1101" spans="1:36" ht="11.25" customHeight="1" x14ac:dyDescent="0.2">
      <c r="A1101" s="53" t="s">
        <v>28</v>
      </c>
      <c r="B1101" s="53" t="s">
        <v>33</v>
      </c>
      <c r="C1101" s="53" t="s">
        <v>34</v>
      </c>
      <c r="D1101" s="53" t="s">
        <v>24</v>
      </c>
      <c r="E1101" s="53" t="s">
        <v>24</v>
      </c>
      <c r="F1101" s="53" t="s">
        <v>25</v>
      </c>
      <c r="G1101" s="53" t="s">
        <v>25</v>
      </c>
      <c r="H1101" s="53" t="s">
        <v>35</v>
      </c>
      <c r="I1101" s="75">
        <v>44562</v>
      </c>
      <c r="J1101" s="76">
        <f>EFEITO!$J$1101*EFEITO!$Y$1101</f>
        <v>0</v>
      </c>
      <c r="K1101" s="76">
        <f ca="1">EFEITO!$L$1101*EFEITO!$Z$1101</f>
        <v>41.380035991990134</v>
      </c>
      <c r="L1101" s="76">
        <f>EFEITO!$N$1101*EFEITO!$AA$1101</f>
        <v>9.7496200762451846</v>
      </c>
      <c r="M1101" s="76">
        <f>$J$1101-EFEITO!$K$1101*EFEITO!$Y$1101</f>
        <v>0</v>
      </c>
      <c r="N1101" s="76">
        <f ca="1">$K$1101-EFEITO!$M$1101*EFEITO!$Z$1101</f>
        <v>0</v>
      </c>
      <c r="O1101" s="76">
        <f>$L$1101-EFEITO!$O$1101*EFEITO!$AA$1101</f>
        <v>0</v>
      </c>
      <c r="P1101" s="57"/>
      <c r="Q1101" s="57"/>
      <c r="R1101" s="57"/>
      <c r="S1101" s="57"/>
      <c r="T1101" s="57"/>
      <c r="U1101" s="57"/>
      <c r="V1101" s="57"/>
      <c r="W1101" s="57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</row>
    <row r="1102" spans="1:36" ht="11.25" customHeight="1" x14ac:dyDescent="0.2">
      <c r="A1102" s="53" t="s">
        <v>21</v>
      </c>
      <c r="B1102" s="53" t="s">
        <v>33</v>
      </c>
      <c r="C1102" s="53" t="s">
        <v>34</v>
      </c>
      <c r="D1102" s="53" t="s">
        <v>24</v>
      </c>
      <c r="E1102" s="53" t="s">
        <v>24</v>
      </c>
      <c r="F1102" s="53" t="s">
        <v>25</v>
      </c>
      <c r="G1102" s="53" t="s">
        <v>25</v>
      </c>
      <c r="H1102" s="53" t="s">
        <v>35</v>
      </c>
      <c r="I1102" s="75">
        <v>44593</v>
      </c>
      <c r="J1102" s="76">
        <f>EFEITO!$J$1102*EFEITO!$Y$1102</f>
        <v>0</v>
      </c>
      <c r="K1102" s="76">
        <f ca="1">EFEITO!$L$1102*EFEITO!$Z$1102</f>
        <v>667.47797187079743</v>
      </c>
      <c r="L1102" s="76">
        <f>EFEITO!$N$1102*EFEITO!$AA$1102</f>
        <v>157.26561079508537</v>
      </c>
      <c r="M1102" s="76">
        <f>$J$1102-EFEITO!$K$1102*EFEITO!$Y$1102</f>
        <v>0</v>
      </c>
      <c r="N1102" s="76">
        <f ca="1">$K$1102-EFEITO!$M$1102*EFEITO!$Z$1102</f>
        <v>0</v>
      </c>
      <c r="O1102" s="76">
        <f>$L$1102-EFEITO!$O$1102*EFEITO!$AA$1102</f>
        <v>0</v>
      </c>
      <c r="P1102" s="57"/>
      <c r="Q1102" s="57"/>
      <c r="R1102" s="57"/>
      <c r="S1102" s="57"/>
      <c r="T1102" s="57"/>
      <c r="U1102" s="57"/>
      <c r="V1102" s="57"/>
      <c r="W1102" s="57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</row>
    <row r="1103" spans="1:36" ht="11.25" customHeight="1" x14ac:dyDescent="0.2">
      <c r="A1103" s="53" t="s">
        <v>28</v>
      </c>
      <c r="B1103" s="53" t="s">
        <v>33</v>
      </c>
      <c r="C1103" s="53" t="s">
        <v>34</v>
      </c>
      <c r="D1103" s="53" t="s">
        <v>24</v>
      </c>
      <c r="E1103" s="53" t="s">
        <v>24</v>
      </c>
      <c r="F1103" s="53" t="s">
        <v>25</v>
      </c>
      <c r="G1103" s="53" t="s">
        <v>25</v>
      </c>
      <c r="H1103" s="53" t="s">
        <v>35</v>
      </c>
      <c r="I1103" s="75">
        <v>44593</v>
      </c>
      <c r="J1103" s="76">
        <f>EFEITO!$J$1103*EFEITO!$Y$1103</f>
        <v>0</v>
      </c>
      <c r="K1103" s="76">
        <f ca="1">EFEITO!$L$1103*EFEITO!$Z$1103</f>
        <v>41.380035991990134</v>
      </c>
      <c r="L1103" s="76">
        <f>EFEITO!$N$1103*EFEITO!$AA$1103</f>
        <v>9.7496200762451846</v>
      </c>
      <c r="M1103" s="76">
        <f>$J$1103-EFEITO!$K$1103*EFEITO!$Y$1103</f>
        <v>0</v>
      </c>
      <c r="N1103" s="76">
        <f ca="1">$K$1103-EFEITO!$M$1103*EFEITO!$Z$1103</f>
        <v>0</v>
      </c>
      <c r="O1103" s="76">
        <f>$L$1103-EFEITO!$O$1103*EFEITO!$AA$1103</f>
        <v>0</v>
      </c>
      <c r="P1103" s="57"/>
      <c r="Q1103" s="57"/>
      <c r="R1103" s="57"/>
      <c r="S1103" s="57"/>
      <c r="T1103" s="57"/>
      <c r="U1103" s="57"/>
      <c r="V1103" s="57"/>
      <c r="W1103" s="57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</row>
    <row r="1104" spans="1:36" ht="11.25" customHeight="1" x14ac:dyDescent="0.2">
      <c r="A1104" s="53" t="s">
        <v>21</v>
      </c>
      <c r="B1104" s="53" t="s">
        <v>33</v>
      </c>
      <c r="C1104" s="53" t="s">
        <v>34</v>
      </c>
      <c r="D1104" s="53" t="s">
        <v>24</v>
      </c>
      <c r="E1104" s="53" t="s">
        <v>24</v>
      </c>
      <c r="F1104" s="53" t="s">
        <v>25</v>
      </c>
      <c r="G1104" s="53" t="s">
        <v>25</v>
      </c>
      <c r="H1104" s="53" t="s">
        <v>35</v>
      </c>
      <c r="I1104" s="75">
        <v>44621</v>
      </c>
      <c r="J1104" s="76">
        <f>EFEITO!$J$1104*EFEITO!$Y$1104</f>
        <v>0</v>
      </c>
      <c r="K1104" s="76">
        <f ca="1">EFEITO!$L$1104*EFEITO!$Z$1104</f>
        <v>1124.4574997823406</v>
      </c>
      <c r="L1104" s="76">
        <f>EFEITO!$N$1104*EFEITO!$AA$1104</f>
        <v>264.93532815883657</v>
      </c>
      <c r="M1104" s="76">
        <f>$J$1104-EFEITO!$K$1104*EFEITO!$Y$1104</f>
        <v>0</v>
      </c>
      <c r="N1104" s="76">
        <f ca="1">$K$1104-EFEITO!$M$1104*EFEITO!$Z$1104</f>
        <v>0</v>
      </c>
      <c r="O1104" s="76">
        <f>$L$1104-EFEITO!$O$1104*EFEITO!$AA$1104</f>
        <v>0</v>
      </c>
      <c r="P1104" s="57"/>
      <c r="Q1104" s="57"/>
      <c r="R1104" s="57"/>
      <c r="S1104" s="57"/>
      <c r="T1104" s="57"/>
      <c r="U1104" s="57"/>
      <c r="V1104" s="57"/>
      <c r="W1104" s="57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</row>
    <row r="1105" spans="1:36" ht="11.25" customHeight="1" x14ac:dyDescent="0.2">
      <c r="A1105" s="53" t="s">
        <v>28</v>
      </c>
      <c r="B1105" s="53" t="s">
        <v>33</v>
      </c>
      <c r="C1105" s="53" t="s">
        <v>34</v>
      </c>
      <c r="D1105" s="53" t="s">
        <v>24</v>
      </c>
      <c r="E1105" s="53" t="s">
        <v>24</v>
      </c>
      <c r="F1105" s="53" t="s">
        <v>25</v>
      </c>
      <c r="G1105" s="53" t="s">
        <v>25</v>
      </c>
      <c r="H1105" s="53" t="s">
        <v>35</v>
      </c>
      <c r="I1105" s="75">
        <v>44621</v>
      </c>
      <c r="J1105" s="76">
        <f>EFEITO!$J$1105*EFEITO!$Y$1105</f>
        <v>0</v>
      </c>
      <c r="K1105" s="76">
        <f ca="1">EFEITO!$L$1105*EFEITO!$Z$1105</f>
        <v>50.375695990248857</v>
      </c>
      <c r="L1105" s="76">
        <f>EFEITO!$N$1105*EFEITO!$AA$1105</f>
        <v>11.869102701515878</v>
      </c>
      <c r="M1105" s="76">
        <f>$J$1105-EFEITO!$K$1105*EFEITO!$Y$1105</f>
        <v>0</v>
      </c>
      <c r="N1105" s="76">
        <f ca="1">$K$1105-EFEITO!$M$1105*EFEITO!$Z$1105</f>
        <v>0</v>
      </c>
      <c r="O1105" s="76">
        <f>$L$1105-EFEITO!$O$1105*EFEITO!$AA$1105</f>
        <v>0</v>
      </c>
      <c r="P1105" s="57"/>
      <c r="Q1105" s="57"/>
      <c r="R1105" s="57"/>
      <c r="S1105" s="57"/>
      <c r="T1105" s="57"/>
      <c r="U1105" s="57"/>
      <c r="V1105" s="57"/>
      <c r="W1105" s="57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</row>
    <row r="1106" spans="1:36" ht="11.25" customHeight="1" x14ac:dyDescent="0.2">
      <c r="A1106" s="53" t="s">
        <v>56</v>
      </c>
      <c r="B1106" s="53" t="s">
        <v>33</v>
      </c>
      <c r="C1106" s="53" t="s">
        <v>34</v>
      </c>
      <c r="D1106" s="53" t="s">
        <v>24</v>
      </c>
      <c r="E1106" s="53" t="s">
        <v>24</v>
      </c>
      <c r="F1106" s="53" t="s">
        <v>25</v>
      </c>
      <c r="G1106" s="53" t="s">
        <v>25</v>
      </c>
      <c r="H1106" s="53" t="s">
        <v>35</v>
      </c>
      <c r="I1106" s="75">
        <v>44652</v>
      </c>
      <c r="J1106" s="76">
        <f>EFEITO!$J$1106*EFEITO!$Y$1106</f>
        <v>0</v>
      </c>
      <c r="K1106" s="76">
        <f ca="1">EFEITO!$L$1106*EFEITO!$Z$1106</f>
        <v>1124.4574997823406</v>
      </c>
      <c r="L1106" s="76">
        <f>EFEITO!$N$1106*EFEITO!$AA$1106</f>
        <v>264.93532815883657</v>
      </c>
      <c r="M1106" s="76">
        <f>$J$1106-EFEITO!$K$1106*EFEITO!$Y$1106</f>
        <v>0</v>
      </c>
      <c r="N1106" s="76">
        <f ca="1">$K$1106-EFEITO!$M$1106*EFEITO!$Z$1106</f>
        <v>0</v>
      </c>
      <c r="O1106" s="76">
        <f>$L$1106-EFEITO!$O$1106*EFEITO!$AA$1106</f>
        <v>0</v>
      </c>
      <c r="P1106" s="57"/>
      <c r="Q1106" s="57"/>
      <c r="R1106" s="57"/>
      <c r="S1106" s="57"/>
      <c r="T1106" s="57"/>
      <c r="U1106" s="57"/>
      <c r="V1106" s="57"/>
      <c r="W1106" s="57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</row>
    <row r="1107" spans="1:36" ht="11.25" customHeight="1" x14ac:dyDescent="0.2">
      <c r="A1107" s="53" t="s">
        <v>56</v>
      </c>
      <c r="B1107" s="53" t="s">
        <v>33</v>
      </c>
      <c r="C1107" s="53" t="s">
        <v>34</v>
      </c>
      <c r="D1107" s="53" t="s">
        <v>24</v>
      </c>
      <c r="E1107" s="53" t="s">
        <v>24</v>
      </c>
      <c r="F1107" s="53" t="s">
        <v>25</v>
      </c>
      <c r="G1107" s="53" t="s">
        <v>25</v>
      </c>
      <c r="H1107" s="53" t="s">
        <v>35</v>
      </c>
      <c r="I1107" s="75">
        <v>44652</v>
      </c>
      <c r="J1107" s="76">
        <f>EFEITO!$J$1107*EFEITO!$Y$1107</f>
        <v>0</v>
      </c>
      <c r="K1107" s="76">
        <f ca="1">EFEITO!$L$1107*EFEITO!$Z$1107</f>
        <v>50.375695990248857</v>
      </c>
      <c r="L1107" s="76">
        <f>EFEITO!$N$1107*EFEITO!$AA$1107</f>
        <v>11.869102701515878</v>
      </c>
      <c r="M1107" s="76">
        <f>$J$1107-EFEITO!$K$1107*EFEITO!$Y$1107</f>
        <v>0</v>
      </c>
      <c r="N1107" s="76">
        <f ca="1">$K$1107-EFEITO!$M$1107*EFEITO!$Z$1107</f>
        <v>0</v>
      </c>
      <c r="O1107" s="76">
        <f>$L$1107-EFEITO!$O$1107*EFEITO!$AA$1107</f>
        <v>0</v>
      </c>
      <c r="P1107" s="57"/>
      <c r="Q1107" s="57"/>
      <c r="R1107" s="57"/>
      <c r="S1107" s="57"/>
      <c r="T1107" s="57"/>
      <c r="U1107" s="57"/>
      <c r="V1107" s="57"/>
      <c r="W1107" s="57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</row>
    <row r="1108" spans="1:36" ht="11.25" customHeight="1" x14ac:dyDescent="0.2">
      <c r="A1108" s="53" t="s">
        <v>21</v>
      </c>
      <c r="B1108" s="53" t="s">
        <v>33</v>
      </c>
      <c r="C1108" s="53" t="s">
        <v>34</v>
      </c>
      <c r="D1108" s="53" t="s">
        <v>45</v>
      </c>
      <c r="E1108" s="53" t="s">
        <v>53</v>
      </c>
      <c r="F1108" s="53" t="s">
        <v>55</v>
      </c>
      <c r="G1108" s="53" t="s">
        <v>25</v>
      </c>
      <c r="H1108" s="53" t="s">
        <v>36</v>
      </c>
      <c r="I1108" s="75">
        <v>44317</v>
      </c>
      <c r="J1108" s="76">
        <f>EFEITO!$J$1108*EFEITO!$Y$1075</f>
        <v>0</v>
      </c>
      <c r="K1108" s="76">
        <f ca="1">EFEITO!$L$1108*EFEITO!$Z$1075</f>
        <v>14381.161887072753</v>
      </c>
      <c r="L1108" s="76">
        <f>EFEITO!$N$1108*EFEITO!$AA$1075</f>
        <v>33159.770862228666</v>
      </c>
      <c r="M1108" s="76">
        <f>$J$1108-EFEITO!$K$1108*EFEITO!$Y$1108</f>
        <v>0</v>
      </c>
      <c r="N1108" s="76">
        <f ca="1">$K$1108-EFEITO!$M$1108*EFEITO!$Z$1108</f>
        <v>12943.045698365477</v>
      </c>
      <c r="O1108" s="76">
        <f>$L$1108-EFEITO!$O$1108*EFEITO!$AA$1108</f>
        <v>29843.793776005801</v>
      </c>
      <c r="P1108" s="57"/>
      <c r="Q1108" s="57"/>
      <c r="R1108" s="57"/>
      <c r="S1108" s="57"/>
      <c r="T1108" s="57"/>
      <c r="U1108" s="57"/>
      <c r="V1108" s="57"/>
      <c r="W1108" s="57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</row>
    <row r="1109" spans="1:36" ht="11.25" customHeight="1" x14ac:dyDescent="0.2">
      <c r="A1109" s="53" t="s">
        <v>21</v>
      </c>
      <c r="B1109" s="53" t="s">
        <v>33</v>
      </c>
      <c r="C1109" s="53" t="s">
        <v>34</v>
      </c>
      <c r="D1109" s="53" t="s">
        <v>45</v>
      </c>
      <c r="E1109" s="53" t="s">
        <v>53</v>
      </c>
      <c r="F1109" s="53" t="s">
        <v>55</v>
      </c>
      <c r="G1109" s="53" t="s">
        <v>25</v>
      </c>
      <c r="H1109" s="53" t="s">
        <v>36</v>
      </c>
      <c r="I1109" s="75">
        <v>44348</v>
      </c>
      <c r="J1109" s="76">
        <f>EFEITO!$J$1109*EFEITO!$Y$1075</f>
        <v>0</v>
      </c>
      <c r="K1109" s="76">
        <f ca="1">EFEITO!$L$1109*EFEITO!$Z$1075</f>
        <v>13842.476850484418</v>
      </c>
      <c r="L1109" s="76">
        <f>EFEITO!$N$1109*EFEITO!$AA$1075</f>
        <v>31917.682599788808</v>
      </c>
      <c r="M1109" s="76">
        <f>$J$1109-EFEITO!$K$1109*EFEITO!$Y$1109</f>
        <v>0</v>
      </c>
      <c r="N1109" s="76">
        <f ca="1">$K$1109-EFEITO!$M$1109*EFEITO!$Z$1109</f>
        <v>12458.229165435976</v>
      </c>
      <c r="O1109" s="76">
        <f>$L$1109-EFEITO!$O$1109*EFEITO!$AA$1109</f>
        <v>28725.914339809926</v>
      </c>
      <c r="P1109" s="57"/>
      <c r="Q1109" s="57"/>
      <c r="R1109" s="57"/>
      <c r="S1109" s="57"/>
      <c r="T1109" s="57"/>
      <c r="U1109" s="57"/>
      <c r="V1109" s="57"/>
      <c r="W1109" s="57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</row>
    <row r="1110" spans="1:36" ht="11.25" customHeight="1" x14ac:dyDescent="0.2">
      <c r="A1110" s="53" t="s">
        <v>27</v>
      </c>
      <c r="B1110" s="53" t="s">
        <v>33</v>
      </c>
      <c r="C1110" s="53" t="s">
        <v>34</v>
      </c>
      <c r="D1110" s="53" t="s">
        <v>45</v>
      </c>
      <c r="E1110" s="53" t="s">
        <v>53</v>
      </c>
      <c r="F1110" s="53" t="s">
        <v>55</v>
      </c>
      <c r="G1110" s="53" t="s">
        <v>25</v>
      </c>
      <c r="H1110" s="53" t="s">
        <v>36</v>
      </c>
      <c r="I1110" s="75">
        <v>44348</v>
      </c>
      <c r="J1110" s="76">
        <f>EFEITO!$J$1110*EFEITO!$Y$1075</f>
        <v>0</v>
      </c>
      <c r="K1110" s="76">
        <f ca="1">EFEITO!$L$1110*EFEITO!$Z$1075</f>
        <v>-7205.6326101339109</v>
      </c>
      <c r="L1110" s="76">
        <f>EFEITO!$N$1110*EFEITO!$AA$1075</f>
        <v>-16614.591237181194</v>
      </c>
      <c r="M1110" s="76">
        <f>$J$1110-EFEITO!$K$1110*EFEITO!$Y$1110</f>
        <v>0</v>
      </c>
      <c r="N1110" s="76">
        <f ca="1">$K$1110-EFEITO!$M$1110*EFEITO!$Z$1110</f>
        <v>-6485.0693491205202</v>
      </c>
      <c r="O1110" s="76">
        <f>$L$1110-EFEITO!$O$1110*EFEITO!$AA$1110</f>
        <v>-14953.132113463074</v>
      </c>
      <c r="P1110" s="57"/>
      <c r="Q1110" s="57"/>
      <c r="R1110" s="57"/>
      <c r="S1110" s="57"/>
      <c r="T1110" s="57"/>
      <c r="U1110" s="57"/>
      <c r="V1110" s="57"/>
      <c r="W1110" s="57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</row>
    <row r="1111" spans="1:36" ht="11.25" customHeight="1" x14ac:dyDescent="0.2">
      <c r="A1111" s="53" t="s">
        <v>21</v>
      </c>
      <c r="B1111" s="53" t="s">
        <v>33</v>
      </c>
      <c r="C1111" s="53" t="s">
        <v>34</v>
      </c>
      <c r="D1111" s="53" t="s">
        <v>45</v>
      </c>
      <c r="E1111" s="53" t="s">
        <v>53</v>
      </c>
      <c r="F1111" s="53" t="s">
        <v>55</v>
      </c>
      <c r="G1111" s="53" t="s">
        <v>25</v>
      </c>
      <c r="H1111" s="53" t="s">
        <v>36</v>
      </c>
      <c r="I1111" s="75">
        <v>44378</v>
      </c>
      <c r="J1111" s="76">
        <f>EFEITO!$J$1111*EFEITO!$Y$1075</f>
        <v>0</v>
      </c>
      <c r="K1111" s="76">
        <f ca="1">EFEITO!$L$1111*EFEITO!$Z$1075</f>
        <v>20314.340713988506</v>
      </c>
      <c r="L1111" s="76">
        <f>EFEITO!$N$1111*EFEITO!$AA$1075</f>
        <v>46840.365791210403</v>
      </c>
      <c r="M1111" s="76">
        <f>$J$1111-EFEITO!$K$1111*EFEITO!$Y$1111</f>
        <v>0</v>
      </c>
      <c r="N1111" s="76">
        <f ca="1">$K$1111-EFEITO!$M$1111*EFEITO!$Z$1111</f>
        <v>18282.906642589656</v>
      </c>
      <c r="O1111" s="76">
        <f>$L$1111-EFEITO!$O$1111*EFEITO!$AA$1111</f>
        <v>42156.32921208936</v>
      </c>
      <c r="P1111" s="57"/>
      <c r="Q1111" s="57"/>
      <c r="R1111" s="57"/>
      <c r="S1111" s="57"/>
      <c r="T1111" s="57"/>
      <c r="U1111" s="57"/>
      <c r="V1111" s="57"/>
      <c r="W1111" s="57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</row>
    <row r="1112" spans="1:36" ht="11.25" customHeight="1" x14ac:dyDescent="0.2">
      <c r="A1112" s="53" t="s">
        <v>27</v>
      </c>
      <c r="B1112" s="53" t="s">
        <v>33</v>
      </c>
      <c r="C1112" s="53" t="s">
        <v>34</v>
      </c>
      <c r="D1112" s="53" t="s">
        <v>45</v>
      </c>
      <c r="E1112" s="53" t="s">
        <v>53</v>
      </c>
      <c r="F1112" s="53" t="s">
        <v>55</v>
      </c>
      <c r="G1112" s="53" t="s">
        <v>25</v>
      </c>
      <c r="H1112" s="53" t="s">
        <v>36</v>
      </c>
      <c r="I1112" s="75">
        <v>44378</v>
      </c>
      <c r="J1112" s="76">
        <f>EFEITO!$J$1112*EFEITO!$Y$1075</f>
        <v>0</v>
      </c>
      <c r="K1112" s="76">
        <f ca="1">EFEITO!$L$1112*EFEITO!$Z$1075</f>
        <v>-6447.6400875736817</v>
      </c>
      <c r="L1112" s="76">
        <f>EFEITO!$N$1112*EFEITO!$AA$1075</f>
        <v>-14866.828534782742</v>
      </c>
      <c r="M1112" s="76">
        <f>$J$1112-EFEITO!$K$1112*EFEITO!$Y$1112</f>
        <v>0</v>
      </c>
      <c r="N1112" s="76">
        <f ca="1">$K$1112-EFEITO!$M$1112*EFEITO!$Z$1112</f>
        <v>-5802.8760788163136</v>
      </c>
      <c r="O1112" s="76">
        <f>$L$1112-EFEITO!$O$1112*EFEITO!$AA$1112</f>
        <v>-13380.145681304468</v>
      </c>
      <c r="P1112" s="57"/>
      <c r="Q1112" s="57"/>
      <c r="R1112" s="57"/>
      <c r="S1112" s="57"/>
      <c r="T1112" s="57"/>
      <c r="U1112" s="57"/>
      <c r="V1112" s="57"/>
      <c r="W1112" s="57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</row>
    <row r="1113" spans="1:36" ht="11.25" customHeight="1" x14ac:dyDescent="0.2">
      <c r="A1113" s="53" t="s">
        <v>21</v>
      </c>
      <c r="B1113" s="53" t="s">
        <v>33</v>
      </c>
      <c r="C1113" s="53" t="s">
        <v>34</v>
      </c>
      <c r="D1113" s="53" t="s">
        <v>45</v>
      </c>
      <c r="E1113" s="53" t="s">
        <v>53</v>
      </c>
      <c r="F1113" s="53" t="s">
        <v>55</v>
      </c>
      <c r="G1113" s="53" t="s">
        <v>25</v>
      </c>
      <c r="H1113" s="53" t="s">
        <v>36</v>
      </c>
      <c r="I1113" s="75">
        <v>44409</v>
      </c>
      <c r="J1113" s="76">
        <f>EFEITO!$J$1113*EFEITO!$Y$1075</f>
        <v>0</v>
      </c>
      <c r="K1113" s="76">
        <f ca="1">EFEITO!$L$1113*EFEITO!$Z$1075</f>
        <v>34081.794413775839</v>
      </c>
      <c r="L1113" s="76">
        <f>EFEITO!$N$1113*EFEITO!$AA$1075</f>
        <v>78585.061638884697</v>
      </c>
      <c r="M1113" s="76">
        <f>$J$1113-EFEITO!$K$1113*EFEITO!$Y$1113</f>
        <v>0</v>
      </c>
      <c r="N1113" s="76">
        <f ca="1">$K$1113-EFEITO!$M$1113*EFEITO!$Z$1113</f>
        <v>30673.614972398256</v>
      </c>
      <c r="O1113" s="76">
        <f>$L$1113-EFEITO!$O$1113*EFEITO!$AA$1113</f>
        <v>70726.555474996232</v>
      </c>
      <c r="P1113" s="57"/>
      <c r="Q1113" s="57"/>
      <c r="R1113" s="57"/>
      <c r="S1113" s="57"/>
      <c r="T1113" s="57"/>
      <c r="U1113" s="57"/>
      <c r="V1113" s="57"/>
      <c r="W1113" s="57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</row>
    <row r="1114" spans="1:36" ht="11.25" customHeight="1" x14ac:dyDescent="0.2">
      <c r="A1114" s="53" t="s">
        <v>27</v>
      </c>
      <c r="B1114" s="53" t="s">
        <v>33</v>
      </c>
      <c r="C1114" s="53" t="s">
        <v>34</v>
      </c>
      <c r="D1114" s="53" t="s">
        <v>45</v>
      </c>
      <c r="E1114" s="53" t="s">
        <v>53</v>
      </c>
      <c r="F1114" s="53" t="s">
        <v>55</v>
      </c>
      <c r="G1114" s="53" t="s">
        <v>25</v>
      </c>
      <c r="H1114" s="53" t="s">
        <v>36</v>
      </c>
      <c r="I1114" s="75">
        <v>44409</v>
      </c>
      <c r="J1114" s="76">
        <f>EFEITO!$J$1114*EFEITO!$Y$1075</f>
        <v>0</v>
      </c>
      <c r="K1114" s="76">
        <f ca="1">EFEITO!$L$1114*EFEITO!$Z$1075</f>
        <v>5106.8658489401514</v>
      </c>
      <c r="L1114" s="76">
        <f>EFEITO!$N$1114*EFEITO!$AA$1075</f>
        <v>11775.300403732921</v>
      </c>
      <c r="M1114" s="76">
        <f>$J$1114-EFEITO!$K$1114*EFEITO!$Y$1114</f>
        <v>0</v>
      </c>
      <c r="N1114" s="76">
        <f ca="1">$K$1114-EFEITO!$M$1114*EFEITO!$Z$1114</f>
        <v>4596.1792640461363</v>
      </c>
      <c r="O1114" s="76">
        <f>$L$1114-EFEITO!$O$1114*EFEITO!$AA$1114</f>
        <v>10597.770363359628</v>
      </c>
      <c r="P1114" s="57"/>
      <c r="Q1114" s="57"/>
      <c r="R1114" s="57"/>
      <c r="S1114" s="57"/>
      <c r="T1114" s="57"/>
      <c r="U1114" s="57"/>
      <c r="V1114" s="57"/>
      <c r="W1114" s="57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</row>
    <row r="1115" spans="1:36" ht="11.25" customHeight="1" x14ac:dyDescent="0.2">
      <c r="A1115" s="53" t="s">
        <v>21</v>
      </c>
      <c r="B1115" s="53" t="s">
        <v>33</v>
      </c>
      <c r="C1115" s="53" t="s">
        <v>34</v>
      </c>
      <c r="D1115" s="53" t="s">
        <v>45</v>
      </c>
      <c r="E1115" s="53" t="s">
        <v>53</v>
      </c>
      <c r="F1115" s="53" t="s">
        <v>55</v>
      </c>
      <c r="G1115" s="53" t="s">
        <v>25</v>
      </c>
      <c r="H1115" s="53" t="s">
        <v>36</v>
      </c>
      <c r="I1115" s="75">
        <v>44440</v>
      </c>
      <c r="J1115" s="76">
        <f>EFEITO!$J$1115*EFEITO!$Y$1075</f>
        <v>0</v>
      </c>
      <c r="K1115" s="76">
        <f ca="1">EFEITO!$L$1115*EFEITO!$Z$1075</f>
        <v>72480.830135847704</v>
      </c>
      <c r="L1115" s="76">
        <f>EFEITO!$N$1115*EFEITO!$AA$1075</f>
        <v>167124.72455854146</v>
      </c>
      <c r="M1115" s="76">
        <f>$J$1115-EFEITO!$K$1115*EFEITO!$Y$1115</f>
        <v>0</v>
      </c>
      <c r="N1115" s="76">
        <f ca="1">$K$1115-EFEITO!$M$1115*EFEITO!$Z$1115</f>
        <v>65232.747122262932</v>
      </c>
      <c r="O1115" s="76">
        <f>$L$1115-EFEITO!$O$1115*EFEITO!$AA$1115</f>
        <v>150412.25210268731</v>
      </c>
      <c r="P1115" s="57"/>
      <c r="Q1115" s="57"/>
      <c r="R1115" s="57"/>
      <c r="S1115" s="57"/>
      <c r="T1115" s="57"/>
      <c r="U1115" s="57"/>
      <c r="V1115" s="57"/>
      <c r="W1115" s="57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</row>
    <row r="1116" spans="1:36" ht="11.25" customHeight="1" x14ac:dyDescent="0.2">
      <c r="A1116" s="53" t="s">
        <v>27</v>
      </c>
      <c r="B1116" s="53" t="s">
        <v>33</v>
      </c>
      <c r="C1116" s="53" t="s">
        <v>34</v>
      </c>
      <c r="D1116" s="53" t="s">
        <v>45</v>
      </c>
      <c r="E1116" s="53" t="s">
        <v>53</v>
      </c>
      <c r="F1116" s="53" t="s">
        <v>55</v>
      </c>
      <c r="G1116" s="53" t="s">
        <v>25</v>
      </c>
      <c r="H1116" s="53" t="s">
        <v>36</v>
      </c>
      <c r="I1116" s="75">
        <v>44440</v>
      </c>
      <c r="J1116" s="76">
        <f>EFEITO!$J$1116*EFEITO!$Y$1075</f>
        <v>0</v>
      </c>
      <c r="K1116" s="76">
        <f ca="1">EFEITO!$L$1116*EFEITO!$Z$1075</f>
        <v>-10049.809641341524</v>
      </c>
      <c r="L1116" s="76">
        <f>EFEITO!$N$1116*EFEITO!$AA$1075</f>
        <v>-23172.632888268905</v>
      </c>
      <c r="M1116" s="76">
        <f>$J$1116-EFEITO!$K$1116*EFEITO!$Y$1116</f>
        <v>0</v>
      </c>
      <c r="N1116" s="76">
        <f ca="1">$K$1116-EFEITO!$M$1116*EFEITO!$Z$1116</f>
        <v>-9044.8286772073716</v>
      </c>
      <c r="O1116" s="76">
        <f>$L$1116-EFEITO!$O$1116*EFEITO!$AA$1116</f>
        <v>-20855.369599442016</v>
      </c>
      <c r="P1116" s="57"/>
      <c r="Q1116" s="57"/>
      <c r="R1116" s="57"/>
      <c r="S1116" s="57"/>
      <c r="T1116" s="57"/>
      <c r="U1116" s="57"/>
      <c r="V1116" s="57"/>
      <c r="W1116" s="57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</row>
    <row r="1117" spans="1:36" ht="11.25" customHeight="1" x14ac:dyDescent="0.2">
      <c r="A1117" s="53" t="s">
        <v>21</v>
      </c>
      <c r="B1117" s="53" t="s">
        <v>33</v>
      </c>
      <c r="C1117" s="53" t="s">
        <v>34</v>
      </c>
      <c r="D1117" s="53" t="s">
        <v>45</v>
      </c>
      <c r="E1117" s="53" t="s">
        <v>53</v>
      </c>
      <c r="F1117" s="53" t="s">
        <v>55</v>
      </c>
      <c r="G1117" s="53" t="s">
        <v>25</v>
      </c>
      <c r="H1117" s="53" t="s">
        <v>36</v>
      </c>
      <c r="I1117" s="75">
        <v>44470</v>
      </c>
      <c r="J1117" s="76">
        <f>EFEITO!$J$1117*EFEITO!$Y$1075</f>
        <v>0</v>
      </c>
      <c r="K1117" s="76">
        <f ca="1">EFEITO!$L$1117*EFEITO!$Z$1075</f>
        <v>202447.14996860377</v>
      </c>
      <c r="L1117" s="76">
        <f>EFEITO!$N$1117*EFEITO!$AA$1075</f>
        <v>466798.24324240175</v>
      </c>
      <c r="M1117" s="76">
        <f>$J$1117-EFEITO!$K$1117*EFEITO!$Y$1117</f>
        <v>0</v>
      </c>
      <c r="N1117" s="76">
        <f ca="1">$K$1117-EFEITO!$M$1117*EFEITO!$Z$1117</f>
        <v>182202.43497174338</v>
      </c>
      <c r="O1117" s="76">
        <f>$L$1117-EFEITO!$O$1117*EFEITO!$AA$1117</f>
        <v>420118.41891816159</v>
      </c>
      <c r="P1117" s="57"/>
      <c r="Q1117" s="57"/>
      <c r="R1117" s="57"/>
      <c r="S1117" s="57"/>
      <c r="T1117" s="57"/>
      <c r="U1117" s="57"/>
      <c r="V1117" s="57"/>
      <c r="W1117" s="57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</row>
    <row r="1118" spans="1:36" ht="11.25" customHeight="1" x14ac:dyDescent="0.2">
      <c r="A1118" s="53" t="s">
        <v>21</v>
      </c>
      <c r="B1118" s="53" t="s">
        <v>33</v>
      </c>
      <c r="C1118" s="53" t="s">
        <v>34</v>
      </c>
      <c r="D1118" s="53" t="s">
        <v>45</v>
      </c>
      <c r="E1118" s="53" t="s">
        <v>53</v>
      </c>
      <c r="F1118" s="53" t="s">
        <v>55</v>
      </c>
      <c r="G1118" s="53" t="s">
        <v>25</v>
      </c>
      <c r="H1118" s="53" t="s">
        <v>36</v>
      </c>
      <c r="I1118" s="75">
        <v>44501</v>
      </c>
      <c r="J1118" s="76">
        <f>EFEITO!$J$1118*EFEITO!$Y$1075</f>
        <v>0</v>
      </c>
      <c r="K1118" s="76">
        <f ca="1">EFEITO!$L$1118*EFEITO!$Z$1075</f>
        <v>313347.24150351377</v>
      </c>
      <c r="L1118" s="76">
        <f>EFEITO!$N$1118*EFEITO!$AA$1075</f>
        <v>722509.26664750231</v>
      </c>
      <c r="M1118" s="76">
        <f>$J$1118-EFEITO!$K$1118*EFEITO!$Y$1118</f>
        <v>0</v>
      </c>
      <c r="N1118" s="76">
        <f ca="1">$K$1118-EFEITO!$M$1118*EFEITO!$Z$1118</f>
        <v>282012.5173531624</v>
      </c>
      <c r="O1118" s="76">
        <f>$L$1118-EFEITO!$O$1118*EFEITO!$AA$1118</f>
        <v>650258.33998275211</v>
      </c>
      <c r="P1118" s="57"/>
      <c r="Q1118" s="57"/>
      <c r="R1118" s="57"/>
      <c r="S1118" s="57"/>
      <c r="T1118" s="57"/>
      <c r="U1118" s="57"/>
      <c r="V1118" s="57"/>
      <c r="W1118" s="57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</row>
    <row r="1119" spans="1:36" ht="11.25" customHeight="1" x14ac:dyDescent="0.2">
      <c r="A1119" s="53" t="s">
        <v>21</v>
      </c>
      <c r="B1119" s="53" t="s">
        <v>33</v>
      </c>
      <c r="C1119" s="53" t="s">
        <v>34</v>
      </c>
      <c r="D1119" s="53" t="s">
        <v>45</v>
      </c>
      <c r="E1119" s="53" t="s">
        <v>53</v>
      </c>
      <c r="F1119" s="53" t="s">
        <v>55</v>
      </c>
      <c r="G1119" s="53" t="s">
        <v>25</v>
      </c>
      <c r="H1119" s="53" t="s">
        <v>36</v>
      </c>
      <c r="I1119" s="75">
        <v>44531</v>
      </c>
      <c r="J1119" s="76">
        <f>EFEITO!$J$1119*EFEITO!$Y$1075</f>
        <v>0</v>
      </c>
      <c r="K1119" s="76">
        <f ca="1">EFEITO!$L$1119*EFEITO!$Z$1075</f>
        <v>283577.2792053505</v>
      </c>
      <c r="L1119" s="76">
        <f>EFEITO!$N$1119*EFEITO!$AA$1075</f>
        <v>653866.33389033435</v>
      </c>
      <c r="M1119" s="76">
        <f>$J$1119-EFEITO!$K$1119*EFEITO!$Y$1119</f>
        <v>0</v>
      </c>
      <c r="N1119" s="76">
        <f ca="1">$K$1119-EFEITO!$M$1119*EFEITO!$Z$1119</f>
        <v>255219.55128481545</v>
      </c>
      <c r="O1119" s="76">
        <f>$L$1119-EFEITO!$O$1119*EFEITO!$AA$1119</f>
        <v>588479.70050130086</v>
      </c>
      <c r="P1119" s="57"/>
      <c r="Q1119" s="57"/>
      <c r="R1119" s="57"/>
      <c r="S1119" s="57"/>
      <c r="T1119" s="57"/>
      <c r="U1119" s="57"/>
      <c r="V1119" s="57"/>
      <c r="W1119" s="57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</row>
    <row r="1120" spans="1:36" ht="11.25" customHeight="1" x14ac:dyDescent="0.2">
      <c r="A1120" s="53" t="s">
        <v>21</v>
      </c>
      <c r="B1120" s="53" t="s">
        <v>33</v>
      </c>
      <c r="C1120" s="53" t="s">
        <v>34</v>
      </c>
      <c r="D1120" s="53" t="s">
        <v>45</v>
      </c>
      <c r="E1120" s="53" t="s">
        <v>53</v>
      </c>
      <c r="F1120" s="53" t="s">
        <v>55</v>
      </c>
      <c r="G1120" s="53" t="s">
        <v>25</v>
      </c>
      <c r="H1120" s="53" t="s">
        <v>36</v>
      </c>
      <c r="I1120" s="75">
        <v>44562</v>
      </c>
      <c r="J1120" s="76">
        <f>EFEITO!$J$1120*EFEITO!$Y$1075</f>
        <v>0</v>
      </c>
      <c r="K1120" s="76">
        <f ca="1">EFEITO!$L$1120*EFEITO!$Z$1075</f>
        <v>245751.02995200202</v>
      </c>
      <c r="L1120" s="76">
        <f>EFEITO!$N$1120*EFEITO!$AA$1075</f>
        <v>566647.3895749877</v>
      </c>
      <c r="M1120" s="76">
        <f>$J$1120-EFEITO!$K$1120*EFEITO!$Y$1120</f>
        <v>0</v>
      </c>
      <c r="N1120" s="76">
        <f ca="1">$K$1120-EFEITO!$M$1120*EFEITO!$Z$1120</f>
        <v>221175.92695680182</v>
      </c>
      <c r="O1120" s="76">
        <f>$L$1120-EFEITO!$O$1120*EFEITO!$AA$1120</f>
        <v>509982.65061748895</v>
      </c>
      <c r="P1120" s="57"/>
      <c r="Q1120" s="57"/>
      <c r="R1120" s="57"/>
      <c r="S1120" s="57"/>
      <c r="T1120" s="57"/>
      <c r="U1120" s="57"/>
      <c r="V1120" s="57"/>
      <c r="W1120" s="57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</row>
    <row r="1121" spans="1:36" ht="11.25" customHeight="1" x14ac:dyDescent="0.2">
      <c r="A1121" s="53" t="s">
        <v>27</v>
      </c>
      <c r="B1121" s="53" t="s">
        <v>33</v>
      </c>
      <c r="C1121" s="53" t="s">
        <v>34</v>
      </c>
      <c r="D1121" s="53" t="s">
        <v>45</v>
      </c>
      <c r="E1121" s="53" t="s">
        <v>53</v>
      </c>
      <c r="F1121" s="53" t="s">
        <v>55</v>
      </c>
      <c r="G1121" s="53" t="s">
        <v>25</v>
      </c>
      <c r="H1121" s="53" t="s">
        <v>36</v>
      </c>
      <c r="I1121" s="75">
        <v>44562</v>
      </c>
      <c r="J1121" s="76">
        <f>EFEITO!$J$1121*EFEITO!$Y$1075</f>
        <v>0</v>
      </c>
      <c r="K1121" s="76">
        <f ca="1">EFEITO!$L$1121*EFEITO!$Z$1075</f>
        <v>-8638.2455332414629</v>
      </c>
      <c r="L1121" s="76">
        <f>EFEITO!$N$1121*EFEITO!$AA$1075</f>
        <v>-19917.879013060861</v>
      </c>
      <c r="M1121" s="76">
        <f>$J$1121-EFEITO!$K$1121*EFEITO!$Y$1121</f>
        <v>0</v>
      </c>
      <c r="N1121" s="76">
        <f ca="1">$K$1121-EFEITO!$M$1121*EFEITO!$Z$1121</f>
        <v>-7774.4209799173168</v>
      </c>
      <c r="O1121" s="76">
        <f>$L$1121-EFEITO!$O$1121*EFEITO!$AA$1121</f>
        <v>-17926.091111754773</v>
      </c>
      <c r="P1121" s="57"/>
      <c r="Q1121" s="57"/>
      <c r="R1121" s="57"/>
      <c r="S1121" s="57"/>
      <c r="T1121" s="57"/>
      <c r="U1121" s="57"/>
      <c r="V1121" s="57"/>
      <c r="W1121" s="57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</row>
    <row r="1122" spans="1:36" ht="11.25" customHeight="1" x14ac:dyDescent="0.2">
      <c r="A1122" s="53" t="s">
        <v>21</v>
      </c>
      <c r="B1122" s="53" t="s">
        <v>33</v>
      </c>
      <c r="C1122" s="53" t="s">
        <v>34</v>
      </c>
      <c r="D1122" s="53" t="s">
        <v>45</v>
      </c>
      <c r="E1122" s="53" t="s">
        <v>53</v>
      </c>
      <c r="F1122" s="53" t="s">
        <v>55</v>
      </c>
      <c r="G1122" s="53" t="s">
        <v>25</v>
      </c>
      <c r="H1122" s="53" t="s">
        <v>36</v>
      </c>
      <c r="I1122" s="75">
        <v>44593</v>
      </c>
      <c r="J1122" s="76">
        <f>EFEITO!$J$1122*EFEITO!$Y$1075</f>
        <v>0</v>
      </c>
      <c r="K1122" s="76">
        <f ca="1">EFEITO!$L$1122*EFEITO!$Z$1075</f>
        <v>319663.88505523081</v>
      </c>
      <c r="L1122" s="76">
        <f>EFEITO!$N$1122*EFEITO!$AA$1075</f>
        <v>737074.04621385934</v>
      </c>
      <c r="M1122" s="76">
        <f>$J$1122-EFEITO!$K$1122*EFEITO!$Y$1122</f>
        <v>0</v>
      </c>
      <c r="N1122" s="76">
        <f ca="1">$K$1122-EFEITO!$M$1122*EFEITO!$Z$1122</f>
        <v>287697.49654970772</v>
      </c>
      <c r="O1122" s="76">
        <f>$L$1122-EFEITO!$O$1122*EFEITO!$AA$1122</f>
        <v>663366.64159247337</v>
      </c>
      <c r="P1122" s="57"/>
      <c r="Q1122" s="57"/>
      <c r="R1122" s="57"/>
      <c r="S1122" s="57"/>
      <c r="T1122" s="57"/>
      <c r="U1122" s="57"/>
      <c r="V1122" s="57"/>
      <c r="W1122" s="57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</row>
    <row r="1123" spans="1:36" ht="11.25" customHeight="1" x14ac:dyDescent="0.2">
      <c r="A1123" s="53" t="s">
        <v>21</v>
      </c>
      <c r="B1123" s="53" t="s">
        <v>33</v>
      </c>
      <c r="C1123" s="53" t="s">
        <v>34</v>
      </c>
      <c r="D1123" s="53" t="s">
        <v>45</v>
      </c>
      <c r="E1123" s="53" t="s">
        <v>53</v>
      </c>
      <c r="F1123" s="53" t="s">
        <v>55</v>
      </c>
      <c r="G1123" s="53" t="s">
        <v>25</v>
      </c>
      <c r="H1123" s="53" t="s">
        <v>36</v>
      </c>
      <c r="I1123" s="75">
        <v>44621</v>
      </c>
      <c r="J1123" s="76">
        <f>EFEITO!$J$1123*EFEITO!$Y$1075</f>
        <v>0</v>
      </c>
      <c r="K1123" s="76">
        <f ca="1">EFEITO!$L$1123*EFEITO!$Z$1075</f>
        <v>115953.57100388705</v>
      </c>
      <c r="L1123" s="76">
        <f>EFEITO!$N$1123*EFEITO!$AA$1075</f>
        <v>267363.22665294009</v>
      </c>
      <c r="M1123" s="76">
        <f>$J$1123-EFEITO!$K$1123*EFEITO!$Y$1123</f>
        <v>0</v>
      </c>
      <c r="N1123" s="76">
        <f ca="1">$K$1123-EFEITO!$M$1123*EFEITO!$Z$1123</f>
        <v>104358.21390349834</v>
      </c>
      <c r="O1123" s="76">
        <f>$L$1123-EFEITO!$O$1123*EFEITO!$AA$1123</f>
        <v>240626.9039876461</v>
      </c>
      <c r="P1123" s="57"/>
      <c r="Q1123" s="57"/>
      <c r="R1123" s="57"/>
      <c r="S1123" s="57"/>
      <c r="T1123" s="57"/>
      <c r="U1123" s="57"/>
      <c r="V1123" s="57"/>
      <c r="W1123" s="57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</row>
    <row r="1124" spans="1:36" ht="11.25" customHeight="1" x14ac:dyDescent="0.2">
      <c r="A1124" s="53" t="s">
        <v>27</v>
      </c>
      <c r="B1124" s="53" t="s">
        <v>33</v>
      </c>
      <c r="C1124" s="53" t="s">
        <v>34</v>
      </c>
      <c r="D1124" s="53" t="s">
        <v>45</v>
      </c>
      <c r="E1124" s="53" t="s">
        <v>53</v>
      </c>
      <c r="F1124" s="53" t="s">
        <v>55</v>
      </c>
      <c r="G1124" s="53" t="s">
        <v>25</v>
      </c>
      <c r="H1124" s="53" t="s">
        <v>36</v>
      </c>
      <c r="I1124" s="75">
        <v>44621</v>
      </c>
      <c r="J1124" s="76">
        <f>EFEITO!$J$1124*EFEITO!$Y$1075</f>
        <v>0</v>
      </c>
      <c r="K1124" s="76">
        <f ca="1">EFEITO!$L$1124*EFEITO!$Z$1075</f>
        <v>786.91994430236684</v>
      </c>
      <c r="L1124" s="76">
        <f>EFEITO!$N$1124*EFEITO!$AA$1075</f>
        <v>1814.462923433206</v>
      </c>
      <c r="M1124" s="76">
        <f>$J$1124-EFEITO!$K$1124*EFEITO!$Y$1124</f>
        <v>0</v>
      </c>
      <c r="N1124" s="76">
        <f ca="1">$K$1124-EFEITO!$M$1124*EFEITO!$Z$1124</f>
        <v>708.22794987213013</v>
      </c>
      <c r="O1124" s="76">
        <f>$L$1124-EFEITO!$O$1124*EFEITO!$AA$1124</f>
        <v>1633.0166310898853</v>
      </c>
      <c r="P1124" s="57"/>
      <c r="Q1124" s="57"/>
      <c r="R1124" s="57"/>
      <c r="S1124" s="57"/>
      <c r="T1124" s="57"/>
      <c r="U1124" s="57"/>
      <c r="V1124" s="57"/>
      <c r="W1124" s="57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</row>
    <row r="1125" spans="1:36" ht="11.25" customHeight="1" x14ac:dyDescent="0.2">
      <c r="A1125" s="53" t="s">
        <v>56</v>
      </c>
      <c r="B1125" s="53" t="s">
        <v>33</v>
      </c>
      <c r="C1125" s="53" t="s">
        <v>34</v>
      </c>
      <c r="D1125" s="53" t="s">
        <v>45</v>
      </c>
      <c r="E1125" s="53" t="s">
        <v>53</v>
      </c>
      <c r="F1125" s="53" t="s">
        <v>55</v>
      </c>
      <c r="G1125" s="53" t="s">
        <v>25</v>
      </c>
      <c r="H1125" s="53" t="s">
        <v>36</v>
      </c>
      <c r="I1125" s="75">
        <v>44652</v>
      </c>
      <c r="J1125" s="76">
        <f>EFEITO!$J$1125*EFEITO!$Y$1075</f>
        <v>0</v>
      </c>
      <c r="K1125" s="76">
        <f ca="1">EFEITO!$L$1125*EFEITO!$Z$1075</f>
        <v>115953.57100388705</v>
      </c>
      <c r="L1125" s="76">
        <f>EFEITO!$N$1125*EFEITO!$AA$1075</f>
        <v>267363.22665294009</v>
      </c>
      <c r="M1125" s="76">
        <f>$J$1125-EFEITO!$K$1125*EFEITO!$Y$1125</f>
        <v>0</v>
      </c>
      <c r="N1125" s="76">
        <f ca="1">$K$1125-EFEITO!$M$1125*EFEITO!$Z$1125</f>
        <v>104358.21390349834</v>
      </c>
      <c r="O1125" s="76">
        <f>$L$1125-EFEITO!$O$1125*EFEITO!$AA$1125</f>
        <v>240626.9039876461</v>
      </c>
      <c r="P1125" s="57"/>
      <c r="Q1125" s="57"/>
      <c r="R1125" s="57"/>
      <c r="S1125" s="57"/>
      <c r="T1125" s="57"/>
      <c r="U1125" s="57"/>
      <c r="V1125" s="57"/>
      <c r="W1125" s="57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</row>
    <row r="1126" spans="1:36" ht="11.25" customHeight="1" x14ac:dyDescent="0.2">
      <c r="A1126" s="53" t="s">
        <v>56</v>
      </c>
      <c r="B1126" s="53" t="s">
        <v>33</v>
      </c>
      <c r="C1126" s="53" t="s">
        <v>34</v>
      </c>
      <c r="D1126" s="53" t="s">
        <v>45</v>
      </c>
      <c r="E1126" s="53" t="s">
        <v>53</v>
      </c>
      <c r="F1126" s="53" t="s">
        <v>55</v>
      </c>
      <c r="G1126" s="53" t="s">
        <v>25</v>
      </c>
      <c r="H1126" s="53" t="s">
        <v>36</v>
      </c>
      <c r="I1126" s="75">
        <v>44652</v>
      </c>
      <c r="J1126" s="76">
        <f>EFEITO!$J$1126*EFEITO!$Y$1075</f>
        <v>0</v>
      </c>
      <c r="K1126" s="76">
        <f ca="1">EFEITO!$L$1126*EFEITO!$Z$1075</f>
        <v>786.91994430236684</v>
      </c>
      <c r="L1126" s="76">
        <f>EFEITO!$N$1126*EFEITO!$AA$1075</f>
        <v>1814.462923433206</v>
      </c>
      <c r="M1126" s="76">
        <f>$J$1126-EFEITO!$K$1126*EFEITO!$Y$1126</f>
        <v>0</v>
      </c>
      <c r="N1126" s="76">
        <f ca="1">$K$1126-EFEITO!$M$1126*EFEITO!$Z$1126</f>
        <v>708.22794987213013</v>
      </c>
      <c r="O1126" s="76">
        <f>$L$1126-EFEITO!$O$1126*EFEITO!$AA$1126</f>
        <v>1633.0166310898853</v>
      </c>
      <c r="P1126" s="57"/>
      <c r="Q1126" s="57"/>
      <c r="R1126" s="57"/>
      <c r="S1126" s="57"/>
      <c r="T1126" s="57"/>
      <c r="U1126" s="57"/>
      <c r="V1126" s="57"/>
      <c r="W1126" s="57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</row>
    <row r="1127" spans="1:36" ht="11.25" customHeight="1" x14ac:dyDescent="0.2">
      <c r="A1127" s="53" t="s">
        <v>21</v>
      </c>
      <c r="B1127" s="53" t="s">
        <v>33</v>
      </c>
      <c r="C1127" s="53" t="s">
        <v>34</v>
      </c>
      <c r="D1127" s="53" t="s">
        <v>45</v>
      </c>
      <c r="E1127" s="53" t="s">
        <v>53</v>
      </c>
      <c r="F1127" s="53" t="s">
        <v>25</v>
      </c>
      <c r="G1127" s="53" t="s">
        <v>25</v>
      </c>
      <c r="H1127" s="53" t="s">
        <v>36</v>
      </c>
      <c r="I1127" s="75">
        <v>44317</v>
      </c>
      <c r="J1127" s="76">
        <f>EFEITO!$J$1127*EFEITO!$Y$1075</f>
        <v>0</v>
      </c>
      <c r="K1127" s="76">
        <f ca="1">EFEITO!$L$1127*EFEITO!$Z$1075</f>
        <v>22560.213997944113</v>
      </c>
      <c r="L1127" s="76">
        <f>EFEITO!$N$1127*EFEITO!$AA$1075</f>
        <v>52018.8516511403</v>
      </c>
      <c r="M1127" s="76">
        <f>$J$1127-EFEITO!$K$1127*EFEITO!$Y$1127</f>
        <v>0</v>
      </c>
      <c r="N1127" s="76">
        <f ca="1">$K$1127-EFEITO!$M$1127*EFEITO!$Z$1127</f>
        <v>451.20427995888531</v>
      </c>
      <c r="O1127" s="76">
        <f>$L$1127-EFEITO!$O$1127*EFEITO!$AA$1127</f>
        <v>1040.3770330228072</v>
      </c>
      <c r="P1127" s="57"/>
      <c r="Q1127" s="57"/>
      <c r="R1127" s="57"/>
      <c r="S1127" s="57"/>
      <c r="T1127" s="57"/>
      <c r="U1127" s="57"/>
      <c r="V1127" s="57"/>
      <c r="W1127" s="57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</row>
    <row r="1128" spans="1:36" ht="11.25" customHeight="1" x14ac:dyDescent="0.2">
      <c r="A1128" s="53" t="s">
        <v>21</v>
      </c>
      <c r="B1128" s="53" t="s">
        <v>33</v>
      </c>
      <c r="C1128" s="53" t="s">
        <v>34</v>
      </c>
      <c r="D1128" s="53" t="s">
        <v>45</v>
      </c>
      <c r="E1128" s="53" t="s">
        <v>53</v>
      </c>
      <c r="F1128" s="53" t="s">
        <v>25</v>
      </c>
      <c r="G1128" s="53" t="s">
        <v>25</v>
      </c>
      <c r="H1128" s="53" t="s">
        <v>36</v>
      </c>
      <c r="I1128" s="75">
        <v>44348</v>
      </c>
      <c r="J1128" s="76">
        <f>EFEITO!$J$1128*EFEITO!$Y$1075</f>
        <v>0</v>
      </c>
      <c r="K1128" s="76">
        <f ca="1">EFEITO!$L$1128*EFEITO!$Z$1075</f>
        <v>21490.252166920913</v>
      </c>
      <c r="L1128" s="76">
        <f>EFEITO!$N$1128*EFEITO!$AA$1075</f>
        <v>49551.756890184115</v>
      </c>
      <c r="M1128" s="76">
        <f>$J$1128-EFEITO!$K$1128*EFEITO!$Y$1128</f>
        <v>0</v>
      </c>
      <c r="N1128" s="76">
        <f ca="1">$K$1128-EFEITO!$M$1128*EFEITO!$Z$1128</f>
        <v>429.80504333841964</v>
      </c>
      <c r="O1128" s="76">
        <f>$L$1128-EFEITO!$O$1128*EFEITO!$AA$1128</f>
        <v>991.03513780367939</v>
      </c>
      <c r="P1128" s="57"/>
      <c r="Q1128" s="57"/>
      <c r="R1128" s="57"/>
      <c r="S1128" s="57"/>
      <c r="T1128" s="57"/>
      <c r="U1128" s="57"/>
      <c r="V1128" s="57"/>
      <c r="W1128" s="57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</row>
    <row r="1129" spans="1:36" ht="11.25" customHeight="1" x14ac:dyDescent="0.2">
      <c r="A1129" s="53" t="s">
        <v>27</v>
      </c>
      <c r="B1129" s="53" t="s">
        <v>33</v>
      </c>
      <c r="C1129" s="53" t="s">
        <v>34</v>
      </c>
      <c r="D1129" s="53" t="s">
        <v>45</v>
      </c>
      <c r="E1129" s="53" t="s">
        <v>53</v>
      </c>
      <c r="F1129" s="53" t="s">
        <v>25</v>
      </c>
      <c r="G1129" s="53" t="s">
        <v>25</v>
      </c>
      <c r="H1129" s="53" t="s">
        <v>36</v>
      </c>
      <c r="I1129" s="75">
        <v>44348</v>
      </c>
      <c r="J1129" s="76">
        <f>EFEITO!$J$1129*EFEITO!$Y$1075</f>
        <v>0</v>
      </c>
      <c r="K1129" s="76">
        <f ca="1">EFEITO!$L$1129*EFEITO!$Z$1075</f>
        <v>-11810.149086381338</v>
      </c>
      <c r="L1129" s="76">
        <f>EFEITO!$N$1129*EFEITO!$AA$1075</f>
        <v>-27231.585363432547</v>
      </c>
      <c r="M1129" s="76">
        <f>$J$1129-EFEITO!$K$1129*EFEITO!$Y$1129</f>
        <v>0</v>
      </c>
      <c r="N1129" s="76">
        <f ca="1">$K$1129-EFEITO!$M$1129*EFEITO!$Z$1129</f>
        <v>-236.20298172762705</v>
      </c>
      <c r="O1129" s="76">
        <f>$L$1129-EFEITO!$O$1129*EFEITO!$AA$1129</f>
        <v>-544.63170726865064</v>
      </c>
      <c r="P1129" s="57"/>
      <c r="Q1129" s="57"/>
      <c r="R1129" s="57"/>
      <c r="S1129" s="57"/>
      <c r="T1129" s="57"/>
      <c r="U1129" s="57"/>
      <c r="V1129" s="57"/>
      <c r="W1129" s="57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</row>
    <row r="1130" spans="1:36" ht="11.25" customHeight="1" x14ac:dyDescent="0.2">
      <c r="A1130" s="53" t="s">
        <v>21</v>
      </c>
      <c r="B1130" s="53" t="s">
        <v>33</v>
      </c>
      <c r="C1130" s="53" t="s">
        <v>34</v>
      </c>
      <c r="D1130" s="53" t="s">
        <v>45</v>
      </c>
      <c r="E1130" s="53" t="s">
        <v>53</v>
      </c>
      <c r="F1130" s="53" t="s">
        <v>25</v>
      </c>
      <c r="G1130" s="53" t="s">
        <v>25</v>
      </c>
      <c r="H1130" s="53" t="s">
        <v>36</v>
      </c>
      <c r="I1130" s="75">
        <v>44378</v>
      </c>
      <c r="J1130" s="76">
        <f>EFEITO!$J$1130*EFEITO!$Y$1075</f>
        <v>0</v>
      </c>
      <c r="K1130" s="76">
        <f ca="1">EFEITO!$L$1130*EFEITO!$Z$1075</f>
        <v>26947.069264253747</v>
      </c>
      <c r="L1130" s="76">
        <f>EFEITO!$N$1130*EFEITO!$AA$1075</f>
        <v>62133.967284971608</v>
      </c>
      <c r="M1130" s="76">
        <f>$J$1130-EFEITO!$K$1130*EFEITO!$Y$1130</f>
        <v>0</v>
      </c>
      <c r="N1130" s="76">
        <f ca="1">$K$1130-EFEITO!$M$1130*EFEITO!$Z$1130</f>
        <v>538.94138528507392</v>
      </c>
      <c r="O1130" s="76">
        <f>$L$1130-EFEITO!$O$1130*EFEITO!$AA$1130</f>
        <v>1242.6793456994274</v>
      </c>
      <c r="P1130" s="57"/>
      <c r="Q1130" s="57"/>
      <c r="R1130" s="57"/>
      <c r="S1130" s="57"/>
      <c r="T1130" s="57"/>
      <c r="U1130" s="57"/>
      <c r="V1130" s="57"/>
      <c r="W1130" s="57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</row>
    <row r="1131" spans="1:36" ht="11.25" customHeight="1" x14ac:dyDescent="0.2">
      <c r="A1131" s="53" t="s">
        <v>27</v>
      </c>
      <c r="B1131" s="53" t="s">
        <v>33</v>
      </c>
      <c r="C1131" s="53" t="s">
        <v>34</v>
      </c>
      <c r="D1131" s="53" t="s">
        <v>45</v>
      </c>
      <c r="E1131" s="53" t="s">
        <v>53</v>
      </c>
      <c r="F1131" s="53" t="s">
        <v>25</v>
      </c>
      <c r="G1131" s="53" t="s">
        <v>25</v>
      </c>
      <c r="H1131" s="53" t="s">
        <v>36</v>
      </c>
      <c r="I1131" s="75">
        <v>44378</v>
      </c>
      <c r="J1131" s="76">
        <f>EFEITO!$J$1131*EFEITO!$Y$1075</f>
        <v>0</v>
      </c>
      <c r="K1131" s="76">
        <f ca="1">EFEITO!$L$1131*EFEITO!$Z$1075</f>
        <v>-1339.1279625994252</v>
      </c>
      <c r="L1131" s="76">
        <f>EFEITO!$N$1131*EFEITO!$AA$1075</f>
        <v>-3087.7321835112593</v>
      </c>
      <c r="M1131" s="76">
        <f>$J$1131-EFEITO!$K$1131*EFEITO!$Y$1131</f>
        <v>0</v>
      </c>
      <c r="N1131" s="76">
        <f ca="1">$K$1131-EFEITO!$M$1131*EFEITO!$Z$1131</f>
        <v>-26.782559251988687</v>
      </c>
      <c r="O1131" s="76">
        <f>$L$1131-EFEITO!$O$1131*EFEITO!$AA$1131</f>
        <v>-61.75464367022505</v>
      </c>
      <c r="P1131" s="57"/>
      <c r="Q1131" s="57"/>
      <c r="R1131" s="57"/>
      <c r="S1131" s="57"/>
      <c r="T1131" s="57"/>
      <c r="U1131" s="57"/>
      <c r="V1131" s="57"/>
      <c r="W1131" s="57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</row>
    <row r="1132" spans="1:36" ht="11.25" customHeight="1" x14ac:dyDescent="0.2">
      <c r="A1132" s="53" t="s">
        <v>21</v>
      </c>
      <c r="B1132" s="53" t="s">
        <v>33</v>
      </c>
      <c r="C1132" s="53" t="s">
        <v>34</v>
      </c>
      <c r="D1132" s="53" t="s">
        <v>45</v>
      </c>
      <c r="E1132" s="53" t="s">
        <v>53</v>
      </c>
      <c r="F1132" s="53" t="s">
        <v>25</v>
      </c>
      <c r="G1132" s="53" t="s">
        <v>25</v>
      </c>
      <c r="H1132" s="53" t="s">
        <v>36</v>
      </c>
      <c r="I1132" s="75">
        <v>44409</v>
      </c>
      <c r="J1132" s="76">
        <f>EFEITO!$J$1132*EFEITO!$Y$1075</f>
        <v>0</v>
      </c>
      <c r="K1132" s="76">
        <f ca="1">EFEITO!$L$1132*EFEITO!$Z$1075</f>
        <v>42263.198347553058</v>
      </c>
      <c r="L1132" s="76">
        <f>EFEITO!$N$1132*EFEITO!$AA$1075</f>
        <v>97449.565209994282</v>
      </c>
      <c r="M1132" s="76">
        <f>$J$1132-EFEITO!$K$1132*EFEITO!$Y$1132</f>
        <v>0</v>
      </c>
      <c r="N1132" s="76">
        <f ca="1">$K$1132-EFEITO!$M$1132*EFEITO!$Z$1132</f>
        <v>845.26396695106087</v>
      </c>
      <c r="O1132" s="76">
        <f>$L$1132-EFEITO!$O$1132*EFEITO!$AA$1132</f>
        <v>1948.9913041998952</v>
      </c>
      <c r="P1132" s="57"/>
      <c r="Q1132" s="57"/>
      <c r="R1132" s="57"/>
      <c r="S1132" s="57"/>
      <c r="T1132" s="57"/>
      <c r="U1132" s="57"/>
      <c r="V1132" s="57"/>
      <c r="W1132" s="57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</row>
    <row r="1133" spans="1:36" ht="11.25" customHeight="1" x14ac:dyDescent="0.2">
      <c r="A1133" s="53" t="s">
        <v>27</v>
      </c>
      <c r="B1133" s="53" t="s">
        <v>33</v>
      </c>
      <c r="C1133" s="53" t="s">
        <v>34</v>
      </c>
      <c r="D1133" s="53" t="s">
        <v>45</v>
      </c>
      <c r="E1133" s="53" t="s">
        <v>53</v>
      </c>
      <c r="F1133" s="53" t="s">
        <v>25</v>
      </c>
      <c r="G1133" s="53" t="s">
        <v>25</v>
      </c>
      <c r="H1133" s="53" t="s">
        <v>36</v>
      </c>
      <c r="I1133" s="75">
        <v>44409</v>
      </c>
      <c r="J1133" s="76">
        <f>EFEITO!$J$1133*EFEITO!$Y$1075</f>
        <v>0</v>
      </c>
      <c r="K1133" s="76">
        <f ca="1">EFEITO!$L$1133*EFEITO!$Z$1075</f>
        <v>-4254.094863273569</v>
      </c>
      <c r="L1133" s="76">
        <f>EFEITO!$N$1133*EFEITO!$AA$1075</f>
        <v>-9808.9995787571861</v>
      </c>
      <c r="M1133" s="76">
        <f>$J$1133-EFEITO!$K$1133*EFEITO!$Y$1133</f>
        <v>0</v>
      </c>
      <c r="N1133" s="76">
        <f ca="1">$K$1133-EFEITO!$M$1133*EFEITO!$Z$1133</f>
        <v>-85.081897265471525</v>
      </c>
      <c r="O1133" s="76">
        <f>$L$1133-EFEITO!$O$1133*EFEITO!$AA$1133</f>
        <v>-196.1799915751435</v>
      </c>
      <c r="P1133" s="57"/>
      <c r="Q1133" s="57"/>
      <c r="R1133" s="57"/>
      <c r="S1133" s="57"/>
      <c r="T1133" s="57"/>
      <c r="U1133" s="57"/>
      <c r="V1133" s="57"/>
      <c r="W1133" s="57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</row>
    <row r="1134" spans="1:36" ht="11.25" customHeight="1" x14ac:dyDescent="0.2">
      <c r="A1134" s="53" t="s">
        <v>21</v>
      </c>
      <c r="B1134" s="53" t="s">
        <v>33</v>
      </c>
      <c r="C1134" s="53" t="s">
        <v>34</v>
      </c>
      <c r="D1134" s="53" t="s">
        <v>45</v>
      </c>
      <c r="E1134" s="53" t="s">
        <v>53</v>
      </c>
      <c r="F1134" s="53" t="s">
        <v>25</v>
      </c>
      <c r="G1134" s="53" t="s">
        <v>25</v>
      </c>
      <c r="H1134" s="53" t="s">
        <v>36</v>
      </c>
      <c r="I1134" s="75">
        <v>44440</v>
      </c>
      <c r="J1134" s="76">
        <f>EFEITO!$J$1134*EFEITO!$Y$1075</f>
        <v>0</v>
      </c>
      <c r="K1134" s="76">
        <f ca="1">EFEITO!$L$1134*EFEITO!$Z$1075</f>
        <v>93382.421029430669</v>
      </c>
      <c r="L1134" s="76">
        <f>EFEITO!$N$1134*EFEITO!$AA$1075</f>
        <v>215319.15906457935</v>
      </c>
      <c r="M1134" s="76">
        <f>$J$1134-EFEITO!$K$1134*EFEITO!$Y$1134</f>
        <v>0</v>
      </c>
      <c r="N1134" s="76">
        <f ca="1">$K$1134-EFEITO!$M$1134*EFEITO!$Z$1134</f>
        <v>1867.6484205886227</v>
      </c>
      <c r="O1134" s="76">
        <f>$L$1134-EFEITO!$O$1134*EFEITO!$AA$1134</f>
        <v>4306.3831812915741</v>
      </c>
      <c r="P1134" s="57"/>
      <c r="Q1134" s="57"/>
      <c r="R1134" s="57"/>
      <c r="S1134" s="57"/>
      <c r="T1134" s="57"/>
      <c r="U1134" s="57"/>
      <c r="V1134" s="57"/>
      <c r="W1134" s="57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</row>
    <row r="1135" spans="1:36" ht="11.25" customHeight="1" x14ac:dyDescent="0.2">
      <c r="A1135" s="53" t="s">
        <v>21</v>
      </c>
      <c r="B1135" s="53" t="s">
        <v>33</v>
      </c>
      <c r="C1135" s="53" t="s">
        <v>34</v>
      </c>
      <c r="D1135" s="53" t="s">
        <v>45</v>
      </c>
      <c r="E1135" s="53" t="s">
        <v>53</v>
      </c>
      <c r="F1135" s="53" t="s">
        <v>25</v>
      </c>
      <c r="G1135" s="53" t="s">
        <v>25</v>
      </c>
      <c r="H1135" s="53" t="s">
        <v>36</v>
      </c>
      <c r="I1135" s="75">
        <v>44470</v>
      </c>
      <c r="J1135" s="76">
        <f>EFEITO!$J$1135*EFEITO!$Y$1075</f>
        <v>0</v>
      </c>
      <c r="K1135" s="76">
        <f ca="1">EFEITO!$L$1135*EFEITO!$Z$1075</f>
        <v>240923.79584656921</v>
      </c>
      <c r="L1135" s="76">
        <f>EFEITO!$N$1135*EFEITO!$AA$1075</f>
        <v>555516.85797459073</v>
      </c>
      <c r="M1135" s="76">
        <f>$J$1135-EFEITO!$K$1135*EFEITO!$Y$1135</f>
        <v>0</v>
      </c>
      <c r="N1135" s="76">
        <f ca="1">$K$1135-EFEITO!$M$1135*EFEITO!$Z$1135</f>
        <v>4818.4759169314057</v>
      </c>
      <c r="O1135" s="76">
        <f>$L$1135-EFEITO!$O$1135*EFEITO!$AA$1135</f>
        <v>11110.337159491726</v>
      </c>
      <c r="P1135" s="57"/>
      <c r="Q1135" s="57"/>
      <c r="R1135" s="57"/>
      <c r="S1135" s="57"/>
      <c r="T1135" s="57"/>
      <c r="U1135" s="57"/>
      <c r="V1135" s="57"/>
      <c r="W1135" s="57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</row>
    <row r="1136" spans="1:36" ht="11.25" customHeight="1" x14ac:dyDescent="0.2">
      <c r="A1136" s="53" t="s">
        <v>21</v>
      </c>
      <c r="B1136" s="53" t="s">
        <v>33</v>
      </c>
      <c r="C1136" s="53" t="s">
        <v>34</v>
      </c>
      <c r="D1136" s="53" t="s">
        <v>45</v>
      </c>
      <c r="E1136" s="53" t="s">
        <v>53</v>
      </c>
      <c r="F1136" s="53" t="s">
        <v>25</v>
      </c>
      <c r="G1136" s="53" t="s">
        <v>25</v>
      </c>
      <c r="H1136" s="53" t="s">
        <v>36</v>
      </c>
      <c r="I1136" s="75">
        <v>44501</v>
      </c>
      <c r="J1136" s="76">
        <f>EFEITO!$J$1136*EFEITO!$Y$1075</f>
        <v>0</v>
      </c>
      <c r="K1136" s="76">
        <f ca="1">EFEITO!$L$1136*EFEITO!$Z$1075</f>
        <v>398585.18221878936</v>
      </c>
      <c r="L1136" s="76">
        <f>EFEITO!$N$1136*EFEITO!$AA$1075</f>
        <v>919049.05982147984</v>
      </c>
      <c r="M1136" s="76">
        <f>$J$1136-EFEITO!$K$1136*EFEITO!$Y$1136</f>
        <v>0</v>
      </c>
      <c r="N1136" s="76">
        <f ca="1">$K$1136-EFEITO!$M$1136*EFEITO!$Z$1136</f>
        <v>7971.7036443758407</v>
      </c>
      <c r="O1136" s="76">
        <f>$L$1136-EFEITO!$O$1136*EFEITO!$AA$1136</f>
        <v>18380.98119642958</v>
      </c>
      <c r="P1136" s="57"/>
      <c r="Q1136" s="57"/>
      <c r="R1136" s="57"/>
      <c r="S1136" s="57"/>
      <c r="T1136" s="57"/>
      <c r="U1136" s="57"/>
      <c r="V1136" s="57"/>
      <c r="W1136" s="57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</row>
    <row r="1137" spans="1:36" ht="11.25" customHeight="1" x14ac:dyDescent="0.2">
      <c r="A1137" s="53" t="s">
        <v>21</v>
      </c>
      <c r="B1137" s="53" t="s">
        <v>33</v>
      </c>
      <c r="C1137" s="53" t="s">
        <v>34</v>
      </c>
      <c r="D1137" s="53" t="s">
        <v>45</v>
      </c>
      <c r="E1137" s="53" t="s">
        <v>53</v>
      </c>
      <c r="F1137" s="53" t="s">
        <v>25</v>
      </c>
      <c r="G1137" s="53" t="s">
        <v>25</v>
      </c>
      <c r="H1137" s="53" t="s">
        <v>36</v>
      </c>
      <c r="I1137" s="75">
        <v>44531</v>
      </c>
      <c r="J1137" s="76">
        <f>EFEITO!$J$1137*EFEITO!$Y$1075</f>
        <v>0</v>
      </c>
      <c r="K1137" s="76">
        <f ca="1">EFEITO!$L$1137*EFEITO!$Z$1075</f>
        <v>350992.04761967488</v>
      </c>
      <c r="L1137" s="76">
        <f>EFEITO!$N$1137*EFEITO!$AA$1075</f>
        <v>809309.84331627737</v>
      </c>
      <c r="M1137" s="76">
        <f>$J$1137-EFEITO!$K$1137*EFEITO!$Y$1137</f>
        <v>0</v>
      </c>
      <c r="N1137" s="76">
        <f ca="1">$K$1137-EFEITO!$M$1137*EFEITO!$Z$1137</f>
        <v>7019.8409523935406</v>
      </c>
      <c r="O1137" s="76">
        <f>$L$1137-EFEITO!$O$1137*EFEITO!$AA$1137</f>
        <v>16186.196866325568</v>
      </c>
      <c r="P1137" s="57"/>
      <c r="Q1137" s="57"/>
      <c r="R1137" s="57"/>
      <c r="S1137" s="57"/>
      <c r="T1137" s="57"/>
      <c r="U1137" s="57"/>
      <c r="V1137" s="57"/>
      <c r="W1137" s="57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</row>
    <row r="1138" spans="1:36" ht="11.25" customHeight="1" x14ac:dyDescent="0.2">
      <c r="A1138" s="53" t="s">
        <v>21</v>
      </c>
      <c r="B1138" s="53" t="s">
        <v>33</v>
      </c>
      <c r="C1138" s="53" t="s">
        <v>34</v>
      </c>
      <c r="D1138" s="53" t="s">
        <v>45</v>
      </c>
      <c r="E1138" s="53" t="s">
        <v>53</v>
      </c>
      <c r="F1138" s="53" t="s">
        <v>25</v>
      </c>
      <c r="G1138" s="53" t="s">
        <v>25</v>
      </c>
      <c r="H1138" s="53" t="s">
        <v>36</v>
      </c>
      <c r="I1138" s="75">
        <v>44562</v>
      </c>
      <c r="J1138" s="76">
        <f>EFEITO!$J$1138*EFEITO!$Y$1075</f>
        <v>0</v>
      </c>
      <c r="K1138" s="76">
        <f ca="1">EFEITO!$L$1138*EFEITO!$Z$1075</f>
        <v>306194.52490876184</v>
      </c>
      <c r="L1138" s="76">
        <f>EFEITO!$N$1138*EFEITO!$AA$1075</f>
        <v>706016.68800977501</v>
      </c>
      <c r="M1138" s="76">
        <f>$J$1138-EFEITO!$K$1138*EFEITO!$Y$1138</f>
        <v>0</v>
      </c>
      <c r="N1138" s="76">
        <f ca="1">$K$1138-EFEITO!$M$1138*EFEITO!$Z$1138</f>
        <v>6123.8904981752275</v>
      </c>
      <c r="O1138" s="76">
        <f>$L$1138-EFEITO!$O$1138*EFEITO!$AA$1138</f>
        <v>14120.333760195528</v>
      </c>
      <c r="P1138" s="57"/>
      <c r="Q1138" s="57"/>
      <c r="R1138" s="57"/>
      <c r="S1138" s="57"/>
      <c r="T1138" s="57"/>
      <c r="U1138" s="57"/>
      <c r="V1138" s="57"/>
      <c r="W1138" s="57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</row>
    <row r="1139" spans="1:36" ht="11.25" customHeight="1" x14ac:dyDescent="0.2">
      <c r="A1139" s="53" t="s">
        <v>27</v>
      </c>
      <c r="B1139" s="53" t="s">
        <v>33</v>
      </c>
      <c r="C1139" s="53" t="s">
        <v>34</v>
      </c>
      <c r="D1139" s="53" t="s">
        <v>45</v>
      </c>
      <c r="E1139" s="53" t="s">
        <v>53</v>
      </c>
      <c r="F1139" s="53" t="s">
        <v>25</v>
      </c>
      <c r="G1139" s="53" t="s">
        <v>25</v>
      </c>
      <c r="H1139" s="53" t="s">
        <v>36</v>
      </c>
      <c r="I1139" s="75">
        <v>44562</v>
      </c>
      <c r="J1139" s="76">
        <f>EFEITO!$J$1139*EFEITO!$Y$1075</f>
        <v>0</v>
      </c>
      <c r="K1139" s="76">
        <f ca="1">EFEITO!$L$1139*EFEITO!$Z$1075</f>
        <v>-1709.6576614184266</v>
      </c>
      <c r="L1139" s="76">
        <f>EFEITO!$N$1139*EFEITO!$AA$1075</f>
        <v>-3942.0915187978749</v>
      </c>
      <c r="M1139" s="76">
        <f>$J$1139-EFEITO!$K$1139*EFEITO!$Y$1139</f>
        <v>0</v>
      </c>
      <c r="N1139" s="76">
        <f ca="1">$K$1139-EFEITO!$M$1139*EFEITO!$Z$1139</f>
        <v>-34.193153228368601</v>
      </c>
      <c r="O1139" s="76">
        <f>$L$1139-EFEITO!$O$1139*EFEITO!$AA$1139</f>
        <v>-78.841830375957215</v>
      </c>
      <c r="P1139" s="57"/>
      <c r="Q1139" s="57"/>
      <c r="R1139" s="57"/>
      <c r="S1139" s="57"/>
      <c r="T1139" s="57"/>
      <c r="U1139" s="57"/>
      <c r="V1139" s="57"/>
      <c r="W1139" s="57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</row>
    <row r="1140" spans="1:36" ht="11.25" customHeight="1" x14ac:dyDescent="0.2">
      <c r="A1140" s="53" t="s">
        <v>21</v>
      </c>
      <c r="B1140" s="53" t="s">
        <v>33</v>
      </c>
      <c r="C1140" s="53" t="s">
        <v>34</v>
      </c>
      <c r="D1140" s="53" t="s">
        <v>45</v>
      </c>
      <c r="E1140" s="53" t="s">
        <v>53</v>
      </c>
      <c r="F1140" s="53" t="s">
        <v>25</v>
      </c>
      <c r="G1140" s="53" t="s">
        <v>25</v>
      </c>
      <c r="H1140" s="53" t="s">
        <v>36</v>
      </c>
      <c r="I1140" s="75">
        <v>44593</v>
      </c>
      <c r="J1140" s="76">
        <f>EFEITO!$J$1140*EFEITO!$Y$1075</f>
        <v>0</v>
      </c>
      <c r="K1140" s="76">
        <f ca="1">EFEITO!$L$1140*EFEITO!$Z$1075</f>
        <v>395371.88658250624</v>
      </c>
      <c r="L1140" s="76">
        <f>EFEITO!$N$1140*EFEITO!$AA$1075</f>
        <v>911639.91250442434</v>
      </c>
      <c r="M1140" s="76">
        <f>$J$1140-EFEITO!$K$1140*EFEITO!$Y$1140</f>
        <v>0</v>
      </c>
      <c r="N1140" s="76">
        <f ca="1">$K$1140-EFEITO!$M$1140*EFEITO!$Z$1140</f>
        <v>7907.4377316501341</v>
      </c>
      <c r="O1140" s="76">
        <f>$L$1140-EFEITO!$O$1140*EFEITO!$AA$1140</f>
        <v>18232.798250088468</v>
      </c>
      <c r="P1140" s="57"/>
      <c r="Q1140" s="57"/>
      <c r="R1140" s="57"/>
      <c r="S1140" s="57"/>
      <c r="T1140" s="57"/>
      <c r="U1140" s="57"/>
      <c r="V1140" s="57"/>
      <c r="W1140" s="57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</row>
    <row r="1141" spans="1:36" ht="11.25" customHeight="1" x14ac:dyDescent="0.2">
      <c r="A1141" s="53" t="s">
        <v>21</v>
      </c>
      <c r="B1141" s="53" t="s">
        <v>33</v>
      </c>
      <c r="C1141" s="53" t="s">
        <v>34</v>
      </c>
      <c r="D1141" s="53" t="s">
        <v>45</v>
      </c>
      <c r="E1141" s="53" t="s">
        <v>53</v>
      </c>
      <c r="F1141" s="53" t="s">
        <v>25</v>
      </c>
      <c r="G1141" s="53" t="s">
        <v>25</v>
      </c>
      <c r="H1141" s="53" t="s">
        <v>36</v>
      </c>
      <c r="I1141" s="75">
        <v>44621</v>
      </c>
      <c r="J1141" s="76">
        <f>EFEITO!$J$1141*EFEITO!$Y$1075</f>
        <v>0</v>
      </c>
      <c r="K1141" s="76">
        <f ca="1">EFEITO!$L$1141*EFEITO!$Z$1075</f>
        <v>126656.48186618724</v>
      </c>
      <c r="L1141" s="76">
        <f>EFEITO!$N$1141*EFEITO!$AA$1075</f>
        <v>292041.76615757903</v>
      </c>
      <c r="M1141" s="76">
        <f>$J$1141-EFEITO!$K$1141*EFEITO!$Y$1141</f>
        <v>0</v>
      </c>
      <c r="N1141" s="76">
        <f ca="1">$K$1141-EFEITO!$M$1141*EFEITO!$Z$1141</f>
        <v>2533.1296373237565</v>
      </c>
      <c r="O1141" s="76">
        <f>$L$1141-EFEITO!$O$1141*EFEITO!$AA$1141</f>
        <v>5840.8353231516085</v>
      </c>
      <c r="P1141" s="57"/>
      <c r="Q1141" s="57"/>
      <c r="R1141" s="57"/>
      <c r="S1141" s="57"/>
      <c r="T1141" s="57"/>
      <c r="U1141" s="57"/>
      <c r="V1141" s="57"/>
      <c r="W1141" s="57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</row>
    <row r="1142" spans="1:36" ht="11.25" customHeight="1" x14ac:dyDescent="0.2">
      <c r="A1142" s="53" t="s">
        <v>27</v>
      </c>
      <c r="B1142" s="53" t="s">
        <v>33</v>
      </c>
      <c r="C1142" s="53" t="s">
        <v>34</v>
      </c>
      <c r="D1142" s="53" t="s">
        <v>45</v>
      </c>
      <c r="E1142" s="53" t="s">
        <v>53</v>
      </c>
      <c r="F1142" s="53" t="s">
        <v>25</v>
      </c>
      <c r="G1142" s="53" t="s">
        <v>25</v>
      </c>
      <c r="H1142" s="53" t="s">
        <v>36</v>
      </c>
      <c r="I1142" s="75">
        <v>44621</v>
      </c>
      <c r="J1142" s="76">
        <f>EFEITO!$J$1142*EFEITO!$Y$1075</f>
        <v>0</v>
      </c>
      <c r="K1142" s="76">
        <f ca="1">EFEITO!$L$1142*EFEITO!$Z$1075</f>
        <v>559.38107815994601</v>
      </c>
      <c r="L1142" s="76">
        <f>EFEITO!$N$1142*EFEITO!$AA$1075</f>
        <v>1289.808745781793</v>
      </c>
      <c r="M1142" s="76">
        <f>$J$1142-EFEITO!$K$1142*EFEITO!$Y$1142</f>
        <v>0</v>
      </c>
      <c r="N1142" s="76">
        <f ca="1">$K$1142-EFEITO!$M$1142*EFEITO!$Z$1142</f>
        <v>11.187621563198945</v>
      </c>
      <c r="O1142" s="76">
        <f>$L$1142-EFEITO!$O$1142*EFEITO!$AA$1142</f>
        <v>25.796174915635675</v>
      </c>
      <c r="P1142" s="57"/>
      <c r="Q1142" s="57"/>
      <c r="R1142" s="57"/>
      <c r="S1142" s="57"/>
      <c r="T1142" s="57"/>
      <c r="U1142" s="57"/>
      <c r="V1142" s="57"/>
      <c r="W1142" s="57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</row>
    <row r="1143" spans="1:36" ht="11.25" customHeight="1" x14ac:dyDescent="0.2">
      <c r="A1143" s="53" t="s">
        <v>56</v>
      </c>
      <c r="B1143" s="53" t="s">
        <v>33</v>
      </c>
      <c r="C1143" s="53" t="s">
        <v>34</v>
      </c>
      <c r="D1143" s="53" t="s">
        <v>45</v>
      </c>
      <c r="E1143" s="53" t="s">
        <v>53</v>
      </c>
      <c r="F1143" s="53" t="s">
        <v>25</v>
      </c>
      <c r="G1143" s="53" t="s">
        <v>25</v>
      </c>
      <c r="H1143" s="53" t="s">
        <v>36</v>
      </c>
      <c r="I1143" s="75">
        <v>44652</v>
      </c>
      <c r="J1143" s="76">
        <f>EFEITO!$J$1143*EFEITO!$Y$1075</f>
        <v>0</v>
      </c>
      <c r="K1143" s="76">
        <f ca="1">EFEITO!$L$1143*EFEITO!$Z$1075</f>
        <v>126656.48186618724</v>
      </c>
      <c r="L1143" s="76">
        <f>EFEITO!$N$1143*EFEITO!$AA$1075</f>
        <v>292041.76615757903</v>
      </c>
      <c r="M1143" s="76">
        <f>$J$1143-EFEITO!$K$1143*EFEITO!$Y$1143</f>
        <v>0</v>
      </c>
      <c r="N1143" s="76">
        <f ca="1">$K$1143-EFEITO!$M$1143*EFEITO!$Z$1143</f>
        <v>2533.1296373237565</v>
      </c>
      <c r="O1143" s="76">
        <f>$L$1143-EFEITO!$O$1143*EFEITO!$AA$1143</f>
        <v>5840.8353231516085</v>
      </c>
      <c r="P1143" s="57"/>
      <c r="Q1143" s="57"/>
      <c r="R1143" s="57"/>
      <c r="S1143" s="57"/>
      <c r="T1143" s="57"/>
      <c r="U1143" s="57"/>
      <c r="V1143" s="57"/>
      <c r="W1143" s="57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</row>
    <row r="1144" spans="1:36" ht="11.25" customHeight="1" x14ac:dyDescent="0.2">
      <c r="A1144" s="53" t="s">
        <v>56</v>
      </c>
      <c r="B1144" s="53" t="s">
        <v>33</v>
      </c>
      <c r="C1144" s="53" t="s">
        <v>34</v>
      </c>
      <c r="D1144" s="53" t="s">
        <v>45</v>
      </c>
      <c r="E1144" s="53" t="s">
        <v>53</v>
      </c>
      <c r="F1144" s="53" t="s">
        <v>25</v>
      </c>
      <c r="G1144" s="53" t="s">
        <v>25</v>
      </c>
      <c r="H1144" s="53" t="s">
        <v>36</v>
      </c>
      <c r="I1144" s="75">
        <v>44652</v>
      </c>
      <c r="J1144" s="76">
        <f>EFEITO!$J$1144*EFEITO!$Y$1075</f>
        <v>0</v>
      </c>
      <c r="K1144" s="76">
        <f ca="1">EFEITO!$L$1144*EFEITO!$Z$1075</f>
        <v>559.38107815994601</v>
      </c>
      <c r="L1144" s="76">
        <f>EFEITO!$N$1144*EFEITO!$AA$1075</f>
        <v>1289.808745781793</v>
      </c>
      <c r="M1144" s="76">
        <f>$J$1144-EFEITO!$K$1144*EFEITO!$Y$1144</f>
        <v>0</v>
      </c>
      <c r="N1144" s="76">
        <f ca="1">$K$1144-EFEITO!$M$1144*EFEITO!$Z$1144</f>
        <v>11.187621563198945</v>
      </c>
      <c r="O1144" s="76">
        <f>$L$1144-EFEITO!$O$1144*EFEITO!$AA$1144</f>
        <v>25.796174915635675</v>
      </c>
      <c r="P1144" s="57"/>
      <c r="Q1144" s="57"/>
      <c r="R1144" s="57"/>
      <c r="S1144" s="57"/>
      <c r="T1144" s="57"/>
      <c r="U1144" s="57"/>
      <c r="V1144" s="57"/>
      <c r="W1144" s="57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</row>
    <row r="1145" spans="1:36" ht="11.25" customHeight="1" x14ac:dyDescent="0.2">
      <c r="A1145" s="53" t="s">
        <v>21</v>
      </c>
      <c r="B1145" s="53" t="s">
        <v>33</v>
      </c>
      <c r="C1145" s="53" t="s">
        <v>34</v>
      </c>
      <c r="D1145" s="53" t="s">
        <v>45</v>
      </c>
      <c r="E1145" s="53" t="s">
        <v>53</v>
      </c>
      <c r="F1145" s="53" t="s">
        <v>25</v>
      </c>
      <c r="G1145" s="53" t="s">
        <v>25</v>
      </c>
      <c r="H1145" s="53" t="s">
        <v>25</v>
      </c>
      <c r="I1145" s="75">
        <v>44317</v>
      </c>
      <c r="J1145" s="76">
        <f ca="1">EFEITO!$J$1145*EFEITO!$Y$1091</f>
        <v>153591.67706127424</v>
      </c>
      <c r="K1145" s="76">
        <f>EFEITO!$L$1145*EFEITO!$Z$1091</f>
        <v>0</v>
      </c>
      <c r="L1145" s="76">
        <f>EFEITO!$N$1145*EFEITO!$AA$1091</f>
        <v>0</v>
      </c>
      <c r="M1145" s="76">
        <f ca="1">$J$1145-EFEITO!$K$1145*EFEITO!$Y$1145</f>
        <v>3071.8335412254673</v>
      </c>
      <c r="N1145" s="76">
        <f>$K$1145-EFEITO!$M$1145*EFEITO!$Z$1145</f>
        <v>0</v>
      </c>
      <c r="O1145" s="76">
        <f>$L$1145-EFEITO!$O$1145*EFEITO!$AA$1145</f>
        <v>0</v>
      </c>
      <c r="P1145" s="57"/>
      <c r="Q1145" s="57"/>
      <c r="R1145" s="57"/>
      <c r="S1145" s="57"/>
      <c r="T1145" s="57"/>
      <c r="U1145" s="57"/>
      <c r="V1145" s="57"/>
      <c r="W1145" s="57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</row>
    <row r="1146" spans="1:36" ht="11.25" customHeight="1" x14ac:dyDescent="0.2">
      <c r="A1146" s="53" t="s">
        <v>28</v>
      </c>
      <c r="B1146" s="53" t="s">
        <v>33</v>
      </c>
      <c r="C1146" s="53" t="s">
        <v>34</v>
      </c>
      <c r="D1146" s="53" t="s">
        <v>45</v>
      </c>
      <c r="E1146" s="53" t="s">
        <v>53</v>
      </c>
      <c r="F1146" s="53" t="s">
        <v>25</v>
      </c>
      <c r="G1146" s="53" t="s">
        <v>25</v>
      </c>
      <c r="H1146" s="53" t="s">
        <v>25</v>
      </c>
      <c r="I1146" s="75">
        <v>44317</v>
      </c>
      <c r="J1146" s="76">
        <f ca="1">EFEITO!$J$1146*EFEITO!$Y$1091</f>
        <v>27037.661108120235</v>
      </c>
      <c r="K1146" s="76">
        <f>EFEITO!$L$1146*EFEITO!$Z$1091</f>
        <v>0</v>
      </c>
      <c r="L1146" s="76">
        <f>EFEITO!$N$1146*EFEITO!$AA$1091</f>
        <v>0</v>
      </c>
      <c r="M1146" s="76">
        <f ca="1">$J$1146-EFEITO!$K$1146*EFEITO!$Y$1146</f>
        <v>540.75322216240602</v>
      </c>
      <c r="N1146" s="76">
        <f>$K$1146-EFEITO!$M$1146*EFEITO!$Z$1146</f>
        <v>0</v>
      </c>
      <c r="O1146" s="76">
        <f>$L$1146-EFEITO!$O$1146*EFEITO!$AA$1146</f>
        <v>0</v>
      </c>
      <c r="P1146" s="57"/>
      <c r="Q1146" s="57"/>
      <c r="R1146" s="57"/>
      <c r="S1146" s="57"/>
      <c r="T1146" s="57"/>
      <c r="U1146" s="57"/>
      <c r="V1146" s="57"/>
      <c r="W1146" s="57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</row>
    <row r="1147" spans="1:36" ht="11.25" customHeight="1" x14ac:dyDescent="0.2">
      <c r="A1147" s="53" t="s">
        <v>21</v>
      </c>
      <c r="B1147" s="53" t="s">
        <v>33</v>
      </c>
      <c r="C1147" s="53" t="s">
        <v>34</v>
      </c>
      <c r="D1147" s="53" t="s">
        <v>45</v>
      </c>
      <c r="E1147" s="53" t="s">
        <v>53</v>
      </c>
      <c r="F1147" s="53" t="s">
        <v>25</v>
      </c>
      <c r="G1147" s="53" t="s">
        <v>25</v>
      </c>
      <c r="H1147" s="53" t="s">
        <v>25</v>
      </c>
      <c r="I1147" s="75">
        <v>44348</v>
      </c>
      <c r="J1147" s="76">
        <f ca="1">EFEITO!$J$1147*EFEITO!$Y$1091</f>
        <v>128798.93124589027</v>
      </c>
      <c r="K1147" s="76">
        <f>EFEITO!$L$1147*EFEITO!$Z$1091</f>
        <v>0</v>
      </c>
      <c r="L1147" s="76">
        <f>EFEITO!$N$1147*EFEITO!$AA$1091</f>
        <v>0</v>
      </c>
      <c r="M1147" s="76">
        <f ca="1">$J$1147-EFEITO!$K$1147*EFEITO!$Y$1147</f>
        <v>2575.9786249177996</v>
      </c>
      <c r="N1147" s="76">
        <f>$K$1147-EFEITO!$M$1147*EFEITO!$Z$1147</f>
        <v>0</v>
      </c>
      <c r="O1147" s="76">
        <f>$L$1147-EFEITO!$O$1147*EFEITO!$AA$1147</f>
        <v>0</v>
      </c>
      <c r="P1147" s="57"/>
      <c r="Q1147" s="57"/>
      <c r="R1147" s="57"/>
      <c r="S1147" s="57"/>
      <c r="T1147" s="57"/>
      <c r="U1147" s="57"/>
      <c r="V1147" s="57"/>
      <c r="W1147" s="57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</row>
    <row r="1148" spans="1:36" ht="11.25" customHeight="1" x14ac:dyDescent="0.2">
      <c r="A1148" s="53" t="s">
        <v>27</v>
      </c>
      <c r="B1148" s="53" t="s">
        <v>33</v>
      </c>
      <c r="C1148" s="53" t="s">
        <v>34</v>
      </c>
      <c r="D1148" s="53" t="s">
        <v>45</v>
      </c>
      <c r="E1148" s="53" t="s">
        <v>53</v>
      </c>
      <c r="F1148" s="53" t="s">
        <v>25</v>
      </c>
      <c r="G1148" s="53" t="s">
        <v>25</v>
      </c>
      <c r="H1148" s="53" t="s">
        <v>25</v>
      </c>
      <c r="I1148" s="75">
        <v>44348</v>
      </c>
      <c r="J1148" s="76">
        <f ca="1">EFEITO!$J$1148*EFEITO!$Y$1091</f>
        <v>-14702.961697481442</v>
      </c>
      <c r="K1148" s="76">
        <f>EFEITO!$L$1148*EFEITO!$Z$1091</f>
        <v>0</v>
      </c>
      <c r="L1148" s="76">
        <f>EFEITO!$N$1148*EFEITO!$AA$1091</f>
        <v>0</v>
      </c>
      <c r="M1148" s="76">
        <f ca="1">$J$1148-EFEITO!$K$1148*EFEITO!$Y$1148</f>
        <v>-294.05923394962883</v>
      </c>
      <c r="N1148" s="76">
        <f>$K$1148-EFEITO!$M$1148*EFEITO!$Z$1148</f>
        <v>0</v>
      </c>
      <c r="O1148" s="76">
        <f>$L$1148-EFEITO!$O$1148*EFEITO!$AA$1148</f>
        <v>0</v>
      </c>
      <c r="P1148" s="57"/>
      <c r="Q1148" s="57"/>
      <c r="R1148" s="57"/>
      <c r="S1148" s="57"/>
      <c r="T1148" s="57"/>
      <c r="U1148" s="57"/>
      <c r="V1148" s="57"/>
      <c r="W1148" s="57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</row>
    <row r="1149" spans="1:36" ht="11.25" customHeight="1" x14ac:dyDescent="0.2">
      <c r="A1149" s="53" t="s">
        <v>28</v>
      </c>
      <c r="B1149" s="53" t="s">
        <v>33</v>
      </c>
      <c r="C1149" s="53" t="s">
        <v>34</v>
      </c>
      <c r="D1149" s="53" t="s">
        <v>45</v>
      </c>
      <c r="E1149" s="53" t="s">
        <v>53</v>
      </c>
      <c r="F1149" s="53" t="s">
        <v>25</v>
      </c>
      <c r="G1149" s="53" t="s">
        <v>25</v>
      </c>
      <c r="H1149" s="53" t="s">
        <v>25</v>
      </c>
      <c r="I1149" s="75">
        <v>44348</v>
      </c>
      <c r="J1149" s="76">
        <f ca="1">EFEITO!$J$1149*EFEITO!$Y$1091</f>
        <v>10879.204880183415</v>
      </c>
      <c r="K1149" s="76">
        <f>EFEITO!$L$1149*EFEITO!$Z$1091</f>
        <v>0</v>
      </c>
      <c r="L1149" s="76">
        <f>EFEITO!$N$1149*EFEITO!$AA$1091</f>
        <v>0</v>
      </c>
      <c r="M1149" s="76">
        <f ca="1">$J$1149-EFEITO!$K$1149*EFEITO!$Y$1149</f>
        <v>217.58409760366885</v>
      </c>
      <c r="N1149" s="76">
        <f>$K$1149-EFEITO!$M$1149*EFEITO!$Z$1149</f>
        <v>0</v>
      </c>
      <c r="O1149" s="76">
        <f>$L$1149-EFEITO!$O$1149*EFEITO!$AA$1149</f>
        <v>0</v>
      </c>
      <c r="P1149" s="57"/>
      <c r="Q1149" s="57"/>
      <c r="R1149" s="57"/>
      <c r="S1149" s="57"/>
      <c r="T1149" s="57"/>
      <c r="U1149" s="57"/>
      <c r="V1149" s="57"/>
      <c r="W1149" s="57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</row>
    <row r="1150" spans="1:36" ht="11.25" customHeight="1" x14ac:dyDescent="0.2">
      <c r="A1150" s="53" t="s">
        <v>21</v>
      </c>
      <c r="B1150" s="53" t="s">
        <v>33</v>
      </c>
      <c r="C1150" s="53" t="s">
        <v>34</v>
      </c>
      <c r="D1150" s="53" t="s">
        <v>45</v>
      </c>
      <c r="E1150" s="53" t="s">
        <v>53</v>
      </c>
      <c r="F1150" s="53" t="s">
        <v>25</v>
      </c>
      <c r="G1150" s="53" t="s">
        <v>25</v>
      </c>
      <c r="H1150" s="53" t="s">
        <v>25</v>
      </c>
      <c r="I1150" s="75">
        <v>44378</v>
      </c>
      <c r="J1150" s="76">
        <f ca="1">EFEITO!$J$1150*EFEITO!$Y$1091</f>
        <v>122705.58973703471</v>
      </c>
      <c r="K1150" s="76">
        <f>EFEITO!$L$1150*EFEITO!$Z$1091</f>
        <v>0</v>
      </c>
      <c r="L1150" s="76">
        <f>EFEITO!$N$1150*EFEITO!$AA$1091</f>
        <v>0</v>
      </c>
      <c r="M1150" s="76">
        <f ca="1">$J$1150-EFEITO!$K$1150*EFEITO!$Y$1150</f>
        <v>2454.1117947406892</v>
      </c>
      <c r="N1150" s="76">
        <f>$K$1150-EFEITO!$M$1150*EFEITO!$Z$1150</f>
        <v>0</v>
      </c>
      <c r="O1150" s="76">
        <f>$L$1150-EFEITO!$O$1150*EFEITO!$AA$1150</f>
        <v>0</v>
      </c>
      <c r="P1150" s="57"/>
      <c r="Q1150" s="57"/>
      <c r="R1150" s="57"/>
      <c r="S1150" s="57"/>
      <c r="T1150" s="57"/>
      <c r="U1150" s="57"/>
      <c r="V1150" s="57"/>
      <c r="W1150" s="57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</row>
    <row r="1151" spans="1:36" ht="11.25" customHeight="1" x14ac:dyDescent="0.2">
      <c r="A1151" s="53" t="s">
        <v>27</v>
      </c>
      <c r="B1151" s="53" t="s">
        <v>33</v>
      </c>
      <c r="C1151" s="53" t="s">
        <v>34</v>
      </c>
      <c r="D1151" s="53" t="s">
        <v>45</v>
      </c>
      <c r="E1151" s="53" t="s">
        <v>53</v>
      </c>
      <c r="F1151" s="53" t="s">
        <v>25</v>
      </c>
      <c r="G1151" s="53" t="s">
        <v>25</v>
      </c>
      <c r="H1151" s="53" t="s">
        <v>25</v>
      </c>
      <c r="I1151" s="75">
        <v>44378</v>
      </c>
      <c r="J1151" s="76">
        <f ca="1">EFEITO!$J$1151*EFEITO!$Y$1091</f>
        <v>-189831.02392973102</v>
      </c>
      <c r="K1151" s="76">
        <f>EFEITO!$L$1151*EFEITO!$Z$1091</f>
        <v>0</v>
      </c>
      <c r="L1151" s="76">
        <f>EFEITO!$N$1151*EFEITO!$AA$1091</f>
        <v>0</v>
      </c>
      <c r="M1151" s="76">
        <f ca="1">$J$1151-EFEITO!$K$1151*EFEITO!$Y$1151</f>
        <v>-3796.6204785946175</v>
      </c>
      <c r="N1151" s="76">
        <f>$K$1151-EFEITO!$M$1151*EFEITO!$Z$1151</f>
        <v>0</v>
      </c>
      <c r="O1151" s="76">
        <f>$L$1151-EFEITO!$O$1151*EFEITO!$AA$1151</f>
        <v>0</v>
      </c>
      <c r="P1151" s="57"/>
      <c r="Q1151" s="57"/>
      <c r="R1151" s="57"/>
      <c r="S1151" s="57"/>
      <c r="T1151" s="57"/>
      <c r="U1151" s="57"/>
      <c r="V1151" s="57"/>
      <c r="W1151" s="57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</row>
    <row r="1152" spans="1:36" ht="11.25" customHeight="1" x14ac:dyDescent="0.2">
      <c r="A1152" s="53" t="s">
        <v>28</v>
      </c>
      <c r="B1152" s="53" t="s">
        <v>33</v>
      </c>
      <c r="C1152" s="53" t="s">
        <v>34</v>
      </c>
      <c r="D1152" s="53" t="s">
        <v>45</v>
      </c>
      <c r="E1152" s="53" t="s">
        <v>53</v>
      </c>
      <c r="F1152" s="53" t="s">
        <v>25</v>
      </c>
      <c r="G1152" s="53" t="s">
        <v>25</v>
      </c>
      <c r="H1152" s="53" t="s">
        <v>25</v>
      </c>
      <c r="I1152" s="75">
        <v>44378</v>
      </c>
      <c r="J1152" s="76">
        <f ca="1">EFEITO!$J$1152*EFEITO!$Y$1091</f>
        <v>7795.5300275237169</v>
      </c>
      <c r="K1152" s="76">
        <f>EFEITO!$L$1152*EFEITO!$Z$1091</f>
        <v>0</v>
      </c>
      <c r="L1152" s="76">
        <f>EFEITO!$N$1152*EFEITO!$AA$1091</f>
        <v>0</v>
      </c>
      <c r="M1152" s="76">
        <f ca="1">$J$1152-EFEITO!$K$1152*EFEITO!$Y$1152</f>
        <v>155.91060055047456</v>
      </c>
      <c r="N1152" s="76">
        <f>$K$1152-EFEITO!$M$1152*EFEITO!$Z$1152</f>
        <v>0</v>
      </c>
      <c r="O1152" s="76">
        <f>$L$1152-EFEITO!$O$1152*EFEITO!$AA$1152</f>
        <v>0</v>
      </c>
      <c r="P1152" s="57"/>
      <c r="Q1152" s="57"/>
      <c r="R1152" s="57"/>
      <c r="S1152" s="57"/>
      <c r="T1152" s="57"/>
      <c r="U1152" s="57"/>
      <c r="V1152" s="57"/>
      <c r="W1152" s="57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</row>
    <row r="1153" spans="1:36" ht="11.25" customHeight="1" x14ac:dyDescent="0.2">
      <c r="A1153" s="53" t="s">
        <v>21</v>
      </c>
      <c r="B1153" s="53" t="s">
        <v>33</v>
      </c>
      <c r="C1153" s="53" t="s">
        <v>34</v>
      </c>
      <c r="D1153" s="53" t="s">
        <v>45</v>
      </c>
      <c r="E1153" s="53" t="s">
        <v>53</v>
      </c>
      <c r="F1153" s="53" t="s">
        <v>25</v>
      </c>
      <c r="G1153" s="53" t="s">
        <v>25</v>
      </c>
      <c r="H1153" s="53" t="s">
        <v>25</v>
      </c>
      <c r="I1153" s="75">
        <v>44409</v>
      </c>
      <c r="J1153" s="76">
        <f ca="1">EFEITO!$J$1153*EFEITO!$Y$1091</f>
        <v>339820.96876309876</v>
      </c>
      <c r="K1153" s="76">
        <f>EFEITO!$L$1153*EFEITO!$Z$1091</f>
        <v>0</v>
      </c>
      <c r="L1153" s="76">
        <f>EFEITO!$N$1153*EFEITO!$AA$1091</f>
        <v>0</v>
      </c>
      <c r="M1153" s="76">
        <f ca="1">$J$1153-EFEITO!$K$1153*EFEITO!$Y$1153</f>
        <v>6796.4193752619904</v>
      </c>
      <c r="N1153" s="76">
        <f>$K$1153-EFEITO!$M$1153*EFEITO!$Z$1153</f>
        <v>0</v>
      </c>
      <c r="O1153" s="76">
        <f>$L$1153-EFEITO!$O$1153*EFEITO!$AA$1153</f>
        <v>0</v>
      </c>
      <c r="P1153" s="57"/>
      <c r="Q1153" s="57"/>
      <c r="R1153" s="57"/>
      <c r="S1153" s="57"/>
      <c r="T1153" s="57"/>
      <c r="U1153" s="57"/>
      <c r="V1153" s="57"/>
      <c r="W1153" s="57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</row>
    <row r="1154" spans="1:36" ht="11.25" customHeight="1" x14ac:dyDescent="0.2">
      <c r="A1154" s="53" t="s">
        <v>27</v>
      </c>
      <c r="B1154" s="53" t="s">
        <v>33</v>
      </c>
      <c r="C1154" s="53" t="s">
        <v>34</v>
      </c>
      <c r="D1154" s="53" t="s">
        <v>45</v>
      </c>
      <c r="E1154" s="53" t="s">
        <v>53</v>
      </c>
      <c r="F1154" s="53" t="s">
        <v>25</v>
      </c>
      <c r="G1154" s="53" t="s">
        <v>25</v>
      </c>
      <c r="H1154" s="53" t="s">
        <v>25</v>
      </c>
      <c r="I1154" s="75">
        <v>44409</v>
      </c>
      <c r="J1154" s="76">
        <f ca="1">EFEITO!$J$1154*EFEITO!$Y$1091</f>
        <v>-1406.1557328128224</v>
      </c>
      <c r="K1154" s="76">
        <f>EFEITO!$L$1154*EFEITO!$Z$1091</f>
        <v>0</v>
      </c>
      <c r="L1154" s="76">
        <f>EFEITO!$N$1154*EFEITO!$AA$1091</f>
        <v>0</v>
      </c>
      <c r="M1154" s="76">
        <f ca="1">$J$1154-EFEITO!$K$1154*EFEITO!$Y$1154</f>
        <v>-28.123114656256575</v>
      </c>
      <c r="N1154" s="76">
        <f>$K$1154-EFEITO!$M$1154*EFEITO!$Z$1154</f>
        <v>0</v>
      </c>
      <c r="O1154" s="76">
        <f>$L$1154-EFEITO!$O$1154*EFEITO!$AA$1154</f>
        <v>0</v>
      </c>
      <c r="P1154" s="57"/>
      <c r="Q1154" s="57"/>
      <c r="R1154" s="57"/>
      <c r="S1154" s="57"/>
      <c r="T1154" s="57"/>
      <c r="U1154" s="57"/>
      <c r="V1154" s="57"/>
      <c r="W1154" s="57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</row>
    <row r="1155" spans="1:36" ht="11.25" customHeight="1" x14ac:dyDescent="0.2">
      <c r="A1155" s="53" t="s">
        <v>28</v>
      </c>
      <c r="B1155" s="53" t="s">
        <v>33</v>
      </c>
      <c r="C1155" s="53" t="s">
        <v>34</v>
      </c>
      <c r="D1155" s="53" t="s">
        <v>45</v>
      </c>
      <c r="E1155" s="53" t="s">
        <v>53</v>
      </c>
      <c r="F1155" s="53" t="s">
        <v>25</v>
      </c>
      <c r="G1155" s="53" t="s">
        <v>25</v>
      </c>
      <c r="H1155" s="53" t="s">
        <v>25</v>
      </c>
      <c r="I1155" s="75">
        <v>44409</v>
      </c>
      <c r="J1155" s="76">
        <f ca="1">EFEITO!$J$1155*EFEITO!$Y$1091</f>
        <v>13025.442577634565</v>
      </c>
      <c r="K1155" s="76">
        <f>EFEITO!$L$1155*EFEITO!$Z$1091</f>
        <v>0</v>
      </c>
      <c r="L1155" s="76">
        <f>EFEITO!$N$1155*EFEITO!$AA$1091</f>
        <v>0</v>
      </c>
      <c r="M1155" s="76">
        <f ca="1">$J$1155-EFEITO!$K$1155*EFEITO!$Y$1155</f>
        <v>260.50885155269134</v>
      </c>
      <c r="N1155" s="76">
        <f>$K$1155-EFEITO!$M$1155*EFEITO!$Z$1155</f>
        <v>0</v>
      </c>
      <c r="O1155" s="76">
        <f>$L$1155-EFEITO!$O$1155*EFEITO!$AA$1155</f>
        <v>0</v>
      </c>
      <c r="P1155" s="57"/>
      <c r="Q1155" s="57"/>
      <c r="R1155" s="57"/>
      <c r="S1155" s="57"/>
      <c r="T1155" s="57"/>
      <c r="U1155" s="57"/>
      <c r="V1155" s="57"/>
      <c r="W1155" s="57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</row>
    <row r="1156" spans="1:36" ht="11.25" customHeight="1" x14ac:dyDescent="0.2">
      <c r="A1156" s="53" t="s">
        <v>21</v>
      </c>
      <c r="B1156" s="53" t="s">
        <v>33</v>
      </c>
      <c r="C1156" s="53" t="s">
        <v>34</v>
      </c>
      <c r="D1156" s="53" t="s">
        <v>45</v>
      </c>
      <c r="E1156" s="53" t="s">
        <v>53</v>
      </c>
      <c r="F1156" s="53" t="s">
        <v>25</v>
      </c>
      <c r="G1156" s="53" t="s">
        <v>25</v>
      </c>
      <c r="H1156" s="53" t="s">
        <v>25</v>
      </c>
      <c r="I1156" s="75">
        <v>44440</v>
      </c>
      <c r="J1156" s="76">
        <f ca="1">EFEITO!$J$1156*EFEITO!$Y$1091</f>
        <v>446935.49844508601</v>
      </c>
      <c r="K1156" s="76">
        <f>EFEITO!$L$1156*EFEITO!$Z$1091</f>
        <v>0</v>
      </c>
      <c r="L1156" s="76">
        <f>EFEITO!$N$1156*EFEITO!$AA$1091</f>
        <v>0</v>
      </c>
      <c r="M1156" s="76">
        <f ca="1">$J$1156-EFEITO!$K$1156*EFEITO!$Y$1156</f>
        <v>8938.709968901705</v>
      </c>
      <c r="N1156" s="76">
        <f>$K$1156-EFEITO!$M$1156*EFEITO!$Z$1156</f>
        <v>0</v>
      </c>
      <c r="O1156" s="76">
        <f>$L$1156-EFEITO!$O$1156*EFEITO!$AA$1156</f>
        <v>0</v>
      </c>
      <c r="P1156" s="57"/>
      <c r="Q1156" s="57"/>
      <c r="R1156" s="57"/>
      <c r="S1156" s="57"/>
      <c r="T1156" s="57"/>
      <c r="U1156" s="57"/>
      <c r="V1156" s="57"/>
      <c r="W1156" s="57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</row>
    <row r="1157" spans="1:36" ht="11.25" customHeight="1" x14ac:dyDescent="0.2">
      <c r="A1157" s="53" t="s">
        <v>27</v>
      </c>
      <c r="B1157" s="53" t="s">
        <v>33</v>
      </c>
      <c r="C1157" s="53" t="s">
        <v>34</v>
      </c>
      <c r="D1157" s="53" t="s">
        <v>45</v>
      </c>
      <c r="E1157" s="53" t="s">
        <v>53</v>
      </c>
      <c r="F1157" s="53" t="s">
        <v>25</v>
      </c>
      <c r="G1157" s="53" t="s">
        <v>25</v>
      </c>
      <c r="H1157" s="53" t="s">
        <v>25</v>
      </c>
      <c r="I1157" s="75">
        <v>44440</v>
      </c>
      <c r="J1157" s="76">
        <f ca="1">EFEITO!$J$1157*EFEITO!$Y$1091</f>
        <v>-4835.202168970407</v>
      </c>
      <c r="K1157" s="76">
        <f>EFEITO!$L$1157*EFEITO!$Z$1091</f>
        <v>0</v>
      </c>
      <c r="L1157" s="76">
        <f>EFEITO!$N$1157*EFEITO!$AA$1091</f>
        <v>0</v>
      </c>
      <c r="M1157" s="76">
        <f ca="1">$J$1157-EFEITO!$K$1157*EFEITO!$Y$1157</f>
        <v>-96.704043379408176</v>
      </c>
      <c r="N1157" s="76">
        <f>$K$1157-EFEITO!$M$1157*EFEITO!$Z$1157</f>
        <v>0</v>
      </c>
      <c r="O1157" s="76">
        <f>$L$1157-EFEITO!$O$1157*EFEITO!$AA$1157</f>
        <v>0</v>
      </c>
      <c r="P1157" s="57"/>
      <c r="Q1157" s="57"/>
      <c r="R1157" s="57"/>
      <c r="S1157" s="57"/>
      <c r="T1157" s="57"/>
      <c r="U1157" s="57"/>
      <c r="V1157" s="57"/>
      <c r="W1157" s="57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</row>
    <row r="1158" spans="1:36" ht="11.25" customHeight="1" x14ac:dyDescent="0.2">
      <c r="A1158" s="53" t="s">
        <v>28</v>
      </c>
      <c r="B1158" s="53" t="s">
        <v>33</v>
      </c>
      <c r="C1158" s="53" t="s">
        <v>34</v>
      </c>
      <c r="D1158" s="53" t="s">
        <v>45</v>
      </c>
      <c r="E1158" s="53" t="s">
        <v>53</v>
      </c>
      <c r="F1158" s="53" t="s">
        <v>25</v>
      </c>
      <c r="G1158" s="53" t="s">
        <v>25</v>
      </c>
      <c r="H1158" s="53" t="s">
        <v>25</v>
      </c>
      <c r="I1158" s="75">
        <v>44440</v>
      </c>
      <c r="J1158" s="76">
        <f ca="1">EFEITO!$J$1158*EFEITO!$Y$1091</f>
        <v>43862.191104231548</v>
      </c>
      <c r="K1158" s="76">
        <f>EFEITO!$L$1158*EFEITO!$Z$1091</f>
        <v>0</v>
      </c>
      <c r="L1158" s="76">
        <f>EFEITO!$N$1158*EFEITO!$AA$1091</f>
        <v>0</v>
      </c>
      <c r="M1158" s="76">
        <f ca="1">$J$1158-EFEITO!$K$1158*EFEITO!$Y$1158</f>
        <v>877.24382208463066</v>
      </c>
      <c r="N1158" s="76">
        <f>$K$1158-EFEITO!$M$1158*EFEITO!$Z$1158</f>
        <v>0</v>
      </c>
      <c r="O1158" s="76">
        <f>$L$1158-EFEITO!$O$1158*EFEITO!$AA$1158</f>
        <v>0</v>
      </c>
      <c r="P1158" s="57"/>
      <c r="Q1158" s="57"/>
      <c r="R1158" s="57"/>
      <c r="S1158" s="57"/>
      <c r="T1158" s="57"/>
      <c r="U1158" s="57"/>
      <c r="V1158" s="57"/>
      <c r="W1158" s="57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</row>
    <row r="1159" spans="1:36" ht="11.25" customHeight="1" x14ac:dyDescent="0.2">
      <c r="A1159" s="53" t="s">
        <v>21</v>
      </c>
      <c r="B1159" s="53" t="s">
        <v>33</v>
      </c>
      <c r="C1159" s="53" t="s">
        <v>34</v>
      </c>
      <c r="D1159" s="53" t="s">
        <v>45</v>
      </c>
      <c r="E1159" s="53" t="s">
        <v>53</v>
      </c>
      <c r="F1159" s="53" t="s">
        <v>25</v>
      </c>
      <c r="G1159" s="53" t="s">
        <v>25</v>
      </c>
      <c r="H1159" s="53" t="s">
        <v>25</v>
      </c>
      <c r="I1159" s="75">
        <v>44470</v>
      </c>
      <c r="J1159" s="76">
        <f ca="1">EFEITO!$J$1159*EFEITO!$Y$1091</f>
        <v>570997.90511729103</v>
      </c>
      <c r="K1159" s="76">
        <f>EFEITO!$L$1159*EFEITO!$Z$1091</f>
        <v>0</v>
      </c>
      <c r="L1159" s="76">
        <f>EFEITO!$N$1159*EFEITO!$AA$1091</f>
        <v>0</v>
      </c>
      <c r="M1159" s="76">
        <f ca="1">$J$1159-EFEITO!$K$1159*EFEITO!$Y$1159</f>
        <v>11419.958102345816</v>
      </c>
      <c r="N1159" s="76">
        <f>$K$1159-EFEITO!$M$1159*EFEITO!$Z$1159</f>
        <v>0</v>
      </c>
      <c r="O1159" s="76">
        <f>$L$1159-EFEITO!$O$1159*EFEITO!$AA$1159</f>
        <v>0</v>
      </c>
      <c r="P1159" s="57"/>
      <c r="Q1159" s="57"/>
      <c r="R1159" s="57"/>
      <c r="S1159" s="57"/>
      <c r="T1159" s="57"/>
      <c r="U1159" s="57"/>
      <c r="V1159" s="57"/>
      <c r="W1159" s="57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</row>
    <row r="1160" spans="1:36" ht="11.25" customHeight="1" x14ac:dyDescent="0.2">
      <c r="A1160" s="53" t="s">
        <v>27</v>
      </c>
      <c r="B1160" s="53" t="s">
        <v>33</v>
      </c>
      <c r="C1160" s="53" t="s">
        <v>34</v>
      </c>
      <c r="D1160" s="53" t="s">
        <v>45</v>
      </c>
      <c r="E1160" s="53" t="s">
        <v>53</v>
      </c>
      <c r="F1160" s="53" t="s">
        <v>25</v>
      </c>
      <c r="G1160" s="53" t="s">
        <v>25</v>
      </c>
      <c r="H1160" s="53" t="s">
        <v>25</v>
      </c>
      <c r="I1160" s="75">
        <v>44470</v>
      </c>
      <c r="J1160" s="76">
        <f ca="1">EFEITO!$J$1160*EFEITO!$Y$1091</f>
        <v>-3305.6994420511965</v>
      </c>
      <c r="K1160" s="76">
        <f>EFEITO!$L$1160*EFEITO!$Z$1091</f>
        <v>0</v>
      </c>
      <c r="L1160" s="76">
        <f>EFEITO!$N$1160*EFEITO!$AA$1091</f>
        <v>0</v>
      </c>
      <c r="M1160" s="76">
        <f ca="1">$J$1160-EFEITO!$K$1160*EFEITO!$Y$1160</f>
        <v>-66.113988841023911</v>
      </c>
      <c r="N1160" s="76">
        <f>$K$1160-EFEITO!$M$1160*EFEITO!$Z$1160</f>
        <v>0</v>
      </c>
      <c r="O1160" s="76">
        <f>$L$1160-EFEITO!$O$1160*EFEITO!$AA$1160</f>
        <v>0</v>
      </c>
      <c r="P1160" s="57"/>
      <c r="Q1160" s="57"/>
      <c r="R1160" s="57"/>
      <c r="S1160" s="57"/>
      <c r="T1160" s="57"/>
      <c r="U1160" s="57"/>
      <c r="V1160" s="57"/>
      <c r="W1160" s="57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</row>
    <row r="1161" spans="1:36" ht="11.25" customHeight="1" x14ac:dyDescent="0.2">
      <c r="A1161" s="53" t="s">
        <v>28</v>
      </c>
      <c r="B1161" s="53" t="s">
        <v>33</v>
      </c>
      <c r="C1161" s="53" t="s">
        <v>34</v>
      </c>
      <c r="D1161" s="53" t="s">
        <v>45</v>
      </c>
      <c r="E1161" s="53" t="s">
        <v>53</v>
      </c>
      <c r="F1161" s="53" t="s">
        <v>25</v>
      </c>
      <c r="G1161" s="53" t="s">
        <v>25</v>
      </c>
      <c r="H1161" s="53" t="s">
        <v>25</v>
      </c>
      <c r="I1161" s="75">
        <v>44470</v>
      </c>
      <c r="J1161" s="76">
        <f ca="1">EFEITO!$J$1161*EFEITO!$Y$1091</f>
        <v>54494.701996202188</v>
      </c>
      <c r="K1161" s="76">
        <f>EFEITO!$L$1161*EFEITO!$Z$1091</f>
        <v>0</v>
      </c>
      <c r="L1161" s="76">
        <f>EFEITO!$N$1161*EFEITO!$AA$1091</f>
        <v>0</v>
      </c>
      <c r="M1161" s="76">
        <f ca="1">$J$1161-EFEITO!$K$1161*EFEITO!$Y$1161</f>
        <v>1089.8940399240455</v>
      </c>
      <c r="N1161" s="76">
        <f>$K$1161-EFEITO!$M$1161*EFEITO!$Z$1161</f>
        <v>0</v>
      </c>
      <c r="O1161" s="76">
        <f>$L$1161-EFEITO!$O$1161*EFEITO!$AA$1161</f>
        <v>0</v>
      </c>
      <c r="P1161" s="57"/>
      <c r="Q1161" s="57"/>
      <c r="R1161" s="57"/>
      <c r="S1161" s="57"/>
      <c r="T1161" s="57"/>
      <c r="U1161" s="57"/>
      <c r="V1161" s="57"/>
      <c r="W1161" s="57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</row>
    <row r="1162" spans="1:36" ht="11.25" customHeight="1" x14ac:dyDescent="0.2">
      <c r="A1162" s="53" t="s">
        <v>21</v>
      </c>
      <c r="B1162" s="53" t="s">
        <v>33</v>
      </c>
      <c r="C1162" s="53" t="s">
        <v>34</v>
      </c>
      <c r="D1162" s="53" t="s">
        <v>45</v>
      </c>
      <c r="E1162" s="53" t="s">
        <v>53</v>
      </c>
      <c r="F1162" s="53" t="s">
        <v>25</v>
      </c>
      <c r="G1162" s="53" t="s">
        <v>25</v>
      </c>
      <c r="H1162" s="53" t="s">
        <v>25</v>
      </c>
      <c r="I1162" s="75">
        <v>44501</v>
      </c>
      <c r="J1162" s="76">
        <f ca="1">EFEITO!$J$1162*EFEITO!$Y$1091</f>
        <v>619621.2901940291</v>
      </c>
      <c r="K1162" s="76">
        <f>EFEITO!$L$1162*EFEITO!$Z$1091</f>
        <v>0</v>
      </c>
      <c r="L1162" s="76">
        <f>EFEITO!$N$1162*EFEITO!$AA$1091</f>
        <v>0</v>
      </c>
      <c r="M1162" s="76">
        <f ca="1">$J$1162-EFEITO!$K$1162*EFEITO!$Y$1162</f>
        <v>12392.425803880556</v>
      </c>
      <c r="N1162" s="76">
        <f>$K$1162-EFEITO!$M$1162*EFEITO!$Z$1162</f>
        <v>0</v>
      </c>
      <c r="O1162" s="76">
        <f>$L$1162-EFEITO!$O$1162*EFEITO!$AA$1162</f>
        <v>0</v>
      </c>
      <c r="P1162" s="57"/>
      <c r="Q1162" s="57"/>
      <c r="R1162" s="57"/>
      <c r="S1162" s="57"/>
      <c r="T1162" s="57"/>
      <c r="U1162" s="57"/>
      <c r="V1162" s="57"/>
      <c r="W1162" s="57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</row>
    <row r="1163" spans="1:36" ht="11.25" customHeight="1" x14ac:dyDescent="0.2">
      <c r="A1163" s="53" t="s">
        <v>27</v>
      </c>
      <c r="B1163" s="53" t="s">
        <v>33</v>
      </c>
      <c r="C1163" s="53" t="s">
        <v>34</v>
      </c>
      <c r="D1163" s="53" t="s">
        <v>45</v>
      </c>
      <c r="E1163" s="53" t="s">
        <v>53</v>
      </c>
      <c r="F1163" s="53" t="s">
        <v>25</v>
      </c>
      <c r="G1163" s="53" t="s">
        <v>25</v>
      </c>
      <c r="H1163" s="53" t="s">
        <v>25</v>
      </c>
      <c r="I1163" s="75">
        <v>44501</v>
      </c>
      <c r="J1163" s="76">
        <f ca="1">EFEITO!$J$1163*EFEITO!$Y$1091</f>
        <v>-33698.398789865183</v>
      </c>
      <c r="K1163" s="76">
        <f>EFEITO!$L$1163*EFEITO!$Z$1091</f>
        <v>0</v>
      </c>
      <c r="L1163" s="76">
        <f>EFEITO!$N$1163*EFEITO!$AA$1091</f>
        <v>0</v>
      </c>
      <c r="M1163" s="76">
        <f ca="1">$J$1163-EFEITO!$K$1163*EFEITO!$Y$1163</f>
        <v>-673.96797579730628</v>
      </c>
      <c r="N1163" s="76">
        <f>$K$1163-EFEITO!$M$1163*EFEITO!$Z$1163</f>
        <v>0</v>
      </c>
      <c r="O1163" s="76">
        <f>$L$1163-EFEITO!$O$1163*EFEITO!$AA$1163</f>
        <v>0</v>
      </c>
      <c r="P1163" s="57"/>
      <c r="Q1163" s="57"/>
      <c r="R1163" s="57"/>
      <c r="S1163" s="57"/>
      <c r="T1163" s="57"/>
      <c r="U1163" s="57"/>
      <c r="V1163" s="57"/>
      <c r="W1163" s="57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</row>
    <row r="1164" spans="1:36" ht="11.25" customHeight="1" x14ac:dyDescent="0.2">
      <c r="A1164" s="53" t="s">
        <v>28</v>
      </c>
      <c r="B1164" s="53" t="s">
        <v>33</v>
      </c>
      <c r="C1164" s="53" t="s">
        <v>34</v>
      </c>
      <c r="D1164" s="53" t="s">
        <v>45</v>
      </c>
      <c r="E1164" s="53" t="s">
        <v>53</v>
      </c>
      <c r="F1164" s="53" t="s">
        <v>25</v>
      </c>
      <c r="G1164" s="53" t="s">
        <v>25</v>
      </c>
      <c r="H1164" s="53" t="s">
        <v>25</v>
      </c>
      <c r="I1164" s="75">
        <v>44501</v>
      </c>
      <c r="J1164" s="76">
        <f ca="1">EFEITO!$J$1164*EFEITO!$Y$1091</f>
        <v>53754.620031563856</v>
      </c>
      <c r="K1164" s="76">
        <f>EFEITO!$L$1164*EFEITO!$Z$1091</f>
        <v>0</v>
      </c>
      <c r="L1164" s="76">
        <f>EFEITO!$N$1164*EFEITO!$AA$1091</f>
        <v>0</v>
      </c>
      <c r="M1164" s="76">
        <f ca="1">$J$1164-EFEITO!$K$1164*EFEITO!$Y$1164</f>
        <v>1075.092400631278</v>
      </c>
      <c r="N1164" s="76">
        <f>$K$1164-EFEITO!$M$1164*EFEITO!$Z$1164</f>
        <v>0</v>
      </c>
      <c r="O1164" s="76">
        <f>$L$1164-EFEITO!$O$1164*EFEITO!$AA$1164</f>
        <v>0</v>
      </c>
      <c r="P1164" s="57"/>
      <c r="Q1164" s="57"/>
      <c r="R1164" s="57"/>
      <c r="S1164" s="57"/>
      <c r="T1164" s="57"/>
      <c r="U1164" s="57"/>
      <c r="V1164" s="57"/>
      <c r="W1164" s="57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</row>
    <row r="1165" spans="1:36" ht="11.25" customHeight="1" x14ac:dyDescent="0.2">
      <c r="A1165" s="53" t="s">
        <v>21</v>
      </c>
      <c r="B1165" s="53" t="s">
        <v>33</v>
      </c>
      <c r="C1165" s="53" t="s">
        <v>34</v>
      </c>
      <c r="D1165" s="53" t="s">
        <v>45</v>
      </c>
      <c r="E1165" s="53" t="s">
        <v>53</v>
      </c>
      <c r="F1165" s="53" t="s">
        <v>25</v>
      </c>
      <c r="G1165" s="53" t="s">
        <v>25</v>
      </c>
      <c r="H1165" s="53" t="s">
        <v>25</v>
      </c>
      <c r="I1165" s="75">
        <v>44531</v>
      </c>
      <c r="J1165" s="76">
        <f ca="1">EFEITO!$J$1165*EFEITO!$Y$1091</f>
        <v>647670.39665382169</v>
      </c>
      <c r="K1165" s="76">
        <f>EFEITO!$L$1165*EFEITO!$Z$1091</f>
        <v>0</v>
      </c>
      <c r="L1165" s="76">
        <f>EFEITO!$N$1165*EFEITO!$AA$1091</f>
        <v>0</v>
      </c>
      <c r="M1165" s="76">
        <f ca="1">$J$1165-EFEITO!$K$1165*EFEITO!$Y$1165</f>
        <v>12953.407933076378</v>
      </c>
      <c r="N1165" s="76">
        <f>$K$1165-EFEITO!$M$1165*EFEITO!$Z$1165</f>
        <v>0</v>
      </c>
      <c r="O1165" s="76">
        <f>$L$1165-EFEITO!$O$1165*EFEITO!$AA$1165</f>
        <v>0</v>
      </c>
      <c r="P1165" s="57"/>
      <c r="Q1165" s="57"/>
      <c r="R1165" s="57"/>
      <c r="S1165" s="57"/>
      <c r="T1165" s="57"/>
      <c r="U1165" s="57"/>
      <c r="V1165" s="57"/>
      <c r="W1165" s="57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</row>
    <row r="1166" spans="1:36" ht="11.25" customHeight="1" x14ac:dyDescent="0.2">
      <c r="A1166" s="53" t="s">
        <v>28</v>
      </c>
      <c r="B1166" s="53" t="s">
        <v>33</v>
      </c>
      <c r="C1166" s="53" t="s">
        <v>34</v>
      </c>
      <c r="D1166" s="53" t="s">
        <v>45</v>
      </c>
      <c r="E1166" s="53" t="s">
        <v>53</v>
      </c>
      <c r="F1166" s="53" t="s">
        <v>25</v>
      </c>
      <c r="G1166" s="53" t="s">
        <v>25</v>
      </c>
      <c r="H1166" s="53" t="s">
        <v>25</v>
      </c>
      <c r="I1166" s="75">
        <v>44531</v>
      </c>
      <c r="J1166" s="76">
        <f ca="1">EFEITO!$J$1166*EFEITO!$Y$1091</f>
        <v>58959.863182853427</v>
      </c>
      <c r="K1166" s="76">
        <f>EFEITO!$L$1166*EFEITO!$Z$1091</f>
        <v>0</v>
      </c>
      <c r="L1166" s="76">
        <f>EFEITO!$N$1166*EFEITO!$AA$1091</f>
        <v>0</v>
      </c>
      <c r="M1166" s="76">
        <f ca="1">$J$1166-EFEITO!$K$1166*EFEITO!$Y$1166</f>
        <v>1179.1972636570645</v>
      </c>
      <c r="N1166" s="76">
        <f>$K$1166-EFEITO!$M$1166*EFEITO!$Z$1166</f>
        <v>0</v>
      </c>
      <c r="O1166" s="76">
        <f>$L$1166-EFEITO!$O$1166*EFEITO!$AA$1166</f>
        <v>0</v>
      </c>
      <c r="P1166" s="57"/>
      <c r="Q1166" s="57"/>
      <c r="R1166" s="57"/>
      <c r="S1166" s="57"/>
      <c r="T1166" s="57"/>
      <c r="U1166" s="57"/>
      <c r="V1166" s="57"/>
      <c r="W1166" s="57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</row>
    <row r="1167" spans="1:36" ht="11.25" customHeight="1" x14ac:dyDescent="0.2">
      <c r="A1167" s="53" t="s">
        <v>21</v>
      </c>
      <c r="B1167" s="53" t="s">
        <v>33</v>
      </c>
      <c r="C1167" s="53" t="s">
        <v>34</v>
      </c>
      <c r="D1167" s="53" t="s">
        <v>45</v>
      </c>
      <c r="E1167" s="53" t="s">
        <v>53</v>
      </c>
      <c r="F1167" s="53" t="s">
        <v>25</v>
      </c>
      <c r="G1167" s="53" t="s">
        <v>25</v>
      </c>
      <c r="H1167" s="53" t="s">
        <v>25</v>
      </c>
      <c r="I1167" s="75">
        <v>44562</v>
      </c>
      <c r="J1167" s="76">
        <f ca="1">EFEITO!$J$1167*EFEITO!$Y$1091</f>
        <v>589080.57445328753</v>
      </c>
      <c r="K1167" s="76">
        <f>EFEITO!$L$1167*EFEITO!$Z$1091</f>
        <v>0</v>
      </c>
      <c r="L1167" s="76">
        <f>EFEITO!$N$1167*EFEITO!$AA$1091</f>
        <v>0</v>
      </c>
      <c r="M1167" s="76">
        <f ca="1">$J$1167-EFEITO!$K$1167*EFEITO!$Y$1167</f>
        <v>11781.611489065806</v>
      </c>
      <c r="N1167" s="76">
        <f>$K$1167-EFEITO!$M$1167*EFEITO!$Z$1167</f>
        <v>0</v>
      </c>
      <c r="O1167" s="76">
        <f>$L$1167-EFEITO!$O$1167*EFEITO!$AA$1167</f>
        <v>0</v>
      </c>
      <c r="P1167" s="57"/>
      <c r="Q1167" s="57"/>
      <c r="R1167" s="57"/>
      <c r="S1167" s="57"/>
      <c r="T1167" s="57"/>
      <c r="U1167" s="57"/>
      <c r="V1167" s="57"/>
      <c r="W1167" s="57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</row>
    <row r="1168" spans="1:36" ht="11.25" customHeight="1" x14ac:dyDescent="0.2">
      <c r="A1168" s="53" t="s">
        <v>27</v>
      </c>
      <c r="B1168" s="53" t="s">
        <v>33</v>
      </c>
      <c r="C1168" s="53" t="s">
        <v>34</v>
      </c>
      <c r="D1168" s="53" t="s">
        <v>45</v>
      </c>
      <c r="E1168" s="53" t="s">
        <v>53</v>
      </c>
      <c r="F1168" s="53" t="s">
        <v>25</v>
      </c>
      <c r="G1168" s="53" t="s">
        <v>25</v>
      </c>
      <c r="H1168" s="53" t="s">
        <v>25</v>
      </c>
      <c r="I1168" s="75">
        <v>44562</v>
      </c>
      <c r="J1168" s="76">
        <f ca="1">EFEITO!$J$1168*EFEITO!$Y$1091</f>
        <v>-912.76775638727065</v>
      </c>
      <c r="K1168" s="76">
        <f>EFEITO!$L$1168*EFEITO!$Z$1091</f>
        <v>0</v>
      </c>
      <c r="L1168" s="76">
        <f>EFEITO!$N$1168*EFEITO!$AA$1091</f>
        <v>0</v>
      </c>
      <c r="M1168" s="76">
        <f ca="1">$J$1168-EFEITO!$K$1168*EFEITO!$Y$1168</f>
        <v>-18.255355127745361</v>
      </c>
      <c r="N1168" s="76">
        <f>$K$1168-EFEITO!$M$1168*EFEITO!$Z$1168</f>
        <v>0</v>
      </c>
      <c r="O1168" s="76">
        <f>$L$1168-EFEITO!$O$1168*EFEITO!$AA$1168</f>
        <v>0</v>
      </c>
      <c r="P1168" s="57"/>
      <c r="Q1168" s="57"/>
      <c r="R1168" s="57"/>
      <c r="S1168" s="57"/>
      <c r="T1168" s="57"/>
      <c r="U1168" s="57"/>
      <c r="V1168" s="57"/>
      <c r="W1168" s="57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</row>
    <row r="1169" spans="1:36" ht="11.25" customHeight="1" x14ac:dyDescent="0.2">
      <c r="A1169" s="53" t="s">
        <v>28</v>
      </c>
      <c r="B1169" s="53" t="s">
        <v>33</v>
      </c>
      <c r="C1169" s="53" t="s">
        <v>34</v>
      </c>
      <c r="D1169" s="53" t="s">
        <v>45</v>
      </c>
      <c r="E1169" s="53" t="s">
        <v>53</v>
      </c>
      <c r="F1169" s="53" t="s">
        <v>25</v>
      </c>
      <c r="G1169" s="53" t="s">
        <v>25</v>
      </c>
      <c r="H1169" s="53" t="s">
        <v>25</v>
      </c>
      <c r="I1169" s="75">
        <v>44562</v>
      </c>
      <c r="J1169" s="76">
        <f ca="1">EFEITO!$J$1169*EFEITO!$Y$1091</f>
        <v>59181.887772244925</v>
      </c>
      <c r="K1169" s="76">
        <f>EFEITO!$L$1169*EFEITO!$Z$1091</f>
        <v>0</v>
      </c>
      <c r="L1169" s="76">
        <f>EFEITO!$N$1169*EFEITO!$AA$1091</f>
        <v>0</v>
      </c>
      <c r="M1169" s="76">
        <f ca="1">$J$1169-EFEITO!$K$1169*EFEITO!$Y$1169</f>
        <v>1183.6377554448991</v>
      </c>
      <c r="N1169" s="76">
        <f>$K$1169-EFEITO!$M$1169*EFEITO!$Z$1169</f>
        <v>0</v>
      </c>
      <c r="O1169" s="76">
        <f>$L$1169-EFEITO!$O$1169*EFEITO!$AA$1169</f>
        <v>0</v>
      </c>
      <c r="P1169" s="57"/>
      <c r="Q1169" s="57"/>
      <c r="R1169" s="57"/>
      <c r="S1169" s="57"/>
      <c r="T1169" s="57"/>
      <c r="U1169" s="57"/>
      <c r="V1169" s="57"/>
      <c r="W1169" s="57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</row>
    <row r="1170" spans="1:36" ht="11.25" customHeight="1" x14ac:dyDescent="0.2">
      <c r="A1170" s="53" t="s">
        <v>21</v>
      </c>
      <c r="B1170" s="53" t="s">
        <v>33</v>
      </c>
      <c r="C1170" s="53" t="s">
        <v>34</v>
      </c>
      <c r="D1170" s="53" t="s">
        <v>45</v>
      </c>
      <c r="E1170" s="53" t="s">
        <v>53</v>
      </c>
      <c r="F1170" s="53" t="s">
        <v>25</v>
      </c>
      <c r="G1170" s="53" t="s">
        <v>25</v>
      </c>
      <c r="H1170" s="53" t="s">
        <v>25</v>
      </c>
      <c r="I1170" s="75">
        <v>44593</v>
      </c>
      <c r="J1170" s="76">
        <f ca="1">EFEITO!$J$1170*EFEITO!$Y$1091</f>
        <v>637753.2983276681</v>
      </c>
      <c r="K1170" s="76">
        <f>EFEITO!$L$1170*EFEITO!$Z$1091</f>
        <v>0</v>
      </c>
      <c r="L1170" s="76">
        <f>EFEITO!$N$1170*EFEITO!$AA$1091</f>
        <v>0</v>
      </c>
      <c r="M1170" s="76">
        <f ca="1">$J$1170-EFEITO!$K$1170*EFEITO!$Y$1170</f>
        <v>12755.065966553288</v>
      </c>
      <c r="N1170" s="76">
        <f>$K$1170-EFEITO!$M$1170*EFEITO!$Z$1170</f>
        <v>0</v>
      </c>
      <c r="O1170" s="76">
        <f>$L$1170-EFEITO!$O$1170*EFEITO!$AA$1170</f>
        <v>0</v>
      </c>
      <c r="P1170" s="57"/>
      <c r="Q1170" s="57"/>
      <c r="R1170" s="57"/>
      <c r="S1170" s="57"/>
      <c r="T1170" s="57"/>
      <c r="U1170" s="57"/>
      <c r="V1170" s="57"/>
      <c r="W1170" s="57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</row>
    <row r="1171" spans="1:36" ht="11.25" customHeight="1" x14ac:dyDescent="0.2">
      <c r="A1171" s="53" t="s">
        <v>28</v>
      </c>
      <c r="B1171" s="53" t="s">
        <v>33</v>
      </c>
      <c r="C1171" s="53" t="s">
        <v>34</v>
      </c>
      <c r="D1171" s="53" t="s">
        <v>45</v>
      </c>
      <c r="E1171" s="53" t="s">
        <v>53</v>
      </c>
      <c r="F1171" s="53" t="s">
        <v>25</v>
      </c>
      <c r="G1171" s="53" t="s">
        <v>25</v>
      </c>
      <c r="H1171" s="53" t="s">
        <v>25</v>
      </c>
      <c r="I1171" s="75">
        <v>44593</v>
      </c>
      <c r="J1171" s="76">
        <f ca="1">EFEITO!$J$1171*EFEITO!$Y$1091</f>
        <v>58910.524385210876</v>
      </c>
      <c r="K1171" s="76">
        <f>EFEITO!$L$1171*EFEITO!$Z$1091</f>
        <v>0</v>
      </c>
      <c r="L1171" s="76">
        <f>EFEITO!$N$1171*EFEITO!$AA$1091</f>
        <v>0</v>
      </c>
      <c r="M1171" s="76">
        <f ca="1">$J$1171-EFEITO!$K$1171*EFEITO!$Y$1171</f>
        <v>1178.210487704222</v>
      </c>
      <c r="N1171" s="76">
        <f>$K$1171-EFEITO!$M$1171*EFEITO!$Z$1171</f>
        <v>0</v>
      </c>
      <c r="O1171" s="76">
        <f>$L$1171-EFEITO!$O$1171*EFEITO!$AA$1171</f>
        <v>0</v>
      </c>
      <c r="P1171" s="57"/>
      <c r="Q1171" s="57"/>
      <c r="R1171" s="57"/>
      <c r="S1171" s="57"/>
      <c r="T1171" s="57"/>
      <c r="U1171" s="57"/>
      <c r="V1171" s="57"/>
      <c r="W1171" s="57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</row>
    <row r="1172" spans="1:36" ht="11.25" customHeight="1" x14ac:dyDescent="0.2">
      <c r="A1172" s="53" t="s">
        <v>21</v>
      </c>
      <c r="B1172" s="53" t="s">
        <v>33</v>
      </c>
      <c r="C1172" s="53" t="s">
        <v>34</v>
      </c>
      <c r="D1172" s="53" t="s">
        <v>45</v>
      </c>
      <c r="E1172" s="53" t="s">
        <v>53</v>
      </c>
      <c r="F1172" s="53" t="s">
        <v>25</v>
      </c>
      <c r="G1172" s="53" t="s">
        <v>25</v>
      </c>
      <c r="H1172" s="53" t="s">
        <v>25</v>
      </c>
      <c r="I1172" s="75">
        <v>44621</v>
      </c>
      <c r="J1172" s="76">
        <f ca="1">EFEITO!$J$1172*EFEITO!$Y$1091</f>
        <v>648410.47861846001</v>
      </c>
      <c r="K1172" s="76">
        <f>EFEITO!$L$1172*EFEITO!$Z$1091</f>
        <v>0</v>
      </c>
      <c r="L1172" s="76">
        <f>EFEITO!$N$1172*EFEITO!$AA$1091</f>
        <v>0</v>
      </c>
      <c r="M1172" s="76">
        <f ca="1">$J$1172-EFEITO!$K$1172*EFEITO!$Y$1172</f>
        <v>12968.209572369116</v>
      </c>
      <c r="N1172" s="76">
        <f>$K$1172-EFEITO!$M$1172*EFEITO!$Z$1172</f>
        <v>0</v>
      </c>
      <c r="O1172" s="76">
        <f>$L$1172-EFEITO!$O$1172*EFEITO!$AA$1172</f>
        <v>0</v>
      </c>
      <c r="P1172" s="57"/>
      <c r="Q1172" s="57"/>
      <c r="R1172" s="57"/>
      <c r="S1172" s="57"/>
      <c r="T1172" s="57"/>
      <c r="U1172" s="57"/>
      <c r="V1172" s="57"/>
      <c r="W1172" s="57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</row>
    <row r="1173" spans="1:36" ht="11.25" customHeight="1" x14ac:dyDescent="0.2">
      <c r="A1173" s="53" t="s">
        <v>28</v>
      </c>
      <c r="B1173" s="53" t="s">
        <v>33</v>
      </c>
      <c r="C1173" s="53" t="s">
        <v>34</v>
      </c>
      <c r="D1173" s="53" t="s">
        <v>45</v>
      </c>
      <c r="E1173" s="53" t="s">
        <v>53</v>
      </c>
      <c r="F1173" s="53" t="s">
        <v>25</v>
      </c>
      <c r="G1173" s="53" t="s">
        <v>25</v>
      </c>
      <c r="H1173" s="53" t="s">
        <v>25</v>
      </c>
      <c r="I1173" s="75">
        <v>44621</v>
      </c>
      <c r="J1173" s="76">
        <f ca="1">EFEITO!$J$1173*EFEITO!$Y$1091</f>
        <v>54815.404180878795</v>
      </c>
      <c r="K1173" s="76">
        <f>EFEITO!$L$1173*EFEITO!$Z$1091</f>
        <v>0</v>
      </c>
      <c r="L1173" s="76">
        <f>EFEITO!$N$1173*EFEITO!$AA$1091</f>
        <v>0</v>
      </c>
      <c r="M1173" s="76">
        <f ca="1">$J$1173-EFEITO!$K$1173*EFEITO!$Y$1173</f>
        <v>1096.3080836175795</v>
      </c>
      <c r="N1173" s="76">
        <f>$K$1173-EFEITO!$M$1173*EFEITO!$Z$1173</f>
        <v>0</v>
      </c>
      <c r="O1173" s="76">
        <f>$L$1173-EFEITO!$O$1173*EFEITO!$AA$1173</f>
        <v>0</v>
      </c>
      <c r="P1173" s="57"/>
      <c r="Q1173" s="57"/>
      <c r="R1173" s="57"/>
      <c r="S1173" s="57"/>
      <c r="T1173" s="57"/>
      <c r="U1173" s="57"/>
      <c r="V1173" s="57"/>
      <c r="W1173" s="57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</row>
    <row r="1174" spans="1:36" ht="11.25" customHeight="1" x14ac:dyDescent="0.2">
      <c r="A1174" s="53" t="s">
        <v>56</v>
      </c>
      <c r="B1174" s="53" t="s">
        <v>33</v>
      </c>
      <c r="C1174" s="53" t="s">
        <v>34</v>
      </c>
      <c r="D1174" s="53" t="s">
        <v>45</v>
      </c>
      <c r="E1174" s="53" t="s">
        <v>53</v>
      </c>
      <c r="F1174" s="53" t="s">
        <v>25</v>
      </c>
      <c r="G1174" s="53" t="s">
        <v>25</v>
      </c>
      <c r="H1174" s="53" t="s">
        <v>25</v>
      </c>
      <c r="I1174" s="75">
        <v>44652</v>
      </c>
      <c r="J1174" s="76">
        <f ca="1">EFEITO!$J$1174*EFEITO!$Y$1091</f>
        <v>648410.47861846001</v>
      </c>
      <c r="K1174" s="76">
        <f>EFEITO!$L$1174*EFEITO!$Z$1091</f>
        <v>0</v>
      </c>
      <c r="L1174" s="76">
        <f>EFEITO!$N$1174*EFEITO!$AA$1091</f>
        <v>0</v>
      </c>
      <c r="M1174" s="76">
        <f ca="1">$J$1174-EFEITO!$K$1174*EFEITO!$Y$1174</f>
        <v>12968.209572369116</v>
      </c>
      <c r="N1174" s="76">
        <f>$K$1174-EFEITO!$M$1174*EFEITO!$Z$1174</f>
        <v>0</v>
      </c>
      <c r="O1174" s="76">
        <f>$L$1174-EFEITO!$O$1174*EFEITO!$AA$1174</f>
        <v>0</v>
      </c>
      <c r="P1174" s="57"/>
      <c r="Q1174" s="57"/>
      <c r="R1174" s="57"/>
      <c r="S1174" s="57"/>
      <c r="T1174" s="57"/>
      <c r="U1174" s="57"/>
      <c r="V1174" s="57"/>
      <c r="W1174" s="57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</row>
    <row r="1175" spans="1:36" ht="11.25" customHeight="1" x14ac:dyDescent="0.2">
      <c r="A1175" s="53" t="s">
        <v>56</v>
      </c>
      <c r="B1175" s="53" t="s">
        <v>33</v>
      </c>
      <c r="C1175" s="53" t="s">
        <v>34</v>
      </c>
      <c r="D1175" s="53" t="s">
        <v>45</v>
      </c>
      <c r="E1175" s="53" t="s">
        <v>53</v>
      </c>
      <c r="F1175" s="53" t="s">
        <v>25</v>
      </c>
      <c r="G1175" s="53" t="s">
        <v>25</v>
      </c>
      <c r="H1175" s="53" t="s">
        <v>25</v>
      </c>
      <c r="I1175" s="75">
        <v>44652</v>
      </c>
      <c r="J1175" s="76">
        <f ca="1">EFEITO!$J$1175*EFEITO!$Y$1091</f>
        <v>54815.404180878795</v>
      </c>
      <c r="K1175" s="76">
        <f>EFEITO!$L$1175*EFEITO!$Z$1091</f>
        <v>0</v>
      </c>
      <c r="L1175" s="76">
        <f>EFEITO!$N$1175*EFEITO!$AA$1091</f>
        <v>0</v>
      </c>
      <c r="M1175" s="76">
        <f ca="1">$J$1175-EFEITO!$K$1175*EFEITO!$Y$1175</f>
        <v>1096.3080836175795</v>
      </c>
      <c r="N1175" s="76">
        <f>$K$1175-EFEITO!$M$1175*EFEITO!$Z$1175</f>
        <v>0</v>
      </c>
      <c r="O1175" s="76">
        <f>$L$1175-EFEITO!$O$1175*EFEITO!$AA$1175</f>
        <v>0</v>
      </c>
      <c r="P1175" s="57"/>
      <c r="Q1175" s="57"/>
      <c r="R1175" s="57"/>
      <c r="S1175" s="57"/>
      <c r="T1175" s="57"/>
      <c r="U1175" s="57"/>
      <c r="V1175" s="57"/>
      <c r="W1175" s="57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</row>
    <row r="1176" spans="1:36" ht="11.25" customHeight="1" x14ac:dyDescent="0.2">
      <c r="A1176" s="53" t="s">
        <v>21</v>
      </c>
      <c r="B1176" s="53" t="s">
        <v>33</v>
      </c>
      <c r="C1176" s="53" t="s">
        <v>34</v>
      </c>
      <c r="D1176" s="53" t="s">
        <v>45</v>
      </c>
      <c r="E1176" s="53" t="s">
        <v>53</v>
      </c>
      <c r="F1176" s="53" t="s">
        <v>25</v>
      </c>
      <c r="G1176" s="53" t="s">
        <v>25</v>
      </c>
      <c r="H1176" s="53" t="s">
        <v>35</v>
      </c>
      <c r="I1176" s="75">
        <v>44317</v>
      </c>
      <c r="J1176" s="76">
        <f>EFEITO!$J$1176*EFEITO!$Y$1107</f>
        <v>0</v>
      </c>
      <c r="K1176" s="76">
        <f ca="1">EFEITO!$L$1176*EFEITO!$Z$1107</f>
        <v>16974.810416714216</v>
      </c>
      <c r="L1176" s="76">
        <f>EFEITO!$N$1176*EFEITO!$AA$1107</f>
        <v>3999.4637138857966</v>
      </c>
      <c r="M1176" s="76">
        <f>$J$1176-EFEITO!$K$1176*EFEITO!$Y$1176</f>
        <v>0</v>
      </c>
      <c r="N1176" s="76">
        <f ca="1">$K$1176-EFEITO!$M$1176*EFEITO!$Z$1176</f>
        <v>339.49620833428708</v>
      </c>
      <c r="O1176" s="76">
        <f>$L$1176-EFEITO!$O$1176*EFEITO!$AA$1176</f>
        <v>79.989274277716049</v>
      </c>
      <c r="P1176" s="57"/>
      <c r="Q1176" s="57"/>
      <c r="R1176" s="57"/>
      <c r="S1176" s="57"/>
      <c r="T1176" s="57"/>
      <c r="U1176" s="57"/>
      <c r="V1176" s="57"/>
      <c r="W1176" s="57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</row>
    <row r="1177" spans="1:36" ht="11.25" customHeight="1" x14ac:dyDescent="0.2">
      <c r="A1177" s="53" t="s">
        <v>21</v>
      </c>
      <c r="B1177" s="53" t="s">
        <v>33</v>
      </c>
      <c r="C1177" s="53" t="s">
        <v>34</v>
      </c>
      <c r="D1177" s="53" t="s">
        <v>45</v>
      </c>
      <c r="E1177" s="53" t="s">
        <v>53</v>
      </c>
      <c r="F1177" s="53" t="s">
        <v>25</v>
      </c>
      <c r="G1177" s="53" t="s">
        <v>25</v>
      </c>
      <c r="H1177" s="53" t="s">
        <v>35</v>
      </c>
      <c r="I1177" s="75">
        <v>44348</v>
      </c>
      <c r="J1177" s="76">
        <f>EFEITO!$J$1177*EFEITO!$Y$1107</f>
        <v>0</v>
      </c>
      <c r="K1177" s="76">
        <f ca="1">EFEITO!$L$1177*EFEITO!$Z$1107</f>
        <v>12194.516693639527</v>
      </c>
      <c r="L1177" s="76">
        <f>EFEITO!$N$1177*EFEITO!$AA$1107</f>
        <v>2873.1706468169505</v>
      </c>
      <c r="M1177" s="76">
        <f>$J$1177-EFEITO!$K$1177*EFEITO!$Y$1177</f>
        <v>0</v>
      </c>
      <c r="N1177" s="76">
        <f ca="1">$K$1177-EFEITO!$M$1177*EFEITO!$Z$1177</f>
        <v>243.89033387279233</v>
      </c>
      <c r="O1177" s="76">
        <f>$L$1177-EFEITO!$O$1177*EFEITO!$AA$1177</f>
        <v>57.463412936338955</v>
      </c>
      <c r="P1177" s="57"/>
      <c r="Q1177" s="57"/>
      <c r="R1177" s="57"/>
      <c r="S1177" s="57"/>
      <c r="T1177" s="57"/>
      <c r="U1177" s="57"/>
      <c r="V1177" s="57"/>
      <c r="W1177" s="57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</row>
    <row r="1178" spans="1:36" ht="11.25" customHeight="1" x14ac:dyDescent="0.2">
      <c r="A1178" s="53" t="s">
        <v>27</v>
      </c>
      <c r="B1178" s="53" t="s">
        <v>33</v>
      </c>
      <c r="C1178" s="53" t="s">
        <v>34</v>
      </c>
      <c r="D1178" s="53" t="s">
        <v>45</v>
      </c>
      <c r="E1178" s="53" t="s">
        <v>53</v>
      </c>
      <c r="F1178" s="53" t="s">
        <v>25</v>
      </c>
      <c r="G1178" s="53" t="s">
        <v>25</v>
      </c>
      <c r="H1178" s="53" t="s">
        <v>35</v>
      </c>
      <c r="I1178" s="75">
        <v>44348</v>
      </c>
      <c r="J1178" s="76">
        <f>EFEITO!$J$1178*EFEITO!$Y$1107</f>
        <v>0</v>
      </c>
      <c r="K1178" s="76">
        <f ca="1">EFEITO!$L$1178*EFEITO!$Z$1107</f>
        <v>-41.380035991990134</v>
      </c>
      <c r="L1178" s="76">
        <f>EFEITO!$N$1178*EFEITO!$AA$1107</f>
        <v>-9.7496200762451846</v>
      </c>
      <c r="M1178" s="76">
        <f>$J$1178-EFEITO!$K$1178*EFEITO!$Y$1178</f>
        <v>0</v>
      </c>
      <c r="N1178" s="76">
        <f ca="1">$K$1178-EFEITO!$M$1178*EFEITO!$Z$1178</f>
        <v>-0.82760071983980765</v>
      </c>
      <c r="O1178" s="76">
        <f>$L$1178-EFEITO!$O$1178*EFEITO!$AA$1178</f>
        <v>-0.19499240152490316</v>
      </c>
      <c r="P1178" s="57"/>
      <c r="Q1178" s="57"/>
      <c r="R1178" s="57"/>
      <c r="S1178" s="57"/>
      <c r="T1178" s="57"/>
      <c r="U1178" s="57"/>
      <c r="V1178" s="57"/>
      <c r="W1178" s="57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</row>
    <row r="1179" spans="1:36" ht="11.25" customHeight="1" x14ac:dyDescent="0.2">
      <c r="A1179" s="53" t="s">
        <v>21</v>
      </c>
      <c r="B1179" s="53" t="s">
        <v>33</v>
      </c>
      <c r="C1179" s="53" t="s">
        <v>34</v>
      </c>
      <c r="D1179" s="53" t="s">
        <v>45</v>
      </c>
      <c r="E1179" s="53" t="s">
        <v>53</v>
      </c>
      <c r="F1179" s="53" t="s">
        <v>25</v>
      </c>
      <c r="G1179" s="53" t="s">
        <v>25</v>
      </c>
      <c r="H1179" s="53" t="s">
        <v>35</v>
      </c>
      <c r="I1179" s="75">
        <v>44378</v>
      </c>
      <c r="J1179" s="76">
        <f>EFEITO!$J$1179*EFEITO!$Y$1107</f>
        <v>0</v>
      </c>
      <c r="K1179" s="76">
        <f ca="1">EFEITO!$L$1179*EFEITO!$Z$1107</f>
        <v>15287.224601040876</v>
      </c>
      <c r="L1179" s="76">
        <f>EFEITO!$N$1179*EFEITO!$AA$1107</f>
        <v>3601.8487733850143</v>
      </c>
      <c r="M1179" s="76">
        <f>$J$1179-EFEITO!$K$1179*EFEITO!$Y$1179</f>
        <v>0</v>
      </c>
      <c r="N1179" s="76">
        <f ca="1">$K$1179-EFEITO!$M$1179*EFEITO!$Z$1179</f>
        <v>305.74449202081814</v>
      </c>
      <c r="O1179" s="76">
        <f>$L$1179-EFEITO!$O$1179*EFEITO!$AA$1179</f>
        <v>72.036975467699904</v>
      </c>
      <c r="P1179" s="57"/>
      <c r="Q1179" s="57"/>
      <c r="R1179" s="57"/>
      <c r="S1179" s="57"/>
      <c r="T1179" s="57"/>
      <c r="U1179" s="57"/>
      <c r="V1179" s="57"/>
      <c r="W1179" s="57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</row>
    <row r="1180" spans="1:36" ht="11.25" customHeight="1" x14ac:dyDescent="0.2">
      <c r="A1180" s="53" t="s">
        <v>27</v>
      </c>
      <c r="B1180" s="53" t="s">
        <v>33</v>
      </c>
      <c r="C1180" s="53" t="s">
        <v>34</v>
      </c>
      <c r="D1180" s="53" t="s">
        <v>45</v>
      </c>
      <c r="E1180" s="53" t="s">
        <v>53</v>
      </c>
      <c r="F1180" s="53" t="s">
        <v>25</v>
      </c>
      <c r="G1180" s="53" t="s">
        <v>25</v>
      </c>
      <c r="H1180" s="53" t="s">
        <v>35</v>
      </c>
      <c r="I1180" s="75">
        <v>44378</v>
      </c>
      <c r="J1180" s="76">
        <f>EFEITO!$J$1180*EFEITO!$Y$1107</f>
        <v>0</v>
      </c>
      <c r="K1180" s="76">
        <f ca="1">EFEITO!$L$1180*EFEITO!$Z$1107</f>
        <v>-98.95225998084598</v>
      </c>
      <c r="L1180" s="76">
        <f>EFEITO!$N$1180*EFEITO!$AA$1107</f>
        <v>-23.314308877977616</v>
      </c>
      <c r="M1180" s="76">
        <f>$J$1180-EFEITO!$K$1180*EFEITO!$Y$1180</f>
        <v>0</v>
      </c>
      <c r="N1180" s="76">
        <f ca="1">$K$1180-EFEITO!$M$1180*EFEITO!$Z$1180</f>
        <v>-1.9790451996169338</v>
      </c>
      <c r="O1180" s="76">
        <f>$L$1180-EFEITO!$O$1180*EFEITO!$AA$1180</f>
        <v>-0.46628617755955304</v>
      </c>
      <c r="P1180" s="57"/>
      <c r="Q1180" s="57"/>
      <c r="R1180" s="57"/>
      <c r="S1180" s="57"/>
      <c r="T1180" s="57"/>
      <c r="U1180" s="57"/>
      <c r="V1180" s="57"/>
      <c r="W1180" s="57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</row>
    <row r="1181" spans="1:36" ht="11.25" customHeight="1" x14ac:dyDescent="0.2">
      <c r="A1181" s="53" t="s">
        <v>21</v>
      </c>
      <c r="B1181" s="53" t="s">
        <v>33</v>
      </c>
      <c r="C1181" s="53" t="s">
        <v>34</v>
      </c>
      <c r="D1181" s="53" t="s">
        <v>45</v>
      </c>
      <c r="E1181" s="53" t="s">
        <v>53</v>
      </c>
      <c r="F1181" s="53" t="s">
        <v>25</v>
      </c>
      <c r="G1181" s="53" t="s">
        <v>25</v>
      </c>
      <c r="H1181" s="53" t="s">
        <v>35</v>
      </c>
      <c r="I1181" s="75">
        <v>44409</v>
      </c>
      <c r="J1181" s="76">
        <f>EFEITO!$J$1181*EFEITO!$Y$1107</f>
        <v>0</v>
      </c>
      <c r="K1181" s="76">
        <f ca="1">EFEITO!$L$1181*EFEITO!$Z$1107</f>
        <v>27069.740066760154</v>
      </c>
      <c r="L1181" s="76">
        <f>EFEITO!$N$1181*EFEITO!$AA$1107</f>
        <v>6377.9471159645673</v>
      </c>
      <c r="M1181" s="76">
        <f>$J$1181-EFEITO!$K$1181*EFEITO!$Y$1181</f>
        <v>0</v>
      </c>
      <c r="N1181" s="76">
        <f ca="1">$K$1181-EFEITO!$M$1181*EFEITO!$Z$1181</f>
        <v>541.39480133520556</v>
      </c>
      <c r="O1181" s="76">
        <f>$L$1181-EFEITO!$O$1181*EFEITO!$AA$1181</f>
        <v>127.55894231929142</v>
      </c>
      <c r="P1181" s="57"/>
      <c r="Q1181" s="57"/>
      <c r="R1181" s="57"/>
      <c r="S1181" s="57"/>
      <c r="T1181" s="57"/>
      <c r="U1181" s="57"/>
      <c r="V1181" s="57"/>
      <c r="W1181" s="57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</row>
    <row r="1182" spans="1:36" ht="11.25" customHeight="1" x14ac:dyDescent="0.2">
      <c r="A1182" s="53" t="s">
        <v>27</v>
      </c>
      <c r="B1182" s="53" t="s">
        <v>33</v>
      </c>
      <c r="C1182" s="53" t="s">
        <v>34</v>
      </c>
      <c r="D1182" s="53" t="s">
        <v>45</v>
      </c>
      <c r="E1182" s="53" t="s">
        <v>53</v>
      </c>
      <c r="F1182" s="53" t="s">
        <v>25</v>
      </c>
      <c r="G1182" s="53" t="s">
        <v>25</v>
      </c>
      <c r="H1182" s="53" t="s">
        <v>35</v>
      </c>
      <c r="I1182" s="75">
        <v>44409</v>
      </c>
      <c r="J1182" s="76">
        <f>EFEITO!$J$1182*EFEITO!$Y$1107</f>
        <v>0</v>
      </c>
      <c r="K1182" s="76">
        <f ca="1">EFEITO!$L$1182*EFEITO!$Z$1107</f>
        <v>-1678.5901556750782</v>
      </c>
      <c r="L1182" s="76">
        <f>EFEITO!$N$1182*EFEITO!$AA$1107</f>
        <v>-395.49545787551119</v>
      </c>
      <c r="M1182" s="76">
        <f>$J$1182-EFEITO!$K$1182*EFEITO!$Y$1182</f>
        <v>0</v>
      </c>
      <c r="N1182" s="76">
        <f ca="1">$K$1182-EFEITO!$M$1182*EFEITO!$Z$1182</f>
        <v>-33.571803113501801</v>
      </c>
      <c r="O1182" s="76">
        <f>$L$1182-EFEITO!$O$1182*EFEITO!$AA$1182</f>
        <v>-7.9099091575101852</v>
      </c>
      <c r="P1182" s="57"/>
      <c r="Q1182" s="57"/>
      <c r="R1182" s="57"/>
      <c r="S1182" s="57"/>
      <c r="T1182" s="57"/>
      <c r="U1182" s="57"/>
      <c r="V1182" s="57"/>
      <c r="W1182" s="57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</row>
    <row r="1183" spans="1:36" ht="11.25" customHeight="1" x14ac:dyDescent="0.2">
      <c r="A1183" s="53" t="s">
        <v>21</v>
      </c>
      <c r="B1183" s="53" t="s">
        <v>33</v>
      </c>
      <c r="C1183" s="53" t="s">
        <v>34</v>
      </c>
      <c r="D1183" s="53" t="s">
        <v>45</v>
      </c>
      <c r="E1183" s="53" t="s">
        <v>53</v>
      </c>
      <c r="F1183" s="53" t="s">
        <v>25</v>
      </c>
      <c r="G1183" s="53" t="s">
        <v>25</v>
      </c>
      <c r="H1183" s="53" t="s">
        <v>35</v>
      </c>
      <c r="I1183" s="75">
        <v>44440</v>
      </c>
      <c r="J1183" s="76">
        <f>EFEITO!$J$1183*EFEITO!$Y$1107</f>
        <v>0</v>
      </c>
      <c r="K1183" s="76">
        <f ca="1">EFEITO!$L$1183*EFEITO!$Z$1107</f>
        <v>34435.386473334402</v>
      </c>
      <c r="L1183" s="76">
        <f>EFEITO!$N$1183*EFEITO!$AA$1107</f>
        <v>8113.3794895362107</v>
      </c>
      <c r="M1183" s="76">
        <f>$J$1183-EFEITO!$K$1183*EFEITO!$Y$1183</f>
        <v>0</v>
      </c>
      <c r="N1183" s="76">
        <f ca="1">$K$1183-EFEITO!$M$1183*EFEITO!$Z$1183</f>
        <v>688.70772946668876</v>
      </c>
      <c r="O1183" s="76">
        <f>$L$1183-EFEITO!$O$1183*EFEITO!$AA$1183</f>
        <v>162.26758979072474</v>
      </c>
      <c r="P1183" s="57"/>
      <c r="Q1183" s="57"/>
      <c r="R1183" s="57"/>
      <c r="S1183" s="57"/>
      <c r="T1183" s="57"/>
      <c r="U1183" s="57"/>
      <c r="V1183" s="57"/>
      <c r="W1183" s="57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</row>
    <row r="1184" spans="1:36" ht="11.25" customHeight="1" x14ac:dyDescent="0.2">
      <c r="A1184" s="53" t="s">
        <v>21</v>
      </c>
      <c r="B1184" s="53" t="s">
        <v>33</v>
      </c>
      <c r="C1184" s="53" t="s">
        <v>34</v>
      </c>
      <c r="D1184" s="53" t="s">
        <v>45</v>
      </c>
      <c r="E1184" s="53" t="s">
        <v>53</v>
      </c>
      <c r="F1184" s="53" t="s">
        <v>25</v>
      </c>
      <c r="G1184" s="53" t="s">
        <v>25</v>
      </c>
      <c r="H1184" s="53" t="s">
        <v>35</v>
      </c>
      <c r="I1184" s="75">
        <v>44470</v>
      </c>
      <c r="J1184" s="76">
        <f>EFEITO!$J$1184*EFEITO!$Y$1107</f>
        <v>0</v>
      </c>
      <c r="K1184" s="76">
        <f ca="1">EFEITO!$L$1184*EFEITO!$Z$1107</f>
        <v>52597.624009818763</v>
      </c>
      <c r="L1184" s="76">
        <f>EFEITO!$N$1184*EFEITO!$AA$1107</f>
        <v>12392.614909957738</v>
      </c>
      <c r="M1184" s="76">
        <f>$J$1184-EFEITO!$K$1184*EFEITO!$Y$1184</f>
        <v>0</v>
      </c>
      <c r="N1184" s="76">
        <f ca="1">$K$1184-EFEITO!$M$1184*EFEITO!$Z$1184</f>
        <v>1051.952480196378</v>
      </c>
      <c r="O1184" s="76">
        <f>$L$1184-EFEITO!$O$1184*EFEITO!$AA$1184</f>
        <v>247.85229819915548</v>
      </c>
      <c r="P1184" s="57"/>
      <c r="Q1184" s="57"/>
      <c r="R1184" s="57"/>
      <c r="S1184" s="57"/>
      <c r="T1184" s="57"/>
      <c r="U1184" s="57"/>
      <c r="V1184" s="57"/>
      <c r="W1184" s="57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</row>
    <row r="1185" spans="1:36" ht="11.25" customHeight="1" x14ac:dyDescent="0.2">
      <c r="A1185" s="53" t="s">
        <v>21</v>
      </c>
      <c r="B1185" s="53" t="s">
        <v>33</v>
      </c>
      <c r="C1185" s="53" t="s">
        <v>34</v>
      </c>
      <c r="D1185" s="53" t="s">
        <v>45</v>
      </c>
      <c r="E1185" s="53" t="s">
        <v>53</v>
      </c>
      <c r="F1185" s="53" t="s">
        <v>25</v>
      </c>
      <c r="G1185" s="53" t="s">
        <v>25</v>
      </c>
      <c r="H1185" s="53" t="s">
        <v>35</v>
      </c>
      <c r="I1185" s="75">
        <v>44501</v>
      </c>
      <c r="J1185" s="76">
        <f>EFEITO!$J$1185*EFEITO!$Y$1107</f>
        <v>0</v>
      </c>
      <c r="K1185" s="76">
        <f ca="1">EFEITO!$L$1185*EFEITO!$Z$1107</f>
        <v>78812.776376744339</v>
      </c>
      <c r="L1185" s="76">
        <f>EFEITO!$N$1185*EFEITO!$AA$1107</f>
        <v>18569.211176521589</v>
      </c>
      <c r="M1185" s="76">
        <f>$J$1185-EFEITO!$K$1185*EFEITO!$Y$1185</f>
        <v>0</v>
      </c>
      <c r="N1185" s="76">
        <f ca="1">$K$1185-EFEITO!$M$1185*EFEITO!$Z$1185</f>
        <v>1576.2555275349005</v>
      </c>
      <c r="O1185" s="76">
        <f>$L$1185-EFEITO!$O$1185*EFEITO!$AA$1185</f>
        <v>371.38422353043279</v>
      </c>
      <c r="P1185" s="57"/>
      <c r="Q1185" s="57"/>
      <c r="R1185" s="57"/>
      <c r="S1185" s="57"/>
      <c r="T1185" s="57"/>
      <c r="U1185" s="57"/>
      <c r="V1185" s="57"/>
      <c r="W1185" s="57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</row>
    <row r="1186" spans="1:36" ht="11.25" customHeight="1" x14ac:dyDescent="0.2">
      <c r="A1186" s="53" t="s">
        <v>21</v>
      </c>
      <c r="B1186" s="53" t="s">
        <v>33</v>
      </c>
      <c r="C1186" s="53" t="s">
        <v>34</v>
      </c>
      <c r="D1186" s="53" t="s">
        <v>45</v>
      </c>
      <c r="E1186" s="53" t="s">
        <v>53</v>
      </c>
      <c r="F1186" s="53" t="s">
        <v>25</v>
      </c>
      <c r="G1186" s="53" t="s">
        <v>25</v>
      </c>
      <c r="H1186" s="53" t="s">
        <v>35</v>
      </c>
      <c r="I1186" s="75">
        <v>44531</v>
      </c>
      <c r="J1186" s="76">
        <f>EFEITO!$J$1186*EFEITO!$Y$1107</f>
        <v>0</v>
      </c>
      <c r="K1186" s="76">
        <f ca="1">EFEITO!$L$1186*EFEITO!$Z$1107</f>
        <v>61913.529504015496</v>
      </c>
      <c r="L1186" s="76">
        <f>EFEITO!$N$1186*EFEITO!$AA$1107</f>
        <v>14587.551116688066</v>
      </c>
      <c r="M1186" s="76">
        <f>$J$1186-EFEITO!$K$1186*EFEITO!$Y$1186</f>
        <v>0</v>
      </c>
      <c r="N1186" s="76">
        <f ca="1">$K$1186-EFEITO!$M$1186*EFEITO!$Z$1186</f>
        <v>1238.2705900803194</v>
      </c>
      <c r="O1186" s="76">
        <f>$L$1186-EFEITO!$O$1186*EFEITO!$AA$1186</f>
        <v>291.75102233376128</v>
      </c>
      <c r="P1186" s="57"/>
      <c r="Q1186" s="57"/>
      <c r="R1186" s="57"/>
      <c r="S1186" s="57"/>
      <c r="T1186" s="57"/>
      <c r="U1186" s="57"/>
      <c r="V1186" s="57"/>
      <c r="W1186" s="57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</row>
    <row r="1187" spans="1:36" ht="11.25" customHeight="1" x14ac:dyDescent="0.2">
      <c r="A1187" s="53" t="s">
        <v>21</v>
      </c>
      <c r="B1187" s="53" t="s">
        <v>33</v>
      </c>
      <c r="C1187" s="53" t="s">
        <v>34</v>
      </c>
      <c r="D1187" s="53" t="s">
        <v>45</v>
      </c>
      <c r="E1187" s="53" t="s">
        <v>53</v>
      </c>
      <c r="F1187" s="53" t="s">
        <v>25</v>
      </c>
      <c r="G1187" s="53" t="s">
        <v>25</v>
      </c>
      <c r="H1187" s="53" t="s">
        <v>35</v>
      </c>
      <c r="I1187" s="75">
        <v>44562</v>
      </c>
      <c r="J1187" s="76">
        <f>EFEITO!$J$1187*EFEITO!$Y$1107</f>
        <v>0</v>
      </c>
      <c r="K1187" s="76">
        <f ca="1">EFEITO!$L$1187*EFEITO!$Z$1107</f>
        <v>84023.062647735787</v>
      </c>
      <c r="L1187" s="76">
        <f>EFEITO!$N$1187*EFEITO!$AA$1107</f>
        <v>19796.815513078374</v>
      </c>
      <c r="M1187" s="76">
        <f>$J$1187-EFEITO!$K$1187*EFEITO!$Y$1187</f>
        <v>0</v>
      </c>
      <c r="N1187" s="76">
        <f ca="1">$K$1187-EFEITO!$M$1187*EFEITO!$Z$1187</f>
        <v>1680.4612529547157</v>
      </c>
      <c r="O1187" s="76">
        <f>$L$1187-EFEITO!$O$1187*EFEITO!$AA$1187</f>
        <v>395.936310261568</v>
      </c>
      <c r="P1187" s="57"/>
      <c r="Q1187" s="57"/>
      <c r="R1187" s="57"/>
      <c r="S1187" s="57"/>
      <c r="T1187" s="57"/>
      <c r="U1187" s="57"/>
      <c r="V1187" s="57"/>
      <c r="W1187" s="57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</row>
    <row r="1188" spans="1:36" ht="11.25" customHeight="1" x14ac:dyDescent="0.2">
      <c r="A1188" s="53" t="s">
        <v>21</v>
      </c>
      <c r="B1188" s="53" t="s">
        <v>33</v>
      </c>
      <c r="C1188" s="53" t="s">
        <v>34</v>
      </c>
      <c r="D1188" s="53" t="s">
        <v>45</v>
      </c>
      <c r="E1188" s="53" t="s">
        <v>53</v>
      </c>
      <c r="F1188" s="53" t="s">
        <v>25</v>
      </c>
      <c r="G1188" s="53" t="s">
        <v>25</v>
      </c>
      <c r="H1188" s="53" t="s">
        <v>35</v>
      </c>
      <c r="I1188" s="75">
        <v>44593</v>
      </c>
      <c r="J1188" s="76">
        <f>EFEITO!$J$1188*EFEITO!$Y$1107</f>
        <v>0</v>
      </c>
      <c r="K1188" s="76">
        <f ca="1">EFEITO!$L$1188*EFEITO!$Z$1107</f>
        <v>69959.247806458094</v>
      </c>
      <c r="L1188" s="76">
        <f>EFEITO!$N$1188*EFEITO!$AA$1107</f>
        <v>16483.216376730172</v>
      </c>
      <c r="M1188" s="76">
        <f>$J$1188-EFEITO!$K$1188*EFEITO!$Y$1188</f>
        <v>0</v>
      </c>
      <c r="N1188" s="76">
        <f ca="1">$K$1188-EFEITO!$M$1188*EFEITO!$Z$1188</f>
        <v>1399.1849561291601</v>
      </c>
      <c r="O1188" s="76">
        <f>$L$1188-EFEITO!$O$1188*EFEITO!$AA$1188</f>
        <v>329.6643275346014</v>
      </c>
      <c r="P1188" s="57"/>
      <c r="Q1188" s="57"/>
      <c r="R1188" s="57"/>
      <c r="S1188" s="57"/>
      <c r="T1188" s="57"/>
      <c r="U1188" s="57"/>
      <c r="V1188" s="57"/>
      <c r="W1188" s="57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</row>
    <row r="1189" spans="1:36" ht="11.25" customHeight="1" x14ac:dyDescent="0.2">
      <c r="A1189" s="53" t="s">
        <v>21</v>
      </c>
      <c r="B1189" s="53" t="s">
        <v>33</v>
      </c>
      <c r="C1189" s="53" t="s">
        <v>34</v>
      </c>
      <c r="D1189" s="53" t="s">
        <v>45</v>
      </c>
      <c r="E1189" s="53" t="s">
        <v>53</v>
      </c>
      <c r="F1189" s="53" t="s">
        <v>25</v>
      </c>
      <c r="G1189" s="53" t="s">
        <v>25</v>
      </c>
      <c r="H1189" s="53" t="s">
        <v>35</v>
      </c>
      <c r="I1189" s="75">
        <v>44621</v>
      </c>
      <c r="J1189" s="76">
        <f>EFEITO!$J$1189*EFEITO!$Y$1107</f>
        <v>0</v>
      </c>
      <c r="K1189" s="76">
        <f ca="1">EFEITO!$L$1189*EFEITO!$Z$1107</f>
        <v>41532.962211960534</v>
      </c>
      <c r="L1189" s="76">
        <f>EFEITO!$N$1189*EFEITO!$AA$1107</f>
        <v>9785.6512808747866</v>
      </c>
      <c r="M1189" s="76">
        <f>$J$1189-EFEITO!$K$1189*EFEITO!$Y$1189</f>
        <v>0</v>
      </c>
      <c r="N1189" s="76">
        <f ca="1">$K$1189-EFEITO!$M$1189*EFEITO!$Z$1189</f>
        <v>830.65924423921388</v>
      </c>
      <c r="O1189" s="76">
        <f>$L$1189-EFEITO!$O$1189*EFEITO!$AA$1189</f>
        <v>195.71302561749508</v>
      </c>
      <c r="P1189" s="57"/>
      <c r="Q1189" s="57"/>
      <c r="R1189" s="57"/>
      <c r="S1189" s="57"/>
      <c r="T1189" s="57"/>
      <c r="U1189" s="57"/>
      <c r="V1189" s="57"/>
      <c r="W1189" s="57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</row>
    <row r="1190" spans="1:36" ht="11.25" customHeight="1" x14ac:dyDescent="0.2">
      <c r="A1190" s="53" t="s">
        <v>27</v>
      </c>
      <c r="B1190" s="53" t="s">
        <v>33</v>
      </c>
      <c r="C1190" s="53" t="s">
        <v>34</v>
      </c>
      <c r="D1190" s="53" t="s">
        <v>45</v>
      </c>
      <c r="E1190" s="53" t="s">
        <v>53</v>
      </c>
      <c r="F1190" s="53" t="s">
        <v>25</v>
      </c>
      <c r="G1190" s="53" t="s">
        <v>25</v>
      </c>
      <c r="H1190" s="53" t="s">
        <v>35</v>
      </c>
      <c r="I1190" s="75">
        <v>44621</v>
      </c>
      <c r="J1190" s="76">
        <f>EFEITO!$J$1190*EFEITO!$Y$1107</f>
        <v>0</v>
      </c>
      <c r="K1190" s="76">
        <f ca="1">EFEITO!$L$1190*EFEITO!$Z$1107</f>
        <v>-20598.262264012828</v>
      </c>
      <c r="L1190" s="76">
        <f>EFEITO!$N$1190*EFEITO!$AA$1107</f>
        <v>-4853.1913153448313</v>
      </c>
      <c r="M1190" s="76">
        <f>$J$1190-EFEITO!$K$1190*EFEITO!$Y$1190</f>
        <v>0</v>
      </c>
      <c r="N1190" s="76">
        <f ca="1">$K$1190-EFEITO!$M$1190*EFEITO!$Z$1190</f>
        <v>-411.96524528025839</v>
      </c>
      <c r="O1190" s="76">
        <f>$L$1190-EFEITO!$O$1190*EFEITO!$AA$1190</f>
        <v>-97.063826306896772</v>
      </c>
      <c r="P1190" s="57"/>
      <c r="Q1190" s="57"/>
      <c r="R1190" s="57"/>
      <c r="S1190" s="57"/>
      <c r="T1190" s="57"/>
      <c r="U1190" s="57"/>
      <c r="V1190" s="57"/>
      <c r="W1190" s="57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</row>
    <row r="1191" spans="1:36" ht="11.25" customHeight="1" x14ac:dyDescent="0.2">
      <c r="A1191" s="53" t="s">
        <v>56</v>
      </c>
      <c r="B1191" s="53" t="s">
        <v>33</v>
      </c>
      <c r="C1191" s="53" t="s">
        <v>34</v>
      </c>
      <c r="D1191" s="53" t="s">
        <v>45</v>
      </c>
      <c r="E1191" s="53" t="s">
        <v>53</v>
      </c>
      <c r="F1191" s="53" t="s">
        <v>25</v>
      </c>
      <c r="G1191" s="53" t="s">
        <v>25</v>
      </c>
      <c r="H1191" s="53" t="s">
        <v>35</v>
      </c>
      <c r="I1191" s="75">
        <v>44652</v>
      </c>
      <c r="J1191" s="76">
        <f>EFEITO!$J$1191*EFEITO!$Y$1107</f>
        <v>0</v>
      </c>
      <c r="K1191" s="76">
        <f ca="1">EFEITO!$L$1191*EFEITO!$Z$1107</f>
        <v>41532.962211960534</v>
      </c>
      <c r="L1191" s="76">
        <f>EFEITO!$N$1191*EFEITO!$AA$1107</f>
        <v>9785.6512808747866</v>
      </c>
      <c r="M1191" s="76">
        <f>$J$1191-EFEITO!$K$1191*EFEITO!$Y$1191</f>
        <v>0</v>
      </c>
      <c r="N1191" s="76">
        <f ca="1">$K$1191-EFEITO!$M$1191*EFEITO!$Z$1191</f>
        <v>830.65924423921388</v>
      </c>
      <c r="O1191" s="76">
        <f>$L$1191-EFEITO!$O$1191*EFEITO!$AA$1191</f>
        <v>195.71302561749508</v>
      </c>
      <c r="P1191" s="57"/>
      <c r="Q1191" s="57"/>
      <c r="R1191" s="57"/>
      <c r="S1191" s="57"/>
      <c r="T1191" s="57"/>
      <c r="U1191" s="57"/>
      <c r="V1191" s="57"/>
      <c r="W1191" s="57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</row>
    <row r="1192" spans="1:36" ht="11.25" customHeight="1" x14ac:dyDescent="0.2">
      <c r="A1192" s="53" t="s">
        <v>56</v>
      </c>
      <c r="B1192" s="53" t="s">
        <v>33</v>
      </c>
      <c r="C1192" s="53" t="s">
        <v>34</v>
      </c>
      <c r="D1192" s="53" t="s">
        <v>45</v>
      </c>
      <c r="E1192" s="53" t="s">
        <v>53</v>
      </c>
      <c r="F1192" s="53" t="s">
        <v>25</v>
      </c>
      <c r="G1192" s="53" t="s">
        <v>25</v>
      </c>
      <c r="H1192" s="53" t="s">
        <v>35</v>
      </c>
      <c r="I1192" s="75">
        <v>44652</v>
      </c>
      <c r="J1192" s="76">
        <f>EFEITO!$J$1192*EFEITO!$Y$1107</f>
        <v>0</v>
      </c>
      <c r="K1192" s="76">
        <f ca="1">EFEITO!$L$1192*EFEITO!$Z$1107</f>
        <v>-20598.262264012828</v>
      </c>
      <c r="L1192" s="76">
        <f>EFEITO!$N$1192*EFEITO!$AA$1107</f>
        <v>-4853.1913153448313</v>
      </c>
      <c r="M1192" s="76">
        <f>$J$1192-EFEITO!$K$1192*EFEITO!$Y$1192</f>
        <v>0</v>
      </c>
      <c r="N1192" s="76">
        <f ca="1">$K$1192-EFEITO!$M$1192*EFEITO!$Z$1192</f>
        <v>-411.96524528025839</v>
      </c>
      <c r="O1192" s="76">
        <f>$L$1192-EFEITO!$O$1192*EFEITO!$AA$1192</f>
        <v>-97.063826306896772</v>
      </c>
      <c r="P1192" s="57"/>
      <c r="Q1192" s="57"/>
      <c r="R1192" s="57"/>
      <c r="S1192" s="57"/>
      <c r="T1192" s="57"/>
      <c r="U1192" s="57"/>
      <c r="V1192" s="57"/>
      <c r="W1192" s="57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</row>
    <row r="1193" spans="1:36" ht="11.25" customHeight="1" x14ac:dyDescent="0.2">
      <c r="A1193" s="53" t="s">
        <v>21</v>
      </c>
      <c r="B1193" s="53" t="s">
        <v>33</v>
      </c>
      <c r="C1193" s="53" t="s">
        <v>34</v>
      </c>
      <c r="D1193" s="53" t="s">
        <v>45</v>
      </c>
      <c r="E1193" s="53" t="s">
        <v>25</v>
      </c>
      <c r="F1193" s="53" t="s">
        <v>25</v>
      </c>
      <c r="G1193" s="53" t="s">
        <v>25</v>
      </c>
      <c r="H1193" s="53" t="s">
        <v>36</v>
      </c>
      <c r="I1193" s="75">
        <v>44317</v>
      </c>
      <c r="J1193" s="76">
        <f>EFEITO!$J$1193*EFEITO!$Y$1075</f>
        <v>0</v>
      </c>
      <c r="K1193" s="76">
        <f ca="1">EFEITO!$L$1193*EFEITO!$Z$1075</f>
        <v>119958.72541257483</v>
      </c>
      <c r="L1193" s="76">
        <f>EFEITO!$N$1193*EFEITO!$AA$1075</f>
        <v>276598.22473604453</v>
      </c>
      <c r="M1193" s="76">
        <f>$J$1193-EFEITO!$K$1193*EFEITO!$Y$1193</f>
        <v>0</v>
      </c>
      <c r="N1193" s="76">
        <f ca="1">$K$1193-EFEITO!$M$1193*EFEITO!$Z$1193</f>
        <v>2399.1745082515117</v>
      </c>
      <c r="O1193" s="76">
        <f>$L$1193-EFEITO!$O$1193*EFEITO!$AA$1193</f>
        <v>5531.9644947208581</v>
      </c>
      <c r="P1193" s="57"/>
      <c r="Q1193" s="57"/>
      <c r="R1193" s="57"/>
      <c r="S1193" s="57"/>
      <c r="T1193" s="57"/>
      <c r="U1193" s="57"/>
      <c r="V1193" s="57"/>
      <c r="W1193" s="57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</row>
    <row r="1194" spans="1:36" ht="11.25" customHeight="1" x14ac:dyDescent="0.2">
      <c r="A1194" s="53" t="s">
        <v>28</v>
      </c>
      <c r="B1194" s="53" t="s">
        <v>33</v>
      </c>
      <c r="C1194" s="53" t="s">
        <v>34</v>
      </c>
      <c r="D1194" s="53" t="s">
        <v>45</v>
      </c>
      <c r="E1194" s="53" t="s">
        <v>25</v>
      </c>
      <c r="F1194" s="53" t="s">
        <v>25</v>
      </c>
      <c r="G1194" s="53" t="s">
        <v>25</v>
      </c>
      <c r="H1194" s="53" t="s">
        <v>36</v>
      </c>
      <c r="I1194" s="75">
        <v>44317</v>
      </c>
      <c r="J1194" s="76">
        <f>EFEITO!$J$1194*EFEITO!$Y$1075</f>
        <v>0</v>
      </c>
      <c r="K1194" s="76">
        <f ca="1">EFEITO!$L$1194*EFEITO!$Z$1075</f>
        <v>494.35317481278395</v>
      </c>
      <c r="L1194" s="76">
        <f>EFEITO!$N$1194*EFEITO!$AA$1075</f>
        <v>1139.8688180085471</v>
      </c>
      <c r="M1194" s="76">
        <f>$J$1194-EFEITO!$K$1194*EFEITO!$Y$1194</f>
        <v>0</v>
      </c>
      <c r="N1194" s="76">
        <f ca="1">$K$1194-EFEITO!$M$1194*EFEITO!$Z$1194</f>
        <v>9.8870634962557347</v>
      </c>
      <c r="O1194" s="76">
        <f>$L$1194-EFEITO!$O$1194*EFEITO!$AA$1194</f>
        <v>22.797376360171029</v>
      </c>
      <c r="P1194" s="57"/>
      <c r="Q1194" s="57"/>
      <c r="R1194" s="57"/>
      <c r="S1194" s="57"/>
      <c r="T1194" s="57"/>
      <c r="U1194" s="57"/>
      <c r="V1194" s="57"/>
      <c r="W1194" s="57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</row>
    <row r="1195" spans="1:36" ht="11.25" customHeight="1" x14ac:dyDescent="0.2">
      <c r="A1195" s="53" t="s">
        <v>21</v>
      </c>
      <c r="B1195" s="53" t="s">
        <v>33</v>
      </c>
      <c r="C1195" s="53" t="s">
        <v>34</v>
      </c>
      <c r="D1195" s="53" t="s">
        <v>45</v>
      </c>
      <c r="E1195" s="53" t="s">
        <v>25</v>
      </c>
      <c r="F1195" s="53" t="s">
        <v>25</v>
      </c>
      <c r="G1195" s="53" t="s">
        <v>25</v>
      </c>
      <c r="H1195" s="53" t="s">
        <v>36</v>
      </c>
      <c r="I1195" s="75">
        <v>44348</v>
      </c>
      <c r="J1195" s="76">
        <f>EFEITO!$J$1195*EFEITO!$Y$1075</f>
        <v>0</v>
      </c>
      <c r="K1195" s="76">
        <f ca="1">EFEITO!$L$1195*EFEITO!$Z$1075</f>
        <v>117223.67296419934</v>
      </c>
      <c r="L1195" s="76">
        <f>EFEITO!$N$1195*EFEITO!$AA$1075</f>
        <v>270291.80017894157</v>
      </c>
      <c r="M1195" s="76">
        <f>$J$1195-EFEITO!$K$1195*EFEITO!$Y$1195</f>
        <v>0</v>
      </c>
      <c r="N1195" s="76">
        <f ca="1">$K$1195-EFEITO!$M$1195*EFEITO!$Z$1195</f>
        <v>2344.4734592839959</v>
      </c>
      <c r="O1195" s="76">
        <f>$L$1195-EFEITO!$O$1195*EFEITO!$AA$1195</f>
        <v>5405.8360035787919</v>
      </c>
      <c r="P1195" s="57"/>
      <c r="Q1195" s="57"/>
      <c r="R1195" s="57"/>
      <c r="S1195" s="57"/>
      <c r="T1195" s="57"/>
      <c r="U1195" s="57"/>
      <c r="V1195" s="57"/>
      <c r="W1195" s="57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</row>
    <row r="1196" spans="1:36" ht="11.25" customHeight="1" x14ac:dyDescent="0.2">
      <c r="A1196" s="53" t="s">
        <v>28</v>
      </c>
      <c r="B1196" s="53" t="s">
        <v>33</v>
      </c>
      <c r="C1196" s="53" t="s">
        <v>34</v>
      </c>
      <c r="D1196" s="53" t="s">
        <v>45</v>
      </c>
      <c r="E1196" s="53" t="s">
        <v>25</v>
      </c>
      <c r="F1196" s="53" t="s">
        <v>25</v>
      </c>
      <c r="G1196" s="53" t="s">
        <v>25</v>
      </c>
      <c r="H1196" s="53" t="s">
        <v>36</v>
      </c>
      <c r="I1196" s="75">
        <v>44348</v>
      </c>
      <c r="J1196" s="76">
        <f>EFEITO!$J$1196*EFEITO!$Y$1075</f>
        <v>0</v>
      </c>
      <c r="K1196" s="76">
        <f ca="1">EFEITO!$L$1196*EFEITO!$Z$1075</f>
        <v>-662.74369487270474</v>
      </c>
      <c r="L1196" s="76">
        <f>EFEITO!$N$1196*EFEITO!$AA$1075</f>
        <v>-1528.1400233815823</v>
      </c>
      <c r="M1196" s="76">
        <f>$J$1196-EFEITO!$K$1196*EFEITO!$Y$1196</f>
        <v>0</v>
      </c>
      <c r="N1196" s="76">
        <f ca="1">$K$1196-EFEITO!$M$1196*EFEITO!$Z$1196</f>
        <v>-13.254873897454218</v>
      </c>
      <c r="O1196" s="76">
        <f>$L$1196-EFEITO!$O$1196*EFEITO!$AA$1196</f>
        <v>-30.562800467631632</v>
      </c>
      <c r="P1196" s="57"/>
      <c r="Q1196" s="57"/>
      <c r="R1196" s="57"/>
      <c r="S1196" s="57"/>
      <c r="T1196" s="57"/>
      <c r="U1196" s="57"/>
      <c r="V1196" s="57"/>
      <c r="W1196" s="57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</row>
    <row r="1197" spans="1:36" ht="11.25" customHeight="1" x14ac:dyDescent="0.2">
      <c r="A1197" s="53" t="s">
        <v>21</v>
      </c>
      <c r="B1197" s="53" t="s">
        <v>33</v>
      </c>
      <c r="C1197" s="53" t="s">
        <v>34</v>
      </c>
      <c r="D1197" s="53" t="s">
        <v>45</v>
      </c>
      <c r="E1197" s="53" t="s">
        <v>25</v>
      </c>
      <c r="F1197" s="53" t="s">
        <v>25</v>
      </c>
      <c r="G1197" s="53" t="s">
        <v>25</v>
      </c>
      <c r="H1197" s="53" t="s">
        <v>36</v>
      </c>
      <c r="I1197" s="75">
        <v>44378</v>
      </c>
      <c r="J1197" s="76">
        <f>EFEITO!$J$1197*EFEITO!$Y$1075</f>
        <v>0</v>
      </c>
      <c r="K1197" s="76">
        <f ca="1">EFEITO!$L$1197*EFEITO!$Z$1075</f>
        <v>118095.61130654872</v>
      </c>
      <c r="L1197" s="76">
        <f>EFEITO!$N$1197*EFEITO!$AA$1075</f>
        <v>272302.29667883058</v>
      </c>
      <c r="M1197" s="76">
        <f>$J$1197-EFEITO!$K$1197*EFEITO!$Y$1197</f>
        <v>0</v>
      </c>
      <c r="N1197" s="76">
        <f ca="1">$K$1197-EFEITO!$M$1197*EFEITO!$Z$1197</f>
        <v>2361.9122261309822</v>
      </c>
      <c r="O1197" s="76">
        <f>$L$1197-EFEITO!$O$1197*EFEITO!$AA$1197</f>
        <v>5446.0459335765918</v>
      </c>
      <c r="P1197" s="57"/>
      <c r="Q1197" s="57"/>
      <c r="R1197" s="57"/>
      <c r="S1197" s="57"/>
      <c r="T1197" s="57"/>
      <c r="U1197" s="57"/>
      <c r="V1197" s="57"/>
      <c r="W1197" s="57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</row>
    <row r="1198" spans="1:36" ht="11.25" customHeight="1" x14ac:dyDescent="0.2">
      <c r="A1198" s="53" t="s">
        <v>28</v>
      </c>
      <c r="B1198" s="53" t="s">
        <v>33</v>
      </c>
      <c r="C1198" s="53" t="s">
        <v>34</v>
      </c>
      <c r="D1198" s="53" t="s">
        <v>45</v>
      </c>
      <c r="E1198" s="53" t="s">
        <v>25</v>
      </c>
      <c r="F1198" s="53" t="s">
        <v>25</v>
      </c>
      <c r="G1198" s="53" t="s">
        <v>25</v>
      </c>
      <c r="H1198" s="53" t="s">
        <v>36</v>
      </c>
      <c r="I1198" s="75">
        <v>44378</v>
      </c>
      <c r="J1198" s="76">
        <f>EFEITO!$J$1198*EFEITO!$Y$1075</f>
        <v>0</v>
      </c>
      <c r="K1198" s="76">
        <f ca="1">EFEITO!$L$1198*EFEITO!$Z$1075</f>
        <v>63.499218458349993</v>
      </c>
      <c r="L1198" s="76">
        <f>EFEITO!$N$1198*EFEITO!$AA$1075</f>
        <v>146.41511934458029</v>
      </c>
      <c r="M1198" s="76">
        <f>$J$1198-EFEITO!$K$1198*EFEITO!$Y$1198</f>
        <v>0</v>
      </c>
      <c r="N1198" s="76">
        <f ca="1">$K$1198-EFEITO!$M$1198*EFEITO!$Z$1198</f>
        <v>1.2699843691670054</v>
      </c>
      <c r="O1198" s="76">
        <f>$L$1198-EFEITO!$O$1198*EFEITO!$AA$1198</f>
        <v>2.9283023868916018</v>
      </c>
      <c r="P1198" s="57"/>
      <c r="Q1198" s="57"/>
      <c r="R1198" s="57"/>
      <c r="S1198" s="57"/>
      <c r="T1198" s="57"/>
      <c r="U1198" s="57"/>
      <c r="V1198" s="57"/>
      <c r="W1198" s="57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</row>
    <row r="1199" spans="1:36" ht="11.25" customHeight="1" x14ac:dyDescent="0.2">
      <c r="A1199" s="53" t="s">
        <v>21</v>
      </c>
      <c r="B1199" s="53" t="s">
        <v>33</v>
      </c>
      <c r="C1199" s="53" t="s">
        <v>34</v>
      </c>
      <c r="D1199" s="53" t="s">
        <v>45</v>
      </c>
      <c r="E1199" s="53" t="s">
        <v>25</v>
      </c>
      <c r="F1199" s="53" t="s">
        <v>25</v>
      </c>
      <c r="G1199" s="53" t="s">
        <v>25</v>
      </c>
      <c r="H1199" s="53" t="s">
        <v>36</v>
      </c>
      <c r="I1199" s="75">
        <v>44409</v>
      </c>
      <c r="J1199" s="76">
        <f>EFEITO!$J$1199*EFEITO!$Y$1075</f>
        <v>0</v>
      </c>
      <c r="K1199" s="76">
        <f ca="1">EFEITO!$L$1199*EFEITO!$Z$1075</f>
        <v>86541.085787415199</v>
      </c>
      <c r="L1199" s="76">
        <f>EFEITO!$N$1199*EFEITO!$AA$1075</f>
        <v>199544.55678986019</v>
      </c>
      <c r="M1199" s="76">
        <f>$J$1199-EFEITO!$K$1199*EFEITO!$Y$1199</f>
        <v>0</v>
      </c>
      <c r="N1199" s="76">
        <f ca="1">$K$1199-EFEITO!$M$1199*EFEITO!$Z$1199</f>
        <v>1730.8217157483014</v>
      </c>
      <c r="O1199" s="76">
        <f>$L$1199-EFEITO!$O$1199*EFEITO!$AA$1199</f>
        <v>3990.8911357971956</v>
      </c>
      <c r="P1199" s="57"/>
      <c r="Q1199" s="57"/>
      <c r="R1199" s="57"/>
      <c r="S1199" s="57"/>
      <c r="T1199" s="57"/>
      <c r="U1199" s="57"/>
      <c r="V1199" s="57"/>
      <c r="W1199" s="57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</row>
    <row r="1200" spans="1:36" ht="11.25" customHeight="1" x14ac:dyDescent="0.2">
      <c r="A1200" s="53" t="s">
        <v>28</v>
      </c>
      <c r="B1200" s="53" t="s">
        <v>33</v>
      </c>
      <c r="C1200" s="53" t="s">
        <v>34</v>
      </c>
      <c r="D1200" s="53" t="s">
        <v>45</v>
      </c>
      <c r="E1200" s="53" t="s">
        <v>25</v>
      </c>
      <c r="F1200" s="53" t="s">
        <v>25</v>
      </c>
      <c r="G1200" s="53" t="s">
        <v>25</v>
      </c>
      <c r="H1200" s="53" t="s">
        <v>36</v>
      </c>
      <c r="I1200" s="75">
        <v>44409</v>
      </c>
      <c r="J1200" s="76">
        <f>EFEITO!$J$1200*EFEITO!$Y$1075</f>
        <v>0</v>
      </c>
      <c r="K1200" s="76">
        <f ca="1">EFEITO!$L$1200*EFEITO!$Z$1075</f>
        <v>2072.5439357933674</v>
      </c>
      <c r="L1200" s="76">
        <f>EFEITO!$N$1200*EFEITO!$AA$1075</f>
        <v>4778.8268119411614</v>
      </c>
      <c r="M1200" s="76">
        <f>$J$1200-EFEITO!$K$1200*EFEITO!$Y$1200</f>
        <v>0</v>
      </c>
      <c r="N1200" s="76">
        <f ca="1">$K$1200-EFEITO!$M$1200*EFEITO!$Z$1200</f>
        <v>41.450878715867248</v>
      </c>
      <c r="O1200" s="76">
        <f>$L$1200-EFEITO!$O$1200*EFEITO!$AA$1200</f>
        <v>95.576536238822882</v>
      </c>
      <c r="P1200" s="57"/>
      <c r="Q1200" s="57"/>
      <c r="R1200" s="57"/>
      <c r="S1200" s="57"/>
      <c r="T1200" s="57"/>
      <c r="U1200" s="57"/>
      <c r="V1200" s="57"/>
      <c r="W1200" s="57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</row>
    <row r="1201" spans="1:36" ht="11.25" customHeight="1" x14ac:dyDescent="0.2">
      <c r="A1201" s="53" t="s">
        <v>21</v>
      </c>
      <c r="B1201" s="53" t="s">
        <v>33</v>
      </c>
      <c r="C1201" s="53" t="s">
        <v>34</v>
      </c>
      <c r="D1201" s="53" t="s">
        <v>45</v>
      </c>
      <c r="E1201" s="53" t="s">
        <v>25</v>
      </c>
      <c r="F1201" s="53" t="s">
        <v>25</v>
      </c>
      <c r="G1201" s="53" t="s">
        <v>25</v>
      </c>
      <c r="H1201" s="53" t="s">
        <v>36</v>
      </c>
      <c r="I1201" s="75">
        <v>44440</v>
      </c>
      <c r="J1201" s="76">
        <f>EFEITO!$J$1201*EFEITO!$Y$1075</f>
        <v>0</v>
      </c>
      <c r="K1201" s="76">
        <f ca="1">EFEITO!$L$1201*EFEITO!$Z$1075</f>
        <v>81187.866489085718</v>
      </c>
      <c r="L1201" s="76">
        <f>EFEITO!$N$1201*EFEITO!$AA$1075</f>
        <v>187201.21995089226</v>
      </c>
      <c r="M1201" s="76">
        <f>$J$1201-EFEITO!$K$1201*EFEITO!$Y$1201</f>
        <v>0</v>
      </c>
      <c r="N1201" s="76">
        <f ca="1">$K$1201-EFEITO!$M$1201*EFEITO!$Z$1201</f>
        <v>1623.7573297817289</v>
      </c>
      <c r="O1201" s="76">
        <f>$L$1201-EFEITO!$O$1201*EFEITO!$AA$1201</f>
        <v>3744.0243990178278</v>
      </c>
      <c r="P1201" s="57"/>
      <c r="Q1201" s="57"/>
      <c r="R1201" s="57"/>
      <c r="S1201" s="57"/>
      <c r="T1201" s="57"/>
      <c r="U1201" s="57"/>
      <c r="V1201" s="57"/>
      <c r="W1201" s="57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</row>
    <row r="1202" spans="1:36" ht="11.25" customHeight="1" x14ac:dyDescent="0.2">
      <c r="A1202" s="53" t="s">
        <v>28</v>
      </c>
      <c r="B1202" s="53" t="s">
        <v>33</v>
      </c>
      <c r="C1202" s="53" t="s">
        <v>34</v>
      </c>
      <c r="D1202" s="53" t="s">
        <v>45</v>
      </c>
      <c r="E1202" s="53" t="s">
        <v>25</v>
      </c>
      <c r="F1202" s="53" t="s">
        <v>25</v>
      </c>
      <c r="G1202" s="53" t="s">
        <v>25</v>
      </c>
      <c r="H1202" s="53" t="s">
        <v>36</v>
      </c>
      <c r="I1202" s="75">
        <v>44440</v>
      </c>
      <c r="J1202" s="76">
        <f>EFEITO!$J$1202*EFEITO!$Y$1075</f>
        <v>0</v>
      </c>
      <c r="K1202" s="76">
        <f ca="1">EFEITO!$L$1202*EFEITO!$Z$1075</f>
        <v>12433.499747580807</v>
      </c>
      <c r="L1202" s="76">
        <f>EFEITO!$N$1202*EFEITO!$AA$1075</f>
        <v>28668.893784998509</v>
      </c>
      <c r="M1202" s="76">
        <f>$J$1202-EFEITO!$K$1202*EFEITO!$Y$1202</f>
        <v>0</v>
      </c>
      <c r="N1202" s="76">
        <f ca="1">$K$1202-EFEITO!$M$1202*EFEITO!$Z$1202</f>
        <v>248.6699949516169</v>
      </c>
      <c r="O1202" s="76">
        <f>$L$1202-EFEITO!$O$1202*EFEITO!$AA$1202</f>
        <v>573.3778756999709</v>
      </c>
      <c r="P1202" s="57"/>
      <c r="Q1202" s="57"/>
      <c r="R1202" s="57"/>
      <c r="S1202" s="57"/>
      <c r="T1202" s="57"/>
      <c r="U1202" s="57"/>
      <c r="V1202" s="57"/>
      <c r="W1202" s="57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</row>
    <row r="1203" spans="1:36" ht="11.25" customHeight="1" x14ac:dyDescent="0.2">
      <c r="A1203" s="53" t="s">
        <v>21</v>
      </c>
      <c r="B1203" s="53" t="s">
        <v>33</v>
      </c>
      <c r="C1203" s="53" t="s">
        <v>34</v>
      </c>
      <c r="D1203" s="53" t="s">
        <v>45</v>
      </c>
      <c r="E1203" s="53" t="s">
        <v>25</v>
      </c>
      <c r="F1203" s="53" t="s">
        <v>25</v>
      </c>
      <c r="G1203" s="53" t="s">
        <v>25</v>
      </c>
      <c r="H1203" s="53" t="s">
        <v>36</v>
      </c>
      <c r="I1203" s="75">
        <v>44470</v>
      </c>
      <c r="J1203" s="76">
        <f>EFEITO!$J$1203*EFEITO!$Y$1075</f>
        <v>0</v>
      </c>
      <c r="K1203" s="76">
        <f ca="1">EFEITO!$L$1203*EFEITO!$Z$1075</f>
        <v>89159.605410805088</v>
      </c>
      <c r="L1203" s="76">
        <f>EFEITO!$N$1203*EFEITO!$AA$1075</f>
        <v>205582.28248905484</v>
      </c>
      <c r="M1203" s="76">
        <f>$J$1203-EFEITO!$K$1203*EFEITO!$Y$1203</f>
        <v>0</v>
      </c>
      <c r="N1203" s="76">
        <f ca="1">$K$1203-EFEITO!$M$1203*EFEITO!$Z$1203</f>
        <v>1783.1921082160989</v>
      </c>
      <c r="O1203" s="76">
        <f>$L$1203-EFEITO!$O$1203*EFEITO!$AA$1203</f>
        <v>4111.6456497810723</v>
      </c>
      <c r="P1203" s="57"/>
      <c r="Q1203" s="57"/>
      <c r="R1203" s="57"/>
      <c r="S1203" s="57"/>
      <c r="T1203" s="57"/>
      <c r="U1203" s="57"/>
      <c r="V1203" s="57"/>
      <c r="W1203" s="57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</row>
    <row r="1204" spans="1:36" ht="11.25" customHeight="1" x14ac:dyDescent="0.2">
      <c r="A1204" s="53" t="s">
        <v>28</v>
      </c>
      <c r="B1204" s="53" t="s">
        <v>33</v>
      </c>
      <c r="C1204" s="53" t="s">
        <v>34</v>
      </c>
      <c r="D1204" s="53" t="s">
        <v>45</v>
      </c>
      <c r="E1204" s="53" t="s">
        <v>25</v>
      </c>
      <c r="F1204" s="53" t="s">
        <v>25</v>
      </c>
      <c r="G1204" s="53" t="s">
        <v>25</v>
      </c>
      <c r="H1204" s="53" t="s">
        <v>36</v>
      </c>
      <c r="I1204" s="75">
        <v>44470</v>
      </c>
      <c r="J1204" s="76">
        <f>EFEITO!$J$1204*EFEITO!$Y$1075</f>
        <v>0</v>
      </c>
      <c r="K1204" s="76">
        <f ca="1">EFEITO!$L$1204*EFEITO!$Z$1075</f>
        <v>27977.990835039589</v>
      </c>
      <c r="L1204" s="76">
        <f>EFEITO!$N$1204*EFEITO!$AA$1075</f>
        <v>64511.04386144186</v>
      </c>
      <c r="M1204" s="76">
        <f>$J$1204-EFEITO!$K$1204*EFEITO!$Y$1204</f>
        <v>0</v>
      </c>
      <c r="N1204" s="76">
        <f ca="1">$K$1204-EFEITO!$M$1204*EFEITO!$Z$1204</f>
        <v>559.559816700792</v>
      </c>
      <c r="O1204" s="76">
        <f>$L$1204-EFEITO!$O$1204*EFEITO!$AA$1204</f>
        <v>1290.2208772288359</v>
      </c>
      <c r="P1204" s="57"/>
      <c r="Q1204" s="57"/>
      <c r="R1204" s="57"/>
      <c r="S1204" s="57"/>
      <c r="T1204" s="57"/>
      <c r="U1204" s="57"/>
      <c r="V1204" s="57"/>
      <c r="W1204" s="57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</row>
    <row r="1205" spans="1:36" ht="11.25" customHeight="1" x14ac:dyDescent="0.2">
      <c r="A1205" s="53" t="s">
        <v>21</v>
      </c>
      <c r="B1205" s="53" t="s">
        <v>33</v>
      </c>
      <c r="C1205" s="53" t="s">
        <v>34</v>
      </c>
      <c r="D1205" s="53" t="s">
        <v>45</v>
      </c>
      <c r="E1205" s="53" t="s">
        <v>25</v>
      </c>
      <c r="F1205" s="53" t="s">
        <v>25</v>
      </c>
      <c r="G1205" s="53" t="s">
        <v>25</v>
      </c>
      <c r="H1205" s="53" t="s">
        <v>36</v>
      </c>
      <c r="I1205" s="75">
        <v>44501</v>
      </c>
      <c r="J1205" s="76">
        <f>EFEITO!$J$1205*EFEITO!$Y$1075</f>
        <v>0</v>
      </c>
      <c r="K1205" s="76">
        <f ca="1">EFEITO!$L$1205*EFEITO!$Z$1075</f>
        <v>88518.733668956935</v>
      </c>
      <c r="L1205" s="76">
        <f>EFEITO!$N$1205*EFEITO!$AA$1075</f>
        <v>204104.5743401142</v>
      </c>
      <c r="M1205" s="76">
        <f>$J$1205-EFEITO!$K$1205*EFEITO!$Y$1205</f>
        <v>0</v>
      </c>
      <c r="N1205" s="76">
        <f ca="1">$K$1205-EFEITO!$M$1205*EFEITO!$Z$1205</f>
        <v>1770.374673379134</v>
      </c>
      <c r="O1205" s="76">
        <f>$L$1205-EFEITO!$O$1205*EFEITO!$AA$1205</f>
        <v>4082.0914868022955</v>
      </c>
      <c r="P1205" s="57"/>
      <c r="Q1205" s="57"/>
      <c r="R1205" s="57"/>
      <c r="S1205" s="57"/>
      <c r="T1205" s="57"/>
      <c r="U1205" s="57"/>
      <c r="V1205" s="57"/>
      <c r="W1205" s="57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</row>
    <row r="1206" spans="1:36" ht="11.25" customHeight="1" x14ac:dyDescent="0.2">
      <c r="A1206" s="53" t="s">
        <v>28</v>
      </c>
      <c r="B1206" s="53" t="s">
        <v>33</v>
      </c>
      <c r="C1206" s="53" t="s">
        <v>34</v>
      </c>
      <c r="D1206" s="53" t="s">
        <v>45</v>
      </c>
      <c r="E1206" s="53" t="s">
        <v>25</v>
      </c>
      <c r="F1206" s="53" t="s">
        <v>25</v>
      </c>
      <c r="G1206" s="53" t="s">
        <v>25</v>
      </c>
      <c r="H1206" s="53" t="s">
        <v>36</v>
      </c>
      <c r="I1206" s="75">
        <v>44501</v>
      </c>
      <c r="J1206" s="76">
        <f>EFEITO!$J$1206*EFEITO!$Y$1075</f>
        <v>0</v>
      </c>
      <c r="K1206" s="76">
        <f ca="1">EFEITO!$L$1206*EFEITO!$Z$1075</f>
        <v>60722.421153395393</v>
      </c>
      <c r="L1206" s="76">
        <f>EFEITO!$N$1206*EFEITO!$AA$1075</f>
        <v>140012.44040346376</v>
      </c>
      <c r="M1206" s="76">
        <f>$J$1206-EFEITO!$K$1206*EFEITO!$Y$1206</f>
        <v>0</v>
      </c>
      <c r="N1206" s="76">
        <f ca="1">$K$1206-EFEITO!$M$1206*EFEITO!$Z$1206</f>
        <v>1214.4484230679082</v>
      </c>
      <c r="O1206" s="76">
        <f>$L$1206-EFEITO!$O$1206*EFEITO!$AA$1206</f>
        <v>2800.248808069271</v>
      </c>
      <c r="P1206" s="57"/>
      <c r="Q1206" s="57"/>
      <c r="R1206" s="57"/>
      <c r="S1206" s="57"/>
      <c r="T1206" s="57"/>
      <c r="U1206" s="57"/>
      <c r="V1206" s="57"/>
      <c r="W1206" s="57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</row>
    <row r="1207" spans="1:36" ht="11.25" customHeight="1" x14ac:dyDescent="0.2">
      <c r="A1207" s="53" t="s">
        <v>21</v>
      </c>
      <c r="B1207" s="53" t="s">
        <v>33</v>
      </c>
      <c r="C1207" s="53" t="s">
        <v>34</v>
      </c>
      <c r="D1207" s="53" t="s">
        <v>45</v>
      </c>
      <c r="E1207" s="53" t="s">
        <v>25</v>
      </c>
      <c r="F1207" s="53" t="s">
        <v>25</v>
      </c>
      <c r="G1207" s="53" t="s">
        <v>25</v>
      </c>
      <c r="H1207" s="53" t="s">
        <v>36</v>
      </c>
      <c r="I1207" s="75">
        <v>44531</v>
      </c>
      <c r="J1207" s="76">
        <f>EFEITO!$J$1207*EFEITO!$Y$1075</f>
        <v>0</v>
      </c>
      <c r="K1207" s="76">
        <f ca="1">EFEITO!$L$1207*EFEITO!$Z$1075</f>
        <v>91171.237133336559</v>
      </c>
      <c r="L1207" s="76">
        <f>EFEITO!$N$1207*EFEITO!$AA$1075</f>
        <v>210220.65924206917</v>
      </c>
      <c r="M1207" s="76">
        <f>$J$1207-EFEITO!$K$1207*EFEITO!$Y$1207</f>
        <v>0</v>
      </c>
      <c r="N1207" s="76">
        <f ca="1">$K$1207-EFEITO!$M$1207*EFEITO!$Z$1207</f>
        <v>1823.4247426667425</v>
      </c>
      <c r="O1207" s="76">
        <f>$L$1207-EFEITO!$O$1207*EFEITO!$AA$1207</f>
        <v>4204.4131848413963</v>
      </c>
      <c r="P1207" s="57"/>
      <c r="Q1207" s="57"/>
      <c r="R1207" s="57"/>
      <c r="S1207" s="57"/>
      <c r="T1207" s="57"/>
      <c r="U1207" s="57"/>
      <c r="V1207" s="57"/>
      <c r="W1207" s="57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</row>
    <row r="1208" spans="1:36" ht="11.25" customHeight="1" x14ac:dyDescent="0.2">
      <c r="A1208" s="53" t="s">
        <v>28</v>
      </c>
      <c r="B1208" s="53" t="s">
        <v>33</v>
      </c>
      <c r="C1208" s="53" t="s">
        <v>34</v>
      </c>
      <c r="D1208" s="53" t="s">
        <v>45</v>
      </c>
      <c r="E1208" s="53" t="s">
        <v>25</v>
      </c>
      <c r="F1208" s="53" t="s">
        <v>25</v>
      </c>
      <c r="G1208" s="53" t="s">
        <v>25</v>
      </c>
      <c r="H1208" s="53" t="s">
        <v>36</v>
      </c>
      <c r="I1208" s="75">
        <v>44531</v>
      </c>
      <c r="J1208" s="76">
        <f>EFEITO!$J$1208*EFEITO!$Y$1075</f>
        <v>0</v>
      </c>
      <c r="K1208" s="76">
        <f ca="1">EFEITO!$L$1208*EFEITO!$Z$1075</f>
        <v>63425.136036815245</v>
      </c>
      <c r="L1208" s="76">
        <f>EFEITO!$N$1208*EFEITO!$AA$1075</f>
        <v>146244.30170534493</v>
      </c>
      <c r="M1208" s="76">
        <f>$J$1208-EFEITO!$K$1208*EFEITO!$Y$1208</f>
        <v>0</v>
      </c>
      <c r="N1208" s="76">
        <f ca="1">$K$1208-EFEITO!$M$1208*EFEITO!$Z$1208</f>
        <v>1268.5027207363091</v>
      </c>
      <c r="O1208" s="76">
        <f>$L$1208-EFEITO!$O$1208*EFEITO!$AA$1208</f>
        <v>2924.8860341068939</v>
      </c>
      <c r="P1208" s="57"/>
      <c r="Q1208" s="57"/>
      <c r="R1208" s="57"/>
      <c r="S1208" s="57"/>
      <c r="T1208" s="57"/>
      <c r="U1208" s="57"/>
      <c r="V1208" s="57"/>
      <c r="W1208" s="57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</row>
    <row r="1209" spans="1:36" ht="11.25" customHeight="1" x14ac:dyDescent="0.2">
      <c r="A1209" s="53" t="s">
        <v>21</v>
      </c>
      <c r="B1209" s="53" t="s">
        <v>33</v>
      </c>
      <c r="C1209" s="53" t="s">
        <v>34</v>
      </c>
      <c r="D1209" s="53" t="s">
        <v>45</v>
      </c>
      <c r="E1209" s="53" t="s">
        <v>25</v>
      </c>
      <c r="F1209" s="53" t="s">
        <v>25</v>
      </c>
      <c r="G1209" s="53" t="s">
        <v>25</v>
      </c>
      <c r="H1209" s="53" t="s">
        <v>36</v>
      </c>
      <c r="I1209" s="75">
        <v>44562</v>
      </c>
      <c r="J1209" s="76">
        <f>EFEITO!$J$1209*EFEITO!$Y$1075</f>
        <v>0</v>
      </c>
      <c r="K1209" s="76">
        <f ca="1">EFEITO!$L$1209*EFEITO!$Z$1075</f>
        <v>82100.138594270684</v>
      </c>
      <c r="L1209" s="76">
        <f>EFEITO!$N$1209*EFEITO!$AA$1075</f>
        <v>189304.71716547609</v>
      </c>
      <c r="M1209" s="76">
        <f>$J$1209-EFEITO!$K$1209*EFEITO!$Y$1209</f>
        <v>0</v>
      </c>
      <c r="N1209" s="76">
        <f ca="1">$K$1209-EFEITO!$M$1209*EFEITO!$Z$1209</f>
        <v>1642.0027718854253</v>
      </c>
      <c r="O1209" s="76">
        <f>$L$1209-EFEITO!$O$1209*EFEITO!$AA$1209</f>
        <v>3786.0943433095235</v>
      </c>
      <c r="P1209" s="57"/>
      <c r="Q1209" s="57"/>
      <c r="R1209" s="57"/>
      <c r="S1209" s="57"/>
      <c r="T1209" s="57"/>
      <c r="U1209" s="57"/>
      <c r="V1209" s="57"/>
      <c r="W1209" s="57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</row>
    <row r="1210" spans="1:36" ht="11.25" customHeight="1" x14ac:dyDescent="0.2">
      <c r="A1210" s="53" t="s">
        <v>28</v>
      </c>
      <c r="B1210" s="53" t="s">
        <v>33</v>
      </c>
      <c r="C1210" s="53" t="s">
        <v>34</v>
      </c>
      <c r="D1210" s="53" t="s">
        <v>45</v>
      </c>
      <c r="E1210" s="53" t="s">
        <v>25</v>
      </c>
      <c r="F1210" s="53" t="s">
        <v>25</v>
      </c>
      <c r="G1210" s="53" t="s">
        <v>25</v>
      </c>
      <c r="H1210" s="53" t="s">
        <v>36</v>
      </c>
      <c r="I1210" s="75">
        <v>44562</v>
      </c>
      <c r="J1210" s="76">
        <f>EFEITO!$J$1210*EFEITO!$Y$1075</f>
        <v>0</v>
      </c>
      <c r="K1210" s="76">
        <f ca="1">EFEITO!$L$1210*EFEITO!$Z$1075</f>
        <v>32112.848276985813</v>
      </c>
      <c r="L1210" s="76">
        <f>EFEITO!$N$1210*EFEITO!$AA$1075</f>
        <v>74045.108382763108</v>
      </c>
      <c r="M1210" s="76">
        <f>$J$1210-EFEITO!$K$1210*EFEITO!$Y$1210</f>
        <v>0</v>
      </c>
      <c r="N1210" s="76">
        <f ca="1">$K$1210-EFEITO!$M$1210*EFEITO!$Z$1210</f>
        <v>642.25696553971648</v>
      </c>
      <c r="O1210" s="76">
        <f>$L$1210-EFEITO!$O$1210*EFEITO!$AA$1210</f>
        <v>1480.9021676552511</v>
      </c>
      <c r="P1210" s="57"/>
      <c r="Q1210" s="57"/>
      <c r="R1210" s="57"/>
      <c r="S1210" s="57"/>
      <c r="T1210" s="57"/>
      <c r="U1210" s="57"/>
      <c r="V1210" s="57"/>
      <c r="W1210" s="57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</row>
    <row r="1211" spans="1:36" ht="11.25" customHeight="1" x14ac:dyDescent="0.2">
      <c r="A1211" s="53" t="s">
        <v>21</v>
      </c>
      <c r="B1211" s="53" t="s">
        <v>33</v>
      </c>
      <c r="C1211" s="53" t="s">
        <v>34</v>
      </c>
      <c r="D1211" s="53" t="s">
        <v>45</v>
      </c>
      <c r="E1211" s="53" t="s">
        <v>25</v>
      </c>
      <c r="F1211" s="53" t="s">
        <v>25</v>
      </c>
      <c r="G1211" s="53" t="s">
        <v>25</v>
      </c>
      <c r="H1211" s="53" t="s">
        <v>36</v>
      </c>
      <c r="I1211" s="75">
        <v>44593</v>
      </c>
      <c r="J1211" s="76">
        <f>EFEITO!$J$1211*EFEITO!$Y$1075</f>
        <v>0</v>
      </c>
      <c r="K1211" s="76">
        <f ca="1">EFEITO!$L$1211*EFEITO!$Z$1075</f>
        <v>78477.508181221812</v>
      </c>
      <c r="L1211" s="76">
        <f>EFEITO!$N$1211*EFEITO!$AA$1075</f>
        <v>180951.73460686777</v>
      </c>
      <c r="M1211" s="76">
        <f>$J$1211-EFEITO!$K$1211*EFEITO!$Y$1211</f>
        <v>0</v>
      </c>
      <c r="N1211" s="76">
        <f ca="1">$K$1211-EFEITO!$M$1211*EFEITO!$Z$1211</f>
        <v>1569.5501636244444</v>
      </c>
      <c r="O1211" s="76">
        <f>$L$1211-EFEITO!$O$1211*EFEITO!$AA$1211</f>
        <v>3619.0346921373566</v>
      </c>
      <c r="P1211" s="57"/>
      <c r="Q1211" s="57"/>
      <c r="R1211" s="57"/>
      <c r="S1211" s="57"/>
      <c r="T1211" s="57"/>
      <c r="U1211" s="57"/>
      <c r="V1211" s="57"/>
      <c r="W1211" s="57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</row>
    <row r="1212" spans="1:36" ht="11.25" customHeight="1" x14ac:dyDescent="0.2">
      <c r="A1212" s="53" t="s">
        <v>28</v>
      </c>
      <c r="B1212" s="53" t="s">
        <v>33</v>
      </c>
      <c r="C1212" s="53" t="s">
        <v>34</v>
      </c>
      <c r="D1212" s="53" t="s">
        <v>45</v>
      </c>
      <c r="E1212" s="53" t="s">
        <v>25</v>
      </c>
      <c r="F1212" s="53" t="s">
        <v>25</v>
      </c>
      <c r="G1212" s="53" t="s">
        <v>25</v>
      </c>
      <c r="H1212" s="53" t="s">
        <v>36</v>
      </c>
      <c r="I1212" s="75">
        <v>44593</v>
      </c>
      <c r="J1212" s="76">
        <f>EFEITO!$J$1212*EFEITO!$Y$1075</f>
        <v>0</v>
      </c>
      <c r="K1212" s="76">
        <f ca="1">EFEITO!$L$1212*EFEITO!$Z$1075</f>
        <v>56200.21847885324</v>
      </c>
      <c r="L1212" s="76">
        <f>EFEITO!$N$1212*EFEITO!$AA$1075</f>
        <v>129585.24365414056</v>
      </c>
      <c r="M1212" s="76">
        <f>$J$1212-EFEITO!$K$1212*EFEITO!$Y$1212</f>
        <v>0</v>
      </c>
      <c r="N1212" s="76">
        <f ca="1">$K$1212-EFEITO!$M$1212*EFEITO!$Z$1212</f>
        <v>1124.0043695770728</v>
      </c>
      <c r="O1212" s="76">
        <f>$L$1212-EFEITO!$O$1212*EFEITO!$AA$1212</f>
        <v>2591.7048730828101</v>
      </c>
      <c r="P1212" s="57"/>
      <c r="Q1212" s="57"/>
      <c r="R1212" s="57"/>
      <c r="S1212" s="57"/>
      <c r="T1212" s="57"/>
      <c r="U1212" s="57"/>
      <c r="V1212" s="57"/>
      <c r="W1212" s="57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</row>
    <row r="1213" spans="1:36" ht="11.25" customHeight="1" x14ac:dyDescent="0.2">
      <c r="A1213" s="53" t="s">
        <v>21</v>
      </c>
      <c r="B1213" s="53" t="s">
        <v>33</v>
      </c>
      <c r="C1213" s="53" t="s">
        <v>34</v>
      </c>
      <c r="D1213" s="53" t="s">
        <v>45</v>
      </c>
      <c r="E1213" s="53" t="s">
        <v>25</v>
      </c>
      <c r="F1213" s="53" t="s">
        <v>25</v>
      </c>
      <c r="G1213" s="53" t="s">
        <v>25</v>
      </c>
      <c r="H1213" s="53" t="s">
        <v>36</v>
      </c>
      <c r="I1213" s="75">
        <v>44621</v>
      </c>
      <c r="J1213" s="76">
        <f>EFEITO!$J$1213*EFEITO!$Y$1075</f>
        <v>0</v>
      </c>
      <c r="K1213" s="76">
        <f ca="1">EFEITO!$L$1213*EFEITO!$Z$1075</f>
        <v>81010.539041983517</v>
      </c>
      <c r="L1213" s="76">
        <f>EFEITO!$N$1213*EFEITO!$AA$1075</f>
        <v>186792.34217316707</v>
      </c>
      <c r="M1213" s="76">
        <f>$J$1213-EFEITO!$K$1213*EFEITO!$Y$1213</f>
        <v>0</v>
      </c>
      <c r="N1213" s="76">
        <f ca="1">$K$1213-EFEITO!$M$1213*EFEITO!$Z$1213</f>
        <v>1620.2107808396686</v>
      </c>
      <c r="O1213" s="76">
        <f>$L$1213-EFEITO!$O$1213*EFEITO!$AA$1213</f>
        <v>3735.8468434633396</v>
      </c>
      <c r="P1213" s="57"/>
      <c r="Q1213" s="57"/>
      <c r="R1213" s="57"/>
      <c r="S1213" s="57"/>
      <c r="T1213" s="57"/>
      <c r="U1213" s="57"/>
      <c r="V1213" s="57"/>
      <c r="W1213" s="57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</row>
    <row r="1214" spans="1:36" ht="11.25" customHeight="1" x14ac:dyDescent="0.2">
      <c r="A1214" s="53" t="s">
        <v>28</v>
      </c>
      <c r="B1214" s="53" t="s">
        <v>33</v>
      </c>
      <c r="C1214" s="53" t="s">
        <v>34</v>
      </c>
      <c r="D1214" s="53" t="s">
        <v>45</v>
      </c>
      <c r="E1214" s="53" t="s">
        <v>25</v>
      </c>
      <c r="F1214" s="53" t="s">
        <v>25</v>
      </c>
      <c r="G1214" s="53" t="s">
        <v>25</v>
      </c>
      <c r="H1214" s="53" t="s">
        <v>36</v>
      </c>
      <c r="I1214" s="75">
        <v>44621</v>
      </c>
      <c r="J1214" s="76">
        <f>EFEITO!$J$1214*EFEITO!$Y$1075</f>
        <v>0</v>
      </c>
      <c r="K1214" s="76">
        <f ca="1">EFEITO!$L$1214*EFEITO!$Z$1075</f>
        <v>18380.083965059992</v>
      </c>
      <c r="L1214" s="76">
        <f>EFEITO!$N$1214*EFEITO!$AA$1075</f>
        <v>42380.398572508559</v>
      </c>
      <c r="M1214" s="76">
        <f>$J$1214-EFEITO!$K$1214*EFEITO!$Y$1214</f>
        <v>0</v>
      </c>
      <c r="N1214" s="76">
        <f ca="1">$K$1214-EFEITO!$M$1214*EFEITO!$Z$1214</f>
        <v>367.60167930120224</v>
      </c>
      <c r="O1214" s="76">
        <f>$L$1214-EFEITO!$O$1214*EFEITO!$AA$1214</f>
        <v>847.60797145017568</v>
      </c>
      <c r="P1214" s="57"/>
      <c r="Q1214" s="57"/>
      <c r="R1214" s="57"/>
      <c r="S1214" s="57"/>
      <c r="T1214" s="57"/>
      <c r="U1214" s="57"/>
      <c r="V1214" s="57"/>
      <c r="W1214" s="57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</row>
    <row r="1215" spans="1:36" ht="11.25" customHeight="1" x14ac:dyDescent="0.2">
      <c r="A1215" s="53" t="s">
        <v>56</v>
      </c>
      <c r="B1215" s="53" t="s">
        <v>33</v>
      </c>
      <c r="C1215" s="53" t="s">
        <v>34</v>
      </c>
      <c r="D1215" s="53" t="s">
        <v>45</v>
      </c>
      <c r="E1215" s="53" t="s">
        <v>25</v>
      </c>
      <c r="F1215" s="53" t="s">
        <v>25</v>
      </c>
      <c r="G1215" s="53" t="s">
        <v>25</v>
      </c>
      <c r="H1215" s="53" t="s">
        <v>36</v>
      </c>
      <c r="I1215" s="75">
        <v>44652</v>
      </c>
      <c r="J1215" s="76">
        <f>EFEITO!$J$1215*EFEITO!$Y$1075</f>
        <v>0</v>
      </c>
      <c r="K1215" s="76">
        <f ca="1">EFEITO!$L$1215*EFEITO!$Z$1075</f>
        <v>81010.539041983517</v>
      </c>
      <c r="L1215" s="76">
        <f>EFEITO!$N$1215*EFEITO!$AA$1075</f>
        <v>186792.34217316707</v>
      </c>
      <c r="M1215" s="76">
        <f>$J$1215-EFEITO!$K$1215*EFEITO!$Y$1215</f>
        <v>0</v>
      </c>
      <c r="N1215" s="76">
        <f ca="1">$K$1215-EFEITO!$M$1215*EFEITO!$Z$1215</f>
        <v>1620.2107808396686</v>
      </c>
      <c r="O1215" s="76">
        <f>$L$1215-EFEITO!$O$1215*EFEITO!$AA$1215</f>
        <v>3735.8468434633396</v>
      </c>
      <c r="P1215" s="57"/>
      <c r="Q1215" s="57"/>
      <c r="R1215" s="57"/>
      <c r="S1215" s="57"/>
      <c r="T1215" s="57"/>
      <c r="U1215" s="57"/>
      <c r="V1215" s="57"/>
      <c r="W1215" s="57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</row>
    <row r="1216" spans="1:36" ht="11.25" customHeight="1" x14ac:dyDescent="0.2">
      <c r="A1216" s="53" t="s">
        <v>56</v>
      </c>
      <c r="B1216" s="53" t="s">
        <v>33</v>
      </c>
      <c r="C1216" s="53" t="s">
        <v>34</v>
      </c>
      <c r="D1216" s="53" t="s">
        <v>45</v>
      </c>
      <c r="E1216" s="53" t="s">
        <v>25</v>
      </c>
      <c r="F1216" s="53" t="s">
        <v>25</v>
      </c>
      <c r="G1216" s="53" t="s">
        <v>25</v>
      </c>
      <c r="H1216" s="53" t="s">
        <v>36</v>
      </c>
      <c r="I1216" s="75">
        <v>44652</v>
      </c>
      <c r="J1216" s="76">
        <f>EFEITO!$J$1216*EFEITO!$Y$1075</f>
        <v>0</v>
      </c>
      <c r="K1216" s="76">
        <f ca="1">EFEITO!$L$1216*EFEITO!$Z$1075</f>
        <v>18380.083965059992</v>
      </c>
      <c r="L1216" s="76">
        <f>EFEITO!$N$1216*EFEITO!$AA$1075</f>
        <v>42380.398572508559</v>
      </c>
      <c r="M1216" s="76">
        <f>$J$1216-EFEITO!$K$1216*EFEITO!$Y$1216</f>
        <v>0</v>
      </c>
      <c r="N1216" s="76">
        <f ca="1">$K$1216-EFEITO!$M$1216*EFEITO!$Z$1216</f>
        <v>367.60167930120224</v>
      </c>
      <c r="O1216" s="76">
        <f>$L$1216-EFEITO!$O$1216*EFEITO!$AA$1216</f>
        <v>847.60797145017568</v>
      </c>
      <c r="P1216" s="57"/>
      <c r="Q1216" s="57"/>
      <c r="R1216" s="57"/>
      <c r="S1216" s="57"/>
      <c r="T1216" s="57"/>
      <c r="U1216" s="57"/>
      <c r="V1216" s="57"/>
      <c r="W1216" s="57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</row>
    <row r="1217" spans="1:36" ht="11.25" customHeight="1" x14ac:dyDescent="0.2">
      <c r="A1217" s="53" t="s">
        <v>21</v>
      </c>
      <c r="B1217" s="53" t="s">
        <v>33</v>
      </c>
      <c r="C1217" s="53" t="s">
        <v>34</v>
      </c>
      <c r="D1217" s="53" t="s">
        <v>45</v>
      </c>
      <c r="E1217" s="53" t="s">
        <v>25</v>
      </c>
      <c r="F1217" s="53" t="s">
        <v>25</v>
      </c>
      <c r="G1217" s="53" t="s">
        <v>25</v>
      </c>
      <c r="H1217" s="53" t="s">
        <v>25</v>
      </c>
      <c r="I1217" s="75">
        <v>44317</v>
      </c>
      <c r="J1217" s="76">
        <f ca="1">EFEITO!$J$1217*EFEITO!$Y$1091</f>
        <v>136915.1634580906</v>
      </c>
      <c r="K1217" s="76">
        <f>EFEITO!$L$1217*EFEITO!$Z$1091</f>
        <v>0</v>
      </c>
      <c r="L1217" s="76">
        <f>EFEITO!$N$1217*EFEITO!$AA$1091</f>
        <v>0</v>
      </c>
      <c r="M1217" s="76">
        <f ca="1">$J$1217-EFEITO!$K$1217*EFEITO!$Y$1217</f>
        <v>2738.3032691618137</v>
      </c>
      <c r="N1217" s="76">
        <f>$K$1217-EFEITO!$M$1217*EFEITO!$Z$1217</f>
        <v>0</v>
      </c>
      <c r="O1217" s="76">
        <f>$L$1217-EFEITO!$O$1217*EFEITO!$AA$1217</f>
        <v>0</v>
      </c>
      <c r="P1217" s="57"/>
      <c r="Q1217" s="57"/>
      <c r="R1217" s="57"/>
      <c r="S1217" s="57"/>
      <c r="T1217" s="57"/>
      <c r="U1217" s="57"/>
      <c r="V1217" s="57"/>
      <c r="W1217" s="57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</row>
    <row r="1218" spans="1:36" ht="11.25" customHeight="1" x14ac:dyDescent="0.2">
      <c r="A1218" s="53" t="s">
        <v>28</v>
      </c>
      <c r="B1218" s="53" t="s">
        <v>33</v>
      </c>
      <c r="C1218" s="53" t="s">
        <v>34</v>
      </c>
      <c r="D1218" s="53" t="s">
        <v>45</v>
      </c>
      <c r="E1218" s="53" t="s">
        <v>25</v>
      </c>
      <c r="F1218" s="53" t="s">
        <v>25</v>
      </c>
      <c r="G1218" s="53" t="s">
        <v>25</v>
      </c>
      <c r="H1218" s="53" t="s">
        <v>25</v>
      </c>
      <c r="I1218" s="75">
        <v>44317</v>
      </c>
      <c r="J1218" s="76">
        <f ca="1">EFEITO!$J$1218*EFEITO!$Y$1091</f>
        <v>789.42076228088274</v>
      </c>
      <c r="K1218" s="76">
        <f>EFEITO!$L$1218*EFEITO!$Z$1091</f>
        <v>0</v>
      </c>
      <c r="L1218" s="76">
        <f>EFEITO!$N$1218*EFEITO!$AA$1091</f>
        <v>0</v>
      </c>
      <c r="M1218" s="76">
        <f ca="1">$J$1218-EFEITO!$K$1218*EFEITO!$Y$1218</f>
        <v>15.788415245617671</v>
      </c>
      <c r="N1218" s="76">
        <f>$K$1218-EFEITO!$M$1218*EFEITO!$Z$1218</f>
        <v>0</v>
      </c>
      <c r="O1218" s="76">
        <f>$L$1218-EFEITO!$O$1218*EFEITO!$AA$1218</f>
        <v>0</v>
      </c>
      <c r="P1218" s="57"/>
      <c r="Q1218" s="57"/>
      <c r="R1218" s="57"/>
      <c r="S1218" s="57"/>
      <c r="T1218" s="57"/>
      <c r="U1218" s="57"/>
      <c r="V1218" s="57"/>
      <c r="W1218" s="57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</row>
    <row r="1219" spans="1:36" ht="11.25" customHeight="1" x14ac:dyDescent="0.2">
      <c r="A1219" s="53" t="s">
        <v>21</v>
      </c>
      <c r="B1219" s="53" t="s">
        <v>33</v>
      </c>
      <c r="C1219" s="53" t="s">
        <v>34</v>
      </c>
      <c r="D1219" s="53" t="s">
        <v>45</v>
      </c>
      <c r="E1219" s="53" t="s">
        <v>25</v>
      </c>
      <c r="F1219" s="53" t="s">
        <v>25</v>
      </c>
      <c r="G1219" s="53" t="s">
        <v>25</v>
      </c>
      <c r="H1219" s="53" t="s">
        <v>25</v>
      </c>
      <c r="I1219" s="75">
        <v>44348</v>
      </c>
      <c r="J1219" s="76">
        <f ca="1">EFEITO!$J$1219*EFEITO!$Y$1091</f>
        <v>99121.644463893346</v>
      </c>
      <c r="K1219" s="76">
        <f>EFEITO!$L$1219*EFEITO!$Z$1091</f>
        <v>0</v>
      </c>
      <c r="L1219" s="76">
        <f>EFEITO!$N$1219*EFEITO!$AA$1091</f>
        <v>0</v>
      </c>
      <c r="M1219" s="76">
        <f ca="1">$J$1219-EFEITO!$K$1219*EFEITO!$Y$1219</f>
        <v>1982.4328892778722</v>
      </c>
      <c r="N1219" s="76">
        <f>$K$1219-EFEITO!$M$1219*EFEITO!$Z$1219</f>
        <v>0</v>
      </c>
      <c r="O1219" s="76">
        <f>$L$1219-EFEITO!$O$1219*EFEITO!$AA$1219</f>
        <v>0</v>
      </c>
      <c r="P1219" s="57"/>
      <c r="Q1219" s="57"/>
      <c r="R1219" s="57"/>
      <c r="S1219" s="57"/>
      <c r="T1219" s="57"/>
      <c r="U1219" s="57"/>
      <c r="V1219" s="57"/>
      <c r="W1219" s="57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</row>
    <row r="1220" spans="1:36" ht="11.25" customHeight="1" x14ac:dyDescent="0.2">
      <c r="A1220" s="53" t="s">
        <v>28</v>
      </c>
      <c r="B1220" s="53" t="s">
        <v>33</v>
      </c>
      <c r="C1220" s="53" t="s">
        <v>34</v>
      </c>
      <c r="D1220" s="53" t="s">
        <v>45</v>
      </c>
      <c r="E1220" s="53" t="s">
        <v>25</v>
      </c>
      <c r="F1220" s="53" t="s">
        <v>25</v>
      </c>
      <c r="G1220" s="53" t="s">
        <v>25</v>
      </c>
      <c r="H1220" s="53" t="s">
        <v>25</v>
      </c>
      <c r="I1220" s="75">
        <v>44348</v>
      </c>
      <c r="J1220" s="76">
        <f ca="1">EFEITO!$J$1220*EFEITO!$Y$1091</f>
        <v>13296.805964668618</v>
      </c>
      <c r="K1220" s="76">
        <f>EFEITO!$L$1220*EFEITO!$Z$1091</f>
        <v>0</v>
      </c>
      <c r="L1220" s="76">
        <f>EFEITO!$N$1220*EFEITO!$AA$1091</f>
        <v>0</v>
      </c>
      <c r="M1220" s="76">
        <f ca="1">$J$1220-EFEITO!$K$1220*EFEITO!$Y$1220</f>
        <v>265.93611929337203</v>
      </c>
      <c r="N1220" s="76">
        <f>$K$1220-EFEITO!$M$1220*EFEITO!$Z$1220</f>
        <v>0</v>
      </c>
      <c r="O1220" s="76">
        <f>$L$1220-EFEITO!$O$1220*EFEITO!$AA$1220</f>
        <v>0</v>
      </c>
      <c r="P1220" s="57"/>
      <c r="Q1220" s="57"/>
      <c r="R1220" s="57"/>
      <c r="S1220" s="57"/>
      <c r="T1220" s="57"/>
      <c r="U1220" s="57"/>
      <c r="V1220" s="57"/>
      <c r="W1220" s="57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</row>
    <row r="1221" spans="1:36" ht="11.25" customHeight="1" x14ac:dyDescent="0.2">
      <c r="A1221" s="53" t="s">
        <v>21</v>
      </c>
      <c r="B1221" s="53" t="s">
        <v>33</v>
      </c>
      <c r="C1221" s="53" t="s">
        <v>34</v>
      </c>
      <c r="D1221" s="53" t="s">
        <v>45</v>
      </c>
      <c r="E1221" s="53" t="s">
        <v>25</v>
      </c>
      <c r="F1221" s="53" t="s">
        <v>25</v>
      </c>
      <c r="G1221" s="53" t="s">
        <v>25</v>
      </c>
      <c r="H1221" s="53" t="s">
        <v>25</v>
      </c>
      <c r="I1221" s="75">
        <v>44378</v>
      </c>
      <c r="J1221" s="76">
        <f ca="1">EFEITO!$J$1221*EFEITO!$Y$1091</f>
        <v>104968.29198453613</v>
      </c>
      <c r="K1221" s="76">
        <f>EFEITO!$L$1221*EFEITO!$Z$1091</f>
        <v>0</v>
      </c>
      <c r="L1221" s="76">
        <f>EFEITO!$N$1221*EFEITO!$AA$1091</f>
        <v>0</v>
      </c>
      <c r="M1221" s="76">
        <f ca="1">$J$1221-EFEITO!$K$1221*EFEITO!$Y$1221</f>
        <v>2099.3658396907267</v>
      </c>
      <c r="N1221" s="76">
        <f>$K$1221-EFEITO!$M$1221*EFEITO!$Z$1221</f>
        <v>0</v>
      </c>
      <c r="O1221" s="76">
        <f>$L$1221-EFEITO!$O$1221*EFEITO!$AA$1221</f>
        <v>0</v>
      </c>
      <c r="P1221" s="57"/>
      <c r="Q1221" s="57"/>
      <c r="R1221" s="57"/>
      <c r="S1221" s="57"/>
      <c r="T1221" s="57"/>
      <c r="U1221" s="57"/>
      <c r="V1221" s="57"/>
      <c r="W1221" s="57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</row>
    <row r="1222" spans="1:36" ht="11.25" customHeight="1" x14ac:dyDescent="0.2">
      <c r="A1222" s="53" t="s">
        <v>28</v>
      </c>
      <c r="B1222" s="53" t="s">
        <v>33</v>
      </c>
      <c r="C1222" s="53" t="s">
        <v>34</v>
      </c>
      <c r="D1222" s="53" t="s">
        <v>45</v>
      </c>
      <c r="E1222" s="53" t="s">
        <v>25</v>
      </c>
      <c r="F1222" s="53" t="s">
        <v>25</v>
      </c>
      <c r="G1222" s="53" t="s">
        <v>25</v>
      </c>
      <c r="H1222" s="53" t="s">
        <v>25</v>
      </c>
      <c r="I1222" s="75">
        <v>44378</v>
      </c>
      <c r="J1222" s="76">
        <f ca="1">EFEITO!$J$1222*EFEITO!$Y$1091</f>
        <v>24.669398821277586</v>
      </c>
      <c r="K1222" s="76">
        <f>EFEITO!$L$1222*EFEITO!$Z$1091</f>
        <v>0</v>
      </c>
      <c r="L1222" s="76">
        <f>EFEITO!$N$1222*EFEITO!$AA$1091</f>
        <v>0</v>
      </c>
      <c r="M1222" s="76">
        <f ca="1">$J$1222-EFEITO!$K$1222*EFEITO!$Y$1222</f>
        <v>0.49338797642555221</v>
      </c>
      <c r="N1222" s="76">
        <f>$K$1222-EFEITO!$M$1222*EFEITO!$Z$1222</f>
        <v>0</v>
      </c>
      <c r="O1222" s="76">
        <f>$L$1222-EFEITO!$O$1222*EFEITO!$AA$1222</f>
        <v>0</v>
      </c>
      <c r="P1222" s="57"/>
      <c r="Q1222" s="57"/>
      <c r="R1222" s="57"/>
      <c r="S1222" s="57"/>
      <c r="T1222" s="57"/>
      <c r="U1222" s="57"/>
      <c r="V1222" s="57"/>
      <c r="W1222" s="57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</row>
    <row r="1223" spans="1:36" ht="11.25" customHeight="1" x14ac:dyDescent="0.2">
      <c r="A1223" s="53" t="s">
        <v>21</v>
      </c>
      <c r="B1223" s="53" t="s">
        <v>33</v>
      </c>
      <c r="C1223" s="53" t="s">
        <v>34</v>
      </c>
      <c r="D1223" s="53" t="s">
        <v>45</v>
      </c>
      <c r="E1223" s="53" t="s">
        <v>25</v>
      </c>
      <c r="F1223" s="53" t="s">
        <v>25</v>
      </c>
      <c r="G1223" s="53" t="s">
        <v>25</v>
      </c>
      <c r="H1223" s="53" t="s">
        <v>25</v>
      </c>
      <c r="I1223" s="75">
        <v>44409</v>
      </c>
      <c r="J1223" s="76">
        <f ca="1">EFEITO!$J$1223*EFEITO!$Y$1091</f>
        <v>102871.39308472753</v>
      </c>
      <c r="K1223" s="76">
        <f>EFEITO!$L$1223*EFEITO!$Z$1091</f>
        <v>0</v>
      </c>
      <c r="L1223" s="76">
        <f>EFEITO!$N$1223*EFEITO!$AA$1091</f>
        <v>0</v>
      </c>
      <c r="M1223" s="76">
        <f ca="1">$J$1223-EFEITO!$K$1223*EFEITO!$Y$1223</f>
        <v>2057.4278616945521</v>
      </c>
      <c r="N1223" s="76">
        <f>$K$1223-EFEITO!$M$1223*EFEITO!$Z$1223</f>
        <v>0</v>
      </c>
      <c r="O1223" s="76">
        <f>$L$1223-EFEITO!$O$1223*EFEITO!$AA$1223</f>
        <v>0</v>
      </c>
      <c r="P1223" s="57"/>
      <c r="Q1223" s="57"/>
      <c r="R1223" s="57"/>
      <c r="S1223" s="57"/>
      <c r="T1223" s="57"/>
      <c r="U1223" s="57"/>
      <c r="V1223" s="57"/>
      <c r="W1223" s="57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</row>
    <row r="1224" spans="1:36" ht="11.25" customHeight="1" x14ac:dyDescent="0.2">
      <c r="A1224" s="53" t="s">
        <v>28</v>
      </c>
      <c r="B1224" s="53" t="s">
        <v>33</v>
      </c>
      <c r="C1224" s="53" t="s">
        <v>34</v>
      </c>
      <c r="D1224" s="53" t="s">
        <v>45</v>
      </c>
      <c r="E1224" s="53" t="s">
        <v>25</v>
      </c>
      <c r="F1224" s="53" t="s">
        <v>25</v>
      </c>
      <c r="G1224" s="53" t="s">
        <v>25</v>
      </c>
      <c r="H1224" s="53" t="s">
        <v>25</v>
      </c>
      <c r="I1224" s="75">
        <v>44409</v>
      </c>
      <c r="J1224" s="76">
        <f ca="1">EFEITO!$J$1224*EFEITO!$Y$1091</f>
        <v>5550.6147347874567</v>
      </c>
      <c r="K1224" s="76">
        <f>EFEITO!$L$1224*EFEITO!$Z$1091</f>
        <v>0</v>
      </c>
      <c r="L1224" s="76">
        <f>EFEITO!$N$1224*EFEITO!$AA$1091</f>
        <v>0</v>
      </c>
      <c r="M1224" s="76">
        <f ca="1">$J$1224-EFEITO!$K$1224*EFEITO!$Y$1224</f>
        <v>111.01229469574901</v>
      </c>
      <c r="N1224" s="76">
        <f>$K$1224-EFEITO!$M$1224*EFEITO!$Z$1224</f>
        <v>0</v>
      </c>
      <c r="O1224" s="76">
        <f>$L$1224-EFEITO!$O$1224*EFEITO!$AA$1224</f>
        <v>0</v>
      </c>
      <c r="P1224" s="57"/>
      <c r="Q1224" s="57"/>
      <c r="R1224" s="57"/>
      <c r="S1224" s="57"/>
      <c r="T1224" s="57"/>
      <c r="U1224" s="57"/>
      <c r="V1224" s="57"/>
      <c r="W1224" s="57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</row>
    <row r="1225" spans="1:36" ht="11.25" customHeight="1" x14ac:dyDescent="0.2">
      <c r="A1225" s="53" t="s">
        <v>21</v>
      </c>
      <c r="B1225" s="53" t="s">
        <v>33</v>
      </c>
      <c r="C1225" s="53" t="s">
        <v>34</v>
      </c>
      <c r="D1225" s="53" t="s">
        <v>45</v>
      </c>
      <c r="E1225" s="53" t="s">
        <v>25</v>
      </c>
      <c r="F1225" s="53" t="s">
        <v>25</v>
      </c>
      <c r="G1225" s="53" t="s">
        <v>25</v>
      </c>
      <c r="H1225" s="53" t="s">
        <v>25</v>
      </c>
      <c r="I1225" s="75">
        <v>44440</v>
      </c>
      <c r="J1225" s="76">
        <f ca="1">EFEITO!$J$1225*EFEITO!$Y$1091</f>
        <v>74328.898648509363</v>
      </c>
      <c r="K1225" s="76">
        <f>EFEITO!$L$1225*EFEITO!$Z$1091</f>
        <v>0</v>
      </c>
      <c r="L1225" s="76">
        <f>EFEITO!$N$1225*EFEITO!$AA$1091</f>
        <v>0</v>
      </c>
      <c r="M1225" s="76">
        <f ca="1">$J$1225-EFEITO!$K$1225*EFEITO!$Y$1225</f>
        <v>1486.5779729701899</v>
      </c>
      <c r="N1225" s="76">
        <f>$K$1225-EFEITO!$M$1225*EFEITO!$Z$1225</f>
        <v>0</v>
      </c>
      <c r="O1225" s="76">
        <f>$L$1225-EFEITO!$O$1225*EFEITO!$AA$1225</f>
        <v>0</v>
      </c>
      <c r="P1225" s="57"/>
      <c r="Q1225" s="57"/>
      <c r="R1225" s="57"/>
      <c r="S1225" s="57"/>
      <c r="T1225" s="57"/>
      <c r="U1225" s="57"/>
      <c r="V1225" s="57"/>
      <c r="W1225" s="57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</row>
    <row r="1226" spans="1:36" ht="11.25" customHeight="1" x14ac:dyDescent="0.2">
      <c r="A1226" s="53" t="s">
        <v>28</v>
      </c>
      <c r="B1226" s="53" t="s">
        <v>33</v>
      </c>
      <c r="C1226" s="53" t="s">
        <v>34</v>
      </c>
      <c r="D1226" s="53" t="s">
        <v>45</v>
      </c>
      <c r="E1226" s="53" t="s">
        <v>25</v>
      </c>
      <c r="F1226" s="53" t="s">
        <v>25</v>
      </c>
      <c r="G1226" s="53" t="s">
        <v>25</v>
      </c>
      <c r="H1226" s="53" t="s">
        <v>25</v>
      </c>
      <c r="I1226" s="75">
        <v>44440</v>
      </c>
      <c r="J1226" s="76">
        <f ca="1">EFEITO!$J$1226*EFEITO!$Y$1091</f>
        <v>7696.8524322386065</v>
      </c>
      <c r="K1226" s="76">
        <f>EFEITO!$L$1226*EFEITO!$Z$1091</f>
        <v>0</v>
      </c>
      <c r="L1226" s="76">
        <f>EFEITO!$N$1226*EFEITO!$AA$1091</f>
        <v>0</v>
      </c>
      <c r="M1226" s="76">
        <f ca="1">$J$1226-EFEITO!$K$1226*EFEITO!$Y$1226</f>
        <v>153.9370486447724</v>
      </c>
      <c r="N1226" s="76">
        <f>$K$1226-EFEITO!$M$1226*EFEITO!$Z$1226</f>
        <v>0</v>
      </c>
      <c r="O1226" s="76">
        <f>$L$1226-EFEITO!$O$1226*EFEITO!$AA$1226</f>
        <v>0</v>
      </c>
      <c r="P1226" s="57"/>
      <c r="Q1226" s="57"/>
      <c r="R1226" s="57"/>
      <c r="S1226" s="57"/>
      <c r="T1226" s="57"/>
      <c r="U1226" s="57"/>
      <c r="V1226" s="57"/>
      <c r="W1226" s="57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</row>
    <row r="1227" spans="1:36" ht="11.25" customHeight="1" x14ac:dyDescent="0.2">
      <c r="A1227" s="53" t="s">
        <v>21</v>
      </c>
      <c r="B1227" s="53" t="s">
        <v>33</v>
      </c>
      <c r="C1227" s="53" t="s">
        <v>34</v>
      </c>
      <c r="D1227" s="53" t="s">
        <v>45</v>
      </c>
      <c r="E1227" s="53" t="s">
        <v>25</v>
      </c>
      <c r="F1227" s="53" t="s">
        <v>25</v>
      </c>
      <c r="G1227" s="53" t="s">
        <v>25</v>
      </c>
      <c r="H1227" s="53" t="s">
        <v>25</v>
      </c>
      <c r="I1227" s="75">
        <v>44470</v>
      </c>
      <c r="J1227" s="76">
        <f ca="1">EFEITO!$J$1227*EFEITO!$Y$1091</f>
        <v>65916.633650453703</v>
      </c>
      <c r="K1227" s="76">
        <f>EFEITO!$L$1227*EFEITO!$Z$1091</f>
        <v>0</v>
      </c>
      <c r="L1227" s="76">
        <f>EFEITO!$N$1227*EFEITO!$AA$1091</f>
        <v>0</v>
      </c>
      <c r="M1227" s="76">
        <f ca="1">$J$1227-EFEITO!$K$1227*EFEITO!$Y$1227</f>
        <v>1318.3326730090703</v>
      </c>
      <c r="N1227" s="76">
        <f>$K$1227-EFEITO!$M$1227*EFEITO!$Z$1227</f>
        <v>0</v>
      </c>
      <c r="O1227" s="76">
        <f>$L$1227-EFEITO!$O$1227*EFEITO!$AA$1227</f>
        <v>0</v>
      </c>
      <c r="P1227" s="57"/>
      <c r="Q1227" s="57"/>
      <c r="R1227" s="57"/>
      <c r="S1227" s="57"/>
      <c r="T1227" s="57"/>
      <c r="U1227" s="57"/>
      <c r="V1227" s="57"/>
      <c r="W1227" s="57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</row>
    <row r="1228" spans="1:36" ht="11.25" customHeight="1" x14ac:dyDescent="0.2">
      <c r="A1228" s="53" t="s">
        <v>28</v>
      </c>
      <c r="B1228" s="53" t="s">
        <v>33</v>
      </c>
      <c r="C1228" s="53" t="s">
        <v>34</v>
      </c>
      <c r="D1228" s="53" t="s">
        <v>45</v>
      </c>
      <c r="E1228" s="53" t="s">
        <v>25</v>
      </c>
      <c r="F1228" s="53" t="s">
        <v>25</v>
      </c>
      <c r="G1228" s="53" t="s">
        <v>25</v>
      </c>
      <c r="H1228" s="53" t="s">
        <v>25</v>
      </c>
      <c r="I1228" s="75">
        <v>44470</v>
      </c>
      <c r="J1228" s="76">
        <f ca="1">EFEITO!$J$1228*EFEITO!$Y$1091</f>
        <v>5797.3087230002329</v>
      </c>
      <c r="K1228" s="76">
        <f>EFEITO!$L$1228*EFEITO!$Z$1091</f>
        <v>0</v>
      </c>
      <c r="L1228" s="76">
        <f>EFEITO!$N$1228*EFEITO!$AA$1091</f>
        <v>0</v>
      </c>
      <c r="M1228" s="76">
        <f ca="1">$J$1228-EFEITO!$K$1228*EFEITO!$Y$1228</f>
        <v>115.94617446000484</v>
      </c>
      <c r="N1228" s="76">
        <f>$K$1228-EFEITO!$M$1228*EFEITO!$Z$1228</f>
        <v>0</v>
      </c>
      <c r="O1228" s="76">
        <f>$L$1228-EFEITO!$O$1228*EFEITO!$AA$1228</f>
        <v>0</v>
      </c>
      <c r="P1228" s="57"/>
      <c r="Q1228" s="57"/>
      <c r="R1228" s="57"/>
      <c r="S1228" s="57"/>
      <c r="T1228" s="57"/>
      <c r="U1228" s="57"/>
      <c r="V1228" s="57"/>
      <c r="W1228" s="57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</row>
    <row r="1229" spans="1:36" ht="11.25" customHeight="1" x14ac:dyDescent="0.2">
      <c r="A1229" s="53" t="s">
        <v>21</v>
      </c>
      <c r="B1229" s="53" t="s">
        <v>33</v>
      </c>
      <c r="C1229" s="53" t="s">
        <v>34</v>
      </c>
      <c r="D1229" s="53" t="s">
        <v>45</v>
      </c>
      <c r="E1229" s="53" t="s">
        <v>25</v>
      </c>
      <c r="F1229" s="53" t="s">
        <v>25</v>
      </c>
      <c r="G1229" s="53" t="s">
        <v>25</v>
      </c>
      <c r="H1229" s="53" t="s">
        <v>25</v>
      </c>
      <c r="I1229" s="75">
        <v>44501</v>
      </c>
      <c r="J1229" s="76">
        <f ca="1">EFEITO!$J$1229*EFEITO!$Y$1091</f>
        <v>80989.636330254318</v>
      </c>
      <c r="K1229" s="76">
        <f>EFEITO!$L$1229*EFEITO!$Z$1091</f>
        <v>0</v>
      </c>
      <c r="L1229" s="76">
        <f>EFEITO!$N$1229*EFEITO!$AA$1091</f>
        <v>0</v>
      </c>
      <c r="M1229" s="76">
        <f ca="1">$J$1229-EFEITO!$K$1229*EFEITO!$Y$1229</f>
        <v>1619.7927266050974</v>
      </c>
      <c r="N1229" s="76">
        <f>$K$1229-EFEITO!$M$1229*EFEITO!$Z$1229</f>
        <v>0</v>
      </c>
      <c r="O1229" s="76">
        <f>$L$1229-EFEITO!$O$1229*EFEITO!$AA$1229</f>
        <v>0</v>
      </c>
      <c r="P1229" s="57"/>
      <c r="Q1229" s="57"/>
      <c r="R1229" s="57"/>
      <c r="S1229" s="57"/>
      <c r="T1229" s="57"/>
      <c r="U1229" s="57"/>
      <c r="V1229" s="57"/>
      <c r="W1229" s="57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</row>
    <row r="1230" spans="1:36" ht="11.25" customHeight="1" x14ac:dyDescent="0.2">
      <c r="A1230" s="53" t="s">
        <v>28</v>
      </c>
      <c r="B1230" s="53" t="s">
        <v>33</v>
      </c>
      <c r="C1230" s="53" t="s">
        <v>34</v>
      </c>
      <c r="D1230" s="53" t="s">
        <v>45</v>
      </c>
      <c r="E1230" s="53" t="s">
        <v>25</v>
      </c>
      <c r="F1230" s="53" t="s">
        <v>25</v>
      </c>
      <c r="G1230" s="53" t="s">
        <v>25</v>
      </c>
      <c r="H1230" s="53" t="s">
        <v>25</v>
      </c>
      <c r="I1230" s="75">
        <v>44501</v>
      </c>
      <c r="J1230" s="76">
        <f ca="1">EFEITO!$J$1230*EFEITO!$Y$1091</f>
        <v>8856.314176838654</v>
      </c>
      <c r="K1230" s="76">
        <f>EFEITO!$L$1230*EFEITO!$Z$1091</f>
        <v>0</v>
      </c>
      <c r="L1230" s="76">
        <f>EFEITO!$N$1230*EFEITO!$AA$1091</f>
        <v>0</v>
      </c>
      <c r="M1230" s="76">
        <f ca="1">$J$1230-EFEITO!$K$1230*EFEITO!$Y$1230</f>
        <v>177.12628353677428</v>
      </c>
      <c r="N1230" s="76">
        <f>$K$1230-EFEITO!$M$1230*EFEITO!$Z$1230</f>
        <v>0</v>
      </c>
      <c r="O1230" s="76">
        <f>$L$1230-EFEITO!$O$1230*EFEITO!$AA$1230</f>
        <v>0</v>
      </c>
      <c r="P1230" s="57"/>
      <c r="Q1230" s="57"/>
      <c r="R1230" s="57"/>
      <c r="S1230" s="57"/>
      <c r="T1230" s="57"/>
      <c r="U1230" s="57"/>
      <c r="V1230" s="57"/>
      <c r="W1230" s="57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</row>
    <row r="1231" spans="1:36" ht="11.25" customHeight="1" x14ac:dyDescent="0.2">
      <c r="A1231" s="53" t="s">
        <v>21</v>
      </c>
      <c r="B1231" s="53" t="s">
        <v>33</v>
      </c>
      <c r="C1231" s="53" t="s">
        <v>34</v>
      </c>
      <c r="D1231" s="53" t="s">
        <v>45</v>
      </c>
      <c r="E1231" s="53" t="s">
        <v>25</v>
      </c>
      <c r="F1231" s="53" t="s">
        <v>25</v>
      </c>
      <c r="G1231" s="53" t="s">
        <v>25</v>
      </c>
      <c r="H1231" s="53" t="s">
        <v>25</v>
      </c>
      <c r="I1231" s="75">
        <v>44531</v>
      </c>
      <c r="J1231" s="76">
        <f ca="1">EFEITO!$J$1231*EFEITO!$Y$1091</f>
        <v>76573.813941245622</v>
      </c>
      <c r="K1231" s="76">
        <f>EFEITO!$L$1231*EFEITO!$Z$1091</f>
        <v>0</v>
      </c>
      <c r="L1231" s="76">
        <f>EFEITO!$N$1231*EFEITO!$AA$1091</f>
        <v>0</v>
      </c>
      <c r="M1231" s="76">
        <f ca="1">$J$1231-EFEITO!$K$1231*EFEITO!$Y$1231</f>
        <v>1531.4762788249063</v>
      </c>
      <c r="N1231" s="76">
        <f>$K$1231-EFEITO!$M$1231*EFEITO!$Z$1231</f>
        <v>0</v>
      </c>
      <c r="O1231" s="76">
        <f>$L$1231-EFEITO!$O$1231*EFEITO!$AA$1231</f>
        <v>0</v>
      </c>
      <c r="P1231" s="57"/>
      <c r="Q1231" s="57"/>
      <c r="R1231" s="57"/>
      <c r="S1231" s="57"/>
      <c r="T1231" s="57"/>
      <c r="U1231" s="57"/>
      <c r="V1231" s="57"/>
      <c r="W1231" s="57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</row>
    <row r="1232" spans="1:36" ht="11.25" customHeight="1" x14ac:dyDescent="0.2">
      <c r="A1232" s="53" t="s">
        <v>28</v>
      </c>
      <c r="B1232" s="53" t="s">
        <v>33</v>
      </c>
      <c r="C1232" s="53" t="s">
        <v>34</v>
      </c>
      <c r="D1232" s="53" t="s">
        <v>45</v>
      </c>
      <c r="E1232" s="53" t="s">
        <v>25</v>
      </c>
      <c r="F1232" s="53" t="s">
        <v>25</v>
      </c>
      <c r="G1232" s="53" t="s">
        <v>25</v>
      </c>
      <c r="H1232" s="53" t="s">
        <v>25</v>
      </c>
      <c r="I1232" s="75">
        <v>44531</v>
      </c>
      <c r="J1232" s="76">
        <f ca="1">EFEITO!$J$1232*EFEITO!$Y$1091</f>
        <v>8757.6365815535428</v>
      </c>
      <c r="K1232" s="76">
        <f>EFEITO!$L$1232*EFEITO!$Z$1091</f>
        <v>0</v>
      </c>
      <c r="L1232" s="76">
        <f>EFEITO!$N$1232*EFEITO!$AA$1091</f>
        <v>0</v>
      </c>
      <c r="M1232" s="76">
        <f ca="1">$J$1232-EFEITO!$K$1232*EFEITO!$Y$1232</f>
        <v>175.15273163107122</v>
      </c>
      <c r="N1232" s="76">
        <f>$K$1232-EFEITO!$M$1232*EFEITO!$Z$1232</f>
        <v>0</v>
      </c>
      <c r="O1232" s="76">
        <f>$L$1232-EFEITO!$O$1232*EFEITO!$AA$1232</f>
        <v>0</v>
      </c>
      <c r="P1232" s="57"/>
      <c r="Q1232" s="57"/>
      <c r="R1232" s="57"/>
      <c r="S1232" s="57"/>
      <c r="T1232" s="57"/>
      <c r="U1232" s="57"/>
      <c r="V1232" s="57"/>
      <c r="W1232" s="57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</row>
    <row r="1233" spans="1:36" ht="11.25" customHeight="1" x14ac:dyDescent="0.2">
      <c r="A1233" s="53" t="s">
        <v>21</v>
      </c>
      <c r="B1233" s="53" t="s">
        <v>33</v>
      </c>
      <c r="C1233" s="53" t="s">
        <v>34</v>
      </c>
      <c r="D1233" s="53" t="s">
        <v>45</v>
      </c>
      <c r="E1233" s="53" t="s">
        <v>25</v>
      </c>
      <c r="F1233" s="53" t="s">
        <v>25</v>
      </c>
      <c r="G1233" s="53" t="s">
        <v>25</v>
      </c>
      <c r="H1233" s="53" t="s">
        <v>25</v>
      </c>
      <c r="I1233" s="75">
        <v>44562</v>
      </c>
      <c r="J1233" s="76">
        <f ca="1">EFEITO!$J$1233*EFEITO!$Y$1091</f>
        <v>91424.792031654739</v>
      </c>
      <c r="K1233" s="76">
        <f>EFEITO!$L$1233*EFEITO!$Z$1091</f>
        <v>0</v>
      </c>
      <c r="L1233" s="76">
        <f>EFEITO!$N$1233*EFEITO!$AA$1091</f>
        <v>0</v>
      </c>
      <c r="M1233" s="76">
        <f ca="1">$J$1233-EFEITO!$K$1233*EFEITO!$Y$1233</f>
        <v>1828.4958406330989</v>
      </c>
      <c r="N1233" s="76">
        <f>$K$1233-EFEITO!$M$1233*EFEITO!$Z$1233</f>
        <v>0</v>
      </c>
      <c r="O1233" s="76">
        <f>$L$1233-EFEITO!$O$1233*EFEITO!$AA$1233</f>
        <v>0</v>
      </c>
      <c r="P1233" s="57"/>
      <c r="Q1233" s="57"/>
      <c r="R1233" s="57"/>
      <c r="S1233" s="57"/>
      <c r="T1233" s="57"/>
      <c r="U1233" s="57"/>
      <c r="V1233" s="57"/>
      <c r="W1233" s="57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</row>
    <row r="1234" spans="1:36" ht="11.25" customHeight="1" x14ac:dyDescent="0.2">
      <c r="A1234" s="53" t="s">
        <v>28</v>
      </c>
      <c r="B1234" s="53" t="s">
        <v>33</v>
      </c>
      <c r="C1234" s="53" t="s">
        <v>34</v>
      </c>
      <c r="D1234" s="53" t="s">
        <v>45</v>
      </c>
      <c r="E1234" s="53" t="s">
        <v>25</v>
      </c>
      <c r="F1234" s="53" t="s">
        <v>25</v>
      </c>
      <c r="G1234" s="53" t="s">
        <v>25</v>
      </c>
      <c r="H1234" s="53" t="s">
        <v>25</v>
      </c>
      <c r="I1234" s="75">
        <v>44562</v>
      </c>
      <c r="J1234" s="76">
        <f ca="1">EFEITO!$J$1234*EFEITO!$Y$1091</f>
        <v>9053.6693674088747</v>
      </c>
      <c r="K1234" s="76">
        <f>EFEITO!$L$1234*EFEITO!$Z$1091</f>
        <v>0</v>
      </c>
      <c r="L1234" s="76">
        <f>EFEITO!$N$1234*EFEITO!$AA$1091</f>
        <v>0</v>
      </c>
      <c r="M1234" s="76">
        <f ca="1">$J$1234-EFEITO!$K$1234*EFEITO!$Y$1234</f>
        <v>181.07338734817858</v>
      </c>
      <c r="N1234" s="76">
        <f>$K$1234-EFEITO!$M$1234*EFEITO!$Z$1234</f>
        <v>0</v>
      </c>
      <c r="O1234" s="76">
        <f>$L$1234-EFEITO!$O$1234*EFEITO!$AA$1234</f>
        <v>0</v>
      </c>
      <c r="P1234" s="57"/>
      <c r="Q1234" s="57"/>
      <c r="R1234" s="57"/>
      <c r="S1234" s="57"/>
      <c r="T1234" s="57"/>
      <c r="U1234" s="57"/>
      <c r="V1234" s="57"/>
      <c r="W1234" s="57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</row>
    <row r="1235" spans="1:36" ht="11.25" customHeight="1" x14ac:dyDescent="0.2">
      <c r="A1235" s="53" t="s">
        <v>21</v>
      </c>
      <c r="B1235" s="53" t="s">
        <v>33</v>
      </c>
      <c r="C1235" s="53" t="s">
        <v>34</v>
      </c>
      <c r="D1235" s="53" t="s">
        <v>45</v>
      </c>
      <c r="E1235" s="53" t="s">
        <v>25</v>
      </c>
      <c r="F1235" s="53" t="s">
        <v>25</v>
      </c>
      <c r="G1235" s="53" t="s">
        <v>25</v>
      </c>
      <c r="H1235" s="53" t="s">
        <v>25</v>
      </c>
      <c r="I1235" s="75">
        <v>44593</v>
      </c>
      <c r="J1235" s="76">
        <f ca="1">EFEITO!$J$1235*EFEITO!$Y$1091</f>
        <v>64855.849501138771</v>
      </c>
      <c r="K1235" s="76">
        <f>EFEITO!$L$1235*EFEITO!$Z$1091</f>
        <v>0</v>
      </c>
      <c r="L1235" s="76">
        <f>EFEITO!$N$1235*EFEITO!$AA$1091</f>
        <v>0</v>
      </c>
      <c r="M1235" s="76">
        <f ca="1">$J$1235-EFEITO!$K$1235*EFEITO!$Y$1235</f>
        <v>1297.116990022776</v>
      </c>
      <c r="N1235" s="76">
        <f>$K$1235-EFEITO!$M$1235*EFEITO!$Z$1235</f>
        <v>0</v>
      </c>
      <c r="O1235" s="76">
        <f>$L$1235-EFEITO!$O$1235*EFEITO!$AA$1235</f>
        <v>0</v>
      </c>
      <c r="P1235" s="57"/>
      <c r="Q1235" s="57"/>
      <c r="R1235" s="57"/>
      <c r="S1235" s="57"/>
      <c r="T1235" s="57"/>
      <c r="U1235" s="57"/>
      <c r="V1235" s="57"/>
      <c r="W1235" s="57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</row>
    <row r="1236" spans="1:36" ht="11.25" customHeight="1" x14ac:dyDescent="0.2">
      <c r="A1236" s="53" t="s">
        <v>28</v>
      </c>
      <c r="B1236" s="53" t="s">
        <v>33</v>
      </c>
      <c r="C1236" s="53" t="s">
        <v>34</v>
      </c>
      <c r="D1236" s="53" t="s">
        <v>45</v>
      </c>
      <c r="E1236" s="53" t="s">
        <v>25</v>
      </c>
      <c r="F1236" s="53" t="s">
        <v>25</v>
      </c>
      <c r="G1236" s="53" t="s">
        <v>25</v>
      </c>
      <c r="H1236" s="53" t="s">
        <v>25</v>
      </c>
      <c r="I1236" s="75">
        <v>44593</v>
      </c>
      <c r="J1236" s="76">
        <f ca="1">EFEITO!$J$1236*EFEITO!$Y$1091</f>
        <v>9152.3469626939841</v>
      </c>
      <c r="K1236" s="76">
        <f>EFEITO!$L$1236*EFEITO!$Z$1091</f>
        <v>0</v>
      </c>
      <c r="L1236" s="76">
        <f>EFEITO!$N$1236*EFEITO!$AA$1091</f>
        <v>0</v>
      </c>
      <c r="M1236" s="76">
        <f ca="1">$J$1236-EFEITO!$K$1236*EFEITO!$Y$1236</f>
        <v>183.04693925387983</v>
      </c>
      <c r="N1236" s="76">
        <f>$K$1236-EFEITO!$M$1236*EFEITO!$Z$1236</f>
        <v>0</v>
      </c>
      <c r="O1236" s="76">
        <f>$L$1236-EFEITO!$O$1236*EFEITO!$AA$1236</f>
        <v>0</v>
      </c>
      <c r="P1236" s="57"/>
      <c r="Q1236" s="57"/>
      <c r="R1236" s="57"/>
      <c r="S1236" s="57"/>
      <c r="T1236" s="57"/>
      <c r="U1236" s="57"/>
      <c r="V1236" s="57"/>
      <c r="W1236" s="57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</row>
    <row r="1237" spans="1:36" ht="11.25" customHeight="1" x14ac:dyDescent="0.2">
      <c r="A1237" s="53" t="s">
        <v>21</v>
      </c>
      <c r="B1237" s="53" t="s">
        <v>33</v>
      </c>
      <c r="C1237" s="53" t="s">
        <v>34</v>
      </c>
      <c r="D1237" s="53" t="s">
        <v>45</v>
      </c>
      <c r="E1237" s="53" t="s">
        <v>25</v>
      </c>
      <c r="F1237" s="53" t="s">
        <v>25</v>
      </c>
      <c r="G1237" s="53" t="s">
        <v>25</v>
      </c>
      <c r="H1237" s="53" t="s">
        <v>25</v>
      </c>
      <c r="I1237" s="75">
        <v>44621</v>
      </c>
      <c r="J1237" s="76">
        <f ca="1">EFEITO!$J$1237*EFEITO!$Y$1091</f>
        <v>92362.229186863275</v>
      </c>
      <c r="K1237" s="76">
        <f>EFEITO!$L$1237*EFEITO!$Z$1091</f>
        <v>0</v>
      </c>
      <c r="L1237" s="76">
        <f>EFEITO!$N$1237*EFEITO!$AA$1091</f>
        <v>0</v>
      </c>
      <c r="M1237" s="76">
        <f ca="1">$J$1237-EFEITO!$K$1237*EFEITO!$Y$1237</f>
        <v>1847.2445837372652</v>
      </c>
      <c r="N1237" s="76">
        <f>$K$1237-EFEITO!$M$1237*EFEITO!$Z$1237</f>
        <v>0</v>
      </c>
      <c r="O1237" s="76">
        <f>$L$1237-EFEITO!$O$1237*EFEITO!$AA$1237</f>
        <v>0</v>
      </c>
      <c r="P1237" s="57"/>
      <c r="Q1237" s="57"/>
      <c r="R1237" s="57"/>
      <c r="S1237" s="57"/>
      <c r="T1237" s="57"/>
      <c r="U1237" s="57"/>
      <c r="V1237" s="57"/>
      <c r="W1237" s="57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</row>
    <row r="1238" spans="1:36" ht="11.25" customHeight="1" x14ac:dyDescent="0.2">
      <c r="A1238" s="53" t="s">
        <v>28</v>
      </c>
      <c r="B1238" s="53" t="s">
        <v>33</v>
      </c>
      <c r="C1238" s="53" t="s">
        <v>34</v>
      </c>
      <c r="D1238" s="53" t="s">
        <v>45</v>
      </c>
      <c r="E1238" s="53" t="s">
        <v>25</v>
      </c>
      <c r="F1238" s="53" t="s">
        <v>25</v>
      </c>
      <c r="G1238" s="53" t="s">
        <v>25</v>
      </c>
      <c r="H1238" s="53" t="s">
        <v>25</v>
      </c>
      <c r="I1238" s="75">
        <v>44621</v>
      </c>
      <c r="J1238" s="76">
        <f ca="1">EFEITO!$J$1238*EFEITO!$Y$1091</f>
        <v>21659.732165081721</v>
      </c>
      <c r="K1238" s="76">
        <f>EFEITO!$L$1238*EFEITO!$Z$1091</f>
        <v>0</v>
      </c>
      <c r="L1238" s="76">
        <f>EFEITO!$N$1238*EFEITO!$AA$1091</f>
        <v>0</v>
      </c>
      <c r="M1238" s="76">
        <f ca="1">$J$1238-EFEITO!$K$1238*EFEITO!$Y$1238</f>
        <v>433.19464330163464</v>
      </c>
      <c r="N1238" s="76">
        <f>$K$1238-EFEITO!$M$1238*EFEITO!$Z$1238</f>
        <v>0</v>
      </c>
      <c r="O1238" s="76">
        <f>$L$1238-EFEITO!$O$1238*EFEITO!$AA$1238</f>
        <v>0</v>
      </c>
      <c r="P1238" s="57"/>
      <c r="Q1238" s="57"/>
      <c r="R1238" s="57"/>
      <c r="S1238" s="57"/>
      <c r="T1238" s="57"/>
      <c r="U1238" s="57"/>
      <c r="V1238" s="57"/>
      <c r="W1238" s="57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</row>
    <row r="1239" spans="1:36" ht="11.25" customHeight="1" x14ac:dyDescent="0.2">
      <c r="A1239" s="53" t="s">
        <v>56</v>
      </c>
      <c r="B1239" s="53" t="s">
        <v>33</v>
      </c>
      <c r="C1239" s="53" t="s">
        <v>34</v>
      </c>
      <c r="D1239" s="53" t="s">
        <v>45</v>
      </c>
      <c r="E1239" s="53" t="s">
        <v>25</v>
      </c>
      <c r="F1239" s="53" t="s">
        <v>25</v>
      </c>
      <c r="G1239" s="53" t="s">
        <v>25</v>
      </c>
      <c r="H1239" s="53" t="s">
        <v>25</v>
      </c>
      <c r="I1239" s="75">
        <v>44652</v>
      </c>
      <c r="J1239" s="76">
        <f ca="1">EFEITO!$J$1239*EFEITO!$Y$1091</f>
        <v>92362.229186863275</v>
      </c>
      <c r="K1239" s="76">
        <f>EFEITO!$L$1239*EFEITO!$Z$1091</f>
        <v>0</v>
      </c>
      <c r="L1239" s="76">
        <f>EFEITO!$N$1239*EFEITO!$AA$1091</f>
        <v>0</v>
      </c>
      <c r="M1239" s="76">
        <f ca="1">$J$1239-EFEITO!$K$1239*EFEITO!$Y$1239</f>
        <v>1847.2445837372652</v>
      </c>
      <c r="N1239" s="76">
        <f>$K$1239-EFEITO!$M$1239*EFEITO!$Z$1239</f>
        <v>0</v>
      </c>
      <c r="O1239" s="76">
        <f>$L$1239-EFEITO!$O$1239*EFEITO!$AA$1239</f>
        <v>0</v>
      </c>
      <c r="P1239" s="57"/>
      <c r="Q1239" s="57"/>
      <c r="R1239" s="57"/>
      <c r="S1239" s="57"/>
      <c r="T1239" s="57"/>
      <c r="U1239" s="57"/>
      <c r="V1239" s="57"/>
      <c r="W1239" s="57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</row>
    <row r="1240" spans="1:36" ht="11.25" customHeight="1" x14ac:dyDescent="0.2">
      <c r="A1240" s="53" t="s">
        <v>56</v>
      </c>
      <c r="B1240" s="53" t="s">
        <v>33</v>
      </c>
      <c r="C1240" s="53" t="s">
        <v>34</v>
      </c>
      <c r="D1240" s="53" t="s">
        <v>45</v>
      </c>
      <c r="E1240" s="53" t="s">
        <v>25</v>
      </c>
      <c r="F1240" s="53" t="s">
        <v>25</v>
      </c>
      <c r="G1240" s="53" t="s">
        <v>25</v>
      </c>
      <c r="H1240" s="53" t="s">
        <v>25</v>
      </c>
      <c r="I1240" s="75">
        <v>44652</v>
      </c>
      <c r="J1240" s="76">
        <f ca="1">EFEITO!$J$1240*EFEITO!$Y$1091</f>
        <v>21659.732165081721</v>
      </c>
      <c r="K1240" s="76">
        <f>EFEITO!$L$1240*EFEITO!$Z$1091</f>
        <v>0</v>
      </c>
      <c r="L1240" s="76">
        <f>EFEITO!$N$1240*EFEITO!$AA$1091</f>
        <v>0</v>
      </c>
      <c r="M1240" s="76">
        <f ca="1">$J$1240-EFEITO!$K$1240*EFEITO!$Y$1240</f>
        <v>433.19464330163464</v>
      </c>
      <c r="N1240" s="76">
        <f>$K$1240-EFEITO!$M$1240*EFEITO!$Z$1240</f>
        <v>0</v>
      </c>
      <c r="O1240" s="76">
        <f>$L$1240-EFEITO!$O$1240*EFEITO!$AA$1240</f>
        <v>0</v>
      </c>
      <c r="P1240" s="57"/>
      <c r="Q1240" s="57"/>
      <c r="R1240" s="57"/>
      <c r="S1240" s="57"/>
      <c r="T1240" s="57"/>
      <c r="U1240" s="57"/>
      <c r="V1240" s="57"/>
      <c r="W1240" s="57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</row>
    <row r="1241" spans="1:36" ht="11.25" customHeight="1" x14ac:dyDescent="0.2">
      <c r="A1241" s="53" t="s">
        <v>21</v>
      </c>
      <c r="B1241" s="53" t="s">
        <v>33</v>
      </c>
      <c r="C1241" s="53" t="s">
        <v>34</v>
      </c>
      <c r="D1241" s="53" t="s">
        <v>45</v>
      </c>
      <c r="E1241" s="53" t="s">
        <v>25</v>
      </c>
      <c r="F1241" s="53" t="s">
        <v>25</v>
      </c>
      <c r="G1241" s="53" t="s">
        <v>25</v>
      </c>
      <c r="H1241" s="53" t="s">
        <v>35</v>
      </c>
      <c r="I1241" s="75">
        <v>44317</v>
      </c>
      <c r="J1241" s="76">
        <f>EFEITO!$J$1241*EFEITO!$Y$1107</f>
        <v>0</v>
      </c>
      <c r="K1241" s="76">
        <f ca="1">EFEITO!$L$1241*EFEITO!$Z$1107</f>
        <v>108136.82883906813</v>
      </c>
      <c r="L1241" s="76">
        <f>EFEITO!$N$1241*EFEITO!$AA$1107</f>
        <v>25478.300638378991</v>
      </c>
      <c r="M1241" s="76">
        <f>$J$1241-EFEITO!$K$1241*EFEITO!$Y$1241</f>
        <v>0</v>
      </c>
      <c r="N1241" s="76">
        <f ca="1">$K$1241-EFEITO!$M$1241*EFEITO!$Z$1241</f>
        <v>2162.7365767813753</v>
      </c>
      <c r="O1241" s="76">
        <f>$L$1241-EFEITO!$O$1241*EFEITO!$AA$1241</f>
        <v>509.5660127675801</v>
      </c>
      <c r="P1241" s="57"/>
      <c r="Q1241" s="57"/>
      <c r="R1241" s="57"/>
      <c r="S1241" s="57"/>
      <c r="T1241" s="57"/>
      <c r="U1241" s="57"/>
      <c r="V1241" s="57"/>
      <c r="W1241" s="57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</row>
    <row r="1242" spans="1:36" ht="11.25" customHeight="1" x14ac:dyDescent="0.2">
      <c r="A1242" s="53" t="s">
        <v>28</v>
      </c>
      <c r="B1242" s="53" t="s">
        <v>33</v>
      </c>
      <c r="C1242" s="53" t="s">
        <v>34</v>
      </c>
      <c r="D1242" s="53" t="s">
        <v>45</v>
      </c>
      <c r="E1242" s="53" t="s">
        <v>25</v>
      </c>
      <c r="F1242" s="53" t="s">
        <v>25</v>
      </c>
      <c r="G1242" s="53" t="s">
        <v>25</v>
      </c>
      <c r="H1242" s="53" t="s">
        <v>35</v>
      </c>
      <c r="I1242" s="75">
        <v>44317</v>
      </c>
      <c r="J1242" s="76">
        <f>EFEITO!$J$1242*EFEITO!$Y$1107</f>
        <v>0</v>
      </c>
      <c r="K1242" s="76">
        <f ca="1">EFEITO!$L$1242*EFEITO!$Z$1107</f>
        <v>109.74705197875645</v>
      </c>
      <c r="L1242" s="76">
        <f>EFEITO!$N$1242*EFEITO!$AA$1107</f>
        <v>25.857688028302444</v>
      </c>
      <c r="M1242" s="76">
        <f>$J$1242-EFEITO!$K$1242*EFEITO!$Y$1242</f>
        <v>0</v>
      </c>
      <c r="N1242" s="76">
        <f ca="1">$K$1242-EFEITO!$M$1242*EFEITO!$Z$1242</f>
        <v>2.1949410395751414</v>
      </c>
      <c r="O1242" s="76">
        <f>$L$1242-EFEITO!$O$1242*EFEITO!$AA$1242</f>
        <v>0.51715376056604612</v>
      </c>
      <c r="P1242" s="57"/>
      <c r="Q1242" s="57"/>
      <c r="R1242" s="57"/>
      <c r="S1242" s="57"/>
      <c r="T1242" s="57"/>
      <c r="U1242" s="57"/>
      <c r="V1242" s="57"/>
      <c r="W1242" s="57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</row>
    <row r="1243" spans="1:36" ht="11.25" customHeight="1" x14ac:dyDescent="0.2">
      <c r="A1243" s="53" t="s">
        <v>21</v>
      </c>
      <c r="B1243" s="53" t="s">
        <v>33</v>
      </c>
      <c r="C1243" s="53" t="s">
        <v>34</v>
      </c>
      <c r="D1243" s="53" t="s">
        <v>45</v>
      </c>
      <c r="E1243" s="53" t="s">
        <v>25</v>
      </c>
      <c r="F1243" s="53" t="s">
        <v>25</v>
      </c>
      <c r="G1243" s="53" t="s">
        <v>25</v>
      </c>
      <c r="H1243" s="53" t="s">
        <v>35</v>
      </c>
      <c r="I1243" s="75">
        <v>44348</v>
      </c>
      <c r="J1243" s="76">
        <f>EFEITO!$J$1243*EFEITO!$Y$1107</f>
        <v>0</v>
      </c>
      <c r="K1243" s="76">
        <f ca="1">EFEITO!$L$1243*EFEITO!$Z$1107</f>
        <v>101559.20224834135</v>
      </c>
      <c r="L1243" s="76">
        <f>EFEITO!$N$1243*EFEITO!$AA$1107</f>
        <v>23928.534942781062</v>
      </c>
      <c r="M1243" s="76">
        <f>$J$1243-EFEITO!$K$1243*EFEITO!$Y$1243</f>
        <v>0</v>
      </c>
      <c r="N1243" s="76">
        <f ca="1">$K$1243-EFEITO!$M$1243*EFEITO!$Z$1243</f>
        <v>2031.184044966838</v>
      </c>
      <c r="O1243" s="76">
        <f>$L$1243-EFEITO!$O$1243*EFEITO!$AA$1243</f>
        <v>478.57069885562305</v>
      </c>
      <c r="P1243" s="57"/>
      <c r="Q1243" s="57"/>
      <c r="R1243" s="57"/>
      <c r="S1243" s="57"/>
      <c r="T1243" s="57"/>
      <c r="U1243" s="57"/>
      <c r="V1243" s="57"/>
      <c r="W1243" s="57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</row>
    <row r="1244" spans="1:36" ht="11.25" customHeight="1" x14ac:dyDescent="0.2">
      <c r="A1244" s="53" t="s">
        <v>28</v>
      </c>
      <c r="B1244" s="53" t="s">
        <v>33</v>
      </c>
      <c r="C1244" s="53" t="s">
        <v>34</v>
      </c>
      <c r="D1244" s="53" t="s">
        <v>45</v>
      </c>
      <c r="E1244" s="53" t="s">
        <v>25</v>
      </c>
      <c r="F1244" s="53" t="s">
        <v>25</v>
      </c>
      <c r="G1244" s="53" t="s">
        <v>25</v>
      </c>
      <c r="H1244" s="53" t="s">
        <v>35</v>
      </c>
      <c r="I1244" s="75">
        <v>44348</v>
      </c>
      <c r="J1244" s="76">
        <f>EFEITO!$J$1244*EFEITO!$Y$1107</f>
        <v>0</v>
      </c>
      <c r="K1244" s="76">
        <f ca="1">EFEITO!$L$1244*EFEITO!$Z$1107</f>
        <v>-1887.2894676346805</v>
      </c>
      <c r="L1244" s="76">
        <f>EFEITO!$N$1244*EFEITO!$AA$1107</f>
        <v>-444.66745478179121</v>
      </c>
      <c r="M1244" s="76">
        <f>$J$1244-EFEITO!$K$1244*EFEITO!$Y$1244</f>
        <v>0</v>
      </c>
      <c r="N1244" s="76">
        <f ca="1">$K$1244-EFEITO!$M$1244*EFEITO!$Z$1244</f>
        <v>-37.745789352693919</v>
      </c>
      <c r="O1244" s="76">
        <f>$L$1244-EFEITO!$O$1244*EFEITO!$AA$1244</f>
        <v>-8.8933490956358128</v>
      </c>
      <c r="P1244" s="57"/>
      <c r="Q1244" s="57"/>
      <c r="R1244" s="57"/>
      <c r="S1244" s="57"/>
      <c r="T1244" s="57"/>
      <c r="U1244" s="57"/>
      <c r="V1244" s="57"/>
      <c r="W1244" s="57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</row>
    <row r="1245" spans="1:36" ht="11.25" customHeight="1" x14ac:dyDescent="0.2">
      <c r="A1245" s="53" t="s">
        <v>21</v>
      </c>
      <c r="B1245" s="53" t="s">
        <v>33</v>
      </c>
      <c r="C1245" s="53" t="s">
        <v>34</v>
      </c>
      <c r="D1245" s="53" t="s">
        <v>45</v>
      </c>
      <c r="E1245" s="53" t="s">
        <v>25</v>
      </c>
      <c r="F1245" s="53" t="s">
        <v>25</v>
      </c>
      <c r="G1245" s="53" t="s">
        <v>25</v>
      </c>
      <c r="H1245" s="53" t="s">
        <v>35</v>
      </c>
      <c r="I1245" s="75">
        <v>44378</v>
      </c>
      <c r="J1245" s="76">
        <f>EFEITO!$J$1245*EFEITO!$Y$1107</f>
        <v>0</v>
      </c>
      <c r="K1245" s="76">
        <f ca="1">EFEITO!$L$1245*EFEITO!$Z$1107</f>
        <v>108395.90384701799</v>
      </c>
      <c r="L1245" s="76">
        <f>EFEITO!$N$1245*EFEITO!$AA$1107</f>
        <v>25539.34173798679</v>
      </c>
      <c r="M1245" s="76">
        <f>$J$1245-EFEITO!$K$1245*EFEITO!$Y$1245</f>
        <v>0</v>
      </c>
      <c r="N1245" s="76">
        <f ca="1">$K$1245-EFEITO!$M$1245*EFEITO!$Z$1245</f>
        <v>2167.9180769403756</v>
      </c>
      <c r="O1245" s="76">
        <f>$L$1245-EFEITO!$O$1245*EFEITO!$AA$1245</f>
        <v>510.78683475973594</v>
      </c>
      <c r="P1245" s="57"/>
      <c r="Q1245" s="57"/>
      <c r="R1245" s="57"/>
      <c r="S1245" s="57"/>
      <c r="T1245" s="57"/>
      <c r="U1245" s="57"/>
      <c r="V1245" s="57"/>
      <c r="W1245" s="57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</row>
    <row r="1246" spans="1:36" ht="11.25" customHeight="1" x14ac:dyDescent="0.2">
      <c r="A1246" s="53" t="s">
        <v>28</v>
      </c>
      <c r="B1246" s="53" t="s">
        <v>33</v>
      </c>
      <c r="C1246" s="53" t="s">
        <v>34</v>
      </c>
      <c r="D1246" s="53" t="s">
        <v>45</v>
      </c>
      <c r="E1246" s="53" t="s">
        <v>25</v>
      </c>
      <c r="F1246" s="53" t="s">
        <v>25</v>
      </c>
      <c r="G1246" s="53" t="s">
        <v>25</v>
      </c>
      <c r="H1246" s="53" t="s">
        <v>35</v>
      </c>
      <c r="I1246" s="75">
        <v>44378</v>
      </c>
      <c r="J1246" s="76">
        <f>EFEITO!$J$1246*EFEITO!$Y$1107</f>
        <v>0</v>
      </c>
      <c r="K1246" s="76">
        <f ca="1">EFEITO!$L$1246*EFEITO!$Z$1107</f>
        <v>188.90885996343323</v>
      </c>
      <c r="L1246" s="76">
        <f>EFEITO!$N$1246*EFEITO!$AA$1107</f>
        <v>44.509135130684534</v>
      </c>
      <c r="M1246" s="76">
        <f>$J$1246-EFEITO!$K$1246*EFEITO!$Y$1246</f>
        <v>0</v>
      </c>
      <c r="N1246" s="76">
        <f ca="1">$K$1246-EFEITO!$M$1246*EFEITO!$Z$1246</f>
        <v>3.778177199268697</v>
      </c>
      <c r="O1246" s="76">
        <f>$L$1246-EFEITO!$O$1246*EFEITO!$AA$1246</f>
        <v>0.89018270261368571</v>
      </c>
      <c r="P1246" s="57"/>
      <c r="Q1246" s="57"/>
      <c r="R1246" s="57"/>
      <c r="S1246" s="57"/>
      <c r="T1246" s="57"/>
      <c r="U1246" s="57"/>
      <c r="V1246" s="57"/>
      <c r="W1246" s="57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</row>
    <row r="1247" spans="1:36" ht="11.25" customHeight="1" x14ac:dyDescent="0.2">
      <c r="A1247" s="53" t="s">
        <v>21</v>
      </c>
      <c r="B1247" s="53" t="s">
        <v>33</v>
      </c>
      <c r="C1247" s="53" t="s">
        <v>34</v>
      </c>
      <c r="D1247" s="53" t="s">
        <v>45</v>
      </c>
      <c r="E1247" s="53" t="s">
        <v>25</v>
      </c>
      <c r="F1247" s="53" t="s">
        <v>25</v>
      </c>
      <c r="G1247" s="53" t="s">
        <v>25</v>
      </c>
      <c r="H1247" s="53" t="s">
        <v>35</v>
      </c>
      <c r="I1247" s="75">
        <v>44409</v>
      </c>
      <c r="J1247" s="76">
        <f>EFEITO!$J$1247*EFEITO!$Y$1107</f>
        <v>0</v>
      </c>
      <c r="K1247" s="76">
        <f ca="1">EFEITO!$L$1247*EFEITO!$Z$1107</f>
        <v>91762.928510237602</v>
      </c>
      <c r="L1247" s="76">
        <f>EFEITO!$N$1247*EFEITO!$AA$1107</f>
        <v>21620.418363861278</v>
      </c>
      <c r="M1247" s="76">
        <f>$J$1247-EFEITO!$K$1247*EFEITO!$Y$1247</f>
        <v>0</v>
      </c>
      <c r="N1247" s="76">
        <f ca="1">$K$1247-EFEITO!$M$1247*EFEITO!$Z$1247</f>
        <v>1835.2585702047654</v>
      </c>
      <c r="O1247" s="76">
        <f>$L$1247-EFEITO!$O$1247*EFEITO!$AA$1247</f>
        <v>432.4083672772249</v>
      </c>
      <c r="P1247" s="57"/>
      <c r="Q1247" s="57"/>
      <c r="R1247" s="57"/>
      <c r="S1247" s="57"/>
      <c r="T1247" s="57"/>
      <c r="U1247" s="57"/>
      <c r="V1247" s="57"/>
      <c r="W1247" s="57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</row>
    <row r="1248" spans="1:36" ht="11.25" customHeight="1" x14ac:dyDescent="0.2">
      <c r="A1248" s="53" t="s">
        <v>28</v>
      </c>
      <c r="B1248" s="53" t="s">
        <v>33</v>
      </c>
      <c r="C1248" s="53" t="s">
        <v>34</v>
      </c>
      <c r="D1248" s="53" t="s">
        <v>45</v>
      </c>
      <c r="E1248" s="53" t="s">
        <v>25</v>
      </c>
      <c r="F1248" s="53" t="s">
        <v>25</v>
      </c>
      <c r="G1248" s="53" t="s">
        <v>25</v>
      </c>
      <c r="H1248" s="53" t="s">
        <v>35</v>
      </c>
      <c r="I1248" s="75">
        <v>44409</v>
      </c>
      <c r="J1248" s="76">
        <f>EFEITO!$J$1248*EFEITO!$Y$1107</f>
        <v>0</v>
      </c>
      <c r="K1248" s="76">
        <f ca="1">EFEITO!$L$1248*EFEITO!$Z$1107</f>
        <v>1984.4425956158748</v>
      </c>
      <c r="L1248" s="76">
        <f>EFEITO!$N$1248*EFEITO!$AA$1107</f>
        <v>467.55786713471474</v>
      </c>
      <c r="M1248" s="76">
        <f>$J$1248-EFEITO!$K$1248*EFEITO!$Y$1248</f>
        <v>0</v>
      </c>
      <c r="N1248" s="76">
        <f ca="1">$K$1248-EFEITO!$M$1248*EFEITO!$Z$1248</f>
        <v>39.688851912317659</v>
      </c>
      <c r="O1248" s="76">
        <f>$L$1248-EFEITO!$O$1248*EFEITO!$AA$1248</f>
        <v>9.3511573426943073</v>
      </c>
      <c r="P1248" s="57"/>
      <c r="Q1248" s="57"/>
      <c r="R1248" s="57"/>
      <c r="S1248" s="57"/>
      <c r="T1248" s="57"/>
      <c r="U1248" s="57"/>
      <c r="V1248" s="57"/>
      <c r="W1248" s="57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</row>
    <row r="1249" spans="1:36" ht="11.25" customHeight="1" x14ac:dyDescent="0.2">
      <c r="A1249" s="53" t="s">
        <v>21</v>
      </c>
      <c r="B1249" s="53" t="s">
        <v>33</v>
      </c>
      <c r="C1249" s="53" t="s">
        <v>34</v>
      </c>
      <c r="D1249" s="53" t="s">
        <v>45</v>
      </c>
      <c r="E1249" s="53" t="s">
        <v>25</v>
      </c>
      <c r="F1249" s="53" t="s">
        <v>25</v>
      </c>
      <c r="G1249" s="53" t="s">
        <v>25</v>
      </c>
      <c r="H1249" s="53" t="s">
        <v>35</v>
      </c>
      <c r="I1249" s="75">
        <v>44440</v>
      </c>
      <c r="J1249" s="76">
        <f>EFEITO!$J$1249*EFEITO!$Y$1107</f>
        <v>0</v>
      </c>
      <c r="K1249" s="76">
        <f ca="1">EFEITO!$L$1249*EFEITO!$Z$1107</f>
        <v>85593.704883431768</v>
      </c>
      <c r="L1249" s="76">
        <f>EFEITO!$N$1249*EFEITO!$AA$1107</f>
        <v>20166.877179450639</v>
      </c>
      <c r="M1249" s="76">
        <f>$J$1249-EFEITO!$K$1249*EFEITO!$Y$1249</f>
        <v>0</v>
      </c>
      <c r="N1249" s="76">
        <f ca="1">$K$1249-EFEITO!$M$1249*EFEITO!$Z$1249</f>
        <v>1711.8740976686386</v>
      </c>
      <c r="O1249" s="76">
        <f>$L$1249-EFEITO!$O$1249*EFEITO!$AA$1249</f>
        <v>403.33754358901206</v>
      </c>
      <c r="P1249" s="57"/>
      <c r="Q1249" s="57"/>
      <c r="R1249" s="57"/>
      <c r="S1249" s="57"/>
      <c r="T1249" s="57"/>
      <c r="U1249" s="57"/>
      <c r="V1249" s="57"/>
      <c r="W1249" s="57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</row>
    <row r="1250" spans="1:36" ht="11.25" customHeight="1" x14ac:dyDescent="0.2">
      <c r="A1250" s="53" t="s">
        <v>28</v>
      </c>
      <c r="B1250" s="53" t="s">
        <v>33</v>
      </c>
      <c r="C1250" s="53" t="s">
        <v>34</v>
      </c>
      <c r="D1250" s="53" t="s">
        <v>45</v>
      </c>
      <c r="E1250" s="53" t="s">
        <v>25</v>
      </c>
      <c r="F1250" s="53" t="s">
        <v>25</v>
      </c>
      <c r="G1250" s="53" t="s">
        <v>25</v>
      </c>
      <c r="H1250" s="53" t="s">
        <v>35</v>
      </c>
      <c r="I1250" s="75">
        <v>44440</v>
      </c>
      <c r="J1250" s="76">
        <f>EFEITO!$J$1250*EFEITO!$Y$1107</f>
        <v>0</v>
      </c>
      <c r="K1250" s="76">
        <f ca="1">EFEITO!$L$1250*EFEITO!$Z$1107</f>
        <v>9440.0456021727059</v>
      </c>
      <c r="L1250" s="76">
        <f>EFEITO!$N$1250*EFEITO!$AA$1107</f>
        <v>2224.1850669590644</v>
      </c>
      <c r="M1250" s="76">
        <f>$J$1250-EFEITO!$K$1250*EFEITO!$Y$1250</f>
        <v>0</v>
      </c>
      <c r="N1250" s="76">
        <f ca="1">$K$1250-EFEITO!$M$1250*EFEITO!$Z$1250</f>
        <v>188.80091204345445</v>
      </c>
      <c r="O1250" s="76">
        <f>$L$1250-EFEITO!$O$1250*EFEITO!$AA$1250</f>
        <v>44.483701339181152</v>
      </c>
      <c r="P1250" s="57"/>
      <c r="Q1250" s="57"/>
      <c r="R1250" s="57"/>
      <c r="S1250" s="57"/>
      <c r="T1250" s="57"/>
      <c r="U1250" s="57"/>
      <c r="V1250" s="57"/>
      <c r="W1250" s="57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</row>
    <row r="1251" spans="1:36" ht="11.25" customHeight="1" x14ac:dyDescent="0.2">
      <c r="A1251" s="53" t="s">
        <v>21</v>
      </c>
      <c r="B1251" s="53" t="s">
        <v>33</v>
      </c>
      <c r="C1251" s="53" t="s">
        <v>34</v>
      </c>
      <c r="D1251" s="53" t="s">
        <v>45</v>
      </c>
      <c r="E1251" s="53" t="s">
        <v>25</v>
      </c>
      <c r="F1251" s="53" t="s">
        <v>25</v>
      </c>
      <c r="G1251" s="53" t="s">
        <v>25</v>
      </c>
      <c r="H1251" s="53" t="s">
        <v>35</v>
      </c>
      <c r="I1251" s="75">
        <v>44470</v>
      </c>
      <c r="J1251" s="76">
        <f>EFEITO!$J$1251*EFEITO!$Y$1107</f>
        <v>0</v>
      </c>
      <c r="K1251" s="76">
        <f ca="1">EFEITO!$L$1251*EFEITO!$Z$1107</f>
        <v>91037.878314377944</v>
      </c>
      <c r="L1251" s="76">
        <f>EFEITO!$N$1251*EFEITO!$AA$1107</f>
        <v>21449.588064264459</v>
      </c>
      <c r="M1251" s="76">
        <f>$J$1251-EFEITO!$K$1251*EFEITO!$Y$1251</f>
        <v>0</v>
      </c>
      <c r="N1251" s="76">
        <f ca="1">$K$1251-EFEITO!$M$1251*EFEITO!$Z$1251</f>
        <v>1820.7575662875606</v>
      </c>
      <c r="O1251" s="76">
        <f>$L$1251-EFEITO!$O$1251*EFEITO!$AA$1251</f>
        <v>428.99176128528779</v>
      </c>
      <c r="P1251" s="57"/>
      <c r="Q1251" s="57"/>
      <c r="R1251" s="57"/>
      <c r="S1251" s="57"/>
      <c r="T1251" s="57"/>
      <c r="U1251" s="57"/>
      <c r="V1251" s="57"/>
      <c r="W1251" s="57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</row>
    <row r="1252" spans="1:36" ht="11.25" customHeight="1" x14ac:dyDescent="0.2">
      <c r="A1252" s="53" t="s">
        <v>28</v>
      </c>
      <c r="B1252" s="53" t="s">
        <v>33</v>
      </c>
      <c r="C1252" s="53" t="s">
        <v>34</v>
      </c>
      <c r="D1252" s="53" t="s">
        <v>45</v>
      </c>
      <c r="E1252" s="53" t="s">
        <v>25</v>
      </c>
      <c r="F1252" s="53" t="s">
        <v>25</v>
      </c>
      <c r="G1252" s="53" t="s">
        <v>25</v>
      </c>
      <c r="H1252" s="53" t="s">
        <v>35</v>
      </c>
      <c r="I1252" s="75">
        <v>44470</v>
      </c>
      <c r="J1252" s="76">
        <f>EFEITO!$J$1252*EFEITO!$Y$1107</f>
        <v>0</v>
      </c>
      <c r="K1252" s="76">
        <f ca="1">EFEITO!$L$1252*EFEITO!$Z$1107</f>
        <v>21864.851191767659</v>
      </c>
      <c r="L1252" s="76">
        <f>EFEITO!$N$1252*EFEITO!$AA$1107</f>
        <v>5151.6144689829453</v>
      </c>
      <c r="M1252" s="76">
        <f>$J$1252-EFEITO!$K$1252*EFEITO!$Y$1252</f>
        <v>0</v>
      </c>
      <c r="N1252" s="76">
        <f ca="1">$K$1252-EFEITO!$M$1252*EFEITO!$Z$1252</f>
        <v>437.2970238353555</v>
      </c>
      <c r="O1252" s="76">
        <f>$L$1252-EFEITO!$O$1252*EFEITO!$AA$1252</f>
        <v>103.03228937965923</v>
      </c>
      <c r="P1252" s="57"/>
      <c r="Q1252" s="57"/>
      <c r="R1252" s="57"/>
      <c r="S1252" s="57"/>
      <c r="T1252" s="57"/>
      <c r="U1252" s="57"/>
      <c r="V1252" s="57"/>
      <c r="W1252" s="57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</row>
    <row r="1253" spans="1:36" ht="11.25" customHeight="1" x14ac:dyDescent="0.2">
      <c r="A1253" s="53" t="s">
        <v>21</v>
      </c>
      <c r="B1253" s="53" t="s">
        <v>33</v>
      </c>
      <c r="C1253" s="53" t="s">
        <v>34</v>
      </c>
      <c r="D1253" s="53" t="s">
        <v>45</v>
      </c>
      <c r="E1253" s="53" t="s">
        <v>25</v>
      </c>
      <c r="F1253" s="53" t="s">
        <v>25</v>
      </c>
      <c r="G1253" s="53" t="s">
        <v>25</v>
      </c>
      <c r="H1253" s="53" t="s">
        <v>35</v>
      </c>
      <c r="I1253" s="75">
        <v>44501</v>
      </c>
      <c r="J1253" s="76">
        <f>EFEITO!$J$1253*EFEITO!$Y$1107</f>
        <v>0</v>
      </c>
      <c r="K1253" s="76">
        <f ca="1">EFEITO!$L$1253*EFEITO!$Z$1107</f>
        <v>95559.09702950278</v>
      </c>
      <c r="L1253" s="76">
        <f>EFEITO!$N$1253*EFEITO!$AA$1107</f>
        <v>22514.840031725511</v>
      </c>
      <c r="M1253" s="76">
        <f>$J$1253-EFEITO!$K$1253*EFEITO!$Y$1253</f>
        <v>0</v>
      </c>
      <c r="N1253" s="76">
        <f ca="1">$K$1253-EFEITO!$M$1253*EFEITO!$Z$1253</f>
        <v>1911.1819405900605</v>
      </c>
      <c r="O1253" s="76">
        <f>$L$1253-EFEITO!$O$1253*EFEITO!$AA$1253</f>
        <v>450.29680063451087</v>
      </c>
      <c r="P1253" s="57"/>
      <c r="Q1253" s="57"/>
      <c r="R1253" s="57"/>
      <c r="S1253" s="57"/>
      <c r="T1253" s="57"/>
      <c r="U1253" s="57"/>
      <c r="V1253" s="57"/>
      <c r="W1253" s="57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</row>
    <row r="1254" spans="1:36" ht="11.25" customHeight="1" x14ac:dyDescent="0.2">
      <c r="A1254" s="53" t="s">
        <v>28</v>
      </c>
      <c r="B1254" s="53" t="s">
        <v>33</v>
      </c>
      <c r="C1254" s="53" t="s">
        <v>34</v>
      </c>
      <c r="D1254" s="53" t="s">
        <v>45</v>
      </c>
      <c r="E1254" s="53" t="s">
        <v>25</v>
      </c>
      <c r="F1254" s="53" t="s">
        <v>25</v>
      </c>
      <c r="G1254" s="53" t="s">
        <v>25</v>
      </c>
      <c r="H1254" s="53" t="s">
        <v>35</v>
      </c>
      <c r="I1254" s="75">
        <v>44501</v>
      </c>
      <c r="J1254" s="76">
        <f>EFEITO!$J$1254*EFEITO!$Y$1107</f>
        <v>0</v>
      </c>
      <c r="K1254" s="76">
        <f ca="1">EFEITO!$L$1254*EFEITO!$Z$1107</f>
        <v>51635.088390005083</v>
      </c>
      <c r="L1254" s="76">
        <f>EFEITO!$N$1254*EFEITO!$AA$1107</f>
        <v>12165.830269053773</v>
      </c>
      <c r="M1254" s="76">
        <f>$J$1254-EFEITO!$K$1254*EFEITO!$Y$1254</f>
        <v>0</v>
      </c>
      <c r="N1254" s="76">
        <f ca="1">$K$1254-EFEITO!$M$1254*EFEITO!$Z$1254</f>
        <v>1032.7017678001066</v>
      </c>
      <c r="O1254" s="76">
        <f>$L$1254-EFEITO!$O$1254*EFEITO!$AA$1254</f>
        <v>243.31660538107462</v>
      </c>
      <c r="P1254" s="57"/>
      <c r="Q1254" s="57"/>
      <c r="R1254" s="57"/>
      <c r="S1254" s="57"/>
      <c r="T1254" s="57"/>
      <c r="U1254" s="57"/>
      <c r="V1254" s="57"/>
      <c r="W1254" s="57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</row>
    <row r="1255" spans="1:36" ht="11.25" customHeight="1" x14ac:dyDescent="0.2">
      <c r="A1255" s="53" t="s">
        <v>21</v>
      </c>
      <c r="B1255" s="53" t="s">
        <v>33</v>
      </c>
      <c r="C1255" s="53" t="s">
        <v>34</v>
      </c>
      <c r="D1255" s="53" t="s">
        <v>45</v>
      </c>
      <c r="E1255" s="53" t="s">
        <v>25</v>
      </c>
      <c r="F1255" s="53" t="s">
        <v>25</v>
      </c>
      <c r="G1255" s="53" t="s">
        <v>25</v>
      </c>
      <c r="H1255" s="53" t="s">
        <v>35</v>
      </c>
      <c r="I1255" s="75">
        <v>44531</v>
      </c>
      <c r="J1255" s="76">
        <f>EFEITO!$J$1255*EFEITO!$Y$1107</f>
        <v>0</v>
      </c>
      <c r="K1255" s="76">
        <f ca="1">EFEITO!$L$1255*EFEITO!$Z$1107</f>
        <v>104283.08809581409</v>
      </c>
      <c r="L1255" s="76">
        <f>EFEITO!$N$1255*EFEITO!$AA$1107</f>
        <v>24570.314281713028</v>
      </c>
      <c r="M1255" s="76">
        <f>$J$1255-EFEITO!$K$1255*EFEITO!$Y$1255</f>
        <v>0</v>
      </c>
      <c r="N1255" s="76">
        <f ca="1">$K$1255-EFEITO!$M$1255*EFEITO!$Z$1255</f>
        <v>2085.6617619162862</v>
      </c>
      <c r="O1255" s="76">
        <f>$L$1255-EFEITO!$O$1255*EFEITO!$AA$1255</f>
        <v>491.40628563426071</v>
      </c>
      <c r="P1255" s="57"/>
      <c r="Q1255" s="57"/>
      <c r="R1255" s="57"/>
      <c r="S1255" s="57"/>
      <c r="T1255" s="57"/>
      <c r="U1255" s="57"/>
      <c r="V1255" s="57"/>
      <c r="W1255" s="57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</row>
    <row r="1256" spans="1:36" ht="11.25" customHeight="1" x14ac:dyDescent="0.2">
      <c r="A1256" s="53" t="s">
        <v>28</v>
      </c>
      <c r="B1256" s="53" t="s">
        <v>33</v>
      </c>
      <c r="C1256" s="53" t="s">
        <v>34</v>
      </c>
      <c r="D1256" s="53" t="s">
        <v>45</v>
      </c>
      <c r="E1256" s="53" t="s">
        <v>25</v>
      </c>
      <c r="F1256" s="53" t="s">
        <v>25</v>
      </c>
      <c r="G1256" s="53" t="s">
        <v>25</v>
      </c>
      <c r="H1256" s="53" t="s">
        <v>35</v>
      </c>
      <c r="I1256" s="75">
        <v>44531</v>
      </c>
      <c r="J1256" s="76">
        <f>EFEITO!$J$1256*EFEITO!$Y$1107</f>
        <v>0</v>
      </c>
      <c r="K1256" s="76">
        <f ca="1">EFEITO!$L$1256*EFEITO!$Z$1107</f>
        <v>57789.918960813702</v>
      </c>
      <c r="L1256" s="76">
        <f>EFEITO!$N$1256*EFEITO!$AA$1107</f>
        <v>13615.980281263983</v>
      </c>
      <c r="M1256" s="76">
        <f>$J$1256-EFEITO!$K$1256*EFEITO!$Y$1256</f>
        <v>0</v>
      </c>
      <c r="N1256" s="76">
        <f ca="1">$K$1256-EFEITO!$M$1256*EFEITO!$Z$1256</f>
        <v>1155.7983792162777</v>
      </c>
      <c r="O1256" s="76">
        <f>$L$1256-EFEITO!$O$1256*EFEITO!$AA$1256</f>
        <v>272.31960562528002</v>
      </c>
      <c r="P1256" s="57"/>
      <c r="Q1256" s="57"/>
      <c r="R1256" s="57"/>
      <c r="S1256" s="57"/>
      <c r="T1256" s="57"/>
      <c r="U1256" s="57"/>
      <c r="V1256" s="57"/>
      <c r="W1256" s="57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</row>
    <row r="1257" spans="1:36" ht="11.25" customHeight="1" x14ac:dyDescent="0.2">
      <c r="A1257" s="53" t="s">
        <v>21</v>
      </c>
      <c r="B1257" s="53" t="s">
        <v>33</v>
      </c>
      <c r="C1257" s="53" t="s">
        <v>34</v>
      </c>
      <c r="D1257" s="53" t="s">
        <v>45</v>
      </c>
      <c r="E1257" s="53" t="s">
        <v>25</v>
      </c>
      <c r="F1257" s="53" t="s">
        <v>25</v>
      </c>
      <c r="G1257" s="53" t="s">
        <v>25</v>
      </c>
      <c r="H1257" s="53" t="s">
        <v>35</v>
      </c>
      <c r="I1257" s="75">
        <v>44562</v>
      </c>
      <c r="J1257" s="76">
        <f>EFEITO!$J$1257*EFEITO!$Y$1107</f>
        <v>0</v>
      </c>
      <c r="K1257" s="76">
        <f ca="1">EFEITO!$L$1257*EFEITO!$Z$1107</f>
        <v>90300.234194520744</v>
      </c>
      <c r="L1257" s="76">
        <f>EFEITO!$N$1257*EFEITO!$AA$1107</f>
        <v>21275.790488992265</v>
      </c>
      <c r="M1257" s="76">
        <f>$J$1257-EFEITO!$K$1257*EFEITO!$Y$1257</f>
        <v>0</v>
      </c>
      <c r="N1257" s="76">
        <f ca="1">$K$1257-EFEITO!$M$1257*EFEITO!$Z$1257</f>
        <v>1806.0046838904236</v>
      </c>
      <c r="O1257" s="76">
        <f>$L$1257-EFEITO!$O$1257*EFEITO!$AA$1257</f>
        <v>425.51580977984486</v>
      </c>
      <c r="P1257" s="57"/>
      <c r="Q1257" s="57"/>
      <c r="R1257" s="57"/>
      <c r="S1257" s="57"/>
      <c r="T1257" s="57"/>
      <c r="U1257" s="57"/>
      <c r="V1257" s="57"/>
      <c r="W1257" s="57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</row>
    <row r="1258" spans="1:36" ht="11.25" customHeight="1" x14ac:dyDescent="0.2">
      <c r="A1258" s="53" t="s">
        <v>28</v>
      </c>
      <c r="B1258" s="53" t="s">
        <v>33</v>
      </c>
      <c r="C1258" s="53" t="s">
        <v>34</v>
      </c>
      <c r="D1258" s="53" t="s">
        <v>45</v>
      </c>
      <c r="E1258" s="53" t="s">
        <v>25</v>
      </c>
      <c r="F1258" s="53" t="s">
        <v>25</v>
      </c>
      <c r="G1258" s="53" t="s">
        <v>25</v>
      </c>
      <c r="H1258" s="53" t="s">
        <v>35</v>
      </c>
      <c r="I1258" s="75">
        <v>44562</v>
      </c>
      <c r="J1258" s="76">
        <f>EFEITO!$J$1258*EFEITO!$Y$1107</f>
        <v>0</v>
      </c>
      <c r="K1258" s="76">
        <f ca="1">EFEITO!$L$1258*EFEITO!$Z$1107</f>
        <v>32037.14351779862</v>
      </c>
      <c r="L1258" s="76">
        <f>EFEITO!$N$1258*EFEITO!$AA$1107</f>
        <v>7548.3254216390433</v>
      </c>
      <c r="M1258" s="76">
        <f>$J$1258-EFEITO!$K$1258*EFEITO!$Y$1258</f>
        <v>0</v>
      </c>
      <c r="N1258" s="76">
        <f ca="1">$K$1258-EFEITO!$M$1258*EFEITO!$Z$1258</f>
        <v>640.74287035597445</v>
      </c>
      <c r="O1258" s="76">
        <f>$L$1258-EFEITO!$O$1258*EFEITO!$AA$1258</f>
        <v>150.96650843278076</v>
      </c>
      <c r="P1258" s="57"/>
      <c r="Q1258" s="57"/>
      <c r="R1258" s="57"/>
      <c r="S1258" s="57"/>
      <c r="T1258" s="57"/>
      <c r="U1258" s="57"/>
      <c r="V1258" s="57"/>
      <c r="W1258" s="57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</row>
    <row r="1259" spans="1:36" ht="11.25" customHeight="1" x14ac:dyDescent="0.2">
      <c r="A1259" s="53" t="s">
        <v>21</v>
      </c>
      <c r="B1259" s="53" t="s">
        <v>33</v>
      </c>
      <c r="C1259" s="53" t="s">
        <v>34</v>
      </c>
      <c r="D1259" s="53" t="s">
        <v>45</v>
      </c>
      <c r="E1259" s="53" t="s">
        <v>25</v>
      </c>
      <c r="F1259" s="53" t="s">
        <v>25</v>
      </c>
      <c r="G1259" s="53" t="s">
        <v>25</v>
      </c>
      <c r="H1259" s="53" t="s">
        <v>35</v>
      </c>
      <c r="I1259" s="75">
        <v>44593</v>
      </c>
      <c r="J1259" s="76">
        <f>EFEITO!$J$1259*EFEITO!$Y$1107</f>
        <v>0</v>
      </c>
      <c r="K1259" s="76">
        <f ca="1">EFEITO!$L$1259*EFEITO!$Z$1107</f>
        <v>85156.515807516393</v>
      </c>
      <c r="L1259" s="76">
        <f>EFEITO!$N$1259*EFEITO!$AA$1107</f>
        <v>20063.870323862484</v>
      </c>
      <c r="M1259" s="76">
        <f>$J$1259-EFEITO!$K$1259*EFEITO!$Y$1259</f>
        <v>0</v>
      </c>
      <c r="N1259" s="76">
        <f ca="1">$K$1259-EFEITO!$M$1259*EFEITO!$Z$1259</f>
        <v>1703.1303161503311</v>
      </c>
      <c r="O1259" s="76">
        <f>$L$1259-EFEITO!$O$1259*EFEITO!$AA$1259</f>
        <v>401.27740647725295</v>
      </c>
      <c r="P1259" s="57"/>
      <c r="Q1259" s="57"/>
      <c r="R1259" s="57"/>
      <c r="S1259" s="57"/>
      <c r="T1259" s="57"/>
      <c r="U1259" s="57"/>
      <c r="V1259" s="57"/>
      <c r="W1259" s="57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</row>
    <row r="1260" spans="1:36" ht="11.25" customHeight="1" x14ac:dyDescent="0.2">
      <c r="A1260" s="53" t="s">
        <v>28</v>
      </c>
      <c r="B1260" s="53" t="s">
        <v>33</v>
      </c>
      <c r="C1260" s="53" t="s">
        <v>34</v>
      </c>
      <c r="D1260" s="53" t="s">
        <v>45</v>
      </c>
      <c r="E1260" s="53" t="s">
        <v>25</v>
      </c>
      <c r="F1260" s="53" t="s">
        <v>25</v>
      </c>
      <c r="G1260" s="53" t="s">
        <v>25</v>
      </c>
      <c r="H1260" s="53" t="s">
        <v>35</v>
      </c>
      <c r="I1260" s="75">
        <v>44593</v>
      </c>
      <c r="J1260" s="76">
        <f>EFEITO!$J$1260*EFEITO!$Y$1107</f>
        <v>0</v>
      </c>
      <c r="K1260" s="76">
        <f ca="1">EFEITO!$L$1260*EFEITO!$Z$1107</f>
        <v>48693.507570574482</v>
      </c>
      <c r="L1260" s="76">
        <f>EFEITO!$N$1260*EFEITO!$AA$1107</f>
        <v>11472.759450590258</v>
      </c>
      <c r="M1260" s="76">
        <f>$J$1260-EFEITO!$K$1260*EFEITO!$Y$1260</f>
        <v>0</v>
      </c>
      <c r="N1260" s="76">
        <f ca="1">$K$1260-EFEITO!$M$1260*EFEITO!$Z$1260</f>
        <v>973.87015141149459</v>
      </c>
      <c r="O1260" s="76">
        <f>$L$1260-EFEITO!$O$1260*EFEITO!$AA$1260</f>
        <v>229.45518901180549</v>
      </c>
      <c r="P1260" s="57"/>
      <c r="Q1260" s="57"/>
      <c r="R1260" s="57"/>
      <c r="S1260" s="57"/>
      <c r="T1260" s="57"/>
      <c r="U1260" s="57"/>
      <c r="V1260" s="57"/>
      <c r="W1260" s="57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</row>
    <row r="1261" spans="1:36" ht="11.25" customHeight="1" x14ac:dyDescent="0.2">
      <c r="A1261" s="53" t="s">
        <v>21</v>
      </c>
      <c r="B1261" s="53" t="s">
        <v>33</v>
      </c>
      <c r="C1261" s="53" t="s">
        <v>34</v>
      </c>
      <c r="D1261" s="53" t="s">
        <v>45</v>
      </c>
      <c r="E1261" s="53" t="s">
        <v>25</v>
      </c>
      <c r="F1261" s="53" t="s">
        <v>25</v>
      </c>
      <c r="G1261" s="53" t="s">
        <v>25</v>
      </c>
      <c r="H1261" s="53" t="s">
        <v>35</v>
      </c>
      <c r="I1261" s="75">
        <v>44621</v>
      </c>
      <c r="J1261" s="76">
        <f>EFEITO!$J$1261*EFEITO!$Y$1107</f>
        <v>0</v>
      </c>
      <c r="K1261" s="76">
        <f ca="1">EFEITO!$L$1261*EFEITO!$Z$1107</f>
        <v>80374.422952442052</v>
      </c>
      <c r="L1261" s="76">
        <f>EFEITO!$N$1261*EFEITO!$AA$1107</f>
        <v>18937.153360268581</v>
      </c>
      <c r="M1261" s="76">
        <f>$J$1261-EFEITO!$K$1261*EFEITO!$Y$1261</f>
        <v>0</v>
      </c>
      <c r="N1261" s="76">
        <f ca="1">$K$1261-EFEITO!$M$1261*EFEITO!$Z$1261</f>
        <v>1607.4884590488509</v>
      </c>
      <c r="O1261" s="76">
        <f>$L$1261-EFEITO!$O$1261*EFEITO!$AA$1261</f>
        <v>378.74306720537061</v>
      </c>
      <c r="P1261" s="57"/>
      <c r="Q1261" s="57"/>
      <c r="R1261" s="57"/>
      <c r="S1261" s="57"/>
      <c r="T1261" s="57"/>
      <c r="U1261" s="57"/>
      <c r="V1261" s="57"/>
      <c r="W1261" s="57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</row>
    <row r="1262" spans="1:36" ht="11.25" customHeight="1" x14ac:dyDescent="0.2">
      <c r="A1262" s="53" t="s">
        <v>28</v>
      </c>
      <c r="B1262" s="53" t="s">
        <v>33</v>
      </c>
      <c r="C1262" s="53" t="s">
        <v>34</v>
      </c>
      <c r="D1262" s="53" t="s">
        <v>45</v>
      </c>
      <c r="E1262" s="53" t="s">
        <v>25</v>
      </c>
      <c r="F1262" s="53" t="s">
        <v>25</v>
      </c>
      <c r="G1262" s="53" t="s">
        <v>25</v>
      </c>
      <c r="H1262" s="53" t="s">
        <v>35</v>
      </c>
      <c r="I1262" s="75">
        <v>44621</v>
      </c>
      <c r="J1262" s="76">
        <f>EFEITO!$J$1262*EFEITO!$Y$1107</f>
        <v>0</v>
      </c>
      <c r="K1262" s="76">
        <f ca="1">EFEITO!$L$1262*EFEITO!$Z$1107</f>
        <v>15114.507929074309</v>
      </c>
      <c r="L1262" s="76">
        <f>EFEITO!$N$1262*EFEITO!$AA$1107</f>
        <v>3561.1547069798171</v>
      </c>
      <c r="M1262" s="76">
        <f>$J$1262-EFEITO!$K$1262*EFEITO!$Y$1262</f>
        <v>0</v>
      </c>
      <c r="N1262" s="76">
        <f ca="1">$K$1262-EFEITO!$M$1262*EFEITO!$Z$1262</f>
        <v>302.29015858148705</v>
      </c>
      <c r="O1262" s="76">
        <f>$L$1262-EFEITO!$O$1262*EFEITO!$AA$1262</f>
        <v>71.223094139596469</v>
      </c>
      <c r="P1262" s="57"/>
      <c r="Q1262" s="57"/>
      <c r="R1262" s="57"/>
      <c r="S1262" s="57"/>
      <c r="T1262" s="57"/>
      <c r="U1262" s="57"/>
      <c r="V1262" s="57"/>
      <c r="W1262" s="57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</row>
    <row r="1263" spans="1:36" ht="11.25" customHeight="1" x14ac:dyDescent="0.2">
      <c r="A1263" s="53" t="s">
        <v>56</v>
      </c>
      <c r="B1263" s="53" t="s">
        <v>33</v>
      </c>
      <c r="C1263" s="53" t="s">
        <v>34</v>
      </c>
      <c r="D1263" s="53" t="s">
        <v>45</v>
      </c>
      <c r="E1263" s="53" t="s">
        <v>25</v>
      </c>
      <c r="F1263" s="53" t="s">
        <v>25</v>
      </c>
      <c r="G1263" s="53" t="s">
        <v>25</v>
      </c>
      <c r="H1263" s="53" t="s">
        <v>35</v>
      </c>
      <c r="I1263" s="75">
        <v>44652</v>
      </c>
      <c r="J1263" s="76">
        <f>EFEITO!$J$1263*EFEITO!$Y$1107</f>
        <v>0</v>
      </c>
      <c r="K1263" s="76">
        <f ca="1">EFEITO!$L$1263*EFEITO!$Z$1107</f>
        <v>80374.422952442052</v>
      </c>
      <c r="L1263" s="76">
        <f>EFEITO!$N$1263*EFEITO!$AA$1107</f>
        <v>18937.153360268581</v>
      </c>
      <c r="M1263" s="76">
        <f>$J$1263-EFEITO!$K$1263*EFEITO!$Y$1263</f>
        <v>0</v>
      </c>
      <c r="N1263" s="76">
        <f ca="1">$K$1263-EFEITO!$M$1263*EFEITO!$Z$1263</f>
        <v>1607.4884590488509</v>
      </c>
      <c r="O1263" s="76">
        <f>$L$1263-EFEITO!$O$1263*EFEITO!$AA$1263</f>
        <v>378.74306720537061</v>
      </c>
      <c r="P1263" s="57"/>
      <c r="Q1263" s="57"/>
      <c r="R1263" s="57"/>
      <c r="S1263" s="57"/>
      <c r="T1263" s="57"/>
      <c r="U1263" s="57"/>
      <c r="V1263" s="57"/>
      <c r="W1263" s="57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</row>
    <row r="1264" spans="1:36" ht="11.25" customHeight="1" x14ac:dyDescent="0.2">
      <c r="A1264" s="53" t="s">
        <v>56</v>
      </c>
      <c r="B1264" s="53" t="s">
        <v>33</v>
      </c>
      <c r="C1264" s="53" t="s">
        <v>34</v>
      </c>
      <c r="D1264" s="53" t="s">
        <v>45</v>
      </c>
      <c r="E1264" s="53" t="s">
        <v>25</v>
      </c>
      <c r="F1264" s="53" t="s">
        <v>25</v>
      </c>
      <c r="G1264" s="53" t="s">
        <v>25</v>
      </c>
      <c r="H1264" s="53" t="s">
        <v>35</v>
      </c>
      <c r="I1264" s="75">
        <v>44652</v>
      </c>
      <c r="J1264" s="76">
        <f>EFEITO!$J$1264*EFEITO!$Y$1107</f>
        <v>0</v>
      </c>
      <c r="K1264" s="76">
        <f ca="1">EFEITO!$L$1264*EFEITO!$Z$1107</f>
        <v>15114.507929074309</v>
      </c>
      <c r="L1264" s="76">
        <f>EFEITO!$N$1264*EFEITO!$AA$1107</f>
        <v>3561.1547069798171</v>
      </c>
      <c r="M1264" s="76">
        <f>$J$1264-EFEITO!$K$1264*EFEITO!$Y$1264</f>
        <v>0</v>
      </c>
      <c r="N1264" s="76">
        <f ca="1">$K$1264-EFEITO!$M$1264*EFEITO!$Z$1264</f>
        <v>302.29015858148705</v>
      </c>
      <c r="O1264" s="76">
        <f>$L$1264-EFEITO!$O$1264*EFEITO!$AA$1264</f>
        <v>71.223094139596469</v>
      </c>
      <c r="P1264" s="57"/>
      <c r="Q1264" s="57"/>
      <c r="R1264" s="57"/>
      <c r="S1264" s="57"/>
      <c r="T1264" s="57"/>
      <c r="U1264" s="57"/>
      <c r="V1264" s="57"/>
      <c r="W1264" s="57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</row>
    <row r="1265" spans="1:36" ht="11.25" customHeight="1" x14ac:dyDescent="0.2">
      <c r="A1265" s="53" t="s">
        <v>21</v>
      </c>
      <c r="B1265" s="53" t="s">
        <v>33</v>
      </c>
      <c r="C1265" s="53" t="s">
        <v>34</v>
      </c>
      <c r="D1265" s="53" t="s">
        <v>50</v>
      </c>
      <c r="E1265" s="53" t="s">
        <v>51</v>
      </c>
      <c r="F1265" s="53" t="s">
        <v>25</v>
      </c>
      <c r="G1265" s="53" t="s">
        <v>25</v>
      </c>
      <c r="H1265" s="53" t="s">
        <v>36</v>
      </c>
      <c r="I1265" s="75">
        <v>44317</v>
      </c>
      <c r="J1265" s="76">
        <f>EFEITO!$J$1265*EFEITO!$Y$1075</f>
        <v>0</v>
      </c>
      <c r="K1265" s="76">
        <f ca="1">EFEITO!$L$1265*EFEITO!$Z$1075</f>
        <v>545822.11356076377</v>
      </c>
      <c r="L1265" s="76">
        <f>EFEITO!$N$1265*EFEITO!$AA$1075</f>
        <v>1258544.779575967</v>
      </c>
      <c r="M1265" s="76">
        <f>$J$1265-EFEITO!$K$1265*EFEITO!$Y$1265</f>
        <v>0</v>
      </c>
      <c r="N1265" s="76">
        <f ca="1">$K$1265-EFEITO!$M$1265*EFEITO!$Z$1265</f>
        <v>16374.663406822947</v>
      </c>
      <c r="O1265" s="76">
        <f>$L$1265-EFEITO!$O$1265*EFEITO!$AA$1265</f>
        <v>37756.343387278961</v>
      </c>
      <c r="P1265" s="57"/>
      <c r="Q1265" s="57"/>
      <c r="R1265" s="57"/>
      <c r="S1265" s="57"/>
      <c r="T1265" s="57"/>
      <c r="U1265" s="57"/>
      <c r="V1265" s="57"/>
      <c r="W1265" s="57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</row>
    <row r="1266" spans="1:36" ht="11.25" customHeight="1" x14ac:dyDescent="0.2">
      <c r="A1266" s="53" t="s">
        <v>21</v>
      </c>
      <c r="B1266" s="53" t="s">
        <v>33</v>
      </c>
      <c r="C1266" s="53" t="s">
        <v>34</v>
      </c>
      <c r="D1266" s="53" t="s">
        <v>50</v>
      </c>
      <c r="E1266" s="53" t="s">
        <v>51</v>
      </c>
      <c r="F1266" s="53" t="s">
        <v>25</v>
      </c>
      <c r="G1266" s="53" t="s">
        <v>25</v>
      </c>
      <c r="H1266" s="53" t="s">
        <v>36</v>
      </c>
      <c r="I1266" s="75">
        <v>44348</v>
      </c>
      <c r="J1266" s="76">
        <f>EFEITO!$J$1266*EFEITO!$Y$1075</f>
        <v>0</v>
      </c>
      <c r="K1266" s="76">
        <f ca="1">EFEITO!$L$1266*EFEITO!$Z$1075</f>
        <v>509140.96688028076</v>
      </c>
      <c r="L1266" s="76">
        <f>EFEITO!$N$1266*EFEITO!$AA$1075</f>
        <v>1173966.187912801</v>
      </c>
      <c r="M1266" s="76">
        <f>$J$1266-EFEITO!$K$1266*EFEITO!$Y$1266</f>
        <v>0</v>
      </c>
      <c r="N1266" s="76">
        <f ca="1">$K$1266-EFEITO!$M$1266*EFEITO!$Z$1266</f>
        <v>15274.229006408365</v>
      </c>
      <c r="O1266" s="76">
        <f>$L$1266-EFEITO!$O$1266*EFEITO!$AA$1266</f>
        <v>35218.985637384001</v>
      </c>
      <c r="P1266" s="57"/>
      <c r="Q1266" s="57"/>
      <c r="R1266" s="57"/>
      <c r="S1266" s="57"/>
      <c r="T1266" s="57"/>
      <c r="U1266" s="57"/>
      <c r="V1266" s="57"/>
      <c r="W1266" s="57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</row>
    <row r="1267" spans="1:36" ht="11.25" customHeight="1" x14ac:dyDescent="0.2">
      <c r="A1267" s="53" t="s">
        <v>28</v>
      </c>
      <c r="B1267" s="53" t="s">
        <v>33</v>
      </c>
      <c r="C1267" s="53" t="s">
        <v>34</v>
      </c>
      <c r="D1267" s="53" t="s">
        <v>50</v>
      </c>
      <c r="E1267" s="53" t="s">
        <v>51</v>
      </c>
      <c r="F1267" s="53" t="s">
        <v>25</v>
      </c>
      <c r="G1267" s="53" t="s">
        <v>25</v>
      </c>
      <c r="H1267" s="53" t="s">
        <v>36</v>
      </c>
      <c r="I1267" s="75">
        <v>44348</v>
      </c>
      <c r="J1267" s="76">
        <f>EFEITO!$J$1267*EFEITO!$Y$1075</f>
        <v>0</v>
      </c>
      <c r="K1267" s="76">
        <f ca="1">EFEITO!$L$1267*EFEITO!$Z$1075</f>
        <v>1934.0215666379299</v>
      </c>
      <c r="L1267" s="76">
        <f>EFEITO!$N$1267*EFEITO!$AA$1075</f>
        <v>4459.4249404820584</v>
      </c>
      <c r="M1267" s="76">
        <f>$J$1267-EFEITO!$K$1267*EFEITO!$Y$1267</f>
        <v>0</v>
      </c>
      <c r="N1267" s="76">
        <f ca="1">$K$1267-EFEITO!$M$1267*EFEITO!$Z$1267</f>
        <v>58.020646999137853</v>
      </c>
      <c r="O1267" s="76">
        <f>$L$1267-EFEITO!$O$1267*EFEITO!$AA$1267</f>
        <v>133.78274821446121</v>
      </c>
      <c r="P1267" s="57"/>
      <c r="Q1267" s="57"/>
      <c r="R1267" s="57"/>
      <c r="S1267" s="57"/>
      <c r="T1267" s="57"/>
      <c r="U1267" s="57"/>
      <c r="V1267" s="57"/>
      <c r="W1267" s="57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</row>
    <row r="1268" spans="1:36" ht="11.25" customHeight="1" x14ac:dyDescent="0.2">
      <c r="A1268" s="53" t="s">
        <v>21</v>
      </c>
      <c r="B1268" s="53" t="s">
        <v>33</v>
      </c>
      <c r="C1268" s="53" t="s">
        <v>34</v>
      </c>
      <c r="D1268" s="53" t="s">
        <v>50</v>
      </c>
      <c r="E1268" s="53" t="s">
        <v>51</v>
      </c>
      <c r="F1268" s="53" t="s">
        <v>25</v>
      </c>
      <c r="G1268" s="53" t="s">
        <v>25</v>
      </c>
      <c r="H1268" s="53" t="s">
        <v>36</v>
      </c>
      <c r="I1268" s="75">
        <v>44378</v>
      </c>
      <c r="J1268" s="76">
        <f>EFEITO!$J$1268*EFEITO!$Y$1075</f>
        <v>0</v>
      </c>
      <c r="K1268" s="76">
        <f ca="1">EFEITO!$L$1268*EFEITO!$Z$1075</f>
        <v>530830.30085618317</v>
      </c>
      <c r="L1268" s="76">
        <f>EFEITO!$N$1268*EFEITO!$AA$1075</f>
        <v>1223976.9833160413</v>
      </c>
      <c r="M1268" s="76">
        <f>$J$1268-EFEITO!$K$1268*EFEITO!$Y$1268</f>
        <v>0</v>
      </c>
      <c r="N1268" s="76">
        <f ca="1">$K$1268-EFEITO!$M$1268*EFEITO!$Z$1268</f>
        <v>15924.909025685512</v>
      </c>
      <c r="O1268" s="76">
        <f>$L$1268-EFEITO!$O$1268*EFEITO!$AA$1268</f>
        <v>36719.309499480994</v>
      </c>
      <c r="P1268" s="57"/>
      <c r="Q1268" s="57"/>
      <c r="R1268" s="57"/>
      <c r="S1268" s="57"/>
      <c r="T1268" s="57"/>
      <c r="U1268" s="57"/>
      <c r="V1268" s="57"/>
      <c r="W1268" s="57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</row>
    <row r="1269" spans="1:36" ht="11.25" customHeight="1" x14ac:dyDescent="0.2">
      <c r="A1269" s="53" t="s">
        <v>28</v>
      </c>
      <c r="B1269" s="53" t="s">
        <v>33</v>
      </c>
      <c r="C1269" s="53" t="s">
        <v>34</v>
      </c>
      <c r="D1269" s="53" t="s">
        <v>50</v>
      </c>
      <c r="E1269" s="53" t="s">
        <v>51</v>
      </c>
      <c r="F1269" s="53" t="s">
        <v>25</v>
      </c>
      <c r="G1269" s="53" t="s">
        <v>25</v>
      </c>
      <c r="H1269" s="53" t="s">
        <v>36</v>
      </c>
      <c r="I1269" s="75">
        <v>44378</v>
      </c>
      <c r="J1269" s="76">
        <f>EFEITO!$J$1269*EFEITO!$Y$1075</f>
        <v>0</v>
      </c>
      <c r="K1269" s="76">
        <f ca="1">EFEITO!$L$1269*EFEITO!$Z$1075</f>
        <v>1984.1153945328508</v>
      </c>
      <c r="L1269" s="76">
        <f>EFEITO!$N$1269*EFEITO!$AA$1075</f>
        <v>4574.9302012983389</v>
      </c>
      <c r="M1269" s="76">
        <f>$J$1269-EFEITO!$K$1269*EFEITO!$Y$1269</f>
        <v>0</v>
      </c>
      <c r="N1269" s="76">
        <f ca="1">$K$1269-EFEITO!$M$1269*EFEITO!$Z$1269</f>
        <v>59.523461835985472</v>
      </c>
      <c r="O1269" s="76">
        <f>$L$1269-EFEITO!$O$1269*EFEITO!$AA$1269</f>
        <v>137.24790603894962</v>
      </c>
      <c r="P1269" s="57"/>
      <c r="Q1269" s="57"/>
      <c r="R1269" s="57"/>
      <c r="S1269" s="57"/>
      <c r="T1269" s="57"/>
      <c r="U1269" s="57"/>
      <c r="V1269" s="57"/>
      <c r="W1269" s="57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</row>
    <row r="1270" spans="1:36" ht="11.25" customHeight="1" x14ac:dyDescent="0.2">
      <c r="A1270" s="53" t="s">
        <v>21</v>
      </c>
      <c r="B1270" s="53" t="s">
        <v>33</v>
      </c>
      <c r="C1270" s="53" t="s">
        <v>34</v>
      </c>
      <c r="D1270" s="53" t="s">
        <v>50</v>
      </c>
      <c r="E1270" s="53" t="s">
        <v>51</v>
      </c>
      <c r="F1270" s="53" t="s">
        <v>25</v>
      </c>
      <c r="G1270" s="53" t="s">
        <v>25</v>
      </c>
      <c r="H1270" s="53" t="s">
        <v>36</v>
      </c>
      <c r="I1270" s="75">
        <v>44409</v>
      </c>
      <c r="J1270" s="76">
        <f>EFEITO!$J$1270*EFEITO!$Y$1075</f>
        <v>0</v>
      </c>
      <c r="K1270" s="76">
        <f ca="1">EFEITO!$L$1270*EFEITO!$Z$1075</f>
        <v>533608.1564814453</v>
      </c>
      <c r="L1270" s="76">
        <f>EFEITO!$N$1270*EFEITO!$AA$1075</f>
        <v>1230382.1025091468</v>
      </c>
      <c r="M1270" s="76">
        <f>$J$1270-EFEITO!$K$1270*EFEITO!$Y$1270</f>
        <v>0</v>
      </c>
      <c r="N1270" s="76">
        <f ca="1">$K$1270-EFEITO!$M$1270*EFEITO!$Z$1270</f>
        <v>16008.244694443303</v>
      </c>
      <c r="O1270" s="76">
        <f>$L$1270-EFEITO!$O$1270*EFEITO!$AA$1270</f>
        <v>36911.463075274369</v>
      </c>
      <c r="P1270" s="57"/>
      <c r="Q1270" s="57"/>
      <c r="R1270" s="57"/>
      <c r="S1270" s="57"/>
      <c r="T1270" s="57"/>
      <c r="U1270" s="57"/>
      <c r="V1270" s="57"/>
      <c r="W1270" s="57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</row>
    <row r="1271" spans="1:36" ht="11.25" customHeight="1" x14ac:dyDescent="0.2">
      <c r="A1271" s="53" t="s">
        <v>28</v>
      </c>
      <c r="B1271" s="53" t="s">
        <v>33</v>
      </c>
      <c r="C1271" s="53" t="s">
        <v>34</v>
      </c>
      <c r="D1271" s="53" t="s">
        <v>50</v>
      </c>
      <c r="E1271" s="53" t="s">
        <v>51</v>
      </c>
      <c r="F1271" s="53" t="s">
        <v>25</v>
      </c>
      <c r="G1271" s="53" t="s">
        <v>25</v>
      </c>
      <c r="H1271" s="53" t="s">
        <v>36</v>
      </c>
      <c r="I1271" s="75">
        <v>44409</v>
      </c>
      <c r="J1271" s="76">
        <f>EFEITO!$J$1271*EFEITO!$Y$1075</f>
        <v>0</v>
      </c>
      <c r="K1271" s="76">
        <f ca="1">EFEITO!$L$1271*EFEITO!$Z$1075</f>
        <v>2192.3693128471796</v>
      </c>
      <c r="L1271" s="76">
        <f>EFEITO!$N$1271*EFEITO!$AA$1075</f>
        <v>5055.1175649265824</v>
      </c>
      <c r="M1271" s="76">
        <f>$J$1271-EFEITO!$K$1271*EFEITO!$Y$1271</f>
        <v>0</v>
      </c>
      <c r="N1271" s="76">
        <f ca="1">$K$1271-EFEITO!$M$1271*EFEITO!$Z$1271</f>
        <v>65.771079385415305</v>
      </c>
      <c r="O1271" s="76">
        <f>$L$1271-EFEITO!$O$1271*EFEITO!$AA$1271</f>
        <v>151.65352694779722</v>
      </c>
      <c r="P1271" s="57"/>
      <c r="Q1271" s="57"/>
      <c r="R1271" s="57"/>
      <c r="S1271" s="57"/>
      <c r="T1271" s="57"/>
      <c r="U1271" s="57"/>
      <c r="V1271" s="57"/>
      <c r="W1271" s="57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</row>
    <row r="1272" spans="1:36" ht="11.25" customHeight="1" x14ac:dyDescent="0.2">
      <c r="A1272" s="53" t="s">
        <v>21</v>
      </c>
      <c r="B1272" s="53" t="s">
        <v>33</v>
      </c>
      <c r="C1272" s="53" t="s">
        <v>34</v>
      </c>
      <c r="D1272" s="53" t="s">
        <v>50</v>
      </c>
      <c r="E1272" s="53" t="s">
        <v>51</v>
      </c>
      <c r="F1272" s="53" t="s">
        <v>25</v>
      </c>
      <c r="G1272" s="53" t="s">
        <v>25</v>
      </c>
      <c r="H1272" s="53" t="s">
        <v>36</v>
      </c>
      <c r="I1272" s="75">
        <v>44440</v>
      </c>
      <c r="J1272" s="76">
        <f>EFEITO!$J$1272*EFEITO!$Y$1075</f>
        <v>0</v>
      </c>
      <c r="K1272" s="76">
        <f ca="1">EFEITO!$L$1272*EFEITO!$Z$1075</f>
        <v>509650.25413054583</v>
      </c>
      <c r="L1272" s="76">
        <f>EFEITO!$N$1272*EFEITO!$AA$1075</f>
        <v>1175140.4913977666</v>
      </c>
      <c r="M1272" s="76">
        <f>$J$1272-EFEITO!$K$1272*EFEITO!$Y$1272</f>
        <v>0</v>
      </c>
      <c r="N1272" s="76">
        <f ca="1">$K$1272-EFEITO!$M$1272*EFEITO!$Z$1272</f>
        <v>15289.507623916375</v>
      </c>
      <c r="O1272" s="76">
        <f>$L$1272-EFEITO!$O$1272*EFEITO!$AA$1272</f>
        <v>35254.21474193316</v>
      </c>
      <c r="P1272" s="57"/>
      <c r="Q1272" s="57"/>
      <c r="R1272" s="57"/>
      <c r="S1272" s="57"/>
      <c r="T1272" s="57"/>
      <c r="U1272" s="57"/>
      <c r="V1272" s="57"/>
      <c r="W1272" s="57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</row>
    <row r="1273" spans="1:36" ht="11.25" customHeight="1" x14ac:dyDescent="0.2">
      <c r="A1273" s="53" t="s">
        <v>28</v>
      </c>
      <c r="B1273" s="53" t="s">
        <v>33</v>
      </c>
      <c r="C1273" s="53" t="s">
        <v>34</v>
      </c>
      <c r="D1273" s="53" t="s">
        <v>50</v>
      </c>
      <c r="E1273" s="53" t="s">
        <v>51</v>
      </c>
      <c r="F1273" s="53" t="s">
        <v>25</v>
      </c>
      <c r="G1273" s="53" t="s">
        <v>25</v>
      </c>
      <c r="H1273" s="53" t="s">
        <v>36</v>
      </c>
      <c r="I1273" s="75">
        <v>44440</v>
      </c>
      <c r="J1273" s="76">
        <f>EFEITO!$J$1273*EFEITO!$Y$1075</f>
        <v>0</v>
      </c>
      <c r="K1273" s="76">
        <f ca="1">EFEITO!$L$1273*EFEITO!$Z$1075</f>
        <v>2044.2044697776967</v>
      </c>
      <c r="L1273" s="76">
        <f>EFEITO!$N$1273*EFEITO!$AA$1075</f>
        <v>4713.4822864558955</v>
      </c>
      <c r="M1273" s="76">
        <f>$J$1273-EFEITO!$K$1273*EFEITO!$Y$1273</f>
        <v>0</v>
      </c>
      <c r="N1273" s="76">
        <f ca="1">$K$1273-EFEITO!$M$1273*EFEITO!$Z$1273</f>
        <v>61.326134093330893</v>
      </c>
      <c r="O1273" s="76">
        <f>$L$1273-EFEITO!$O$1273*EFEITO!$AA$1273</f>
        <v>141.40446859367694</v>
      </c>
      <c r="P1273" s="57"/>
      <c r="Q1273" s="57"/>
      <c r="R1273" s="57"/>
      <c r="S1273" s="57"/>
      <c r="T1273" s="57"/>
      <c r="U1273" s="57"/>
      <c r="V1273" s="57"/>
      <c r="W1273" s="57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</row>
    <row r="1274" spans="1:36" ht="11.25" customHeight="1" x14ac:dyDescent="0.2">
      <c r="A1274" s="53" t="s">
        <v>21</v>
      </c>
      <c r="B1274" s="53" t="s">
        <v>33</v>
      </c>
      <c r="C1274" s="53" t="s">
        <v>34</v>
      </c>
      <c r="D1274" s="53" t="s">
        <v>50</v>
      </c>
      <c r="E1274" s="53" t="s">
        <v>51</v>
      </c>
      <c r="F1274" s="53" t="s">
        <v>25</v>
      </c>
      <c r="G1274" s="53" t="s">
        <v>25</v>
      </c>
      <c r="H1274" s="53" t="s">
        <v>36</v>
      </c>
      <c r="I1274" s="75">
        <v>44470</v>
      </c>
      <c r="J1274" s="76">
        <f>EFEITO!$J$1274*EFEITO!$Y$1075</f>
        <v>0</v>
      </c>
      <c r="K1274" s="76">
        <f ca="1">EFEITO!$L$1274*EFEITO!$Z$1075</f>
        <v>547626.31450299791</v>
      </c>
      <c r="L1274" s="76">
        <f>EFEITO!$N$1274*EFEITO!$AA$1075</f>
        <v>1262704.8669391223</v>
      </c>
      <c r="M1274" s="76">
        <f>$J$1274-EFEITO!$K$1274*EFEITO!$Y$1274</f>
        <v>0</v>
      </c>
      <c r="N1274" s="76">
        <f ca="1">$K$1274-EFEITO!$M$1274*EFEITO!$Z$1274</f>
        <v>16428.789435089915</v>
      </c>
      <c r="O1274" s="76">
        <f>$L$1274-EFEITO!$O$1274*EFEITO!$AA$1274</f>
        <v>37881.146008173469</v>
      </c>
      <c r="P1274" s="57"/>
      <c r="Q1274" s="57"/>
      <c r="R1274" s="57"/>
      <c r="S1274" s="57"/>
      <c r="T1274" s="57"/>
      <c r="U1274" s="57"/>
      <c r="V1274" s="57"/>
      <c r="W1274" s="57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</row>
    <row r="1275" spans="1:36" ht="11.25" customHeight="1" x14ac:dyDescent="0.2">
      <c r="A1275" s="53" t="s">
        <v>28</v>
      </c>
      <c r="B1275" s="53" t="s">
        <v>33</v>
      </c>
      <c r="C1275" s="53" t="s">
        <v>34</v>
      </c>
      <c r="D1275" s="53" t="s">
        <v>50</v>
      </c>
      <c r="E1275" s="53" t="s">
        <v>51</v>
      </c>
      <c r="F1275" s="53" t="s">
        <v>25</v>
      </c>
      <c r="G1275" s="53" t="s">
        <v>25</v>
      </c>
      <c r="H1275" s="53" t="s">
        <v>36</v>
      </c>
      <c r="I1275" s="75">
        <v>44470</v>
      </c>
      <c r="J1275" s="76">
        <f>EFEITO!$J$1275*EFEITO!$Y$1075</f>
        <v>0</v>
      </c>
      <c r="K1275" s="76">
        <f ca="1">EFEITO!$L$1275*EFEITO!$Z$1075</f>
        <v>2632.0426050986066</v>
      </c>
      <c r="L1275" s="76">
        <f>EFEITO!$N$1275*EFEITO!$AA$1075</f>
        <v>6068.9066968328516</v>
      </c>
      <c r="M1275" s="76">
        <f>$J$1275-EFEITO!$K$1275*EFEITO!$Y$1275</f>
        <v>0</v>
      </c>
      <c r="N1275" s="76">
        <f ca="1">$K$1275-EFEITO!$M$1275*EFEITO!$Z$1275</f>
        <v>78.96127815295813</v>
      </c>
      <c r="O1275" s="76">
        <f>$L$1275-EFEITO!$O$1275*EFEITO!$AA$1275</f>
        <v>182.06720090498493</v>
      </c>
      <c r="P1275" s="57"/>
      <c r="Q1275" s="57"/>
      <c r="R1275" s="57"/>
      <c r="S1275" s="57"/>
      <c r="T1275" s="57"/>
      <c r="U1275" s="57"/>
      <c r="V1275" s="57"/>
      <c r="W1275" s="57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</row>
    <row r="1276" spans="1:36" ht="11.25" customHeight="1" x14ac:dyDescent="0.2">
      <c r="A1276" s="53" t="s">
        <v>21</v>
      </c>
      <c r="B1276" s="53" t="s">
        <v>33</v>
      </c>
      <c r="C1276" s="53" t="s">
        <v>34</v>
      </c>
      <c r="D1276" s="53" t="s">
        <v>50</v>
      </c>
      <c r="E1276" s="53" t="s">
        <v>51</v>
      </c>
      <c r="F1276" s="53" t="s">
        <v>25</v>
      </c>
      <c r="G1276" s="53" t="s">
        <v>25</v>
      </c>
      <c r="H1276" s="53" t="s">
        <v>36</v>
      </c>
      <c r="I1276" s="75">
        <v>44501</v>
      </c>
      <c r="J1276" s="76">
        <f>EFEITO!$J$1276*EFEITO!$Y$1075</f>
        <v>0</v>
      </c>
      <c r="K1276" s="76">
        <f ca="1">EFEITO!$L$1276*EFEITO!$Z$1075</f>
        <v>520649.02431440377</v>
      </c>
      <c r="L1276" s="76">
        <f>EFEITO!$N$1276*EFEITO!$AA$1075</f>
        <v>1200501.2169029072</v>
      </c>
      <c r="M1276" s="76">
        <f>$J$1276-EFEITO!$K$1276*EFEITO!$Y$1276</f>
        <v>0</v>
      </c>
      <c r="N1276" s="76">
        <f ca="1">$K$1276-EFEITO!$M$1276*EFEITO!$Z$1276</f>
        <v>15619.470729432127</v>
      </c>
      <c r="O1276" s="76">
        <f>$L$1276-EFEITO!$O$1276*EFEITO!$AA$1276</f>
        <v>36015.036507087294</v>
      </c>
      <c r="P1276" s="57"/>
      <c r="Q1276" s="57"/>
      <c r="R1276" s="57"/>
      <c r="S1276" s="57"/>
      <c r="T1276" s="57"/>
      <c r="U1276" s="57"/>
      <c r="V1276" s="57"/>
      <c r="W1276" s="57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</row>
    <row r="1277" spans="1:36" ht="11.25" customHeight="1" x14ac:dyDescent="0.2">
      <c r="A1277" s="53" t="s">
        <v>27</v>
      </c>
      <c r="B1277" s="53" t="s">
        <v>33</v>
      </c>
      <c r="C1277" s="53" t="s">
        <v>34</v>
      </c>
      <c r="D1277" s="53" t="s">
        <v>50</v>
      </c>
      <c r="E1277" s="53" t="s">
        <v>51</v>
      </c>
      <c r="F1277" s="53" t="s">
        <v>25</v>
      </c>
      <c r="G1277" s="53" t="s">
        <v>25</v>
      </c>
      <c r="H1277" s="53" t="s">
        <v>36</v>
      </c>
      <c r="I1277" s="75">
        <v>44501</v>
      </c>
      <c r="J1277" s="76">
        <f>EFEITO!$J$1277*EFEITO!$Y$1075</f>
        <v>0</v>
      </c>
      <c r="K1277" s="76">
        <f ca="1">EFEITO!$L$1277*EFEITO!$Z$1075</f>
        <v>254.11446497869318</v>
      </c>
      <c r="L1277" s="76">
        <f>EFEITO!$N$1277*EFEITO!$AA$1075</f>
        <v>585.93161648821842</v>
      </c>
      <c r="M1277" s="76">
        <f>$J$1277-EFEITO!$K$1277*EFEITO!$Y$1277</f>
        <v>0</v>
      </c>
      <c r="N1277" s="76">
        <f ca="1">$K$1277-EFEITO!$M$1277*EFEITO!$Z$1277</f>
        <v>7.6234339493607877</v>
      </c>
      <c r="O1277" s="76">
        <f>$L$1277-EFEITO!$O$1277*EFEITO!$AA$1277</f>
        <v>17.577948494646535</v>
      </c>
      <c r="P1277" s="57"/>
      <c r="Q1277" s="57"/>
      <c r="R1277" s="57"/>
      <c r="S1277" s="57"/>
      <c r="T1277" s="57"/>
      <c r="U1277" s="57"/>
      <c r="V1277" s="57"/>
      <c r="W1277" s="57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</row>
    <row r="1278" spans="1:36" ht="11.25" customHeight="1" x14ac:dyDescent="0.2">
      <c r="A1278" s="53" t="s">
        <v>28</v>
      </c>
      <c r="B1278" s="53" t="s">
        <v>33</v>
      </c>
      <c r="C1278" s="53" t="s">
        <v>34</v>
      </c>
      <c r="D1278" s="53" t="s">
        <v>50</v>
      </c>
      <c r="E1278" s="53" t="s">
        <v>51</v>
      </c>
      <c r="F1278" s="53" t="s">
        <v>25</v>
      </c>
      <c r="G1278" s="53" t="s">
        <v>25</v>
      </c>
      <c r="H1278" s="53" t="s">
        <v>36</v>
      </c>
      <c r="I1278" s="75">
        <v>44501</v>
      </c>
      <c r="J1278" s="76">
        <f>EFEITO!$J$1278*EFEITO!$Y$1075</f>
        <v>0</v>
      </c>
      <c r="K1278" s="76">
        <f ca="1">EFEITO!$L$1278*EFEITO!$Z$1075</f>
        <v>1586.8925057322833</v>
      </c>
      <c r="L1278" s="76">
        <f>EFEITO!$N$1278*EFEITO!$AA$1075</f>
        <v>3659.0222880650199</v>
      </c>
      <c r="M1278" s="76">
        <f>$J$1278-EFEITO!$K$1278*EFEITO!$Y$1278</f>
        <v>0</v>
      </c>
      <c r="N1278" s="76">
        <f ca="1">$K$1278-EFEITO!$M$1278*EFEITO!$Z$1278</f>
        <v>47.606775171968366</v>
      </c>
      <c r="O1278" s="76">
        <f>$L$1278-EFEITO!$O$1278*EFEITO!$AA$1278</f>
        <v>109.77066864195058</v>
      </c>
      <c r="P1278" s="57"/>
      <c r="Q1278" s="57"/>
      <c r="R1278" s="57"/>
      <c r="S1278" s="57"/>
      <c r="T1278" s="57"/>
      <c r="U1278" s="57"/>
      <c r="V1278" s="57"/>
      <c r="W1278" s="57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/>
      <c r="AI1278" s="4"/>
      <c r="AJ1278" s="4"/>
    </row>
    <row r="1279" spans="1:36" ht="11.25" customHeight="1" x14ac:dyDescent="0.2">
      <c r="A1279" s="53" t="s">
        <v>21</v>
      </c>
      <c r="B1279" s="53" t="s">
        <v>33</v>
      </c>
      <c r="C1279" s="53" t="s">
        <v>34</v>
      </c>
      <c r="D1279" s="53" t="s">
        <v>50</v>
      </c>
      <c r="E1279" s="53" t="s">
        <v>51</v>
      </c>
      <c r="F1279" s="53" t="s">
        <v>25</v>
      </c>
      <c r="G1279" s="53" t="s">
        <v>25</v>
      </c>
      <c r="H1279" s="53" t="s">
        <v>36</v>
      </c>
      <c r="I1279" s="75">
        <v>44531</v>
      </c>
      <c r="J1279" s="76">
        <f>EFEITO!$J$1279*EFEITO!$Y$1075</f>
        <v>0</v>
      </c>
      <c r="K1279" s="76">
        <f ca="1">EFEITO!$L$1279*EFEITO!$Z$1075</f>
        <v>524956.97592222167</v>
      </c>
      <c r="L1279" s="76">
        <f>EFEITO!$N$1279*EFEITO!$AA$1075</f>
        <v>1210434.3981939973</v>
      </c>
      <c r="M1279" s="76">
        <f>$J$1279-EFEITO!$K$1279*EFEITO!$Y$1279</f>
        <v>0</v>
      </c>
      <c r="N1279" s="76">
        <f ca="1">$K$1279-EFEITO!$M$1279*EFEITO!$Z$1279</f>
        <v>15748.70927766664</v>
      </c>
      <c r="O1279" s="76">
        <f>$L$1279-EFEITO!$O$1279*EFEITO!$AA$1279</f>
        <v>36313.031945819734</v>
      </c>
      <c r="P1279" s="57"/>
      <c r="Q1279" s="57"/>
      <c r="R1279" s="57"/>
      <c r="S1279" s="57"/>
      <c r="T1279" s="57"/>
      <c r="U1279" s="57"/>
      <c r="V1279" s="57"/>
      <c r="W1279" s="57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/>
      <c r="AI1279" s="4"/>
      <c r="AJ1279" s="4"/>
    </row>
    <row r="1280" spans="1:36" ht="11.25" customHeight="1" x14ac:dyDescent="0.2">
      <c r="A1280" s="53" t="s">
        <v>27</v>
      </c>
      <c r="B1280" s="53" t="s">
        <v>33</v>
      </c>
      <c r="C1280" s="53" t="s">
        <v>34</v>
      </c>
      <c r="D1280" s="53" t="s">
        <v>50</v>
      </c>
      <c r="E1280" s="53" t="s">
        <v>51</v>
      </c>
      <c r="F1280" s="53" t="s">
        <v>25</v>
      </c>
      <c r="G1280" s="53" t="s">
        <v>25</v>
      </c>
      <c r="H1280" s="53" t="s">
        <v>36</v>
      </c>
      <c r="I1280" s="75">
        <v>44531</v>
      </c>
      <c r="J1280" s="76">
        <f>EFEITO!$J$1280*EFEITO!$Y$1075</f>
        <v>0</v>
      </c>
      <c r="K1280" s="76">
        <f ca="1">EFEITO!$L$1280*EFEITO!$Z$1075</f>
        <v>194.84852775089988</v>
      </c>
      <c r="L1280" s="76">
        <f>EFEITO!$N$1280*EFEITO!$AA$1075</f>
        <v>449.27750509994354</v>
      </c>
      <c r="M1280" s="76">
        <f>$J$1280-EFEITO!$K$1280*EFEITO!$Y$1280</f>
        <v>0</v>
      </c>
      <c r="N1280" s="76">
        <f ca="1">$K$1280-EFEITO!$M$1280*EFEITO!$Z$1280</f>
        <v>5.8454558325269943</v>
      </c>
      <c r="O1280" s="76">
        <f>$L$1280-EFEITO!$O$1280*EFEITO!$AA$1280</f>
        <v>13.478325152998309</v>
      </c>
      <c r="P1280" s="57"/>
      <c r="Q1280" s="57"/>
      <c r="R1280" s="57"/>
      <c r="S1280" s="57"/>
      <c r="T1280" s="57"/>
      <c r="U1280" s="57"/>
      <c r="V1280" s="57"/>
      <c r="W1280" s="57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/>
      <c r="AI1280" s="4"/>
      <c r="AJ1280" s="4"/>
    </row>
    <row r="1281" spans="1:36" ht="11.25" customHeight="1" x14ac:dyDescent="0.2">
      <c r="A1281" s="53" t="s">
        <v>28</v>
      </c>
      <c r="B1281" s="53" t="s">
        <v>33</v>
      </c>
      <c r="C1281" s="53" t="s">
        <v>34</v>
      </c>
      <c r="D1281" s="53" t="s">
        <v>50</v>
      </c>
      <c r="E1281" s="53" t="s">
        <v>51</v>
      </c>
      <c r="F1281" s="53" t="s">
        <v>25</v>
      </c>
      <c r="G1281" s="53" t="s">
        <v>25</v>
      </c>
      <c r="H1281" s="53" t="s">
        <v>36</v>
      </c>
      <c r="I1281" s="75">
        <v>44531</v>
      </c>
      <c r="J1281" s="76">
        <f>EFEITO!$J$1281*EFEITO!$Y$1075</f>
        <v>0</v>
      </c>
      <c r="K1281" s="76">
        <f ca="1">EFEITO!$L$1281*EFEITO!$Z$1075</f>
        <v>2690.1326308734679</v>
      </c>
      <c r="L1281" s="76">
        <f>EFEITO!$N$1281*EFEITO!$AA$1075</f>
        <v>6202.8494171221528</v>
      </c>
      <c r="M1281" s="76">
        <f>$J$1281-EFEITO!$K$1281*EFEITO!$Y$1281</f>
        <v>0</v>
      </c>
      <c r="N1281" s="76">
        <f ca="1">$K$1281-EFEITO!$M$1281*EFEITO!$Z$1281</f>
        <v>80.703978926203945</v>
      </c>
      <c r="O1281" s="76">
        <f>$L$1281-EFEITO!$O$1281*EFEITO!$AA$1281</f>
        <v>186.08548251366392</v>
      </c>
      <c r="P1281" s="57"/>
      <c r="Q1281" s="57"/>
      <c r="R1281" s="57"/>
      <c r="S1281" s="57"/>
      <c r="T1281" s="57"/>
      <c r="U1281" s="57"/>
      <c r="V1281" s="57"/>
      <c r="W1281" s="57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/>
      <c r="AI1281" s="4"/>
      <c r="AJ1281" s="4"/>
    </row>
    <row r="1282" spans="1:36" ht="11.25" customHeight="1" x14ac:dyDescent="0.2">
      <c r="A1282" s="53" t="s">
        <v>21</v>
      </c>
      <c r="B1282" s="53" t="s">
        <v>33</v>
      </c>
      <c r="C1282" s="53" t="s">
        <v>34</v>
      </c>
      <c r="D1282" s="53" t="s">
        <v>50</v>
      </c>
      <c r="E1282" s="53" t="s">
        <v>51</v>
      </c>
      <c r="F1282" s="53" t="s">
        <v>25</v>
      </c>
      <c r="G1282" s="53" t="s">
        <v>25</v>
      </c>
      <c r="H1282" s="53" t="s">
        <v>36</v>
      </c>
      <c r="I1282" s="75">
        <v>44562</v>
      </c>
      <c r="J1282" s="76">
        <f>EFEITO!$J$1282*EFEITO!$Y$1075</f>
        <v>0</v>
      </c>
      <c r="K1282" s="76">
        <f ca="1">EFEITO!$L$1282*EFEITO!$Z$1075</f>
        <v>529585.71617439936</v>
      </c>
      <c r="L1282" s="76">
        <f>EFEITO!$N$1282*EFEITO!$AA$1075</f>
        <v>1221107.2469768873</v>
      </c>
      <c r="M1282" s="76">
        <f>$J$1282-EFEITO!$K$1282*EFEITO!$Y$1282</f>
        <v>0</v>
      </c>
      <c r="N1282" s="76">
        <f ca="1">$K$1282-EFEITO!$M$1282*EFEITO!$Z$1282</f>
        <v>15887.571485231922</v>
      </c>
      <c r="O1282" s="76">
        <f>$L$1282-EFEITO!$O$1282*EFEITO!$AA$1282</f>
        <v>36633.217409306439</v>
      </c>
      <c r="P1282" s="57"/>
      <c r="Q1282" s="57"/>
      <c r="R1282" s="57"/>
      <c r="S1282" s="57"/>
      <c r="T1282" s="57"/>
      <c r="U1282" s="57"/>
      <c r="V1282" s="57"/>
      <c r="W1282" s="57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</row>
    <row r="1283" spans="1:36" ht="11.25" customHeight="1" x14ac:dyDescent="0.2">
      <c r="A1283" s="53" t="s">
        <v>28</v>
      </c>
      <c r="B1283" s="53" t="s">
        <v>33</v>
      </c>
      <c r="C1283" s="53" t="s">
        <v>34</v>
      </c>
      <c r="D1283" s="53" t="s">
        <v>50</v>
      </c>
      <c r="E1283" s="53" t="s">
        <v>51</v>
      </c>
      <c r="F1283" s="53" t="s">
        <v>25</v>
      </c>
      <c r="G1283" s="53" t="s">
        <v>25</v>
      </c>
      <c r="H1283" s="53" t="s">
        <v>36</v>
      </c>
      <c r="I1283" s="75">
        <v>44562</v>
      </c>
      <c r="J1283" s="76">
        <f>EFEITO!$J$1283*EFEITO!$Y$1075</f>
        <v>0</v>
      </c>
      <c r="K1283" s="76">
        <f ca="1">EFEITO!$L$1283*EFEITO!$Z$1075</f>
        <v>2671.9060033530159</v>
      </c>
      <c r="L1283" s="76">
        <f>EFEITO!$N$1283*EFEITO!$AA$1075</f>
        <v>6160.8228550880613</v>
      </c>
      <c r="M1283" s="76">
        <f>$J$1283-EFEITO!$K$1283*EFEITO!$Y$1283</f>
        <v>0</v>
      </c>
      <c r="N1283" s="76">
        <f ca="1">$K$1283-EFEITO!$M$1283*EFEITO!$Z$1283</f>
        <v>80.157180100590722</v>
      </c>
      <c r="O1283" s="76">
        <f>$L$1283-EFEITO!$O$1283*EFEITO!$AA$1283</f>
        <v>184.82468565264207</v>
      </c>
      <c r="P1283" s="57"/>
      <c r="Q1283" s="57"/>
      <c r="R1283" s="57"/>
      <c r="S1283" s="57"/>
      <c r="T1283" s="57"/>
      <c r="U1283" s="57"/>
      <c r="V1283" s="57"/>
      <c r="W1283" s="57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</row>
    <row r="1284" spans="1:36" ht="11.25" customHeight="1" x14ac:dyDescent="0.2">
      <c r="A1284" s="53" t="s">
        <v>21</v>
      </c>
      <c r="B1284" s="53" t="s">
        <v>33</v>
      </c>
      <c r="C1284" s="53" t="s">
        <v>34</v>
      </c>
      <c r="D1284" s="53" t="s">
        <v>50</v>
      </c>
      <c r="E1284" s="53" t="s">
        <v>51</v>
      </c>
      <c r="F1284" s="53" t="s">
        <v>25</v>
      </c>
      <c r="G1284" s="53" t="s">
        <v>25</v>
      </c>
      <c r="H1284" s="53" t="s">
        <v>36</v>
      </c>
      <c r="I1284" s="75">
        <v>44593</v>
      </c>
      <c r="J1284" s="76">
        <f>EFEITO!$J$1284*EFEITO!$Y$1075</f>
        <v>0</v>
      </c>
      <c r="K1284" s="76">
        <f ca="1">EFEITO!$L$1284*EFEITO!$Z$1075</f>
        <v>462801.94184571865</v>
      </c>
      <c r="L1284" s="76">
        <f>EFEITO!$N$1284*EFEITO!$AA$1075</f>
        <v>1067118.6700146538</v>
      </c>
      <c r="M1284" s="76">
        <f>$J$1284-EFEITO!$K$1284*EFEITO!$Y$1284</f>
        <v>0</v>
      </c>
      <c r="N1284" s="76">
        <f ca="1">$K$1284-EFEITO!$M$1284*EFEITO!$Z$1284</f>
        <v>13884.058255371521</v>
      </c>
      <c r="O1284" s="76">
        <f>$L$1284-EFEITO!$O$1284*EFEITO!$AA$1284</f>
        <v>32013.560100439587</v>
      </c>
      <c r="P1284" s="57"/>
      <c r="Q1284" s="57"/>
      <c r="R1284" s="57"/>
      <c r="S1284" s="57"/>
      <c r="T1284" s="57"/>
      <c r="U1284" s="57"/>
      <c r="V1284" s="57"/>
      <c r="W1284" s="57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</row>
    <row r="1285" spans="1:36" ht="11.25" customHeight="1" x14ac:dyDescent="0.2">
      <c r="A1285" s="53" t="s">
        <v>28</v>
      </c>
      <c r="B1285" s="53" t="s">
        <v>33</v>
      </c>
      <c r="C1285" s="53" t="s">
        <v>34</v>
      </c>
      <c r="D1285" s="53" t="s">
        <v>50</v>
      </c>
      <c r="E1285" s="53" t="s">
        <v>51</v>
      </c>
      <c r="F1285" s="53" t="s">
        <v>25</v>
      </c>
      <c r="G1285" s="53" t="s">
        <v>25</v>
      </c>
      <c r="H1285" s="53" t="s">
        <v>36</v>
      </c>
      <c r="I1285" s="75">
        <v>44593</v>
      </c>
      <c r="J1285" s="76">
        <f>EFEITO!$J$1285*EFEITO!$Y$1075</f>
        <v>0</v>
      </c>
      <c r="K1285" s="76">
        <f ca="1">EFEITO!$L$1285*EFEITO!$Z$1075</f>
        <v>1436.7286131928151</v>
      </c>
      <c r="L1285" s="76">
        <f>EFEITO!$N$1285*EFEITO!$AA$1075</f>
        <v>3312.7776447260771</v>
      </c>
      <c r="M1285" s="76">
        <f>$J$1285-EFEITO!$K$1285*EFEITO!$Y$1285</f>
        <v>0</v>
      </c>
      <c r="N1285" s="76">
        <f ca="1">$K$1285-EFEITO!$M$1285*EFEITO!$Z$1285</f>
        <v>43.101858395784575</v>
      </c>
      <c r="O1285" s="76">
        <f>$L$1285-EFEITO!$O$1285*EFEITO!$AA$1285</f>
        <v>99.383329341781973</v>
      </c>
      <c r="P1285" s="57"/>
      <c r="Q1285" s="57"/>
      <c r="R1285" s="57"/>
      <c r="S1285" s="57"/>
      <c r="T1285" s="57"/>
      <c r="U1285" s="57"/>
      <c r="V1285" s="57"/>
      <c r="W1285" s="57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/>
      <c r="AI1285" s="4"/>
      <c r="AJ1285" s="4"/>
    </row>
    <row r="1286" spans="1:36" ht="11.25" customHeight="1" x14ac:dyDescent="0.2">
      <c r="A1286" s="53" t="s">
        <v>21</v>
      </c>
      <c r="B1286" s="53" t="s">
        <v>33</v>
      </c>
      <c r="C1286" s="53" t="s">
        <v>34</v>
      </c>
      <c r="D1286" s="53" t="s">
        <v>50</v>
      </c>
      <c r="E1286" s="53" t="s">
        <v>51</v>
      </c>
      <c r="F1286" s="53" t="s">
        <v>25</v>
      </c>
      <c r="G1286" s="53" t="s">
        <v>25</v>
      </c>
      <c r="H1286" s="53" t="s">
        <v>36</v>
      </c>
      <c r="I1286" s="75">
        <v>44621</v>
      </c>
      <c r="J1286" s="76">
        <f>EFEITO!$J$1286*EFEITO!$Y$1075</f>
        <v>0</v>
      </c>
      <c r="K1286" s="76">
        <f ca="1">EFEITO!$L$1286*EFEITO!$Z$1075</f>
        <v>529106.06189274834</v>
      </c>
      <c r="L1286" s="76">
        <f>EFEITO!$N$1286*EFEITO!$AA$1075</f>
        <v>1220001.2705476161</v>
      </c>
      <c r="M1286" s="76">
        <f>$J$1286-EFEITO!$K$1286*EFEITO!$Y$1286</f>
        <v>0</v>
      </c>
      <c r="N1286" s="76">
        <f ca="1">$K$1286-EFEITO!$M$1286*EFEITO!$Z$1286</f>
        <v>15873.181856782467</v>
      </c>
      <c r="O1286" s="76">
        <f>$L$1286-EFEITO!$O$1286*EFEITO!$AA$1286</f>
        <v>36600.038116428303</v>
      </c>
      <c r="P1286" s="57"/>
      <c r="Q1286" s="57"/>
      <c r="R1286" s="57"/>
      <c r="S1286" s="57"/>
      <c r="T1286" s="57"/>
      <c r="U1286" s="57"/>
      <c r="V1286" s="57"/>
      <c r="W1286" s="57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/>
      <c r="AI1286" s="4"/>
      <c r="AJ1286" s="4"/>
    </row>
    <row r="1287" spans="1:36" ht="11.25" customHeight="1" x14ac:dyDescent="0.2">
      <c r="A1287" s="53" t="s">
        <v>28</v>
      </c>
      <c r="B1287" s="53" t="s">
        <v>33</v>
      </c>
      <c r="C1287" s="53" t="s">
        <v>34</v>
      </c>
      <c r="D1287" s="53" t="s">
        <v>50</v>
      </c>
      <c r="E1287" s="53" t="s">
        <v>51</v>
      </c>
      <c r="F1287" s="53" t="s">
        <v>25</v>
      </c>
      <c r="G1287" s="53" t="s">
        <v>25</v>
      </c>
      <c r="H1287" s="53" t="s">
        <v>36</v>
      </c>
      <c r="I1287" s="75">
        <v>44621</v>
      </c>
      <c r="J1287" s="76">
        <f>EFEITO!$J$1287*EFEITO!$Y$1075</f>
        <v>0</v>
      </c>
      <c r="K1287" s="76">
        <f ca="1">EFEITO!$L$1287*EFEITO!$Z$1075</f>
        <v>2810.8987370896261</v>
      </c>
      <c r="L1287" s="76">
        <f>EFEITO!$N$1287*EFEITO!$AA$1075</f>
        <v>6481.3092829867537</v>
      </c>
      <c r="M1287" s="76">
        <f>$J$1287-EFEITO!$K$1287*EFEITO!$Y$1287</f>
        <v>0</v>
      </c>
      <c r="N1287" s="76">
        <f ca="1">$K$1287-EFEITO!$M$1287*EFEITO!$Z$1287</f>
        <v>84.326962112688761</v>
      </c>
      <c r="O1287" s="76">
        <f>$L$1287-EFEITO!$O$1287*EFEITO!$AA$1287</f>
        <v>194.43927848960266</v>
      </c>
      <c r="P1287" s="57"/>
      <c r="Q1287" s="57"/>
      <c r="R1287" s="57"/>
      <c r="S1287" s="57"/>
      <c r="T1287" s="57"/>
      <c r="U1287" s="57"/>
      <c r="V1287" s="57"/>
      <c r="W1287" s="57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/>
      <c r="AI1287" s="4"/>
      <c r="AJ1287" s="4"/>
    </row>
    <row r="1288" spans="1:36" ht="11.25" customHeight="1" x14ac:dyDescent="0.2">
      <c r="A1288" s="53" t="s">
        <v>56</v>
      </c>
      <c r="B1288" s="53" t="s">
        <v>33</v>
      </c>
      <c r="C1288" s="53" t="s">
        <v>34</v>
      </c>
      <c r="D1288" s="53" t="s">
        <v>50</v>
      </c>
      <c r="E1288" s="53" t="s">
        <v>51</v>
      </c>
      <c r="F1288" s="53" t="s">
        <v>25</v>
      </c>
      <c r="G1288" s="53" t="s">
        <v>25</v>
      </c>
      <c r="H1288" s="53" t="s">
        <v>36</v>
      </c>
      <c r="I1288" s="75">
        <v>44652</v>
      </c>
      <c r="J1288" s="76">
        <f>EFEITO!$J$1288*EFEITO!$Y$1075</f>
        <v>0</v>
      </c>
      <c r="K1288" s="76">
        <f ca="1">EFEITO!$L$1288*EFEITO!$Z$1075</f>
        <v>529106.06189274834</v>
      </c>
      <c r="L1288" s="76">
        <f>EFEITO!$N$1288*EFEITO!$AA$1075</f>
        <v>1220001.2705476161</v>
      </c>
      <c r="M1288" s="76">
        <f>$J$1288-EFEITO!$K$1288*EFEITO!$Y$1288</f>
        <v>0</v>
      </c>
      <c r="N1288" s="76">
        <f ca="1">$K$1288-EFEITO!$M$1288*EFEITO!$Z$1288</f>
        <v>15873.181856782467</v>
      </c>
      <c r="O1288" s="76">
        <f>$L$1288-EFEITO!$O$1288*EFEITO!$AA$1288</f>
        <v>36600.038116428303</v>
      </c>
      <c r="P1288" s="57"/>
      <c r="Q1288" s="57"/>
      <c r="R1288" s="57"/>
      <c r="S1288" s="57"/>
      <c r="T1288" s="57"/>
      <c r="U1288" s="57"/>
      <c r="V1288" s="57"/>
      <c r="W1288" s="57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/>
      <c r="AI1288" s="4"/>
      <c r="AJ1288" s="4"/>
    </row>
    <row r="1289" spans="1:36" ht="11.25" customHeight="1" x14ac:dyDescent="0.2">
      <c r="A1289" s="53" t="s">
        <v>56</v>
      </c>
      <c r="B1289" s="53" t="s">
        <v>33</v>
      </c>
      <c r="C1289" s="53" t="s">
        <v>34</v>
      </c>
      <c r="D1289" s="53" t="s">
        <v>50</v>
      </c>
      <c r="E1289" s="53" t="s">
        <v>51</v>
      </c>
      <c r="F1289" s="53" t="s">
        <v>25</v>
      </c>
      <c r="G1289" s="53" t="s">
        <v>25</v>
      </c>
      <c r="H1289" s="53" t="s">
        <v>36</v>
      </c>
      <c r="I1289" s="75">
        <v>44652</v>
      </c>
      <c r="J1289" s="76">
        <f>EFEITO!$J$1289*EFEITO!$Y$1075</f>
        <v>0</v>
      </c>
      <c r="K1289" s="76">
        <f ca="1">EFEITO!$L$1289*EFEITO!$Z$1075</f>
        <v>2810.8987370896261</v>
      </c>
      <c r="L1289" s="76">
        <f>EFEITO!$N$1289*EFEITO!$AA$1075</f>
        <v>6481.3092829867537</v>
      </c>
      <c r="M1289" s="76">
        <f>$J$1289-EFEITO!$K$1289*EFEITO!$Y$1289</f>
        <v>0</v>
      </c>
      <c r="N1289" s="76">
        <f ca="1">$K$1289-EFEITO!$M$1289*EFEITO!$Z$1289</f>
        <v>84.326962112688761</v>
      </c>
      <c r="O1289" s="76">
        <f>$L$1289-EFEITO!$O$1289*EFEITO!$AA$1289</f>
        <v>194.43927848960266</v>
      </c>
      <c r="P1289" s="57"/>
      <c r="Q1289" s="57"/>
      <c r="R1289" s="57"/>
      <c r="S1289" s="57"/>
      <c r="T1289" s="57"/>
      <c r="U1289" s="57"/>
      <c r="V1289" s="57"/>
      <c r="W1289" s="57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</row>
    <row r="1290" spans="1:36" ht="11.25" customHeight="1" x14ac:dyDescent="0.2">
      <c r="A1290" s="53" t="s">
        <v>21</v>
      </c>
      <c r="B1290" s="53" t="s">
        <v>33</v>
      </c>
      <c r="C1290" s="53" t="s">
        <v>34</v>
      </c>
      <c r="D1290" s="53" t="s">
        <v>50</v>
      </c>
      <c r="E1290" s="53" t="s">
        <v>51</v>
      </c>
      <c r="F1290" s="53" t="s">
        <v>25</v>
      </c>
      <c r="G1290" s="53" t="s">
        <v>25</v>
      </c>
      <c r="H1290" s="53" t="s">
        <v>25</v>
      </c>
      <c r="I1290" s="75">
        <v>44317</v>
      </c>
      <c r="J1290" s="76">
        <f ca="1">EFEITO!$J$1290*EFEITO!$Y$1091</f>
        <v>333480.93326603039</v>
      </c>
      <c r="K1290" s="76">
        <f>EFEITO!$L$1290*EFEITO!$Z$1091</f>
        <v>0</v>
      </c>
      <c r="L1290" s="76">
        <f>EFEITO!$N$1290*EFEITO!$AA$1091</f>
        <v>0</v>
      </c>
      <c r="M1290" s="76">
        <f ca="1">$J$1290-EFEITO!$K$1290*EFEITO!$Y$1290</f>
        <v>10004.427997980907</v>
      </c>
      <c r="N1290" s="76">
        <f>$K$1290-EFEITO!$M$1290*EFEITO!$Z$1290</f>
        <v>0</v>
      </c>
      <c r="O1290" s="76">
        <f>$L$1290-EFEITO!$O$1290*EFEITO!$AA$1290</f>
        <v>0</v>
      </c>
      <c r="P1290" s="57"/>
      <c r="Q1290" s="57"/>
      <c r="R1290" s="57"/>
      <c r="S1290" s="57"/>
      <c r="T1290" s="57"/>
      <c r="U1290" s="57"/>
      <c r="V1290" s="57"/>
      <c r="W1290" s="57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/>
      <c r="AI1290" s="4"/>
      <c r="AJ1290" s="4"/>
    </row>
    <row r="1291" spans="1:36" ht="11.25" customHeight="1" x14ac:dyDescent="0.2">
      <c r="A1291" s="53" t="s">
        <v>21</v>
      </c>
      <c r="B1291" s="53" t="s">
        <v>33</v>
      </c>
      <c r="C1291" s="53" t="s">
        <v>34</v>
      </c>
      <c r="D1291" s="53" t="s">
        <v>50</v>
      </c>
      <c r="E1291" s="53" t="s">
        <v>51</v>
      </c>
      <c r="F1291" s="53" t="s">
        <v>25</v>
      </c>
      <c r="G1291" s="53" t="s">
        <v>25</v>
      </c>
      <c r="H1291" s="53" t="s">
        <v>25</v>
      </c>
      <c r="I1291" s="75">
        <v>44348</v>
      </c>
      <c r="J1291" s="76">
        <f ca="1">EFEITO!$J$1291*EFEITO!$Y$1091</f>
        <v>327708.29394185147</v>
      </c>
      <c r="K1291" s="76">
        <f>EFEITO!$L$1291*EFEITO!$Z$1091</f>
        <v>0</v>
      </c>
      <c r="L1291" s="76">
        <f>EFEITO!$N$1291*EFEITO!$AA$1091</f>
        <v>0</v>
      </c>
      <c r="M1291" s="76">
        <f ca="1">$J$1291-EFEITO!$K$1291*EFEITO!$Y$1291</f>
        <v>9831.2488182555535</v>
      </c>
      <c r="N1291" s="76">
        <f>$K$1291-EFEITO!$M$1291*EFEITO!$Z$1291</f>
        <v>0</v>
      </c>
      <c r="O1291" s="76">
        <f>$L$1291-EFEITO!$O$1291*EFEITO!$AA$1291</f>
        <v>0</v>
      </c>
      <c r="P1291" s="57"/>
      <c r="Q1291" s="57"/>
      <c r="R1291" s="57"/>
      <c r="S1291" s="57"/>
      <c r="T1291" s="57"/>
      <c r="U1291" s="57"/>
      <c r="V1291" s="57"/>
      <c r="W1291" s="57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</row>
    <row r="1292" spans="1:36" ht="11.25" customHeight="1" x14ac:dyDescent="0.2">
      <c r="A1292" s="53" t="s">
        <v>28</v>
      </c>
      <c r="B1292" s="53" t="s">
        <v>33</v>
      </c>
      <c r="C1292" s="53" t="s">
        <v>34</v>
      </c>
      <c r="D1292" s="53" t="s">
        <v>50</v>
      </c>
      <c r="E1292" s="53" t="s">
        <v>51</v>
      </c>
      <c r="F1292" s="53" t="s">
        <v>25</v>
      </c>
      <c r="G1292" s="53" t="s">
        <v>25</v>
      </c>
      <c r="H1292" s="53" t="s">
        <v>25</v>
      </c>
      <c r="I1292" s="75">
        <v>44348</v>
      </c>
      <c r="J1292" s="76">
        <f ca="1">EFEITO!$J$1292*EFEITO!$Y$1091</f>
        <v>1233.4699410638793</v>
      </c>
      <c r="K1292" s="76">
        <f>EFEITO!$L$1292*EFEITO!$Z$1091</f>
        <v>0</v>
      </c>
      <c r="L1292" s="76">
        <f>EFEITO!$N$1292*EFEITO!$AA$1091</f>
        <v>0</v>
      </c>
      <c r="M1292" s="76">
        <f ca="1">$J$1292-EFEITO!$K$1292*EFEITO!$Y$1292</f>
        <v>37.004098231916487</v>
      </c>
      <c r="N1292" s="76">
        <f>$K$1292-EFEITO!$M$1292*EFEITO!$Z$1292</f>
        <v>0</v>
      </c>
      <c r="O1292" s="76">
        <f>$L$1292-EFEITO!$O$1292*EFEITO!$AA$1292</f>
        <v>0</v>
      </c>
      <c r="P1292" s="57"/>
      <c r="Q1292" s="57"/>
      <c r="R1292" s="57"/>
      <c r="S1292" s="57"/>
      <c r="T1292" s="57"/>
      <c r="U1292" s="57"/>
      <c r="V1292" s="57"/>
      <c r="W1292" s="57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</row>
    <row r="1293" spans="1:36" ht="11.25" customHeight="1" x14ac:dyDescent="0.2">
      <c r="A1293" s="53" t="s">
        <v>21</v>
      </c>
      <c r="B1293" s="53" t="s">
        <v>33</v>
      </c>
      <c r="C1293" s="53" t="s">
        <v>34</v>
      </c>
      <c r="D1293" s="53" t="s">
        <v>50</v>
      </c>
      <c r="E1293" s="53" t="s">
        <v>51</v>
      </c>
      <c r="F1293" s="53" t="s">
        <v>25</v>
      </c>
      <c r="G1293" s="53" t="s">
        <v>25</v>
      </c>
      <c r="H1293" s="53" t="s">
        <v>25</v>
      </c>
      <c r="I1293" s="75">
        <v>44378</v>
      </c>
      <c r="J1293" s="76">
        <f ca="1">EFEITO!$J$1293*EFEITO!$Y$1091</f>
        <v>323835.19832691085</v>
      </c>
      <c r="K1293" s="76">
        <f>EFEITO!$L$1293*EFEITO!$Z$1091</f>
        <v>0</v>
      </c>
      <c r="L1293" s="76">
        <f>EFEITO!$N$1293*EFEITO!$AA$1091</f>
        <v>0</v>
      </c>
      <c r="M1293" s="76">
        <f ca="1">$J$1293-EFEITO!$K$1293*EFEITO!$Y$1293</f>
        <v>9715.0559498073417</v>
      </c>
      <c r="N1293" s="76">
        <f>$K$1293-EFEITO!$M$1293*EFEITO!$Z$1293</f>
        <v>0</v>
      </c>
      <c r="O1293" s="76">
        <f>$L$1293-EFEITO!$O$1293*EFEITO!$AA$1293</f>
        <v>0</v>
      </c>
      <c r="P1293" s="57"/>
      <c r="Q1293" s="57"/>
      <c r="R1293" s="57"/>
      <c r="S1293" s="57"/>
      <c r="T1293" s="57"/>
      <c r="U1293" s="57"/>
      <c r="V1293" s="57"/>
      <c r="W1293" s="57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</row>
    <row r="1294" spans="1:36" ht="11.25" customHeight="1" x14ac:dyDescent="0.2">
      <c r="A1294" s="53" t="s">
        <v>28</v>
      </c>
      <c r="B1294" s="53" t="s">
        <v>33</v>
      </c>
      <c r="C1294" s="53" t="s">
        <v>34</v>
      </c>
      <c r="D1294" s="53" t="s">
        <v>50</v>
      </c>
      <c r="E1294" s="53" t="s">
        <v>51</v>
      </c>
      <c r="F1294" s="53" t="s">
        <v>25</v>
      </c>
      <c r="G1294" s="53" t="s">
        <v>25</v>
      </c>
      <c r="H1294" s="53" t="s">
        <v>25</v>
      </c>
      <c r="I1294" s="75">
        <v>44378</v>
      </c>
      <c r="J1294" s="76">
        <f ca="1">EFEITO!$J$1294*EFEITO!$Y$1091</f>
        <v>1455.4945304553776</v>
      </c>
      <c r="K1294" s="76">
        <f>EFEITO!$L$1294*EFEITO!$Z$1091</f>
        <v>0</v>
      </c>
      <c r="L1294" s="76">
        <f>EFEITO!$N$1294*EFEITO!$AA$1091</f>
        <v>0</v>
      </c>
      <c r="M1294" s="76">
        <f ca="1">$J$1294-EFEITO!$K$1294*EFEITO!$Y$1294</f>
        <v>43.664835913661364</v>
      </c>
      <c r="N1294" s="76">
        <f>$K$1294-EFEITO!$M$1294*EFEITO!$Z$1294</f>
        <v>0</v>
      </c>
      <c r="O1294" s="76">
        <f>$L$1294-EFEITO!$O$1294*EFEITO!$AA$1294</f>
        <v>0</v>
      </c>
      <c r="P1294" s="57"/>
      <c r="Q1294" s="57"/>
      <c r="R1294" s="57"/>
      <c r="S1294" s="57"/>
      <c r="T1294" s="57"/>
      <c r="U1294" s="57"/>
      <c r="V1294" s="57"/>
      <c r="W1294" s="57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</row>
    <row r="1295" spans="1:36" ht="11.25" customHeight="1" x14ac:dyDescent="0.2">
      <c r="A1295" s="53" t="s">
        <v>21</v>
      </c>
      <c r="B1295" s="53" t="s">
        <v>33</v>
      </c>
      <c r="C1295" s="53" t="s">
        <v>34</v>
      </c>
      <c r="D1295" s="53" t="s">
        <v>50</v>
      </c>
      <c r="E1295" s="53" t="s">
        <v>51</v>
      </c>
      <c r="F1295" s="53" t="s">
        <v>25</v>
      </c>
      <c r="G1295" s="53" t="s">
        <v>25</v>
      </c>
      <c r="H1295" s="53" t="s">
        <v>25</v>
      </c>
      <c r="I1295" s="75">
        <v>44409</v>
      </c>
      <c r="J1295" s="76">
        <f ca="1">EFEITO!$J$1295*EFEITO!$Y$1091</f>
        <v>333924.98244481342</v>
      </c>
      <c r="K1295" s="76">
        <f>EFEITO!$L$1295*EFEITO!$Z$1091</f>
        <v>0</v>
      </c>
      <c r="L1295" s="76">
        <f>EFEITO!$N$1295*EFEITO!$AA$1091</f>
        <v>0</v>
      </c>
      <c r="M1295" s="76">
        <f ca="1">$J$1295-EFEITO!$K$1295*EFEITO!$Y$1295</f>
        <v>10017.749473344418</v>
      </c>
      <c r="N1295" s="76">
        <f>$K$1295-EFEITO!$M$1295*EFEITO!$Z$1295</f>
        <v>0</v>
      </c>
      <c r="O1295" s="76">
        <f>$L$1295-EFEITO!$O$1295*EFEITO!$AA$1295</f>
        <v>0</v>
      </c>
      <c r="P1295" s="57"/>
      <c r="Q1295" s="57"/>
      <c r="R1295" s="57"/>
      <c r="S1295" s="57"/>
      <c r="T1295" s="57"/>
      <c r="U1295" s="57"/>
      <c r="V1295" s="57"/>
      <c r="W1295" s="57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/>
      <c r="AI1295" s="4"/>
      <c r="AJ1295" s="4"/>
    </row>
    <row r="1296" spans="1:36" ht="11.25" customHeight="1" x14ac:dyDescent="0.2">
      <c r="A1296" s="53" t="s">
        <v>28</v>
      </c>
      <c r="B1296" s="53" t="s">
        <v>33</v>
      </c>
      <c r="C1296" s="53" t="s">
        <v>34</v>
      </c>
      <c r="D1296" s="53" t="s">
        <v>50</v>
      </c>
      <c r="E1296" s="53" t="s">
        <v>51</v>
      </c>
      <c r="F1296" s="53" t="s">
        <v>25</v>
      </c>
      <c r="G1296" s="53" t="s">
        <v>25</v>
      </c>
      <c r="H1296" s="53" t="s">
        <v>25</v>
      </c>
      <c r="I1296" s="75">
        <v>44409</v>
      </c>
      <c r="J1296" s="76">
        <f ca="1">EFEITO!$J$1296*EFEITO!$Y$1091</f>
        <v>1406.1557328128224</v>
      </c>
      <c r="K1296" s="76">
        <f>EFEITO!$L$1296*EFEITO!$Z$1091</f>
        <v>0</v>
      </c>
      <c r="L1296" s="76">
        <f>EFEITO!$N$1296*EFEITO!$AA$1091</f>
        <v>0</v>
      </c>
      <c r="M1296" s="76">
        <f ca="1">$J$1296-EFEITO!$K$1296*EFEITO!$Y$1296</f>
        <v>42.18467198438475</v>
      </c>
      <c r="N1296" s="76">
        <f>$K$1296-EFEITO!$M$1296*EFEITO!$Z$1296</f>
        <v>0</v>
      </c>
      <c r="O1296" s="76">
        <f>$L$1296-EFEITO!$O$1296*EFEITO!$AA$1296</f>
        <v>0</v>
      </c>
      <c r="P1296" s="57"/>
      <c r="Q1296" s="57"/>
      <c r="R1296" s="57"/>
      <c r="S1296" s="57"/>
      <c r="T1296" s="57"/>
      <c r="U1296" s="57"/>
      <c r="V1296" s="57"/>
      <c r="W1296" s="57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</row>
    <row r="1297" spans="1:36" ht="11.25" customHeight="1" x14ac:dyDescent="0.2">
      <c r="A1297" s="53" t="s">
        <v>21</v>
      </c>
      <c r="B1297" s="53" t="s">
        <v>33</v>
      </c>
      <c r="C1297" s="53" t="s">
        <v>34</v>
      </c>
      <c r="D1297" s="53" t="s">
        <v>50</v>
      </c>
      <c r="E1297" s="53" t="s">
        <v>51</v>
      </c>
      <c r="F1297" s="53" t="s">
        <v>25</v>
      </c>
      <c r="G1297" s="53" t="s">
        <v>25</v>
      </c>
      <c r="H1297" s="53" t="s">
        <v>25</v>
      </c>
      <c r="I1297" s="75">
        <v>44440</v>
      </c>
      <c r="J1297" s="76">
        <f ca="1">EFEITO!$J$1297*EFEITO!$Y$1091</f>
        <v>321072.22565892775</v>
      </c>
      <c r="K1297" s="76">
        <f>EFEITO!$L$1297*EFEITO!$Z$1091</f>
        <v>0</v>
      </c>
      <c r="L1297" s="76">
        <f>EFEITO!$N$1297*EFEITO!$AA$1091</f>
        <v>0</v>
      </c>
      <c r="M1297" s="76">
        <f ca="1">$J$1297-EFEITO!$K$1297*EFEITO!$Y$1297</f>
        <v>9632.1667697678204</v>
      </c>
      <c r="N1297" s="76">
        <f>$K$1297-EFEITO!$M$1297*EFEITO!$Z$1297</f>
        <v>0</v>
      </c>
      <c r="O1297" s="76">
        <f>$L$1297-EFEITO!$O$1297*EFEITO!$AA$1297</f>
        <v>0</v>
      </c>
      <c r="P1297" s="57"/>
      <c r="Q1297" s="57"/>
      <c r="R1297" s="57"/>
      <c r="S1297" s="57"/>
      <c r="T1297" s="57"/>
      <c r="U1297" s="57"/>
      <c r="V1297" s="57"/>
      <c r="W1297" s="57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</row>
    <row r="1298" spans="1:36" ht="11.25" customHeight="1" x14ac:dyDescent="0.2">
      <c r="A1298" s="53" t="s">
        <v>28</v>
      </c>
      <c r="B1298" s="53" t="s">
        <v>33</v>
      </c>
      <c r="C1298" s="53" t="s">
        <v>34</v>
      </c>
      <c r="D1298" s="53" t="s">
        <v>50</v>
      </c>
      <c r="E1298" s="53" t="s">
        <v>51</v>
      </c>
      <c r="F1298" s="53" t="s">
        <v>25</v>
      </c>
      <c r="G1298" s="53" t="s">
        <v>25</v>
      </c>
      <c r="H1298" s="53" t="s">
        <v>25</v>
      </c>
      <c r="I1298" s="75">
        <v>44440</v>
      </c>
      <c r="J1298" s="76">
        <f ca="1">EFEITO!$J$1298*EFEITO!$Y$1091</f>
        <v>1603.5109233830431</v>
      </c>
      <c r="K1298" s="76">
        <f>EFEITO!$L$1298*EFEITO!$Z$1091</f>
        <v>0</v>
      </c>
      <c r="L1298" s="76">
        <f>EFEITO!$N$1298*EFEITO!$AA$1091</f>
        <v>0</v>
      </c>
      <c r="M1298" s="76">
        <f ca="1">$J$1298-EFEITO!$K$1298*EFEITO!$Y$1298</f>
        <v>48.105327701491433</v>
      </c>
      <c r="N1298" s="76">
        <f>$K$1298-EFEITO!$M$1298*EFEITO!$Z$1298</f>
        <v>0</v>
      </c>
      <c r="O1298" s="76">
        <f>$L$1298-EFEITO!$O$1298*EFEITO!$AA$1298</f>
        <v>0</v>
      </c>
      <c r="P1298" s="57"/>
      <c r="Q1298" s="57"/>
      <c r="R1298" s="57"/>
      <c r="S1298" s="57"/>
      <c r="T1298" s="57"/>
      <c r="U1298" s="57"/>
      <c r="V1298" s="57"/>
      <c r="W1298" s="57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</row>
    <row r="1299" spans="1:36" ht="11.25" customHeight="1" x14ac:dyDescent="0.2">
      <c r="A1299" s="53" t="s">
        <v>21</v>
      </c>
      <c r="B1299" s="53" t="s">
        <v>33</v>
      </c>
      <c r="C1299" s="53" t="s">
        <v>34</v>
      </c>
      <c r="D1299" s="53" t="s">
        <v>50</v>
      </c>
      <c r="E1299" s="53" t="s">
        <v>51</v>
      </c>
      <c r="F1299" s="53" t="s">
        <v>25</v>
      </c>
      <c r="G1299" s="53" t="s">
        <v>25</v>
      </c>
      <c r="H1299" s="53" t="s">
        <v>25</v>
      </c>
      <c r="I1299" s="75">
        <v>44470</v>
      </c>
      <c r="J1299" s="76">
        <f ca="1">EFEITO!$J$1299*EFEITO!$Y$1091</f>
        <v>347567.1599929799</v>
      </c>
      <c r="K1299" s="76">
        <f>EFEITO!$L$1299*EFEITO!$Z$1091</f>
        <v>0</v>
      </c>
      <c r="L1299" s="76">
        <f>EFEITO!$N$1299*EFEITO!$AA$1091</f>
        <v>0</v>
      </c>
      <c r="M1299" s="76">
        <f ca="1">$J$1299-EFEITO!$K$1299*EFEITO!$Y$1299</f>
        <v>10427.014799789409</v>
      </c>
      <c r="N1299" s="76">
        <f>$K$1299-EFEITO!$M$1299*EFEITO!$Z$1299</f>
        <v>0</v>
      </c>
      <c r="O1299" s="76">
        <f>$L$1299-EFEITO!$O$1299*EFEITO!$AA$1299</f>
        <v>0</v>
      </c>
      <c r="P1299" s="57"/>
      <c r="Q1299" s="57"/>
      <c r="R1299" s="57"/>
      <c r="S1299" s="57"/>
      <c r="T1299" s="57"/>
      <c r="U1299" s="57"/>
      <c r="V1299" s="57"/>
      <c r="W1299" s="57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</row>
    <row r="1300" spans="1:36" ht="11.25" customHeight="1" x14ac:dyDescent="0.2">
      <c r="A1300" s="53" t="s">
        <v>28</v>
      </c>
      <c r="B1300" s="53" t="s">
        <v>33</v>
      </c>
      <c r="C1300" s="53" t="s">
        <v>34</v>
      </c>
      <c r="D1300" s="53" t="s">
        <v>50</v>
      </c>
      <c r="E1300" s="53" t="s">
        <v>51</v>
      </c>
      <c r="F1300" s="53" t="s">
        <v>25</v>
      </c>
      <c r="G1300" s="53" t="s">
        <v>25</v>
      </c>
      <c r="H1300" s="53" t="s">
        <v>25</v>
      </c>
      <c r="I1300" s="75">
        <v>44470</v>
      </c>
      <c r="J1300" s="76">
        <f ca="1">EFEITO!$J$1300*EFEITO!$Y$1091</f>
        <v>1504.8333280979327</v>
      </c>
      <c r="K1300" s="76">
        <f>EFEITO!$L$1300*EFEITO!$Z$1091</f>
        <v>0</v>
      </c>
      <c r="L1300" s="76">
        <f>EFEITO!$N$1300*EFEITO!$AA$1091</f>
        <v>0</v>
      </c>
      <c r="M1300" s="76">
        <f ca="1">$J$1300-EFEITO!$K$1300*EFEITO!$Y$1300</f>
        <v>45.144999842937978</v>
      </c>
      <c r="N1300" s="76">
        <f>$K$1300-EFEITO!$M$1300*EFEITO!$Z$1300</f>
        <v>0</v>
      </c>
      <c r="O1300" s="76">
        <f>$L$1300-EFEITO!$O$1300*EFEITO!$AA$1300</f>
        <v>0</v>
      </c>
      <c r="P1300" s="57"/>
      <c r="Q1300" s="57"/>
      <c r="R1300" s="57"/>
      <c r="S1300" s="57"/>
      <c r="T1300" s="57"/>
      <c r="U1300" s="57"/>
      <c r="V1300" s="57"/>
      <c r="W1300" s="57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</row>
    <row r="1301" spans="1:36" ht="11.25" customHeight="1" x14ac:dyDescent="0.2">
      <c r="A1301" s="53" t="s">
        <v>21</v>
      </c>
      <c r="B1301" s="53" t="s">
        <v>33</v>
      </c>
      <c r="C1301" s="53" t="s">
        <v>34</v>
      </c>
      <c r="D1301" s="53" t="s">
        <v>50</v>
      </c>
      <c r="E1301" s="53" t="s">
        <v>51</v>
      </c>
      <c r="F1301" s="53" t="s">
        <v>25</v>
      </c>
      <c r="G1301" s="53" t="s">
        <v>25</v>
      </c>
      <c r="H1301" s="53" t="s">
        <v>25</v>
      </c>
      <c r="I1301" s="75">
        <v>44501</v>
      </c>
      <c r="J1301" s="76">
        <f ca="1">EFEITO!$J$1301*EFEITO!$Y$1091</f>
        <v>367845.4058240701</v>
      </c>
      <c r="K1301" s="76">
        <f>EFEITO!$L$1301*EFEITO!$Z$1091</f>
        <v>0</v>
      </c>
      <c r="L1301" s="76">
        <f>EFEITO!$N$1301*EFEITO!$AA$1091</f>
        <v>0</v>
      </c>
      <c r="M1301" s="76">
        <f ca="1">$J$1301-EFEITO!$K$1301*EFEITO!$Y$1301</f>
        <v>11035.362174722133</v>
      </c>
      <c r="N1301" s="76">
        <f>$K$1301-EFEITO!$M$1301*EFEITO!$Z$1301</f>
        <v>0</v>
      </c>
      <c r="O1301" s="76">
        <f>$L$1301-EFEITO!$O$1301*EFEITO!$AA$1301</f>
        <v>0</v>
      </c>
      <c r="P1301" s="57"/>
      <c r="Q1301" s="57"/>
      <c r="R1301" s="57"/>
      <c r="S1301" s="57"/>
      <c r="T1301" s="57"/>
      <c r="U1301" s="57"/>
      <c r="V1301" s="57"/>
      <c r="W1301" s="57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</row>
    <row r="1302" spans="1:36" ht="11.25" customHeight="1" x14ac:dyDescent="0.2">
      <c r="A1302" s="53" t="s">
        <v>27</v>
      </c>
      <c r="B1302" s="53" t="s">
        <v>33</v>
      </c>
      <c r="C1302" s="53" t="s">
        <v>34</v>
      </c>
      <c r="D1302" s="53" t="s">
        <v>50</v>
      </c>
      <c r="E1302" s="53" t="s">
        <v>51</v>
      </c>
      <c r="F1302" s="53" t="s">
        <v>25</v>
      </c>
      <c r="G1302" s="53" t="s">
        <v>25</v>
      </c>
      <c r="H1302" s="53" t="s">
        <v>25</v>
      </c>
      <c r="I1302" s="75">
        <v>44501</v>
      </c>
      <c r="J1302" s="76">
        <f ca="1">EFEITO!$J$1302*EFEITO!$Y$1091</f>
        <v>2244.9152927362602</v>
      </c>
      <c r="K1302" s="76">
        <f>EFEITO!$L$1302*EFEITO!$Z$1091</f>
        <v>0</v>
      </c>
      <c r="L1302" s="76">
        <f>EFEITO!$N$1302*EFEITO!$AA$1091</f>
        <v>0</v>
      </c>
      <c r="M1302" s="76">
        <f ca="1">$J$1302-EFEITO!$K$1302*EFEITO!$Y$1302</f>
        <v>67.34745878208787</v>
      </c>
      <c r="N1302" s="76">
        <f>$K$1302-EFEITO!$M$1302*EFEITO!$Z$1302</f>
        <v>0</v>
      </c>
      <c r="O1302" s="76">
        <f>$L$1302-EFEITO!$O$1302*EFEITO!$AA$1302</f>
        <v>0</v>
      </c>
      <c r="P1302" s="57"/>
      <c r="Q1302" s="57"/>
      <c r="R1302" s="57"/>
      <c r="S1302" s="57"/>
      <c r="T1302" s="57"/>
      <c r="U1302" s="57"/>
      <c r="V1302" s="57"/>
      <c r="W1302" s="57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</row>
    <row r="1303" spans="1:36" ht="11.25" customHeight="1" x14ac:dyDescent="0.2">
      <c r="A1303" s="53" t="s">
        <v>28</v>
      </c>
      <c r="B1303" s="53" t="s">
        <v>33</v>
      </c>
      <c r="C1303" s="53" t="s">
        <v>34</v>
      </c>
      <c r="D1303" s="53" t="s">
        <v>50</v>
      </c>
      <c r="E1303" s="53" t="s">
        <v>51</v>
      </c>
      <c r="F1303" s="53" t="s">
        <v>25</v>
      </c>
      <c r="G1303" s="53" t="s">
        <v>25</v>
      </c>
      <c r="H1303" s="53" t="s">
        <v>25</v>
      </c>
      <c r="I1303" s="75">
        <v>44501</v>
      </c>
      <c r="J1303" s="76">
        <f ca="1">EFEITO!$J$1303*EFEITO!$Y$1091</f>
        <v>1480.1639292766552</v>
      </c>
      <c r="K1303" s="76">
        <f>EFEITO!$L$1303*EFEITO!$Z$1091</f>
        <v>0</v>
      </c>
      <c r="L1303" s="76">
        <f>EFEITO!$N$1303*EFEITO!$AA$1091</f>
        <v>0</v>
      </c>
      <c r="M1303" s="76">
        <f ca="1">$J$1303-EFEITO!$K$1303*EFEITO!$Y$1303</f>
        <v>44.404917878299784</v>
      </c>
      <c r="N1303" s="76">
        <f>$K$1303-EFEITO!$M$1303*EFEITO!$Z$1303</f>
        <v>0</v>
      </c>
      <c r="O1303" s="76">
        <f>$L$1303-EFEITO!$O$1303*EFEITO!$AA$1303</f>
        <v>0</v>
      </c>
      <c r="P1303" s="57"/>
      <c r="Q1303" s="57"/>
      <c r="R1303" s="57"/>
      <c r="S1303" s="57"/>
      <c r="T1303" s="57"/>
      <c r="U1303" s="57"/>
      <c r="V1303" s="57"/>
      <c r="W1303" s="57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</row>
    <row r="1304" spans="1:36" ht="11.25" customHeight="1" x14ac:dyDescent="0.2">
      <c r="A1304" s="53" t="s">
        <v>21</v>
      </c>
      <c r="B1304" s="53" t="s">
        <v>33</v>
      </c>
      <c r="C1304" s="53" t="s">
        <v>34</v>
      </c>
      <c r="D1304" s="53" t="s">
        <v>50</v>
      </c>
      <c r="E1304" s="53" t="s">
        <v>51</v>
      </c>
      <c r="F1304" s="53" t="s">
        <v>25</v>
      </c>
      <c r="G1304" s="53" t="s">
        <v>25</v>
      </c>
      <c r="H1304" s="53" t="s">
        <v>25</v>
      </c>
      <c r="I1304" s="75">
        <v>44531</v>
      </c>
      <c r="J1304" s="76">
        <f ca="1">EFEITO!$J$1304*EFEITO!$Y$1091</f>
        <v>379464.6926688918</v>
      </c>
      <c r="K1304" s="76">
        <f>EFEITO!$L$1304*EFEITO!$Z$1091</f>
        <v>0</v>
      </c>
      <c r="L1304" s="76">
        <f>EFEITO!$N$1304*EFEITO!$AA$1091</f>
        <v>0</v>
      </c>
      <c r="M1304" s="76">
        <f ca="1">$J$1304-EFEITO!$K$1304*EFEITO!$Y$1304</f>
        <v>11383.940780066769</v>
      </c>
      <c r="N1304" s="76">
        <f>$K$1304-EFEITO!$M$1304*EFEITO!$Z$1304</f>
        <v>0</v>
      </c>
      <c r="O1304" s="76">
        <f>$L$1304-EFEITO!$O$1304*EFEITO!$AA$1304</f>
        <v>0</v>
      </c>
      <c r="P1304" s="57"/>
      <c r="Q1304" s="57"/>
      <c r="R1304" s="57"/>
      <c r="S1304" s="57"/>
      <c r="T1304" s="57"/>
      <c r="U1304" s="57"/>
      <c r="V1304" s="57"/>
      <c r="W1304" s="57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</row>
    <row r="1305" spans="1:36" ht="11.25" customHeight="1" x14ac:dyDescent="0.2">
      <c r="A1305" s="53" t="s">
        <v>27</v>
      </c>
      <c r="B1305" s="53" t="s">
        <v>33</v>
      </c>
      <c r="C1305" s="53" t="s">
        <v>34</v>
      </c>
      <c r="D1305" s="53" t="s">
        <v>50</v>
      </c>
      <c r="E1305" s="53" t="s">
        <v>51</v>
      </c>
      <c r="F1305" s="53" t="s">
        <v>25</v>
      </c>
      <c r="G1305" s="53" t="s">
        <v>25</v>
      </c>
      <c r="H1305" s="53" t="s">
        <v>25</v>
      </c>
      <c r="I1305" s="75">
        <v>44531</v>
      </c>
      <c r="J1305" s="76">
        <f ca="1">EFEITO!$J$1305*EFEITO!$Y$1091</f>
        <v>1726.857917489431</v>
      </c>
      <c r="K1305" s="76">
        <f>EFEITO!$L$1305*EFEITO!$Z$1091</f>
        <v>0</v>
      </c>
      <c r="L1305" s="76">
        <f>EFEITO!$N$1305*EFEITO!$AA$1091</f>
        <v>0</v>
      </c>
      <c r="M1305" s="76">
        <f ca="1">$J$1305-EFEITO!$K$1305*EFEITO!$Y$1305</f>
        <v>51.805737524682854</v>
      </c>
      <c r="N1305" s="76">
        <f>$K$1305-EFEITO!$M$1305*EFEITO!$Z$1305</f>
        <v>0</v>
      </c>
      <c r="O1305" s="76">
        <f>$L$1305-EFEITO!$O$1305*EFEITO!$AA$1305</f>
        <v>0</v>
      </c>
      <c r="P1305" s="57"/>
      <c r="Q1305" s="57"/>
      <c r="R1305" s="57"/>
      <c r="S1305" s="57"/>
      <c r="T1305" s="57"/>
      <c r="U1305" s="57"/>
      <c r="V1305" s="57"/>
      <c r="W1305" s="57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</row>
    <row r="1306" spans="1:36" ht="11.25" customHeight="1" x14ac:dyDescent="0.2">
      <c r="A1306" s="53" t="s">
        <v>28</v>
      </c>
      <c r="B1306" s="53" t="s">
        <v>33</v>
      </c>
      <c r="C1306" s="53" t="s">
        <v>34</v>
      </c>
      <c r="D1306" s="53" t="s">
        <v>50</v>
      </c>
      <c r="E1306" s="53" t="s">
        <v>51</v>
      </c>
      <c r="F1306" s="53" t="s">
        <v>25</v>
      </c>
      <c r="G1306" s="53" t="s">
        <v>25</v>
      </c>
      <c r="H1306" s="53" t="s">
        <v>25</v>
      </c>
      <c r="I1306" s="75">
        <v>44531</v>
      </c>
      <c r="J1306" s="76">
        <f ca="1">EFEITO!$J$1306*EFEITO!$Y$1091</f>
        <v>1480.1639292766552</v>
      </c>
      <c r="K1306" s="76">
        <f>EFEITO!$L$1306*EFEITO!$Z$1091</f>
        <v>0</v>
      </c>
      <c r="L1306" s="76">
        <f>EFEITO!$N$1306*EFEITO!$AA$1091</f>
        <v>0</v>
      </c>
      <c r="M1306" s="76">
        <f ca="1">$J$1306-EFEITO!$K$1306*EFEITO!$Y$1306</f>
        <v>44.404917878299784</v>
      </c>
      <c r="N1306" s="76">
        <f>$K$1306-EFEITO!$M$1306*EFEITO!$Z$1306</f>
        <v>0</v>
      </c>
      <c r="O1306" s="76">
        <f>$L$1306-EFEITO!$O$1306*EFEITO!$AA$1306</f>
        <v>0</v>
      </c>
      <c r="P1306" s="57"/>
      <c r="Q1306" s="57"/>
      <c r="R1306" s="57"/>
      <c r="S1306" s="57"/>
      <c r="T1306" s="57"/>
      <c r="U1306" s="57"/>
      <c r="V1306" s="57"/>
      <c r="W1306" s="57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</row>
    <row r="1307" spans="1:36" ht="11.25" customHeight="1" x14ac:dyDescent="0.2">
      <c r="A1307" s="53" t="s">
        <v>21</v>
      </c>
      <c r="B1307" s="53" t="s">
        <v>33</v>
      </c>
      <c r="C1307" s="53" t="s">
        <v>34</v>
      </c>
      <c r="D1307" s="53" t="s">
        <v>50</v>
      </c>
      <c r="E1307" s="53" t="s">
        <v>51</v>
      </c>
      <c r="F1307" s="53" t="s">
        <v>25</v>
      </c>
      <c r="G1307" s="53" t="s">
        <v>25</v>
      </c>
      <c r="H1307" s="53" t="s">
        <v>25</v>
      </c>
      <c r="I1307" s="75">
        <v>44562</v>
      </c>
      <c r="J1307" s="76">
        <f ca="1">EFEITO!$J$1307*EFEITO!$Y$1091</f>
        <v>381734.27736044937</v>
      </c>
      <c r="K1307" s="76">
        <f>EFEITO!$L$1307*EFEITO!$Z$1091</f>
        <v>0</v>
      </c>
      <c r="L1307" s="76">
        <f>EFEITO!$N$1307*EFEITO!$AA$1091</f>
        <v>0</v>
      </c>
      <c r="M1307" s="76">
        <f ca="1">$J$1307-EFEITO!$K$1307*EFEITO!$Y$1307</f>
        <v>11452.028320813493</v>
      </c>
      <c r="N1307" s="76">
        <f>$K$1307-EFEITO!$M$1307*EFEITO!$Z$1307</f>
        <v>0</v>
      </c>
      <c r="O1307" s="76">
        <f>$L$1307-EFEITO!$O$1307*EFEITO!$AA$1307</f>
        <v>0</v>
      </c>
      <c r="P1307" s="57"/>
      <c r="Q1307" s="57"/>
      <c r="R1307" s="57"/>
      <c r="S1307" s="57"/>
      <c r="T1307" s="57"/>
      <c r="U1307" s="57"/>
      <c r="V1307" s="57"/>
      <c r="W1307" s="57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/>
      <c r="AI1307" s="4"/>
      <c r="AJ1307" s="4"/>
    </row>
    <row r="1308" spans="1:36" ht="11.25" customHeight="1" x14ac:dyDescent="0.2">
      <c r="A1308" s="53" t="s">
        <v>28</v>
      </c>
      <c r="B1308" s="53" t="s">
        <v>33</v>
      </c>
      <c r="C1308" s="53" t="s">
        <v>34</v>
      </c>
      <c r="D1308" s="53" t="s">
        <v>50</v>
      </c>
      <c r="E1308" s="53" t="s">
        <v>51</v>
      </c>
      <c r="F1308" s="53" t="s">
        <v>25</v>
      </c>
      <c r="G1308" s="53" t="s">
        <v>25</v>
      </c>
      <c r="H1308" s="53" t="s">
        <v>25</v>
      </c>
      <c r="I1308" s="75">
        <v>44562</v>
      </c>
      <c r="J1308" s="76">
        <f ca="1">EFEITO!$J$1308*EFEITO!$Y$1091</f>
        <v>1406.1557328128224</v>
      </c>
      <c r="K1308" s="76">
        <f>EFEITO!$L$1308*EFEITO!$Z$1091</f>
        <v>0</v>
      </c>
      <c r="L1308" s="76">
        <f>EFEITO!$N$1308*EFEITO!$AA$1091</f>
        <v>0</v>
      </c>
      <c r="M1308" s="76">
        <f ca="1">$J$1308-EFEITO!$K$1308*EFEITO!$Y$1308</f>
        <v>42.18467198438475</v>
      </c>
      <c r="N1308" s="76">
        <f>$K$1308-EFEITO!$M$1308*EFEITO!$Z$1308</f>
        <v>0</v>
      </c>
      <c r="O1308" s="76">
        <f>$L$1308-EFEITO!$O$1308*EFEITO!$AA$1308</f>
        <v>0</v>
      </c>
      <c r="P1308" s="57"/>
      <c r="Q1308" s="57"/>
      <c r="R1308" s="57"/>
      <c r="S1308" s="57"/>
      <c r="T1308" s="57"/>
      <c r="U1308" s="57"/>
      <c r="V1308" s="57"/>
      <c r="W1308" s="57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</row>
    <row r="1309" spans="1:36" ht="11.25" customHeight="1" x14ac:dyDescent="0.2">
      <c r="A1309" s="53" t="s">
        <v>21</v>
      </c>
      <c r="B1309" s="53" t="s">
        <v>33</v>
      </c>
      <c r="C1309" s="53" t="s">
        <v>34</v>
      </c>
      <c r="D1309" s="53" t="s">
        <v>50</v>
      </c>
      <c r="E1309" s="53" t="s">
        <v>51</v>
      </c>
      <c r="F1309" s="53" t="s">
        <v>25</v>
      </c>
      <c r="G1309" s="53" t="s">
        <v>25</v>
      </c>
      <c r="H1309" s="53" t="s">
        <v>25</v>
      </c>
      <c r="I1309" s="75">
        <v>44593</v>
      </c>
      <c r="J1309" s="76">
        <f ca="1">EFEITO!$J$1309*EFEITO!$Y$1091</f>
        <v>374086.76372585329</v>
      </c>
      <c r="K1309" s="76">
        <f>EFEITO!$L$1309*EFEITO!$Z$1091</f>
        <v>0</v>
      </c>
      <c r="L1309" s="76">
        <f>EFEITO!$N$1309*EFEITO!$AA$1091</f>
        <v>0</v>
      </c>
      <c r="M1309" s="76">
        <f ca="1">$J$1309-EFEITO!$K$1309*EFEITO!$Y$1309</f>
        <v>11222.602911775582</v>
      </c>
      <c r="N1309" s="76">
        <f>$K$1309-EFEITO!$M$1309*EFEITO!$Z$1309</f>
        <v>0</v>
      </c>
      <c r="O1309" s="76">
        <f>$L$1309-EFEITO!$O$1309*EFEITO!$AA$1309</f>
        <v>0</v>
      </c>
      <c r="P1309" s="57"/>
      <c r="Q1309" s="57"/>
      <c r="R1309" s="57"/>
      <c r="S1309" s="57"/>
      <c r="T1309" s="57"/>
      <c r="U1309" s="57"/>
      <c r="V1309" s="57"/>
      <c r="W1309" s="57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</row>
    <row r="1310" spans="1:36" ht="11.25" customHeight="1" x14ac:dyDescent="0.2">
      <c r="A1310" s="53" t="s">
        <v>28</v>
      </c>
      <c r="B1310" s="53" t="s">
        <v>33</v>
      </c>
      <c r="C1310" s="53" t="s">
        <v>34</v>
      </c>
      <c r="D1310" s="53" t="s">
        <v>50</v>
      </c>
      <c r="E1310" s="53" t="s">
        <v>51</v>
      </c>
      <c r="F1310" s="53" t="s">
        <v>25</v>
      </c>
      <c r="G1310" s="53" t="s">
        <v>25</v>
      </c>
      <c r="H1310" s="53" t="s">
        <v>25</v>
      </c>
      <c r="I1310" s="75">
        <v>44593</v>
      </c>
      <c r="J1310" s="76">
        <f ca="1">EFEITO!$J$1310*EFEITO!$Y$1091</f>
        <v>1455.4945304553776</v>
      </c>
      <c r="K1310" s="76">
        <f>EFEITO!$L$1310*EFEITO!$Z$1091</f>
        <v>0</v>
      </c>
      <c r="L1310" s="76">
        <f>EFEITO!$N$1310*EFEITO!$AA$1091</f>
        <v>0</v>
      </c>
      <c r="M1310" s="76">
        <f ca="1">$J$1310-EFEITO!$K$1310*EFEITO!$Y$1310</f>
        <v>43.664835913661364</v>
      </c>
      <c r="N1310" s="76">
        <f>$K$1310-EFEITO!$M$1310*EFEITO!$Z$1310</f>
        <v>0</v>
      </c>
      <c r="O1310" s="76">
        <f>$L$1310-EFEITO!$O$1310*EFEITO!$AA$1310</f>
        <v>0</v>
      </c>
      <c r="P1310" s="57"/>
      <c r="Q1310" s="57"/>
      <c r="R1310" s="57"/>
      <c r="S1310" s="57"/>
      <c r="T1310" s="57"/>
      <c r="U1310" s="57"/>
      <c r="V1310" s="57"/>
      <c r="W1310" s="57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</row>
    <row r="1311" spans="1:36" ht="11.25" customHeight="1" x14ac:dyDescent="0.2">
      <c r="A1311" s="53" t="s">
        <v>21</v>
      </c>
      <c r="B1311" s="53" t="s">
        <v>33</v>
      </c>
      <c r="C1311" s="53" t="s">
        <v>34</v>
      </c>
      <c r="D1311" s="53" t="s">
        <v>50</v>
      </c>
      <c r="E1311" s="53" t="s">
        <v>51</v>
      </c>
      <c r="F1311" s="53" t="s">
        <v>25</v>
      </c>
      <c r="G1311" s="53" t="s">
        <v>25</v>
      </c>
      <c r="H1311" s="53" t="s">
        <v>25</v>
      </c>
      <c r="I1311" s="75">
        <v>44621</v>
      </c>
      <c r="J1311" s="76">
        <f ca="1">EFEITO!$J$1311*EFEITO!$Y$1091</f>
        <v>377663.82655493857</v>
      </c>
      <c r="K1311" s="76">
        <f>EFEITO!$L$1311*EFEITO!$Z$1091</f>
        <v>0</v>
      </c>
      <c r="L1311" s="76">
        <f>EFEITO!$N$1311*EFEITO!$AA$1091</f>
        <v>0</v>
      </c>
      <c r="M1311" s="76">
        <f ca="1">$J$1311-EFEITO!$K$1311*EFEITO!$Y$1311</f>
        <v>11329.914796648198</v>
      </c>
      <c r="N1311" s="76">
        <f>$K$1311-EFEITO!$M$1311*EFEITO!$Z$1311</f>
        <v>0</v>
      </c>
      <c r="O1311" s="76">
        <f>$L$1311-EFEITO!$O$1311*EFEITO!$AA$1311</f>
        <v>0</v>
      </c>
      <c r="P1311" s="57"/>
      <c r="Q1311" s="57"/>
      <c r="R1311" s="57"/>
      <c r="S1311" s="57"/>
      <c r="T1311" s="57"/>
      <c r="U1311" s="57"/>
      <c r="V1311" s="57"/>
      <c r="W1311" s="57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</row>
    <row r="1312" spans="1:36" ht="11.25" customHeight="1" x14ac:dyDescent="0.2">
      <c r="A1312" s="53" t="s">
        <v>28</v>
      </c>
      <c r="B1312" s="53" t="s">
        <v>33</v>
      </c>
      <c r="C1312" s="53" t="s">
        <v>34</v>
      </c>
      <c r="D1312" s="53" t="s">
        <v>50</v>
      </c>
      <c r="E1312" s="53" t="s">
        <v>51</v>
      </c>
      <c r="F1312" s="53" t="s">
        <v>25</v>
      </c>
      <c r="G1312" s="53" t="s">
        <v>25</v>
      </c>
      <c r="H1312" s="53" t="s">
        <v>25</v>
      </c>
      <c r="I1312" s="75">
        <v>44621</v>
      </c>
      <c r="J1312" s="76">
        <f ca="1">EFEITO!$J$1312*EFEITO!$Y$1091</f>
        <v>1455.4945304553776</v>
      </c>
      <c r="K1312" s="76">
        <f>EFEITO!$L$1312*EFEITO!$Z$1091</f>
        <v>0</v>
      </c>
      <c r="L1312" s="76">
        <f>EFEITO!$N$1312*EFEITO!$AA$1091</f>
        <v>0</v>
      </c>
      <c r="M1312" s="76">
        <f ca="1">$J$1312-EFEITO!$K$1312*EFEITO!$Y$1312</f>
        <v>43.664835913661364</v>
      </c>
      <c r="N1312" s="76">
        <f>$K$1312-EFEITO!$M$1312*EFEITO!$Z$1312</f>
        <v>0</v>
      </c>
      <c r="O1312" s="76">
        <f>$L$1312-EFEITO!$O$1312*EFEITO!$AA$1312</f>
        <v>0</v>
      </c>
      <c r="P1312" s="57"/>
      <c r="Q1312" s="57"/>
      <c r="R1312" s="57"/>
      <c r="S1312" s="57"/>
      <c r="T1312" s="57"/>
      <c r="U1312" s="57"/>
      <c r="V1312" s="57"/>
      <c r="W1312" s="57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</row>
    <row r="1313" spans="1:36" ht="11.25" customHeight="1" x14ac:dyDescent="0.2">
      <c r="A1313" s="53" t="s">
        <v>56</v>
      </c>
      <c r="B1313" s="53" t="s">
        <v>33</v>
      </c>
      <c r="C1313" s="53" t="s">
        <v>34</v>
      </c>
      <c r="D1313" s="53" t="s">
        <v>50</v>
      </c>
      <c r="E1313" s="53" t="s">
        <v>51</v>
      </c>
      <c r="F1313" s="53" t="s">
        <v>25</v>
      </c>
      <c r="G1313" s="53" t="s">
        <v>25</v>
      </c>
      <c r="H1313" s="53" t="s">
        <v>25</v>
      </c>
      <c r="I1313" s="75">
        <v>44652</v>
      </c>
      <c r="J1313" s="76">
        <f ca="1">EFEITO!$J$1313*EFEITO!$Y$1091</f>
        <v>377663.82655493857</v>
      </c>
      <c r="K1313" s="76">
        <f>EFEITO!$L$1313*EFEITO!$Z$1091</f>
        <v>0</v>
      </c>
      <c r="L1313" s="76">
        <f>EFEITO!$N$1313*EFEITO!$AA$1091</f>
        <v>0</v>
      </c>
      <c r="M1313" s="76">
        <f ca="1">$J$1313-EFEITO!$K$1313*EFEITO!$Y$1313</f>
        <v>11329.914796648198</v>
      </c>
      <c r="N1313" s="76">
        <f>$K$1313-EFEITO!$M$1313*EFEITO!$Z$1313</f>
        <v>0</v>
      </c>
      <c r="O1313" s="76">
        <f>$L$1313-EFEITO!$O$1313*EFEITO!$AA$1313</f>
        <v>0</v>
      </c>
      <c r="P1313" s="57"/>
      <c r="Q1313" s="57"/>
      <c r="R1313" s="57"/>
      <c r="S1313" s="57"/>
      <c r="T1313" s="57"/>
      <c r="U1313" s="57"/>
      <c r="V1313" s="57"/>
      <c r="W1313" s="57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</row>
    <row r="1314" spans="1:36" ht="11.25" customHeight="1" x14ac:dyDescent="0.2">
      <c r="A1314" s="53" t="s">
        <v>56</v>
      </c>
      <c r="B1314" s="53" t="s">
        <v>33</v>
      </c>
      <c r="C1314" s="53" t="s">
        <v>34</v>
      </c>
      <c r="D1314" s="53" t="s">
        <v>50</v>
      </c>
      <c r="E1314" s="53" t="s">
        <v>51</v>
      </c>
      <c r="F1314" s="53" t="s">
        <v>25</v>
      </c>
      <c r="G1314" s="53" t="s">
        <v>25</v>
      </c>
      <c r="H1314" s="53" t="s">
        <v>25</v>
      </c>
      <c r="I1314" s="75">
        <v>44652</v>
      </c>
      <c r="J1314" s="76">
        <f ca="1">EFEITO!$J$1314*EFEITO!$Y$1091</f>
        <v>1455.4945304553776</v>
      </c>
      <c r="K1314" s="76">
        <f>EFEITO!$L$1314*EFEITO!$Z$1091</f>
        <v>0</v>
      </c>
      <c r="L1314" s="76">
        <f>EFEITO!$N$1314*EFEITO!$AA$1091</f>
        <v>0</v>
      </c>
      <c r="M1314" s="76">
        <f ca="1">$J$1314-EFEITO!$K$1314*EFEITO!$Y$1314</f>
        <v>43.664835913661364</v>
      </c>
      <c r="N1314" s="76">
        <f>$K$1314-EFEITO!$M$1314*EFEITO!$Z$1314</f>
        <v>0</v>
      </c>
      <c r="O1314" s="76">
        <f>$L$1314-EFEITO!$O$1314*EFEITO!$AA$1314</f>
        <v>0</v>
      </c>
      <c r="P1314" s="57"/>
      <c r="Q1314" s="57"/>
      <c r="R1314" s="57"/>
      <c r="S1314" s="57"/>
      <c r="T1314" s="57"/>
      <c r="U1314" s="57"/>
      <c r="V1314" s="57"/>
      <c r="W1314" s="57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</row>
    <row r="1315" spans="1:36" ht="11.25" customHeight="1" x14ac:dyDescent="0.2">
      <c r="A1315" s="53" t="s">
        <v>21</v>
      </c>
      <c r="B1315" s="53" t="s">
        <v>33</v>
      </c>
      <c r="C1315" s="53" t="s">
        <v>34</v>
      </c>
      <c r="D1315" s="53" t="s">
        <v>50</v>
      </c>
      <c r="E1315" s="53" t="s">
        <v>51</v>
      </c>
      <c r="F1315" s="53" t="s">
        <v>25</v>
      </c>
      <c r="G1315" s="53" t="s">
        <v>25</v>
      </c>
      <c r="H1315" s="53" t="s">
        <v>35</v>
      </c>
      <c r="I1315" s="75">
        <v>44317</v>
      </c>
      <c r="J1315" s="76">
        <f>EFEITO!$J$1315*EFEITO!$Y$1107</f>
        <v>0</v>
      </c>
      <c r="K1315" s="76">
        <f ca="1">EFEITO!$L$1315*EFEITO!$Z$1107</f>
        <v>772648.03204243979</v>
      </c>
      <c r="L1315" s="76">
        <f>EFEITO!$N$1315*EFEITO!$AA$1107</f>
        <v>182044.90606365009</v>
      </c>
      <c r="M1315" s="76">
        <f>$J$1315-EFEITO!$K$1315*EFEITO!$Y$1315</f>
        <v>0</v>
      </c>
      <c r="N1315" s="76">
        <f ca="1">$K$1315-EFEITO!$M$1315*EFEITO!$Z$1315</f>
        <v>23179.440961273154</v>
      </c>
      <c r="O1315" s="76">
        <f>$L$1315-EFEITO!$O$1315*EFEITO!$AA$1315</f>
        <v>5461.3471819095139</v>
      </c>
      <c r="P1315" s="57"/>
      <c r="Q1315" s="57"/>
      <c r="R1315" s="57"/>
      <c r="S1315" s="57"/>
      <c r="T1315" s="57"/>
      <c r="U1315" s="57"/>
      <c r="V1315" s="57"/>
      <c r="W1315" s="57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</row>
    <row r="1316" spans="1:36" ht="11.25" customHeight="1" x14ac:dyDescent="0.2">
      <c r="A1316" s="53" t="s">
        <v>21</v>
      </c>
      <c r="B1316" s="53" t="s">
        <v>33</v>
      </c>
      <c r="C1316" s="53" t="s">
        <v>34</v>
      </c>
      <c r="D1316" s="53" t="s">
        <v>50</v>
      </c>
      <c r="E1316" s="53" t="s">
        <v>51</v>
      </c>
      <c r="F1316" s="53" t="s">
        <v>25</v>
      </c>
      <c r="G1316" s="53" t="s">
        <v>25</v>
      </c>
      <c r="H1316" s="53" t="s">
        <v>35</v>
      </c>
      <c r="I1316" s="75">
        <v>44348</v>
      </c>
      <c r="J1316" s="76">
        <f>EFEITO!$J$1316*EFEITO!$Y$1107</f>
        <v>0</v>
      </c>
      <c r="K1316" s="76">
        <f ca="1">EFEITO!$L$1316*EFEITO!$Z$1107</f>
        <v>732077.60545029293</v>
      </c>
      <c r="L1316" s="76">
        <f>EFEITO!$N$1316*EFEITO!$AA$1107</f>
        <v>172486.03942367926</v>
      </c>
      <c r="M1316" s="76">
        <f>$J$1316-EFEITO!$K$1316*EFEITO!$Y$1316</f>
        <v>0</v>
      </c>
      <c r="N1316" s="76">
        <f ca="1">$K$1316-EFEITO!$M$1316*EFEITO!$Z$1316</f>
        <v>21962.328163508791</v>
      </c>
      <c r="O1316" s="76">
        <f>$L$1316-EFEITO!$O$1316*EFEITO!$AA$1316</f>
        <v>5174.5811827103898</v>
      </c>
      <c r="P1316" s="57"/>
      <c r="Q1316" s="57"/>
      <c r="R1316" s="57"/>
      <c r="S1316" s="57"/>
      <c r="T1316" s="57"/>
      <c r="U1316" s="57"/>
      <c r="V1316" s="57"/>
      <c r="W1316" s="57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</row>
    <row r="1317" spans="1:36" ht="11.25" customHeight="1" x14ac:dyDescent="0.2">
      <c r="A1317" s="53" t="s">
        <v>28</v>
      </c>
      <c r="B1317" s="53" t="s">
        <v>33</v>
      </c>
      <c r="C1317" s="53" t="s">
        <v>34</v>
      </c>
      <c r="D1317" s="53" t="s">
        <v>50</v>
      </c>
      <c r="E1317" s="53" t="s">
        <v>51</v>
      </c>
      <c r="F1317" s="53" t="s">
        <v>25</v>
      </c>
      <c r="G1317" s="53" t="s">
        <v>25</v>
      </c>
      <c r="H1317" s="53" t="s">
        <v>35</v>
      </c>
      <c r="I1317" s="75">
        <v>44348</v>
      </c>
      <c r="J1317" s="76">
        <f>EFEITO!$J$1317*EFEITO!$Y$1107</f>
        <v>0</v>
      </c>
      <c r="K1317" s="76">
        <f ca="1">EFEITO!$L$1317*EFEITO!$Z$1107</f>
        <v>3929.3042872394112</v>
      </c>
      <c r="L1317" s="76">
        <f>EFEITO!$N$1317*EFEITO!$AA$1107</f>
        <v>925.79001071823848</v>
      </c>
      <c r="M1317" s="76">
        <f>$J$1317-EFEITO!$K$1317*EFEITO!$Y$1317</f>
        <v>0</v>
      </c>
      <c r="N1317" s="76">
        <f ca="1">$K$1317-EFEITO!$M$1317*EFEITO!$Z$1317</f>
        <v>117.87912861718223</v>
      </c>
      <c r="O1317" s="76">
        <f>$L$1317-EFEITO!$O$1317*EFEITO!$AA$1317</f>
        <v>27.773700321547153</v>
      </c>
      <c r="P1317" s="57"/>
      <c r="Q1317" s="57"/>
      <c r="R1317" s="57"/>
      <c r="S1317" s="57"/>
      <c r="T1317" s="57"/>
      <c r="U1317" s="57"/>
      <c r="V1317" s="57"/>
      <c r="W1317" s="57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</row>
    <row r="1318" spans="1:36" ht="11.25" customHeight="1" x14ac:dyDescent="0.2">
      <c r="A1318" s="53" t="s">
        <v>21</v>
      </c>
      <c r="B1318" s="53" t="s">
        <v>33</v>
      </c>
      <c r="C1318" s="53" t="s">
        <v>34</v>
      </c>
      <c r="D1318" s="53" t="s">
        <v>50</v>
      </c>
      <c r="E1318" s="53" t="s">
        <v>51</v>
      </c>
      <c r="F1318" s="53" t="s">
        <v>25</v>
      </c>
      <c r="G1318" s="53" t="s">
        <v>25</v>
      </c>
      <c r="H1318" s="53" t="s">
        <v>35</v>
      </c>
      <c r="I1318" s="75">
        <v>44378</v>
      </c>
      <c r="J1318" s="76">
        <f>EFEITO!$J$1318*EFEITO!$Y$1107</f>
        <v>0</v>
      </c>
      <c r="K1318" s="76">
        <f ca="1">EFEITO!$L$1318*EFEITO!$Z$1107</f>
        <v>767579.87719942082</v>
      </c>
      <c r="L1318" s="76">
        <f>EFEITO!$N$1318*EFEITO!$AA$1107</f>
        <v>180850.78955257259</v>
      </c>
      <c r="M1318" s="76">
        <f>$J$1318-EFEITO!$K$1318*EFEITO!$Y$1318</f>
        <v>0</v>
      </c>
      <c r="N1318" s="76">
        <f ca="1">$K$1318-EFEITO!$M$1318*EFEITO!$Z$1318</f>
        <v>23027.396315982682</v>
      </c>
      <c r="O1318" s="76">
        <f>$L$1318-EFEITO!$O$1318*EFEITO!$AA$1318</f>
        <v>5425.5236865771876</v>
      </c>
      <c r="P1318" s="57"/>
      <c r="Q1318" s="57"/>
      <c r="R1318" s="57"/>
      <c r="S1318" s="57"/>
      <c r="T1318" s="57"/>
      <c r="U1318" s="57"/>
      <c r="V1318" s="57"/>
      <c r="W1318" s="57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</row>
    <row r="1319" spans="1:36" ht="11.25" customHeight="1" x14ac:dyDescent="0.2">
      <c r="A1319" s="53" t="s">
        <v>28</v>
      </c>
      <c r="B1319" s="53" t="s">
        <v>33</v>
      </c>
      <c r="C1319" s="53" t="s">
        <v>34</v>
      </c>
      <c r="D1319" s="53" t="s">
        <v>50</v>
      </c>
      <c r="E1319" s="53" t="s">
        <v>51</v>
      </c>
      <c r="F1319" s="53" t="s">
        <v>25</v>
      </c>
      <c r="G1319" s="53" t="s">
        <v>25</v>
      </c>
      <c r="H1319" s="53" t="s">
        <v>35</v>
      </c>
      <c r="I1319" s="75">
        <v>44378</v>
      </c>
      <c r="J1319" s="76">
        <f>EFEITO!$J$1319*EFEITO!$Y$1107</f>
        <v>0</v>
      </c>
      <c r="K1319" s="76">
        <f ca="1">EFEITO!$L$1319*EFEITO!$Z$1107</f>
        <v>4717.3241030868749</v>
      </c>
      <c r="L1319" s="76">
        <f>EFEITO!$N$1319*EFEITO!$AA$1107</f>
        <v>1111.4566886919511</v>
      </c>
      <c r="M1319" s="76">
        <f>$J$1319-EFEITO!$K$1319*EFEITO!$Y$1319</f>
        <v>0</v>
      </c>
      <c r="N1319" s="76">
        <f ca="1">$K$1319-EFEITO!$M$1319*EFEITO!$Z$1319</f>
        <v>141.519723092606</v>
      </c>
      <c r="O1319" s="76">
        <f>$L$1319-EFEITO!$O$1319*EFEITO!$AA$1319</f>
        <v>33.343700660758714</v>
      </c>
      <c r="P1319" s="57"/>
      <c r="Q1319" s="57"/>
      <c r="R1319" s="57"/>
      <c r="S1319" s="57"/>
      <c r="T1319" s="57"/>
      <c r="U1319" s="57"/>
      <c r="V1319" s="57"/>
      <c r="W1319" s="57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</row>
    <row r="1320" spans="1:36" ht="11.25" customHeight="1" x14ac:dyDescent="0.2">
      <c r="A1320" s="53" t="s">
        <v>21</v>
      </c>
      <c r="B1320" s="53" t="s">
        <v>33</v>
      </c>
      <c r="C1320" s="53" t="s">
        <v>34</v>
      </c>
      <c r="D1320" s="53" t="s">
        <v>50</v>
      </c>
      <c r="E1320" s="53" t="s">
        <v>51</v>
      </c>
      <c r="F1320" s="53" t="s">
        <v>25</v>
      </c>
      <c r="G1320" s="53" t="s">
        <v>25</v>
      </c>
      <c r="H1320" s="53" t="s">
        <v>35</v>
      </c>
      <c r="I1320" s="75">
        <v>44409</v>
      </c>
      <c r="J1320" s="76">
        <f>EFEITO!$J$1320*EFEITO!$Y$1107</f>
        <v>0</v>
      </c>
      <c r="K1320" s="76">
        <f ca="1">EFEITO!$L$1320*EFEITO!$Z$1107</f>
        <v>783795.45391228201</v>
      </c>
      <c r="L1320" s="76">
        <f>EFEITO!$N$1320*EFEITO!$AA$1107</f>
        <v>184671.36893288553</v>
      </c>
      <c r="M1320" s="76">
        <f>$J$1320-EFEITO!$K$1320*EFEITO!$Y$1320</f>
        <v>0</v>
      </c>
      <c r="N1320" s="76">
        <f ca="1">$K$1320-EFEITO!$M$1320*EFEITO!$Z$1320</f>
        <v>23513.863617368508</v>
      </c>
      <c r="O1320" s="76">
        <f>$L$1320-EFEITO!$O$1320*EFEITO!$AA$1320</f>
        <v>5540.1410679865803</v>
      </c>
      <c r="P1320" s="57"/>
      <c r="Q1320" s="57"/>
      <c r="R1320" s="57"/>
      <c r="S1320" s="57"/>
      <c r="T1320" s="57"/>
      <c r="U1320" s="57"/>
      <c r="V1320" s="57"/>
      <c r="W1320" s="57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</row>
    <row r="1321" spans="1:36" ht="11.25" customHeight="1" x14ac:dyDescent="0.2">
      <c r="A1321" s="53" t="s">
        <v>28</v>
      </c>
      <c r="B1321" s="53" t="s">
        <v>33</v>
      </c>
      <c r="C1321" s="53" t="s">
        <v>34</v>
      </c>
      <c r="D1321" s="53" t="s">
        <v>50</v>
      </c>
      <c r="E1321" s="53" t="s">
        <v>51</v>
      </c>
      <c r="F1321" s="53" t="s">
        <v>25</v>
      </c>
      <c r="G1321" s="53" t="s">
        <v>25</v>
      </c>
      <c r="H1321" s="53" t="s">
        <v>35</v>
      </c>
      <c r="I1321" s="75">
        <v>44409</v>
      </c>
      <c r="J1321" s="76">
        <f>EFEITO!$J$1321*EFEITO!$Y$1107</f>
        <v>0</v>
      </c>
      <c r="K1321" s="76">
        <f ca="1">EFEITO!$L$1321*EFEITO!$Z$1107</f>
        <v>4931.4208110454329</v>
      </c>
      <c r="L1321" s="76">
        <f>EFEITO!$N$1321*EFEITO!$AA$1107</f>
        <v>1161.9003751733935</v>
      </c>
      <c r="M1321" s="76">
        <f>$J$1321-EFEITO!$K$1321*EFEITO!$Y$1321</f>
        <v>0</v>
      </c>
      <c r="N1321" s="76">
        <f ca="1">$K$1321-EFEITO!$M$1321*EFEITO!$Z$1321</f>
        <v>147.94262433136282</v>
      </c>
      <c r="O1321" s="76">
        <f>$L$1321-EFEITO!$O$1321*EFEITO!$AA$1321</f>
        <v>34.857011255201769</v>
      </c>
      <c r="P1321" s="57"/>
      <c r="Q1321" s="57"/>
      <c r="R1321" s="57"/>
      <c r="S1321" s="57"/>
      <c r="T1321" s="57"/>
      <c r="U1321" s="57"/>
      <c r="V1321" s="57"/>
      <c r="W1321" s="57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</row>
    <row r="1322" spans="1:36" ht="11.25" customHeight="1" x14ac:dyDescent="0.2">
      <c r="A1322" s="53" t="s">
        <v>21</v>
      </c>
      <c r="B1322" s="53" t="s">
        <v>33</v>
      </c>
      <c r="C1322" s="53" t="s">
        <v>34</v>
      </c>
      <c r="D1322" s="53" t="s">
        <v>50</v>
      </c>
      <c r="E1322" s="53" t="s">
        <v>51</v>
      </c>
      <c r="F1322" s="53" t="s">
        <v>25</v>
      </c>
      <c r="G1322" s="53" t="s">
        <v>25</v>
      </c>
      <c r="H1322" s="53" t="s">
        <v>35</v>
      </c>
      <c r="I1322" s="75">
        <v>44440</v>
      </c>
      <c r="J1322" s="76">
        <f>EFEITO!$J$1322*EFEITO!$Y$1107</f>
        <v>0</v>
      </c>
      <c r="K1322" s="76">
        <f ca="1">EFEITO!$L$1322*EFEITO!$Z$1107</f>
        <v>734063.84717790841</v>
      </c>
      <c r="L1322" s="76">
        <f>EFEITO!$N$1322*EFEITO!$AA$1107</f>
        <v>172954.02118733904</v>
      </c>
      <c r="M1322" s="76">
        <f>$J$1322-EFEITO!$K$1322*EFEITO!$Y$1322</f>
        <v>0</v>
      </c>
      <c r="N1322" s="76">
        <f ca="1">$K$1322-EFEITO!$M$1322*EFEITO!$Z$1322</f>
        <v>22021.915415337193</v>
      </c>
      <c r="O1322" s="76">
        <f>$L$1322-EFEITO!$O$1322*EFEITO!$AA$1322</f>
        <v>5188.6206356201728</v>
      </c>
      <c r="P1322" s="57"/>
      <c r="Q1322" s="57"/>
      <c r="R1322" s="57"/>
      <c r="S1322" s="57"/>
      <c r="T1322" s="57"/>
      <c r="U1322" s="57"/>
      <c r="V1322" s="57"/>
      <c r="W1322" s="57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</row>
    <row r="1323" spans="1:36" ht="11.25" customHeight="1" x14ac:dyDescent="0.2">
      <c r="A1323" s="53" t="s">
        <v>28</v>
      </c>
      <c r="B1323" s="53" t="s">
        <v>33</v>
      </c>
      <c r="C1323" s="53" t="s">
        <v>34</v>
      </c>
      <c r="D1323" s="53" t="s">
        <v>50</v>
      </c>
      <c r="E1323" s="53" t="s">
        <v>51</v>
      </c>
      <c r="F1323" s="53" t="s">
        <v>25</v>
      </c>
      <c r="G1323" s="53" t="s">
        <v>25</v>
      </c>
      <c r="H1323" s="53" t="s">
        <v>35</v>
      </c>
      <c r="I1323" s="75">
        <v>44440</v>
      </c>
      <c r="J1323" s="76">
        <f>EFEITO!$J$1323*EFEITO!$Y$1107</f>
        <v>0</v>
      </c>
      <c r="K1323" s="76">
        <f ca="1">EFEITO!$L$1323*EFEITO!$Z$1107</f>
        <v>4630.9657671035911</v>
      </c>
      <c r="L1323" s="76">
        <f>EFEITO!$N$1323*EFEITO!$AA$1107</f>
        <v>1091.1096554893522</v>
      </c>
      <c r="M1323" s="76">
        <f>$J$1323-EFEITO!$K$1323*EFEITO!$Y$1323</f>
        <v>0</v>
      </c>
      <c r="N1323" s="76">
        <f ca="1">$K$1323-EFEITO!$M$1323*EFEITO!$Z$1323</f>
        <v>138.92897301310768</v>
      </c>
      <c r="O1323" s="76">
        <f>$L$1323-EFEITO!$O$1323*EFEITO!$AA$1323</f>
        <v>32.733289664680569</v>
      </c>
      <c r="P1323" s="57"/>
      <c r="Q1323" s="57"/>
      <c r="R1323" s="57"/>
      <c r="S1323" s="57"/>
      <c r="T1323" s="57"/>
      <c r="U1323" s="57"/>
      <c r="V1323" s="57"/>
      <c r="W1323" s="57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</row>
    <row r="1324" spans="1:36" ht="11.25" customHeight="1" x14ac:dyDescent="0.2">
      <c r="A1324" s="53" t="s">
        <v>21</v>
      </c>
      <c r="B1324" s="53" t="s">
        <v>33</v>
      </c>
      <c r="C1324" s="53" t="s">
        <v>34</v>
      </c>
      <c r="D1324" s="53" t="s">
        <v>50</v>
      </c>
      <c r="E1324" s="53" t="s">
        <v>51</v>
      </c>
      <c r="F1324" s="53" t="s">
        <v>25</v>
      </c>
      <c r="G1324" s="53" t="s">
        <v>25</v>
      </c>
      <c r="H1324" s="53" t="s">
        <v>35</v>
      </c>
      <c r="I1324" s="75">
        <v>44470</v>
      </c>
      <c r="J1324" s="76">
        <f>EFEITO!$J$1324*EFEITO!$Y$1107</f>
        <v>0</v>
      </c>
      <c r="K1324" s="76">
        <f ca="1">EFEITO!$L$1324*EFEITO!$Z$1107</f>
        <v>715516.59539349866</v>
      </c>
      <c r="L1324" s="76">
        <f>EFEITO!$N$1324*EFEITO!$AA$1107</f>
        <v>168584.07191055594</v>
      </c>
      <c r="M1324" s="76">
        <f>$J$1324-EFEITO!$K$1324*EFEITO!$Y$1324</f>
        <v>0</v>
      </c>
      <c r="N1324" s="76">
        <f ca="1">$K$1324-EFEITO!$M$1324*EFEITO!$Z$1324</f>
        <v>21465.497861805023</v>
      </c>
      <c r="O1324" s="76">
        <f>$L$1324-EFEITO!$O$1324*EFEITO!$AA$1324</f>
        <v>5057.5221573167073</v>
      </c>
      <c r="P1324" s="57"/>
      <c r="Q1324" s="57"/>
      <c r="R1324" s="57"/>
      <c r="S1324" s="57"/>
      <c r="T1324" s="57"/>
      <c r="U1324" s="57"/>
      <c r="V1324" s="57"/>
      <c r="W1324" s="57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</row>
    <row r="1325" spans="1:36" ht="11.25" customHeight="1" x14ac:dyDescent="0.2">
      <c r="A1325" s="53" t="s">
        <v>28</v>
      </c>
      <c r="B1325" s="53" t="s">
        <v>33</v>
      </c>
      <c r="C1325" s="53" t="s">
        <v>34</v>
      </c>
      <c r="D1325" s="53" t="s">
        <v>50</v>
      </c>
      <c r="E1325" s="53" t="s">
        <v>51</v>
      </c>
      <c r="F1325" s="53" t="s">
        <v>25</v>
      </c>
      <c r="G1325" s="53" t="s">
        <v>25</v>
      </c>
      <c r="H1325" s="53" t="s">
        <v>35</v>
      </c>
      <c r="I1325" s="75">
        <v>44470</v>
      </c>
      <c r="J1325" s="76">
        <f>EFEITO!$J$1325*EFEITO!$Y$1107</f>
        <v>0</v>
      </c>
      <c r="K1325" s="76">
        <f ca="1">EFEITO!$L$1325*EFEITO!$Z$1107</f>
        <v>5366.8107549611559</v>
      </c>
      <c r="L1325" s="76">
        <f>EFEITO!$N$1325*EFEITO!$AA$1107</f>
        <v>1264.483334236495</v>
      </c>
      <c r="M1325" s="76">
        <f>$J$1325-EFEITO!$K$1325*EFEITO!$Y$1325</f>
        <v>0</v>
      </c>
      <c r="N1325" s="76">
        <f ca="1">$K$1325-EFEITO!$M$1325*EFEITO!$Z$1325</f>
        <v>161.00432264883511</v>
      </c>
      <c r="O1325" s="76">
        <f>$L$1325-EFEITO!$O$1325*EFEITO!$AA$1325</f>
        <v>37.934500027094828</v>
      </c>
      <c r="P1325" s="57"/>
      <c r="Q1325" s="57"/>
      <c r="R1325" s="57"/>
      <c r="S1325" s="57"/>
      <c r="T1325" s="57"/>
      <c r="U1325" s="57"/>
      <c r="V1325" s="57"/>
      <c r="W1325" s="57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</row>
    <row r="1326" spans="1:36" ht="11.25" customHeight="1" x14ac:dyDescent="0.2">
      <c r="A1326" s="53" t="s">
        <v>21</v>
      </c>
      <c r="B1326" s="53" t="s">
        <v>33</v>
      </c>
      <c r="C1326" s="53" t="s">
        <v>34</v>
      </c>
      <c r="D1326" s="53" t="s">
        <v>50</v>
      </c>
      <c r="E1326" s="53" t="s">
        <v>51</v>
      </c>
      <c r="F1326" s="53" t="s">
        <v>25</v>
      </c>
      <c r="G1326" s="53" t="s">
        <v>25</v>
      </c>
      <c r="H1326" s="53" t="s">
        <v>35</v>
      </c>
      <c r="I1326" s="75">
        <v>44501</v>
      </c>
      <c r="J1326" s="76">
        <f>EFEITO!$J$1326*EFEITO!$Y$1107</f>
        <v>0</v>
      </c>
      <c r="K1326" s="76">
        <f ca="1">EFEITO!$L$1326*EFEITO!$Z$1107</f>
        <v>692847.53219788661</v>
      </c>
      <c r="L1326" s="76">
        <f>EFEITO!$N$1326*EFEITO!$AA$1107</f>
        <v>163242.97569487378</v>
      </c>
      <c r="M1326" s="76">
        <f>$J$1326-EFEITO!$K$1326*EFEITO!$Y$1326</f>
        <v>0</v>
      </c>
      <c r="N1326" s="76">
        <f ca="1">$K$1326-EFEITO!$M$1326*EFEITO!$Z$1326</f>
        <v>20785.425965936622</v>
      </c>
      <c r="O1326" s="76">
        <f>$L$1326-EFEITO!$O$1326*EFEITO!$AA$1326</f>
        <v>4897.2892708462314</v>
      </c>
      <c r="P1326" s="57"/>
      <c r="Q1326" s="57"/>
      <c r="R1326" s="57"/>
      <c r="S1326" s="57"/>
      <c r="T1326" s="57"/>
      <c r="U1326" s="57"/>
      <c r="V1326" s="57"/>
      <c r="W1326" s="57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</row>
    <row r="1327" spans="1:36" ht="11.25" customHeight="1" x14ac:dyDescent="0.2">
      <c r="A1327" s="53" t="s">
        <v>27</v>
      </c>
      <c r="B1327" s="53" t="s">
        <v>33</v>
      </c>
      <c r="C1327" s="53" t="s">
        <v>34</v>
      </c>
      <c r="D1327" s="53" t="s">
        <v>50</v>
      </c>
      <c r="E1327" s="53" t="s">
        <v>51</v>
      </c>
      <c r="F1327" s="53" t="s">
        <v>25</v>
      </c>
      <c r="G1327" s="53" t="s">
        <v>25</v>
      </c>
      <c r="H1327" s="53" t="s">
        <v>35</v>
      </c>
      <c r="I1327" s="75">
        <v>44501</v>
      </c>
      <c r="J1327" s="76">
        <f>EFEITO!$J$1327*EFEITO!$Y$1107</f>
        <v>0</v>
      </c>
      <c r="K1327" s="76">
        <f ca="1">EFEITO!$L$1327*EFEITO!$Z$1107</f>
        <v>341.83507993383154</v>
      </c>
      <c r="L1327" s="76">
        <f>EFEITO!$N$1327*EFEITO!$AA$1107</f>
        <v>80.540339760286315</v>
      </c>
      <c r="M1327" s="76">
        <f>$J$1327-EFEITO!$K$1327*EFEITO!$Y$1327</f>
        <v>0</v>
      </c>
      <c r="N1327" s="76">
        <f ca="1">$K$1327-EFEITO!$M$1327*EFEITO!$Z$1327</f>
        <v>10.255052398014925</v>
      </c>
      <c r="O1327" s="76">
        <f>$L$1327-EFEITO!$O$1327*EFEITO!$AA$1327</f>
        <v>2.4162101928086059</v>
      </c>
      <c r="P1327" s="57"/>
      <c r="Q1327" s="57"/>
      <c r="R1327" s="57"/>
      <c r="S1327" s="57"/>
      <c r="T1327" s="57"/>
      <c r="U1327" s="57"/>
      <c r="V1327" s="57"/>
      <c r="W1327" s="57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</row>
    <row r="1328" spans="1:36" ht="11.25" customHeight="1" x14ac:dyDescent="0.2">
      <c r="A1328" s="53" t="s">
        <v>28</v>
      </c>
      <c r="B1328" s="53" t="s">
        <v>33</v>
      </c>
      <c r="C1328" s="53" t="s">
        <v>34</v>
      </c>
      <c r="D1328" s="53" t="s">
        <v>50</v>
      </c>
      <c r="E1328" s="53" t="s">
        <v>51</v>
      </c>
      <c r="F1328" s="53" t="s">
        <v>25</v>
      </c>
      <c r="G1328" s="53" t="s">
        <v>25</v>
      </c>
      <c r="H1328" s="53" t="s">
        <v>35</v>
      </c>
      <c r="I1328" s="75">
        <v>44501</v>
      </c>
      <c r="J1328" s="76">
        <f>EFEITO!$J$1328*EFEITO!$Y$1107</f>
        <v>0</v>
      </c>
      <c r="K1328" s="76">
        <f ca="1">EFEITO!$L$1328*EFEITO!$Z$1107</f>
        <v>3643.2422992947836</v>
      </c>
      <c r="L1328" s="76">
        <f>EFEITO!$N$1328*EFEITO!$AA$1107</f>
        <v>858.39046323463037</v>
      </c>
      <c r="M1328" s="76">
        <f>$J$1328-EFEITO!$K$1328*EFEITO!$Y$1328</f>
        <v>0</v>
      </c>
      <c r="N1328" s="76">
        <f ca="1">$K$1328-EFEITO!$M$1328*EFEITO!$Z$1328</f>
        <v>109.29726897884393</v>
      </c>
      <c r="O1328" s="76">
        <f>$L$1328-EFEITO!$O$1328*EFEITO!$AA$1328</f>
        <v>25.75171389703894</v>
      </c>
      <c r="P1328" s="57"/>
      <c r="Q1328" s="57"/>
      <c r="R1328" s="57"/>
      <c r="S1328" s="57"/>
      <c r="T1328" s="57"/>
      <c r="U1328" s="57"/>
      <c r="V1328" s="57"/>
      <c r="W1328" s="57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</row>
    <row r="1329" spans="1:36" ht="11.25" customHeight="1" x14ac:dyDescent="0.2">
      <c r="A1329" s="53" t="s">
        <v>21</v>
      </c>
      <c r="B1329" s="53" t="s">
        <v>33</v>
      </c>
      <c r="C1329" s="53" t="s">
        <v>34</v>
      </c>
      <c r="D1329" s="53" t="s">
        <v>50</v>
      </c>
      <c r="E1329" s="53" t="s">
        <v>51</v>
      </c>
      <c r="F1329" s="53" t="s">
        <v>25</v>
      </c>
      <c r="G1329" s="53" t="s">
        <v>25</v>
      </c>
      <c r="H1329" s="53" t="s">
        <v>35</v>
      </c>
      <c r="I1329" s="75">
        <v>44531</v>
      </c>
      <c r="J1329" s="76">
        <f>EFEITO!$J$1329*EFEITO!$Y$1107</f>
        <v>0</v>
      </c>
      <c r="K1329" s="76">
        <f ca="1">EFEITO!$L$1329*EFEITO!$Z$1107</f>
        <v>796691.63208578574</v>
      </c>
      <c r="L1329" s="76">
        <f>EFEITO!$N$1329*EFEITO!$AA$1107</f>
        <v>187709.85922447359</v>
      </c>
      <c r="M1329" s="76">
        <f>$J$1329-EFEITO!$K$1329*EFEITO!$Y$1329</f>
        <v>0</v>
      </c>
      <c r="N1329" s="76">
        <f ca="1">$K$1329-EFEITO!$M$1329*EFEITO!$Z$1329</f>
        <v>23900.748962573591</v>
      </c>
      <c r="O1329" s="76">
        <f>$L$1329-EFEITO!$O$1329*EFEITO!$AA$1329</f>
        <v>5631.2957767342159</v>
      </c>
      <c r="P1329" s="57"/>
      <c r="Q1329" s="57"/>
      <c r="R1329" s="57"/>
      <c r="S1329" s="57"/>
      <c r="T1329" s="57"/>
      <c r="U1329" s="57"/>
      <c r="V1329" s="57"/>
      <c r="W1329" s="57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</row>
    <row r="1330" spans="1:36" ht="11.25" customHeight="1" x14ac:dyDescent="0.2">
      <c r="A1330" s="53" t="s">
        <v>27</v>
      </c>
      <c r="B1330" s="53" t="s">
        <v>33</v>
      </c>
      <c r="C1330" s="53" t="s">
        <v>34</v>
      </c>
      <c r="D1330" s="53" t="s">
        <v>50</v>
      </c>
      <c r="E1330" s="53" t="s">
        <v>51</v>
      </c>
      <c r="F1330" s="53" t="s">
        <v>25</v>
      </c>
      <c r="G1330" s="53" t="s">
        <v>25</v>
      </c>
      <c r="H1330" s="53" t="s">
        <v>35</v>
      </c>
      <c r="I1330" s="75">
        <v>44531</v>
      </c>
      <c r="J1330" s="76">
        <f>EFEITO!$J$1330*EFEITO!$Y$1107</f>
        <v>0</v>
      </c>
      <c r="K1330" s="76">
        <f ca="1">EFEITO!$L$1330*EFEITO!$Z$1107</f>
        <v>158.32361596935354</v>
      </c>
      <c r="L1330" s="76">
        <f>EFEITO!$N$1330*EFEITO!$AA$1107</f>
        <v>37.302894204764186</v>
      </c>
      <c r="M1330" s="76">
        <f>$J$1330-EFEITO!$K$1330*EFEITO!$Y$1330</f>
        <v>0</v>
      </c>
      <c r="N1330" s="76">
        <f ca="1">$K$1330-EFEITO!$M$1330*EFEITO!$Z$1330</f>
        <v>4.7497084790805957</v>
      </c>
      <c r="O1330" s="76">
        <f>$L$1330-EFEITO!$O$1330*EFEITO!$AA$1330</f>
        <v>1.119086826142933</v>
      </c>
      <c r="P1330" s="57"/>
      <c r="Q1330" s="57"/>
      <c r="R1330" s="57"/>
      <c r="S1330" s="57"/>
      <c r="T1330" s="57"/>
      <c r="U1330" s="57"/>
      <c r="V1330" s="57"/>
      <c r="W1330" s="57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</row>
    <row r="1331" spans="1:36" ht="11.25" customHeight="1" x14ac:dyDescent="0.2">
      <c r="A1331" s="53" t="s">
        <v>28</v>
      </c>
      <c r="B1331" s="53" t="s">
        <v>33</v>
      </c>
      <c r="C1331" s="53" t="s">
        <v>34</v>
      </c>
      <c r="D1331" s="53" t="s">
        <v>50</v>
      </c>
      <c r="E1331" s="53" t="s">
        <v>51</v>
      </c>
      <c r="F1331" s="53" t="s">
        <v>25</v>
      </c>
      <c r="G1331" s="53" t="s">
        <v>25</v>
      </c>
      <c r="H1331" s="53" t="s">
        <v>35</v>
      </c>
      <c r="I1331" s="75">
        <v>44531</v>
      </c>
      <c r="J1331" s="76">
        <f>EFEITO!$J$1331*EFEITO!$Y$1107</f>
        <v>0</v>
      </c>
      <c r="K1331" s="76">
        <f ca="1">EFEITO!$L$1331*EFEITO!$Z$1107</f>
        <v>6430.0977667553361</v>
      </c>
      <c r="L1331" s="76">
        <f>EFEITO!$N$1331*EFEITO!$AA$1107</f>
        <v>1515.0061805434907</v>
      </c>
      <c r="M1331" s="76">
        <f>$J$1331-EFEITO!$K$1331*EFEITO!$Y$1331</f>
        <v>0</v>
      </c>
      <c r="N1331" s="76">
        <f ca="1">$K$1331-EFEITO!$M$1331*EFEITO!$Z$1331</f>
        <v>192.90293300266057</v>
      </c>
      <c r="O1331" s="76">
        <f>$L$1331-EFEITO!$O$1331*EFEITO!$AA$1331</f>
        <v>45.450185416304748</v>
      </c>
      <c r="P1331" s="57"/>
      <c r="Q1331" s="57"/>
      <c r="R1331" s="57"/>
      <c r="S1331" s="57"/>
      <c r="T1331" s="57"/>
      <c r="U1331" s="57"/>
      <c r="V1331" s="57"/>
      <c r="W1331" s="57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</row>
    <row r="1332" spans="1:36" ht="11.25" customHeight="1" x14ac:dyDescent="0.2">
      <c r="A1332" s="53" t="s">
        <v>21</v>
      </c>
      <c r="B1332" s="53" t="s">
        <v>33</v>
      </c>
      <c r="C1332" s="53" t="s">
        <v>34</v>
      </c>
      <c r="D1332" s="53" t="s">
        <v>50</v>
      </c>
      <c r="E1332" s="53" t="s">
        <v>51</v>
      </c>
      <c r="F1332" s="53" t="s">
        <v>25</v>
      </c>
      <c r="G1332" s="53" t="s">
        <v>25</v>
      </c>
      <c r="H1332" s="53" t="s">
        <v>35</v>
      </c>
      <c r="I1332" s="75">
        <v>44562</v>
      </c>
      <c r="J1332" s="76">
        <f>EFEITO!$J$1332*EFEITO!$Y$1107</f>
        <v>0</v>
      </c>
      <c r="K1332" s="76">
        <f ca="1">EFEITO!$L$1332*EFEITO!$Z$1107</f>
        <v>724328.74392779288</v>
      </c>
      <c r="L1332" s="76">
        <f>EFEITO!$N$1332*EFEITO!$AA$1107</f>
        <v>170660.3170902711</v>
      </c>
      <c r="M1332" s="76">
        <f>$J$1332-EFEITO!$K$1332*EFEITO!$Y$1332</f>
        <v>0</v>
      </c>
      <c r="N1332" s="76">
        <f ca="1">$K$1332-EFEITO!$M$1332*EFEITO!$Z$1332</f>
        <v>21729.862317833817</v>
      </c>
      <c r="O1332" s="76">
        <f>$L$1332-EFEITO!$O$1332*EFEITO!$AA$1332</f>
        <v>5119.8095127081615</v>
      </c>
      <c r="P1332" s="57"/>
      <c r="Q1332" s="57"/>
      <c r="R1332" s="57"/>
      <c r="S1332" s="57"/>
      <c r="T1332" s="57"/>
      <c r="U1332" s="57"/>
      <c r="V1332" s="57"/>
      <c r="W1332" s="57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</row>
    <row r="1333" spans="1:36" ht="11.25" customHeight="1" x14ac:dyDescent="0.2">
      <c r="A1333" s="53" t="s">
        <v>28</v>
      </c>
      <c r="B1333" s="53" t="s">
        <v>33</v>
      </c>
      <c r="C1333" s="53" t="s">
        <v>34</v>
      </c>
      <c r="D1333" s="53" t="s">
        <v>50</v>
      </c>
      <c r="E1333" s="53" t="s">
        <v>51</v>
      </c>
      <c r="F1333" s="53" t="s">
        <v>25</v>
      </c>
      <c r="G1333" s="53" t="s">
        <v>25</v>
      </c>
      <c r="H1333" s="53" t="s">
        <v>35</v>
      </c>
      <c r="I1333" s="75">
        <v>44562</v>
      </c>
      <c r="J1333" s="76">
        <f>EFEITO!$J$1333*EFEITO!$Y$1107</f>
        <v>0</v>
      </c>
      <c r="K1333" s="76">
        <f ca="1">EFEITO!$L$1333*EFEITO!$Z$1107</f>
        <v>5866.9694508643406</v>
      </c>
      <c r="L1333" s="76">
        <f>EFEITO!$N$1333*EFEITO!$AA$1107</f>
        <v>1382.3265682015456</v>
      </c>
      <c r="M1333" s="76">
        <f>$J$1333-EFEITO!$K$1333*EFEITO!$Y$1333</f>
        <v>0</v>
      </c>
      <c r="N1333" s="76">
        <f ca="1">$K$1333-EFEITO!$M$1333*EFEITO!$Z$1333</f>
        <v>176.00908352593069</v>
      </c>
      <c r="O1333" s="76">
        <f>$L$1333-EFEITO!$O$1333*EFEITO!$AA$1333</f>
        <v>41.469797046046324</v>
      </c>
      <c r="P1333" s="57"/>
      <c r="Q1333" s="57"/>
      <c r="R1333" s="57"/>
      <c r="S1333" s="57"/>
      <c r="T1333" s="57"/>
      <c r="U1333" s="57"/>
      <c r="V1333" s="57"/>
      <c r="W1333" s="57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</row>
    <row r="1334" spans="1:36" ht="11.25" customHeight="1" x14ac:dyDescent="0.2">
      <c r="A1334" s="53" t="s">
        <v>21</v>
      </c>
      <c r="B1334" s="53" t="s">
        <v>33</v>
      </c>
      <c r="C1334" s="53" t="s">
        <v>34</v>
      </c>
      <c r="D1334" s="53" t="s">
        <v>50</v>
      </c>
      <c r="E1334" s="53" t="s">
        <v>51</v>
      </c>
      <c r="F1334" s="53" t="s">
        <v>25</v>
      </c>
      <c r="G1334" s="53" t="s">
        <v>25</v>
      </c>
      <c r="H1334" s="53" t="s">
        <v>35</v>
      </c>
      <c r="I1334" s="75">
        <v>44593</v>
      </c>
      <c r="J1334" s="76">
        <f>EFEITO!$J$1334*EFEITO!$Y$1107</f>
        <v>0</v>
      </c>
      <c r="K1334" s="76">
        <f ca="1">EFEITO!$L$1334*EFEITO!$Z$1107</f>
        <v>674991.14710134303</v>
      </c>
      <c r="L1334" s="76">
        <f>EFEITO!$N$1334*EFEITO!$AA$1107</f>
        <v>159035.80268371146</v>
      </c>
      <c r="M1334" s="76">
        <f>$J$1334-EFEITO!$K$1334*EFEITO!$Y$1334</f>
        <v>0</v>
      </c>
      <c r="N1334" s="76">
        <f ca="1">$K$1334-EFEITO!$M$1334*EFEITO!$Z$1334</f>
        <v>20249.734413040336</v>
      </c>
      <c r="O1334" s="76">
        <f>$L$1334-EFEITO!$O$1334*EFEITO!$AA$1334</f>
        <v>4771.0740805113746</v>
      </c>
      <c r="P1334" s="57"/>
      <c r="Q1334" s="57"/>
      <c r="R1334" s="57"/>
      <c r="S1334" s="57"/>
      <c r="T1334" s="57"/>
      <c r="U1334" s="57"/>
      <c r="V1334" s="57"/>
      <c r="W1334" s="57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</row>
    <row r="1335" spans="1:36" ht="11.25" customHeight="1" x14ac:dyDescent="0.2">
      <c r="A1335" s="53" t="s">
        <v>28</v>
      </c>
      <c r="B1335" s="53" t="s">
        <v>33</v>
      </c>
      <c r="C1335" s="53" t="s">
        <v>34</v>
      </c>
      <c r="D1335" s="53" t="s">
        <v>50</v>
      </c>
      <c r="E1335" s="53" t="s">
        <v>51</v>
      </c>
      <c r="F1335" s="53" t="s">
        <v>25</v>
      </c>
      <c r="G1335" s="53" t="s">
        <v>25</v>
      </c>
      <c r="H1335" s="53" t="s">
        <v>35</v>
      </c>
      <c r="I1335" s="75">
        <v>44593</v>
      </c>
      <c r="J1335" s="76">
        <f>EFEITO!$J$1335*EFEITO!$Y$1107</f>
        <v>0</v>
      </c>
      <c r="K1335" s="76">
        <f ca="1">EFEITO!$L$1335*EFEITO!$Z$1107</f>
        <v>3556.8839633114999</v>
      </c>
      <c r="L1335" s="76">
        <f>EFEITO!$N$1335*EFEITO!$AA$1107</f>
        <v>838.04343003203178</v>
      </c>
      <c r="M1335" s="76">
        <f>$J$1335-EFEITO!$K$1335*EFEITO!$Y$1335</f>
        <v>0</v>
      </c>
      <c r="N1335" s="76">
        <f ca="1">$K$1335-EFEITO!$M$1335*EFEITO!$Z$1335</f>
        <v>106.70651889934516</v>
      </c>
      <c r="O1335" s="76">
        <f>$L$1335-EFEITO!$O$1335*EFEITO!$AA$1335</f>
        <v>25.141302900961023</v>
      </c>
      <c r="P1335" s="57"/>
      <c r="Q1335" s="57"/>
      <c r="R1335" s="57"/>
      <c r="S1335" s="57"/>
      <c r="T1335" s="57"/>
      <c r="U1335" s="57"/>
      <c r="V1335" s="57"/>
      <c r="W1335" s="57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</row>
    <row r="1336" spans="1:36" ht="11.25" customHeight="1" x14ac:dyDescent="0.2">
      <c r="A1336" s="53" t="s">
        <v>21</v>
      </c>
      <c r="B1336" s="53" t="s">
        <v>33</v>
      </c>
      <c r="C1336" s="53" t="s">
        <v>34</v>
      </c>
      <c r="D1336" s="53" t="s">
        <v>50</v>
      </c>
      <c r="E1336" s="53" t="s">
        <v>51</v>
      </c>
      <c r="F1336" s="53" t="s">
        <v>25</v>
      </c>
      <c r="G1336" s="53" t="s">
        <v>25</v>
      </c>
      <c r="H1336" s="53" t="s">
        <v>35</v>
      </c>
      <c r="I1336" s="75">
        <v>44621</v>
      </c>
      <c r="J1336" s="76">
        <f>EFEITO!$J$1336*EFEITO!$Y$1107</f>
        <v>0</v>
      </c>
      <c r="K1336" s="76">
        <f ca="1">EFEITO!$L$1336*EFEITO!$Z$1107</f>
        <v>791792.59565073403</v>
      </c>
      <c r="L1336" s="76">
        <f>EFEITO!$N$1336*EFEITO!$AA$1107</f>
        <v>186555.58898675116</v>
      </c>
      <c r="M1336" s="76">
        <f>$J$1336-EFEITO!$K$1336*EFEITO!$Y$1336</f>
        <v>0</v>
      </c>
      <c r="N1336" s="76">
        <f ca="1">$K$1336-EFEITO!$M$1336*EFEITO!$Z$1336</f>
        <v>23753.777869522106</v>
      </c>
      <c r="O1336" s="76">
        <f>$L$1336-EFEITO!$O$1336*EFEITO!$AA$1336</f>
        <v>5596.6676696025243</v>
      </c>
      <c r="P1336" s="57"/>
      <c r="Q1336" s="57"/>
      <c r="R1336" s="57"/>
      <c r="S1336" s="57"/>
      <c r="T1336" s="57"/>
      <c r="U1336" s="57"/>
      <c r="V1336" s="57"/>
      <c r="W1336" s="57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</row>
    <row r="1337" spans="1:36" ht="11.25" customHeight="1" x14ac:dyDescent="0.2">
      <c r="A1337" s="53" t="s">
        <v>28</v>
      </c>
      <c r="B1337" s="53" t="s">
        <v>33</v>
      </c>
      <c r="C1337" s="53" t="s">
        <v>34</v>
      </c>
      <c r="D1337" s="53" t="s">
        <v>50</v>
      </c>
      <c r="E1337" s="53" t="s">
        <v>51</v>
      </c>
      <c r="F1337" s="53" t="s">
        <v>25</v>
      </c>
      <c r="G1337" s="53" t="s">
        <v>25</v>
      </c>
      <c r="H1337" s="53" t="s">
        <v>35</v>
      </c>
      <c r="I1337" s="75">
        <v>44621</v>
      </c>
      <c r="J1337" s="76">
        <f>EFEITO!$J$1337*EFEITO!$Y$1107</f>
        <v>0</v>
      </c>
      <c r="K1337" s="76">
        <f ca="1">EFEITO!$L$1337*EFEITO!$Z$1107</f>
        <v>5825.5894148723501</v>
      </c>
      <c r="L1337" s="76">
        <f>EFEITO!$N$1337*EFEITO!$AA$1107</f>
        <v>1372.5769481253003</v>
      </c>
      <c r="M1337" s="76">
        <f>$J$1337-EFEITO!$K$1337*EFEITO!$Y$1337</f>
        <v>0</v>
      </c>
      <c r="N1337" s="76">
        <f ca="1">$K$1337-EFEITO!$M$1337*EFEITO!$Z$1337</f>
        <v>174.76768244617051</v>
      </c>
      <c r="O1337" s="76">
        <f>$L$1337-EFEITO!$O$1337*EFEITO!$AA$1337</f>
        <v>41.177308443759102</v>
      </c>
      <c r="P1337" s="57"/>
      <c r="Q1337" s="57"/>
      <c r="R1337" s="57"/>
      <c r="S1337" s="57"/>
      <c r="T1337" s="57"/>
      <c r="U1337" s="57"/>
      <c r="V1337" s="57"/>
      <c r="W1337" s="57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</row>
    <row r="1338" spans="1:36" ht="11.25" customHeight="1" x14ac:dyDescent="0.2">
      <c r="A1338" s="53" t="s">
        <v>56</v>
      </c>
      <c r="B1338" s="53" t="s">
        <v>33</v>
      </c>
      <c r="C1338" s="53" t="s">
        <v>34</v>
      </c>
      <c r="D1338" s="53" t="s">
        <v>50</v>
      </c>
      <c r="E1338" s="53" t="s">
        <v>51</v>
      </c>
      <c r="F1338" s="53" t="s">
        <v>25</v>
      </c>
      <c r="G1338" s="53" t="s">
        <v>25</v>
      </c>
      <c r="H1338" s="53" t="s">
        <v>35</v>
      </c>
      <c r="I1338" s="75">
        <v>44652</v>
      </c>
      <c r="J1338" s="76">
        <f>EFEITO!$J$1338*EFEITO!$Y$1107</f>
        <v>0</v>
      </c>
      <c r="K1338" s="76">
        <f ca="1">EFEITO!$L$1338*EFEITO!$Z$1107</f>
        <v>791792.59565073403</v>
      </c>
      <c r="L1338" s="76">
        <f>EFEITO!$N$1338*EFEITO!$AA$1107</f>
        <v>186555.58898675116</v>
      </c>
      <c r="M1338" s="76">
        <f>$J$1338-EFEITO!$K$1338*EFEITO!$Y$1338</f>
        <v>0</v>
      </c>
      <c r="N1338" s="76">
        <f ca="1">$K$1338-EFEITO!$M$1338*EFEITO!$Z$1338</f>
        <v>23753.777869522106</v>
      </c>
      <c r="O1338" s="76">
        <f>$L$1338-EFEITO!$O$1338*EFEITO!$AA$1338</f>
        <v>5596.6676696025243</v>
      </c>
      <c r="P1338" s="57"/>
      <c r="Q1338" s="57"/>
      <c r="R1338" s="57"/>
      <c r="S1338" s="57"/>
      <c r="T1338" s="57"/>
      <c r="U1338" s="57"/>
      <c r="V1338" s="57"/>
      <c r="W1338" s="57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</row>
    <row r="1339" spans="1:36" ht="11.25" customHeight="1" x14ac:dyDescent="0.2">
      <c r="A1339" s="53" t="s">
        <v>56</v>
      </c>
      <c r="B1339" s="53" t="s">
        <v>33</v>
      </c>
      <c r="C1339" s="53" t="s">
        <v>34</v>
      </c>
      <c r="D1339" s="53" t="s">
        <v>50</v>
      </c>
      <c r="E1339" s="53" t="s">
        <v>51</v>
      </c>
      <c r="F1339" s="53" t="s">
        <v>25</v>
      </c>
      <c r="G1339" s="53" t="s">
        <v>25</v>
      </c>
      <c r="H1339" s="53" t="s">
        <v>35</v>
      </c>
      <c r="I1339" s="75">
        <v>44652</v>
      </c>
      <c r="J1339" s="76">
        <f>EFEITO!$J$1339*EFEITO!$Y$1107</f>
        <v>0</v>
      </c>
      <c r="K1339" s="76">
        <f ca="1">EFEITO!$L$1339*EFEITO!$Z$1107</f>
        <v>5825.5894148723501</v>
      </c>
      <c r="L1339" s="76">
        <f>EFEITO!$N$1339*EFEITO!$AA$1107</f>
        <v>1372.5769481253003</v>
      </c>
      <c r="M1339" s="76">
        <f>$J$1339-EFEITO!$K$1339*EFEITO!$Y$1339</f>
        <v>0</v>
      </c>
      <c r="N1339" s="76">
        <f ca="1">$K$1339-EFEITO!$M$1339*EFEITO!$Z$1339</f>
        <v>174.76768244617051</v>
      </c>
      <c r="O1339" s="76">
        <f>$L$1339-EFEITO!$O$1339*EFEITO!$AA$1339</f>
        <v>41.177308443759102</v>
      </c>
      <c r="P1339" s="57"/>
      <c r="Q1339" s="57"/>
      <c r="R1339" s="57"/>
      <c r="S1339" s="57"/>
      <c r="T1339" s="57"/>
      <c r="U1339" s="57"/>
      <c r="V1339" s="57"/>
      <c r="W1339" s="57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</row>
    <row r="1340" spans="1:36" ht="11.25" customHeight="1" x14ac:dyDescent="0.2">
      <c r="A1340" s="53" t="s">
        <v>21</v>
      </c>
      <c r="B1340" s="53" t="s">
        <v>22</v>
      </c>
      <c r="C1340" s="53" t="s">
        <v>37</v>
      </c>
      <c r="D1340" s="53" t="s">
        <v>24</v>
      </c>
      <c r="E1340" s="53" t="s">
        <v>24</v>
      </c>
      <c r="F1340" s="53" t="s">
        <v>25</v>
      </c>
      <c r="G1340" s="53" t="s">
        <v>25</v>
      </c>
      <c r="H1340" s="53" t="s">
        <v>36</v>
      </c>
      <c r="I1340" s="75">
        <v>44317</v>
      </c>
      <c r="J1340" s="76">
        <f>EFEITO!$J$1340*EFEITO!$Y$1340</f>
        <v>0</v>
      </c>
      <c r="K1340" s="76">
        <f ca="1">EFEITO!$L$1340*EFEITO!$Z$1340</f>
        <v>22879.310419153691</v>
      </c>
      <c r="L1340" s="76">
        <f>EFEITO!$N$1340*EFEITO!$AA$1340</f>
        <v>17163.647934723373</v>
      </c>
      <c r="M1340" s="76">
        <f>$J$1340-EFEITO!$K$1340*EFEITO!$Y$1340</f>
        <v>0</v>
      </c>
      <c r="N1340" s="76">
        <f ca="1">$K$1340-EFEITO!$M$1340*EFEITO!$Z$1340</f>
        <v>0</v>
      </c>
      <c r="O1340" s="76">
        <f>$L$1340-EFEITO!$O$1340*EFEITO!$AA$1340</f>
        <v>0</v>
      </c>
      <c r="P1340" s="57"/>
      <c r="Q1340" s="57"/>
      <c r="R1340" s="57"/>
      <c r="S1340" s="57"/>
      <c r="T1340" s="57"/>
      <c r="U1340" s="57"/>
      <c r="V1340" s="57"/>
      <c r="W1340" s="57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</row>
    <row r="1341" spans="1:36" ht="11.25" customHeight="1" x14ac:dyDescent="0.2">
      <c r="A1341" s="53" t="s">
        <v>28</v>
      </c>
      <c r="B1341" s="53" t="s">
        <v>22</v>
      </c>
      <c r="C1341" s="53" t="s">
        <v>37</v>
      </c>
      <c r="D1341" s="53" t="s">
        <v>24</v>
      </c>
      <c r="E1341" s="53" t="s">
        <v>24</v>
      </c>
      <c r="F1341" s="53" t="s">
        <v>25</v>
      </c>
      <c r="G1341" s="53" t="s">
        <v>25</v>
      </c>
      <c r="H1341" s="53" t="s">
        <v>36</v>
      </c>
      <c r="I1341" s="75">
        <v>44317</v>
      </c>
      <c r="J1341" s="76">
        <f>EFEITO!$J$1341*EFEITO!$Y$1341</f>
        <v>0</v>
      </c>
      <c r="K1341" s="76">
        <f ca="1">EFEITO!$L$1341*EFEITO!$Z$1341</f>
        <v>65.780457114877436</v>
      </c>
      <c r="L1341" s="76">
        <f>EFEITO!$N$1341*EFEITO!$AA$1341</f>
        <v>49.347318001321497</v>
      </c>
      <c r="M1341" s="76">
        <f>$J$1341-EFEITO!$K$1341*EFEITO!$Y$1341</f>
        <v>0</v>
      </c>
      <c r="N1341" s="76">
        <f ca="1">$K$1341-EFEITO!$M$1341*EFEITO!$Z$1341</f>
        <v>0</v>
      </c>
      <c r="O1341" s="76">
        <f>$L$1341-EFEITO!$O$1341*EFEITO!$AA$1341</f>
        <v>0</v>
      </c>
      <c r="P1341" s="57"/>
      <c r="Q1341" s="57"/>
      <c r="R1341" s="57"/>
      <c r="S1341" s="57"/>
      <c r="T1341" s="57"/>
      <c r="U1341" s="57"/>
      <c r="V1341" s="57"/>
      <c r="W1341" s="57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</row>
    <row r="1342" spans="1:36" ht="11.25" customHeight="1" x14ac:dyDescent="0.2">
      <c r="A1342" s="53" t="s">
        <v>21</v>
      </c>
      <c r="B1342" s="53" t="s">
        <v>22</v>
      </c>
      <c r="C1342" s="53" t="s">
        <v>37</v>
      </c>
      <c r="D1342" s="53" t="s">
        <v>24</v>
      </c>
      <c r="E1342" s="53" t="s">
        <v>24</v>
      </c>
      <c r="F1342" s="53" t="s">
        <v>25</v>
      </c>
      <c r="G1342" s="53" t="s">
        <v>25</v>
      </c>
      <c r="H1342" s="53" t="s">
        <v>36</v>
      </c>
      <c r="I1342" s="75">
        <v>44348</v>
      </c>
      <c r="J1342" s="76">
        <f>EFEITO!$J$1342*EFEITO!$Y$1342</f>
        <v>0</v>
      </c>
      <c r="K1342" s="76">
        <f ca="1">EFEITO!$L$1342*EFEITO!$Z$1342</f>
        <v>19941.237145050185</v>
      </c>
      <c r="L1342" s="76">
        <f>EFEITO!$N$1342*EFEITO!$AA$1342</f>
        <v>14959.558110367643</v>
      </c>
      <c r="M1342" s="76">
        <f>$J$1342-EFEITO!$K$1342*EFEITO!$Y$1342</f>
        <v>0</v>
      </c>
      <c r="N1342" s="76">
        <f ca="1">$K$1342-EFEITO!$M$1342*EFEITO!$Z$1342</f>
        <v>0</v>
      </c>
      <c r="O1342" s="76">
        <f>$L$1342-EFEITO!$O$1342*EFEITO!$AA$1342</f>
        <v>0</v>
      </c>
      <c r="P1342" s="57"/>
      <c r="Q1342" s="57"/>
      <c r="R1342" s="57"/>
      <c r="S1342" s="57"/>
      <c r="T1342" s="57"/>
      <c r="U1342" s="57"/>
      <c r="V1342" s="57"/>
      <c r="W1342" s="57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</row>
    <row r="1343" spans="1:36" ht="11.25" customHeight="1" x14ac:dyDescent="0.2">
      <c r="A1343" s="53" t="s">
        <v>27</v>
      </c>
      <c r="B1343" s="53" t="s">
        <v>22</v>
      </c>
      <c r="C1343" s="53" t="s">
        <v>37</v>
      </c>
      <c r="D1343" s="53" t="s">
        <v>24</v>
      </c>
      <c r="E1343" s="53" t="s">
        <v>24</v>
      </c>
      <c r="F1343" s="53" t="s">
        <v>25</v>
      </c>
      <c r="G1343" s="53" t="s">
        <v>25</v>
      </c>
      <c r="H1343" s="53" t="s">
        <v>36</v>
      </c>
      <c r="I1343" s="75">
        <v>44348</v>
      </c>
      <c r="J1343" s="76">
        <f>EFEITO!$J$1343*EFEITO!$Y$1343</f>
        <v>0</v>
      </c>
      <c r="K1343" s="76">
        <f ca="1">EFEITO!$L$1343*EFEITO!$Z$1343</f>
        <v>-317.69792199987512</v>
      </c>
      <c r="L1343" s="76">
        <f>EFEITO!$N$1343*EFEITO!$AA$1343</f>
        <v>-238.33127759978899</v>
      </c>
      <c r="M1343" s="76">
        <f>$J$1343-EFEITO!$K$1343*EFEITO!$Y$1343</f>
        <v>0</v>
      </c>
      <c r="N1343" s="76">
        <f ca="1">$K$1343-EFEITO!$M$1343*EFEITO!$Z$1343</f>
        <v>0</v>
      </c>
      <c r="O1343" s="76">
        <f>$L$1343-EFEITO!$O$1343*EFEITO!$AA$1343</f>
        <v>0</v>
      </c>
      <c r="P1343" s="57"/>
      <c r="Q1343" s="57"/>
      <c r="R1343" s="57"/>
      <c r="S1343" s="57"/>
      <c r="T1343" s="57"/>
      <c r="U1343" s="57"/>
      <c r="V1343" s="57"/>
      <c r="W1343" s="57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</row>
    <row r="1344" spans="1:36" ht="11.25" customHeight="1" x14ac:dyDescent="0.2">
      <c r="A1344" s="53" t="s">
        <v>28</v>
      </c>
      <c r="B1344" s="53" t="s">
        <v>22</v>
      </c>
      <c r="C1344" s="53" t="s">
        <v>37</v>
      </c>
      <c r="D1344" s="53" t="s">
        <v>24</v>
      </c>
      <c r="E1344" s="53" t="s">
        <v>24</v>
      </c>
      <c r="F1344" s="53" t="s">
        <v>25</v>
      </c>
      <c r="G1344" s="53" t="s">
        <v>25</v>
      </c>
      <c r="H1344" s="53" t="s">
        <v>36</v>
      </c>
      <c r="I1344" s="75">
        <v>44348</v>
      </c>
      <c r="J1344" s="76">
        <f>EFEITO!$J$1344*EFEITO!$Y$1344</f>
        <v>0</v>
      </c>
      <c r="K1344" s="76">
        <f ca="1">EFEITO!$L$1344*EFEITO!$Z$1344</f>
        <v>13.011518989755977</v>
      </c>
      <c r="L1344" s="76">
        <f>EFEITO!$N$1344*EFEITO!$AA$1344</f>
        <v>9.7610079563053507</v>
      </c>
      <c r="M1344" s="76">
        <f>$J$1344-EFEITO!$K$1344*EFEITO!$Y$1344</f>
        <v>0</v>
      </c>
      <c r="N1344" s="76">
        <f ca="1">$K$1344-EFEITO!$M$1344*EFEITO!$Z$1344</f>
        <v>0</v>
      </c>
      <c r="O1344" s="76">
        <f>$L$1344-EFEITO!$O$1344*EFEITO!$AA$1344</f>
        <v>0</v>
      </c>
      <c r="P1344" s="57"/>
      <c r="Q1344" s="57"/>
      <c r="R1344" s="57"/>
      <c r="S1344" s="57"/>
      <c r="T1344" s="57"/>
      <c r="U1344" s="57"/>
      <c r="V1344" s="57"/>
      <c r="W1344" s="57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</row>
    <row r="1345" spans="1:36" ht="11.25" customHeight="1" x14ac:dyDescent="0.2">
      <c r="A1345" s="53" t="s">
        <v>21</v>
      </c>
      <c r="B1345" s="53" t="s">
        <v>22</v>
      </c>
      <c r="C1345" s="53" t="s">
        <v>37</v>
      </c>
      <c r="D1345" s="53" t="s">
        <v>24</v>
      </c>
      <c r="E1345" s="53" t="s">
        <v>24</v>
      </c>
      <c r="F1345" s="53" t="s">
        <v>25</v>
      </c>
      <c r="G1345" s="53" t="s">
        <v>25</v>
      </c>
      <c r="H1345" s="53" t="s">
        <v>36</v>
      </c>
      <c r="I1345" s="75">
        <v>44378</v>
      </c>
      <c r="J1345" s="76">
        <f>EFEITO!$J$1345*EFEITO!$Y$1345</f>
        <v>0</v>
      </c>
      <c r="K1345" s="76">
        <f ca="1">EFEITO!$L$1345*EFEITO!$Z$1345</f>
        <v>17955.89620586325</v>
      </c>
      <c r="L1345" s="76">
        <f>EFEITO!$N$1345*EFEITO!$AA$1345</f>
        <v>13470.190979701385</v>
      </c>
      <c r="M1345" s="76">
        <f>$J$1345-EFEITO!$K$1345*EFEITO!$Y$1345</f>
        <v>0</v>
      </c>
      <c r="N1345" s="76">
        <f ca="1">$K$1345-EFEITO!$M$1345*EFEITO!$Z$1345</f>
        <v>0</v>
      </c>
      <c r="O1345" s="76">
        <f>$L$1345-EFEITO!$O$1345*EFEITO!$AA$1345</f>
        <v>0</v>
      </c>
      <c r="P1345" s="57"/>
      <c r="Q1345" s="57"/>
      <c r="R1345" s="57"/>
      <c r="S1345" s="57"/>
      <c r="T1345" s="57"/>
      <c r="U1345" s="57"/>
      <c r="V1345" s="57"/>
      <c r="W1345" s="57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</row>
    <row r="1346" spans="1:36" ht="11.25" customHeight="1" x14ac:dyDescent="0.2">
      <c r="A1346" s="53" t="s">
        <v>27</v>
      </c>
      <c r="B1346" s="53" t="s">
        <v>22</v>
      </c>
      <c r="C1346" s="53" t="s">
        <v>37</v>
      </c>
      <c r="D1346" s="53" t="s">
        <v>24</v>
      </c>
      <c r="E1346" s="53" t="s">
        <v>24</v>
      </c>
      <c r="F1346" s="53" t="s">
        <v>25</v>
      </c>
      <c r="G1346" s="53" t="s">
        <v>25</v>
      </c>
      <c r="H1346" s="53" t="s">
        <v>36</v>
      </c>
      <c r="I1346" s="75">
        <v>44378</v>
      </c>
      <c r="J1346" s="76">
        <f>EFEITO!$J$1346*EFEITO!$Y$1346</f>
        <v>0</v>
      </c>
      <c r="K1346" s="76">
        <f ca="1">EFEITO!$L$1346*EFEITO!$Z$1346</f>
        <v>-50.238920543780033</v>
      </c>
      <c r="L1346" s="76">
        <f>EFEITO!$N$1346*EFEITO!$AA$1346</f>
        <v>-37.688336275734557</v>
      </c>
      <c r="M1346" s="76">
        <f>$J$1346-EFEITO!$K$1346*EFEITO!$Y$1346</f>
        <v>0</v>
      </c>
      <c r="N1346" s="76">
        <f ca="1">$K$1346-EFEITO!$M$1346*EFEITO!$Z$1346</f>
        <v>0</v>
      </c>
      <c r="O1346" s="76">
        <f>$L$1346-EFEITO!$O$1346*EFEITO!$AA$1346</f>
        <v>0</v>
      </c>
      <c r="P1346" s="57"/>
      <c r="Q1346" s="57"/>
      <c r="R1346" s="57"/>
      <c r="S1346" s="57"/>
      <c r="T1346" s="57"/>
      <c r="U1346" s="57"/>
      <c r="V1346" s="57"/>
      <c r="W1346" s="57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</row>
    <row r="1347" spans="1:36" ht="11.25" customHeight="1" x14ac:dyDescent="0.2">
      <c r="A1347" s="53" t="s">
        <v>28</v>
      </c>
      <c r="B1347" s="53" t="s">
        <v>22</v>
      </c>
      <c r="C1347" s="53" t="s">
        <v>37</v>
      </c>
      <c r="D1347" s="53" t="s">
        <v>24</v>
      </c>
      <c r="E1347" s="53" t="s">
        <v>24</v>
      </c>
      <c r="F1347" s="53" t="s">
        <v>25</v>
      </c>
      <c r="G1347" s="53" t="s">
        <v>25</v>
      </c>
      <c r="H1347" s="53" t="s">
        <v>36</v>
      </c>
      <c r="I1347" s="75">
        <v>44378</v>
      </c>
      <c r="J1347" s="76">
        <f>EFEITO!$J$1347*EFEITO!$Y$1347</f>
        <v>0</v>
      </c>
      <c r="K1347" s="76">
        <f ca="1">EFEITO!$L$1347*EFEITO!$Z$1347</f>
        <v>159.75253870755952</v>
      </c>
      <c r="L1347" s="76">
        <f>EFEITO!$N$1347*EFEITO!$AA$1347</f>
        <v>119.84348657463792</v>
      </c>
      <c r="M1347" s="76">
        <f>$J$1347-EFEITO!$K$1347*EFEITO!$Y$1347</f>
        <v>0</v>
      </c>
      <c r="N1347" s="76">
        <f ca="1">$K$1347-EFEITO!$M$1347*EFEITO!$Z$1347</f>
        <v>0</v>
      </c>
      <c r="O1347" s="76">
        <f>$L$1347-EFEITO!$O$1347*EFEITO!$AA$1347</f>
        <v>0</v>
      </c>
      <c r="P1347" s="57"/>
      <c r="Q1347" s="57"/>
      <c r="R1347" s="57"/>
      <c r="S1347" s="57"/>
      <c r="T1347" s="57"/>
      <c r="U1347" s="57"/>
      <c r="V1347" s="57"/>
      <c r="W1347" s="57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</row>
    <row r="1348" spans="1:36" ht="11.25" customHeight="1" x14ac:dyDescent="0.2">
      <c r="A1348" s="53" t="s">
        <v>21</v>
      </c>
      <c r="B1348" s="53" t="s">
        <v>22</v>
      </c>
      <c r="C1348" s="53" t="s">
        <v>37</v>
      </c>
      <c r="D1348" s="53" t="s">
        <v>24</v>
      </c>
      <c r="E1348" s="53" t="s">
        <v>24</v>
      </c>
      <c r="F1348" s="53" t="s">
        <v>25</v>
      </c>
      <c r="G1348" s="53" t="s">
        <v>25</v>
      </c>
      <c r="H1348" s="53" t="s">
        <v>36</v>
      </c>
      <c r="I1348" s="75">
        <v>44409</v>
      </c>
      <c r="J1348" s="76">
        <f>EFEITO!$J$1348*EFEITO!$Y$1348</f>
        <v>0</v>
      </c>
      <c r="K1348" s="76">
        <f ca="1">EFEITO!$L$1348*EFEITO!$Z$1348</f>
        <v>17080.871553802161</v>
      </c>
      <c r="L1348" s="76">
        <f>EFEITO!$N$1348*EFEITO!$AA$1348</f>
        <v>12813.763194639851</v>
      </c>
      <c r="M1348" s="76">
        <f>$J$1348-EFEITO!$K$1348*EFEITO!$Y$1348</f>
        <v>0</v>
      </c>
      <c r="N1348" s="76">
        <f ca="1">$K$1348-EFEITO!$M$1348*EFEITO!$Z$1348</f>
        <v>0</v>
      </c>
      <c r="O1348" s="76">
        <f>$L$1348-EFEITO!$O$1348*EFEITO!$AA$1348</f>
        <v>0</v>
      </c>
      <c r="P1348" s="57"/>
      <c r="Q1348" s="57"/>
      <c r="R1348" s="57"/>
      <c r="S1348" s="57"/>
      <c r="T1348" s="57"/>
      <c r="U1348" s="57"/>
      <c r="V1348" s="57"/>
      <c r="W1348" s="57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</row>
    <row r="1349" spans="1:36" ht="11.25" customHeight="1" x14ac:dyDescent="0.2">
      <c r="A1349" s="53" t="s">
        <v>27</v>
      </c>
      <c r="B1349" s="53" t="s">
        <v>22</v>
      </c>
      <c r="C1349" s="53" t="s">
        <v>37</v>
      </c>
      <c r="D1349" s="53" t="s">
        <v>24</v>
      </c>
      <c r="E1349" s="53" t="s">
        <v>24</v>
      </c>
      <c r="F1349" s="53" t="s">
        <v>25</v>
      </c>
      <c r="G1349" s="53" t="s">
        <v>25</v>
      </c>
      <c r="H1349" s="53" t="s">
        <v>36</v>
      </c>
      <c r="I1349" s="75">
        <v>44409</v>
      </c>
      <c r="J1349" s="76">
        <f>EFEITO!$J$1349*EFEITO!$Y$1349</f>
        <v>0</v>
      </c>
      <c r="K1349" s="76">
        <f ca="1">EFEITO!$L$1349*EFEITO!$Z$1349</f>
        <v>69.033336862316446</v>
      </c>
      <c r="L1349" s="76">
        <f>EFEITO!$N$1349*EFEITO!$AA$1349</f>
        <v>51.787569990397834</v>
      </c>
      <c r="M1349" s="76">
        <f>$J$1349-EFEITO!$K$1349*EFEITO!$Y$1349</f>
        <v>0</v>
      </c>
      <c r="N1349" s="76">
        <f ca="1">$K$1349-EFEITO!$M$1349*EFEITO!$Z$1349</f>
        <v>0</v>
      </c>
      <c r="O1349" s="76">
        <f>$L$1349-EFEITO!$O$1349*EFEITO!$AA$1349</f>
        <v>0</v>
      </c>
      <c r="P1349" s="57"/>
      <c r="Q1349" s="57"/>
      <c r="R1349" s="57"/>
      <c r="S1349" s="57"/>
      <c r="T1349" s="57"/>
      <c r="U1349" s="57"/>
      <c r="V1349" s="57"/>
      <c r="W1349" s="57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</row>
    <row r="1350" spans="1:36" ht="11.25" customHeight="1" x14ac:dyDescent="0.2">
      <c r="A1350" s="53" t="s">
        <v>21</v>
      </c>
      <c r="B1350" s="53" t="s">
        <v>22</v>
      </c>
      <c r="C1350" s="53" t="s">
        <v>37</v>
      </c>
      <c r="D1350" s="53" t="s">
        <v>24</v>
      </c>
      <c r="E1350" s="53" t="s">
        <v>24</v>
      </c>
      <c r="F1350" s="53" t="s">
        <v>25</v>
      </c>
      <c r="G1350" s="53" t="s">
        <v>25</v>
      </c>
      <c r="H1350" s="53" t="s">
        <v>36</v>
      </c>
      <c r="I1350" s="75">
        <v>44440</v>
      </c>
      <c r="J1350" s="76">
        <f>EFEITO!$J$1350*EFEITO!$Y$1350</f>
        <v>0</v>
      </c>
      <c r="K1350" s="76">
        <f ca="1">EFEITO!$L$1350*EFEITO!$Z$1350</f>
        <v>18854.41387832251</v>
      </c>
      <c r="L1350" s="76">
        <f>EFEITO!$N$1350*EFEITO!$AA$1350</f>
        <v>14144.242806906248</v>
      </c>
      <c r="M1350" s="76">
        <f>$J$1350-EFEITO!$K$1350*EFEITO!$Y$1350</f>
        <v>0</v>
      </c>
      <c r="N1350" s="76">
        <f ca="1">$K$1350-EFEITO!$M$1350*EFEITO!$Z$1350</f>
        <v>0</v>
      </c>
      <c r="O1350" s="76">
        <f>$L$1350-EFEITO!$O$1350*EFEITO!$AA$1350</f>
        <v>0</v>
      </c>
      <c r="P1350" s="57"/>
      <c r="Q1350" s="57"/>
      <c r="R1350" s="57"/>
      <c r="S1350" s="57"/>
      <c r="T1350" s="57"/>
      <c r="U1350" s="57"/>
      <c r="V1350" s="57"/>
      <c r="W1350" s="57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</row>
    <row r="1351" spans="1:36" ht="11.25" customHeight="1" x14ac:dyDescent="0.2">
      <c r="A1351" s="53" t="s">
        <v>28</v>
      </c>
      <c r="B1351" s="53" t="s">
        <v>22</v>
      </c>
      <c r="C1351" s="53" t="s">
        <v>37</v>
      </c>
      <c r="D1351" s="53" t="s">
        <v>24</v>
      </c>
      <c r="E1351" s="53" t="s">
        <v>24</v>
      </c>
      <c r="F1351" s="53" t="s">
        <v>25</v>
      </c>
      <c r="G1351" s="53" t="s">
        <v>25</v>
      </c>
      <c r="H1351" s="53" t="s">
        <v>36</v>
      </c>
      <c r="I1351" s="75">
        <v>44440</v>
      </c>
      <c r="J1351" s="76">
        <f>EFEITO!$J$1351*EFEITO!$Y$1351</f>
        <v>0</v>
      </c>
      <c r="K1351" s="76">
        <f ca="1">EFEITO!$L$1351*EFEITO!$Z$1351</f>
        <v>17.710123069390082</v>
      </c>
      <c r="L1351" s="76">
        <f>EFEITO!$N$1351*EFEITO!$AA$1351</f>
        <v>13.285816384971174</v>
      </c>
      <c r="M1351" s="76">
        <f>$J$1351-EFEITO!$K$1351*EFEITO!$Y$1351</f>
        <v>0</v>
      </c>
      <c r="N1351" s="76">
        <f ca="1">$K$1351-EFEITO!$M$1351*EFEITO!$Z$1351</f>
        <v>0</v>
      </c>
      <c r="O1351" s="76">
        <f>$L$1351-EFEITO!$O$1351*EFEITO!$AA$1351</f>
        <v>0</v>
      </c>
      <c r="P1351" s="57"/>
      <c r="Q1351" s="57"/>
      <c r="R1351" s="57"/>
      <c r="S1351" s="57"/>
      <c r="T1351" s="57"/>
      <c r="U1351" s="57"/>
      <c r="V1351" s="57"/>
      <c r="W1351" s="57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</row>
    <row r="1352" spans="1:36" ht="11.25" customHeight="1" x14ac:dyDescent="0.2">
      <c r="A1352" s="53" t="s">
        <v>21</v>
      </c>
      <c r="B1352" s="53" t="s">
        <v>22</v>
      </c>
      <c r="C1352" s="53" t="s">
        <v>37</v>
      </c>
      <c r="D1352" s="53" t="s">
        <v>24</v>
      </c>
      <c r="E1352" s="53" t="s">
        <v>24</v>
      </c>
      <c r="F1352" s="53" t="s">
        <v>25</v>
      </c>
      <c r="G1352" s="53" t="s">
        <v>25</v>
      </c>
      <c r="H1352" s="53" t="s">
        <v>36</v>
      </c>
      <c r="I1352" s="75">
        <v>44470</v>
      </c>
      <c r="J1352" s="76">
        <f>EFEITO!$J$1352*EFEITO!$Y$1352</f>
        <v>0</v>
      </c>
      <c r="K1352" s="76">
        <f ca="1">EFEITO!$L$1352*EFEITO!$Z$1352</f>
        <v>20150.505742135425</v>
      </c>
      <c r="L1352" s="76">
        <f>EFEITO!$N$1352*EFEITO!$AA$1352</f>
        <v>15116.547654998221</v>
      </c>
      <c r="M1352" s="76">
        <f>$J$1352-EFEITO!$K$1352*EFEITO!$Y$1352</f>
        <v>0</v>
      </c>
      <c r="N1352" s="76">
        <f ca="1">$K$1352-EFEITO!$M$1352*EFEITO!$Z$1352</f>
        <v>0</v>
      </c>
      <c r="O1352" s="76">
        <f>$L$1352-EFEITO!$O$1352*EFEITO!$AA$1352</f>
        <v>0</v>
      </c>
      <c r="P1352" s="57"/>
      <c r="Q1352" s="57"/>
      <c r="R1352" s="57"/>
      <c r="S1352" s="57"/>
      <c r="T1352" s="57"/>
      <c r="U1352" s="57"/>
      <c r="V1352" s="57"/>
      <c r="W1352" s="57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</row>
    <row r="1353" spans="1:36" ht="11.25" customHeight="1" x14ac:dyDescent="0.2">
      <c r="A1353" s="53" t="s">
        <v>28</v>
      </c>
      <c r="B1353" s="53" t="s">
        <v>22</v>
      </c>
      <c r="C1353" s="53" t="s">
        <v>37</v>
      </c>
      <c r="D1353" s="53" t="s">
        <v>24</v>
      </c>
      <c r="E1353" s="53" t="s">
        <v>24</v>
      </c>
      <c r="F1353" s="53" t="s">
        <v>25</v>
      </c>
      <c r="G1353" s="53" t="s">
        <v>25</v>
      </c>
      <c r="H1353" s="53" t="s">
        <v>36</v>
      </c>
      <c r="I1353" s="75">
        <v>44470</v>
      </c>
      <c r="J1353" s="76">
        <f>EFEITO!$J$1353*EFEITO!$Y$1353</f>
        <v>0</v>
      </c>
      <c r="K1353" s="76">
        <f ca="1">EFEITO!$L$1353*EFEITO!$Z$1353</f>
        <v>9.3972081592682066</v>
      </c>
      <c r="L1353" s="76">
        <f>EFEITO!$N$1353*EFEITO!$AA$1353</f>
        <v>7.0496168573316424</v>
      </c>
      <c r="M1353" s="76">
        <f>$J$1353-EFEITO!$K$1353*EFEITO!$Y$1353</f>
        <v>0</v>
      </c>
      <c r="N1353" s="76">
        <f ca="1">$K$1353-EFEITO!$M$1353*EFEITO!$Z$1353</f>
        <v>0</v>
      </c>
      <c r="O1353" s="76">
        <f>$L$1353-EFEITO!$O$1353*EFEITO!$AA$1353</f>
        <v>0</v>
      </c>
      <c r="P1353" s="57"/>
      <c r="Q1353" s="57"/>
      <c r="R1353" s="57"/>
      <c r="S1353" s="57"/>
      <c r="T1353" s="57"/>
      <c r="U1353" s="57"/>
      <c r="V1353" s="57"/>
      <c r="W1353" s="57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</row>
    <row r="1354" spans="1:36" ht="11.25" customHeight="1" x14ac:dyDescent="0.2">
      <c r="A1354" s="53" t="s">
        <v>21</v>
      </c>
      <c r="B1354" s="53" t="s">
        <v>22</v>
      </c>
      <c r="C1354" s="53" t="s">
        <v>37</v>
      </c>
      <c r="D1354" s="53" t="s">
        <v>24</v>
      </c>
      <c r="E1354" s="53" t="s">
        <v>24</v>
      </c>
      <c r="F1354" s="53" t="s">
        <v>25</v>
      </c>
      <c r="G1354" s="53" t="s">
        <v>25</v>
      </c>
      <c r="H1354" s="53" t="s">
        <v>36</v>
      </c>
      <c r="I1354" s="75">
        <v>44501</v>
      </c>
      <c r="J1354" s="76">
        <f>EFEITO!$J$1354*EFEITO!$Y$1354</f>
        <v>0</v>
      </c>
      <c r="K1354" s="76">
        <f ca="1">EFEITO!$L$1354*EFEITO!$Z$1354</f>
        <v>21131.791132612856</v>
      </c>
      <c r="L1354" s="76">
        <f>EFEITO!$N$1354*EFEITO!$AA$1354</f>
        <v>15852.690338369583</v>
      </c>
      <c r="M1354" s="76">
        <f>$J$1354-EFEITO!$K$1354*EFEITO!$Y$1354</f>
        <v>0</v>
      </c>
      <c r="N1354" s="76">
        <f ca="1">$K$1354-EFEITO!$M$1354*EFEITO!$Z$1354</f>
        <v>0</v>
      </c>
      <c r="O1354" s="76">
        <f>$L$1354-EFEITO!$O$1354*EFEITO!$AA$1354</f>
        <v>0</v>
      </c>
      <c r="P1354" s="57"/>
      <c r="Q1354" s="57"/>
      <c r="R1354" s="57"/>
      <c r="S1354" s="57"/>
      <c r="T1354" s="57"/>
      <c r="U1354" s="57"/>
      <c r="V1354" s="57"/>
      <c r="W1354" s="57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</row>
    <row r="1355" spans="1:36" ht="11.25" customHeight="1" x14ac:dyDescent="0.2">
      <c r="A1355" s="53" t="s">
        <v>27</v>
      </c>
      <c r="B1355" s="53" t="s">
        <v>22</v>
      </c>
      <c r="C1355" s="53" t="s">
        <v>37</v>
      </c>
      <c r="D1355" s="53" t="s">
        <v>24</v>
      </c>
      <c r="E1355" s="53" t="s">
        <v>24</v>
      </c>
      <c r="F1355" s="53" t="s">
        <v>25</v>
      </c>
      <c r="G1355" s="53" t="s">
        <v>25</v>
      </c>
      <c r="H1355" s="53" t="s">
        <v>36</v>
      </c>
      <c r="I1355" s="75">
        <v>44501</v>
      </c>
      <c r="J1355" s="76">
        <f>EFEITO!$J$1355*EFEITO!$Y$1355</f>
        <v>0</v>
      </c>
      <c r="K1355" s="76">
        <f ca="1">EFEITO!$L$1355*EFEITO!$Z$1355</f>
        <v>-92.164926177438176</v>
      </c>
      <c r="L1355" s="76">
        <f>EFEITO!$N$1355*EFEITO!$AA$1355</f>
        <v>-69.140473023829571</v>
      </c>
      <c r="M1355" s="76">
        <f>$J$1355-EFEITO!$K$1355*EFEITO!$Y$1355</f>
        <v>0</v>
      </c>
      <c r="N1355" s="76">
        <f ca="1">$K$1355-EFEITO!$M$1355*EFEITO!$Z$1355</f>
        <v>0</v>
      </c>
      <c r="O1355" s="76">
        <f>$L$1355-EFEITO!$O$1355*EFEITO!$AA$1355</f>
        <v>0</v>
      </c>
      <c r="P1355" s="57"/>
      <c r="Q1355" s="57"/>
      <c r="R1355" s="57"/>
      <c r="S1355" s="57"/>
      <c r="T1355" s="57"/>
      <c r="U1355" s="57"/>
      <c r="V1355" s="57"/>
      <c r="W1355" s="57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</row>
    <row r="1356" spans="1:36" ht="11.25" customHeight="1" x14ac:dyDescent="0.2">
      <c r="A1356" s="53" t="s">
        <v>28</v>
      </c>
      <c r="B1356" s="53" t="s">
        <v>22</v>
      </c>
      <c r="C1356" s="53" t="s">
        <v>37</v>
      </c>
      <c r="D1356" s="53" t="s">
        <v>24</v>
      </c>
      <c r="E1356" s="53" t="s">
        <v>24</v>
      </c>
      <c r="F1356" s="53" t="s">
        <v>25</v>
      </c>
      <c r="G1356" s="53" t="s">
        <v>25</v>
      </c>
      <c r="H1356" s="53" t="s">
        <v>36</v>
      </c>
      <c r="I1356" s="75">
        <v>44501</v>
      </c>
      <c r="J1356" s="76">
        <f>EFEITO!$J$1356*EFEITO!$Y$1356</f>
        <v>0</v>
      </c>
      <c r="K1356" s="76">
        <f ca="1">EFEITO!$L$1356*EFEITO!$Z$1356</f>
        <v>38.673125886219154</v>
      </c>
      <c r="L1356" s="76">
        <f>EFEITO!$N$1356*EFEITO!$AA$1356</f>
        <v>29.011884759018681</v>
      </c>
      <c r="M1356" s="76">
        <f>$J$1356-EFEITO!$K$1356*EFEITO!$Y$1356</f>
        <v>0</v>
      </c>
      <c r="N1356" s="76">
        <f ca="1">$K$1356-EFEITO!$M$1356*EFEITO!$Z$1356</f>
        <v>0</v>
      </c>
      <c r="O1356" s="76">
        <f>$L$1356-EFEITO!$O$1356*EFEITO!$AA$1356</f>
        <v>0</v>
      </c>
      <c r="P1356" s="57"/>
      <c r="Q1356" s="57"/>
      <c r="R1356" s="57"/>
      <c r="S1356" s="57"/>
      <c r="T1356" s="57"/>
      <c r="U1356" s="57"/>
      <c r="V1356" s="57"/>
      <c r="W1356" s="57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</row>
    <row r="1357" spans="1:36" ht="11.25" customHeight="1" x14ac:dyDescent="0.2">
      <c r="A1357" s="53" t="s">
        <v>21</v>
      </c>
      <c r="B1357" s="53" t="s">
        <v>22</v>
      </c>
      <c r="C1357" s="53" t="s">
        <v>37</v>
      </c>
      <c r="D1357" s="53" t="s">
        <v>24</v>
      </c>
      <c r="E1357" s="53" t="s">
        <v>24</v>
      </c>
      <c r="F1357" s="53" t="s">
        <v>25</v>
      </c>
      <c r="G1357" s="53" t="s">
        <v>25</v>
      </c>
      <c r="H1357" s="53" t="s">
        <v>36</v>
      </c>
      <c r="I1357" s="75">
        <v>44531</v>
      </c>
      <c r="J1357" s="76">
        <f>EFEITO!$J$1357*EFEITO!$Y$1357</f>
        <v>0</v>
      </c>
      <c r="K1357" s="76">
        <f ca="1">EFEITO!$L$1357*EFEITO!$Z$1357</f>
        <v>22127.172335329185</v>
      </c>
      <c r="L1357" s="76">
        <f>EFEITO!$N$1357*EFEITO!$AA$1357</f>
        <v>16599.407447026941</v>
      </c>
      <c r="M1357" s="76">
        <f>$J$1357-EFEITO!$K$1357*EFEITO!$Y$1357</f>
        <v>0</v>
      </c>
      <c r="N1357" s="76">
        <f ca="1">$K$1357-EFEITO!$M$1357*EFEITO!$Z$1357</f>
        <v>0</v>
      </c>
      <c r="O1357" s="76">
        <f>$L$1357-EFEITO!$O$1357*EFEITO!$AA$1357</f>
        <v>0</v>
      </c>
      <c r="P1357" s="57"/>
      <c r="Q1357" s="57"/>
      <c r="R1357" s="57"/>
      <c r="S1357" s="57"/>
      <c r="T1357" s="57"/>
      <c r="U1357" s="57"/>
      <c r="V1357" s="57"/>
      <c r="W1357" s="57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</row>
    <row r="1358" spans="1:36" ht="11.25" customHeight="1" x14ac:dyDescent="0.2">
      <c r="A1358" s="53" t="s">
        <v>27</v>
      </c>
      <c r="B1358" s="53" t="s">
        <v>22</v>
      </c>
      <c r="C1358" s="53" t="s">
        <v>37</v>
      </c>
      <c r="D1358" s="53" t="s">
        <v>24</v>
      </c>
      <c r="E1358" s="53" t="s">
        <v>24</v>
      </c>
      <c r="F1358" s="53" t="s">
        <v>25</v>
      </c>
      <c r="G1358" s="53" t="s">
        <v>25</v>
      </c>
      <c r="H1358" s="53" t="s">
        <v>36</v>
      </c>
      <c r="I1358" s="75">
        <v>44531</v>
      </c>
      <c r="J1358" s="76">
        <f>EFEITO!$J$1358*EFEITO!$Y$1358</f>
        <v>0</v>
      </c>
      <c r="K1358" s="76">
        <f ca="1">EFEITO!$L$1358*EFEITO!$Z$1358</f>
        <v>-52.407507042072687</v>
      </c>
      <c r="L1358" s="76">
        <f>EFEITO!$N$1358*EFEITO!$AA$1358</f>
        <v>-39.315170935118772</v>
      </c>
      <c r="M1358" s="76">
        <f>$J$1358-EFEITO!$K$1358*EFEITO!$Y$1358</f>
        <v>0</v>
      </c>
      <c r="N1358" s="76">
        <f ca="1">$K$1358-EFEITO!$M$1358*EFEITO!$Z$1358</f>
        <v>0</v>
      </c>
      <c r="O1358" s="76">
        <f>$L$1358-EFEITO!$O$1358*EFEITO!$AA$1358</f>
        <v>0</v>
      </c>
      <c r="P1358" s="57"/>
      <c r="Q1358" s="57"/>
      <c r="R1358" s="57"/>
      <c r="S1358" s="57"/>
      <c r="T1358" s="57"/>
      <c r="U1358" s="57"/>
      <c r="V1358" s="57"/>
      <c r="W1358" s="57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</row>
    <row r="1359" spans="1:36" ht="11.25" customHeight="1" x14ac:dyDescent="0.2">
      <c r="A1359" s="53" t="s">
        <v>28</v>
      </c>
      <c r="B1359" s="53" t="s">
        <v>22</v>
      </c>
      <c r="C1359" s="53" t="s">
        <v>37</v>
      </c>
      <c r="D1359" s="53" t="s">
        <v>24</v>
      </c>
      <c r="E1359" s="53" t="s">
        <v>24</v>
      </c>
      <c r="F1359" s="53" t="s">
        <v>25</v>
      </c>
      <c r="G1359" s="53" t="s">
        <v>25</v>
      </c>
      <c r="H1359" s="53" t="s">
        <v>36</v>
      </c>
      <c r="I1359" s="75">
        <v>44531</v>
      </c>
      <c r="J1359" s="76">
        <f>EFEITO!$J$1359*EFEITO!$Y$1359</f>
        <v>0</v>
      </c>
      <c r="K1359" s="76">
        <f ca="1">EFEITO!$L$1359*EFEITO!$Z$1359</f>
        <v>54.937524623414127</v>
      </c>
      <c r="L1359" s="76">
        <f>EFEITO!$N$1359*EFEITO!$AA$1359</f>
        <v>41.213144704400371</v>
      </c>
      <c r="M1359" s="76">
        <f>$J$1359-EFEITO!$K$1359*EFEITO!$Y$1359</f>
        <v>0</v>
      </c>
      <c r="N1359" s="76">
        <f ca="1">$K$1359-EFEITO!$M$1359*EFEITO!$Z$1359</f>
        <v>0</v>
      </c>
      <c r="O1359" s="76">
        <f>$L$1359-EFEITO!$O$1359*EFEITO!$AA$1359</f>
        <v>0</v>
      </c>
      <c r="P1359" s="57"/>
      <c r="Q1359" s="57"/>
      <c r="R1359" s="57"/>
      <c r="S1359" s="57"/>
      <c r="T1359" s="57"/>
      <c r="U1359" s="57"/>
      <c r="V1359" s="57"/>
      <c r="W1359" s="57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</row>
    <row r="1360" spans="1:36" ht="11.25" customHeight="1" x14ac:dyDescent="0.2">
      <c r="A1360" s="53" t="s">
        <v>21</v>
      </c>
      <c r="B1360" s="53" t="s">
        <v>22</v>
      </c>
      <c r="C1360" s="53" t="s">
        <v>37</v>
      </c>
      <c r="D1360" s="53" t="s">
        <v>24</v>
      </c>
      <c r="E1360" s="53" t="s">
        <v>24</v>
      </c>
      <c r="F1360" s="53" t="s">
        <v>25</v>
      </c>
      <c r="G1360" s="53" t="s">
        <v>25</v>
      </c>
      <c r="H1360" s="53" t="s">
        <v>36</v>
      </c>
      <c r="I1360" s="75">
        <v>44562</v>
      </c>
      <c r="J1360" s="76">
        <f>EFEITO!$J$1360*EFEITO!$Y$1360</f>
        <v>0</v>
      </c>
      <c r="K1360" s="76">
        <f ca="1">EFEITO!$L$1360*EFEITO!$Z$1360</f>
        <v>20413.989001677983</v>
      </c>
      <c r="L1360" s="76">
        <f>EFEITO!$N$1360*EFEITO!$AA$1360</f>
        <v>15314.208066113404</v>
      </c>
      <c r="M1360" s="76">
        <f>$J$1360-EFEITO!$K$1360*EFEITO!$Y$1360</f>
        <v>0</v>
      </c>
      <c r="N1360" s="76">
        <f ca="1">$K$1360-EFEITO!$M$1360*EFEITO!$Z$1360</f>
        <v>0</v>
      </c>
      <c r="O1360" s="76">
        <f>$L$1360-EFEITO!$O$1360*EFEITO!$AA$1360</f>
        <v>0</v>
      </c>
      <c r="P1360" s="57"/>
      <c r="Q1360" s="57"/>
      <c r="R1360" s="57"/>
      <c r="S1360" s="57"/>
      <c r="T1360" s="57"/>
      <c r="U1360" s="57"/>
      <c r="V1360" s="57"/>
      <c r="W1360" s="57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</row>
    <row r="1361" spans="1:36" ht="11.25" customHeight="1" x14ac:dyDescent="0.2">
      <c r="A1361" s="53" t="s">
        <v>28</v>
      </c>
      <c r="B1361" s="53" t="s">
        <v>22</v>
      </c>
      <c r="C1361" s="53" t="s">
        <v>37</v>
      </c>
      <c r="D1361" s="53" t="s">
        <v>24</v>
      </c>
      <c r="E1361" s="53" t="s">
        <v>24</v>
      </c>
      <c r="F1361" s="53" t="s">
        <v>25</v>
      </c>
      <c r="G1361" s="53" t="s">
        <v>25</v>
      </c>
      <c r="H1361" s="53" t="s">
        <v>36</v>
      </c>
      <c r="I1361" s="75">
        <v>44562</v>
      </c>
      <c r="J1361" s="76">
        <f>EFEITO!$J$1361*EFEITO!$Y$1361</f>
        <v>0</v>
      </c>
      <c r="K1361" s="76">
        <f ca="1">EFEITO!$L$1361*EFEITO!$Z$1361</f>
        <v>59.274697619999458</v>
      </c>
      <c r="L1361" s="76">
        <f>EFEITO!$N$1361*EFEITO!$AA$1361</f>
        <v>44.466814023168823</v>
      </c>
      <c r="M1361" s="76">
        <f>$J$1361-EFEITO!$K$1361*EFEITO!$Y$1361</f>
        <v>0</v>
      </c>
      <c r="N1361" s="76">
        <f ca="1">$K$1361-EFEITO!$M$1361*EFEITO!$Z$1361</f>
        <v>0</v>
      </c>
      <c r="O1361" s="76">
        <f>$L$1361-EFEITO!$O$1361*EFEITO!$AA$1361</f>
        <v>0</v>
      </c>
      <c r="P1361" s="57"/>
      <c r="Q1361" s="57"/>
      <c r="R1361" s="57"/>
      <c r="S1361" s="57"/>
      <c r="T1361" s="57"/>
      <c r="U1361" s="57"/>
      <c r="V1361" s="57"/>
      <c r="W1361" s="57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</row>
    <row r="1362" spans="1:36" ht="11.25" customHeight="1" x14ac:dyDescent="0.2">
      <c r="A1362" s="53" t="s">
        <v>21</v>
      </c>
      <c r="B1362" s="53" t="s">
        <v>22</v>
      </c>
      <c r="C1362" s="53" t="s">
        <v>37</v>
      </c>
      <c r="D1362" s="53" t="s">
        <v>24</v>
      </c>
      <c r="E1362" s="53" t="s">
        <v>24</v>
      </c>
      <c r="F1362" s="53" t="s">
        <v>25</v>
      </c>
      <c r="G1362" s="53" t="s">
        <v>25</v>
      </c>
      <c r="H1362" s="53" t="s">
        <v>36</v>
      </c>
      <c r="I1362" s="75">
        <v>44593</v>
      </c>
      <c r="J1362" s="76">
        <f>EFEITO!$J$1362*EFEITO!$Y$1362</f>
        <v>0</v>
      </c>
      <c r="K1362" s="76">
        <f ca="1">EFEITO!$L$1362*EFEITO!$Z$1362</f>
        <v>20359.774339220668</v>
      </c>
      <c r="L1362" s="76">
        <f>EFEITO!$N$1362*EFEITO!$AA$1362</f>
        <v>15273.537199628799</v>
      </c>
      <c r="M1362" s="76">
        <f>$J$1362-EFEITO!$K$1362*EFEITO!$Y$1362</f>
        <v>0</v>
      </c>
      <c r="N1362" s="76">
        <f ca="1">$K$1362-EFEITO!$M$1362*EFEITO!$Z$1362</f>
        <v>0</v>
      </c>
      <c r="O1362" s="76">
        <f>$L$1362-EFEITO!$O$1362*EFEITO!$AA$1362</f>
        <v>0</v>
      </c>
      <c r="P1362" s="57"/>
      <c r="Q1362" s="57"/>
      <c r="R1362" s="57"/>
      <c r="S1362" s="57"/>
      <c r="T1362" s="57"/>
      <c r="U1362" s="57"/>
      <c r="V1362" s="57"/>
      <c r="W1362" s="57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</row>
    <row r="1363" spans="1:36" ht="11.25" customHeight="1" x14ac:dyDescent="0.2">
      <c r="A1363" s="53" t="s">
        <v>28</v>
      </c>
      <c r="B1363" s="53" t="s">
        <v>22</v>
      </c>
      <c r="C1363" s="53" t="s">
        <v>37</v>
      </c>
      <c r="D1363" s="53" t="s">
        <v>24</v>
      </c>
      <c r="E1363" s="53" t="s">
        <v>24</v>
      </c>
      <c r="F1363" s="53" t="s">
        <v>25</v>
      </c>
      <c r="G1363" s="53" t="s">
        <v>25</v>
      </c>
      <c r="H1363" s="53" t="s">
        <v>36</v>
      </c>
      <c r="I1363" s="75">
        <v>44593</v>
      </c>
      <c r="J1363" s="76">
        <f>EFEITO!$J$1363*EFEITO!$Y$1363</f>
        <v>0</v>
      </c>
      <c r="K1363" s="76">
        <f ca="1">EFEITO!$L$1363*EFEITO!$Z$1363</f>
        <v>49.877489460731255</v>
      </c>
      <c r="L1363" s="76">
        <f>EFEITO!$N$1363*EFEITO!$AA$1363</f>
        <v>37.41719716583718</v>
      </c>
      <c r="M1363" s="76">
        <f>$J$1363-EFEITO!$K$1363*EFEITO!$Y$1363</f>
        <v>0</v>
      </c>
      <c r="N1363" s="76">
        <f ca="1">$K$1363-EFEITO!$M$1363*EFEITO!$Z$1363</f>
        <v>0</v>
      </c>
      <c r="O1363" s="76">
        <f>$L$1363-EFEITO!$O$1363*EFEITO!$AA$1363</f>
        <v>0</v>
      </c>
      <c r="P1363" s="57"/>
      <c r="Q1363" s="57"/>
      <c r="R1363" s="57"/>
      <c r="S1363" s="57"/>
      <c r="T1363" s="57"/>
      <c r="U1363" s="57"/>
      <c r="V1363" s="57"/>
      <c r="W1363" s="57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</row>
    <row r="1364" spans="1:36" ht="11.25" customHeight="1" x14ac:dyDescent="0.2">
      <c r="A1364" s="53" t="s">
        <v>21</v>
      </c>
      <c r="B1364" s="53" t="s">
        <v>22</v>
      </c>
      <c r="C1364" s="53" t="s">
        <v>37</v>
      </c>
      <c r="D1364" s="53" t="s">
        <v>24</v>
      </c>
      <c r="E1364" s="53" t="s">
        <v>24</v>
      </c>
      <c r="F1364" s="53" t="s">
        <v>25</v>
      </c>
      <c r="G1364" s="53" t="s">
        <v>25</v>
      </c>
      <c r="H1364" s="53" t="s">
        <v>36</v>
      </c>
      <c r="I1364" s="75">
        <v>44621</v>
      </c>
      <c r="J1364" s="76">
        <f>EFEITO!$J$1364*EFEITO!$Y$1364</f>
        <v>0</v>
      </c>
      <c r="K1364" s="76">
        <f ca="1">EFEITO!$L$1364*EFEITO!$Z$1364</f>
        <v>21902.000770589799</v>
      </c>
      <c r="L1364" s="76">
        <f>EFEITO!$N$1364*EFEITO!$AA$1364</f>
        <v>16430.487781560882</v>
      </c>
      <c r="M1364" s="76">
        <f>$J$1364-EFEITO!$K$1364*EFEITO!$Y$1364</f>
        <v>0</v>
      </c>
      <c r="N1364" s="76">
        <f ca="1">$K$1364-EFEITO!$M$1364*EFEITO!$Z$1364</f>
        <v>0</v>
      </c>
      <c r="O1364" s="76">
        <f>$L$1364-EFEITO!$O$1364*EFEITO!$AA$1364</f>
        <v>0</v>
      </c>
      <c r="P1364" s="57"/>
      <c r="Q1364" s="57"/>
      <c r="R1364" s="57"/>
      <c r="S1364" s="57"/>
      <c r="T1364" s="57"/>
      <c r="U1364" s="57"/>
      <c r="V1364" s="57"/>
      <c r="W1364" s="57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</row>
    <row r="1365" spans="1:36" ht="11.25" customHeight="1" x14ac:dyDescent="0.2">
      <c r="A1365" s="53" t="s">
        <v>28</v>
      </c>
      <c r="B1365" s="53" t="s">
        <v>22</v>
      </c>
      <c r="C1365" s="53" t="s">
        <v>37</v>
      </c>
      <c r="D1365" s="53" t="s">
        <v>24</v>
      </c>
      <c r="E1365" s="53" t="s">
        <v>24</v>
      </c>
      <c r="F1365" s="53" t="s">
        <v>25</v>
      </c>
      <c r="G1365" s="53" t="s">
        <v>25</v>
      </c>
      <c r="H1365" s="53" t="s">
        <v>36</v>
      </c>
      <c r="I1365" s="75">
        <v>44621</v>
      </c>
      <c r="J1365" s="76">
        <f>EFEITO!$J$1365*EFEITO!$Y$1365</f>
        <v>0</v>
      </c>
      <c r="K1365" s="76">
        <f ca="1">EFEITO!$L$1365*EFEITO!$Z$1365</f>
        <v>57.467542204755574</v>
      </c>
      <c r="L1365" s="76">
        <f>EFEITO!$N$1365*EFEITO!$AA$1365</f>
        <v>43.111118473681969</v>
      </c>
      <c r="M1365" s="76">
        <f>$J$1365-EFEITO!$K$1365*EFEITO!$Y$1365</f>
        <v>0</v>
      </c>
      <c r="N1365" s="76">
        <f ca="1">$K$1365-EFEITO!$M$1365*EFEITO!$Z$1365</f>
        <v>0</v>
      </c>
      <c r="O1365" s="76">
        <f>$L$1365-EFEITO!$O$1365*EFEITO!$AA$1365</f>
        <v>0</v>
      </c>
      <c r="P1365" s="57"/>
      <c r="Q1365" s="57"/>
      <c r="R1365" s="57"/>
      <c r="S1365" s="57"/>
      <c r="T1365" s="57"/>
      <c r="U1365" s="57"/>
      <c r="V1365" s="57"/>
      <c r="W1365" s="57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</row>
    <row r="1366" spans="1:36" ht="11.25" customHeight="1" x14ac:dyDescent="0.2">
      <c r="A1366" s="53" t="s">
        <v>56</v>
      </c>
      <c r="B1366" s="53" t="s">
        <v>22</v>
      </c>
      <c r="C1366" s="53" t="s">
        <v>37</v>
      </c>
      <c r="D1366" s="53" t="s">
        <v>24</v>
      </c>
      <c r="E1366" s="53" t="s">
        <v>24</v>
      </c>
      <c r="F1366" s="53" t="s">
        <v>25</v>
      </c>
      <c r="G1366" s="53" t="s">
        <v>25</v>
      </c>
      <c r="H1366" s="53" t="s">
        <v>36</v>
      </c>
      <c r="I1366" s="75">
        <v>44652</v>
      </c>
      <c r="J1366" s="76">
        <f>EFEITO!$J$1366*EFEITO!$Y$1366</f>
        <v>0</v>
      </c>
      <c r="K1366" s="76">
        <f ca="1">EFEITO!$L$1366*EFEITO!$Z$1366</f>
        <v>21902.000770589799</v>
      </c>
      <c r="L1366" s="76">
        <f>EFEITO!$N$1366*EFEITO!$AA$1366</f>
        <v>16430.487781560882</v>
      </c>
      <c r="M1366" s="76">
        <f>$J$1366-EFEITO!$K$1366*EFEITO!$Y$1366</f>
        <v>0</v>
      </c>
      <c r="N1366" s="76">
        <f ca="1">$K$1366-EFEITO!$M$1366*EFEITO!$Z$1366</f>
        <v>0</v>
      </c>
      <c r="O1366" s="76">
        <f>$L$1366-EFEITO!$O$1366*EFEITO!$AA$1366</f>
        <v>0</v>
      </c>
      <c r="P1366" s="57"/>
      <c r="Q1366" s="57"/>
      <c r="R1366" s="57"/>
      <c r="S1366" s="57"/>
      <c r="T1366" s="57"/>
      <c r="U1366" s="57"/>
      <c r="V1366" s="57"/>
      <c r="W1366" s="57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</row>
    <row r="1367" spans="1:36" ht="11.25" customHeight="1" x14ac:dyDescent="0.2">
      <c r="A1367" s="53" t="s">
        <v>56</v>
      </c>
      <c r="B1367" s="53" t="s">
        <v>22</v>
      </c>
      <c r="C1367" s="53" t="s">
        <v>37</v>
      </c>
      <c r="D1367" s="53" t="s">
        <v>24</v>
      </c>
      <c r="E1367" s="53" t="s">
        <v>24</v>
      </c>
      <c r="F1367" s="53" t="s">
        <v>25</v>
      </c>
      <c r="G1367" s="53" t="s">
        <v>25</v>
      </c>
      <c r="H1367" s="53" t="s">
        <v>36</v>
      </c>
      <c r="I1367" s="75">
        <v>44652</v>
      </c>
      <c r="J1367" s="76">
        <f>EFEITO!$J$1367*EFEITO!$Y$1367</f>
        <v>0</v>
      </c>
      <c r="K1367" s="76">
        <f ca="1">EFEITO!$L$1367*EFEITO!$Z$1367</f>
        <v>57.467542204755574</v>
      </c>
      <c r="L1367" s="76">
        <f>EFEITO!$N$1367*EFEITO!$AA$1367</f>
        <v>43.111118473681969</v>
      </c>
      <c r="M1367" s="76">
        <f>$J$1367-EFEITO!$K$1367*EFEITO!$Y$1367</f>
        <v>0</v>
      </c>
      <c r="N1367" s="76">
        <f ca="1">$K$1367-EFEITO!$M$1367*EFEITO!$Z$1367</f>
        <v>0</v>
      </c>
      <c r="O1367" s="76">
        <f>$L$1367-EFEITO!$O$1367*EFEITO!$AA$1367</f>
        <v>0</v>
      </c>
      <c r="P1367" s="57"/>
      <c r="Q1367" s="57"/>
      <c r="R1367" s="57"/>
      <c r="S1367" s="57"/>
      <c r="T1367" s="57"/>
      <c r="U1367" s="57"/>
      <c r="V1367" s="57"/>
      <c r="W1367" s="57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</row>
    <row r="1368" spans="1:36" ht="11.25" customHeight="1" x14ac:dyDescent="0.2">
      <c r="A1368" s="53" t="s">
        <v>21</v>
      </c>
      <c r="B1368" s="53" t="s">
        <v>22</v>
      </c>
      <c r="C1368" s="53" t="s">
        <v>37</v>
      </c>
      <c r="D1368" s="53" t="s">
        <v>24</v>
      </c>
      <c r="E1368" s="53" t="s">
        <v>24</v>
      </c>
      <c r="F1368" s="53" t="s">
        <v>25</v>
      </c>
      <c r="G1368" s="53" t="s">
        <v>25</v>
      </c>
      <c r="H1368" s="53" t="s">
        <v>38</v>
      </c>
      <c r="I1368" s="75">
        <v>44317</v>
      </c>
      <c r="J1368" s="76">
        <f>EFEITO!$J$1368*EFEITO!$Y$1368</f>
        <v>0</v>
      </c>
      <c r="K1368" s="76">
        <f ca="1">EFEITO!$L$1368*EFEITO!$Z$1368</f>
        <v>2615.8146589684047</v>
      </c>
      <c r="L1368" s="76">
        <f>EFEITO!$N$1368*EFEITO!$AA$1368</f>
        <v>921.33069543126624</v>
      </c>
      <c r="M1368" s="76">
        <f>$J$1368-EFEITO!$K$1368*EFEITO!$Y$1368</f>
        <v>0</v>
      </c>
      <c r="N1368" s="76">
        <f ca="1">$K$1368-EFEITO!$M$1368*EFEITO!$Z$1368</f>
        <v>0</v>
      </c>
      <c r="O1368" s="76">
        <f>$L$1368-EFEITO!$O$1368*EFEITO!$AA$1368</f>
        <v>0</v>
      </c>
      <c r="P1368" s="57"/>
      <c r="Q1368" s="57"/>
      <c r="R1368" s="57"/>
      <c r="S1368" s="57"/>
      <c r="T1368" s="57"/>
      <c r="U1368" s="57"/>
      <c r="V1368" s="57"/>
      <c r="W1368" s="57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</row>
    <row r="1369" spans="1:36" ht="11.25" customHeight="1" x14ac:dyDescent="0.2">
      <c r="A1369" s="53" t="s">
        <v>28</v>
      </c>
      <c r="B1369" s="53" t="s">
        <v>22</v>
      </c>
      <c r="C1369" s="53" t="s">
        <v>37</v>
      </c>
      <c r="D1369" s="53" t="s">
        <v>24</v>
      </c>
      <c r="E1369" s="53" t="s">
        <v>24</v>
      </c>
      <c r="F1369" s="53" t="s">
        <v>25</v>
      </c>
      <c r="G1369" s="53" t="s">
        <v>25</v>
      </c>
      <c r="H1369" s="53" t="s">
        <v>38</v>
      </c>
      <c r="I1369" s="75">
        <v>44317</v>
      </c>
      <c r="J1369" s="76">
        <f>EFEITO!$J$1369*EFEITO!$Y$1369</f>
        <v>0</v>
      </c>
      <c r="K1369" s="76">
        <f ca="1">EFEITO!$L$1369*EFEITO!$Z$1369</f>
        <v>5.3886705746847658</v>
      </c>
      <c r="L1369" s="76">
        <f>EFEITO!$N$1369*EFEITO!$AA$1369</f>
        <v>1.8979737692815961</v>
      </c>
      <c r="M1369" s="76">
        <f>$J$1369-EFEITO!$K$1369*EFEITO!$Y$1369</f>
        <v>0</v>
      </c>
      <c r="N1369" s="76">
        <f ca="1">$K$1369-EFEITO!$M$1369*EFEITO!$Z$1369</f>
        <v>0</v>
      </c>
      <c r="O1369" s="76">
        <f>$L$1369-EFEITO!$O$1369*EFEITO!$AA$1369</f>
        <v>0</v>
      </c>
      <c r="P1369" s="57"/>
      <c r="Q1369" s="57"/>
      <c r="R1369" s="57"/>
      <c r="S1369" s="57"/>
      <c r="T1369" s="57"/>
      <c r="U1369" s="57"/>
      <c r="V1369" s="57"/>
      <c r="W1369" s="57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/>
      <c r="AI1369" s="4"/>
      <c r="AJ1369" s="4"/>
    </row>
    <row r="1370" spans="1:36" ht="11.25" customHeight="1" x14ac:dyDescent="0.2">
      <c r="A1370" s="53" t="s">
        <v>21</v>
      </c>
      <c r="B1370" s="53" t="s">
        <v>22</v>
      </c>
      <c r="C1370" s="53" t="s">
        <v>37</v>
      </c>
      <c r="D1370" s="53" t="s">
        <v>24</v>
      </c>
      <c r="E1370" s="53" t="s">
        <v>24</v>
      </c>
      <c r="F1370" s="53" t="s">
        <v>25</v>
      </c>
      <c r="G1370" s="53" t="s">
        <v>25</v>
      </c>
      <c r="H1370" s="53" t="s">
        <v>38</v>
      </c>
      <c r="I1370" s="75">
        <v>44348</v>
      </c>
      <c r="J1370" s="76">
        <f>EFEITO!$J$1370*EFEITO!$Y$1370</f>
        <v>0</v>
      </c>
      <c r="K1370" s="76">
        <f ca="1">EFEITO!$L$1370*EFEITO!$Z$1370</f>
        <v>2401.8074561452099</v>
      </c>
      <c r="L1370" s="76">
        <f>EFEITO!$N$1370*EFEITO!$AA$1370</f>
        <v>845.95402287979709</v>
      </c>
      <c r="M1370" s="76">
        <f>$J$1370-EFEITO!$K$1370*EFEITO!$Y$1370</f>
        <v>0</v>
      </c>
      <c r="N1370" s="76">
        <f ca="1">$K$1370-EFEITO!$M$1370*EFEITO!$Z$1370</f>
        <v>0</v>
      </c>
      <c r="O1370" s="76">
        <f>$L$1370-EFEITO!$O$1370*EFEITO!$AA$1370</f>
        <v>0</v>
      </c>
      <c r="P1370" s="57"/>
      <c r="Q1370" s="57"/>
      <c r="R1370" s="57"/>
      <c r="S1370" s="57"/>
      <c r="T1370" s="57"/>
      <c r="U1370" s="57"/>
      <c r="V1370" s="57"/>
      <c r="W1370" s="57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/>
      <c r="AI1370" s="4"/>
      <c r="AJ1370" s="4"/>
    </row>
    <row r="1371" spans="1:36" ht="11.25" customHeight="1" x14ac:dyDescent="0.2">
      <c r="A1371" s="53" t="s">
        <v>27</v>
      </c>
      <c r="B1371" s="53" t="s">
        <v>22</v>
      </c>
      <c r="C1371" s="53" t="s">
        <v>37</v>
      </c>
      <c r="D1371" s="53" t="s">
        <v>24</v>
      </c>
      <c r="E1371" s="53" t="s">
        <v>24</v>
      </c>
      <c r="F1371" s="53" t="s">
        <v>25</v>
      </c>
      <c r="G1371" s="53" t="s">
        <v>25</v>
      </c>
      <c r="H1371" s="53" t="s">
        <v>38</v>
      </c>
      <c r="I1371" s="75">
        <v>44348</v>
      </c>
      <c r="J1371" s="76">
        <f>EFEITO!$J$1371*EFEITO!$Y$1371</f>
        <v>0</v>
      </c>
      <c r="K1371" s="76">
        <f ca="1">EFEITO!$L$1371*EFEITO!$Z$1371</f>
        <v>-37.72069402279336</v>
      </c>
      <c r="L1371" s="76">
        <f>EFEITO!$N$1371*EFEITO!$AA$1371</f>
        <v>-13.285816384971174</v>
      </c>
      <c r="M1371" s="76">
        <f>$J$1371-EFEITO!$K$1371*EFEITO!$Y$1371</f>
        <v>0</v>
      </c>
      <c r="N1371" s="76">
        <f ca="1">$K$1371-EFEITO!$M$1371*EFEITO!$Z$1371</f>
        <v>0</v>
      </c>
      <c r="O1371" s="76">
        <f>$L$1371-EFEITO!$O$1371*EFEITO!$AA$1371</f>
        <v>0</v>
      </c>
      <c r="P1371" s="57"/>
      <c r="Q1371" s="57"/>
      <c r="R1371" s="57"/>
      <c r="S1371" s="57"/>
      <c r="T1371" s="57"/>
      <c r="U1371" s="57"/>
      <c r="V1371" s="57"/>
      <c r="W1371" s="57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/>
      <c r="AI1371" s="4"/>
      <c r="AJ1371" s="4"/>
    </row>
    <row r="1372" spans="1:36" ht="11.25" customHeight="1" x14ac:dyDescent="0.2">
      <c r="A1372" s="53" t="s">
        <v>21</v>
      </c>
      <c r="B1372" s="53" t="s">
        <v>22</v>
      </c>
      <c r="C1372" s="53" t="s">
        <v>37</v>
      </c>
      <c r="D1372" s="53" t="s">
        <v>24</v>
      </c>
      <c r="E1372" s="53" t="s">
        <v>24</v>
      </c>
      <c r="F1372" s="53" t="s">
        <v>25</v>
      </c>
      <c r="G1372" s="53" t="s">
        <v>25</v>
      </c>
      <c r="H1372" s="53" t="s">
        <v>38</v>
      </c>
      <c r="I1372" s="75">
        <v>44378</v>
      </c>
      <c r="J1372" s="76">
        <f>EFEITO!$J$1372*EFEITO!$Y$1372</f>
        <v>0</v>
      </c>
      <c r="K1372" s="76">
        <f ca="1">EFEITO!$L$1372*EFEITO!$Z$1372</f>
        <v>2113.8984854406235</v>
      </c>
      <c r="L1372" s="76">
        <f>EFEITO!$N$1372*EFEITO!$AA$1372</f>
        <v>744.54799577818039</v>
      </c>
      <c r="M1372" s="76">
        <f>$J$1372-EFEITO!$K$1372*EFEITO!$Y$1372</f>
        <v>0</v>
      </c>
      <c r="N1372" s="76">
        <f ca="1">$K$1372-EFEITO!$M$1372*EFEITO!$Z$1372</f>
        <v>0</v>
      </c>
      <c r="O1372" s="76">
        <f>$L$1372-EFEITO!$O$1372*EFEITO!$AA$1372</f>
        <v>0</v>
      </c>
      <c r="P1372" s="57"/>
      <c r="Q1372" s="57"/>
      <c r="R1372" s="57"/>
      <c r="S1372" s="57"/>
      <c r="T1372" s="57"/>
      <c r="U1372" s="57"/>
      <c r="V1372" s="57"/>
      <c r="W1372" s="57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</row>
    <row r="1373" spans="1:36" ht="11.25" customHeight="1" x14ac:dyDescent="0.2">
      <c r="A1373" s="53" t="s">
        <v>21</v>
      </c>
      <c r="B1373" s="53" t="s">
        <v>22</v>
      </c>
      <c r="C1373" s="53" t="s">
        <v>37</v>
      </c>
      <c r="D1373" s="53" t="s">
        <v>24</v>
      </c>
      <c r="E1373" s="53" t="s">
        <v>24</v>
      </c>
      <c r="F1373" s="53" t="s">
        <v>25</v>
      </c>
      <c r="G1373" s="53" t="s">
        <v>25</v>
      </c>
      <c r="H1373" s="53" t="s">
        <v>38</v>
      </c>
      <c r="I1373" s="75">
        <v>44409</v>
      </c>
      <c r="J1373" s="76">
        <f>EFEITO!$J$1373*EFEITO!$Y$1373</f>
        <v>0</v>
      </c>
      <c r="K1373" s="76">
        <f ca="1">EFEITO!$L$1373*EFEITO!$Z$1373</f>
        <v>2066.9400704326563</v>
      </c>
      <c r="L1373" s="76">
        <f>EFEITO!$N$1373*EFEITO!$AA$1373</f>
        <v>728.00851007444078</v>
      </c>
      <c r="M1373" s="76">
        <f>$J$1373-EFEITO!$K$1373*EFEITO!$Y$1373</f>
        <v>0</v>
      </c>
      <c r="N1373" s="76">
        <f ca="1">$K$1373-EFEITO!$M$1373*EFEITO!$Z$1373</f>
        <v>0</v>
      </c>
      <c r="O1373" s="76">
        <f>$L$1373-EFEITO!$O$1373*EFEITO!$AA$1373</f>
        <v>0</v>
      </c>
      <c r="P1373" s="57"/>
      <c r="Q1373" s="57"/>
      <c r="R1373" s="57"/>
      <c r="S1373" s="57"/>
      <c r="T1373" s="57"/>
      <c r="U1373" s="57"/>
      <c r="V1373" s="57"/>
      <c r="W1373" s="57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</row>
    <row r="1374" spans="1:36" ht="11.25" customHeight="1" x14ac:dyDescent="0.2">
      <c r="A1374" s="53" t="s">
        <v>21</v>
      </c>
      <c r="B1374" s="53" t="s">
        <v>22</v>
      </c>
      <c r="C1374" s="53" t="s">
        <v>37</v>
      </c>
      <c r="D1374" s="53" t="s">
        <v>24</v>
      </c>
      <c r="E1374" s="53" t="s">
        <v>24</v>
      </c>
      <c r="F1374" s="53" t="s">
        <v>25</v>
      </c>
      <c r="G1374" s="53" t="s">
        <v>25</v>
      </c>
      <c r="H1374" s="53" t="s">
        <v>38</v>
      </c>
      <c r="I1374" s="75">
        <v>44440</v>
      </c>
      <c r="J1374" s="76">
        <f>EFEITO!$J$1374*EFEITO!$Y$1374</f>
        <v>0</v>
      </c>
      <c r="K1374" s="76">
        <f ca="1">EFEITO!$L$1374*EFEITO!$Z$1374</f>
        <v>2031.5288066561563</v>
      </c>
      <c r="L1374" s="76">
        <f>EFEITO!$N$1374*EFEITO!$AA$1374</f>
        <v>715.53611101916169</v>
      </c>
      <c r="M1374" s="76">
        <f>$J$1374-EFEITO!$K$1374*EFEITO!$Y$1374</f>
        <v>0</v>
      </c>
      <c r="N1374" s="76">
        <f ca="1">$K$1374-EFEITO!$M$1374*EFEITO!$Z$1374</f>
        <v>0</v>
      </c>
      <c r="O1374" s="76">
        <f>$L$1374-EFEITO!$O$1374*EFEITO!$AA$1374</f>
        <v>0</v>
      </c>
      <c r="P1374" s="57"/>
      <c r="Q1374" s="57"/>
      <c r="R1374" s="57"/>
      <c r="S1374" s="57"/>
      <c r="T1374" s="57"/>
      <c r="U1374" s="57"/>
      <c r="V1374" s="57"/>
      <c r="W1374" s="57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/>
      <c r="AI1374" s="4"/>
      <c r="AJ1374" s="4"/>
    </row>
    <row r="1375" spans="1:36" ht="11.25" customHeight="1" x14ac:dyDescent="0.2">
      <c r="A1375" s="53" t="s">
        <v>28</v>
      </c>
      <c r="B1375" s="53" t="s">
        <v>22</v>
      </c>
      <c r="C1375" s="53" t="s">
        <v>37</v>
      </c>
      <c r="D1375" s="53" t="s">
        <v>24</v>
      </c>
      <c r="E1375" s="53" t="s">
        <v>24</v>
      </c>
      <c r="F1375" s="53" t="s">
        <v>25</v>
      </c>
      <c r="G1375" s="53" t="s">
        <v>25</v>
      </c>
      <c r="H1375" s="53" t="s">
        <v>38</v>
      </c>
      <c r="I1375" s="75">
        <v>44440</v>
      </c>
      <c r="J1375" s="76">
        <f>EFEITO!$J$1375*EFEITO!$Y$1375</f>
        <v>0</v>
      </c>
      <c r="K1375" s="76">
        <f ca="1">EFEITO!$L$1375*EFEITO!$Z$1375</f>
        <v>1.5396201641956473</v>
      </c>
      <c r="L1375" s="76">
        <f>EFEITO!$N$1375*EFEITO!$AA$1375</f>
        <v>0.54227821979474178</v>
      </c>
      <c r="M1375" s="76">
        <f>$J$1375-EFEITO!$K$1375*EFEITO!$Y$1375</f>
        <v>0</v>
      </c>
      <c r="N1375" s="76">
        <f ca="1">$K$1375-EFEITO!$M$1375*EFEITO!$Z$1375</f>
        <v>0</v>
      </c>
      <c r="O1375" s="76">
        <f>$L$1375-EFEITO!$O$1375*EFEITO!$AA$1375</f>
        <v>0</v>
      </c>
      <c r="P1375" s="57"/>
      <c r="Q1375" s="57"/>
      <c r="R1375" s="57"/>
      <c r="S1375" s="57"/>
      <c r="T1375" s="57"/>
      <c r="U1375" s="57"/>
      <c r="V1375" s="57"/>
      <c r="W1375" s="57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</row>
    <row r="1376" spans="1:36" ht="11.25" customHeight="1" x14ac:dyDescent="0.2">
      <c r="A1376" s="53" t="s">
        <v>21</v>
      </c>
      <c r="B1376" s="53" t="s">
        <v>22</v>
      </c>
      <c r="C1376" s="53" t="s">
        <v>37</v>
      </c>
      <c r="D1376" s="53" t="s">
        <v>24</v>
      </c>
      <c r="E1376" s="53" t="s">
        <v>24</v>
      </c>
      <c r="F1376" s="53" t="s">
        <v>25</v>
      </c>
      <c r="G1376" s="53" t="s">
        <v>25</v>
      </c>
      <c r="H1376" s="53" t="s">
        <v>38</v>
      </c>
      <c r="I1376" s="75">
        <v>44470</v>
      </c>
      <c r="J1376" s="76">
        <f>EFEITO!$J$1376*EFEITO!$Y$1376</f>
        <v>0</v>
      </c>
      <c r="K1376" s="76">
        <f ca="1">EFEITO!$L$1376*EFEITO!$Z$1376</f>
        <v>2538.0638406765247</v>
      </c>
      <c r="L1376" s="76">
        <f>EFEITO!$N$1376*EFEITO!$AA$1376</f>
        <v>893.94564533163179</v>
      </c>
      <c r="M1376" s="76">
        <f>$J$1376-EFEITO!$K$1376*EFEITO!$Y$1376</f>
        <v>0</v>
      </c>
      <c r="N1376" s="76">
        <f ca="1">$K$1376-EFEITO!$M$1376*EFEITO!$Z$1376</f>
        <v>0</v>
      </c>
      <c r="O1376" s="76">
        <f>$L$1376-EFEITO!$O$1376*EFEITO!$AA$1376</f>
        <v>0</v>
      </c>
      <c r="P1376" s="57"/>
      <c r="Q1376" s="57"/>
      <c r="R1376" s="57"/>
      <c r="S1376" s="57"/>
      <c r="T1376" s="57"/>
      <c r="U1376" s="57"/>
      <c r="V1376" s="57"/>
      <c r="W1376" s="57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/>
      <c r="AI1376" s="4"/>
      <c r="AJ1376" s="4"/>
    </row>
    <row r="1377" spans="1:36" ht="11.25" customHeight="1" x14ac:dyDescent="0.2">
      <c r="A1377" s="53" t="s">
        <v>28</v>
      </c>
      <c r="B1377" s="53" t="s">
        <v>22</v>
      </c>
      <c r="C1377" s="53" t="s">
        <v>37</v>
      </c>
      <c r="D1377" s="53" t="s">
        <v>24</v>
      </c>
      <c r="E1377" s="53" t="s">
        <v>24</v>
      </c>
      <c r="F1377" s="53" t="s">
        <v>25</v>
      </c>
      <c r="G1377" s="53" t="s">
        <v>25</v>
      </c>
      <c r="H1377" s="53" t="s">
        <v>38</v>
      </c>
      <c r="I1377" s="75">
        <v>44470</v>
      </c>
      <c r="J1377" s="76">
        <f>EFEITO!$J$1377*EFEITO!$Y$1377</f>
        <v>0</v>
      </c>
      <c r="K1377" s="76">
        <f ca="1">EFEITO!$L$1377*EFEITO!$Z$1377</f>
        <v>0.76981008209782364</v>
      </c>
      <c r="L1377" s="76">
        <f>EFEITO!$N$1377*EFEITO!$AA$1377</f>
        <v>0.27113910989737089</v>
      </c>
      <c r="M1377" s="76">
        <f>$J$1377-EFEITO!$K$1377*EFEITO!$Y$1377</f>
        <v>0</v>
      </c>
      <c r="N1377" s="76">
        <f ca="1">$K$1377-EFEITO!$M$1377*EFEITO!$Z$1377</f>
        <v>0</v>
      </c>
      <c r="O1377" s="76">
        <f>$L$1377-EFEITO!$O$1377*EFEITO!$AA$1377</f>
        <v>0</v>
      </c>
      <c r="P1377" s="57"/>
      <c r="Q1377" s="57"/>
      <c r="R1377" s="57"/>
      <c r="S1377" s="57"/>
      <c r="T1377" s="57"/>
      <c r="U1377" s="57"/>
      <c r="V1377" s="57"/>
      <c r="W1377" s="57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/>
      <c r="AI1377" s="4"/>
      <c r="AJ1377" s="4"/>
    </row>
    <row r="1378" spans="1:36" ht="11.25" customHeight="1" x14ac:dyDescent="0.2">
      <c r="A1378" s="53" t="s">
        <v>21</v>
      </c>
      <c r="B1378" s="53" t="s">
        <v>22</v>
      </c>
      <c r="C1378" s="53" t="s">
        <v>37</v>
      </c>
      <c r="D1378" s="53" t="s">
        <v>24</v>
      </c>
      <c r="E1378" s="53" t="s">
        <v>24</v>
      </c>
      <c r="F1378" s="53" t="s">
        <v>25</v>
      </c>
      <c r="G1378" s="53" t="s">
        <v>25</v>
      </c>
      <c r="H1378" s="53" t="s">
        <v>38</v>
      </c>
      <c r="I1378" s="75">
        <v>44501</v>
      </c>
      <c r="J1378" s="76">
        <f>EFEITO!$J$1378*EFEITO!$Y$1378</f>
        <v>0</v>
      </c>
      <c r="K1378" s="76">
        <f ca="1">EFEITO!$L$1378*EFEITO!$Z$1378</f>
        <v>2050.0042486265042</v>
      </c>
      <c r="L1378" s="76">
        <f>EFEITO!$N$1378*EFEITO!$AA$1378</f>
        <v>722.04344965669861</v>
      </c>
      <c r="M1378" s="76">
        <f>$J$1378-EFEITO!$K$1378*EFEITO!$Y$1378</f>
        <v>0</v>
      </c>
      <c r="N1378" s="76">
        <f ca="1">$K$1378-EFEITO!$M$1378*EFEITO!$Z$1378</f>
        <v>0</v>
      </c>
      <c r="O1378" s="76">
        <f>$L$1378-EFEITO!$O$1378*EFEITO!$AA$1378</f>
        <v>0</v>
      </c>
      <c r="P1378" s="57"/>
      <c r="Q1378" s="57"/>
      <c r="R1378" s="57"/>
      <c r="S1378" s="57"/>
      <c r="T1378" s="57"/>
      <c r="U1378" s="57"/>
      <c r="V1378" s="57"/>
      <c r="W1378" s="57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/>
      <c r="AI1378" s="4"/>
      <c r="AJ1378" s="4"/>
    </row>
    <row r="1379" spans="1:36" ht="11.25" customHeight="1" x14ac:dyDescent="0.2">
      <c r="A1379" s="53" t="s">
        <v>27</v>
      </c>
      <c r="B1379" s="53" t="s">
        <v>22</v>
      </c>
      <c r="C1379" s="53" t="s">
        <v>37</v>
      </c>
      <c r="D1379" s="53" t="s">
        <v>24</v>
      </c>
      <c r="E1379" s="53" t="s">
        <v>24</v>
      </c>
      <c r="F1379" s="53" t="s">
        <v>25</v>
      </c>
      <c r="G1379" s="53" t="s">
        <v>25</v>
      </c>
      <c r="H1379" s="53" t="s">
        <v>38</v>
      </c>
      <c r="I1379" s="75">
        <v>44501</v>
      </c>
      <c r="J1379" s="76">
        <f>EFEITO!$J$1379*EFEITO!$Y$1379</f>
        <v>0</v>
      </c>
      <c r="K1379" s="76">
        <f ca="1">EFEITO!$L$1379*EFEITO!$Z$1379</f>
        <v>-402.61067293716178</v>
      </c>
      <c r="L1379" s="76">
        <f>EFEITO!$N$1379*EFEITO!$AA$1379</f>
        <v>-141.80575447632498</v>
      </c>
      <c r="M1379" s="76">
        <f>$J$1379-EFEITO!$K$1379*EFEITO!$Y$1379</f>
        <v>0</v>
      </c>
      <c r="N1379" s="76">
        <f ca="1">$K$1379-EFEITO!$M$1379*EFEITO!$Z$1379</f>
        <v>0</v>
      </c>
      <c r="O1379" s="76">
        <f>$L$1379-EFEITO!$O$1379*EFEITO!$AA$1379</f>
        <v>0</v>
      </c>
      <c r="P1379" s="57"/>
      <c r="Q1379" s="57"/>
      <c r="R1379" s="57"/>
      <c r="S1379" s="57"/>
      <c r="T1379" s="57"/>
      <c r="U1379" s="57"/>
      <c r="V1379" s="57"/>
      <c r="W1379" s="57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/>
      <c r="AI1379" s="4"/>
      <c r="AJ1379" s="4"/>
    </row>
    <row r="1380" spans="1:36" ht="11.25" customHeight="1" x14ac:dyDescent="0.2">
      <c r="A1380" s="53" t="s">
        <v>28</v>
      </c>
      <c r="B1380" s="53" t="s">
        <v>22</v>
      </c>
      <c r="C1380" s="53" t="s">
        <v>37</v>
      </c>
      <c r="D1380" s="53" t="s">
        <v>24</v>
      </c>
      <c r="E1380" s="53" t="s">
        <v>24</v>
      </c>
      <c r="F1380" s="53" t="s">
        <v>25</v>
      </c>
      <c r="G1380" s="53" t="s">
        <v>25</v>
      </c>
      <c r="H1380" s="53" t="s">
        <v>38</v>
      </c>
      <c r="I1380" s="75">
        <v>44501</v>
      </c>
      <c r="J1380" s="76">
        <f>EFEITO!$J$1380*EFEITO!$Y$1380</f>
        <v>0</v>
      </c>
      <c r="K1380" s="76">
        <f ca="1">EFEITO!$L$1380*EFEITO!$Z$1380</f>
        <v>3.8490504104891183</v>
      </c>
      <c r="L1380" s="76">
        <f>EFEITO!$N$1380*EFEITO!$AA$1380</f>
        <v>1.3556955494868543</v>
      </c>
      <c r="M1380" s="76">
        <f>$J$1380-EFEITO!$K$1380*EFEITO!$Y$1380</f>
        <v>0</v>
      </c>
      <c r="N1380" s="76">
        <f ca="1">$K$1380-EFEITO!$M$1380*EFEITO!$Z$1380</f>
        <v>0</v>
      </c>
      <c r="O1380" s="76">
        <f>$L$1380-EFEITO!$O$1380*EFEITO!$AA$1380</f>
        <v>0</v>
      </c>
      <c r="P1380" s="57"/>
      <c r="Q1380" s="57"/>
      <c r="R1380" s="57"/>
      <c r="S1380" s="57"/>
      <c r="T1380" s="57"/>
      <c r="U1380" s="57"/>
      <c r="V1380" s="57"/>
      <c r="W1380" s="57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/>
      <c r="AI1380" s="4"/>
      <c r="AJ1380" s="4"/>
    </row>
    <row r="1381" spans="1:36" ht="11.25" customHeight="1" x14ac:dyDescent="0.2">
      <c r="A1381" s="53" t="s">
        <v>21</v>
      </c>
      <c r="B1381" s="53" t="s">
        <v>22</v>
      </c>
      <c r="C1381" s="53" t="s">
        <v>37</v>
      </c>
      <c r="D1381" s="53" t="s">
        <v>24</v>
      </c>
      <c r="E1381" s="53" t="s">
        <v>24</v>
      </c>
      <c r="F1381" s="53" t="s">
        <v>25</v>
      </c>
      <c r="G1381" s="53" t="s">
        <v>25</v>
      </c>
      <c r="H1381" s="53" t="s">
        <v>38</v>
      </c>
      <c r="I1381" s="75">
        <v>44531</v>
      </c>
      <c r="J1381" s="76">
        <f>EFEITO!$J$1381*EFEITO!$Y$1381</f>
        <v>0</v>
      </c>
      <c r="K1381" s="76">
        <f ca="1">EFEITO!$L$1381*EFEITO!$Z$1381</f>
        <v>2292.4944244873191</v>
      </c>
      <c r="L1381" s="76">
        <f>EFEITO!$N$1381*EFEITO!$AA$1381</f>
        <v>807.45226927437056</v>
      </c>
      <c r="M1381" s="76">
        <f>$J$1381-EFEITO!$K$1381*EFEITO!$Y$1381</f>
        <v>0</v>
      </c>
      <c r="N1381" s="76">
        <f ca="1">$K$1381-EFEITO!$M$1381*EFEITO!$Z$1381</f>
        <v>0</v>
      </c>
      <c r="O1381" s="76">
        <f>$L$1381-EFEITO!$O$1381*EFEITO!$AA$1381</f>
        <v>0</v>
      </c>
      <c r="P1381" s="57"/>
      <c r="Q1381" s="57"/>
      <c r="R1381" s="57"/>
      <c r="S1381" s="57"/>
      <c r="T1381" s="57"/>
      <c r="U1381" s="57"/>
      <c r="V1381" s="57"/>
      <c r="W1381" s="57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/>
      <c r="AI1381" s="4"/>
      <c r="AJ1381" s="4"/>
    </row>
    <row r="1382" spans="1:36" ht="11.25" customHeight="1" x14ac:dyDescent="0.2">
      <c r="A1382" s="53" t="s">
        <v>27</v>
      </c>
      <c r="B1382" s="53" t="s">
        <v>22</v>
      </c>
      <c r="C1382" s="53" t="s">
        <v>37</v>
      </c>
      <c r="D1382" s="53" t="s">
        <v>24</v>
      </c>
      <c r="E1382" s="53" t="s">
        <v>24</v>
      </c>
      <c r="F1382" s="53" t="s">
        <v>25</v>
      </c>
      <c r="G1382" s="53" t="s">
        <v>25</v>
      </c>
      <c r="H1382" s="53" t="s">
        <v>38</v>
      </c>
      <c r="I1382" s="75">
        <v>44531</v>
      </c>
      <c r="J1382" s="76">
        <f>EFEITO!$J$1382*EFEITO!$Y$1382</f>
        <v>0</v>
      </c>
      <c r="K1382" s="76">
        <f ca="1">EFEITO!$L$1382*EFEITO!$Z$1382</f>
        <v>-4.6188604925869416</v>
      </c>
      <c r="L1382" s="76">
        <f>EFEITO!$N$1382*EFEITO!$AA$1382</f>
        <v>-1.6268346593842253</v>
      </c>
      <c r="M1382" s="76">
        <f>$J$1382-EFEITO!$K$1382*EFEITO!$Y$1382</f>
        <v>0</v>
      </c>
      <c r="N1382" s="76">
        <f ca="1">$K$1382-EFEITO!$M$1382*EFEITO!$Z$1382</f>
        <v>0</v>
      </c>
      <c r="O1382" s="76">
        <f>$L$1382-EFEITO!$O$1382*EFEITO!$AA$1382</f>
        <v>0</v>
      </c>
      <c r="P1382" s="57"/>
      <c r="Q1382" s="57"/>
      <c r="R1382" s="57"/>
      <c r="S1382" s="57"/>
      <c r="T1382" s="57"/>
      <c r="U1382" s="57"/>
      <c r="V1382" s="57"/>
      <c r="W1382" s="57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</row>
    <row r="1383" spans="1:36" ht="11.25" customHeight="1" x14ac:dyDescent="0.2">
      <c r="A1383" s="53" t="s">
        <v>28</v>
      </c>
      <c r="B1383" s="53" t="s">
        <v>22</v>
      </c>
      <c r="C1383" s="53" t="s">
        <v>37</v>
      </c>
      <c r="D1383" s="53" t="s">
        <v>24</v>
      </c>
      <c r="E1383" s="53" t="s">
        <v>24</v>
      </c>
      <c r="F1383" s="53" t="s">
        <v>25</v>
      </c>
      <c r="G1383" s="53" t="s">
        <v>25</v>
      </c>
      <c r="H1383" s="53" t="s">
        <v>38</v>
      </c>
      <c r="I1383" s="75">
        <v>44531</v>
      </c>
      <c r="J1383" s="76">
        <f>EFEITO!$J$1383*EFEITO!$Y$1383</f>
        <v>0</v>
      </c>
      <c r="K1383" s="76">
        <f ca="1">EFEITO!$L$1383*EFEITO!$Z$1383</f>
        <v>5.3886705746847658</v>
      </c>
      <c r="L1383" s="76">
        <f>EFEITO!$N$1383*EFEITO!$AA$1383</f>
        <v>1.8979737692815961</v>
      </c>
      <c r="M1383" s="76">
        <f>$J$1383-EFEITO!$K$1383*EFEITO!$Y$1383</f>
        <v>0</v>
      </c>
      <c r="N1383" s="76">
        <f ca="1">$K$1383-EFEITO!$M$1383*EFEITO!$Z$1383</f>
        <v>0</v>
      </c>
      <c r="O1383" s="76">
        <f>$L$1383-EFEITO!$O$1383*EFEITO!$AA$1383</f>
        <v>0</v>
      </c>
      <c r="P1383" s="57"/>
      <c r="Q1383" s="57"/>
      <c r="R1383" s="57"/>
      <c r="S1383" s="57"/>
      <c r="T1383" s="57"/>
      <c r="U1383" s="57"/>
      <c r="V1383" s="57"/>
      <c r="W1383" s="57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/>
      <c r="AI1383" s="4"/>
      <c r="AJ1383" s="4"/>
    </row>
    <row r="1384" spans="1:36" ht="11.25" customHeight="1" x14ac:dyDescent="0.2">
      <c r="A1384" s="53" t="s">
        <v>21</v>
      </c>
      <c r="B1384" s="53" t="s">
        <v>22</v>
      </c>
      <c r="C1384" s="53" t="s">
        <v>37</v>
      </c>
      <c r="D1384" s="53" t="s">
        <v>24</v>
      </c>
      <c r="E1384" s="53" t="s">
        <v>24</v>
      </c>
      <c r="F1384" s="53" t="s">
        <v>25</v>
      </c>
      <c r="G1384" s="53" t="s">
        <v>25</v>
      </c>
      <c r="H1384" s="53" t="s">
        <v>38</v>
      </c>
      <c r="I1384" s="75">
        <v>44562</v>
      </c>
      <c r="J1384" s="76">
        <f>EFEITO!$J$1384*EFEITO!$Y$1384</f>
        <v>0</v>
      </c>
      <c r="K1384" s="76">
        <f ca="1">EFEITO!$L$1384*EFEITO!$Z$1384</f>
        <v>2326.3660680996227</v>
      </c>
      <c r="L1384" s="76">
        <f>EFEITO!$N$1384*EFEITO!$AA$1384</f>
        <v>819.38239010985467</v>
      </c>
      <c r="M1384" s="76">
        <f>$J$1384-EFEITO!$K$1384*EFEITO!$Y$1384</f>
        <v>0</v>
      </c>
      <c r="N1384" s="76">
        <f ca="1">$K$1384-EFEITO!$M$1384*EFEITO!$Z$1384</f>
        <v>0</v>
      </c>
      <c r="O1384" s="76">
        <f>$L$1384-EFEITO!$O$1384*EFEITO!$AA$1384</f>
        <v>0</v>
      </c>
      <c r="P1384" s="57"/>
      <c r="Q1384" s="57"/>
      <c r="R1384" s="57"/>
      <c r="S1384" s="57"/>
      <c r="T1384" s="57"/>
      <c r="U1384" s="57"/>
      <c r="V1384" s="57"/>
      <c r="W1384" s="57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/>
      <c r="AI1384" s="4"/>
      <c r="AJ1384" s="4"/>
    </row>
    <row r="1385" spans="1:36" ht="11.25" customHeight="1" x14ac:dyDescent="0.2">
      <c r="A1385" s="53" t="s">
        <v>28</v>
      </c>
      <c r="B1385" s="53" t="s">
        <v>22</v>
      </c>
      <c r="C1385" s="53" t="s">
        <v>37</v>
      </c>
      <c r="D1385" s="53" t="s">
        <v>24</v>
      </c>
      <c r="E1385" s="53" t="s">
        <v>24</v>
      </c>
      <c r="F1385" s="53" t="s">
        <v>25</v>
      </c>
      <c r="G1385" s="53" t="s">
        <v>25</v>
      </c>
      <c r="H1385" s="53" t="s">
        <v>38</v>
      </c>
      <c r="I1385" s="75">
        <v>44562</v>
      </c>
      <c r="J1385" s="76">
        <f>EFEITO!$J$1385*EFEITO!$Y$1385</f>
        <v>0</v>
      </c>
      <c r="K1385" s="76">
        <f ca="1">EFEITO!$L$1385*EFEITO!$Z$1385</f>
        <v>6.1584806567825892</v>
      </c>
      <c r="L1385" s="76">
        <f>EFEITO!$N$1385*EFEITO!$AA$1385</f>
        <v>2.1691128791789671</v>
      </c>
      <c r="M1385" s="76">
        <f>$J$1385-EFEITO!$K$1385*EFEITO!$Y$1385</f>
        <v>0</v>
      </c>
      <c r="N1385" s="76">
        <f ca="1">$K$1385-EFEITO!$M$1385*EFEITO!$Z$1385</f>
        <v>0</v>
      </c>
      <c r="O1385" s="76">
        <f>$L$1385-EFEITO!$O$1385*EFEITO!$AA$1385</f>
        <v>0</v>
      </c>
      <c r="P1385" s="57"/>
      <c r="Q1385" s="57"/>
      <c r="R1385" s="57"/>
      <c r="S1385" s="57"/>
      <c r="T1385" s="57"/>
      <c r="U1385" s="57"/>
      <c r="V1385" s="57"/>
      <c r="W1385" s="57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/>
      <c r="AI1385" s="4"/>
      <c r="AJ1385" s="4"/>
    </row>
    <row r="1386" spans="1:36" ht="11.25" customHeight="1" x14ac:dyDescent="0.2">
      <c r="A1386" s="53" t="s">
        <v>21</v>
      </c>
      <c r="B1386" s="53" t="s">
        <v>22</v>
      </c>
      <c r="C1386" s="53" t="s">
        <v>37</v>
      </c>
      <c r="D1386" s="53" t="s">
        <v>24</v>
      </c>
      <c r="E1386" s="53" t="s">
        <v>24</v>
      </c>
      <c r="F1386" s="53" t="s">
        <v>25</v>
      </c>
      <c r="G1386" s="53" t="s">
        <v>25</v>
      </c>
      <c r="H1386" s="53" t="s">
        <v>38</v>
      </c>
      <c r="I1386" s="75">
        <v>44593</v>
      </c>
      <c r="J1386" s="76">
        <f>EFEITO!$J$1386*EFEITO!$Y$1386</f>
        <v>0</v>
      </c>
      <c r="K1386" s="76">
        <f ca="1">EFEITO!$L$1386*EFEITO!$Z$1386</f>
        <v>2179.3323424189384</v>
      </c>
      <c r="L1386" s="76">
        <f>EFEITO!$N$1386*EFEITO!$AA$1386</f>
        <v>767.59482011945693</v>
      </c>
      <c r="M1386" s="76">
        <f>$J$1386-EFEITO!$K$1386*EFEITO!$Y$1386</f>
        <v>0</v>
      </c>
      <c r="N1386" s="76">
        <f ca="1">$K$1386-EFEITO!$M$1386*EFEITO!$Z$1386</f>
        <v>0</v>
      </c>
      <c r="O1386" s="76">
        <f>$L$1386-EFEITO!$O$1386*EFEITO!$AA$1386</f>
        <v>0</v>
      </c>
      <c r="P1386" s="57"/>
      <c r="Q1386" s="57"/>
      <c r="R1386" s="57"/>
      <c r="S1386" s="57"/>
      <c r="T1386" s="57"/>
      <c r="U1386" s="57"/>
      <c r="V1386" s="57"/>
      <c r="W1386" s="57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/>
      <c r="AI1386" s="4"/>
      <c r="AJ1386" s="4"/>
    </row>
    <row r="1387" spans="1:36" ht="11.25" customHeight="1" x14ac:dyDescent="0.2">
      <c r="A1387" s="53" t="s">
        <v>28</v>
      </c>
      <c r="B1387" s="53" t="s">
        <v>22</v>
      </c>
      <c r="C1387" s="53" t="s">
        <v>37</v>
      </c>
      <c r="D1387" s="53" t="s">
        <v>24</v>
      </c>
      <c r="E1387" s="53" t="s">
        <v>24</v>
      </c>
      <c r="F1387" s="53" t="s">
        <v>25</v>
      </c>
      <c r="G1387" s="53" t="s">
        <v>25</v>
      </c>
      <c r="H1387" s="53" t="s">
        <v>38</v>
      </c>
      <c r="I1387" s="75">
        <v>44593</v>
      </c>
      <c r="J1387" s="76">
        <f>EFEITO!$J$1387*EFEITO!$Y$1387</f>
        <v>0</v>
      </c>
      <c r="K1387" s="76">
        <f ca="1">EFEITO!$L$1387*EFEITO!$Z$1387</f>
        <v>3.8490504104891183</v>
      </c>
      <c r="L1387" s="76">
        <f>EFEITO!$N$1387*EFEITO!$AA$1387</f>
        <v>1.3556955494868543</v>
      </c>
      <c r="M1387" s="76">
        <f>$J$1387-EFEITO!$K$1387*EFEITO!$Y$1387</f>
        <v>0</v>
      </c>
      <c r="N1387" s="76">
        <f ca="1">$K$1387-EFEITO!$M$1387*EFEITO!$Z$1387</f>
        <v>0</v>
      </c>
      <c r="O1387" s="76">
        <f>$L$1387-EFEITO!$O$1387*EFEITO!$AA$1387</f>
        <v>0</v>
      </c>
      <c r="P1387" s="57"/>
      <c r="Q1387" s="57"/>
      <c r="R1387" s="57"/>
      <c r="S1387" s="57"/>
      <c r="T1387" s="57"/>
      <c r="U1387" s="57"/>
      <c r="V1387" s="57"/>
      <c r="W1387" s="57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/>
      <c r="AI1387" s="4"/>
      <c r="AJ1387" s="4"/>
    </row>
    <row r="1388" spans="1:36" ht="11.25" customHeight="1" x14ac:dyDescent="0.2">
      <c r="A1388" s="53" t="s">
        <v>21</v>
      </c>
      <c r="B1388" s="53" t="s">
        <v>22</v>
      </c>
      <c r="C1388" s="53" t="s">
        <v>37</v>
      </c>
      <c r="D1388" s="53" t="s">
        <v>24</v>
      </c>
      <c r="E1388" s="53" t="s">
        <v>24</v>
      </c>
      <c r="F1388" s="53" t="s">
        <v>25</v>
      </c>
      <c r="G1388" s="53" t="s">
        <v>25</v>
      </c>
      <c r="H1388" s="53" t="s">
        <v>38</v>
      </c>
      <c r="I1388" s="75">
        <v>44621</v>
      </c>
      <c r="J1388" s="76">
        <f>EFEITO!$J$1388*EFEITO!$Y$1388</f>
        <v>0</v>
      </c>
      <c r="K1388" s="76">
        <f ca="1">EFEITO!$L$1388*EFEITO!$Z$1388</f>
        <v>2305.5811958829818</v>
      </c>
      <c r="L1388" s="76">
        <f>EFEITO!$N$1388*EFEITO!$AA$1388</f>
        <v>812.06163414262573</v>
      </c>
      <c r="M1388" s="76">
        <f>$J$1388-EFEITO!$K$1388*EFEITO!$Y$1388</f>
        <v>0</v>
      </c>
      <c r="N1388" s="76">
        <f ca="1">$K$1388-EFEITO!$M$1388*EFEITO!$Z$1388</f>
        <v>0</v>
      </c>
      <c r="O1388" s="76">
        <f>$L$1388-EFEITO!$O$1388*EFEITO!$AA$1388</f>
        <v>0</v>
      </c>
      <c r="P1388" s="57"/>
      <c r="Q1388" s="57"/>
      <c r="R1388" s="57"/>
      <c r="S1388" s="57"/>
      <c r="T1388" s="57"/>
      <c r="U1388" s="57"/>
      <c r="V1388" s="57"/>
      <c r="W1388" s="57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/>
      <c r="AI1388" s="4"/>
      <c r="AJ1388" s="4"/>
    </row>
    <row r="1389" spans="1:36" ht="11.25" customHeight="1" x14ac:dyDescent="0.2">
      <c r="A1389" s="53" t="s">
        <v>28</v>
      </c>
      <c r="B1389" s="53" t="s">
        <v>22</v>
      </c>
      <c r="C1389" s="53" t="s">
        <v>37</v>
      </c>
      <c r="D1389" s="53" t="s">
        <v>24</v>
      </c>
      <c r="E1389" s="53" t="s">
        <v>24</v>
      </c>
      <c r="F1389" s="53" t="s">
        <v>25</v>
      </c>
      <c r="G1389" s="53" t="s">
        <v>25</v>
      </c>
      <c r="H1389" s="53" t="s">
        <v>38</v>
      </c>
      <c r="I1389" s="75">
        <v>44621</v>
      </c>
      <c r="J1389" s="76">
        <f>EFEITO!$J$1389*EFEITO!$Y$1389</f>
        <v>0</v>
      </c>
      <c r="K1389" s="76">
        <f ca="1">EFEITO!$L$1389*EFEITO!$Z$1389</f>
        <v>5.3886705746847658</v>
      </c>
      <c r="L1389" s="76">
        <f>EFEITO!$N$1389*EFEITO!$AA$1389</f>
        <v>1.8979737692815961</v>
      </c>
      <c r="M1389" s="76">
        <f>$J$1389-EFEITO!$K$1389*EFEITO!$Y$1389</f>
        <v>0</v>
      </c>
      <c r="N1389" s="76">
        <f ca="1">$K$1389-EFEITO!$M$1389*EFEITO!$Z$1389</f>
        <v>0</v>
      </c>
      <c r="O1389" s="76">
        <f>$L$1389-EFEITO!$O$1389*EFEITO!$AA$1389</f>
        <v>0</v>
      </c>
      <c r="P1389" s="57"/>
      <c r="Q1389" s="57"/>
      <c r="R1389" s="57"/>
      <c r="S1389" s="57"/>
      <c r="T1389" s="57"/>
      <c r="U1389" s="57"/>
      <c r="V1389" s="57"/>
      <c r="W1389" s="57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/>
      <c r="AI1389" s="4"/>
      <c r="AJ1389" s="4"/>
    </row>
    <row r="1390" spans="1:36" ht="11.25" customHeight="1" x14ac:dyDescent="0.2">
      <c r="A1390" s="53" t="s">
        <v>56</v>
      </c>
      <c r="B1390" s="53" t="s">
        <v>22</v>
      </c>
      <c r="C1390" s="53" t="s">
        <v>37</v>
      </c>
      <c r="D1390" s="53" t="s">
        <v>24</v>
      </c>
      <c r="E1390" s="53" t="s">
        <v>24</v>
      </c>
      <c r="F1390" s="53" t="s">
        <v>25</v>
      </c>
      <c r="G1390" s="53" t="s">
        <v>25</v>
      </c>
      <c r="H1390" s="53" t="s">
        <v>38</v>
      </c>
      <c r="I1390" s="75">
        <v>44652</v>
      </c>
      <c r="J1390" s="76">
        <f>EFEITO!$J$1390*EFEITO!$Y$1390</f>
        <v>0</v>
      </c>
      <c r="K1390" s="76">
        <f ca="1">EFEITO!$L$1390*EFEITO!$Z$1390</f>
        <v>2305.5811958829818</v>
      </c>
      <c r="L1390" s="76">
        <f>EFEITO!$N$1390*EFEITO!$AA$1390</f>
        <v>812.06163414262573</v>
      </c>
      <c r="M1390" s="76">
        <f>$J$1390-EFEITO!$K$1390*EFEITO!$Y$1390</f>
        <v>0</v>
      </c>
      <c r="N1390" s="76">
        <f ca="1">$K$1390-EFEITO!$M$1390*EFEITO!$Z$1390</f>
        <v>0</v>
      </c>
      <c r="O1390" s="76">
        <f>$L$1390-EFEITO!$O$1390*EFEITO!$AA$1390</f>
        <v>0</v>
      </c>
      <c r="P1390" s="57"/>
      <c r="Q1390" s="57"/>
      <c r="R1390" s="57"/>
      <c r="S1390" s="57"/>
      <c r="T1390" s="57"/>
      <c r="U1390" s="57"/>
      <c r="V1390" s="57"/>
      <c r="W1390" s="57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</row>
    <row r="1391" spans="1:36" ht="11.25" customHeight="1" x14ac:dyDescent="0.2">
      <c r="A1391" s="53" t="s">
        <v>56</v>
      </c>
      <c r="B1391" s="53" t="s">
        <v>22</v>
      </c>
      <c r="C1391" s="53" t="s">
        <v>37</v>
      </c>
      <c r="D1391" s="53" t="s">
        <v>24</v>
      </c>
      <c r="E1391" s="53" t="s">
        <v>24</v>
      </c>
      <c r="F1391" s="53" t="s">
        <v>25</v>
      </c>
      <c r="G1391" s="53" t="s">
        <v>25</v>
      </c>
      <c r="H1391" s="53" t="s">
        <v>38</v>
      </c>
      <c r="I1391" s="75">
        <v>44652</v>
      </c>
      <c r="J1391" s="76">
        <f>EFEITO!$J$1391*EFEITO!$Y$1391</f>
        <v>0</v>
      </c>
      <c r="K1391" s="76">
        <f ca="1">EFEITO!$L$1391*EFEITO!$Z$1391</f>
        <v>5.3886705746847658</v>
      </c>
      <c r="L1391" s="76">
        <f>EFEITO!$N$1391*EFEITO!$AA$1391</f>
        <v>1.8979737692815961</v>
      </c>
      <c r="M1391" s="76">
        <f>$J$1391-EFEITO!$K$1391*EFEITO!$Y$1391</f>
        <v>0</v>
      </c>
      <c r="N1391" s="76">
        <f ca="1">$K$1391-EFEITO!$M$1391*EFEITO!$Z$1391</f>
        <v>0</v>
      </c>
      <c r="O1391" s="76">
        <f>$L$1391-EFEITO!$O$1391*EFEITO!$AA$1391</f>
        <v>0</v>
      </c>
      <c r="P1391" s="57"/>
      <c r="Q1391" s="57"/>
      <c r="R1391" s="57"/>
      <c r="S1391" s="57"/>
      <c r="T1391" s="57"/>
      <c r="U1391" s="57"/>
      <c r="V1391" s="57"/>
      <c r="W1391" s="57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</row>
    <row r="1392" spans="1:36" ht="11.25" customHeight="1" x14ac:dyDescent="0.2">
      <c r="A1392" s="53" t="s">
        <v>21</v>
      </c>
      <c r="B1392" s="53" t="s">
        <v>22</v>
      </c>
      <c r="C1392" s="53" t="s">
        <v>37</v>
      </c>
      <c r="D1392" s="53" t="s">
        <v>24</v>
      </c>
      <c r="E1392" s="53" t="s">
        <v>24</v>
      </c>
      <c r="F1392" s="53" t="s">
        <v>25</v>
      </c>
      <c r="G1392" s="53" t="s">
        <v>25</v>
      </c>
      <c r="H1392" s="53" t="s">
        <v>35</v>
      </c>
      <c r="I1392" s="75">
        <v>44317</v>
      </c>
      <c r="J1392" s="76">
        <f>EFEITO!$J$1392*EFEITO!$Y$1392</f>
        <v>0</v>
      </c>
      <c r="K1392" s="76">
        <f ca="1">EFEITO!$L$1392*EFEITO!$Z$1392</f>
        <v>5575.1891734521305</v>
      </c>
      <c r="L1392" s="76">
        <f>EFEITO!$N$1392*EFEITO!$AA$1392</f>
        <v>2005.8783565561832</v>
      </c>
      <c r="M1392" s="76">
        <f>$J$1392-EFEITO!$K$1392*EFEITO!$Y$1392</f>
        <v>0</v>
      </c>
      <c r="N1392" s="76">
        <f ca="1">$K$1392-EFEITO!$M$1392*EFEITO!$Z$1392</f>
        <v>0</v>
      </c>
      <c r="O1392" s="76">
        <f>$L$1392-EFEITO!$O$1392*EFEITO!$AA$1392</f>
        <v>0</v>
      </c>
      <c r="P1392" s="57"/>
      <c r="Q1392" s="57"/>
      <c r="R1392" s="57"/>
      <c r="S1392" s="57"/>
      <c r="T1392" s="57"/>
      <c r="U1392" s="57"/>
      <c r="V1392" s="57"/>
      <c r="W1392" s="57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/>
      <c r="AI1392" s="4"/>
      <c r="AJ1392" s="4"/>
    </row>
    <row r="1393" spans="1:36" ht="11.25" customHeight="1" x14ac:dyDescent="0.2">
      <c r="A1393" s="53" t="s">
        <v>28</v>
      </c>
      <c r="B1393" s="53" t="s">
        <v>22</v>
      </c>
      <c r="C1393" s="53" t="s">
        <v>37</v>
      </c>
      <c r="D1393" s="53" t="s">
        <v>24</v>
      </c>
      <c r="E1393" s="53" t="s">
        <v>24</v>
      </c>
      <c r="F1393" s="53" t="s">
        <v>25</v>
      </c>
      <c r="G1393" s="53" t="s">
        <v>25</v>
      </c>
      <c r="H1393" s="53" t="s">
        <v>35</v>
      </c>
      <c r="I1393" s="75">
        <v>44317</v>
      </c>
      <c r="J1393" s="76">
        <f>EFEITO!$J$1393*EFEITO!$Y$1393</f>
        <v>0</v>
      </c>
      <c r="K1393" s="76">
        <f ca="1">EFEITO!$L$1393*EFEITO!$Z$1393</f>
        <v>11.781887517861644</v>
      </c>
      <c r="L1393" s="76">
        <f>EFEITO!$N$1393*EFEITO!$AA$1393</f>
        <v>4.2389652505413844</v>
      </c>
      <c r="M1393" s="76">
        <f>$J$1393-EFEITO!$K$1393*EFEITO!$Y$1393</f>
        <v>0</v>
      </c>
      <c r="N1393" s="76">
        <f ca="1">$K$1393-EFEITO!$M$1393*EFEITO!$Z$1393</f>
        <v>0</v>
      </c>
      <c r="O1393" s="76">
        <f>$L$1393-EFEITO!$O$1393*EFEITO!$AA$1393</f>
        <v>0</v>
      </c>
      <c r="P1393" s="57"/>
      <c r="Q1393" s="57"/>
      <c r="R1393" s="57"/>
      <c r="S1393" s="57"/>
      <c r="T1393" s="57"/>
      <c r="U1393" s="57"/>
      <c r="V1393" s="57"/>
      <c r="W1393" s="57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/>
      <c r="AI1393" s="4"/>
      <c r="AJ1393" s="4"/>
    </row>
    <row r="1394" spans="1:36" ht="11.25" customHeight="1" x14ac:dyDescent="0.2">
      <c r="A1394" s="53" t="s">
        <v>21</v>
      </c>
      <c r="B1394" s="53" t="s">
        <v>22</v>
      </c>
      <c r="C1394" s="53" t="s">
        <v>37</v>
      </c>
      <c r="D1394" s="53" t="s">
        <v>24</v>
      </c>
      <c r="E1394" s="53" t="s">
        <v>24</v>
      </c>
      <c r="F1394" s="53" t="s">
        <v>25</v>
      </c>
      <c r="G1394" s="53" t="s">
        <v>25</v>
      </c>
      <c r="H1394" s="53" t="s">
        <v>35</v>
      </c>
      <c r="I1394" s="75">
        <v>44348</v>
      </c>
      <c r="J1394" s="76">
        <f>EFEITO!$J$1394*EFEITO!$Y$1394</f>
        <v>0</v>
      </c>
      <c r="K1394" s="76">
        <f ca="1">EFEITO!$L$1394*EFEITO!$Z$1394</f>
        <v>5248.8308892073628</v>
      </c>
      <c r="L1394" s="76">
        <f>EFEITO!$N$1394*EFEITO!$AA$1394</f>
        <v>1888.4590191161869</v>
      </c>
      <c r="M1394" s="76">
        <f>$J$1394-EFEITO!$K$1394*EFEITO!$Y$1394</f>
        <v>0</v>
      </c>
      <c r="N1394" s="76">
        <f ca="1">$K$1394-EFEITO!$M$1394*EFEITO!$Z$1394</f>
        <v>0</v>
      </c>
      <c r="O1394" s="76">
        <f>$L$1394-EFEITO!$O$1394*EFEITO!$AA$1394</f>
        <v>0</v>
      </c>
      <c r="P1394" s="57"/>
      <c r="Q1394" s="57"/>
      <c r="R1394" s="57"/>
      <c r="S1394" s="57"/>
      <c r="T1394" s="57"/>
      <c r="U1394" s="57"/>
      <c r="V1394" s="57"/>
      <c r="W1394" s="57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/>
      <c r="AI1394" s="4"/>
      <c r="AJ1394" s="4"/>
    </row>
    <row r="1395" spans="1:36" ht="11.25" customHeight="1" x14ac:dyDescent="0.2">
      <c r="A1395" s="53" t="s">
        <v>27</v>
      </c>
      <c r="B1395" s="53" t="s">
        <v>22</v>
      </c>
      <c r="C1395" s="53" t="s">
        <v>37</v>
      </c>
      <c r="D1395" s="53" t="s">
        <v>24</v>
      </c>
      <c r="E1395" s="53" t="s">
        <v>24</v>
      </c>
      <c r="F1395" s="53" t="s">
        <v>25</v>
      </c>
      <c r="G1395" s="53" t="s">
        <v>25</v>
      </c>
      <c r="H1395" s="53" t="s">
        <v>35</v>
      </c>
      <c r="I1395" s="75">
        <v>44348</v>
      </c>
      <c r="J1395" s="76">
        <f>EFEITO!$J$1395*EFEITO!$Y$1395</f>
        <v>0</v>
      </c>
      <c r="K1395" s="76">
        <f ca="1">EFEITO!$L$1395*EFEITO!$Z$1395</f>
        <v>-15.316453773220136</v>
      </c>
      <c r="L1395" s="76">
        <f>EFEITO!$N$1395*EFEITO!$AA$1395</f>
        <v>-5.5106548257038002</v>
      </c>
      <c r="M1395" s="76">
        <f>$J$1395-EFEITO!$K$1395*EFEITO!$Y$1395</f>
        <v>0</v>
      </c>
      <c r="N1395" s="76">
        <f ca="1">$K$1395-EFEITO!$M$1395*EFEITO!$Z$1395</f>
        <v>0</v>
      </c>
      <c r="O1395" s="76">
        <f>$L$1395-EFEITO!$O$1395*EFEITO!$AA$1395</f>
        <v>0</v>
      </c>
      <c r="P1395" s="57"/>
      <c r="Q1395" s="57"/>
      <c r="R1395" s="57"/>
      <c r="S1395" s="57"/>
      <c r="T1395" s="57"/>
      <c r="U1395" s="57"/>
      <c r="V1395" s="57"/>
      <c r="W1395" s="57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</row>
    <row r="1396" spans="1:36" ht="11.25" customHeight="1" x14ac:dyDescent="0.2">
      <c r="A1396" s="53" t="s">
        <v>21</v>
      </c>
      <c r="B1396" s="53" t="s">
        <v>22</v>
      </c>
      <c r="C1396" s="53" t="s">
        <v>37</v>
      </c>
      <c r="D1396" s="53" t="s">
        <v>24</v>
      </c>
      <c r="E1396" s="53" t="s">
        <v>24</v>
      </c>
      <c r="F1396" s="53" t="s">
        <v>25</v>
      </c>
      <c r="G1396" s="53" t="s">
        <v>25</v>
      </c>
      <c r="H1396" s="53" t="s">
        <v>35</v>
      </c>
      <c r="I1396" s="75">
        <v>44378</v>
      </c>
      <c r="J1396" s="76">
        <f>EFEITO!$J$1396*EFEITO!$Y$1396</f>
        <v>0</v>
      </c>
      <c r="K1396" s="76">
        <f ca="1">EFEITO!$L$1396*EFEITO!$Z$1396</f>
        <v>4772.8426334857522</v>
      </c>
      <c r="L1396" s="76">
        <f>EFEITO!$N$1396*EFEITO!$AA$1396</f>
        <v>1717.204822994315</v>
      </c>
      <c r="M1396" s="76">
        <f>$J$1396-EFEITO!$K$1396*EFEITO!$Y$1396</f>
        <v>0</v>
      </c>
      <c r="N1396" s="76">
        <f ca="1">$K$1396-EFEITO!$M$1396*EFEITO!$Z$1396</f>
        <v>0</v>
      </c>
      <c r="O1396" s="76">
        <f>$L$1396-EFEITO!$O$1396*EFEITO!$AA$1396</f>
        <v>0</v>
      </c>
      <c r="P1396" s="57"/>
      <c r="Q1396" s="57"/>
      <c r="R1396" s="57"/>
      <c r="S1396" s="57"/>
      <c r="T1396" s="57"/>
      <c r="U1396" s="57"/>
      <c r="V1396" s="57"/>
      <c r="W1396" s="57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</row>
    <row r="1397" spans="1:36" ht="11.25" customHeight="1" x14ac:dyDescent="0.2">
      <c r="A1397" s="53" t="s">
        <v>21</v>
      </c>
      <c r="B1397" s="53" t="s">
        <v>22</v>
      </c>
      <c r="C1397" s="53" t="s">
        <v>37</v>
      </c>
      <c r="D1397" s="53" t="s">
        <v>24</v>
      </c>
      <c r="E1397" s="53" t="s">
        <v>24</v>
      </c>
      <c r="F1397" s="53" t="s">
        <v>25</v>
      </c>
      <c r="G1397" s="53" t="s">
        <v>25</v>
      </c>
      <c r="H1397" s="53" t="s">
        <v>35</v>
      </c>
      <c r="I1397" s="75">
        <v>44409</v>
      </c>
      <c r="J1397" s="76">
        <f>EFEITO!$J$1397*EFEITO!$Y$1397</f>
        <v>0</v>
      </c>
      <c r="K1397" s="76">
        <f ca="1">EFEITO!$L$1397*EFEITO!$Z$1397</f>
        <v>4878.8796211465069</v>
      </c>
      <c r="L1397" s="76">
        <f>EFEITO!$N$1397*EFEITO!$AA$1397</f>
        <v>1755.3555102491873</v>
      </c>
      <c r="M1397" s="76">
        <f>$J$1397-EFEITO!$K$1397*EFEITO!$Y$1397</f>
        <v>0</v>
      </c>
      <c r="N1397" s="76">
        <f ca="1">$K$1397-EFEITO!$M$1397*EFEITO!$Z$1397</f>
        <v>0</v>
      </c>
      <c r="O1397" s="76">
        <f>$L$1397-EFEITO!$O$1397*EFEITO!$AA$1397</f>
        <v>0</v>
      </c>
      <c r="P1397" s="57"/>
      <c r="Q1397" s="57"/>
      <c r="R1397" s="57"/>
      <c r="S1397" s="57"/>
      <c r="T1397" s="57"/>
      <c r="U1397" s="57"/>
      <c r="V1397" s="57"/>
      <c r="W1397" s="57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</row>
    <row r="1398" spans="1:36" ht="11.25" customHeight="1" x14ac:dyDescent="0.2">
      <c r="A1398" s="53" t="s">
        <v>21</v>
      </c>
      <c r="B1398" s="53" t="s">
        <v>22</v>
      </c>
      <c r="C1398" s="53" t="s">
        <v>37</v>
      </c>
      <c r="D1398" s="53" t="s">
        <v>24</v>
      </c>
      <c r="E1398" s="53" t="s">
        <v>24</v>
      </c>
      <c r="F1398" s="53" t="s">
        <v>25</v>
      </c>
      <c r="G1398" s="53" t="s">
        <v>25</v>
      </c>
      <c r="H1398" s="53" t="s">
        <v>35</v>
      </c>
      <c r="I1398" s="75">
        <v>44440</v>
      </c>
      <c r="J1398" s="76">
        <f>EFEITO!$J$1398*EFEITO!$Y$1398</f>
        <v>0</v>
      </c>
      <c r="K1398" s="76">
        <f ca="1">EFEITO!$L$1398*EFEITO!$Z$1398</f>
        <v>4638.5291157821293</v>
      </c>
      <c r="L1398" s="76">
        <f>EFEITO!$N$1398*EFEITO!$AA$1398</f>
        <v>1668.8806191381432</v>
      </c>
      <c r="M1398" s="76">
        <f>$J$1398-EFEITO!$K$1398*EFEITO!$Y$1398</f>
        <v>0</v>
      </c>
      <c r="N1398" s="76">
        <f ca="1">$K$1398-EFEITO!$M$1398*EFEITO!$Z$1398</f>
        <v>0</v>
      </c>
      <c r="O1398" s="76">
        <f>$L$1398-EFEITO!$O$1398*EFEITO!$AA$1398</f>
        <v>0</v>
      </c>
      <c r="P1398" s="57"/>
      <c r="Q1398" s="57"/>
      <c r="R1398" s="57"/>
      <c r="S1398" s="57"/>
      <c r="T1398" s="57"/>
      <c r="U1398" s="57"/>
      <c r="V1398" s="57"/>
      <c r="W1398" s="57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</row>
    <row r="1399" spans="1:36" ht="11.25" customHeight="1" x14ac:dyDescent="0.2">
      <c r="A1399" s="53" t="s">
        <v>28</v>
      </c>
      <c r="B1399" s="53" t="s">
        <v>22</v>
      </c>
      <c r="C1399" s="53" t="s">
        <v>37</v>
      </c>
      <c r="D1399" s="53" t="s">
        <v>24</v>
      </c>
      <c r="E1399" s="53" t="s">
        <v>24</v>
      </c>
      <c r="F1399" s="53" t="s">
        <v>25</v>
      </c>
      <c r="G1399" s="53" t="s">
        <v>25</v>
      </c>
      <c r="H1399" s="53" t="s">
        <v>35</v>
      </c>
      <c r="I1399" s="75">
        <v>44440</v>
      </c>
      <c r="J1399" s="76">
        <f>EFEITO!$J$1399*EFEITO!$Y$1399</f>
        <v>0</v>
      </c>
      <c r="K1399" s="76">
        <f ca="1">EFEITO!$L$1399*EFEITO!$Z$1399</f>
        <v>2.3563775035723289</v>
      </c>
      <c r="L1399" s="76">
        <f>EFEITO!$N$1399*EFEITO!$AA$1399</f>
        <v>0.84779305010827699</v>
      </c>
      <c r="M1399" s="76">
        <f>$J$1399-EFEITO!$K$1399*EFEITO!$Y$1399</f>
        <v>0</v>
      </c>
      <c r="N1399" s="76">
        <f ca="1">$K$1399-EFEITO!$M$1399*EFEITO!$Z$1399</f>
        <v>0</v>
      </c>
      <c r="O1399" s="76">
        <f>$L$1399-EFEITO!$O$1399*EFEITO!$AA$1399</f>
        <v>0</v>
      </c>
      <c r="P1399" s="57"/>
      <c r="Q1399" s="57"/>
      <c r="R1399" s="57"/>
      <c r="S1399" s="57"/>
      <c r="T1399" s="57"/>
      <c r="U1399" s="57"/>
      <c r="V1399" s="57"/>
      <c r="W1399" s="57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</row>
    <row r="1400" spans="1:36" ht="11.25" customHeight="1" x14ac:dyDescent="0.2">
      <c r="A1400" s="53" t="s">
        <v>21</v>
      </c>
      <c r="B1400" s="53" t="s">
        <v>22</v>
      </c>
      <c r="C1400" s="53" t="s">
        <v>37</v>
      </c>
      <c r="D1400" s="53" t="s">
        <v>24</v>
      </c>
      <c r="E1400" s="53" t="s">
        <v>24</v>
      </c>
      <c r="F1400" s="53" t="s">
        <v>25</v>
      </c>
      <c r="G1400" s="53" t="s">
        <v>25</v>
      </c>
      <c r="H1400" s="53" t="s">
        <v>35</v>
      </c>
      <c r="I1400" s="75">
        <v>44470</v>
      </c>
      <c r="J1400" s="76">
        <f>EFEITO!$J$1400*EFEITO!$Y$1400</f>
        <v>0</v>
      </c>
      <c r="K1400" s="76">
        <f ca="1">EFEITO!$L$1400*EFEITO!$Z$1400</f>
        <v>5208.7724716466328</v>
      </c>
      <c r="L1400" s="76">
        <f>EFEITO!$N$1400*EFEITO!$AA$1400</f>
        <v>1874.0465372643462</v>
      </c>
      <c r="M1400" s="76">
        <f>$J$1400-EFEITO!$K$1400*EFEITO!$Y$1400</f>
        <v>0</v>
      </c>
      <c r="N1400" s="76">
        <f ca="1">$K$1400-EFEITO!$M$1400*EFEITO!$Z$1400</f>
        <v>0</v>
      </c>
      <c r="O1400" s="76">
        <f>$L$1400-EFEITO!$O$1400*EFEITO!$AA$1400</f>
        <v>0</v>
      </c>
      <c r="P1400" s="57"/>
      <c r="Q1400" s="57"/>
      <c r="R1400" s="57"/>
      <c r="S1400" s="57"/>
      <c r="T1400" s="57"/>
      <c r="U1400" s="57"/>
      <c r="V1400" s="57"/>
      <c r="W1400" s="57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</row>
    <row r="1401" spans="1:36" ht="11.25" customHeight="1" x14ac:dyDescent="0.2">
      <c r="A1401" s="53" t="s">
        <v>27</v>
      </c>
      <c r="B1401" s="53" t="s">
        <v>22</v>
      </c>
      <c r="C1401" s="53" t="s">
        <v>37</v>
      </c>
      <c r="D1401" s="53" t="s">
        <v>24</v>
      </c>
      <c r="E1401" s="53" t="s">
        <v>24</v>
      </c>
      <c r="F1401" s="53" t="s">
        <v>25</v>
      </c>
      <c r="G1401" s="53" t="s">
        <v>25</v>
      </c>
      <c r="H1401" s="53" t="s">
        <v>35</v>
      </c>
      <c r="I1401" s="75">
        <v>44470</v>
      </c>
      <c r="J1401" s="76">
        <f>EFEITO!$J$1401*EFEITO!$Y$1401</f>
        <v>0</v>
      </c>
      <c r="K1401" s="76">
        <f ca="1">EFEITO!$L$1401*EFEITO!$Z$1401</f>
        <v>-176.72831276792465</v>
      </c>
      <c r="L1401" s="76">
        <f>EFEITO!$N$1401*EFEITO!$AA$1401</f>
        <v>-63.584478758120767</v>
      </c>
      <c r="M1401" s="76">
        <f>$J$1401-EFEITO!$K$1401*EFEITO!$Y$1401</f>
        <v>0</v>
      </c>
      <c r="N1401" s="76">
        <f ca="1">$K$1401-EFEITO!$M$1401*EFEITO!$Z$1401</f>
        <v>0</v>
      </c>
      <c r="O1401" s="76">
        <f>$L$1401-EFEITO!$O$1401*EFEITO!$AA$1401</f>
        <v>0</v>
      </c>
      <c r="P1401" s="57"/>
      <c r="Q1401" s="57"/>
      <c r="R1401" s="57"/>
      <c r="S1401" s="57"/>
      <c r="T1401" s="57"/>
      <c r="U1401" s="57"/>
      <c r="V1401" s="57"/>
      <c r="W1401" s="57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</row>
    <row r="1402" spans="1:36" ht="11.25" customHeight="1" x14ac:dyDescent="0.2">
      <c r="A1402" s="53" t="s">
        <v>28</v>
      </c>
      <c r="B1402" s="53" t="s">
        <v>22</v>
      </c>
      <c r="C1402" s="53" t="s">
        <v>37</v>
      </c>
      <c r="D1402" s="53" t="s">
        <v>24</v>
      </c>
      <c r="E1402" s="53" t="s">
        <v>24</v>
      </c>
      <c r="F1402" s="53" t="s">
        <v>25</v>
      </c>
      <c r="G1402" s="53" t="s">
        <v>25</v>
      </c>
      <c r="H1402" s="53" t="s">
        <v>35</v>
      </c>
      <c r="I1402" s="75">
        <v>44470</v>
      </c>
      <c r="J1402" s="76">
        <f>EFEITO!$J$1402*EFEITO!$Y$1402</f>
        <v>0</v>
      </c>
      <c r="K1402" s="76">
        <f ca="1">EFEITO!$L$1402*EFEITO!$Z$1402</f>
        <v>2.3563775035723289</v>
      </c>
      <c r="L1402" s="76">
        <f>EFEITO!$N$1402*EFEITO!$AA$1402</f>
        <v>0.84779305010827699</v>
      </c>
      <c r="M1402" s="76">
        <f>$J$1402-EFEITO!$K$1402*EFEITO!$Y$1402</f>
        <v>0</v>
      </c>
      <c r="N1402" s="76">
        <f ca="1">$K$1402-EFEITO!$M$1402*EFEITO!$Z$1402</f>
        <v>0</v>
      </c>
      <c r="O1402" s="76">
        <f>$L$1402-EFEITO!$O$1402*EFEITO!$AA$1402</f>
        <v>0</v>
      </c>
      <c r="P1402" s="57"/>
      <c r="Q1402" s="57"/>
      <c r="R1402" s="57"/>
      <c r="S1402" s="57"/>
      <c r="T1402" s="57"/>
      <c r="U1402" s="57"/>
      <c r="V1402" s="57"/>
      <c r="W1402" s="57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</row>
    <row r="1403" spans="1:36" ht="11.25" customHeight="1" x14ac:dyDescent="0.2">
      <c r="A1403" s="53" t="s">
        <v>21</v>
      </c>
      <c r="B1403" s="53" t="s">
        <v>22</v>
      </c>
      <c r="C1403" s="53" t="s">
        <v>37</v>
      </c>
      <c r="D1403" s="53" t="s">
        <v>24</v>
      </c>
      <c r="E1403" s="53" t="s">
        <v>24</v>
      </c>
      <c r="F1403" s="53" t="s">
        <v>25</v>
      </c>
      <c r="G1403" s="53" t="s">
        <v>25</v>
      </c>
      <c r="H1403" s="53" t="s">
        <v>35</v>
      </c>
      <c r="I1403" s="75">
        <v>44501</v>
      </c>
      <c r="J1403" s="76">
        <f>EFEITO!$J$1403*EFEITO!$Y$1403</f>
        <v>0</v>
      </c>
      <c r="K1403" s="76">
        <f ca="1">EFEITO!$L$1403*EFEITO!$Z$1403</f>
        <v>4524.244806858871</v>
      </c>
      <c r="L1403" s="76">
        <f>EFEITO!$N$1403*EFEITO!$AA$1403</f>
        <v>1627.7626562078917</v>
      </c>
      <c r="M1403" s="76">
        <f>$J$1403-EFEITO!$K$1403*EFEITO!$Y$1403</f>
        <v>0</v>
      </c>
      <c r="N1403" s="76">
        <f ca="1">$K$1403-EFEITO!$M$1403*EFEITO!$Z$1403</f>
        <v>0</v>
      </c>
      <c r="O1403" s="76">
        <f>$L$1403-EFEITO!$O$1403*EFEITO!$AA$1403</f>
        <v>0</v>
      </c>
      <c r="P1403" s="57"/>
      <c r="Q1403" s="57"/>
      <c r="R1403" s="57"/>
      <c r="S1403" s="57"/>
      <c r="T1403" s="57"/>
      <c r="U1403" s="57"/>
      <c r="V1403" s="57"/>
      <c r="W1403" s="57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</row>
    <row r="1404" spans="1:36" ht="11.25" customHeight="1" x14ac:dyDescent="0.2">
      <c r="A1404" s="53" t="s">
        <v>27</v>
      </c>
      <c r="B1404" s="53" t="s">
        <v>22</v>
      </c>
      <c r="C1404" s="53" t="s">
        <v>37</v>
      </c>
      <c r="D1404" s="53" t="s">
        <v>24</v>
      </c>
      <c r="E1404" s="53" t="s">
        <v>24</v>
      </c>
      <c r="F1404" s="53" t="s">
        <v>25</v>
      </c>
      <c r="G1404" s="53" t="s">
        <v>25</v>
      </c>
      <c r="H1404" s="53" t="s">
        <v>35</v>
      </c>
      <c r="I1404" s="75">
        <v>44501</v>
      </c>
      <c r="J1404" s="76">
        <f>EFEITO!$J$1404*EFEITO!$Y$1404</f>
        <v>0</v>
      </c>
      <c r="K1404" s="76">
        <f ca="1">EFEITO!$L$1404*EFEITO!$Z$1404</f>
        <v>-365.23851305371096</v>
      </c>
      <c r="L1404" s="76">
        <f>EFEITO!$N$1404*EFEITO!$AA$1404</f>
        <v>-131.40792276678292</v>
      </c>
      <c r="M1404" s="76">
        <f>$J$1404-EFEITO!$K$1404*EFEITO!$Y$1404</f>
        <v>0</v>
      </c>
      <c r="N1404" s="76">
        <f ca="1">$K$1404-EFEITO!$M$1404*EFEITO!$Z$1404</f>
        <v>0</v>
      </c>
      <c r="O1404" s="76">
        <f>$L$1404-EFEITO!$O$1404*EFEITO!$AA$1404</f>
        <v>0</v>
      </c>
      <c r="P1404" s="57"/>
      <c r="Q1404" s="57"/>
      <c r="R1404" s="57"/>
      <c r="S1404" s="57"/>
      <c r="T1404" s="57"/>
      <c r="U1404" s="57"/>
      <c r="V1404" s="57"/>
      <c r="W1404" s="57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</row>
    <row r="1405" spans="1:36" ht="11.25" customHeight="1" x14ac:dyDescent="0.2">
      <c r="A1405" s="53" t="s">
        <v>28</v>
      </c>
      <c r="B1405" s="53" t="s">
        <v>22</v>
      </c>
      <c r="C1405" s="53" t="s">
        <v>37</v>
      </c>
      <c r="D1405" s="53" t="s">
        <v>24</v>
      </c>
      <c r="E1405" s="53" t="s">
        <v>24</v>
      </c>
      <c r="F1405" s="53" t="s">
        <v>25</v>
      </c>
      <c r="G1405" s="53" t="s">
        <v>25</v>
      </c>
      <c r="H1405" s="53" t="s">
        <v>35</v>
      </c>
      <c r="I1405" s="75">
        <v>44501</v>
      </c>
      <c r="J1405" s="76">
        <f>EFEITO!$J$1405*EFEITO!$Y$1405</f>
        <v>0</v>
      </c>
      <c r="K1405" s="76">
        <f ca="1">EFEITO!$L$1405*EFEITO!$Z$1405</f>
        <v>7.0691325107169867</v>
      </c>
      <c r="L1405" s="76">
        <f>EFEITO!$N$1405*EFEITO!$AA$1405</f>
        <v>2.5433791503248306</v>
      </c>
      <c r="M1405" s="76">
        <f>$J$1405-EFEITO!$K$1405*EFEITO!$Y$1405</f>
        <v>0</v>
      </c>
      <c r="N1405" s="76">
        <f ca="1">$K$1405-EFEITO!$M$1405*EFEITO!$Z$1405</f>
        <v>0</v>
      </c>
      <c r="O1405" s="76">
        <f>$L$1405-EFEITO!$O$1405*EFEITO!$AA$1405</f>
        <v>0</v>
      </c>
      <c r="P1405" s="57"/>
      <c r="Q1405" s="57"/>
      <c r="R1405" s="57"/>
      <c r="S1405" s="57"/>
      <c r="T1405" s="57"/>
      <c r="U1405" s="57"/>
      <c r="V1405" s="57"/>
      <c r="W1405" s="57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</row>
    <row r="1406" spans="1:36" ht="11.25" customHeight="1" x14ac:dyDescent="0.2">
      <c r="A1406" s="53" t="s">
        <v>21</v>
      </c>
      <c r="B1406" s="53" t="s">
        <v>22</v>
      </c>
      <c r="C1406" s="53" t="s">
        <v>37</v>
      </c>
      <c r="D1406" s="53" t="s">
        <v>24</v>
      </c>
      <c r="E1406" s="53" t="s">
        <v>24</v>
      </c>
      <c r="F1406" s="53" t="s">
        <v>25</v>
      </c>
      <c r="G1406" s="53" t="s">
        <v>25</v>
      </c>
      <c r="H1406" s="53" t="s">
        <v>35</v>
      </c>
      <c r="I1406" s="75">
        <v>44531</v>
      </c>
      <c r="J1406" s="76">
        <f>EFEITO!$J$1406*EFEITO!$Y$1406</f>
        <v>0</v>
      </c>
      <c r="K1406" s="76">
        <f ca="1">EFEITO!$L$1406*EFEITO!$Z$1406</f>
        <v>5077.9935201983681</v>
      </c>
      <c r="L1406" s="76">
        <f>EFEITO!$N$1406*EFEITO!$AA$1406</f>
        <v>1826.9940229833367</v>
      </c>
      <c r="M1406" s="76">
        <f>$J$1406-EFEITO!$K$1406*EFEITO!$Y$1406</f>
        <v>0</v>
      </c>
      <c r="N1406" s="76">
        <f ca="1">$K$1406-EFEITO!$M$1406*EFEITO!$Z$1406</f>
        <v>0</v>
      </c>
      <c r="O1406" s="76">
        <f>$L$1406-EFEITO!$O$1406*EFEITO!$AA$1406</f>
        <v>0</v>
      </c>
      <c r="P1406" s="57"/>
      <c r="Q1406" s="57"/>
      <c r="R1406" s="57"/>
      <c r="S1406" s="57"/>
      <c r="T1406" s="57"/>
      <c r="U1406" s="57"/>
      <c r="V1406" s="57"/>
      <c r="W1406" s="57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</row>
    <row r="1407" spans="1:36" ht="11.25" customHeight="1" x14ac:dyDescent="0.2">
      <c r="A1407" s="53" t="s">
        <v>27</v>
      </c>
      <c r="B1407" s="53" t="s">
        <v>22</v>
      </c>
      <c r="C1407" s="53" t="s">
        <v>37</v>
      </c>
      <c r="D1407" s="53" t="s">
        <v>24</v>
      </c>
      <c r="E1407" s="53" t="s">
        <v>24</v>
      </c>
      <c r="F1407" s="53" t="s">
        <v>25</v>
      </c>
      <c r="G1407" s="53" t="s">
        <v>25</v>
      </c>
      <c r="H1407" s="53" t="s">
        <v>35</v>
      </c>
      <c r="I1407" s="75">
        <v>44531</v>
      </c>
      <c r="J1407" s="76">
        <f>EFEITO!$J$1407*EFEITO!$Y$1407</f>
        <v>0</v>
      </c>
      <c r="K1407" s="76">
        <f ca="1">EFEITO!$L$1407*EFEITO!$Z$1407</f>
        <v>-9.4255100142893156</v>
      </c>
      <c r="L1407" s="76">
        <f>EFEITO!$N$1407*EFEITO!$AA$1407</f>
        <v>-3.391172200433108</v>
      </c>
      <c r="M1407" s="76">
        <f>$J$1407-EFEITO!$K$1407*EFEITO!$Y$1407</f>
        <v>0</v>
      </c>
      <c r="N1407" s="76">
        <f ca="1">$K$1407-EFEITO!$M$1407*EFEITO!$Z$1407</f>
        <v>0</v>
      </c>
      <c r="O1407" s="76">
        <f>$L$1407-EFEITO!$O$1407*EFEITO!$AA$1407</f>
        <v>0</v>
      </c>
      <c r="P1407" s="57"/>
      <c r="Q1407" s="57"/>
      <c r="R1407" s="57"/>
      <c r="S1407" s="57"/>
      <c r="T1407" s="57"/>
      <c r="U1407" s="57"/>
      <c r="V1407" s="57"/>
      <c r="W1407" s="57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</row>
    <row r="1408" spans="1:36" ht="11.25" customHeight="1" x14ac:dyDescent="0.2">
      <c r="A1408" s="53" t="s">
        <v>28</v>
      </c>
      <c r="B1408" s="53" t="s">
        <v>22</v>
      </c>
      <c r="C1408" s="53" t="s">
        <v>37</v>
      </c>
      <c r="D1408" s="53" t="s">
        <v>24</v>
      </c>
      <c r="E1408" s="53" t="s">
        <v>24</v>
      </c>
      <c r="F1408" s="53" t="s">
        <v>25</v>
      </c>
      <c r="G1408" s="53" t="s">
        <v>25</v>
      </c>
      <c r="H1408" s="53" t="s">
        <v>35</v>
      </c>
      <c r="I1408" s="75">
        <v>44531</v>
      </c>
      <c r="J1408" s="76">
        <f>EFEITO!$J$1408*EFEITO!$Y$1408</f>
        <v>0</v>
      </c>
      <c r="K1408" s="76">
        <f ca="1">EFEITO!$L$1408*EFEITO!$Z$1408</f>
        <v>9.4255100142893156</v>
      </c>
      <c r="L1408" s="76">
        <f>EFEITO!$N$1408*EFEITO!$AA$1408</f>
        <v>3.391172200433108</v>
      </c>
      <c r="M1408" s="76">
        <f>$J$1408-EFEITO!$K$1408*EFEITO!$Y$1408</f>
        <v>0</v>
      </c>
      <c r="N1408" s="76">
        <f ca="1">$K$1408-EFEITO!$M$1408*EFEITO!$Z$1408</f>
        <v>0</v>
      </c>
      <c r="O1408" s="76">
        <f>$L$1408-EFEITO!$O$1408*EFEITO!$AA$1408</f>
        <v>0</v>
      </c>
      <c r="P1408" s="57"/>
      <c r="Q1408" s="57"/>
      <c r="R1408" s="57"/>
      <c r="S1408" s="57"/>
      <c r="T1408" s="57"/>
      <c r="U1408" s="57"/>
      <c r="V1408" s="57"/>
      <c r="W1408" s="57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</row>
    <row r="1409" spans="1:36" ht="11.25" customHeight="1" x14ac:dyDescent="0.2">
      <c r="A1409" s="53" t="s">
        <v>21</v>
      </c>
      <c r="B1409" s="53" t="s">
        <v>22</v>
      </c>
      <c r="C1409" s="53" t="s">
        <v>37</v>
      </c>
      <c r="D1409" s="53" t="s">
        <v>24</v>
      </c>
      <c r="E1409" s="53" t="s">
        <v>24</v>
      </c>
      <c r="F1409" s="53" t="s">
        <v>25</v>
      </c>
      <c r="G1409" s="53" t="s">
        <v>25</v>
      </c>
      <c r="H1409" s="53" t="s">
        <v>35</v>
      </c>
      <c r="I1409" s="75">
        <v>44562</v>
      </c>
      <c r="J1409" s="76">
        <f>EFEITO!$J$1409*EFEITO!$Y$1409</f>
        <v>0</v>
      </c>
      <c r="K1409" s="76">
        <f ca="1">EFEITO!$L$1409*EFEITO!$Z$1409</f>
        <v>5043.8260463965698</v>
      </c>
      <c r="L1409" s="76">
        <f>EFEITO!$N$1409*EFEITO!$AA$1409</f>
        <v>1814.7010237567667</v>
      </c>
      <c r="M1409" s="76">
        <f>$J$1409-EFEITO!$K$1409*EFEITO!$Y$1409</f>
        <v>0</v>
      </c>
      <c r="N1409" s="76">
        <f ca="1">$K$1409-EFEITO!$M$1409*EFEITO!$Z$1409</f>
        <v>0</v>
      </c>
      <c r="O1409" s="76">
        <f>$L$1409-EFEITO!$O$1409*EFEITO!$AA$1409</f>
        <v>0</v>
      </c>
      <c r="P1409" s="57"/>
      <c r="Q1409" s="57"/>
      <c r="R1409" s="57"/>
      <c r="S1409" s="57"/>
      <c r="T1409" s="57"/>
      <c r="U1409" s="57"/>
      <c r="V1409" s="57"/>
      <c r="W1409" s="57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</row>
    <row r="1410" spans="1:36" ht="11.25" customHeight="1" x14ac:dyDescent="0.2">
      <c r="A1410" s="53" t="s">
        <v>28</v>
      </c>
      <c r="B1410" s="53" t="s">
        <v>22</v>
      </c>
      <c r="C1410" s="53" t="s">
        <v>37</v>
      </c>
      <c r="D1410" s="53" t="s">
        <v>24</v>
      </c>
      <c r="E1410" s="53" t="s">
        <v>24</v>
      </c>
      <c r="F1410" s="53" t="s">
        <v>25</v>
      </c>
      <c r="G1410" s="53" t="s">
        <v>25</v>
      </c>
      <c r="H1410" s="53" t="s">
        <v>35</v>
      </c>
      <c r="I1410" s="75">
        <v>44562</v>
      </c>
      <c r="J1410" s="76">
        <f>EFEITO!$J$1410*EFEITO!$Y$1410</f>
        <v>0</v>
      </c>
      <c r="K1410" s="76">
        <f ca="1">EFEITO!$L$1410*EFEITO!$Z$1410</f>
        <v>11.781887517861644</v>
      </c>
      <c r="L1410" s="76">
        <f>EFEITO!$N$1410*EFEITO!$AA$1410</f>
        <v>4.2389652505413844</v>
      </c>
      <c r="M1410" s="76">
        <f>$J$1410-EFEITO!$K$1410*EFEITO!$Y$1410</f>
        <v>0</v>
      </c>
      <c r="N1410" s="76">
        <f ca="1">$K$1410-EFEITO!$M$1410*EFEITO!$Z$1410</f>
        <v>0</v>
      </c>
      <c r="O1410" s="76">
        <f>$L$1410-EFEITO!$O$1410*EFEITO!$AA$1410</f>
        <v>0</v>
      </c>
      <c r="P1410" s="57"/>
      <c r="Q1410" s="57"/>
      <c r="R1410" s="57"/>
      <c r="S1410" s="57"/>
      <c r="T1410" s="57"/>
      <c r="U1410" s="57"/>
      <c r="V1410" s="57"/>
      <c r="W1410" s="57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</row>
    <row r="1411" spans="1:36" ht="11.25" customHeight="1" x14ac:dyDescent="0.2">
      <c r="A1411" s="53" t="s">
        <v>21</v>
      </c>
      <c r="B1411" s="53" t="s">
        <v>22</v>
      </c>
      <c r="C1411" s="53" t="s">
        <v>37</v>
      </c>
      <c r="D1411" s="53" t="s">
        <v>24</v>
      </c>
      <c r="E1411" s="53" t="s">
        <v>24</v>
      </c>
      <c r="F1411" s="53" t="s">
        <v>25</v>
      </c>
      <c r="G1411" s="53" t="s">
        <v>25</v>
      </c>
      <c r="H1411" s="53" t="s">
        <v>35</v>
      </c>
      <c r="I1411" s="75">
        <v>44593</v>
      </c>
      <c r="J1411" s="76">
        <f>EFEITO!$J$1411*EFEITO!$Y$1411</f>
        <v>0</v>
      </c>
      <c r="K1411" s="76">
        <f ca="1">EFEITO!$L$1411*EFEITO!$Z$1411</f>
        <v>4612.6089632428339</v>
      </c>
      <c r="L1411" s="76">
        <f>EFEITO!$N$1411*EFEITO!$AA$1411</f>
        <v>1659.5548955869522</v>
      </c>
      <c r="M1411" s="76">
        <f>$J$1411-EFEITO!$K$1411*EFEITO!$Y$1411</f>
        <v>0</v>
      </c>
      <c r="N1411" s="76">
        <f ca="1">$K$1411-EFEITO!$M$1411*EFEITO!$Z$1411</f>
        <v>0</v>
      </c>
      <c r="O1411" s="76">
        <f>$L$1411-EFEITO!$O$1411*EFEITO!$AA$1411</f>
        <v>0</v>
      </c>
      <c r="P1411" s="57"/>
      <c r="Q1411" s="57"/>
      <c r="R1411" s="57"/>
      <c r="S1411" s="57"/>
      <c r="T1411" s="57"/>
      <c r="U1411" s="57"/>
      <c r="V1411" s="57"/>
      <c r="W1411" s="57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</row>
    <row r="1412" spans="1:36" ht="11.25" customHeight="1" x14ac:dyDescent="0.2">
      <c r="A1412" s="53" t="s">
        <v>28</v>
      </c>
      <c r="B1412" s="53" t="s">
        <v>22</v>
      </c>
      <c r="C1412" s="53" t="s">
        <v>37</v>
      </c>
      <c r="D1412" s="53" t="s">
        <v>24</v>
      </c>
      <c r="E1412" s="53" t="s">
        <v>24</v>
      </c>
      <c r="F1412" s="53" t="s">
        <v>25</v>
      </c>
      <c r="G1412" s="53" t="s">
        <v>25</v>
      </c>
      <c r="H1412" s="53" t="s">
        <v>35</v>
      </c>
      <c r="I1412" s="75">
        <v>44593</v>
      </c>
      <c r="J1412" s="76">
        <f>EFEITO!$J$1412*EFEITO!$Y$1412</f>
        <v>0</v>
      </c>
      <c r="K1412" s="76">
        <f ca="1">EFEITO!$L$1412*EFEITO!$Z$1412</f>
        <v>9.4255100142893156</v>
      </c>
      <c r="L1412" s="76">
        <f>EFEITO!$N$1412*EFEITO!$AA$1412</f>
        <v>3.391172200433108</v>
      </c>
      <c r="M1412" s="76">
        <f>$J$1412-EFEITO!$K$1412*EFEITO!$Y$1412</f>
        <v>0</v>
      </c>
      <c r="N1412" s="76">
        <f ca="1">$K$1412-EFEITO!$M$1412*EFEITO!$Z$1412</f>
        <v>0</v>
      </c>
      <c r="O1412" s="76">
        <f>$L$1412-EFEITO!$O$1412*EFEITO!$AA$1412</f>
        <v>0</v>
      </c>
      <c r="P1412" s="57"/>
      <c r="Q1412" s="57"/>
      <c r="R1412" s="57"/>
      <c r="S1412" s="57"/>
      <c r="T1412" s="57"/>
      <c r="U1412" s="57"/>
      <c r="V1412" s="57"/>
      <c r="W1412" s="57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</row>
    <row r="1413" spans="1:36" ht="11.25" customHeight="1" x14ac:dyDescent="0.2">
      <c r="A1413" s="53" t="s">
        <v>21</v>
      </c>
      <c r="B1413" s="53" t="s">
        <v>22</v>
      </c>
      <c r="C1413" s="53" t="s">
        <v>37</v>
      </c>
      <c r="D1413" s="53" t="s">
        <v>24</v>
      </c>
      <c r="E1413" s="53" t="s">
        <v>24</v>
      </c>
      <c r="F1413" s="53" t="s">
        <v>25</v>
      </c>
      <c r="G1413" s="53" t="s">
        <v>25</v>
      </c>
      <c r="H1413" s="53" t="s">
        <v>35</v>
      </c>
      <c r="I1413" s="75">
        <v>44621</v>
      </c>
      <c r="J1413" s="76">
        <f>EFEITO!$J$1413*EFEITO!$Y$1413</f>
        <v>0</v>
      </c>
      <c r="K1413" s="76">
        <f ca="1">EFEITO!$L$1413*EFEITO!$Z$1413</f>
        <v>5158.1103553198282</v>
      </c>
      <c r="L1413" s="76">
        <f>EFEITO!$N$1413*EFEITO!$AA$1413</f>
        <v>1855.8189866870182</v>
      </c>
      <c r="M1413" s="76">
        <f>$J$1413-EFEITO!$K$1413*EFEITO!$Y$1413</f>
        <v>0</v>
      </c>
      <c r="N1413" s="76">
        <f ca="1">$K$1413-EFEITO!$M$1413*EFEITO!$Z$1413</f>
        <v>0</v>
      </c>
      <c r="O1413" s="76">
        <f>$L$1413-EFEITO!$O$1413*EFEITO!$AA$1413</f>
        <v>0</v>
      </c>
      <c r="P1413" s="57"/>
      <c r="Q1413" s="57"/>
      <c r="R1413" s="57"/>
      <c r="S1413" s="57"/>
      <c r="T1413" s="57"/>
      <c r="U1413" s="57"/>
      <c r="V1413" s="57"/>
      <c r="W1413" s="57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</row>
    <row r="1414" spans="1:36" ht="11.25" customHeight="1" x14ac:dyDescent="0.2">
      <c r="A1414" s="53" t="s">
        <v>28</v>
      </c>
      <c r="B1414" s="53" t="s">
        <v>22</v>
      </c>
      <c r="C1414" s="53" t="s">
        <v>37</v>
      </c>
      <c r="D1414" s="53" t="s">
        <v>24</v>
      </c>
      <c r="E1414" s="53" t="s">
        <v>24</v>
      </c>
      <c r="F1414" s="53" t="s">
        <v>25</v>
      </c>
      <c r="G1414" s="53" t="s">
        <v>25</v>
      </c>
      <c r="H1414" s="53" t="s">
        <v>35</v>
      </c>
      <c r="I1414" s="75">
        <v>44621</v>
      </c>
      <c r="J1414" s="76">
        <f>EFEITO!$J$1414*EFEITO!$Y$1414</f>
        <v>0</v>
      </c>
      <c r="K1414" s="76">
        <f ca="1">EFEITO!$L$1414*EFEITO!$Z$1414</f>
        <v>9.4255100142893156</v>
      </c>
      <c r="L1414" s="76">
        <f>EFEITO!$N$1414*EFEITO!$AA$1414</f>
        <v>3.391172200433108</v>
      </c>
      <c r="M1414" s="76">
        <f>$J$1414-EFEITO!$K$1414*EFEITO!$Y$1414</f>
        <v>0</v>
      </c>
      <c r="N1414" s="76">
        <f ca="1">$K$1414-EFEITO!$M$1414*EFEITO!$Z$1414</f>
        <v>0</v>
      </c>
      <c r="O1414" s="76">
        <f>$L$1414-EFEITO!$O$1414*EFEITO!$AA$1414</f>
        <v>0</v>
      </c>
      <c r="P1414" s="57"/>
      <c r="Q1414" s="57"/>
      <c r="R1414" s="57"/>
      <c r="S1414" s="57"/>
      <c r="T1414" s="57"/>
      <c r="U1414" s="57"/>
      <c r="V1414" s="57"/>
      <c r="W1414" s="57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</row>
    <row r="1415" spans="1:36" ht="11.25" customHeight="1" x14ac:dyDescent="0.2">
      <c r="A1415" s="53" t="s">
        <v>56</v>
      </c>
      <c r="B1415" s="53" t="s">
        <v>22</v>
      </c>
      <c r="C1415" s="53" t="s">
        <v>37</v>
      </c>
      <c r="D1415" s="53" t="s">
        <v>24</v>
      </c>
      <c r="E1415" s="53" t="s">
        <v>24</v>
      </c>
      <c r="F1415" s="53" t="s">
        <v>25</v>
      </c>
      <c r="G1415" s="53" t="s">
        <v>25</v>
      </c>
      <c r="H1415" s="53" t="s">
        <v>35</v>
      </c>
      <c r="I1415" s="75">
        <v>44652</v>
      </c>
      <c r="J1415" s="76">
        <f>EFEITO!$J$1415*EFEITO!$Y$1415</f>
        <v>0</v>
      </c>
      <c r="K1415" s="76">
        <f ca="1">EFEITO!$L$1415*EFEITO!$Z$1415</f>
        <v>5158.1103553198282</v>
      </c>
      <c r="L1415" s="76">
        <f>EFEITO!$N$1415*EFEITO!$AA$1415</f>
        <v>1855.8189866870182</v>
      </c>
      <c r="M1415" s="76">
        <f>$J$1415-EFEITO!$K$1415*EFEITO!$Y$1415</f>
        <v>0</v>
      </c>
      <c r="N1415" s="76">
        <f ca="1">$K$1415-EFEITO!$M$1415*EFEITO!$Z$1415</f>
        <v>0</v>
      </c>
      <c r="O1415" s="76">
        <f>$L$1415-EFEITO!$O$1415*EFEITO!$AA$1415</f>
        <v>0</v>
      </c>
      <c r="P1415" s="57"/>
      <c r="Q1415" s="57"/>
      <c r="R1415" s="57"/>
      <c r="S1415" s="57"/>
      <c r="T1415" s="57"/>
      <c r="U1415" s="57"/>
      <c r="V1415" s="57"/>
      <c r="W1415" s="57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</row>
    <row r="1416" spans="1:36" ht="11.25" customHeight="1" x14ac:dyDescent="0.2">
      <c r="A1416" s="53" t="s">
        <v>56</v>
      </c>
      <c r="B1416" s="53" t="s">
        <v>22</v>
      </c>
      <c r="C1416" s="53" t="s">
        <v>37</v>
      </c>
      <c r="D1416" s="53" t="s">
        <v>24</v>
      </c>
      <c r="E1416" s="53" t="s">
        <v>24</v>
      </c>
      <c r="F1416" s="53" t="s">
        <v>25</v>
      </c>
      <c r="G1416" s="53" t="s">
        <v>25</v>
      </c>
      <c r="H1416" s="53" t="s">
        <v>35</v>
      </c>
      <c r="I1416" s="75">
        <v>44652</v>
      </c>
      <c r="J1416" s="76">
        <f>EFEITO!$J$1416*EFEITO!$Y$1416</f>
        <v>0</v>
      </c>
      <c r="K1416" s="76">
        <f ca="1">EFEITO!$L$1416*EFEITO!$Z$1416</f>
        <v>9.4255100142893156</v>
      </c>
      <c r="L1416" s="76">
        <f>EFEITO!$N$1416*EFEITO!$AA$1416</f>
        <v>3.391172200433108</v>
      </c>
      <c r="M1416" s="76">
        <f>$J$1416-EFEITO!$K$1416*EFEITO!$Y$1416</f>
        <v>0</v>
      </c>
      <c r="N1416" s="76">
        <f ca="1">$K$1416-EFEITO!$M$1416*EFEITO!$Z$1416</f>
        <v>0</v>
      </c>
      <c r="O1416" s="76">
        <f>$L$1416-EFEITO!$O$1416*EFEITO!$AA$1416</f>
        <v>0</v>
      </c>
      <c r="P1416" s="57"/>
      <c r="Q1416" s="57"/>
      <c r="R1416" s="57"/>
      <c r="S1416" s="57"/>
      <c r="T1416" s="57"/>
      <c r="U1416" s="57"/>
      <c r="V1416" s="57"/>
      <c r="W1416" s="57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</row>
    <row r="1417" spans="1:36" ht="11.25" customHeight="1" x14ac:dyDescent="0.2">
      <c r="A1417" s="53" t="s">
        <v>21</v>
      </c>
      <c r="B1417" s="53" t="s">
        <v>22</v>
      </c>
      <c r="C1417" s="53" t="s">
        <v>23</v>
      </c>
      <c r="D1417" s="53" t="s">
        <v>24</v>
      </c>
      <c r="E1417" s="53" t="s">
        <v>24</v>
      </c>
      <c r="F1417" s="53" t="s">
        <v>25</v>
      </c>
      <c r="G1417" s="53" t="s">
        <v>25</v>
      </c>
      <c r="H1417" s="53" t="s">
        <v>25</v>
      </c>
      <c r="I1417" s="75">
        <v>44317</v>
      </c>
      <c r="J1417" s="76">
        <f>EFEITO!$J$1417*EFEITO!$Y$1417</f>
        <v>0</v>
      </c>
      <c r="K1417" s="76">
        <f ca="1">EFEITO!$L$1417*EFEITO!$Z$1417</f>
        <v>46627246.209892176</v>
      </c>
      <c r="L1417" s="76">
        <f>EFEITO!$N$1417*EFEITO!$AA$1417</f>
        <v>28365781.809988942</v>
      </c>
      <c r="M1417" s="76">
        <f>$J$1417-EFEITO!$K$1417*EFEITO!$Y$1417</f>
        <v>0</v>
      </c>
      <c r="N1417" s="76">
        <f ca="1">$K$1417-EFEITO!$M$1417*EFEITO!$Z$1417</f>
        <v>0</v>
      </c>
      <c r="O1417" s="76">
        <f>$L$1417-EFEITO!$O$1417*EFEITO!$AA$1417</f>
        <v>0</v>
      </c>
      <c r="P1417" s="57"/>
      <c r="Q1417" s="57"/>
      <c r="R1417" s="57"/>
      <c r="S1417" s="57"/>
      <c r="T1417" s="57"/>
      <c r="U1417" s="57"/>
      <c r="V1417" s="57"/>
      <c r="W1417" s="57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</row>
    <row r="1418" spans="1:36" ht="11.25" customHeight="1" x14ac:dyDescent="0.2">
      <c r="A1418" s="53" t="s">
        <v>27</v>
      </c>
      <c r="B1418" s="53" t="s">
        <v>22</v>
      </c>
      <c r="C1418" s="53" t="s">
        <v>23</v>
      </c>
      <c r="D1418" s="53" t="s">
        <v>24</v>
      </c>
      <c r="E1418" s="53" t="s">
        <v>24</v>
      </c>
      <c r="F1418" s="53" t="s">
        <v>25</v>
      </c>
      <c r="G1418" s="53" t="s">
        <v>25</v>
      </c>
      <c r="H1418" s="53" t="s">
        <v>25</v>
      </c>
      <c r="I1418" s="75">
        <v>44317</v>
      </c>
      <c r="J1418" s="76">
        <f>EFEITO!$J$1418*EFEITO!$Y$1418</f>
        <v>0</v>
      </c>
      <c r="K1418" s="76">
        <f ca="1">EFEITO!$L$1418*EFEITO!$Z$1418</f>
        <v>-375336.06779582694</v>
      </c>
      <c r="L1418" s="76">
        <f>EFEITO!$N$1418*EFEITO!$AA$1418</f>
        <v>-228336.47427063578</v>
      </c>
      <c r="M1418" s="76">
        <f>$J$1418-EFEITO!$K$1418*EFEITO!$Y$1418</f>
        <v>0</v>
      </c>
      <c r="N1418" s="76">
        <f ca="1">$K$1418-EFEITO!$M$1418*EFEITO!$Z$1418</f>
        <v>0</v>
      </c>
      <c r="O1418" s="76">
        <f>$L$1418-EFEITO!$O$1418*EFEITO!$AA$1418</f>
        <v>0</v>
      </c>
      <c r="P1418" s="57"/>
      <c r="Q1418" s="57"/>
      <c r="R1418" s="57"/>
      <c r="S1418" s="57"/>
      <c r="T1418" s="57"/>
      <c r="U1418" s="57"/>
      <c r="V1418" s="57"/>
      <c r="W1418" s="57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</row>
    <row r="1419" spans="1:36" ht="11.25" customHeight="1" x14ac:dyDescent="0.2">
      <c r="A1419" s="53" t="s">
        <v>28</v>
      </c>
      <c r="B1419" s="53" t="s">
        <v>22</v>
      </c>
      <c r="C1419" s="53" t="s">
        <v>23</v>
      </c>
      <c r="D1419" s="53" t="s">
        <v>24</v>
      </c>
      <c r="E1419" s="53" t="s">
        <v>24</v>
      </c>
      <c r="F1419" s="53" t="s">
        <v>25</v>
      </c>
      <c r="G1419" s="53" t="s">
        <v>25</v>
      </c>
      <c r="H1419" s="53" t="s">
        <v>25</v>
      </c>
      <c r="I1419" s="75">
        <v>44317</v>
      </c>
      <c r="J1419" s="76">
        <f>EFEITO!$J$1419*EFEITO!$Y$1419</f>
        <v>0</v>
      </c>
      <c r="K1419" s="76">
        <f ca="1">EFEITO!$L$1419*EFEITO!$Z$1419</f>
        <v>285050.80823878193</v>
      </c>
      <c r="L1419" s="76">
        <f>EFEITO!$N$1419*EFEITO!$AA$1419</f>
        <v>173411.24961282554</v>
      </c>
      <c r="M1419" s="76">
        <f>$J$1419-EFEITO!$K$1419*EFEITO!$Y$1419</f>
        <v>0</v>
      </c>
      <c r="N1419" s="76">
        <f ca="1">$K$1419-EFEITO!$M$1419*EFEITO!$Z$1419</f>
        <v>0</v>
      </c>
      <c r="O1419" s="76">
        <f>$L$1419-EFEITO!$O$1419*EFEITO!$AA$1419</f>
        <v>0</v>
      </c>
      <c r="P1419" s="57"/>
      <c r="Q1419" s="57"/>
      <c r="R1419" s="57"/>
      <c r="S1419" s="57"/>
      <c r="T1419" s="57"/>
      <c r="U1419" s="57"/>
      <c r="V1419" s="57"/>
      <c r="W1419" s="57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</row>
    <row r="1420" spans="1:36" ht="11.25" customHeight="1" x14ac:dyDescent="0.2">
      <c r="A1420" s="53" t="s">
        <v>28</v>
      </c>
      <c r="B1420" s="53" t="s">
        <v>22</v>
      </c>
      <c r="C1420" s="53" t="s">
        <v>23</v>
      </c>
      <c r="D1420" s="53" t="s">
        <v>24</v>
      </c>
      <c r="E1420" s="53" t="s">
        <v>24</v>
      </c>
      <c r="F1420" s="53" t="s">
        <v>25</v>
      </c>
      <c r="G1420" s="53" t="s">
        <v>25</v>
      </c>
      <c r="H1420" s="53" t="s">
        <v>25</v>
      </c>
      <c r="I1420" s="75">
        <v>44317</v>
      </c>
      <c r="J1420" s="76">
        <f>EFEITO!$J$1420*EFEITO!$Y$1420</f>
        <v>0</v>
      </c>
      <c r="K1420" s="76">
        <f ca="1">EFEITO!$L$1420*EFEITO!$Z$1420</f>
        <v>2584.1383828811877</v>
      </c>
      <c r="L1420" s="76">
        <f>EFEITO!$N$1420*EFEITO!$AA$1420</f>
        <v>1572.0659377064881</v>
      </c>
      <c r="M1420" s="76">
        <f>$J$1420-EFEITO!$K$1420*EFEITO!$Y$1420</f>
        <v>0</v>
      </c>
      <c r="N1420" s="76">
        <f ca="1">$K$1420-EFEITO!$M$1420*EFEITO!$Z$1420</f>
        <v>0</v>
      </c>
      <c r="O1420" s="76">
        <f>$L$1420-EFEITO!$O$1420*EFEITO!$AA$1420</f>
        <v>0</v>
      </c>
      <c r="P1420" s="57"/>
      <c r="Q1420" s="57"/>
      <c r="R1420" s="57"/>
      <c r="S1420" s="57"/>
      <c r="T1420" s="57"/>
      <c r="U1420" s="57"/>
      <c r="V1420" s="57"/>
      <c r="W1420" s="57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</row>
    <row r="1421" spans="1:36" ht="11.25" customHeight="1" x14ac:dyDescent="0.2">
      <c r="A1421" s="53" t="s">
        <v>21</v>
      </c>
      <c r="B1421" s="53" t="s">
        <v>22</v>
      </c>
      <c r="C1421" s="53" t="s">
        <v>23</v>
      </c>
      <c r="D1421" s="53" t="s">
        <v>24</v>
      </c>
      <c r="E1421" s="53" t="s">
        <v>24</v>
      </c>
      <c r="F1421" s="53" t="s">
        <v>25</v>
      </c>
      <c r="G1421" s="53" t="s">
        <v>25</v>
      </c>
      <c r="H1421" s="53" t="s">
        <v>25</v>
      </c>
      <c r="I1421" s="75">
        <v>44348</v>
      </c>
      <c r="J1421" s="76">
        <f>EFEITO!$J$1421*EFEITO!$Y$1421</f>
        <v>0</v>
      </c>
      <c r="K1421" s="76">
        <f ca="1">EFEITO!$L$1421*EFEITO!$Z$1421</f>
        <v>43710401.176763602</v>
      </c>
      <c r="L1421" s="76">
        <f>EFEITO!$N$1421*EFEITO!$AA$1421</f>
        <v>26591313.092474978</v>
      </c>
      <c r="M1421" s="76">
        <f>$J$1421-EFEITO!$K$1421*EFEITO!$Y$1421</f>
        <v>0</v>
      </c>
      <c r="N1421" s="76">
        <f ca="1">$K$1421-EFEITO!$M$1421*EFEITO!$Z$1421</f>
        <v>0</v>
      </c>
      <c r="O1421" s="76">
        <f>$L$1421-EFEITO!$O$1421*EFEITO!$AA$1421</f>
        <v>0</v>
      </c>
      <c r="P1421" s="57"/>
      <c r="Q1421" s="57"/>
      <c r="R1421" s="57"/>
      <c r="S1421" s="57"/>
      <c r="T1421" s="57"/>
      <c r="U1421" s="57"/>
      <c r="V1421" s="57"/>
      <c r="W1421" s="57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</row>
    <row r="1422" spans="1:36" ht="11.25" customHeight="1" x14ac:dyDescent="0.2">
      <c r="A1422" s="53" t="s">
        <v>27</v>
      </c>
      <c r="B1422" s="53" t="s">
        <v>22</v>
      </c>
      <c r="C1422" s="53" t="s">
        <v>23</v>
      </c>
      <c r="D1422" s="53" t="s">
        <v>24</v>
      </c>
      <c r="E1422" s="53" t="s">
        <v>24</v>
      </c>
      <c r="F1422" s="53" t="s">
        <v>25</v>
      </c>
      <c r="G1422" s="53" t="s">
        <v>25</v>
      </c>
      <c r="H1422" s="53" t="s">
        <v>25</v>
      </c>
      <c r="I1422" s="75">
        <v>44348</v>
      </c>
      <c r="J1422" s="76">
        <f>EFEITO!$J$1422*EFEITO!$Y$1422</f>
        <v>0</v>
      </c>
      <c r="K1422" s="76">
        <f ca="1">EFEITO!$L$1422*EFEITO!$Z$1422</f>
        <v>-387673.48542735068</v>
      </c>
      <c r="L1422" s="76">
        <f>EFEITO!$N$1422*EFEITO!$AA$1422</f>
        <v>-235841.967841051</v>
      </c>
      <c r="M1422" s="76">
        <f>$J$1422-EFEITO!$K$1422*EFEITO!$Y$1422</f>
        <v>0</v>
      </c>
      <c r="N1422" s="76">
        <f ca="1">$K$1422-EFEITO!$M$1422*EFEITO!$Z$1422</f>
        <v>0</v>
      </c>
      <c r="O1422" s="76">
        <f>$L$1422-EFEITO!$O$1422*EFEITO!$AA$1422</f>
        <v>0</v>
      </c>
      <c r="P1422" s="57"/>
      <c r="Q1422" s="57"/>
      <c r="R1422" s="57"/>
      <c r="S1422" s="57"/>
      <c r="T1422" s="57"/>
      <c r="U1422" s="57"/>
      <c r="V1422" s="57"/>
      <c r="W1422" s="57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</row>
    <row r="1423" spans="1:36" ht="11.25" customHeight="1" x14ac:dyDescent="0.2">
      <c r="A1423" s="53" t="s">
        <v>28</v>
      </c>
      <c r="B1423" s="53" t="s">
        <v>22</v>
      </c>
      <c r="C1423" s="53" t="s">
        <v>23</v>
      </c>
      <c r="D1423" s="53" t="s">
        <v>24</v>
      </c>
      <c r="E1423" s="53" t="s">
        <v>24</v>
      </c>
      <c r="F1423" s="53" t="s">
        <v>25</v>
      </c>
      <c r="G1423" s="53" t="s">
        <v>25</v>
      </c>
      <c r="H1423" s="53" t="s">
        <v>25</v>
      </c>
      <c r="I1423" s="75">
        <v>44348</v>
      </c>
      <c r="J1423" s="76">
        <f>EFEITO!$J$1423*EFEITO!$Y$1423</f>
        <v>0</v>
      </c>
      <c r="K1423" s="76">
        <f ca="1">EFEITO!$L$1423*EFEITO!$Z$1423</f>
        <v>323687.36335632351</v>
      </c>
      <c r="L1423" s="76">
        <f>EFEITO!$N$1423*EFEITO!$AA$1423</f>
        <v>196915.87794580407</v>
      </c>
      <c r="M1423" s="76">
        <f>$J$1423-EFEITO!$K$1423*EFEITO!$Y$1423</f>
        <v>0</v>
      </c>
      <c r="N1423" s="76">
        <f ca="1">$K$1423-EFEITO!$M$1423*EFEITO!$Z$1423</f>
        <v>0</v>
      </c>
      <c r="O1423" s="76">
        <f>$L$1423-EFEITO!$O$1423*EFEITO!$AA$1423</f>
        <v>0</v>
      </c>
      <c r="P1423" s="57"/>
      <c r="Q1423" s="57"/>
      <c r="R1423" s="57"/>
      <c r="S1423" s="57"/>
      <c r="T1423" s="57"/>
      <c r="U1423" s="57"/>
      <c r="V1423" s="57"/>
      <c r="W1423" s="57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</row>
    <row r="1424" spans="1:36" ht="11.25" customHeight="1" x14ac:dyDescent="0.2">
      <c r="A1424" s="53" t="s">
        <v>28</v>
      </c>
      <c r="B1424" s="53" t="s">
        <v>22</v>
      </c>
      <c r="C1424" s="53" t="s">
        <v>23</v>
      </c>
      <c r="D1424" s="53" t="s">
        <v>24</v>
      </c>
      <c r="E1424" s="53" t="s">
        <v>24</v>
      </c>
      <c r="F1424" s="53" t="s">
        <v>25</v>
      </c>
      <c r="G1424" s="53" t="s">
        <v>25</v>
      </c>
      <c r="H1424" s="53" t="s">
        <v>25</v>
      </c>
      <c r="I1424" s="75">
        <v>44348</v>
      </c>
      <c r="J1424" s="76">
        <f>EFEITO!$J$1424*EFEITO!$Y$1424</f>
        <v>0</v>
      </c>
      <c r="K1424" s="76">
        <f ca="1">EFEITO!$L$1424*EFEITO!$Z$1424</f>
        <v>4123.9824896901291</v>
      </c>
      <c r="L1424" s="76">
        <f>EFEITO!$N$1424*EFEITO!$AA$1424</f>
        <v>2508.8332895359226</v>
      </c>
      <c r="M1424" s="76">
        <f>$J$1424-EFEITO!$K$1424*EFEITO!$Y$1424</f>
        <v>0</v>
      </c>
      <c r="N1424" s="76">
        <f ca="1">$K$1424-EFEITO!$M$1424*EFEITO!$Z$1424</f>
        <v>0</v>
      </c>
      <c r="O1424" s="76">
        <f>$L$1424-EFEITO!$O$1424*EFEITO!$AA$1424</f>
        <v>0</v>
      </c>
      <c r="P1424" s="57"/>
      <c r="Q1424" s="57"/>
      <c r="R1424" s="57"/>
      <c r="S1424" s="57"/>
      <c r="T1424" s="57"/>
      <c r="U1424" s="57"/>
      <c r="V1424" s="57"/>
      <c r="W1424" s="57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</row>
    <row r="1425" spans="1:36" ht="11.25" customHeight="1" x14ac:dyDescent="0.2">
      <c r="A1425" s="53" t="s">
        <v>21</v>
      </c>
      <c r="B1425" s="53" t="s">
        <v>22</v>
      </c>
      <c r="C1425" s="53" t="s">
        <v>23</v>
      </c>
      <c r="D1425" s="53" t="s">
        <v>24</v>
      </c>
      <c r="E1425" s="53" t="s">
        <v>24</v>
      </c>
      <c r="F1425" s="53" t="s">
        <v>25</v>
      </c>
      <c r="G1425" s="53" t="s">
        <v>25</v>
      </c>
      <c r="H1425" s="53" t="s">
        <v>25</v>
      </c>
      <c r="I1425" s="75">
        <v>44378</v>
      </c>
      <c r="J1425" s="76">
        <f>EFEITO!$J$1425*EFEITO!$Y$1425</f>
        <v>0</v>
      </c>
      <c r="K1425" s="76">
        <f ca="1">EFEITO!$L$1425*EFEITO!$Z$1425</f>
        <v>40709324.337895446</v>
      </c>
      <c r="L1425" s="76">
        <f>EFEITO!$N$1425*EFEITO!$AA$1425</f>
        <v>24765601.781471476</v>
      </c>
      <c r="M1425" s="76">
        <f>$J$1425-EFEITO!$K$1425*EFEITO!$Y$1425</f>
        <v>0</v>
      </c>
      <c r="N1425" s="76">
        <f ca="1">$K$1425-EFEITO!$M$1425*EFEITO!$Z$1425</f>
        <v>0</v>
      </c>
      <c r="O1425" s="76">
        <f>$L$1425-EFEITO!$O$1425*EFEITO!$AA$1425</f>
        <v>0</v>
      </c>
      <c r="P1425" s="57"/>
      <c r="Q1425" s="57"/>
      <c r="R1425" s="57"/>
      <c r="S1425" s="57"/>
      <c r="T1425" s="57"/>
      <c r="U1425" s="57"/>
      <c r="V1425" s="57"/>
      <c r="W1425" s="57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</row>
    <row r="1426" spans="1:36" ht="11.25" customHeight="1" x14ac:dyDescent="0.2">
      <c r="A1426" s="53" t="s">
        <v>27</v>
      </c>
      <c r="B1426" s="53" t="s">
        <v>22</v>
      </c>
      <c r="C1426" s="53" t="s">
        <v>23</v>
      </c>
      <c r="D1426" s="53" t="s">
        <v>24</v>
      </c>
      <c r="E1426" s="53" t="s">
        <v>24</v>
      </c>
      <c r="F1426" s="53" t="s">
        <v>25</v>
      </c>
      <c r="G1426" s="53" t="s">
        <v>25</v>
      </c>
      <c r="H1426" s="53" t="s">
        <v>25</v>
      </c>
      <c r="I1426" s="75">
        <v>44378</v>
      </c>
      <c r="J1426" s="76">
        <f>EFEITO!$J$1426*EFEITO!$Y$1426</f>
        <v>0</v>
      </c>
      <c r="K1426" s="76">
        <f ca="1">EFEITO!$L$1426*EFEITO!$Z$1426</f>
        <v>-325622.43411721342</v>
      </c>
      <c r="L1426" s="76">
        <f>EFEITO!$N$1426*EFEITO!$AA$1426</f>
        <v>-198093.08225126969</v>
      </c>
      <c r="M1426" s="76">
        <f>$J$1426-EFEITO!$K$1426*EFEITO!$Y$1426</f>
        <v>0</v>
      </c>
      <c r="N1426" s="76">
        <f ca="1">$K$1426-EFEITO!$M$1426*EFEITO!$Z$1426</f>
        <v>0</v>
      </c>
      <c r="O1426" s="76">
        <f>$L$1426-EFEITO!$O$1426*EFEITO!$AA$1426</f>
        <v>0</v>
      </c>
      <c r="P1426" s="57"/>
      <c r="Q1426" s="57"/>
      <c r="R1426" s="57"/>
      <c r="S1426" s="57"/>
      <c r="T1426" s="57"/>
      <c r="U1426" s="57"/>
      <c r="V1426" s="57"/>
      <c r="W1426" s="57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</row>
    <row r="1427" spans="1:36" ht="11.25" customHeight="1" x14ac:dyDescent="0.2">
      <c r="A1427" s="53" t="s">
        <v>28</v>
      </c>
      <c r="B1427" s="53" t="s">
        <v>22</v>
      </c>
      <c r="C1427" s="53" t="s">
        <v>23</v>
      </c>
      <c r="D1427" s="53" t="s">
        <v>24</v>
      </c>
      <c r="E1427" s="53" t="s">
        <v>24</v>
      </c>
      <c r="F1427" s="53" t="s">
        <v>25</v>
      </c>
      <c r="G1427" s="53" t="s">
        <v>25</v>
      </c>
      <c r="H1427" s="53" t="s">
        <v>25</v>
      </c>
      <c r="I1427" s="75">
        <v>44378</v>
      </c>
      <c r="J1427" s="76">
        <f>EFEITO!$J$1427*EFEITO!$Y$1427</f>
        <v>0</v>
      </c>
      <c r="K1427" s="76">
        <f ca="1">EFEITO!$L$1427*EFEITO!$Z$1427</f>
        <v>320415.42793906765</v>
      </c>
      <c r="L1427" s="76">
        <f>EFEITO!$N$1427*EFEITO!$AA$1427</f>
        <v>194925.38925761374</v>
      </c>
      <c r="M1427" s="76">
        <f>$J$1427-EFEITO!$K$1427*EFEITO!$Y$1427</f>
        <v>0</v>
      </c>
      <c r="N1427" s="76">
        <f ca="1">$K$1427-EFEITO!$M$1427*EFEITO!$Z$1427</f>
        <v>0</v>
      </c>
      <c r="O1427" s="76">
        <f>$L$1427-EFEITO!$O$1427*EFEITO!$AA$1427</f>
        <v>0</v>
      </c>
      <c r="P1427" s="57"/>
      <c r="Q1427" s="57"/>
      <c r="R1427" s="57"/>
      <c r="S1427" s="57"/>
      <c r="T1427" s="57"/>
      <c r="U1427" s="57"/>
      <c r="V1427" s="57"/>
      <c r="W1427" s="57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</row>
    <row r="1428" spans="1:36" ht="11.25" customHeight="1" x14ac:dyDescent="0.2">
      <c r="A1428" s="53" t="s">
        <v>28</v>
      </c>
      <c r="B1428" s="53" t="s">
        <v>22</v>
      </c>
      <c r="C1428" s="53" t="s">
        <v>23</v>
      </c>
      <c r="D1428" s="53" t="s">
        <v>24</v>
      </c>
      <c r="E1428" s="53" t="s">
        <v>24</v>
      </c>
      <c r="F1428" s="53" t="s">
        <v>25</v>
      </c>
      <c r="G1428" s="53" t="s">
        <v>25</v>
      </c>
      <c r="H1428" s="53" t="s">
        <v>25</v>
      </c>
      <c r="I1428" s="75">
        <v>44378</v>
      </c>
      <c r="J1428" s="76">
        <f>EFEITO!$J$1428*EFEITO!$Y$1428</f>
        <v>0</v>
      </c>
      <c r="K1428" s="76">
        <f ca="1">EFEITO!$L$1428*EFEITO!$Z$1428</f>
        <v>20.064635331146814</v>
      </c>
      <c r="L1428" s="76">
        <f>EFEITO!$N$1428*EFEITO!$AA$1428</f>
        <v>12.206362463232029</v>
      </c>
      <c r="M1428" s="76">
        <f>$J$1428-EFEITO!$K$1428*EFEITO!$Y$1428</f>
        <v>0</v>
      </c>
      <c r="N1428" s="76">
        <f ca="1">$K$1428-EFEITO!$M$1428*EFEITO!$Z$1428</f>
        <v>0</v>
      </c>
      <c r="O1428" s="76">
        <f>$L$1428-EFEITO!$O$1428*EFEITO!$AA$1428</f>
        <v>0</v>
      </c>
      <c r="P1428" s="57"/>
      <c r="Q1428" s="57"/>
      <c r="R1428" s="57"/>
      <c r="S1428" s="57"/>
      <c r="T1428" s="57"/>
      <c r="U1428" s="57"/>
      <c r="V1428" s="57"/>
      <c r="W1428" s="57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</row>
    <row r="1429" spans="1:36" ht="11.25" customHeight="1" x14ac:dyDescent="0.2">
      <c r="A1429" s="53" t="s">
        <v>21</v>
      </c>
      <c r="B1429" s="53" t="s">
        <v>22</v>
      </c>
      <c r="C1429" s="53" t="s">
        <v>23</v>
      </c>
      <c r="D1429" s="53" t="s">
        <v>24</v>
      </c>
      <c r="E1429" s="53" t="s">
        <v>24</v>
      </c>
      <c r="F1429" s="53" t="s">
        <v>25</v>
      </c>
      <c r="G1429" s="53" t="s">
        <v>25</v>
      </c>
      <c r="H1429" s="53" t="s">
        <v>25</v>
      </c>
      <c r="I1429" s="75">
        <v>44409</v>
      </c>
      <c r="J1429" s="76">
        <f>EFEITO!$J$1429*EFEITO!$Y$1429</f>
        <v>0</v>
      </c>
      <c r="K1429" s="76">
        <f ca="1">EFEITO!$L$1429*EFEITO!$Z$1429</f>
        <v>39646620.058977731</v>
      </c>
      <c r="L1429" s="76">
        <f>EFEITO!$N$1429*EFEITO!$AA$1429</f>
        <v>24119103.432231065</v>
      </c>
      <c r="M1429" s="76">
        <f>$J$1429-EFEITO!$K$1429*EFEITO!$Y$1429</f>
        <v>0</v>
      </c>
      <c r="N1429" s="76">
        <f ca="1">$K$1429-EFEITO!$M$1429*EFEITO!$Z$1429</f>
        <v>0</v>
      </c>
      <c r="O1429" s="76">
        <f>$L$1429-EFEITO!$O$1429*EFEITO!$AA$1429</f>
        <v>0</v>
      </c>
      <c r="P1429" s="57"/>
      <c r="Q1429" s="57"/>
      <c r="R1429" s="57"/>
      <c r="S1429" s="57"/>
      <c r="T1429" s="57"/>
      <c r="U1429" s="57"/>
      <c r="V1429" s="57"/>
      <c r="W1429" s="57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</row>
    <row r="1430" spans="1:36" ht="11.25" customHeight="1" x14ac:dyDescent="0.2">
      <c r="A1430" s="53" t="s">
        <v>27</v>
      </c>
      <c r="B1430" s="53" t="s">
        <v>22</v>
      </c>
      <c r="C1430" s="53" t="s">
        <v>23</v>
      </c>
      <c r="D1430" s="53" t="s">
        <v>24</v>
      </c>
      <c r="E1430" s="53" t="s">
        <v>24</v>
      </c>
      <c r="F1430" s="53" t="s">
        <v>25</v>
      </c>
      <c r="G1430" s="53" t="s">
        <v>25</v>
      </c>
      <c r="H1430" s="53" t="s">
        <v>25</v>
      </c>
      <c r="I1430" s="75">
        <v>44409</v>
      </c>
      <c r="J1430" s="76">
        <f>EFEITO!$J$1430*EFEITO!$Y$1430</f>
        <v>0</v>
      </c>
      <c r="K1430" s="76">
        <f ca="1">EFEITO!$L$1430*EFEITO!$Z$1430</f>
        <v>-274402.55293048499</v>
      </c>
      <c r="L1430" s="76">
        <f>EFEITO!$N$1430*EFEITO!$AA$1430</f>
        <v>-166933.36144047778</v>
      </c>
      <c r="M1430" s="76">
        <f>$J$1430-EFEITO!$K$1430*EFEITO!$Y$1430</f>
        <v>0</v>
      </c>
      <c r="N1430" s="76">
        <f ca="1">$K$1430-EFEITO!$M$1430*EFEITO!$Z$1430</f>
        <v>0</v>
      </c>
      <c r="O1430" s="76">
        <f>$L$1430-EFEITO!$O$1430*EFEITO!$AA$1430</f>
        <v>0</v>
      </c>
      <c r="P1430" s="57"/>
      <c r="Q1430" s="57"/>
      <c r="R1430" s="57"/>
      <c r="S1430" s="57"/>
      <c r="T1430" s="57"/>
      <c r="U1430" s="57"/>
      <c r="V1430" s="57"/>
      <c r="W1430" s="57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</row>
    <row r="1431" spans="1:36" ht="11.25" customHeight="1" x14ac:dyDescent="0.2">
      <c r="A1431" s="53" t="s">
        <v>28</v>
      </c>
      <c r="B1431" s="53" t="s">
        <v>22</v>
      </c>
      <c r="C1431" s="53" t="s">
        <v>23</v>
      </c>
      <c r="D1431" s="53" t="s">
        <v>24</v>
      </c>
      <c r="E1431" s="53" t="s">
        <v>24</v>
      </c>
      <c r="F1431" s="53" t="s">
        <v>25</v>
      </c>
      <c r="G1431" s="53" t="s">
        <v>25</v>
      </c>
      <c r="H1431" s="53" t="s">
        <v>25</v>
      </c>
      <c r="I1431" s="75">
        <v>44409</v>
      </c>
      <c r="J1431" s="76">
        <f>EFEITO!$J$1431*EFEITO!$Y$1431</f>
        <v>0</v>
      </c>
      <c r="K1431" s="76">
        <f ca="1">EFEITO!$L$1431*EFEITO!$Z$1431</f>
        <v>334070.1122110525</v>
      </c>
      <c r="L1431" s="76">
        <f>EFEITO!$N$1431*EFEITO!$AA$1431</f>
        <v>203232.24471718489</v>
      </c>
      <c r="M1431" s="76">
        <f>$J$1431-EFEITO!$K$1431*EFEITO!$Y$1431</f>
        <v>0</v>
      </c>
      <c r="N1431" s="76">
        <f ca="1">$K$1431-EFEITO!$M$1431*EFEITO!$Z$1431</f>
        <v>0</v>
      </c>
      <c r="O1431" s="76">
        <f>$L$1431-EFEITO!$O$1431*EFEITO!$AA$1431</f>
        <v>0</v>
      </c>
      <c r="P1431" s="57"/>
      <c r="Q1431" s="57"/>
      <c r="R1431" s="57"/>
      <c r="S1431" s="57"/>
      <c r="T1431" s="57"/>
      <c r="U1431" s="57"/>
      <c r="V1431" s="57"/>
      <c r="W1431" s="57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</row>
    <row r="1432" spans="1:36" ht="11.25" customHeight="1" x14ac:dyDescent="0.2">
      <c r="A1432" s="53" t="s">
        <v>28</v>
      </c>
      <c r="B1432" s="53" t="s">
        <v>22</v>
      </c>
      <c r="C1432" s="53" t="s">
        <v>23</v>
      </c>
      <c r="D1432" s="53" t="s">
        <v>24</v>
      </c>
      <c r="E1432" s="53" t="s">
        <v>24</v>
      </c>
      <c r="F1432" s="53" t="s">
        <v>25</v>
      </c>
      <c r="G1432" s="53" t="s">
        <v>25</v>
      </c>
      <c r="H1432" s="53" t="s">
        <v>25</v>
      </c>
      <c r="I1432" s="75">
        <v>44409</v>
      </c>
      <c r="J1432" s="76">
        <f>EFEITO!$J$1432*EFEITO!$Y$1432</f>
        <v>0</v>
      </c>
      <c r="K1432" s="76">
        <f ca="1">EFEITO!$L$1432*EFEITO!$Z$1432</f>
        <v>-8578.3315332047223</v>
      </c>
      <c r="L1432" s="76">
        <f>EFEITO!$N$1432*EFEITO!$AA$1432</f>
        <v>-5218.6457563734339</v>
      </c>
      <c r="M1432" s="76">
        <f>$J$1432-EFEITO!$K$1432*EFEITO!$Y$1432</f>
        <v>0</v>
      </c>
      <c r="N1432" s="76">
        <f ca="1">$K$1432-EFEITO!$M$1432*EFEITO!$Z$1432</f>
        <v>0</v>
      </c>
      <c r="O1432" s="76">
        <f>$L$1432-EFEITO!$O$1432*EFEITO!$AA$1432</f>
        <v>0</v>
      </c>
      <c r="P1432" s="57"/>
      <c r="Q1432" s="57"/>
      <c r="R1432" s="57"/>
      <c r="S1432" s="57"/>
      <c r="T1432" s="57"/>
      <c r="U1432" s="57"/>
      <c r="V1432" s="57"/>
      <c r="W1432" s="57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</row>
    <row r="1433" spans="1:36" ht="11.25" customHeight="1" x14ac:dyDescent="0.2">
      <c r="A1433" s="53" t="s">
        <v>21</v>
      </c>
      <c r="B1433" s="53" t="s">
        <v>22</v>
      </c>
      <c r="C1433" s="53" t="s">
        <v>23</v>
      </c>
      <c r="D1433" s="53" t="s">
        <v>24</v>
      </c>
      <c r="E1433" s="53" t="s">
        <v>24</v>
      </c>
      <c r="F1433" s="53" t="s">
        <v>25</v>
      </c>
      <c r="G1433" s="53" t="s">
        <v>25</v>
      </c>
      <c r="H1433" s="53" t="s">
        <v>25</v>
      </c>
      <c r="I1433" s="75">
        <v>44440</v>
      </c>
      <c r="J1433" s="76">
        <f>EFEITO!$J$1433*EFEITO!$Y$1433</f>
        <v>0</v>
      </c>
      <c r="K1433" s="76">
        <f ca="1">EFEITO!$L$1433*EFEITO!$Z$1433</f>
        <v>41976347.265009657</v>
      </c>
      <c r="L1433" s="76">
        <f>EFEITO!$N$1433*EFEITO!$AA$1433</f>
        <v>25536397.803543873</v>
      </c>
      <c r="M1433" s="76">
        <f>$J$1433-EFEITO!$K$1433*EFEITO!$Y$1433</f>
        <v>0</v>
      </c>
      <c r="N1433" s="76">
        <f ca="1">$K$1433-EFEITO!$M$1433*EFEITO!$Z$1433</f>
        <v>0</v>
      </c>
      <c r="O1433" s="76">
        <f>$L$1433-EFEITO!$O$1433*EFEITO!$AA$1433</f>
        <v>0</v>
      </c>
      <c r="P1433" s="57"/>
      <c r="Q1433" s="57"/>
      <c r="R1433" s="57"/>
      <c r="S1433" s="57"/>
      <c r="T1433" s="57"/>
      <c r="U1433" s="57"/>
      <c r="V1433" s="57"/>
      <c r="W1433" s="57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</row>
    <row r="1434" spans="1:36" ht="11.25" customHeight="1" x14ac:dyDescent="0.2">
      <c r="A1434" s="53" t="s">
        <v>27</v>
      </c>
      <c r="B1434" s="53" t="s">
        <v>22</v>
      </c>
      <c r="C1434" s="53" t="s">
        <v>23</v>
      </c>
      <c r="D1434" s="53" t="s">
        <v>24</v>
      </c>
      <c r="E1434" s="53" t="s">
        <v>24</v>
      </c>
      <c r="F1434" s="53" t="s">
        <v>25</v>
      </c>
      <c r="G1434" s="53" t="s">
        <v>25</v>
      </c>
      <c r="H1434" s="53" t="s">
        <v>25</v>
      </c>
      <c r="I1434" s="75">
        <v>44440</v>
      </c>
      <c r="J1434" s="76">
        <f>EFEITO!$J$1434*EFEITO!$Y$1434</f>
        <v>0</v>
      </c>
      <c r="K1434" s="76">
        <f ca="1">EFEITO!$L$1434*EFEITO!$Z$1434</f>
        <v>-244361.12764549509</v>
      </c>
      <c r="L1434" s="76">
        <f>EFEITO!$N$1434*EFEITO!$AA$1434</f>
        <v>-148657.59814407447</v>
      </c>
      <c r="M1434" s="76">
        <f>$J$1434-EFEITO!$K$1434*EFEITO!$Y$1434</f>
        <v>0</v>
      </c>
      <c r="N1434" s="76">
        <f ca="1">$K$1434-EFEITO!$M$1434*EFEITO!$Z$1434</f>
        <v>0</v>
      </c>
      <c r="O1434" s="76">
        <f>$L$1434-EFEITO!$O$1434*EFEITO!$AA$1434</f>
        <v>0</v>
      </c>
      <c r="P1434" s="57"/>
      <c r="Q1434" s="57"/>
      <c r="R1434" s="57"/>
      <c r="S1434" s="57"/>
      <c r="T1434" s="57"/>
      <c r="U1434" s="57"/>
      <c r="V1434" s="57"/>
      <c r="W1434" s="57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</row>
    <row r="1435" spans="1:36" ht="11.25" customHeight="1" x14ac:dyDescent="0.2">
      <c r="A1435" s="53" t="s">
        <v>28</v>
      </c>
      <c r="B1435" s="53" t="s">
        <v>22</v>
      </c>
      <c r="C1435" s="53" t="s">
        <v>23</v>
      </c>
      <c r="D1435" s="53" t="s">
        <v>24</v>
      </c>
      <c r="E1435" s="53" t="s">
        <v>24</v>
      </c>
      <c r="F1435" s="53" t="s">
        <v>25</v>
      </c>
      <c r="G1435" s="53" t="s">
        <v>25</v>
      </c>
      <c r="H1435" s="53" t="s">
        <v>25</v>
      </c>
      <c r="I1435" s="75">
        <v>44440</v>
      </c>
      <c r="J1435" s="76">
        <f>EFEITO!$J$1435*EFEITO!$Y$1435</f>
        <v>0</v>
      </c>
      <c r="K1435" s="76">
        <f ca="1">EFEITO!$L$1435*EFEITO!$Z$1435</f>
        <v>357574.66595292522</v>
      </c>
      <c r="L1435" s="76">
        <f>EFEITO!$N$1435*EFEITO!$AA$1435</f>
        <v>217531.28867062498</v>
      </c>
      <c r="M1435" s="76">
        <f>$J$1435-EFEITO!$K$1435*EFEITO!$Y$1435</f>
        <v>0</v>
      </c>
      <c r="N1435" s="76">
        <f ca="1">$K$1435-EFEITO!$M$1435*EFEITO!$Z$1435</f>
        <v>0</v>
      </c>
      <c r="O1435" s="76">
        <f>$L$1435-EFEITO!$O$1435*EFEITO!$AA$1435</f>
        <v>0</v>
      </c>
      <c r="P1435" s="57"/>
      <c r="Q1435" s="57"/>
      <c r="R1435" s="57"/>
      <c r="S1435" s="57"/>
      <c r="T1435" s="57"/>
      <c r="U1435" s="57"/>
      <c r="V1435" s="57"/>
      <c r="W1435" s="57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</row>
    <row r="1436" spans="1:36" ht="11.25" customHeight="1" x14ac:dyDescent="0.2">
      <c r="A1436" s="53" t="s">
        <v>28</v>
      </c>
      <c r="B1436" s="53" t="s">
        <v>22</v>
      </c>
      <c r="C1436" s="53" t="s">
        <v>23</v>
      </c>
      <c r="D1436" s="53" t="s">
        <v>24</v>
      </c>
      <c r="E1436" s="53" t="s">
        <v>24</v>
      </c>
      <c r="F1436" s="53" t="s">
        <v>25</v>
      </c>
      <c r="G1436" s="53" t="s">
        <v>25</v>
      </c>
      <c r="H1436" s="53" t="s">
        <v>25</v>
      </c>
      <c r="I1436" s="75">
        <v>44440</v>
      </c>
      <c r="J1436" s="76">
        <f>EFEITO!$J$1436*EFEITO!$Y$1436</f>
        <v>0</v>
      </c>
      <c r="K1436" s="76">
        <f ca="1">EFEITO!$L$1436*EFEITO!$Z$1436</f>
        <v>-869.31199120759345</v>
      </c>
      <c r="L1436" s="76">
        <f>EFEITO!$N$1436*EFEITO!$AA$1436</f>
        <v>-528.84775044189007</v>
      </c>
      <c r="M1436" s="76">
        <f>$J$1436-EFEITO!$K$1436*EFEITO!$Y$1436</f>
        <v>0</v>
      </c>
      <c r="N1436" s="76">
        <f ca="1">$K$1436-EFEITO!$M$1436*EFEITO!$Z$1436</f>
        <v>0</v>
      </c>
      <c r="O1436" s="76">
        <f>$L$1436-EFEITO!$O$1436*EFEITO!$AA$1436</f>
        <v>0</v>
      </c>
      <c r="P1436" s="57"/>
      <c r="Q1436" s="57"/>
      <c r="R1436" s="57"/>
      <c r="S1436" s="57"/>
      <c r="T1436" s="57"/>
      <c r="U1436" s="57"/>
      <c r="V1436" s="57"/>
      <c r="W1436" s="57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</row>
    <row r="1437" spans="1:36" ht="11.25" customHeight="1" x14ac:dyDescent="0.2">
      <c r="A1437" s="53" t="s">
        <v>21</v>
      </c>
      <c r="B1437" s="53" t="s">
        <v>22</v>
      </c>
      <c r="C1437" s="53" t="s">
        <v>23</v>
      </c>
      <c r="D1437" s="53" t="s">
        <v>24</v>
      </c>
      <c r="E1437" s="53" t="s">
        <v>24</v>
      </c>
      <c r="F1437" s="53" t="s">
        <v>25</v>
      </c>
      <c r="G1437" s="53" t="s">
        <v>25</v>
      </c>
      <c r="H1437" s="53" t="s">
        <v>25</v>
      </c>
      <c r="I1437" s="75">
        <v>44470</v>
      </c>
      <c r="J1437" s="76">
        <f>EFEITO!$J$1437*EFEITO!$Y$1437</f>
        <v>0</v>
      </c>
      <c r="K1437" s="76">
        <f ca="1">EFEITO!$L$1437*EFEITO!$Z$1437</f>
        <v>44804014.793099232</v>
      </c>
      <c r="L1437" s="76">
        <f>EFEITO!$N$1437*EFEITO!$AA$1437</f>
        <v>27256615.201155555</v>
      </c>
      <c r="M1437" s="76">
        <f>$J$1437-EFEITO!$K$1437*EFEITO!$Y$1437</f>
        <v>0</v>
      </c>
      <c r="N1437" s="76">
        <f ca="1">$K$1437-EFEITO!$M$1437*EFEITO!$Z$1437</f>
        <v>0</v>
      </c>
      <c r="O1437" s="76">
        <f>$L$1437-EFEITO!$O$1437*EFEITO!$AA$1437</f>
        <v>0</v>
      </c>
      <c r="P1437" s="57"/>
      <c r="Q1437" s="57"/>
      <c r="R1437" s="57"/>
      <c r="S1437" s="57"/>
      <c r="T1437" s="57"/>
      <c r="U1437" s="57"/>
      <c r="V1437" s="57"/>
      <c r="W1437" s="57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</row>
    <row r="1438" spans="1:36" ht="11.25" customHeight="1" x14ac:dyDescent="0.2">
      <c r="A1438" s="53" t="s">
        <v>27</v>
      </c>
      <c r="B1438" s="53" t="s">
        <v>22</v>
      </c>
      <c r="C1438" s="53" t="s">
        <v>23</v>
      </c>
      <c r="D1438" s="53" t="s">
        <v>24</v>
      </c>
      <c r="E1438" s="53" t="s">
        <v>24</v>
      </c>
      <c r="F1438" s="53" t="s">
        <v>25</v>
      </c>
      <c r="G1438" s="53" t="s">
        <v>25</v>
      </c>
      <c r="H1438" s="53" t="s">
        <v>25</v>
      </c>
      <c r="I1438" s="75">
        <v>44470</v>
      </c>
      <c r="J1438" s="76">
        <f>EFEITO!$J$1438*EFEITO!$Y$1438</f>
        <v>0</v>
      </c>
      <c r="K1438" s="76">
        <f ca="1">EFEITO!$L$1438*EFEITO!$Z$1438</f>
        <v>-329688.08917861537</v>
      </c>
      <c r="L1438" s="76">
        <f>EFEITO!$N$1438*EFEITO!$AA$1438</f>
        <v>-200566.43192899393</v>
      </c>
      <c r="M1438" s="76">
        <f>$J$1438-EFEITO!$K$1438*EFEITO!$Y$1438</f>
        <v>0</v>
      </c>
      <c r="N1438" s="76">
        <f ca="1">$K$1438-EFEITO!$M$1438*EFEITO!$Z$1438</f>
        <v>0</v>
      </c>
      <c r="O1438" s="76">
        <f>$L$1438-EFEITO!$O$1438*EFEITO!$AA$1438</f>
        <v>0</v>
      </c>
      <c r="P1438" s="57"/>
      <c r="Q1438" s="57"/>
      <c r="R1438" s="57"/>
      <c r="S1438" s="57"/>
      <c r="T1438" s="57"/>
      <c r="U1438" s="57"/>
      <c r="V1438" s="57"/>
      <c r="W1438" s="57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</row>
    <row r="1439" spans="1:36" ht="11.25" customHeight="1" x14ac:dyDescent="0.2">
      <c r="A1439" s="53" t="s">
        <v>28</v>
      </c>
      <c r="B1439" s="53" t="s">
        <v>22</v>
      </c>
      <c r="C1439" s="53" t="s">
        <v>23</v>
      </c>
      <c r="D1439" s="53" t="s">
        <v>24</v>
      </c>
      <c r="E1439" s="53" t="s">
        <v>24</v>
      </c>
      <c r="F1439" s="53" t="s">
        <v>25</v>
      </c>
      <c r="G1439" s="53" t="s">
        <v>25</v>
      </c>
      <c r="H1439" s="53" t="s">
        <v>25</v>
      </c>
      <c r="I1439" s="75">
        <v>44470</v>
      </c>
      <c r="J1439" s="76">
        <f>EFEITO!$J$1439*EFEITO!$Y$1439</f>
        <v>0</v>
      </c>
      <c r="K1439" s="76">
        <f ca="1">EFEITO!$L$1439*EFEITO!$Z$1439</f>
        <v>384973.62542674568</v>
      </c>
      <c r="L1439" s="76">
        <f>EFEITO!$N$1439*EFEITO!$AA$1439</f>
        <v>234199.50241751008</v>
      </c>
      <c r="M1439" s="76">
        <f>$J$1439-EFEITO!$K$1439*EFEITO!$Y$1439</f>
        <v>0</v>
      </c>
      <c r="N1439" s="76">
        <f ca="1">$K$1439-EFEITO!$M$1439*EFEITO!$Z$1439</f>
        <v>0</v>
      </c>
      <c r="O1439" s="76">
        <f>$L$1439-EFEITO!$O$1439*EFEITO!$AA$1439</f>
        <v>0</v>
      </c>
      <c r="P1439" s="57"/>
      <c r="Q1439" s="57"/>
      <c r="R1439" s="57"/>
      <c r="S1439" s="57"/>
      <c r="T1439" s="57"/>
      <c r="U1439" s="57"/>
      <c r="V1439" s="57"/>
      <c r="W1439" s="57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</row>
    <row r="1440" spans="1:36" ht="11.25" customHeight="1" x14ac:dyDescent="0.2">
      <c r="A1440" s="53" t="s">
        <v>28</v>
      </c>
      <c r="B1440" s="53" t="s">
        <v>22</v>
      </c>
      <c r="C1440" s="53" t="s">
        <v>23</v>
      </c>
      <c r="D1440" s="53" t="s">
        <v>24</v>
      </c>
      <c r="E1440" s="53" t="s">
        <v>24</v>
      </c>
      <c r="F1440" s="53" t="s">
        <v>25</v>
      </c>
      <c r="G1440" s="53" t="s">
        <v>25</v>
      </c>
      <c r="H1440" s="53" t="s">
        <v>25</v>
      </c>
      <c r="I1440" s="75">
        <v>44470</v>
      </c>
      <c r="J1440" s="76">
        <f>EFEITO!$J$1440*EFEITO!$Y$1440</f>
        <v>0</v>
      </c>
      <c r="K1440" s="76">
        <f ca="1">EFEITO!$L$1440*EFEITO!$Z$1440</f>
        <v>-16196.826906498538</v>
      </c>
      <c r="L1440" s="76">
        <f>EFEITO!$N$1440*EFEITO!$AA$1440</f>
        <v>-9853.3731967731856</v>
      </c>
      <c r="M1440" s="76">
        <f>$J$1440-EFEITO!$K$1440*EFEITO!$Y$1440</f>
        <v>0</v>
      </c>
      <c r="N1440" s="76">
        <f ca="1">$K$1440-EFEITO!$M$1440*EFEITO!$Z$1440</f>
        <v>0</v>
      </c>
      <c r="O1440" s="76">
        <f>$L$1440-EFEITO!$O$1440*EFEITO!$AA$1440</f>
        <v>0</v>
      </c>
      <c r="P1440" s="57"/>
      <c r="Q1440" s="57"/>
      <c r="R1440" s="57"/>
      <c r="S1440" s="57"/>
      <c r="T1440" s="57"/>
      <c r="U1440" s="57"/>
      <c r="V1440" s="57"/>
      <c r="W1440" s="57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</row>
    <row r="1441" spans="1:36" ht="11.25" customHeight="1" x14ac:dyDescent="0.2">
      <c r="A1441" s="53" t="s">
        <v>21</v>
      </c>
      <c r="B1441" s="53" t="s">
        <v>22</v>
      </c>
      <c r="C1441" s="53" t="s">
        <v>23</v>
      </c>
      <c r="D1441" s="53" t="s">
        <v>24</v>
      </c>
      <c r="E1441" s="53" t="s">
        <v>24</v>
      </c>
      <c r="F1441" s="53" t="s">
        <v>25</v>
      </c>
      <c r="G1441" s="53" t="s">
        <v>25</v>
      </c>
      <c r="H1441" s="53" t="s">
        <v>25</v>
      </c>
      <c r="I1441" s="75">
        <v>44501</v>
      </c>
      <c r="J1441" s="76">
        <f>EFEITO!$J$1441*EFEITO!$Y$1441</f>
        <v>0</v>
      </c>
      <c r="K1441" s="76">
        <f ca="1">EFEITO!$L$1441*EFEITO!$Z$1441</f>
        <v>47275368.460925765</v>
      </c>
      <c r="L1441" s="76">
        <f>EFEITO!$N$1441*EFEITO!$AA$1441</f>
        <v>28760068.323849529</v>
      </c>
      <c r="M1441" s="76">
        <f>$J$1441-EFEITO!$K$1441*EFEITO!$Y$1441</f>
        <v>0</v>
      </c>
      <c r="N1441" s="76">
        <f ca="1">$K$1441-EFEITO!$M$1441*EFEITO!$Z$1441</f>
        <v>0</v>
      </c>
      <c r="O1441" s="76">
        <f>$L$1441-EFEITO!$O$1441*EFEITO!$AA$1441</f>
        <v>0</v>
      </c>
      <c r="P1441" s="57"/>
      <c r="Q1441" s="57"/>
      <c r="R1441" s="57"/>
      <c r="S1441" s="57"/>
      <c r="T1441" s="57"/>
      <c r="U1441" s="57"/>
      <c r="V1441" s="57"/>
      <c r="W1441" s="57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</row>
    <row r="1442" spans="1:36" ht="11.25" customHeight="1" x14ac:dyDescent="0.2">
      <c r="A1442" s="53" t="s">
        <v>27</v>
      </c>
      <c r="B1442" s="53" t="s">
        <v>22</v>
      </c>
      <c r="C1442" s="53" t="s">
        <v>23</v>
      </c>
      <c r="D1442" s="53" t="s">
        <v>24</v>
      </c>
      <c r="E1442" s="53" t="s">
        <v>24</v>
      </c>
      <c r="F1442" s="53" t="s">
        <v>25</v>
      </c>
      <c r="G1442" s="53" t="s">
        <v>25</v>
      </c>
      <c r="H1442" s="53" t="s">
        <v>25</v>
      </c>
      <c r="I1442" s="75">
        <v>44501</v>
      </c>
      <c r="J1442" s="76">
        <f>EFEITO!$J$1442*EFEITO!$Y$1442</f>
        <v>0</v>
      </c>
      <c r="K1442" s="76">
        <f ca="1">EFEITO!$L$1442*EFEITO!$Z$1442</f>
        <v>-193030.19103530588</v>
      </c>
      <c r="L1442" s="76">
        <f>EFEITO!$N$1442*EFEITO!$AA$1442</f>
        <v>-117430.31653639302</v>
      </c>
      <c r="M1442" s="76">
        <f>$J$1442-EFEITO!$K$1442*EFEITO!$Y$1442</f>
        <v>0</v>
      </c>
      <c r="N1442" s="76">
        <f ca="1">$K$1442-EFEITO!$M$1442*EFEITO!$Z$1442</f>
        <v>0</v>
      </c>
      <c r="O1442" s="76">
        <f>$L$1442-EFEITO!$O$1442*EFEITO!$AA$1442</f>
        <v>0</v>
      </c>
      <c r="P1442" s="57"/>
      <c r="Q1442" s="57"/>
      <c r="R1442" s="57"/>
      <c r="S1442" s="57"/>
      <c r="T1442" s="57"/>
      <c r="U1442" s="57"/>
      <c r="V1442" s="57"/>
      <c r="W1442" s="57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</row>
    <row r="1443" spans="1:36" ht="11.25" customHeight="1" x14ac:dyDescent="0.2">
      <c r="A1443" s="53" t="s">
        <v>28</v>
      </c>
      <c r="B1443" s="53" t="s">
        <v>22</v>
      </c>
      <c r="C1443" s="53" t="s">
        <v>23</v>
      </c>
      <c r="D1443" s="53" t="s">
        <v>24</v>
      </c>
      <c r="E1443" s="53" t="s">
        <v>24</v>
      </c>
      <c r="F1443" s="53" t="s">
        <v>25</v>
      </c>
      <c r="G1443" s="53" t="s">
        <v>25</v>
      </c>
      <c r="H1443" s="53" t="s">
        <v>25</v>
      </c>
      <c r="I1443" s="75">
        <v>44501</v>
      </c>
      <c r="J1443" s="76">
        <f>EFEITO!$J$1443*EFEITO!$Y$1443</f>
        <v>0</v>
      </c>
      <c r="K1443" s="76">
        <f ca="1">EFEITO!$L$1443*EFEITO!$Z$1443</f>
        <v>404699.49505439459</v>
      </c>
      <c r="L1443" s="76">
        <f>EFEITO!$N$1443*EFEITO!$AA$1443</f>
        <v>246199.77606333964</v>
      </c>
      <c r="M1443" s="76">
        <f>$J$1443-EFEITO!$K$1443*EFEITO!$Y$1443</f>
        <v>0</v>
      </c>
      <c r="N1443" s="76">
        <f ca="1">$K$1443-EFEITO!$M$1443*EFEITO!$Z$1443</f>
        <v>0</v>
      </c>
      <c r="O1443" s="76">
        <f>$L$1443-EFEITO!$O$1443*EFEITO!$AA$1443</f>
        <v>0</v>
      </c>
      <c r="P1443" s="57"/>
      <c r="Q1443" s="57"/>
      <c r="R1443" s="57"/>
      <c r="S1443" s="57"/>
      <c r="T1443" s="57"/>
      <c r="U1443" s="57"/>
      <c r="V1443" s="57"/>
      <c r="W1443" s="57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</row>
    <row r="1444" spans="1:36" ht="11.25" customHeight="1" x14ac:dyDescent="0.2">
      <c r="A1444" s="53" t="s">
        <v>28</v>
      </c>
      <c r="B1444" s="53" t="s">
        <v>22</v>
      </c>
      <c r="C1444" s="53" t="s">
        <v>23</v>
      </c>
      <c r="D1444" s="53" t="s">
        <v>24</v>
      </c>
      <c r="E1444" s="53" t="s">
        <v>24</v>
      </c>
      <c r="F1444" s="53" t="s">
        <v>25</v>
      </c>
      <c r="G1444" s="53" t="s">
        <v>25</v>
      </c>
      <c r="H1444" s="53" t="s">
        <v>25</v>
      </c>
      <c r="I1444" s="75">
        <v>44501</v>
      </c>
      <c r="J1444" s="76">
        <f>EFEITO!$J$1444*EFEITO!$Y$1444</f>
        <v>0</v>
      </c>
      <c r="K1444" s="76">
        <f ca="1">EFEITO!$L$1444*EFEITO!$Z$1444</f>
        <v>924.37308351167087</v>
      </c>
      <c r="L1444" s="76">
        <f>EFEITO!$N$1444*EFEITO!$AA$1444</f>
        <v>562.34427999215472</v>
      </c>
      <c r="M1444" s="76">
        <f>$J$1444-EFEITO!$K$1444*EFEITO!$Y$1444</f>
        <v>0</v>
      </c>
      <c r="N1444" s="76">
        <f ca="1">$K$1444-EFEITO!$M$1444*EFEITO!$Z$1444</f>
        <v>0</v>
      </c>
      <c r="O1444" s="76">
        <f>$L$1444-EFEITO!$O$1444*EFEITO!$AA$1444</f>
        <v>0</v>
      </c>
      <c r="P1444" s="57"/>
      <c r="Q1444" s="57"/>
      <c r="R1444" s="57"/>
      <c r="S1444" s="57"/>
      <c r="T1444" s="57"/>
      <c r="U1444" s="57"/>
      <c r="V1444" s="57"/>
      <c r="W1444" s="57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</row>
    <row r="1445" spans="1:36" ht="11.25" customHeight="1" x14ac:dyDescent="0.2">
      <c r="A1445" s="53" t="s">
        <v>21</v>
      </c>
      <c r="B1445" s="53" t="s">
        <v>22</v>
      </c>
      <c r="C1445" s="53" t="s">
        <v>23</v>
      </c>
      <c r="D1445" s="53" t="s">
        <v>24</v>
      </c>
      <c r="E1445" s="53" t="s">
        <v>24</v>
      </c>
      <c r="F1445" s="53" t="s">
        <v>25</v>
      </c>
      <c r="G1445" s="53" t="s">
        <v>25</v>
      </c>
      <c r="H1445" s="53" t="s">
        <v>25</v>
      </c>
      <c r="I1445" s="75">
        <v>44531</v>
      </c>
      <c r="J1445" s="76">
        <f>EFEITO!$J$1445*EFEITO!$Y$1445</f>
        <v>0</v>
      </c>
      <c r="K1445" s="76">
        <f ca="1">EFEITO!$L$1445*EFEITO!$Z$1445</f>
        <v>48272311.130855352</v>
      </c>
      <c r="L1445" s="76">
        <f>EFEITO!$N$1445*EFEITO!$AA$1445</f>
        <v>29366560.462051142</v>
      </c>
      <c r="M1445" s="76">
        <f>$J$1445-EFEITO!$K$1445*EFEITO!$Y$1445</f>
        <v>0</v>
      </c>
      <c r="N1445" s="76">
        <f ca="1">$K$1445-EFEITO!$M$1445*EFEITO!$Z$1445</f>
        <v>0</v>
      </c>
      <c r="O1445" s="76">
        <f>$L$1445-EFEITO!$O$1445*EFEITO!$AA$1445</f>
        <v>0</v>
      </c>
      <c r="P1445" s="57"/>
      <c r="Q1445" s="57"/>
      <c r="R1445" s="57"/>
      <c r="S1445" s="57"/>
      <c r="T1445" s="57"/>
      <c r="U1445" s="57"/>
      <c r="V1445" s="57"/>
      <c r="W1445" s="57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</row>
    <row r="1446" spans="1:36" ht="11.25" customHeight="1" x14ac:dyDescent="0.2">
      <c r="A1446" s="53" t="s">
        <v>27</v>
      </c>
      <c r="B1446" s="53" t="s">
        <v>22</v>
      </c>
      <c r="C1446" s="53" t="s">
        <v>23</v>
      </c>
      <c r="D1446" s="53" t="s">
        <v>24</v>
      </c>
      <c r="E1446" s="53" t="s">
        <v>24</v>
      </c>
      <c r="F1446" s="53" t="s">
        <v>25</v>
      </c>
      <c r="G1446" s="53" t="s">
        <v>25</v>
      </c>
      <c r="H1446" s="53" t="s">
        <v>25</v>
      </c>
      <c r="I1446" s="75">
        <v>44531</v>
      </c>
      <c r="J1446" s="76">
        <f>EFEITO!$J$1446*EFEITO!$Y$1446</f>
        <v>0</v>
      </c>
      <c r="K1446" s="76">
        <f ca="1">EFEITO!$L$1446*EFEITO!$Z$1446</f>
        <v>-182142.55996131405</v>
      </c>
      <c r="L1446" s="76">
        <f>EFEITO!$N$1446*EFEITO!$AA$1446</f>
        <v>-110806.80362116994</v>
      </c>
      <c r="M1446" s="76">
        <f>$J$1446-EFEITO!$K$1446*EFEITO!$Y$1446</f>
        <v>0</v>
      </c>
      <c r="N1446" s="76">
        <f ca="1">$K$1446-EFEITO!$M$1446*EFEITO!$Z$1446</f>
        <v>0</v>
      </c>
      <c r="O1446" s="76">
        <f>$L$1446-EFEITO!$O$1446*EFEITO!$AA$1446</f>
        <v>0</v>
      </c>
      <c r="P1446" s="57"/>
      <c r="Q1446" s="57"/>
      <c r="R1446" s="57"/>
      <c r="S1446" s="57"/>
      <c r="T1446" s="57"/>
      <c r="U1446" s="57"/>
      <c r="V1446" s="57"/>
      <c r="W1446" s="57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</row>
    <row r="1447" spans="1:36" ht="11.25" customHeight="1" x14ac:dyDescent="0.2">
      <c r="A1447" s="53" t="s">
        <v>28</v>
      </c>
      <c r="B1447" s="53" t="s">
        <v>22</v>
      </c>
      <c r="C1447" s="53" t="s">
        <v>23</v>
      </c>
      <c r="D1447" s="53" t="s">
        <v>24</v>
      </c>
      <c r="E1447" s="53" t="s">
        <v>24</v>
      </c>
      <c r="F1447" s="53" t="s">
        <v>25</v>
      </c>
      <c r="G1447" s="53" t="s">
        <v>25</v>
      </c>
      <c r="H1447" s="53" t="s">
        <v>25</v>
      </c>
      <c r="I1447" s="75">
        <v>44531</v>
      </c>
      <c r="J1447" s="76">
        <f>EFEITO!$J$1447*EFEITO!$Y$1447</f>
        <v>0</v>
      </c>
      <c r="K1447" s="76">
        <f ca="1">EFEITO!$L$1447*EFEITO!$Z$1447</f>
        <v>497238.52644049621</v>
      </c>
      <c r="L1447" s="76">
        <f>EFEITO!$N$1447*EFEITO!$AA$1447</f>
        <v>302496.08748155471</v>
      </c>
      <c r="M1447" s="76">
        <f>$J$1447-EFEITO!$K$1447*EFEITO!$Y$1447</f>
        <v>0</v>
      </c>
      <c r="N1447" s="76">
        <f ca="1">$K$1447-EFEITO!$M$1447*EFEITO!$Z$1447</f>
        <v>0</v>
      </c>
      <c r="O1447" s="76">
        <f>$L$1447-EFEITO!$O$1447*EFEITO!$AA$1447</f>
        <v>0</v>
      </c>
      <c r="P1447" s="57"/>
      <c r="Q1447" s="57"/>
      <c r="R1447" s="57"/>
      <c r="S1447" s="57"/>
      <c r="T1447" s="57"/>
      <c r="U1447" s="57"/>
      <c r="V1447" s="57"/>
      <c r="W1447" s="57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</row>
    <row r="1448" spans="1:36" ht="11.25" customHeight="1" x14ac:dyDescent="0.2">
      <c r="A1448" s="53" t="s">
        <v>28</v>
      </c>
      <c r="B1448" s="53" t="s">
        <v>22</v>
      </c>
      <c r="C1448" s="53" t="s">
        <v>23</v>
      </c>
      <c r="D1448" s="53" t="s">
        <v>24</v>
      </c>
      <c r="E1448" s="53" t="s">
        <v>24</v>
      </c>
      <c r="F1448" s="53" t="s">
        <v>25</v>
      </c>
      <c r="G1448" s="53" t="s">
        <v>25</v>
      </c>
      <c r="H1448" s="53" t="s">
        <v>25</v>
      </c>
      <c r="I1448" s="75">
        <v>44531</v>
      </c>
      <c r="J1448" s="76">
        <f>EFEITO!$J$1448*EFEITO!$Y$1448</f>
        <v>0</v>
      </c>
      <c r="K1448" s="76">
        <f ca="1">EFEITO!$L$1448*EFEITO!$Z$1448</f>
        <v>-9597.8949796827637</v>
      </c>
      <c r="L1448" s="76">
        <f>EFEITO!$N$1448*EFEITO!$AA$1448</f>
        <v>-5838.899290842317</v>
      </c>
      <c r="M1448" s="76">
        <f>$J$1448-EFEITO!$K$1448*EFEITO!$Y$1448</f>
        <v>0</v>
      </c>
      <c r="N1448" s="76">
        <f ca="1">$K$1448-EFEITO!$M$1448*EFEITO!$Z$1448</f>
        <v>0</v>
      </c>
      <c r="O1448" s="76">
        <f>$L$1448-EFEITO!$O$1448*EFEITO!$AA$1448</f>
        <v>0</v>
      </c>
      <c r="P1448" s="57"/>
      <c r="Q1448" s="57"/>
      <c r="R1448" s="57"/>
      <c r="S1448" s="57"/>
      <c r="T1448" s="57"/>
      <c r="U1448" s="57"/>
      <c r="V1448" s="57"/>
      <c r="W1448" s="57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</row>
    <row r="1449" spans="1:36" ht="11.25" customHeight="1" x14ac:dyDescent="0.2">
      <c r="A1449" s="53" t="s">
        <v>21</v>
      </c>
      <c r="B1449" s="53" t="s">
        <v>22</v>
      </c>
      <c r="C1449" s="53" t="s">
        <v>23</v>
      </c>
      <c r="D1449" s="53" t="s">
        <v>24</v>
      </c>
      <c r="E1449" s="53" t="s">
        <v>24</v>
      </c>
      <c r="F1449" s="53" t="s">
        <v>25</v>
      </c>
      <c r="G1449" s="53" t="s">
        <v>25</v>
      </c>
      <c r="H1449" s="53" t="s">
        <v>25</v>
      </c>
      <c r="I1449" s="75">
        <v>44562</v>
      </c>
      <c r="J1449" s="76">
        <f>EFEITO!$J$1449*EFEITO!$Y$1449</f>
        <v>0</v>
      </c>
      <c r="K1449" s="76">
        <f ca="1">EFEITO!$L$1449*EFEITO!$Z$1449</f>
        <v>46860095.83629071</v>
      </c>
      <c r="L1449" s="76">
        <f>EFEITO!$N$1449*EFEITO!$AA$1449</f>
        <v>28507436.362505857</v>
      </c>
      <c r="M1449" s="76">
        <f>$J$1449-EFEITO!$K$1449*EFEITO!$Y$1449</f>
        <v>0</v>
      </c>
      <c r="N1449" s="76">
        <f ca="1">$K$1449-EFEITO!$M$1449*EFEITO!$Z$1449</f>
        <v>0</v>
      </c>
      <c r="O1449" s="76">
        <f>$L$1449-EFEITO!$O$1449*EFEITO!$AA$1449</f>
        <v>0</v>
      </c>
      <c r="P1449" s="57"/>
      <c r="Q1449" s="57"/>
      <c r="R1449" s="57"/>
      <c r="S1449" s="57"/>
      <c r="T1449" s="57"/>
      <c r="U1449" s="57"/>
      <c r="V1449" s="57"/>
      <c r="W1449" s="57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</row>
    <row r="1450" spans="1:36" ht="11.25" customHeight="1" x14ac:dyDescent="0.2">
      <c r="A1450" s="53" t="s">
        <v>27</v>
      </c>
      <c r="B1450" s="53" t="s">
        <v>22</v>
      </c>
      <c r="C1450" s="53" t="s">
        <v>23</v>
      </c>
      <c r="D1450" s="53" t="s">
        <v>24</v>
      </c>
      <c r="E1450" s="53" t="s">
        <v>24</v>
      </c>
      <c r="F1450" s="53" t="s">
        <v>25</v>
      </c>
      <c r="G1450" s="53" t="s">
        <v>25</v>
      </c>
      <c r="H1450" s="53" t="s">
        <v>25</v>
      </c>
      <c r="I1450" s="75">
        <v>44562</v>
      </c>
      <c r="J1450" s="76">
        <f>EFEITO!$J$1450*EFEITO!$Y$1450</f>
        <v>0</v>
      </c>
      <c r="K1450" s="76">
        <f ca="1">EFEITO!$L$1450*EFEITO!$Z$1450</f>
        <v>-381194.94131252181</v>
      </c>
      <c r="L1450" s="76">
        <f>EFEITO!$N$1450*EFEITO!$AA$1450</f>
        <v>-231900.73210989952</v>
      </c>
      <c r="M1450" s="76">
        <f>$J$1450-EFEITO!$K$1450*EFEITO!$Y$1450</f>
        <v>0</v>
      </c>
      <c r="N1450" s="76">
        <f ca="1">$K$1450-EFEITO!$M$1450*EFEITO!$Z$1450</f>
        <v>0</v>
      </c>
      <c r="O1450" s="76">
        <f>$L$1450-EFEITO!$O$1450*EFEITO!$AA$1450</f>
        <v>0</v>
      </c>
      <c r="P1450" s="57"/>
      <c r="Q1450" s="57"/>
      <c r="R1450" s="57"/>
      <c r="S1450" s="57"/>
      <c r="T1450" s="57"/>
      <c r="U1450" s="57"/>
      <c r="V1450" s="57"/>
      <c r="W1450" s="57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</row>
    <row r="1451" spans="1:36" ht="11.25" customHeight="1" x14ac:dyDescent="0.2">
      <c r="A1451" s="53" t="s">
        <v>28</v>
      </c>
      <c r="B1451" s="53" t="s">
        <v>22</v>
      </c>
      <c r="C1451" s="53" t="s">
        <v>23</v>
      </c>
      <c r="D1451" s="53" t="s">
        <v>24</v>
      </c>
      <c r="E1451" s="53" t="s">
        <v>24</v>
      </c>
      <c r="F1451" s="53" t="s">
        <v>25</v>
      </c>
      <c r="G1451" s="53" t="s">
        <v>25</v>
      </c>
      <c r="H1451" s="53" t="s">
        <v>25</v>
      </c>
      <c r="I1451" s="75">
        <v>44562</v>
      </c>
      <c r="J1451" s="76">
        <f>EFEITO!$J$1451*EFEITO!$Y$1451</f>
        <v>0</v>
      </c>
      <c r="K1451" s="76">
        <f ca="1">EFEITO!$L$1451*EFEITO!$Z$1451</f>
        <v>542113.78328774555</v>
      </c>
      <c r="L1451" s="76">
        <f>EFEITO!$N$1451*EFEITO!$AA$1451</f>
        <v>329796.04293391487</v>
      </c>
      <c r="M1451" s="76">
        <f>$J$1451-EFEITO!$K$1451*EFEITO!$Y$1451</f>
        <v>0</v>
      </c>
      <c r="N1451" s="76">
        <f ca="1">$K$1451-EFEITO!$M$1451*EFEITO!$Z$1451</f>
        <v>0</v>
      </c>
      <c r="O1451" s="76">
        <f>$L$1451-EFEITO!$O$1451*EFEITO!$AA$1451</f>
        <v>0</v>
      </c>
      <c r="P1451" s="57"/>
      <c r="Q1451" s="57"/>
      <c r="R1451" s="57"/>
      <c r="S1451" s="57"/>
      <c r="T1451" s="57"/>
      <c r="U1451" s="57"/>
      <c r="V1451" s="57"/>
      <c r="W1451" s="57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</row>
    <row r="1452" spans="1:36" ht="11.25" customHeight="1" x14ac:dyDescent="0.2">
      <c r="A1452" s="53" t="s">
        <v>28</v>
      </c>
      <c r="B1452" s="53" t="s">
        <v>22</v>
      </c>
      <c r="C1452" s="53" t="s">
        <v>23</v>
      </c>
      <c r="D1452" s="53" t="s">
        <v>24</v>
      </c>
      <c r="E1452" s="53" t="s">
        <v>24</v>
      </c>
      <c r="F1452" s="53" t="s">
        <v>25</v>
      </c>
      <c r="G1452" s="53" t="s">
        <v>25</v>
      </c>
      <c r="H1452" s="53" t="s">
        <v>25</v>
      </c>
      <c r="I1452" s="75">
        <v>44562</v>
      </c>
      <c r="J1452" s="76">
        <f>EFEITO!$J$1452*EFEITO!$Y$1452</f>
        <v>0</v>
      </c>
      <c r="K1452" s="76">
        <f ca="1">EFEITO!$L$1452*EFEITO!$Z$1452</f>
        <v>-1066.2253891086157</v>
      </c>
      <c r="L1452" s="76">
        <f>EFEITO!$N$1452*EFEITO!$AA$1452</f>
        <v>-648.64042391826024</v>
      </c>
      <c r="M1452" s="76">
        <f>$J$1452-EFEITO!$K$1452*EFEITO!$Y$1452</f>
        <v>0</v>
      </c>
      <c r="N1452" s="76">
        <f ca="1">$K$1452-EFEITO!$M$1452*EFEITO!$Z$1452</f>
        <v>0</v>
      </c>
      <c r="O1452" s="76">
        <f>$L$1452-EFEITO!$O$1452*EFEITO!$AA$1452</f>
        <v>0</v>
      </c>
      <c r="P1452" s="57"/>
      <c r="Q1452" s="57"/>
      <c r="R1452" s="57"/>
      <c r="S1452" s="57"/>
      <c r="T1452" s="57"/>
      <c r="U1452" s="57"/>
      <c r="V1452" s="57"/>
      <c r="W1452" s="57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/>
      <c r="AI1452" s="4"/>
      <c r="AJ1452" s="4"/>
    </row>
    <row r="1453" spans="1:36" ht="11.25" customHeight="1" x14ac:dyDescent="0.2">
      <c r="A1453" s="53" t="s">
        <v>21</v>
      </c>
      <c r="B1453" s="53" t="s">
        <v>22</v>
      </c>
      <c r="C1453" s="53" t="s">
        <v>23</v>
      </c>
      <c r="D1453" s="53" t="s">
        <v>24</v>
      </c>
      <c r="E1453" s="53" t="s">
        <v>24</v>
      </c>
      <c r="F1453" s="53" t="s">
        <v>25</v>
      </c>
      <c r="G1453" s="53" t="s">
        <v>25</v>
      </c>
      <c r="H1453" s="53" t="s">
        <v>25</v>
      </c>
      <c r="I1453" s="75">
        <v>44593</v>
      </c>
      <c r="J1453" s="76">
        <f>EFEITO!$J$1453*EFEITO!$Y$1453</f>
        <v>0</v>
      </c>
      <c r="K1453" s="76">
        <f ca="1">EFEITO!$L$1453*EFEITO!$Z$1453</f>
        <v>45666922.432680778</v>
      </c>
      <c r="L1453" s="76">
        <f>EFEITO!$N$1453*EFEITO!$AA$1453</f>
        <v>27781566.851020515</v>
      </c>
      <c r="M1453" s="76">
        <f>$J$1453-EFEITO!$K$1453*EFEITO!$Y$1453</f>
        <v>0</v>
      </c>
      <c r="N1453" s="76">
        <f ca="1">$K$1453-EFEITO!$M$1453*EFEITO!$Z$1453</f>
        <v>0</v>
      </c>
      <c r="O1453" s="76">
        <f>$L$1453-EFEITO!$O$1453*EFEITO!$AA$1453</f>
        <v>0</v>
      </c>
      <c r="P1453" s="57"/>
      <c r="Q1453" s="57"/>
      <c r="R1453" s="57"/>
      <c r="S1453" s="57"/>
      <c r="T1453" s="57"/>
      <c r="U1453" s="57"/>
      <c r="V1453" s="57"/>
      <c r="W1453" s="57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</row>
    <row r="1454" spans="1:36" ht="11.25" customHeight="1" x14ac:dyDescent="0.2">
      <c r="A1454" s="53" t="s">
        <v>27</v>
      </c>
      <c r="B1454" s="53" t="s">
        <v>22</v>
      </c>
      <c r="C1454" s="53" t="s">
        <v>23</v>
      </c>
      <c r="D1454" s="53" t="s">
        <v>24</v>
      </c>
      <c r="E1454" s="53" t="s">
        <v>24</v>
      </c>
      <c r="F1454" s="53" t="s">
        <v>25</v>
      </c>
      <c r="G1454" s="53" t="s">
        <v>25</v>
      </c>
      <c r="H1454" s="53" t="s">
        <v>25</v>
      </c>
      <c r="I1454" s="75">
        <v>44593</v>
      </c>
      <c r="J1454" s="76">
        <f>EFEITO!$J$1454*EFEITO!$Y$1454</f>
        <v>0</v>
      </c>
      <c r="K1454" s="76">
        <f ca="1">EFEITO!$L$1454*EFEITO!$Z$1454</f>
        <v>-797649.04633498425</v>
      </c>
      <c r="L1454" s="76">
        <f>EFEITO!$N$1454*EFEITO!$AA$1454</f>
        <v>-485251.44949443167</v>
      </c>
      <c r="M1454" s="76">
        <f>$J$1454-EFEITO!$K$1454*EFEITO!$Y$1454</f>
        <v>0</v>
      </c>
      <c r="N1454" s="76">
        <f ca="1">$K$1454-EFEITO!$M$1454*EFEITO!$Z$1454</f>
        <v>0</v>
      </c>
      <c r="O1454" s="76">
        <f>$L$1454-EFEITO!$O$1454*EFEITO!$AA$1454</f>
        <v>0</v>
      </c>
      <c r="P1454" s="57"/>
      <c r="Q1454" s="57"/>
      <c r="R1454" s="57"/>
      <c r="S1454" s="57"/>
      <c r="T1454" s="57"/>
      <c r="U1454" s="57"/>
      <c r="V1454" s="57"/>
      <c r="W1454" s="57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</row>
    <row r="1455" spans="1:36" ht="11.25" customHeight="1" x14ac:dyDescent="0.2">
      <c r="A1455" s="53" t="s">
        <v>28</v>
      </c>
      <c r="B1455" s="53" t="s">
        <v>22</v>
      </c>
      <c r="C1455" s="53" t="s">
        <v>23</v>
      </c>
      <c r="D1455" s="53" t="s">
        <v>24</v>
      </c>
      <c r="E1455" s="53" t="s">
        <v>24</v>
      </c>
      <c r="F1455" s="53" t="s">
        <v>25</v>
      </c>
      <c r="G1455" s="53" t="s">
        <v>25</v>
      </c>
      <c r="H1455" s="53" t="s">
        <v>25</v>
      </c>
      <c r="I1455" s="75">
        <v>44593</v>
      </c>
      <c r="J1455" s="76">
        <f>EFEITO!$J$1455*EFEITO!$Y$1455</f>
        <v>0</v>
      </c>
      <c r="K1455" s="76">
        <f ca="1">EFEITO!$L$1455*EFEITO!$Z$1455</f>
        <v>557018.54100280348</v>
      </c>
      <c r="L1455" s="76">
        <f>EFEITO!$N$1455*EFEITO!$AA$1455</f>
        <v>338863.38316183485</v>
      </c>
      <c r="M1455" s="76">
        <f>$J$1455-EFEITO!$K$1455*EFEITO!$Y$1455</f>
        <v>0</v>
      </c>
      <c r="N1455" s="76">
        <f ca="1">$K$1455-EFEITO!$M$1455*EFEITO!$Z$1455</f>
        <v>0</v>
      </c>
      <c r="O1455" s="76">
        <f>$L$1455-EFEITO!$O$1455*EFEITO!$AA$1455</f>
        <v>0</v>
      </c>
      <c r="P1455" s="57"/>
      <c r="Q1455" s="57"/>
      <c r="R1455" s="57"/>
      <c r="S1455" s="57"/>
      <c r="T1455" s="57"/>
      <c r="U1455" s="57"/>
      <c r="V1455" s="57"/>
      <c r="W1455" s="57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</row>
    <row r="1456" spans="1:36" ht="11.25" customHeight="1" x14ac:dyDescent="0.2">
      <c r="A1456" s="53" t="s">
        <v>28</v>
      </c>
      <c r="B1456" s="53" t="s">
        <v>22</v>
      </c>
      <c r="C1456" s="53" t="s">
        <v>23</v>
      </c>
      <c r="D1456" s="53" t="s">
        <v>24</v>
      </c>
      <c r="E1456" s="53" t="s">
        <v>24</v>
      </c>
      <c r="F1456" s="53" t="s">
        <v>25</v>
      </c>
      <c r="G1456" s="53" t="s">
        <v>25</v>
      </c>
      <c r="H1456" s="53" t="s">
        <v>25</v>
      </c>
      <c r="I1456" s="75">
        <v>44593</v>
      </c>
      <c r="J1456" s="76">
        <f>EFEITO!$J$1456*EFEITO!$Y$1456</f>
        <v>0</v>
      </c>
      <c r="K1456" s="76">
        <f ca="1">EFEITO!$L$1456*EFEITO!$Z$1456</f>
        <v>-2774.0524893876241</v>
      </c>
      <c r="L1456" s="76">
        <f>EFEITO!$N$1456*EFEITO!$AA$1456</f>
        <v>-1687.6005777654518</v>
      </c>
      <c r="M1456" s="76">
        <f>$J$1456-EFEITO!$K$1456*EFEITO!$Y$1456</f>
        <v>0</v>
      </c>
      <c r="N1456" s="76">
        <f ca="1">$K$1456-EFEITO!$M$1456*EFEITO!$Z$1456</f>
        <v>0</v>
      </c>
      <c r="O1456" s="76">
        <f>$L$1456-EFEITO!$O$1456*EFEITO!$AA$1456</f>
        <v>0</v>
      </c>
      <c r="P1456" s="57"/>
      <c r="Q1456" s="57"/>
      <c r="R1456" s="57"/>
      <c r="S1456" s="57"/>
      <c r="T1456" s="57"/>
      <c r="U1456" s="57"/>
      <c r="V1456" s="57"/>
      <c r="W1456" s="57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</row>
    <row r="1457" spans="1:36" ht="11.25" customHeight="1" x14ac:dyDescent="0.2">
      <c r="A1457" s="53" t="s">
        <v>21</v>
      </c>
      <c r="B1457" s="53" t="s">
        <v>22</v>
      </c>
      <c r="C1457" s="53" t="s">
        <v>23</v>
      </c>
      <c r="D1457" s="53" t="s">
        <v>24</v>
      </c>
      <c r="E1457" s="53" t="s">
        <v>24</v>
      </c>
      <c r="F1457" s="53" t="s">
        <v>25</v>
      </c>
      <c r="G1457" s="53" t="s">
        <v>25</v>
      </c>
      <c r="H1457" s="53" t="s">
        <v>25</v>
      </c>
      <c r="I1457" s="75">
        <v>44621</v>
      </c>
      <c r="J1457" s="76">
        <f>EFEITO!$J$1457*EFEITO!$Y$1457</f>
        <v>0</v>
      </c>
      <c r="K1457" s="76">
        <f ca="1">EFEITO!$L$1457*EFEITO!$Z$1457</f>
        <v>48383889.168073587</v>
      </c>
      <c r="L1457" s="76">
        <f>EFEITO!$N$1457*EFEITO!$AA$1457</f>
        <v>29434439.192102496</v>
      </c>
      <c r="M1457" s="76">
        <f>$J$1457-EFEITO!$K$1457*EFEITO!$Y$1457</f>
        <v>0</v>
      </c>
      <c r="N1457" s="76">
        <f ca="1">$K$1457-EFEITO!$M$1457*EFEITO!$Z$1457</f>
        <v>0</v>
      </c>
      <c r="O1457" s="76">
        <f>$L$1457-EFEITO!$O$1457*EFEITO!$AA$1457</f>
        <v>0</v>
      </c>
      <c r="P1457" s="57"/>
      <c r="Q1457" s="57"/>
      <c r="R1457" s="57"/>
      <c r="S1457" s="57"/>
      <c r="T1457" s="57"/>
      <c r="U1457" s="57"/>
      <c r="V1457" s="57"/>
      <c r="W1457" s="57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</row>
    <row r="1458" spans="1:36" ht="11.25" customHeight="1" x14ac:dyDescent="0.2">
      <c r="A1458" s="53" t="s">
        <v>27</v>
      </c>
      <c r="B1458" s="53" t="s">
        <v>22</v>
      </c>
      <c r="C1458" s="53" t="s">
        <v>23</v>
      </c>
      <c r="D1458" s="53" t="s">
        <v>24</v>
      </c>
      <c r="E1458" s="53" t="s">
        <v>24</v>
      </c>
      <c r="F1458" s="53" t="s">
        <v>25</v>
      </c>
      <c r="G1458" s="53" t="s">
        <v>25</v>
      </c>
      <c r="H1458" s="53" t="s">
        <v>25</v>
      </c>
      <c r="I1458" s="75">
        <v>44621</v>
      </c>
      <c r="J1458" s="76">
        <f>EFEITO!$J$1458*EFEITO!$Y$1458</f>
        <v>0</v>
      </c>
      <c r="K1458" s="76">
        <f ca="1">EFEITO!$L$1458*EFEITO!$Z$1458</f>
        <v>-260304.11358408333</v>
      </c>
      <c r="L1458" s="76">
        <f>EFEITO!$N$1458*EFEITO!$AA$1458</f>
        <v>-158356.54666224305</v>
      </c>
      <c r="M1458" s="76">
        <f>$J$1458-EFEITO!$K$1458*EFEITO!$Y$1458</f>
        <v>0</v>
      </c>
      <c r="N1458" s="76">
        <f ca="1">$K$1458-EFEITO!$M$1458*EFEITO!$Z$1458</f>
        <v>0</v>
      </c>
      <c r="O1458" s="76">
        <f>$L$1458-EFEITO!$O$1458*EFEITO!$AA$1458</f>
        <v>0</v>
      </c>
      <c r="P1458" s="57"/>
      <c r="Q1458" s="57"/>
      <c r="R1458" s="57"/>
      <c r="S1458" s="57"/>
      <c r="T1458" s="57"/>
      <c r="U1458" s="57"/>
      <c r="V1458" s="57"/>
      <c r="W1458" s="57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</row>
    <row r="1459" spans="1:36" ht="11.25" customHeight="1" x14ac:dyDescent="0.2">
      <c r="A1459" s="53" t="s">
        <v>28</v>
      </c>
      <c r="B1459" s="53" t="s">
        <v>22</v>
      </c>
      <c r="C1459" s="53" t="s">
        <v>23</v>
      </c>
      <c r="D1459" s="53" t="s">
        <v>24</v>
      </c>
      <c r="E1459" s="53" t="s">
        <v>24</v>
      </c>
      <c r="F1459" s="53" t="s">
        <v>25</v>
      </c>
      <c r="G1459" s="53" t="s">
        <v>25</v>
      </c>
      <c r="H1459" s="53" t="s">
        <v>25</v>
      </c>
      <c r="I1459" s="75">
        <v>44621</v>
      </c>
      <c r="J1459" s="76">
        <f>EFEITO!$J$1459*EFEITO!$Y$1459</f>
        <v>0</v>
      </c>
      <c r="K1459" s="76">
        <f ca="1">EFEITO!$L$1459*EFEITO!$Z$1459</f>
        <v>671406.09378681891</v>
      </c>
      <c r="L1459" s="76">
        <f>EFEITO!$N$1459*EFEITO!$AA$1459</f>
        <v>408451.28782693169</v>
      </c>
      <c r="M1459" s="76">
        <f>$J$1459-EFEITO!$K$1459*EFEITO!$Y$1459</f>
        <v>0</v>
      </c>
      <c r="N1459" s="76">
        <f ca="1">$K$1459-EFEITO!$M$1459*EFEITO!$Z$1459</f>
        <v>0</v>
      </c>
      <c r="O1459" s="76">
        <f>$L$1459-EFEITO!$O$1459*EFEITO!$AA$1459</f>
        <v>0</v>
      </c>
      <c r="P1459" s="57"/>
      <c r="Q1459" s="57"/>
      <c r="R1459" s="57"/>
      <c r="S1459" s="57"/>
      <c r="T1459" s="57"/>
      <c r="U1459" s="57"/>
      <c r="V1459" s="57"/>
      <c r="W1459" s="57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</row>
    <row r="1460" spans="1:36" ht="11.25" customHeight="1" x14ac:dyDescent="0.2">
      <c r="A1460" s="53" t="s">
        <v>28</v>
      </c>
      <c r="B1460" s="53" t="s">
        <v>22</v>
      </c>
      <c r="C1460" s="53" t="s">
        <v>23</v>
      </c>
      <c r="D1460" s="53" t="s">
        <v>24</v>
      </c>
      <c r="E1460" s="53" t="s">
        <v>24</v>
      </c>
      <c r="F1460" s="53" t="s">
        <v>25</v>
      </c>
      <c r="G1460" s="53" t="s">
        <v>25</v>
      </c>
      <c r="H1460" s="53" t="s">
        <v>25</v>
      </c>
      <c r="I1460" s="75">
        <v>44621</v>
      </c>
      <c r="J1460" s="76">
        <f>EFEITO!$J$1460*EFEITO!$Y$1460</f>
        <v>0</v>
      </c>
      <c r="K1460" s="76">
        <f ca="1">EFEITO!$L$1460*EFEITO!$Z$1460</f>
        <v>-4099.7182795222307</v>
      </c>
      <c r="L1460" s="76">
        <f>EFEITO!$N$1460*EFEITO!$AA$1460</f>
        <v>-2494.0721070222467</v>
      </c>
      <c r="M1460" s="76">
        <f>$J$1460-EFEITO!$K$1460*EFEITO!$Y$1460</f>
        <v>0</v>
      </c>
      <c r="N1460" s="76">
        <f ca="1">$K$1460-EFEITO!$M$1460*EFEITO!$Z$1460</f>
        <v>0</v>
      </c>
      <c r="O1460" s="76">
        <f>$L$1460-EFEITO!$O$1460*EFEITO!$AA$1460</f>
        <v>0</v>
      </c>
      <c r="P1460" s="57"/>
      <c r="Q1460" s="57"/>
      <c r="R1460" s="57"/>
      <c r="S1460" s="57"/>
      <c r="T1460" s="57"/>
      <c r="U1460" s="57"/>
      <c r="V1460" s="57"/>
      <c r="W1460" s="57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</row>
    <row r="1461" spans="1:36" ht="11.25" customHeight="1" x14ac:dyDescent="0.2">
      <c r="A1461" s="53" t="s">
        <v>56</v>
      </c>
      <c r="B1461" s="53" t="s">
        <v>22</v>
      </c>
      <c r="C1461" s="53" t="s">
        <v>23</v>
      </c>
      <c r="D1461" s="53" t="s">
        <v>24</v>
      </c>
      <c r="E1461" s="53" t="s">
        <v>24</v>
      </c>
      <c r="F1461" s="53" t="s">
        <v>25</v>
      </c>
      <c r="G1461" s="53" t="s">
        <v>25</v>
      </c>
      <c r="H1461" s="53" t="s">
        <v>25</v>
      </c>
      <c r="I1461" s="75">
        <v>44652</v>
      </c>
      <c r="J1461" s="76">
        <f>EFEITO!$J$1461*EFEITO!$Y$1461</f>
        <v>0</v>
      </c>
      <c r="K1461" s="76">
        <f ca="1">EFEITO!$L$1461*EFEITO!$Z$1461</f>
        <v>48383889.168073587</v>
      </c>
      <c r="L1461" s="76">
        <f>EFEITO!$N$1461*EFEITO!$AA$1461</f>
        <v>29434439.192102496</v>
      </c>
      <c r="M1461" s="76">
        <f>$J$1461-EFEITO!$K$1461*EFEITO!$Y$1461</f>
        <v>0</v>
      </c>
      <c r="N1461" s="76">
        <f ca="1">$K$1461-EFEITO!$M$1461*EFEITO!$Z$1461</f>
        <v>0</v>
      </c>
      <c r="O1461" s="76">
        <f>$L$1461-EFEITO!$O$1461*EFEITO!$AA$1461</f>
        <v>0</v>
      </c>
      <c r="P1461" s="57"/>
      <c r="Q1461" s="57"/>
      <c r="R1461" s="57"/>
      <c r="S1461" s="57"/>
      <c r="T1461" s="57"/>
      <c r="U1461" s="57"/>
      <c r="V1461" s="57"/>
      <c r="W1461" s="57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</row>
    <row r="1462" spans="1:36" ht="11.25" customHeight="1" x14ac:dyDescent="0.2">
      <c r="A1462" s="53" t="s">
        <v>56</v>
      </c>
      <c r="B1462" s="53" t="s">
        <v>22</v>
      </c>
      <c r="C1462" s="53" t="s">
        <v>23</v>
      </c>
      <c r="D1462" s="53" t="s">
        <v>24</v>
      </c>
      <c r="E1462" s="53" t="s">
        <v>24</v>
      </c>
      <c r="F1462" s="53" t="s">
        <v>25</v>
      </c>
      <c r="G1462" s="53" t="s">
        <v>25</v>
      </c>
      <c r="H1462" s="53" t="s">
        <v>25</v>
      </c>
      <c r="I1462" s="75">
        <v>44652</v>
      </c>
      <c r="J1462" s="76">
        <f>EFEITO!$J$1462*EFEITO!$Y$1462</f>
        <v>0</v>
      </c>
      <c r="K1462" s="76">
        <f ca="1">EFEITO!$L$1462*EFEITO!$Z$1462</f>
        <v>-260304.11358408333</v>
      </c>
      <c r="L1462" s="76">
        <f>EFEITO!$N$1462*EFEITO!$AA$1462</f>
        <v>-158356.54666224305</v>
      </c>
      <c r="M1462" s="76">
        <f>$J$1462-EFEITO!$K$1462*EFEITO!$Y$1462</f>
        <v>0</v>
      </c>
      <c r="N1462" s="76">
        <f ca="1">$K$1462-EFEITO!$M$1462*EFEITO!$Z$1462</f>
        <v>0</v>
      </c>
      <c r="O1462" s="76">
        <f>$L$1462-EFEITO!$O$1462*EFEITO!$AA$1462</f>
        <v>0</v>
      </c>
      <c r="P1462" s="57"/>
      <c r="Q1462" s="57"/>
      <c r="R1462" s="57"/>
      <c r="S1462" s="57"/>
      <c r="T1462" s="57"/>
      <c r="U1462" s="57"/>
      <c r="V1462" s="57"/>
      <c r="W1462" s="57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/>
      <c r="AI1462" s="4"/>
      <c r="AJ1462" s="4"/>
    </row>
    <row r="1463" spans="1:36" ht="11.25" customHeight="1" x14ac:dyDescent="0.2">
      <c r="A1463" s="53" t="s">
        <v>56</v>
      </c>
      <c r="B1463" s="53" t="s">
        <v>22</v>
      </c>
      <c r="C1463" s="53" t="s">
        <v>23</v>
      </c>
      <c r="D1463" s="53" t="s">
        <v>24</v>
      </c>
      <c r="E1463" s="53" t="s">
        <v>24</v>
      </c>
      <c r="F1463" s="53" t="s">
        <v>25</v>
      </c>
      <c r="G1463" s="53" t="s">
        <v>25</v>
      </c>
      <c r="H1463" s="53" t="s">
        <v>25</v>
      </c>
      <c r="I1463" s="75">
        <v>44652</v>
      </c>
      <c r="J1463" s="76">
        <f>EFEITO!$J$1463*EFEITO!$Y$1463</f>
        <v>0</v>
      </c>
      <c r="K1463" s="76">
        <f ca="1">EFEITO!$L$1463*EFEITO!$Z$1463</f>
        <v>671406.09378681891</v>
      </c>
      <c r="L1463" s="76">
        <f>EFEITO!$N$1463*EFEITO!$AA$1463</f>
        <v>408451.28782693169</v>
      </c>
      <c r="M1463" s="76">
        <f>$J$1463-EFEITO!$K$1463*EFEITO!$Y$1463</f>
        <v>0</v>
      </c>
      <c r="N1463" s="76">
        <f ca="1">$K$1463-EFEITO!$M$1463*EFEITO!$Z$1463</f>
        <v>0</v>
      </c>
      <c r="O1463" s="76">
        <f>$L$1463-EFEITO!$O$1463*EFEITO!$AA$1463</f>
        <v>0</v>
      </c>
      <c r="P1463" s="57"/>
      <c r="Q1463" s="57"/>
      <c r="R1463" s="57"/>
      <c r="S1463" s="57"/>
      <c r="T1463" s="57"/>
      <c r="U1463" s="57"/>
      <c r="V1463" s="57"/>
      <c r="W1463" s="57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/>
      <c r="AI1463" s="4"/>
      <c r="AJ1463" s="4"/>
    </row>
    <row r="1464" spans="1:36" ht="11.25" customHeight="1" x14ac:dyDescent="0.2">
      <c r="A1464" s="53" t="s">
        <v>56</v>
      </c>
      <c r="B1464" s="53" t="s">
        <v>22</v>
      </c>
      <c r="C1464" s="53" t="s">
        <v>23</v>
      </c>
      <c r="D1464" s="53" t="s">
        <v>24</v>
      </c>
      <c r="E1464" s="53" t="s">
        <v>24</v>
      </c>
      <c r="F1464" s="53" t="s">
        <v>25</v>
      </c>
      <c r="G1464" s="53" t="s">
        <v>25</v>
      </c>
      <c r="H1464" s="53" t="s">
        <v>25</v>
      </c>
      <c r="I1464" s="75">
        <v>44652</v>
      </c>
      <c r="J1464" s="76">
        <f>EFEITO!$J$1464*EFEITO!$Y$1464</f>
        <v>0</v>
      </c>
      <c r="K1464" s="76">
        <f ca="1">EFEITO!$L$1464*EFEITO!$Z$1464</f>
        <v>-4099.7182795222307</v>
      </c>
      <c r="L1464" s="76">
        <f>EFEITO!$N$1464*EFEITO!$AA$1464</f>
        <v>-2494.0721070222467</v>
      </c>
      <c r="M1464" s="76">
        <f>$J$1464-EFEITO!$K$1464*EFEITO!$Y$1464</f>
        <v>0</v>
      </c>
      <c r="N1464" s="76">
        <f ca="1">$K$1464-EFEITO!$M$1464*EFEITO!$Z$1464</f>
        <v>0</v>
      </c>
      <c r="O1464" s="76">
        <f>$L$1464-EFEITO!$O$1464*EFEITO!$AA$1464</f>
        <v>0</v>
      </c>
      <c r="P1464" s="57"/>
      <c r="Q1464" s="57"/>
      <c r="R1464" s="57"/>
      <c r="S1464" s="57"/>
      <c r="T1464" s="57"/>
      <c r="U1464" s="57"/>
      <c r="V1464" s="57"/>
      <c r="W1464" s="57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/>
      <c r="AI1464" s="4"/>
      <c r="AJ1464" s="4"/>
    </row>
    <row r="1465" spans="1:36" ht="11.25" customHeight="1" x14ac:dyDescent="0.2">
      <c r="A1465" s="53" t="s">
        <v>21</v>
      </c>
      <c r="B1465" s="53" t="s">
        <v>22</v>
      </c>
      <c r="C1465" s="53" t="s">
        <v>23</v>
      </c>
      <c r="D1465" s="53" t="s">
        <v>24</v>
      </c>
      <c r="E1465" s="53" t="s">
        <v>29</v>
      </c>
      <c r="F1465" s="53" t="s">
        <v>25</v>
      </c>
      <c r="G1465" s="53" t="s">
        <v>25</v>
      </c>
      <c r="H1465" s="53" t="s">
        <v>25</v>
      </c>
      <c r="I1465" s="75">
        <v>44317</v>
      </c>
      <c r="J1465" s="76">
        <f>EFEITO!$J$1465*EFEITO!$Y$1417</f>
        <v>0</v>
      </c>
      <c r="K1465" s="76">
        <f ca="1">EFEITO!$L$1465*EFEITO!$Z$1501</f>
        <v>4169982.3113308367</v>
      </c>
      <c r="L1465" s="76">
        <f>EFEITO!$N$1465*EFEITO!$AA$1501</f>
        <v>2967889.8851842587</v>
      </c>
      <c r="M1465" s="76">
        <f>$J$1465-EFEITO!$K$1465*EFEITO!$Y$1465</f>
        <v>0</v>
      </c>
      <c r="N1465" s="76">
        <f ca="1">$K$1465-EFEITO!$M$1465*EFEITO!$Z$1465</f>
        <v>2710488.5023650439</v>
      </c>
      <c r="O1465" s="76">
        <f>$L$1465-EFEITO!$O$1465*EFEITO!$AA$1465</f>
        <v>1929128.4253697682</v>
      </c>
      <c r="P1465" s="57"/>
      <c r="Q1465" s="57"/>
      <c r="R1465" s="57"/>
      <c r="S1465" s="57"/>
      <c r="T1465" s="57"/>
      <c r="U1465" s="57"/>
      <c r="V1465" s="57"/>
      <c r="W1465" s="57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/>
      <c r="AI1465" s="4"/>
      <c r="AJ1465" s="4"/>
    </row>
    <row r="1466" spans="1:36" ht="11.25" customHeight="1" x14ac:dyDescent="0.2">
      <c r="A1466" s="53" t="s">
        <v>21</v>
      </c>
      <c r="B1466" s="53" t="s">
        <v>22</v>
      </c>
      <c r="C1466" s="53" t="s">
        <v>23</v>
      </c>
      <c r="D1466" s="53" t="s">
        <v>24</v>
      </c>
      <c r="E1466" s="53" t="s">
        <v>29</v>
      </c>
      <c r="F1466" s="53" t="s">
        <v>25</v>
      </c>
      <c r="G1466" s="53" t="s">
        <v>25</v>
      </c>
      <c r="H1466" s="53" t="s">
        <v>25</v>
      </c>
      <c r="I1466" s="75">
        <v>44348</v>
      </c>
      <c r="J1466" s="76">
        <f>EFEITO!$J$1466*EFEITO!$Y$1417</f>
        <v>0</v>
      </c>
      <c r="K1466" s="76">
        <f ca="1">EFEITO!$L$1466*EFEITO!$Z$1501</f>
        <v>4212269.0628936058</v>
      </c>
      <c r="L1466" s="76">
        <f>EFEITO!$N$1466*EFEITO!$AA$1501</f>
        <v>2997986.516985171</v>
      </c>
      <c r="M1466" s="76">
        <f>$J$1466-EFEITO!$K$1466*EFEITO!$Y$1466</f>
        <v>0</v>
      </c>
      <c r="N1466" s="76">
        <f ca="1">$K$1466-EFEITO!$M$1466*EFEITO!$Z$1466</f>
        <v>2737974.8908808436</v>
      </c>
      <c r="O1466" s="76">
        <f>$L$1466-EFEITO!$O$1466*EFEITO!$AA$1466</f>
        <v>1948691.2360403612</v>
      </c>
      <c r="P1466" s="57"/>
      <c r="Q1466" s="57"/>
      <c r="R1466" s="57"/>
      <c r="S1466" s="57"/>
      <c r="T1466" s="57"/>
      <c r="U1466" s="57"/>
      <c r="V1466" s="57"/>
      <c r="W1466" s="57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/>
      <c r="AI1466" s="4"/>
      <c r="AJ1466" s="4"/>
    </row>
    <row r="1467" spans="1:36" ht="11.25" customHeight="1" x14ac:dyDescent="0.2">
      <c r="A1467" s="53" t="s">
        <v>21</v>
      </c>
      <c r="B1467" s="53" t="s">
        <v>22</v>
      </c>
      <c r="C1467" s="53" t="s">
        <v>23</v>
      </c>
      <c r="D1467" s="53" t="s">
        <v>24</v>
      </c>
      <c r="E1467" s="53" t="s">
        <v>29</v>
      </c>
      <c r="F1467" s="53" t="s">
        <v>25</v>
      </c>
      <c r="G1467" s="53" t="s">
        <v>25</v>
      </c>
      <c r="H1467" s="53" t="s">
        <v>25</v>
      </c>
      <c r="I1467" s="75">
        <v>44378</v>
      </c>
      <c r="J1467" s="76">
        <f>EFEITO!$J$1467*EFEITO!$Y$1417</f>
        <v>0</v>
      </c>
      <c r="K1467" s="76">
        <f ca="1">EFEITO!$L$1467*EFEITO!$Z$1501</f>
        <v>4246834.1737722298</v>
      </c>
      <c r="L1467" s="76">
        <f>EFEITO!$N$1467*EFEITO!$AA$1501</f>
        <v>3022587.4469886846</v>
      </c>
      <c r="M1467" s="76">
        <f>$J$1467-EFEITO!$K$1467*EFEITO!$Y$1467</f>
        <v>0</v>
      </c>
      <c r="N1467" s="76">
        <f ca="1">$K$1467-EFEITO!$M$1467*EFEITO!$Z$1467</f>
        <v>2760442.2129519493</v>
      </c>
      <c r="O1467" s="76">
        <f>$L$1467-EFEITO!$O$1467*EFEITO!$AA$1467</f>
        <v>1964681.840542645</v>
      </c>
      <c r="P1467" s="57"/>
      <c r="Q1467" s="57"/>
      <c r="R1467" s="57"/>
      <c r="S1467" s="57"/>
      <c r="T1467" s="57"/>
      <c r="U1467" s="57"/>
      <c r="V1467" s="57"/>
      <c r="W1467" s="57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/>
      <c r="AI1467" s="4"/>
      <c r="AJ1467" s="4"/>
    </row>
    <row r="1468" spans="1:36" ht="11.25" customHeight="1" x14ac:dyDescent="0.2">
      <c r="A1468" s="53" t="s">
        <v>21</v>
      </c>
      <c r="B1468" s="53" t="s">
        <v>22</v>
      </c>
      <c r="C1468" s="53" t="s">
        <v>23</v>
      </c>
      <c r="D1468" s="53" t="s">
        <v>24</v>
      </c>
      <c r="E1468" s="53" t="s">
        <v>29</v>
      </c>
      <c r="F1468" s="53" t="s">
        <v>25</v>
      </c>
      <c r="G1468" s="53" t="s">
        <v>25</v>
      </c>
      <c r="H1468" s="53" t="s">
        <v>25</v>
      </c>
      <c r="I1468" s="75">
        <v>44409</v>
      </c>
      <c r="J1468" s="76">
        <f>EFEITO!$J$1468*EFEITO!$Y$1417</f>
        <v>0</v>
      </c>
      <c r="K1468" s="76">
        <f ca="1">EFEITO!$L$1468*EFEITO!$Z$1501</f>
        <v>4300923.9476886122</v>
      </c>
      <c r="L1468" s="76">
        <f>EFEITO!$N$1468*EFEITO!$AA$1501</f>
        <v>3061084.6109843515</v>
      </c>
      <c r="M1468" s="76">
        <f>$J$1468-EFEITO!$K$1468*EFEITO!$Y$1468</f>
        <v>0</v>
      </c>
      <c r="N1468" s="76">
        <f ca="1">$K$1468-EFEITO!$M$1468*EFEITO!$Z$1468</f>
        <v>2795600.5659975982</v>
      </c>
      <c r="O1468" s="76">
        <f>$L$1468-EFEITO!$O$1468*EFEITO!$AA$1468</f>
        <v>1989704.9971398285</v>
      </c>
      <c r="P1468" s="57"/>
      <c r="Q1468" s="57"/>
      <c r="R1468" s="57"/>
      <c r="S1468" s="57"/>
      <c r="T1468" s="57"/>
      <c r="U1468" s="57"/>
      <c r="V1468" s="57"/>
      <c r="W1468" s="57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</row>
    <row r="1469" spans="1:36" ht="11.25" customHeight="1" x14ac:dyDescent="0.2">
      <c r="A1469" s="53" t="s">
        <v>21</v>
      </c>
      <c r="B1469" s="53" t="s">
        <v>22</v>
      </c>
      <c r="C1469" s="53" t="s">
        <v>23</v>
      </c>
      <c r="D1469" s="53" t="s">
        <v>24</v>
      </c>
      <c r="E1469" s="53" t="s">
        <v>29</v>
      </c>
      <c r="F1469" s="53" t="s">
        <v>25</v>
      </c>
      <c r="G1469" s="53" t="s">
        <v>25</v>
      </c>
      <c r="H1469" s="53" t="s">
        <v>25</v>
      </c>
      <c r="I1469" s="75">
        <v>44440</v>
      </c>
      <c r="J1469" s="76">
        <f>EFEITO!$J$1469*EFEITO!$Y$1417</f>
        <v>0</v>
      </c>
      <c r="K1469" s="76">
        <f ca="1">EFEITO!$L$1469*EFEITO!$Z$1501</f>
        <v>4335706.0302889384</v>
      </c>
      <c r="L1469" s="76">
        <f>EFEITO!$N$1469*EFEITO!$AA$1501</f>
        <v>3085839.9656664697</v>
      </c>
      <c r="M1469" s="76">
        <f>$J$1469-EFEITO!$K$1469*EFEITO!$Y$1469</f>
        <v>0</v>
      </c>
      <c r="N1469" s="76">
        <f ca="1">$K$1469-EFEITO!$M$1469*EFEITO!$Z$1469</f>
        <v>2818208.9196878099</v>
      </c>
      <c r="O1469" s="76">
        <f>$L$1469-EFEITO!$O$1469*EFEITO!$AA$1469</f>
        <v>2005795.9776832054</v>
      </c>
      <c r="P1469" s="57"/>
      <c r="Q1469" s="57"/>
      <c r="R1469" s="57"/>
      <c r="S1469" s="57"/>
      <c r="T1469" s="57"/>
      <c r="U1469" s="57"/>
      <c r="V1469" s="57"/>
      <c r="W1469" s="57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/>
      <c r="AI1469" s="4"/>
      <c r="AJ1469" s="4"/>
    </row>
    <row r="1470" spans="1:36" ht="11.25" customHeight="1" x14ac:dyDescent="0.2">
      <c r="A1470" s="53" t="s">
        <v>21</v>
      </c>
      <c r="B1470" s="53" t="s">
        <v>22</v>
      </c>
      <c r="C1470" s="53" t="s">
        <v>23</v>
      </c>
      <c r="D1470" s="53" t="s">
        <v>24</v>
      </c>
      <c r="E1470" s="53" t="s">
        <v>29</v>
      </c>
      <c r="F1470" s="53" t="s">
        <v>25</v>
      </c>
      <c r="G1470" s="53" t="s">
        <v>25</v>
      </c>
      <c r="H1470" s="53" t="s">
        <v>25</v>
      </c>
      <c r="I1470" s="75">
        <v>44470</v>
      </c>
      <c r="J1470" s="76">
        <f>EFEITO!$J$1470*EFEITO!$Y$1417</f>
        <v>0</v>
      </c>
      <c r="K1470" s="76">
        <f ca="1">EFEITO!$L$1470*EFEITO!$Z$1501</f>
        <v>4332054.6036121119</v>
      </c>
      <c r="L1470" s="76">
        <f>EFEITO!$N$1470*EFEITO!$AA$1501</f>
        <v>3083241.145937379</v>
      </c>
      <c r="M1470" s="76">
        <f>$J$1470-EFEITO!$K$1470*EFEITO!$Y$1470</f>
        <v>0</v>
      </c>
      <c r="N1470" s="76">
        <f ca="1">$K$1470-EFEITO!$M$1470*EFEITO!$Z$1470</f>
        <v>2815835.4923478728</v>
      </c>
      <c r="O1470" s="76">
        <f>$L$1470-EFEITO!$O$1470*EFEITO!$AA$1470</f>
        <v>2004106.7448592964</v>
      </c>
      <c r="P1470" s="57"/>
      <c r="Q1470" s="57"/>
      <c r="R1470" s="57"/>
      <c r="S1470" s="57"/>
      <c r="T1470" s="57"/>
      <c r="U1470" s="57"/>
      <c r="V1470" s="57"/>
      <c r="W1470" s="57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/>
      <c r="AI1470" s="4"/>
      <c r="AJ1470" s="4"/>
    </row>
    <row r="1471" spans="1:36" ht="11.25" customHeight="1" x14ac:dyDescent="0.2">
      <c r="A1471" s="53" t="s">
        <v>21</v>
      </c>
      <c r="B1471" s="53" t="s">
        <v>22</v>
      </c>
      <c r="C1471" s="53" t="s">
        <v>23</v>
      </c>
      <c r="D1471" s="53" t="s">
        <v>24</v>
      </c>
      <c r="E1471" s="53" t="s">
        <v>29</v>
      </c>
      <c r="F1471" s="53" t="s">
        <v>25</v>
      </c>
      <c r="G1471" s="53" t="s">
        <v>25</v>
      </c>
      <c r="H1471" s="53" t="s">
        <v>25</v>
      </c>
      <c r="I1471" s="75">
        <v>44501</v>
      </c>
      <c r="J1471" s="76">
        <f>EFEITO!$J$1471*EFEITO!$Y$1417</f>
        <v>0</v>
      </c>
      <c r="K1471" s="76">
        <f ca="1">EFEITO!$L$1471*EFEITO!$Z$1501</f>
        <v>4354184.9215356931</v>
      </c>
      <c r="L1471" s="76">
        <f>EFEITO!$N$1471*EFEITO!$AA$1501</f>
        <v>3098991.8954172605</v>
      </c>
      <c r="M1471" s="76">
        <f>$J$1471-EFEITO!$K$1471*EFEITO!$Y$1471</f>
        <v>0</v>
      </c>
      <c r="N1471" s="76">
        <f ca="1">$K$1471-EFEITO!$M$1471*EFEITO!$Z$1471</f>
        <v>2830220.1989982007</v>
      </c>
      <c r="O1471" s="76">
        <f>$L$1471-EFEITO!$O$1471*EFEITO!$AA$1471</f>
        <v>2014344.7320212193</v>
      </c>
      <c r="P1471" s="57"/>
      <c r="Q1471" s="57"/>
      <c r="R1471" s="57"/>
      <c r="S1471" s="57"/>
      <c r="T1471" s="57"/>
      <c r="U1471" s="57"/>
      <c r="V1471" s="57"/>
      <c r="W1471" s="57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/>
      <c r="AI1471" s="4"/>
      <c r="AJ1471" s="4"/>
    </row>
    <row r="1472" spans="1:36" ht="11.25" customHeight="1" x14ac:dyDescent="0.2">
      <c r="A1472" s="53" t="s">
        <v>21</v>
      </c>
      <c r="B1472" s="53" t="s">
        <v>22</v>
      </c>
      <c r="C1472" s="53" t="s">
        <v>23</v>
      </c>
      <c r="D1472" s="53" t="s">
        <v>24</v>
      </c>
      <c r="E1472" s="53" t="s">
        <v>29</v>
      </c>
      <c r="F1472" s="53" t="s">
        <v>25</v>
      </c>
      <c r="G1472" s="53" t="s">
        <v>25</v>
      </c>
      <c r="H1472" s="53" t="s">
        <v>25</v>
      </c>
      <c r="I1472" s="75">
        <v>44531</v>
      </c>
      <c r="J1472" s="76">
        <f>EFEITO!$J$1472*EFEITO!$Y$1417</f>
        <v>0</v>
      </c>
      <c r="K1472" s="76">
        <f ca="1">EFEITO!$L$1472*EFEITO!$Z$1501</f>
        <v>4574959.6310449289</v>
      </c>
      <c r="L1472" s="76">
        <f>EFEITO!$N$1472*EFEITO!$AA$1501</f>
        <v>3256123.2639308684</v>
      </c>
      <c r="M1472" s="76">
        <f>$J$1472-EFEITO!$K$1472*EFEITO!$Y$1472</f>
        <v>0</v>
      </c>
      <c r="N1472" s="76">
        <f ca="1">$K$1472-EFEITO!$M$1472*EFEITO!$Z$1472</f>
        <v>2973723.7601792039</v>
      </c>
      <c r="O1472" s="76">
        <f>$L$1472-EFEITO!$O$1472*EFEITO!$AA$1472</f>
        <v>2116480.1215550643</v>
      </c>
      <c r="P1472" s="57"/>
      <c r="Q1472" s="57"/>
      <c r="R1472" s="57"/>
      <c r="S1472" s="57"/>
      <c r="T1472" s="57"/>
      <c r="U1472" s="57"/>
      <c r="V1472" s="57"/>
      <c r="W1472" s="57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</row>
    <row r="1473" spans="1:36" ht="11.25" customHeight="1" x14ac:dyDescent="0.2">
      <c r="A1473" s="53" t="s">
        <v>21</v>
      </c>
      <c r="B1473" s="53" t="s">
        <v>22</v>
      </c>
      <c r="C1473" s="53" t="s">
        <v>23</v>
      </c>
      <c r="D1473" s="53" t="s">
        <v>24</v>
      </c>
      <c r="E1473" s="53" t="s">
        <v>29</v>
      </c>
      <c r="F1473" s="53" t="s">
        <v>25</v>
      </c>
      <c r="G1473" s="53" t="s">
        <v>25</v>
      </c>
      <c r="H1473" s="53" t="s">
        <v>25</v>
      </c>
      <c r="I1473" s="75">
        <v>44562</v>
      </c>
      <c r="J1473" s="76">
        <f>EFEITO!$J$1473*EFEITO!$Y$1417</f>
        <v>0</v>
      </c>
      <c r="K1473" s="76">
        <f ca="1">EFEITO!$L$1473*EFEITO!$Z$1501</f>
        <v>4790037.6363242231</v>
      </c>
      <c r="L1473" s="76">
        <f>EFEITO!$N$1473*EFEITO!$AA$1501</f>
        <v>3409200.133024422</v>
      </c>
      <c r="M1473" s="76">
        <f>$J$1473-EFEITO!$K$1473*EFEITO!$Y$1473</f>
        <v>0</v>
      </c>
      <c r="N1473" s="76">
        <f ca="1">$K$1473-EFEITO!$M$1473*EFEITO!$Z$1473</f>
        <v>3113524.463610745</v>
      </c>
      <c r="O1473" s="76">
        <f>$L$1473-EFEITO!$O$1473*EFEITO!$AA$1473</f>
        <v>2215980.0864658742</v>
      </c>
      <c r="P1473" s="57"/>
      <c r="Q1473" s="57"/>
      <c r="R1473" s="57"/>
      <c r="S1473" s="57"/>
      <c r="T1473" s="57"/>
      <c r="U1473" s="57"/>
      <c r="V1473" s="57"/>
      <c r="W1473" s="57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</row>
    <row r="1474" spans="1:36" ht="11.25" customHeight="1" x14ac:dyDescent="0.2">
      <c r="A1474" s="53" t="s">
        <v>21</v>
      </c>
      <c r="B1474" s="53" t="s">
        <v>22</v>
      </c>
      <c r="C1474" s="53" t="s">
        <v>23</v>
      </c>
      <c r="D1474" s="53" t="s">
        <v>24</v>
      </c>
      <c r="E1474" s="53" t="s">
        <v>29</v>
      </c>
      <c r="F1474" s="53" t="s">
        <v>25</v>
      </c>
      <c r="G1474" s="53" t="s">
        <v>25</v>
      </c>
      <c r="H1474" s="53" t="s">
        <v>25</v>
      </c>
      <c r="I1474" s="75">
        <v>44593</v>
      </c>
      <c r="J1474" s="76">
        <f>EFEITO!$J$1474*EFEITO!$Y$1417</f>
        <v>0</v>
      </c>
      <c r="K1474" s="76">
        <f ca="1">EFEITO!$L$1474*EFEITO!$Z$1501</f>
        <v>4746019.8971287468</v>
      </c>
      <c r="L1474" s="76">
        <f>EFEITO!$N$1474*EFEITO!$AA$1501</f>
        <v>3377871.5102214059</v>
      </c>
      <c r="M1474" s="76">
        <f>$J$1474-EFEITO!$K$1474*EFEITO!$Y$1474</f>
        <v>0</v>
      </c>
      <c r="N1474" s="76">
        <f ca="1">$K$1474-EFEITO!$M$1474*EFEITO!$Z$1474</f>
        <v>3084912.9331336855</v>
      </c>
      <c r="O1474" s="76">
        <f>$L$1474-EFEITO!$O$1474*EFEITO!$AA$1474</f>
        <v>2195616.4816439138</v>
      </c>
      <c r="P1474" s="57"/>
      <c r="Q1474" s="57"/>
      <c r="R1474" s="57"/>
      <c r="S1474" s="57"/>
      <c r="T1474" s="57"/>
      <c r="U1474" s="57"/>
      <c r="V1474" s="57"/>
      <c r="W1474" s="57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</row>
    <row r="1475" spans="1:36" ht="11.25" customHeight="1" x14ac:dyDescent="0.2">
      <c r="A1475" s="53" t="s">
        <v>21</v>
      </c>
      <c r="B1475" s="53" t="s">
        <v>22</v>
      </c>
      <c r="C1475" s="53" t="s">
        <v>23</v>
      </c>
      <c r="D1475" s="53" t="s">
        <v>24</v>
      </c>
      <c r="E1475" s="53" t="s">
        <v>29</v>
      </c>
      <c r="F1475" s="53" t="s">
        <v>25</v>
      </c>
      <c r="G1475" s="53" t="s">
        <v>25</v>
      </c>
      <c r="H1475" s="53" t="s">
        <v>25</v>
      </c>
      <c r="I1475" s="75">
        <v>44621</v>
      </c>
      <c r="J1475" s="76">
        <f>EFEITO!$J$1475*EFEITO!$Y$1417</f>
        <v>0</v>
      </c>
      <c r="K1475" s="76">
        <f ca="1">EFEITO!$L$1475*EFEITO!$Z$1501</f>
        <v>4754299.9209202174</v>
      </c>
      <c r="L1475" s="76">
        <f>EFEITO!$N$1475*EFEITO!$AA$1501</f>
        <v>3383764.6284710965</v>
      </c>
      <c r="M1475" s="76">
        <f>$J$1475-EFEITO!$K$1475*EFEITO!$Y$1475</f>
        <v>0</v>
      </c>
      <c r="N1475" s="76">
        <f ca="1">$K$1475-EFEITO!$M$1475*EFEITO!$Z$1475</f>
        <v>3090294.9485981413</v>
      </c>
      <c r="O1475" s="76">
        <f>$L$1475-EFEITO!$O$1475*EFEITO!$AA$1475</f>
        <v>2199447.0085062128</v>
      </c>
      <c r="P1475" s="57"/>
      <c r="Q1475" s="57"/>
      <c r="R1475" s="57"/>
      <c r="S1475" s="57"/>
      <c r="T1475" s="57"/>
      <c r="U1475" s="57"/>
      <c r="V1475" s="57"/>
      <c r="W1475" s="57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</row>
    <row r="1476" spans="1:36" ht="11.25" customHeight="1" x14ac:dyDescent="0.2">
      <c r="A1476" s="53" t="s">
        <v>56</v>
      </c>
      <c r="B1476" s="53" t="s">
        <v>22</v>
      </c>
      <c r="C1476" s="53" t="s">
        <v>23</v>
      </c>
      <c r="D1476" s="53" t="s">
        <v>24</v>
      </c>
      <c r="E1476" s="53" t="s">
        <v>29</v>
      </c>
      <c r="F1476" s="53" t="s">
        <v>25</v>
      </c>
      <c r="G1476" s="53" t="s">
        <v>25</v>
      </c>
      <c r="H1476" s="53" t="s">
        <v>25</v>
      </c>
      <c r="I1476" s="75">
        <v>44652</v>
      </c>
      <c r="J1476" s="76">
        <f>EFEITO!$J$1476*EFEITO!$Y$1417</f>
        <v>0</v>
      </c>
      <c r="K1476" s="76">
        <f ca="1">EFEITO!$L$1476*EFEITO!$Z$1501</f>
        <v>4754299.9209202174</v>
      </c>
      <c r="L1476" s="76">
        <f>EFEITO!$N$1476*EFEITO!$AA$1501</f>
        <v>3383764.6284710965</v>
      </c>
      <c r="M1476" s="76">
        <f>$J$1476-EFEITO!$K$1476*EFEITO!$Y$1476</f>
        <v>0</v>
      </c>
      <c r="N1476" s="76">
        <f ca="1">$K$1476-EFEITO!$M$1476*EFEITO!$Z$1476</f>
        <v>3090294.9485981413</v>
      </c>
      <c r="O1476" s="76">
        <f>$L$1476-EFEITO!$O$1476*EFEITO!$AA$1476</f>
        <v>2199447.0085062128</v>
      </c>
      <c r="P1476" s="57"/>
      <c r="Q1476" s="57"/>
      <c r="R1476" s="57"/>
      <c r="S1476" s="57"/>
      <c r="T1476" s="57"/>
      <c r="U1476" s="57"/>
      <c r="V1476" s="57"/>
      <c r="W1476" s="57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</row>
    <row r="1477" spans="1:36" ht="11.25" customHeight="1" x14ac:dyDescent="0.2">
      <c r="A1477" s="53" t="s">
        <v>21</v>
      </c>
      <c r="B1477" s="53" t="s">
        <v>22</v>
      </c>
      <c r="C1477" s="53" t="s">
        <v>23</v>
      </c>
      <c r="D1477" s="53" t="s">
        <v>24</v>
      </c>
      <c r="E1477" s="53" t="s">
        <v>30</v>
      </c>
      <c r="F1477" s="53" t="s">
        <v>25</v>
      </c>
      <c r="G1477" s="53" t="s">
        <v>25</v>
      </c>
      <c r="H1477" s="53" t="s">
        <v>25</v>
      </c>
      <c r="I1477" s="75">
        <v>44317</v>
      </c>
      <c r="J1477" s="76">
        <f>EFEITO!$J$1477*EFEITO!$Y$1417</f>
        <v>0</v>
      </c>
      <c r="K1477" s="76">
        <f ca="1">EFEITO!$L$1477*EFEITO!$Z$1501</f>
        <v>6412377.8759228354</v>
      </c>
      <c r="L1477" s="76">
        <f>EFEITO!$N$1477*EFEITO!$AA$1501</f>
        <v>4563863.8289228007</v>
      </c>
      <c r="M1477" s="76">
        <f>$J$1477-EFEITO!$K$1477*EFEITO!$Y$1477</f>
        <v>0</v>
      </c>
      <c r="N1477" s="76">
        <f ca="1">$K$1477-EFEITO!$M$1477*EFEITO!$Z$1477</f>
        <v>2564951.1503691347</v>
      </c>
      <c r="O1477" s="76">
        <f>$L$1477-EFEITO!$O$1477*EFEITO!$AA$1477</f>
        <v>1825545.5315691205</v>
      </c>
      <c r="P1477" s="57"/>
      <c r="Q1477" s="57"/>
      <c r="R1477" s="57"/>
      <c r="S1477" s="57"/>
      <c r="T1477" s="57"/>
      <c r="U1477" s="57"/>
      <c r="V1477" s="57"/>
      <c r="W1477" s="57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</row>
    <row r="1478" spans="1:36" ht="11.25" customHeight="1" x14ac:dyDescent="0.2">
      <c r="A1478" s="53" t="s">
        <v>21</v>
      </c>
      <c r="B1478" s="53" t="s">
        <v>22</v>
      </c>
      <c r="C1478" s="53" t="s">
        <v>23</v>
      </c>
      <c r="D1478" s="53" t="s">
        <v>24</v>
      </c>
      <c r="E1478" s="53" t="s">
        <v>30</v>
      </c>
      <c r="F1478" s="53" t="s">
        <v>25</v>
      </c>
      <c r="G1478" s="53" t="s">
        <v>25</v>
      </c>
      <c r="H1478" s="53" t="s">
        <v>25</v>
      </c>
      <c r="I1478" s="75">
        <v>44348</v>
      </c>
      <c r="J1478" s="76">
        <f>EFEITO!$J$1478*EFEITO!$Y$1417</f>
        <v>0</v>
      </c>
      <c r="K1478" s="76">
        <f ca="1">EFEITO!$L$1478*EFEITO!$Z$1501</f>
        <v>6226883.0076695988</v>
      </c>
      <c r="L1478" s="76">
        <f>EFEITO!$N$1478*EFEITO!$AA$1501</f>
        <v>4431842.0834716391</v>
      </c>
      <c r="M1478" s="76">
        <f>$J$1478-EFEITO!$K$1478*EFEITO!$Y$1478</f>
        <v>0</v>
      </c>
      <c r="N1478" s="76">
        <f ca="1">$K$1478-EFEITO!$M$1478*EFEITO!$Z$1478</f>
        <v>2490753.2030678396</v>
      </c>
      <c r="O1478" s="76">
        <f>$L$1478-EFEITO!$O$1478*EFEITO!$AA$1478</f>
        <v>1772736.8333886559</v>
      </c>
      <c r="P1478" s="57"/>
      <c r="Q1478" s="57"/>
      <c r="R1478" s="57"/>
      <c r="S1478" s="57"/>
      <c r="T1478" s="57"/>
      <c r="U1478" s="57"/>
      <c r="V1478" s="57"/>
      <c r="W1478" s="57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</row>
    <row r="1479" spans="1:36" ht="11.25" customHeight="1" x14ac:dyDescent="0.2">
      <c r="A1479" s="53" t="s">
        <v>21</v>
      </c>
      <c r="B1479" s="53" t="s">
        <v>22</v>
      </c>
      <c r="C1479" s="53" t="s">
        <v>23</v>
      </c>
      <c r="D1479" s="53" t="s">
        <v>24</v>
      </c>
      <c r="E1479" s="53" t="s">
        <v>30</v>
      </c>
      <c r="F1479" s="53" t="s">
        <v>25</v>
      </c>
      <c r="G1479" s="53" t="s">
        <v>25</v>
      </c>
      <c r="H1479" s="53" t="s">
        <v>25</v>
      </c>
      <c r="I1479" s="75">
        <v>44378</v>
      </c>
      <c r="J1479" s="76">
        <f>EFEITO!$J$1479*EFEITO!$Y$1417</f>
        <v>0</v>
      </c>
      <c r="K1479" s="76">
        <f ca="1">EFEITO!$L$1479*EFEITO!$Z$1501</f>
        <v>5956438.1265384564</v>
      </c>
      <c r="L1479" s="76">
        <f>EFEITO!$N$1479*EFEITO!$AA$1501</f>
        <v>4239359.1021822495</v>
      </c>
      <c r="M1479" s="76">
        <f>$J$1479-EFEITO!$K$1479*EFEITO!$Y$1479</f>
        <v>0</v>
      </c>
      <c r="N1479" s="76">
        <f ca="1">$K$1479-EFEITO!$M$1479*EFEITO!$Z$1479</f>
        <v>2382575.250615383</v>
      </c>
      <c r="O1479" s="76">
        <f>$L$1479-EFEITO!$O$1479*EFEITO!$AA$1479</f>
        <v>1695743.6408728999</v>
      </c>
      <c r="P1479" s="57"/>
      <c r="Q1479" s="57"/>
      <c r="R1479" s="57"/>
      <c r="S1479" s="57"/>
      <c r="T1479" s="57"/>
      <c r="U1479" s="57"/>
      <c r="V1479" s="57"/>
      <c r="W1479" s="57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</row>
    <row r="1480" spans="1:36" ht="11.25" customHeight="1" x14ac:dyDescent="0.2">
      <c r="A1480" s="53" t="s">
        <v>21</v>
      </c>
      <c r="B1480" s="53" t="s">
        <v>22</v>
      </c>
      <c r="C1480" s="53" t="s">
        <v>23</v>
      </c>
      <c r="D1480" s="53" t="s">
        <v>24</v>
      </c>
      <c r="E1480" s="53" t="s">
        <v>30</v>
      </c>
      <c r="F1480" s="53" t="s">
        <v>25</v>
      </c>
      <c r="G1480" s="53" t="s">
        <v>25</v>
      </c>
      <c r="H1480" s="53" t="s">
        <v>25</v>
      </c>
      <c r="I1480" s="75">
        <v>44409</v>
      </c>
      <c r="J1480" s="76">
        <f>EFEITO!$J$1480*EFEITO!$Y$1417</f>
        <v>0</v>
      </c>
      <c r="K1480" s="76">
        <f ca="1">EFEITO!$L$1480*EFEITO!$Z$1501</f>
        <v>5889837.7791024661</v>
      </c>
      <c r="L1480" s="76">
        <f>EFEITO!$N$1480*EFEITO!$AA$1501</f>
        <v>4191957.8225729968</v>
      </c>
      <c r="M1480" s="76">
        <f>$J$1480-EFEITO!$K$1480*EFEITO!$Y$1480</f>
        <v>0</v>
      </c>
      <c r="N1480" s="76">
        <f ca="1">$K$1480-EFEITO!$M$1480*EFEITO!$Z$1480</f>
        <v>2355935.1116409865</v>
      </c>
      <c r="O1480" s="76">
        <f>$L$1480-EFEITO!$O$1480*EFEITO!$AA$1480</f>
        <v>1676783.129029199</v>
      </c>
      <c r="P1480" s="57"/>
      <c r="Q1480" s="57"/>
      <c r="R1480" s="57"/>
      <c r="S1480" s="57"/>
      <c r="T1480" s="57"/>
      <c r="U1480" s="57"/>
      <c r="V1480" s="57"/>
      <c r="W1480" s="57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</row>
    <row r="1481" spans="1:36" ht="11.25" customHeight="1" x14ac:dyDescent="0.2">
      <c r="A1481" s="53" t="s">
        <v>21</v>
      </c>
      <c r="B1481" s="53" t="s">
        <v>22</v>
      </c>
      <c r="C1481" s="53" t="s">
        <v>23</v>
      </c>
      <c r="D1481" s="53" t="s">
        <v>24</v>
      </c>
      <c r="E1481" s="53" t="s">
        <v>30</v>
      </c>
      <c r="F1481" s="53" t="s">
        <v>25</v>
      </c>
      <c r="G1481" s="53" t="s">
        <v>25</v>
      </c>
      <c r="H1481" s="53" t="s">
        <v>25</v>
      </c>
      <c r="I1481" s="75">
        <v>44440</v>
      </c>
      <c r="J1481" s="76">
        <f>EFEITO!$J$1481*EFEITO!$Y$1417</f>
        <v>0</v>
      </c>
      <c r="K1481" s="76">
        <f ca="1">EFEITO!$L$1481*EFEITO!$Z$1501</f>
        <v>6199288.9110408472</v>
      </c>
      <c r="L1481" s="76">
        <f>EFEITO!$N$1481*EFEITO!$AA$1501</f>
        <v>4412202.6140060881</v>
      </c>
      <c r="M1481" s="76">
        <f>$J$1481-EFEITO!$K$1481*EFEITO!$Y$1481</f>
        <v>0</v>
      </c>
      <c r="N1481" s="76">
        <f ca="1">$K$1481-EFEITO!$M$1481*EFEITO!$Z$1481</f>
        <v>2479715.5644163396</v>
      </c>
      <c r="O1481" s="76">
        <f>$L$1481-EFEITO!$O$1481*EFEITO!$AA$1481</f>
        <v>1764881.0456024352</v>
      </c>
      <c r="P1481" s="57"/>
      <c r="Q1481" s="57"/>
      <c r="R1481" s="57"/>
      <c r="S1481" s="57"/>
      <c r="T1481" s="57"/>
      <c r="U1481" s="57"/>
      <c r="V1481" s="57"/>
      <c r="W1481" s="57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</row>
    <row r="1482" spans="1:36" ht="11.25" customHeight="1" x14ac:dyDescent="0.2">
      <c r="A1482" s="53" t="s">
        <v>21</v>
      </c>
      <c r="B1482" s="53" t="s">
        <v>22</v>
      </c>
      <c r="C1482" s="53" t="s">
        <v>23</v>
      </c>
      <c r="D1482" s="53" t="s">
        <v>24</v>
      </c>
      <c r="E1482" s="53" t="s">
        <v>30</v>
      </c>
      <c r="F1482" s="53" t="s">
        <v>25</v>
      </c>
      <c r="G1482" s="53" t="s">
        <v>25</v>
      </c>
      <c r="H1482" s="53" t="s">
        <v>25</v>
      </c>
      <c r="I1482" s="75">
        <v>44470</v>
      </c>
      <c r="J1482" s="76">
        <f>EFEITO!$J$1482*EFEITO!$Y$1417</f>
        <v>0</v>
      </c>
      <c r="K1482" s="76">
        <f ca="1">EFEITO!$L$1482*EFEITO!$Z$1501</f>
        <v>6498794.0433025463</v>
      </c>
      <c r="L1482" s="76">
        <f>EFEITO!$N$1482*EFEITO!$AA$1501</f>
        <v>4625368.5668171877</v>
      </c>
      <c r="M1482" s="76">
        <f>$J$1482-EFEITO!$K$1482*EFEITO!$Y$1482</f>
        <v>0</v>
      </c>
      <c r="N1482" s="76">
        <f ca="1">$K$1482-EFEITO!$M$1482*EFEITO!$Z$1482</f>
        <v>2599517.6173210191</v>
      </c>
      <c r="O1482" s="76">
        <f>$L$1482-EFEITO!$O$1482*EFEITO!$AA$1482</f>
        <v>1850147.4267268749</v>
      </c>
      <c r="P1482" s="57"/>
      <c r="Q1482" s="57"/>
      <c r="R1482" s="57"/>
      <c r="S1482" s="57"/>
      <c r="T1482" s="57"/>
      <c r="U1482" s="57"/>
      <c r="V1482" s="57"/>
      <c r="W1482" s="57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</row>
    <row r="1483" spans="1:36" ht="11.25" customHeight="1" x14ac:dyDescent="0.2">
      <c r="A1483" s="53" t="s">
        <v>21</v>
      </c>
      <c r="B1483" s="53" t="s">
        <v>22</v>
      </c>
      <c r="C1483" s="53" t="s">
        <v>23</v>
      </c>
      <c r="D1483" s="53" t="s">
        <v>24</v>
      </c>
      <c r="E1483" s="53" t="s">
        <v>30</v>
      </c>
      <c r="F1483" s="53" t="s">
        <v>25</v>
      </c>
      <c r="G1483" s="53" t="s">
        <v>25</v>
      </c>
      <c r="H1483" s="53" t="s">
        <v>25</v>
      </c>
      <c r="I1483" s="75">
        <v>44501</v>
      </c>
      <c r="J1483" s="76">
        <f>EFEITO!$J$1483*EFEITO!$Y$1417</f>
        <v>0</v>
      </c>
      <c r="K1483" s="76">
        <f ca="1">EFEITO!$L$1483*EFEITO!$Z$1501</f>
        <v>6820469.377995491</v>
      </c>
      <c r="L1483" s="76">
        <f>EFEITO!$N$1483*EFEITO!$AA$1501</f>
        <v>4854313.6559976181</v>
      </c>
      <c r="M1483" s="76">
        <f>$J$1483-EFEITO!$K$1483*EFEITO!$Y$1483</f>
        <v>0</v>
      </c>
      <c r="N1483" s="76">
        <f ca="1">$K$1483-EFEITO!$M$1483*EFEITO!$Z$1483</f>
        <v>2728187.7511981968</v>
      </c>
      <c r="O1483" s="76">
        <f>$L$1483-EFEITO!$O$1483*EFEITO!$AA$1483</f>
        <v>1941725.4623990478</v>
      </c>
      <c r="P1483" s="57"/>
      <c r="Q1483" s="57"/>
      <c r="R1483" s="57"/>
      <c r="S1483" s="57"/>
      <c r="T1483" s="57"/>
      <c r="U1483" s="57"/>
      <c r="V1483" s="57"/>
      <c r="W1483" s="57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</row>
    <row r="1484" spans="1:36" ht="11.25" customHeight="1" x14ac:dyDescent="0.2">
      <c r="A1484" s="53" t="s">
        <v>21</v>
      </c>
      <c r="B1484" s="53" t="s">
        <v>22</v>
      </c>
      <c r="C1484" s="53" t="s">
        <v>23</v>
      </c>
      <c r="D1484" s="53" t="s">
        <v>24</v>
      </c>
      <c r="E1484" s="53" t="s">
        <v>30</v>
      </c>
      <c r="F1484" s="53" t="s">
        <v>25</v>
      </c>
      <c r="G1484" s="53" t="s">
        <v>25</v>
      </c>
      <c r="H1484" s="53" t="s">
        <v>25</v>
      </c>
      <c r="I1484" s="75">
        <v>44531</v>
      </c>
      <c r="J1484" s="76">
        <f>EFEITO!$J$1484*EFEITO!$Y$1417</f>
        <v>0</v>
      </c>
      <c r="K1484" s="76">
        <f ca="1">EFEITO!$L$1484*EFEITO!$Z$1501</f>
        <v>7320359.4617573917</v>
      </c>
      <c r="L1484" s="76">
        <f>EFEITO!$N$1484*EFEITO!$AA$1501</f>
        <v>5210099.0316980155</v>
      </c>
      <c r="M1484" s="76">
        <f>$J$1484-EFEITO!$K$1484*EFEITO!$Y$1484</f>
        <v>0</v>
      </c>
      <c r="N1484" s="76">
        <f ca="1">$K$1484-EFEITO!$M$1484*EFEITO!$Z$1484</f>
        <v>2928143.7847029576</v>
      </c>
      <c r="O1484" s="76">
        <f>$L$1484-EFEITO!$O$1484*EFEITO!$AA$1484</f>
        <v>2084039.6126792063</v>
      </c>
      <c r="P1484" s="57"/>
      <c r="Q1484" s="57"/>
      <c r="R1484" s="57"/>
      <c r="S1484" s="57"/>
      <c r="T1484" s="57"/>
      <c r="U1484" s="57"/>
      <c r="V1484" s="57"/>
      <c r="W1484" s="57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</row>
    <row r="1485" spans="1:36" ht="11.25" customHeight="1" x14ac:dyDescent="0.2">
      <c r="A1485" s="53" t="s">
        <v>21</v>
      </c>
      <c r="B1485" s="53" t="s">
        <v>22</v>
      </c>
      <c r="C1485" s="53" t="s">
        <v>23</v>
      </c>
      <c r="D1485" s="53" t="s">
        <v>24</v>
      </c>
      <c r="E1485" s="53" t="s">
        <v>30</v>
      </c>
      <c r="F1485" s="53" t="s">
        <v>25</v>
      </c>
      <c r="G1485" s="53" t="s">
        <v>25</v>
      </c>
      <c r="H1485" s="53" t="s">
        <v>25</v>
      </c>
      <c r="I1485" s="75">
        <v>44562</v>
      </c>
      <c r="J1485" s="76">
        <f>EFEITO!$J$1485*EFEITO!$Y$1417</f>
        <v>0</v>
      </c>
      <c r="K1485" s="76">
        <f ca="1">EFEITO!$L$1485*EFEITO!$Z$1501</f>
        <v>7526457.8689807532</v>
      </c>
      <c r="L1485" s="76">
        <f>EFEITO!$N$1485*EFEITO!$AA$1501</f>
        <v>5356784.8765009362</v>
      </c>
      <c r="M1485" s="76">
        <f>$J$1485-EFEITO!$K$1485*EFEITO!$Y$1485</f>
        <v>0</v>
      </c>
      <c r="N1485" s="76">
        <f ca="1">$K$1485-EFEITO!$M$1485*EFEITO!$Z$1485</f>
        <v>3010583.1475923015</v>
      </c>
      <c r="O1485" s="76">
        <f>$L$1485-EFEITO!$O$1485*EFEITO!$AA$1485</f>
        <v>2142713.9506003745</v>
      </c>
      <c r="P1485" s="57"/>
      <c r="Q1485" s="57"/>
      <c r="R1485" s="57"/>
      <c r="S1485" s="57"/>
      <c r="T1485" s="57"/>
      <c r="U1485" s="57"/>
      <c r="V1485" s="57"/>
      <c r="W1485" s="57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</row>
    <row r="1486" spans="1:36" ht="11.25" customHeight="1" x14ac:dyDescent="0.2">
      <c r="A1486" s="53" t="s">
        <v>21</v>
      </c>
      <c r="B1486" s="53" t="s">
        <v>22</v>
      </c>
      <c r="C1486" s="53" t="s">
        <v>23</v>
      </c>
      <c r="D1486" s="53" t="s">
        <v>24</v>
      </c>
      <c r="E1486" s="53" t="s">
        <v>30</v>
      </c>
      <c r="F1486" s="53" t="s">
        <v>25</v>
      </c>
      <c r="G1486" s="53" t="s">
        <v>25</v>
      </c>
      <c r="H1486" s="53" t="s">
        <v>25</v>
      </c>
      <c r="I1486" s="75">
        <v>44593</v>
      </c>
      <c r="J1486" s="76">
        <f>EFEITO!$J$1486*EFEITO!$Y$1417</f>
        <v>0</v>
      </c>
      <c r="K1486" s="76">
        <f ca="1">EFEITO!$L$1486*EFEITO!$Z$1501</f>
        <v>7601857.9353431016</v>
      </c>
      <c r="L1486" s="76">
        <f>EFEITO!$N$1486*EFEITO!$AA$1501</f>
        <v>5410449.155529405</v>
      </c>
      <c r="M1486" s="76">
        <f>$J$1486-EFEITO!$K$1486*EFEITO!$Y$1486</f>
        <v>0</v>
      </c>
      <c r="N1486" s="76">
        <f ca="1">$K$1486-EFEITO!$M$1486*EFEITO!$Z$1486</f>
        <v>3040743.1741372412</v>
      </c>
      <c r="O1486" s="76">
        <f>$L$1486-EFEITO!$O$1486*EFEITO!$AA$1486</f>
        <v>2164179.6622117623</v>
      </c>
      <c r="P1486" s="57"/>
      <c r="Q1486" s="57"/>
      <c r="R1486" s="57"/>
      <c r="S1486" s="57"/>
      <c r="T1486" s="57"/>
      <c r="U1486" s="57"/>
      <c r="V1486" s="57"/>
      <c r="W1486" s="57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</row>
    <row r="1487" spans="1:36" ht="11.25" customHeight="1" x14ac:dyDescent="0.2">
      <c r="A1487" s="53" t="s">
        <v>21</v>
      </c>
      <c r="B1487" s="53" t="s">
        <v>22</v>
      </c>
      <c r="C1487" s="53" t="s">
        <v>23</v>
      </c>
      <c r="D1487" s="53" t="s">
        <v>24</v>
      </c>
      <c r="E1487" s="53" t="s">
        <v>30</v>
      </c>
      <c r="F1487" s="53" t="s">
        <v>25</v>
      </c>
      <c r="G1487" s="53" t="s">
        <v>25</v>
      </c>
      <c r="H1487" s="53" t="s">
        <v>25</v>
      </c>
      <c r="I1487" s="75">
        <v>44621</v>
      </c>
      <c r="J1487" s="76">
        <f>EFEITO!$J$1487*EFEITO!$Y$1417</f>
        <v>0</v>
      </c>
      <c r="K1487" s="76">
        <f ca="1">EFEITO!$L$1487*EFEITO!$Z$1501</f>
        <v>8139506.283667367</v>
      </c>
      <c r="L1487" s="76">
        <f>EFEITO!$N$1487*EFEITO!$AA$1501</f>
        <v>5793108.1156026321</v>
      </c>
      <c r="M1487" s="76">
        <f>$J$1487-EFEITO!$K$1487*EFEITO!$Y$1487</f>
        <v>0</v>
      </c>
      <c r="N1487" s="76">
        <f ca="1">$K$1487-EFEITO!$M$1487*EFEITO!$Z$1487</f>
        <v>3255802.5134669468</v>
      </c>
      <c r="O1487" s="76">
        <f>$L$1487-EFEITO!$O$1487*EFEITO!$AA$1487</f>
        <v>2317243.2462410526</v>
      </c>
      <c r="P1487" s="57"/>
      <c r="Q1487" s="57"/>
      <c r="R1487" s="57"/>
      <c r="S1487" s="57"/>
      <c r="T1487" s="57"/>
      <c r="U1487" s="57"/>
      <c r="V1487" s="57"/>
      <c r="W1487" s="57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</row>
    <row r="1488" spans="1:36" ht="11.25" customHeight="1" x14ac:dyDescent="0.2">
      <c r="A1488" s="53" t="s">
        <v>56</v>
      </c>
      <c r="B1488" s="53" t="s">
        <v>22</v>
      </c>
      <c r="C1488" s="53" t="s">
        <v>23</v>
      </c>
      <c r="D1488" s="53" t="s">
        <v>24</v>
      </c>
      <c r="E1488" s="53" t="s">
        <v>30</v>
      </c>
      <c r="F1488" s="53" t="s">
        <v>25</v>
      </c>
      <c r="G1488" s="53" t="s">
        <v>25</v>
      </c>
      <c r="H1488" s="53" t="s">
        <v>25</v>
      </c>
      <c r="I1488" s="75">
        <v>44652</v>
      </c>
      <c r="J1488" s="76">
        <f>EFEITO!$J$1488*EFEITO!$Y$1417</f>
        <v>0</v>
      </c>
      <c r="K1488" s="76">
        <f ca="1">EFEITO!$L$1488*EFEITO!$Z$1501</f>
        <v>8139506.283667367</v>
      </c>
      <c r="L1488" s="76">
        <f>EFEITO!$N$1488*EFEITO!$AA$1501</f>
        <v>5793108.1156026321</v>
      </c>
      <c r="M1488" s="76">
        <f>$J$1488-EFEITO!$K$1488*EFEITO!$Y$1488</f>
        <v>0</v>
      </c>
      <c r="N1488" s="76">
        <f ca="1">$K$1488-EFEITO!$M$1488*EFEITO!$Z$1488</f>
        <v>3255802.5134669468</v>
      </c>
      <c r="O1488" s="76">
        <f>$L$1488-EFEITO!$O$1488*EFEITO!$AA$1488</f>
        <v>2317243.2462410526</v>
      </c>
      <c r="P1488" s="57"/>
      <c r="Q1488" s="57"/>
      <c r="R1488" s="57"/>
      <c r="S1488" s="57"/>
      <c r="T1488" s="57"/>
      <c r="U1488" s="57"/>
      <c r="V1488" s="57"/>
      <c r="W1488" s="57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</row>
    <row r="1489" spans="1:36" ht="11.25" customHeight="1" x14ac:dyDescent="0.2">
      <c r="A1489" s="53" t="s">
        <v>21</v>
      </c>
      <c r="B1489" s="53" t="s">
        <v>22</v>
      </c>
      <c r="C1489" s="53" t="s">
        <v>23</v>
      </c>
      <c r="D1489" s="53" t="s">
        <v>24</v>
      </c>
      <c r="E1489" s="53" t="s">
        <v>31</v>
      </c>
      <c r="F1489" s="53" t="s">
        <v>25</v>
      </c>
      <c r="G1489" s="53" t="s">
        <v>25</v>
      </c>
      <c r="H1489" s="53" t="s">
        <v>25</v>
      </c>
      <c r="I1489" s="75">
        <v>44317</v>
      </c>
      <c r="J1489" s="76">
        <f>EFEITO!$J$1489*EFEITO!$Y$1417</f>
        <v>0</v>
      </c>
      <c r="K1489" s="76">
        <f ca="1">EFEITO!$L$1489*EFEITO!$Z$1501</f>
        <v>2489401.5171030373</v>
      </c>
      <c r="L1489" s="76">
        <f>EFEITO!$N$1489*EFEITO!$AA$1501</f>
        <v>1771774.8017052161</v>
      </c>
      <c r="M1489" s="76">
        <f>$J$1489-EFEITO!$K$1489*EFEITO!$Y$1489</f>
        <v>0</v>
      </c>
      <c r="N1489" s="76">
        <f ca="1">$K$1489-EFEITO!$M$1489*EFEITO!$Z$1489</f>
        <v>248940.15171030397</v>
      </c>
      <c r="O1489" s="76">
        <f>$L$1489-EFEITO!$O$1489*EFEITO!$AA$1489</f>
        <v>177177.48017052142</v>
      </c>
      <c r="P1489" s="57"/>
      <c r="Q1489" s="57"/>
      <c r="R1489" s="57"/>
      <c r="S1489" s="57"/>
      <c r="T1489" s="57"/>
      <c r="U1489" s="57"/>
      <c r="V1489" s="57"/>
      <c r="W1489" s="57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</row>
    <row r="1490" spans="1:36" ht="11.25" customHeight="1" x14ac:dyDescent="0.2">
      <c r="A1490" s="53" t="s">
        <v>21</v>
      </c>
      <c r="B1490" s="53" t="s">
        <v>22</v>
      </c>
      <c r="C1490" s="53" t="s">
        <v>23</v>
      </c>
      <c r="D1490" s="53" t="s">
        <v>24</v>
      </c>
      <c r="E1490" s="53" t="s">
        <v>31</v>
      </c>
      <c r="F1490" s="53" t="s">
        <v>25</v>
      </c>
      <c r="G1490" s="53" t="s">
        <v>25</v>
      </c>
      <c r="H1490" s="53" t="s">
        <v>25</v>
      </c>
      <c r="I1490" s="75">
        <v>44348</v>
      </c>
      <c r="J1490" s="76">
        <f>EFEITO!$J$1490*EFEITO!$Y$1417</f>
        <v>0</v>
      </c>
      <c r="K1490" s="76">
        <f ca="1">EFEITO!$L$1490*EFEITO!$Z$1501</f>
        <v>2223428.8858164879</v>
      </c>
      <c r="L1490" s="76">
        <f>EFEITO!$N$1490*EFEITO!$AA$1501</f>
        <v>1582474.8423297855</v>
      </c>
      <c r="M1490" s="76">
        <f>$J$1490-EFEITO!$K$1490*EFEITO!$Y$1490</f>
        <v>0</v>
      </c>
      <c r="N1490" s="76">
        <f ca="1">$K$1490-EFEITO!$M$1490*EFEITO!$Z$1490</f>
        <v>222342.88858164893</v>
      </c>
      <c r="O1490" s="76">
        <f>$L$1490-EFEITO!$O$1490*EFEITO!$AA$1490</f>
        <v>158247.48423297866</v>
      </c>
      <c r="P1490" s="57"/>
      <c r="Q1490" s="57"/>
      <c r="R1490" s="57"/>
      <c r="S1490" s="57"/>
      <c r="T1490" s="57"/>
      <c r="U1490" s="57"/>
      <c r="V1490" s="57"/>
      <c r="W1490" s="57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</row>
    <row r="1491" spans="1:36" ht="11.25" customHeight="1" x14ac:dyDescent="0.2">
      <c r="A1491" s="53" t="s">
        <v>21</v>
      </c>
      <c r="B1491" s="53" t="s">
        <v>22</v>
      </c>
      <c r="C1491" s="53" t="s">
        <v>23</v>
      </c>
      <c r="D1491" s="53" t="s">
        <v>24</v>
      </c>
      <c r="E1491" s="53" t="s">
        <v>31</v>
      </c>
      <c r="F1491" s="53" t="s">
        <v>25</v>
      </c>
      <c r="G1491" s="53" t="s">
        <v>25</v>
      </c>
      <c r="H1491" s="53" t="s">
        <v>25</v>
      </c>
      <c r="I1491" s="75">
        <v>44378</v>
      </c>
      <c r="J1491" s="76">
        <f>EFEITO!$J$1491*EFEITO!$Y$1417</f>
        <v>0</v>
      </c>
      <c r="K1491" s="76">
        <f ca="1">EFEITO!$L$1491*EFEITO!$Z$1501</f>
        <v>1823032.3018078415</v>
      </c>
      <c r="L1491" s="76">
        <f>EFEITO!$N$1491*EFEITO!$AA$1501</f>
        <v>1297501.6978364366</v>
      </c>
      <c r="M1491" s="76">
        <f>$J$1491-EFEITO!$K$1491*EFEITO!$Y$1491</f>
        <v>0</v>
      </c>
      <c r="N1491" s="76">
        <f ca="1">$K$1491-EFEITO!$M$1491*EFEITO!$Z$1491</f>
        <v>182303.23018078413</v>
      </c>
      <c r="O1491" s="76">
        <f>$L$1491-EFEITO!$O$1491*EFEITO!$AA$1491</f>
        <v>129750.16978364345</v>
      </c>
      <c r="P1491" s="57"/>
      <c r="Q1491" s="57"/>
      <c r="R1491" s="57"/>
      <c r="S1491" s="57"/>
      <c r="T1491" s="57"/>
      <c r="U1491" s="57"/>
      <c r="V1491" s="57"/>
      <c r="W1491" s="57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</row>
    <row r="1492" spans="1:36" ht="11.25" customHeight="1" x14ac:dyDescent="0.2">
      <c r="A1492" s="53" t="s">
        <v>21</v>
      </c>
      <c r="B1492" s="53" t="s">
        <v>22</v>
      </c>
      <c r="C1492" s="53" t="s">
        <v>23</v>
      </c>
      <c r="D1492" s="53" t="s">
        <v>24</v>
      </c>
      <c r="E1492" s="53" t="s">
        <v>31</v>
      </c>
      <c r="F1492" s="53" t="s">
        <v>25</v>
      </c>
      <c r="G1492" s="53" t="s">
        <v>25</v>
      </c>
      <c r="H1492" s="53" t="s">
        <v>25</v>
      </c>
      <c r="I1492" s="75">
        <v>44409</v>
      </c>
      <c r="J1492" s="76">
        <f>EFEITO!$J$1492*EFEITO!$Y$1417</f>
        <v>0</v>
      </c>
      <c r="K1492" s="76">
        <f ca="1">EFEITO!$L$1492*EFEITO!$Z$1501</f>
        <v>1707191.3388975074</v>
      </c>
      <c r="L1492" s="76">
        <f>EFEITO!$N$1492*EFEITO!$AA$1501</f>
        <v>1215054.5322507722</v>
      </c>
      <c r="M1492" s="76">
        <f>$J$1492-EFEITO!$K$1492*EFEITO!$Y$1492</f>
        <v>0</v>
      </c>
      <c r="N1492" s="76">
        <f ca="1">$K$1492-EFEITO!$M$1492*EFEITO!$Z$1492</f>
        <v>170719.13388975081</v>
      </c>
      <c r="O1492" s="76">
        <f>$L$1492-EFEITO!$O$1492*EFEITO!$AA$1492</f>
        <v>121505.45322507713</v>
      </c>
      <c r="P1492" s="57"/>
      <c r="Q1492" s="57"/>
      <c r="R1492" s="57"/>
      <c r="S1492" s="57"/>
      <c r="T1492" s="57"/>
      <c r="U1492" s="57"/>
      <c r="V1492" s="57"/>
      <c r="W1492" s="57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</row>
    <row r="1493" spans="1:36" ht="11.25" customHeight="1" x14ac:dyDescent="0.2">
      <c r="A1493" s="53" t="s">
        <v>21</v>
      </c>
      <c r="B1493" s="53" t="s">
        <v>22</v>
      </c>
      <c r="C1493" s="53" t="s">
        <v>23</v>
      </c>
      <c r="D1493" s="53" t="s">
        <v>24</v>
      </c>
      <c r="E1493" s="53" t="s">
        <v>31</v>
      </c>
      <c r="F1493" s="53" t="s">
        <v>25</v>
      </c>
      <c r="G1493" s="53" t="s">
        <v>25</v>
      </c>
      <c r="H1493" s="53" t="s">
        <v>25</v>
      </c>
      <c r="I1493" s="75">
        <v>44440</v>
      </c>
      <c r="J1493" s="76">
        <f>EFEITO!$J$1493*EFEITO!$Y$1417</f>
        <v>0</v>
      </c>
      <c r="K1493" s="76">
        <f ca="1">EFEITO!$L$1493*EFEITO!$Z$1501</f>
        <v>1987360.0629976317</v>
      </c>
      <c r="L1493" s="76">
        <f>EFEITO!$N$1493*EFEITO!$AA$1501</f>
        <v>1414458.2371879197</v>
      </c>
      <c r="M1493" s="76">
        <f>$J$1493-EFEITO!$K$1493*EFEITO!$Y$1493</f>
        <v>0</v>
      </c>
      <c r="N1493" s="76">
        <f ca="1">$K$1493-EFEITO!$M$1493*EFEITO!$Z$1493</f>
        <v>198736.00629976322</v>
      </c>
      <c r="O1493" s="76">
        <f>$L$1493-EFEITO!$O$1493*EFEITO!$AA$1493</f>
        <v>141445.82371879206</v>
      </c>
      <c r="P1493" s="57"/>
      <c r="Q1493" s="57"/>
      <c r="R1493" s="57"/>
      <c r="S1493" s="57"/>
      <c r="T1493" s="57"/>
      <c r="U1493" s="57"/>
      <c r="V1493" s="57"/>
      <c r="W1493" s="57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</row>
    <row r="1494" spans="1:36" ht="11.25" customHeight="1" x14ac:dyDescent="0.2">
      <c r="A1494" s="53" t="s">
        <v>21</v>
      </c>
      <c r="B1494" s="53" t="s">
        <v>22</v>
      </c>
      <c r="C1494" s="53" t="s">
        <v>23</v>
      </c>
      <c r="D1494" s="53" t="s">
        <v>24</v>
      </c>
      <c r="E1494" s="53" t="s">
        <v>31</v>
      </c>
      <c r="F1494" s="53" t="s">
        <v>25</v>
      </c>
      <c r="G1494" s="53" t="s">
        <v>25</v>
      </c>
      <c r="H1494" s="53" t="s">
        <v>25</v>
      </c>
      <c r="I1494" s="75">
        <v>44470</v>
      </c>
      <c r="J1494" s="76">
        <f>EFEITO!$J$1494*EFEITO!$Y$1417</f>
        <v>0</v>
      </c>
      <c r="K1494" s="76">
        <f ca="1">EFEITO!$L$1494*EFEITO!$Z$1501</f>
        <v>2316671.6855283184</v>
      </c>
      <c r="L1494" s="76">
        <f>EFEITO!$N$1494*EFEITO!$AA$1501</f>
        <v>1648838.2802223277</v>
      </c>
      <c r="M1494" s="76">
        <f>$J$1494-EFEITO!$K$1494*EFEITO!$Y$1494</f>
        <v>0</v>
      </c>
      <c r="N1494" s="76">
        <f ca="1">$K$1494-EFEITO!$M$1494*EFEITO!$Z$1494</f>
        <v>231667.16855283198</v>
      </c>
      <c r="O1494" s="76">
        <f>$L$1494-EFEITO!$O$1494*EFEITO!$AA$1494</f>
        <v>164883.82802223274</v>
      </c>
      <c r="P1494" s="57"/>
      <c r="Q1494" s="57"/>
      <c r="R1494" s="57"/>
      <c r="S1494" s="57"/>
      <c r="T1494" s="57"/>
      <c r="U1494" s="57"/>
      <c r="V1494" s="57"/>
      <c r="W1494" s="57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</row>
    <row r="1495" spans="1:36" ht="11.25" customHeight="1" x14ac:dyDescent="0.2">
      <c r="A1495" s="53" t="s">
        <v>21</v>
      </c>
      <c r="B1495" s="53" t="s">
        <v>22</v>
      </c>
      <c r="C1495" s="53" t="s">
        <v>23</v>
      </c>
      <c r="D1495" s="53" t="s">
        <v>24</v>
      </c>
      <c r="E1495" s="53" t="s">
        <v>31</v>
      </c>
      <c r="F1495" s="53" t="s">
        <v>25</v>
      </c>
      <c r="G1495" s="53" t="s">
        <v>25</v>
      </c>
      <c r="H1495" s="53" t="s">
        <v>25</v>
      </c>
      <c r="I1495" s="75">
        <v>44501</v>
      </c>
      <c r="J1495" s="76">
        <f>EFEITO!$J$1495*EFEITO!$Y$1417</f>
        <v>0</v>
      </c>
      <c r="K1495" s="76">
        <f ca="1">EFEITO!$L$1495*EFEITO!$Z$1501</f>
        <v>2709569.5832506721</v>
      </c>
      <c r="L1495" s="76">
        <f>EFEITO!$N$1495*EFEITO!$AA$1501</f>
        <v>1928474.4056302991</v>
      </c>
      <c r="M1495" s="76">
        <f>$J$1495-EFEITO!$K$1495*EFEITO!$Y$1495</f>
        <v>0</v>
      </c>
      <c r="N1495" s="76">
        <f ca="1">$K$1495-EFEITO!$M$1495*EFEITO!$Z$1495</f>
        <v>270956.95832506707</v>
      </c>
      <c r="O1495" s="76">
        <f>$L$1495-EFEITO!$O$1495*EFEITO!$AA$1495</f>
        <v>192847.44056302984</v>
      </c>
      <c r="P1495" s="57"/>
      <c r="Q1495" s="57"/>
      <c r="R1495" s="57"/>
      <c r="S1495" s="57"/>
      <c r="T1495" s="57"/>
      <c r="U1495" s="57"/>
      <c r="V1495" s="57"/>
      <c r="W1495" s="57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</row>
    <row r="1496" spans="1:36" ht="11.25" customHeight="1" x14ac:dyDescent="0.2">
      <c r="A1496" s="53" t="s">
        <v>21</v>
      </c>
      <c r="B1496" s="53" t="s">
        <v>22</v>
      </c>
      <c r="C1496" s="53" t="s">
        <v>23</v>
      </c>
      <c r="D1496" s="53" t="s">
        <v>24</v>
      </c>
      <c r="E1496" s="53" t="s">
        <v>31</v>
      </c>
      <c r="F1496" s="53" t="s">
        <v>25</v>
      </c>
      <c r="G1496" s="53" t="s">
        <v>25</v>
      </c>
      <c r="H1496" s="53" t="s">
        <v>25</v>
      </c>
      <c r="I1496" s="75">
        <v>44531</v>
      </c>
      <c r="J1496" s="76">
        <f>EFEITO!$J$1496*EFEITO!$Y$1417</f>
        <v>0</v>
      </c>
      <c r="K1496" s="76">
        <f ca="1">EFEITO!$L$1496*EFEITO!$Z$1501</f>
        <v>3118899.1004412826</v>
      </c>
      <c r="L1496" s="76">
        <f>EFEITO!$N$1496*EFEITO!$AA$1501</f>
        <v>2219805.3617536249</v>
      </c>
      <c r="M1496" s="76">
        <f>$J$1496-EFEITO!$K$1496*EFEITO!$Y$1496</f>
        <v>0</v>
      </c>
      <c r="N1496" s="76">
        <f ca="1">$K$1496-EFEITO!$M$1496*EFEITO!$Z$1496</f>
        <v>311889.91004412808</v>
      </c>
      <c r="O1496" s="76">
        <f>$L$1496-EFEITO!$O$1496*EFEITO!$AA$1496</f>
        <v>221980.5361753623</v>
      </c>
      <c r="P1496" s="57"/>
      <c r="Q1496" s="57"/>
      <c r="R1496" s="57"/>
      <c r="S1496" s="57"/>
      <c r="T1496" s="57"/>
      <c r="U1496" s="57"/>
      <c r="V1496" s="57"/>
      <c r="W1496" s="57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</row>
    <row r="1497" spans="1:36" ht="11.25" customHeight="1" x14ac:dyDescent="0.2">
      <c r="A1497" s="53" t="s">
        <v>21</v>
      </c>
      <c r="B1497" s="53" t="s">
        <v>22</v>
      </c>
      <c r="C1497" s="53" t="s">
        <v>23</v>
      </c>
      <c r="D1497" s="53" t="s">
        <v>24</v>
      </c>
      <c r="E1497" s="53" t="s">
        <v>31</v>
      </c>
      <c r="F1497" s="53" t="s">
        <v>25</v>
      </c>
      <c r="G1497" s="53" t="s">
        <v>25</v>
      </c>
      <c r="H1497" s="53" t="s">
        <v>25</v>
      </c>
      <c r="I1497" s="75">
        <v>44562</v>
      </c>
      <c r="J1497" s="76">
        <f>EFEITO!$J$1497*EFEITO!$Y$1417</f>
        <v>0</v>
      </c>
      <c r="K1497" s="76">
        <f ca="1">EFEITO!$L$1497*EFEITO!$Z$1501</f>
        <v>3136358.5436720932</v>
      </c>
      <c r="L1497" s="76">
        <f>EFEITO!$N$1497*EFEITO!$AA$1501</f>
        <v>2232231.7226100895</v>
      </c>
      <c r="M1497" s="76">
        <f>$J$1497-EFEITO!$K$1497*EFEITO!$Y$1497</f>
        <v>0</v>
      </c>
      <c r="N1497" s="76">
        <f ca="1">$K$1497-EFEITO!$M$1497*EFEITO!$Z$1497</f>
        <v>313635.8543672096</v>
      </c>
      <c r="O1497" s="76">
        <f>$L$1497-EFEITO!$O$1497*EFEITO!$AA$1497</f>
        <v>223223.17226100876</v>
      </c>
      <c r="P1497" s="57"/>
      <c r="Q1497" s="57"/>
      <c r="R1497" s="57"/>
      <c r="S1497" s="57"/>
      <c r="T1497" s="57"/>
      <c r="U1497" s="57"/>
      <c r="V1497" s="57"/>
      <c r="W1497" s="57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</row>
    <row r="1498" spans="1:36" ht="11.25" customHeight="1" x14ac:dyDescent="0.2">
      <c r="A1498" s="53" t="s">
        <v>21</v>
      </c>
      <c r="B1498" s="53" t="s">
        <v>22</v>
      </c>
      <c r="C1498" s="53" t="s">
        <v>23</v>
      </c>
      <c r="D1498" s="53" t="s">
        <v>24</v>
      </c>
      <c r="E1498" s="53" t="s">
        <v>31</v>
      </c>
      <c r="F1498" s="53" t="s">
        <v>25</v>
      </c>
      <c r="G1498" s="53" t="s">
        <v>25</v>
      </c>
      <c r="H1498" s="53" t="s">
        <v>25</v>
      </c>
      <c r="I1498" s="75">
        <v>44593</v>
      </c>
      <c r="J1498" s="76">
        <f>EFEITO!$J$1498*EFEITO!$Y$1417</f>
        <v>0</v>
      </c>
      <c r="K1498" s="76">
        <f ca="1">EFEITO!$L$1498*EFEITO!$Z$1501</f>
        <v>3137414.6854350902</v>
      </c>
      <c r="L1498" s="76">
        <f>EFEITO!$N$1498*EFEITO!$AA$1501</f>
        <v>2232983.407442709</v>
      </c>
      <c r="M1498" s="76">
        <f>$J$1498-EFEITO!$K$1498*EFEITO!$Y$1498</f>
        <v>0</v>
      </c>
      <c r="N1498" s="76">
        <f ca="1">$K$1498-EFEITO!$M$1498*EFEITO!$Z$1498</f>
        <v>313741.46854350902</v>
      </c>
      <c r="O1498" s="76">
        <f>$L$1498-EFEITO!$O$1498*EFEITO!$AA$1498</f>
        <v>223298.34074427071</v>
      </c>
      <c r="P1498" s="57"/>
      <c r="Q1498" s="57"/>
      <c r="R1498" s="57"/>
      <c r="S1498" s="57"/>
      <c r="T1498" s="57"/>
      <c r="U1498" s="57"/>
      <c r="V1498" s="57"/>
      <c r="W1498" s="57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</row>
    <row r="1499" spans="1:36" ht="11.25" customHeight="1" x14ac:dyDescent="0.2">
      <c r="A1499" s="53" t="s">
        <v>21</v>
      </c>
      <c r="B1499" s="53" t="s">
        <v>22</v>
      </c>
      <c r="C1499" s="53" t="s">
        <v>23</v>
      </c>
      <c r="D1499" s="53" t="s">
        <v>24</v>
      </c>
      <c r="E1499" s="53" t="s">
        <v>31</v>
      </c>
      <c r="F1499" s="53" t="s">
        <v>25</v>
      </c>
      <c r="G1499" s="53" t="s">
        <v>25</v>
      </c>
      <c r="H1499" s="53" t="s">
        <v>25</v>
      </c>
      <c r="I1499" s="75">
        <v>44621</v>
      </c>
      <c r="J1499" s="76">
        <f>EFEITO!$J$1499*EFEITO!$Y$1417</f>
        <v>0</v>
      </c>
      <c r="K1499" s="76">
        <f ca="1">EFEITO!$L$1499*EFEITO!$Z$1501</f>
        <v>3891669.8122174903</v>
      </c>
      <c r="L1499" s="76">
        <f>EFEITO!$N$1499*EFEITO!$AA$1501</f>
        <v>2769807.3060820852</v>
      </c>
      <c r="M1499" s="76">
        <f>$J$1499-EFEITO!$K$1499*EFEITO!$Y$1499</f>
        <v>0</v>
      </c>
      <c r="N1499" s="76">
        <f ca="1">$K$1499-EFEITO!$M$1499*EFEITO!$Z$1499</f>
        <v>389166.98122174898</v>
      </c>
      <c r="O1499" s="76">
        <f>$L$1499-EFEITO!$O$1499*EFEITO!$AA$1499</f>
        <v>276980.73060820857</v>
      </c>
      <c r="P1499" s="57"/>
      <c r="Q1499" s="57"/>
      <c r="R1499" s="57"/>
      <c r="S1499" s="57"/>
      <c r="T1499" s="57"/>
      <c r="U1499" s="57"/>
      <c r="V1499" s="57"/>
      <c r="W1499" s="57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</row>
    <row r="1500" spans="1:36" ht="11.25" customHeight="1" x14ac:dyDescent="0.2">
      <c r="A1500" s="53" t="s">
        <v>56</v>
      </c>
      <c r="B1500" s="53" t="s">
        <v>22</v>
      </c>
      <c r="C1500" s="53" t="s">
        <v>23</v>
      </c>
      <c r="D1500" s="53" t="s">
        <v>24</v>
      </c>
      <c r="E1500" s="53" t="s">
        <v>31</v>
      </c>
      <c r="F1500" s="53" t="s">
        <v>25</v>
      </c>
      <c r="G1500" s="53" t="s">
        <v>25</v>
      </c>
      <c r="H1500" s="53" t="s">
        <v>25</v>
      </c>
      <c r="I1500" s="75">
        <v>44652</v>
      </c>
      <c r="J1500" s="76">
        <f>EFEITO!$J$1500*EFEITO!$Y$1417</f>
        <v>0</v>
      </c>
      <c r="K1500" s="76">
        <f ca="1">EFEITO!$L$1500*EFEITO!$Z$1501</f>
        <v>3891669.8122174903</v>
      </c>
      <c r="L1500" s="76">
        <f>EFEITO!$N$1500*EFEITO!$AA$1501</f>
        <v>2769807.3060820852</v>
      </c>
      <c r="M1500" s="76">
        <f>$J$1500-EFEITO!$K$1500*EFEITO!$Y$1500</f>
        <v>0</v>
      </c>
      <c r="N1500" s="76">
        <f ca="1">$K$1500-EFEITO!$M$1500*EFEITO!$Z$1500</f>
        <v>389166.98122174898</v>
      </c>
      <c r="O1500" s="76">
        <f>$L$1500-EFEITO!$O$1500*EFEITO!$AA$1500</f>
        <v>276980.73060820857</v>
      </c>
      <c r="P1500" s="57"/>
      <c r="Q1500" s="57"/>
      <c r="R1500" s="57"/>
      <c r="S1500" s="57"/>
      <c r="T1500" s="57"/>
      <c r="U1500" s="57"/>
      <c r="V1500" s="57"/>
      <c r="W1500" s="57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</row>
    <row r="1501" spans="1:36" ht="11.25" customHeight="1" x14ac:dyDescent="0.2">
      <c r="A1501" s="53" t="s">
        <v>21</v>
      </c>
      <c r="B1501" s="53" t="s">
        <v>22</v>
      </c>
      <c r="C1501" s="53" t="s">
        <v>23</v>
      </c>
      <c r="D1501" s="53" t="s">
        <v>24</v>
      </c>
      <c r="E1501" s="53" t="s">
        <v>32</v>
      </c>
      <c r="F1501" s="53" t="s">
        <v>25</v>
      </c>
      <c r="G1501" s="53" t="s">
        <v>25</v>
      </c>
      <c r="H1501" s="53" t="s">
        <v>25</v>
      </c>
      <c r="I1501" s="75">
        <v>44317</v>
      </c>
      <c r="J1501" s="76">
        <f>EFEITO!$J$1501*EFEITO!$Y$1417</f>
        <v>0</v>
      </c>
      <c r="K1501" s="76">
        <f ca="1">EFEITO!$L$1501*EFEITO!$Z$1501</f>
        <v>499107.94856656832</v>
      </c>
      <c r="L1501" s="76">
        <f>EFEITO!$N$1501*EFEITO!$AA$1501</f>
        <v>355228.70879829506</v>
      </c>
      <c r="M1501" s="76">
        <f>$J$1501-EFEITO!$K$1501*EFEITO!$Y$1501</f>
        <v>0</v>
      </c>
      <c r="N1501" s="76">
        <f ca="1">$K$1501-EFEITO!$M$1501*EFEITO!$Z$1501</f>
        <v>0</v>
      </c>
      <c r="O1501" s="76">
        <f>$L$1501-EFEITO!$O$1501*EFEITO!$AA$1501</f>
        <v>0</v>
      </c>
      <c r="P1501" s="57"/>
      <c r="Q1501" s="57"/>
      <c r="R1501" s="57"/>
      <c r="S1501" s="57"/>
      <c r="T1501" s="57"/>
      <c r="U1501" s="57"/>
      <c r="V1501" s="57"/>
      <c r="W1501" s="57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</row>
    <row r="1502" spans="1:36" ht="11.25" customHeight="1" x14ac:dyDescent="0.2">
      <c r="A1502" s="53" t="s">
        <v>21</v>
      </c>
      <c r="B1502" s="53" t="s">
        <v>22</v>
      </c>
      <c r="C1502" s="53" t="s">
        <v>23</v>
      </c>
      <c r="D1502" s="53" t="s">
        <v>24</v>
      </c>
      <c r="E1502" s="53" t="s">
        <v>32</v>
      </c>
      <c r="F1502" s="53" t="s">
        <v>25</v>
      </c>
      <c r="G1502" s="53" t="s">
        <v>25</v>
      </c>
      <c r="H1502" s="53" t="s">
        <v>25</v>
      </c>
      <c r="I1502" s="75">
        <v>44348</v>
      </c>
      <c r="J1502" s="76">
        <f>EFEITO!$J$1502*EFEITO!$Y$1417</f>
        <v>0</v>
      </c>
      <c r="K1502" s="76">
        <f ca="1">EFEITO!$L$1502*EFEITO!$Z$1501</f>
        <v>401794.13715726481</v>
      </c>
      <c r="L1502" s="76">
        <f>EFEITO!$N$1502*EFEITO!$AA$1501</f>
        <v>285967.82109965506</v>
      </c>
      <c r="M1502" s="76">
        <f>$J$1502-EFEITO!$K$1502*EFEITO!$Y$1502</f>
        <v>0</v>
      </c>
      <c r="N1502" s="76">
        <f ca="1">$K$1502-EFEITO!$M$1502*EFEITO!$Z$1502</f>
        <v>0</v>
      </c>
      <c r="O1502" s="76">
        <f>$L$1502-EFEITO!$O$1502*EFEITO!$AA$1502</f>
        <v>0</v>
      </c>
      <c r="P1502" s="57"/>
      <c r="Q1502" s="57"/>
      <c r="R1502" s="57"/>
      <c r="S1502" s="57"/>
      <c r="T1502" s="57"/>
      <c r="U1502" s="57"/>
      <c r="V1502" s="57"/>
      <c r="W1502" s="57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</row>
    <row r="1503" spans="1:36" ht="11.25" customHeight="1" x14ac:dyDescent="0.2">
      <c r="A1503" s="53" t="s">
        <v>21</v>
      </c>
      <c r="B1503" s="53" t="s">
        <v>22</v>
      </c>
      <c r="C1503" s="53" t="s">
        <v>23</v>
      </c>
      <c r="D1503" s="53" t="s">
        <v>24</v>
      </c>
      <c r="E1503" s="53" t="s">
        <v>32</v>
      </c>
      <c r="F1503" s="53" t="s">
        <v>25</v>
      </c>
      <c r="G1503" s="53" t="s">
        <v>25</v>
      </c>
      <c r="H1503" s="53" t="s">
        <v>25</v>
      </c>
      <c r="I1503" s="75">
        <v>44378</v>
      </c>
      <c r="J1503" s="76">
        <f>EFEITO!$J$1503*EFEITO!$Y$1417</f>
        <v>0</v>
      </c>
      <c r="K1503" s="76">
        <f ca="1">EFEITO!$L$1503*EFEITO!$Z$1501</f>
        <v>310106.83324441011</v>
      </c>
      <c r="L1503" s="76">
        <f>EFEITO!$N$1503*EFEITO!$AA$1501</f>
        <v>220711.47189563865</v>
      </c>
      <c r="M1503" s="76">
        <f>$J$1503-EFEITO!$K$1503*EFEITO!$Y$1503</f>
        <v>0</v>
      </c>
      <c r="N1503" s="76">
        <f ca="1">$K$1503-EFEITO!$M$1503*EFEITO!$Z$1503</f>
        <v>0</v>
      </c>
      <c r="O1503" s="76">
        <f>$L$1503-EFEITO!$O$1503*EFEITO!$AA$1503</f>
        <v>0</v>
      </c>
      <c r="P1503" s="57"/>
      <c r="Q1503" s="57"/>
      <c r="R1503" s="57"/>
      <c r="S1503" s="57"/>
      <c r="T1503" s="57"/>
      <c r="U1503" s="57"/>
      <c r="V1503" s="57"/>
      <c r="W1503" s="57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</row>
    <row r="1504" spans="1:36" ht="11.25" customHeight="1" x14ac:dyDescent="0.2">
      <c r="A1504" s="53" t="s">
        <v>27</v>
      </c>
      <c r="B1504" s="53" t="s">
        <v>22</v>
      </c>
      <c r="C1504" s="53" t="s">
        <v>23</v>
      </c>
      <c r="D1504" s="53" t="s">
        <v>24</v>
      </c>
      <c r="E1504" s="53" t="s">
        <v>32</v>
      </c>
      <c r="F1504" s="53" t="s">
        <v>25</v>
      </c>
      <c r="G1504" s="53" t="s">
        <v>25</v>
      </c>
      <c r="H1504" s="53" t="s">
        <v>25</v>
      </c>
      <c r="I1504" s="75">
        <v>44378</v>
      </c>
      <c r="J1504" s="76">
        <f>EFEITO!$J$1504*EFEITO!$Y$1417</f>
        <v>0</v>
      </c>
      <c r="K1504" s="76">
        <f ca="1">EFEITO!$L$1504*EFEITO!$Z$1501</f>
        <v>-403957.472853071</v>
      </c>
      <c r="L1504" s="76">
        <f>EFEITO!$N$1504*EFEITO!$AA$1501</f>
        <v>-287507.52598338929</v>
      </c>
      <c r="M1504" s="76">
        <f>$J$1504-EFEITO!$K$1504*EFEITO!$Y$1504</f>
        <v>0</v>
      </c>
      <c r="N1504" s="76">
        <f ca="1">$K$1504-EFEITO!$M$1504*EFEITO!$Z$1504</f>
        <v>0</v>
      </c>
      <c r="O1504" s="76">
        <f>$L$1504-EFEITO!$O$1504*EFEITO!$AA$1504</f>
        <v>0</v>
      </c>
      <c r="P1504" s="57"/>
      <c r="Q1504" s="57"/>
      <c r="R1504" s="57"/>
      <c r="S1504" s="57"/>
      <c r="T1504" s="57"/>
      <c r="U1504" s="57"/>
      <c r="V1504" s="57"/>
      <c r="W1504" s="57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</row>
    <row r="1505" spans="1:36" ht="11.25" customHeight="1" x14ac:dyDescent="0.2">
      <c r="A1505" s="53" t="s">
        <v>21</v>
      </c>
      <c r="B1505" s="53" t="s">
        <v>22</v>
      </c>
      <c r="C1505" s="53" t="s">
        <v>23</v>
      </c>
      <c r="D1505" s="53" t="s">
        <v>24</v>
      </c>
      <c r="E1505" s="53" t="s">
        <v>32</v>
      </c>
      <c r="F1505" s="53" t="s">
        <v>25</v>
      </c>
      <c r="G1505" s="53" t="s">
        <v>25</v>
      </c>
      <c r="H1505" s="53" t="s">
        <v>25</v>
      </c>
      <c r="I1505" s="75">
        <v>44409</v>
      </c>
      <c r="J1505" s="76">
        <f>EFEITO!$J$1505*EFEITO!$Y$1417</f>
        <v>0</v>
      </c>
      <c r="K1505" s="76">
        <f ca="1">EFEITO!$L$1505*EFEITO!$Z$1501</f>
        <v>287959.36498253263</v>
      </c>
      <c r="L1505" s="76">
        <f>EFEITO!$N$1505*EFEITO!$AA$1501</f>
        <v>204948.51605329421</v>
      </c>
      <c r="M1505" s="76">
        <f>$J$1505-EFEITO!$K$1505*EFEITO!$Y$1505</f>
        <v>0</v>
      </c>
      <c r="N1505" s="76">
        <f ca="1">$K$1505-EFEITO!$M$1505*EFEITO!$Z$1505</f>
        <v>0</v>
      </c>
      <c r="O1505" s="76">
        <f>$L$1505-EFEITO!$O$1505*EFEITO!$AA$1505</f>
        <v>0</v>
      </c>
      <c r="P1505" s="57"/>
      <c r="Q1505" s="57"/>
      <c r="R1505" s="57"/>
      <c r="S1505" s="57"/>
      <c r="T1505" s="57"/>
      <c r="U1505" s="57"/>
      <c r="V1505" s="57"/>
      <c r="W1505" s="57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</row>
    <row r="1506" spans="1:36" ht="11.25" customHeight="1" x14ac:dyDescent="0.2">
      <c r="A1506" s="53" t="s">
        <v>21</v>
      </c>
      <c r="B1506" s="53" t="s">
        <v>22</v>
      </c>
      <c r="C1506" s="53" t="s">
        <v>23</v>
      </c>
      <c r="D1506" s="53" t="s">
        <v>24</v>
      </c>
      <c r="E1506" s="53" t="s">
        <v>32</v>
      </c>
      <c r="F1506" s="53" t="s">
        <v>25</v>
      </c>
      <c r="G1506" s="53" t="s">
        <v>25</v>
      </c>
      <c r="H1506" s="53" t="s">
        <v>25</v>
      </c>
      <c r="I1506" s="75">
        <v>44440</v>
      </c>
      <c r="J1506" s="76">
        <f>EFEITO!$J$1506*EFEITO!$Y$1417</f>
        <v>0</v>
      </c>
      <c r="K1506" s="76">
        <f ca="1">EFEITO!$L$1506*EFEITO!$Z$1501</f>
        <v>353660.71561572992</v>
      </c>
      <c r="L1506" s="76">
        <f>EFEITO!$N$1506*EFEITO!$AA$1501</f>
        <v>251709.95517435815</v>
      </c>
      <c r="M1506" s="76">
        <f>$J$1506-EFEITO!$K$1506*EFEITO!$Y$1506</f>
        <v>0</v>
      </c>
      <c r="N1506" s="76">
        <f ca="1">$K$1506-EFEITO!$M$1506*EFEITO!$Z$1506</f>
        <v>0</v>
      </c>
      <c r="O1506" s="76">
        <f>$L$1506-EFEITO!$O$1506*EFEITO!$AA$1506</f>
        <v>0</v>
      </c>
      <c r="P1506" s="57"/>
      <c r="Q1506" s="57"/>
      <c r="R1506" s="57"/>
      <c r="S1506" s="57"/>
      <c r="T1506" s="57"/>
      <c r="U1506" s="57"/>
      <c r="V1506" s="57"/>
      <c r="W1506" s="57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</row>
    <row r="1507" spans="1:36" ht="11.25" customHeight="1" x14ac:dyDescent="0.2">
      <c r="A1507" s="53" t="s">
        <v>21</v>
      </c>
      <c r="B1507" s="53" t="s">
        <v>22</v>
      </c>
      <c r="C1507" s="53" t="s">
        <v>23</v>
      </c>
      <c r="D1507" s="53" t="s">
        <v>24</v>
      </c>
      <c r="E1507" s="53" t="s">
        <v>32</v>
      </c>
      <c r="F1507" s="53" t="s">
        <v>25</v>
      </c>
      <c r="G1507" s="53" t="s">
        <v>25</v>
      </c>
      <c r="H1507" s="53" t="s">
        <v>25</v>
      </c>
      <c r="I1507" s="75">
        <v>44470</v>
      </c>
      <c r="J1507" s="76">
        <f>EFEITO!$J$1507*EFEITO!$Y$1417</f>
        <v>0</v>
      </c>
      <c r="K1507" s="76">
        <f ca="1">EFEITO!$L$1507*EFEITO!$Z$1501</f>
        <v>433617.58697892446</v>
      </c>
      <c r="L1507" s="76">
        <f>EFEITO!$N$1507*EFEITO!$AA$1501</f>
        <v>308617.43632241833</v>
      </c>
      <c r="M1507" s="76">
        <f>$J$1507-EFEITO!$K$1507*EFEITO!$Y$1507</f>
        <v>0</v>
      </c>
      <c r="N1507" s="76">
        <f ca="1">$K$1507-EFEITO!$M$1507*EFEITO!$Z$1507</f>
        <v>0</v>
      </c>
      <c r="O1507" s="76">
        <f>$L$1507-EFEITO!$O$1507*EFEITO!$AA$1507</f>
        <v>0</v>
      </c>
      <c r="P1507" s="57"/>
      <c r="Q1507" s="57"/>
      <c r="R1507" s="57"/>
      <c r="S1507" s="57"/>
      <c r="T1507" s="57"/>
      <c r="U1507" s="57"/>
      <c r="V1507" s="57"/>
      <c r="W1507" s="57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</row>
    <row r="1508" spans="1:36" ht="11.25" customHeight="1" x14ac:dyDescent="0.2">
      <c r="A1508" s="53" t="s">
        <v>21</v>
      </c>
      <c r="B1508" s="53" t="s">
        <v>22</v>
      </c>
      <c r="C1508" s="53" t="s">
        <v>23</v>
      </c>
      <c r="D1508" s="53" t="s">
        <v>24</v>
      </c>
      <c r="E1508" s="53" t="s">
        <v>32</v>
      </c>
      <c r="F1508" s="53" t="s">
        <v>25</v>
      </c>
      <c r="G1508" s="53" t="s">
        <v>25</v>
      </c>
      <c r="H1508" s="53" t="s">
        <v>25</v>
      </c>
      <c r="I1508" s="75">
        <v>44501</v>
      </c>
      <c r="J1508" s="76">
        <f>EFEITO!$J$1508*EFEITO!$Y$1417</f>
        <v>0</v>
      </c>
      <c r="K1508" s="76">
        <f ca="1">EFEITO!$L$1508*EFEITO!$Z$1501</f>
        <v>539942.10636014049</v>
      </c>
      <c r="L1508" s="76">
        <f>EFEITO!$N$1508*EFEITO!$AA$1501</f>
        <v>384291.49008546153</v>
      </c>
      <c r="M1508" s="76">
        <f>$J$1508-EFEITO!$K$1508*EFEITO!$Y$1508</f>
        <v>0</v>
      </c>
      <c r="N1508" s="76">
        <f ca="1">$K$1508-EFEITO!$M$1508*EFEITO!$Z$1508</f>
        <v>0</v>
      </c>
      <c r="O1508" s="76">
        <f>$L$1508-EFEITO!$O$1508*EFEITO!$AA$1508</f>
        <v>0</v>
      </c>
      <c r="P1508" s="57"/>
      <c r="Q1508" s="57"/>
      <c r="R1508" s="57"/>
      <c r="S1508" s="57"/>
      <c r="T1508" s="57"/>
      <c r="U1508" s="57"/>
      <c r="V1508" s="57"/>
      <c r="W1508" s="57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</row>
    <row r="1509" spans="1:36" ht="11.25" customHeight="1" x14ac:dyDescent="0.2">
      <c r="A1509" s="53" t="s">
        <v>21</v>
      </c>
      <c r="B1509" s="53" t="s">
        <v>22</v>
      </c>
      <c r="C1509" s="53" t="s">
        <v>23</v>
      </c>
      <c r="D1509" s="53" t="s">
        <v>24</v>
      </c>
      <c r="E1509" s="53" t="s">
        <v>32</v>
      </c>
      <c r="F1509" s="53" t="s">
        <v>25</v>
      </c>
      <c r="G1509" s="53" t="s">
        <v>25</v>
      </c>
      <c r="H1509" s="53" t="s">
        <v>25</v>
      </c>
      <c r="I1509" s="75">
        <v>44531</v>
      </c>
      <c r="J1509" s="76">
        <f>EFEITO!$J$1509*EFEITO!$Y$1417</f>
        <v>0</v>
      </c>
      <c r="K1509" s="76">
        <f ca="1">EFEITO!$L$1509*EFEITO!$Z$1501</f>
        <v>700848.97332741413</v>
      </c>
      <c r="L1509" s="76">
        <f>EFEITO!$N$1509*EFEITO!$AA$1501</f>
        <v>498813.28592887142</v>
      </c>
      <c r="M1509" s="76">
        <f>$J$1509-EFEITO!$K$1509*EFEITO!$Y$1509</f>
        <v>0</v>
      </c>
      <c r="N1509" s="76">
        <f ca="1">$K$1509-EFEITO!$M$1509*EFEITO!$Z$1509</f>
        <v>0</v>
      </c>
      <c r="O1509" s="76">
        <f>$L$1509-EFEITO!$O$1509*EFEITO!$AA$1509</f>
        <v>0</v>
      </c>
      <c r="P1509" s="57"/>
      <c r="Q1509" s="57"/>
      <c r="R1509" s="57"/>
      <c r="S1509" s="57"/>
      <c r="T1509" s="57"/>
      <c r="U1509" s="57"/>
      <c r="V1509" s="57"/>
      <c r="W1509" s="57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</row>
    <row r="1510" spans="1:36" ht="11.25" customHeight="1" x14ac:dyDescent="0.2">
      <c r="A1510" s="53" t="s">
        <v>21</v>
      </c>
      <c r="B1510" s="53" t="s">
        <v>22</v>
      </c>
      <c r="C1510" s="53" t="s">
        <v>23</v>
      </c>
      <c r="D1510" s="53" t="s">
        <v>24</v>
      </c>
      <c r="E1510" s="53" t="s">
        <v>32</v>
      </c>
      <c r="F1510" s="53" t="s">
        <v>25</v>
      </c>
      <c r="G1510" s="53" t="s">
        <v>25</v>
      </c>
      <c r="H1510" s="53" t="s">
        <v>25</v>
      </c>
      <c r="I1510" s="75">
        <v>44562</v>
      </c>
      <c r="J1510" s="76">
        <f>EFEITO!$J$1510*EFEITO!$Y$1417</f>
        <v>0</v>
      </c>
      <c r="K1510" s="76">
        <f ca="1">EFEITO!$L$1510*EFEITO!$Z$1501</f>
        <v>722522.2147931424</v>
      </c>
      <c r="L1510" s="76">
        <f>EFEITO!$N$1510*EFEITO!$AA$1501</f>
        <v>514238.72165566281</v>
      </c>
      <c r="M1510" s="76">
        <f>$J$1510-EFEITO!$K$1510*EFEITO!$Y$1510</f>
        <v>0</v>
      </c>
      <c r="N1510" s="76">
        <f ca="1">$K$1510-EFEITO!$M$1510*EFEITO!$Z$1510</f>
        <v>0</v>
      </c>
      <c r="O1510" s="76">
        <f>$L$1510-EFEITO!$O$1510*EFEITO!$AA$1510</f>
        <v>0</v>
      </c>
      <c r="P1510" s="57"/>
      <c r="Q1510" s="57"/>
      <c r="R1510" s="57"/>
      <c r="S1510" s="57"/>
      <c r="T1510" s="57"/>
      <c r="U1510" s="57"/>
      <c r="V1510" s="57"/>
      <c r="W1510" s="57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</row>
    <row r="1511" spans="1:36" ht="11.25" customHeight="1" x14ac:dyDescent="0.2">
      <c r="A1511" s="53" t="s">
        <v>21</v>
      </c>
      <c r="B1511" s="53" t="s">
        <v>22</v>
      </c>
      <c r="C1511" s="53" t="s">
        <v>23</v>
      </c>
      <c r="D1511" s="53" t="s">
        <v>24</v>
      </c>
      <c r="E1511" s="53" t="s">
        <v>32</v>
      </c>
      <c r="F1511" s="53" t="s">
        <v>25</v>
      </c>
      <c r="G1511" s="53" t="s">
        <v>25</v>
      </c>
      <c r="H1511" s="53" t="s">
        <v>25</v>
      </c>
      <c r="I1511" s="75">
        <v>44593</v>
      </c>
      <c r="J1511" s="76">
        <f>EFEITO!$J$1511*EFEITO!$Y$1417</f>
        <v>0</v>
      </c>
      <c r="K1511" s="76">
        <f ca="1">EFEITO!$L$1511*EFEITO!$Z$1501</f>
        <v>707357.72613343596</v>
      </c>
      <c r="L1511" s="76">
        <f>EFEITO!$N$1511*EFEITO!$AA$1501</f>
        <v>503445.74241811526</v>
      </c>
      <c r="M1511" s="76">
        <f>$J$1511-EFEITO!$K$1511*EFEITO!$Y$1511</f>
        <v>0</v>
      </c>
      <c r="N1511" s="76">
        <f ca="1">$K$1511-EFEITO!$M$1511*EFEITO!$Z$1511</f>
        <v>0</v>
      </c>
      <c r="O1511" s="76">
        <f>$L$1511-EFEITO!$O$1511*EFEITO!$AA$1511</f>
        <v>0</v>
      </c>
      <c r="P1511" s="57"/>
      <c r="Q1511" s="57"/>
      <c r="R1511" s="57"/>
      <c r="S1511" s="57"/>
      <c r="T1511" s="57"/>
      <c r="U1511" s="57"/>
      <c r="V1511" s="57"/>
      <c r="W1511" s="57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</row>
    <row r="1512" spans="1:36" ht="11.25" customHeight="1" x14ac:dyDescent="0.2">
      <c r="A1512" s="53" t="s">
        <v>21</v>
      </c>
      <c r="B1512" s="53" t="s">
        <v>22</v>
      </c>
      <c r="C1512" s="53" t="s">
        <v>23</v>
      </c>
      <c r="D1512" s="53" t="s">
        <v>24</v>
      </c>
      <c r="E1512" s="53" t="s">
        <v>32</v>
      </c>
      <c r="F1512" s="53" t="s">
        <v>25</v>
      </c>
      <c r="G1512" s="53" t="s">
        <v>25</v>
      </c>
      <c r="H1512" s="53" t="s">
        <v>25</v>
      </c>
      <c r="I1512" s="75">
        <v>44621</v>
      </c>
      <c r="J1512" s="76">
        <f>EFEITO!$J$1512*EFEITO!$Y$1417</f>
        <v>0</v>
      </c>
      <c r="K1512" s="76">
        <f ca="1">EFEITO!$L$1512*EFEITO!$Z$1501</f>
        <v>903821.2328399109</v>
      </c>
      <c r="L1512" s="76">
        <f>EFEITO!$N$1512*EFEITO!$AA$1501</f>
        <v>643274.16633675003</v>
      </c>
      <c r="M1512" s="76">
        <f>$J$1512-EFEITO!$K$1512*EFEITO!$Y$1512</f>
        <v>0</v>
      </c>
      <c r="N1512" s="76">
        <f ca="1">$K$1512-EFEITO!$M$1512*EFEITO!$Z$1512</f>
        <v>0</v>
      </c>
      <c r="O1512" s="76">
        <f>$L$1512-EFEITO!$O$1512*EFEITO!$AA$1512</f>
        <v>0</v>
      </c>
      <c r="P1512" s="57"/>
      <c r="Q1512" s="57"/>
      <c r="R1512" s="57"/>
      <c r="S1512" s="57"/>
      <c r="T1512" s="57"/>
      <c r="U1512" s="57"/>
      <c r="V1512" s="57"/>
      <c r="W1512" s="57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</row>
    <row r="1513" spans="1:36" ht="11.25" customHeight="1" x14ac:dyDescent="0.2">
      <c r="A1513" s="53" t="s">
        <v>56</v>
      </c>
      <c r="B1513" s="53" t="s">
        <v>22</v>
      </c>
      <c r="C1513" s="53" t="s">
        <v>23</v>
      </c>
      <c r="D1513" s="53" t="s">
        <v>24</v>
      </c>
      <c r="E1513" s="53" t="s">
        <v>32</v>
      </c>
      <c r="F1513" s="53" t="s">
        <v>25</v>
      </c>
      <c r="G1513" s="53" t="s">
        <v>25</v>
      </c>
      <c r="H1513" s="53" t="s">
        <v>25</v>
      </c>
      <c r="I1513" s="75">
        <v>44652</v>
      </c>
      <c r="J1513" s="76">
        <f>EFEITO!$J$1513*EFEITO!$Y$1417</f>
        <v>0</v>
      </c>
      <c r="K1513" s="76">
        <f ca="1">EFEITO!$L$1513*EFEITO!$Z$1501</f>
        <v>903821.2328399109</v>
      </c>
      <c r="L1513" s="76">
        <f>EFEITO!$N$1513*EFEITO!$AA$1501</f>
        <v>643274.16633675003</v>
      </c>
      <c r="M1513" s="76">
        <f>$J$1513-EFEITO!$K$1513*EFEITO!$Y$1513</f>
        <v>0</v>
      </c>
      <c r="N1513" s="76">
        <f ca="1">$K$1513-EFEITO!$M$1513*EFEITO!$Z$1513</f>
        <v>0</v>
      </c>
      <c r="O1513" s="76">
        <f>$L$1513-EFEITO!$O$1513*EFEITO!$AA$1513</f>
        <v>0</v>
      </c>
      <c r="P1513" s="57"/>
      <c r="Q1513" s="57"/>
      <c r="R1513" s="57"/>
      <c r="S1513" s="57"/>
      <c r="T1513" s="57"/>
      <c r="U1513" s="57"/>
      <c r="V1513" s="57"/>
      <c r="W1513" s="57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</row>
    <row r="1514" spans="1:36" ht="11.25" customHeight="1" x14ac:dyDescent="0.2">
      <c r="A1514" s="53" t="s">
        <v>21</v>
      </c>
      <c r="B1514" s="53" t="s">
        <v>44</v>
      </c>
      <c r="C1514" s="53" t="s">
        <v>37</v>
      </c>
      <c r="D1514" s="53" t="s">
        <v>45</v>
      </c>
      <c r="E1514" s="53" t="s">
        <v>25</v>
      </c>
      <c r="F1514" s="53" t="s">
        <v>25</v>
      </c>
      <c r="G1514" s="53" t="s">
        <v>25</v>
      </c>
      <c r="H1514" s="53" t="s">
        <v>36</v>
      </c>
      <c r="I1514" s="75">
        <v>44317</v>
      </c>
      <c r="J1514" s="76">
        <f>EFEITO!$J$1514*EFEITO!$Y$1514/(1-CUSTOS!$M$38)</f>
        <v>0</v>
      </c>
      <c r="K1514" s="76">
        <f ca="1">EFEITO!$L$1514*EFEITO!$Z$1514/(1-CUSTOS!$M$38)</f>
        <v>467.3303903820688</v>
      </c>
      <c r="L1514" s="76">
        <f>EFEITO!$N$1514*EFEITO!$AA$1514/(1-CUSTOS!$M$38)</f>
        <v>350.58286909730049</v>
      </c>
      <c r="M1514" s="76">
        <f>$J$1514-EFEITO!$K$1514*EFEITO!$Y$1514</f>
        <v>0</v>
      </c>
      <c r="N1514" s="76">
        <f ca="1">$K$1514-EFEITO!$M$1514*EFEITO!$Z$1514</f>
        <v>28.039823422924144</v>
      </c>
      <c r="O1514" s="76">
        <f>$L$1514-EFEITO!$O$1514*EFEITO!$AA$1514</f>
        <v>21.034972145838026</v>
      </c>
      <c r="P1514" s="57"/>
      <c r="Q1514" s="57"/>
      <c r="R1514" s="57"/>
      <c r="S1514" s="57"/>
      <c r="T1514" s="57"/>
      <c r="U1514" s="57"/>
      <c r="V1514" s="57"/>
      <c r="W1514" s="57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</row>
    <row r="1515" spans="1:36" ht="11.25" customHeight="1" x14ac:dyDescent="0.2">
      <c r="A1515" s="53" t="s">
        <v>21</v>
      </c>
      <c r="B1515" s="53" t="s">
        <v>44</v>
      </c>
      <c r="C1515" s="53" t="s">
        <v>37</v>
      </c>
      <c r="D1515" s="53" t="s">
        <v>45</v>
      </c>
      <c r="E1515" s="53" t="s">
        <v>25</v>
      </c>
      <c r="F1515" s="53" t="s">
        <v>25</v>
      </c>
      <c r="G1515" s="53" t="s">
        <v>25</v>
      </c>
      <c r="H1515" s="53" t="s">
        <v>36</v>
      </c>
      <c r="I1515" s="75">
        <v>44348</v>
      </c>
      <c r="J1515" s="76">
        <f>EFEITO!$J$1515*EFEITO!$Y$1515/(1-CUSTOS!$M$38)</f>
        <v>0</v>
      </c>
      <c r="K1515" s="76">
        <f ca="1">EFEITO!$L$1515*EFEITO!$Z$1515/(1-CUSTOS!$M$38)</f>
        <v>36.143108304877714</v>
      </c>
      <c r="L1515" s="76">
        <f>EFEITO!$N$1515*EFEITO!$AA$1515/(1-CUSTOS!$M$38)</f>
        <v>27.113910989737089</v>
      </c>
      <c r="M1515" s="76">
        <f>$J$1515-EFEITO!$K$1515*EFEITO!$Y$1515</f>
        <v>0</v>
      </c>
      <c r="N1515" s="76">
        <f ca="1">$K$1515-EFEITO!$M$1515*EFEITO!$Z$1515</f>
        <v>2.1685864982926617</v>
      </c>
      <c r="O1515" s="76">
        <f>$L$1515-EFEITO!$O$1515*EFEITO!$AA$1515</f>
        <v>1.626834659384226</v>
      </c>
      <c r="P1515" s="57"/>
      <c r="Q1515" s="57"/>
      <c r="R1515" s="57"/>
      <c r="S1515" s="57"/>
      <c r="T1515" s="57"/>
      <c r="U1515" s="57"/>
      <c r="V1515" s="57"/>
      <c r="W1515" s="57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</row>
    <row r="1516" spans="1:36" ht="11.25" customHeight="1" x14ac:dyDescent="0.2">
      <c r="A1516" s="53" t="s">
        <v>21</v>
      </c>
      <c r="B1516" s="53" t="s">
        <v>44</v>
      </c>
      <c r="C1516" s="53" t="s">
        <v>37</v>
      </c>
      <c r="D1516" s="53" t="s">
        <v>45</v>
      </c>
      <c r="E1516" s="53" t="s">
        <v>25</v>
      </c>
      <c r="F1516" s="53" t="s">
        <v>25</v>
      </c>
      <c r="G1516" s="53" t="s">
        <v>25</v>
      </c>
      <c r="H1516" s="53" t="s">
        <v>36</v>
      </c>
      <c r="I1516" s="75">
        <v>44378</v>
      </c>
      <c r="J1516" s="76">
        <f>EFEITO!$J$1516*EFEITO!$Y$1516/(1-CUSTOS!$M$38)</f>
        <v>0</v>
      </c>
      <c r="K1516" s="76">
        <f ca="1">EFEITO!$L$1516*EFEITO!$Z$1516/(1-CUSTOS!$M$38)</f>
        <v>36.143108304877714</v>
      </c>
      <c r="L1516" s="76">
        <f>EFEITO!$N$1516*EFEITO!$AA$1516/(1-CUSTOS!$M$38)</f>
        <v>27.113910989737089</v>
      </c>
      <c r="M1516" s="76">
        <f>$J$1516-EFEITO!$K$1516*EFEITO!$Y$1516</f>
        <v>0</v>
      </c>
      <c r="N1516" s="76">
        <f ca="1">$K$1516-EFEITO!$M$1516*EFEITO!$Z$1516</f>
        <v>2.1685864982926617</v>
      </c>
      <c r="O1516" s="76">
        <f>$L$1516-EFEITO!$O$1516*EFEITO!$AA$1516</f>
        <v>1.626834659384226</v>
      </c>
      <c r="P1516" s="57"/>
      <c r="Q1516" s="57"/>
      <c r="R1516" s="57"/>
      <c r="S1516" s="57"/>
      <c r="T1516" s="57"/>
      <c r="U1516" s="57"/>
      <c r="V1516" s="57"/>
      <c r="W1516" s="57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</row>
    <row r="1517" spans="1:36" ht="11.25" customHeight="1" x14ac:dyDescent="0.2">
      <c r="A1517" s="53" t="s">
        <v>21</v>
      </c>
      <c r="B1517" s="53" t="s">
        <v>44</v>
      </c>
      <c r="C1517" s="53" t="s">
        <v>37</v>
      </c>
      <c r="D1517" s="53" t="s">
        <v>45</v>
      </c>
      <c r="E1517" s="53" t="s">
        <v>25</v>
      </c>
      <c r="F1517" s="53" t="s">
        <v>25</v>
      </c>
      <c r="G1517" s="53" t="s">
        <v>25</v>
      </c>
      <c r="H1517" s="53" t="s">
        <v>36</v>
      </c>
      <c r="I1517" s="75">
        <v>44409</v>
      </c>
      <c r="J1517" s="76">
        <f>EFEITO!$J$1517*EFEITO!$Y$1517/(1-CUSTOS!$M$38)</f>
        <v>0</v>
      </c>
      <c r="K1517" s="76">
        <f ca="1">EFEITO!$L$1517*EFEITO!$Z$1517/(1-CUSTOS!$M$38)</f>
        <v>36.143108304877714</v>
      </c>
      <c r="L1517" s="76">
        <f>EFEITO!$N$1517*EFEITO!$AA$1517/(1-CUSTOS!$M$38)</f>
        <v>27.113910989737089</v>
      </c>
      <c r="M1517" s="76">
        <f>$J$1517-EFEITO!$K$1517*EFEITO!$Y$1517</f>
        <v>0</v>
      </c>
      <c r="N1517" s="76">
        <f ca="1">$K$1517-EFEITO!$M$1517*EFEITO!$Z$1517</f>
        <v>2.1685864982926617</v>
      </c>
      <c r="O1517" s="76">
        <f>$L$1517-EFEITO!$O$1517*EFEITO!$AA$1517</f>
        <v>1.626834659384226</v>
      </c>
      <c r="P1517" s="57"/>
      <c r="Q1517" s="57"/>
      <c r="R1517" s="57"/>
      <c r="S1517" s="57"/>
      <c r="T1517" s="57"/>
      <c r="U1517" s="57"/>
      <c r="V1517" s="57"/>
      <c r="W1517" s="57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</row>
    <row r="1518" spans="1:36" ht="11.25" customHeight="1" x14ac:dyDescent="0.2">
      <c r="A1518" s="53" t="s">
        <v>21</v>
      </c>
      <c r="B1518" s="53" t="s">
        <v>44</v>
      </c>
      <c r="C1518" s="53" t="s">
        <v>37</v>
      </c>
      <c r="D1518" s="53" t="s">
        <v>45</v>
      </c>
      <c r="E1518" s="53" t="s">
        <v>25</v>
      </c>
      <c r="F1518" s="53" t="s">
        <v>25</v>
      </c>
      <c r="G1518" s="53" t="s">
        <v>25</v>
      </c>
      <c r="H1518" s="53" t="s">
        <v>36</v>
      </c>
      <c r="I1518" s="75">
        <v>44470</v>
      </c>
      <c r="J1518" s="76">
        <f>EFEITO!$J$1518*EFEITO!$Y$1518/(1-CUSTOS!$M$38)</f>
        <v>0</v>
      </c>
      <c r="K1518" s="76">
        <f ca="1">EFEITO!$L$1518*EFEITO!$Z$1518/(1-CUSTOS!$M$38)</f>
        <v>384.56267236389891</v>
      </c>
      <c r="L1518" s="76">
        <f>EFEITO!$N$1518*EFEITO!$AA$1518/(1-CUSTOS!$M$38)</f>
        <v>288.49201293080262</v>
      </c>
      <c r="M1518" s="76">
        <f>$J$1518-EFEITO!$K$1518*EFEITO!$Y$1518</f>
        <v>0</v>
      </c>
      <c r="N1518" s="76">
        <f ca="1">$K$1518-EFEITO!$M$1518*EFEITO!$Z$1518</f>
        <v>23.073760341833975</v>
      </c>
      <c r="O1518" s="76">
        <f>$L$1518-EFEITO!$O$1518*EFEITO!$AA$1518</f>
        <v>17.309520775848171</v>
      </c>
      <c r="P1518" s="57"/>
      <c r="Q1518" s="57"/>
      <c r="R1518" s="57"/>
      <c r="S1518" s="57"/>
      <c r="T1518" s="57"/>
      <c r="U1518" s="57"/>
      <c r="V1518" s="57"/>
      <c r="W1518" s="57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</row>
    <row r="1519" spans="1:36" ht="11.25" customHeight="1" x14ac:dyDescent="0.2">
      <c r="A1519" s="53" t="s">
        <v>21</v>
      </c>
      <c r="B1519" s="53" t="s">
        <v>44</v>
      </c>
      <c r="C1519" s="53" t="s">
        <v>37</v>
      </c>
      <c r="D1519" s="53" t="s">
        <v>45</v>
      </c>
      <c r="E1519" s="53" t="s">
        <v>25</v>
      </c>
      <c r="F1519" s="53" t="s">
        <v>25</v>
      </c>
      <c r="G1519" s="53" t="s">
        <v>25</v>
      </c>
      <c r="H1519" s="53" t="s">
        <v>36</v>
      </c>
      <c r="I1519" s="75">
        <v>44501</v>
      </c>
      <c r="J1519" s="76">
        <f>EFEITO!$J$1519*EFEITO!$Y$1519/(1-CUSTOS!$M$38)</f>
        <v>0</v>
      </c>
      <c r="K1519" s="76">
        <f ca="1">EFEITO!$L$1519*EFEITO!$Z$1519/(1-CUSTOS!$M$38)</f>
        <v>559.85674764255577</v>
      </c>
      <c r="L1519" s="76">
        <f>EFEITO!$N$1519*EFEITO!$AA$1519/(1-CUSTOS!$M$38)</f>
        <v>419.99448123102746</v>
      </c>
      <c r="M1519" s="76">
        <f>$J$1519-EFEITO!$K$1519*EFEITO!$Y$1519</f>
        <v>0</v>
      </c>
      <c r="N1519" s="76">
        <f ca="1">$K$1519-EFEITO!$M$1519*EFEITO!$Z$1519</f>
        <v>33.591404858553346</v>
      </c>
      <c r="O1519" s="76">
        <f>$L$1519-EFEITO!$O$1519*EFEITO!$AA$1519</f>
        <v>25.199668873861697</v>
      </c>
      <c r="P1519" s="57"/>
      <c r="Q1519" s="57"/>
      <c r="R1519" s="57"/>
      <c r="S1519" s="57"/>
      <c r="T1519" s="57"/>
      <c r="U1519" s="57"/>
      <c r="V1519" s="57"/>
      <c r="W1519" s="57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</row>
    <row r="1520" spans="1:36" ht="11.25" customHeight="1" x14ac:dyDescent="0.2">
      <c r="A1520" s="53" t="s">
        <v>21</v>
      </c>
      <c r="B1520" s="53" t="s">
        <v>44</v>
      </c>
      <c r="C1520" s="53" t="s">
        <v>37</v>
      </c>
      <c r="D1520" s="53" t="s">
        <v>45</v>
      </c>
      <c r="E1520" s="53" t="s">
        <v>25</v>
      </c>
      <c r="F1520" s="53" t="s">
        <v>25</v>
      </c>
      <c r="G1520" s="53" t="s">
        <v>25</v>
      </c>
      <c r="H1520" s="53" t="s">
        <v>36</v>
      </c>
      <c r="I1520" s="75">
        <v>44531</v>
      </c>
      <c r="J1520" s="76">
        <f>EFEITO!$J$1520*EFEITO!$Y$1520/(1-CUSTOS!$M$38)</f>
        <v>0</v>
      </c>
      <c r="K1520" s="76">
        <f ca="1">EFEITO!$L$1520*EFEITO!$Z$1520/(1-CUSTOS!$M$38)</f>
        <v>649.85308732170131</v>
      </c>
      <c r="L1520" s="76">
        <f>EFEITO!$N$1520*EFEITO!$AA$1520/(1-CUSTOS!$M$38)</f>
        <v>487.50811959547281</v>
      </c>
      <c r="M1520" s="76">
        <f>$J$1520-EFEITO!$K$1520*EFEITO!$Y$1520</f>
        <v>0</v>
      </c>
      <c r="N1520" s="76">
        <f ca="1">$K$1520-EFEITO!$M$1520*EFEITO!$Z$1520</f>
        <v>38.991185239302126</v>
      </c>
      <c r="O1520" s="76">
        <f>$L$1520-EFEITO!$O$1520*EFEITO!$AA$1520</f>
        <v>29.250487175728381</v>
      </c>
      <c r="P1520" s="57"/>
      <c r="Q1520" s="57"/>
      <c r="R1520" s="57"/>
      <c r="S1520" s="57"/>
      <c r="T1520" s="57"/>
      <c r="U1520" s="57"/>
      <c r="V1520" s="57"/>
      <c r="W1520" s="57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</row>
    <row r="1521" spans="1:36" ht="11.25" customHeight="1" x14ac:dyDescent="0.2">
      <c r="A1521" s="53" t="s">
        <v>21</v>
      </c>
      <c r="B1521" s="53" t="s">
        <v>44</v>
      </c>
      <c r="C1521" s="53" t="s">
        <v>37</v>
      </c>
      <c r="D1521" s="53" t="s">
        <v>45</v>
      </c>
      <c r="E1521" s="53" t="s">
        <v>25</v>
      </c>
      <c r="F1521" s="53" t="s">
        <v>25</v>
      </c>
      <c r="G1521" s="53" t="s">
        <v>25</v>
      </c>
      <c r="H1521" s="53" t="s">
        <v>36</v>
      </c>
      <c r="I1521" s="75">
        <v>44562</v>
      </c>
      <c r="J1521" s="76">
        <f>EFEITO!$J$1521*EFEITO!$Y$1521/(1-CUSTOS!$M$38)</f>
        <v>0</v>
      </c>
      <c r="K1521" s="76">
        <f ca="1">EFEITO!$L$1521*EFEITO!$Z$1521/(1-CUSTOS!$M$38)</f>
        <v>198.78709567682745</v>
      </c>
      <c r="L1521" s="76">
        <f>EFEITO!$N$1521*EFEITO!$AA$1521/(1-CUSTOS!$M$38)</f>
        <v>149.126510443554</v>
      </c>
      <c r="M1521" s="76">
        <f>$J$1521-EFEITO!$K$1521*EFEITO!$Y$1521</f>
        <v>0</v>
      </c>
      <c r="N1521" s="76">
        <f ca="1">$K$1521-EFEITO!$M$1521*EFEITO!$Z$1521</f>
        <v>11.927225740609657</v>
      </c>
      <c r="O1521" s="76">
        <f>$L$1521-EFEITO!$O$1521*EFEITO!$AA$1521</f>
        <v>8.9475906266132483</v>
      </c>
      <c r="P1521" s="57"/>
      <c r="Q1521" s="57"/>
      <c r="R1521" s="57"/>
      <c r="S1521" s="57"/>
      <c r="T1521" s="57"/>
      <c r="U1521" s="57"/>
      <c r="V1521" s="57"/>
      <c r="W1521" s="57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</row>
    <row r="1522" spans="1:36" ht="11.25" customHeight="1" x14ac:dyDescent="0.2">
      <c r="A1522" s="53" t="s">
        <v>21</v>
      </c>
      <c r="B1522" s="53" t="s">
        <v>44</v>
      </c>
      <c r="C1522" s="53" t="s">
        <v>37</v>
      </c>
      <c r="D1522" s="53" t="s">
        <v>45</v>
      </c>
      <c r="E1522" s="53" t="s">
        <v>25</v>
      </c>
      <c r="F1522" s="53" t="s">
        <v>25</v>
      </c>
      <c r="G1522" s="53" t="s">
        <v>25</v>
      </c>
      <c r="H1522" s="53" t="s">
        <v>36</v>
      </c>
      <c r="I1522" s="75">
        <v>44593</v>
      </c>
      <c r="J1522" s="76">
        <f>EFEITO!$J$1522*EFEITO!$Y$1522/(1-CUSTOS!$M$38)</f>
        <v>0</v>
      </c>
      <c r="K1522" s="76">
        <f ca="1">EFEITO!$L$1522*EFEITO!$Z$1522/(1-CUSTOS!$M$38)</f>
        <v>138.42810480768168</v>
      </c>
      <c r="L1522" s="76">
        <f>EFEITO!$N$1522*EFEITO!$AA$1522/(1-CUSTOS!$M$38)</f>
        <v>103.84627909069305</v>
      </c>
      <c r="M1522" s="76">
        <f>$J$1522-EFEITO!$K$1522*EFEITO!$Y$1522</f>
        <v>0</v>
      </c>
      <c r="N1522" s="76">
        <f ca="1">$K$1522-EFEITO!$M$1522*EFEITO!$Z$1522</f>
        <v>8.3056862884609188</v>
      </c>
      <c r="O1522" s="76">
        <f>$L$1522-EFEITO!$O$1522*EFEITO!$AA$1522</f>
        <v>6.2307767454415881</v>
      </c>
      <c r="P1522" s="57"/>
      <c r="Q1522" s="57"/>
      <c r="R1522" s="57"/>
      <c r="S1522" s="57"/>
      <c r="T1522" s="57"/>
      <c r="U1522" s="57"/>
      <c r="V1522" s="57"/>
      <c r="W1522" s="57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</row>
    <row r="1523" spans="1:36" ht="11.25" customHeight="1" x14ac:dyDescent="0.2">
      <c r="A1523" s="53" t="s">
        <v>21</v>
      </c>
      <c r="B1523" s="53" t="s">
        <v>44</v>
      </c>
      <c r="C1523" s="53" t="s">
        <v>37</v>
      </c>
      <c r="D1523" s="53" t="s">
        <v>45</v>
      </c>
      <c r="E1523" s="53" t="s">
        <v>25</v>
      </c>
      <c r="F1523" s="53" t="s">
        <v>25</v>
      </c>
      <c r="G1523" s="53" t="s">
        <v>25</v>
      </c>
      <c r="H1523" s="53" t="s">
        <v>36</v>
      </c>
      <c r="I1523" s="75">
        <v>44621</v>
      </c>
      <c r="J1523" s="76">
        <f>EFEITO!$J$1523*EFEITO!$Y$1523/(1-CUSTOS!$M$38)</f>
        <v>0</v>
      </c>
      <c r="K1523" s="76">
        <f ca="1">EFEITO!$L$1523*EFEITO!$Z$1523/(1-CUSTOS!$M$38)</f>
        <v>365.04539387926491</v>
      </c>
      <c r="L1523" s="76">
        <f>EFEITO!$N$1523*EFEITO!$AA$1523/(1-CUSTOS!$M$38)</f>
        <v>273.85050099634458</v>
      </c>
      <c r="M1523" s="76">
        <f>$J$1523-EFEITO!$K$1523*EFEITO!$Y$1523</f>
        <v>0</v>
      </c>
      <c r="N1523" s="76">
        <f ca="1">$K$1523-EFEITO!$M$1523*EFEITO!$Z$1523</f>
        <v>21.902723632755908</v>
      </c>
      <c r="O1523" s="76">
        <f>$L$1523-EFEITO!$O$1523*EFEITO!$AA$1523</f>
        <v>16.43103005978071</v>
      </c>
      <c r="P1523" s="57"/>
      <c r="Q1523" s="57"/>
      <c r="R1523" s="57"/>
      <c r="S1523" s="57"/>
      <c r="T1523" s="57"/>
      <c r="U1523" s="57"/>
      <c r="V1523" s="57"/>
      <c r="W1523" s="57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</row>
    <row r="1524" spans="1:36" ht="11.25" customHeight="1" x14ac:dyDescent="0.2">
      <c r="A1524" s="53" t="s">
        <v>56</v>
      </c>
      <c r="B1524" s="53" t="s">
        <v>44</v>
      </c>
      <c r="C1524" s="53" t="s">
        <v>37</v>
      </c>
      <c r="D1524" s="53" t="s">
        <v>45</v>
      </c>
      <c r="E1524" s="53" t="s">
        <v>25</v>
      </c>
      <c r="F1524" s="53" t="s">
        <v>25</v>
      </c>
      <c r="G1524" s="53" t="s">
        <v>25</v>
      </c>
      <c r="H1524" s="53" t="s">
        <v>36</v>
      </c>
      <c r="I1524" s="75">
        <v>44652</v>
      </c>
      <c r="J1524" s="76">
        <f>EFEITO!$J$1524*EFEITO!$Y$1524/(1-CUSTOS!$M$38)</f>
        <v>0</v>
      </c>
      <c r="K1524" s="76">
        <f ca="1">EFEITO!$L$1524*EFEITO!$Z$1524/(1-CUSTOS!$M$38)</f>
        <v>365.04539387926491</v>
      </c>
      <c r="L1524" s="76">
        <f>EFEITO!$N$1524*EFEITO!$AA$1524/(1-CUSTOS!$M$38)</f>
        <v>273.85050099634458</v>
      </c>
      <c r="M1524" s="76">
        <f>$J$1524-EFEITO!$K$1524*EFEITO!$Y$1524</f>
        <v>0</v>
      </c>
      <c r="N1524" s="76">
        <f ca="1">$K$1524-EFEITO!$M$1524*EFEITO!$Z$1524</f>
        <v>21.902723632755908</v>
      </c>
      <c r="O1524" s="76">
        <f>$L$1524-EFEITO!$O$1524*EFEITO!$AA$1524</f>
        <v>16.43103005978071</v>
      </c>
      <c r="P1524" s="57"/>
      <c r="Q1524" s="57"/>
      <c r="R1524" s="57"/>
      <c r="S1524" s="57"/>
      <c r="T1524" s="57"/>
      <c r="U1524" s="57"/>
      <c r="V1524" s="57"/>
      <c r="W1524" s="57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</row>
    <row r="1525" spans="1:36" ht="11.25" customHeight="1" x14ac:dyDescent="0.2">
      <c r="A1525" s="53" t="s">
        <v>21</v>
      </c>
      <c r="B1525" s="53" t="s">
        <v>44</v>
      </c>
      <c r="C1525" s="53" t="s">
        <v>37</v>
      </c>
      <c r="D1525" s="53" t="s">
        <v>45</v>
      </c>
      <c r="E1525" s="53" t="s">
        <v>25</v>
      </c>
      <c r="F1525" s="53" t="s">
        <v>25</v>
      </c>
      <c r="G1525" s="53" t="s">
        <v>25</v>
      </c>
      <c r="H1525" s="53" t="s">
        <v>38</v>
      </c>
      <c r="I1525" s="75">
        <v>44317</v>
      </c>
      <c r="J1525" s="76">
        <f>EFEITO!$J$1525*EFEITO!$Y$1525/(1-CUSTOS!$M$38)</f>
        <v>0</v>
      </c>
      <c r="K1525" s="76">
        <f ca="1">EFEITO!$L$1525*EFEITO!$Z$1525/(1-CUSTOS!$M$38)</f>
        <v>4.6188604925869416</v>
      </c>
      <c r="L1525" s="76">
        <f>EFEITO!$N$1525*EFEITO!$AA$1525/(1-CUSTOS!$M$38)</f>
        <v>1.6268346593842253</v>
      </c>
      <c r="M1525" s="76">
        <f>$J$1525-EFEITO!$K$1525*EFEITO!$Y$1525</f>
        <v>0</v>
      </c>
      <c r="N1525" s="76">
        <f ca="1">$K$1525-EFEITO!$M$1525*EFEITO!$Z$1525</f>
        <v>0.27713162955521664</v>
      </c>
      <c r="O1525" s="76">
        <f>$L$1525-EFEITO!$O$1525*EFEITO!$AA$1525</f>
        <v>9.7610079563053675E-2</v>
      </c>
      <c r="P1525" s="57"/>
      <c r="Q1525" s="57"/>
      <c r="R1525" s="57"/>
      <c r="S1525" s="57"/>
      <c r="T1525" s="57"/>
      <c r="U1525" s="57"/>
      <c r="V1525" s="57"/>
      <c r="W1525" s="57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</row>
    <row r="1526" spans="1:36" ht="11.25" customHeight="1" x14ac:dyDescent="0.2">
      <c r="A1526" s="53" t="s">
        <v>21</v>
      </c>
      <c r="B1526" s="53" t="s">
        <v>44</v>
      </c>
      <c r="C1526" s="53" t="s">
        <v>37</v>
      </c>
      <c r="D1526" s="53" t="s">
        <v>45</v>
      </c>
      <c r="E1526" s="53" t="s">
        <v>25</v>
      </c>
      <c r="F1526" s="53" t="s">
        <v>25</v>
      </c>
      <c r="G1526" s="53" t="s">
        <v>25</v>
      </c>
      <c r="H1526" s="53" t="s">
        <v>38</v>
      </c>
      <c r="I1526" s="75">
        <v>44470</v>
      </c>
      <c r="J1526" s="76">
        <f>EFEITO!$J$1526*EFEITO!$Y$1526/(1-CUSTOS!$M$38)</f>
        <v>0</v>
      </c>
      <c r="K1526" s="76">
        <f ca="1">EFEITO!$L$1526*EFEITO!$Z$1526/(1-CUSTOS!$M$38)</f>
        <v>3.079240328391295</v>
      </c>
      <c r="L1526" s="76">
        <f>EFEITO!$N$1526*EFEITO!$AA$1526/(1-CUSTOS!$M$38)</f>
        <v>1.0845564395894833</v>
      </c>
      <c r="M1526" s="76">
        <f>$J$1526-EFEITO!$K$1526*EFEITO!$Y$1526</f>
        <v>0</v>
      </c>
      <c r="N1526" s="76">
        <f ca="1">$K$1526-EFEITO!$M$1526*EFEITO!$Z$1526</f>
        <v>0.18475441970347806</v>
      </c>
      <c r="O1526" s="76">
        <f>$L$1526-EFEITO!$O$1526*EFEITO!$AA$1526</f>
        <v>6.5073386375368969E-2</v>
      </c>
      <c r="P1526" s="57"/>
      <c r="Q1526" s="57"/>
      <c r="R1526" s="57"/>
      <c r="S1526" s="57"/>
      <c r="T1526" s="57"/>
      <c r="U1526" s="57"/>
      <c r="V1526" s="57"/>
      <c r="W1526" s="57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</row>
    <row r="1527" spans="1:36" ht="11.25" customHeight="1" x14ac:dyDescent="0.2">
      <c r="A1527" s="53" t="s">
        <v>21</v>
      </c>
      <c r="B1527" s="53" t="s">
        <v>44</v>
      </c>
      <c r="C1527" s="53" t="s">
        <v>37</v>
      </c>
      <c r="D1527" s="53" t="s">
        <v>45</v>
      </c>
      <c r="E1527" s="53" t="s">
        <v>25</v>
      </c>
      <c r="F1527" s="53" t="s">
        <v>25</v>
      </c>
      <c r="G1527" s="53" t="s">
        <v>25</v>
      </c>
      <c r="H1527" s="53" t="s">
        <v>38</v>
      </c>
      <c r="I1527" s="75">
        <v>44501</v>
      </c>
      <c r="J1527" s="76">
        <f>EFEITO!$J$1527*EFEITO!$Y$1527/(1-CUSTOS!$M$38)</f>
        <v>0</v>
      </c>
      <c r="K1527" s="76">
        <f ca="1">EFEITO!$L$1527*EFEITO!$Z$1527/(1-CUSTOS!$M$38)</f>
        <v>10.007531067271708</v>
      </c>
      <c r="L1527" s="76">
        <f>EFEITO!$N$1527*EFEITO!$AA$1527/(1-CUSTOS!$M$38)</f>
        <v>3.5248084286658212</v>
      </c>
      <c r="M1527" s="76">
        <f>$J$1527-EFEITO!$K$1527*EFEITO!$Y$1527</f>
        <v>0</v>
      </c>
      <c r="N1527" s="76">
        <f ca="1">$K$1527-EFEITO!$M$1527*EFEITO!$Z$1527</f>
        <v>0.60045186403630346</v>
      </c>
      <c r="O1527" s="76">
        <f>$L$1527-EFEITO!$O$1527*EFEITO!$AA$1527</f>
        <v>0.21148850571994959</v>
      </c>
      <c r="P1527" s="57"/>
      <c r="Q1527" s="57"/>
      <c r="R1527" s="57"/>
      <c r="S1527" s="57"/>
      <c r="T1527" s="57"/>
      <c r="U1527" s="57"/>
      <c r="V1527" s="57"/>
      <c r="W1527" s="57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</row>
    <row r="1528" spans="1:36" ht="11.25" customHeight="1" x14ac:dyDescent="0.2">
      <c r="A1528" s="53" t="s">
        <v>21</v>
      </c>
      <c r="B1528" s="53" t="s">
        <v>44</v>
      </c>
      <c r="C1528" s="53" t="s">
        <v>37</v>
      </c>
      <c r="D1528" s="53" t="s">
        <v>45</v>
      </c>
      <c r="E1528" s="53" t="s">
        <v>25</v>
      </c>
      <c r="F1528" s="53" t="s">
        <v>25</v>
      </c>
      <c r="G1528" s="53" t="s">
        <v>25</v>
      </c>
      <c r="H1528" s="53" t="s">
        <v>38</v>
      </c>
      <c r="I1528" s="75">
        <v>44531</v>
      </c>
      <c r="J1528" s="76">
        <f>EFEITO!$J$1528*EFEITO!$Y$1528/(1-CUSTOS!$M$38)</f>
        <v>0</v>
      </c>
      <c r="K1528" s="76">
        <f ca="1">EFEITO!$L$1528*EFEITO!$Z$1528/(1-CUSTOS!$M$38)</f>
        <v>4.6188604925869416</v>
      </c>
      <c r="L1528" s="76">
        <f>EFEITO!$N$1528*EFEITO!$AA$1528/(1-CUSTOS!$M$38)</f>
        <v>1.6268346593842253</v>
      </c>
      <c r="M1528" s="76">
        <f>$J$1528-EFEITO!$K$1528*EFEITO!$Y$1528</f>
        <v>0</v>
      </c>
      <c r="N1528" s="76">
        <f ca="1">$K$1528-EFEITO!$M$1528*EFEITO!$Z$1528</f>
        <v>0.27713162955521664</v>
      </c>
      <c r="O1528" s="76">
        <f>$L$1528-EFEITO!$O$1528*EFEITO!$AA$1528</f>
        <v>9.7610079563053675E-2</v>
      </c>
      <c r="P1528" s="57"/>
      <c r="Q1528" s="57"/>
      <c r="R1528" s="57"/>
      <c r="S1528" s="57"/>
      <c r="T1528" s="57"/>
      <c r="U1528" s="57"/>
      <c r="V1528" s="57"/>
      <c r="W1528" s="57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</row>
    <row r="1529" spans="1:36" ht="11.25" customHeight="1" x14ac:dyDescent="0.2">
      <c r="A1529" s="53" t="s">
        <v>21</v>
      </c>
      <c r="B1529" s="53" t="s">
        <v>44</v>
      </c>
      <c r="C1529" s="53" t="s">
        <v>37</v>
      </c>
      <c r="D1529" s="53" t="s">
        <v>45</v>
      </c>
      <c r="E1529" s="53" t="s">
        <v>25</v>
      </c>
      <c r="F1529" s="53" t="s">
        <v>25</v>
      </c>
      <c r="G1529" s="53" t="s">
        <v>25</v>
      </c>
      <c r="H1529" s="53" t="s">
        <v>38</v>
      </c>
      <c r="I1529" s="75">
        <v>44621</v>
      </c>
      <c r="J1529" s="76">
        <f>EFEITO!$J$1529*EFEITO!$Y$1529/(1-CUSTOS!$M$38)</f>
        <v>0</v>
      </c>
      <c r="K1529" s="76">
        <f ca="1">EFEITO!$L$1529*EFEITO!$Z$1529/(1-CUSTOS!$M$38)</f>
        <v>0.76981008209782376</v>
      </c>
      <c r="L1529" s="76">
        <f>EFEITO!$N$1529*EFEITO!$AA$1529/(1-CUSTOS!$M$38)</f>
        <v>0.27113910989737083</v>
      </c>
      <c r="M1529" s="76">
        <f>$J$1529-EFEITO!$K$1529*EFEITO!$Y$1529</f>
        <v>0</v>
      </c>
      <c r="N1529" s="76">
        <f ca="1">$K$1529-EFEITO!$M$1529*EFEITO!$Z$1529</f>
        <v>4.6188604925869514E-2</v>
      </c>
      <c r="O1529" s="76">
        <f>$L$1529-EFEITO!$O$1529*EFEITO!$AA$1529</f>
        <v>1.6268346593842242E-2</v>
      </c>
      <c r="P1529" s="57"/>
      <c r="Q1529" s="57"/>
      <c r="R1529" s="57"/>
      <c r="S1529" s="57"/>
      <c r="T1529" s="57"/>
      <c r="U1529" s="57"/>
      <c r="V1529" s="57"/>
      <c r="W1529" s="57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</row>
    <row r="1530" spans="1:36" ht="11.25" customHeight="1" x14ac:dyDescent="0.2">
      <c r="A1530" s="53" t="s">
        <v>56</v>
      </c>
      <c r="B1530" s="53" t="s">
        <v>44</v>
      </c>
      <c r="C1530" s="53" t="s">
        <v>37</v>
      </c>
      <c r="D1530" s="53" t="s">
        <v>45</v>
      </c>
      <c r="E1530" s="53" t="s">
        <v>25</v>
      </c>
      <c r="F1530" s="53" t="s">
        <v>25</v>
      </c>
      <c r="G1530" s="53" t="s">
        <v>25</v>
      </c>
      <c r="H1530" s="53" t="s">
        <v>38</v>
      </c>
      <c r="I1530" s="75">
        <v>44652</v>
      </c>
      <c r="J1530" s="76">
        <f>EFEITO!$J$1530*EFEITO!$Y$1530/(1-CUSTOS!$M$38)</f>
        <v>0</v>
      </c>
      <c r="K1530" s="76">
        <f ca="1">EFEITO!$L$1530*EFEITO!$Z$1530/(1-CUSTOS!$M$38)</f>
        <v>0.76981008209782376</v>
      </c>
      <c r="L1530" s="76">
        <f>EFEITO!$N$1530*EFEITO!$AA$1530/(1-CUSTOS!$M$38)</f>
        <v>0.27113910989737083</v>
      </c>
      <c r="M1530" s="76">
        <f>$J$1530-EFEITO!$K$1530*EFEITO!$Y$1530</f>
        <v>0</v>
      </c>
      <c r="N1530" s="76">
        <f ca="1">$K$1530-EFEITO!$M$1530*EFEITO!$Z$1530</f>
        <v>4.6188604925869514E-2</v>
      </c>
      <c r="O1530" s="76">
        <f>$L$1530-EFEITO!$O$1530*EFEITO!$AA$1530</f>
        <v>1.6268346593842242E-2</v>
      </c>
      <c r="P1530" s="57"/>
      <c r="Q1530" s="57"/>
      <c r="R1530" s="57"/>
      <c r="S1530" s="57"/>
      <c r="T1530" s="57"/>
      <c r="U1530" s="57"/>
      <c r="V1530" s="57"/>
      <c r="W1530" s="57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</row>
    <row r="1531" spans="1:36" ht="11.25" customHeight="1" x14ac:dyDescent="0.2">
      <c r="A1531" s="53" t="s">
        <v>21</v>
      </c>
      <c r="B1531" s="53" t="s">
        <v>44</v>
      </c>
      <c r="C1531" s="53" t="s">
        <v>37</v>
      </c>
      <c r="D1531" s="53" t="s">
        <v>45</v>
      </c>
      <c r="E1531" s="53" t="s">
        <v>25</v>
      </c>
      <c r="F1531" s="53" t="s">
        <v>25</v>
      </c>
      <c r="G1531" s="53" t="s">
        <v>25</v>
      </c>
      <c r="H1531" s="53" t="s">
        <v>35</v>
      </c>
      <c r="I1531" s="75">
        <v>44470</v>
      </c>
      <c r="J1531" s="76">
        <f>EFEITO!$J$1531*EFEITO!$Y$1531/(1-CUSTOS!$M$38)</f>
        <v>0</v>
      </c>
      <c r="K1531" s="76">
        <f ca="1">EFEITO!$L$1531*EFEITO!$Z$1531/(1-CUSTOS!$M$38)</f>
        <v>1.1781887517861644</v>
      </c>
      <c r="L1531" s="76">
        <f>EFEITO!$N$1531*EFEITO!$AA$1531/(1-CUSTOS!$M$38)</f>
        <v>0.42389652505413844</v>
      </c>
      <c r="M1531" s="76">
        <f>$J$1531-EFEITO!$K$1531*EFEITO!$Y$1531</f>
        <v>0</v>
      </c>
      <c r="N1531" s="76">
        <f ca="1">$K$1531-EFEITO!$M$1531*EFEITO!$Z$1531</f>
        <v>7.0691325107169911E-2</v>
      </c>
      <c r="O1531" s="76">
        <f>$L$1531-EFEITO!$O$1531*EFEITO!$AA$1531</f>
        <v>2.5433791503248315E-2</v>
      </c>
      <c r="P1531" s="57"/>
      <c r="Q1531" s="57"/>
      <c r="R1531" s="57"/>
      <c r="S1531" s="57"/>
      <c r="T1531" s="57"/>
      <c r="U1531" s="57"/>
      <c r="V1531" s="57"/>
      <c r="W1531" s="57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</row>
    <row r="1532" spans="1:36" ht="11.25" customHeight="1" x14ac:dyDescent="0.2">
      <c r="A1532" s="53" t="s">
        <v>21</v>
      </c>
      <c r="B1532" s="53" t="s">
        <v>44</v>
      </c>
      <c r="C1532" s="53" t="s">
        <v>37</v>
      </c>
      <c r="D1532" s="53" t="s">
        <v>45</v>
      </c>
      <c r="E1532" s="53" t="s">
        <v>25</v>
      </c>
      <c r="F1532" s="53" t="s">
        <v>25</v>
      </c>
      <c r="G1532" s="53" t="s">
        <v>25</v>
      </c>
      <c r="H1532" s="53" t="s">
        <v>35</v>
      </c>
      <c r="I1532" s="75">
        <v>44501</v>
      </c>
      <c r="J1532" s="76">
        <f>EFEITO!$J$1532*EFEITO!$Y$1532/(1-CUSTOS!$M$38)</f>
        <v>0</v>
      </c>
      <c r="K1532" s="76">
        <f ca="1">EFEITO!$L$1532*EFEITO!$Z$1532/(1-CUSTOS!$M$38)</f>
        <v>1.1781887517861644</v>
      </c>
      <c r="L1532" s="76">
        <f>EFEITO!$N$1532*EFEITO!$AA$1532/(1-CUSTOS!$M$38)</f>
        <v>0.42389652505413844</v>
      </c>
      <c r="M1532" s="76">
        <f>$J$1532-EFEITO!$K$1532*EFEITO!$Y$1532</f>
        <v>0</v>
      </c>
      <c r="N1532" s="76">
        <f ca="1">$K$1532-EFEITO!$M$1532*EFEITO!$Z$1532</f>
        <v>7.0691325107169911E-2</v>
      </c>
      <c r="O1532" s="76">
        <f>$L$1532-EFEITO!$O$1532*EFEITO!$AA$1532</f>
        <v>2.5433791503248315E-2</v>
      </c>
      <c r="P1532" s="57"/>
      <c r="Q1532" s="57"/>
      <c r="R1532" s="57"/>
      <c r="S1532" s="57"/>
      <c r="T1532" s="57"/>
      <c r="U1532" s="57"/>
      <c r="V1532" s="57"/>
      <c r="W1532" s="57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</row>
    <row r="1533" spans="1:36" ht="11.25" customHeight="1" x14ac:dyDescent="0.2">
      <c r="A1533" s="53" t="s">
        <v>21</v>
      </c>
      <c r="B1533" s="53" t="s">
        <v>44</v>
      </c>
      <c r="C1533" s="53" t="s">
        <v>37</v>
      </c>
      <c r="D1533" s="53" t="s">
        <v>45</v>
      </c>
      <c r="E1533" s="53" t="s">
        <v>25</v>
      </c>
      <c r="F1533" s="53" t="s">
        <v>25</v>
      </c>
      <c r="G1533" s="53" t="s">
        <v>25</v>
      </c>
      <c r="H1533" s="53" t="s">
        <v>35</v>
      </c>
      <c r="I1533" s="75">
        <v>44531</v>
      </c>
      <c r="J1533" s="76">
        <f>EFEITO!$J$1533*EFEITO!$Y$1533/(1-CUSTOS!$M$38)</f>
        <v>0</v>
      </c>
      <c r="K1533" s="76">
        <f ca="1">EFEITO!$L$1533*EFEITO!$Z$1533/(1-CUSTOS!$M$38)</f>
        <v>1.1781887517861644</v>
      </c>
      <c r="L1533" s="76">
        <f>EFEITO!$N$1533*EFEITO!$AA$1533/(1-CUSTOS!$M$38)</f>
        <v>0.42389652505413844</v>
      </c>
      <c r="M1533" s="76">
        <f>$J$1533-EFEITO!$K$1533*EFEITO!$Y$1533</f>
        <v>0</v>
      </c>
      <c r="N1533" s="76">
        <f ca="1">$K$1533-EFEITO!$M$1533*EFEITO!$Z$1533</f>
        <v>7.0691325107169911E-2</v>
      </c>
      <c r="O1533" s="76">
        <f>$L$1533-EFEITO!$O$1533*EFEITO!$AA$1533</f>
        <v>2.5433791503248315E-2</v>
      </c>
      <c r="P1533" s="57"/>
      <c r="Q1533" s="57"/>
      <c r="R1533" s="57"/>
      <c r="S1533" s="57"/>
      <c r="T1533" s="57"/>
      <c r="U1533" s="57"/>
      <c r="V1533" s="57"/>
      <c r="W1533" s="57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</row>
    <row r="1534" spans="1:36" ht="11.25" customHeight="1" x14ac:dyDescent="0.2">
      <c r="A1534" s="53" t="s">
        <v>21</v>
      </c>
      <c r="B1534" s="53" t="s">
        <v>44</v>
      </c>
      <c r="C1534" s="53" t="s">
        <v>23</v>
      </c>
      <c r="D1534" s="53" t="s">
        <v>45</v>
      </c>
      <c r="E1534" s="53" t="s">
        <v>53</v>
      </c>
      <c r="F1534" s="53" t="s">
        <v>54</v>
      </c>
      <c r="G1534" s="53" t="s">
        <v>25</v>
      </c>
      <c r="H1534" s="53" t="s">
        <v>25</v>
      </c>
      <c r="I1534" s="75">
        <v>44317</v>
      </c>
      <c r="J1534" s="76">
        <f>EFEITO!$J$1534*EFEITO!$Y$1417</f>
        <v>0</v>
      </c>
      <c r="K1534" s="76">
        <f ca="1">EFEITO!$L$1534*EFEITO!$Z$1417</f>
        <v>7185.9391651083952</v>
      </c>
      <c r="L1534" s="76">
        <f>EFEITO!$N$1534*EFEITO!$AA$1417</f>
        <v>4371.5809752040295</v>
      </c>
      <c r="M1534" s="76">
        <f>$J$1534-EFEITO!$K$1534*EFEITO!$Y$1534</f>
        <v>0</v>
      </c>
      <c r="N1534" s="76">
        <f ca="1">$K$1534-EFEITO!$M$1534*EFEITO!$Z$1534</f>
        <v>431.15634990650415</v>
      </c>
      <c r="O1534" s="76">
        <f>$L$1534-EFEITO!$O$1534*EFEITO!$AA$1534</f>
        <v>262.29485851224126</v>
      </c>
      <c r="P1534" s="57"/>
      <c r="Q1534" s="57"/>
      <c r="R1534" s="57"/>
      <c r="S1534" s="57"/>
      <c r="T1534" s="57"/>
      <c r="U1534" s="57"/>
      <c r="V1534" s="57"/>
      <c r="W1534" s="57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</row>
    <row r="1535" spans="1:36" ht="11.25" customHeight="1" x14ac:dyDescent="0.2">
      <c r="A1535" s="53" t="s">
        <v>21</v>
      </c>
      <c r="B1535" s="53" t="s">
        <v>44</v>
      </c>
      <c r="C1535" s="53" t="s">
        <v>23</v>
      </c>
      <c r="D1535" s="53" t="s">
        <v>45</v>
      </c>
      <c r="E1535" s="53" t="s">
        <v>53</v>
      </c>
      <c r="F1535" s="53" t="s">
        <v>54</v>
      </c>
      <c r="G1535" s="53" t="s">
        <v>25</v>
      </c>
      <c r="H1535" s="53" t="s">
        <v>25</v>
      </c>
      <c r="I1535" s="75">
        <v>44348</v>
      </c>
      <c r="J1535" s="76">
        <f>EFEITO!$J$1535*EFEITO!$Y$1417</f>
        <v>0</v>
      </c>
      <c r="K1535" s="76">
        <f ca="1">EFEITO!$L$1535*EFEITO!$Z$1417</f>
        <v>8280.1617197953547</v>
      </c>
      <c r="L1535" s="76">
        <f>EFEITO!$N$1535*EFEITO!$AA$1417</f>
        <v>5037.2535327919159</v>
      </c>
      <c r="M1535" s="76">
        <f>$J$1535-EFEITO!$K$1535*EFEITO!$Y$1535</f>
        <v>0</v>
      </c>
      <c r="N1535" s="76">
        <f ca="1">$K$1535-EFEITO!$M$1535*EFEITO!$Z$1535</f>
        <v>496.80970318772142</v>
      </c>
      <c r="O1535" s="76">
        <f>$L$1535-EFEITO!$O$1535*EFEITO!$AA$1535</f>
        <v>302.23521196751517</v>
      </c>
      <c r="P1535" s="57"/>
      <c r="Q1535" s="57"/>
      <c r="R1535" s="57"/>
      <c r="S1535" s="57"/>
      <c r="T1535" s="57"/>
      <c r="U1535" s="57"/>
      <c r="V1535" s="57"/>
      <c r="W1535" s="57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</row>
    <row r="1536" spans="1:36" ht="11.25" customHeight="1" x14ac:dyDescent="0.2">
      <c r="A1536" s="53" t="s">
        <v>27</v>
      </c>
      <c r="B1536" s="53" t="s">
        <v>44</v>
      </c>
      <c r="C1536" s="53" t="s">
        <v>23</v>
      </c>
      <c r="D1536" s="53" t="s">
        <v>45</v>
      </c>
      <c r="E1536" s="53" t="s">
        <v>53</v>
      </c>
      <c r="F1536" s="53" t="s">
        <v>54</v>
      </c>
      <c r="G1536" s="53" t="s">
        <v>25</v>
      </c>
      <c r="H1536" s="53" t="s">
        <v>25</v>
      </c>
      <c r="I1536" s="75">
        <v>44348</v>
      </c>
      <c r="J1536" s="76">
        <f>EFEITO!$J$1536*EFEITO!$Y$1417</f>
        <v>0</v>
      </c>
      <c r="K1536" s="76">
        <f ca="1">EFEITO!$L$1536*EFEITO!$Z$1417</f>
        <v>-9156.9396218238398</v>
      </c>
      <c r="L1536" s="76">
        <f>EFEITO!$N$1536*EFEITO!$AA$1417</f>
        <v>-5570.6431855457058</v>
      </c>
      <c r="M1536" s="76">
        <f>$J$1536-EFEITO!$K$1536*EFEITO!$Y$1536</f>
        <v>0</v>
      </c>
      <c r="N1536" s="76">
        <f ca="1">$K$1536-EFEITO!$M$1536*EFEITO!$Z$1536</f>
        <v>-549.41637730943148</v>
      </c>
      <c r="O1536" s="76">
        <f>$L$1536-EFEITO!$O$1536*EFEITO!$AA$1536</f>
        <v>-334.23859113274193</v>
      </c>
      <c r="P1536" s="57"/>
      <c r="Q1536" s="57"/>
      <c r="R1536" s="57"/>
      <c r="S1536" s="57"/>
      <c r="T1536" s="57"/>
      <c r="U1536" s="57"/>
      <c r="V1536" s="57"/>
      <c r="W1536" s="57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/>
      <c r="AI1536" s="4"/>
      <c r="AJ1536" s="4"/>
    </row>
    <row r="1537" spans="1:36" ht="11.25" customHeight="1" x14ac:dyDescent="0.2">
      <c r="A1537" s="53" t="s">
        <v>21</v>
      </c>
      <c r="B1537" s="53" t="s">
        <v>44</v>
      </c>
      <c r="C1537" s="53" t="s">
        <v>23</v>
      </c>
      <c r="D1537" s="53" t="s">
        <v>45</v>
      </c>
      <c r="E1537" s="53" t="s">
        <v>53</v>
      </c>
      <c r="F1537" s="53" t="s">
        <v>54</v>
      </c>
      <c r="G1537" s="53" t="s">
        <v>25</v>
      </c>
      <c r="H1537" s="53" t="s">
        <v>25</v>
      </c>
      <c r="I1537" s="75">
        <v>44378</v>
      </c>
      <c r="J1537" s="76">
        <f>EFEITO!$J$1537*EFEITO!$Y$1417</f>
        <v>0</v>
      </c>
      <c r="K1537" s="76">
        <f ca="1">EFEITO!$L$1537*EFEITO!$Z$1417</f>
        <v>10562.397333856728</v>
      </c>
      <c r="L1537" s="76">
        <f>EFEITO!$N$1537*EFEITO!$AA$1417</f>
        <v>6425.6562957609358</v>
      </c>
      <c r="M1537" s="76">
        <f>$J$1537-EFEITO!$K$1537*EFEITO!$Y$1537</f>
        <v>0</v>
      </c>
      <c r="N1537" s="76">
        <f ca="1">$K$1537-EFEITO!$M$1537*EFEITO!$Z$1537</f>
        <v>633.74384003140403</v>
      </c>
      <c r="O1537" s="76">
        <f>$L$1537-EFEITO!$O$1537*EFEITO!$AA$1537</f>
        <v>385.53937774565657</v>
      </c>
      <c r="P1537" s="57"/>
      <c r="Q1537" s="57"/>
      <c r="R1537" s="57"/>
      <c r="S1537" s="57"/>
      <c r="T1537" s="57"/>
      <c r="U1537" s="57"/>
      <c r="V1537" s="57"/>
      <c r="W1537" s="57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</row>
    <row r="1538" spans="1:36" ht="11.25" customHeight="1" x14ac:dyDescent="0.2">
      <c r="A1538" s="53" t="s">
        <v>27</v>
      </c>
      <c r="B1538" s="53" t="s">
        <v>44</v>
      </c>
      <c r="C1538" s="53" t="s">
        <v>23</v>
      </c>
      <c r="D1538" s="53" t="s">
        <v>45</v>
      </c>
      <c r="E1538" s="53" t="s">
        <v>53</v>
      </c>
      <c r="F1538" s="53" t="s">
        <v>54</v>
      </c>
      <c r="G1538" s="53" t="s">
        <v>25</v>
      </c>
      <c r="H1538" s="53" t="s">
        <v>25</v>
      </c>
      <c r="I1538" s="75">
        <v>44378</v>
      </c>
      <c r="J1538" s="76">
        <f>EFEITO!$J$1538*EFEITO!$Y$1417</f>
        <v>0</v>
      </c>
      <c r="K1538" s="76">
        <f ca="1">EFEITO!$L$1538*EFEITO!$Z$1417</f>
        <v>-184.78129281707302</v>
      </c>
      <c r="L1538" s="76">
        <f>EFEITO!$N$1538*EFEITO!$AA$1417</f>
        <v>-112.41208221953219</v>
      </c>
      <c r="M1538" s="76">
        <f>$J$1538-EFEITO!$K$1538*EFEITO!$Y$1538</f>
        <v>0</v>
      </c>
      <c r="N1538" s="76">
        <f ca="1">$K$1538-EFEITO!$M$1538*EFEITO!$Z$1538</f>
        <v>-11.086877569024409</v>
      </c>
      <c r="O1538" s="76">
        <f>$L$1538-EFEITO!$O$1538*EFEITO!$AA$1538</f>
        <v>-6.7447249331719377</v>
      </c>
      <c r="P1538" s="57"/>
      <c r="Q1538" s="57"/>
      <c r="R1538" s="57"/>
      <c r="S1538" s="57"/>
      <c r="T1538" s="57"/>
      <c r="U1538" s="57"/>
      <c r="V1538" s="57"/>
      <c r="W1538" s="57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</row>
    <row r="1539" spans="1:36" ht="11.25" customHeight="1" x14ac:dyDescent="0.2">
      <c r="A1539" s="53" t="s">
        <v>21</v>
      </c>
      <c r="B1539" s="53" t="s">
        <v>44</v>
      </c>
      <c r="C1539" s="53" t="s">
        <v>23</v>
      </c>
      <c r="D1539" s="53" t="s">
        <v>45</v>
      </c>
      <c r="E1539" s="53" t="s">
        <v>53</v>
      </c>
      <c r="F1539" s="53" t="s">
        <v>54</v>
      </c>
      <c r="G1539" s="53" t="s">
        <v>25</v>
      </c>
      <c r="H1539" s="53" t="s">
        <v>25</v>
      </c>
      <c r="I1539" s="75">
        <v>44409</v>
      </c>
      <c r="J1539" s="76">
        <f>EFEITO!$J$1539*EFEITO!$Y$1417</f>
        <v>0</v>
      </c>
      <c r="K1539" s="76">
        <f ca="1">EFEITO!$L$1539*EFEITO!$Z$1417</f>
        <v>9026.7528018845387</v>
      </c>
      <c r="L1539" s="76">
        <f>EFEITO!$N$1539*EFEITO!$AA$1417</f>
        <v>5491.4437639819444</v>
      </c>
      <c r="M1539" s="76">
        <f>$J$1539-EFEITO!$K$1539*EFEITO!$Y$1539</f>
        <v>0</v>
      </c>
      <c r="N1539" s="76">
        <f ca="1">$K$1539-EFEITO!$M$1539*EFEITO!$Z$1539</f>
        <v>541.60516811307389</v>
      </c>
      <c r="O1539" s="76">
        <f>$L$1539-EFEITO!$O$1539*EFEITO!$AA$1539</f>
        <v>329.48662583891655</v>
      </c>
      <c r="P1539" s="57"/>
      <c r="Q1539" s="57"/>
      <c r="R1539" s="57"/>
      <c r="S1539" s="57"/>
      <c r="T1539" s="57"/>
      <c r="U1539" s="57"/>
      <c r="V1539" s="57"/>
      <c r="W1539" s="57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</row>
    <row r="1540" spans="1:36" ht="11.25" customHeight="1" x14ac:dyDescent="0.2">
      <c r="A1540" s="53" t="s">
        <v>27</v>
      </c>
      <c r="B1540" s="53" t="s">
        <v>44</v>
      </c>
      <c r="C1540" s="53" t="s">
        <v>23</v>
      </c>
      <c r="D1540" s="53" t="s">
        <v>45</v>
      </c>
      <c r="E1540" s="53" t="s">
        <v>53</v>
      </c>
      <c r="F1540" s="53" t="s">
        <v>54</v>
      </c>
      <c r="G1540" s="53" t="s">
        <v>25</v>
      </c>
      <c r="H1540" s="53" t="s">
        <v>25</v>
      </c>
      <c r="I1540" s="75">
        <v>44409</v>
      </c>
      <c r="J1540" s="76">
        <f>EFEITO!$J$1540*EFEITO!$Y$1417</f>
        <v>0</v>
      </c>
      <c r="K1540" s="76">
        <f ca="1">EFEITO!$L$1540*EFEITO!$Z$1417</f>
        <v>-65.793339109109326</v>
      </c>
      <c r="L1540" s="76">
        <f>EFEITO!$N$1540*EFEITO!$AA$1417</f>
        <v>-40.025514123621306</v>
      </c>
      <c r="M1540" s="76">
        <f>$J$1540-EFEITO!$K$1540*EFEITO!$Y$1540</f>
        <v>0</v>
      </c>
      <c r="N1540" s="76">
        <f ca="1">$K$1540-EFEITO!$M$1540*EFEITO!$Z$1540</f>
        <v>-3.9476003465465652</v>
      </c>
      <c r="O1540" s="76">
        <f>$L$1540-EFEITO!$O$1540*EFEITO!$AA$1540</f>
        <v>-2.401530847417277</v>
      </c>
      <c r="P1540" s="57"/>
      <c r="Q1540" s="57"/>
      <c r="R1540" s="57"/>
      <c r="S1540" s="57"/>
      <c r="T1540" s="57"/>
      <c r="U1540" s="57"/>
      <c r="V1540" s="57"/>
      <c r="W1540" s="57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</row>
    <row r="1541" spans="1:36" ht="11.25" customHeight="1" x14ac:dyDescent="0.2">
      <c r="A1541" s="53" t="s">
        <v>21</v>
      </c>
      <c r="B1541" s="53" t="s">
        <v>44</v>
      </c>
      <c r="C1541" s="53" t="s">
        <v>23</v>
      </c>
      <c r="D1541" s="53" t="s">
        <v>45</v>
      </c>
      <c r="E1541" s="53" t="s">
        <v>53</v>
      </c>
      <c r="F1541" s="53" t="s">
        <v>54</v>
      </c>
      <c r="G1541" s="53" t="s">
        <v>25</v>
      </c>
      <c r="H1541" s="53" t="s">
        <v>25</v>
      </c>
      <c r="I1541" s="75">
        <v>44440</v>
      </c>
      <c r="J1541" s="76">
        <f>EFEITO!$J$1541*EFEITO!$Y$1417</f>
        <v>0</v>
      </c>
      <c r="K1541" s="76">
        <f ca="1">EFEITO!$L$1541*EFEITO!$Z$1417</f>
        <v>15093.738582711771</v>
      </c>
      <c r="L1541" s="76">
        <f>EFEITO!$N$1541*EFEITO!$AA$1417</f>
        <v>9182.3071301899181</v>
      </c>
      <c r="M1541" s="76">
        <f>$J$1541-EFEITO!$K$1541*EFEITO!$Y$1541</f>
        <v>0</v>
      </c>
      <c r="N1541" s="76">
        <f ca="1">$K$1541-EFEITO!$M$1541*EFEITO!$Z$1541</f>
        <v>905.62431496270801</v>
      </c>
      <c r="O1541" s="76">
        <f>$L$1541-EFEITO!$O$1541*EFEITO!$AA$1541</f>
        <v>550.93842781139392</v>
      </c>
      <c r="P1541" s="57"/>
      <c r="Q1541" s="57"/>
      <c r="R1541" s="57"/>
      <c r="S1541" s="57"/>
      <c r="T1541" s="57"/>
      <c r="U1541" s="57"/>
      <c r="V1541" s="57"/>
      <c r="W1541" s="57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</row>
    <row r="1542" spans="1:36" ht="11.25" customHeight="1" x14ac:dyDescent="0.2">
      <c r="A1542" s="53" t="s">
        <v>27</v>
      </c>
      <c r="B1542" s="53" t="s">
        <v>44</v>
      </c>
      <c r="C1542" s="53" t="s">
        <v>23</v>
      </c>
      <c r="D1542" s="53" t="s">
        <v>45</v>
      </c>
      <c r="E1542" s="53" t="s">
        <v>53</v>
      </c>
      <c r="F1542" s="53" t="s">
        <v>54</v>
      </c>
      <c r="G1542" s="53" t="s">
        <v>25</v>
      </c>
      <c r="H1542" s="53" t="s">
        <v>25</v>
      </c>
      <c r="I1542" s="75">
        <v>44440</v>
      </c>
      <c r="J1542" s="76">
        <f>EFEITO!$J$1542*EFEITO!$Y$1417</f>
        <v>0</v>
      </c>
      <c r="K1542" s="76">
        <f ca="1">EFEITO!$L$1542*EFEITO!$Z$1417</f>
        <v>-1855.278838991622</v>
      </c>
      <c r="L1542" s="76">
        <f>EFEITO!$N$1542*EFEITO!$AA$1417</f>
        <v>-1128.6627245072223</v>
      </c>
      <c r="M1542" s="76">
        <f>$J$1542-EFEITO!$K$1542*EFEITO!$Y$1542</f>
        <v>0</v>
      </c>
      <c r="N1542" s="76">
        <f ca="1">$K$1542-EFEITO!$M$1542*EFEITO!$Z$1542</f>
        <v>-111.31673033949755</v>
      </c>
      <c r="O1542" s="76">
        <f>$L$1542-EFEITO!$O$1542*EFEITO!$AA$1542</f>
        <v>-67.719763470433463</v>
      </c>
      <c r="P1542" s="57"/>
      <c r="Q1542" s="57"/>
      <c r="R1542" s="57"/>
      <c r="S1542" s="57"/>
      <c r="T1542" s="57"/>
      <c r="U1542" s="57"/>
      <c r="V1542" s="57"/>
      <c r="W1542" s="57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</row>
    <row r="1543" spans="1:36" ht="11.25" customHeight="1" x14ac:dyDescent="0.2">
      <c r="A1543" s="53" t="s">
        <v>21</v>
      </c>
      <c r="B1543" s="53" t="s">
        <v>44</v>
      </c>
      <c r="C1543" s="53" t="s">
        <v>23</v>
      </c>
      <c r="D1543" s="53" t="s">
        <v>45</v>
      </c>
      <c r="E1543" s="53" t="s">
        <v>53</v>
      </c>
      <c r="F1543" s="53" t="s">
        <v>54</v>
      </c>
      <c r="G1543" s="53" t="s">
        <v>25</v>
      </c>
      <c r="H1543" s="53" t="s">
        <v>25</v>
      </c>
      <c r="I1543" s="75">
        <v>44470</v>
      </c>
      <c r="J1543" s="76">
        <f>EFEITO!$J$1543*EFEITO!$Y$1417</f>
        <v>0</v>
      </c>
      <c r="K1543" s="76">
        <f ca="1">EFEITO!$L$1543*EFEITO!$Z$1417</f>
        <v>22540.518007125072</v>
      </c>
      <c r="L1543" s="76">
        <f>EFEITO!$N$1543*EFEITO!$AA$1417</f>
        <v>13712.570817415964</v>
      </c>
      <c r="M1543" s="76">
        <f>$J$1543-EFEITO!$K$1543*EFEITO!$Y$1543</f>
        <v>0</v>
      </c>
      <c r="N1543" s="76">
        <f ca="1">$K$1543-EFEITO!$M$1543*EFEITO!$Z$1543</f>
        <v>1352.4310804275083</v>
      </c>
      <c r="O1543" s="76">
        <f>$L$1543-EFEITO!$O$1543*EFEITO!$AA$1543</f>
        <v>822.75424904495958</v>
      </c>
      <c r="P1543" s="57"/>
      <c r="Q1543" s="57"/>
      <c r="R1543" s="57"/>
      <c r="S1543" s="57"/>
      <c r="T1543" s="57"/>
      <c r="U1543" s="57"/>
      <c r="V1543" s="57"/>
      <c r="W1543" s="57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</row>
    <row r="1544" spans="1:36" ht="11.25" customHeight="1" x14ac:dyDescent="0.2">
      <c r="A1544" s="53" t="s">
        <v>27</v>
      </c>
      <c r="B1544" s="53" t="s">
        <v>44</v>
      </c>
      <c r="C1544" s="53" t="s">
        <v>23</v>
      </c>
      <c r="D1544" s="53" t="s">
        <v>45</v>
      </c>
      <c r="E1544" s="53" t="s">
        <v>53</v>
      </c>
      <c r="F1544" s="53" t="s">
        <v>54</v>
      </c>
      <c r="G1544" s="53" t="s">
        <v>25</v>
      </c>
      <c r="H1544" s="53" t="s">
        <v>25</v>
      </c>
      <c r="I1544" s="75">
        <v>44470</v>
      </c>
      <c r="J1544" s="76">
        <f>EFEITO!$J$1544*EFEITO!$Y$1417</f>
        <v>0</v>
      </c>
      <c r="K1544" s="76">
        <f ca="1">EFEITO!$L$1544*EFEITO!$Z$1417</f>
        <v>-613.604545592048</v>
      </c>
      <c r="L1544" s="76">
        <f>EFEITO!$N$1544*EFEITO!$AA$1417</f>
        <v>-373.28759625930513</v>
      </c>
      <c r="M1544" s="76">
        <f>$J$1544-EFEITO!$K$1544*EFEITO!$Y$1544</f>
        <v>0</v>
      </c>
      <c r="N1544" s="76">
        <f ca="1">$K$1544-EFEITO!$M$1544*EFEITO!$Z$1544</f>
        <v>-36.816272735522944</v>
      </c>
      <c r="O1544" s="76">
        <f>$L$1544-EFEITO!$O$1544*EFEITO!$AA$1544</f>
        <v>-22.397255775558335</v>
      </c>
      <c r="P1544" s="57"/>
      <c r="Q1544" s="57"/>
      <c r="R1544" s="57"/>
      <c r="S1544" s="57"/>
      <c r="T1544" s="57"/>
      <c r="U1544" s="57"/>
      <c r="V1544" s="57"/>
      <c r="W1544" s="57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</row>
    <row r="1545" spans="1:36" ht="11.25" customHeight="1" x14ac:dyDescent="0.2">
      <c r="A1545" s="53" t="s">
        <v>21</v>
      </c>
      <c r="B1545" s="53" t="s">
        <v>44</v>
      </c>
      <c r="C1545" s="53" t="s">
        <v>23</v>
      </c>
      <c r="D1545" s="53" t="s">
        <v>45</v>
      </c>
      <c r="E1545" s="53" t="s">
        <v>53</v>
      </c>
      <c r="F1545" s="53" t="s">
        <v>54</v>
      </c>
      <c r="G1545" s="53" t="s">
        <v>25</v>
      </c>
      <c r="H1545" s="53" t="s">
        <v>25</v>
      </c>
      <c r="I1545" s="75">
        <v>44501</v>
      </c>
      <c r="J1545" s="76">
        <f>EFEITO!$J$1545*EFEITO!$Y$1417</f>
        <v>0</v>
      </c>
      <c r="K1545" s="76">
        <f ca="1">EFEITO!$L$1545*EFEITO!$Z$1417</f>
        <v>28713.426397723706</v>
      </c>
      <c r="L1545" s="76">
        <f>EFEITO!$N$1545*EFEITO!$AA$1417</f>
        <v>17467.872422674023</v>
      </c>
      <c r="M1545" s="76">
        <f>$J$1545-EFEITO!$K$1545*EFEITO!$Y$1545</f>
        <v>0</v>
      </c>
      <c r="N1545" s="76">
        <f ca="1">$K$1545-EFEITO!$M$1545*EFEITO!$Z$1545</f>
        <v>1722.8055838634245</v>
      </c>
      <c r="O1545" s="76">
        <f>$L$1545-EFEITO!$O$1545*EFEITO!$AA$1545</f>
        <v>1048.0723453604442</v>
      </c>
      <c r="P1545" s="57"/>
      <c r="Q1545" s="57"/>
      <c r="R1545" s="57"/>
      <c r="S1545" s="57"/>
      <c r="T1545" s="57"/>
      <c r="U1545" s="57"/>
      <c r="V1545" s="57"/>
      <c r="W1545" s="57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</row>
    <row r="1546" spans="1:36" ht="11.25" customHeight="1" x14ac:dyDescent="0.2">
      <c r="A1546" s="53" t="s">
        <v>21</v>
      </c>
      <c r="B1546" s="53" t="s">
        <v>44</v>
      </c>
      <c r="C1546" s="53" t="s">
        <v>23</v>
      </c>
      <c r="D1546" s="53" t="s">
        <v>45</v>
      </c>
      <c r="E1546" s="53" t="s">
        <v>53</v>
      </c>
      <c r="F1546" s="53" t="s">
        <v>54</v>
      </c>
      <c r="G1546" s="53" t="s">
        <v>25</v>
      </c>
      <c r="H1546" s="53" t="s">
        <v>25</v>
      </c>
      <c r="I1546" s="75">
        <v>44531</v>
      </c>
      <c r="J1546" s="76">
        <f>EFEITO!$J$1546*EFEITO!$Y$1417</f>
        <v>0</v>
      </c>
      <c r="K1546" s="76">
        <f ca="1">EFEITO!$L$1546*EFEITO!$Z$1417</f>
        <v>28680.763037882305</v>
      </c>
      <c r="L1546" s="76">
        <f>EFEITO!$N$1546*EFEITO!$AA$1417</f>
        <v>17448.001600059459</v>
      </c>
      <c r="M1546" s="76">
        <f>$J$1546-EFEITO!$K$1546*EFEITO!$Y$1546</f>
        <v>0</v>
      </c>
      <c r="N1546" s="76">
        <f ca="1">$K$1546-EFEITO!$M$1546*EFEITO!$Z$1546</f>
        <v>1720.8457822729397</v>
      </c>
      <c r="O1546" s="76">
        <f>$L$1546-EFEITO!$O$1546*EFEITO!$AA$1546</f>
        <v>1046.880096003566</v>
      </c>
      <c r="P1546" s="57"/>
      <c r="Q1546" s="57"/>
      <c r="R1546" s="57"/>
      <c r="S1546" s="57"/>
      <c r="T1546" s="57"/>
      <c r="U1546" s="57"/>
      <c r="V1546" s="57"/>
      <c r="W1546" s="57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</row>
    <row r="1547" spans="1:36" ht="11.25" customHeight="1" x14ac:dyDescent="0.2">
      <c r="A1547" s="53" t="s">
        <v>21</v>
      </c>
      <c r="B1547" s="53" t="s">
        <v>44</v>
      </c>
      <c r="C1547" s="53" t="s">
        <v>23</v>
      </c>
      <c r="D1547" s="53" t="s">
        <v>45</v>
      </c>
      <c r="E1547" s="53" t="s">
        <v>53</v>
      </c>
      <c r="F1547" s="53" t="s">
        <v>54</v>
      </c>
      <c r="G1547" s="53" t="s">
        <v>25</v>
      </c>
      <c r="H1547" s="53" t="s">
        <v>25</v>
      </c>
      <c r="I1547" s="75">
        <v>44562</v>
      </c>
      <c r="J1547" s="76">
        <f>EFEITO!$J$1547*EFEITO!$Y$1417</f>
        <v>0</v>
      </c>
      <c r="K1547" s="76">
        <f ca="1">EFEITO!$L$1547*EFEITO!$Z$1417</f>
        <v>25296.838958313077</v>
      </c>
      <c r="L1547" s="76">
        <f>EFEITO!$N$1547*EFEITO!$AA$1417</f>
        <v>15389.384377190652</v>
      </c>
      <c r="M1547" s="76">
        <f>$J$1547-EFEITO!$K$1547*EFEITO!$Y$1547</f>
        <v>0</v>
      </c>
      <c r="N1547" s="76">
        <f ca="1">$K$1547-EFEITO!$M$1547*EFEITO!$Z$1547</f>
        <v>1517.8103374987841</v>
      </c>
      <c r="O1547" s="76">
        <f>$L$1547-EFEITO!$O$1547*EFEITO!$AA$1547</f>
        <v>923.36306263143888</v>
      </c>
      <c r="P1547" s="57"/>
      <c r="Q1547" s="57"/>
      <c r="R1547" s="57"/>
      <c r="S1547" s="57"/>
      <c r="T1547" s="57"/>
      <c r="U1547" s="57"/>
      <c r="V1547" s="57"/>
      <c r="W1547" s="57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</row>
    <row r="1548" spans="1:36" ht="11.25" customHeight="1" x14ac:dyDescent="0.2">
      <c r="A1548" s="53" t="s">
        <v>21</v>
      </c>
      <c r="B1548" s="53" t="s">
        <v>44</v>
      </c>
      <c r="C1548" s="53" t="s">
        <v>23</v>
      </c>
      <c r="D1548" s="53" t="s">
        <v>45</v>
      </c>
      <c r="E1548" s="53" t="s">
        <v>53</v>
      </c>
      <c r="F1548" s="53" t="s">
        <v>54</v>
      </c>
      <c r="G1548" s="53" t="s">
        <v>25</v>
      </c>
      <c r="H1548" s="53" t="s">
        <v>25</v>
      </c>
      <c r="I1548" s="75">
        <v>44593</v>
      </c>
      <c r="J1548" s="76">
        <f>EFEITO!$J$1548*EFEITO!$Y$1417</f>
        <v>0</v>
      </c>
      <c r="K1548" s="76">
        <f ca="1">EFEITO!$L$1548*EFEITO!$Z$1417</f>
        <v>24500.786217035486</v>
      </c>
      <c r="L1548" s="76">
        <f>EFEITO!$N$1548*EFEITO!$AA$1417</f>
        <v>14905.104043184283</v>
      </c>
      <c r="M1548" s="76">
        <f>$J$1548-EFEITO!$K$1548*EFEITO!$Y$1548</f>
        <v>0</v>
      </c>
      <c r="N1548" s="76">
        <f ca="1">$K$1548-EFEITO!$M$1548*EFEITO!$Z$1548</f>
        <v>1470.0471730221325</v>
      </c>
      <c r="O1548" s="76">
        <f>$L$1548-EFEITO!$O$1548*EFEITO!$AA$1548</f>
        <v>894.30624259105571</v>
      </c>
      <c r="P1548" s="57"/>
      <c r="Q1548" s="57"/>
      <c r="R1548" s="57"/>
      <c r="S1548" s="57"/>
      <c r="T1548" s="57"/>
      <c r="U1548" s="57"/>
      <c r="V1548" s="57"/>
      <c r="W1548" s="57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</row>
    <row r="1549" spans="1:36" ht="11.25" customHeight="1" x14ac:dyDescent="0.2">
      <c r="A1549" s="53" t="s">
        <v>27</v>
      </c>
      <c r="B1549" s="53" t="s">
        <v>44</v>
      </c>
      <c r="C1549" s="53" t="s">
        <v>23</v>
      </c>
      <c r="D1549" s="53" t="s">
        <v>45</v>
      </c>
      <c r="E1549" s="53" t="s">
        <v>53</v>
      </c>
      <c r="F1549" s="53" t="s">
        <v>54</v>
      </c>
      <c r="G1549" s="53" t="s">
        <v>25</v>
      </c>
      <c r="H1549" s="53" t="s">
        <v>25</v>
      </c>
      <c r="I1549" s="75">
        <v>44593</v>
      </c>
      <c r="J1549" s="76">
        <f>EFEITO!$J$1549*EFEITO!$Y$1417</f>
        <v>0</v>
      </c>
      <c r="K1549" s="76">
        <f ca="1">EFEITO!$L$1549*EFEITO!$Z$1417</f>
        <v>109.65556518184887</v>
      </c>
      <c r="L1549" s="76">
        <f>EFEITO!$N$1549*EFEITO!$AA$1417</f>
        <v>66.709190206035515</v>
      </c>
      <c r="M1549" s="76">
        <f>$J$1549-EFEITO!$K$1549*EFEITO!$Y$1549</f>
        <v>0</v>
      </c>
      <c r="N1549" s="76">
        <f ca="1">$K$1549-EFEITO!$M$1549*EFEITO!$Z$1549</f>
        <v>6.5793339109109326</v>
      </c>
      <c r="O1549" s="76">
        <f>$L$1549-EFEITO!$O$1549*EFEITO!$AA$1549</f>
        <v>4.0025514123621377</v>
      </c>
      <c r="P1549" s="57"/>
      <c r="Q1549" s="57"/>
      <c r="R1549" s="57"/>
      <c r="S1549" s="57"/>
      <c r="T1549" s="57"/>
      <c r="U1549" s="57"/>
      <c r="V1549" s="57"/>
      <c r="W1549" s="57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</row>
    <row r="1550" spans="1:36" ht="11.25" customHeight="1" x14ac:dyDescent="0.2">
      <c r="A1550" s="53" t="s">
        <v>21</v>
      </c>
      <c r="B1550" s="53" t="s">
        <v>44</v>
      </c>
      <c r="C1550" s="53" t="s">
        <v>23</v>
      </c>
      <c r="D1550" s="53" t="s">
        <v>45</v>
      </c>
      <c r="E1550" s="53" t="s">
        <v>53</v>
      </c>
      <c r="F1550" s="53" t="s">
        <v>54</v>
      </c>
      <c r="G1550" s="53" t="s">
        <v>25</v>
      </c>
      <c r="H1550" s="53" t="s">
        <v>25</v>
      </c>
      <c r="I1550" s="75">
        <v>44621</v>
      </c>
      <c r="J1550" s="76">
        <f>EFEITO!$J$1550*EFEITO!$Y$1417</f>
        <v>0</v>
      </c>
      <c r="K1550" s="76">
        <f ca="1">EFEITO!$L$1550*EFEITO!$Z$1417</f>
        <v>17508.027494417667</v>
      </c>
      <c r="L1550" s="76">
        <f>EFEITO!$N$1550*EFEITO!$AA$1417</f>
        <v>10651.044790300675</v>
      </c>
      <c r="M1550" s="76">
        <f>$J$1550-EFEITO!$K$1550*EFEITO!$Y$1550</f>
        <v>0</v>
      </c>
      <c r="N1550" s="76">
        <f ca="1">$K$1550-EFEITO!$M$1550*EFEITO!$Z$1550</f>
        <v>1050.4816496650601</v>
      </c>
      <c r="O1550" s="76">
        <f>$L$1550-EFEITO!$O$1550*EFEITO!$AA$1550</f>
        <v>639.06268741804161</v>
      </c>
      <c r="P1550" s="57"/>
      <c r="Q1550" s="57"/>
      <c r="R1550" s="57"/>
      <c r="S1550" s="57"/>
      <c r="T1550" s="57"/>
      <c r="U1550" s="57"/>
      <c r="V1550" s="57"/>
      <c r="W1550" s="57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</row>
    <row r="1551" spans="1:36" ht="11.25" customHeight="1" x14ac:dyDescent="0.2">
      <c r="A1551" s="53" t="s">
        <v>56</v>
      </c>
      <c r="B1551" s="53" t="s">
        <v>44</v>
      </c>
      <c r="C1551" s="53" t="s">
        <v>23</v>
      </c>
      <c r="D1551" s="53" t="s">
        <v>45</v>
      </c>
      <c r="E1551" s="53" t="s">
        <v>53</v>
      </c>
      <c r="F1551" s="53" t="s">
        <v>54</v>
      </c>
      <c r="G1551" s="53" t="s">
        <v>25</v>
      </c>
      <c r="H1551" s="53" t="s">
        <v>25</v>
      </c>
      <c r="I1551" s="75">
        <v>44652</v>
      </c>
      <c r="J1551" s="76">
        <f>EFEITO!$J$1551*EFEITO!$Y$1417</f>
        <v>0</v>
      </c>
      <c r="K1551" s="76">
        <f ca="1">EFEITO!$L$1551*EFEITO!$Z$1417</f>
        <v>17508.027494417667</v>
      </c>
      <c r="L1551" s="76">
        <f>EFEITO!$N$1551*EFEITO!$AA$1417</f>
        <v>10651.044790300675</v>
      </c>
      <c r="M1551" s="76">
        <f>$J$1551-EFEITO!$K$1551*EFEITO!$Y$1551</f>
        <v>0</v>
      </c>
      <c r="N1551" s="76">
        <f ca="1">$K$1551-EFEITO!$M$1551*EFEITO!$Z$1551</f>
        <v>1050.4816496650601</v>
      </c>
      <c r="O1551" s="76">
        <f>$L$1551-EFEITO!$O$1551*EFEITO!$AA$1551</f>
        <v>639.06268741804161</v>
      </c>
      <c r="P1551" s="57"/>
      <c r="Q1551" s="57"/>
      <c r="R1551" s="57"/>
      <c r="S1551" s="57"/>
      <c r="T1551" s="57"/>
      <c r="U1551" s="57"/>
      <c r="V1551" s="57"/>
      <c r="W1551" s="57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</row>
    <row r="1552" spans="1:36" ht="11.25" customHeight="1" x14ac:dyDescent="0.2">
      <c r="A1552" s="53" t="s">
        <v>21</v>
      </c>
      <c r="B1552" s="53" t="s">
        <v>44</v>
      </c>
      <c r="C1552" s="53" t="s">
        <v>23</v>
      </c>
      <c r="D1552" s="53" t="s">
        <v>45</v>
      </c>
      <c r="E1552" s="53" t="s">
        <v>53</v>
      </c>
      <c r="F1552" s="53" t="s">
        <v>55</v>
      </c>
      <c r="G1552" s="53" t="s">
        <v>25</v>
      </c>
      <c r="H1552" s="53" t="s">
        <v>25</v>
      </c>
      <c r="I1552" s="75">
        <v>44317</v>
      </c>
      <c r="J1552" s="76">
        <f>EFEITO!$J$1552*EFEITO!$Y$1417</f>
        <v>0</v>
      </c>
      <c r="K1552" s="76">
        <f ca="1">EFEITO!$L$1552*EFEITO!$Z$1417</f>
        <v>10989.820728352786</v>
      </c>
      <c r="L1552" s="76">
        <f>EFEITO!$N$1552*EFEITO!$AA$1417</f>
        <v>6685.6802031172274</v>
      </c>
      <c r="M1552" s="76">
        <f>$J$1552-EFEITO!$K$1552*EFEITO!$Y$1552</f>
        <v>0</v>
      </c>
      <c r="N1552" s="76">
        <f ca="1">$K$1552-EFEITO!$M$1552*EFEITO!$Z$1552</f>
        <v>8200.6042274968495</v>
      </c>
      <c r="O1552" s="76">
        <f>$L$1552-EFEITO!$O$1552*EFEITO!$AA$1552</f>
        <v>4988.8545675660753</v>
      </c>
      <c r="P1552" s="57"/>
      <c r="Q1552" s="57"/>
      <c r="R1552" s="57"/>
      <c r="S1552" s="57"/>
      <c r="T1552" s="57"/>
      <c r="U1552" s="57"/>
      <c r="V1552" s="57"/>
      <c r="W1552" s="57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</row>
    <row r="1553" spans="1:36" ht="11.25" customHeight="1" x14ac:dyDescent="0.2">
      <c r="A1553" s="53" t="s">
        <v>21</v>
      </c>
      <c r="B1553" s="53" t="s">
        <v>44</v>
      </c>
      <c r="C1553" s="53" t="s">
        <v>23</v>
      </c>
      <c r="D1553" s="53" t="s">
        <v>45</v>
      </c>
      <c r="E1553" s="53" t="s">
        <v>53</v>
      </c>
      <c r="F1553" s="53" t="s">
        <v>55</v>
      </c>
      <c r="G1553" s="53" t="s">
        <v>25</v>
      </c>
      <c r="H1553" s="53" t="s">
        <v>25</v>
      </c>
      <c r="I1553" s="75">
        <v>44348</v>
      </c>
      <c r="J1553" s="76">
        <f>EFEITO!$J$1553*EFEITO!$Y$1417</f>
        <v>0</v>
      </c>
      <c r="K1553" s="76">
        <f ca="1">EFEITO!$L$1553*EFEITO!$Z$1417</f>
        <v>14034.979104424045</v>
      </c>
      <c r="L1553" s="76">
        <f>EFEITO!$N$1553*EFEITO!$AA$1417</f>
        <v>8538.2086085835581</v>
      </c>
      <c r="M1553" s="76">
        <f>$J$1553-EFEITO!$K$1553*EFEITO!$Y$1553</f>
        <v>0</v>
      </c>
      <c r="N1553" s="76">
        <f ca="1">$K$1553-EFEITO!$M$1553*EFEITO!$Z$1553</f>
        <v>10472.901407721223</v>
      </c>
      <c r="O1553" s="76">
        <f>$L$1553-EFEITO!$O$1553*EFEITO!$AA$1553</f>
        <v>6371.2112637250511</v>
      </c>
      <c r="P1553" s="57"/>
      <c r="Q1553" s="57"/>
      <c r="R1553" s="57"/>
      <c r="S1553" s="57"/>
      <c r="T1553" s="57"/>
      <c r="U1553" s="57"/>
      <c r="V1553" s="57"/>
      <c r="W1553" s="57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</row>
    <row r="1554" spans="1:36" ht="11.25" customHeight="1" x14ac:dyDescent="0.2">
      <c r="A1554" s="53" t="s">
        <v>27</v>
      </c>
      <c r="B1554" s="53" t="s">
        <v>44</v>
      </c>
      <c r="C1554" s="53" t="s">
        <v>23</v>
      </c>
      <c r="D1554" s="53" t="s">
        <v>45</v>
      </c>
      <c r="E1554" s="53" t="s">
        <v>53</v>
      </c>
      <c r="F1554" s="53" t="s">
        <v>55</v>
      </c>
      <c r="G1554" s="53" t="s">
        <v>25</v>
      </c>
      <c r="H1554" s="53" t="s">
        <v>25</v>
      </c>
      <c r="I1554" s="75">
        <v>44348</v>
      </c>
      <c r="J1554" s="76">
        <f>EFEITO!$J$1554*EFEITO!$Y$1417</f>
        <v>0</v>
      </c>
      <c r="K1554" s="76">
        <f ca="1">EFEITO!$L$1554*EFEITO!$Z$1417</f>
        <v>9365.5185053825062</v>
      </c>
      <c r="L1554" s="76">
        <f>EFEITO!$N$1554*EFEITO!$AA$1417</f>
        <v>5697.5325813844211</v>
      </c>
      <c r="M1554" s="76">
        <f>$J$1554-EFEITO!$K$1554*EFEITO!$Y$1554</f>
        <v>0</v>
      </c>
      <c r="N1554" s="76">
        <f ca="1">$K$1554-EFEITO!$M$1554*EFEITO!$Z$1554</f>
        <v>6988.5499087164262</v>
      </c>
      <c r="O1554" s="76">
        <f>$L$1554-EFEITO!$O$1554*EFEITO!$AA$1554</f>
        <v>4251.4988122290551</v>
      </c>
      <c r="P1554" s="57"/>
      <c r="Q1554" s="57"/>
      <c r="R1554" s="57"/>
      <c r="S1554" s="57"/>
      <c r="T1554" s="57"/>
      <c r="U1554" s="57"/>
      <c r="V1554" s="57"/>
      <c r="W1554" s="57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</row>
    <row r="1555" spans="1:36" ht="11.25" customHeight="1" x14ac:dyDescent="0.2">
      <c r="A1555" s="53" t="s">
        <v>21</v>
      </c>
      <c r="B1555" s="53" t="s">
        <v>44</v>
      </c>
      <c r="C1555" s="53" t="s">
        <v>23</v>
      </c>
      <c r="D1555" s="53" t="s">
        <v>45</v>
      </c>
      <c r="E1555" s="53" t="s">
        <v>53</v>
      </c>
      <c r="F1555" s="53" t="s">
        <v>55</v>
      </c>
      <c r="G1555" s="53" t="s">
        <v>25</v>
      </c>
      <c r="H1555" s="53" t="s">
        <v>25</v>
      </c>
      <c r="I1555" s="75">
        <v>44378</v>
      </c>
      <c r="J1555" s="76">
        <f>EFEITO!$J$1555*EFEITO!$Y$1417</f>
        <v>0</v>
      </c>
      <c r="K1555" s="76">
        <f ca="1">EFEITO!$L$1555*EFEITO!$Z$1417</f>
        <v>14368.61199423265</v>
      </c>
      <c r="L1555" s="76">
        <f>EFEITO!$N$1555*EFEITO!$AA$1417</f>
        <v>8741.1748681466033</v>
      </c>
      <c r="M1555" s="76">
        <f>$J$1555-EFEITO!$K$1555*EFEITO!$Y$1555</f>
        <v>0</v>
      </c>
      <c r="N1555" s="76">
        <f ca="1">$K$1555-EFEITO!$M$1555*EFEITO!$Z$1555</f>
        <v>10721.858270096403</v>
      </c>
      <c r="O1555" s="76">
        <f>$L$1555-EFEITO!$O$1555*EFEITO!$AA$1555</f>
        <v>6522.6646866109959</v>
      </c>
      <c r="P1555" s="57"/>
      <c r="Q1555" s="57"/>
      <c r="R1555" s="57"/>
      <c r="S1555" s="57"/>
      <c r="T1555" s="57"/>
      <c r="U1555" s="57"/>
      <c r="V1555" s="57"/>
      <c r="W1555" s="57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</row>
    <row r="1556" spans="1:36" ht="11.25" customHeight="1" x14ac:dyDescent="0.2">
      <c r="A1556" s="53" t="s">
        <v>27</v>
      </c>
      <c r="B1556" s="53" t="s">
        <v>44</v>
      </c>
      <c r="C1556" s="53" t="s">
        <v>23</v>
      </c>
      <c r="D1556" s="53" t="s">
        <v>45</v>
      </c>
      <c r="E1556" s="53" t="s">
        <v>53</v>
      </c>
      <c r="F1556" s="53" t="s">
        <v>55</v>
      </c>
      <c r="G1556" s="53" t="s">
        <v>25</v>
      </c>
      <c r="H1556" s="53" t="s">
        <v>25</v>
      </c>
      <c r="I1556" s="75">
        <v>44378</v>
      </c>
      <c r="J1556" s="76">
        <f>EFEITO!$J$1556*EFEITO!$Y$1417</f>
        <v>0</v>
      </c>
      <c r="K1556" s="76">
        <f ca="1">EFEITO!$L$1556*EFEITO!$Z$1417</f>
        <v>-444.6883132693701</v>
      </c>
      <c r="L1556" s="76">
        <f>EFEITO!$N$1556*EFEITO!$AA$1417</f>
        <v>-270.52705645256106</v>
      </c>
      <c r="M1556" s="76">
        <f>$J$1556-EFEITO!$K$1556*EFEITO!$Y$1556</f>
        <v>0</v>
      </c>
      <c r="N1556" s="76">
        <f ca="1">$K$1556-EFEITO!$M$1556*EFEITO!$Z$1556</f>
        <v>-331.82641936160394</v>
      </c>
      <c r="O1556" s="76">
        <f>$L$1556-EFEITO!$O$1556*EFEITO!$AA$1556</f>
        <v>-201.86728952490108</v>
      </c>
      <c r="P1556" s="57"/>
      <c r="Q1556" s="57"/>
      <c r="R1556" s="57"/>
      <c r="S1556" s="57"/>
      <c r="T1556" s="57"/>
      <c r="U1556" s="57"/>
      <c r="V1556" s="57"/>
      <c r="W1556" s="57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</row>
    <row r="1557" spans="1:36" ht="11.25" customHeight="1" x14ac:dyDescent="0.2">
      <c r="A1557" s="53" t="s">
        <v>21</v>
      </c>
      <c r="B1557" s="53" t="s">
        <v>44</v>
      </c>
      <c r="C1557" s="53" t="s">
        <v>23</v>
      </c>
      <c r="D1557" s="53" t="s">
        <v>45</v>
      </c>
      <c r="E1557" s="53" t="s">
        <v>53</v>
      </c>
      <c r="F1557" s="53" t="s">
        <v>55</v>
      </c>
      <c r="G1557" s="53" t="s">
        <v>25</v>
      </c>
      <c r="H1557" s="53" t="s">
        <v>25</v>
      </c>
      <c r="I1557" s="75">
        <v>44409</v>
      </c>
      <c r="J1557" s="76">
        <f>EFEITO!$J$1557*EFEITO!$Y$1417</f>
        <v>0</v>
      </c>
      <c r="K1557" s="76">
        <f ca="1">EFEITO!$L$1557*EFEITO!$Z$1417</f>
        <v>14534.728509997492</v>
      </c>
      <c r="L1557" s="76">
        <f>EFEITO!$N$1557*EFEITO!$AA$1417</f>
        <v>8842.2321945863841</v>
      </c>
      <c r="M1557" s="76">
        <f>$J$1557-EFEITO!$K$1557*EFEITO!$Y$1557</f>
        <v>0</v>
      </c>
      <c r="N1557" s="76">
        <f ca="1">$K$1557-EFEITO!$M$1557*EFEITO!$Z$1557</f>
        <v>10845.81441416013</v>
      </c>
      <c r="O1557" s="76">
        <f>$L$1557-EFEITO!$O$1557*EFEITO!$AA$1557</f>
        <v>6598.0736636003603</v>
      </c>
      <c r="P1557" s="57"/>
      <c r="Q1557" s="57"/>
      <c r="R1557" s="57"/>
      <c r="S1557" s="57"/>
      <c r="T1557" s="57"/>
      <c r="U1557" s="57"/>
      <c r="V1557" s="57"/>
      <c r="W1557" s="57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</row>
    <row r="1558" spans="1:36" ht="11.25" customHeight="1" x14ac:dyDescent="0.2">
      <c r="A1558" s="53" t="s">
        <v>27</v>
      </c>
      <c r="B1558" s="53" t="s">
        <v>44</v>
      </c>
      <c r="C1558" s="53" t="s">
        <v>23</v>
      </c>
      <c r="D1558" s="53" t="s">
        <v>45</v>
      </c>
      <c r="E1558" s="53" t="s">
        <v>53</v>
      </c>
      <c r="F1558" s="53" t="s">
        <v>55</v>
      </c>
      <c r="G1558" s="53" t="s">
        <v>25</v>
      </c>
      <c r="H1558" s="53" t="s">
        <v>25</v>
      </c>
      <c r="I1558" s="75">
        <v>44409</v>
      </c>
      <c r="J1558" s="76">
        <f>EFEITO!$J$1558*EFEITO!$Y$1417</f>
        <v>0</v>
      </c>
      <c r="K1558" s="76">
        <f ca="1">EFEITO!$L$1558*EFEITO!$Z$1417</f>
        <v>-1207.1444558529492</v>
      </c>
      <c r="L1558" s="76">
        <f>EFEITO!$N$1558*EFEITO!$AA$1417</f>
        <v>-734.36883005537823</v>
      </c>
      <c r="M1558" s="76">
        <f>$J$1558-EFEITO!$K$1558*EFEITO!$Y$1558</f>
        <v>0</v>
      </c>
      <c r="N1558" s="76">
        <f ca="1">$K$1558-EFEITO!$M$1558*EFEITO!$Z$1558</f>
        <v>-900.7711929574707</v>
      </c>
      <c r="O1558" s="76">
        <f>$L$1558-EFEITO!$O$1558*EFEITO!$AA$1558</f>
        <v>-547.98602098732317</v>
      </c>
      <c r="P1558" s="57"/>
      <c r="Q1558" s="57"/>
      <c r="R1558" s="57"/>
      <c r="S1558" s="57"/>
      <c r="T1558" s="57"/>
      <c r="U1558" s="57"/>
      <c r="V1558" s="57"/>
      <c r="W1558" s="57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</row>
    <row r="1559" spans="1:36" ht="11.25" customHeight="1" x14ac:dyDescent="0.2">
      <c r="A1559" s="53" t="s">
        <v>21</v>
      </c>
      <c r="B1559" s="53" t="s">
        <v>44</v>
      </c>
      <c r="C1559" s="53" t="s">
        <v>23</v>
      </c>
      <c r="D1559" s="53" t="s">
        <v>45</v>
      </c>
      <c r="E1559" s="53" t="s">
        <v>53</v>
      </c>
      <c r="F1559" s="53" t="s">
        <v>55</v>
      </c>
      <c r="G1559" s="53" t="s">
        <v>25</v>
      </c>
      <c r="H1559" s="53" t="s">
        <v>25</v>
      </c>
      <c r="I1559" s="75">
        <v>44440</v>
      </c>
      <c r="J1559" s="76">
        <f>EFEITO!$J$1559*EFEITO!$Y$1417</f>
        <v>0</v>
      </c>
      <c r="K1559" s="76">
        <f ca="1">EFEITO!$L$1559*EFEITO!$Z$1417</f>
        <v>30387.190279882394</v>
      </c>
      <c r="L1559" s="76">
        <f>EFEITO!$N$1559*EFEITO!$AA$1417</f>
        <v>18486.110147223171</v>
      </c>
      <c r="M1559" s="76">
        <f>$J$1559-EFEITO!$K$1559*EFEITO!$Y$1559</f>
        <v>0</v>
      </c>
      <c r="N1559" s="76">
        <f ca="1">$K$1559-EFEITO!$M$1559*EFEITO!$Z$1559</f>
        <v>22674.92138684824</v>
      </c>
      <c r="O1559" s="76">
        <f>$L$1559-EFEITO!$O$1559*EFEITO!$AA$1559</f>
        <v>13794.335391857931</v>
      </c>
      <c r="P1559" s="57"/>
      <c r="Q1559" s="57"/>
      <c r="R1559" s="57"/>
      <c r="S1559" s="57"/>
      <c r="T1559" s="57"/>
      <c r="U1559" s="57"/>
      <c r="V1559" s="57"/>
      <c r="W1559" s="57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</row>
    <row r="1560" spans="1:36" ht="11.25" customHeight="1" x14ac:dyDescent="0.2">
      <c r="A1560" s="53" t="s">
        <v>27</v>
      </c>
      <c r="B1560" s="53" t="s">
        <v>44</v>
      </c>
      <c r="C1560" s="53" t="s">
        <v>23</v>
      </c>
      <c r="D1560" s="53" t="s">
        <v>45</v>
      </c>
      <c r="E1560" s="53" t="s">
        <v>53</v>
      </c>
      <c r="F1560" s="53" t="s">
        <v>55</v>
      </c>
      <c r="G1560" s="53" t="s">
        <v>25</v>
      </c>
      <c r="H1560" s="53" t="s">
        <v>25</v>
      </c>
      <c r="I1560" s="75">
        <v>44440</v>
      </c>
      <c r="J1560" s="76">
        <f>EFEITO!$J$1560*EFEITO!$Y$1417</f>
        <v>0</v>
      </c>
      <c r="K1560" s="76">
        <f ca="1">EFEITO!$L$1560*EFEITO!$Z$1417</f>
        <v>-3508.5114663928584</v>
      </c>
      <c r="L1560" s="76">
        <f>EFEITO!$N$1560*EFEITO!$AA$1417</f>
        <v>-2134.4102176986426</v>
      </c>
      <c r="M1560" s="76">
        <f>$J$1560-EFEITO!$K$1560*EFEITO!$Y$1560</f>
        <v>0</v>
      </c>
      <c r="N1560" s="76">
        <f ca="1">$K$1560-EFEITO!$M$1560*EFEITO!$Z$1560</f>
        <v>-2618.0512562223512</v>
      </c>
      <c r="O1560" s="76">
        <f>$L$1560-EFEITO!$O$1560*EFEITO!$AA$1560</f>
        <v>-1592.6969044467269</v>
      </c>
      <c r="P1560" s="57"/>
      <c r="Q1560" s="57"/>
      <c r="R1560" s="57"/>
      <c r="S1560" s="57"/>
      <c r="T1560" s="57"/>
      <c r="U1560" s="57"/>
      <c r="V1560" s="57"/>
      <c r="W1560" s="57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</row>
    <row r="1561" spans="1:36" ht="11.25" customHeight="1" x14ac:dyDescent="0.2">
      <c r="A1561" s="53" t="s">
        <v>21</v>
      </c>
      <c r="B1561" s="53" t="s">
        <v>44</v>
      </c>
      <c r="C1561" s="53" t="s">
        <v>23</v>
      </c>
      <c r="D1561" s="53" t="s">
        <v>45</v>
      </c>
      <c r="E1561" s="53" t="s">
        <v>53</v>
      </c>
      <c r="F1561" s="53" t="s">
        <v>55</v>
      </c>
      <c r="G1561" s="53" t="s">
        <v>25</v>
      </c>
      <c r="H1561" s="53" t="s">
        <v>25</v>
      </c>
      <c r="I1561" s="75">
        <v>44470</v>
      </c>
      <c r="J1561" s="76">
        <f>EFEITO!$J$1561*EFEITO!$Y$1417</f>
        <v>0</v>
      </c>
      <c r="K1561" s="76">
        <f ca="1">EFEITO!$L$1561*EFEITO!$Z$1417</f>
        <v>36973.990101614218</v>
      </c>
      <c r="L1561" s="76">
        <f>EFEITO!$N$1561*EFEITO!$AA$1417</f>
        <v>22493.203461897199</v>
      </c>
      <c r="M1561" s="76">
        <f>$J$1561-EFEITO!$K$1561*EFEITO!$Y$1561</f>
        <v>0</v>
      </c>
      <c r="N1561" s="76">
        <f ca="1">$K$1561-EFEITO!$M$1561*EFEITO!$Z$1561</f>
        <v>27589.991413824529</v>
      </c>
      <c r="O1561" s="76">
        <f>$L$1561-EFEITO!$O$1561*EFEITO!$AA$1561</f>
        <v>16784.428423267691</v>
      </c>
      <c r="P1561" s="57"/>
      <c r="Q1561" s="57"/>
      <c r="R1561" s="57"/>
      <c r="S1561" s="57"/>
      <c r="T1561" s="57"/>
      <c r="U1561" s="57"/>
      <c r="V1561" s="57"/>
      <c r="W1561" s="57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</row>
    <row r="1562" spans="1:36" ht="11.25" customHeight="1" x14ac:dyDescent="0.2">
      <c r="A1562" s="53" t="s">
        <v>27</v>
      </c>
      <c r="B1562" s="53" t="s">
        <v>44</v>
      </c>
      <c r="C1562" s="53" t="s">
        <v>23</v>
      </c>
      <c r="D1562" s="53" t="s">
        <v>45</v>
      </c>
      <c r="E1562" s="53" t="s">
        <v>53</v>
      </c>
      <c r="F1562" s="53" t="s">
        <v>55</v>
      </c>
      <c r="G1562" s="53" t="s">
        <v>25</v>
      </c>
      <c r="H1562" s="53" t="s">
        <v>25</v>
      </c>
      <c r="I1562" s="75">
        <v>44470</v>
      </c>
      <c r="J1562" s="76">
        <f>EFEITO!$J$1562*EFEITO!$Y$1417</f>
        <v>0</v>
      </c>
      <c r="K1562" s="76">
        <f ca="1">EFEITO!$L$1562*EFEITO!$Z$1417</f>
        <v>-454.02070179548491</v>
      </c>
      <c r="L1562" s="76">
        <f>EFEITO!$N$1562*EFEITO!$AA$1417</f>
        <v>-276.2044343424364</v>
      </c>
      <c r="M1562" s="76">
        <f>$J$1562-EFEITO!$K$1562*EFEITO!$Y$1562</f>
        <v>0</v>
      </c>
      <c r="N1562" s="76">
        <f ca="1">$K$1562-EFEITO!$M$1562*EFEITO!$Z$1562</f>
        <v>-338.79024767979081</v>
      </c>
      <c r="O1562" s="76">
        <f>$L$1562-EFEITO!$O$1562*EFEITO!$AA$1562</f>
        <v>-206.10374890632602</v>
      </c>
      <c r="P1562" s="57"/>
      <c r="Q1562" s="57"/>
      <c r="R1562" s="57"/>
      <c r="S1562" s="57"/>
      <c r="T1562" s="57"/>
      <c r="U1562" s="57"/>
      <c r="V1562" s="57"/>
      <c r="W1562" s="57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</row>
    <row r="1563" spans="1:36" ht="11.25" customHeight="1" x14ac:dyDescent="0.2">
      <c r="A1563" s="53" t="s">
        <v>21</v>
      </c>
      <c r="B1563" s="53" t="s">
        <v>44</v>
      </c>
      <c r="C1563" s="53" t="s">
        <v>23</v>
      </c>
      <c r="D1563" s="53" t="s">
        <v>45</v>
      </c>
      <c r="E1563" s="53" t="s">
        <v>53</v>
      </c>
      <c r="F1563" s="53" t="s">
        <v>55</v>
      </c>
      <c r="G1563" s="53" t="s">
        <v>25</v>
      </c>
      <c r="H1563" s="53" t="s">
        <v>25</v>
      </c>
      <c r="I1563" s="75">
        <v>44501</v>
      </c>
      <c r="J1563" s="76">
        <f>EFEITO!$J$1563*EFEITO!$Y$1417</f>
        <v>0</v>
      </c>
      <c r="K1563" s="76">
        <f ca="1">EFEITO!$L$1563*EFEITO!$Z$1417</f>
        <v>57447.850669631167</v>
      </c>
      <c r="L1563" s="76">
        <f>EFEITO!$N$1563*EFEITO!$AA$1417</f>
        <v>34948.518945600263</v>
      </c>
      <c r="M1563" s="76">
        <f>$J$1563-EFEITO!$K$1563*EFEITO!$Y$1563</f>
        <v>0</v>
      </c>
      <c r="N1563" s="76">
        <f ca="1">$K$1563-EFEITO!$M$1563*EFEITO!$Z$1563</f>
        <v>42867.586169678776</v>
      </c>
      <c r="O1563" s="76">
        <f>$L$1563-EFEITO!$O$1563*EFEITO!$AA$1563</f>
        <v>26078.584837206916</v>
      </c>
      <c r="P1563" s="57"/>
      <c r="Q1563" s="57"/>
      <c r="R1563" s="57"/>
      <c r="S1563" s="57"/>
      <c r="T1563" s="57"/>
      <c r="U1563" s="57"/>
      <c r="V1563" s="57"/>
      <c r="W1563" s="57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</row>
    <row r="1564" spans="1:36" ht="11.25" customHeight="1" x14ac:dyDescent="0.2">
      <c r="A1564" s="53" t="s">
        <v>27</v>
      </c>
      <c r="B1564" s="53" t="s">
        <v>44</v>
      </c>
      <c r="C1564" s="53" t="s">
        <v>23</v>
      </c>
      <c r="D1564" s="53" t="s">
        <v>45</v>
      </c>
      <c r="E1564" s="53" t="s">
        <v>53</v>
      </c>
      <c r="F1564" s="53" t="s">
        <v>55</v>
      </c>
      <c r="G1564" s="53" t="s">
        <v>25</v>
      </c>
      <c r="H1564" s="53" t="s">
        <v>25</v>
      </c>
      <c r="I1564" s="75">
        <v>44501</v>
      </c>
      <c r="J1564" s="76">
        <f>EFEITO!$J$1564*EFEITO!$Y$1417</f>
        <v>0</v>
      </c>
      <c r="K1564" s="76">
        <f ca="1">EFEITO!$L$1564*EFEITO!$Z$1417</f>
        <v>-93.323885261147993</v>
      </c>
      <c r="L1564" s="76">
        <f>EFEITO!$N$1564*EFEITO!$AA$1417</f>
        <v>-56.773778898753633</v>
      </c>
      <c r="M1564" s="76">
        <f>$J$1564-EFEITO!$K$1564*EFEITO!$Y$1564</f>
        <v>0</v>
      </c>
      <c r="N1564" s="76">
        <f ca="1">$K$1564-EFEITO!$M$1564*EFEITO!$Z$1564</f>
        <v>-69.638283181868644</v>
      </c>
      <c r="O1564" s="76">
        <f>$L$1564-EFEITO!$O$1564*EFEITO!$AA$1564</f>
        <v>-42.364593814249965</v>
      </c>
      <c r="P1564" s="57"/>
      <c r="Q1564" s="57"/>
      <c r="R1564" s="57"/>
      <c r="S1564" s="57"/>
      <c r="T1564" s="57"/>
      <c r="U1564" s="57"/>
      <c r="V1564" s="57"/>
      <c r="W1564" s="57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</row>
    <row r="1565" spans="1:36" ht="11.25" customHeight="1" x14ac:dyDescent="0.2">
      <c r="A1565" s="53" t="s">
        <v>21</v>
      </c>
      <c r="B1565" s="53" t="s">
        <v>44</v>
      </c>
      <c r="C1565" s="53" t="s">
        <v>23</v>
      </c>
      <c r="D1565" s="53" t="s">
        <v>45</v>
      </c>
      <c r="E1565" s="53" t="s">
        <v>53</v>
      </c>
      <c r="F1565" s="53" t="s">
        <v>55</v>
      </c>
      <c r="G1565" s="53" t="s">
        <v>25</v>
      </c>
      <c r="H1565" s="53" t="s">
        <v>25</v>
      </c>
      <c r="I1565" s="75">
        <v>44531</v>
      </c>
      <c r="J1565" s="76">
        <f>EFEITO!$J$1565*EFEITO!$Y$1417</f>
        <v>0</v>
      </c>
      <c r="K1565" s="76">
        <f ca="1">EFEITO!$L$1565*EFEITO!$Z$1417</f>
        <v>58675.526380241572</v>
      </c>
      <c r="L1565" s="76">
        <f>EFEITO!$N$1565*EFEITO!$AA$1417</f>
        <v>35695.378007013365</v>
      </c>
      <c r="M1565" s="76">
        <f>$J$1565-EFEITO!$K$1565*EFEITO!$Y$1565</f>
        <v>0</v>
      </c>
      <c r="N1565" s="76">
        <f ca="1">$K$1565-EFEITO!$M$1565*EFEITO!$Z$1565</f>
        <v>43783.677784936262</v>
      </c>
      <c r="O1565" s="76">
        <f>$L$1565-EFEITO!$O$1565*EFEITO!$AA$1565</f>
        <v>26635.891068833371</v>
      </c>
      <c r="P1565" s="57"/>
      <c r="Q1565" s="57"/>
      <c r="R1565" s="57"/>
      <c r="S1565" s="57"/>
      <c r="T1565" s="57"/>
      <c r="U1565" s="57"/>
      <c r="V1565" s="57"/>
      <c r="W1565" s="57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</row>
    <row r="1566" spans="1:36" ht="11.25" customHeight="1" x14ac:dyDescent="0.2">
      <c r="A1566" s="53" t="s">
        <v>21</v>
      </c>
      <c r="B1566" s="53" t="s">
        <v>44</v>
      </c>
      <c r="C1566" s="53" t="s">
        <v>23</v>
      </c>
      <c r="D1566" s="53" t="s">
        <v>45</v>
      </c>
      <c r="E1566" s="53" t="s">
        <v>53</v>
      </c>
      <c r="F1566" s="53" t="s">
        <v>55</v>
      </c>
      <c r="G1566" s="53" t="s">
        <v>25</v>
      </c>
      <c r="H1566" s="53" t="s">
        <v>25</v>
      </c>
      <c r="I1566" s="75">
        <v>44562</v>
      </c>
      <c r="J1566" s="76">
        <f>EFEITO!$J$1566*EFEITO!$Y$1417</f>
        <v>0</v>
      </c>
      <c r="K1566" s="76">
        <f ca="1">EFEITO!$L$1566*EFEITO!$Z$1417</f>
        <v>41898.224907418691</v>
      </c>
      <c r="L1566" s="76">
        <f>EFEITO!$N$1566*EFEITO!$AA$1417</f>
        <v>25488.871905489934</v>
      </c>
      <c r="M1566" s="76">
        <f>$J$1566-EFEITO!$K$1566*EFEITO!$Y$1566</f>
        <v>0</v>
      </c>
      <c r="N1566" s="76">
        <f ca="1">$K$1566-EFEITO!$M$1566*EFEITO!$Z$1566</f>
        <v>31264.455425915829</v>
      </c>
      <c r="O1566" s="76">
        <f>$L$1566-EFEITO!$O$1566*EFEITO!$AA$1566</f>
        <v>19019.796215876588</v>
      </c>
      <c r="P1566" s="57"/>
      <c r="Q1566" s="57"/>
      <c r="R1566" s="57"/>
      <c r="S1566" s="57"/>
      <c r="T1566" s="57"/>
      <c r="U1566" s="57"/>
      <c r="V1566" s="57"/>
      <c r="W1566" s="57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</row>
    <row r="1567" spans="1:36" ht="11.25" customHeight="1" x14ac:dyDescent="0.2">
      <c r="A1567" s="53" t="s">
        <v>21</v>
      </c>
      <c r="B1567" s="53" t="s">
        <v>44</v>
      </c>
      <c r="C1567" s="53" t="s">
        <v>23</v>
      </c>
      <c r="D1567" s="53" t="s">
        <v>45</v>
      </c>
      <c r="E1567" s="53" t="s">
        <v>53</v>
      </c>
      <c r="F1567" s="53" t="s">
        <v>55</v>
      </c>
      <c r="G1567" s="53" t="s">
        <v>25</v>
      </c>
      <c r="H1567" s="53" t="s">
        <v>25</v>
      </c>
      <c r="I1567" s="75">
        <v>44593</v>
      </c>
      <c r="J1567" s="76">
        <f>EFEITO!$J$1567*EFEITO!$Y$1417</f>
        <v>0</v>
      </c>
      <c r="K1567" s="76">
        <f ca="1">EFEITO!$L$1567*EFEITO!$Z$1417</f>
        <v>48347.371998390321</v>
      </c>
      <c r="L1567" s="76">
        <f>EFEITO!$N$1567*EFEITO!$AA$1417</f>
        <v>29412.223896288306</v>
      </c>
      <c r="M1567" s="76">
        <f>$J$1567-EFEITO!$K$1567*EFEITO!$Y$1567</f>
        <v>0</v>
      </c>
      <c r="N1567" s="76">
        <f ca="1">$K$1567-EFEITO!$M$1567*EFEITO!$Z$1567</f>
        <v>36076.808985198863</v>
      </c>
      <c r="O1567" s="76">
        <f>$L$1567-EFEITO!$O$1567*EFEITO!$AA$1567</f>
        <v>21947.401471410332</v>
      </c>
      <c r="P1567" s="57"/>
      <c r="Q1567" s="57"/>
      <c r="R1567" s="57"/>
      <c r="S1567" s="57"/>
      <c r="T1567" s="57"/>
      <c r="U1567" s="57"/>
      <c r="V1567" s="57"/>
      <c r="W1567" s="57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</row>
    <row r="1568" spans="1:36" ht="11.25" customHeight="1" x14ac:dyDescent="0.2">
      <c r="A1568" s="53" t="s">
        <v>27</v>
      </c>
      <c r="B1568" s="53" t="s">
        <v>44</v>
      </c>
      <c r="C1568" s="53" t="s">
        <v>23</v>
      </c>
      <c r="D1568" s="53" t="s">
        <v>45</v>
      </c>
      <c r="E1568" s="53" t="s">
        <v>53</v>
      </c>
      <c r="F1568" s="53" t="s">
        <v>55</v>
      </c>
      <c r="G1568" s="53" t="s">
        <v>25</v>
      </c>
      <c r="H1568" s="53" t="s">
        <v>25</v>
      </c>
      <c r="I1568" s="75">
        <v>44593</v>
      </c>
      <c r="J1568" s="76">
        <f>EFEITO!$J$1568*EFEITO!$Y$1417</f>
        <v>0</v>
      </c>
      <c r="K1568" s="76">
        <f ca="1">EFEITO!$L$1568*EFEITO!$Z$1417</f>
        <v>46.661942630573996</v>
      </c>
      <c r="L1568" s="76">
        <f>EFEITO!$N$1568*EFEITO!$AA$1417</f>
        <v>28.386889449376817</v>
      </c>
      <c r="M1568" s="76">
        <f>$J$1568-EFEITO!$K$1568*EFEITO!$Y$1568</f>
        <v>0</v>
      </c>
      <c r="N1568" s="76">
        <f ca="1">$K$1568-EFEITO!$M$1568*EFEITO!$Z$1568</f>
        <v>34.819141590934322</v>
      </c>
      <c r="O1568" s="76">
        <f>$L$1568-EFEITO!$O$1568*EFEITO!$AA$1568</f>
        <v>21.182296907124982</v>
      </c>
      <c r="P1568" s="57"/>
      <c r="Q1568" s="57"/>
      <c r="R1568" s="57"/>
      <c r="S1568" s="57"/>
      <c r="T1568" s="57"/>
      <c r="U1568" s="57"/>
      <c r="V1568" s="57"/>
      <c r="W1568" s="57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</row>
    <row r="1569" spans="1:36" ht="11.25" customHeight="1" x14ac:dyDescent="0.2">
      <c r="A1569" s="53" t="s">
        <v>21</v>
      </c>
      <c r="B1569" s="53" t="s">
        <v>44</v>
      </c>
      <c r="C1569" s="53" t="s">
        <v>23</v>
      </c>
      <c r="D1569" s="53" t="s">
        <v>45</v>
      </c>
      <c r="E1569" s="53" t="s">
        <v>53</v>
      </c>
      <c r="F1569" s="53" t="s">
        <v>55</v>
      </c>
      <c r="G1569" s="53" t="s">
        <v>25</v>
      </c>
      <c r="H1569" s="53" t="s">
        <v>25</v>
      </c>
      <c r="I1569" s="75">
        <v>44621</v>
      </c>
      <c r="J1569" s="76">
        <f>EFEITO!$J$1569*EFEITO!$Y$1417</f>
        <v>0</v>
      </c>
      <c r="K1569" s="76">
        <f ca="1">EFEITO!$L$1569*EFEITO!$Z$1417</f>
        <v>39846.032670526052</v>
      </c>
      <c r="L1569" s="76">
        <f>EFEITO!$N$1569*EFEITO!$AA$1417</f>
        <v>24240.416507506343</v>
      </c>
      <c r="M1569" s="76">
        <f>$J$1569-EFEITO!$K$1569*EFEITO!$Y$1569</f>
        <v>0</v>
      </c>
      <c r="N1569" s="76">
        <f ca="1">$K$1569-EFEITO!$M$1569*EFEITO!$Z$1569</f>
        <v>29733.109578746542</v>
      </c>
      <c r="O1569" s="76">
        <f>$L$1569-EFEITO!$O$1569*EFEITO!$AA$1569</f>
        <v>18088.198797901234</v>
      </c>
      <c r="P1569" s="57"/>
      <c r="Q1569" s="57"/>
      <c r="R1569" s="57"/>
      <c r="S1569" s="57"/>
      <c r="T1569" s="57"/>
      <c r="U1569" s="57"/>
      <c r="V1569" s="57"/>
      <c r="W1569" s="57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</row>
    <row r="1570" spans="1:36" ht="11.25" customHeight="1" x14ac:dyDescent="0.2">
      <c r="A1570" s="53" t="s">
        <v>56</v>
      </c>
      <c r="B1570" s="53" t="s">
        <v>44</v>
      </c>
      <c r="C1570" s="53" t="s">
        <v>23</v>
      </c>
      <c r="D1570" s="53" t="s">
        <v>45</v>
      </c>
      <c r="E1570" s="53" t="s">
        <v>53</v>
      </c>
      <c r="F1570" s="53" t="s">
        <v>55</v>
      </c>
      <c r="G1570" s="53" t="s">
        <v>25</v>
      </c>
      <c r="H1570" s="53" t="s">
        <v>25</v>
      </c>
      <c r="I1570" s="75">
        <v>44652</v>
      </c>
      <c r="J1570" s="76">
        <f>EFEITO!$J$1570*EFEITO!$Y$1417</f>
        <v>0</v>
      </c>
      <c r="K1570" s="76">
        <f ca="1">EFEITO!$L$1570*EFEITO!$Z$1417</f>
        <v>39846.032670526052</v>
      </c>
      <c r="L1570" s="76">
        <f>EFEITO!$N$1570*EFEITO!$AA$1417</f>
        <v>24240.416507506343</v>
      </c>
      <c r="M1570" s="76">
        <f>$J$1570-EFEITO!$K$1570*EFEITO!$Y$1570</f>
        <v>0</v>
      </c>
      <c r="N1570" s="76">
        <f ca="1">$K$1570-EFEITO!$M$1570*EFEITO!$Z$1570</f>
        <v>29733.109578746542</v>
      </c>
      <c r="O1570" s="76">
        <f>$L$1570-EFEITO!$O$1570*EFEITO!$AA$1570</f>
        <v>18088.198797901234</v>
      </c>
      <c r="P1570" s="57"/>
      <c r="Q1570" s="57"/>
      <c r="R1570" s="57"/>
      <c r="S1570" s="57"/>
      <c r="T1570" s="57"/>
      <c r="U1570" s="57"/>
      <c r="V1570" s="57"/>
      <c r="W1570" s="57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</row>
    <row r="1571" spans="1:36" ht="11.25" customHeight="1" x14ac:dyDescent="0.2">
      <c r="A1571" s="53" t="s">
        <v>21</v>
      </c>
      <c r="B1571" s="53" t="s">
        <v>44</v>
      </c>
      <c r="C1571" s="53" t="s">
        <v>23</v>
      </c>
      <c r="D1571" s="53" t="s">
        <v>45</v>
      </c>
      <c r="E1571" s="53" t="s">
        <v>25</v>
      </c>
      <c r="F1571" s="53" t="s">
        <v>25</v>
      </c>
      <c r="G1571" s="53" t="s">
        <v>25</v>
      </c>
      <c r="H1571" s="53" t="s">
        <v>25</v>
      </c>
      <c r="I1571" s="75">
        <v>44317</v>
      </c>
      <c r="J1571" s="76">
        <f>EFEITO!$J$1571*EFEITO!$Y$1417</f>
        <v>0</v>
      </c>
      <c r="K1571" s="76">
        <f ca="1">EFEITO!$L$1571*EFEITO!$Z$1417</f>
        <v>2571086.57090799</v>
      </c>
      <c r="L1571" s="76">
        <f>EFEITO!$N$1571*EFEITO!$AA$1417</f>
        <v>1564125.8408586029</v>
      </c>
      <c r="M1571" s="76">
        <f>$J$1571-EFEITO!$K$1571*EFEITO!$Y$1571</f>
        <v>0</v>
      </c>
      <c r="N1571" s="76">
        <f ca="1">$K$1571-EFEITO!$M$1571*EFEITO!$Z$1571</f>
        <v>154265.19425447937</v>
      </c>
      <c r="O1571" s="76">
        <f>$L$1571-EFEITO!$O$1571*EFEITO!$AA$1571</f>
        <v>93847.550451516174</v>
      </c>
      <c r="P1571" s="57"/>
      <c r="Q1571" s="57"/>
      <c r="R1571" s="57"/>
      <c r="S1571" s="57"/>
      <c r="T1571" s="57"/>
      <c r="U1571" s="57"/>
      <c r="V1571" s="57"/>
      <c r="W1571" s="57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</row>
    <row r="1572" spans="1:36" ht="11.25" customHeight="1" x14ac:dyDescent="0.2">
      <c r="A1572" s="53" t="s">
        <v>27</v>
      </c>
      <c r="B1572" s="53" t="s">
        <v>44</v>
      </c>
      <c r="C1572" s="53" t="s">
        <v>23</v>
      </c>
      <c r="D1572" s="53" t="s">
        <v>45</v>
      </c>
      <c r="E1572" s="53" t="s">
        <v>25</v>
      </c>
      <c r="F1572" s="53" t="s">
        <v>25</v>
      </c>
      <c r="G1572" s="53" t="s">
        <v>25</v>
      </c>
      <c r="H1572" s="53" t="s">
        <v>25</v>
      </c>
      <c r="I1572" s="75">
        <v>44317</v>
      </c>
      <c r="J1572" s="76">
        <f>EFEITO!$J$1572*EFEITO!$Y$1417</f>
        <v>0</v>
      </c>
      <c r="K1572" s="76">
        <f ca="1">EFEITO!$L$1572*EFEITO!$Z$1417</f>
        <v>68796.501736813079</v>
      </c>
      <c r="L1572" s="76">
        <f>EFEITO!$N$1572*EFEITO!$AA$1417</f>
        <v>41852.494328583205</v>
      </c>
      <c r="M1572" s="76">
        <f>$J$1572-EFEITO!$K$1572*EFEITO!$Y$1572</f>
        <v>0</v>
      </c>
      <c r="N1572" s="76">
        <f ca="1">$K$1572-EFEITO!$M$1572*EFEITO!$Z$1572</f>
        <v>4127.7901042087979</v>
      </c>
      <c r="O1572" s="76">
        <f>$L$1572-EFEITO!$O$1572*EFEITO!$AA$1572</f>
        <v>2511.1496597149962</v>
      </c>
      <c r="P1572" s="57"/>
      <c r="Q1572" s="57"/>
      <c r="R1572" s="57"/>
      <c r="S1572" s="57"/>
      <c r="T1572" s="57"/>
      <c r="U1572" s="57"/>
      <c r="V1572" s="57"/>
      <c r="W1572" s="57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</row>
    <row r="1573" spans="1:36" ht="11.25" customHeight="1" x14ac:dyDescent="0.2">
      <c r="A1573" s="53" t="s">
        <v>28</v>
      </c>
      <c r="B1573" s="53" t="s">
        <v>44</v>
      </c>
      <c r="C1573" s="53" t="s">
        <v>23</v>
      </c>
      <c r="D1573" s="53" t="s">
        <v>45</v>
      </c>
      <c r="E1573" s="53" t="s">
        <v>25</v>
      </c>
      <c r="F1573" s="53" t="s">
        <v>25</v>
      </c>
      <c r="G1573" s="53" t="s">
        <v>25</v>
      </c>
      <c r="H1573" s="53" t="s">
        <v>25</v>
      </c>
      <c r="I1573" s="75">
        <v>44317</v>
      </c>
      <c r="J1573" s="76">
        <f>EFEITO!$J$1573*EFEITO!$Y$1417</f>
        <v>0</v>
      </c>
      <c r="K1573" s="76">
        <f ca="1">EFEITO!$L$1573*EFEITO!$Z$1417</f>
        <v>30429.652647676216</v>
      </c>
      <c r="L1573" s="76">
        <f>EFEITO!$N$1573*EFEITO!$AA$1417</f>
        <v>18511.942216622101</v>
      </c>
      <c r="M1573" s="76">
        <f>$J$1573-EFEITO!$K$1573*EFEITO!$Y$1573</f>
        <v>0</v>
      </c>
      <c r="N1573" s="76">
        <f ca="1">$K$1573-EFEITO!$M$1573*EFEITO!$Z$1573</f>
        <v>1825.779158860576</v>
      </c>
      <c r="O1573" s="76">
        <f>$L$1573-EFEITO!$O$1573*EFEITO!$AA$1573</f>
        <v>1110.716532997325</v>
      </c>
      <c r="P1573" s="57"/>
      <c r="Q1573" s="57"/>
      <c r="R1573" s="57"/>
      <c r="S1573" s="57"/>
      <c r="T1573" s="57"/>
      <c r="U1573" s="57"/>
      <c r="V1573" s="57"/>
      <c r="W1573" s="57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</row>
    <row r="1574" spans="1:36" ht="11.25" customHeight="1" x14ac:dyDescent="0.2">
      <c r="A1574" s="53" t="s">
        <v>21</v>
      </c>
      <c r="B1574" s="53" t="s">
        <v>44</v>
      </c>
      <c r="C1574" s="53" t="s">
        <v>23</v>
      </c>
      <c r="D1574" s="53" t="s">
        <v>45</v>
      </c>
      <c r="E1574" s="53" t="s">
        <v>25</v>
      </c>
      <c r="F1574" s="53" t="s">
        <v>25</v>
      </c>
      <c r="G1574" s="53" t="s">
        <v>25</v>
      </c>
      <c r="H1574" s="53" t="s">
        <v>25</v>
      </c>
      <c r="I1574" s="75">
        <v>44348</v>
      </c>
      <c r="J1574" s="76">
        <f>EFEITO!$J$1574*EFEITO!$Y$1417</f>
        <v>0</v>
      </c>
      <c r="K1574" s="76">
        <f ca="1">EFEITO!$L$1574*EFEITO!$Z$1417</f>
        <v>2227087.7305440041</v>
      </c>
      <c r="L1574" s="76">
        <f>EFEITO!$N$1574*EFEITO!$AA$1417</f>
        <v>1354853.4338043795</v>
      </c>
      <c r="M1574" s="76">
        <f>$J$1574-EFEITO!$K$1574*EFEITO!$Y$1574</f>
        <v>0</v>
      </c>
      <c r="N1574" s="76">
        <f ca="1">$K$1574-EFEITO!$M$1574*EFEITO!$Z$1574</f>
        <v>133625.2638326406</v>
      </c>
      <c r="O1574" s="76">
        <f>$L$1574-EFEITO!$O$1574*EFEITO!$AA$1574</f>
        <v>81291.206028262619</v>
      </c>
      <c r="P1574" s="57"/>
      <c r="Q1574" s="57"/>
      <c r="R1574" s="57"/>
      <c r="S1574" s="57"/>
      <c r="T1574" s="57"/>
      <c r="U1574" s="57"/>
      <c r="V1574" s="57"/>
      <c r="W1574" s="57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</row>
    <row r="1575" spans="1:36" ht="11.25" customHeight="1" x14ac:dyDescent="0.2">
      <c r="A1575" s="53" t="s">
        <v>27</v>
      </c>
      <c r="B1575" s="53" t="s">
        <v>44</v>
      </c>
      <c r="C1575" s="53" t="s">
        <v>23</v>
      </c>
      <c r="D1575" s="53" t="s">
        <v>45</v>
      </c>
      <c r="E1575" s="53" t="s">
        <v>25</v>
      </c>
      <c r="F1575" s="53" t="s">
        <v>25</v>
      </c>
      <c r="G1575" s="53" t="s">
        <v>25</v>
      </c>
      <c r="H1575" s="53" t="s">
        <v>25</v>
      </c>
      <c r="I1575" s="75">
        <v>44348</v>
      </c>
      <c r="J1575" s="76">
        <f>EFEITO!$J$1575*EFEITO!$Y$1417</f>
        <v>0</v>
      </c>
      <c r="K1575" s="76">
        <f ca="1">EFEITO!$L$1575*EFEITO!$Z$1417</f>
        <v>-313210.82399690704</v>
      </c>
      <c r="L1575" s="76">
        <f>EFEITO!$N$1575*EFEITO!$AA$1417</f>
        <v>-190542.45352662998</v>
      </c>
      <c r="M1575" s="76">
        <f>$J$1575-EFEITO!$K$1575*EFEITO!$Y$1575</f>
        <v>0</v>
      </c>
      <c r="N1575" s="76">
        <f ca="1">$K$1575-EFEITO!$M$1575*EFEITO!$Z$1575</f>
        <v>-18792.649439814442</v>
      </c>
      <c r="O1575" s="76">
        <f>$L$1575-EFEITO!$O$1575*EFEITO!$AA$1575</f>
        <v>-11432.54721159779</v>
      </c>
      <c r="P1575" s="57"/>
      <c r="Q1575" s="57"/>
      <c r="R1575" s="57"/>
      <c r="S1575" s="57"/>
      <c r="T1575" s="57"/>
      <c r="U1575" s="57"/>
      <c r="V1575" s="57"/>
      <c r="W1575" s="57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</row>
    <row r="1576" spans="1:36" ht="11.25" customHeight="1" x14ac:dyDescent="0.2">
      <c r="A1576" s="53" t="s">
        <v>28</v>
      </c>
      <c r="B1576" s="53" t="s">
        <v>44</v>
      </c>
      <c r="C1576" s="53" t="s">
        <v>23</v>
      </c>
      <c r="D1576" s="53" t="s">
        <v>45</v>
      </c>
      <c r="E1576" s="53" t="s">
        <v>25</v>
      </c>
      <c r="F1576" s="53" t="s">
        <v>25</v>
      </c>
      <c r="G1576" s="53" t="s">
        <v>25</v>
      </c>
      <c r="H1576" s="53" t="s">
        <v>25</v>
      </c>
      <c r="I1576" s="75">
        <v>44348</v>
      </c>
      <c r="J1576" s="76">
        <f>EFEITO!$J$1576*EFEITO!$Y$1417</f>
        <v>0</v>
      </c>
      <c r="K1576" s="76">
        <f ca="1">EFEITO!$L$1576*EFEITO!$Z$1417</f>
        <v>30871.54124438775</v>
      </c>
      <c r="L1576" s="76">
        <f>EFEITO!$N$1576*EFEITO!$AA$1417</f>
        <v>18780.766059707701</v>
      </c>
      <c r="M1576" s="76">
        <f>$J$1576-EFEITO!$K$1576*EFEITO!$Y$1576</f>
        <v>0</v>
      </c>
      <c r="N1576" s="76">
        <f ca="1">$K$1576-EFEITO!$M$1576*EFEITO!$Z$1576</f>
        <v>1852.2924746632671</v>
      </c>
      <c r="O1576" s="76">
        <f>$L$1576-EFEITO!$O$1576*EFEITO!$AA$1576</f>
        <v>1126.845963582462</v>
      </c>
      <c r="P1576" s="57"/>
      <c r="Q1576" s="57"/>
      <c r="R1576" s="57"/>
      <c r="S1576" s="57"/>
      <c r="T1576" s="57"/>
      <c r="U1576" s="57"/>
      <c r="V1576" s="57"/>
      <c r="W1576" s="57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</row>
    <row r="1577" spans="1:36" ht="11.25" customHeight="1" x14ac:dyDescent="0.2">
      <c r="A1577" s="53" t="s">
        <v>21</v>
      </c>
      <c r="B1577" s="53" t="s">
        <v>44</v>
      </c>
      <c r="C1577" s="53" t="s">
        <v>23</v>
      </c>
      <c r="D1577" s="53" t="s">
        <v>45</v>
      </c>
      <c r="E1577" s="53" t="s">
        <v>25</v>
      </c>
      <c r="F1577" s="53" t="s">
        <v>25</v>
      </c>
      <c r="G1577" s="53" t="s">
        <v>25</v>
      </c>
      <c r="H1577" s="53" t="s">
        <v>25</v>
      </c>
      <c r="I1577" s="75">
        <v>44378</v>
      </c>
      <c r="J1577" s="76">
        <f>EFEITO!$J$1577*EFEITO!$Y$1417</f>
        <v>0</v>
      </c>
      <c r="K1577" s="76">
        <f ca="1">EFEITO!$L$1577*EFEITO!$Z$1417</f>
        <v>2149176.7515531606</v>
      </c>
      <c r="L1577" s="76">
        <f>EFEITO!$N$1577*EFEITO!$AA$1417</f>
        <v>1307456.1283596496</v>
      </c>
      <c r="M1577" s="76">
        <f>$J$1577-EFEITO!$K$1577*EFEITO!$Y$1577</f>
        <v>0</v>
      </c>
      <c r="N1577" s="76">
        <f ca="1">$K$1577-EFEITO!$M$1577*EFEITO!$Z$1577</f>
        <v>128950.60509318975</v>
      </c>
      <c r="O1577" s="76">
        <f>$L$1577-EFEITO!$O$1577*EFEITO!$AA$1577</f>
        <v>78447.367701578885</v>
      </c>
      <c r="P1577" s="57"/>
      <c r="Q1577" s="57"/>
      <c r="R1577" s="57"/>
      <c r="S1577" s="57"/>
      <c r="T1577" s="57"/>
      <c r="U1577" s="57"/>
      <c r="V1577" s="57"/>
      <c r="W1577" s="57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</row>
    <row r="1578" spans="1:36" ht="11.25" customHeight="1" x14ac:dyDescent="0.2">
      <c r="A1578" s="53" t="s">
        <v>27</v>
      </c>
      <c r="B1578" s="53" t="s">
        <v>44</v>
      </c>
      <c r="C1578" s="53" t="s">
        <v>23</v>
      </c>
      <c r="D1578" s="53" t="s">
        <v>45</v>
      </c>
      <c r="E1578" s="53" t="s">
        <v>25</v>
      </c>
      <c r="F1578" s="53" t="s">
        <v>25</v>
      </c>
      <c r="G1578" s="53" t="s">
        <v>25</v>
      </c>
      <c r="H1578" s="53" t="s">
        <v>25</v>
      </c>
      <c r="I1578" s="75">
        <v>44378</v>
      </c>
      <c r="J1578" s="76">
        <f>EFEITO!$J$1578*EFEITO!$Y$1417</f>
        <v>0</v>
      </c>
      <c r="K1578" s="76">
        <f ca="1">EFEITO!$L$1578*EFEITO!$Z$1417</f>
        <v>-36463.508449235742</v>
      </c>
      <c r="L1578" s="76">
        <f>EFEITO!$N$1578*EFEITO!$AA$1417</f>
        <v>-22182.65089132102</v>
      </c>
      <c r="M1578" s="76">
        <f>$J$1578-EFEITO!$K$1578*EFEITO!$Y$1578</f>
        <v>0</v>
      </c>
      <c r="N1578" s="76">
        <f ca="1">$K$1578-EFEITO!$M$1578*EFEITO!$Z$1578</f>
        <v>-2187.8105069541489</v>
      </c>
      <c r="O1578" s="76">
        <f>$L$1578-EFEITO!$O$1578*EFEITO!$AA$1578</f>
        <v>-1330.9590534792624</v>
      </c>
      <c r="P1578" s="57"/>
      <c r="Q1578" s="57"/>
      <c r="R1578" s="57"/>
      <c r="S1578" s="57"/>
      <c r="T1578" s="57"/>
      <c r="U1578" s="57"/>
      <c r="V1578" s="57"/>
      <c r="W1578" s="57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</row>
    <row r="1579" spans="1:36" ht="11.25" customHeight="1" x14ac:dyDescent="0.2">
      <c r="A1579" s="53" t="s">
        <v>28</v>
      </c>
      <c r="B1579" s="53" t="s">
        <v>44</v>
      </c>
      <c r="C1579" s="53" t="s">
        <v>23</v>
      </c>
      <c r="D1579" s="53" t="s">
        <v>45</v>
      </c>
      <c r="E1579" s="53" t="s">
        <v>25</v>
      </c>
      <c r="F1579" s="53" t="s">
        <v>25</v>
      </c>
      <c r="G1579" s="53" t="s">
        <v>25</v>
      </c>
      <c r="H1579" s="53" t="s">
        <v>25</v>
      </c>
      <c r="I1579" s="75">
        <v>44378</v>
      </c>
      <c r="J1579" s="76">
        <f>EFEITO!$J$1579*EFEITO!$Y$1417</f>
        <v>0</v>
      </c>
      <c r="K1579" s="76">
        <f ca="1">EFEITO!$L$1579*EFEITO!$Z$1417</f>
        <v>27553.410503927636</v>
      </c>
      <c r="L1579" s="76">
        <f>EFEITO!$N$1579*EFEITO!$AA$1417</f>
        <v>16762.174350962516</v>
      </c>
      <c r="M1579" s="76">
        <f>$J$1579-EFEITO!$K$1579*EFEITO!$Y$1579</f>
        <v>0</v>
      </c>
      <c r="N1579" s="76">
        <f ca="1">$K$1579-EFEITO!$M$1579*EFEITO!$Z$1579</f>
        <v>1653.2046302356612</v>
      </c>
      <c r="O1579" s="76">
        <f>$L$1579-EFEITO!$O$1579*EFEITO!$AA$1579</f>
        <v>1005.7304610577521</v>
      </c>
      <c r="P1579" s="57"/>
      <c r="Q1579" s="57"/>
      <c r="R1579" s="57"/>
      <c r="S1579" s="57"/>
      <c r="T1579" s="57"/>
      <c r="U1579" s="57"/>
      <c r="V1579" s="57"/>
      <c r="W1579" s="57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</row>
    <row r="1580" spans="1:36" ht="11.25" customHeight="1" x14ac:dyDescent="0.2">
      <c r="A1580" s="53" t="s">
        <v>28</v>
      </c>
      <c r="B1580" s="53" t="s">
        <v>44</v>
      </c>
      <c r="C1580" s="53" t="s">
        <v>23</v>
      </c>
      <c r="D1580" s="53" t="s">
        <v>45</v>
      </c>
      <c r="E1580" s="53" t="s">
        <v>25</v>
      </c>
      <c r="F1580" s="53" t="s">
        <v>25</v>
      </c>
      <c r="G1580" s="53" t="s">
        <v>25</v>
      </c>
      <c r="H1580" s="53" t="s">
        <v>25</v>
      </c>
      <c r="I1580" s="75">
        <v>44378</v>
      </c>
      <c r="J1580" s="76">
        <f>EFEITO!$J$1580*EFEITO!$Y$1417</f>
        <v>0</v>
      </c>
      <c r="K1580" s="76">
        <f ca="1">EFEITO!$L$1580*EFEITO!$Z$1417</f>
        <v>693.39646749032954</v>
      </c>
      <c r="L1580" s="76">
        <f>EFEITO!$N$1580*EFEITO!$AA$1417</f>
        <v>421.82917721773947</v>
      </c>
      <c r="M1580" s="76">
        <f>$J$1580-EFEITO!$K$1580*EFEITO!$Y$1580</f>
        <v>0</v>
      </c>
      <c r="N1580" s="76">
        <f ca="1">$K$1580-EFEITO!$M$1580*EFEITO!$Z$1580</f>
        <v>41.603788049419904</v>
      </c>
      <c r="O1580" s="76">
        <f>$L$1580-EFEITO!$O$1580*EFEITO!$AA$1580</f>
        <v>25.309750633064368</v>
      </c>
      <c r="P1580" s="57"/>
      <c r="Q1580" s="57"/>
      <c r="R1580" s="57"/>
      <c r="S1580" s="57"/>
      <c r="T1580" s="57"/>
      <c r="U1580" s="57"/>
      <c r="V1580" s="57"/>
      <c r="W1580" s="57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</row>
    <row r="1581" spans="1:36" ht="11.25" customHeight="1" x14ac:dyDescent="0.2">
      <c r="A1581" s="53" t="s">
        <v>21</v>
      </c>
      <c r="B1581" s="53" t="s">
        <v>44</v>
      </c>
      <c r="C1581" s="53" t="s">
        <v>23</v>
      </c>
      <c r="D1581" s="53" t="s">
        <v>45</v>
      </c>
      <c r="E1581" s="53" t="s">
        <v>25</v>
      </c>
      <c r="F1581" s="53" t="s">
        <v>25</v>
      </c>
      <c r="G1581" s="53" t="s">
        <v>25</v>
      </c>
      <c r="H1581" s="53" t="s">
        <v>25</v>
      </c>
      <c r="I1581" s="75">
        <v>44409</v>
      </c>
      <c r="J1581" s="76">
        <f>EFEITO!$J$1581*EFEITO!$Y$1417</f>
        <v>0</v>
      </c>
      <c r="K1581" s="76">
        <f ca="1">EFEITO!$L$1581*EFEITO!$Z$1417</f>
        <v>2110225.2283228626</v>
      </c>
      <c r="L1581" s="76">
        <f>EFEITO!$N$1581*EFEITO!$AA$1417</f>
        <v>1283759.8885228876</v>
      </c>
      <c r="M1581" s="76">
        <f>$J$1581-EFEITO!$K$1581*EFEITO!$Y$1581</f>
        <v>0</v>
      </c>
      <c r="N1581" s="76">
        <f ca="1">$K$1581-EFEITO!$M$1581*EFEITO!$Z$1581</f>
        <v>126613.51369937207</v>
      </c>
      <c r="O1581" s="76">
        <f>$L$1581-EFEITO!$O$1581*EFEITO!$AA$1581</f>
        <v>77025.593311373144</v>
      </c>
      <c r="P1581" s="57"/>
      <c r="Q1581" s="57"/>
      <c r="R1581" s="57"/>
      <c r="S1581" s="57"/>
      <c r="T1581" s="57"/>
      <c r="U1581" s="57"/>
      <c r="V1581" s="57"/>
      <c r="W1581" s="57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</row>
    <row r="1582" spans="1:36" ht="11.25" customHeight="1" x14ac:dyDescent="0.2">
      <c r="A1582" s="53" t="s">
        <v>27</v>
      </c>
      <c r="B1582" s="53" t="s">
        <v>44</v>
      </c>
      <c r="C1582" s="53" t="s">
        <v>23</v>
      </c>
      <c r="D1582" s="53" t="s">
        <v>45</v>
      </c>
      <c r="E1582" s="53" t="s">
        <v>25</v>
      </c>
      <c r="F1582" s="53" t="s">
        <v>25</v>
      </c>
      <c r="G1582" s="53" t="s">
        <v>25</v>
      </c>
      <c r="H1582" s="53" t="s">
        <v>25</v>
      </c>
      <c r="I1582" s="75">
        <v>44409</v>
      </c>
      <c r="J1582" s="76">
        <f>EFEITO!$J$1582*EFEITO!$Y$1417</f>
        <v>0</v>
      </c>
      <c r="K1582" s="76">
        <f ca="1">EFEITO!$L$1582*EFEITO!$Z$1417</f>
        <v>-16815.097646353643</v>
      </c>
      <c r="L1582" s="76">
        <f>EFEITO!$N$1582*EFEITO!$AA$1417</f>
        <v>-10229.499481977429</v>
      </c>
      <c r="M1582" s="76">
        <f>$J$1582-EFEITO!$K$1582*EFEITO!$Y$1582</f>
        <v>0</v>
      </c>
      <c r="N1582" s="76">
        <f ca="1">$K$1582-EFEITO!$M$1582*EFEITO!$Z$1582</f>
        <v>-1008.9058587812178</v>
      </c>
      <c r="O1582" s="76">
        <f>$L$1582-EFEITO!$O$1582*EFEITO!$AA$1582</f>
        <v>-613.76996891864474</v>
      </c>
      <c r="P1582" s="57"/>
      <c r="Q1582" s="57"/>
      <c r="R1582" s="57"/>
      <c r="S1582" s="57"/>
      <c r="T1582" s="57"/>
      <c r="U1582" s="57"/>
      <c r="V1582" s="57"/>
      <c r="W1582" s="57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</row>
    <row r="1583" spans="1:36" ht="11.25" customHeight="1" x14ac:dyDescent="0.2">
      <c r="A1583" s="53" t="s">
        <v>28</v>
      </c>
      <c r="B1583" s="53" t="s">
        <v>44</v>
      </c>
      <c r="C1583" s="53" t="s">
        <v>23</v>
      </c>
      <c r="D1583" s="53" t="s">
        <v>45</v>
      </c>
      <c r="E1583" s="53" t="s">
        <v>25</v>
      </c>
      <c r="F1583" s="53" t="s">
        <v>25</v>
      </c>
      <c r="G1583" s="53" t="s">
        <v>25</v>
      </c>
      <c r="H1583" s="53" t="s">
        <v>25</v>
      </c>
      <c r="I1583" s="75">
        <v>44409</v>
      </c>
      <c r="J1583" s="76">
        <f>EFEITO!$J$1583*EFEITO!$Y$1417</f>
        <v>0</v>
      </c>
      <c r="K1583" s="76">
        <f ca="1">EFEITO!$L$1583*EFEITO!$Z$1417</f>
        <v>26576.776044669725</v>
      </c>
      <c r="L1583" s="76">
        <f>EFEITO!$N$1583*EFEITO!$AA$1417</f>
        <v>16168.036754787059</v>
      </c>
      <c r="M1583" s="76">
        <f>$J$1583-EFEITO!$K$1583*EFEITO!$Y$1583</f>
        <v>0</v>
      </c>
      <c r="N1583" s="76">
        <f ca="1">$K$1583-EFEITO!$M$1583*EFEITO!$Z$1583</f>
        <v>1594.6065626801865</v>
      </c>
      <c r="O1583" s="76">
        <f>$L$1583-EFEITO!$O$1583*EFEITO!$AA$1583</f>
        <v>970.08220528722268</v>
      </c>
      <c r="P1583" s="57"/>
      <c r="Q1583" s="57"/>
      <c r="R1583" s="57"/>
      <c r="S1583" s="57"/>
      <c r="T1583" s="57"/>
      <c r="U1583" s="57"/>
      <c r="V1583" s="57"/>
      <c r="W1583" s="57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</row>
    <row r="1584" spans="1:36" ht="11.25" customHeight="1" x14ac:dyDescent="0.2">
      <c r="A1584" s="53" t="s">
        <v>21</v>
      </c>
      <c r="B1584" s="53" t="s">
        <v>44</v>
      </c>
      <c r="C1584" s="53" t="s">
        <v>23</v>
      </c>
      <c r="D1584" s="53" t="s">
        <v>45</v>
      </c>
      <c r="E1584" s="53" t="s">
        <v>25</v>
      </c>
      <c r="F1584" s="53" t="s">
        <v>25</v>
      </c>
      <c r="G1584" s="53" t="s">
        <v>25</v>
      </c>
      <c r="H1584" s="53" t="s">
        <v>25</v>
      </c>
      <c r="I1584" s="75">
        <v>44440</v>
      </c>
      <c r="J1584" s="76">
        <f>EFEITO!$J$1584*EFEITO!$Y$1417</f>
        <v>0</v>
      </c>
      <c r="K1584" s="76">
        <f ca="1">EFEITO!$L$1584*EFEITO!$Z$1417</f>
        <v>2222565.7216836745</v>
      </c>
      <c r="L1584" s="76">
        <f>EFEITO!$N$1584*EFEITO!$AA$1417</f>
        <v>1352102.4603478403</v>
      </c>
      <c r="M1584" s="76">
        <f>$J$1584-EFEITO!$K$1584*EFEITO!$Y$1584</f>
        <v>0</v>
      </c>
      <c r="N1584" s="76">
        <f ca="1">$K$1584-EFEITO!$M$1584*EFEITO!$Z$1584</f>
        <v>133353.94330102042</v>
      </c>
      <c r="O1584" s="76">
        <f>$L$1584-EFEITO!$O$1584*EFEITO!$AA$1584</f>
        <v>81126.147620870499</v>
      </c>
      <c r="P1584" s="57"/>
      <c r="Q1584" s="57"/>
      <c r="R1584" s="57"/>
      <c r="S1584" s="57"/>
      <c r="T1584" s="57"/>
      <c r="U1584" s="57"/>
      <c r="V1584" s="57"/>
      <c r="W1584" s="57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</row>
    <row r="1585" spans="1:36" ht="11.25" customHeight="1" x14ac:dyDescent="0.2">
      <c r="A1585" s="53" t="s">
        <v>27</v>
      </c>
      <c r="B1585" s="53" t="s">
        <v>44</v>
      </c>
      <c r="C1585" s="53" t="s">
        <v>23</v>
      </c>
      <c r="D1585" s="53" t="s">
        <v>45</v>
      </c>
      <c r="E1585" s="53" t="s">
        <v>25</v>
      </c>
      <c r="F1585" s="53" t="s">
        <v>25</v>
      </c>
      <c r="G1585" s="53" t="s">
        <v>25</v>
      </c>
      <c r="H1585" s="53" t="s">
        <v>25</v>
      </c>
      <c r="I1585" s="75">
        <v>44440</v>
      </c>
      <c r="J1585" s="76">
        <f>EFEITO!$J$1585*EFEITO!$Y$1417</f>
        <v>0</v>
      </c>
      <c r="K1585" s="76">
        <f ca="1">EFEITO!$L$1585*EFEITO!$Z$1417</f>
        <v>-4539.2737791022382</v>
      </c>
      <c r="L1585" s="76">
        <f>EFEITO!$N$1585*EFEITO!$AA$1417</f>
        <v>-2761.4766056353765</v>
      </c>
      <c r="M1585" s="76">
        <f>$J$1585-EFEITO!$K$1585*EFEITO!$Y$1585</f>
        <v>0</v>
      </c>
      <c r="N1585" s="76">
        <f ca="1">$K$1585-EFEITO!$M$1585*EFEITO!$Z$1585</f>
        <v>-272.35642674613518</v>
      </c>
      <c r="O1585" s="76">
        <f>$L$1585-EFEITO!$O$1585*EFEITO!$AA$1585</f>
        <v>-165.68859633812235</v>
      </c>
      <c r="P1585" s="57"/>
      <c r="Q1585" s="57"/>
      <c r="R1585" s="57"/>
      <c r="S1585" s="57"/>
      <c r="T1585" s="57"/>
      <c r="U1585" s="57"/>
      <c r="V1585" s="57"/>
      <c r="W1585" s="57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</row>
    <row r="1586" spans="1:36" ht="11.25" customHeight="1" x14ac:dyDescent="0.2">
      <c r="A1586" s="53" t="s">
        <v>28</v>
      </c>
      <c r="B1586" s="53" t="s">
        <v>44</v>
      </c>
      <c r="C1586" s="53" t="s">
        <v>23</v>
      </c>
      <c r="D1586" s="53" t="s">
        <v>45</v>
      </c>
      <c r="E1586" s="53" t="s">
        <v>25</v>
      </c>
      <c r="F1586" s="53" t="s">
        <v>25</v>
      </c>
      <c r="G1586" s="53" t="s">
        <v>25</v>
      </c>
      <c r="H1586" s="53" t="s">
        <v>25</v>
      </c>
      <c r="I1586" s="75">
        <v>44440</v>
      </c>
      <c r="J1586" s="76">
        <f>EFEITO!$J$1586*EFEITO!$Y$1417</f>
        <v>0</v>
      </c>
      <c r="K1586" s="76">
        <f ca="1">EFEITO!$L$1586*EFEITO!$Z$1417</f>
        <v>46012.408389156401</v>
      </c>
      <c r="L1586" s="76">
        <f>EFEITO!$N$1586*EFEITO!$AA$1417</f>
        <v>27991.743948241492</v>
      </c>
      <c r="M1586" s="76">
        <f>$J$1586-EFEITO!$K$1586*EFEITO!$Y$1586</f>
        <v>0</v>
      </c>
      <c r="N1586" s="76">
        <f ca="1">$K$1586-EFEITO!$M$1586*EFEITO!$Z$1586</f>
        <v>2760.7445033493859</v>
      </c>
      <c r="O1586" s="76">
        <f>$L$1586-EFEITO!$O$1586*EFEITO!$AA$1586</f>
        <v>1679.5046368944895</v>
      </c>
      <c r="P1586" s="57"/>
      <c r="Q1586" s="57"/>
      <c r="R1586" s="57"/>
      <c r="S1586" s="57"/>
      <c r="T1586" s="57"/>
      <c r="U1586" s="57"/>
      <c r="V1586" s="57"/>
      <c r="W1586" s="57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</row>
    <row r="1587" spans="1:36" ht="11.25" customHeight="1" x14ac:dyDescent="0.2">
      <c r="A1587" s="53" t="s">
        <v>28</v>
      </c>
      <c r="B1587" s="53" t="s">
        <v>44</v>
      </c>
      <c r="C1587" s="53" t="s">
        <v>23</v>
      </c>
      <c r="D1587" s="53" t="s">
        <v>45</v>
      </c>
      <c r="E1587" s="53" t="s">
        <v>25</v>
      </c>
      <c r="F1587" s="53" t="s">
        <v>25</v>
      </c>
      <c r="G1587" s="53" t="s">
        <v>25</v>
      </c>
      <c r="H1587" s="53" t="s">
        <v>25</v>
      </c>
      <c r="I1587" s="75">
        <v>44440</v>
      </c>
      <c r="J1587" s="76">
        <f>EFEITO!$J$1587*EFEITO!$Y$1417</f>
        <v>0</v>
      </c>
      <c r="K1587" s="76">
        <f ca="1">EFEITO!$L$1587*EFEITO!$Z$1417</f>
        <v>928.1060389221168</v>
      </c>
      <c r="L1587" s="76">
        <f>EFEITO!$N$1587*EFEITO!$AA$1417</f>
        <v>564.61523114810484</v>
      </c>
      <c r="M1587" s="76">
        <f>$J$1587-EFEITO!$K$1587*EFEITO!$Y$1587</f>
        <v>0</v>
      </c>
      <c r="N1587" s="76">
        <f ca="1">$K$1587-EFEITO!$M$1587*EFEITO!$Z$1587</f>
        <v>55.68636233532709</v>
      </c>
      <c r="O1587" s="76">
        <f>$L$1587-EFEITO!$O$1587*EFEITO!$AA$1587</f>
        <v>33.876913868886277</v>
      </c>
      <c r="P1587" s="57"/>
      <c r="Q1587" s="57"/>
      <c r="R1587" s="57"/>
      <c r="S1587" s="57"/>
      <c r="T1587" s="57"/>
      <c r="U1587" s="57"/>
      <c r="V1587" s="57"/>
      <c r="W1587" s="57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</row>
    <row r="1588" spans="1:36" ht="11.25" customHeight="1" x14ac:dyDescent="0.2">
      <c r="A1588" s="53" t="s">
        <v>21</v>
      </c>
      <c r="B1588" s="53" t="s">
        <v>44</v>
      </c>
      <c r="C1588" s="53" t="s">
        <v>23</v>
      </c>
      <c r="D1588" s="53" t="s">
        <v>45</v>
      </c>
      <c r="E1588" s="53" t="s">
        <v>25</v>
      </c>
      <c r="F1588" s="53" t="s">
        <v>25</v>
      </c>
      <c r="G1588" s="53" t="s">
        <v>25</v>
      </c>
      <c r="H1588" s="53" t="s">
        <v>25</v>
      </c>
      <c r="I1588" s="75">
        <v>44470</v>
      </c>
      <c r="J1588" s="76">
        <f>EFEITO!$J$1588*EFEITO!$Y$1417</f>
        <v>0</v>
      </c>
      <c r="K1588" s="76">
        <f ca="1">EFEITO!$L$1588*EFEITO!$Z$1417</f>
        <v>2408849.062434026</v>
      </c>
      <c r="L1588" s="76">
        <f>EFEITO!$N$1588*EFEITO!$AA$1417</f>
        <v>1465428.3165387479</v>
      </c>
      <c r="M1588" s="76">
        <f>$J$1588-EFEITO!$K$1588*EFEITO!$Y$1588</f>
        <v>0</v>
      </c>
      <c r="N1588" s="76">
        <f ca="1">$K$1588-EFEITO!$M$1588*EFEITO!$Z$1588</f>
        <v>144530.94374604197</v>
      </c>
      <c r="O1588" s="76">
        <f>$L$1588-EFEITO!$O$1588*EFEITO!$AA$1588</f>
        <v>87925.69899232476</v>
      </c>
      <c r="P1588" s="57"/>
      <c r="Q1588" s="57"/>
      <c r="R1588" s="57"/>
      <c r="S1588" s="57"/>
      <c r="T1588" s="57"/>
      <c r="U1588" s="57"/>
      <c r="V1588" s="57"/>
      <c r="W1588" s="57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</row>
    <row r="1589" spans="1:36" ht="11.25" customHeight="1" x14ac:dyDescent="0.2">
      <c r="A1589" s="53" t="s">
        <v>27</v>
      </c>
      <c r="B1589" s="53" t="s">
        <v>44</v>
      </c>
      <c r="C1589" s="53" t="s">
        <v>23</v>
      </c>
      <c r="D1589" s="53" t="s">
        <v>45</v>
      </c>
      <c r="E1589" s="53" t="s">
        <v>25</v>
      </c>
      <c r="F1589" s="53" t="s">
        <v>25</v>
      </c>
      <c r="G1589" s="53" t="s">
        <v>25</v>
      </c>
      <c r="H1589" s="53" t="s">
        <v>25</v>
      </c>
      <c r="I1589" s="75">
        <v>44470</v>
      </c>
      <c r="J1589" s="76">
        <f>EFEITO!$J$1589*EFEITO!$Y$1417</f>
        <v>0</v>
      </c>
      <c r="K1589" s="76">
        <f ca="1">EFEITO!$L$1589*EFEITO!$Z$1417</f>
        <v>-6378.2209381731591</v>
      </c>
      <c r="L1589" s="76">
        <f>EFEITO!$N$1589*EFEITO!$AA$1417</f>
        <v>-3880.2039188353169</v>
      </c>
      <c r="M1589" s="76">
        <f>$J$1589-EFEITO!$K$1589*EFEITO!$Y$1589</f>
        <v>0</v>
      </c>
      <c r="N1589" s="76">
        <f ca="1">$K$1589-EFEITO!$M$1589*EFEITO!$Z$1589</f>
        <v>-382.69325629039031</v>
      </c>
      <c r="O1589" s="76">
        <f>$L$1589-EFEITO!$O$1589*EFEITO!$AA$1589</f>
        <v>-232.81223513011901</v>
      </c>
      <c r="P1589" s="57"/>
      <c r="Q1589" s="57"/>
      <c r="R1589" s="57"/>
      <c r="S1589" s="57"/>
      <c r="T1589" s="57"/>
      <c r="U1589" s="57"/>
      <c r="V1589" s="57"/>
      <c r="W1589" s="57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</row>
    <row r="1590" spans="1:36" ht="11.25" customHeight="1" x14ac:dyDescent="0.2">
      <c r="A1590" s="53" t="s">
        <v>28</v>
      </c>
      <c r="B1590" s="53" t="s">
        <v>44</v>
      </c>
      <c r="C1590" s="53" t="s">
        <v>23</v>
      </c>
      <c r="D1590" s="53" t="s">
        <v>45</v>
      </c>
      <c r="E1590" s="53" t="s">
        <v>25</v>
      </c>
      <c r="F1590" s="53" t="s">
        <v>25</v>
      </c>
      <c r="G1590" s="53" t="s">
        <v>25</v>
      </c>
      <c r="H1590" s="53" t="s">
        <v>25</v>
      </c>
      <c r="I1590" s="75">
        <v>44470</v>
      </c>
      <c r="J1590" s="76">
        <f>EFEITO!$J$1590*EFEITO!$Y$1417</f>
        <v>0</v>
      </c>
      <c r="K1590" s="76">
        <f ca="1">EFEITO!$L$1590*EFEITO!$Z$1417</f>
        <v>55061.092304077312</v>
      </c>
      <c r="L1590" s="76">
        <f>EFEITO!$N$1590*EFEITO!$AA$1417</f>
        <v>33496.52955026464</v>
      </c>
      <c r="M1590" s="76">
        <f>$J$1590-EFEITO!$K$1590*EFEITO!$Y$1590</f>
        <v>0</v>
      </c>
      <c r="N1590" s="76">
        <f ca="1">$K$1590-EFEITO!$M$1590*EFEITO!$Z$1590</f>
        <v>3303.6655382446479</v>
      </c>
      <c r="O1590" s="76">
        <f>$L$1590-EFEITO!$O$1590*EFEITO!$AA$1590</f>
        <v>2009.791773015877</v>
      </c>
      <c r="P1590" s="57"/>
      <c r="Q1590" s="57"/>
      <c r="R1590" s="57"/>
      <c r="S1590" s="57"/>
      <c r="T1590" s="57"/>
      <c r="U1590" s="57"/>
      <c r="V1590" s="57"/>
      <c r="W1590" s="57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</row>
    <row r="1591" spans="1:36" ht="11.25" customHeight="1" x14ac:dyDescent="0.2">
      <c r="A1591" s="53" t="s">
        <v>28</v>
      </c>
      <c r="B1591" s="53" t="s">
        <v>44</v>
      </c>
      <c r="C1591" s="53" t="s">
        <v>23</v>
      </c>
      <c r="D1591" s="53" t="s">
        <v>45</v>
      </c>
      <c r="E1591" s="53" t="s">
        <v>25</v>
      </c>
      <c r="F1591" s="53" t="s">
        <v>25</v>
      </c>
      <c r="G1591" s="53" t="s">
        <v>25</v>
      </c>
      <c r="H1591" s="53" t="s">
        <v>25</v>
      </c>
      <c r="I1591" s="75">
        <v>44470</v>
      </c>
      <c r="J1591" s="76">
        <f>EFEITO!$J$1591*EFEITO!$Y$1417</f>
        <v>0</v>
      </c>
      <c r="K1591" s="76">
        <f ca="1">EFEITO!$L$1591*EFEITO!$Z$1417</f>
        <v>-769.92205340447083</v>
      </c>
      <c r="L1591" s="76">
        <f>EFEITO!$N$1591*EFEITO!$AA$1417</f>
        <v>-468.3836759147174</v>
      </c>
      <c r="M1591" s="76">
        <f>$J$1591-EFEITO!$K$1591*EFEITO!$Y$1591</f>
        <v>0</v>
      </c>
      <c r="N1591" s="76">
        <f ca="1">$K$1591-EFEITO!$M$1591*EFEITO!$Z$1591</f>
        <v>-46.195323204268334</v>
      </c>
      <c r="O1591" s="76">
        <f>$L$1591-EFEITO!$O$1591*EFEITO!$AA$1591</f>
        <v>-28.103020554883017</v>
      </c>
      <c r="P1591" s="57"/>
      <c r="Q1591" s="57"/>
      <c r="R1591" s="57"/>
      <c r="S1591" s="57"/>
      <c r="T1591" s="57"/>
      <c r="U1591" s="57"/>
      <c r="V1591" s="57"/>
      <c r="W1591" s="57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</row>
    <row r="1592" spans="1:36" ht="11.25" customHeight="1" x14ac:dyDescent="0.2">
      <c r="A1592" s="53" t="s">
        <v>21</v>
      </c>
      <c r="B1592" s="53" t="s">
        <v>44</v>
      </c>
      <c r="C1592" s="53" t="s">
        <v>23</v>
      </c>
      <c r="D1592" s="53" t="s">
        <v>45</v>
      </c>
      <c r="E1592" s="53" t="s">
        <v>25</v>
      </c>
      <c r="F1592" s="53" t="s">
        <v>25</v>
      </c>
      <c r="G1592" s="53" t="s">
        <v>25</v>
      </c>
      <c r="H1592" s="53" t="s">
        <v>25</v>
      </c>
      <c r="I1592" s="75">
        <v>44501</v>
      </c>
      <c r="J1592" s="76">
        <f>EFEITO!$J$1592*EFEITO!$Y$1417</f>
        <v>0</v>
      </c>
      <c r="K1592" s="76">
        <f ca="1">EFEITO!$L$1592*EFEITO!$Z$1417</f>
        <v>2656327.2078472436</v>
      </c>
      <c r="L1592" s="76">
        <f>EFEITO!$N$1592*EFEITO!$AA$1417</f>
        <v>1615982.1588980409</v>
      </c>
      <c r="M1592" s="76">
        <f>$J$1592-EFEITO!$K$1592*EFEITO!$Y$1592</f>
        <v>0</v>
      </c>
      <c r="N1592" s="76">
        <f ca="1">$K$1592-EFEITO!$M$1592*EFEITO!$Z$1592</f>
        <v>159379.632470835</v>
      </c>
      <c r="O1592" s="76">
        <f>$L$1592-EFEITO!$O$1592*EFEITO!$AA$1592</f>
        <v>96958.929533882299</v>
      </c>
      <c r="P1592" s="57"/>
      <c r="Q1592" s="57"/>
      <c r="R1592" s="57"/>
      <c r="S1592" s="57"/>
      <c r="T1592" s="57"/>
      <c r="U1592" s="57"/>
      <c r="V1592" s="57"/>
      <c r="W1592" s="57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</row>
    <row r="1593" spans="1:36" ht="11.25" customHeight="1" x14ac:dyDescent="0.2">
      <c r="A1593" s="53" t="s">
        <v>27</v>
      </c>
      <c r="B1593" s="53" t="s">
        <v>44</v>
      </c>
      <c r="C1593" s="53" t="s">
        <v>23</v>
      </c>
      <c r="D1593" s="53" t="s">
        <v>45</v>
      </c>
      <c r="E1593" s="53" t="s">
        <v>25</v>
      </c>
      <c r="F1593" s="53" t="s">
        <v>25</v>
      </c>
      <c r="G1593" s="53" t="s">
        <v>25</v>
      </c>
      <c r="H1593" s="53" t="s">
        <v>25</v>
      </c>
      <c r="I1593" s="75">
        <v>44501</v>
      </c>
      <c r="J1593" s="76">
        <f>EFEITO!$J$1593*EFEITO!$Y$1417</f>
        <v>0</v>
      </c>
      <c r="K1593" s="76">
        <f ca="1">EFEITO!$L$1593*EFEITO!$Z$1417</f>
        <v>-8305.8257882421713</v>
      </c>
      <c r="L1593" s="76">
        <f>EFEITO!$N$1593*EFEITO!$AA$1417</f>
        <v>-5052.8663219890732</v>
      </c>
      <c r="M1593" s="76">
        <f>$J$1593-EFEITO!$K$1593*EFEITO!$Y$1593</f>
        <v>0</v>
      </c>
      <c r="N1593" s="76">
        <f ca="1">$K$1593-EFEITO!$M$1593*EFEITO!$Z$1593</f>
        <v>-498.34954729453148</v>
      </c>
      <c r="O1593" s="76">
        <f>$L$1593-EFEITO!$O$1593*EFEITO!$AA$1593</f>
        <v>-303.17197931934425</v>
      </c>
      <c r="P1593" s="57"/>
      <c r="Q1593" s="57"/>
      <c r="R1593" s="57"/>
      <c r="S1593" s="57"/>
      <c r="T1593" s="57"/>
      <c r="U1593" s="57"/>
      <c r="V1593" s="57"/>
      <c r="W1593" s="57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</row>
    <row r="1594" spans="1:36" ht="11.25" customHeight="1" x14ac:dyDescent="0.2">
      <c r="A1594" s="53" t="s">
        <v>28</v>
      </c>
      <c r="B1594" s="53" t="s">
        <v>44</v>
      </c>
      <c r="C1594" s="53" t="s">
        <v>23</v>
      </c>
      <c r="D1594" s="53" t="s">
        <v>45</v>
      </c>
      <c r="E1594" s="53" t="s">
        <v>25</v>
      </c>
      <c r="F1594" s="53" t="s">
        <v>25</v>
      </c>
      <c r="G1594" s="53" t="s">
        <v>25</v>
      </c>
      <c r="H1594" s="53" t="s">
        <v>25</v>
      </c>
      <c r="I1594" s="75">
        <v>44501</v>
      </c>
      <c r="J1594" s="76">
        <f>EFEITO!$J$1594*EFEITO!$Y$1417</f>
        <v>0</v>
      </c>
      <c r="K1594" s="76">
        <f ca="1">EFEITO!$L$1594*EFEITO!$Z$1417</f>
        <v>51454.590758160244</v>
      </c>
      <c r="L1594" s="76">
        <f>EFEITO!$N$1594*EFEITO!$AA$1417</f>
        <v>31302.506864722309</v>
      </c>
      <c r="M1594" s="76">
        <f>$J$1594-EFEITO!$K$1594*EFEITO!$Y$1594</f>
        <v>0</v>
      </c>
      <c r="N1594" s="76">
        <f ca="1">$K$1594-EFEITO!$M$1594*EFEITO!$Z$1594</f>
        <v>3087.275445489613</v>
      </c>
      <c r="O1594" s="76">
        <f>$L$1594-EFEITO!$O$1594*EFEITO!$AA$1594</f>
        <v>1878.15041188334</v>
      </c>
      <c r="P1594" s="57"/>
      <c r="Q1594" s="57"/>
      <c r="R1594" s="57"/>
      <c r="S1594" s="57"/>
      <c r="T1594" s="57"/>
      <c r="U1594" s="57"/>
      <c r="V1594" s="57"/>
      <c r="W1594" s="57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</row>
    <row r="1595" spans="1:36" ht="11.25" customHeight="1" x14ac:dyDescent="0.2">
      <c r="A1595" s="53" t="s">
        <v>28</v>
      </c>
      <c r="B1595" s="53" t="s">
        <v>44</v>
      </c>
      <c r="C1595" s="53" t="s">
        <v>23</v>
      </c>
      <c r="D1595" s="53" t="s">
        <v>45</v>
      </c>
      <c r="E1595" s="53" t="s">
        <v>25</v>
      </c>
      <c r="F1595" s="53" t="s">
        <v>25</v>
      </c>
      <c r="G1595" s="53" t="s">
        <v>25</v>
      </c>
      <c r="H1595" s="53" t="s">
        <v>25</v>
      </c>
      <c r="I1595" s="75">
        <v>44501</v>
      </c>
      <c r="J1595" s="76">
        <f>EFEITO!$J$1595*EFEITO!$Y$1417</f>
        <v>0</v>
      </c>
      <c r="K1595" s="76">
        <f ca="1">EFEITO!$L$1595*EFEITO!$Z$1417</f>
        <v>228.64351888981255</v>
      </c>
      <c r="L1595" s="76">
        <f>EFEITO!$N$1595*EFEITO!$AA$1417</f>
        <v>139.0957583019464</v>
      </c>
      <c r="M1595" s="76">
        <f>$J$1595-EFEITO!$K$1595*EFEITO!$Y$1595</f>
        <v>0</v>
      </c>
      <c r="N1595" s="76">
        <f ca="1">$K$1595-EFEITO!$M$1595*EFEITO!$Z$1595</f>
        <v>13.718611133388777</v>
      </c>
      <c r="O1595" s="76">
        <f>$L$1595-EFEITO!$O$1595*EFEITO!$AA$1595</f>
        <v>8.3457454981167984</v>
      </c>
      <c r="P1595" s="57"/>
      <c r="Q1595" s="57"/>
      <c r="R1595" s="57"/>
      <c r="S1595" s="57"/>
      <c r="T1595" s="57"/>
      <c r="U1595" s="57"/>
      <c r="V1595" s="57"/>
      <c r="W1595" s="57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</row>
    <row r="1596" spans="1:36" ht="11.25" customHeight="1" x14ac:dyDescent="0.2">
      <c r="A1596" s="53" t="s">
        <v>21</v>
      </c>
      <c r="B1596" s="53" t="s">
        <v>44</v>
      </c>
      <c r="C1596" s="53" t="s">
        <v>23</v>
      </c>
      <c r="D1596" s="53" t="s">
        <v>45</v>
      </c>
      <c r="E1596" s="53" t="s">
        <v>25</v>
      </c>
      <c r="F1596" s="53" t="s">
        <v>25</v>
      </c>
      <c r="G1596" s="53" t="s">
        <v>25</v>
      </c>
      <c r="H1596" s="53" t="s">
        <v>25</v>
      </c>
      <c r="I1596" s="75">
        <v>44531</v>
      </c>
      <c r="J1596" s="76">
        <f>EFEITO!$J$1596*EFEITO!$Y$1417</f>
        <v>0</v>
      </c>
      <c r="K1596" s="76">
        <f ca="1">EFEITO!$L$1596*EFEITO!$Z$1417</f>
        <v>2506819.0773229003</v>
      </c>
      <c r="L1596" s="76">
        <f>EFEITO!$N$1596*EFEITO!$AA$1417</f>
        <v>1525028.5780199762</v>
      </c>
      <c r="M1596" s="76">
        <f>$J$1596-EFEITO!$K$1596*EFEITO!$Y$1596</f>
        <v>0</v>
      </c>
      <c r="N1596" s="76">
        <f ca="1">$K$1596-EFEITO!$M$1596*EFEITO!$Z$1596</f>
        <v>150409.14463937422</v>
      </c>
      <c r="O1596" s="76">
        <f>$L$1596-EFEITO!$O$1596*EFEITO!$AA$1596</f>
        <v>91501.714681198588</v>
      </c>
      <c r="P1596" s="57"/>
      <c r="Q1596" s="57"/>
      <c r="R1596" s="57"/>
      <c r="S1596" s="57"/>
      <c r="T1596" s="57"/>
      <c r="U1596" s="57"/>
      <c r="V1596" s="57"/>
      <c r="W1596" s="57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</row>
    <row r="1597" spans="1:36" ht="11.25" customHeight="1" x14ac:dyDescent="0.2">
      <c r="A1597" s="53" t="s">
        <v>27</v>
      </c>
      <c r="B1597" s="53" t="s">
        <v>44</v>
      </c>
      <c r="C1597" s="53" t="s">
        <v>23</v>
      </c>
      <c r="D1597" s="53" t="s">
        <v>45</v>
      </c>
      <c r="E1597" s="53" t="s">
        <v>25</v>
      </c>
      <c r="F1597" s="53" t="s">
        <v>25</v>
      </c>
      <c r="G1597" s="53" t="s">
        <v>25</v>
      </c>
      <c r="H1597" s="53" t="s">
        <v>25</v>
      </c>
      <c r="I1597" s="75">
        <v>44531</v>
      </c>
      <c r="J1597" s="76">
        <f>EFEITO!$J$1597*EFEITO!$Y$1417</f>
        <v>0</v>
      </c>
      <c r="K1597" s="76">
        <f ca="1">EFEITO!$L$1597*EFEITO!$Z$1417</f>
        <v>-9090.2130438621207</v>
      </c>
      <c r="L1597" s="76">
        <f>EFEITO!$N$1597*EFEITO!$AA$1417</f>
        <v>-5530.0499336330977</v>
      </c>
      <c r="M1597" s="76">
        <f>$J$1597-EFEITO!$K$1597*EFEITO!$Y$1597</f>
        <v>0</v>
      </c>
      <c r="N1597" s="76">
        <f ca="1">$K$1597-EFEITO!$M$1597*EFEITO!$Z$1597</f>
        <v>-545.41278263172899</v>
      </c>
      <c r="O1597" s="76">
        <f>$L$1597-EFEITO!$O$1597*EFEITO!$AA$1597</f>
        <v>-331.80299601798561</v>
      </c>
      <c r="P1597" s="57"/>
      <c r="Q1597" s="57"/>
      <c r="R1597" s="57"/>
      <c r="S1597" s="57"/>
      <c r="T1597" s="57"/>
      <c r="U1597" s="57"/>
      <c r="V1597" s="57"/>
      <c r="W1597" s="57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</row>
    <row r="1598" spans="1:36" ht="11.25" customHeight="1" x14ac:dyDescent="0.2">
      <c r="A1598" s="53" t="s">
        <v>28</v>
      </c>
      <c r="B1598" s="53" t="s">
        <v>44</v>
      </c>
      <c r="C1598" s="53" t="s">
        <v>23</v>
      </c>
      <c r="D1598" s="53" t="s">
        <v>45</v>
      </c>
      <c r="E1598" s="53" t="s">
        <v>25</v>
      </c>
      <c r="F1598" s="53" t="s">
        <v>25</v>
      </c>
      <c r="G1598" s="53" t="s">
        <v>25</v>
      </c>
      <c r="H1598" s="53" t="s">
        <v>25</v>
      </c>
      <c r="I1598" s="75">
        <v>44531</v>
      </c>
      <c r="J1598" s="76">
        <f>EFEITO!$J$1598*EFEITO!$Y$1417</f>
        <v>0</v>
      </c>
      <c r="K1598" s="76">
        <f ca="1">EFEITO!$L$1598*EFEITO!$Z$1417</f>
        <v>55348.996490107951</v>
      </c>
      <c r="L1598" s="76">
        <f>EFEITO!$N$1598*EFEITO!$AA$1417</f>
        <v>33671.6766581673</v>
      </c>
      <c r="M1598" s="76">
        <f>$J$1598-EFEITO!$K$1598*EFEITO!$Y$1598</f>
        <v>0</v>
      </c>
      <c r="N1598" s="76">
        <f ca="1">$K$1598-EFEITO!$M$1598*EFEITO!$Z$1598</f>
        <v>3320.9397894064823</v>
      </c>
      <c r="O1598" s="76">
        <f>$L$1598-EFEITO!$O$1598*EFEITO!$AA$1598</f>
        <v>2020.3005994900413</v>
      </c>
      <c r="P1598" s="57"/>
      <c r="Q1598" s="57"/>
      <c r="R1598" s="57"/>
      <c r="S1598" s="57"/>
      <c r="T1598" s="57"/>
      <c r="U1598" s="57"/>
      <c r="V1598" s="57"/>
      <c r="W1598" s="57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</row>
    <row r="1599" spans="1:36" ht="11.25" customHeight="1" x14ac:dyDescent="0.2">
      <c r="A1599" s="53" t="s">
        <v>21</v>
      </c>
      <c r="B1599" s="53" t="s">
        <v>44</v>
      </c>
      <c r="C1599" s="53" t="s">
        <v>23</v>
      </c>
      <c r="D1599" s="53" t="s">
        <v>45</v>
      </c>
      <c r="E1599" s="53" t="s">
        <v>25</v>
      </c>
      <c r="F1599" s="53" t="s">
        <v>25</v>
      </c>
      <c r="G1599" s="53" t="s">
        <v>25</v>
      </c>
      <c r="H1599" s="53" t="s">
        <v>25</v>
      </c>
      <c r="I1599" s="75">
        <v>44562</v>
      </c>
      <c r="J1599" s="76">
        <f>EFEITO!$J$1599*EFEITO!$Y$1417</f>
        <v>0</v>
      </c>
      <c r="K1599" s="76">
        <f ca="1">EFEITO!$L$1599*EFEITO!$Z$1417</f>
        <v>2229221.1145610739</v>
      </c>
      <c r="L1599" s="76">
        <f>EFEITO!$N$1599*EFEITO!$AA$1417</f>
        <v>1356151.2823900052</v>
      </c>
      <c r="M1599" s="76">
        <f>$J$1599-EFEITO!$K$1599*EFEITO!$Y$1599</f>
        <v>0</v>
      </c>
      <c r="N1599" s="76">
        <f ca="1">$K$1599-EFEITO!$M$1599*EFEITO!$Z$1599</f>
        <v>133753.26687366469</v>
      </c>
      <c r="O1599" s="76">
        <f>$L$1599-EFEITO!$O$1599*EFEITO!$AA$1599</f>
        <v>81369.076943400316</v>
      </c>
      <c r="P1599" s="57"/>
      <c r="Q1599" s="57"/>
      <c r="R1599" s="57"/>
      <c r="S1599" s="57"/>
      <c r="T1599" s="57"/>
      <c r="U1599" s="57"/>
      <c r="V1599" s="57"/>
      <c r="W1599" s="57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</row>
    <row r="1600" spans="1:36" ht="11.25" customHeight="1" x14ac:dyDescent="0.2">
      <c r="A1600" s="53" t="s">
        <v>27</v>
      </c>
      <c r="B1600" s="53" t="s">
        <v>44</v>
      </c>
      <c r="C1600" s="53" t="s">
        <v>23</v>
      </c>
      <c r="D1600" s="53" t="s">
        <v>45</v>
      </c>
      <c r="E1600" s="53" t="s">
        <v>25</v>
      </c>
      <c r="F1600" s="53" t="s">
        <v>25</v>
      </c>
      <c r="G1600" s="53" t="s">
        <v>25</v>
      </c>
      <c r="H1600" s="53" t="s">
        <v>25</v>
      </c>
      <c r="I1600" s="75">
        <v>44562</v>
      </c>
      <c r="J1600" s="76">
        <f>EFEITO!$J$1600*EFEITO!$Y$1417</f>
        <v>0</v>
      </c>
      <c r="K1600" s="76">
        <f ca="1">EFEITO!$L$1600*EFEITO!$Z$1417</f>
        <v>-9889.5321211238515</v>
      </c>
      <c r="L1600" s="76">
        <f>EFEITO!$N$1600*EFEITO!$AA$1417</f>
        <v>-6016.3173499009217</v>
      </c>
      <c r="M1600" s="76">
        <f>$J$1600-EFEITO!$K$1600*EFEITO!$Y$1600</f>
        <v>0</v>
      </c>
      <c r="N1600" s="76">
        <f ca="1">$K$1600-EFEITO!$M$1600*EFEITO!$Z$1600</f>
        <v>-593.3719272674316</v>
      </c>
      <c r="O1600" s="76">
        <f>$L$1600-EFEITO!$O$1600*EFEITO!$AA$1600</f>
        <v>-360.97904099405514</v>
      </c>
      <c r="P1600" s="57"/>
      <c r="Q1600" s="57"/>
      <c r="R1600" s="57"/>
      <c r="S1600" s="57"/>
      <c r="T1600" s="57"/>
      <c r="U1600" s="57"/>
      <c r="V1600" s="57"/>
      <c r="W1600" s="57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</row>
    <row r="1601" spans="1:36" ht="11.25" customHeight="1" x14ac:dyDescent="0.2">
      <c r="A1601" s="53" t="s">
        <v>28</v>
      </c>
      <c r="B1601" s="53" t="s">
        <v>44</v>
      </c>
      <c r="C1601" s="53" t="s">
        <v>23</v>
      </c>
      <c r="D1601" s="53" t="s">
        <v>45</v>
      </c>
      <c r="E1601" s="53" t="s">
        <v>25</v>
      </c>
      <c r="F1601" s="53" t="s">
        <v>25</v>
      </c>
      <c r="G1601" s="53" t="s">
        <v>25</v>
      </c>
      <c r="H1601" s="53" t="s">
        <v>25</v>
      </c>
      <c r="I1601" s="75">
        <v>44562</v>
      </c>
      <c r="J1601" s="76">
        <f>EFEITO!$J$1601*EFEITO!$Y$1417</f>
        <v>0</v>
      </c>
      <c r="K1601" s="76">
        <f ca="1">EFEITO!$L$1601*EFEITO!$Z$1417</f>
        <v>50329.571321337105</v>
      </c>
      <c r="L1601" s="76">
        <f>EFEITO!$N$1601*EFEITO!$AA$1417</f>
        <v>30618.098960097832</v>
      </c>
      <c r="M1601" s="76">
        <f>$J$1601-EFEITO!$K$1601*EFEITO!$Y$1601</f>
        <v>0</v>
      </c>
      <c r="N1601" s="76">
        <f ca="1">$K$1601-EFEITO!$M$1601*EFEITO!$Z$1601</f>
        <v>3019.774279280231</v>
      </c>
      <c r="O1601" s="76">
        <f>$L$1601-EFEITO!$O$1601*EFEITO!$AA$1601</f>
        <v>1837.0859376058688</v>
      </c>
      <c r="P1601" s="57"/>
      <c r="Q1601" s="57"/>
      <c r="R1601" s="57"/>
      <c r="S1601" s="57"/>
      <c r="T1601" s="57"/>
      <c r="U1601" s="57"/>
      <c r="V1601" s="57"/>
      <c r="W1601" s="57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</row>
    <row r="1602" spans="1:36" ht="11.25" customHeight="1" x14ac:dyDescent="0.2">
      <c r="A1602" s="53" t="s">
        <v>21</v>
      </c>
      <c r="B1602" s="53" t="s">
        <v>44</v>
      </c>
      <c r="C1602" s="53" t="s">
        <v>23</v>
      </c>
      <c r="D1602" s="53" t="s">
        <v>45</v>
      </c>
      <c r="E1602" s="53" t="s">
        <v>25</v>
      </c>
      <c r="F1602" s="53" t="s">
        <v>25</v>
      </c>
      <c r="G1602" s="53" t="s">
        <v>25</v>
      </c>
      <c r="H1602" s="53" t="s">
        <v>25</v>
      </c>
      <c r="I1602" s="75">
        <v>44593</v>
      </c>
      <c r="J1602" s="76">
        <f>EFEITO!$J$1602*EFEITO!$Y$1417</f>
        <v>0</v>
      </c>
      <c r="K1602" s="76">
        <f ca="1">EFEITO!$L$1602*EFEITO!$Z$1417</f>
        <v>2169952.0482705715</v>
      </c>
      <c r="L1602" s="76">
        <f>EFEITO!$N$1602*EFEITO!$AA$1417</f>
        <v>1320094.8231491956</v>
      </c>
      <c r="M1602" s="76">
        <f>$J$1602-EFEITO!$K$1602*EFEITO!$Y$1602</f>
        <v>0</v>
      </c>
      <c r="N1602" s="76">
        <f ca="1">$K$1602-EFEITO!$M$1602*EFEITO!$Z$1602</f>
        <v>130197.12289623474</v>
      </c>
      <c r="O1602" s="76">
        <f>$L$1602-EFEITO!$O$1602*EFEITO!$AA$1602</f>
        <v>79205.689388951752</v>
      </c>
      <c r="P1602" s="57"/>
      <c r="Q1602" s="57"/>
      <c r="R1602" s="57"/>
      <c r="S1602" s="57"/>
      <c r="T1602" s="57"/>
      <c r="U1602" s="57"/>
      <c r="V1602" s="57"/>
      <c r="W1602" s="57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</row>
    <row r="1603" spans="1:36" ht="11.25" customHeight="1" x14ac:dyDescent="0.2">
      <c r="A1603" s="53" t="s">
        <v>27</v>
      </c>
      <c r="B1603" s="53" t="s">
        <v>44</v>
      </c>
      <c r="C1603" s="53" t="s">
        <v>23</v>
      </c>
      <c r="D1603" s="53" t="s">
        <v>45</v>
      </c>
      <c r="E1603" s="53" t="s">
        <v>25</v>
      </c>
      <c r="F1603" s="53" t="s">
        <v>25</v>
      </c>
      <c r="G1603" s="53" t="s">
        <v>25</v>
      </c>
      <c r="H1603" s="53" t="s">
        <v>25</v>
      </c>
      <c r="I1603" s="75">
        <v>44593</v>
      </c>
      <c r="J1603" s="76">
        <f>EFEITO!$J$1603*EFEITO!$Y$1417</f>
        <v>0</v>
      </c>
      <c r="K1603" s="76">
        <f ca="1">EFEITO!$L$1603*EFEITO!$Z$1417</f>
        <v>-6082.3842218953196</v>
      </c>
      <c r="L1603" s="76">
        <f>EFEITO!$N$1603*EFEITO!$AA$1417</f>
        <v>-3700.2310397262681</v>
      </c>
      <c r="M1603" s="76">
        <f>$J$1603-EFEITO!$K$1603*EFEITO!$Y$1603</f>
        <v>0</v>
      </c>
      <c r="N1603" s="76">
        <f ca="1">$K$1603-EFEITO!$M$1603*EFEITO!$Z$1603</f>
        <v>-364.94305331371925</v>
      </c>
      <c r="O1603" s="76">
        <f>$L$1603-EFEITO!$O$1603*EFEITO!$AA$1603</f>
        <v>-222.01386238357645</v>
      </c>
      <c r="P1603" s="57"/>
      <c r="Q1603" s="57"/>
      <c r="R1603" s="57"/>
      <c r="S1603" s="57"/>
      <c r="T1603" s="57"/>
      <c r="U1603" s="57"/>
      <c r="V1603" s="57"/>
      <c r="W1603" s="57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</row>
    <row r="1604" spans="1:36" ht="11.25" customHeight="1" x14ac:dyDescent="0.2">
      <c r="A1604" s="53" t="s">
        <v>28</v>
      </c>
      <c r="B1604" s="53" t="s">
        <v>44</v>
      </c>
      <c r="C1604" s="53" t="s">
        <v>23</v>
      </c>
      <c r="D1604" s="53" t="s">
        <v>45</v>
      </c>
      <c r="E1604" s="53" t="s">
        <v>25</v>
      </c>
      <c r="F1604" s="53" t="s">
        <v>25</v>
      </c>
      <c r="G1604" s="53" t="s">
        <v>25</v>
      </c>
      <c r="H1604" s="53" t="s">
        <v>25</v>
      </c>
      <c r="I1604" s="75">
        <v>44593</v>
      </c>
      <c r="J1604" s="76">
        <f>EFEITO!$J$1604*EFEITO!$Y$1417</f>
        <v>0</v>
      </c>
      <c r="K1604" s="76">
        <f ca="1">EFEITO!$L$1604*EFEITO!$Z$1417</f>
        <v>49089.763505642761</v>
      </c>
      <c r="L1604" s="76">
        <f>EFEITO!$N$1604*EFEITO!$AA$1417</f>
        <v>29863.859307427891</v>
      </c>
      <c r="M1604" s="76">
        <f>$J$1604-EFEITO!$K$1604*EFEITO!$Y$1604</f>
        <v>0</v>
      </c>
      <c r="N1604" s="76">
        <f ca="1">$K$1604-EFEITO!$M$1604*EFEITO!$Z$1604</f>
        <v>2945.3858103385719</v>
      </c>
      <c r="O1604" s="76">
        <f>$L$1604-EFEITO!$O$1604*EFEITO!$AA$1604</f>
        <v>1791.8315584456723</v>
      </c>
      <c r="P1604" s="57"/>
      <c r="Q1604" s="57"/>
      <c r="R1604" s="57"/>
      <c r="S1604" s="57"/>
      <c r="T1604" s="57"/>
      <c r="U1604" s="57"/>
      <c r="V1604" s="57"/>
      <c r="W1604" s="57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</row>
    <row r="1605" spans="1:36" ht="11.25" customHeight="1" x14ac:dyDescent="0.2">
      <c r="A1605" s="53" t="s">
        <v>21</v>
      </c>
      <c r="B1605" s="53" t="s">
        <v>44</v>
      </c>
      <c r="C1605" s="53" t="s">
        <v>23</v>
      </c>
      <c r="D1605" s="53" t="s">
        <v>45</v>
      </c>
      <c r="E1605" s="53" t="s">
        <v>25</v>
      </c>
      <c r="F1605" s="53" t="s">
        <v>25</v>
      </c>
      <c r="G1605" s="53" t="s">
        <v>25</v>
      </c>
      <c r="H1605" s="53" t="s">
        <v>25</v>
      </c>
      <c r="I1605" s="75">
        <v>44621</v>
      </c>
      <c r="J1605" s="76">
        <f>EFEITO!$J$1605*EFEITO!$Y$1417</f>
        <v>0</v>
      </c>
      <c r="K1605" s="76">
        <f ca="1">EFEITO!$L$1605*EFEITO!$Z$1417</f>
        <v>2200287.91041356</v>
      </c>
      <c r="L1605" s="76">
        <f>EFEITO!$N$1605*EFEITO!$AA$1417</f>
        <v>1338549.7077180245</v>
      </c>
      <c r="M1605" s="76">
        <f>$J$1605-EFEITO!$K$1605*EFEITO!$Y$1605</f>
        <v>0</v>
      </c>
      <c r="N1605" s="76">
        <f ca="1">$K$1605-EFEITO!$M$1605*EFEITO!$Z$1605</f>
        <v>132017.27462481381</v>
      </c>
      <c r="O1605" s="76">
        <f>$L$1605-EFEITO!$O$1605*EFEITO!$AA$1605</f>
        <v>80312.982463081367</v>
      </c>
      <c r="P1605" s="57"/>
      <c r="Q1605" s="57"/>
      <c r="R1605" s="57"/>
      <c r="S1605" s="57"/>
      <c r="T1605" s="57"/>
      <c r="U1605" s="57"/>
      <c r="V1605" s="57"/>
      <c r="W1605" s="57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</row>
    <row r="1606" spans="1:36" ht="11.25" customHeight="1" x14ac:dyDescent="0.2">
      <c r="A1606" s="53" t="s">
        <v>27</v>
      </c>
      <c r="B1606" s="53" t="s">
        <v>44</v>
      </c>
      <c r="C1606" s="53" t="s">
        <v>23</v>
      </c>
      <c r="D1606" s="53" t="s">
        <v>45</v>
      </c>
      <c r="E1606" s="53" t="s">
        <v>25</v>
      </c>
      <c r="F1606" s="53" t="s">
        <v>25</v>
      </c>
      <c r="G1606" s="53" t="s">
        <v>25</v>
      </c>
      <c r="H1606" s="53" t="s">
        <v>25</v>
      </c>
      <c r="I1606" s="75">
        <v>44621</v>
      </c>
      <c r="J1606" s="76">
        <f>EFEITO!$J$1606*EFEITO!$Y$1417</f>
        <v>0</v>
      </c>
      <c r="K1606" s="76">
        <f ca="1">EFEITO!$L$1606*EFEITO!$Z$1417</f>
        <v>-20409.000467760452</v>
      </c>
      <c r="L1606" s="76">
        <f>EFEITO!$N$1606*EFEITO!$AA$1417</f>
        <v>-12415.857707368432</v>
      </c>
      <c r="M1606" s="76">
        <f>$J$1606-EFEITO!$K$1606*EFEITO!$Y$1606</f>
        <v>0</v>
      </c>
      <c r="N1606" s="76">
        <f ca="1">$K$1606-EFEITO!$M$1606*EFEITO!$Z$1606</f>
        <v>-1224.5400280656286</v>
      </c>
      <c r="O1606" s="76">
        <f>$L$1606-EFEITO!$O$1606*EFEITO!$AA$1606</f>
        <v>-744.95146244210628</v>
      </c>
      <c r="P1606" s="57"/>
      <c r="Q1606" s="57"/>
      <c r="R1606" s="57"/>
      <c r="S1606" s="57"/>
      <c r="T1606" s="57"/>
      <c r="U1606" s="57"/>
      <c r="V1606" s="57"/>
      <c r="W1606" s="57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</row>
    <row r="1607" spans="1:36" ht="11.25" customHeight="1" x14ac:dyDescent="0.2">
      <c r="A1607" s="53" t="s">
        <v>28</v>
      </c>
      <c r="B1607" s="53" t="s">
        <v>44</v>
      </c>
      <c r="C1607" s="53" t="s">
        <v>23</v>
      </c>
      <c r="D1607" s="53" t="s">
        <v>45</v>
      </c>
      <c r="E1607" s="53" t="s">
        <v>25</v>
      </c>
      <c r="F1607" s="53" t="s">
        <v>25</v>
      </c>
      <c r="G1607" s="53" t="s">
        <v>25</v>
      </c>
      <c r="H1607" s="53" t="s">
        <v>25</v>
      </c>
      <c r="I1607" s="75">
        <v>44621</v>
      </c>
      <c r="J1607" s="76">
        <f>EFEITO!$J$1607*EFEITO!$Y$1417</f>
        <v>0</v>
      </c>
      <c r="K1607" s="76">
        <f ca="1">EFEITO!$L$1607*EFEITO!$Z$1417</f>
        <v>52730.794889106444</v>
      </c>
      <c r="L1607" s="76">
        <f>EFEITO!$N$1607*EFEITO!$AA$1417</f>
        <v>32078.888291162762</v>
      </c>
      <c r="M1607" s="76">
        <f>$J$1607-EFEITO!$K$1607*EFEITO!$Y$1607</f>
        <v>0</v>
      </c>
      <c r="N1607" s="76">
        <f ca="1">$K$1607-EFEITO!$M$1607*EFEITO!$Z$1607</f>
        <v>3163.8476933463899</v>
      </c>
      <c r="O1607" s="76">
        <f>$L$1607-EFEITO!$O$1607*EFEITO!$AA$1607</f>
        <v>1924.7332974697638</v>
      </c>
      <c r="P1607" s="57"/>
      <c r="Q1607" s="57"/>
      <c r="R1607" s="57"/>
      <c r="S1607" s="57"/>
      <c r="T1607" s="57"/>
      <c r="U1607" s="57"/>
      <c r="V1607" s="57"/>
      <c r="W1607" s="57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</row>
    <row r="1608" spans="1:36" ht="11.25" customHeight="1" x14ac:dyDescent="0.2">
      <c r="A1608" s="53" t="s">
        <v>28</v>
      </c>
      <c r="B1608" s="53" t="s">
        <v>44</v>
      </c>
      <c r="C1608" s="53" t="s">
        <v>23</v>
      </c>
      <c r="D1608" s="53" t="s">
        <v>45</v>
      </c>
      <c r="E1608" s="53" t="s">
        <v>25</v>
      </c>
      <c r="F1608" s="53" t="s">
        <v>25</v>
      </c>
      <c r="G1608" s="53" t="s">
        <v>25</v>
      </c>
      <c r="H1608" s="53" t="s">
        <v>25</v>
      </c>
      <c r="I1608" s="75">
        <v>44621</v>
      </c>
      <c r="J1608" s="76">
        <f>EFEITO!$J$1608*EFEITO!$Y$1417</f>
        <v>0</v>
      </c>
      <c r="K1608" s="76">
        <f ca="1">EFEITO!$L$1608*EFEITO!$Z$1417</f>
        <v>3296.1996274237467</v>
      </c>
      <c r="L1608" s="76">
        <f>EFEITO!$N$1608*EFEITO!$AA$1417</f>
        <v>2005.2498707039783</v>
      </c>
      <c r="M1608" s="76">
        <f>$J$1608-EFEITO!$K$1608*EFEITO!$Y$1608</f>
        <v>0</v>
      </c>
      <c r="N1608" s="76">
        <f ca="1">$K$1608-EFEITO!$M$1608*EFEITO!$Z$1608</f>
        <v>197.77197764542507</v>
      </c>
      <c r="O1608" s="76">
        <f>$L$1608-EFEITO!$O$1608*EFEITO!$AA$1608</f>
        <v>120.31499224223876</v>
      </c>
      <c r="P1608" s="57"/>
      <c r="Q1608" s="57"/>
      <c r="R1608" s="57"/>
      <c r="S1608" s="57"/>
      <c r="T1608" s="57"/>
      <c r="U1608" s="57"/>
      <c r="V1608" s="57"/>
      <c r="W1608" s="57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</row>
    <row r="1609" spans="1:36" ht="11.25" customHeight="1" x14ac:dyDescent="0.2">
      <c r="A1609" s="53" t="s">
        <v>56</v>
      </c>
      <c r="B1609" s="53" t="s">
        <v>44</v>
      </c>
      <c r="C1609" s="53" t="s">
        <v>23</v>
      </c>
      <c r="D1609" s="53" t="s">
        <v>45</v>
      </c>
      <c r="E1609" s="53" t="s">
        <v>25</v>
      </c>
      <c r="F1609" s="53" t="s">
        <v>25</v>
      </c>
      <c r="G1609" s="53" t="s">
        <v>25</v>
      </c>
      <c r="H1609" s="53" t="s">
        <v>25</v>
      </c>
      <c r="I1609" s="75">
        <v>44652</v>
      </c>
      <c r="J1609" s="76">
        <f>EFEITO!$J$1609*EFEITO!$Y$1417</f>
        <v>0</v>
      </c>
      <c r="K1609" s="76">
        <f ca="1">EFEITO!$L$1609*EFEITO!$Z$1417</f>
        <v>2200287.91041356</v>
      </c>
      <c r="L1609" s="76">
        <f>EFEITO!$N$1609*EFEITO!$AA$1417</f>
        <v>1338549.7077180245</v>
      </c>
      <c r="M1609" s="76">
        <f>$J$1609-EFEITO!$K$1609*EFEITO!$Y$1609</f>
        <v>0</v>
      </c>
      <c r="N1609" s="76">
        <f ca="1">$K$1609-EFEITO!$M$1609*EFEITO!$Z$1609</f>
        <v>132017.27462481381</v>
      </c>
      <c r="O1609" s="76">
        <f>$L$1609-EFEITO!$O$1609*EFEITO!$AA$1609</f>
        <v>80312.982463081367</v>
      </c>
      <c r="P1609" s="57"/>
      <c r="Q1609" s="57"/>
      <c r="R1609" s="57"/>
      <c r="S1609" s="57"/>
      <c r="T1609" s="57"/>
      <c r="U1609" s="57"/>
      <c r="V1609" s="57"/>
      <c r="W1609" s="57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</row>
    <row r="1610" spans="1:36" ht="11.25" customHeight="1" x14ac:dyDescent="0.2">
      <c r="A1610" s="53" t="s">
        <v>56</v>
      </c>
      <c r="B1610" s="53" t="s">
        <v>44</v>
      </c>
      <c r="C1610" s="53" t="s">
        <v>23</v>
      </c>
      <c r="D1610" s="53" t="s">
        <v>45</v>
      </c>
      <c r="E1610" s="53" t="s">
        <v>25</v>
      </c>
      <c r="F1610" s="53" t="s">
        <v>25</v>
      </c>
      <c r="G1610" s="53" t="s">
        <v>25</v>
      </c>
      <c r="H1610" s="53" t="s">
        <v>25</v>
      </c>
      <c r="I1610" s="75">
        <v>44652</v>
      </c>
      <c r="J1610" s="76">
        <f>EFEITO!$J$1610*EFEITO!$Y$1417</f>
        <v>0</v>
      </c>
      <c r="K1610" s="76">
        <f ca="1">EFEITO!$L$1610*EFEITO!$Z$1417</f>
        <v>-20409.000467760452</v>
      </c>
      <c r="L1610" s="76">
        <f>EFEITO!$N$1610*EFEITO!$AA$1417</f>
        <v>-12415.857707368432</v>
      </c>
      <c r="M1610" s="76">
        <f>$J$1610-EFEITO!$K$1610*EFEITO!$Y$1610</f>
        <v>0</v>
      </c>
      <c r="N1610" s="76">
        <f ca="1">$K$1610-EFEITO!$M$1610*EFEITO!$Z$1610</f>
        <v>-1224.5400280656286</v>
      </c>
      <c r="O1610" s="76">
        <f>$L$1610-EFEITO!$O$1610*EFEITO!$AA$1610</f>
        <v>-744.95146244210628</v>
      </c>
      <c r="P1610" s="57"/>
      <c r="Q1610" s="57"/>
      <c r="R1610" s="57"/>
      <c r="S1610" s="57"/>
      <c r="T1610" s="57"/>
      <c r="U1610" s="57"/>
      <c r="V1610" s="57"/>
      <c r="W1610" s="57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</row>
    <row r="1611" spans="1:36" ht="11.25" customHeight="1" x14ac:dyDescent="0.2">
      <c r="A1611" s="53" t="s">
        <v>56</v>
      </c>
      <c r="B1611" s="53" t="s">
        <v>44</v>
      </c>
      <c r="C1611" s="53" t="s">
        <v>23</v>
      </c>
      <c r="D1611" s="53" t="s">
        <v>45</v>
      </c>
      <c r="E1611" s="53" t="s">
        <v>25</v>
      </c>
      <c r="F1611" s="53" t="s">
        <v>25</v>
      </c>
      <c r="G1611" s="53" t="s">
        <v>25</v>
      </c>
      <c r="H1611" s="53" t="s">
        <v>25</v>
      </c>
      <c r="I1611" s="75">
        <v>44652</v>
      </c>
      <c r="J1611" s="76">
        <f>EFEITO!$J$1611*EFEITO!$Y$1417</f>
        <v>0</v>
      </c>
      <c r="K1611" s="76">
        <f ca="1">EFEITO!$L$1611*EFEITO!$Z$1417</f>
        <v>52730.794889106444</v>
      </c>
      <c r="L1611" s="76">
        <f>EFEITO!$N$1611*EFEITO!$AA$1417</f>
        <v>32078.888291162762</v>
      </c>
      <c r="M1611" s="76">
        <f>$J$1611-EFEITO!$K$1611*EFEITO!$Y$1611</f>
        <v>0</v>
      </c>
      <c r="N1611" s="76">
        <f ca="1">$K$1611-EFEITO!$M$1611*EFEITO!$Z$1611</f>
        <v>3163.8476933463899</v>
      </c>
      <c r="O1611" s="76">
        <f>$L$1611-EFEITO!$O$1611*EFEITO!$AA$1611</f>
        <v>1924.7332974697638</v>
      </c>
      <c r="P1611" s="57"/>
      <c r="Q1611" s="57"/>
      <c r="R1611" s="57"/>
      <c r="S1611" s="57"/>
      <c r="T1611" s="57"/>
      <c r="U1611" s="57"/>
      <c r="V1611" s="57"/>
      <c r="W1611" s="57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</row>
    <row r="1612" spans="1:36" ht="11.25" customHeight="1" x14ac:dyDescent="0.2">
      <c r="A1612" s="53" t="s">
        <v>56</v>
      </c>
      <c r="B1612" s="53" t="s">
        <v>44</v>
      </c>
      <c r="C1612" s="53" t="s">
        <v>23</v>
      </c>
      <c r="D1612" s="53" t="s">
        <v>45</v>
      </c>
      <c r="E1612" s="53" t="s">
        <v>25</v>
      </c>
      <c r="F1612" s="53" t="s">
        <v>25</v>
      </c>
      <c r="G1612" s="53" t="s">
        <v>25</v>
      </c>
      <c r="H1612" s="53" t="s">
        <v>25</v>
      </c>
      <c r="I1612" s="75">
        <v>44652</v>
      </c>
      <c r="J1612" s="76">
        <f>EFEITO!$J$1612*EFEITO!$Y$1417</f>
        <v>0</v>
      </c>
      <c r="K1612" s="76">
        <f ca="1">EFEITO!$L$1612*EFEITO!$Z$1417</f>
        <v>3296.1996274237467</v>
      </c>
      <c r="L1612" s="76">
        <f>EFEITO!$N$1612*EFEITO!$AA$1417</f>
        <v>2005.2498707039783</v>
      </c>
      <c r="M1612" s="76">
        <f>$J$1612-EFEITO!$K$1612*EFEITO!$Y$1612</f>
        <v>0</v>
      </c>
      <c r="N1612" s="76">
        <f ca="1">$K$1612-EFEITO!$M$1612*EFEITO!$Z$1612</f>
        <v>197.77197764542507</v>
      </c>
      <c r="O1612" s="76">
        <f>$L$1612-EFEITO!$O$1612*EFEITO!$AA$1612</f>
        <v>120.31499224223876</v>
      </c>
      <c r="P1612" s="57"/>
      <c r="Q1612" s="57"/>
      <c r="R1612" s="57"/>
      <c r="S1612" s="57"/>
      <c r="T1612" s="57"/>
      <c r="U1612" s="57"/>
      <c r="V1612" s="57"/>
      <c r="W1612" s="57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</row>
    <row r="1613" spans="1:36" ht="11.25" customHeight="1" x14ac:dyDescent="0.2">
      <c r="A1613" s="53" t="s">
        <v>21</v>
      </c>
      <c r="B1613" s="53" t="s">
        <v>39</v>
      </c>
      <c r="C1613" s="53" t="s">
        <v>37</v>
      </c>
      <c r="D1613" s="53" t="s">
        <v>43</v>
      </c>
      <c r="E1613" s="53" t="s">
        <v>25</v>
      </c>
      <c r="F1613" s="53" t="s">
        <v>25</v>
      </c>
      <c r="G1613" s="53" t="s">
        <v>25</v>
      </c>
      <c r="H1613" s="53" t="s">
        <v>36</v>
      </c>
      <c r="I1613" s="75">
        <v>44317</v>
      </c>
      <c r="J1613" s="76">
        <f>EFEITO!$J$1613*EFEITO!$Y$1613</f>
        <v>0</v>
      </c>
      <c r="K1613" s="76">
        <f ca="1">EFEITO!$L$1613*EFEITO!$Z$1613</f>
        <v>55147.877513748514</v>
      </c>
      <c r="L1613" s="76">
        <f>EFEITO!$N$1613*EFEITO!$AA$1613</f>
        <v>41370.94766636064</v>
      </c>
      <c r="M1613" s="76">
        <f>$J$1613-EFEITO!$K$1613*EFEITO!$Y$1613</f>
        <v>0</v>
      </c>
      <c r="N1613" s="76">
        <f ca="1">$K$1613-EFEITO!$M$1613*EFEITO!$Z$1613</f>
        <v>0</v>
      </c>
      <c r="O1613" s="76">
        <f>$L$1613-EFEITO!$O$1613*EFEITO!$AA$1613</f>
        <v>0</v>
      </c>
      <c r="P1613" s="57"/>
      <c r="Q1613" s="57"/>
      <c r="R1613" s="57"/>
      <c r="S1613" s="57"/>
      <c r="T1613" s="57"/>
      <c r="U1613" s="57"/>
      <c r="V1613" s="57"/>
      <c r="W1613" s="57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</row>
    <row r="1614" spans="1:36" ht="11.25" customHeight="1" x14ac:dyDescent="0.2">
      <c r="A1614" s="53" t="s">
        <v>27</v>
      </c>
      <c r="B1614" s="53" t="s">
        <v>39</v>
      </c>
      <c r="C1614" s="53" t="s">
        <v>37</v>
      </c>
      <c r="D1614" s="53" t="s">
        <v>43</v>
      </c>
      <c r="E1614" s="53" t="s">
        <v>25</v>
      </c>
      <c r="F1614" s="53" t="s">
        <v>25</v>
      </c>
      <c r="G1614" s="53" t="s">
        <v>25</v>
      </c>
      <c r="H1614" s="53" t="s">
        <v>36</v>
      </c>
      <c r="I1614" s="75">
        <v>44317</v>
      </c>
      <c r="J1614" s="76">
        <f>EFEITO!$J$1614*EFEITO!$Y$1614</f>
        <v>0</v>
      </c>
      <c r="K1614" s="76">
        <f ca="1">EFEITO!$L$1614*EFEITO!$Z$1614</f>
        <v>3089.8743289839958</v>
      </c>
      <c r="L1614" s="76">
        <f>EFEITO!$N$1614*EFEITO!$AA$1614</f>
        <v>2317.9682505126234</v>
      </c>
      <c r="M1614" s="76">
        <f>$J$1614-EFEITO!$K$1614*EFEITO!$Y$1614</f>
        <v>0</v>
      </c>
      <c r="N1614" s="76">
        <f ca="1">$K$1614-EFEITO!$M$1614*EFEITO!$Z$1614</f>
        <v>0</v>
      </c>
      <c r="O1614" s="76">
        <f>$L$1614-EFEITO!$O$1614*EFEITO!$AA$1614</f>
        <v>0</v>
      </c>
      <c r="P1614" s="57"/>
      <c r="Q1614" s="57"/>
      <c r="R1614" s="57"/>
      <c r="S1614" s="57"/>
      <c r="T1614" s="57"/>
      <c r="U1614" s="57"/>
      <c r="V1614" s="57"/>
      <c r="W1614" s="57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</row>
    <row r="1615" spans="1:36" ht="11.25" customHeight="1" x14ac:dyDescent="0.2">
      <c r="A1615" s="53" t="s">
        <v>28</v>
      </c>
      <c r="B1615" s="53" t="s">
        <v>39</v>
      </c>
      <c r="C1615" s="53" t="s">
        <v>37</v>
      </c>
      <c r="D1615" s="53" t="s">
        <v>43</v>
      </c>
      <c r="E1615" s="53" t="s">
        <v>25</v>
      </c>
      <c r="F1615" s="53" t="s">
        <v>25</v>
      </c>
      <c r="G1615" s="53" t="s">
        <v>25</v>
      </c>
      <c r="H1615" s="53" t="s">
        <v>36</v>
      </c>
      <c r="I1615" s="75">
        <v>44317</v>
      </c>
      <c r="J1615" s="76">
        <f>EFEITO!$J$1615*EFEITO!$Y$1615</f>
        <v>0</v>
      </c>
      <c r="K1615" s="76">
        <f ca="1">EFEITO!$L$1615*EFEITO!$Z$1615</f>
        <v>95.417805924877172</v>
      </c>
      <c r="L1615" s="76">
        <f>EFEITO!$N$1615*EFEITO!$AA$1615</f>
        <v>71.580725012905916</v>
      </c>
      <c r="M1615" s="76">
        <f>$J$1615-EFEITO!$K$1615*EFEITO!$Y$1615</f>
        <v>0</v>
      </c>
      <c r="N1615" s="76">
        <f ca="1">$K$1615-EFEITO!$M$1615*EFEITO!$Z$1615</f>
        <v>0</v>
      </c>
      <c r="O1615" s="76">
        <f>$L$1615-EFEITO!$O$1615*EFEITO!$AA$1615</f>
        <v>0</v>
      </c>
      <c r="P1615" s="57"/>
      <c r="Q1615" s="57"/>
      <c r="R1615" s="57"/>
      <c r="S1615" s="57"/>
      <c r="T1615" s="57"/>
      <c r="U1615" s="57"/>
      <c r="V1615" s="57"/>
      <c r="W1615" s="57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</row>
    <row r="1616" spans="1:36" ht="11.25" customHeight="1" x14ac:dyDescent="0.2">
      <c r="A1616" s="53" t="s">
        <v>21</v>
      </c>
      <c r="B1616" s="53" t="s">
        <v>39</v>
      </c>
      <c r="C1616" s="53" t="s">
        <v>37</v>
      </c>
      <c r="D1616" s="53" t="s">
        <v>43</v>
      </c>
      <c r="E1616" s="53" t="s">
        <v>25</v>
      </c>
      <c r="F1616" s="53" t="s">
        <v>25</v>
      </c>
      <c r="G1616" s="53" t="s">
        <v>25</v>
      </c>
      <c r="H1616" s="53" t="s">
        <v>36</v>
      </c>
      <c r="I1616" s="75">
        <v>44348</v>
      </c>
      <c r="J1616" s="76">
        <f>EFEITO!$J$1616*EFEITO!$Y$1616</f>
        <v>0</v>
      </c>
      <c r="K1616" s="76">
        <f ca="1">EFEITO!$L$1616*EFEITO!$Z$1616</f>
        <v>53470.475857319143</v>
      </c>
      <c r="L1616" s="76">
        <f>EFEITO!$N$1616*EFEITO!$AA$1616</f>
        <v>40112.591057326943</v>
      </c>
      <c r="M1616" s="76">
        <f>$J$1616-EFEITO!$K$1616*EFEITO!$Y$1616</f>
        <v>0</v>
      </c>
      <c r="N1616" s="76">
        <f ca="1">$K$1616-EFEITO!$M$1616*EFEITO!$Z$1616</f>
        <v>0</v>
      </c>
      <c r="O1616" s="76">
        <f>$L$1616-EFEITO!$O$1616*EFEITO!$AA$1616</f>
        <v>0</v>
      </c>
      <c r="P1616" s="57"/>
      <c r="Q1616" s="57"/>
      <c r="R1616" s="57"/>
      <c r="S1616" s="57"/>
      <c r="T1616" s="57"/>
      <c r="U1616" s="57"/>
      <c r="V1616" s="57"/>
      <c r="W1616" s="57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</row>
    <row r="1617" spans="1:36" ht="11.25" customHeight="1" x14ac:dyDescent="0.2">
      <c r="A1617" s="53" t="s">
        <v>27</v>
      </c>
      <c r="B1617" s="53" t="s">
        <v>39</v>
      </c>
      <c r="C1617" s="53" t="s">
        <v>37</v>
      </c>
      <c r="D1617" s="53" t="s">
        <v>43</v>
      </c>
      <c r="E1617" s="53" t="s">
        <v>25</v>
      </c>
      <c r="F1617" s="53" t="s">
        <v>25</v>
      </c>
      <c r="G1617" s="53" t="s">
        <v>25</v>
      </c>
      <c r="H1617" s="53" t="s">
        <v>36</v>
      </c>
      <c r="I1617" s="75">
        <v>44348</v>
      </c>
      <c r="J1617" s="76">
        <f>EFEITO!$J$1617*EFEITO!$Y$1617</f>
        <v>0</v>
      </c>
      <c r="K1617" s="76">
        <f ca="1">EFEITO!$L$1617*EFEITO!$Z$1617</f>
        <v>-1246.2143743521838</v>
      </c>
      <c r="L1617" s="76">
        <f>EFEITO!$N$1617*EFEITO!$AA$1617</f>
        <v>-934.88765092613471</v>
      </c>
      <c r="M1617" s="76">
        <f>$J$1617-EFEITO!$K$1617*EFEITO!$Y$1617</f>
        <v>0</v>
      </c>
      <c r="N1617" s="76">
        <f ca="1">$K$1617-EFEITO!$M$1617*EFEITO!$Z$1617</f>
        <v>0</v>
      </c>
      <c r="O1617" s="76">
        <f>$L$1617-EFEITO!$O$1617*EFEITO!$AA$1617</f>
        <v>0</v>
      </c>
      <c r="P1617" s="57"/>
      <c r="Q1617" s="57"/>
      <c r="R1617" s="57"/>
      <c r="S1617" s="57"/>
      <c r="T1617" s="57"/>
      <c r="U1617" s="57"/>
      <c r="V1617" s="57"/>
      <c r="W1617" s="57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</row>
    <row r="1618" spans="1:36" ht="11.25" customHeight="1" x14ac:dyDescent="0.2">
      <c r="A1618" s="53" t="s">
        <v>28</v>
      </c>
      <c r="B1618" s="53" t="s">
        <v>39</v>
      </c>
      <c r="C1618" s="53" t="s">
        <v>37</v>
      </c>
      <c r="D1618" s="53" t="s">
        <v>43</v>
      </c>
      <c r="E1618" s="53" t="s">
        <v>25</v>
      </c>
      <c r="F1618" s="53" t="s">
        <v>25</v>
      </c>
      <c r="G1618" s="53" t="s">
        <v>25</v>
      </c>
      <c r="H1618" s="53" t="s">
        <v>36</v>
      </c>
      <c r="I1618" s="75">
        <v>44348</v>
      </c>
      <c r="J1618" s="76">
        <f>EFEITO!$J$1618*EFEITO!$Y$1618</f>
        <v>0</v>
      </c>
      <c r="K1618" s="76">
        <f ca="1">EFEITO!$L$1618*EFEITO!$Z$1618</f>
        <v>88.550615346950408</v>
      </c>
      <c r="L1618" s="76">
        <f>EFEITO!$N$1618*EFEITO!$AA$1618</f>
        <v>66.429081924855865</v>
      </c>
      <c r="M1618" s="76">
        <f>$J$1618-EFEITO!$K$1618*EFEITO!$Y$1618</f>
        <v>0</v>
      </c>
      <c r="N1618" s="76">
        <f ca="1">$K$1618-EFEITO!$M$1618*EFEITO!$Z$1618</f>
        <v>0</v>
      </c>
      <c r="O1618" s="76">
        <f>$L$1618-EFEITO!$O$1618*EFEITO!$AA$1618</f>
        <v>0</v>
      </c>
      <c r="P1618" s="57"/>
      <c r="Q1618" s="57"/>
      <c r="R1618" s="57"/>
      <c r="S1618" s="57"/>
      <c r="T1618" s="57"/>
      <c r="U1618" s="57"/>
      <c r="V1618" s="57"/>
      <c r="W1618" s="57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</row>
    <row r="1619" spans="1:36" ht="11.25" customHeight="1" x14ac:dyDescent="0.2">
      <c r="A1619" s="53" t="s">
        <v>21</v>
      </c>
      <c r="B1619" s="53" t="s">
        <v>39</v>
      </c>
      <c r="C1619" s="53" t="s">
        <v>37</v>
      </c>
      <c r="D1619" s="53" t="s">
        <v>43</v>
      </c>
      <c r="E1619" s="53" t="s">
        <v>25</v>
      </c>
      <c r="F1619" s="53" t="s">
        <v>25</v>
      </c>
      <c r="G1619" s="53" t="s">
        <v>25</v>
      </c>
      <c r="H1619" s="53" t="s">
        <v>36</v>
      </c>
      <c r="I1619" s="75">
        <v>44378</v>
      </c>
      <c r="J1619" s="76">
        <f>EFEITO!$J$1619*EFEITO!$Y$1619</f>
        <v>0</v>
      </c>
      <c r="K1619" s="76">
        <f ca="1">EFEITO!$L$1619*EFEITO!$Z$1619</f>
        <v>46358.596436168358</v>
      </c>
      <c r="L1619" s="76">
        <f>EFEITO!$N$1619*EFEITO!$AA$1619</f>
        <v>34777.386791876379</v>
      </c>
      <c r="M1619" s="76">
        <f>$J$1619-EFEITO!$K$1619*EFEITO!$Y$1619</f>
        <v>0</v>
      </c>
      <c r="N1619" s="76">
        <f ca="1">$K$1619-EFEITO!$M$1619*EFEITO!$Z$1619</f>
        <v>0</v>
      </c>
      <c r="O1619" s="76">
        <f>$L$1619-EFEITO!$O$1619*EFEITO!$AA$1619</f>
        <v>0</v>
      </c>
      <c r="P1619" s="57"/>
      <c r="Q1619" s="57"/>
      <c r="R1619" s="57"/>
      <c r="S1619" s="57"/>
      <c r="T1619" s="57"/>
      <c r="U1619" s="57"/>
      <c r="V1619" s="57"/>
      <c r="W1619" s="57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</row>
    <row r="1620" spans="1:36" ht="11.25" customHeight="1" x14ac:dyDescent="0.2">
      <c r="A1620" s="53" t="s">
        <v>27</v>
      </c>
      <c r="B1620" s="53" t="s">
        <v>39</v>
      </c>
      <c r="C1620" s="53" t="s">
        <v>37</v>
      </c>
      <c r="D1620" s="53" t="s">
        <v>43</v>
      </c>
      <c r="E1620" s="53" t="s">
        <v>25</v>
      </c>
      <c r="F1620" s="53" t="s">
        <v>25</v>
      </c>
      <c r="G1620" s="53" t="s">
        <v>25</v>
      </c>
      <c r="H1620" s="53" t="s">
        <v>36</v>
      </c>
      <c r="I1620" s="75">
        <v>44378</v>
      </c>
      <c r="J1620" s="76">
        <f>EFEITO!$J$1620*EFEITO!$Y$1620</f>
        <v>0</v>
      </c>
      <c r="K1620" s="76">
        <f ca="1">EFEITO!$L$1620*EFEITO!$Z$1620</f>
        <v>-852.97735599511407</v>
      </c>
      <c r="L1620" s="76">
        <f>EFEITO!$N$1620*EFEITO!$AA$1620</f>
        <v>-639.88829935779518</v>
      </c>
      <c r="M1620" s="76">
        <f>$J$1620-EFEITO!$K$1620*EFEITO!$Y$1620</f>
        <v>0</v>
      </c>
      <c r="N1620" s="76">
        <f ca="1">$K$1620-EFEITO!$M$1620*EFEITO!$Z$1620</f>
        <v>0</v>
      </c>
      <c r="O1620" s="76">
        <f>$L$1620-EFEITO!$O$1620*EFEITO!$AA$1620</f>
        <v>0</v>
      </c>
      <c r="P1620" s="57"/>
      <c r="Q1620" s="57"/>
      <c r="R1620" s="57"/>
      <c r="S1620" s="57"/>
      <c r="T1620" s="57"/>
      <c r="U1620" s="57"/>
      <c r="V1620" s="57"/>
      <c r="W1620" s="57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</row>
    <row r="1621" spans="1:36" ht="11.25" customHeight="1" x14ac:dyDescent="0.2">
      <c r="A1621" s="53" t="s">
        <v>28</v>
      </c>
      <c r="B1621" s="53" t="s">
        <v>39</v>
      </c>
      <c r="C1621" s="53" t="s">
        <v>37</v>
      </c>
      <c r="D1621" s="53" t="s">
        <v>43</v>
      </c>
      <c r="E1621" s="53" t="s">
        <v>25</v>
      </c>
      <c r="F1621" s="53" t="s">
        <v>25</v>
      </c>
      <c r="G1621" s="53" t="s">
        <v>25</v>
      </c>
      <c r="H1621" s="53" t="s">
        <v>36</v>
      </c>
      <c r="I1621" s="75">
        <v>44378</v>
      </c>
      <c r="J1621" s="76">
        <f>EFEITO!$J$1621*EFEITO!$Y$1621</f>
        <v>0</v>
      </c>
      <c r="K1621" s="76">
        <f ca="1">EFEITO!$L$1621*EFEITO!$Z$1621</f>
        <v>96.863530257072284</v>
      </c>
      <c r="L1621" s="76">
        <f>EFEITO!$N$1621*EFEITO!$AA$1621</f>
        <v>72.665281452495393</v>
      </c>
      <c r="M1621" s="76">
        <f>$J$1621-EFEITO!$K$1621*EFEITO!$Y$1621</f>
        <v>0</v>
      </c>
      <c r="N1621" s="76">
        <f ca="1">$K$1621-EFEITO!$M$1621*EFEITO!$Z$1621</f>
        <v>0</v>
      </c>
      <c r="O1621" s="76">
        <f>$L$1621-EFEITO!$O$1621*EFEITO!$AA$1621</f>
        <v>0</v>
      </c>
      <c r="P1621" s="57"/>
      <c r="Q1621" s="57"/>
      <c r="R1621" s="57"/>
      <c r="S1621" s="57"/>
      <c r="T1621" s="57"/>
      <c r="U1621" s="57"/>
      <c r="V1621" s="57"/>
      <c r="W1621" s="57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</row>
    <row r="1622" spans="1:36" ht="11.25" customHeight="1" x14ac:dyDescent="0.2">
      <c r="A1622" s="53" t="s">
        <v>21</v>
      </c>
      <c r="B1622" s="53" t="s">
        <v>39</v>
      </c>
      <c r="C1622" s="53" t="s">
        <v>37</v>
      </c>
      <c r="D1622" s="53" t="s">
        <v>43</v>
      </c>
      <c r="E1622" s="53" t="s">
        <v>25</v>
      </c>
      <c r="F1622" s="53" t="s">
        <v>25</v>
      </c>
      <c r="G1622" s="53" t="s">
        <v>25</v>
      </c>
      <c r="H1622" s="53" t="s">
        <v>36</v>
      </c>
      <c r="I1622" s="75">
        <v>44409</v>
      </c>
      <c r="J1622" s="76">
        <f>EFEITO!$J$1622*EFEITO!$Y$1622</f>
        <v>0</v>
      </c>
      <c r="K1622" s="76">
        <f ca="1">EFEITO!$L$1622*EFEITO!$Z$1622</f>
        <v>48681.152575839798</v>
      </c>
      <c r="L1622" s="76">
        <f>EFEITO!$N$1622*EFEITO!$AA$1622</f>
        <v>36519.726712076881</v>
      </c>
      <c r="M1622" s="76">
        <f>$J$1622-EFEITO!$K$1622*EFEITO!$Y$1622</f>
        <v>0</v>
      </c>
      <c r="N1622" s="76">
        <f ca="1">$K$1622-EFEITO!$M$1622*EFEITO!$Z$1622</f>
        <v>0</v>
      </c>
      <c r="O1622" s="76">
        <f>$L$1622-EFEITO!$O$1622*EFEITO!$AA$1622</f>
        <v>0</v>
      </c>
      <c r="P1622" s="57"/>
      <c r="Q1622" s="57"/>
      <c r="R1622" s="57"/>
      <c r="S1622" s="57"/>
      <c r="T1622" s="57"/>
      <c r="U1622" s="57"/>
      <c r="V1622" s="57"/>
      <c r="W1622" s="57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</row>
    <row r="1623" spans="1:36" ht="11.25" customHeight="1" x14ac:dyDescent="0.2">
      <c r="A1623" s="53" t="s">
        <v>27</v>
      </c>
      <c r="B1623" s="53" t="s">
        <v>39</v>
      </c>
      <c r="C1623" s="53" t="s">
        <v>37</v>
      </c>
      <c r="D1623" s="53" t="s">
        <v>43</v>
      </c>
      <c r="E1623" s="53" t="s">
        <v>25</v>
      </c>
      <c r="F1623" s="53" t="s">
        <v>25</v>
      </c>
      <c r="G1623" s="53" t="s">
        <v>25</v>
      </c>
      <c r="H1623" s="53" t="s">
        <v>36</v>
      </c>
      <c r="I1623" s="75">
        <v>44409</v>
      </c>
      <c r="J1623" s="76">
        <f>EFEITO!$J$1623*EFEITO!$Y$1623</f>
        <v>0</v>
      </c>
      <c r="K1623" s="76">
        <f ca="1">EFEITO!$L$1623*EFEITO!$Z$1623</f>
        <v>122.1637060704867</v>
      </c>
      <c r="L1623" s="76">
        <f>EFEITO!$N$1623*EFEITO!$AA$1623</f>
        <v>91.645019145311366</v>
      </c>
      <c r="M1623" s="76">
        <f>$J$1623-EFEITO!$K$1623*EFEITO!$Y$1623</f>
        <v>0</v>
      </c>
      <c r="N1623" s="76">
        <f ca="1">$K$1623-EFEITO!$M$1623*EFEITO!$Z$1623</f>
        <v>0</v>
      </c>
      <c r="O1623" s="76">
        <f>$L$1623-EFEITO!$O$1623*EFEITO!$AA$1623</f>
        <v>0</v>
      </c>
      <c r="P1623" s="57"/>
      <c r="Q1623" s="57"/>
      <c r="R1623" s="57"/>
      <c r="S1623" s="57"/>
      <c r="T1623" s="57"/>
      <c r="U1623" s="57"/>
      <c r="V1623" s="57"/>
      <c r="W1623" s="57"/>
      <c r="X1623" s="4"/>
      <c r="Y1623" s="4"/>
      <c r="Z1623" s="4"/>
      <c r="AA1623" s="4"/>
      <c r="AB1623" s="4"/>
      <c r="AC1623" s="4"/>
      <c r="AD1623" s="4"/>
      <c r="AE1623" s="4"/>
      <c r="AF1623" s="4"/>
      <c r="AG1623" s="4"/>
      <c r="AH1623" s="4"/>
      <c r="AI1623" s="4"/>
      <c r="AJ1623" s="4"/>
    </row>
    <row r="1624" spans="1:36" ht="11.25" customHeight="1" x14ac:dyDescent="0.2">
      <c r="A1624" s="53" t="s">
        <v>28</v>
      </c>
      <c r="B1624" s="53" t="s">
        <v>39</v>
      </c>
      <c r="C1624" s="53" t="s">
        <v>37</v>
      </c>
      <c r="D1624" s="53" t="s">
        <v>43</v>
      </c>
      <c r="E1624" s="53" t="s">
        <v>25</v>
      </c>
      <c r="F1624" s="53" t="s">
        <v>25</v>
      </c>
      <c r="G1624" s="53" t="s">
        <v>25</v>
      </c>
      <c r="H1624" s="53" t="s">
        <v>36</v>
      </c>
      <c r="I1624" s="75">
        <v>44409</v>
      </c>
      <c r="J1624" s="76">
        <f>EFEITO!$J$1624*EFEITO!$Y$1624</f>
        <v>0</v>
      </c>
      <c r="K1624" s="76">
        <f ca="1">EFEITO!$L$1624*EFEITO!$Z$1624</f>
        <v>252.27889596804644</v>
      </c>
      <c r="L1624" s="76">
        <f>EFEITO!$N$1624*EFEITO!$AA$1624</f>
        <v>189.25509870836487</v>
      </c>
      <c r="M1624" s="76">
        <f>$J$1624-EFEITO!$K$1624*EFEITO!$Y$1624</f>
        <v>0</v>
      </c>
      <c r="N1624" s="76">
        <f ca="1">$K$1624-EFEITO!$M$1624*EFEITO!$Z$1624</f>
        <v>0</v>
      </c>
      <c r="O1624" s="76">
        <f>$L$1624-EFEITO!$O$1624*EFEITO!$AA$1624</f>
        <v>0</v>
      </c>
      <c r="P1624" s="57"/>
      <c r="Q1624" s="57"/>
      <c r="R1624" s="57"/>
      <c r="S1624" s="57"/>
      <c r="T1624" s="57"/>
      <c r="U1624" s="57"/>
      <c r="V1624" s="57"/>
      <c r="W1624" s="57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</row>
    <row r="1625" spans="1:36" ht="11.25" customHeight="1" x14ac:dyDescent="0.2">
      <c r="A1625" s="53" t="s">
        <v>21</v>
      </c>
      <c r="B1625" s="53" t="s">
        <v>39</v>
      </c>
      <c r="C1625" s="53" t="s">
        <v>37</v>
      </c>
      <c r="D1625" s="53" t="s">
        <v>43</v>
      </c>
      <c r="E1625" s="53" t="s">
        <v>25</v>
      </c>
      <c r="F1625" s="53" t="s">
        <v>25</v>
      </c>
      <c r="G1625" s="53" t="s">
        <v>25</v>
      </c>
      <c r="H1625" s="53" t="s">
        <v>36</v>
      </c>
      <c r="I1625" s="75">
        <v>44440</v>
      </c>
      <c r="J1625" s="76">
        <f>EFEITO!$J$1625*EFEITO!$Y$1625</f>
        <v>0</v>
      </c>
      <c r="K1625" s="76">
        <f ca="1">EFEITO!$L$1625*EFEITO!$Z$1625</f>
        <v>51468.147657228925</v>
      </c>
      <c r="L1625" s="76">
        <f>EFEITO!$N$1625*EFEITO!$AA$1625</f>
        <v>38610.480388495511</v>
      </c>
      <c r="M1625" s="76">
        <f>$J$1625-EFEITO!$K$1625*EFEITO!$Y$1625</f>
        <v>0</v>
      </c>
      <c r="N1625" s="76">
        <f ca="1">$K$1625-EFEITO!$M$1625*EFEITO!$Z$1625</f>
        <v>0</v>
      </c>
      <c r="O1625" s="76">
        <f>$L$1625-EFEITO!$O$1625*EFEITO!$AA$1625</f>
        <v>0</v>
      </c>
      <c r="P1625" s="57"/>
      <c r="Q1625" s="57"/>
      <c r="R1625" s="57"/>
      <c r="S1625" s="57"/>
      <c r="T1625" s="57"/>
      <c r="U1625" s="57"/>
      <c r="V1625" s="57"/>
      <c r="W1625" s="57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</row>
    <row r="1626" spans="1:36" ht="11.25" customHeight="1" x14ac:dyDescent="0.2">
      <c r="A1626" s="53" t="s">
        <v>28</v>
      </c>
      <c r="B1626" s="53" t="s">
        <v>39</v>
      </c>
      <c r="C1626" s="53" t="s">
        <v>37</v>
      </c>
      <c r="D1626" s="53" t="s">
        <v>43</v>
      </c>
      <c r="E1626" s="53" t="s">
        <v>25</v>
      </c>
      <c r="F1626" s="53" t="s">
        <v>25</v>
      </c>
      <c r="G1626" s="53" t="s">
        <v>25</v>
      </c>
      <c r="H1626" s="53" t="s">
        <v>36</v>
      </c>
      <c r="I1626" s="75">
        <v>44440</v>
      </c>
      <c r="J1626" s="76">
        <f>EFEITO!$J$1626*EFEITO!$Y$1626</f>
        <v>0</v>
      </c>
      <c r="K1626" s="76">
        <f ca="1">EFEITO!$L$1626*EFEITO!$Z$1626</f>
        <v>155.0539346279254</v>
      </c>
      <c r="L1626" s="76">
        <f>EFEITO!$N$1626*EFEITO!$AA$1626</f>
        <v>116.3186781459721</v>
      </c>
      <c r="M1626" s="76">
        <f>$J$1626-EFEITO!$K$1626*EFEITO!$Y$1626</f>
        <v>0</v>
      </c>
      <c r="N1626" s="76">
        <f ca="1">$K$1626-EFEITO!$M$1626*EFEITO!$Z$1626</f>
        <v>0</v>
      </c>
      <c r="O1626" s="76">
        <f>$L$1626-EFEITO!$O$1626*EFEITO!$AA$1626</f>
        <v>0</v>
      </c>
      <c r="P1626" s="57"/>
      <c r="Q1626" s="57"/>
      <c r="R1626" s="57"/>
      <c r="S1626" s="57"/>
      <c r="T1626" s="57"/>
      <c r="U1626" s="57"/>
      <c r="V1626" s="57"/>
      <c r="W1626" s="57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</row>
    <row r="1627" spans="1:36" ht="11.25" customHeight="1" x14ac:dyDescent="0.2">
      <c r="A1627" s="53" t="s">
        <v>21</v>
      </c>
      <c r="B1627" s="53" t="s">
        <v>39</v>
      </c>
      <c r="C1627" s="53" t="s">
        <v>37</v>
      </c>
      <c r="D1627" s="53" t="s">
        <v>43</v>
      </c>
      <c r="E1627" s="53" t="s">
        <v>25</v>
      </c>
      <c r="F1627" s="53" t="s">
        <v>25</v>
      </c>
      <c r="G1627" s="53" t="s">
        <v>25</v>
      </c>
      <c r="H1627" s="53" t="s">
        <v>36</v>
      </c>
      <c r="I1627" s="75">
        <v>44470</v>
      </c>
      <c r="J1627" s="76">
        <f>EFEITO!$J$1627*EFEITO!$Y$1627</f>
        <v>0</v>
      </c>
      <c r="K1627" s="76">
        <f ca="1">EFEITO!$L$1627*EFEITO!$Z$1627</f>
        <v>57409.351800384713</v>
      </c>
      <c r="L1627" s="76">
        <f>EFEITO!$N$1627*EFEITO!$AA$1627</f>
        <v>43067.46507698849</v>
      </c>
      <c r="M1627" s="76">
        <f>$J$1627-EFEITO!$K$1627*EFEITO!$Y$1627</f>
        <v>0</v>
      </c>
      <c r="N1627" s="76">
        <f ca="1">$K$1627-EFEITO!$M$1627*EFEITO!$Z$1627</f>
        <v>0</v>
      </c>
      <c r="O1627" s="76">
        <f>$L$1627-EFEITO!$O$1627*EFEITO!$AA$1627</f>
        <v>0</v>
      </c>
      <c r="P1627" s="57"/>
      <c r="Q1627" s="57"/>
      <c r="R1627" s="57"/>
      <c r="S1627" s="57"/>
      <c r="T1627" s="57"/>
      <c r="U1627" s="57"/>
      <c r="V1627" s="57"/>
      <c r="W1627" s="57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</row>
    <row r="1628" spans="1:36" ht="11.25" customHeight="1" x14ac:dyDescent="0.2">
      <c r="A1628" s="53" t="s">
        <v>28</v>
      </c>
      <c r="B1628" s="53" t="s">
        <v>39</v>
      </c>
      <c r="C1628" s="53" t="s">
        <v>37</v>
      </c>
      <c r="D1628" s="53" t="s">
        <v>43</v>
      </c>
      <c r="E1628" s="53" t="s">
        <v>25</v>
      </c>
      <c r="F1628" s="53" t="s">
        <v>25</v>
      </c>
      <c r="G1628" s="53" t="s">
        <v>25</v>
      </c>
      <c r="H1628" s="53" t="s">
        <v>36</v>
      </c>
      <c r="I1628" s="75">
        <v>44470</v>
      </c>
      <c r="J1628" s="76">
        <f>EFEITO!$J$1628*EFEITO!$Y$1628</f>
        <v>0</v>
      </c>
      <c r="K1628" s="76">
        <f ca="1">EFEITO!$L$1628*EFEITO!$Z$1628</f>
        <v>261.67610412731466</v>
      </c>
      <c r="L1628" s="76">
        <f>EFEITO!$N$1628*EFEITO!$AA$1628</f>
        <v>196.30471556569651</v>
      </c>
      <c r="M1628" s="76">
        <f>$J$1628-EFEITO!$K$1628*EFEITO!$Y$1628</f>
        <v>0</v>
      </c>
      <c r="N1628" s="76">
        <f ca="1">$K$1628-EFEITO!$M$1628*EFEITO!$Z$1628</f>
        <v>0</v>
      </c>
      <c r="O1628" s="76">
        <f>$L$1628-EFEITO!$O$1628*EFEITO!$AA$1628</f>
        <v>0</v>
      </c>
      <c r="P1628" s="57"/>
      <c r="Q1628" s="57"/>
      <c r="R1628" s="57"/>
      <c r="S1628" s="57"/>
      <c r="T1628" s="57"/>
      <c r="U1628" s="57"/>
      <c r="V1628" s="57"/>
      <c r="W1628" s="57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</row>
    <row r="1629" spans="1:36" ht="11.25" customHeight="1" x14ac:dyDescent="0.2">
      <c r="A1629" s="53" t="s">
        <v>21</v>
      </c>
      <c r="B1629" s="53" t="s">
        <v>39</v>
      </c>
      <c r="C1629" s="53" t="s">
        <v>37</v>
      </c>
      <c r="D1629" s="53" t="s">
        <v>43</v>
      </c>
      <c r="E1629" s="53" t="s">
        <v>25</v>
      </c>
      <c r="F1629" s="53" t="s">
        <v>25</v>
      </c>
      <c r="G1629" s="53" t="s">
        <v>25</v>
      </c>
      <c r="H1629" s="53" t="s">
        <v>36</v>
      </c>
      <c r="I1629" s="75">
        <v>44501</v>
      </c>
      <c r="J1629" s="76">
        <f>EFEITO!$J$1629*EFEITO!$Y$1629</f>
        <v>0</v>
      </c>
      <c r="K1629" s="76">
        <f ca="1">EFEITO!$L$1629*EFEITO!$Z$1629</f>
        <v>60135.265028738591</v>
      </c>
      <c r="L1629" s="76">
        <f>EFEITO!$N$1629*EFEITO!$AA$1629</f>
        <v>45112.396243834461</v>
      </c>
      <c r="M1629" s="76">
        <f>$J$1629-EFEITO!$K$1629*EFEITO!$Y$1629</f>
        <v>0</v>
      </c>
      <c r="N1629" s="76">
        <f ca="1">$K$1629-EFEITO!$M$1629*EFEITO!$Z$1629</f>
        <v>0</v>
      </c>
      <c r="O1629" s="76">
        <f>$L$1629-EFEITO!$O$1629*EFEITO!$AA$1629</f>
        <v>0</v>
      </c>
      <c r="P1629" s="57"/>
      <c r="Q1629" s="57"/>
      <c r="R1629" s="57"/>
      <c r="S1629" s="57"/>
      <c r="T1629" s="57"/>
      <c r="U1629" s="57"/>
      <c r="V1629" s="57"/>
      <c r="W1629" s="57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</row>
    <row r="1630" spans="1:36" ht="11.25" customHeight="1" x14ac:dyDescent="0.2">
      <c r="A1630" s="53" t="s">
        <v>27</v>
      </c>
      <c r="B1630" s="53" t="s">
        <v>39</v>
      </c>
      <c r="C1630" s="53" t="s">
        <v>37</v>
      </c>
      <c r="D1630" s="53" t="s">
        <v>43</v>
      </c>
      <c r="E1630" s="53" t="s">
        <v>25</v>
      </c>
      <c r="F1630" s="53" t="s">
        <v>25</v>
      </c>
      <c r="G1630" s="53" t="s">
        <v>25</v>
      </c>
      <c r="H1630" s="53" t="s">
        <v>36</v>
      </c>
      <c r="I1630" s="75">
        <v>44501</v>
      </c>
      <c r="J1630" s="76">
        <f>EFEITO!$J$1630*EFEITO!$Y$1630</f>
        <v>0</v>
      </c>
      <c r="K1630" s="76">
        <f ca="1">EFEITO!$L$1630*EFEITO!$Z$1630</f>
        <v>-171.67976444816915</v>
      </c>
      <c r="L1630" s="76">
        <f>EFEITO!$N$1630*EFEITO!$AA$1630</f>
        <v>-128.79107720125117</v>
      </c>
      <c r="M1630" s="76">
        <f>$J$1630-EFEITO!$K$1630*EFEITO!$Y$1630</f>
        <v>0</v>
      </c>
      <c r="N1630" s="76">
        <f ca="1">$K$1630-EFEITO!$M$1630*EFEITO!$Z$1630</f>
        <v>0</v>
      </c>
      <c r="O1630" s="76">
        <f>$L$1630-EFEITO!$O$1630*EFEITO!$AA$1630</f>
        <v>0</v>
      </c>
      <c r="P1630" s="57"/>
      <c r="Q1630" s="57"/>
      <c r="R1630" s="57"/>
      <c r="S1630" s="57"/>
      <c r="T1630" s="57"/>
      <c r="U1630" s="57"/>
      <c r="V1630" s="57"/>
      <c r="W1630" s="57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</row>
    <row r="1631" spans="1:36" ht="11.25" customHeight="1" x14ac:dyDescent="0.2">
      <c r="A1631" s="53" t="s">
        <v>28</v>
      </c>
      <c r="B1631" s="53" t="s">
        <v>39</v>
      </c>
      <c r="C1631" s="53" t="s">
        <v>37</v>
      </c>
      <c r="D1631" s="53" t="s">
        <v>43</v>
      </c>
      <c r="E1631" s="53" t="s">
        <v>25</v>
      </c>
      <c r="F1631" s="53" t="s">
        <v>25</v>
      </c>
      <c r="G1631" s="53" t="s">
        <v>25</v>
      </c>
      <c r="H1631" s="53" t="s">
        <v>36</v>
      </c>
      <c r="I1631" s="75">
        <v>44501</v>
      </c>
      <c r="J1631" s="76">
        <f>EFEITO!$J$1631*EFEITO!$Y$1631</f>
        <v>0</v>
      </c>
      <c r="K1631" s="76">
        <f ca="1">EFEITO!$L$1631*EFEITO!$Z$1631</f>
        <v>199.50995784292502</v>
      </c>
      <c r="L1631" s="76">
        <f>EFEITO!$N$1631*EFEITO!$AA$1631</f>
        <v>149.66878866334872</v>
      </c>
      <c r="M1631" s="76">
        <f>$J$1631-EFEITO!$K$1631*EFEITO!$Y$1631</f>
        <v>0</v>
      </c>
      <c r="N1631" s="76">
        <f ca="1">$K$1631-EFEITO!$M$1631*EFEITO!$Z$1631</f>
        <v>0</v>
      </c>
      <c r="O1631" s="76">
        <f>$L$1631-EFEITO!$O$1631*EFEITO!$AA$1631</f>
        <v>0</v>
      </c>
      <c r="P1631" s="57"/>
      <c r="Q1631" s="57"/>
      <c r="R1631" s="57"/>
      <c r="S1631" s="57"/>
      <c r="T1631" s="57"/>
      <c r="U1631" s="57"/>
      <c r="V1631" s="57"/>
      <c r="W1631" s="57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</row>
    <row r="1632" spans="1:36" ht="11.25" customHeight="1" x14ac:dyDescent="0.2">
      <c r="A1632" s="53" t="s">
        <v>21</v>
      </c>
      <c r="B1632" s="53" t="s">
        <v>39</v>
      </c>
      <c r="C1632" s="53" t="s">
        <v>37</v>
      </c>
      <c r="D1632" s="53" t="s">
        <v>43</v>
      </c>
      <c r="E1632" s="53" t="s">
        <v>25</v>
      </c>
      <c r="F1632" s="53" t="s">
        <v>25</v>
      </c>
      <c r="G1632" s="53" t="s">
        <v>25</v>
      </c>
      <c r="H1632" s="53" t="s">
        <v>36</v>
      </c>
      <c r="I1632" s="75">
        <v>44531</v>
      </c>
      <c r="J1632" s="76">
        <f>EFEITO!$J$1632*EFEITO!$Y$1632</f>
        <v>0</v>
      </c>
      <c r="K1632" s="76">
        <f ca="1">EFEITO!$L$1632*EFEITO!$Z$1632</f>
        <v>55928.568653133872</v>
      </c>
      <c r="L1632" s="76">
        <f>EFEITO!$N$1632*EFEITO!$AA$1632</f>
        <v>41956.608143738958</v>
      </c>
      <c r="M1632" s="76">
        <f>$J$1632-EFEITO!$K$1632*EFEITO!$Y$1632</f>
        <v>0</v>
      </c>
      <c r="N1632" s="76">
        <f ca="1">$K$1632-EFEITO!$M$1632*EFEITO!$Z$1632</f>
        <v>0</v>
      </c>
      <c r="O1632" s="76">
        <f>$L$1632-EFEITO!$O$1632*EFEITO!$AA$1632</f>
        <v>0</v>
      </c>
      <c r="P1632" s="57"/>
      <c r="Q1632" s="57"/>
      <c r="R1632" s="57"/>
      <c r="S1632" s="57"/>
      <c r="T1632" s="57"/>
      <c r="U1632" s="57"/>
      <c r="V1632" s="57"/>
      <c r="W1632" s="57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</row>
    <row r="1633" spans="1:36" ht="11.25" customHeight="1" x14ac:dyDescent="0.2">
      <c r="A1633" s="53" t="s">
        <v>27</v>
      </c>
      <c r="B1633" s="53" t="s">
        <v>39</v>
      </c>
      <c r="C1633" s="53" t="s">
        <v>37</v>
      </c>
      <c r="D1633" s="53" t="s">
        <v>43</v>
      </c>
      <c r="E1633" s="53" t="s">
        <v>25</v>
      </c>
      <c r="F1633" s="53" t="s">
        <v>25</v>
      </c>
      <c r="G1633" s="53" t="s">
        <v>25</v>
      </c>
      <c r="H1633" s="53" t="s">
        <v>36</v>
      </c>
      <c r="I1633" s="75">
        <v>44531</v>
      </c>
      <c r="J1633" s="76">
        <f>EFEITO!$J$1633*EFEITO!$Y$1633</f>
        <v>0</v>
      </c>
      <c r="K1633" s="76">
        <f ca="1">EFEITO!$L$1633*EFEITO!$Z$1633</f>
        <v>-72.286216609755442</v>
      </c>
      <c r="L1633" s="76">
        <f>EFEITO!$N$1633*EFEITO!$AA$1633</f>
        <v>-54.227821979474179</v>
      </c>
      <c r="M1633" s="76">
        <f>$J$1633-EFEITO!$K$1633*EFEITO!$Y$1633</f>
        <v>0</v>
      </c>
      <c r="N1633" s="76">
        <f ca="1">$K$1633-EFEITO!$M$1633*EFEITO!$Z$1633</f>
        <v>0</v>
      </c>
      <c r="O1633" s="76">
        <f>$L$1633-EFEITO!$O$1633*EFEITO!$AA$1633</f>
        <v>0</v>
      </c>
      <c r="P1633" s="57"/>
      <c r="Q1633" s="57"/>
      <c r="R1633" s="57"/>
      <c r="S1633" s="57"/>
      <c r="T1633" s="57"/>
      <c r="U1633" s="57"/>
      <c r="V1633" s="57"/>
      <c r="W1633" s="57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</row>
    <row r="1634" spans="1:36" ht="11.25" customHeight="1" x14ac:dyDescent="0.2">
      <c r="A1634" s="53" t="s">
        <v>28</v>
      </c>
      <c r="B1634" s="53" t="s">
        <v>39</v>
      </c>
      <c r="C1634" s="53" t="s">
        <v>37</v>
      </c>
      <c r="D1634" s="53" t="s">
        <v>43</v>
      </c>
      <c r="E1634" s="53" t="s">
        <v>25</v>
      </c>
      <c r="F1634" s="53" t="s">
        <v>25</v>
      </c>
      <c r="G1634" s="53" t="s">
        <v>25</v>
      </c>
      <c r="H1634" s="53" t="s">
        <v>36</v>
      </c>
      <c r="I1634" s="75">
        <v>44531</v>
      </c>
      <c r="J1634" s="76">
        <f>EFEITO!$J$1634*EFEITO!$Y$1634</f>
        <v>0</v>
      </c>
      <c r="K1634" s="76">
        <f ca="1">EFEITO!$L$1634*EFEITO!$Z$1634</f>
        <v>174.57121311255938</v>
      </c>
      <c r="L1634" s="76">
        <f>EFEITO!$N$1634*EFEITO!$AA$1634</f>
        <v>130.96019008043012</v>
      </c>
      <c r="M1634" s="76">
        <f>$J$1634-EFEITO!$K$1634*EFEITO!$Y$1634</f>
        <v>0</v>
      </c>
      <c r="N1634" s="76">
        <f ca="1">$K$1634-EFEITO!$M$1634*EFEITO!$Z$1634</f>
        <v>0</v>
      </c>
      <c r="O1634" s="76">
        <f>$L$1634-EFEITO!$O$1634*EFEITO!$AA$1634</f>
        <v>0</v>
      </c>
      <c r="P1634" s="57"/>
      <c r="Q1634" s="57"/>
      <c r="R1634" s="57"/>
      <c r="S1634" s="57"/>
      <c r="T1634" s="57"/>
      <c r="U1634" s="57"/>
      <c r="V1634" s="57"/>
      <c r="W1634" s="57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</row>
    <row r="1635" spans="1:36" ht="11.25" customHeight="1" x14ac:dyDescent="0.2">
      <c r="A1635" s="53" t="s">
        <v>21</v>
      </c>
      <c r="B1635" s="53" t="s">
        <v>39</v>
      </c>
      <c r="C1635" s="53" t="s">
        <v>37</v>
      </c>
      <c r="D1635" s="53" t="s">
        <v>43</v>
      </c>
      <c r="E1635" s="53" t="s">
        <v>25</v>
      </c>
      <c r="F1635" s="53" t="s">
        <v>25</v>
      </c>
      <c r="G1635" s="53" t="s">
        <v>25</v>
      </c>
      <c r="H1635" s="53" t="s">
        <v>36</v>
      </c>
      <c r="I1635" s="75">
        <v>44562</v>
      </c>
      <c r="J1635" s="76">
        <f>EFEITO!$J$1635*EFEITO!$Y$1635</f>
        <v>0</v>
      </c>
      <c r="K1635" s="76">
        <f ca="1">EFEITO!$L$1635*EFEITO!$Z$1635</f>
        <v>64648.454962768672</v>
      </c>
      <c r="L1635" s="76">
        <f>EFEITO!$N$1635*EFEITO!$AA$1635</f>
        <v>48498.110309122931</v>
      </c>
      <c r="M1635" s="76">
        <f>$J$1635-EFEITO!$K$1635*EFEITO!$Y$1635</f>
        <v>0</v>
      </c>
      <c r="N1635" s="76">
        <f ca="1">$K$1635-EFEITO!$M$1635*EFEITO!$Z$1635</f>
        <v>0</v>
      </c>
      <c r="O1635" s="76">
        <f>$L$1635-EFEITO!$O$1635*EFEITO!$AA$1635</f>
        <v>0</v>
      </c>
      <c r="P1635" s="57"/>
      <c r="Q1635" s="57"/>
      <c r="R1635" s="57"/>
      <c r="S1635" s="57"/>
      <c r="T1635" s="57"/>
      <c r="U1635" s="57"/>
      <c r="V1635" s="57"/>
      <c r="W1635" s="57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</row>
    <row r="1636" spans="1:36" ht="11.25" customHeight="1" x14ac:dyDescent="0.2">
      <c r="A1636" s="53" t="s">
        <v>28</v>
      </c>
      <c r="B1636" s="53" t="s">
        <v>39</v>
      </c>
      <c r="C1636" s="53" t="s">
        <v>37</v>
      </c>
      <c r="D1636" s="53" t="s">
        <v>43</v>
      </c>
      <c r="E1636" s="53" t="s">
        <v>25</v>
      </c>
      <c r="F1636" s="53" t="s">
        <v>25</v>
      </c>
      <c r="G1636" s="53" t="s">
        <v>25</v>
      </c>
      <c r="H1636" s="53" t="s">
        <v>36</v>
      </c>
      <c r="I1636" s="75">
        <v>44562</v>
      </c>
      <c r="J1636" s="76">
        <f>EFEITO!$J$1636*EFEITO!$Y$1636</f>
        <v>0</v>
      </c>
      <c r="K1636" s="76">
        <f ca="1">EFEITO!$L$1636*EFEITO!$Z$1636</f>
        <v>61.081853035243348</v>
      </c>
      <c r="L1636" s="76">
        <f>EFEITO!$N$1636*EFEITO!$AA$1636</f>
        <v>45.822509572655683</v>
      </c>
      <c r="M1636" s="76">
        <f>$J$1636-EFEITO!$K$1636*EFEITO!$Y$1636</f>
        <v>0</v>
      </c>
      <c r="N1636" s="76">
        <f ca="1">$K$1636-EFEITO!$M$1636*EFEITO!$Z$1636</f>
        <v>0</v>
      </c>
      <c r="O1636" s="76">
        <f>$L$1636-EFEITO!$O$1636*EFEITO!$AA$1636</f>
        <v>0</v>
      </c>
      <c r="P1636" s="57"/>
      <c r="Q1636" s="57"/>
      <c r="R1636" s="57"/>
      <c r="S1636" s="57"/>
      <c r="T1636" s="57"/>
      <c r="U1636" s="57"/>
      <c r="V1636" s="57"/>
      <c r="W1636" s="57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</row>
    <row r="1637" spans="1:36" ht="11.25" customHeight="1" x14ac:dyDescent="0.2">
      <c r="A1637" s="53" t="s">
        <v>21</v>
      </c>
      <c r="B1637" s="53" t="s">
        <v>39</v>
      </c>
      <c r="C1637" s="53" t="s">
        <v>37</v>
      </c>
      <c r="D1637" s="53" t="s">
        <v>43</v>
      </c>
      <c r="E1637" s="53" t="s">
        <v>25</v>
      </c>
      <c r="F1637" s="53" t="s">
        <v>25</v>
      </c>
      <c r="G1637" s="53" t="s">
        <v>25</v>
      </c>
      <c r="H1637" s="53" t="s">
        <v>36</v>
      </c>
      <c r="I1637" s="75">
        <v>44593</v>
      </c>
      <c r="J1637" s="76">
        <f>EFEITO!$J$1637*EFEITO!$Y$1637</f>
        <v>0</v>
      </c>
      <c r="K1637" s="76">
        <f ca="1">EFEITO!$L$1637*EFEITO!$Z$1637</f>
        <v>51938.008065192327</v>
      </c>
      <c r="L1637" s="76">
        <f>EFEITO!$N$1637*EFEITO!$AA$1637</f>
        <v>38962.961231362089</v>
      </c>
      <c r="M1637" s="76">
        <f>$J$1637-EFEITO!$K$1637*EFEITO!$Y$1637</f>
        <v>0</v>
      </c>
      <c r="N1637" s="76">
        <f ca="1">$K$1637-EFEITO!$M$1637*EFEITO!$Z$1637</f>
        <v>0</v>
      </c>
      <c r="O1637" s="76">
        <f>$L$1637-EFEITO!$O$1637*EFEITO!$AA$1637</f>
        <v>0</v>
      </c>
      <c r="P1637" s="57"/>
      <c r="Q1637" s="57"/>
      <c r="R1637" s="57"/>
      <c r="S1637" s="57"/>
      <c r="T1637" s="57"/>
      <c r="U1637" s="57"/>
      <c r="V1637" s="57"/>
      <c r="W1637" s="57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</row>
    <row r="1638" spans="1:36" ht="11.25" customHeight="1" x14ac:dyDescent="0.2">
      <c r="A1638" s="53" t="s">
        <v>27</v>
      </c>
      <c r="B1638" s="53" t="s">
        <v>39</v>
      </c>
      <c r="C1638" s="53" t="s">
        <v>37</v>
      </c>
      <c r="D1638" s="53" t="s">
        <v>43</v>
      </c>
      <c r="E1638" s="53" t="s">
        <v>25</v>
      </c>
      <c r="F1638" s="53" t="s">
        <v>25</v>
      </c>
      <c r="G1638" s="53" t="s">
        <v>25</v>
      </c>
      <c r="H1638" s="53" t="s">
        <v>36</v>
      </c>
      <c r="I1638" s="75">
        <v>44593</v>
      </c>
      <c r="J1638" s="76">
        <f>EFEITO!$J$1638*EFEITO!$Y$1638</f>
        <v>0</v>
      </c>
      <c r="K1638" s="76">
        <f ca="1">EFEITO!$L$1638*EFEITO!$Z$1638</f>
        <v>-14486.157808594988</v>
      </c>
      <c r="L1638" s="76">
        <f>EFEITO!$N$1638*EFEITO!$AA$1638</f>
        <v>-10867.255524686625</v>
      </c>
      <c r="M1638" s="76">
        <f>$J$1638-EFEITO!$K$1638*EFEITO!$Y$1638</f>
        <v>0</v>
      </c>
      <c r="N1638" s="76">
        <f ca="1">$K$1638-EFEITO!$M$1638*EFEITO!$Z$1638</f>
        <v>0</v>
      </c>
      <c r="O1638" s="76">
        <f>$L$1638-EFEITO!$O$1638*EFEITO!$AA$1638</f>
        <v>0</v>
      </c>
      <c r="P1638" s="57"/>
      <c r="Q1638" s="57"/>
      <c r="R1638" s="57"/>
      <c r="S1638" s="57"/>
      <c r="T1638" s="57"/>
      <c r="U1638" s="57"/>
      <c r="V1638" s="57"/>
      <c r="W1638" s="57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</row>
    <row r="1639" spans="1:36" ht="11.25" customHeight="1" x14ac:dyDescent="0.2">
      <c r="A1639" s="53" t="s">
        <v>28</v>
      </c>
      <c r="B1639" s="53" t="s">
        <v>39</v>
      </c>
      <c r="C1639" s="53" t="s">
        <v>37</v>
      </c>
      <c r="D1639" s="53" t="s">
        <v>43</v>
      </c>
      <c r="E1639" s="53" t="s">
        <v>25</v>
      </c>
      <c r="F1639" s="53" t="s">
        <v>25</v>
      </c>
      <c r="G1639" s="53" t="s">
        <v>25</v>
      </c>
      <c r="H1639" s="53" t="s">
        <v>36</v>
      </c>
      <c r="I1639" s="75">
        <v>44593</v>
      </c>
      <c r="J1639" s="76">
        <f>EFEITO!$J$1639*EFEITO!$Y$1639</f>
        <v>0</v>
      </c>
      <c r="K1639" s="76">
        <f ca="1">EFEITO!$L$1639*EFEITO!$Z$1639</f>
        <v>49.516058377682477</v>
      </c>
      <c r="L1639" s="76">
        <f>EFEITO!$N$1639*EFEITO!$AA$1639</f>
        <v>37.146058055939811</v>
      </c>
      <c r="M1639" s="76">
        <f>$J$1639-EFEITO!$K$1639*EFEITO!$Y$1639</f>
        <v>0</v>
      </c>
      <c r="N1639" s="76">
        <f ca="1">$K$1639-EFEITO!$M$1639*EFEITO!$Z$1639</f>
        <v>0</v>
      </c>
      <c r="O1639" s="76">
        <f>$L$1639-EFEITO!$O$1639*EFEITO!$AA$1639</f>
        <v>0</v>
      </c>
      <c r="P1639" s="57"/>
      <c r="Q1639" s="57"/>
      <c r="R1639" s="57"/>
      <c r="S1639" s="57"/>
      <c r="T1639" s="57"/>
      <c r="U1639" s="57"/>
      <c r="V1639" s="57"/>
      <c r="W1639" s="57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</row>
    <row r="1640" spans="1:36" ht="11.25" customHeight="1" x14ac:dyDescent="0.2">
      <c r="A1640" s="53" t="s">
        <v>21</v>
      </c>
      <c r="B1640" s="53" t="s">
        <v>39</v>
      </c>
      <c r="C1640" s="53" t="s">
        <v>37</v>
      </c>
      <c r="D1640" s="53" t="s">
        <v>43</v>
      </c>
      <c r="E1640" s="53" t="s">
        <v>25</v>
      </c>
      <c r="F1640" s="53" t="s">
        <v>25</v>
      </c>
      <c r="G1640" s="53" t="s">
        <v>25</v>
      </c>
      <c r="H1640" s="53" t="s">
        <v>36</v>
      </c>
      <c r="I1640" s="75">
        <v>44621</v>
      </c>
      <c r="J1640" s="76">
        <f>EFEITO!$J$1640*EFEITO!$Y$1640</f>
        <v>0</v>
      </c>
      <c r="K1640" s="76">
        <f ca="1">EFEITO!$L$1640*EFEITO!$Z$1640</f>
        <v>54036.838364456584</v>
      </c>
      <c r="L1640" s="76">
        <f>EFEITO!$N$1640*EFEITO!$AA$1640</f>
        <v>40537.466042536129</v>
      </c>
      <c r="M1640" s="76">
        <f>$J$1640-EFEITO!$K$1640*EFEITO!$Y$1640</f>
        <v>0</v>
      </c>
      <c r="N1640" s="76">
        <f ca="1">$K$1640-EFEITO!$M$1640*EFEITO!$Z$1640</f>
        <v>0</v>
      </c>
      <c r="O1640" s="76">
        <f>$L$1640-EFEITO!$O$1640*EFEITO!$AA$1640</f>
        <v>0</v>
      </c>
      <c r="P1640" s="57"/>
      <c r="Q1640" s="57"/>
      <c r="R1640" s="57"/>
      <c r="S1640" s="57"/>
      <c r="T1640" s="57"/>
      <c r="U1640" s="57"/>
      <c r="V1640" s="57"/>
      <c r="W1640" s="57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</row>
    <row r="1641" spans="1:36" ht="11.25" customHeight="1" x14ac:dyDescent="0.2">
      <c r="A1641" s="53" t="s">
        <v>28</v>
      </c>
      <c r="B1641" s="53" t="s">
        <v>39</v>
      </c>
      <c r="C1641" s="53" t="s">
        <v>37</v>
      </c>
      <c r="D1641" s="53" t="s">
        <v>43</v>
      </c>
      <c r="E1641" s="53" t="s">
        <v>25</v>
      </c>
      <c r="F1641" s="53" t="s">
        <v>25</v>
      </c>
      <c r="G1641" s="53" t="s">
        <v>25</v>
      </c>
      <c r="H1641" s="53" t="s">
        <v>36</v>
      </c>
      <c r="I1641" s="75">
        <v>44621</v>
      </c>
      <c r="J1641" s="76">
        <f>EFEITO!$J$1641*EFEITO!$Y$1641</f>
        <v>0</v>
      </c>
      <c r="K1641" s="76">
        <f ca="1">EFEITO!$L$1641*EFEITO!$Z$1641</f>
        <v>53.491800291219015</v>
      </c>
      <c r="L1641" s="76">
        <f>EFEITO!$N$1641*EFEITO!$AA$1641</f>
        <v>40.128588264810887</v>
      </c>
      <c r="M1641" s="76">
        <f>$J$1641-EFEITO!$K$1641*EFEITO!$Y$1641</f>
        <v>0</v>
      </c>
      <c r="N1641" s="76">
        <f ca="1">$K$1641-EFEITO!$M$1641*EFEITO!$Z$1641</f>
        <v>0</v>
      </c>
      <c r="O1641" s="76">
        <f>$L$1641-EFEITO!$O$1641*EFEITO!$AA$1641</f>
        <v>0</v>
      </c>
      <c r="P1641" s="57"/>
      <c r="Q1641" s="57"/>
      <c r="R1641" s="57"/>
      <c r="S1641" s="57"/>
      <c r="T1641" s="57"/>
      <c r="U1641" s="57"/>
      <c r="V1641" s="57"/>
      <c r="W1641" s="57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</row>
    <row r="1642" spans="1:36" ht="11.25" customHeight="1" x14ac:dyDescent="0.2">
      <c r="A1642" s="53" t="s">
        <v>56</v>
      </c>
      <c r="B1642" s="53" t="s">
        <v>39</v>
      </c>
      <c r="C1642" s="53" t="s">
        <v>37</v>
      </c>
      <c r="D1642" s="53" t="s">
        <v>43</v>
      </c>
      <c r="E1642" s="53" t="s">
        <v>25</v>
      </c>
      <c r="F1642" s="53" t="s">
        <v>25</v>
      </c>
      <c r="G1642" s="53" t="s">
        <v>25</v>
      </c>
      <c r="H1642" s="53" t="s">
        <v>36</v>
      </c>
      <c r="I1642" s="75">
        <v>44652</v>
      </c>
      <c r="J1642" s="76">
        <f>EFEITO!$J$1642*EFEITO!$Y$1642</f>
        <v>0</v>
      </c>
      <c r="K1642" s="76">
        <f ca="1">EFEITO!$L$1642*EFEITO!$Z$1642</f>
        <v>54036.838364456584</v>
      </c>
      <c r="L1642" s="76">
        <f>EFEITO!$N$1642*EFEITO!$AA$1642</f>
        <v>40537.466042536129</v>
      </c>
      <c r="M1642" s="76">
        <f>$J$1642-EFEITO!$K$1642*EFEITO!$Y$1642</f>
        <v>0</v>
      </c>
      <c r="N1642" s="76">
        <f ca="1">$K$1642-EFEITO!$M$1642*EFEITO!$Z$1642</f>
        <v>0</v>
      </c>
      <c r="O1642" s="76">
        <f>$L$1642-EFEITO!$O$1642*EFEITO!$AA$1642</f>
        <v>0</v>
      </c>
      <c r="P1642" s="57"/>
      <c r="Q1642" s="57"/>
      <c r="R1642" s="57"/>
      <c r="S1642" s="57"/>
      <c r="T1642" s="57"/>
      <c r="U1642" s="57"/>
      <c r="V1642" s="57"/>
      <c r="W1642" s="57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</row>
    <row r="1643" spans="1:36" ht="11.25" customHeight="1" x14ac:dyDescent="0.2">
      <c r="A1643" s="53" t="s">
        <v>56</v>
      </c>
      <c r="B1643" s="53" t="s">
        <v>39</v>
      </c>
      <c r="C1643" s="53" t="s">
        <v>37</v>
      </c>
      <c r="D1643" s="53" t="s">
        <v>43</v>
      </c>
      <c r="E1643" s="53" t="s">
        <v>25</v>
      </c>
      <c r="F1643" s="53" t="s">
        <v>25</v>
      </c>
      <c r="G1643" s="53" t="s">
        <v>25</v>
      </c>
      <c r="H1643" s="53" t="s">
        <v>36</v>
      </c>
      <c r="I1643" s="75">
        <v>44652</v>
      </c>
      <c r="J1643" s="76">
        <f>EFEITO!$J$1643*EFEITO!$Y$1643</f>
        <v>0</v>
      </c>
      <c r="K1643" s="76">
        <f ca="1">EFEITO!$L$1643*EFEITO!$Z$1643</f>
        <v>53.491800291219015</v>
      </c>
      <c r="L1643" s="76">
        <f>EFEITO!$N$1643*EFEITO!$AA$1643</f>
        <v>40.128588264810887</v>
      </c>
      <c r="M1643" s="76">
        <f>$J$1643-EFEITO!$K$1643*EFEITO!$Y$1643</f>
        <v>0</v>
      </c>
      <c r="N1643" s="76">
        <f ca="1">$K$1643-EFEITO!$M$1643*EFEITO!$Z$1643</f>
        <v>0</v>
      </c>
      <c r="O1643" s="76">
        <f>$L$1643-EFEITO!$O$1643*EFEITO!$AA$1643</f>
        <v>0</v>
      </c>
      <c r="P1643" s="57"/>
      <c r="Q1643" s="57"/>
      <c r="R1643" s="57"/>
      <c r="S1643" s="57"/>
      <c r="T1643" s="57"/>
      <c r="U1643" s="57"/>
      <c r="V1643" s="57"/>
      <c r="W1643" s="57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</row>
    <row r="1644" spans="1:36" ht="11.25" customHeight="1" x14ac:dyDescent="0.2">
      <c r="A1644" s="53" t="s">
        <v>21</v>
      </c>
      <c r="B1644" s="53" t="s">
        <v>39</v>
      </c>
      <c r="C1644" s="53" t="s">
        <v>37</v>
      </c>
      <c r="D1644" s="53" t="s">
        <v>43</v>
      </c>
      <c r="E1644" s="53" t="s">
        <v>25</v>
      </c>
      <c r="F1644" s="53" t="s">
        <v>25</v>
      </c>
      <c r="G1644" s="53" t="s">
        <v>25</v>
      </c>
      <c r="H1644" s="53" t="s">
        <v>38</v>
      </c>
      <c r="I1644" s="75">
        <v>44317</v>
      </c>
      <c r="J1644" s="76">
        <f>EFEITO!$J$1644*EFEITO!$Y$1644</f>
        <v>0</v>
      </c>
      <c r="K1644" s="76">
        <f ca="1">EFEITO!$L$1644*EFEITO!$Z$1644</f>
        <v>7317.8146404219115</v>
      </c>
      <c r="L1644" s="76">
        <f>EFEITO!$N$1644*EFEITO!$AA$1644</f>
        <v>2577.4483786844075</v>
      </c>
      <c r="M1644" s="76">
        <f>$J$1644-EFEITO!$K$1644*EFEITO!$Y$1644</f>
        <v>0</v>
      </c>
      <c r="N1644" s="76">
        <f ca="1">$K$1644-EFEITO!$M$1644*EFEITO!$Z$1644</f>
        <v>0</v>
      </c>
      <c r="O1644" s="76">
        <f>$L$1644-EFEITO!$O$1644*EFEITO!$AA$1644</f>
        <v>0</v>
      </c>
      <c r="P1644" s="57"/>
      <c r="Q1644" s="57"/>
      <c r="R1644" s="57"/>
      <c r="S1644" s="57"/>
      <c r="T1644" s="57"/>
      <c r="U1644" s="57"/>
      <c r="V1644" s="57"/>
      <c r="W1644" s="57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</row>
    <row r="1645" spans="1:36" ht="11.25" customHeight="1" x14ac:dyDescent="0.2">
      <c r="A1645" s="53" t="s">
        <v>27</v>
      </c>
      <c r="B1645" s="53" t="s">
        <v>39</v>
      </c>
      <c r="C1645" s="53" t="s">
        <v>37</v>
      </c>
      <c r="D1645" s="53" t="s">
        <v>43</v>
      </c>
      <c r="E1645" s="53" t="s">
        <v>25</v>
      </c>
      <c r="F1645" s="53" t="s">
        <v>25</v>
      </c>
      <c r="G1645" s="53" t="s">
        <v>25</v>
      </c>
      <c r="H1645" s="53" t="s">
        <v>38</v>
      </c>
      <c r="I1645" s="75">
        <v>44317</v>
      </c>
      <c r="J1645" s="76">
        <f>EFEITO!$J$1645*EFEITO!$Y$1645</f>
        <v>0</v>
      </c>
      <c r="K1645" s="76">
        <f ca="1">EFEITO!$L$1645*EFEITO!$Z$1645</f>
        <v>658.95743027573701</v>
      </c>
      <c r="L1645" s="76">
        <f>EFEITO!$N$1645*EFEITO!$AA$1645</f>
        <v>232.09507807214945</v>
      </c>
      <c r="M1645" s="76">
        <f>$J$1645-EFEITO!$K$1645*EFEITO!$Y$1645</f>
        <v>0</v>
      </c>
      <c r="N1645" s="76">
        <f ca="1">$K$1645-EFEITO!$M$1645*EFEITO!$Z$1645</f>
        <v>0</v>
      </c>
      <c r="O1645" s="76">
        <f>$L$1645-EFEITO!$O$1645*EFEITO!$AA$1645</f>
        <v>0</v>
      </c>
      <c r="P1645" s="57"/>
      <c r="Q1645" s="57"/>
      <c r="R1645" s="57"/>
      <c r="S1645" s="57"/>
      <c r="T1645" s="57"/>
      <c r="U1645" s="57"/>
      <c r="V1645" s="57"/>
      <c r="W1645" s="57"/>
      <c r="X1645" s="4"/>
      <c r="Y1645" s="4"/>
      <c r="Z1645" s="4"/>
      <c r="AA1645" s="4"/>
      <c r="AB1645" s="4"/>
      <c r="AC1645" s="4"/>
      <c r="AD1645" s="4"/>
      <c r="AE1645" s="4"/>
      <c r="AF1645" s="4"/>
      <c r="AG1645" s="4"/>
      <c r="AH1645" s="4"/>
      <c r="AI1645" s="4"/>
      <c r="AJ1645" s="4"/>
    </row>
    <row r="1646" spans="1:36" ht="11.25" customHeight="1" x14ac:dyDescent="0.2">
      <c r="A1646" s="53" t="s">
        <v>28</v>
      </c>
      <c r="B1646" s="53" t="s">
        <v>39</v>
      </c>
      <c r="C1646" s="53" t="s">
        <v>37</v>
      </c>
      <c r="D1646" s="53" t="s">
        <v>43</v>
      </c>
      <c r="E1646" s="53" t="s">
        <v>25</v>
      </c>
      <c r="F1646" s="53" t="s">
        <v>25</v>
      </c>
      <c r="G1646" s="53" t="s">
        <v>25</v>
      </c>
      <c r="H1646" s="53" t="s">
        <v>38</v>
      </c>
      <c r="I1646" s="75">
        <v>44317</v>
      </c>
      <c r="J1646" s="76">
        <f>EFEITO!$J$1646*EFEITO!$Y$1646</f>
        <v>0</v>
      </c>
      <c r="K1646" s="76">
        <f ca="1">EFEITO!$L$1646*EFEITO!$Z$1646</f>
        <v>17.705631888249943</v>
      </c>
      <c r="L1646" s="76">
        <f>EFEITO!$N$1646*EFEITO!$AA$1646</f>
        <v>6.2361995276395303</v>
      </c>
      <c r="M1646" s="76">
        <f>$J$1646-EFEITO!$K$1646*EFEITO!$Y$1646</f>
        <v>0</v>
      </c>
      <c r="N1646" s="76">
        <f ca="1">$K$1646-EFEITO!$M$1646*EFEITO!$Z$1646</f>
        <v>0</v>
      </c>
      <c r="O1646" s="76">
        <f>$L$1646-EFEITO!$O$1646*EFEITO!$AA$1646</f>
        <v>0</v>
      </c>
      <c r="P1646" s="57"/>
      <c r="Q1646" s="57"/>
      <c r="R1646" s="57"/>
      <c r="S1646" s="57"/>
      <c r="T1646" s="57"/>
      <c r="U1646" s="57"/>
      <c r="V1646" s="57"/>
      <c r="W1646" s="57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</row>
    <row r="1647" spans="1:36" ht="11.25" customHeight="1" x14ac:dyDescent="0.2">
      <c r="A1647" s="53" t="s">
        <v>21</v>
      </c>
      <c r="B1647" s="53" t="s">
        <v>39</v>
      </c>
      <c r="C1647" s="53" t="s">
        <v>37</v>
      </c>
      <c r="D1647" s="53" t="s">
        <v>43</v>
      </c>
      <c r="E1647" s="53" t="s">
        <v>25</v>
      </c>
      <c r="F1647" s="53" t="s">
        <v>25</v>
      </c>
      <c r="G1647" s="53" t="s">
        <v>25</v>
      </c>
      <c r="H1647" s="53" t="s">
        <v>38</v>
      </c>
      <c r="I1647" s="75">
        <v>44348</v>
      </c>
      <c r="J1647" s="76">
        <f>EFEITO!$J$1647*EFEITO!$Y$1647</f>
        <v>0</v>
      </c>
      <c r="K1647" s="76">
        <f ca="1">EFEITO!$L$1647*EFEITO!$Z$1647</f>
        <v>6713.51372597512</v>
      </c>
      <c r="L1647" s="76">
        <f>EFEITO!$N$1647*EFEITO!$AA$1647</f>
        <v>2364.6041774149712</v>
      </c>
      <c r="M1647" s="76">
        <f>$J$1647-EFEITO!$K$1647*EFEITO!$Y$1647</f>
        <v>0</v>
      </c>
      <c r="N1647" s="76">
        <f ca="1">$K$1647-EFEITO!$M$1647*EFEITO!$Z$1647</f>
        <v>0</v>
      </c>
      <c r="O1647" s="76">
        <f>$L$1647-EFEITO!$O$1647*EFEITO!$AA$1647</f>
        <v>0</v>
      </c>
      <c r="P1647" s="57"/>
      <c r="Q1647" s="57"/>
      <c r="R1647" s="57"/>
      <c r="S1647" s="57"/>
      <c r="T1647" s="57"/>
      <c r="U1647" s="57"/>
      <c r="V1647" s="57"/>
      <c r="W1647" s="57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</row>
    <row r="1648" spans="1:36" ht="11.25" customHeight="1" x14ac:dyDescent="0.2">
      <c r="A1648" s="53" t="s">
        <v>27</v>
      </c>
      <c r="B1648" s="53" t="s">
        <v>39</v>
      </c>
      <c r="C1648" s="53" t="s">
        <v>37</v>
      </c>
      <c r="D1648" s="53" t="s">
        <v>43</v>
      </c>
      <c r="E1648" s="53" t="s">
        <v>25</v>
      </c>
      <c r="F1648" s="53" t="s">
        <v>25</v>
      </c>
      <c r="G1648" s="53" t="s">
        <v>25</v>
      </c>
      <c r="H1648" s="53" t="s">
        <v>38</v>
      </c>
      <c r="I1648" s="75">
        <v>44348</v>
      </c>
      <c r="J1648" s="76">
        <f>EFEITO!$J$1648*EFEITO!$Y$1648</f>
        <v>0</v>
      </c>
      <c r="K1648" s="76">
        <f ca="1">EFEITO!$L$1648*EFEITO!$Z$1648</f>
        <v>-199.38081126333631</v>
      </c>
      <c r="L1648" s="76">
        <f>EFEITO!$N$1648*EFEITO!$AA$1648</f>
        <v>-70.225029463419062</v>
      </c>
      <c r="M1648" s="76">
        <f>$J$1648-EFEITO!$K$1648*EFEITO!$Y$1648</f>
        <v>0</v>
      </c>
      <c r="N1648" s="76">
        <f ca="1">$K$1648-EFEITO!$M$1648*EFEITO!$Z$1648</f>
        <v>0</v>
      </c>
      <c r="O1648" s="76">
        <f>$L$1648-EFEITO!$O$1648*EFEITO!$AA$1648</f>
        <v>0</v>
      </c>
      <c r="P1648" s="57"/>
      <c r="Q1648" s="57"/>
      <c r="R1648" s="57"/>
      <c r="S1648" s="57"/>
      <c r="T1648" s="57"/>
      <c r="U1648" s="57"/>
      <c r="V1648" s="57"/>
      <c r="W1648" s="57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</row>
    <row r="1649" spans="1:36" ht="11.25" customHeight="1" x14ac:dyDescent="0.2">
      <c r="A1649" s="53" t="s">
        <v>28</v>
      </c>
      <c r="B1649" s="53" t="s">
        <v>39</v>
      </c>
      <c r="C1649" s="53" t="s">
        <v>37</v>
      </c>
      <c r="D1649" s="53" t="s">
        <v>43</v>
      </c>
      <c r="E1649" s="53" t="s">
        <v>25</v>
      </c>
      <c r="F1649" s="53" t="s">
        <v>25</v>
      </c>
      <c r="G1649" s="53" t="s">
        <v>25</v>
      </c>
      <c r="H1649" s="53" t="s">
        <v>38</v>
      </c>
      <c r="I1649" s="75">
        <v>44348</v>
      </c>
      <c r="J1649" s="76">
        <f>EFEITO!$J$1649*EFEITO!$Y$1649</f>
        <v>0</v>
      </c>
      <c r="K1649" s="76">
        <f ca="1">EFEITO!$L$1649*EFEITO!$Z$1649</f>
        <v>16.93582180615212</v>
      </c>
      <c r="L1649" s="76">
        <f>EFEITO!$N$1649*EFEITO!$AA$1649</f>
        <v>5.9650604177421584</v>
      </c>
      <c r="M1649" s="76">
        <f>$J$1649-EFEITO!$K$1649*EFEITO!$Y$1649</f>
        <v>0</v>
      </c>
      <c r="N1649" s="76">
        <f ca="1">$K$1649-EFEITO!$M$1649*EFEITO!$Z$1649</f>
        <v>0</v>
      </c>
      <c r="O1649" s="76">
        <f>$L$1649-EFEITO!$O$1649*EFEITO!$AA$1649</f>
        <v>0</v>
      </c>
      <c r="P1649" s="57"/>
      <c r="Q1649" s="57"/>
      <c r="R1649" s="57"/>
      <c r="S1649" s="57"/>
      <c r="T1649" s="57"/>
      <c r="U1649" s="57"/>
      <c r="V1649" s="57"/>
      <c r="W1649" s="57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</row>
    <row r="1650" spans="1:36" ht="11.25" customHeight="1" x14ac:dyDescent="0.2">
      <c r="A1650" s="53" t="s">
        <v>21</v>
      </c>
      <c r="B1650" s="53" t="s">
        <v>39</v>
      </c>
      <c r="C1650" s="53" t="s">
        <v>37</v>
      </c>
      <c r="D1650" s="53" t="s">
        <v>43</v>
      </c>
      <c r="E1650" s="53" t="s">
        <v>25</v>
      </c>
      <c r="F1650" s="53" t="s">
        <v>25</v>
      </c>
      <c r="G1650" s="53" t="s">
        <v>25</v>
      </c>
      <c r="H1650" s="53" t="s">
        <v>38</v>
      </c>
      <c r="I1650" s="75">
        <v>44378</v>
      </c>
      <c r="J1650" s="76">
        <f>EFEITO!$J$1650*EFEITO!$Y$1650</f>
        <v>0</v>
      </c>
      <c r="K1650" s="76">
        <f ca="1">EFEITO!$L$1650*EFEITO!$Z$1650</f>
        <v>7243.9128725405208</v>
      </c>
      <c r="L1650" s="76">
        <f>EFEITO!$N$1650*EFEITO!$AA$1650</f>
        <v>2551.4190241342599</v>
      </c>
      <c r="M1650" s="76">
        <f>$J$1650-EFEITO!$K$1650*EFEITO!$Y$1650</f>
        <v>0</v>
      </c>
      <c r="N1650" s="76">
        <f ca="1">$K$1650-EFEITO!$M$1650*EFEITO!$Z$1650</f>
        <v>0</v>
      </c>
      <c r="O1650" s="76">
        <f>$L$1650-EFEITO!$O$1650*EFEITO!$AA$1650</f>
        <v>0</v>
      </c>
      <c r="P1650" s="57"/>
      <c r="Q1650" s="57"/>
      <c r="R1650" s="57"/>
      <c r="S1650" s="57"/>
      <c r="T1650" s="57"/>
      <c r="U1650" s="57"/>
      <c r="V1650" s="57"/>
      <c r="W1650" s="57"/>
      <c r="X1650" s="4"/>
      <c r="Y1650" s="4"/>
      <c r="Z1650" s="4"/>
      <c r="AA1650" s="4"/>
      <c r="AB1650" s="4"/>
      <c r="AC1650" s="4"/>
      <c r="AD1650" s="4"/>
      <c r="AE1650" s="4"/>
      <c r="AF1650" s="4"/>
      <c r="AG1650" s="4"/>
      <c r="AH1650" s="4"/>
      <c r="AI1650" s="4"/>
      <c r="AJ1650" s="4"/>
    </row>
    <row r="1651" spans="1:36" ht="11.25" customHeight="1" x14ac:dyDescent="0.2">
      <c r="A1651" s="53" t="s">
        <v>27</v>
      </c>
      <c r="B1651" s="53" t="s">
        <v>39</v>
      </c>
      <c r="C1651" s="53" t="s">
        <v>37</v>
      </c>
      <c r="D1651" s="53" t="s">
        <v>43</v>
      </c>
      <c r="E1651" s="53" t="s">
        <v>25</v>
      </c>
      <c r="F1651" s="53" t="s">
        <v>25</v>
      </c>
      <c r="G1651" s="53" t="s">
        <v>25</v>
      </c>
      <c r="H1651" s="53" t="s">
        <v>38</v>
      </c>
      <c r="I1651" s="75">
        <v>44378</v>
      </c>
      <c r="J1651" s="76">
        <f>EFEITO!$J$1651*EFEITO!$Y$1651</f>
        <v>0</v>
      </c>
      <c r="K1651" s="76">
        <f ca="1">EFEITO!$L$1651*EFEITO!$Z$1651</f>
        <v>14.626391559858648</v>
      </c>
      <c r="L1651" s="76">
        <f>EFEITO!$N$1651*EFEITO!$AA$1651</f>
        <v>5.1516430880500463</v>
      </c>
      <c r="M1651" s="76">
        <f>$J$1651-EFEITO!$K$1651*EFEITO!$Y$1651</f>
        <v>0</v>
      </c>
      <c r="N1651" s="76">
        <f ca="1">$K$1651-EFEITO!$M$1651*EFEITO!$Z$1651</f>
        <v>0</v>
      </c>
      <c r="O1651" s="76">
        <f>$L$1651-EFEITO!$O$1651*EFEITO!$AA$1651</f>
        <v>0</v>
      </c>
      <c r="P1651" s="57"/>
      <c r="Q1651" s="57"/>
      <c r="R1651" s="57"/>
      <c r="S1651" s="57"/>
      <c r="T1651" s="57"/>
      <c r="U1651" s="57"/>
      <c r="V1651" s="57"/>
      <c r="W1651" s="57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</row>
    <row r="1652" spans="1:36" ht="11.25" customHeight="1" x14ac:dyDescent="0.2">
      <c r="A1652" s="53" t="s">
        <v>28</v>
      </c>
      <c r="B1652" s="53" t="s">
        <v>39</v>
      </c>
      <c r="C1652" s="53" t="s">
        <v>37</v>
      </c>
      <c r="D1652" s="53" t="s">
        <v>43</v>
      </c>
      <c r="E1652" s="53" t="s">
        <v>25</v>
      </c>
      <c r="F1652" s="53" t="s">
        <v>25</v>
      </c>
      <c r="G1652" s="53" t="s">
        <v>25</v>
      </c>
      <c r="H1652" s="53" t="s">
        <v>38</v>
      </c>
      <c r="I1652" s="75">
        <v>44378</v>
      </c>
      <c r="J1652" s="76">
        <f>EFEITO!$J$1652*EFEITO!$Y$1652</f>
        <v>0</v>
      </c>
      <c r="K1652" s="76">
        <f ca="1">EFEITO!$L$1652*EFEITO!$Z$1652</f>
        <v>19.245252052445593</v>
      </c>
      <c r="L1652" s="76">
        <f>EFEITO!$N$1652*EFEITO!$AA$1652</f>
        <v>6.7784777474342723</v>
      </c>
      <c r="M1652" s="76">
        <f>$J$1652-EFEITO!$K$1652*EFEITO!$Y$1652</f>
        <v>0</v>
      </c>
      <c r="N1652" s="76">
        <f ca="1">$K$1652-EFEITO!$M$1652*EFEITO!$Z$1652</f>
        <v>0</v>
      </c>
      <c r="O1652" s="76">
        <f>$L$1652-EFEITO!$O$1652*EFEITO!$AA$1652</f>
        <v>0</v>
      </c>
      <c r="P1652" s="57"/>
      <c r="Q1652" s="57"/>
      <c r="R1652" s="57"/>
      <c r="S1652" s="57"/>
      <c r="T1652" s="57"/>
      <c r="U1652" s="57"/>
      <c r="V1652" s="57"/>
      <c r="W1652" s="57"/>
      <c r="X1652" s="4"/>
      <c r="Y1652" s="4"/>
      <c r="Z1652" s="4"/>
      <c r="AA1652" s="4"/>
      <c r="AB1652" s="4"/>
      <c r="AC1652" s="4"/>
      <c r="AD1652" s="4"/>
      <c r="AE1652" s="4"/>
      <c r="AF1652" s="4"/>
      <c r="AG1652" s="4"/>
      <c r="AH1652" s="4"/>
      <c r="AI1652" s="4"/>
      <c r="AJ1652" s="4"/>
    </row>
    <row r="1653" spans="1:36" ht="11.25" customHeight="1" x14ac:dyDescent="0.2">
      <c r="A1653" s="53" t="s">
        <v>21</v>
      </c>
      <c r="B1653" s="53" t="s">
        <v>39</v>
      </c>
      <c r="C1653" s="53" t="s">
        <v>37</v>
      </c>
      <c r="D1653" s="53" t="s">
        <v>43</v>
      </c>
      <c r="E1653" s="53" t="s">
        <v>25</v>
      </c>
      <c r="F1653" s="53" t="s">
        <v>25</v>
      </c>
      <c r="G1653" s="53" t="s">
        <v>25</v>
      </c>
      <c r="H1653" s="53" t="s">
        <v>38</v>
      </c>
      <c r="I1653" s="75">
        <v>44409</v>
      </c>
      <c r="J1653" s="76">
        <f>EFEITO!$J$1653*EFEITO!$Y$1653</f>
        <v>0</v>
      </c>
      <c r="K1653" s="76">
        <f ca="1">EFEITO!$L$1653*EFEITO!$Z$1653</f>
        <v>6605.7403144814243</v>
      </c>
      <c r="L1653" s="76">
        <f>EFEITO!$N$1653*EFEITO!$AA$1653</f>
        <v>2326.6447020293394</v>
      </c>
      <c r="M1653" s="76">
        <f>$J$1653-EFEITO!$K$1653*EFEITO!$Y$1653</f>
        <v>0</v>
      </c>
      <c r="N1653" s="76">
        <f ca="1">$K$1653-EFEITO!$M$1653*EFEITO!$Z$1653</f>
        <v>0</v>
      </c>
      <c r="O1653" s="76">
        <f>$L$1653-EFEITO!$O$1653*EFEITO!$AA$1653</f>
        <v>0</v>
      </c>
      <c r="P1653" s="57"/>
      <c r="Q1653" s="57"/>
      <c r="R1653" s="57"/>
      <c r="S1653" s="57"/>
      <c r="T1653" s="57"/>
      <c r="U1653" s="57"/>
      <c r="V1653" s="57"/>
      <c r="W1653" s="57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</row>
    <row r="1654" spans="1:36" ht="11.25" customHeight="1" x14ac:dyDescent="0.2">
      <c r="A1654" s="53" t="s">
        <v>27</v>
      </c>
      <c r="B1654" s="53" t="s">
        <v>39</v>
      </c>
      <c r="C1654" s="53" t="s">
        <v>37</v>
      </c>
      <c r="D1654" s="53" t="s">
        <v>43</v>
      </c>
      <c r="E1654" s="53" t="s">
        <v>25</v>
      </c>
      <c r="F1654" s="53" t="s">
        <v>25</v>
      </c>
      <c r="G1654" s="53" t="s">
        <v>25</v>
      </c>
      <c r="H1654" s="53" t="s">
        <v>38</v>
      </c>
      <c r="I1654" s="75">
        <v>44409</v>
      </c>
      <c r="J1654" s="76">
        <f>EFEITO!$J$1654*EFEITO!$Y$1654</f>
        <v>0</v>
      </c>
      <c r="K1654" s="76">
        <f ca="1">EFEITO!$L$1654*EFEITO!$Z$1654</f>
        <v>18.475441970347767</v>
      </c>
      <c r="L1654" s="76">
        <f>EFEITO!$N$1654*EFEITO!$AA$1654</f>
        <v>6.5073386375369013</v>
      </c>
      <c r="M1654" s="76">
        <f>$J$1654-EFEITO!$K$1654*EFEITO!$Y$1654</f>
        <v>0</v>
      </c>
      <c r="N1654" s="76">
        <f ca="1">$K$1654-EFEITO!$M$1654*EFEITO!$Z$1654</f>
        <v>0</v>
      </c>
      <c r="O1654" s="76">
        <f>$L$1654-EFEITO!$O$1654*EFEITO!$AA$1654</f>
        <v>0</v>
      </c>
      <c r="P1654" s="57"/>
      <c r="Q1654" s="57"/>
      <c r="R1654" s="57"/>
      <c r="S1654" s="57"/>
      <c r="T1654" s="57"/>
      <c r="U1654" s="57"/>
      <c r="V1654" s="57"/>
      <c r="W1654" s="57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</row>
    <row r="1655" spans="1:36" ht="11.25" customHeight="1" x14ac:dyDescent="0.2">
      <c r="A1655" s="53" t="s">
        <v>28</v>
      </c>
      <c r="B1655" s="53" t="s">
        <v>39</v>
      </c>
      <c r="C1655" s="53" t="s">
        <v>37</v>
      </c>
      <c r="D1655" s="53" t="s">
        <v>43</v>
      </c>
      <c r="E1655" s="53" t="s">
        <v>25</v>
      </c>
      <c r="F1655" s="53" t="s">
        <v>25</v>
      </c>
      <c r="G1655" s="53" t="s">
        <v>25</v>
      </c>
      <c r="H1655" s="53" t="s">
        <v>38</v>
      </c>
      <c r="I1655" s="75">
        <v>44409</v>
      </c>
      <c r="J1655" s="76">
        <f>EFEITO!$J$1655*EFEITO!$Y$1655</f>
        <v>0</v>
      </c>
      <c r="K1655" s="76">
        <f ca="1">EFEITO!$L$1655*EFEITO!$Z$1655</f>
        <v>28.482973037619473</v>
      </c>
      <c r="L1655" s="76">
        <f>EFEITO!$N$1655*EFEITO!$AA$1655</f>
        <v>10.032147066202722</v>
      </c>
      <c r="M1655" s="76">
        <f>$J$1655-EFEITO!$K$1655*EFEITO!$Y$1655</f>
        <v>0</v>
      </c>
      <c r="N1655" s="76">
        <f ca="1">$K$1655-EFEITO!$M$1655*EFEITO!$Z$1655</f>
        <v>0</v>
      </c>
      <c r="O1655" s="76">
        <f>$L$1655-EFEITO!$O$1655*EFEITO!$AA$1655</f>
        <v>0</v>
      </c>
      <c r="P1655" s="57"/>
      <c r="Q1655" s="57"/>
      <c r="R1655" s="57"/>
      <c r="S1655" s="57"/>
      <c r="T1655" s="57"/>
      <c r="U1655" s="57"/>
      <c r="V1655" s="57"/>
      <c r="W1655" s="57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</row>
    <row r="1656" spans="1:36" ht="11.25" customHeight="1" x14ac:dyDescent="0.2">
      <c r="A1656" s="53" t="s">
        <v>21</v>
      </c>
      <c r="B1656" s="53" t="s">
        <v>39</v>
      </c>
      <c r="C1656" s="53" t="s">
        <v>37</v>
      </c>
      <c r="D1656" s="53" t="s">
        <v>43</v>
      </c>
      <c r="E1656" s="53" t="s">
        <v>25</v>
      </c>
      <c r="F1656" s="53" t="s">
        <v>25</v>
      </c>
      <c r="G1656" s="53" t="s">
        <v>25</v>
      </c>
      <c r="H1656" s="53" t="s">
        <v>38</v>
      </c>
      <c r="I1656" s="75">
        <v>44440</v>
      </c>
      <c r="J1656" s="76">
        <f>EFEITO!$J$1656*EFEITO!$Y$1656</f>
        <v>0</v>
      </c>
      <c r="K1656" s="76">
        <f ca="1">EFEITO!$L$1656*EFEITO!$Z$1656</f>
        <v>6528.7593062716423</v>
      </c>
      <c r="L1656" s="76">
        <f>EFEITO!$N$1656*EFEITO!$AA$1656</f>
        <v>2299.5307910396023</v>
      </c>
      <c r="M1656" s="76">
        <f>$J$1656-EFEITO!$K$1656*EFEITO!$Y$1656</f>
        <v>0</v>
      </c>
      <c r="N1656" s="76">
        <f ca="1">$K$1656-EFEITO!$M$1656*EFEITO!$Z$1656</f>
        <v>0</v>
      </c>
      <c r="O1656" s="76">
        <f>$L$1656-EFEITO!$O$1656*EFEITO!$AA$1656</f>
        <v>0</v>
      </c>
      <c r="P1656" s="57"/>
      <c r="Q1656" s="57"/>
      <c r="R1656" s="57"/>
      <c r="S1656" s="57"/>
      <c r="T1656" s="57"/>
      <c r="U1656" s="57"/>
      <c r="V1656" s="57"/>
      <c r="W1656" s="57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</row>
    <row r="1657" spans="1:36" ht="11.25" customHeight="1" x14ac:dyDescent="0.2">
      <c r="A1657" s="53" t="s">
        <v>28</v>
      </c>
      <c r="B1657" s="53" t="s">
        <v>39</v>
      </c>
      <c r="C1657" s="53" t="s">
        <v>37</v>
      </c>
      <c r="D1657" s="53" t="s">
        <v>43</v>
      </c>
      <c r="E1657" s="53" t="s">
        <v>25</v>
      </c>
      <c r="F1657" s="53" t="s">
        <v>25</v>
      </c>
      <c r="G1657" s="53" t="s">
        <v>25</v>
      </c>
      <c r="H1657" s="53" t="s">
        <v>38</v>
      </c>
      <c r="I1657" s="75">
        <v>44440</v>
      </c>
      <c r="J1657" s="76">
        <f>EFEITO!$J$1657*EFEITO!$Y$1657</f>
        <v>0</v>
      </c>
      <c r="K1657" s="76">
        <f ca="1">EFEITO!$L$1657*EFEITO!$Z$1657</f>
        <v>20.015062134543413</v>
      </c>
      <c r="L1657" s="76">
        <f>EFEITO!$N$1657*EFEITO!$AA$1657</f>
        <v>7.0496168573316424</v>
      </c>
      <c r="M1657" s="76">
        <f>$J$1657-EFEITO!$K$1657*EFEITO!$Y$1657</f>
        <v>0</v>
      </c>
      <c r="N1657" s="76">
        <f ca="1">$K$1657-EFEITO!$M$1657*EFEITO!$Z$1657</f>
        <v>0</v>
      </c>
      <c r="O1657" s="76">
        <f>$L$1657-EFEITO!$O$1657*EFEITO!$AA$1657</f>
        <v>0</v>
      </c>
      <c r="P1657" s="57"/>
      <c r="Q1657" s="57"/>
      <c r="R1657" s="57"/>
      <c r="S1657" s="57"/>
      <c r="T1657" s="57"/>
      <c r="U1657" s="57"/>
      <c r="V1657" s="57"/>
      <c r="W1657" s="57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</row>
    <row r="1658" spans="1:36" ht="11.25" customHeight="1" x14ac:dyDescent="0.2">
      <c r="A1658" s="53" t="s">
        <v>21</v>
      </c>
      <c r="B1658" s="53" t="s">
        <v>39</v>
      </c>
      <c r="C1658" s="53" t="s">
        <v>37</v>
      </c>
      <c r="D1658" s="53" t="s">
        <v>43</v>
      </c>
      <c r="E1658" s="53" t="s">
        <v>25</v>
      </c>
      <c r="F1658" s="53" t="s">
        <v>25</v>
      </c>
      <c r="G1658" s="53" t="s">
        <v>25</v>
      </c>
      <c r="H1658" s="53" t="s">
        <v>38</v>
      </c>
      <c r="I1658" s="75">
        <v>44470</v>
      </c>
      <c r="J1658" s="76">
        <f>EFEITO!$J$1658*EFEITO!$Y$1658</f>
        <v>0</v>
      </c>
      <c r="K1658" s="76">
        <f ca="1">EFEITO!$L$1658*EFEITO!$Z$1658</f>
        <v>7521.0445020957368</v>
      </c>
      <c r="L1658" s="76">
        <f>EFEITO!$N$1658*EFEITO!$AA$1658</f>
        <v>2649.0291036973135</v>
      </c>
      <c r="M1658" s="76">
        <f>$J$1658-EFEITO!$K$1658*EFEITO!$Y$1658</f>
        <v>0</v>
      </c>
      <c r="N1658" s="76">
        <f ca="1">$K$1658-EFEITO!$M$1658*EFEITO!$Z$1658</f>
        <v>0</v>
      </c>
      <c r="O1658" s="76">
        <f>$L$1658-EFEITO!$O$1658*EFEITO!$AA$1658</f>
        <v>0</v>
      </c>
      <c r="P1658" s="57"/>
      <c r="Q1658" s="57"/>
      <c r="R1658" s="57"/>
      <c r="S1658" s="57"/>
      <c r="T1658" s="57"/>
      <c r="U1658" s="57"/>
      <c r="V1658" s="57"/>
      <c r="W1658" s="57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</row>
    <row r="1659" spans="1:36" ht="11.25" customHeight="1" x14ac:dyDescent="0.2">
      <c r="A1659" s="53" t="s">
        <v>28</v>
      </c>
      <c r="B1659" s="53" t="s">
        <v>39</v>
      </c>
      <c r="C1659" s="53" t="s">
        <v>37</v>
      </c>
      <c r="D1659" s="53" t="s">
        <v>43</v>
      </c>
      <c r="E1659" s="53" t="s">
        <v>25</v>
      </c>
      <c r="F1659" s="53" t="s">
        <v>25</v>
      </c>
      <c r="G1659" s="53" t="s">
        <v>25</v>
      </c>
      <c r="H1659" s="53" t="s">
        <v>38</v>
      </c>
      <c r="I1659" s="75">
        <v>44470</v>
      </c>
      <c r="J1659" s="76">
        <f>EFEITO!$J$1659*EFEITO!$Y$1659</f>
        <v>0</v>
      </c>
      <c r="K1659" s="76">
        <f ca="1">EFEITO!$L$1659*EFEITO!$Z$1659</f>
        <v>53.88670574684766</v>
      </c>
      <c r="L1659" s="76">
        <f>EFEITO!$N$1659*EFEITO!$AA$1659</f>
        <v>18.979737692815963</v>
      </c>
      <c r="M1659" s="76">
        <f>$J$1659-EFEITO!$K$1659*EFEITO!$Y$1659</f>
        <v>0</v>
      </c>
      <c r="N1659" s="76">
        <f ca="1">$K$1659-EFEITO!$M$1659*EFEITO!$Z$1659</f>
        <v>0</v>
      </c>
      <c r="O1659" s="76">
        <f>$L$1659-EFEITO!$O$1659*EFEITO!$AA$1659</f>
        <v>0</v>
      </c>
      <c r="P1659" s="57"/>
      <c r="Q1659" s="57"/>
      <c r="R1659" s="57"/>
      <c r="S1659" s="57"/>
      <c r="T1659" s="57"/>
      <c r="U1659" s="57"/>
      <c r="V1659" s="57"/>
      <c r="W1659" s="57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</row>
    <row r="1660" spans="1:36" ht="11.25" customHeight="1" x14ac:dyDescent="0.2">
      <c r="A1660" s="53" t="s">
        <v>21</v>
      </c>
      <c r="B1660" s="53" t="s">
        <v>39</v>
      </c>
      <c r="C1660" s="53" t="s">
        <v>37</v>
      </c>
      <c r="D1660" s="53" t="s">
        <v>43</v>
      </c>
      <c r="E1660" s="53" t="s">
        <v>25</v>
      </c>
      <c r="F1660" s="53" t="s">
        <v>25</v>
      </c>
      <c r="G1660" s="53" t="s">
        <v>25</v>
      </c>
      <c r="H1660" s="53" t="s">
        <v>38</v>
      </c>
      <c r="I1660" s="75">
        <v>44501</v>
      </c>
      <c r="J1660" s="76">
        <f>EFEITO!$J$1660*EFEITO!$Y$1660</f>
        <v>0</v>
      </c>
      <c r="K1660" s="76">
        <f ca="1">EFEITO!$L$1660*EFEITO!$Z$1660</f>
        <v>7557.225575954335</v>
      </c>
      <c r="L1660" s="76">
        <f>EFEITO!$N$1660*EFEITO!$AA$1660</f>
        <v>2661.7726418624898</v>
      </c>
      <c r="M1660" s="76">
        <f>$J$1660-EFEITO!$K$1660*EFEITO!$Y$1660</f>
        <v>0</v>
      </c>
      <c r="N1660" s="76">
        <f ca="1">$K$1660-EFEITO!$M$1660*EFEITO!$Z$1660</f>
        <v>0</v>
      </c>
      <c r="O1660" s="76">
        <f>$L$1660-EFEITO!$O$1660*EFEITO!$AA$1660</f>
        <v>0</v>
      </c>
      <c r="P1660" s="57"/>
      <c r="Q1660" s="57"/>
      <c r="R1660" s="57"/>
      <c r="S1660" s="57"/>
      <c r="T1660" s="57"/>
      <c r="U1660" s="57"/>
      <c r="V1660" s="57"/>
      <c r="W1660" s="57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</row>
    <row r="1661" spans="1:36" ht="11.25" customHeight="1" x14ac:dyDescent="0.2">
      <c r="A1661" s="53" t="s">
        <v>27</v>
      </c>
      <c r="B1661" s="53" t="s">
        <v>39</v>
      </c>
      <c r="C1661" s="53" t="s">
        <v>37</v>
      </c>
      <c r="D1661" s="53" t="s">
        <v>43</v>
      </c>
      <c r="E1661" s="53" t="s">
        <v>25</v>
      </c>
      <c r="F1661" s="53" t="s">
        <v>25</v>
      </c>
      <c r="G1661" s="53" t="s">
        <v>25</v>
      </c>
      <c r="H1661" s="53" t="s">
        <v>38</v>
      </c>
      <c r="I1661" s="75">
        <v>44501</v>
      </c>
      <c r="J1661" s="76">
        <f>EFEITO!$J$1661*EFEITO!$Y$1661</f>
        <v>0</v>
      </c>
      <c r="K1661" s="76">
        <f ca="1">EFEITO!$L$1661*EFEITO!$Z$1661</f>
        <v>-30.02259320181512</v>
      </c>
      <c r="L1661" s="76">
        <f>EFEITO!$N$1661*EFEITO!$AA$1661</f>
        <v>-10.574425285997464</v>
      </c>
      <c r="M1661" s="76">
        <f>$J$1661-EFEITO!$K$1661*EFEITO!$Y$1661</f>
        <v>0</v>
      </c>
      <c r="N1661" s="76">
        <f ca="1">$K$1661-EFEITO!$M$1661*EFEITO!$Z$1661</f>
        <v>0</v>
      </c>
      <c r="O1661" s="76">
        <f>$L$1661-EFEITO!$O$1661*EFEITO!$AA$1661</f>
        <v>0</v>
      </c>
      <c r="P1661" s="57"/>
      <c r="Q1661" s="57"/>
      <c r="R1661" s="57"/>
      <c r="S1661" s="57"/>
      <c r="T1661" s="57"/>
      <c r="U1661" s="57"/>
      <c r="V1661" s="57"/>
      <c r="W1661" s="57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</row>
    <row r="1662" spans="1:36" ht="11.25" customHeight="1" x14ac:dyDescent="0.2">
      <c r="A1662" s="53" t="s">
        <v>28</v>
      </c>
      <c r="B1662" s="53" t="s">
        <v>39</v>
      </c>
      <c r="C1662" s="53" t="s">
        <v>37</v>
      </c>
      <c r="D1662" s="53" t="s">
        <v>43</v>
      </c>
      <c r="E1662" s="53" t="s">
        <v>25</v>
      </c>
      <c r="F1662" s="53" t="s">
        <v>25</v>
      </c>
      <c r="G1662" s="53" t="s">
        <v>25</v>
      </c>
      <c r="H1662" s="53" t="s">
        <v>38</v>
      </c>
      <c r="I1662" s="75">
        <v>44501</v>
      </c>
      <c r="J1662" s="76">
        <f>EFEITO!$J$1662*EFEITO!$Y$1662</f>
        <v>0</v>
      </c>
      <c r="K1662" s="76">
        <f ca="1">EFEITO!$L$1662*EFEITO!$Z$1662</f>
        <v>26.173542791326007</v>
      </c>
      <c r="L1662" s="76">
        <f>EFEITO!$N$1662*EFEITO!$AA$1662</f>
        <v>9.2187297365106105</v>
      </c>
      <c r="M1662" s="76">
        <f>$J$1662-EFEITO!$K$1662*EFEITO!$Y$1662</f>
        <v>0</v>
      </c>
      <c r="N1662" s="76">
        <f ca="1">$K$1662-EFEITO!$M$1662*EFEITO!$Z$1662</f>
        <v>0</v>
      </c>
      <c r="O1662" s="76">
        <f>$L$1662-EFEITO!$O$1662*EFEITO!$AA$1662</f>
        <v>0</v>
      </c>
      <c r="P1662" s="57"/>
      <c r="Q1662" s="57"/>
      <c r="R1662" s="57"/>
      <c r="S1662" s="57"/>
      <c r="T1662" s="57"/>
      <c r="U1662" s="57"/>
      <c r="V1662" s="57"/>
      <c r="W1662" s="57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</row>
    <row r="1663" spans="1:36" ht="11.25" customHeight="1" x14ac:dyDescent="0.2">
      <c r="A1663" s="53" t="s">
        <v>21</v>
      </c>
      <c r="B1663" s="53" t="s">
        <v>39</v>
      </c>
      <c r="C1663" s="53" t="s">
        <v>37</v>
      </c>
      <c r="D1663" s="53" t="s">
        <v>43</v>
      </c>
      <c r="E1663" s="53" t="s">
        <v>25</v>
      </c>
      <c r="F1663" s="53" t="s">
        <v>25</v>
      </c>
      <c r="G1663" s="53" t="s">
        <v>25</v>
      </c>
      <c r="H1663" s="53" t="s">
        <v>38</v>
      </c>
      <c r="I1663" s="75">
        <v>44531</v>
      </c>
      <c r="J1663" s="76">
        <f>EFEITO!$J$1663*EFEITO!$Y$1663</f>
        <v>0</v>
      </c>
      <c r="K1663" s="76">
        <f ca="1">EFEITO!$L$1663*EFEITO!$Z$1663</f>
        <v>7725.0441738516602</v>
      </c>
      <c r="L1663" s="76">
        <f>EFEITO!$N$1663*EFEITO!$AA$1663</f>
        <v>2720.8809678201169</v>
      </c>
      <c r="M1663" s="76">
        <f>$J$1663-EFEITO!$K$1663*EFEITO!$Y$1663</f>
        <v>0</v>
      </c>
      <c r="N1663" s="76">
        <f ca="1">$K$1663-EFEITO!$M$1663*EFEITO!$Z$1663</f>
        <v>0</v>
      </c>
      <c r="O1663" s="76">
        <f>$L$1663-EFEITO!$O$1663*EFEITO!$AA$1663</f>
        <v>0</v>
      </c>
      <c r="P1663" s="57"/>
      <c r="Q1663" s="57"/>
      <c r="R1663" s="57"/>
      <c r="S1663" s="57"/>
      <c r="T1663" s="57"/>
      <c r="U1663" s="57"/>
      <c r="V1663" s="57"/>
      <c r="W1663" s="57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</row>
    <row r="1664" spans="1:36" ht="11.25" customHeight="1" x14ac:dyDescent="0.2">
      <c r="A1664" s="53" t="s">
        <v>28</v>
      </c>
      <c r="B1664" s="53" t="s">
        <v>39</v>
      </c>
      <c r="C1664" s="53" t="s">
        <v>37</v>
      </c>
      <c r="D1664" s="53" t="s">
        <v>43</v>
      </c>
      <c r="E1664" s="53" t="s">
        <v>25</v>
      </c>
      <c r="F1664" s="53" t="s">
        <v>25</v>
      </c>
      <c r="G1664" s="53" t="s">
        <v>25</v>
      </c>
      <c r="H1664" s="53" t="s">
        <v>38</v>
      </c>
      <c r="I1664" s="75">
        <v>44531</v>
      </c>
      <c r="J1664" s="76">
        <f>EFEITO!$J$1664*EFEITO!$Y$1664</f>
        <v>0</v>
      </c>
      <c r="K1664" s="76">
        <f ca="1">EFEITO!$L$1664*EFEITO!$Z$1664</f>
        <v>19.245252052445593</v>
      </c>
      <c r="L1664" s="76">
        <f>EFEITO!$N$1664*EFEITO!$AA$1664</f>
        <v>6.7784777474342723</v>
      </c>
      <c r="M1664" s="76">
        <f>$J$1664-EFEITO!$K$1664*EFEITO!$Y$1664</f>
        <v>0</v>
      </c>
      <c r="N1664" s="76">
        <f ca="1">$K$1664-EFEITO!$M$1664*EFEITO!$Z$1664</f>
        <v>0</v>
      </c>
      <c r="O1664" s="76">
        <f>$L$1664-EFEITO!$O$1664*EFEITO!$AA$1664</f>
        <v>0</v>
      </c>
      <c r="P1664" s="57"/>
      <c r="Q1664" s="57"/>
      <c r="R1664" s="57"/>
      <c r="S1664" s="57"/>
      <c r="T1664" s="57"/>
      <c r="U1664" s="57"/>
      <c r="V1664" s="57"/>
      <c r="W1664" s="57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</row>
    <row r="1665" spans="1:36" ht="11.25" customHeight="1" x14ac:dyDescent="0.2">
      <c r="A1665" s="53" t="s">
        <v>21</v>
      </c>
      <c r="B1665" s="53" t="s">
        <v>39</v>
      </c>
      <c r="C1665" s="53" t="s">
        <v>37</v>
      </c>
      <c r="D1665" s="53" t="s">
        <v>43</v>
      </c>
      <c r="E1665" s="53" t="s">
        <v>25</v>
      </c>
      <c r="F1665" s="53" t="s">
        <v>25</v>
      </c>
      <c r="G1665" s="53" t="s">
        <v>25</v>
      </c>
      <c r="H1665" s="53" t="s">
        <v>38</v>
      </c>
      <c r="I1665" s="75">
        <v>44562</v>
      </c>
      <c r="J1665" s="76">
        <f>EFEITO!$J$1665*EFEITO!$Y$1665</f>
        <v>0</v>
      </c>
      <c r="K1665" s="76">
        <f ca="1">EFEITO!$L$1665*EFEITO!$Z$1665</f>
        <v>7046.8414915234771</v>
      </c>
      <c r="L1665" s="76">
        <f>EFEITO!$N$1665*EFEITO!$AA$1665</f>
        <v>2482.0074120005329</v>
      </c>
      <c r="M1665" s="76">
        <f>$J$1665-EFEITO!$K$1665*EFEITO!$Y$1665</f>
        <v>0</v>
      </c>
      <c r="N1665" s="76">
        <f ca="1">$K$1665-EFEITO!$M$1665*EFEITO!$Z$1665</f>
        <v>0</v>
      </c>
      <c r="O1665" s="76">
        <f>$L$1665-EFEITO!$O$1665*EFEITO!$AA$1665</f>
        <v>0</v>
      </c>
      <c r="P1665" s="57"/>
      <c r="Q1665" s="57"/>
      <c r="R1665" s="57"/>
      <c r="S1665" s="57"/>
      <c r="T1665" s="57"/>
      <c r="U1665" s="57"/>
      <c r="V1665" s="57"/>
      <c r="W1665" s="57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</row>
    <row r="1666" spans="1:36" ht="11.25" customHeight="1" x14ac:dyDescent="0.2">
      <c r="A1666" s="53" t="s">
        <v>28</v>
      </c>
      <c r="B1666" s="53" t="s">
        <v>39</v>
      </c>
      <c r="C1666" s="53" t="s">
        <v>37</v>
      </c>
      <c r="D1666" s="53" t="s">
        <v>43</v>
      </c>
      <c r="E1666" s="53" t="s">
        <v>25</v>
      </c>
      <c r="F1666" s="53" t="s">
        <v>25</v>
      </c>
      <c r="G1666" s="53" t="s">
        <v>25</v>
      </c>
      <c r="H1666" s="53" t="s">
        <v>38</v>
      </c>
      <c r="I1666" s="75">
        <v>44562</v>
      </c>
      <c r="J1666" s="76">
        <f>EFEITO!$J$1666*EFEITO!$Y$1666</f>
        <v>0</v>
      </c>
      <c r="K1666" s="76">
        <f ca="1">EFEITO!$L$1666*EFEITO!$Z$1666</f>
        <v>9.2377209851738833</v>
      </c>
      <c r="L1666" s="76">
        <f>EFEITO!$N$1666*EFEITO!$AA$1666</f>
        <v>3.2536693187684507</v>
      </c>
      <c r="M1666" s="76">
        <f>$J$1666-EFEITO!$K$1666*EFEITO!$Y$1666</f>
        <v>0</v>
      </c>
      <c r="N1666" s="76">
        <f ca="1">$K$1666-EFEITO!$M$1666*EFEITO!$Z$1666</f>
        <v>0</v>
      </c>
      <c r="O1666" s="76">
        <f>$L$1666-EFEITO!$O$1666*EFEITO!$AA$1666</f>
        <v>0</v>
      </c>
      <c r="P1666" s="57"/>
      <c r="Q1666" s="57"/>
      <c r="R1666" s="57"/>
      <c r="S1666" s="57"/>
      <c r="T1666" s="57"/>
      <c r="U1666" s="57"/>
      <c r="V1666" s="57"/>
      <c r="W1666" s="57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</row>
    <row r="1667" spans="1:36" ht="11.25" customHeight="1" x14ac:dyDescent="0.2">
      <c r="A1667" s="53" t="s">
        <v>21</v>
      </c>
      <c r="B1667" s="53" t="s">
        <v>39</v>
      </c>
      <c r="C1667" s="53" t="s">
        <v>37</v>
      </c>
      <c r="D1667" s="53" t="s">
        <v>43</v>
      </c>
      <c r="E1667" s="53" t="s">
        <v>25</v>
      </c>
      <c r="F1667" s="53" t="s">
        <v>25</v>
      </c>
      <c r="G1667" s="53" t="s">
        <v>25</v>
      </c>
      <c r="H1667" s="53" t="s">
        <v>38</v>
      </c>
      <c r="I1667" s="75">
        <v>44593</v>
      </c>
      <c r="J1667" s="76">
        <f>EFEITO!$J$1667*EFEITO!$Y$1667</f>
        <v>0</v>
      </c>
      <c r="K1667" s="76">
        <f ca="1">EFEITO!$L$1667*EFEITO!$Z$1667</f>
        <v>7390.946598221205</v>
      </c>
      <c r="L1667" s="76">
        <f>EFEITO!$N$1667*EFEITO!$AA$1667</f>
        <v>2603.2065941246578</v>
      </c>
      <c r="M1667" s="76">
        <f>$J$1667-EFEITO!$K$1667*EFEITO!$Y$1667</f>
        <v>0</v>
      </c>
      <c r="N1667" s="76">
        <f ca="1">$K$1667-EFEITO!$M$1667*EFEITO!$Z$1667</f>
        <v>0</v>
      </c>
      <c r="O1667" s="76">
        <f>$L$1667-EFEITO!$O$1667*EFEITO!$AA$1667</f>
        <v>0</v>
      </c>
      <c r="P1667" s="57"/>
      <c r="Q1667" s="57"/>
      <c r="R1667" s="57"/>
      <c r="S1667" s="57"/>
      <c r="T1667" s="57"/>
      <c r="U1667" s="57"/>
      <c r="V1667" s="57"/>
      <c r="W1667" s="57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</row>
    <row r="1668" spans="1:36" ht="11.25" customHeight="1" x14ac:dyDescent="0.2">
      <c r="A1668" s="53" t="s">
        <v>27</v>
      </c>
      <c r="B1668" s="53" t="s">
        <v>39</v>
      </c>
      <c r="C1668" s="53" t="s">
        <v>37</v>
      </c>
      <c r="D1668" s="53" t="s">
        <v>43</v>
      </c>
      <c r="E1668" s="53" t="s">
        <v>25</v>
      </c>
      <c r="F1668" s="53" t="s">
        <v>25</v>
      </c>
      <c r="G1668" s="53" t="s">
        <v>25</v>
      </c>
      <c r="H1668" s="53" t="s">
        <v>38</v>
      </c>
      <c r="I1668" s="75">
        <v>44593</v>
      </c>
      <c r="J1668" s="76">
        <f>EFEITO!$J$1668*EFEITO!$Y$1668</f>
        <v>0</v>
      </c>
      <c r="K1668" s="76">
        <f ca="1">EFEITO!$L$1668*EFEITO!$Z$1668</f>
        <v>-155.50163658376039</v>
      </c>
      <c r="L1668" s="76">
        <f>EFEITO!$N$1668*EFEITO!$AA$1668</f>
        <v>-54.770100199268917</v>
      </c>
      <c r="M1668" s="76">
        <f>$J$1668-EFEITO!$K$1668*EFEITO!$Y$1668</f>
        <v>0</v>
      </c>
      <c r="N1668" s="76">
        <f ca="1">$K$1668-EFEITO!$M$1668*EFEITO!$Z$1668</f>
        <v>0</v>
      </c>
      <c r="O1668" s="76">
        <f>$L$1668-EFEITO!$O$1668*EFEITO!$AA$1668</f>
        <v>0</v>
      </c>
      <c r="P1668" s="57"/>
      <c r="Q1668" s="57"/>
      <c r="R1668" s="57"/>
      <c r="S1668" s="57"/>
      <c r="T1668" s="57"/>
      <c r="U1668" s="57"/>
      <c r="V1668" s="57"/>
      <c r="W1668" s="57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</row>
    <row r="1669" spans="1:36" ht="11.25" customHeight="1" x14ac:dyDescent="0.2">
      <c r="A1669" s="53" t="s">
        <v>28</v>
      </c>
      <c r="B1669" s="53" t="s">
        <v>39</v>
      </c>
      <c r="C1669" s="53" t="s">
        <v>37</v>
      </c>
      <c r="D1669" s="53" t="s">
        <v>43</v>
      </c>
      <c r="E1669" s="53" t="s">
        <v>25</v>
      </c>
      <c r="F1669" s="53" t="s">
        <v>25</v>
      </c>
      <c r="G1669" s="53" t="s">
        <v>25</v>
      </c>
      <c r="H1669" s="53" t="s">
        <v>38</v>
      </c>
      <c r="I1669" s="75">
        <v>44593</v>
      </c>
      <c r="J1669" s="76">
        <f>EFEITO!$J$1669*EFEITO!$Y$1669</f>
        <v>0</v>
      </c>
      <c r="K1669" s="76">
        <f ca="1">EFEITO!$L$1669*EFEITO!$Z$1669</f>
        <v>6.9282907388804125</v>
      </c>
      <c r="L1669" s="76">
        <f>EFEITO!$N$1669*EFEITO!$AA$1669</f>
        <v>2.4402519890763377</v>
      </c>
      <c r="M1669" s="76">
        <f>$J$1669-EFEITO!$K$1669*EFEITO!$Y$1669</f>
        <v>0</v>
      </c>
      <c r="N1669" s="76">
        <f ca="1">$K$1669-EFEITO!$M$1669*EFEITO!$Z$1669</f>
        <v>0</v>
      </c>
      <c r="O1669" s="76">
        <f>$L$1669-EFEITO!$O$1669*EFEITO!$AA$1669</f>
        <v>0</v>
      </c>
      <c r="P1669" s="57"/>
      <c r="Q1669" s="57"/>
      <c r="R1669" s="57"/>
      <c r="S1669" s="57"/>
      <c r="T1669" s="57"/>
      <c r="U1669" s="57"/>
      <c r="V1669" s="57"/>
      <c r="W1669" s="57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</row>
    <row r="1670" spans="1:36" ht="11.25" customHeight="1" x14ac:dyDescent="0.2">
      <c r="A1670" s="53" t="s">
        <v>21</v>
      </c>
      <c r="B1670" s="53" t="s">
        <v>39</v>
      </c>
      <c r="C1670" s="53" t="s">
        <v>37</v>
      </c>
      <c r="D1670" s="53" t="s">
        <v>43</v>
      </c>
      <c r="E1670" s="53" t="s">
        <v>25</v>
      </c>
      <c r="F1670" s="53" t="s">
        <v>25</v>
      </c>
      <c r="G1670" s="53" t="s">
        <v>25</v>
      </c>
      <c r="H1670" s="53" t="s">
        <v>38</v>
      </c>
      <c r="I1670" s="75">
        <v>44621</v>
      </c>
      <c r="J1670" s="76">
        <f>EFEITO!$J$1670*EFEITO!$Y$1670</f>
        <v>0</v>
      </c>
      <c r="K1670" s="76">
        <f ca="1">EFEITO!$L$1670*EFEITO!$Z$1670</f>
        <v>7544.9086146407699</v>
      </c>
      <c r="L1670" s="76">
        <f>EFEITO!$N$1670*EFEITO!$AA$1670</f>
        <v>2657.4344161041317</v>
      </c>
      <c r="M1670" s="76">
        <f>$J$1670-EFEITO!$K$1670*EFEITO!$Y$1670</f>
        <v>0</v>
      </c>
      <c r="N1670" s="76">
        <f ca="1">$K$1670-EFEITO!$M$1670*EFEITO!$Z$1670</f>
        <v>0</v>
      </c>
      <c r="O1670" s="76">
        <f>$L$1670-EFEITO!$O$1670*EFEITO!$AA$1670</f>
        <v>0</v>
      </c>
      <c r="P1670" s="57"/>
      <c r="Q1670" s="57"/>
      <c r="R1670" s="57"/>
      <c r="S1670" s="57"/>
      <c r="T1670" s="57"/>
      <c r="U1670" s="57"/>
      <c r="V1670" s="57"/>
      <c r="W1670" s="57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</row>
    <row r="1671" spans="1:36" ht="11.25" customHeight="1" x14ac:dyDescent="0.2">
      <c r="A1671" s="53" t="s">
        <v>28</v>
      </c>
      <c r="B1671" s="53" t="s">
        <v>39</v>
      </c>
      <c r="C1671" s="53" t="s">
        <v>37</v>
      </c>
      <c r="D1671" s="53" t="s">
        <v>43</v>
      </c>
      <c r="E1671" s="53" t="s">
        <v>25</v>
      </c>
      <c r="F1671" s="53" t="s">
        <v>25</v>
      </c>
      <c r="G1671" s="53" t="s">
        <v>25</v>
      </c>
      <c r="H1671" s="53" t="s">
        <v>38</v>
      </c>
      <c r="I1671" s="75">
        <v>44621</v>
      </c>
      <c r="J1671" s="76">
        <f>EFEITO!$J$1671*EFEITO!$Y$1671</f>
        <v>0</v>
      </c>
      <c r="K1671" s="76">
        <f ca="1">EFEITO!$L$1671*EFEITO!$Z$1671</f>
        <v>6.1584806567825892</v>
      </c>
      <c r="L1671" s="76">
        <f>EFEITO!$N$1671*EFEITO!$AA$1671</f>
        <v>2.1691128791789671</v>
      </c>
      <c r="M1671" s="76">
        <f>$J$1671-EFEITO!$K$1671*EFEITO!$Y$1671</f>
        <v>0</v>
      </c>
      <c r="N1671" s="76">
        <f ca="1">$K$1671-EFEITO!$M$1671*EFEITO!$Z$1671</f>
        <v>0</v>
      </c>
      <c r="O1671" s="76">
        <f>$L$1671-EFEITO!$O$1671*EFEITO!$AA$1671</f>
        <v>0</v>
      </c>
      <c r="P1671" s="57"/>
      <c r="Q1671" s="57"/>
      <c r="R1671" s="57"/>
      <c r="S1671" s="57"/>
      <c r="T1671" s="57"/>
      <c r="U1671" s="57"/>
      <c r="V1671" s="57"/>
      <c r="W1671" s="57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</row>
    <row r="1672" spans="1:36" ht="11.25" customHeight="1" x14ac:dyDescent="0.2">
      <c r="A1672" s="53" t="s">
        <v>56</v>
      </c>
      <c r="B1672" s="53" t="s">
        <v>39</v>
      </c>
      <c r="C1672" s="53" t="s">
        <v>37</v>
      </c>
      <c r="D1672" s="53" t="s">
        <v>43</v>
      </c>
      <c r="E1672" s="53" t="s">
        <v>25</v>
      </c>
      <c r="F1672" s="53" t="s">
        <v>25</v>
      </c>
      <c r="G1672" s="53" t="s">
        <v>25</v>
      </c>
      <c r="H1672" s="53" t="s">
        <v>38</v>
      </c>
      <c r="I1672" s="75">
        <v>44652</v>
      </c>
      <c r="J1672" s="76">
        <f>EFEITO!$J$1672*EFEITO!$Y$1672</f>
        <v>0</v>
      </c>
      <c r="K1672" s="76">
        <f ca="1">EFEITO!$L$1672*EFEITO!$Z$1672</f>
        <v>7544.9086146407699</v>
      </c>
      <c r="L1672" s="76">
        <f>EFEITO!$N$1672*EFEITO!$AA$1672</f>
        <v>2657.4344161041317</v>
      </c>
      <c r="M1672" s="76">
        <f>$J$1672-EFEITO!$K$1672*EFEITO!$Y$1672</f>
        <v>0</v>
      </c>
      <c r="N1672" s="76">
        <f ca="1">$K$1672-EFEITO!$M$1672*EFEITO!$Z$1672</f>
        <v>0</v>
      </c>
      <c r="O1672" s="76">
        <f>$L$1672-EFEITO!$O$1672*EFEITO!$AA$1672</f>
        <v>0</v>
      </c>
      <c r="P1672" s="57"/>
      <c r="Q1672" s="57"/>
      <c r="R1672" s="57"/>
      <c r="S1672" s="57"/>
      <c r="T1672" s="57"/>
      <c r="U1672" s="57"/>
      <c r="V1672" s="57"/>
      <c r="W1672" s="57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</row>
    <row r="1673" spans="1:36" ht="11.25" customHeight="1" x14ac:dyDescent="0.2">
      <c r="A1673" s="53" t="s">
        <v>56</v>
      </c>
      <c r="B1673" s="53" t="s">
        <v>39</v>
      </c>
      <c r="C1673" s="53" t="s">
        <v>37</v>
      </c>
      <c r="D1673" s="53" t="s">
        <v>43</v>
      </c>
      <c r="E1673" s="53" t="s">
        <v>25</v>
      </c>
      <c r="F1673" s="53" t="s">
        <v>25</v>
      </c>
      <c r="G1673" s="53" t="s">
        <v>25</v>
      </c>
      <c r="H1673" s="53" t="s">
        <v>38</v>
      </c>
      <c r="I1673" s="75">
        <v>44652</v>
      </c>
      <c r="J1673" s="76">
        <f>EFEITO!$J$1673*EFEITO!$Y$1673</f>
        <v>0</v>
      </c>
      <c r="K1673" s="76">
        <f ca="1">EFEITO!$L$1673*EFEITO!$Z$1673</f>
        <v>6.1584806567825892</v>
      </c>
      <c r="L1673" s="76">
        <f>EFEITO!$N$1673*EFEITO!$AA$1673</f>
        <v>2.1691128791789671</v>
      </c>
      <c r="M1673" s="76">
        <f>$J$1673-EFEITO!$K$1673*EFEITO!$Y$1673</f>
        <v>0</v>
      </c>
      <c r="N1673" s="76">
        <f ca="1">$K$1673-EFEITO!$M$1673*EFEITO!$Z$1673</f>
        <v>0</v>
      </c>
      <c r="O1673" s="76">
        <f>$L$1673-EFEITO!$O$1673*EFEITO!$AA$1673</f>
        <v>0</v>
      </c>
      <c r="P1673" s="57"/>
      <c r="Q1673" s="57"/>
      <c r="R1673" s="57"/>
      <c r="S1673" s="57"/>
      <c r="T1673" s="57"/>
      <c r="U1673" s="57"/>
      <c r="V1673" s="57"/>
      <c r="W1673" s="57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</row>
    <row r="1674" spans="1:36" ht="11.25" customHeight="1" x14ac:dyDescent="0.2">
      <c r="A1674" s="53" t="s">
        <v>21</v>
      </c>
      <c r="B1674" s="53" t="s">
        <v>39</v>
      </c>
      <c r="C1674" s="53" t="s">
        <v>37</v>
      </c>
      <c r="D1674" s="53" t="s">
        <v>43</v>
      </c>
      <c r="E1674" s="53" t="s">
        <v>25</v>
      </c>
      <c r="F1674" s="53" t="s">
        <v>25</v>
      </c>
      <c r="G1674" s="53" t="s">
        <v>25</v>
      </c>
      <c r="H1674" s="53" t="s">
        <v>35</v>
      </c>
      <c r="I1674" s="75">
        <v>44317</v>
      </c>
      <c r="J1674" s="76">
        <f>EFEITO!$J$1674*EFEITO!$Y$1674</f>
        <v>0</v>
      </c>
      <c r="K1674" s="76">
        <f ca="1">EFEITO!$L$1674*EFEITO!$Z$1674</f>
        <v>12472.306126408337</v>
      </c>
      <c r="L1674" s="76">
        <f>EFEITO!$N$1674*EFEITO!$AA$1674</f>
        <v>4487.3686142231099</v>
      </c>
      <c r="M1674" s="76">
        <f>$J$1674-EFEITO!$K$1674*EFEITO!$Y$1674</f>
        <v>0</v>
      </c>
      <c r="N1674" s="76">
        <f ca="1">$K$1674-EFEITO!$M$1674*EFEITO!$Z$1674</f>
        <v>0</v>
      </c>
      <c r="O1674" s="76">
        <f>$L$1674-EFEITO!$O$1674*EFEITO!$AA$1674</f>
        <v>0</v>
      </c>
      <c r="P1674" s="57"/>
      <c r="Q1674" s="57"/>
      <c r="R1674" s="57"/>
      <c r="S1674" s="57"/>
      <c r="T1674" s="57"/>
      <c r="U1674" s="57"/>
      <c r="V1674" s="57"/>
      <c r="W1674" s="57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</row>
    <row r="1675" spans="1:36" ht="11.25" customHeight="1" x14ac:dyDescent="0.2">
      <c r="A1675" s="53" t="s">
        <v>27</v>
      </c>
      <c r="B1675" s="53" t="s">
        <v>39</v>
      </c>
      <c r="C1675" s="53" t="s">
        <v>37</v>
      </c>
      <c r="D1675" s="53" t="s">
        <v>43</v>
      </c>
      <c r="E1675" s="53" t="s">
        <v>25</v>
      </c>
      <c r="F1675" s="53" t="s">
        <v>25</v>
      </c>
      <c r="G1675" s="53" t="s">
        <v>25</v>
      </c>
      <c r="H1675" s="53" t="s">
        <v>35</v>
      </c>
      <c r="I1675" s="75">
        <v>44317</v>
      </c>
      <c r="J1675" s="76">
        <f>EFEITO!$J$1675*EFEITO!$Y$1675</f>
        <v>0</v>
      </c>
      <c r="K1675" s="76">
        <f ca="1">EFEITO!$L$1675*EFEITO!$Z$1675</f>
        <v>728.12064860384965</v>
      </c>
      <c r="L1675" s="76">
        <f>EFEITO!$N$1675*EFEITO!$AA$1675</f>
        <v>261.96805248345754</v>
      </c>
      <c r="M1675" s="76">
        <f>$J$1675-EFEITO!$K$1675*EFEITO!$Y$1675</f>
        <v>0</v>
      </c>
      <c r="N1675" s="76">
        <f ca="1">$K$1675-EFEITO!$M$1675*EFEITO!$Z$1675</f>
        <v>0</v>
      </c>
      <c r="O1675" s="76">
        <f>$L$1675-EFEITO!$O$1675*EFEITO!$AA$1675</f>
        <v>0</v>
      </c>
      <c r="P1675" s="57"/>
      <c r="Q1675" s="57"/>
      <c r="R1675" s="57"/>
      <c r="S1675" s="57"/>
      <c r="T1675" s="57"/>
      <c r="U1675" s="57"/>
      <c r="V1675" s="57"/>
      <c r="W1675" s="57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</row>
    <row r="1676" spans="1:36" ht="11.25" customHeight="1" x14ac:dyDescent="0.2">
      <c r="A1676" s="53" t="s">
        <v>28</v>
      </c>
      <c r="B1676" s="53" t="s">
        <v>39</v>
      </c>
      <c r="C1676" s="53" t="s">
        <v>37</v>
      </c>
      <c r="D1676" s="53" t="s">
        <v>43</v>
      </c>
      <c r="E1676" s="53" t="s">
        <v>25</v>
      </c>
      <c r="F1676" s="53" t="s">
        <v>25</v>
      </c>
      <c r="G1676" s="53" t="s">
        <v>25</v>
      </c>
      <c r="H1676" s="53" t="s">
        <v>35</v>
      </c>
      <c r="I1676" s="75">
        <v>44317</v>
      </c>
      <c r="J1676" s="76">
        <f>EFEITO!$J$1676*EFEITO!$Y$1676</f>
        <v>0</v>
      </c>
      <c r="K1676" s="76">
        <f ca="1">EFEITO!$L$1676*EFEITO!$Z$1676</f>
        <v>25.920152539295614</v>
      </c>
      <c r="L1676" s="76">
        <f>EFEITO!$N$1676*EFEITO!$AA$1676</f>
        <v>9.3257235511910466</v>
      </c>
      <c r="M1676" s="76">
        <f>$J$1676-EFEITO!$K$1676*EFEITO!$Y$1676</f>
        <v>0</v>
      </c>
      <c r="N1676" s="76">
        <f ca="1">$K$1676-EFEITO!$M$1676*EFEITO!$Z$1676</f>
        <v>0</v>
      </c>
      <c r="O1676" s="76">
        <f>$L$1676-EFEITO!$O$1676*EFEITO!$AA$1676</f>
        <v>0</v>
      </c>
      <c r="P1676" s="57"/>
      <c r="Q1676" s="57"/>
      <c r="R1676" s="57"/>
      <c r="S1676" s="57"/>
      <c r="T1676" s="57"/>
      <c r="U1676" s="57"/>
      <c r="V1676" s="57"/>
      <c r="W1676" s="57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</row>
    <row r="1677" spans="1:36" ht="11.25" customHeight="1" x14ac:dyDescent="0.2">
      <c r="A1677" s="53" t="s">
        <v>21</v>
      </c>
      <c r="B1677" s="53" t="s">
        <v>39</v>
      </c>
      <c r="C1677" s="53" t="s">
        <v>37</v>
      </c>
      <c r="D1677" s="53" t="s">
        <v>43</v>
      </c>
      <c r="E1677" s="53" t="s">
        <v>25</v>
      </c>
      <c r="F1677" s="53" t="s">
        <v>25</v>
      </c>
      <c r="G1677" s="53" t="s">
        <v>25</v>
      </c>
      <c r="H1677" s="53" t="s">
        <v>35</v>
      </c>
      <c r="I1677" s="75">
        <v>44348</v>
      </c>
      <c r="J1677" s="76">
        <f>EFEITO!$J$1677*EFEITO!$Y$1677</f>
        <v>0</v>
      </c>
      <c r="K1677" s="76">
        <f ca="1">EFEITO!$L$1677*EFEITO!$Z$1677</f>
        <v>11013.708451697066</v>
      </c>
      <c r="L1677" s="76">
        <f>EFEITO!$N$1677*EFEITO!$AA$1677</f>
        <v>3962.5847162060868</v>
      </c>
      <c r="M1677" s="76">
        <f>$J$1677-EFEITO!$K$1677*EFEITO!$Y$1677</f>
        <v>0</v>
      </c>
      <c r="N1677" s="76">
        <f ca="1">$K$1677-EFEITO!$M$1677*EFEITO!$Z$1677</f>
        <v>0</v>
      </c>
      <c r="O1677" s="76">
        <f>$L$1677-EFEITO!$O$1677*EFEITO!$AA$1677</f>
        <v>0</v>
      </c>
      <c r="P1677" s="57"/>
      <c r="Q1677" s="57"/>
      <c r="R1677" s="57"/>
      <c r="S1677" s="57"/>
      <c r="T1677" s="57"/>
      <c r="U1677" s="57"/>
      <c r="V1677" s="57"/>
      <c r="W1677" s="57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</row>
    <row r="1678" spans="1:36" ht="11.25" customHeight="1" x14ac:dyDescent="0.2">
      <c r="A1678" s="53" t="s">
        <v>27</v>
      </c>
      <c r="B1678" s="53" t="s">
        <v>39</v>
      </c>
      <c r="C1678" s="53" t="s">
        <v>37</v>
      </c>
      <c r="D1678" s="53" t="s">
        <v>43</v>
      </c>
      <c r="E1678" s="53" t="s">
        <v>25</v>
      </c>
      <c r="F1678" s="53" t="s">
        <v>25</v>
      </c>
      <c r="G1678" s="53" t="s">
        <v>25</v>
      </c>
      <c r="H1678" s="53" t="s">
        <v>35</v>
      </c>
      <c r="I1678" s="75">
        <v>44348</v>
      </c>
      <c r="J1678" s="76">
        <f>EFEITO!$J$1678*EFEITO!$Y$1678</f>
        <v>0</v>
      </c>
      <c r="K1678" s="76">
        <f ca="1">EFEITO!$L$1678*EFEITO!$Z$1678</f>
        <v>-137.84808395898125</v>
      </c>
      <c r="L1678" s="76">
        <f>EFEITO!$N$1678*EFEITO!$AA$1678</f>
        <v>-49.595893431334204</v>
      </c>
      <c r="M1678" s="76">
        <f>$J$1678-EFEITO!$K$1678*EFEITO!$Y$1678</f>
        <v>0</v>
      </c>
      <c r="N1678" s="76">
        <f ca="1">$K$1678-EFEITO!$M$1678*EFEITO!$Z$1678</f>
        <v>0</v>
      </c>
      <c r="O1678" s="76">
        <f>$L$1678-EFEITO!$O$1678*EFEITO!$AA$1678</f>
        <v>0</v>
      </c>
      <c r="P1678" s="57"/>
      <c r="Q1678" s="57"/>
      <c r="R1678" s="57"/>
      <c r="S1678" s="57"/>
      <c r="T1678" s="57"/>
      <c r="U1678" s="57"/>
      <c r="V1678" s="57"/>
      <c r="W1678" s="57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</row>
    <row r="1679" spans="1:36" ht="11.25" customHeight="1" x14ac:dyDescent="0.2">
      <c r="A1679" s="53" t="s">
        <v>28</v>
      </c>
      <c r="B1679" s="53" t="s">
        <v>39</v>
      </c>
      <c r="C1679" s="53" t="s">
        <v>37</v>
      </c>
      <c r="D1679" s="53" t="s">
        <v>43</v>
      </c>
      <c r="E1679" s="53" t="s">
        <v>25</v>
      </c>
      <c r="F1679" s="53" t="s">
        <v>25</v>
      </c>
      <c r="G1679" s="53" t="s">
        <v>25</v>
      </c>
      <c r="H1679" s="53" t="s">
        <v>35</v>
      </c>
      <c r="I1679" s="75">
        <v>44348</v>
      </c>
      <c r="J1679" s="76">
        <f>EFEITO!$J$1679*EFEITO!$Y$1679</f>
        <v>0</v>
      </c>
      <c r="K1679" s="76">
        <f ca="1">EFEITO!$L$1679*EFEITO!$Z$1679</f>
        <v>24.741963787509455</v>
      </c>
      <c r="L1679" s="76">
        <f>EFEITO!$N$1679*EFEITO!$AA$1679</f>
        <v>8.9018270261369086</v>
      </c>
      <c r="M1679" s="76">
        <f>$J$1679-EFEITO!$K$1679*EFEITO!$Y$1679</f>
        <v>0</v>
      </c>
      <c r="N1679" s="76">
        <f ca="1">$K$1679-EFEITO!$M$1679*EFEITO!$Z$1679</f>
        <v>0</v>
      </c>
      <c r="O1679" s="76">
        <f>$L$1679-EFEITO!$O$1679*EFEITO!$AA$1679</f>
        <v>0</v>
      </c>
      <c r="P1679" s="57"/>
      <c r="Q1679" s="57"/>
      <c r="R1679" s="57"/>
      <c r="S1679" s="57"/>
      <c r="T1679" s="57"/>
      <c r="U1679" s="57"/>
      <c r="V1679" s="57"/>
      <c r="W1679" s="57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</row>
    <row r="1680" spans="1:36" ht="11.25" customHeight="1" x14ac:dyDescent="0.2">
      <c r="A1680" s="53" t="s">
        <v>21</v>
      </c>
      <c r="B1680" s="53" t="s">
        <v>39</v>
      </c>
      <c r="C1680" s="53" t="s">
        <v>37</v>
      </c>
      <c r="D1680" s="53" t="s">
        <v>43</v>
      </c>
      <c r="E1680" s="53" t="s">
        <v>25</v>
      </c>
      <c r="F1680" s="53" t="s">
        <v>25</v>
      </c>
      <c r="G1680" s="53" t="s">
        <v>25</v>
      </c>
      <c r="H1680" s="53" t="s">
        <v>35</v>
      </c>
      <c r="I1680" s="75">
        <v>44378</v>
      </c>
      <c r="J1680" s="76">
        <f>EFEITO!$J$1680*EFEITO!$Y$1680</f>
        <v>0</v>
      </c>
      <c r="K1680" s="76">
        <f ca="1">EFEITO!$L$1680*EFEITO!$Z$1680</f>
        <v>10430.505019562914</v>
      </c>
      <c r="L1680" s="76">
        <f>EFEITO!$N$1680*EFEITO!$AA$1680</f>
        <v>3752.7559363042878</v>
      </c>
      <c r="M1680" s="76">
        <f>$J$1680-EFEITO!$K$1680*EFEITO!$Y$1680</f>
        <v>0</v>
      </c>
      <c r="N1680" s="76">
        <f ca="1">$K$1680-EFEITO!$M$1680*EFEITO!$Z$1680</f>
        <v>0</v>
      </c>
      <c r="O1680" s="76">
        <f>$L$1680-EFEITO!$O$1680*EFEITO!$AA$1680</f>
        <v>0</v>
      </c>
      <c r="P1680" s="57"/>
      <c r="Q1680" s="57"/>
      <c r="R1680" s="57"/>
      <c r="S1680" s="57"/>
      <c r="T1680" s="57"/>
      <c r="U1680" s="57"/>
      <c r="V1680" s="57"/>
      <c r="W1680" s="57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</row>
    <row r="1681" spans="1:36" ht="11.25" customHeight="1" x14ac:dyDescent="0.2">
      <c r="A1681" s="53" t="s">
        <v>27</v>
      </c>
      <c r="B1681" s="53" t="s">
        <v>39</v>
      </c>
      <c r="C1681" s="53" t="s">
        <v>37</v>
      </c>
      <c r="D1681" s="53" t="s">
        <v>43</v>
      </c>
      <c r="E1681" s="53" t="s">
        <v>25</v>
      </c>
      <c r="F1681" s="53" t="s">
        <v>25</v>
      </c>
      <c r="G1681" s="53" t="s">
        <v>25</v>
      </c>
      <c r="H1681" s="53" t="s">
        <v>35</v>
      </c>
      <c r="I1681" s="75">
        <v>44378</v>
      </c>
      <c r="J1681" s="76">
        <f>EFEITO!$J$1681*EFEITO!$Y$1681</f>
        <v>0</v>
      </c>
      <c r="K1681" s="76">
        <f ca="1">EFEITO!$L$1681*EFEITO!$Z$1681</f>
        <v>11.781887517861644</v>
      </c>
      <c r="L1681" s="76">
        <f>EFEITO!$N$1681*EFEITO!$AA$1681</f>
        <v>4.2389652505413844</v>
      </c>
      <c r="M1681" s="76">
        <f>$J$1681-EFEITO!$K$1681*EFEITO!$Y$1681</f>
        <v>0</v>
      </c>
      <c r="N1681" s="76">
        <f ca="1">$K$1681-EFEITO!$M$1681*EFEITO!$Z$1681</f>
        <v>0</v>
      </c>
      <c r="O1681" s="76">
        <f>$L$1681-EFEITO!$O$1681*EFEITO!$AA$1681</f>
        <v>0</v>
      </c>
      <c r="P1681" s="57"/>
      <c r="Q1681" s="57"/>
      <c r="R1681" s="57"/>
      <c r="S1681" s="57"/>
      <c r="T1681" s="57"/>
      <c r="U1681" s="57"/>
      <c r="V1681" s="57"/>
      <c r="W1681" s="57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</row>
    <row r="1682" spans="1:36" ht="11.25" customHeight="1" x14ac:dyDescent="0.2">
      <c r="A1682" s="53" t="s">
        <v>28</v>
      </c>
      <c r="B1682" s="53" t="s">
        <v>39</v>
      </c>
      <c r="C1682" s="53" t="s">
        <v>37</v>
      </c>
      <c r="D1682" s="53" t="s">
        <v>43</v>
      </c>
      <c r="E1682" s="53" t="s">
        <v>25</v>
      </c>
      <c r="F1682" s="53" t="s">
        <v>25</v>
      </c>
      <c r="G1682" s="53" t="s">
        <v>25</v>
      </c>
      <c r="H1682" s="53" t="s">
        <v>35</v>
      </c>
      <c r="I1682" s="75">
        <v>44378</v>
      </c>
      <c r="J1682" s="76">
        <f>EFEITO!$J$1682*EFEITO!$Y$1682</f>
        <v>0</v>
      </c>
      <c r="K1682" s="76">
        <f ca="1">EFEITO!$L$1682*EFEITO!$Z$1682</f>
        <v>29.454718794654113</v>
      </c>
      <c r="L1682" s="76">
        <f>EFEITO!$N$1682*EFEITO!$AA$1682</f>
        <v>10.597413126353462</v>
      </c>
      <c r="M1682" s="76">
        <f>$J$1682-EFEITO!$K$1682*EFEITO!$Y$1682</f>
        <v>0</v>
      </c>
      <c r="N1682" s="76">
        <f ca="1">$K$1682-EFEITO!$M$1682*EFEITO!$Z$1682</f>
        <v>0</v>
      </c>
      <c r="O1682" s="76">
        <f>$L$1682-EFEITO!$O$1682*EFEITO!$AA$1682</f>
        <v>0</v>
      </c>
      <c r="P1682" s="57"/>
      <c r="Q1682" s="57"/>
      <c r="R1682" s="57"/>
      <c r="S1682" s="57"/>
      <c r="T1682" s="57"/>
      <c r="U1682" s="57"/>
      <c r="V1682" s="57"/>
      <c r="W1682" s="57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</row>
    <row r="1683" spans="1:36" ht="11.25" customHeight="1" x14ac:dyDescent="0.2">
      <c r="A1683" s="53" t="s">
        <v>21</v>
      </c>
      <c r="B1683" s="53" t="s">
        <v>39</v>
      </c>
      <c r="C1683" s="53" t="s">
        <v>37</v>
      </c>
      <c r="D1683" s="53" t="s">
        <v>43</v>
      </c>
      <c r="E1683" s="53" t="s">
        <v>25</v>
      </c>
      <c r="F1683" s="53" t="s">
        <v>25</v>
      </c>
      <c r="G1683" s="53" t="s">
        <v>25</v>
      </c>
      <c r="H1683" s="53" t="s">
        <v>35</v>
      </c>
      <c r="I1683" s="75">
        <v>44409</v>
      </c>
      <c r="J1683" s="76">
        <f>EFEITO!$J$1683*EFEITO!$Y$1683</f>
        <v>0</v>
      </c>
      <c r="K1683" s="76">
        <f ca="1">EFEITO!$L$1683*EFEITO!$Z$1683</f>
        <v>11037.272226732788</v>
      </c>
      <c r="L1683" s="76">
        <f>EFEITO!$N$1683*EFEITO!$AA$1683</f>
        <v>3971.0626467071693</v>
      </c>
      <c r="M1683" s="76">
        <f>$J$1683-EFEITO!$K$1683*EFEITO!$Y$1683</f>
        <v>0</v>
      </c>
      <c r="N1683" s="76">
        <f ca="1">$K$1683-EFEITO!$M$1683*EFEITO!$Z$1683</f>
        <v>0</v>
      </c>
      <c r="O1683" s="76">
        <f>$L$1683-EFEITO!$O$1683*EFEITO!$AA$1683</f>
        <v>0</v>
      </c>
      <c r="P1683" s="57"/>
      <c r="Q1683" s="57"/>
      <c r="R1683" s="57"/>
      <c r="S1683" s="57"/>
      <c r="T1683" s="57"/>
      <c r="U1683" s="57"/>
      <c r="V1683" s="57"/>
      <c r="W1683" s="57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</row>
    <row r="1684" spans="1:36" ht="11.25" customHeight="1" x14ac:dyDescent="0.2">
      <c r="A1684" s="53" t="s">
        <v>27</v>
      </c>
      <c r="B1684" s="53" t="s">
        <v>39</v>
      </c>
      <c r="C1684" s="53" t="s">
        <v>37</v>
      </c>
      <c r="D1684" s="53" t="s">
        <v>43</v>
      </c>
      <c r="E1684" s="53" t="s">
        <v>25</v>
      </c>
      <c r="F1684" s="53" t="s">
        <v>25</v>
      </c>
      <c r="G1684" s="53" t="s">
        <v>25</v>
      </c>
      <c r="H1684" s="53" t="s">
        <v>35</v>
      </c>
      <c r="I1684" s="75">
        <v>44409</v>
      </c>
      <c r="J1684" s="76">
        <f>EFEITO!$J$1684*EFEITO!$Y$1684</f>
        <v>0</v>
      </c>
      <c r="K1684" s="76">
        <f ca="1">EFEITO!$L$1684*EFEITO!$Z$1684</f>
        <v>24.741963787509455</v>
      </c>
      <c r="L1684" s="76">
        <f>EFEITO!$N$1684*EFEITO!$AA$1684</f>
        <v>8.9018270261369086</v>
      </c>
      <c r="M1684" s="76">
        <f>$J$1684-EFEITO!$K$1684*EFEITO!$Y$1684</f>
        <v>0</v>
      </c>
      <c r="N1684" s="76">
        <f ca="1">$K$1684-EFEITO!$M$1684*EFEITO!$Z$1684</f>
        <v>0</v>
      </c>
      <c r="O1684" s="76">
        <f>$L$1684-EFEITO!$O$1684*EFEITO!$AA$1684</f>
        <v>0</v>
      </c>
      <c r="P1684" s="57"/>
      <c r="Q1684" s="57"/>
      <c r="R1684" s="57"/>
      <c r="S1684" s="57"/>
      <c r="T1684" s="57"/>
      <c r="U1684" s="57"/>
      <c r="V1684" s="57"/>
      <c r="W1684" s="57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</row>
    <row r="1685" spans="1:36" ht="11.25" customHeight="1" x14ac:dyDescent="0.2">
      <c r="A1685" s="53" t="s">
        <v>28</v>
      </c>
      <c r="B1685" s="53" t="s">
        <v>39</v>
      </c>
      <c r="C1685" s="53" t="s">
        <v>37</v>
      </c>
      <c r="D1685" s="53" t="s">
        <v>43</v>
      </c>
      <c r="E1685" s="53" t="s">
        <v>25</v>
      </c>
      <c r="F1685" s="53" t="s">
        <v>25</v>
      </c>
      <c r="G1685" s="53" t="s">
        <v>25</v>
      </c>
      <c r="H1685" s="53" t="s">
        <v>35</v>
      </c>
      <c r="I1685" s="75">
        <v>44409</v>
      </c>
      <c r="J1685" s="76">
        <f>EFEITO!$J$1685*EFEITO!$Y$1685</f>
        <v>0</v>
      </c>
      <c r="K1685" s="76">
        <f ca="1">EFEITO!$L$1685*EFEITO!$Z$1685</f>
        <v>67.156758851811375</v>
      </c>
      <c r="L1685" s="76">
        <f>EFEITO!$N$1685*EFEITO!$AA$1685</f>
        <v>24.162101928085892</v>
      </c>
      <c r="M1685" s="76">
        <f>$J$1685-EFEITO!$K$1685*EFEITO!$Y$1685</f>
        <v>0</v>
      </c>
      <c r="N1685" s="76">
        <f ca="1">$K$1685-EFEITO!$M$1685*EFEITO!$Z$1685</f>
        <v>0</v>
      </c>
      <c r="O1685" s="76">
        <f>$L$1685-EFEITO!$O$1685*EFEITO!$AA$1685</f>
        <v>0</v>
      </c>
      <c r="P1685" s="57"/>
      <c r="Q1685" s="57"/>
      <c r="R1685" s="57"/>
      <c r="S1685" s="57"/>
      <c r="T1685" s="57"/>
      <c r="U1685" s="57"/>
      <c r="V1685" s="57"/>
      <c r="W1685" s="57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</row>
    <row r="1686" spans="1:36" ht="11.25" customHeight="1" x14ac:dyDescent="0.2">
      <c r="A1686" s="53" t="s">
        <v>21</v>
      </c>
      <c r="B1686" s="53" t="s">
        <v>39</v>
      </c>
      <c r="C1686" s="53" t="s">
        <v>37</v>
      </c>
      <c r="D1686" s="53" t="s">
        <v>43</v>
      </c>
      <c r="E1686" s="53" t="s">
        <v>25</v>
      </c>
      <c r="F1686" s="53" t="s">
        <v>25</v>
      </c>
      <c r="G1686" s="53" t="s">
        <v>25</v>
      </c>
      <c r="H1686" s="53" t="s">
        <v>35</v>
      </c>
      <c r="I1686" s="75">
        <v>44440</v>
      </c>
      <c r="J1686" s="76">
        <f>EFEITO!$J$1686*EFEITO!$Y$1686</f>
        <v>0</v>
      </c>
      <c r="K1686" s="76">
        <f ca="1">EFEITO!$L$1686*EFEITO!$Z$1686</f>
        <v>10067.622884012775</v>
      </c>
      <c r="L1686" s="76">
        <f>EFEITO!$N$1686*EFEITO!$AA$1686</f>
        <v>3622.1958065876133</v>
      </c>
      <c r="M1686" s="76">
        <f>$J$1686-EFEITO!$K$1686*EFEITO!$Y$1686</f>
        <v>0</v>
      </c>
      <c r="N1686" s="76">
        <f ca="1">$K$1686-EFEITO!$M$1686*EFEITO!$Z$1686</f>
        <v>0</v>
      </c>
      <c r="O1686" s="76">
        <f>$L$1686-EFEITO!$O$1686*EFEITO!$AA$1686</f>
        <v>0</v>
      </c>
      <c r="P1686" s="57"/>
      <c r="Q1686" s="57"/>
      <c r="R1686" s="57"/>
      <c r="S1686" s="57"/>
      <c r="T1686" s="57"/>
      <c r="U1686" s="57"/>
      <c r="V1686" s="57"/>
      <c r="W1686" s="57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</row>
    <row r="1687" spans="1:36" ht="11.25" customHeight="1" x14ac:dyDescent="0.2">
      <c r="A1687" s="53" t="s">
        <v>28</v>
      </c>
      <c r="B1687" s="53" t="s">
        <v>39</v>
      </c>
      <c r="C1687" s="53" t="s">
        <v>37</v>
      </c>
      <c r="D1687" s="53" t="s">
        <v>43</v>
      </c>
      <c r="E1687" s="53" t="s">
        <v>25</v>
      </c>
      <c r="F1687" s="53" t="s">
        <v>25</v>
      </c>
      <c r="G1687" s="53" t="s">
        <v>25</v>
      </c>
      <c r="H1687" s="53" t="s">
        <v>35</v>
      </c>
      <c r="I1687" s="75">
        <v>44440</v>
      </c>
      <c r="J1687" s="76">
        <f>EFEITO!$J$1687*EFEITO!$Y$1687</f>
        <v>0</v>
      </c>
      <c r="K1687" s="76">
        <f ca="1">EFEITO!$L$1687*EFEITO!$Z$1687</f>
        <v>35.34566255358493</v>
      </c>
      <c r="L1687" s="76">
        <f>EFEITO!$N$1687*EFEITO!$AA$1687</f>
        <v>12.716895751624154</v>
      </c>
      <c r="M1687" s="76">
        <f>$J$1687-EFEITO!$K$1687*EFEITO!$Y$1687</f>
        <v>0</v>
      </c>
      <c r="N1687" s="76">
        <f ca="1">$K$1687-EFEITO!$M$1687*EFEITO!$Z$1687</f>
        <v>0</v>
      </c>
      <c r="O1687" s="76">
        <f>$L$1687-EFEITO!$O$1687*EFEITO!$AA$1687</f>
        <v>0</v>
      </c>
      <c r="P1687" s="57"/>
      <c r="Q1687" s="57"/>
      <c r="R1687" s="57"/>
      <c r="S1687" s="57"/>
      <c r="T1687" s="57"/>
      <c r="U1687" s="57"/>
      <c r="V1687" s="57"/>
      <c r="W1687" s="57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</row>
    <row r="1688" spans="1:36" ht="11.25" customHeight="1" x14ac:dyDescent="0.2">
      <c r="A1688" s="53" t="s">
        <v>21</v>
      </c>
      <c r="B1688" s="53" t="s">
        <v>39</v>
      </c>
      <c r="C1688" s="53" t="s">
        <v>37</v>
      </c>
      <c r="D1688" s="53" t="s">
        <v>43</v>
      </c>
      <c r="E1688" s="53" t="s">
        <v>25</v>
      </c>
      <c r="F1688" s="53" t="s">
        <v>25</v>
      </c>
      <c r="G1688" s="53" t="s">
        <v>25</v>
      </c>
      <c r="H1688" s="53" t="s">
        <v>35</v>
      </c>
      <c r="I1688" s="75">
        <v>44470</v>
      </c>
      <c r="J1688" s="76">
        <f>EFEITO!$J$1688*EFEITO!$Y$1688</f>
        <v>0</v>
      </c>
      <c r="K1688" s="76">
        <f ca="1">EFEITO!$L$1688*EFEITO!$Z$1688</f>
        <v>11824.302312925945</v>
      </c>
      <c r="L1688" s="76">
        <f>EFEITO!$N$1688*EFEITO!$AA$1688</f>
        <v>4254.225525443333</v>
      </c>
      <c r="M1688" s="76">
        <f>$J$1688-EFEITO!$K$1688*EFEITO!$Y$1688</f>
        <v>0</v>
      </c>
      <c r="N1688" s="76">
        <f ca="1">$K$1688-EFEITO!$M$1688*EFEITO!$Z$1688</f>
        <v>0</v>
      </c>
      <c r="O1688" s="76">
        <f>$L$1688-EFEITO!$O$1688*EFEITO!$AA$1688</f>
        <v>0</v>
      </c>
      <c r="P1688" s="57"/>
      <c r="Q1688" s="57"/>
      <c r="R1688" s="57"/>
      <c r="S1688" s="57"/>
      <c r="T1688" s="57"/>
      <c r="U1688" s="57"/>
      <c r="V1688" s="57"/>
      <c r="W1688" s="57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</row>
    <row r="1689" spans="1:36" ht="11.25" customHeight="1" x14ac:dyDescent="0.2">
      <c r="A1689" s="53" t="s">
        <v>28</v>
      </c>
      <c r="B1689" s="53" t="s">
        <v>39</v>
      </c>
      <c r="C1689" s="53" t="s">
        <v>37</v>
      </c>
      <c r="D1689" s="53" t="s">
        <v>43</v>
      </c>
      <c r="E1689" s="53" t="s">
        <v>25</v>
      </c>
      <c r="F1689" s="53" t="s">
        <v>25</v>
      </c>
      <c r="G1689" s="53" t="s">
        <v>25</v>
      </c>
      <c r="H1689" s="53" t="s">
        <v>35</v>
      </c>
      <c r="I1689" s="75">
        <v>44470</v>
      </c>
      <c r="J1689" s="76">
        <f>EFEITO!$J$1689*EFEITO!$Y$1689</f>
        <v>0</v>
      </c>
      <c r="K1689" s="76">
        <f ca="1">EFEITO!$L$1689*EFEITO!$Z$1689</f>
        <v>56.553060085735893</v>
      </c>
      <c r="L1689" s="76">
        <f>EFEITO!$N$1689*EFEITO!$AA$1689</f>
        <v>20.347033202598645</v>
      </c>
      <c r="M1689" s="76">
        <f>$J$1689-EFEITO!$K$1689*EFEITO!$Y$1689</f>
        <v>0</v>
      </c>
      <c r="N1689" s="76">
        <f ca="1">$K$1689-EFEITO!$M$1689*EFEITO!$Z$1689</f>
        <v>0</v>
      </c>
      <c r="O1689" s="76">
        <f>$L$1689-EFEITO!$O$1689*EFEITO!$AA$1689</f>
        <v>0</v>
      </c>
      <c r="P1689" s="57"/>
      <c r="Q1689" s="57"/>
      <c r="R1689" s="57"/>
      <c r="S1689" s="57"/>
      <c r="T1689" s="57"/>
      <c r="U1689" s="57"/>
      <c r="V1689" s="57"/>
      <c r="W1689" s="57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</row>
    <row r="1690" spans="1:36" ht="11.25" customHeight="1" x14ac:dyDescent="0.2">
      <c r="A1690" s="53" t="s">
        <v>21</v>
      </c>
      <c r="B1690" s="53" t="s">
        <v>39</v>
      </c>
      <c r="C1690" s="53" t="s">
        <v>37</v>
      </c>
      <c r="D1690" s="53" t="s">
        <v>43</v>
      </c>
      <c r="E1690" s="53" t="s">
        <v>25</v>
      </c>
      <c r="F1690" s="53" t="s">
        <v>25</v>
      </c>
      <c r="G1690" s="53" t="s">
        <v>25</v>
      </c>
      <c r="H1690" s="53" t="s">
        <v>35</v>
      </c>
      <c r="I1690" s="75">
        <v>44501</v>
      </c>
      <c r="J1690" s="76">
        <f>EFEITO!$J$1690*EFEITO!$Y$1690</f>
        <v>0</v>
      </c>
      <c r="K1690" s="76">
        <f ca="1">EFEITO!$L$1690*EFEITO!$Z$1690</f>
        <v>10812.238175141631</v>
      </c>
      <c r="L1690" s="76">
        <f>EFEITO!$N$1690*EFEITO!$AA$1690</f>
        <v>3890.0984104218287</v>
      </c>
      <c r="M1690" s="76">
        <f>$J$1690-EFEITO!$K$1690*EFEITO!$Y$1690</f>
        <v>0</v>
      </c>
      <c r="N1690" s="76">
        <f ca="1">$K$1690-EFEITO!$M$1690*EFEITO!$Z$1690</f>
        <v>0</v>
      </c>
      <c r="O1690" s="76">
        <f>$L$1690-EFEITO!$O$1690*EFEITO!$AA$1690</f>
        <v>0</v>
      </c>
      <c r="P1690" s="57"/>
      <c r="Q1690" s="57"/>
      <c r="R1690" s="57"/>
      <c r="S1690" s="57"/>
      <c r="T1690" s="57"/>
      <c r="U1690" s="57"/>
      <c r="V1690" s="57"/>
      <c r="W1690" s="57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</row>
    <row r="1691" spans="1:36" ht="11.25" customHeight="1" x14ac:dyDescent="0.2">
      <c r="A1691" s="53" t="s">
        <v>27</v>
      </c>
      <c r="B1691" s="53" t="s">
        <v>39</v>
      </c>
      <c r="C1691" s="53" t="s">
        <v>37</v>
      </c>
      <c r="D1691" s="53" t="s">
        <v>43</v>
      </c>
      <c r="E1691" s="53" t="s">
        <v>25</v>
      </c>
      <c r="F1691" s="53" t="s">
        <v>25</v>
      </c>
      <c r="G1691" s="53" t="s">
        <v>25</v>
      </c>
      <c r="H1691" s="53" t="s">
        <v>35</v>
      </c>
      <c r="I1691" s="75">
        <v>44501</v>
      </c>
      <c r="J1691" s="76">
        <f>EFEITO!$J$1691*EFEITO!$Y$1691</f>
        <v>0</v>
      </c>
      <c r="K1691" s="76">
        <f ca="1">EFEITO!$L$1691*EFEITO!$Z$1691</f>
        <v>-83.65140137681766</v>
      </c>
      <c r="L1691" s="76">
        <f>EFEITO!$N$1691*EFEITO!$AA$1691</f>
        <v>-30.096653278843828</v>
      </c>
      <c r="M1691" s="76">
        <f>$J$1691-EFEITO!$K$1691*EFEITO!$Y$1691</f>
        <v>0</v>
      </c>
      <c r="N1691" s="76">
        <f ca="1">$K$1691-EFEITO!$M$1691*EFEITO!$Z$1691</f>
        <v>0</v>
      </c>
      <c r="O1691" s="76">
        <f>$L$1691-EFEITO!$O$1691*EFEITO!$AA$1691</f>
        <v>0</v>
      </c>
      <c r="P1691" s="57"/>
      <c r="Q1691" s="57"/>
      <c r="R1691" s="57"/>
      <c r="S1691" s="57"/>
      <c r="T1691" s="57"/>
      <c r="U1691" s="57"/>
      <c r="V1691" s="57"/>
      <c r="W1691" s="57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</row>
    <row r="1692" spans="1:36" ht="11.25" customHeight="1" x14ac:dyDescent="0.2">
      <c r="A1692" s="53" t="s">
        <v>28</v>
      </c>
      <c r="B1692" s="53" t="s">
        <v>39</v>
      </c>
      <c r="C1692" s="53" t="s">
        <v>37</v>
      </c>
      <c r="D1692" s="53" t="s">
        <v>43</v>
      </c>
      <c r="E1692" s="53" t="s">
        <v>25</v>
      </c>
      <c r="F1692" s="53" t="s">
        <v>25</v>
      </c>
      <c r="G1692" s="53" t="s">
        <v>25</v>
      </c>
      <c r="H1692" s="53" t="s">
        <v>35</v>
      </c>
      <c r="I1692" s="75">
        <v>44501</v>
      </c>
      <c r="J1692" s="76">
        <f>EFEITO!$J$1692*EFEITO!$Y$1692</f>
        <v>0</v>
      </c>
      <c r="K1692" s="76">
        <f ca="1">EFEITO!$L$1692*EFEITO!$Z$1692</f>
        <v>41.236606312515761</v>
      </c>
      <c r="L1692" s="76">
        <f>EFEITO!$N$1692*EFEITO!$AA$1692</f>
        <v>14.836378376894848</v>
      </c>
      <c r="M1692" s="76">
        <f>$J$1692-EFEITO!$K$1692*EFEITO!$Y$1692</f>
        <v>0</v>
      </c>
      <c r="N1692" s="76">
        <f ca="1">$K$1692-EFEITO!$M$1692*EFEITO!$Z$1692</f>
        <v>0</v>
      </c>
      <c r="O1692" s="76">
        <f>$L$1692-EFEITO!$O$1692*EFEITO!$AA$1692</f>
        <v>0</v>
      </c>
      <c r="P1692" s="57"/>
      <c r="Q1692" s="57"/>
      <c r="R1692" s="57"/>
      <c r="S1692" s="57"/>
      <c r="T1692" s="57"/>
      <c r="U1692" s="57"/>
      <c r="V1692" s="57"/>
      <c r="W1692" s="57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</row>
    <row r="1693" spans="1:36" ht="11.25" customHeight="1" x14ac:dyDescent="0.2">
      <c r="A1693" s="53" t="s">
        <v>21</v>
      </c>
      <c r="B1693" s="53" t="s">
        <v>39</v>
      </c>
      <c r="C1693" s="53" t="s">
        <v>37</v>
      </c>
      <c r="D1693" s="53" t="s">
        <v>43</v>
      </c>
      <c r="E1693" s="53" t="s">
        <v>25</v>
      </c>
      <c r="F1693" s="53" t="s">
        <v>25</v>
      </c>
      <c r="G1693" s="53" t="s">
        <v>25</v>
      </c>
      <c r="H1693" s="53" t="s">
        <v>35</v>
      </c>
      <c r="I1693" s="75">
        <v>44531</v>
      </c>
      <c r="J1693" s="76">
        <f>EFEITO!$J$1693*EFEITO!$Y$1693</f>
        <v>0</v>
      </c>
      <c r="K1693" s="76">
        <f ca="1">EFEITO!$L$1693*EFEITO!$Z$1693</f>
        <v>12388.65472503152</v>
      </c>
      <c r="L1693" s="76">
        <f>EFEITO!$N$1693*EFEITO!$AA$1693</f>
        <v>4457.2719609442665</v>
      </c>
      <c r="M1693" s="76">
        <f>$J$1693-EFEITO!$K$1693*EFEITO!$Y$1693</f>
        <v>0</v>
      </c>
      <c r="N1693" s="76">
        <f ca="1">$K$1693-EFEITO!$M$1693*EFEITO!$Z$1693</f>
        <v>0</v>
      </c>
      <c r="O1693" s="76">
        <f>$L$1693-EFEITO!$O$1693*EFEITO!$AA$1693</f>
        <v>0</v>
      </c>
      <c r="P1693" s="57"/>
      <c r="Q1693" s="57"/>
      <c r="R1693" s="57"/>
      <c r="S1693" s="57"/>
      <c r="T1693" s="57"/>
      <c r="U1693" s="57"/>
      <c r="V1693" s="57"/>
      <c r="W1693" s="57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</row>
    <row r="1694" spans="1:36" ht="11.25" customHeight="1" x14ac:dyDescent="0.2">
      <c r="A1694" s="53" t="s">
        <v>28</v>
      </c>
      <c r="B1694" s="53" t="s">
        <v>39</v>
      </c>
      <c r="C1694" s="53" t="s">
        <v>37</v>
      </c>
      <c r="D1694" s="53" t="s">
        <v>43</v>
      </c>
      <c r="E1694" s="53" t="s">
        <v>25</v>
      </c>
      <c r="F1694" s="53" t="s">
        <v>25</v>
      </c>
      <c r="G1694" s="53" t="s">
        <v>25</v>
      </c>
      <c r="H1694" s="53" t="s">
        <v>35</v>
      </c>
      <c r="I1694" s="75">
        <v>44531</v>
      </c>
      <c r="J1694" s="76">
        <f>EFEITO!$J$1694*EFEITO!$Y$1694</f>
        <v>0</v>
      </c>
      <c r="K1694" s="76">
        <f ca="1">EFEITO!$L$1694*EFEITO!$Z$1694</f>
        <v>18.851020028578631</v>
      </c>
      <c r="L1694" s="76">
        <f>EFEITO!$N$1694*EFEITO!$AA$1694</f>
        <v>6.7823444008662159</v>
      </c>
      <c r="M1694" s="76">
        <f>$J$1694-EFEITO!$K$1694*EFEITO!$Y$1694</f>
        <v>0</v>
      </c>
      <c r="N1694" s="76">
        <f ca="1">$K$1694-EFEITO!$M$1694*EFEITO!$Z$1694</f>
        <v>0</v>
      </c>
      <c r="O1694" s="76">
        <f>$L$1694-EFEITO!$O$1694*EFEITO!$AA$1694</f>
        <v>0</v>
      </c>
      <c r="P1694" s="57"/>
      <c r="Q1694" s="57"/>
      <c r="R1694" s="57"/>
      <c r="S1694" s="57"/>
      <c r="T1694" s="57"/>
      <c r="U1694" s="57"/>
      <c r="V1694" s="57"/>
      <c r="W1694" s="57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</row>
    <row r="1695" spans="1:36" ht="11.25" customHeight="1" x14ac:dyDescent="0.2">
      <c r="A1695" s="53" t="s">
        <v>21</v>
      </c>
      <c r="B1695" s="53" t="s">
        <v>39</v>
      </c>
      <c r="C1695" s="53" t="s">
        <v>37</v>
      </c>
      <c r="D1695" s="53" t="s">
        <v>43</v>
      </c>
      <c r="E1695" s="53" t="s">
        <v>25</v>
      </c>
      <c r="F1695" s="53" t="s">
        <v>25</v>
      </c>
      <c r="G1695" s="53" t="s">
        <v>25</v>
      </c>
      <c r="H1695" s="53" t="s">
        <v>35</v>
      </c>
      <c r="I1695" s="75">
        <v>44562</v>
      </c>
      <c r="J1695" s="76">
        <f>EFEITO!$J$1695*EFEITO!$Y$1695</f>
        <v>0</v>
      </c>
      <c r="K1695" s="76">
        <f ca="1">EFEITO!$L$1695*EFEITO!$Z$1695</f>
        <v>11145.665591897116</v>
      </c>
      <c r="L1695" s="76">
        <f>EFEITO!$N$1695*EFEITO!$AA$1695</f>
        <v>4010.0611270121503</v>
      </c>
      <c r="M1695" s="76">
        <f>$J$1695-EFEITO!$K$1695*EFEITO!$Y$1695</f>
        <v>0</v>
      </c>
      <c r="N1695" s="76">
        <f ca="1">$K$1695-EFEITO!$M$1695*EFEITO!$Z$1695</f>
        <v>0</v>
      </c>
      <c r="O1695" s="76">
        <f>$L$1695-EFEITO!$O$1695*EFEITO!$AA$1695</f>
        <v>0</v>
      </c>
      <c r="P1695" s="57"/>
      <c r="Q1695" s="57"/>
      <c r="R1695" s="57"/>
      <c r="S1695" s="57"/>
      <c r="T1695" s="57"/>
      <c r="U1695" s="57"/>
      <c r="V1695" s="57"/>
      <c r="W1695" s="57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</row>
    <row r="1696" spans="1:36" ht="11.25" customHeight="1" x14ac:dyDescent="0.2">
      <c r="A1696" s="53" t="s">
        <v>28</v>
      </c>
      <c r="B1696" s="53" t="s">
        <v>39</v>
      </c>
      <c r="C1696" s="53" t="s">
        <v>37</v>
      </c>
      <c r="D1696" s="53" t="s">
        <v>43</v>
      </c>
      <c r="E1696" s="53" t="s">
        <v>25</v>
      </c>
      <c r="F1696" s="53" t="s">
        <v>25</v>
      </c>
      <c r="G1696" s="53" t="s">
        <v>25</v>
      </c>
      <c r="H1696" s="53" t="s">
        <v>35</v>
      </c>
      <c r="I1696" s="75">
        <v>44562</v>
      </c>
      <c r="J1696" s="76">
        <f>EFEITO!$J$1696*EFEITO!$Y$1696</f>
        <v>0</v>
      </c>
      <c r="K1696" s="76">
        <f ca="1">EFEITO!$L$1696*EFEITO!$Z$1696</f>
        <v>12.960076269647807</v>
      </c>
      <c r="L1696" s="76">
        <f>EFEITO!$N$1696*EFEITO!$AA$1696</f>
        <v>4.6628617755955233</v>
      </c>
      <c r="M1696" s="76">
        <f>$J$1696-EFEITO!$K$1696*EFEITO!$Y$1696</f>
        <v>0</v>
      </c>
      <c r="N1696" s="76">
        <f ca="1">$K$1696-EFEITO!$M$1696*EFEITO!$Z$1696</f>
        <v>0</v>
      </c>
      <c r="O1696" s="76">
        <f>$L$1696-EFEITO!$O$1696*EFEITO!$AA$1696</f>
        <v>0</v>
      </c>
      <c r="P1696" s="57"/>
      <c r="Q1696" s="57"/>
      <c r="R1696" s="57"/>
      <c r="S1696" s="57"/>
      <c r="T1696" s="57"/>
      <c r="U1696" s="57"/>
      <c r="V1696" s="57"/>
      <c r="W1696" s="57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</row>
    <row r="1697" spans="1:36" ht="11.25" customHeight="1" x14ac:dyDescent="0.2">
      <c r="A1697" s="53" t="s">
        <v>21</v>
      </c>
      <c r="B1697" s="53" t="s">
        <v>39</v>
      </c>
      <c r="C1697" s="53" t="s">
        <v>37</v>
      </c>
      <c r="D1697" s="53" t="s">
        <v>43</v>
      </c>
      <c r="E1697" s="53" t="s">
        <v>25</v>
      </c>
      <c r="F1697" s="53" t="s">
        <v>25</v>
      </c>
      <c r="G1697" s="53" t="s">
        <v>25</v>
      </c>
      <c r="H1697" s="53" t="s">
        <v>35</v>
      </c>
      <c r="I1697" s="75">
        <v>44593</v>
      </c>
      <c r="J1697" s="76">
        <f>EFEITO!$J$1697*EFEITO!$Y$1697</f>
        <v>0</v>
      </c>
      <c r="K1697" s="76">
        <f ca="1">EFEITO!$L$1697*EFEITO!$Z$1697</f>
        <v>11878.498995508111</v>
      </c>
      <c r="L1697" s="76">
        <f>EFEITO!$N$1697*EFEITO!$AA$1697</f>
        <v>4273.7247655958245</v>
      </c>
      <c r="M1697" s="76">
        <f>$J$1697-EFEITO!$K$1697*EFEITO!$Y$1697</f>
        <v>0</v>
      </c>
      <c r="N1697" s="76">
        <f ca="1">$K$1697-EFEITO!$M$1697*EFEITO!$Z$1697</f>
        <v>0</v>
      </c>
      <c r="O1697" s="76">
        <f>$L$1697-EFEITO!$O$1697*EFEITO!$AA$1697</f>
        <v>0</v>
      </c>
      <c r="P1697" s="57"/>
      <c r="Q1697" s="57"/>
      <c r="R1697" s="57"/>
      <c r="S1697" s="57"/>
      <c r="T1697" s="57"/>
      <c r="U1697" s="57"/>
      <c r="V1697" s="57"/>
      <c r="W1697" s="57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</row>
    <row r="1698" spans="1:36" ht="11.25" customHeight="1" x14ac:dyDescent="0.2">
      <c r="A1698" s="53" t="s">
        <v>28</v>
      </c>
      <c r="B1698" s="53" t="s">
        <v>39</v>
      </c>
      <c r="C1698" s="53" t="s">
        <v>37</v>
      </c>
      <c r="D1698" s="53" t="s">
        <v>43</v>
      </c>
      <c r="E1698" s="53" t="s">
        <v>25</v>
      </c>
      <c r="F1698" s="53" t="s">
        <v>25</v>
      </c>
      <c r="G1698" s="53" t="s">
        <v>25</v>
      </c>
      <c r="H1698" s="53" t="s">
        <v>35</v>
      </c>
      <c r="I1698" s="75">
        <v>44593</v>
      </c>
      <c r="J1698" s="76">
        <f>EFEITO!$J$1698*EFEITO!$Y$1698</f>
        <v>0</v>
      </c>
      <c r="K1698" s="76">
        <f ca="1">EFEITO!$L$1698*EFEITO!$Z$1698</f>
        <v>10.603698766075478</v>
      </c>
      <c r="L1698" s="76">
        <f>EFEITO!$N$1698*EFEITO!$AA$1698</f>
        <v>3.815068725487246</v>
      </c>
      <c r="M1698" s="76">
        <f>$J$1698-EFEITO!$K$1698*EFEITO!$Y$1698</f>
        <v>0</v>
      </c>
      <c r="N1698" s="76">
        <f ca="1">$K$1698-EFEITO!$M$1698*EFEITO!$Z$1698</f>
        <v>0</v>
      </c>
      <c r="O1698" s="76">
        <f>$L$1698-EFEITO!$O$1698*EFEITO!$AA$1698</f>
        <v>0</v>
      </c>
      <c r="P1698" s="57"/>
      <c r="Q1698" s="57"/>
      <c r="R1698" s="57"/>
      <c r="S1698" s="57"/>
      <c r="T1698" s="57"/>
      <c r="U1698" s="57"/>
      <c r="V1698" s="57"/>
      <c r="W1698" s="57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</row>
    <row r="1699" spans="1:36" ht="11.25" customHeight="1" x14ac:dyDescent="0.2">
      <c r="A1699" s="53" t="s">
        <v>21</v>
      </c>
      <c r="B1699" s="53" t="s">
        <v>39</v>
      </c>
      <c r="C1699" s="53" t="s">
        <v>37</v>
      </c>
      <c r="D1699" s="53" t="s">
        <v>43</v>
      </c>
      <c r="E1699" s="53" t="s">
        <v>25</v>
      </c>
      <c r="F1699" s="53" t="s">
        <v>25</v>
      </c>
      <c r="G1699" s="53" t="s">
        <v>25</v>
      </c>
      <c r="H1699" s="53" t="s">
        <v>35</v>
      </c>
      <c r="I1699" s="75">
        <v>44621</v>
      </c>
      <c r="J1699" s="76">
        <f>EFEITO!$J$1699*EFEITO!$Y$1699</f>
        <v>0</v>
      </c>
      <c r="K1699" s="76">
        <f ca="1">EFEITO!$L$1699*EFEITO!$Z$1699</f>
        <v>13107.349863621079</v>
      </c>
      <c r="L1699" s="76">
        <f>EFEITO!$N$1699*EFEITO!$AA$1699</f>
        <v>4715.84884122729</v>
      </c>
      <c r="M1699" s="76">
        <f>$J$1699-EFEITO!$K$1699*EFEITO!$Y$1699</f>
        <v>0</v>
      </c>
      <c r="N1699" s="76">
        <f ca="1">$K$1699-EFEITO!$M$1699*EFEITO!$Z$1699</f>
        <v>0</v>
      </c>
      <c r="O1699" s="76">
        <f>$L$1699-EFEITO!$O$1699*EFEITO!$AA$1699</f>
        <v>0</v>
      </c>
      <c r="P1699" s="57"/>
      <c r="Q1699" s="57"/>
      <c r="R1699" s="57"/>
      <c r="S1699" s="57"/>
      <c r="T1699" s="57"/>
      <c r="U1699" s="57"/>
      <c r="V1699" s="57"/>
      <c r="W1699" s="57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</row>
    <row r="1700" spans="1:36" ht="11.25" customHeight="1" x14ac:dyDescent="0.2">
      <c r="A1700" s="53" t="s">
        <v>28</v>
      </c>
      <c r="B1700" s="53" t="s">
        <v>39</v>
      </c>
      <c r="C1700" s="53" t="s">
        <v>37</v>
      </c>
      <c r="D1700" s="53" t="s">
        <v>43</v>
      </c>
      <c r="E1700" s="53" t="s">
        <v>25</v>
      </c>
      <c r="F1700" s="53" t="s">
        <v>25</v>
      </c>
      <c r="G1700" s="53" t="s">
        <v>25</v>
      </c>
      <c r="H1700" s="53" t="s">
        <v>35</v>
      </c>
      <c r="I1700" s="75">
        <v>44621</v>
      </c>
      <c r="J1700" s="76">
        <f>EFEITO!$J$1700*EFEITO!$Y$1700</f>
        <v>0</v>
      </c>
      <c r="K1700" s="76">
        <f ca="1">EFEITO!$L$1700*EFEITO!$Z$1700</f>
        <v>9.4255100142893156</v>
      </c>
      <c r="L1700" s="76">
        <f>EFEITO!$N$1700*EFEITO!$AA$1700</f>
        <v>3.391172200433108</v>
      </c>
      <c r="M1700" s="76">
        <f>$J$1700-EFEITO!$K$1700*EFEITO!$Y$1700</f>
        <v>0</v>
      </c>
      <c r="N1700" s="76">
        <f ca="1">$K$1700-EFEITO!$M$1700*EFEITO!$Z$1700</f>
        <v>0</v>
      </c>
      <c r="O1700" s="76">
        <f>$L$1700-EFEITO!$O$1700*EFEITO!$AA$1700</f>
        <v>0</v>
      </c>
      <c r="P1700" s="57"/>
      <c r="Q1700" s="57"/>
      <c r="R1700" s="57"/>
      <c r="S1700" s="57"/>
      <c r="T1700" s="57"/>
      <c r="U1700" s="57"/>
      <c r="V1700" s="57"/>
      <c r="W1700" s="57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</row>
    <row r="1701" spans="1:36" ht="11.25" customHeight="1" x14ac:dyDescent="0.2">
      <c r="A1701" s="53" t="s">
        <v>56</v>
      </c>
      <c r="B1701" s="53" t="s">
        <v>39</v>
      </c>
      <c r="C1701" s="53" t="s">
        <v>37</v>
      </c>
      <c r="D1701" s="53" t="s">
        <v>43</v>
      </c>
      <c r="E1701" s="53" t="s">
        <v>25</v>
      </c>
      <c r="F1701" s="53" t="s">
        <v>25</v>
      </c>
      <c r="G1701" s="53" t="s">
        <v>25</v>
      </c>
      <c r="H1701" s="53" t="s">
        <v>35</v>
      </c>
      <c r="I1701" s="75">
        <v>44652</v>
      </c>
      <c r="J1701" s="76">
        <f>EFEITO!$J$1701*EFEITO!$Y$1701</f>
        <v>0</v>
      </c>
      <c r="K1701" s="76">
        <f ca="1">EFEITO!$L$1701*EFEITO!$Z$1701</f>
        <v>13107.349863621079</v>
      </c>
      <c r="L1701" s="76">
        <f>EFEITO!$N$1701*EFEITO!$AA$1701</f>
        <v>4715.84884122729</v>
      </c>
      <c r="M1701" s="76">
        <f>$J$1701-EFEITO!$K$1701*EFEITO!$Y$1701</f>
        <v>0</v>
      </c>
      <c r="N1701" s="76">
        <f ca="1">$K$1701-EFEITO!$M$1701*EFEITO!$Z$1701</f>
        <v>0</v>
      </c>
      <c r="O1701" s="76">
        <f>$L$1701-EFEITO!$O$1701*EFEITO!$AA$1701</f>
        <v>0</v>
      </c>
      <c r="P1701" s="57"/>
      <c r="Q1701" s="57"/>
      <c r="R1701" s="57"/>
      <c r="S1701" s="57"/>
      <c r="T1701" s="57"/>
      <c r="U1701" s="57"/>
      <c r="V1701" s="57"/>
      <c r="W1701" s="57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</row>
    <row r="1702" spans="1:36" ht="11.25" customHeight="1" x14ac:dyDescent="0.2">
      <c r="A1702" s="53" t="s">
        <v>56</v>
      </c>
      <c r="B1702" s="53" t="s">
        <v>39</v>
      </c>
      <c r="C1702" s="53" t="s">
        <v>37</v>
      </c>
      <c r="D1702" s="53" t="s">
        <v>43</v>
      </c>
      <c r="E1702" s="53" t="s">
        <v>25</v>
      </c>
      <c r="F1702" s="53" t="s">
        <v>25</v>
      </c>
      <c r="G1702" s="53" t="s">
        <v>25</v>
      </c>
      <c r="H1702" s="53" t="s">
        <v>35</v>
      </c>
      <c r="I1702" s="75">
        <v>44652</v>
      </c>
      <c r="J1702" s="76">
        <f>EFEITO!$J$1702*EFEITO!$Y$1702</f>
        <v>0</v>
      </c>
      <c r="K1702" s="76">
        <f ca="1">EFEITO!$L$1702*EFEITO!$Z$1702</f>
        <v>9.4255100142893156</v>
      </c>
      <c r="L1702" s="76">
        <f>EFEITO!$N$1702*EFEITO!$AA$1702</f>
        <v>3.391172200433108</v>
      </c>
      <c r="M1702" s="76">
        <f>$J$1702-EFEITO!$K$1702*EFEITO!$Y$1702</f>
        <v>0</v>
      </c>
      <c r="N1702" s="76">
        <f ca="1">$K$1702-EFEITO!$M$1702*EFEITO!$Z$1702</f>
        <v>0</v>
      </c>
      <c r="O1702" s="76">
        <f>$L$1702-EFEITO!$O$1702*EFEITO!$AA$1702</f>
        <v>0</v>
      </c>
      <c r="P1702" s="57"/>
      <c r="Q1702" s="57"/>
      <c r="R1702" s="57"/>
      <c r="S1702" s="57"/>
      <c r="T1702" s="57"/>
      <c r="U1702" s="57"/>
      <c r="V1702" s="57"/>
      <c r="W1702" s="57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</row>
    <row r="1703" spans="1:36" ht="11.25" customHeight="1" x14ac:dyDescent="0.2">
      <c r="A1703" s="53" t="s">
        <v>21</v>
      </c>
      <c r="B1703" s="53" t="s">
        <v>39</v>
      </c>
      <c r="C1703" s="53" t="s">
        <v>37</v>
      </c>
      <c r="D1703" s="53" t="s">
        <v>52</v>
      </c>
      <c r="E1703" s="53" t="s">
        <v>25</v>
      </c>
      <c r="F1703" s="53" t="s">
        <v>25</v>
      </c>
      <c r="G1703" s="53" t="s">
        <v>25</v>
      </c>
      <c r="H1703" s="53" t="s">
        <v>36</v>
      </c>
      <c r="I1703" s="75">
        <v>44317</v>
      </c>
      <c r="J1703" s="76">
        <f>EFEITO!$J$1703*EFEITO!$Y$1703</f>
        <v>0</v>
      </c>
      <c r="K1703" s="76">
        <f ca="1">EFEITO!$L$1703*EFEITO!$Z$1703</f>
        <v>3410.1022685652129</v>
      </c>
      <c r="L1703" s="76">
        <f>EFEITO!$N$1703*EFEITO!$AA$1703</f>
        <v>2558.1975018816943</v>
      </c>
      <c r="M1703" s="76">
        <f>$J$1703-EFEITO!$K$1703*EFEITO!$Y$1703</f>
        <v>0</v>
      </c>
      <c r="N1703" s="76">
        <f ca="1">$K$1703-EFEITO!$M$1703*EFEITO!$Z$1703</f>
        <v>0</v>
      </c>
      <c r="O1703" s="76">
        <f>$L$1703-EFEITO!$O$1703*EFEITO!$AA$1703</f>
        <v>0</v>
      </c>
      <c r="P1703" s="57"/>
      <c r="Q1703" s="57"/>
      <c r="R1703" s="57"/>
      <c r="S1703" s="57"/>
      <c r="T1703" s="57"/>
      <c r="U1703" s="57"/>
      <c r="V1703" s="57"/>
      <c r="W1703" s="57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</row>
    <row r="1704" spans="1:36" ht="11.25" customHeight="1" x14ac:dyDescent="0.2">
      <c r="A1704" s="53" t="s">
        <v>21</v>
      </c>
      <c r="B1704" s="53" t="s">
        <v>39</v>
      </c>
      <c r="C1704" s="53" t="s">
        <v>37</v>
      </c>
      <c r="D1704" s="53" t="s">
        <v>52</v>
      </c>
      <c r="E1704" s="53" t="s">
        <v>25</v>
      </c>
      <c r="F1704" s="53" t="s">
        <v>25</v>
      </c>
      <c r="G1704" s="53" t="s">
        <v>25</v>
      </c>
      <c r="H1704" s="53" t="s">
        <v>36</v>
      </c>
      <c r="I1704" s="75">
        <v>44348</v>
      </c>
      <c r="J1704" s="76">
        <f>EFEITO!$J$1704*EFEITO!$Y$1704</f>
        <v>0</v>
      </c>
      <c r="K1704" s="76">
        <f ca="1">EFEITO!$L$1704*EFEITO!$Z$1704</f>
        <v>2883.8586116461929</v>
      </c>
      <c r="L1704" s="76">
        <f>EFEITO!$N$1704*EFEITO!$AA$1704</f>
        <v>2163.4189578711221</v>
      </c>
      <c r="M1704" s="76">
        <f>$J$1704-EFEITO!$K$1704*EFEITO!$Y$1704</f>
        <v>0</v>
      </c>
      <c r="N1704" s="76">
        <f ca="1">$K$1704-EFEITO!$M$1704*EFEITO!$Z$1704</f>
        <v>0</v>
      </c>
      <c r="O1704" s="76">
        <f>$L$1704-EFEITO!$O$1704*EFEITO!$AA$1704</f>
        <v>0</v>
      </c>
      <c r="P1704" s="57"/>
      <c r="Q1704" s="57"/>
      <c r="R1704" s="57"/>
      <c r="S1704" s="57"/>
      <c r="T1704" s="57"/>
      <c r="U1704" s="57"/>
      <c r="V1704" s="57"/>
      <c r="W1704" s="57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</row>
    <row r="1705" spans="1:36" ht="11.25" customHeight="1" x14ac:dyDescent="0.2">
      <c r="A1705" s="53" t="s">
        <v>21</v>
      </c>
      <c r="B1705" s="53" t="s">
        <v>39</v>
      </c>
      <c r="C1705" s="53" t="s">
        <v>37</v>
      </c>
      <c r="D1705" s="53" t="s">
        <v>52</v>
      </c>
      <c r="E1705" s="53" t="s">
        <v>25</v>
      </c>
      <c r="F1705" s="53" t="s">
        <v>25</v>
      </c>
      <c r="G1705" s="53" t="s">
        <v>25</v>
      </c>
      <c r="H1705" s="53" t="s">
        <v>36</v>
      </c>
      <c r="I1705" s="75">
        <v>44378</v>
      </c>
      <c r="J1705" s="76">
        <f>EFEITO!$J$1705*EFEITO!$Y$1705</f>
        <v>0</v>
      </c>
      <c r="K1705" s="76">
        <f ca="1">EFEITO!$L$1705*EFEITO!$Z$1705</f>
        <v>2487.3687135416844</v>
      </c>
      <c r="L1705" s="76">
        <f>EFEITO!$N$1705*EFEITO!$AA$1705</f>
        <v>1865.9793543137062</v>
      </c>
      <c r="M1705" s="76">
        <f>$J$1705-EFEITO!$K$1705*EFEITO!$Y$1705</f>
        <v>0</v>
      </c>
      <c r="N1705" s="76">
        <f ca="1">$K$1705-EFEITO!$M$1705*EFEITO!$Z$1705</f>
        <v>0</v>
      </c>
      <c r="O1705" s="76">
        <f>$L$1705-EFEITO!$O$1705*EFEITO!$AA$1705</f>
        <v>0</v>
      </c>
      <c r="P1705" s="57"/>
      <c r="Q1705" s="57"/>
      <c r="R1705" s="57"/>
      <c r="S1705" s="57"/>
      <c r="T1705" s="57"/>
      <c r="U1705" s="57"/>
      <c r="V1705" s="57"/>
      <c r="W1705" s="57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</row>
    <row r="1706" spans="1:36" ht="11.25" customHeight="1" x14ac:dyDescent="0.2">
      <c r="A1706" s="53" t="s">
        <v>21</v>
      </c>
      <c r="B1706" s="53" t="s">
        <v>39</v>
      </c>
      <c r="C1706" s="53" t="s">
        <v>37</v>
      </c>
      <c r="D1706" s="53" t="s">
        <v>52</v>
      </c>
      <c r="E1706" s="53" t="s">
        <v>25</v>
      </c>
      <c r="F1706" s="53" t="s">
        <v>25</v>
      </c>
      <c r="G1706" s="53" t="s">
        <v>25</v>
      </c>
      <c r="H1706" s="53" t="s">
        <v>36</v>
      </c>
      <c r="I1706" s="75">
        <v>44409</v>
      </c>
      <c r="J1706" s="76">
        <f>EFEITO!$J$1706*EFEITO!$Y$1706</f>
        <v>0</v>
      </c>
      <c r="K1706" s="76">
        <f ca="1">EFEITO!$L$1706*EFEITO!$Z$1706</f>
        <v>2560.0163612344886</v>
      </c>
      <c r="L1706" s="76">
        <f>EFEITO!$N$1706*EFEITO!$AA$1706</f>
        <v>1920.4783154030779</v>
      </c>
      <c r="M1706" s="76">
        <f>$J$1706-EFEITO!$K$1706*EFEITO!$Y$1706</f>
        <v>0</v>
      </c>
      <c r="N1706" s="76">
        <f ca="1">$K$1706-EFEITO!$M$1706*EFEITO!$Z$1706</f>
        <v>0</v>
      </c>
      <c r="O1706" s="76">
        <f>$L$1706-EFEITO!$O$1706*EFEITO!$AA$1706</f>
        <v>0</v>
      </c>
      <c r="P1706" s="57"/>
      <c r="Q1706" s="57"/>
      <c r="R1706" s="57"/>
      <c r="S1706" s="57"/>
      <c r="T1706" s="57"/>
      <c r="U1706" s="57"/>
      <c r="V1706" s="57"/>
      <c r="W1706" s="57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</row>
    <row r="1707" spans="1:36" ht="11.25" customHeight="1" x14ac:dyDescent="0.2">
      <c r="A1707" s="53" t="s">
        <v>21</v>
      </c>
      <c r="B1707" s="53" t="s">
        <v>39</v>
      </c>
      <c r="C1707" s="53" t="s">
        <v>37</v>
      </c>
      <c r="D1707" s="53" t="s">
        <v>52</v>
      </c>
      <c r="E1707" s="53" t="s">
        <v>25</v>
      </c>
      <c r="F1707" s="53" t="s">
        <v>25</v>
      </c>
      <c r="G1707" s="53" t="s">
        <v>25</v>
      </c>
      <c r="H1707" s="53" t="s">
        <v>36</v>
      </c>
      <c r="I1707" s="75">
        <v>44440</v>
      </c>
      <c r="J1707" s="76">
        <f>EFEITO!$J$1707*EFEITO!$Y$1707</f>
        <v>0</v>
      </c>
      <c r="K1707" s="76">
        <f ca="1">EFEITO!$L$1707*EFEITO!$Z$1707</f>
        <v>3068.1884640010699</v>
      </c>
      <c r="L1707" s="76">
        <f>EFEITO!$N$1707*EFEITO!$AA$1707</f>
        <v>2301.6999039187817</v>
      </c>
      <c r="M1707" s="76">
        <f>$J$1707-EFEITO!$K$1707*EFEITO!$Y$1707</f>
        <v>0</v>
      </c>
      <c r="N1707" s="76">
        <f ca="1">$K$1707-EFEITO!$M$1707*EFEITO!$Z$1707</f>
        <v>0</v>
      </c>
      <c r="O1707" s="76">
        <f>$L$1707-EFEITO!$O$1707*EFEITO!$AA$1707</f>
        <v>0</v>
      </c>
      <c r="P1707" s="57"/>
      <c r="Q1707" s="57"/>
      <c r="R1707" s="57"/>
      <c r="S1707" s="57"/>
      <c r="T1707" s="57"/>
      <c r="U1707" s="57"/>
      <c r="V1707" s="57"/>
      <c r="W1707" s="57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</row>
    <row r="1708" spans="1:36" ht="11.25" customHeight="1" x14ac:dyDescent="0.2">
      <c r="A1708" s="53" t="s">
        <v>21</v>
      </c>
      <c r="B1708" s="53" t="s">
        <v>39</v>
      </c>
      <c r="C1708" s="53" t="s">
        <v>37</v>
      </c>
      <c r="D1708" s="53" t="s">
        <v>52</v>
      </c>
      <c r="E1708" s="53" t="s">
        <v>25</v>
      </c>
      <c r="F1708" s="53" t="s">
        <v>25</v>
      </c>
      <c r="G1708" s="53" t="s">
        <v>25</v>
      </c>
      <c r="H1708" s="53" t="s">
        <v>36</v>
      </c>
      <c r="I1708" s="75">
        <v>44470</v>
      </c>
      <c r="J1708" s="76">
        <f>EFEITO!$J$1708*EFEITO!$Y$1708</f>
        <v>0</v>
      </c>
      <c r="K1708" s="76">
        <f ca="1">EFEITO!$L$1708*EFEITO!$Z$1708</f>
        <v>3715.8729648244785</v>
      </c>
      <c r="L1708" s="76">
        <f>EFEITO!$N$1708*EFEITO!$AA$1708</f>
        <v>2787.5811888548701</v>
      </c>
      <c r="M1708" s="76">
        <f>$J$1708-EFEITO!$K$1708*EFEITO!$Y$1708</f>
        <v>0</v>
      </c>
      <c r="N1708" s="76">
        <f ca="1">$K$1708-EFEITO!$M$1708*EFEITO!$Z$1708</f>
        <v>0</v>
      </c>
      <c r="O1708" s="76">
        <f>$L$1708-EFEITO!$O$1708*EFEITO!$AA$1708</f>
        <v>0</v>
      </c>
      <c r="P1708" s="57"/>
      <c r="Q1708" s="57"/>
      <c r="R1708" s="57"/>
      <c r="S1708" s="57"/>
      <c r="T1708" s="57"/>
      <c r="U1708" s="57"/>
      <c r="V1708" s="57"/>
      <c r="W1708" s="57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</row>
    <row r="1709" spans="1:36" ht="11.25" customHeight="1" x14ac:dyDescent="0.2">
      <c r="A1709" s="53" t="s">
        <v>21</v>
      </c>
      <c r="B1709" s="53" t="s">
        <v>39</v>
      </c>
      <c r="C1709" s="53" t="s">
        <v>37</v>
      </c>
      <c r="D1709" s="53" t="s">
        <v>52</v>
      </c>
      <c r="E1709" s="53" t="s">
        <v>25</v>
      </c>
      <c r="F1709" s="53" t="s">
        <v>25</v>
      </c>
      <c r="G1709" s="53" t="s">
        <v>25</v>
      </c>
      <c r="H1709" s="53" t="s">
        <v>36</v>
      </c>
      <c r="I1709" s="75">
        <v>44501</v>
      </c>
      <c r="J1709" s="76">
        <f>EFEITO!$J$1709*EFEITO!$Y$1709</f>
        <v>0</v>
      </c>
      <c r="K1709" s="76">
        <f ca="1">EFEITO!$L$1709*EFEITO!$Z$1709</f>
        <v>3869.8426062032572</v>
      </c>
      <c r="L1709" s="76">
        <f>EFEITO!$N$1709*EFEITO!$AA$1709</f>
        <v>2903.0864496711501</v>
      </c>
      <c r="M1709" s="76">
        <f>$J$1709-EFEITO!$K$1709*EFEITO!$Y$1709</f>
        <v>0</v>
      </c>
      <c r="N1709" s="76">
        <f ca="1">$K$1709-EFEITO!$M$1709*EFEITO!$Z$1709</f>
        <v>0</v>
      </c>
      <c r="O1709" s="76">
        <f>$L$1709-EFEITO!$O$1709*EFEITO!$AA$1709</f>
        <v>0</v>
      </c>
      <c r="P1709" s="57"/>
      <c r="Q1709" s="57"/>
      <c r="R1709" s="57"/>
      <c r="S1709" s="57"/>
      <c r="T1709" s="57"/>
      <c r="U1709" s="57"/>
      <c r="V1709" s="57"/>
      <c r="W1709" s="57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</row>
    <row r="1710" spans="1:36" ht="11.25" customHeight="1" x14ac:dyDescent="0.2">
      <c r="A1710" s="53" t="s">
        <v>21</v>
      </c>
      <c r="B1710" s="53" t="s">
        <v>39</v>
      </c>
      <c r="C1710" s="53" t="s">
        <v>37</v>
      </c>
      <c r="D1710" s="53" t="s">
        <v>52</v>
      </c>
      <c r="E1710" s="53" t="s">
        <v>25</v>
      </c>
      <c r="F1710" s="53" t="s">
        <v>25</v>
      </c>
      <c r="G1710" s="53" t="s">
        <v>25</v>
      </c>
      <c r="H1710" s="53" t="s">
        <v>36</v>
      </c>
      <c r="I1710" s="75">
        <v>44531</v>
      </c>
      <c r="J1710" s="76">
        <f>EFEITO!$J$1710*EFEITO!$Y$1710</f>
        <v>0</v>
      </c>
      <c r="K1710" s="76">
        <f ca="1">EFEITO!$L$1710*EFEITO!$Z$1710</f>
        <v>4493.3112244623981</v>
      </c>
      <c r="L1710" s="76">
        <f>EFEITO!$N$1710*EFEITO!$AA$1710</f>
        <v>3370.8014142441148</v>
      </c>
      <c r="M1710" s="76">
        <f>$J$1710-EFEITO!$K$1710*EFEITO!$Y$1710</f>
        <v>0</v>
      </c>
      <c r="N1710" s="76">
        <f ca="1">$K$1710-EFEITO!$M$1710*EFEITO!$Z$1710</f>
        <v>0</v>
      </c>
      <c r="O1710" s="76">
        <f>$L$1710-EFEITO!$O$1710*EFEITO!$AA$1710</f>
        <v>0</v>
      </c>
      <c r="P1710" s="57"/>
      <c r="Q1710" s="57"/>
      <c r="R1710" s="57"/>
      <c r="S1710" s="57"/>
      <c r="T1710" s="57"/>
      <c r="U1710" s="57"/>
      <c r="V1710" s="57"/>
      <c r="W1710" s="57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</row>
    <row r="1711" spans="1:36" ht="11.25" customHeight="1" x14ac:dyDescent="0.2">
      <c r="A1711" s="53" t="s">
        <v>21</v>
      </c>
      <c r="B1711" s="53" t="s">
        <v>39</v>
      </c>
      <c r="C1711" s="53" t="s">
        <v>37</v>
      </c>
      <c r="D1711" s="53" t="s">
        <v>52</v>
      </c>
      <c r="E1711" s="53" t="s">
        <v>25</v>
      </c>
      <c r="F1711" s="53" t="s">
        <v>25</v>
      </c>
      <c r="G1711" s="53" t="s">
        <v>25</v>
      </c>
      <c r="H1711" s="53" t="s">
        <v>36</v>
      </c>
      <c r="I1711" s="75">
        <v>44562</v>
      </c>
      <c r="J1711" s="76">
        <f>EFEITO!$J$1711*EFEITO!$Y$1711</f>
        <v>0</v>
      </c>
      <c r="K1711" s="76">
        <f ca="1">EFEITO!$L$1711*EFEITO!$Z$1711</f>
        <v>3478.7741743444803</v>
      </c>
      <c r="L1711" s="76">
        <f>EFEITO!$N$1711*EFEITO!$AA$1711</f>
        <v>2609.7139327621944</v>
      </c>
      <c r="M1711" s="76">
        <f>$J$1711-EFEITO!$K$1711*EFEITO!$Y$1711</f>
        <v>0</v>
      </c>
      <c r="N1711" s="76">
        <f ca="1">$K$1711-EFEITO!$M$1711*EFEITO!$Z$1711</f>
        <v>0</v>
      </c>
      <c r="O1711" s="76">
        <f>$L$1711-EFEITO!$O$1711*EFEITO!$AA$1711</f>
        <v>0</v>
      </c>
      <c r="P1711" s="57"/>
      <c r="Q1711" s="57"/>
      <c r="R1711" s="57"/>
      <c r="S1711" s="57"/>
      <c r="T1711" s="57"/>
      <c r="U1711" s="57"/>
      <c r="V1711" s="57"/>
      <c r="W1711" s="57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</row>
    <row r="1712" spans="1:36" ht="11.25" customHeight="1" x14ac:dyDescent="0.2">
      <c r="A1712" s="53" t="s">
        <v>21</v>
      </c>
      <c r="B1712" s="53" t="s">
        <v>39</v>
      </c>
      <c r="C1712" s="53" t="s">
        <v>37</v>
      </c>
      <c r="D1712" s="53" t="s">
        <v>52</v>
      </c>
      <c r="E1712" s="53" t="s">
        <v>25</v>
      </c>
      <c r="F1712" s="53" t="s">
        <v>25</v>
      </c>
      <c r="G1712" s="53" t="s">
        <v>25</v>
      </c>
      <c r="H1712" s="53" t="s">
        <v>36</v>
      </c>
      <c r="I1712" s="75">
        <v>44593</v>
      </c>
      <c r="J1712" s="76">
        <f>EFEITO!$J$1712*EFEITO!$Y$1712</f>
        <v>0</v>
      </c>
      <c r="K1712" s="76">
        <f ca="1">EFEITO!$L$1712*EFEITO!$Z$1712</f>
        <v>3567.3247896914304</v>
      </c>
      <c r="L1712" s="76">
        <f>EFEITO!$N$1712*EFEITO!$AA$1712</f>
        <v>2676.1430146870503</v>
      </c>
      <c r="M1712" s="76">
        <f>$J$1712-EFEITO!$K$1712*EFEITO!$Y$1712</f>
        <v>0</v>
      </c>
      <c r="N1712" s="76">
        <f ca="1">$K$1712-EFEITO!$M$1712*EFEITO!$Z$1712</f>
        <v>0</v>
      </c>
      <c r="O1712" s="76">
        <f>$L$1712-EFEITO!$O$1712*EFEITO!$AA$1712</f>
        <v>0</v>
      </c>
      <c r="P1712" s="57"/>
      <c r="Q1712" s="57"/>
      <c r="R1712" s="57"/>
      <c r="S1712" s="57"/>
      <c r="T1712" s="57"/>
      <c r="U1712" s="57"/>
      <c r="V1712" s="57"/>
      <c r="W1712" s="57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</row>
    <row r="1713" spans="1:36" ht="11.25" customHeight="1" x14ac:dyDescent="0.2">
      <c r="A1713" s="53" t="s">
        <v>21</v>
      </c>
      <c r="B1713" s="53" t="s">
        <v>39</v>
      </c>
      <c r="C1713" s="53" t="s">
        <v>37</v>
      </c>
      <c r="D1713" s="53" t="s">
        <v>52</v>
      </c>
      <c r="E1713" s="53" t="s">
        <v>25</v>
      </c>
      <c r="F1713" s="53" t="s">
        <v>25</v>
      </c>
      <c r="G1713" s="53" t="s">
        <v>25</v>
      </c>
      <c r="H1713" s="53" t="s">
        <v>36</v>
      </c>
      <c r="I1713" s="75">
        <v>44621</v>
      </c>
      <c r="J1713" s="76">
        <f>EFEITO!$J$1713*EFEITO!$Y$1713</f>
        <v>0</v>
      </c>
      <c r="K1713" s="76">
        <f ca="1">EFEITO!$L$1713*EFEITO!$Z$1713</f>
        <v>3534.0731300509433</v>
      </c>
      <c r="L1713" s="76">
        <f>EFEITO!$N$1713*EFEITO!$AA$1713</f>
        <v>2651.1982165764925</v>
      </c>
      <c r="M1713" s="76">
        <f>$J$1713-EFEITO!$K$1713*EFEITO!$Y$1713</f>
        <v>0</v>
      </c>
      <c r="N1713" s="76">
        <f ca="1">$K$1713-EFEITO!$M$1713*EFEITO!$Z$1713</f>
        <v>0</v>
      </c>
      <c r="O1713" s="76">
        <f>$L$1713-EFEITO!$O$1713*EFEITO!$AA$1713</f>
        <v>0</v>
      </c>
      <c r="P1713" s="57"/>
      <c r="Q1713" s="57"/>
      <c r="R1713" s="57"/>
      <c r="S1713" s="57"/>
      <c r="T1713" s="57"/>
      <c r="U1713" s="57"/>
      <c r="V1713" s="57"/>
      <c r="W1713" s="57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</row>
    <row r="1714" spans="1:36" ht="11.25" customHeight="1" x14ac:dyDescent="0.2">
      <c r="A1714" s="53" t="s">
        <v>56</v>
      </c>
      <c r="B1714" s="53" t="s">
        <v>39</v>
      </c>
      <c r="C1714" s="53" t="s">
        <v>37</v>
      </c>
      <c r="D1714" s="53" t="s">
        <v>52</v>
      </c>
      <c r="E1714" s="53" t="s">
        <v>25</v>
      </c>
      <c r="F1714" s="53" t="s">
        <v>25</v>
      </c>
      <c r="G1714" s="53" t="s">
        <v>25</v>
      </c>
      <c r="H1714" s="53" t="s">
        <v>36</v>
      </c>
      <c r="I1714" s="75">
        <v>44652</v>
      </c>
      <c r="J1714" s="76">
        <f>EFEITO!$J$1714*EFEITO!$Y$1714</f>
        <v>0</v>
      </c>
      <c r="K1714" s="76">
        <f ca="1">EFEITO!$L$1714*EFEITO!$Z$1714</f>
        <v>3534.0731300509433</v>
      </c>
      <c r="L1714" s="76">
        <f>EFEITO!$N$1714*EFEITO!$AA$1714</f>
        <v>2651.1982165764925</v>
      </c>
      <c r="M1714" s="76">
        <f>$J$1714-EFEITO!$K$1714*EFEITO!$Y$1714</f>
        <v>0</v>
      </c>
      <c r="N1714" s="76">
        <f ca="1">$K$1714-EFEITO!$M$1714*EFEITO!$Z$1714</f>
        <v>0</v>
      </c>
      <c r="O1714" s="76">
        <f>$L$1714-EFEITO!$O$1714*EFEITO!$AA$1714</f>
        <v>0</v>
      </c>
      <c r="P1714" s="57"/>
      <c r="Q1714" s="57"/>
      <c r="R1714" s="57"/>
      <c r="S1714" s="57"/>
      <c r="T1714" s="57"/>
      <c r="U1714" s="57"/>
      <c r="V1714" s="57"/>
      <c r="W1714" s="57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</row>
    <row r="1715" spans="1:36" ht="11.25" customHeight="1" x14ac:dyDescent="0.2">
      <c r="A1715" s="53" t="s">
        <v>21</v>
      </c>
      <c r="B1715" s="53" t="s">
        <v>39</v>
      </c>
      <c r="C1715" s="53" t="s">
        <v>37</v>
      </c>
      <c r="D1715" s="53" t="s">
        <v>52</v>
      </c>
      <c r="E1715" s="53" t="s">
        <v>25</v>
      </c>
      <c r="F1715" s="53" t="s">
        <v>25</v>
      </c>
      <c r="G1715" s="53" t="s">
        <v>25</v>
      </c>
      <c r="H1715" s="53" t="s">
        <v>38</v>
      </c>
      <c r="I1715" s="75">
        <v>44317</v>
      </c>
      <c r="J1715" s="76">
        <f>EFEITO!$J$1715*EFEITO!$Y$1715</f>
        <v>0</v>
      </c>
      <c r="K1715" s="76">
        <f ca="1">EFEITO!$L$1715*EFEITO!$Z$1715</f>
        <v>511.15389451295493</v>
      </c>
      <c r="L1715" s="76">
        <f>EFEITO!$N$1715*EFEITO!$AA$1715</f>
        <v>180.03636897185427</v>
      </c>
      <c r="M1715" s="76">
        <f>$J$1715-EFEITO!$K$1715*EFEITO!$Y$1715</f>
        <v>0</v>
      </c>
      <c r="N1715" s="76">
        <f ca="1">$K$1715-EFEITO!$M$1715*EFEITO!$Z$1715</f>
        <v>0</v>
      </c>
      <c r="O1715" s="76">
        <f>$L$1715-EFEITO!$O$1715*EFEITO!$AA$1715</f>
        <v>0</v>
      </c>
      <c r="P1715" s="57"/>
      <c r="Q1715" s="57"/>
      <c r="R1715" s="57"/>
      <c r="S1715" s="57"/>
      <c r="T1715" s="57"/>
      <c r="U1715" s="57"/>
      <c r="V1715" s="57"/>
      <c r="W1715" s="57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</row>
    <row r="1716" spans="1:36" ht="11.25" customHeight="1" x14ac:dyDescent="0.2">
      <c r="A1716" s="53" t="s">
        <v>21</v>
      </c>
      <c r="B1716" s="53" t="s">
        <v>39</v>
      </c>
      <c r="C1716" s="53" t="s">
        <v>37</v>
      </c>
      <c r="D1716" s="53" t="s">
        <v>52</v>
      </c>
      <c r="E1716" s="53" t="s">
        <v>25</v>
      </c>
      <c r="F1716" s="53" t="s">
        <v>25</v>
      </c>
      <c r="G1716" s="53" t="s">
        <v>25</v>
      </c>
      <c r="H1716" s="53" t="s">
        <v>38</v>
      </c>
      <c r="I1716" s="75">
        <v>44348</v>
      </c>
      <c r="J1716" s="76">
        <f>EFEITO!$J$1716*EFEITO!$Y$1716</f>
        <v>0</v>
      </c>
      <c r="K1716" s="76">
        <f ca="1">EFEITO!$L$1716*EFEITO!$Z$1716</f>
        <v>394.91257211618353</v>
      </c>
      <c r="L1716" s="76">
        <f>EFEITO!$N$1716*EFEITO!$AA$1716</f>
        <v>139.09436337735127</v>
      </c>
      <c r="M1716" s="76">
        <f>$J$1716-EFEITO!$K$1716*EFEITO!$Y$1716</f>
        <v>0</v>
      </c>
      <c r="N1716" s="76">
        <f ca="1">$K$1716-EFEITO!$M$1716*EFEITO!$Z$1716</f>
        <v>0</v>
      </c>
      <c r="O1716" s="76">
        <f>$L$1716-EFEITO!$O$1716*EFEITO!$AA$1716</f>
        <v>0</v>
      </c>
      <c r="P1716" s="57"/>
      <c r="Q1716" s="57"/>
      <c r="R1716" s="57"/>
      <c r="S1716" s="57"/>
      <c r="T1716" s="57"/>
      <c r="U1716" s="57"/>
      <c r="V1716" s="57"/>
      <c r="W1716" s="57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</row>
    <row r="1717" spans="1:36" ht="11.25" customHeight="1" x14ac:dyDescent="0.2">
      <c r="A1717" s="53" t="s">
        <v>21</v>
      </c>
      <c r="B1717" s="53" t="s">
        <v>39</v>
      </c>
      <c r="C1717" s="53" t="s">
        <v>37</v>
      </c>
      <c r="D1717" s="53" t="s">
        <v>52</v>
      </c>
      <c r="E1717" s="53" t="s">
        <v>25</v>
      </c>
      <c r="F1717" s="53" t="s">
        <v>25</v>
      </c>
      <c r="G1717" s="53" t="s">
        <v>25</v>
      </c>
      <c r="H1717" s="53" t="s">
        <v>38</v>
      </c>
      <c r="I1717" s="75">
        <v>44378</v>
      </c>
      <c r="J1717" s="76">
        <f>EFEITO!$J$1717*EFEITO!$Y$1717</f>
        <v>0</v>
      </c>
      <c r="K1717" s="76">
        <f ca="1">EFEITO!$L$1717*EFEITO!$Z$1717</f>
        <v>329.47871513786851</v>
      </c>
      <c r="L1717" s="76">
        <f>EFEITO!$N$1717*EFEITO!$AA$1717</f>
        <v>116.04753903607472</v>
      </c>
      <c r="M1717" s="76">
        <f>$J$1717-EFEITO!$K$1717*EFEITO!$Y$1717</f>
        <v>0</v>
      </c>
      <c r="N1717" s="76">
        <f ca="1">$K$1717-EFEITO!$M$1717*EFEITO!$Z$1717</f>
        <v>0</v>
      </c>
      <c r="O1717" s="76">
        <f>$L$1717-EFEITO!$O$1717*EFEITO!$AA$1717</f>
        <v>0</v>
      </c>
      <c r="P1717" s="57"/>
      <c r="Q1717" s="57"/>
      <c r="R1717" s="57"/>
      <c r="S1717" s="57"/>
      <c r="T1717" s="57"/>
      <c r="U1717" s="57"/>
      <c r="V1717" s="57"/>
      <c r="W1717" s="57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</row>
    <row r="1718" spans="1:36" ht="11.25" customHeight="1" x14ac:dyDescent="0.2">
      <c r="A1718" s="53" t="s">
        <v>21</v>
      </c>
      <c r="B1718" s="53" t="s">
        <v>39</v>
      </c>
      <c r="C1718" s="53" t="s">
        <v>37</v>
      </c>
      <c r="D1718" s="53" t="s">
        <v>52</v>
      </c>
      <c r="E1718" s="53" t="s">
        <v>25</v>
      </c>
      <c r="F1718" s="53" t="s">
        <v>25</v>
      </c>
      <c r="G1718" s="53" t="s">
        <v>25</v>
      </c>
      <c r="H1718" s="53" t="s">
        <v>38</v>
      </c>
      <c r="I1718" s="75">
        <v>44409</v>
      </c>
      <c r="J1718" s="76">
        <f>EFEITO!$J$1718*EFEITO!$Y$1718</f>
        <v>0</v>
      </c>
      <c r="K1718" s="76">
        <f ca="1">EFEITO!$L$1718*EFEITO!$Z$1718</f>
        <v>379.51637047422702</v>
      </c>
      <c r="L1718" s="76">
        <f>EFEITO!$N$1718*EFEITO!$AA$1718</f>
        <v>133.67158117940383</v>
      </c>
      <c r="M1718" s="76">
        <f>$J$1718-EFEITO!$K$1718*EFEITO!$Y$1718</f>
        <v>0</v>
      </c>
      <c r="N1718" s="76">
        <f ca="1">$K$1718-EFEITO!$M$1718*EFEITO!$Z$1718</f>
        <v>0</v>
      </c>
      <c r="O1718" s="76">
        <f>$L$1718-EFEITO!$O$1718*EFEITO!$AA$1718</f>
        <v>0</v>
      </c>
      <c r="P1718" s="57"/>
      <c r="Q1718" s="57"/>
      <c r="R1718" s="57"/>
      <c r="S1718" s="57"/>
      <c r="T1718" s="57"/>
      <c r="U1718" s="57"/>
      <c r="V1718" s="57"/>
      <c r="W1718" s="57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</row>
    <row r="1719" spans="1:36" ht="11.25" customHeight="1" x14ac:dyDescent="0.2">
      <c r="A1719" s="53" t="s">
        <v>21</v>
      </c>
      <c r="B1719" s="53" t="s">
        <v>39</v>
      </c>
      <c r="C1719" s="53" t="s">
        <v>37</v>
      </c>
      <c r="D1719" s="53" t="s">
        <v>52</v>
      </c>
      <c r="E1719" s="53" t="s">
        <v>25</v>
      </c>
      <c r="F1719" s="53" t="s">
        <v>25</v>
      </c>
      <c r="G1719" s="53" t="s">
        <v>25</v>
      </c>
      <c r="H1719" s="53" t="s">
        <v>38</v>
      </c>
      <c r="I1719" s="75">
        <v>44440</v>
      </c>
      <c r="J1719" s="76">
        <f>EFEITO!$J$1719*EFEITO!$Y$1719</f>
        <v>0</v>
      </c>
      <c r="K1719" s="76">
        <f ca="1">EFEITO!$L$1719*EFEITO!$Z$1719</f>
        <v>448.02946778093332</v>
      </c>
      <c r="L1719" s="76">
        <f>EFEITO!$N$1719*EFEITO!$AA$1719</f>
        <v>157.80296196026984</v>
      </c>
      <c r="M1719" s="76">
        <f>$J$1719-EFEITO!$K$1719*EFEITO!$Y$1719</f>
        <v>0</v>
      </c>
      <c r="N1719" s="76">
        <f ca="1">$K$1719-EFEITO!$M$1719*EFEITO!$Z$1719</f>
        <v>0</v>
      </c>
      <c r="O1719" s="76">
        <f>$L$1719-EFEITO!$O$1719*EFEITO!$AA$1719</f>
        <v>0</v>
      </c>
      <c r="P1719" s="57"/>
      <c r="Q1719" s="57"/>
      <c r="R1719" s="57"/>
      <c r="S1719" s="57"/>
      <c r="T1719" s="57"/>
      <c r="U1719" s="57"/>
      <c r="V1719" s="57"/>
      <c r="W1719" s="57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</row>
    <row r="1720" spans="1:36" ht="11.25" customHeight="1" x14ac:dyDescent="0.2">
      <c r="A1720" s="53" t="s">
        <v>21</v>
      </c>
      <c r="B1720" s="53" t="s">
        <v>39</v>
      </c>
      <c r="C1720" s="53" t="s">
        <v>37</v>
      </c>
      <c r="D1720" s="53" t="s">
        <v>52</v>
      </c>
      <c r="E1720" s="53" t="s">
        <v>25</v>
      </c>
      <c r="F1720" s="53" t="s">
        <v>25</v>
      </c>
      <c r="G1720" s="53" t="s">
        <v>25</v>
      </c>
      <c r="H1720" s="53" t="s">
        <v>38</v>
      </c>
      <c r="I1720" s="75">
        <v>44470</v>
      </c>
      <c r="J1720" s="76">
        <f>EFEITO!$J$1720*EFEITO!$Y$1720</f>
        <v>0</v>
      </c>
      <c r="K1720" s="76">
        <f ca="1">EFEITO!$L$1720*EFEITO!$Z$1720</f>
        <v>568.88965067029164</v>
      </c>
      <c r="L1720" s="76">
        <f>EFEITO!$N$1720*EFEITO!$AA$1720</f>
        <v>200.37180221415707</v>
      </c>
      <c r="M1720" s="76">
        <f>$J$1720-EFEITO!$K$1720*EFEITO!$Y$1720</f>
        <v>0</v>
      </c>
      <c r="N1720" s="76">
        <f ca="1">$K$1720-EFEITO!$M$1720*EFEITO!$Z$1720</f>
        <v>0</v>
      </c>
      <c r="O1720" s="76">
        <f>$L$1720-EFEITO!$O$1720*EFEITO!$AA$1720</f>
        <v>0</v>
      </c>
      <c r="P1720" s="57"/>
      <c r="Q1720" s="57"/>
      <c r="R1720" s="57"/>
      <c r="S1720" s="57"/>
      <c r="T1720" s="57"/>
      <c r="U1720" s="57"/>
      <c r="V1720" s="57"/>
      <c r="W1720" s="57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</row>
    <row r="1721" spans="1:36" ht="11.25" customHeight="1" x14ac:dyDescent="0.2">
      <c r="A1721" s="53" t="s">
        <v>21</v>
      </c>
      <c r="B1721" s="53" t="s">
        <v>39</v>
      </c>
      <c r="C1721" s="53" t="s">
        <v>37</v>
      </c>
      <c r="D1721" s="53" t="s">
        <v>52</v>
      </c>
      <c r="E1721" s="53" t="s">
        <v>25</v>
      </c>
      <c r="F1721" s="53" t="s">
        <v>25</v>
      </c>
      <c r="G1721" s="53" t="s">
        <v>25</v>
      </c>
      <c r="H1721" s="53" t="s">
        <v>38</v>
      </c>
      <c r="I1721" s="75">
        <v>44501</v>
      </c>
      <c r="J1721" s="76">
        <f>EFEITO!$J$1721*EFEITO!$Y$1721</f>
        <v>0</v>
      </c>
      <c r="K1721" s="76">
        <f ca="1">EFEITO!$L$1721*EFEITO!$Z$1721</f>
        <v>605.0707245288894</v>
      </c>
      <c r="L1721" s="76">
        <f>EFEITO!$N$1721*EFEITO!$AA$1721</f>
        <v>213.1153403793335</v>
      </c>
      <c r="M1721" s="76">
        <f>$J$1721-EFEITO!$K$1721*EFEITO!$Y$1721</f>
        <v>0</v>
      </c>
      <c r="N1721" s="76">
        <f ca="1">$K$1721-EFEITO!$M$1721*EFEITO!$Z$1721</f>
        <v>0</v>
      </c>
      <c r="O1721" s="76">
        <f>$L$1721-EFEITO!$O$1721*EFEITO!$AA$1721</f>
        <v>0</v>
      </c>
      <c r="P1721" s="57"/>
      <c r="Q1721" s="57"/>
      <c r="R1721" s="57"/>
      <c r="S1721" s="57"/>
      <c r="T1721" s="57"/>
      <c r="U1721" s="57"/>
      <c r="V1721" s="57"/>
      <c r="W1721" s="57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</row>
    <row r="1722" spans="1:36" ht="11.25" customHeight="1" x14ac:dyDescent="0.2">
      <c r="A1722" s="53" t="s">
        <v>21</v>
      </c>
      <c r="B1722" s="53" t="s">
        <v>39</v>
      </c>
      <c r="C1722" s="53" t="s">
        <v>37</v>
      </c>
      <c r="D1722" s="53" t="s">
        <v>52</v>
      </c>
      <c r="E1722" s="53" t="s">
        <v>25</v>
      </c>
      <c r="F1722" s="53" t="s">
        <v>25</v>
      </c>
      <c r="G1722" s="53" t="s">
        <v>25</v>
      </c>
      <c r="H1722" s="53" t="s">
        <v>38</v>
      </c>
      <c r="I1722" s="75">
        <v>44531</v>
      </c>
      <c r="J1722" s="76">
        <f>EFEITO!$J$1722*EFEITO!$Y$1722</f>
        <v>0</v>
      </c>
      <c r="K1722" s="76">
        <f ca="1">EFEITO!$L$1722*EFEITO!$Z$1722</f>
        <v>638.17255805909576</v>
      </c>
      <c r="L1722" s="76">
        <f>EFEITO!$N$1722*EFEITO!$AA$1722</f>
        <v>224.77432210492043</v>
      </c>
      <c r="M1722" s="76">
        <f>$J$1722-EFEITO!$K$1722*EFEITO!$Y$1722</f>
        <v>0</v>
      </c>
      <c r="N1722" s="76">
        <f ca="1">$K$1722-EFEITO!$M$1722*EFEITO!$Z$1722</f>
        <v>0</v>
      </c>
      <c r="O1722" s="76">
        <f>$L$1722-EFEITO!$O$1722*EFEITO!$AA$1722</f>
        <v>0</v>
      </c>
      <c r="P1722" s="57"/>
      <c r="Q1722" s="57"/>
      <c r="R1722" s="57"/>
      <c r="S1722" s="57"/>
      <c r="T1722" s="57"/>
      <c r="U1722" s="57"/>
      <c r="V1722" s="57"/>
      <c r="W1722" s="57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</row>
    <row r="1723" spans="1:36" ht="11.25" customHeight="1" x14ac:dyDescent="0.2">
      <c r="A1723" s="53" t="s">
        <v>21</v>
      </c>
      <c r="B1723" s="53" t="s">
        <v>39</v>
      </c>
      <c r="C1723" s="53" t="s">
        <v>37</v>
      </c>
      <c r="D1723" s="53" t="s">
        <v>52</v>
      </c>
      <c r="E1723" s="53" t="s">
        <v>25</v>
      </c>
      <c r="F1723" s="53" t="s">
        <v>25</v>
      </c>
      <c r="G1723" s="53" t="s">
        <v>25</v>
      </c>
      <c r="H1723" s="53" t="s">
        <v>38</v>
      </c>
      <c r="I1723" s="75">
        <v>44562</v>
      </c>
      <c r="J1723" s="76">
        <f>EFEITO!$J$1723*EFEITO!$Y$1723</f>
        <v>0</v>
      </c>
      <c r="K1723" s="76">
        <f ca="1">EFEITO!$L$1723*EFEITO!$Z$1723</f>
        <v>528.08971631910708</v>
      </c>
      <c r="L1723" s="76">
        <f>EFEITO!$N$1723*EFEITO!$AA$1723</f>
        <v>186.00142938959644</v>
      </c>
      <c r="M1723" s="76">
        <f>$J$1723-EFEITO!$K$1723*EFEITO!$Y$1723</f>
        <v>0</v>
      </c>
      <c r="N1723" s="76">
        <f ca="1">$K$1723-EFEITO!$M$1723*EFEITO!$Z$1723</f>
        <v>0</v>
      </c>
      <c r="O1723" s="76">
        <f>$L$1723-EFEITO!$O$1723*EFEITO!$AA$1723</f>
        <v>0</v>
      </c>
      <c r="P1723" s="57"/>
      <c r="Q1723" s="57"/>
      <c r="R1723" s="57"/>
      <c r="S1723" s="57"/>
      <c r="T1723" s="57"/>
      <c r="U1723" s="57"/>
      <c r="V1723" s="57"/>
      <c r="W1723" s="57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</row>
    <row r="1724" spans="1:36" ht="11.25" customHeight="1" x14ac:dyDescent="0.2">
      <c r="A1724" s="53" t="s">
        <v>21</v>
      </c>
      <c r="B1724" s="53" t="s">
        <v>39</v>
      </c>
      <c r="C1724" s="53" t="s">
        <v>37</v>
      </c>
      <c r="D1724" s="53" t="s">
        <v>52</v>
      </c>
      <c r="E1724" s="53" t="s">
        <v>25</v>
      </c>
      <c r="F1724" s="53" t="s">
        <v>25</v>
      </c>
      <c r="G1724" s="53" t="s">
        <v>25</v>
      </c>
      <c r="H1724" s="53" t="s">
        <v>38</v>
      </c>
      <c r="I1724" s="75">
        <v>44593</v>
      </c>
      <c r="J1724" s="76">
        <f>EFEITO!$J$1724*EFEITO!$Y$1724</f>
        <v>0</v>
      </c>
      <c r="K1724" s="76">
        <f ca="1">EFEITO!$L$1724*EFEITO!$Z$1724</f>
        <v>531.16895664749825</v>
      </c>
      <c r="L1724" s="76">
        <f>EFEITO!$N$1724*EFEITO!$AA$1724</f>
        <v>187.08598582918589</v>
      </c>
      <c r="M1724" s="76">
        <f>$J$1724-EFEITO!$K$1724*EFEITO!$Y$1724</f>
        <v>0</v>
      </c>
      <c r="N1724" s="76">
        <f ca="1">$K$1724-EFEITO!$M$1724*EFEITO!$Z$1724</f>
        <v>0</v>
      </c>
      <c r="O1724" s="76">
        <f>$L$1724-EFEITO!$O$1724*EFEITO!$AA$1724</f>
        <v>0</v>
      </c>
      <c r="P1724" s="57"/>
      <c r="Q1724" s="57"/>
      <c r="R1724" s="57"/>
      <c r="S1724" s="57"/>
      <c r="T1724" s="57"/>
      <c r="U1724" s="57"/>
      <c r="V1724" s="57"/>
      <c r="W1724" s="57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</row>
    <row r="1725" spans="1:36" ht="11.25" customHeight="1" x14ac:dyDescent="0.2">
      <c r="A1725" s="53" t="s">
        <v>21</v>
      </c>
      <c r="B1725" s="53" t="s">
        <v>39</v>
      </c>
      <c r="C1725" s="53" t="s">
        <v>37</v>
      </c>
      <c r="D1725" s="53" t="s">
        <v>52</v>
      </c>
      <c r="E1725" s="53" t="s">
        <v>25</v>
      </c>
      <c r="F1725" s="53" t="s">
        <v>25</v>
      </c>
      <c r="G1725" s="53" t="s">
        <v>25</v>
      </c>
      <c r="H1725" s="53" t="s">
        <v>38</v>
      </c>
      <c r="I1725" s="75">
        <v>44621</v>
      </c>
      <c r="J1725" s="76">
        <f>EFEITO!$J$1725*EFEITO!$Y$1725</f>
        <v>0</v>
      </c>
      <c r="K1725" s="76">
        <f ca="1">EFEITO!$L$1725*EFEITO!$Z$1725</f>
        <v>526.55009615491144</v>
      </c>
      <c r="L1725" s="76">
        <f>EFEITO!$N$1725*EFEITO!$AA$1725</f>
        <v>185.45915116980169</v>
      </c>
      <c r="M1725" s="76">
        <f>$J$1725-EFEITO!$K$1725*EFEITO!$Y$1725</f>
        <v>0</v>
      </c>
      <c r="N1725" s="76">
        <f ca="1">$K$1725-EFEITO!$M$1725*EFEITO!$Z$1725</f>
        <v>0</v>
      </c>
      <c r="O1725" s="76">
        <f>$L$1725-EFEITO!$O$1725*EFEITO!$AA$1725</f>
        <v>0</v>
      </c>
      <c r="P1725" s="57"/>
      <c r="Q1725" s="57"/>
      <c r="R1725" s="57"/>
      <c r="S1725" s="57"/>
      <c r="T1725" s="57"/>
      <c r="U1725" s="57"/>
      <c r="V1725" s="57"/>
      <c r="W1725" s="57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</row>
    <row r="1726" spans="1:36" ht="11.25" customHeight="1" x14ac:dyDescent="0.2">
      <c r="A1726" s="53" t="s">
        <v>56</v>
      </c>
      <c r="B1726" s="53" t="s">
        <v>39</v>
      </c>
      <c r="C1726" s="53" t="s">
        <v>37</v>
      </c>
      <c r="D1726" s="53" t="s">
        <v>52</v>
      </c>
      <c r="E1726" s="53" t="s">
        <v>25</v>
      </c>
      <c r="F1726" s="53" t="s">
        <v>25</v>
      </c>
      <c r="G1726" s="53" t="s">
        <v>25</v>
      </c>
      <c r="H1726" s="53" t="s">
        <v>38</v>
      </c>
      <c r="I1726" s="75">
        <v>44652</v>
      </c>
      <c r="J1726" s="76">
        <f>EFEITO!$J$1726*EFEITO!$Y$1726</f>
        <v>0</v>
      </c>
      <c r="K1726" s="76">
        <f ca="1">EFEITO!$L$1726*EFEITO!$Z$1726</f>
        <v>526.55009615491144</v>
      </c>
      <c r="L1726" s="76">
        <f>EFEITO!$N$1726*EFEITO!$AA$1726</f>
        <v>185.45915116980169</v>
      </c>
      <c r="M1726" s="76">
        <f>$J$1726-EFEITO!$K$1726*EFEITO!$Y$1726</f>
        <v>0</v>
      </c>
      <c r="N1726" s="76">
        <f ca="1">$K$1726-EFEITO!$M$1726*EFEITO!$Z$1726</f>
        <v>0</v>
      </c>
      <c r="O1726" s="76">
        <f>$L$1726-EFEITO!$O$1726*EFEITO!$AA$1726</f>
        <v>0</v>
      </c>
      <c r="P1726" s="57"/>
      <c r="Q1726" s="57"/>
      <c r="R1726" s="57"/>
      <c r="S1726" s="57"/>
      <c r="T1726" s="57"/>
      <c r="U1726" s="57"/>
      <c r="V1726" s="57"/>
      <c r="W1726" s="57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</row>
    <row r="1727" spans="1:36" ht="11.25" customHeight="1" x14ac:dyDescent="0.2">
      <c r="A1727" s="53" t="s">
        <v>21</v>
      </c>
      <c r="B1727" s="53" t="s">
        <v>39</v>
      </c>
      <c r="C1727" s="53" t="s">
        <v>37</v>
      </c>
      <c r="D1727" s="53" t="s">
        <v>52</v>
      </c>
      <c r="E1727" s="53" t="s">
        <v>25</v>
      </c>
      <c r="F1727" s="53" t="s">
        <v>25</v>
      </c>
      <c r="G1727" s="53" t="s">
        <v>25</v>
      </c>
      <c r="H1727" s="53" t="s">
        <v>35</v>
      </c>
      <c r="I1727" s="75">
        <v>44317</v>
      </c>
      <c r="J1727" s="76">
        <f>EFEITO!$J$1727*EFEITO!$Y$1727</f>
        <v>0</v>
      </c>
      <c r="K1727" s="76">
        <f ca="1">EFEITO!$L$1727*EFEITO!$Z$1727</f>
        <v>326.35828424476756</v>
      </c>
      <c r="L1727" s="76">
        <f>EFEITO!$N$1727*EFEITO!$AA$1727</f>
        <v>117.41933743999637</v>
      </c>
      <c r="M1727" s="76">
        <f>$J$1727-EFEITO!$K$1727*EFEITO!$Y$1727</f>
        <v>0</v>
      </c>
      <c r="N1727" s="76">
        <f ca="1">$K$1727-EFEITO!$M$1727*EFEITO!$Z$1727</f>
        <v>0</v>
      </c>
      <c r="O1727" s="76">
        <f>$L$1727-EFEITO!$O$1727*EFEITO!$AA$1727</f>
        <v>0</v>
      </c>
      <c r="P1727" s="57"/>
      <c r="Q1727" s="57"/>
      <c r="R1727" s="57"/>
      <c r="S1727" s="57"/>
      <c r="T1727" s="57"/>
      <c r="U1727" s="57"/>
      <c r="V1727" s="57"/>
      <c r="W1727" s="57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</row>
    <row r="1728" spans="1:36" ht="11.25" customHeight="1" x14ac:dyDescent="0.2">
      <c r="A1728" s="53" t="s">
        <v>21</v>
      </c>
      <c r="B1728" s="53" t="s">
        <v>39</v>
      </c>
      <c r="C1728" s="53" t="s">
        <v>37</v>
      </c>
      <c r="D1728" s="53" t="s">
        <v>52</v>
      </c>
      <c r="E1728" s="53" t="s">
        <v>25</v>
      </c>
      <c r="F1728" s="53" t="s">
        <v>25</v>
      </c>
      <c r="G1728" s="53" t="s">
        <v>25</v>
      </c>
      <c r="H1728" s="53" t="s">
        <v>35</v>
      </c>
      <c r="I1728" s="75">
        <v>44348</v>
      </c>
      <c r="J1728" s="76">
        <f>EFEITO!$J$1728*EFEITO!$Y$1728</f>
        <v>0</v>
      </c>
      <c r="K1728" s="76">
        <f ca="1">EFEITO!$L$1728*EFEITO!$Z$1728</f>
        <v>303.97269796083043</v>
      </c>
      <c r="L1728" s="76">
        <f>EFEITO!$N$1728*EFEITO!$AA$1728</f>
        <v>109.36530346396772</v>
      </c>
      <c r="M1728" s="76">
        <f>$J$1728-EFEITO!$K$1728*EFEITO!$Y$1728</f>
        <v>0</v>
      </c>
      <c r="N1728" s="76">
        <f ca="1">$K$1728-EFEITO!$M$1728*EFEITO!$Z$1728</f>
        <v>0</v>
      </c>
      <c r="O1728" s="76">
        <f>$L$1728-EFEITO!$O$1728*EFEITO!$AA$1728</f>
        <v>0</v>
      </c>
      <c r="P1728" s="57"/>
      <c r="Q1728" s="57"/>
      <c r="R1728" s="57"/>
      <c r="S1728" s="57"/>
      <c r="T1728" s="57"/>
      <c r="U1728" s="57"/>
      <c r="V1728" s="57"/>
      <c r="W1728" s="57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</row>
    <row r="1729" spans="1:36" ht="11.25" customHeight="1" x14ac:dyDescent="0.2">
      <c r="A1729" s="53" t="s">
        <v>21</v>
      </c>
      <c r="B1729" s="53" t="s">
        <v>39</v>
      </c>
      <c r="C1729" s="53" t="s">
        <v>37</v>
      </c>
      <c r="D1729" s="53" t="s">
        <v>52</v>
      </c>
      <c r="E1729" s="53" t="s">
        <v>25</v>
      </c>
      <c r="F1729" s="53" t="s">
        <v>25</v>
      </c>
      <c r="G1729" s="53" t="s">
        <v>25</v>
      </c>
      <c r="H1729" s="53" t="s">
        <v>35</v>
      </c>
      <c r="I1729" s="75">
        <v>44378</v>
      </c>
      <c r="J1729" s="76">
        <f>EFEITO!$J$1729*EFEITO!$Y$1729</f>
        <v>0</v>
      </c>
      <c r="K1729" s="76">
        <f ca="1">EFEITO!$L$1729*EFEITO!$Z$1729</f>
        <v>302.79450920904424</v>
      </c>
      <c r="L1729" s="76">
        <f>EFEITO!$N$1729*EFEITO!$AA$1729</f>
        <v>108.94140693891359</v>
      </c>
      <c r="M1729" s="76">
        <f>$J$1729-EFEITO!$K$1729*EFEITO!$Y$1729</f>
        <v>0</v>
      </c>
      <c r="N1729" s="76">
        <f ca="1">$K$1729-EFEITO!$M$1729*EFEITO!$Z$1729</f>
        <v>0</v>
      </c>
      <c r="O1729" s="76">
        <f>$L$1729-EFEITO!$O$1729*EFEITO!$AA$1729</f>
        <v>0</v>
      </c>
      <c r="P1729" s="57"/>
      <c r="Q1729" s="57"/>
      <c r="R1729" s="57"/>
      <c r="S1729" s="57"/>
      <c r="T1729" s="57"/>
      <c r="U1729" s="57"/>
      <c r="V1729" s="57"/>
      <c r="W1729" s="57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</row>
    <row r="1730" spans="1:36" ht="11.25" customHeight="1" x14ac:dyDescent="0.2">
      <c r="A1730" s="53" t="s">
        <v>21</v>
      </c>
      <c r="B1730" s="53" t="s">
        <v>39</v>
      </c>
      <c r="C1730" s="53" t="s">
        <v>37</v>
      </c>
      <c r="D1730" s="53" t="s">
        <v>52</v>
      </c>
      <c r="E1730" s="53" t="s">
        <v>25</v>
      </c>
      <c r="F1730" s="53" t="s">
        <v>25</v>
      </c>
      <c r="G1730" s="53" t="s">
        <v>25</v>
      </c>
      <c r="H1730" s="53" t="s">
        <v>35</v>
      </c>
      <c r="I1730" s="75">
        <v>44409</v>
      </c>
      <c r="J1730" s="76">
        <f>EFEITO!$J$1730*EFEITO!$Y$1730</f>
        <v>0</v>
      </c>
      <c r="K1730" s="76">
        <f ca="1">EFEITO!$L$1730*EFEITO!$Z$1730</f>
        <v>367.59489055728329</v>
      </c>
      <c r="L1730" s="76">
        <f>EFEITO!$N$1730*EFEITO!$AA$1730</f>
        <v>132.25571581689121</v>
      </c>
      <c r="M1730" s="76">
        <f>$J$1730-EFEITO!$K$1730*EFEITO!$Y$1730</f>
        <v>0</v>
      </c>
      <c r="N1730" s="76">
        <f ca="1">$K$1730-EFEITO!$M$1730*EFEITO!$Z$1730</f>
        <v>0</v>
      </c>
      <c r="O1730" s="76">
        <f>$L$1730-EFEITO!$O$1730*EFEITO!$AA$1730</f>
        <v>0</v>
      </c>
      <c r="P1730" s="57"/>
      <c r="Q1730" s="57"/>
      <c r="R1730" s="57"/>
      <c r="S1730" s="57"/>
      <c r="T1730" s="57"/>
      <c r="U1730" s="57"/>
      <c r="V1730" s="57"/>
      <c r="W1730" s="57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</row>
    <row r="1731" spans="1:36" ht="11.25" customHeight="1" x14ac:dyDescent="0.2">
      <c r="A1731" s="53" t="s">
        <v>21</v>
      </c>
      <c r="B1731" s="53" t="s">
        <v>39</v>
      </c>
      <c r="C1731" s="53" t="s">
        <v>37</v>
      </c>
      <c r="D1731" s="53" t="s">
        <v>52</v>
      </c>
      <c r="E1731" s="53" t="s">
        <v>25</v>
      </c>
      <c r="F1731" s="53" t="s">
        <v>25</v>
      </c>
      <c r="G1731" s="53" t="s">
        <v>25</v>
      </c>
      <c r="H1731" s="53" t="s">
        <v>35</v>
      </c>
      <c r="I1731" s="75">
        <v>44440</v>
      </c>
      <c r="J1731" s="76">
        <f>EFEITO!$J$1731*EFEITO!$Y$1731</f>
        <v>0</v>
      </c>
      <c r="K1731" s="76">
        <f ca="1">EFEITO!$L$1731*EFEITO!$Z$1731</f>
        <v>485.41376573589969</v>
      </c>
      <c r="L1731" s="76">
        <f>EFEITO!$N$1731*EFEITO!$AA$1731</f>
        <v>174.64536832230505</v>
      </c>
      <c r="M1731" s="76">
        <f>$J$1731-EFEITO!$K$1731*EFEITO!$Y$1731</f>
        <v>0</v>
      </c>
      <c r="N1731" s="76">
        <f ca="1">$K$1731-EFEITO!$M$1731*EFEITO!$Z$1731</f>
        <v>0</v>
      </c>
      <c r="O1731" s="76">
        <f>$L$1731-EFEITO!$O$1731*EFEITO!$AA$1731</f>
        <v>0</v>
      </c>
      <c r="P1731" s="57"/>
      <c r="Q1731" s="57"/>
      <c r="R1731" s="57"/>
      <c r="S1731" s="57"/>
      <c r="T1731" s="57"/>
      <c r="U1731" s="57"/>
      <c r="V1731" s="57"/>
      <c r="W1731" s="57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</row>
    <row r="1732" spans="1:36" ht="11.25" customHeight="1" x14ac:dyDescent="0.2">
      <c r="A1732" s="53" t="s">
        <v>21</v>
      </c>
      <c r="B1732" s="53" t="s">
        <v>39</v>
      </c>
      <c r="C1732" s="53" t="s">
        <v>37</v>
      </c>
      <c r="D1732" s="53" t="s">
        <v>52</v>
      </c>
      <c r="E1732" s="53" t="s">
        <v>25</v>
      </c>
      <c r="F1732" s="53" t="s">
        <v>25</v>
      </c>
      <c r="G1732" s="53" t="s">
        <v>25</v>
      </c>
      <c r="H1732" s="53" t="s">
        <v>35</v>
      </c>
      <c r="I1732" s="75">
        <v>44470</v>
      </c>
      <c r="J1732" s="76">
        <f>EFEITO!$J$1732*EFEITO!$Y$1732</f>
        <v>0</v>
      </c>
      <c r="K1732" s="76">
        <f ca="1">EFEITO!$L$1732*EFEITO!$Z$1732</f>
        <v>673.92396602168594</v>
      </c>
      <c r="L1732" s="76">
        <f>EFEITO!$N$1732*EFEITO!$AA$1732</f>
        <v>242.46881233096718</v>
      </c>
      <c r="M1732" s="76">
        <f>$J$1732-EFEITO!$K$1732*EFEITO!$Y$1732</f>
        <v>0</v>
      </c>
      <c r="N1732" s="76">
        <f ca="1">$K$1732-EFEITO!$M$1732*EFEITO!$Z$1732</f>
        <v>0</v>
      </c>
      <c r="O1732" s="76">
        <f>$L$1732-EFEITO!$O$1732*EFEITO!$AA$1732</f>
        <v>0</v>
      </c>
      <c r="P1732" s="57"/>
      <c r="Q1732" s="57"/>
      <c r="R1732" s="57"/>
      <c r="S1732" s="57"/>
      <c r="T1732" s="57"/>
      <c r="U1732" s="57"/>
      <c r="V1732" s="57"/>
      <c r="W1732" s="57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</row>
    <row r="1733" spans="1:36" ht="11.25" customHeight="1" x14ac:dyDescent="0.2">
      <c r="A1733" s="53" t="s">
        <v>21</v>
      </c>
      <c r="B1733" s="53" t="s">
        <v>39</v>
      </c>
      <c r="C1733" s="53" t="s">
        <v>37</v>
      </c>
      <c r="D1733" s="53" t="s">
        <v>52</v>
      </c>
      <c r="E1733" s="53" t="s">
        <v>25</v>
      </c>
      <c r="F1733" s="53" t="s">
        <v>25</v>
      </c>
      <c r="G1733" s="53" t="s">
        <v>25</v>
      </c>
      <c r="H1733" s="53" t="s">
        <v>35</v>
      </c>
      <c r="I1733" s="75">
        <v>44501</v>
      </c>
      <c r="J1733" s="76">
        <f>EFEITO!$J$1733*EFEITO!$Y$1733</f>
        <v>0</v>
      </c>
      <c r="K1733" s="76">
        <f ca="1">EFEITO!$L$1733*EFEITO!$Z$1733</f>
        <v>691.59679729847846</v>
      </c>
      <c r="L1733" s="76">
        <f>EFEITO!$N$1733*EFEITO!$AA$1733</f>
        <v>248.82726020677927</v>
      </c>
      <c r="M1733" s="76">
        <f>$J$1733-EFEITO!$K$1733*EFEITO!$Y$1733</f>
        <v>0</v>
      </c>
      <c r="N1733" s="76">
        <f ca="1">$K$1733-EFEITO!$M$1733*EFEITO!$Z$1733</f>
        <v>0</v>
      </c>
      <c r="O1733" s="76">
        <f>$L$1733-EFEITO!$O$1733*EFEITO!$AA$1733</f>
        <v>0</v>
      </c>
      <c r="P1733" s="57"/>
      <c r="Q1733" s="57"/>
      <c r="R1733" s="57"/>
      <c r="S1733" s="57"/>
      <c r="T1733" s="57"/>
      <c r="U1733" s="57"/>
      <c r="V1733" s="57"/>
      <c r="W1733" s="57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</row>
    <row r="1734" spans="1:36" ht="11.25" customHeight="1" x14ac:dyDescent="0.2">
      <c r="A1734" s="53" t="s">
        <v>21</v>
      </c>
      <c r="B1734" s="53" t="s">
        <v>39</v>
      </c>
      <c r="C1734" s="53" t="s">
        <v>37</v>
      </c>
      <c r="D1734" s="53" t="s">
        <v>52</v>
      </c>
      <c r="E1734" s="53" t="s">
        <v>25</v>
      </c>
      <c r="F1734" s="53" t="s">
        <v>25</v>
      </c>
      <c r="G1734" s="53" t="s">
        <v>25</v>
      </c>
      <c r="H1734" s="53" t="s">
        <v>35</v>
      </c>
      <c r="I1734" s="75">
        <v>44531</v>
      </c>
      <c r="J1734" s="76">
        <f>EFEITO!$J$1734*EFEITO!$Y$1734</f>
        <v>0</v>
      </c>
      <c r="K1734" s="76">
        <f ca="1">EFEITO!$L$1734*EFEITO!$Z$1734</f>
        <v>622.08366094309486</v>
      </c>
      <c r="L1734" s="76">
        <f>EFEITO!$N$1734*EFEITO!$AA$1734</f>
        <v>223.81736522858512</v>
      </c>
      <c r="M1734" s="76">
        <f>$J$1734-EFEITO!$K$1734*EFEITO!$Y$1734</f>
        <v>0</v>
      </c>
      <c r="N1734" s="76">
        <f ca="1">$K$1734-EFEITO!$M$1734*EFEITO!$Z$1734</f>
        <v>0</v>
      </c>
      <c r="O1734" s="76">
        <f>$L$1734-EFEITO!$O$1734*EFEITO!$AA$1734</f>
        <v>0</v>
      </c>
      <c r="P1734" s="57"/>
      <c r="Q1734" s="57"/>
      <c r="R1734" s="57"/>
      <c r="S1734" s="57"/>
      <c r="T1734" s="57"/>
      <c r="U1734" s="57"/>
      <c r="V1734" s="57"/>
      <c r="W1734" s="57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</row>
    <row r="1735" spans="1:36" ht="11.25" customHeight="1" x14ac:dyDescent="0.2">
      <c r="A1735" s="53" t="s">
        <v>21</v>
      </c>
      <c r="B1735" s="53" t="s">
        <v>39</v>
      </c>
      <c r="C1735" s="53" t="s">
        <v>37</v>
      </c>
      <c r="D1735" s="53" t="s">
        <v>52</v>
      </c>
      <c r="E1735" s="53" t="s">
        <v>25</v>
      </c>
      <c r="F1735" s="53" t="s">
        <v>25</v>
      </c>
      <c r="G1735" s="53" t="s">
        <v>25</v>
      </c>
      <c r="H1735" s="53" t="s">
        <v>35</v>
      </c>
      <c r="I1735" s="75">
        <v>44562</v>
      </c>
      <c r="J1735" s="76">
        <f>EFEITO!$J$1735*EFEITO!$Y$1735</f>
        <v>0</v>
      </c>
      <c r="K1735" s="76">
        <f ca="1">EFEITO!$L$1735*EFEITO!$Z$1735</f>
        <v>452.42448068588715</v>
      </c>
      <c r="L1735" s="76">
        <f>EFEITO!$N$1735*EFEITO!$AA$1735</f>
        <v>162.77626562078916</v>
      </c>
      <c r="M1735" s="76">
        <f>$J$1735-EFEITO!$K$1735*EFEITO!$Y$1735</f>
        <v>0</v>
      </c>
      <c r="N1735" s="76">
        <f ca="1">$K$1735-EFEITO!$M$1735*EFEITO!$Z$1735</f>
        <v>0</v>
      </c>
      <c r="O1735" s="76">
        <f>$L$1735-EFEITO!$O$1735*EFEITO!$AA$1735</f>
        <v>0</v>
      </c>
      <c r="P1735" s="57"/>
      <c r="Q1735" s="57"/>
      <c r="R1735" s="57"/>
      <c r="S1735" s="57"/>
      <c r="T1735" s="57"/>
      <c r="U1735" s="57"/>
      <c r="V1735" s="57"/>
      <c r="W1735" s="57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</row>
    <row r="1736" spans="1:36" ht="11.25" customHeight="1" x14ac:dyDescent="0.2">
      <c r="A1736" s="53" t="s">
        <v>21</v>
      </c>
      <c r="B1736" s="53" t="s">
        <v>39</v>
      </c>
      <c r="C1736" s="53" t="s">
        <v>37</v>
      </c>
      <c r="D1736" s="53" t="s">
        <v>52</v>
      </c>
      <c r="E1736" s="53" t="s">
        <v>25</v>
      </c>
      <c r="F1736" s="53" t="s">
        <v>25</v>
      </c>
      <c r="G1736" s="53" t="s">
        <v>25</v>
      </c>
      <c r="H1736" s="53" t="s">
        <v>35</v>
      </c>
      <c r="I1736" s="75">
        <v>44593</v>
      </c>
      <c r="J1736" s="76">
        <f>EFEITO!$J$1736*EFEITO!$Y$1736</f>
        <v>0</v>
      </c>
      <c r="K1736" s="76">
        <f ca="1">EFEITO!$L$1736*EFEITO!$Z$1736</f>
        <v>507.79935201983687</v>
      </c>
      <c r="L1736" s="76">
        <f>EFEITO!$N$1736*EFEITO!$AA$1736</f>
        <v>182.69940229833367</v>
      </c>
      <c r="M1736" s="76">
        <f>$J$1736-EFEITO!$K$1736*EFEITO!$Y$1736</f>
        <v>0</v>
      </c>
      <c r="N1736" s="76">
        <f ca="1">$K$1736-EFEITO!$M$1736*EFEITO!$Z$1736</f>
        <v>0</v>
      </c>
      <c r="O1736" s="76">
        <f>$L$1736-EFEITO!$O$1736*EFEITO!$AA$1736</f>
        <v>0</v>
      </c>
      <c r="P1736" s="57"/>
      <c r="Q1736" s="57"/>
      <c r="R1736" s="57"/>
      <c r="S1736" s="57"/>
      <c r="T1736" s="57"/>
      <c r="U1736" s="57"/>
      <c r="V1736" s="57"/>
      <c r="W1736" s="57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</row>
    <row r="1737" spans="1:36" ht="11.25" customHeight="1" x14ac:dyDescent="0.2">
      <c r="A1737" s="53" t="s">
        <v>21</v>
      </c>
      <c r="B1737" s="53" t="s">
        <v>39</v>
      </c>
      <c r="C1737" s="53" t="s">
        <v>37</v>
      </c>
      <c r="D1737" s="53" t="s">
        <v>52</v>
      </c>
      <c r="E1737" s="53" t="s">
        <v>25</v>
      </c>
      <c r="F1737" s="53" t="s">
        <v>25</v>
      </c>
      <c r="G1737" s="53" t="s">
        <v>25</v>
      </c>
      <c r="H1737" s="53" t="s">
        <v>35</v>
      </c>
      <c r="I1737" s="75">
        <v>44621</v>
      </c>
      <c r="J1737" s="76">
        <f>EFEITO!$J$1737*EFEITO!$Y$1737</f>
        <v>0</v>
      </c>
      <c r="K1737" s="76">
        <f ca="1">EFEITO!$L$1737*EFEITO!$Z$1737</f>
        <v>552.57052458771102</v>
      </c>
      <c r="L1737" s="76">
        <f>EFEITO!$N$1737*EFEITO!$AA$1737</f>
        <v>198.80747025039094</v>
      </c>
      <c r="M1737" s="76">
        <f>$J$1737-EFEITO!$K$1737*EFEITO!$Y$1737</f>
        <v>0</v>
      </c>
      <c r="N1737" s="76">
        <f ca="1">$K$1737-EFEITO!$M$1737*EFEITO!$Z$1737</f>
        <v>0</v>
      </c>
      <c r="O1737" s="76">
        <f>$L$1737-EFEITO!$O$1737*EFEITO!$AA$1737</f>
        <v>0</v>
      </c>
      <c r="P1737" s="57"/>
      <c r="Q1737" s="57"/>
      <c r="R1737" s="57"/>
      <c r="S1737" s="57"/>
      <c r="T1737" s="57"/>
      <c r="U1737" s="57"/>
      <c r="V1737" s="57"/>
      <c r="W1737" s="57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</row>
    <row r="1738" spans="1:36" ht="11.25" customHeight="1" x14ac:dyDescent="0.2">
      <c r="A1738" s="53" t="s">
        <v>56</v>
      </c>
      <c r="B1738" s="53" t="s">
        <v>39</v>
      </c>
      <c r="C1738" s="53" t="s">
        <v>37</v>
      </c>
      <c r="D1738" s="53" t="s">
        <v>52</v>
      </c>
      <c r="E1738" s="53" t="s">
        <v>25</v>
      </c>
      <c r="F1738" s="53" t="s">
        <v>25</v>
      </c>
      <c r="G1738" s="53" t="s">
        <v>25</v>
      </c>
      <c r="H1738" s="53" t="s">
        <v>35</v>
      </c>
      <c r="I1738" s="75">
        <v>44652</v>
      </c>
      <c r="J1738" s="76">
        <f>EFEITO!$J$1738*EFEITO!$Y$1738</f>
        <v>0</v>
      </c>
      <c r="K1738" s="76">
        <f ca="1">EFEITO!$L$1738*EFEITO!$Z$1738</f>
        <v>552.57052458771102</v>
      </c>
      <c r="L1738" s="76">
        <f>EFEITO!$N$1738*EFEITO!$AA$1738</f>
        <v>198.80747025039094</v>
      </c>
      <c r="M1738" s="76">
        <f>$J$1738-EFEITO!$K$1738*EFEITO!$Y$1738</f>
        <v>0</v>
      </c>
      <c r="N1738" s="76">
        <f ca="1">$K$1738-EFEITO!$M$1738*EFEITO!$Z$1738</f>
        <v>0</v>
      </c>
      <c r="O1738" s="76">
        <f>$L$1738-EFEITO!$O$1738*EFEITO!$AA$1738</f>
        <v>0</v>
      </c>
      <c r="P1738" s="57"/>
      <c r="Q1738" s="57"/>
      <c r="R1738" s="57"/>
      <c r="S1738" s="57"/>
      <c r="T1738" s="57"/>
      <c r="U1738" s="57"/>
      <c r="V1738" s="57"/>
      <c r="W1738" s="57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</row>
    <row r="1739" spans="1:36" ht="11.25" customHeight="1" x14ac:dyDescent="0.2">
      <c r="A1739" s="53" t="s">
        <v>21</v>
      </c>
      <c r="B1739" s="53" t="s">
        <v>39</v>
      </c>
      <c r="C1739" s="53" t="s">
        <v>37</v>
      </c>
      <c r="D1739" s="53" t="s">
        <v>40</v>
      </c>
      <c r="E1739" s="53" t="s">
        <v>25</v>
      </c>
      <c r="F1739" s="53" t="s">
        <v>25</v>
      </c>
      <c r="G1739" s="53" t="s">
        <v>25</v>
      </c>
      <c r="H1739" s="53" t="s">
        <v>36</v>
      </c>
      <c r="I1739" s="75">
        <v>44317</v>
      </c>
      <c r="J1739" s="76">
        <f>EFEITO!$J$1739*EFEITO!$Y$1739</f>
        <v>0</v>
      </c>
      <c r="K1739" s="76">
        <f ca="1">EFEITO!$L$1739*EFEITO!$Z$1739</f>
        <v>1733.4234743019354</v>
      </c>
      <c r="L1739" s="76">
        <f>EFEITO!$N$1739*EFEITO!$AA$1739</f>
        <v>1300.3831710677907</v>
      </c>
      <c r="M1739" s="76">
        <f>$J$1739-EFEITO!$K$1739*EFEITO!$Y$1739</f>
        <v>0</v>
      </c>
      <c r="N1739" s="76">
        <f ca="1">$K$1739-EFEITO!$M$1739*EFEITO!$Z$1739</f>
        <v>0</v>
      </c>
      <c r="O1739" s="76">
        <f>$L$1739-EFEITO!$O$1739*EFEITO!$AA$1739</f>
        <v>0</v>
      </c>
      <c r="P1739" s="57"/>
      <c r="Q1739" s="57"/>
      <c r="R1739" s="57"/>
      <c r="S1739" s="57"/>
      <c r="T1739" s="57"/>
      <c r="U1739" s="57"/>
      <c r="V1739" s="57"/>
      <c r="W1739" s="57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</row>
    <row r="1740" spans="1:36" ht="11.25" customHeight="1" x14ac:dyDescent="0.2">
      <c r="A1740" s="53" t="s">
        <v>21</v>
      </c>
      <c r="B1740" s="53" t="s">
        <v>39</v>
      </c>
      <c r="C1740" s="53" t="s">
        <v>37</v>
      </c>
      <c r="D1740" s="53" t="s">
        <v>40</v>
      </c>
      <c r="E1740" s="53" t="s">
        <v>25</v>
      </c>
      <c r="F1740" s="53" t="s">
        <v>25</v>
      </c>
      <c r="G1740" s="53" t="s">
        <v>25</v>
      </c>
      <c r="H1740" s="53" t="s">
        <v>36</v>
      </c>
      <c r="I1740" s="75">
        <v>44348</v>
      </c>
      <c r="J1740" s="76">
        <f>EFEITO!$J$1740*EFEITO!$Y$1740</f>
        <v>0</v>
      </c>
      <c r="K1740" s="76">
        <f ca="1">EFEITO!$L$1740*EFEITO!$Z$1740</f>
        <v>1818.7212099014466</v>
      </c>
      <c r="L1740" s="76">
        <f>EFEITO!$N$1740*EFEITO!$AA$1740</f>
        <v>1364.3720010035702</v>
      </c>
      <c r="M1740" s="76">
        <f>$J$1740-EFEITO!$K$1740*EFEITO!$Y$1740</f>
        <v>0</v>
      </c>
      <c r="N1740" s="76">
        <f ca="1">$K$1740-EFEITO!$M$1740*EFEITO!$Z$1740</f>
        <v>0</v>
      </c>
      <c r="O1740" s="76">
        <f>$L$1740-EFEITO!$O$1740*EFEITO!$AA$1740</f>
        <v>0</v>
      </c>
      <c r="P1740" s="57"/>
      <c r="Q1740" s="57"/>
      <c r="R1740" s="57"/>
      <c r="S1740" s="57"/>
      <c r="T1740" s="57"/>
      <c r="U1740" s="57"/>
      <c r="V1740" s="57"/>
      <c r="W1740" s="57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</row>
    <row r="1741" spans="1:36" ht="11.25" customHeight="1" x14ac:dyDescent="0.2">
      <c r="A1741" s="53" t="s">
        <v>21</v>
      </c>
      <c r="B1741" s="53" t="s">
        <v>39</v>
      </c>
      <c r="C1741" s="53" t="s">
        <v>37</v>
      </c>
      <c r="D1741" s="53" t="s">
        <v>40</v>
      </c>
      <c r="E1741" s="53" t="s">
        <v>25</v>
      </c>
      <c r="F1741" s="53" t="s">
        <v>25</v>
      </c>
      <c r="G1741" s="53" t="s">
        <v>25</v>
      </c>
      <c r="H1741" s="53" t="s">
        <v>36</v>
      </c>
      <c r="I1741" s="75">
        <v>44378</v>
      </c>
      <c r="J1741" s="76">
        <f>EFEITO!$J$1741*EFEITO!$Y$1741</f>
        <v>0</v>
      </c>
      <c r="K1741" s="76">
        <f ca="1">EFEITO!$L$1741*EFEITO!$Z$1741</f>
        <v>1697.2803659970575</v>
      </c>
      <c r="L1741" s="76">
        <f>EFEITO!$N$1741*EFEITO!$AA$1741</f>
        <v>1273.2692600780535</v>
      </c>
      <c r="M1741" s="76">
        <f>$J$1741-EFEITO!$K$1741*EFEITO!$Y$1741</f>
        <v>0</v>
      </c>
      <c r="N1741" s="76">
        <f ca="1">$K$1741-EFEITO!$M$1741*EFEITO!$Z$1741</f>
        <v>0</v>
      </c>
      <c r="O1741" s="76">
        <f>$L$1741-EFEITO!$O$1741*EFEITO!$AA$1741</f>
        <v>0</v>
      </c>
      <c r="P1741" s="57"/>
      <c r="Q1741" s="57"/>
      <c r="R1741" s="57"/>
      <c r="S1741" s="57"/>
      <c r="T1741" s="57"/>
      <c r="U1741" s="57"/>
      <c r="V1741" s="57"/>
      <c r="W1741" s="57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</row>
    <row r="1742" spans="1:36" ht="11.25" customHeight="1" x14ac:dyDescent="0.2">
      <c r="A1742" s="53" t="s">
        <v>21</v>
      </c>
      <c r="B1742" s="53" t="s">
        <v>39</v>
      </c>
      <c r="C1742" s="53" t="s">
        <v>37</v>
      </c>
      <c r="D1742" s="53" t="s">
        <v>40</v>
      </c>
      <c r="E1742" s="53" t="s">
        <v>25</v>
      </c>
      <c r="F1742" s="53" t="s">
        <v>25</v>
      </c>
      <c r="G1742" s="53" t="s">
        <v>25</v>
      </c>
      <c r="H1742" s="53" t="s">
        <v>36</v>
      </c>
      <c r="I1742" s="75">
        <v>44409</v>
      </c>
      <c r="J1742" s="76">
        <f>EFEITO!$J$1742*EFEITO!$Y$1742</f>
        <v>0</v>
      </c>
      <c r="K1742" s="76">
        <f ca="1">EFEITO!$L$1742*EFEITO!$Z$1742</f>
        <v>1728.0020080562035</v>
      </c>
      <c r="L1742" s="76">
        <f>EFEITO!$N$1742*EFEITO!$AA$1742</f>
        <v>1296.3160844193301</v>
      </c>
      <c r="M1742" s="76">
        <f>$J$1742-EFEITO!$K$1742*EFEITO!$Y$1742</f>
        <v>0</v>
      </c>
      <c r="N1742" s="76">
        <f ca="1">$K$1742-EFEITO!$M$1742*EFEITO!$Z$1742</f>
        <v>0</v>
      </c>
      <c r="O1742" s="76">
        <f>$L$1742-EFEITO!$O$1742*EFEITO!$AA$1742</f>
        <v>0</v>
      </c>
      <c r="P1742" s="57"/>
      <c r="Q1742" s="57"/>
      <c r="R1742" s="57"/>
      <c r="S1742" s="57"/>
      <c r="T1742" s="57"/>
      <c r="U1742" s="57"/>
      <c r="V1742" s="57"/>
      <c r="W1742" s="57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</row>
    <row r="1743" spans="1:36" ht="11.25" customHeight="1" x14ac:dyDescent="0.2">
      <c r="A1743" s="53" t="s">
        <v>21</v>
      </c>
      <c r="B1743" s="53" t="s">
        <v>39</v>
      </c>
      <c r="C1743" s="53" t="s">
        <v>37</v>
      </c>
      <c r="D1743" s="53" t="s">
        <v>40</v>
      </c>
      <c r="E1743" s="53" t="s">
        <v>25</v>
      </c>
      <c r="F1743" s="53" t="s">
        <v>25</v>
      </c>
      <c r="G1743" s="53" t="s">
        <v>25</v>
      </c>
      <c r="H1743" s="53" t="s">
        <v>36</v>
      </c>
      <c r="I1743" s="75">
        <v>44440</v>
      </c>
      <c r="J1743" s="76">
        <f>EFEITO!$J$1743*EFEITO!$Y$1743</f>
        <v>0</v>
      </c>
      <c r="K1743" s="76">
        <f ca="1">EFEITO!$L$1743*EFEITO!$Z$1743</f>
        <v>1844.3828167979098</v>
      </c>
      <c r="L1743" s="76">
        <f>EFEITO!$N$1743*EFEITO!$AA$1743</f>
        <v>1383.6228778062834</v>
      </c>
      <c r="M1743" s="76">
        <f>$J$1743-EFEITO!$K$1743*EFEITO!$Y$1743</f>
        <v>0</v>
      </c>
      <c r="N1743" s="76">
        <f ca="1">$K$1743-EFEITO!$M$1743*EFEITO!$Z$1743</f>
        <v>0</v>
      </c>
      <c r="O1743" s="76">
        <f>$L$1743-EFEITO!$O$1743*EFEITO!$AA$1743</f>
        <v>0</v>
      </c>
      <c r="P1743" s="57"/>
      <c r="Q1743" s="57"/>
      <c r="R1743" s="57"/>
      <c r="S1743" s="57"/>
      <c r="T1743" s="57"/>
      <c r="U1743" s="57"/>
      <c r="V1743" s="57"/>
      <c r="W1743" s="57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</row>
    <row r="1744" spans="1:36" ht="11.25" customHeight="1" x14ac:dyDescent="0.2">
      <c r="A1744" s="53" t="s">
        <v>21</v>
      </c>
      <c r="B1744" s="53" t="s">
        <v>39</v>
      </c>
      <c r="C1744" s="53" t="s">
        <v>37</v>
      </c>
      <c r="D1744" s="53" t="s">
        <v>40</v>
      </c>
      <c r="E1744" s="53" t="s">
        <v>25</v>
      </c>
      <c r="F1744" s="53" t="s">
        <v>25</v>
      </c>
      <c r="G1744" s="53" t="s">
        <v>25</v>
      </c>
      <c r="H1744" s="53" t="s">
        <v>36</v>
      </c>
      <c r="I1744" s="75">
        <v>44470</v>
      </c>
      <c r="J1744" s="76">
        <f>EFEITO!$J$1744*EFEITO!$Y$1744</f>
        <v>0</v>
      </c>
      <c r="K1744" s="76">
        <f ca="1">EFEITO!$L$1744*EFEITO!$Z$1744</f>
        <v>1864.9843885316902</v>
      </c>
      <c r="L1744" s="76">
        <f>EFEITO!$N$1744*EFEITO!$AA$1744</f>
        <v>1399.0778070704337</v>
      </c>
      <c r="M1744" s="76">
        <f>$J$1744-EFEITO!$K$1744*EFEITO!$Y$1744</f>
        <v>0</v>
      </c>
      <c r="N1744" s="76">
        <f ca="1">$K$1744-EFEITO!$M$1744*EFEITO!$Z$1744</f>
        <v>0</v>
      </c>
      <c r="O1744" s="76">
        <f>$L$1744-EFEITO!$O$1744*EFEITO!$AA$1744</f>
        <v>0</v>
      </c>
      <c r="P1744" s="57"/>
      <c r="Q1744" s="57"/>
      <c r="R1744" s="57"/>
      <c r="S1744" s="57"/>
      <c r="T1744" s="57"/>
      <c r="U1744" s="57"/>
      <c r="V1744" s="57"/>
      <c r="W1744" s="57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</row>
    <row r="1745" spans="1:36" ht="11.25" customHeight="1" x14ac:dyDescent="0.2">
      <c r="A1745" s="53" t="s">
        <v>21</v>
      </c>
      <c r="B1745" s="53" t="s">
        <v>39</v>
      </c>
      <c r="C1745" s="53" t="s">
        <v>37</v>
      </c>
      <c r="D1745" s="53" t="s">
        <v>40</v>
      </c>
      <c r="E1745" s="53" t="s">
        <v>25</v>
      </c>
      <c r="F1745" s="53" t="s">
        <v>25</v>
      </c>
      <c r="G1745" s="53" t="s">
        <v>25</v>
      </c>
      <c r="H1745" s="53" t="s">
        <v>36</v>
      </c>
      <c r="I1745" s="75">
        <v>44501</v>
      </c>
      <c r="J1745" s="76">
        <f>EFEITO!$J$1745*EFEITO!$Y$1745</f>
        <v>0</v>
      </c>
      <c r="K1745" s="76">
        <f ca="1">EFEITO!$L$1745*EFEITO!$Z$1745</f>
        <v>1924.2590861516896</v>
      </c>
      <c r="L1745" s="76">
        <f>EFEITO!$N$1745*EFEITO!$AA$1745</f>
        <v>1443.5446210936025</v>
      </c>
      <c r="M1745" s="76">
        <f>$J$1745-EFEITO!$K$1745*EFEITO!$Y$1745</f>
        <v>0</v>
      </c>
      <c r="N1745" s="76">
        <f ca="1">$K$1745-EFEITO!$M$1745*EFEITO!$Z$1745</f>
        <v>0</v>
      </c>
      <c r="O1745" s="76">
        <f>$L$1745-EFEITO!$O$1745*EFEITO!$AA$1745</f>
        <v>0</v>
      </c>
      <c r="P1745" s="57"/>
      <c r="Q1745" s="57"/>
      <c r="R1745" s="57"/>
      <c r="S1745" s="57"/>
      <c r="T1745" s="57"/>
      <c r="U1745" s="57"/>
      <c r="V1745" s="57"/>
      <c r="W1745" s="57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</row>
    <row r="1746" spans="1:36" ht="11.25" customHeight="1" x14ac:dyDescent="0.2">
      <c r="A1746" s="53" t="s">
        <v>21</v>
      </c>
      <c r="B1746" s="53" t="s">
        <v>39</v>
      </c>
      <c r="C1746" s="53" t="s">
        <v>37</v>
      </c>
      <c r="D1746" s="53" t="s">
        <v>40</v>
      </c>
      <c r="E1746" s="53" t="s">
        <v>25</v>
      </c>
      <c r="F1746" s="53" t="s">
        <v>25</v>
      </c>
      <c r="G1746" s="53" t="s">
        <v>25</v>
      </c>
      <c r="H1746" s="53" t="s">
        <v>36</v>
      </c>
      <c r="I1746" s="75">
        <v>44531</v>
      </c>
      <c r="J1746" s="76">
        <f>EFEITO!$J$1746*EFEITO!$Y$1746</f>
        <v>0</v>
      </c>
      <c r="K1746" s="76">
        <f ca="1">EFEITO!$L$1746*EFEITO!$Z$1746</f>
        <v>1816.1911923201053</v>
      </c>
      <c r="L1746" s="76">
        <f>EFEITO!$N$1746*EFEITO!$AA$1746</f>
        <v>1362.4740272342888</v>
      </c>
      <c r="M1746" s="76">
        <f>$J$1746-EFEITO!$K$1746*EFEITO!$Y$1746</f>
        <v>0</v>
      </c>
      <c r="N1746" s="76">
        <f ca="1">$K$1746-EFEITO!$M$1746*EFEITO!$Z$1746</f>
        <v>0</v>
      </c>
      <c r="O1746" s="76">
        <f>$L$1746-EFEITO!$O$1746*EFEITO!$AA$1746</f>
        <v>0</v>
      </c>
      <c r="P1746" s="57"/>
      <c r="Q1746" s="57"/>
      <c r="R1746" s="57"/>
      <c r="S1746" s="57"/>
      <c r="T1746" s="57"/>
      <c r="U1746" s="57"/>
      <c r="V1746" s="57"/>
      <c r="W1746" s="57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</row>
    <row r="1747" spans="1:36" ht="11.25" customHeight="1" x14ac:dyDescent="0.2">
      <c r="A1747" s="53" t="s">
        <v>21</v>
      </c>
      <c r="B1747" s="53" t="s">
        <v>39</v>
      </c>
      <c r="C1747" s="53" t="s">
        <v>37</v>
      </c>
      <c r="D1747" s="53" t="s">
        <v>40</v>
      </c>
      <c r="E1747" s="53" t="s">
        <v>25</v>
      </c>
      <c r="F1747" s="53" t="s">
        <v>25</v>
      </c>
      <c r="G1747" s="53" t="s">
        <v>25</v>
      </c>
      <c r="H1747" s="53" t="s">
        <v>36</v>
      </c>
      <c r="I1747" s="75">
        <v>44562</v>
      </c>
      <c r="J1747" s="76">
        <f>EFEITO!$J$1747*EFEITO!$Y$1747</f>
        <v>0</v>
      </c>
      <c r="K1747" s="76">
        <f ca="1">EFEITO!$L$1747*EFEITO!$Z$1747</f>
        <v>1729.8091634714474</v>
      </c>
      <c r="L1747" s="76">
        <f>EFEITO!$N$1747*EFEITO!$AA$1747</f>
        <v>1297.671779968817</v>
      </c>
      <c r="M1747" s="76">
        <f>$J$1747-EFEITO!$K$1747*EFEITO!$Y$1747</f>
        <v>0</v>
      </c>
      <c r="N1747" s="76">
        <f ca="1">$K$1747-EFEITO!$M$1747*EFEITO!$Z$1747</f>
        <v>0</v>
      </c>
      <c r="O1747" s="76">
        <f>$L$1747-EFEITO!$O$1747*EFEITO!$AA$1747</f>
        <v>0</v>
      </c>
      <c r="P1747" s="57"/>
      <c r="Q1747" s="57"/>
      <c r="R1747" s="57"/>
      <c r="S1747" s="57"/>
      <c r="T1747" s="57"/>
      <c r="U1747" s="57"/>
      <c r="V1747" s="57"/>
      <c r="W1747" s="57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</row>
    <row r="1748" spans="1:36" ht="11.25" customHeight="1" x14ac:dyDescent="0.2">
      <c r="A1748" s="53" t="s">
        <v>21</v>
      </c>
      <c r="B1748" s="53" t="s">
        <v>39</v>
      </c>
      <c r="C1748" s="53" t="s">
        <v>37</v>
      </c>
      <c r="D1748" s="53" t="s">
        <v>40</v>
      </c>
      <c r="E1748" s="53" t="s">
        <v>25</v>
      </c>
      <c r="F1748" s="53" t="s">
        <v>25</v>
      </c>
      <c r="G1748" s="53" t="s">
        <v>25</v>
      </c>
      <c r="H1748" s="53" t="s">
        <v>36</v>
      </c>
      <c r="I1748" s="75">
        <v>44593</v>
      </c>
      <c r="J1748" s="76">
        <f>EFEITO!$J$1748*EFEITO!$Y$1748</f>
        <v>0</v>
      </c>
      <c r="K1748" s="76">
        <f ca="1">EFEITO!$L$1748*EFEITO!$Z$1748</f>
        <v>1681.0159672598625</v>
      </c>
      <c r="L1748" s="76">
        <f>EFEITO!$N$1748*EFEITO!$AA$1748</f>
        <v>1261.0680001326718</v>
      </c>
      <c r="M1748" s="76">
        <f>$J$1748-EFEITO!$K$1748*EFEITO!$Y$1748</f>
        <v>0</v>
      </c>
      <c r="N1748" s="76">
        <f ca="1">$K$1748-EFEITO!$M$1748*EFEITO!$Z$1748</f>
        <v>0</v>
      </c>
      <c r="O1748" s="76">
        <f>$L$1748-EFEITO!$O$1748*EFEITO!$AA$1748</f>
        <v>0</v>
      </c>
      <c r="P1748" s="57"/>
      <c r="Q1748" s="57"/>
      <c r="R1748" s="57"/>
      <c r="S1748" s="57"/>
      <c r="T1748" s="57"/>
      <c r="U1748" s="57"/>
      <c r="V1748" s="57"/>
      <c r="W1748" s="57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</row>
    <row r="1749" spans="1:36" ht="11.25" customHeight="1" x14ac:dyDescent="0.2">
      <c r="A1749" s="53" t="s">
        <v>21</v>
      </c>
      <c r="B1749" s="53" t="s">
        <v>39</v>
      </c>
      <c r="C1749" s="53" t="s">
        <v>37</v>
      </c>
      <c r="D1749" s="53" t="s">
        <v>40</v>
      </c>
      <c r="E1749" s="53" t="s">
        <v>25</v>
      </c>
      <c r="F1749" s="53" t="s">
        <v>25</v>
      </c>
      <c r="G1749" s="53" t="s">
        <v>25</v>
      </c>
      <c r="H1749" s="53" t="s">
        <v>36</v>
      </c>
      <c r="I1749" s="75">
        <v>44621</v>
      </c>
      <c r="J1749" s="76">
        <f>EFEITO!$J$1749*EFEITO!$Y$1749</f>
        <v>0</v>
      </c>
      <c r="K1749" s="76">
        <f ca="1">EFEITO!$L$1749*EFEITO!$Z$1749</f>
        <v>1843.6599546318123</v>
      </c>
      <c r="L1749" s="76">
        <f>EFEITO!$N$1749*EFEITO!$AA$1749</f>
        <v>1383.0805995864889</v>
      </c>
      <c r="M1749" s="76">
        <f>$J$1749-EFEITO!$K$1749*EFEITO!$Y$1749</f>
        <v>0</v>
      </c>
      <c r="N1749" s="76">
        <f ca="1">$K$1749-EFEITO!$M$1749*EFEITO!$Z$1749</f>
        <v>0</v>
      </c>
      <c r="O1749" s="76">
        <f>$L$1749-EFEITO!$O$1749*EFEITO!$AA$1749</f>
        <v>0</v>
      </c>
      <c r="P1749" s="57"/>
      <c r="Q1749" s="57"/>
      <c r="R1749" s="57"/>
      <c r="S1749" s="57"/>
      <c r="T1749" s="57"/>
      <c r="U1749" s="57"/>
      <c r="V1749" s="57"/>
      <c r="W1749" s="57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</row>
    <row r="1750" spans="1:36" ht="11.25" customHeight="1" x14ac:dyDescent="0.2">
      <c r="A1750" s="53" t="s">
        <v>56</v>
      </c>
      <c r="B1750" s="53" t="s">
        <v>39</v>
      </c>
      <c r="C1750" s="53" t="s">
        <v>37</v>
      </c>
      <c r="D1750" s="53" t="s">
        <v>40</v>
      </c>
      <c r="E1750" s="53" t="s">
        <v>25</v>
      </c>
      <c r="F1750" s="53" t="s">
        <v>25</v>
      </c>
      <c r="G1750" s="53" t="s">
        <v>25</v>
      </c>
      <c r="H1750" s="53" t="s">
        <v>36</v>
      </c>
      <c r="I1750" s="75">
        <v>44652</v>
      </c>
      <c r="J1750" s="76">
        <f>EFEITO!$J$1750*EFEITO!$Y$1750</f>
        <v>0</v>
      </c>
      <c r="K1750" s="76">
        <f ca="1">EFEITO!$L$1750*EFEITO!$Z$1750</f>
        <v>1843.6599546318123</v>
      </c>
      <c r="L1750" s="76">
        <f>EFEITO!$N$1750*EFEITO!$AA$1750</f>
        <v>1383.0805995864889</v>
      </c>
      <c r="M1750" s="76">
        <f>$J$1750-EFEITO!$K$1750*EFEITO!$Y$1750</f>
        <v>0</v>
      </c>
      <c r="N1750" s="76">
        <f ca="1">$K$1750-EFEITO!$M$1750*EFEITO!$Z$1750</f>
        <v>0</v>
      </c>
      <c r="O1750" s="76">
        <f>$L$1750-EFEITO!$O$1750*EFEITO!$AA$1750</f>
        <v>0</v>
      </c>
      <c r="P1750" s="57"/>
      <c r="Q1750" s="57"/>
      <c r="R1750" s="57"/>
      <c r="S1750" s="57"/>
      <c r="T1750" s="57"/>
      <c r="U1750" s="57"/>
      <c r="V1750" s="57"/>
      <c r="W1750" s="57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</row>
    <row r="1751" spans="1:36" ht="11.25" customHeight="1" x14ac:dyDescent="0.2">
      <c r="A1751" s="53" t="s">
        <v>21</v>
      </c>
      <c r="B1751" s="53" t="s">
        <v>39</v>
      </c>
      <c r="C1751" s="53" t="s">
        <v>37</v>
      </c>
      <c r="D1751" s="53" t="s">
        <v>40</v>
      </c>
      <c r="E1751" s="53" t="s">
        <v>25</v>
      </c>
      <c r="F1751" s="53" t="s">
        <v>25</v>
      </c>
      <c r="G1751" s="53" t="s">
        <v>25</v>
      </c>
      <c r="H1751" s="53" t="s">
        <v>38</v>
      </c>
      <c r="I1751" s="75">
        <v>44317</v>
      </c>
      <c r="J1751" s="76">
        <f>EFEITO!$J$1751*EFEITO!$Y$1751</f>
        <v>0</v>
      </c>
      <c r="K1751" s="76">
        <f ca="1">EFEITO!$L$1751*EFEITO!$Z$1751</f>
        <v>75.44138804558672</v>
      </c>
      <c r="L1751" s="76">
        <f>EFEITO!$N$1751*EFEITO!$AA$1751</f>
        <v>26.571632769942347</v>
      </c>
      <c r="M1751" s="76">
        <f>$J$1751-EFEITO!$K$1751*EFEITO!$Y$1751</f>
        <v>0</v>
      </c>
      <c r="N1751" s="76">
        <f ca="1">$K$1751-EFEITO!$M$1751*EFEITO!$Z$1751</f>
        <v>0</v>
      </c>
      <c r="O1751" s="76">
        <f>$L$1751-EFEITO!$O$1751*EFEITO!$AA$1751</f>
        <v>0</v>
      </c>
      <c r="P1751" s="57"/>
      <c r="Q1751" s="57"/>
      <c r="R1751" s="57"/>
      <c r="S1751" s="57"/>
      <c r="T1751" s="57"/>
      <c r="U1751" s="57"/>
      <c r="V1751" s="57"/>
      <c r="W1751" s="57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</row>
    <row r="1752" spans="1:36" ht="11.25" customHeight="1" x14ac:dyDescent="0.2">
      <c r="A1752" s="53" t="s">
        <v>21</v>
      </c>
      <c r="B1752" s="53" t="s">
        <v>39</v>
      </c>
      <c r="C1752" s="53" t="s">
        <v>37</v>
      </c>
      <c r="D1752" s="53" t="s">
        <v>40</v>
      </c>
      <c r="E1752" s="53" t="s">
        <v>25</v>
      </c>
      <c r="F1752" s="53" t="s">
        <v>25</v>
      </c>
      <c r="G1752" s="53" t="s">
        <v>25</v>
      </c>
      <c r="H1752" s="53" t="s">
        <v>38</v>
      </c>
      <c r="I1752" s="75">
        <v>44348</v>
      </c>
      <c r="J1752" s="76">
        <f>EFEITO!$J$1752*EFEITO!$Y$1752</f>
        <v>0</v>
      </c>
      <c r="K1752" s="76">
        <f ca="1">EFEITO!$L$1752*EFEITO!$Z$1752</f>
        <v>71.592337635097593</v>
      </c>
      <c r="L1752" s="76">
        <f>EFEITO!$N$1752*EFEITO!$AA$1752</f>
        <v>25.215937220455491</v>
      </c>
      <c r="M1752" s="76">
        <f>$J$1752-EFEITO!$K$1752*EFEITO!$Y$1752</f>
        <v>0</v>
      </c>
      <c r="N1752" s="76">
        <f ca="1">$K$1752-EFEITO!$M$1752*EFEITO!$Z$1752</f>
        <v>0</v>
      </c>
      <c r="O1752" s="76">
        <f>$L$1752-EFEITO!$O$1752*EFEITO!$AA$1752</f>
        <v>0</v>
      </c>
      <c r="P1752" s="57"/>
      <c r="Q1752" s="57"/>
      <c r="R1752" s="57"/>
      <c r="S1752" s="57"/>
      <c r="T1752" s="57"/>
      <c r="U1752" s="57"/>
      <c r="V1752" s="57"/>
      <c r="W1752" s="57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</row>
    <row r="1753" spans="1:36" ht="11.25" customHeight="1" x14ac:dyDescent="0.2">
      <c r="A1753" s="53" t="s">
        <v>21</v>
      </c>
      <c r="B1753" s="53" t="s">
        <v>39</v>
      </c>
      <c r="C1753" s="53" t="s">
        <v>37</v>
      </c>
      <c r="D1753" s="53" t="s">
        <v>40</v>
      </c>
      <c r="E1753" s="53" t="s">
        <v>25</v>
      </c>
      <c r="F1753" s="53" t="s">
        <v>25</v>
      </c>
      <c r="G1753" s="53" t="s">
        <v>25</v>
      </c>
      <c r="H1753" s="53" t="s">
        <v>38</v>
      </c>
      <c r="I1753" s="75">
        <v>44378</v>
      </c>
      <c r="J1753" s="76">
        <f>EFEITO!$J$1753*EFEITO!$Y$1753</f>
        <v>0</v>
      </c>
      <c r="K1753" s="76">
        <f ca="1">EFEITO!$L$1753*EFEITO!$Z$1753</f>
        <v>75.44138804558672</v>
      </c>
      <c r="L1753" s="76">
        <f>EFEITO!$N$1753*EFEITO!$AA$1753</f>
        <v>26.571632769942347</v>
      </c>
      <c r="M1753" s="76">
        <f>$J$1753-EFEITO!$K$1753*EFEITO!$Y$1753</f>
        <v>0</v>
      </c>
      <c r="N1753" s="76">
        <f ca="1">$K$1753-EFEITO!$M$1753*EFEITO!$Z$1753</f>
        <v>0</v>
      </c>
      <c r="O1753" s="76">
        <f>$L$1753-EFEITO!$O$1753*EFEITO!$AA$1753</f>
        <v>0</v>
      </c>
      <c r="P1753" s="57"/>
      <c r="Q1753" s="57"/>
      <c r="R1753" s="57"/>
      <c r="S1753" s="57"/>
      <c r="T1753" s="57"/>
      <c r="U1753" s="57"/>
      <c r="V1753" s="57"/>
      <c r="W1753" s="57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</row>
    <row r="1754" spans="1:36" ht="11.25" customHeight="1" x14ac:dyDescent="0.2">
      <c r="A1754" s="53" t="s">
        <v>21</v>
      </c>
      <c r="B1754" s="53" t="s">
        <v>39</v>
      </c>
      <c r="C1754" s="53" t="s">
        <v>37</v>
      </c>
      <c r="D1754" s="53" t="s">
        <v>40</v>
      </c>
      <c r="E1754" s="53" t="s">
        <v>25</v>
      </c>
      <c r="F1754" s="53" t="s">
        <v>25</v>
      </c>
      <c r="G1754" s="53" t="s">
        <v>25</v>
      </c>
      <c r="H1754" s="53" t="s">
        <v>38</v>
      </c>
      <c r="I1754" s="75">
        <v>44409</v>
      </c>
      <c r="J1754" s="76">
        <f>EFEITO!$J$1754*EFEITO!$Y$1754</f>
        <v>0</v>
      </c>
      <c r="K1754" s="76">
        <f ca="1">EFEITO!$L$1754*EFEITO!$Z$1754</f>
        <v>80.830058620271473</v>
      </c>
      <c r="L1754" s="76">
        <f>EFEITO!$N$1754*EFEITO!$AA$1754</f>
        <v>28.469606539223939</v>
      </c>
      <c r="M1754" s="76">
        <f>$J$1754-EFEITO!$K$1754*EFEITO!$Y$1754</f>
        <v>0</v>
      </c>
      <c r="N1754" s="76">
        <f ca="1">$K$1754-EFEITO!$M$1754*EFEITO!$Z$1754</f>
        <v>0</v>
      </c>
      <c r="O1754" s="76">
        <f>$L$1754-EFEITO!$O$1754*EFEITO!$AA$1754</f>
        <v>0</v>
      </c>
      <c r="P1754" s="57"/>
      <c r="Q1754" s="57"/>
      <c r="R1754" s="57"/>
      <c r="S1754" s="57"/>
      <c r="T1754" s="57"/>
      <c r="U1754" s="57"/>
      <c r="V1754" s="57"/>
      <c r="W1754" s="57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</row>
    <row r="1755" spans="1:36" ht="11.25" customHeight="1" x14ac:dyDescent="0.2">
      <c r="A1755" s="53" t="s">
        <v>21</v>
      </c>
      <c r="B1755" s="53" t="s">
        <v>39</v>
      </c>
      <c r="C1755" s="53" t="s">
        <v>37</v>
      </c>
      <c r="D1755" s="53" t="s">
        <v>40</v>
      </c>
      <c r="E1755" s="53" t="s">
        <v>25</v>
      </c>
      <c r="F1755" s="53" t="s">
        <v>25</v>
      </c>
      <c r="G1755" s="53" t="s">
        <v>25</v>
      </c>
      <c r="H1755" s="53" t="s">
        <v>38</v>
      </c>
      <c r="I1755" s="75">
        <v>44440</v>
      </c>
      <c r="J1755" s="76">
        <f>EFEITO!$J$1755*EFEITO!$Y$1755</f>
        <v>0</v>
      </c>
      <c r="K1755" s="76">
        <f ca="1">EFEITO!$L$1755*EFEITO!$Z$1755</f>
        <v>96.226260262227953</v>
      </c>
      <c r="L1755" s="76">
        <f>EFEITO!$N$1755*EFEITO!$AA$1755</f>
        <v>33.892388737171359</v>
      </c>
      <c r="M1755" s="76">
        <f>$J$1755-EFEITO!$K$1755*EFEITO!$Y$1755</f>
        <v>0</v>
      </c>
      <c r="N1755" s="76">
        <f ca="1">$K$1755-EFEITO!$M$1755*EFEITO!$Z$1755</f>
        <v>0</v>
      </c>
      <c r="O1755" s="76">
        <f>$L$1755-EFEITO!$O$1755*EFEITO!$AA$1755</f>
        <v>0</v>
      </c>
      <c r="P1755" s="57"/>
      <c r="Q1755" s="57"/>
      <c r="R1755" s="57"/>
      <c r="S1755" s="57"/>
      <c r="T1755" s="57"/>
      <c r="U1755" s="57"/>
      <c r="V1755" s="57"/>
      <c r="W1755" s="57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</row>
    <row r="1756" spans="1:36" ht="11.25" customHeight="1" x14ac:dyDescent="0.2">
      <c r="A1756" s="53" t="s">
        <v>21</v>
      </c>
      <c r="B1756" s="53" t="s">
        <v>39</v>
      </c>
      <c r="C1756" s="53" t="s">
        <v>37</v>
      </c>
      <c r="D1756" s="53" t="s">
        <v>40</v>
      </c>
      <c r="E1756" s="53" t="s">
        <v>25</v>
      </c>
      <c r="F1756" s="53" t="s">
        <v>25</v>
      </c>
      <c r="G1756" s="53" t="s">
        <v>25</v>
      </c>
      <c r="H1756" s="53" t="s">
        <v>38</v>
      </c>
      <c r="I1756" s="75">
        <v>44470</v>
      </c>
      <c r="J1756" s="76">
        <f>EFEITO!$J$1756*EFEITO!$Y$1756</f>
        <v>0</v>
      </c>
      <c r="K1756" s="76">
        <f ca="1">EFEITO!$L$1756*EFEITO!$Z$1756</f>
        <v>90.067779605445367</v>
      </c>
      <c r="L1756" s="76">
        <f>EFEITO!$N$1756*EFEITO!$AA$1756</f>
        <v>31.723275857992395</v>
      </c>
      <c r="M1756" s="76">
        <f>$J$1756-EFEITO!$K$1756*EFEITO!$Y$1756</f>
        <v>0</v>
      </c>
      <c r="N1756" s="76">
        <f ca="1">$K$1756-EFEITO!$M$1756*EFEITO!$Z$1756</f>
        <v>0</v>
      </c>
      <c r="O1756" s="76">
        <f>$L$1756-EFEITO!$O$1756*EFEITO!$AA$1756</f>
        <v>0</v>
      </c>
      <c r="P1756" s="57"/>
      <c r="Q1756" s="57"/>
      <c r="R1756" s="57"/>
      <c r="S1756" s="57"/>
      <c r="T1756" s="57"/>
      <c r="U1756" s="57"/>
      <c r="V1756" s="57"/>
      <c r="W1756" s="57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</row>
    <row r="1757" spans="1:36" ht="11.25" customHeight="1" x14ac:dyDescent="0.2">
      <c r="A1757" s="53" t="s">
        <v>21</v>
      </c>
      <c r="B1757" s="53" t="s">
        <v>39</v>
      </c>
      <c r="C1757" s="53" t="s">
        <v>37</v>
      </c>
      <c r="D1757" s="53" t="s">
        <v>40</v>
      </c>
      <c r="E1757" s="53" t="s">
        <v>25</v>
      </c>
      <c r="F1757" s="53" t="s">
        <v>25</v>
      </c>
      <c r="G1757" s="53" t="s">
        <v>25</v>
      </c>
      <c r="H1757" s="53" t="s">
        <v>38</v>
      </c>
      <c r="I1757" s="75">
        <v>44501</v>
      </c>
      <c r="J1757" s="76">
        <f>EFEITO!$J$1757*EFEITO!$Y$1757</f>
        <v>0</v>
      </c>
      <c r="K1757" s="76">
        <f ca="1">EFEITO!$L$1757*EFEITO!$Z$1757</f>
        <v>93.14701993383666</v>
      </c>
      <c r="L1757" s="76">
        <f>EFEITO!$N$1757*EFEITO!$AA$1757</f>
        <v>32.807832297581875</v>
      </c>
      <c r="M1757" s="76">
        <f>$J$1757-EFEITO!$K$1757*EFEITO!$Y$1757</f>
        <v>0</v>
      </c>
      <c r="N1757" s="76">
        <f ca="1">$K$1757-EFEITO!$M$1757*EFEITO!$Z$1757</f>
        <v>0</v>
      </c>
      <c r="O1757" s="76">
        <f>$L$1757-EFEITO!$O$1757*EFEITO!$AA$1757</f>
        <v>0</v>
      </c>
      <c r="P1757" s="57"/>
      <c r="Q1757" s="57"/>
      <c r="R1757" s="57"/>
      <c r="S1757" s="57"/>
      <c r="T1757" s="57"/>
      <c r="U1757" s="57"/>
      <c r="V1757" s="57"/>
      <c r="W1757" s="57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</row>
    <row r="1758" spans="1:36" ht="11.25" customHeight="1" x14ac:dyDescent="0.2">
      <c r="A1758" s="53" t="s">
        <v>21</v>
      </c>
      <c r="B1758" s="53" t="s">
        <v>39</v>
      </c>
      <c r="C1758" s="53" t="s">
        <v>37</v>
      </c>
      <c r="D1758" s="53" t="s">
        <v>40</v>
      </c>
      <c r="E1758" s="53" t="s">
        <v>25</v>
      </c>
      <c r="F1758" s="53" t="s">
        <v>25</v>
      </c>
      <c r="G1758" s="53" t="s">
        <v>25</v>
      </c>
      <c r="H1758" s="53" t="s">
        <v>38</v>
      </c>
      <c r="I1758" s="75">
        <v>44531</v>
      </c>
      <c r="J1758" s="76">
        <f>EFEITO!$J$1758*EFEITO!$Y$1758</f>
        <v>0</v>
      </c>
      <c r="K1758" s="76">
        <f ca="1">EFEITO!$L$1758*EFEITO!$Z$1758</f>
        <v>96.226260262227953</v>
      </c>
      <c r="L1758" s="76">
        <f>EFEITO!$N$1758*EFEITO!$AA$1758</f>
        <v>33.892388737171359</v>
      </c>
      <c r="M1758" s="76">
        <f>$J$1758-EFEITO!$K$1758*EFEITO!$Y$1758</f>
        <v>0</v>
      </c>
      <c r="N1758" s="76">
        <f ca="1">$K$1758-EFEITO!$M$1758*EFEITO!$Z$1758</f>
        <v>0</v>
      </c>
      <c r="O1758" s="76">
        <f>$L$1758-EFEITO!$O$1758*EFEITO!$AA$1758</f>
        <v>0</v>
      </c>
      <c r="P1758" s="57"/>
      <c r="Q1758" s="57"/>
      <c r="R1758" s="57"/>
      <c r="S1758" s="57"/>
      <c r="T1758" s="57"/>
      <c r="U1758" s="57"/>
      <c r="V1758" s="57"/>
      <c r="W1758" s="57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</row>
    <row r="1759" spans="1:36" ht="11.25" customHeight="1" x14ac:dyDescent="0.2">
      <c r="A1759" s="53" t="s">
        <v>21</v>
      </c>
      <c r="B1759" s="53" t="s">
        <v>39</v>
      </c>
      <c r="C1759" s="53" t="s">
        <v>37</v>
      </c>
      <c r="D1759" s="53" t="s">
        <v>40</v>
      </c>
      <c r="E1759" s="53" t="s">
        <v>25</v>
      </c>
      <c r="F1759" s="53" t="s">
        <v>25</v>
      </c>
      <c r="G1759" s="53" t="s">
        <v>25</v>
      </c>
      <c r="H1759" s="53" t="s">
        <v>38</v>
      </c>
      <c r="I1759" s="75">
        <v>44562</v>
      </c>
      <c r="J1759" s="76">
        <f>EFEITO!$J$1759*EFEITO!$Y$1759</f>
        <v>0</v>
      </c>
      <c r="K1759" s="76">
        <f ca="1">EFEITO!$L$1759*EFEITO!$Z$1759</f>
        <v>108.54322157579313</v>
      </c>
      <c r="L1759" s="76">
        <f>EFEITO!$N$1759*EFEITO!$AA$1759</f>
        <v>38.230614495529288</v>
      </c>
      <c r="M1759" s="76">
        <f>$J$1759-EFEITO!$K$1759*EFEITO!$Y$1759</f>
        <v>0</v>
      </c>
      <c r="N1759" s="76">
        <f ca="1">$K$1759-EFEITO!$M$1759*EFEITO!$Z$1759</f>
        <v>0</v>
      </c>
      <c r="O1759" s="76">
        <f>$L$1759-EFEITO!$O$1759*EFEITO!$AA$1759</f>
        <v>0</v>
      </c>
      <c r="P1759" s="57"/>
      <c r="Q1759" s="57"/>
      <c r="R1759" s="57"/>
      <c r="S1759" s="57"/>
      <c r="T1759" s="57"/>
      <c r="U1759" s="57"/>
      <c r="V1759" s="57"/>
      <c r="W1759" s="57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</row>
    <row r="1760" spans="1:36" ht="11.25" customHeight="1" x14ac:dyDescent="0.2">
      <c r="A1760" s="53" t="s">
        <v>21</v>
      </c>
      <c r="B1760" s="53" t="s">
        <v>39</v>
      </c>
      <c r="C1760" s="53" t="s">
        <v>37</v>
      </c>
      <c r="D1760" s="53" t="s">
        <v>40</v>
      </c>
      <c r="E1760" s="53" t="s">
        <v>25</v>
      </c>
      <c r="F1760" s="53" t="s">
        <v>25</v>
      </c>
      <c r="G1760" s="53" t="s">
        <v>25</v>
      </c>
      <c r="H1760" s="53" t="s">
        <v>38</v>
      </c>
      <c r="I1760" s="75">
        <v>44593</v>
      </c>
      <c r="J1760" s="76">
        <f>EFEITO!$J$1760*EFEITO!$Y$1760</f>
        <v>0</v>
      </c>
      <c r="K1760" s="76">
        <f ca="1">EFEITO!$L$1760*EFEITO!$Z$1760</f>
        <v>93.14701993383666</v>
      </c>
      <c r="L1760" s="76">
        <f>EFEITO!$N$1760*EFEITO!$AA$1760</f>
        <v>32.807832297581875</v>
      </c>
      <c r="M1760" s="76">
        <f>$J$1760-EFEITO!$K$1760*EFEITO!$Y$1760</f>
        <v>0</v>
      </c>
      <c r="N1760" s="76">
        <f ca="1">$K$1760-EFEITO!$M$1760*EFEITO!$Z$1760</f>
        <v>0</v>
      </c>
      <c r="O1760" s="76">
        <f>$L$1760-EFEITO!$O$1760*EFEITO!$AA$1760</f>
        <v>0</v>
      </c>
      <c r="P1760" s="57"/>
      <c r="Q1760" s="57"/>
      <c r="R1760" s="57"/>
      <c r="S1760" s="57"/>
      <c r="T1760" s="57"/>
      <c r="U1760" s="57"/>
      <c r="V1760" s="57"/>
      <c r="W1760" s="57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</row>
    <row r="1761" spans="1:36" ht="11.25" customHeight="1" x14ac:dyDescent="0.2">
      <c r="A1761" s="53" t="s">
        <v>21</v>
      </c>
      <c r="B1761" s="53" t="s">
        <v>39</v>
      </c>
      <c r="C1761" s="53" t="s">
        <v>37</v>
      </c>
      <c r="D1761" s="53" t="s">
        <v>40</v>
      </c>
      <c r="E1761" s="53" t="s">
        <v>25</v>
      </c>
      <c r="F1761" s="53" t="s">
        <v>25</v>
      </c>
      <c r="G1761" s="53" t="s">
        <v>25</v>
      </c>
      <c r="H1761" s="53" t="s">
        <v>38</v>
      </c>
      <c r="I1761" s="75">
        <v>44621</v>
      </c>
      <c r="J1761" s="76">
        <f>EFEITO!$J$1761*EFEITO!$Y$1761</f>
        <v>0</v>
      </c>
      <c r="K1761" s="76">
        <f ca="1">EFEITO!$L$1761*EFEITO!$Z$1761</f>
        <v>102.38474091901055</v>
      </c>
      <c r="L1761" s="76">
        <f>EFEITO!$N$1761*EFEITO!$AA$1761</f>
        <v>36.061501616350327</v>
      </c>
      <c r="M1761" s="76">
        <f>$J$1761-EFEITO!$K$1761*EFEITO!$Y$1761</f>
        <v>0</v>
      </c>
      <c r="N1761" s="76">
        <f ca="1">$K$1761-EFEITO!$M$1761*EFEITO!$Z$1761</f>
        <v>0</v>
      </c>
      <c r="O1761" s="76">
        <f>$L$1761-EFEITO!$O$1761*EFEITO!$AA$1761</f>
        <v>0</v>
      </c>
      <c r="P1761" s="57"/>
      <c r="Q1761" s="57"/>
      <c r="R1761" s="57"/>
      <c r="S1761" s="57"/>
      <c r="T1761" s="57"/>
      <c r="U1761" s="57"/>
      <c r="V1761" s="57"/>
      <c r="W1761" s="57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</row>
    <row r="1762" spans="1:36" ht="11.25" customHeight="1" x14ac:dyDescent="0.2">
      <c r="A1762" s="53" t="s">
        <v>56</v>
      </c>
      <c r="B1762" s="53" t="s">
        <v>39</v>
      </c>
      <c r="C1762" s="53" t="s">
        <v>37</v>
      </c>
      <c r="D1762" s="53" t="s">
        <v>40</v>
      </c>
      <c r="E1762" s="53" t="s">
        <v>25</v>
      </c>
      <c r="F1762" s="53" t="s">
        <v>25</v>
      </c>
      <c r="G1762" s="53" t="s">
        <v>25</v>
      </c>
      <c r="H1762" s="53" t="s">
        <v>38</v>
      </c>
      <c r="I1762" s="75">
        <v>44652</v>
      </c>
      <c r="J1762" s="76">
        <f>EFEITO!$J$1762*EFEITO!$Y$1762</f>
        <v>0</v>
      </c>
      <c r="K1762" s="76">
        <f ca="1">EFEITO!$L$1762*EFEITO!$Z$1762</f>
        <v>102.38474091901055</v>
      </c>
      <c r="L1762" s="76">
        <f>EFEITO!$N$1762*EFEITO!$AA$1762</f>
        <v>36.061501616350327</v>
      </c>
      <c r="M1762" s="76">
        <f>$J$1762-EFEITO!$K$1762*EFEITO!$Y$1762</f>
        <v>0</v>
      </c>
      <c r="N1762" s="76">
        <f ca="1">$K$1762-EFEITO!$M$1762*EFEITO!$Z$1762</f>
        <v>0</v>
      </c>
      <c r="O1762" s="76">
        <f>$L$1762-EFEITO!$O$1762*EFEITO!$AA$1762</f>
        <v>0</v>
      </c>
      <c r="P1762" s="57"/>
      <c r="Q1762" s="57"/>
      <c r="R1762" s="57"/>
      <c r="S1762" s="57"/>
      <c r="T1762" s="57"/>
      <c r="U1762" s="57"/>
      <c r="V1762" s="57"/>
      <c r="W1762" s="57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</row>
    <row r="1763" spans="1:36" ht="11.25" customHeight="1" x14ac:dyDescent="0.2">
      <c r="A1763" s="53" t="s">
        <v>21</v>
      </c>
      <c r="B1763" s="53" t="s">
        <v>39</v>
      </c>
      <c r="C1763" s="53" t="s">
        <v>37</v>
      </c>
      <c r="D1763" s="53" t="s">
        <v>40</v>
      </c>
      <c r="E1763" s="53" t="s">
        <v>25</v>
      </c>
      <c r="F1763" s="53" t="s">
        <v>25</v>
      </c>
      <c r="G1763" s="53" t="s">
        <v>25</v>
      </c>
      <c r="H1763" s="53" t="s">
        <v>35</v>
      </c>
      <c r="I1763" s="75">
        <v>44317</v>
      </c>
      <c r="J1763" s="76">
        <f>EFEITO!$J$1763*EFEITO!$Y$1763</f>
        <v>0</v>
      </c>
      <c r="K1763" s="76">
        <f ca="1">EFEITO!$L$1763*EFEITO!$Z$1763</f>
        <v>167.30280275363532</v>
      </c>
      <c r="L1763" s="76">
        <f>EFEITO!$N$1763*EFEITO!$AA$1763</f>
        <v>60.193306557687656</v>
      </c>
      <c r="M1763" s="76">
        <f>$J$1763-EFEITO!$K$1763*EFEITO!$Y$1763</f>
        <v>0</v>
      </c>
      <c r="N1763" s="76">
        <f ca="1">$K$1763-EFEITO!$M$1763*EFEITO!$Z$1763</f>
        <v>0</v>
      </c>
      <c r="O1763" s="76">
        <f>$L$1763-EFEITO!$O$1763*EFEITO!$AA$1763</f>
        <v>0</v>
      </c>
      <c r="P1763" s="57"/>
      <c r="Q1763" s="57"/>
      <c r="R1763" s="57"/>
      <c r="S1763" s="57"/>
      <c r="T1763" s="57"/>
      <c r="U1763" s="57"/>
      <c r="V1763" s="57"/>
      <c r="W1763" s="57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</row>
    <row r="1764" spans="1:36" ht="11.25" customHeight="1" x14ac:dyDescent="0.2">
      <c r="A1764" s="53" t="s">
        <v>21</v>
      </c>
      <c r="B1764" s="53" t="s">
        <v>39</v>
      </c>
      <c r="C1764" s="53" t="s">
        <v>37</v>
      </c>
      <c r="D1764" s="53" t="s">
        <v>40</v>
      </c>
      <c r="E1764" s="53" t="s">
        <v>25</v>
      </c>
      <c r="F1764" s="53" t="s">
        <v>25</v>
      </c>
      <c r="G1764" s="53" t="s">
        <v>25</v>
      </c>
      <c r="H1764" s="53" t="s">
        <v>35</v>
      </c>
      <c r="I1764" s="75">
        <v>44348</v>
      </c>
      <c r="J1764" s="76">
        <f>EFEITO!$J$1764*EFEITO!$Y$1764</f>
        <v>0</v>
      </c>
      <c r="K1764" s="76">
        <f ca="1">EFEITO!$L$1764*EFEITO!$Z$1764</f>
        <v>146.09540522148438</v>
      </c>
      <c r="L1764" s="76">
        <f>EFEITO!$N$1764*EFEITO!$AA$1764</f>
        <v>52.563169106713168</v>
      </c>
      <c r="M1764" s="76">
        <f>$J$1764-EFEITO!$K$1764*EFEITO!$Y$1764</f>
        <v>0</v>
      </c>
      <c r="N1764" s="76">
        <f ca="1">$K$1764-EFEITO!$M$1764*EFEITO!$Z$1764</f>
        <v>0</v>
      </c>
      <c r="O1764" s="76">
        <f>$L$1764-EFEITO!$O$1764*EFEITO!$AA$1764</f>
        <v>0</v>
      </c>
      <c r="P1764" s="57"/>
      <c r="Q1764" s="57"/>
      <c r="R1764" s="57"/>
      <c r="S1764" s="57"/>
      <c r="T1764" s="57"/>
      <c r="U1764" s="57"/>
      <c r="V1764" s="57"/>
      <c r="W1764" s="57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</row>
    <row r="1765" spans="1:36" ht="11.25" customHeight="1" x14ac:dyDescent="0.2">
      <c r="A1765" s="53" t="s">
        <v>21</v>
      </c>
      <c r="B1765" s="53" t="s">
        <v>39</v>
      </c>
      <c r="C1765" s="53" t="s">
        <v>37</v>
      </c>
      <c r="D1765" s="53" t="s">
        <v>40</v>
      </c>
      <c r="E1765" s="53" t="s">
        <v>25</v>
      </c>
      <c r="F1765" s="53" t="s">
        <v>25</v>
      </c>
      <c r="G1765" s="53" t="s">
        <v>25</v>
      </c>
      <c r="H1765" s="53" t="s">
        <v>35</v>
      </c>
      <c r="I1765" s="75">
        <v>44378</v>
      </c>
      <c r="J1765" s="76">
        <f>EFEITO!$J$1765*EFEITO!$Y$1765</f>
        <v>0</v>
      </c>
      <c r="K1765" s="76">
        <f ca="1">EFEITO!$L$1765*EFEITO!$Z$1765</f>
        <v>202.64846530722025</v>
      </c>
      <c r="L1765" s="76">
        <f>EFEITO!$N$1765*EFEITO!$AA$1765</f>
        <v>72.910202309311813</v>
      </c>
      <c r="M1765" s="76">
        <f>$J$1765-EFEITO!$K$1765*EFEITO!$Y$1765</f>
        <v>0</v>
      </c>
      <c r="N1765" s="76">
        <f ca="1">$K$1765-EFEITO!$M$1765*EFEITO!$Z$1765</f>
        <v>0</v>
      </c>
      <c r="O1765" s="76">
        <f>$L$1765-EFEITO!$O$1765*EFEITO!$AA$1765</f>
        <v>0</v>
      </c>
      <c r="P1765" s="57"/>
      <c r="Q1765" s="57"/>
      <c r="R1765" s="57"/>
      <c r="S1765" s="57"/>
      <c r="T1765" s="57"/>
      <c r="U1765" s="57"/>
      <c r="V1765" s="57"/>
      <c r="W1765" s="57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</row>
    <row r="1766" spans="1:36" ht="11.25" customHeight="1" x14ac:dyDescent="0.2">
      <c r="A1766" s="53" t="s">
        <v>21</v>
      </c>
      <c r="B1766" s="53" t="s">
        <v>39</v>
      </c>
      <c r="C1766" s="53" t="s">
        <v>37</v>
      </c>
      <c r="D1766" s="53" t="s">
        <v>40</v>
      </c>
      <c r="E1766" s="53" t="s">
        <v>25</v>
      </c>
      <c r="F1766" s="53" t="s">
        <v>25</v>
      </c>
      <c r="G1766" s="53" t="s">
        <v>25</v>
      </c>
      <c r="H1766" s="53" t="s">
        <v>35</v>
      </c>
      <c r="I1766" s="75">
        <v>44409</v>
      </c>
      <c r="J1766" s="76">
        <f>EFEITO!$J$1766*EFEITO!$Y$1766</f>
        <v>0</v>
      </c>
      <c r="K1766" s="76">
        <f ca="1">EFEITO!$L$1766*EFEITO!$Z$1766</f>
        <v>156.69910398755988</v>
      </c>
      <c r="L1766" s="76">
        <f>EFEITO!$N$1766*EFEITO!$AA$1766</f>
        <v>56.378237832200419</v>
      </c>
      <c r="M1766" s="76">
        <f>$J$1766-EFEITO!$K$1766*EFEITO!$Y$1766</f>
        <v>0</v>
      </c>
      <c r="N1766" s="76">
        <f ca="1">$K$1766-EFEITO!$M$1766*EFEITO!$Z$1766</f>
        <v>0</v>
      </c>
      <c r="O1766" s="76">
        <f>$L$1766-EFEITO!$O$1766*EFEITO!$AA$1766</f>
        <v>0</v>
      </c>
      <c r="P1766" s="57"/>
      <c r="Q1766" s="57"/>
      <c r="R1766" s="57"/>
      <c r="S1766" s="57"/>
      <c r="T1766" s="57"/>
      <c r="U1766" s="57"/>
      <c r="V1766" s="57"/>
      <c r="W1766" s="57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</row>
    <row r="1767" spans="1:36" ht="11.25" customHeight="1" x14ac:dyDescent="0.2">
      <c r="A1767" s="53" t="s">
        <v>21</v>
      </c>
      <c r="B1767" s="53" t="s">
        <v>39</v>
      </c>
      <c r="C1767" s="53" t="s">
        <v>37</v>
      </c>
      <c r="D1767" s="53" t="s">
        <v>40</v>
      </c>
      <c r="E1767" s="53" t="s">
        <v>25</v>
      </c>
      <c r="F1767" s="53" t="s">
        <v>25</v>
      </c>
      <c r="G1767" s="53" t="s">
        <v>25</v>
      </c>
      <c r="H1767" s="53" t="s">
        <v>35</v>
      </c>
      <c r="I1767" s="75">
        <v>44440</v>
      </c>
      <c r="J1767" s="76">
        <f>EFEITO!$J$1767*EFEITO!$Y$1767</f>
        <v>0</v>
      </c>
      <c r="K1767" s="76">
        <f ca="1">EFEITO!$L$1767*EFEITO!$Z$1767</f>
        <v>141.38265021433972</v>
      </c>
      <c r="L1767" s="76">
        <f>EFEITO!$N$1767*EFEITO!$AA$1767</f>
        <v>50.867583006496616</v>
      </c>
      <c r="M1767" s="76">
        <f>$J$1767-EFEITO!$K$1767*EFEITO!$Y$1767</f>
        <v>0</v>
      </c>
      <c r="N1767" s="76">
        <f ca="1">$K$1767-EFEITO!$M$1767*EFEITO!$Z$1767</f>
        <v>0</v>
      </c>
      <c r="O1767" s="76">
        <f>$L$1767-EFEITO!$O$1767*EFEITO!$AA$1767</f>
        <v>0</v>
      </c>
      <c r="P1767" s="57"/>
      <c r="Q1767" s="57"/>
      <c r="R1767" s="57"/>
      <c r="S1767" s="57"/>
      <c r="T1767" s="57"/>
      <c r="U1767" s="57"/>
      <c r="V1767" s="57"/>
      <c r="W1767" s="57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</row>
    <row r="1768" spans="1:36" ht="11.25" customHeight="1" x14ac:dyDescent="0.2">
      <c r="A1768" s="53" t="s">
        <v>21</v>
      </c>
      <c r="B1768" s="53" t="s">
        <v>39</v>
      </c>
      <c r="C1768" s="53" t="s">
        <v>37</v>
      </c>
      <c r="D1768" s="53" t="s">
        <v>40</v>
      </c>
      <c r="E1768" s="53" t="s">
        <v>25</v>
      </c>
      <c r="F1768" s="53" t="s">
        <v>25</v>
      </c>
      <c r="G1768" s="53" t="s">
        <v>25</v>
      </c>
      <c r="H1768" s="53" t="s">
        <v>35</v>
      </c>
      <c r="I1768" s="75">
        <v>44470</v>
      </c>
      <c r="J1768" s="76">
        <f>EFEITO!$J$1768*EFEITO!$Y$1768</f>
        <v>0</v>
      </c>
      <c r="K1768" s="76">
        <f ca="1">EFEITO!$L$1768*EFEITO!$Z$1768</f>
        <v>169.65918025720765</v>
      </c>
      <c r="L1768" s="76">
        <f>EFEITO!$N$1768*EFEITO!$AA$1768</f>
        <v>61.041099607795935</v>
      </c>
      <c r="M1768" s="76">
        <f>$J$1768-EFEITO!$K$1768*EFEITO!$Y$1768</f>
        <v>0</v>
      </c>
      <c r="N1768" s="76">
        <f ca="1">$K$1768-EFEITO!$M$1768*EFEITO!$Z$1768</f>
        <v>0</v>
      </c>
      <c r="O1768" s="76">
        <f>$L$1768-EFEITO!$O$1768*EFEITO!$AA$1768</f>
        <v>0</v>
      </c>
      <c r="P1768" s="57"/>
      <c r="Q1768" s="57"/>
      <c r="R1768" s="57"/>
      <c r="S1768" s="57"/>
      <c r="T1768" s="57"/>
      <c r="U1768" s="57"/>
      <c r="V1768" s="57"/>
      <c r="W1768" s="57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</row>
    <row r="1769" spans="1:36" ht="11.25" customHeight="1" x14ac:dyDescent="0.2">
      <c r="A1769" s="53" t="s">
        <v>21</v>
      </c>
      <c r="B1769" s="53" t="s">
        <v>39</v>
      </c>
      <c r="C1769" s="53" t="s">
        <v>37</v>
      </c>
      <c r="D1769" s="53" t="s">
        <v>40</v>
      </c>
      <c r="E1769" s="53" t="s">
        <v>25</v>
      </c>
      <c r="F1769" s="53" t="s">
        <v>25</v>
      </c>
      <c r="G1769" s="53" t="s">
        <v>25</v>
      </c>
      <c r="H1769" s="53" t="s">
        <v>35</v>
      </c>
      <c r="I1769" s="75">
        <v>44501</v>
      </c>
      <c r="J1769" s="76">
        <f>EFEITO!$J$1769*EFEITO!$Y$1769</f>
        <v>0</v>
      </c>
      <c r="K1769" s="76">
        <f ca="1">EFEITO!$L$1769*EFEITO!$Z$1769</f>
        <v>161.41185899470455</v>
      </c>
      <c r="L1769" s="76">
        <f>EFEITO!$N$1769*EFEITO!$AA$1769</f>
        <v>58.073823932416971</v>
      </c>
      <c r="M1769" s="76">
        <f>$J$1769-EFEITO!$K$1769*EFEITO!$Y$1769</f>
        <v>0</v>
      </c>
      <c r="N1769" s="76">
        <f ca="1">$K$1769-EFEITO!$M$1769*EFEITO!$Z$1769</f>
        <v>0</v>
      </c>
      <c r="O1769" s="76">
        <f>$L$1769-EFEITO!$O$1769*EFEITO!$AA$1769</f>
        <v>0</v>
      </c>
      <c r="P1769" s="57"/>
      <c r="Q1769" s="57"/>
      <c r="R1769" s="57"/>
      <c r="S1769" s="57"/>
      <c r="T1769" s="57"/>
      <c r="U1769" s="57"/>
      <c r="V1769" s="57"/>
      <c r="W1769" s="57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</row>
    <row r="1770" spans="1:36" ht="11.25" customHeight="1" x14ac:dyDescent="0.2">
      <c r="A1770" s="53" t="s">
        <v>21</v>
      </c>
      <c r="B1770" s="53" t="s">
        <v>39</v>
      </c>
      <c r="C1770" s="53" t="s">
        <v>37</v>
      </c>
      <c r="D1770" s="53" t="s">
        <v>40</v>
      </c>
      <c r="E1770" s="53" t="s">
        <v>25</v>
      </c>
      <c r="F1770" s="53" t="s">
        <v>25</v>
      </c>
      <c r="G1770" s="53" t="s">
        <v>25</v>
      </c>
      <c r="H1770" s="53" t="s">
        <v>35</v>
      </c>
      <c r="I1770" s="75">
        <v>44531</v>
      </c>
      <c r="J1770" s="76">
        <f>EFEITO!$J$1770*EFEITO!$Y$1770</f>
        <v>0</v>
      </c>
      <c r="K1770" s="76">
        <f ca="1">EFEITO!$L$1770*EFEITO!$Z$1770</f>
        <v>182.61925652685548</v>
      </c>
      <c r="L1770" s="76">
        <f>EFEITO!$N$1770*EFEITO!$AA$1770</f>
        <v>65.703961383391459</v>
      </c>
      <c r="M1770" s="76">
        <f>$J$1770-EFEITO!$K$1770*EFEITO!$Y$1770</f>
        <v>0</v>
      </c>
      <c r="N1770" s="76">
        <f ca="1">$K$1770-EFEITO!$M$1770*EFEITO!$Z$1770</f>
        <v>0</v>
      </c>
      <c r="O1770" s="76">
        <f>$L$1770-EFEITO!$O$1770*EFEITO!$AA$1770</f>
        <v>0</v>
      </c>
      <c r="P1770" s="57"/>
      <c r="Q1770" s="57"/>
      <c r="R1770" s="57"/>
      <c r="S1770" s="57"/>
      <c r="T1770" s="57"/>
      <c r="U1770" s="57"/>
      <c r="V1770" s="57"/>
      <c r="W1770" s="57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</row>
    <row r="1771" spans="1:36" ht="11.25" customHeight="1" x14ac:dyDescent="0.2">
      <c r="A1771" s="53" t="s">
        <v>21</v>
      </c>
      <c r="B1771" s="53" t="s">
        <v>39</v>
      </c>
      <c r="C1771" s="53" t="s">
        <v>37</v>
      </c>
      <c r="D1771" s="53" t="s">
        <v>40</v>
      </c>
      <c r="E1771" s="53" t="s">
        <v>25</v>
      </c>
      <c r="F1771" s="53" t="s">
        <v>25</v>
      </c>
      <c r="G1771" s="53" t="s">
        <v>25</v>
      </c>
      <c r="H1771" s="53" t="s">
        <v>35</v>
      </c>
      <c r="I1771" s="75">
        <v>44562</v>
      </c>
      <c r="J1771" s="76">
        <f>EFEITO!$J$1771*EFEITO!$Y$1771</f>
        <v>0</v>
      </c>
      <c r="K1771" s="76">
        <f ca="1">EFEITO!$L$1771*EFEITO!$Z$1771</f>
        <v>219.14310783222658</v>
      </c>
      <c r="L1771" s="76">
        <f>EFEITO!$N$1771*EFEITO!$AA$1771</f>
        <v>78.844753660069756</v>
      </c>
      <c r="M1771" s="76">
        <f>$J$1771-EFEITO!$K$1771*EFEITO!$Y$1771</f>
        <v>0</v>
      </c>
      <c r="N1771" s="76">
        <f ca="1">$K$1771-EFEITO!$M$1771*EFEITO!$Z$1771</f>
        <v>0</v>
      </c>
      <c r="O1771" s="76">
        <f>$L$1771-EFEITO!$O$1771*EFEITO!$AA$1771</f>
        <v>0</v>
      </c>
      <c r="P1771" s="57"/>
      <c r="Q1771" s="57"/>
      <c r="R1771" s="57"/>
      <c r="S1771" s="57"/>
      <c r="T1771" s="57"/>
      <c r="U1771" s="57"/>
      <c r="V1771" s="57"/>
      <c r="W1771" s="57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</row>
    <row r="1772" spans="1:36" ht="11.25" customHeight="1" x14ac:dyDescent="0.2">
      <c r="A1772" s="53" t="s">
        <v>21</v>
      </c>
      <c r="B1772" s="53" t="s">
        <v>39</v>
      </c>
      <c r="C1772" s="53" t="s">
        <v>37</v>
      </c>
      <c r="D1772" s="53" t="s">
        <v>40</v>
      </c>
      <c r="E1772" s="53" t="s">
        <v>25</v>
      </c>
      <c r="F1772" s="53" t="s">
        <v>25</v>
      </c>
      <c r="G1772" s="53" t="s">
        <v>25</v>
      </c>
      <c r="H1772" s="53" t="s">
        <v>35</v>
      </c>
      <c r="I1772" s="75">
        <v>44593</v>
      </c>
      <c r="J1772" s="76">
        <f>EFEITO!$J$1772*EFEITO!$Y$1772</f>
        <v>0</v>
      </c>
      <c r="K1772" s="76">
        <f ca="1">EFEITO!$L$1772*EFEITO!$Z$1772</f>
        <v>177.90650151971082</v>
      </c>
      <c r="L1772" s="76">
        <f>EFEITO!$N$1772*EFEITO!$AA$1772</f>
        <v>64.0083752831749</v>
      </c>
      <c r="M1772" s="76">
        <f>$J$1772-EFEITO!$K$1772*EFEITO!$Y$1772</f>
        <v>0</v>
      </c>
      <c r="N1772" s="76">
        <f ca="1">$K$1772-EFEITO!$M$1772*EFEITO!$Z$1772</f>
        <v>0</v>
      </c>
      <c r="O1772" s="76">
        <f>$L$1772-EFEITO!$O$1772*EFEITO!$AA$1772</f>
        <v>0</v>
      </c>
      <c r="P1772" s="57"/>
      <c r="Q1772" s="57"/>
      <c r="R1772" s="57"/>
      <c r="S1772" s="57"/>
      <c r="T1772" s="57"/>
      <c r="U1772" s="57"/>
      <c r="V1772" s="57"/>
      <c r="W1772" s="57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</row>
    <row r="1773" spans="1:36" ht="11.25" customHeight="1" x14ac:dyDescent="0.2">
      <c r="A1773" s="53" t="s">
        <v>21</v>
      </c>
      <c r="B1773" s="53" t="s">
        <v>39</v>
      </c>
      <c r="C1773" s="53" t="s">
        <v>37</v>
      </c>
      <c r="D1773" s="53" t="s">
        <v>40</v>
      </c>
      <c r="E1773" s="53" t="s">
        <v>25</v>
      </c>
      <c r="F1773" s="53" t="s">
        <v>25</v>
      </c>
      <c r="G1773" s="53" t="s">
        <v>25</v>
      </c>
      <c r="H1773" s="53" t="s">
        <v>35</v>
      </c>
      <c r="I1773" s="75">
        <v>44621</v>
      </c>
      <c r="J1773" s="76">
        <f>EFEITO!$J$1773*EFEITO!$Y$1773</f>
        <v>0</v>
      </c>
      <c r="K1773" s="76">
        <f ca="1">EFEITO!$L$1773*EFEITO!$Z$1773</f>
        <v>230.92499535008824</v>
      </c>
      <c r="L1773" s="76">
        <f>EFEITO!$N$1773*EFEITO!$AA$1773</f>
        <v>83.08371891061114</v>
      </c>
      <c r="M1773" s="76">
        <f>$J$1773-EFEITO!$K$1773*EFEITO!$Y$1773</f>
        <v>0</v>
      </c>
      <c r="N1773" s="76">
        <f ca="1">$K$1773-EFEITO!$M$1773*EFEITO!$Z$1773</f>
        <v>0</v>
      </c>
      <c r="O1773" s="76">
        <f>$L$1773-EFEITO!$O$1773*EFEITO!$AA$1773</f>
        <v>0</v>
      </c>
      <c r="P1773" s="57"/>
      <c r="Q1773" s="57"/>
      <c r="R1773" s="57"/>
      <c r="S1773" s="57"/>
      <c r="T1773" s="57"/>
      <c r="U1773" s="57"/>
      <c r="V1773" s="57"/>
      <c r="W1773" s="57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</row>
    <row r="1774" spans="1:36" ht="11.25" customHeight="1" x14ac:dyDescent="0.2">
      <c r="A1774" s="53" t="s">
        <v>56</v>
      </c>
      <c r="B1774" s="53" t="s">
        <v>39</v>
      </c>
      <c r="C1774" s="53" t="s">
        <v>37</v>
      </c>
      <c r="D1774" s="53" t="s">
        <v>40</v>
      </c>
      <c r="E1774" s="53" t="s">
        <v>25</v>
      </c>
      <c r="F1774" s="53" t="s">
        <v>25</v>
      </c>
      <c r="G1774" s="53" t="s">
        <v>25</v>
      </c>
      <c r="H1774" s="53" t="s">
        <v>35</v>
      </c>
      <c r="I1774" s="75">
        <v>44652</v>
      </c>
      <c r="J1774" s="76">
        <f>EFEITO!$J$1774*EFEITO!$Y$1774</f>
        <v>0</v>
      </c>
      <c r="K1774" s="76">
        <f ca="1">EFEITO!$L$1774*EFEITO!$Z$1774</f>
        <v>230.92499535008824</v>
      </c>
      <c r="L1774" s="76">
        <f>EFEITO!$N$1774*EFEITO!$AA$1774</f>
        <v>83.08371891061114</v>
      </c>
      <c r="M1774" s="76">
        <f>$J$1774-EFEITO!$K$1774*EFEITO!$Y$1774</f>
        <v>0</v>
      </c>
      <c r="N1774" s="76">
        <f ca="1">$K$1774-EFEITO!$M$1774*EFEITO!$Z$1774</f>
        <v>0</v>
      </c>
      <c r="O1774" s="76">
        <f>$L$1774-EFEITO!$O$1774*EFEITO!$AA$1774</f>
        <v>0</v>
      </c>
      <c r="P1774" s="57"/>
      <c r="Q1774" s="57"/>
      <c r="R1774" s="57"/>
      <c r="S1774" s="57"/>
      <c r="T1774" s="57"/>
      <c r="U1774" s="57"/>
      <c r="V1774" s="57"/>
      <c r="W1774" s="57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</row>
    <row r="1775" spans="1:36" ht="11.25" customHeight="1" x14ac:dyDescent="0.2">
      <c r="A1775" s="53" t="s">
        <v>21</v>
      </c>
      <c r="B1775" s="53" t="s">
        <v>39</v>
      </c>
      <c r="C1775" s="53" t="s">
        <v>37</v>
      </c>
      <c r="D1775" s="53" t="s">
        <v>46</v>
      </c>
      <c r="E1775" s="53" t="s">
        <v>25</v>
      </c>
      <c r="F1775" s="53" t="s">
        <v>25</v>
      </c>
      <c r="G1775" s="53" t="s">
        <v>25</v>
      </c>
      <c r="H1775" s="53" t="s">
        <v>36</v>
      </c>
      <c r="I1775" s="75">
        <v>44317</v>
      </c>
      <c r="J1775" s="76">
        <f>EFEITO!$J$1775*EFEITO!$Y$1775</f>
        <v>0</v>
      </c>
      <c r="K1775" s="76">
        <f ca="1">EFEITO!$L$1775*EFEITO!$Z$1775</f>
        <v>745.63232432962741</v>
      </c>
      <c r="L1775" s="76">
        <f>EFEITO!$N$1775*EFEITO!$AA$1775</f>
        <v>559.35998371827611</v>
      </c>
      <c r="M1775" s="76">
        <f>$J$1775-EFEITO!$K$1775*EFEITO!$Y$1775</f>
        <v>0</v>
      </c>
      <c r="N1775" s="76">
        <f ca="1">$K$1775-EFEITO!$M$1775*EFEITO!$Z$1775</f>
        <v>0</v>
      </c>
      <c r="O1775" s="76">
        <f>$L$1775-EFEITO!$O$1775*EFEITO!$AA$1775</f>
        <v>0</v>
      </c>
      <c r="P1775" s="57"/>
      <c r="Q1775" s="57"/>
      <c r="R1775" s="57"/>
      <c r="S1775" s="57"/>
      <c r="T1775" s="57"/>
      <c r="U1775" s="57"/>
      <c r="V1775" s="57"/>
      <c r="W1775" s="57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</row>
    <row r="1776" spans="1:36" ht="11.25" customHeight="1" x14ac:dyDescent="0.2">
      <c r="A1776" s="53" t="s">
        <v>21</v>
      </c>
      <c r="B1776" s="53" t="s">
        <v>39</v>
      </c>
      <c r="C1776" s="53" t="s">
        <v>37</v>
      </c>
      <c r="D1776" s="53" t="s">
        <v>46</v>
      </c>
      <c r="E1776" s="53" t="s">
        <v>25</v>
      </c>
      <c r="F1776" s="53" t="s">
        <v>25</v>
      </c>
      <c r="G1776" s="53" t="s">
        <v>25</v>
      </c>
      <c r="H1776" s="53" t="s">
        <v>36</v>
      </c>
      <c r="I1776" s="75">
        <v>44348</v>
      </c>
      <c r="J1776" s="76">
        <f>EFEITO!$J$1776*EFEITO!$Y$1776</f>
        <v>0</v>
      </c>
      <c r="K1776" s="76">
        <f ca="1">EFEITO!$L$1776*EFEITO!$Z$1776</f>
        <v>690.69479970621319</v>
      </c>
      <c r="L1776" s="76">
        <f>EFEITO!$N$1776*EFEITO!$AA$1776</f>
        <v>518.14683901387571</v>
      </c>
      <c r="M1776" s="76">
        <f>$J$1776-EFEITO!$K$1776*EFEITO!$Y$1776</f>
        <v>0</v>
      </c>
      <c r="N1776" s="76">
        <f ca="1">$K$1776-EFEITO!$M$1776*EFEITO!$Z$1776</f>
        <v>0</v>
      </c>
      <c r="O1776" s="76">
        <f>$L$1776-EFEITO!$O$1776*EFEITO!$AA$1776</f>
        <v>0</v>
      </c>
      <c r="P1776" s="57"/>
      <c r="Q1776" s="57"/>
      <c r="R1776" s="57"/>
      <c r="S1776" s="57"/>
      <c r="T1776" s="57"/>
      <c r="U1776" s="57"/>
      <c r="V1776" s="57"/>
      <c r="W1776" s="57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</row>
    <row r="1777" spans="1:36" ht="11.25" customHeight="1" x14ac:dyDescent="0.2">
      <c r="A1777" s="53" t="s">
        <v>21</v>
      </c>
      <c r="B1777" s="53" t="s">
        <v>39</v>
      </c>
      <c r="C1777" s="53" t="s">
        <v>37</v>
      </c>
      <c r="D1777" s="53" t="s">
        <v>46</v>
      </c>
      <c r="E1777" s="53" t="s">
        <v>25</v>
      </c>
      <c r="F1777" s="53" t="s">
        <v>25</v>
      </c>
      <c r="G1777" s="53" t="s">
        <v>25</v>
      </c>
      <c r="H1777" s="53" t="s">
        <v>36</v>
      </c>
      <c r="I1777" s="75">
        <v>44378</v>
      </c>
      <c r="J1777" s="76">
        <f>EFEITO!$J$1777*EFEITO!$Y$1777</f>
        <v>0</v>
      </c>
      <c r="K1777" s="76">
        <f ca="1">EFEITO!$L$1777*EFEITO!$Z$1777</f>
        <v>646.6002075742623</v>
      </c>
      <c r="L1777" s="76">
        <f>EFEITO!$N$1777*EFEITO!$AA$1777</f>
        <v>485.06786760639648</v>
      </c>
      <c r="M1777" s="76">
        <f>$J$1777-EFEITO!$K$1777*EFEITO!$Y$1777</f>
        <v>0</v>
      </c>
      <c r="N1777" s="76">
        <f ca="1">$K$1777-EFEITO!$M$1777*EFEITO!$Z$1777</f>
        <v>0</v>
      </c>
      <c r="O1777" s="76">
        <f>$L$1777-EFEITO!$O$1777*EFEITO!$AA$1777</f>
        <v>0</v>
      </c>
      <c r="P1777" s="57"/>
      <c r="Q1777" s="57"/>
      <c r="R1777" s="57"/>
      <c r="S1777" s="57"/>
      <c r="T1777" s="57"/>
      <c r="U1777" s="57"/>
      <c r="V1777" s="57"/>
      <c r="W1777" s="57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</row>
    <row r="1778" spans="1:36" ht="11.25" customHeight="1" x14ac:dyDescent="0.2">
      <c r="A1778" s="53" t="s">
        <v>21</v>
      </c>
      <c r="B1778" s="53" t="s">
        <v>39</v>
      </c>
      <c r="C1778" s="53" t="s">
        <v>37</v>
      </c>
      <c r="D1778" s="53" t="s">
        <v>46</v>
      </c>
      <c r="E1778" s="53" t="s">
        <v>25</v>
      </c>
      <c r="F1778" s="53" t="s">
        <v>25</v>
      </c>
      <c r="G1778" s="53" t="s">
        <v>25</v>
      </c>
      <c r="H1778" s="53" t="s">
        <v>36</v>
      </c>
      <c r="I1778" s="75">
        <v>44409</v>
      </c>
      <c r="J1778" s="76">
        <f>EFEITO!$J$1778*EFEITO!$Y$1778</f>
        <v>0</v>
      </c>
      <c r="K1778" s="76">
        <f ca="1">EFEITO!$L$1778*EFEITO!$Z$1778</f>
        <v>1508.9747717286446</v>
      </c>
      <c r="L1778" s="76">
        <f>EFEITO!$N$1778*EFEITO!$AA$1778</f>
        <v>1132.0057838215234</v>
      </c>
      <c r="M1778" s="76">
        <f>$J$1778-EFEITO!$K$1778*EFEITO!$Y$1778</f>
        <v>0</v>
      </c>
      <c r="N1778" s="76">
        <f ca="1">$K$1778-EFEITO!$M$1778*EFEITO!$Z$1778</f>
        <v>0</v>
      </c>
      <c r="O1778" s="76">
        <f>$L$1778-EFEITO!$O$1778*EFEITO!$AA$1778</f>
        <v>0</v>
      </c>
      <c r="P1778" s="57"/>
      <c r="Q1778" s="57"/>
      <c r="R1778" s="57"/>
      <c r="S1778" s="57"/>
      <c r="T1778" s="57"/>
      <c r="U1778" s="57"/>
      <c r="V1778" s="57"/>
      <c r="W1778" s="57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</row>
    <row r="1779" spans="1:36" ht="11.25" customHeight="1" x14ac:dyDescent="0.2">
      <c r="A1779" s="53" t="s">
        <v>21</v>
      </c>
      <c r="B1779" s="53" t="s">
        <v>39</v>
      </c>
      <c r="C1779" s="53" t="s">
        <v>37</v>
      </c>
      <c r="D1779" s="53" t="s">
        <v>46</v>
      </c>
      <c r="E1779" s="53" t="s">
        <v>25</v>
      </c>
      <c r="F1779" s="53" t="s">
        <v>25</v>
      </c>
      <c r="G1779" s="53" t="s">
        <v>25</v>
      </c>
      <c r="H1779" s="53" t="s">
        <v>36</v>
      </c>
      <c r="I1779" s="75">
        <v>44440</v>
      </c>
      <c r="J1779" s="76">
        <f>EFEITO!$J$1779*EFEITO!$Y$1779</f>
        <v>0</v>
      </c>
      <c r="K1779" s="76">
        <f ca="1">EFEITO!$L$1779*EFEITO!$Z$1779</f>
        <v>1608.729750650107</v>
      </c>
      <c r="L1779" s="76">
        <f>EFEITO!$N$1779*EFEITO!$AA$1779</f>
        <v>1206.8401781531977</v>
      </c>
      <c r="M1779" s="76">
        <f>$J$1779-EFEITO!$K$1779*EFEITO!$Y$1779</f>
        <v>0</v>
      </c>
      <c r="N1779" s="76">
        <f ca="1">$K$1779-EFEITO!$M$1779*EFEITO!$Z$1779</f>
        <v>0</v>
      </c>
      <c r="O1779" s="76">
        <f>$L$1779-EFEITO!$O$1779*EFEITO!$AA$1779</f>
        <v>0</v>
      </c>
      <c r="P1779" s="57"/>
      <c r="Q1779" s="57"/>
      <c r="R1779" s="57"/>
      <c r="S1779" s="57"/>
      <c r="T1779" s="57"/>
      <c r="U1779" s="57"/>
      <c r="V1779" s="57"/>
      <c r="W1779" s="57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</row>
    <row r="1780" spans="1:36" ht="11.25" customHeight="1" x14ac:dyDescent="0.2">
      <c r="A1780" s="53" t="s">
        <v>21</v>
      </c>
      <c r="B1780" s="53" t="s">
        <v>39</v>
      </c>
      <c r="C1780" s="53" t="s">
        <v>37</v>
      </c>
      <c r="D1780" s="53" t="s">
        <v>46</v>
      </c>
      <c r="E1780" s="53" t="s">
        <v>25</v>
      </c>
      <c r="F1780" s="53" t="s">
        <v>25</v>
      </c>
      <c r="G1780" s="53" t="s">
        <v>25</v>
      </c>
      <c r="H1780" s="53" t="s">
        <v>36</v>
      </c>
      <c r="I1780" s="75">
        <v>44470</v>
      </c>
      <c r="J1780" s="76">
        <f>EFEITO!$J$1780*EFEITO!$Y$1780</f>
        <v>0</v>
      </c>
      <c r="K1780" s="76">
        <f ca="1">EFEITO!$L$1780*EFEITO!$Z$1780</f>
        <v>3209.5080174731415</v>
      </c>
      <c r="L1780" s="76">
        <f>EFEITO!$N$1780*EFEITO!$AA$1780</f>
        <v>2407.7152958886536</v>
      </c>
      <c r="M1780" s="76">
        <f>$J$1780-EFEITO!$K$1780*EFEITO!$Y$1780</f>
        <v>0</v>
      </c>
      <c r="N1780" s="76">
        <f ca="1">$K$1780-EFEITO!$M$1780*EFEITO!$Z$1780</f>
        <v>0</v>
      </c>
      <c r="O1780" s="76">
        <f>$L$1780-EFEITO!$O$1780*EFEITO!$AA$1780</f>
        <v>0</v>
      </c>
      <c r="P1780" s="57"/>
      <c r="Q1780" s="57"/>
      <c r="R1780" s="57"/>
      <c r="S1780" s="57"/>
      <c r="T1780" s="57"/>
      <c r="U1780" s="57"/>
      <c r="V1780" s="57"/>
      <c r="W1780" s="57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</row>
    <row r="1781" spans="1:36" ht="11.25" customHeight="1" x14ac:dyDescent="0.2">
      <c r="A1781" s="53" t="s">
        <v>21</v>
      </c>
      <c r="B1781" s="53" t="s">
        <v>39</v>
      </c>
      <c r="C1781" s="53" t="s">
        <v>37</v>
      </c>
      <c r="D1781" s="53" t="s">
        <v>46</v>
      </c>
      <c r="E1781" s="53" t="s">
        <v>25</v>
      </c>
      <c r="F1781" s="53" t="s">
        <v>25</v>
      </c>
      <c r="G1781" s="53" t="s">
        <v>25</v>
      </c>
      <c r="H1781" s="53" t="s">
        <v>36</v>
      </c>
      <c r="I1781" s="75">
        <v>44501</v>
      </c>
      <c r="J1781" s="76">
        <f>EFEITO!$J$1781*EFEITO!$Y$1781</f>
        <v>0</v>
      </c>
      <c r="K1781" s="76">
        <f ca="1">EFEITO!$L$1781*EFEITO!$Z$1781</f>
        <v>2827.475362690584</v>
      </c>
      <c r="L1781" s="76">
        <f>EFEITO!$N$1781*EFEITO!$AA$1781</f>
        <v>2121.1212567271323</v>
      </c>
      <c r="M1781" s="76">
        <f>$J$1781-EFEITO!$K$1781*EFEITO!$Y$1781</f>
        <v>0</v>
      </c>
      <c r="N1781" s="76">
        <f ca="1">$K$1781-EFEITO!$M$1781*EFEITO!$Z$1781</f>
        <v>0</v>
      </c>
      <c r="O1781" s="76">
        <f>$L$1781-EFEITO!$O$1781*EFEITO!$AA$1781</f>
        <v>0</v>
      </c>
      <c r="P1781" s="57"/>
      <c r="Q1781" s="57"/>
      <c r="R1781" s="57"/>
      <c r="S1781" s="57"/>
      <c r="T1781" s="57"/>
      <c r="U1781" s="57"/>
      <c r="V1781" s="57"/>
      <c r="W1781" s="57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</row>
    <row r="1782" spans="1:36" ht="11.25" customHeight="1" x14ac:dyDescent="0.2">
      <c r="A1782" s="53" t="s">
        <v>21</v>
      </c>
      <c r="B1782" s="53" t="s">
        <v>39</v>
      </c>
      <c r="C1782" s="53" t="s">
        <v>37</v>
      </c>
      <c r="D1782" s="53" t="s">
        <v>46</v>
      </c>
      <c r="E1782" s="53" t="s">
        <v>25</v>
      </c>
      <c r="F1782" s="53" t="s">
        <v>25</v>
      </c>
      <c r="G1782" s="53" t="s">
        <v>25</v>
      </c>
      <c r="H1782" s="53" t="s">
        <v>36</v>
      </c>
      <c r="I1782" s="75">
        <v>44531</v>
      </c>
      <c r="J1782" s="76">
        <f>EFEITO!$J$1782*EFEITO!$Y$1782</f>
        <v>0</v>
      </c>
      <c r="K1782" s="76">
        <f ca="1">EFEITO!$L$1782*EFEITO!$Z$1782</f>
        <v>6184.4472620476263</v>
      </c>
      <c r="L1782" s="76">
        <f>EFEITO!$N$1782*EFEITO!$AA$1782</f>
        <v>4639.4613094539136</v>
      </c>
      <c r="M1782" s="76">
        <f>$J$1782-EFEITO!$K$1782*EFEITO!$Y$1782</f>
        <v>0</v>
      </c>
      <c r="N1782" s="76">
        <f ca="1">$K$1782-EFEITO!$M$1782*EFEITO!$Z$1782</f>
        <v>0</v>
      </c>
      <c r="O1782" s="76">
        <f>$L$1782-EFEITO!$O$1782*EFEITO!$AA$1782</f>
        <v>0</v>
      </c>
      <c r="P1782" s="57"/>
      <c r="Q1782" s="57"/>
      <c r="R1782" s="57"/>
      <c r="S1782" s="57"/>
      <c r="T1782" s="57"/>
      <c r="U1782" s="57"/>
      <c r="V1782" s="57"/>
      <c r="W1782" s="57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</row>
    <row r="1783" spans="1:36" ht="11.25" customHeight="1" x14ac:dyDescent="0.2">
      <c r="A1783" s="53" t="s">
        <v>21</v>
      </c>
      <c r="B1783" s="53" t="s">
        <v>39</v>
      </c>
      <c r="C1783" s="53" t="s">
        <v>37</v>
      </c>
      <c r="D1783" s="53" t="s">
        <v>46</v>
      </c>
      <c r="E1783" s="53" t="s">
        <v>25</v>
      </c>
      <c r="F1783" s="53" t="s">
        <v>25</v>
      </c>
      <c r="G1783" s="53" t="s">
        <v>25</v>
      </c>
      <c r="H1783" s="53" t="s">
        <v>36</v>
      </c>
      <c r="I1783" s="75">
        <v>44562</v>
      </c>
      <c r="J1783" s="76">
        <f>EFEITO!$J$1783*EFEITO!$Y$1783</f>
        <v>0</v>
      </c>
      <c r="K1783" s="76">
        <f ca="1">EFEITO!$L$1783*EFEITO!$Z$1783</f>
        <v>9016.6212288178431</v>
      </c>
      <c r="L1783" s="76">
        <f>EFEITO!$N$1783*EFEITO!$AA$1783</f>
        <v>6764.1073746097109</v>
      </c>
      <c r="M1783" s="76">
        <f>$J$1783-EFEITO!$K$1783*EFEITO!$Y$1783</f>
        <v>0</v>
      </c>
      <c r="N1783" s="76">
        <f ca="1">$K$1783-EFEITO!$M$1783*EFEITO!$Z$1783</f>
        <v>0</v>
      </c>
      <c r="O1783" s="76">
        <f>$L$1783-EFEITO!$O$1783*EFEITO!$AA$1783</f>
        <v>0</v>
      </c>
      <c r="P1783" s="57"/>
      <c r="Q1783" s="57"/>
      <c r="R1783" s="57"/>
      <c r="S1783" s="57"/>
      <c r="T1783" s="57"/>
      <c r="U1783" s="57"/>
      <c r="V1783" s="57"/>
      <c r="W1783" s="57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</row>
    <row r="1784" spans="1:36" ht="11.25" customHeight="1" x14ac:dyDescent="0.2">
      <c r="A1784" s="53" t="s">
        <v>27</v>
      </c>
      <c r="B1784" s="53" t="s">
        <v>39</v>
      </c>
      <c r="C1784" s="53" t="s">
        <v>37</v>
      </c>
      <c r="D1784" s="53" t="s">
        <v>46</v>
      </c>
      <c r="E1784" s="53" t="s">
        <v>25</v>
      </c>
      <c r="F1784" s="53" t="s">
        <v>25</v>
      </c>
      <c r="G1784" s="53" t="s">
        <v>25</v>
      </c>
      <c r="H1784" s="53" t="s">
        <v>36</v>
      </c>
      <c r="I1784" s="75">
        <v>44562</v>
      </c>
      <c r="J1784" s="76">
        <f>EFEITO!$J$1784*EFEITO!$Y$1784</f>
        <v>0</v>
      </c>
      <c r="K1784" s="76">
        <f ca="1">EFEITO!$L$1784*EFEITO!$Z$1784</f>
        <v>960.32238766060095</v>
      </c>
      <c r="L1784" s="76">
        <f>EFEITO!$N$1784*EFEITO!$AA$1784</f>
        <v>720.41661499731447</v>
      </c>
      <c r="M1784" s="76">
        <f>$J$1784-EFEITO!$K$1784*EFEITO!$Y$1784</f>
        <v>0</v>
      </c>
      <c r="N1784" s="76">
        <f ca="1">$K$1784-EFEITO!$M$1784*EFEITO!$Z$1784</f>
        <v>0</v>
      </c>
      <c r="O1784" s="76">
        <f>$L$1784-EFEITO!$O$1784*EFEITO!$AA$1784</f>
        <v>0</v>
      </c>
      <c r="P1784" s="57"/>
      <c r="Q1784" s="57"/>
      <c r="R1784" s="57"/>
      <c r="S1784" s="57"/>
      <c r="T1784" s="57"/>
      <c r="U1784" s="57"/>
      <c r="V1784" s="57"/>
      <c r="W1784" s="57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</row>
    <row r="1785" spans="1:36" ht="11.25" customHeight="1" x14ac:dyDescent="0.2">
      <c r="A1785" s="53" t="s">
        <v>21</v>
      </c>
      <c r="B1785" s="53" t="s">
        <v>39</v>
      </c>
      <c r="C1785" s="53" t="s">
        <v>37</v>
      </c>
      <c r="D1785" s="53" t="s">
        <v>46</v>
      </c>
      <c r="E1785" s="53" t="s">
        <v>25</v>
      </c>
      <c r="F1785" s="53" t="s">
        <v>25</v>
      </c>
      <c r="G1785" s="53" t="s">
        <v>25</v>
      </c>
      <c r="H1785" s="53" t="s">
        <v>36</v>
      </c>
      <c r="I1785" s="75">
        <v>44593</v>
      </c>
      <c r="J1785" s="76">
        <f>EFEITO!$J$1785*EFEITO!$Y$1785</f>
        <v>0</v>
      </c>
      <c r="K1785" s="76">
        <f ca="1">EFEITO!$L$1785*EFEITO!$Z$1785</f>
        <v>11239.422389567824</v>
      </c>
      <c r="L1785" s="76">
        <f>EFEITO!$N$1785*EFEITO!$AA$1785</f>
        <v>8431.6129004785416</v>
      </c>
      <c r="M1785" s="76">
        <f>$J$1785-EFEITO!$K$1785*EFEITO!$Y$1785</f>
        <v>0</v>
      </c>
      <c r="N1785" s="76">
        <f ca="1">$K$1785-EFEITO!$M$1785*EFEITO!$Z$1785</f>
        <v>0</v>
      </c>
      <c r="O1785" s="76">
        <f>$L$1785-EFEITO!$O$1785*EFEITO!$AA$1785</f>
        <v>0</v>
      </c>
      <c r="P1785" s="57"/>
      <c r="Q1785" s="57"/>
      <c r="R1785" s="57"/>
      <c r="S1785" s="57"/>
      <c r="T1785" s="57"/>
      <c r="U1785" s="57"/>
      <c r="V1785" s="57"/>
      <c r="W1785" s="57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</row>
    <row r="1786" spans="1:36" ht="11.25" customHeight="1" x14ac:dyDescent="0.2">
      <c r="A1786" s="53" t="s">
        <v>21</v>
      </c>
      <c r="B1786" s="53" t="s">
        <v>39</v>
      </c>
      <c r="C1786" s="53" t="s">
        <v>37</v>
      </c>
      <c r="D1786" s="53" t="s">
        <v>46</v>
      </c>
      <c r="E1786" s="53" t="s">
        <v>25</v>
      </c>
      <c r="F1786" s="53" t="s">
        <v>25</v>
      </c>
      <c r="G1786" s="53" t="s">
        <v>25</v>
      </c>
      <c r="H1786" s="53" t="s">
        <v>36</v>
      </c>
      <c r="I1786" s="75">
        <v>44621</v>
      </c>
      <c r="J1786" s="76">
        <f>EFEITO!$J$1786*EFEITO!$Y$1786</f>
        <v>0</v>
      </c>
      <c r="K1786" s="76">
        <f ca="1">EFEITO!$L$1786*EFEITO!$Z$1786</f>
        <v>11728.800076015868</v>
      </c>
      <c r="L1786" s="76">
        <f>EFEITO!$N$1786*EFEITO!$AA$1786</f>
        <v>8798.7352552795819</v>
      </c>
      <c r="M1786" s="76">
        <f>$J$1786-EFEITO!$K$1786*EFEITO!$Y$1786</f>
        <v>0</v>
      </c>
      <c r="N1786" s="76">
        <f ca="1">$K$1786-EFEITO!$M$1786*EFEITO!$Z$1786</f>
        <v>0</v>
      </c>
      <c r="O1786" s="76">
        <f>$L$1786-EFEITO!$O$1786*EFEITO!$AA$1786</f>
        <v>0</v>
      </c>
      <c r="P1786" s="57"/>
      <c r="Q1786" s="57"/>
      <c r="R1786" s="57"/>
      <c r="S1786" s="57"/>
      <c r="T1786" s="57"/>
      <c r="U1786" s="57"/>
      <c r="V1786" s="57"/>
      <c r="W1786" s="57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</row>
    <row r="1787" spans="1:36" ht="11.25" customHeight="1" x14ac:dyDescent="0.2">
      <c r="A1787" s="53" t="s">
        <v>56</v>
      </c>
      <c r="B1787" s="53" t="s">
        <v>39</v>
      </c>
      <c r="C1787" s="53" t="s">
        <v>37</v>
      </c>
      <c r="D1787" s="53" t="s">
        <v>46</v>
      </c>
      <c r="E1787" s="53" t="s">
        <v>25</v>
      </c>
      <c r="F1787" s="53" t="s">
        <v>25</v>
      </c>
      <c r="G1787" s="53" t="s">
        <v>25</v>
      </c>
      <c r="H1787" s="53" t="s">
        <v>36</v>
      </c>
      <c r="I1787" s="75">
        <v>44652</v>
      </c>
      <c r="J1787" s="76">
        <f>EFEITO!$J$1787*EFEITO!$Y$1787</f>
        <v>0</v>
      </c>
      <c r="K1787" s="76">
        <f ca="1">EFEITO!$L$1787*EFEITO!$Z$1787</f>
        <v>11728.800076015868</v>
      </c>
      <c r="L1787" s="76">
        <f>EFEITO!$N$1787*EFEITO!$AA$1787</f>
        <v>8798.7352552795819</v>
      </c>
      <c r="M1787" s="76">
        <f>$J$1787-EFEITO!$K$1787*EFEITO!$Y$1787</f>
        <v>0</v>
      </c>
      <c r="N1787" s="76">
        <f ca="1">$K$1787-EFEITO!$M$1787*EFEITO!$Z$1787</f>
        <v>0</v>
      </c>
      <c r="O1787" s="76">
        <f>$L$1787-EFEITO!$O$1787*EFEITO!$AA$1787</f>
        <v>0</v>
      </c>
      <c r="P1787" s="57"/>
      <c r="Q1787" s="57"/>
      <c r="R1787" s="57"/>
      <c r="S1787" s="57"/>
      <c r="T1787" s="57"/>
      <c r="U1787" s="57"/>
      <c r="V1787" s="57"/>
      <c r="W1787" s="57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</row>
    <row r="1788" spans="1:36" ht="11.25" customHeight="1" x14ac:dyDescent="0.2">
      <c r="A1788" s="53" t="s">
        <v>21</v>
      </c>
      <c r="B1788" s="53" t="s">
        <v>39</v>
      </c>
      <c r="C1788" s="53" t="s">
        <v>37</v>
      </c>
      <c r="D1788" s="53" t="s">
        <v>46</v>
      </c>
      <c r="E1788" s="53" t="s">
        <v>25</v>
      </c>
      <c r="F1788" s="53" t="s">
        <v>25</v>
      </c>
      <c r="G1788" s="53" t="s">
        <v>25</v>
      </c>
      <c r="H1788" s="53" t="s">
        <v>38</v>
      </c>
      <c r="I1788" s="75">
        <v>44317</v>
      </c>
      <c r="J1788" s="76">
        <f>EFEITO!$J$1788*EFEITO!$Y$1788</f>
        <v>0</v>
      </c>
      <c r="K1788" s="76">
        <f ca="1">EFEITO!$L$1788*EFEITO!$Z$1788</f>
        <v>18.475441970347767</v>
      </c>
      <c r="L1788" s="76">
        <f>EFEITO!$N$1788*EFEITO!$AA$1788</f>
        <v>6.5073386375369013</v>
      </c>
      <c r="M1788" s="76">
        <f>$J$1788-EFEITO!$K$1788*EFEITO!$Y$1788</f>
        <v>0</v>
      </c>
      <c r="N1788" s="76">
        <f ca="1">$K$1788-EFEITO!$M$1788*EFEITO!$Z$1788</f>
        <v>0</v>
      </c>
      <c r="O1788" s="76">
        <f>$L$1788-EFEITO!$O$1788*EFEITO!$AA$1788</f>
        <v>0</v>
      </c>
      <c r="P1788" s="57"/>
      <c r="Q1788" s="57"/>
      <c r="R1788" s="57"/>
      <c r="S1788" s="57"/>
      <c r="T1788" s="57"/>
      <c r="U1788" s="57"/>
      <c r="V1788" s="57"/>
      <c r="W1788" s="57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</row>
    <row r="1789" spans="1:36" ht="11.25" customHeight="1" x14ac:dyDescent="0.2">
      <c r="A1789" s="53" t="s">
        <v>21</v>
      </c>
      <c r="B1789" s="53" t="s">
        <v>39</v>
      </c>
      <c r="C1789" s="53" t="s">
        <v>37</v>
      </c>
      <c r="D1789" s="53" t="s">
        <v>46</v>
      </c>
      <c r="E1789" s="53" t="s">
        <v>25</v>
      </c>
      <c r="F1789" s="53" t="s">
        <v>25</v>
      </c>
      <c r="G1789" s="53" t="s">
        <v>25</v>
      </c>
      <c r="H1789" s="53" t="s">
        <v>38</v>
      </c>
      <c r="I1789" s="75">
        <v>44348</v>
      </c>
      <c r="J1789" s="76">
        <f>EFEITO!$J$1789*EFEITO!$Y$1789</f>
        <v>0</v>
      </c>
      <c r="K1789" s="76">
        <f ca="1">EFEITO!$L$1789*EFEITO!$Z$1789</f>
        <v>18.475441970347767</v>
      </c>
      <c r="L1789" s="76">
        <f>EFEITO!$N$1789*EFEITO!$AA$1789</f>
        <v>6.5073386375369013</v>
      </c>
      <c r="M1789" s="76">
        <f>$J$1789-EFEITO!$K$1789*EFEITO!$Y$1789</f>
        <v>0</v>
      </c>
      <c r="N1789" s="76">
        <f ca="1">$K$1789-EFEITO!$M$1789*EFEITO!$Z$1789</f>
        <v>0</v>
      </c>
      <c r="O1789" s="76">
        <f>$L$1789-EFEITO!$O$1789*EFEITO!$AA$1789</f>
        <v>0</v>
      </c>
      <c r="P1789" s="57"/>
      <c r="Q1789" s="57"/>
      <c r="R1789" s="57"/>
      <c r="S1789" s="57"/>
      <c r="T1789" s="57"/>
      <c r="U1789" s="57"/>
      <c r="V1789" s="57"/>
      <c r="W1789" s="57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</row>
    <row r="1790" spans="1:36" ht="11.25" customHeight="1" x14ac:dyDescent="0.2">
      <c r="A1790" s="53" t="s">
        <v>21</v>
      </c>
      <c r="B1790" s="53" t="s">
        <v>39</v>
      </c>
      <c r="C1790" s="53" t="s">
        <v>37</v>
      </c>
      <c r="D1790" s="53" t="s">
        <v>46</v>
      </c>
      <c r="E1790" s="53" t="s">
        <v>25</v>
      </c>
      <c r="F1790" s="53" t="s">
        <v>25</v>
      </c>
      <c r="G1790" s="53" t="s">
        <v>25</v>
      </c>
      <c r="H1790" s="53" t="s">
        <v>38</v>
      </c>
      <c r="I1790" s="75">
        <v>44378</v>
      </c>
      <c r="J1790" s="76">
        <f>EFEITO!$J$1790*EFEITO!$Y$1790</f>
        <v>0</v>
      </c>
      <c r="K1790" s="76">
        <f ca="1">EFEITO!$L$1790*EFEITO!$Z$1790</f>
        <v>2090.0343728955909</v>
      </c>
      <c r="L1790" s="76">
        <f>EFEITO!$N$1790*EFEITO!$AA$1790</f>
        <v>736.14268337136184</v>
      </c>
      <c r="M1790" s="76">
        <f>$J$1790-EFEITO!$K$1790*EFEITO!$Y$1790</f>
        <v>0</v>
      </c>
      <c r="N1790" s="76">
        <f ca="1">$K$1790-EFEITO!$M$1790*EFEITO!$Z$1790</f>
        <v>0</v>
      </c>
      <c r="O1790" s="76">
        <f>$L$1790-EFEITO!$O$1790*EFEITO!$AA$1790</f>
        <v>0</v>
      </c>
      <c r="P1790" s="57"/>
      <c r="Q1790" s="57"/>
      <c r="R1790" s="57"/>
      <c r="S1790" s="57"/>
      <c r="T1790" s="57"/>
      <c r="U1790" s="57"/>
      <c r="V1790" s="57"/>
      <c r="W1790" s="57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</row>
    <row r="1791" spans="1:36" ht="11.25" customHeight="1" x14ac:dyDescent="0.2">
      <c r="A1791" s="53" t="s">
        <v>21</v>
      </c>
      <c r="B1791" s="53" t="s">
        <v>39</v>
      </c>
      <c r="C1791" s="53" t="s">
        <v>37</v>
      </c>
      <c r="D1791" s="53" t="s">
        <v>46</v>
      </c>
      <c r="E1791" s="53" t="s">
        <v>25</v>
      </c>
      <c r="F1791" s="53" t="s">
        <v>25</v>
      </c>
      <c r="G1791" s="53" t="s">
        <v>25</v>
      </c>
      <c r="H1791" s="53" t="s">
        <v>38</v>
      </c>
      <c r="I1791" s="75">
        <v>44409</v>
      </c>
      <c r="J1791" s="76">
        <f>EFEITO!$J$1791*EFEITO!$Y$1791</f>
        <v>0</v>
      </c>
      <c r="K1791" s="76">
        <f ca="1">EFEITO!$L$1791*EFEITO!$Z$1791</f>
        <v>173.97707855410815</v>
      </c>
      <c r="L1791" s="76">
        <f>EFEITO!$N$1791*EFEITO!$AA$1791</f>
        <v>61.277438836805821</v>
      </c>
      <c r="M1791" s="76">
        <f>$J$1791-EFEITO!$K$1791*EFEITO!$Y$1791</f>
        <v>0</v>
      </c>
      <c r="N1791" s="76">
        <f ca="1">$K$1791-EFEITO!$M$1791*EFEITO!$Z$1791</f>
        <v>0</v>
      </c>
      <c r="O1791" s="76">
        <f>$L$1791-EFEITO!$O$1791*EFEITO!$AA$1791</f>
        <v>0</v>
      </c>
      <c r="P1791" s="57"/>
      <c r="Q1791" s="57"/>
      <c r="R1791" s="57"/>
      <c r="S1791" s="57"/>
      <c r="T1791" s="57"/>
      <c r="U1791" s="57"/>
      <c r="V1791" s="57"/>
      <c r="W1791" s="57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</row>
    <row r="1792" spans="1:36" ht="11.25" customHeight="1" x14ac:dyDescent="0.2">
      <c r="A1792" s="53" t="s">
        <v>21</v>
      </c>
      <c r="B1792" s="53" t="s">
        <v>39</v>
      </c>
      <c r="C1792" s="53" t="s">
        <v>37</v>
      </c>
      <c r="D1792" s="53" t="s">
        <v>46</v>
      </c>
      <c r="E1792" s="53" t="s">
        <v>25</v>
      </c>
      <c r="F1792" s="53" t="s">
        <v>25</v>
      </c>
      <c r="G1792" s="53" t="s">
        <v>25</v>
      </c>
      <c r="H1792" s="53" t="s">
        <v>38</v>
      </c>
      <c r="I1792" s="75">
        <v>44440</v>
      </c>
      <c r="J1792" s="76">
        <f>EFEITO!$J$1792*EFEITO!$Y$1792</f>
        <v>0</v>
      </c>
      <c r="K1792" s="76">
        <f ca="1">EFEITO!$L$1792*EFEITO!$Z$1792</f>
        <v>193.99214068865155</v>
      </c>
      <c r="L1792" s="76">
        <f>EFEITO!$N$1792*EFEITO!$AA$1792</f>
        <v>68.327055694137456</v>
      </c>
      <c r="M1792" s="76">
        <f>$J$1792-EFEITO!$K$1792*EFEITO!$Y$1792</f>
        <v>0</v>
      </c>
      <c r="N1792" s="76">
        <f ca="1">$K$1792-EFEITO!$M$1792*EFEITO!$Z$1792</f>
        <v>0</v>
      </c>
      <c r="O1792" s="76">
        <f>$L$1792-EFEITO!$O$1792*EFEITO!$AA$1792</f>
        <v>0</v>
      </c>
      <c r="P1792" s="57"/>
      <c r="Q1792" s="57"/>
      <c r="R1792" s="57"/>
      <c r="S1792" s="57"/>
      <c r="T1792" s="57"/>
      <c r="U1792" s="57"/>
      <c r="V1792" s="57"/>
      <c r="W1792" s="57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</row>
    <row r="1793" spans="1:36" ht="11.25" customHeight="1" x14ac:dyDescent="0.2">
      <c r="A1793" s="53" t="s">
        <v>21</v>
      </c>
      <c r="B1793" s="53" t="s">
        <v>39</v>
      </c>
      <c r="C1793" s="53" t="s">
        <v>37</v>
      </c>
      <c r="D1793" s="53" t="s">
        <v>46</v>
      </c>
      <c r="E1793" s="53" t="s">
        <v>25</v>
      </c>
      <c r="F1793" s="53" t="s">
        <v>25</v>
      </c>
      <c r="G1793" s="53" t="s">
        <v>25</v>
      </c>
      <c r="H1793" s="53" t="s">
        <v>38</v>
      </c>
      <c r="I1793" s="75">
        <v>44470</v>
      </c>
      <c r="J1793" s="76">
        <f>EFEITO!$J$1793*EFEITO!$Y$1793</f>
        <v>0</v>
      </c>
      <c r="K1793" s="76">
        <f ca="1">EFEITO!$L$1793*EFEITO!$Z$1793</f>
        <v>439.56155687785724</v>
      </c>
      <c r="L1793" s="76">
        <f>EFEITO!$N$1793*EFEITO!$AA$1793</f>
        <v>154.82043175139876</v>
      </c>
      <c r="M1793" s="76">
        <f>$J$1793-EFEITO!$K$1793*EFEITO!$Y$1793</f>
        <v>0</v>
      </c>
      <c r="N1793" s="76">
        <f ca="1">$K$1793-EFEITO!$M$1793*EFEITO!$Z$1793</f>
        <v>0</v>
      </c>
      <c r="O1793" s="76">
        <f>$L$1793-EFEITO!$O$1793*EFEITO!$AA$1793</f>
        <v>0</v>
      </c>
      <c r="P1793" s="57"/>
      <c r="Q1793" s="57"/>
      <c r="R1793" s="57"/>
      <c r="S1793" s="57"/>
      <c r="T1793" s="57"/>
      <c r="U1793" s="57"/>
      <c r="V1793" s="57"/>
      <c r="W1793" s="57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</row>
    <row r="1794" spans="1:36" ht="11.25" customHeight="1" x14ac:dyDescent="0.2">
      <c r="A1794" s="53" t="s">
        <v>21</v>
      </c>
      <c r="B1794" s="53" t="s">
        <v>39</v>
      </c>
      <c r="C1794" s="53" t="s">
        <v>37</v>
      </c>
      <c r="D1794" s="53" t="s">
        <v>46</v>
      </c>
      <c r="E1794" s="53" t="s">
        <v>25</v>
      </c>
      <c r="F1794" s="53" t="s">
        <v>25</v>
      </c>
      <c r="G1794" s="53" t="s">
        <v>25</v>
      </c>
      <c r="H1794" s="53" t="s">
        <v>38</v>
      </c>
      <c r="I1794" s="75">
        <v>44501</v>
      </c>
      <c r="J1794" s="76">
        <f>EFEITO!$J$1794*EFEITO!$Y$1794</f>
        <v>0</v>
      </c>
      <c r="K1794" s="76">
        <f ca="1">EFEITO!$L$1794*EFEITO!$Z$1794</f>
        <v>354.88244784709673</v>
      </c>
      <c r="L1794" s="76">
        <f>EFEITO!$N$1794*EFEITO!$AA$1794</f>
        <v>124.99512966268797</v>
      </c>
      <c r="M1794" s="76">
        <f>$J$1794-EFEITO!$K$1794*EFEITO!$Y$1794</f>
        <v>0</v>
      </c>
      <c r="N1794" s="76">
        <f ca="1">$K$1794-EFEITO!$M$1794*EFEITO!$Z$1794</f>
        <v>0</v>
      </c>
      <c r="O1794" s="76">
        <f>$L$1794-EFEITO!$O$1794*EFEITO!$AA$1794</f>
        <v>0</v>
      </c>
      <c r="P1794" s="57"/>
      <c r="Q1794" s="57"/>
      <c r="R1794" s="57"/>
      <c r="S1794" s="57"/>
      <c r="T1794" s="57"/>
      <c r="U1794" s="57"/>
      <c r="V1794" s="57"/>
      <c r="W1794" s="57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</row>
    <row r="1795" spans="1:36" ht="11.25" customHeight="1" x14ac:dyDescent="0.2">
      <c r="A1795" s="53" t="s">
        <v>21</v>
      </c>
      <c r="B1795" s="53" t="s">
        <v>39</v>
      </c>
      <c r="C1795" s="53" t="s">
        <v>37</v>
      </c>
      <c r="D1795" s="53" t="s">
        <v>46</v>
      </c>
      <c r="E1795" s="53" t="s">
        <v>25</v>
      </c>
      <c r="F1795" s="53" t="s">
        <v>25</v>
      </c>
      <c r="G1795" s="53" t="s">
        <v>25</v>
      </c>
      <c r="H1795" s="53" t="s">
        <v>38</v>
      </c>
      <c r="I1795" s="75">
        <v>44531</v>
      </c>
      <c r="J1795" s="76">
        <f>EFEITO!$J$1795*EFEITO!$Y$1795</f>
        <v>0</v>
      </c>
      <c r="K1795" s="76">
        <f ca="1">EFEITO!$L$1795*EFEITO!$Z$1795</f>
        <v>1142.3981618331702</v>
      </c>
      <c r="L1795" s="76">
        <f>EFEITO!$N$1795*EFEITO!$AA$1795</f>
        <v>402.37043908769834</v>
      </c>
      <c r="M1795" s="76">
        <f>$J$1795-EFEITO!$K$1795*EFEITO!$Y$1795</f>
        <v>0</v>
      </c>
      <c r="N1795" s="76">
        <f ca="1">$K$1795-EFEITO!$M$1795*EFEITO!$Z$1795</f>
        <v>0</v>
      </c>
      <c r="O1795" s="76">
        <f>$L$1795-EFEITO!$O$1795*EFEITO!$AA$1795</f>
        <v>0</v>
      </c>
      <c r="P1795" s="57"/>
      <c r="Q1795" s="57"/>
      <c r="R1795" s="57"/>
      <c r="S1795" s="57"/>
      <c r="T1795" s="57"/>
      <c r="U1795" s="57"/>
      <c r="V1795" s="57"/>
      <c r="W1795" s="57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</row>
    <row r="1796" spans="1:36" ht="11.25" customHeight="1" x14ac:dyDescent="0.2">
      <c r="A1796" s="53" t="s">
        <v>21</v>
      </c>
      <c r="B1796" s="53" t="s">
        <v>39</v>
      </c>
      <c r="C1796" s="53" t="s">
        <v>37</v>
      </c>
      <c r="D1796" s="53" t="s">
        <v>46</v>
      </c>
      <c r="E1796" s="53" t="s">
        <v>25</v>
      </c>
      <c r="F1796" s="53" t="s">
        <v>25</v>
      </c>
      <c r="G1796" s="53" t="s">
        <v>25</v>
      </c>
      <c r="H1796" s="53" t="s">
        <v>38</v>
      </c>
      <c r="I1796" s="75">
        <v>44562</v>
      </c>
      <c r="J1796" s="76">
        <f>EFEITO!$J$1796*EFEITO!$Y$1796</f>
        <v>0</v>
      </c>
      <c r="K1796" s="76">
        <f ca="1">EFEITO!$L$1796*EFEITO!$Z$1796</f>
        <v>846.02128022550812</v>
      </c>
      <c r="L1796" s="76">
        <f>EFEITO!$N$1796*EFEITO!$AA$1796</f>
        <v>297.98188177721056</v>
      </c>
      <c r="M1796" s="76">
        <f>$J$1796-EFEITO!$K$1796*EFEITO!$Y$1796</f>
        <v>0</v>
      </c>
      <c r="N1796" s="76">
        <f ca="1">$K$1796-EFEITO!$M$1796*EFEITO!$Z$1796</f>
        <v>0</v>
      </c>
      <c r="O1796" s="76">
        <f>$L$1796-EFEITO!$O$1796*EFEITO!$AA$1796</f>
        <v>0</v>
      </c>
      <c r="P1796" s="57"/>
      <c r="Q1796" s="57"/>
      <c r="R1796" s="57"/>
      <c r="S1796" s="57"/>
      <c r="T1796" s="57"/>
      <c r="U1796" s="57"/>
      <c r="V1796" s="57"/>
      <c r="W1796" s="57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</row>
    <row r="1797" spans="1:36" ht="11.25" customHeight="1" x14ac:dyDescent="0.2">
      <c r="A1797" s="53" t="s">
        <v>27</v>
      </c>
      <c r="B1797" s="53" t="s">
        <v>39</v>
      </c>
      <c r="C1797" s="53" t="s">
        <v>37</v>
      </c>
      <c r="D1797" s="53" t="s">
        <v>46</v>
      </c>
      <c r="E1797" s="53" t="s">
        <v>25</v>
      </c>
      <c r="F1797" s="53" t="s">
        <v>25</v>
      </c>
      <c r="G1797" s="53" t="s">
        <v>25</v>
      </c>
      <c r="H1797" s="53" t="s">
        <v>38</v>
      </c>
      <c r="I1797" s="75">
        <v>44562</v>
      </c>
      <c r="J1797" s="76">
        <f>EFEITO!$J$1797*EFEITO!$Y$1797</f>
        <v>0</v>
      </c>
      <c r="K1797" s="76">
        <f ca="1">EFEITO!$L$1797*EFEITO!$Z$1797</f>
        <v>-2045.3853881339173</v>
      </c>
      <c r="L1797" s="76">
        <f>EFEITO!$N$1797*EFEITO!$AA$1797</f>
        <v>-720.41661499731447</v>
      </c>
      <c r="M1797" s="76">
        <f>$J$1797-EFEITO!$K$1797*EFEITO!$Y$1797</f>
        <v>0</v>
      </c>
      <c r="N1797" s="76">
        <f ca="1">$K$1797-EFEITO!$M$1797*EFEITO!$Z$1797</f>
        <v>0</v>
      </c>
      <c r="O1797" s="76">
        <f>$L$1797-EFEITO!$O$1797*EFEITO!$AA$1797</f>
        <v>0</v>
      </c>
      <c r="P1797" s="57"/>
      <c r="Q1797" s="57"/>
      <c r="R1797" s="57"/>
      <c r="S1797" s="57"/>
      <c r="T1797" s="57"/>
      <c r="U1797" s="57"/>
      <c r="V1797" s="57"/>
      <c r="W1797" s="57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</row>
    <row r="1798" spans="1:36" ht="11.25" customHeight="1" x14ac:dyDescent="0.2">
      <c r="A1798" s="53" t="s">
        <v>21</v>
      </c>
      <c r="B1798" s="53" t="s">
        <v>39</v>
      </c>
      <c r="C1798" s="53" t="s">
        <v>37</v>
      </c>
      <c r="D1798" s="53" t="s">
        <v>46</v>
      </c>
      <c r="E1798" s="53" t="s">
        <v>25</v>
      </c>
      <c r="F1798" s="53" t="s">
        <v>25</v>
      </c>
      <c r="G1798" s="53" t="s">
        <v>25</v>
      </c>
      <c r="H1798" s="53" t="s">
        <v>38</v>
      </c>
      <c r="I1798" s="75">
        <v>44593</v>
      </c>
      <c r="J1798" s="76">
        <f>EFEITO!$J$1798*EFEITO!$Y$1798</f>
        <v>0</v>
      </c>
      <c r="K1798" s="76">
        <f ca="1">EFEITO!$L$1798*EFEITO!$Z$1798</f>
        <v>1468.7976366426474</v>
      </c>
      <c r="L1798" s="76">
        <f>EFEITO!$N$1798*EFEITO!$AA$1798</f>
        <v>517.33342168418358</v>
      </c>
      <c r="M1798" s="76">
        <f>$J$1798-EFEITO!$K$1798*EFEITO!$Y$1798</f>
        <v>0</v>
      </c>
      <c r="N1798" s="76">
        <f ca="1">$K$1798-EFEITO!$M$1798*EFEITO!$Z$1798</f>
        <v>0</v>
      </c>
      <c r="O1798" s="76">
        <f>$L$1798-EFEITO!$O$1798*EFEITO!$AA$1798</f>
        <v>0</v>
      </c>
      <c r="P1798" s="57"/>
      <c r="Q1798" s="57"/>
      <c r="R1798" s="57"/>
      <c r="S1798" s="57"/>
      <c r="T1798" s="57"/>
      <c r="U1798" s="57"/>
      <c r="V1798" s="57"/>
      <c r="W1798" s="57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</row>
    <row r="1799" spans="1:36" ht="11.25" customHeight="1" x14ac:dyDescent="0.2">
      <c r="A1799" s="53" t="s">
        <v>21</v>
      </c>
      <c r="B1799" s="53" t="s">
        <v>39</v>
      </c>
      <c r="C1799" s="53" t="s">
        <v>37</v>
      </c>
      <c r="D1799" s="53" t="s">
        <v>46</v>
      </c>
      <c r="E1799" s="53" t="s">
        <v>25</v>
      </c>
      <c r="F1799" s="53" t="s">
        <v>25</v>
      </c>
      <c r="G1799" s="53" t="s">
        <v>25</v>
      </c>
      <c r="H1799" s="53" t="s">
        <v>38</v>
      </c>
      <c r="I1799" s="75">
        <v>44621</v>
      </c>
      <c r="J1799" s="76">
        <f>EFEITO!$J$1799*EFEITO!$Y$1799</f>
        <v>0</v>
      </c>
      <c r="K1799" s="76">
        <f ca="1">EFEITO!$L$1799*EFEITO!$Z$1799</f>
        <v>1587.3483892857121</v>
      </c>
      <c r="L1799" s="76">
        <f>EFEITO!$N$1799*EFEITO!$AA$1799</f>
        <v>559.08884460837874</v>
      </c>
      <c r="M1799" s="76">
        <f>$J$1799-EFEITO!$K$1799*EFEITO!$Y$1799</f>
        <v>0</v>
      </c>
      <c r="N1799" s="76">
        <f ca="1">$K$1799-EFEITO!$M$1799*EFEITO!$Z$1799</f>
        <v>0</v>
      </c>
      <c r="O1799" s="76">
        <f>$L$1799-EFEITO!$O$1799*EFEITO!$AA$1799</f>
        <v>0</v>
      </c>
      <c r="P1799" s="57"/>
      <c r="Q1799" s="57"/>
      <c r="R1799" s="57"/>
      <c r="S1799" s="57"/>
      <c r="T1799" s="57"/>
      <c r="U1799" s="57"/>
      <c r="V1799" s="57"/>
      <c r="W1799" s="57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</row>
    <row r="1800" spans="1:36" ht="11.25" customHeight="1" x14ac:dyDescent="0.2">
      <c r="A1800" s="53" t="s">
        <v>56</v>
      </c>
      <c r="B1800" s="53" t="s">
        <v>39</v>
      </c>
      <c r="C1800" s="53" t="s">
        <v>37</v>
      </c>
      <c r="D1800" s="53" t="s">
        <v>46</v>
      </c>
      <c r="E1800" s="53" t="s">
        <v>25</v>
      </c>
      <c r="F1800" s="53" t="s">
        <v>25</v>
      </c>
      <c r="G1800" s="53" t="s">
        <v>25</v>
      </c>
      <c r="H1800" s="53" t="s">
        <v>38</v>
      </c>
      <c r="I1800" s="75">
        <v>44652</v>
      </c>
      <c r="J1800" s="76">
        <f>EFEITO!$J$1800*EFEITO!$Y$1800</f>
        <v>0</v>
      </c>
      <c r="K1800" s="76">
        <f ca="1">EFEITO!$L$1800*EFEITO!$Z$1800</f>
        <v>1587.3483892857121</v>
      </c>
      <c r="L1800" s="76">
        <f>EFEITO!$N$1800*EFEITO!$AA$1800</f>
        <v>559.08884460837874</v>
      </c>
      <c r="M1800" s="76">
        <f>$J$1800-EFEITO!$K$1800*EFEITO!$Y$1800</f>
        <v>0</v>
      </c>
      <c r="N1800" s="76">
        <f ca="1">$K$1800-EFEITO!$M$1800*EFEITO!$Z$1800</f>
        <v>0</v>
      </c>
      <c r="O1800" s="76">
        <f>$L$1800-EFEITO!$O$1800*EFEITO!$AA$1800</f>
        <v>0</v>
      </c>
      <c r="P1800" s="57"/>
      <c r="Q1800" s="57"/>
      <c r="R1800" s="57"/>
      <c r="S1800" s="57"/>
      <c r="T1800" s="57"/>
      <c r="U1800" s="57"/>
      <c r="V1800" s="57"/>
      <c r="W1800" s="57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</row>
    <row r="1801" spans="1:36" ht="11.25" customHeight="1" x14ac:dyDescent="0.2">
      <c r="A1801" s="53" t="s">
        <v>21</v>
      </c>
      <c r="B1801" s="53" t="s">
        <v>39</v>
      </c>
      <c r="C1801" s="53" t="s">
        <v>37</v>
      </c>
      <c r="D1801" s="53" t="s">
        <v>46</v>
      </c>
      <c r="E1801" s="53" t="s">
        <v>25</v>
      </c>
      <c r="F1801" s="53" t="s">
        <v>25</v>
      </c>
      <c r="G1801" s="53" t="s">
        <v>25</v>
      </c>
      <c r="H1801" s="53" t="s">
        <v>35</v>
      </c>
      <c r="I1801" s="75">
        <v>44317</v>
      </c>
      <c r="J1801" s="76">
        <f>EFEITO!$J$1801*EFEITO!$Y$1801</f>
        <v>0</v>
      </c>
      <c r="K1801" s="76">
        <f ca="1">EFEITO!$L$1801*EFEITO!$Z$1801</f>
        <v>41.236606312515761</v>
      </c>
      <c r="L1801" s="76">
        <f>EFEITO!$N$1801*EFEITO!$AA$1801</f>
        <v>14.836378376894848</v>
      </c>
      <c r="M1801" s="76">
        <f>$J$1801-EFEITO!$K$1801*EFEITO!$Y$1801</f>
        <v>0</v>
      </c>
      <c r="N1801" s="76">
        <f ca="1">$K$1801-EFEITO!$M$1801*EFEITO!$Z$1801</f>
        <v>0</v>
      </c>
      <c r="O1801" s="76">
        <f>$L$1801-EFEITO!$O$1801*EFEITO!$AA$1801</f>
        <v>0</v>
      </c>
      <c r="P1801" s="57"/>
      <c r="Q1801" s="57"/>
      <c r="R1801" s="57"/>
      <c r="S1801" s="57"/>
      <c r="T1801" s="57"/>
      <c r="U1801" s="57"/>
      <c r="V1801" s="57"/>
      <c r="W1801" s="57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</row>
    <row r="1802" spans="1:36" ht="11.25" customHeight="1" x14ac:dyDescent="0.2">
      <c r="A1802" s="53" t="s">
        <v>21</v>
      </c>
      <c r="B1802" s="53" t="s">
        <v>39</v>
      </c>
      <c r="C1802" s="53" t="s">
        <v>37</v>
      </c>
      <c r="D1802" s="53" t="s">
        <v>46</v>
      </c>
      <c r="E1802" s="53" t="s">
        <v>25</v>
      </c>
      <c r="F1802" s="53" t="s">
        <v>25</v>
      </c>
      <c r="G1802" s="53" t="s">
        <v>25</v>
      </c>
      <c r="H1802" s="53" t="s">
        <v>35</v>
      </c>
      <c r="I1802" s="75">
        <v>44348</v>
      </c>
      <c r="J1802" s="76">
        <f>EFEITO!$J$1802*EFEITO!$Y$1802</f>
        <v>0</v>
      </c>
      <c r="K1802" s="76">
        <f ca="1">EFEITO!$L$1802*EFEITO!$Z$1802</f>
        <v>44.771172567874245</v>
      </c>
      <c r="L1802" s="76">
        <f>EFEITO!$N$1802*EFEITO!$AA$1802</f>
        <v>16.108067952057262</v>
      </c>
      <c r="M1802" s="76">
        <f>$J$1802-EFEITO!$K$1802*EFEITO!$Y$1802</f>
        <v>0</v>
      </c>
      <c r="N1802" s="76">
        <f ca="1">$K$1802-EFEITO!$M$1802*EFEITO!$Z$1802</f>
        <v>0</v>
      </c>
      <c r="O1802" s="76">
        <f>$L$1802-EFEITO!$O$1802*EFEITO!$AA$1802</f>
        <v>0</v>
      </c>
      <c r="P1802" s="57"/>
      <c r="Q1802" s="57"/>
      <c r="R1802" s="57"/>
      <c r="S1802" s="57"/>
      <c r="T1802" s="57"/>
      <c r="U1802" s="57"/>
      <c r="V1802" s="57"/>
      <c r="W1802" s="57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</row>
    <row r="1803" spans="1:36" ht="11.25" customHeight="1" x14ac:dyDescent="0.2">
      <c r="A1803" s="53" t="s">
        <v>21</v>
      </c>
      <c r="B1803" s="53" t="s">
        <v>39</v>
      </c>
      <c r="C1803" s="53" t="s">
        <v>37</v>
      </c>
      <c r="D1803" s="53" t="s">
        <v>46</v>
      </c>
      <c r="E1803" s="53" t="s">
        <v>25</v>
      </c>
      <c r="F1803" s="53" t="s">
        <v>25</v>
      </c>
      <c r="G1803" s="53" t="s">
        <v>25</v>
      </c>
      <c r="H1803" s="53" t="s">
        <v>35</v>
      </c>
      <c r="I1803" s="75">
        <v>44378</v>
      </c>
      <c r="J1803" s="76">
        <f>EFEITO!$J$1803*EFEITO!$Y$1803</f>
        <v>0</v>
      </c>
      <c r="K1803" s="76">
        <f ca="1">EFEITO!$L$1803*EFEITO!$Z$1803</f>
        <v>65.978570100025209</v>
      </c>
      <c r="L1803" s="76">
        <f>EFEITO!$N$1803*EFEITO!$AA$1803</f>
        <v>23.738205403031756</v>
      </c>
      <c r="M1803" s="76">
        <f>$J$1803-EFEITO!$K$1803*EFEITO!$Y$1803</f>
        <v>0</v>
      </c>
      <c r="N1803" s="76">
        <f ca="1">$K$1803-EFEITO!$M$1803*EFEITO!$Z$1803</f>
        <v>0</v>
      </c>
      <c r="O1803" s="76">
        <f>$L$1803-EFEITO!$O$1803*EFEITO!$AA$1803</f>
        <v>0</v>
      </c>
      <c r="P1803" s="57"/>
      <c r="Q1803" s="57"/>
      <c r="R1803" s="57"/>
      <c r="S1803" s="57"/>
      <c r="T1803" s="57"/>
      <c r="U1803" s="57"/>
      <c r="V1803" s="57"/>
      <c r="W1803" s="57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</row>
    <row r="1804" spans="1:36" ht="11.25" customHeight="1" x14ac:dyDescent="0.2">
      <c r="A1804" s="53" t="s">
        <v>21</v>
      </c>
      <c r="B1804" s="53" t="s">
        <v>39</v>
      </c>
      <c r="C1804" s="53" t="s">
        <v>37</v>
      </c>
      <c r="D1804" s="53" t="s">
        <v>46</v>
      </c>
      <c r="E1804" s="53" t="s">
        <v>25</v>
      </c>
      <c r="F1804" s="53" t="s">
        <v>25</v>
      </c>
      <c r="G1804" s="53" t="s">
        <v>25</v>
      </c>
      <c r="H1804" s="53" t="s">
        <v>35</v>
      </c>
      <c r="I1804" s="75">
        <v>44409</v>
      </c>
      <c r="J1804" s="76">
        <f>EFEITO!$J$1804*EFEITO!$Y$1804</f>
        <v>0</v>
      </c>
      <c r="K1804" s="76">
        <f ca="1">EFEITO!$L$1804*EFEITO!$Z$1804</f>
        <v>179.08469027149698</v>
      </c>
      <c r="L1804" s="76">
        <f>EFEITO!$N$1804*EFEITO!$AA$1804</f>
        <v>64.432271808229046</v>
      </c>
      <c r="M1804" s="76">
        <f>$J$1804-EFEITO!$K$1804*EFEITO!$Y$1804</f>
        <v>0</v>
      </c>
      <c r="N1804" s="76">
        <f ca="1">$K$1804-EFEITO!$M$1804*EFEITO!$Z$1804</f>
        <v>0</v>
      </c>
      <c r="O1804" s="76">
        <f>$L$1804-EFEITO!$O$1804*EFEITO!$AA$1804</f>
        <v>0</v>
      </c>
      <c r="P1804" s="57"/>
      <c r="Q1804" s="57"/>
      <c r="R1804" s="57"/>
      <c r="S1804" s="57"/>
      <c r="T1804" s="57"/>
      <c r="U1804" s="57"/>
      <c r="V1804" s="57"/>
      <c r="W1804" s="57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</row>
    <row r="1805" spans="1:36" ht="11.25" customHeight="1" x14ac:dyDescent="0.2">
      <c r="A1805" s="53" t="s">
        <v>21</v>
      </c>
      <c r="B1805" s="53" t="s">
        <v>39</v>
      </c>
      <c r="C1805" s="53" t="s">
        <v>37</v>
      </c>
      <c r="D1805" s="53" t="s">
        <v>46</v>
      </c>
      <c r="E1805" s="53" t="s">
        <v>25</v>
      </c>
      <c r="F1805" s="53" t="s">
        <v>25</v>
      </c>
      <c r="G1805" s="53" t="s">
        <v>25</v>
      </c>
      <c r="H1805" s="53" t="s">
        <v>35</v>
      </c>
      <c r="I1805" s="75">
        <v>44440</v>
      </c>
      <c r="J1805" s="76">
        <f>EFEITO!$J$1805*EFEITO!$Y$1805</f>
        <v>0</v>
      </c>
      <c r="K1805" s="76">
        <f ca="1">EFEITO!$L$1805*EFEITO!$Z$1805</f>
        <v>216.78673032865424</v>
      </c>
      <c r="L1805" s="76">
        <f>EFEITO!$N$1805*EFEITO!$AA$1805</f>
        <v>77.996960609961477</v>
      </c>
      <c r="M1805" s="76">
        <f>$J$1805-EFEITO!$K$1805*EFEITO!$Y$1805</f>
        <v>0</v>
      </c>
      <c r="N1805" s="76">
        <f ca="1">$K$1805-EFEITO!$M$1805*EFEITO!$Z$1805</f>
        <v>0</v>
      </c>
      <c r="O1805" s="76">
        <f>$L$1805-EFEITO!$O$1805*EFEITO!$AA$1805</f>
        <v>0</v>
      </c>
      <c r="P1805" s="57"/>
      <c r="Q1805" s="57"/>
      <c r="R1805" s="57"/>
      <c r="S1805" s="57"/>
      <c r="T1805" s="57"/>
      <c r="U1805" s="57"/>
      <c r="V1805" s="57"/>
      <c r="W1805" s="57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</row>
    <row r="1806" spans="1:36" ht="11.25" customHeight="1" x14ac:dyDescent="0.2">
      <c r="A1806" s="53" t="s">
        <v>21</v>
      </c>
      <c r="B1806" s="53" t="s">
        <v>39</v>
      </c>
      <c r="C1806" s="53" t="s">
        <v>37</v>
      </c>
      <c r="D1806" s="53" t="s">
        <v>46</v>
      </c>
      <c r="E1806" s="53" t="s">
        <v>25</v>
      </c>
      <c r="F1806" s="53" t="s">
        <v>25</v>
      </c>
      <c r="G1806" s="53" t="s">
        <v>25</v>
      </c>
      <c r="H1806" s="53" t="s">
        <v>35</v>
      </c>
      <c r="I1806" s="75">
        <v>44470</v>
      </c>
      <c r="J1806" s="76">
        <f>EFEITO!$J$1806*EFEITO!$Y$1806</f>
        <v>0</v>
      </c>
      <c r="K1806" s="76">
        <f ca="1">EFEITO!$L$1806*EFEITO!$Z$1806</f>
        <v>338.14017176262917</v>
      </c>
      <c r="L1806" s="76">
        <f>EFEITO!$N$1806*EFEITO!$AA$1806</f>
        <v>121.65830269053772</v>
      </c>
      <c r="M1806" s="76">
        <f>$J$1806-EFEITO!$K$1806*EFEITO!$Y$1806</f>
        <v>0</v>
      </c>
      <c r="N1806" s="76">
        <f ca="1">$K$1806-EFEITO!$M$1806*EFEITO!$Z$1806</f>
        <v>0</v>
      </c>
      <c r="O1806" s="76">
        <f>$L$1806-EFEITO!$O$1806*EFEITO!$AA$1806</f>
        <v>0</v>
      </c>
      <c r="P1806" s="57"/>
      <c r="Q1806" s="57"/>
      <c r="R1806" s="57"/>
      <c r="S1806" s="57"/>
      <c r="T1806" s="57"/>
      <c r="U1806" s="57"/>
      <c r="V1806" s="57"/>
      <c r="W1806" s="57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</row>
    <row r="1807" spans="1:36" ht="11.25" customHeight="1" x14ac:dyDescent="0.2">
      <c r="A1807" s="53" t="s">
        <v>21</v>
      </c>
      <c r="B1807" s="53" t="s">
        <v>39</v>
      </c>
      <c r="C1807" s="53" t="s">
        <v>37</v>
      </c>
      <c r="D1807" s="53" t="s">
        <v>46</v>
      </c>
      <c r="E1807" s="53" t="s">
        <v>25</v>
      </c>
      <c r="F1807" s="53" t="s">
        <v>25</v>
      </c>
      <c r="G1807" s="53" t="s">
        <v>25</v>
      </c>
      <c r="H1807" s="53" t="s">
        <v>35</v>
      </c>
      <c r="I1807" s="75">
        <v>44501</v>
      </c>
      <c r="J1807" s="76">
        <f>EFEITO!$J$1807*EFEITO!$Y$1807</f>
        <v>0</v>
      </c>
      <c r="K1807" s="76">
        <f ca="1">EFEITO!$L$1807*EFEITO!$Z$1807</f>
        <v>281.5871116768933</v>
      </c>
      <c r="L1807" s="76">
        <f>EFEITO!$N$1807*EFEITO!$AA$1807</f>
        <v>101.31126948793909</v>
      </c>
      <c r="M1807" s="76">
        <f>$J$1807-EFEITO!$K$1807*EFEITO!$Y$1807</f>
        <v>0</v>
      </c>
      <c r="N1807" s="76">
        <f ca="1">$K$1807-EFEITO!$M$1807*EFEITO!$Z$1807</f>
        <v>0</v>
      </c>
      <c r="O1807" s="76">
        <f>$L$1807-EFEITO!$O$1807*EFEITO!$AA$1807</f>
        <v>0</v>
      </c>
      <c r="P1807" s="57"/>
      <c r="Q1807" s="57"/>
      <c r="R1807" s="57"/>
      <c r="S1807" s="57"/>
      <c r="T1807" s="57"/>
      <c r="U1807" s="57"/>
      <c r="V1807" s="57"/>
      <c r="W1807" s="57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</row>
    <row r="1808" spans="1:36" ht="11.25" customHeight="1" x14ac:dyDescent="0.2">
      <c r="A1808" s="53" t="s">
        <v>21</v>
      </c>
      <c r="B1808" s="53" t="s">
        <v>39</v>
      </c>
      <c r="C1808" s="53" t="s">
        <v>37</v>
      </c>
      <c r="D1808" s="53" t="s">
        <v>46</v>
      </c>
      <c r="E1808" s="53" t="s">
        <v>25</v>
      </c>
      <c r="F1808" s="53" t="s">
        <v>25</v>
      </c>
      <c r="G1808" s="53" t="s">
        <v>25</v>
      </c>
      <c r="H1808" s="53" t="s">
        <v>35</v>
      </c>
      <c r="I1808" s="75">
        <v>44531</v>
      </c>
      <c r="J1808" s="76">
        <f>EFEITO!$J$1808*EFEITO!$Y$1808</f>
        <v>0</v>
      </c>
      <c r="K1808" s="76">
        <f ca="1">EFEITO!$L$1808*EFEITO!$Z$1808</f>
        <v>1472.7359397327054</v>
      </c>
      <c r="L1808" s="76">
        <f>EFEITO!$N$1808*EFEITO!$AA$1808</f>
        <v>529.87065631767314</v>
      </c>
      <c r="M1808" s="76">
        <f>$J$1808-EFEITO!$K$1808*EFEITO!$Y$1808</f>
        <v>0</v>
      </c>
      <c r="N1808" s="76">
        <f ca="1">$K$1808-EFEITO!$M$1808*EFEITO!$Z$1808</f>
        <v>0</v>
      </c>
      <c r="O1808" s="76">
        <f>$L$1808-EFEITO!$O$1808*EFEITO!$AA$1808</f>
        <v>0</v>
      </c>
      <c r="P1808" s="57"/>
      <c r="Q1808" s="57"/>
      <c r="R1808" s="57"/>
      <c r="S1808" s="57"/>
      <c r="T1808" s="57"/>
      <c r="U1808" s="57"/>
      <c r="V1808" s="57"/>
      <c r="W1808" s="57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</row>
    <row r="1809" spans="1:36" ht="11.25" customHeight="1" x14ac:dyDescent="0.2">
      <c r="A1809" s="53" t="s">
        <v>21</v>
      </c>
      <c r="B1809" s="53" t="s">
        <v>39</v>
      </c>
      <c r="C1809" s="53" t="s">
        <v>37</v>
      </c>
      <c r="D1809" s="53" t="s">
        <v>46</v>
      </c>
      <c r="E1809" s="53" t="s">
        <v>25</v>
      </c>
      <c r="F1809" s="53" t="s">
        <v>25</v>
      </c>
      <c r="G1809" s="53" t="s">
        <v>25</v>
      </c>
      <c r="H1809" s="53" t="s">
        <v>35</v>
      </c>
      <c r="I1809" s="75">
        <v>44562</v>
      </c>
      <c r="J1809" s="76">
        <f>EFEITO!$J$1809*EFEITO!$Y$1809</f>
        <v>0</v>
      </c>
      <c r="K1809" s="76">
        <f ca="1">EFEITO!$L$1809*EFEITO!$Z$1809</f>
        <v>2238.5586283937123</v>
      </c>
      <c r="L1809" s="76">
        <f>EFEITO!$N$1809*EFEITO!$AA$1809</f>
        <v>805.40339760286304</v>
      </c>
      <c r="M1809" s="76">
        <f>$J$1809-EFEITO!$K$1809*EFEITO!$Y$1809</f>
        <v>0</v>
      </c>
      <c r="N1809" s="76">
        <f ca="1">$K$1809-EFEITO!$M$1809*EFEITO!$Z$1809</f>
        <v>0</v>
      </c>
      <c r="O1809" s="76">
        <f>$L$1809-EFEITO!$O$1809*EFEITO!$AA$1809</f>
        <v>0</v>
      </c>
      <c r="P1809" s="57"/>
      <c r="Q1809" s="57"/>
      <c r="R1809" s="57"/>
      <c r="S1809" s="57"/>
      <c r="T1809" s="57"/>
      <c r="U1809" s="57"/>
      <c r="V1809" s="57"/>
      <c r="W1809" s="57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</row>
    <row r="1810" spans="1:36" ht="11.25" customHeight="1" x14ac:dyDescent="0.2">
      <c r="A1810" s="53" t="s">
        <v>21</v>
      </c>
      <c r="B1810" s="53" t="s">
        <v>39</v>
      </c>
      <c r="C1810" s="53" t="s">
        <v>37</v>
      </c>
      <c r="D1810" s="53" t="s">
        <v>46</v>
      </c>
      <c r="E1810" s="53" t="s">
        <v>25</v>
      </c>
      <c r="F1810" s="53" t="s">
        <v>25</v>
      </c>
      <c r="G1810" s="53" t="s">
        <v>25</v>
      </c>
      <c r="H1810" s="53" t="s">
        <v>35</v>
      </c>
      <c r="I1810" s="75">
        <v>44593</v>
      </c>
      <c r="J1810" s="76">
        <f>EFEITO!$J$1810*EFEITO!$Y$1810</f>
        <v>0</v>
      </c>
      <c r="K1810" s="76">
        <f ca="1">EFEITO!$L$1810*EFEITO!$Z$1810</f>
        <v>1445.6375984416238</v>
      </c>
      <c r="L1810" s="76">
        <f>EFEITO!$N$1810*EFEITO!$AA$1810</f>
        <v>520.12103624142799</v>
      </c>
      <c r="M1810" s="76">
        <f>$J$1810-EFEITO!$K$1810*EFEITO!$Y$1810</f>
        <v>0</v>
      </c>
      <c r="N1810" s="76">
        <f ca="1">$K$1810-EFEITO!$M$1810*EFEITO!$Z$1810</f>
        <v>0</v>
      </c>
      <c r="O1810" s="76">
        <f>$L$1810-EFEITO!$O$1810*EFEITO!$AA$1810</f>
        <v>0</v>
      </c>
      <c r="P1810" s="57"/>
      <c r="Q1810" s="57"/>
      <c r="R1810" s="57"/>
      <c r="S1810" s="57"/>
      <c r="T1810" s="57"/>
      <c r="U1810" s="57"/>
      <c r="V1810" s="57"/>
      <c r="W1810" s="57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</row>
    <row r="1811" spans="1:36" ht="11.25" customHeight="1" x14ac:dyDescent="0.2">
      <c r="A1811" s="53" t="s">
        <v>21</v>
      </c>
      <c r="B1811" s="53" t="s">
        <v>39</v>
      </c>
      <c r="C1811" s="53" t="s">
        <v>37</v>
      </c>
      <c r="D1811" s="53" t="s">
        <v>46</v>
      </c>
      <c r="E1811" s="53" t="s">
        <v>25</v>
      </c>
      <c r="F1811" s="53" t="s">
        <v>25</v>
      </c>
      <c r="G1811" s="53" t="s">
        <v>25</v>
      </c>
      <c r="H1811" s="53" t="s">
        <v>35</v>
      </c>
      <c r="I1811" s="75">
        <v>44621</v>
      </c>
      <c r="J1811" s="76">
        <f>EFEITO!$J$1811*EFEITO!$Y$1811</f>
        <v>0</v>
      </c>
      <c r="K1811" s="76">
        <f ca="1">EFEITO!$L$1811*EFEITO!$Z$1811</f>
        <v>1579.9511161452465</v>
      </c>
      <c r="L1811" s="76">
        <f>EFEITO!$N$1811*EFEITO!$AA$1811</f>
        <v>568.44524009759971</v>
      </c>
      <c r="M1811" s="76">
        <f>$J$1811-EFEITO!$K$1811*EFEITO!$Y$1811</f>
        <v>0</v>
      </c>
      <c r="N1811" s="76">
        <f ca="1">$K$1811-EFEITO!$M$1811*EFEITO!$Z$1811</f>
        <v>0</v>
      </c>
      <c r="O1811" s="76">
        <f>$L$1811-EFEITO!$O$1811*EFEITO!$AA$1811</f>
        <v>0</v>
      </c>
      <c r="P1811" s="57"/>
      <c r="Q1811" s="57"/>
      <c r="R1811" s="57"/>
      <c r="S1811" s="57"/>
      <c r="T1811" s="57"/>
      <c r="U1811" s="57"/>
      <c r="V1811" s="57"/>
      <c r="W1811" s="57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</row>
    <row r="1812" spans="1:36" ht="11.25" customHeight="1" x14ac:dyDescent="0.2">
      <c r="A1812" s="53" t="s">
        <v>56</v>
      </c>
      <c r="B1812" s="53" t="s">
        <v>39</v>
      </c>
      <c r="C1812" s="53" t="s">
        <v>37</v>
      </c>
      <c r="D1812" s="53" t="s">
        <v>46</v>
      </c>
      <c r="E1812" s="53" t="s">
        <v>25</v>
      </c>
      <c r="F1812" s="53" t="s">
        <v>25</v>
      </c>
      <c r="G1812" s="53" t="s">
        <v>25</v>
      </c>
      <c r="H1812" s="53" t="s">
        <v>35</v>
      </c>
      <c r="I1812" s="75">
        <v>44652</v>
      </c>
      <c r="J1812" s="76">
        <f>EFEITO!$J$1812*EFEITO!$Y$1812</f>
        <v>0</v>
      </c>
      <c r="K1812" s="76">
        <f ca="1">EFEITO!$L$1812*EFEITO!$Z$1812</f>
        <v>1579.9511161452465</v>
      </c>
      <c r="L1812" s="76">
        <f>EFEITO!$N$1812*EFEITO!$AA$1812</f>
        <v>568.44524009759971</v>
      </c>
      <c r="M1812" s="76">
        <f>$J$1812-EFEITO!$K$1812*EFEITO!$Y$1812</f>
        <v>0</v>
      </c>
      <c r="N1812" s="76">
        <f ca="1">$K$1812-EFEITO!$M$1812*EFEITO!$Z$1812</f>
        <v>0</v>
      </c>
      <c r="O1812" s="76">
        <f>$L$1812-EFEITO!$O$1812*EFEITO!$AA$1812</f>
        <v>0</v>
      </c>
      <c r="P1812" s="57"/>
      <c r="Q1812" s="57"/>
      <c r="R1812" s="57"/>
      <c r="S1812" s="57"/>
      <c r="T1812" s="57"/>
      <c r="U1812" s="57"/>
      <c r="V1812" s="57"/>
      <c r="W1812" s="57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</row>
    <row r="1813" spans="1:36" ht="11.25" customHeight="1" x14ac:dyDescent="0.2">
      <c r="A1813" s="53" t="s">
        <v>21</v>
      </c>
      <c r="B1813" s="53" t="s">
        <v>39</v>
      </c>
      <c r="C1813" s="53" t="s">
        <v>23</v>
      </c>
      <c r="D1813" s="53" t="s">
        <v>43</v>
      </c>
      <c r="E1813" s="53" t="s">
        <v>25</v>
      </c>
      <c r="F1813" s="53" t="s">
        <v>25</v>
      </c>
      <c r="G1813" s="53" t="s">
        <v>25</v>
      </c>
      <c r="H1813" s="53" t="s">
        <v>25</v>
      </c>
      <c r="I1813" s="75">
        <v>44317</v>
      </c>
      <c r="J1813" s="76">
        <f>EFEITO!$J$1813*EFEITO!$Y$1813</f>
        <v>0</v>
      </c>
      <c r="K1813" s="76">
        <f ca="1">EFEITO!$L$1813*EFEITO!$Z$1813</f>
        <v>13319184.90447104</v>
      </c>
      <c r="L1813" s="76">
        <f>EFEITO!$N$1813*EFEITO!$AA$1813</f>
        <v>8102753.7244301178</v>
      </c>
      <c r="M1813" s="76">
        <f>$J$1813-EFEITO!$K$1813*EFEITO!$Y$1813</f>
        <v>0</v>
      </c>
      <c r="N1813" s="76">
        <f ca="1">$K$1813-EFEITO!$M$1813*EFEITO!$Z$1813</f>
        <v>0</v>
      </c>
      <c r="O1813" s="76">
        <f>$L$1813-EFEITO!$O$1813*EFEITO!$AA$1813</f>
        <v>0</v>
      </c>
      <c r="P1813" s="57"/>
      <c r="Q1813" s="57"/>
      <c r="R1813" s="57"/>
      <c r="S1813" s="57"/>
      <c r="T1813" s="57"/>
      <c r="U1813" s="57"/>
      <c r="V1813" s="57"/>
      <c r="W1813" s="57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</row>
    <row r="1814" spans="1:36" ht="11.25" customHeight="1" x14ac:dyDescent="0.2">
      <c r="A1814" s="53" t="s">
        <v>27</v>
      </c>
      <c r="B1814" s="53" t="s">
        <v>39</v>
      </c>
      <c r="C1814" s="53" t="s">
        <v>23</v>
      </c>
      <c r="D1814" s="53" t="s">
        <v>43</v>
      </c>
      <c r="E1814" s="53" t="s">
        <v>25</v>
      </c>
      <c r="F1814" s="53" t="s">
        <v>25</v>
      </c>
      <c r="G1814" s="53" t="s">
        <v>25</v>
      </c>
      <c r="H1814" s="53" t="s">
        <v>25</v>
      </c>
      <c r="I1814" s="75">
        <v>44317</v>
      </c>
      <c r="J1814" s="76">
        <f>EFEITO!$J$1814*EFEITO!$Y$1814</f>
        <v>0</v>
      </c>
      <c r="K1814" s="76">
        <f ca="1">EFEITO!$L$1814*EFEITO!$Z$1814</f>
        <v>-120816.63523965587</v>
      </c>
      <c r="L1814" s="76">
        <f>EFEITO!$N$1814*EFEITO!$AA$1814</f>
        <v>-73499.050293431952</v>
      </c>
      <c r="M1814" s="76">
        <f>$J$1814-EFEITO!$K$1814*EFEITO!$Y$1814</f>
        <v>0</v>
      </c>
      <c r="N1814" s="76">
        <f ca="1">$K$1814-EFEITO!$M$1814*EFEITO!$Z$1814</f>
        <v>0</v>
      </c>
      <c r="O1814" s="76">
        <f>$L$1814-EFEITO!$O$1814*EFEITO!$AA$1814</f>
        <v>0</v>
      </c>
      <c r="P1814" s="57"/>
      <c r="Q1814" s="57"/>
      <c r="R1814" s="57"/>
      <c r="S1814" s="57"/>
      <c r="T1814" s="57"/>
      <c r="U1814" s="57"/>
      <c r="V1814" s="57"/>
      <c r="W1814" s="57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</row>
    <row r="1815" spans="1:36" ht="11.25" customHeight="1" x14ac:dyDescent="0.2">
      <c r="A1815" s="53" t="s">
        <v>28</v>
      </c>
      <c r="B1815" s="53" t="s">
        <v>39</v>
      </c>
      <c r="C1815" s="53" t="s">
        <v>23</v>
      </c>
      <c r="D1815" s="53" t="s">
        <v>43</v>
      </c>
      <c r="E1815" s="53" t="s">
        <v>25</v>
      </c>
      <c r="F1815" s="53" t="s">
        <v>25</v>
      </c>
      <c r="G1815" s="53" t="s">
        <v>25</v>
      </c>
      <c r="H1815" s="53" t="s">
        <v>25</v>
      </c>
      <c r="I1815" s="75">
        <v>44317</v>
      </c>
      <c r="J1815" s="76">
        <f>EFEITO!$J$1815*EFEITO!$Y$1815</f>
        <v>0</v>
      </c>
      <c r="K1815" s="76">
        <f ca="1">EFEITO!$L$1815*EFEITO!$Z$1815</f>
        <v>592204.44546281407</v>
      </c>
      <c r="L1815" s="76">
        <f>EFEITO!$N$1815*EFEITO!$AA$1815</f>
        <v>360268.80102003191</v>
      </c>
      <c r="M1815" s="76">
        <f>$J$1815-EFEITO!$K$1815*EFEITO!$Y$1815</f>
        <v>0</v>
      </c>
      <c r="N1815" s="76">
        <f ca="1">$K$1815-EFEITO!$M$1815*EFEITO!$Z$1815</f>
        <v>0</v>
      </c>
      <c r="O1815" s="76">
        <f>$L$1815-EFEITO!$O$1815*EFEITO!$AA$1815</f>
        <v>0</v>
      </c>
      <c r="P1815" s="57"/>
      <c r="Q1815" s="57"/>
      <c r="R1815" s="57"/>
      <c r="S1815" s="57"/>
      <c r="T1815" s="57"/>
      <c r="U1815" s="57"/>
      <c r="V1815" s="57"/>
      <c r="W1815" s="57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</row>
    <row r="1816" spans="1:36" ht="11.25" customHeight="1" x14ac:dyDescent="0.2">
      <c r="A1816" s="53" t="s">
        <v>28</v>
      </c>
      <c r="B1816" s="53" t="s">
        <v>39</v>
      </c>
      <c r="C1816" s="53" t="s">
        <v>23</v>
      </c>
      <c r="D1816" s="53" t="s">
        <v>43</v>
      </c>
      <c r="E1816" s="53" t="s">
        <v>25</v>
      </c>
      <c r="F1816" s="53" t="s">
        <v>25</v>
      </c>
      <c r="G1816" s="53" t="s">
        <v>25</v>
      </c>
      <c r="H1816" s="53" t="s">
        <v>25</v>
      </c>
      <c r="I1816" s="75">
        <v>44317</v>
      </c>
      <c r="J1816" s="76">
        <f>EFEITO!$J$1816*EFEITO!$Y$1816</f>
        <v>0</v>
      </c>
      <c r="K1816" s="76">
        <f ca="1">EFEITO!$L$1816*EFEITO!$Z$1816</f>
        <v>16983.547259250015</v>
      </c>
      <c r="L1816" s="76">
        <f>EFEITO!$N$1816*EFEITO!$AA$1816</f>
        <v>10331.97615288968</v>
      </c>
      <c r="M1816" s="76">
        <f>$J$1816-EFEITO!$K$1816*EFEITO!$Y$1816</f>
        <v>0</v>
      </c>
      <c r="N1816" s="76">
        <f ca="1">$K$1816-EFEITO!$M$1816*EFEITO!$Z$1816</f>
        <v>0</v>
      </c>
      <c r="O1816" s="76">
        <f>$L$1816-EFEITO!$O$1816*EFEITO!$AA$1816</f>
        <v>0</v>
      </c>
      <c r="P1816" s="57"/>
      <c r="Q1816" s="57"/>
      <c r="R1816" s="57"/>
      <c r="S1816" s="57"/>
      <c r="T1816" s="57"/>
      <c r="U1816" s="57"/>
      <c r="V1816" s="57"/>
      <c r="W1816" s="57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</row>
    <row r="1817" spans="1:36" ht="11.25" customHeight="1" x14ac:dyDescent="0.2">
      <c r="A1817" s="53" t="s">
        <v>21</v>
      </c>
      <c r="B1817" s="53" t="s">
        <v>39</v>
      </c>
      <c r="C1817" s="53" t="s">
        <v>23</v>
      </c>
      <c r="D1817" s="53" t="s">
        <v>43</v>
      </c>
      <c r="E1817" s="53" t="s">
        <v>25</v>
      </c>
      <c r="F1817" s="53" t="s">
        <v>25</v>
      </c>
      <c r="G1817" s="53" t="s">
        <v>25</v>
      </c>
      <c r="H1817" s="53" t="s">
        <v>25</v>
      </c>
      <c r="I1817" s="75">
        <v>44348</v>
      </c>
      <c r="J1817" s="76">
        <f>EFEITO!$J$1817*EFEITO!$Y$1817</f>
        <v>0</v>
      </c>
      <c r="K1817" s="76">
        <f ca="1">EFEITO!$L$1817*EFEITO!$Z$1817</f>
        <v>12477974.601593282</v>
      </c>
      <c r="L1817" s="76">
        <f>EFEITO!$N$1817*EFEITO!$AA$1817</f>
        <v>7591001.6942902207</v>
      </c>
      <c r="M1817" s="76">
        <f>$J$1817-EFEITO!$K$1817*EFEITO!$Y$1817</f>
        <v>0</v>
      </c>
      <c r="N1817" s="76">
        <f ca="1">$K$1817-EFEITO!$M$1817*EFEITO!$Z$1817</f>
        <v>0</v>
      </c>
      <c r="O1817" s="76">
        <f>$L$1817-EFEITO!$O$1817*EFEITO!$AA$1817</f>
        <v>0</v>
      </c>
      <c r="P1817" s="57"/>
      <c r="Q1817" s="57"/>
      <c r="R1817" s="57"/>
      <c r="S1817" s="57"/>
      <c r="T1817" s="57"/>
      <c r="U1817" s="57"/>
      <c r="V1817" s="57"/>
      <c r="W1817" s="57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</row>
    <row r="1818" spans="1:36" ht="11.25" customHeight="1" x14ac:dyDescent="0.2">
      <c r="A1818" s="53" t="s">
        <v>27</v>
      </c>
      <c r="B1818" s="53" t="s">
        <v>39</v>
      </c>
      <c r="C1818" s="53" t="s">
        <v>23</v>
      </c>
      <c r="D1818" s="53" t="s">
        <v>43</v>
      </c>
      <c r="E1818" s="53" t="s">
        <v>25</v>
      </c>
      <c r="F1818" s="53" t="s">
        <v>25</v>
      </c>
      <c r="G1818" s="53" t="s">
        <v>25</v>
      </c>
      <c r="H1818" s="53" t="s">
        <v>25</v>
      </c>
      <c r="I1818" s="75">
        <v>44348</v>
      </c>
      <c r="J1818" s="76">
        <f>EFEITO!$J$1818*EFEITO!$Y$1818</f>
        <v>0</v>
      </c>
      <c r="K1818" s="76">
        <f ca="1">EFEITO!$L$1818*EFEITO!$Z$1818</f>
        <v>-92415.377238130706</v>
      </c>
      <c r="L1818" s="76">
        <f>EFEITO!$N$1818*EFEITO!$AA$1818</f>
        <v>-56221.086161174266</v>
      </c>
      <c r="M1818" s="76">
        <f>$J$1818-EFEITO!$K$1818*EFEITO!$Y$1818</f>
        <v>0</v>
      </c>
      <c r="N1818" s="76">
        <f ca="1">$K$1818-EFEITO!$M$1818*EFEITO!$Z$1818</f>
        <v>0</v>
      </c>
      <c r="O1818" s="76">
        <f>$L$1818-EFEITO!$O$1818*EFEITO!$AA$1818</f>
        <v>0</v>
      </c>
      <c r="P1818" s="57"/>
      <c r="Q1818" s="57"/>
      <c r="R1818" s="57"/>
      <c r="S1818" s="57"/>
      <c r="T1818" s="57"/>
      <c r="U1818" s="57"/>
      <c r="V1818" s="57"/>
      <c r="W1818" s="57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</row>
    <row r="1819" spans="1:36" ht="11.25" customHeight="1" x14ac:dyDescent="0.2">
      <c r="A1819" s="53" t="s">
        <v>28</v>
      </c>
      <c r="B1819" s="53" t="s">
        <v>39</v>
      </c>
      <c r="C1819" s="53" t="s">
        <v>23</v>
      </c>
      <c r="D1819" s="53" t="s">
        <v>43</v>
      </c>
      <c r="E1819" s="53" t="s">
        <v>25</v>
      </c>
      <c r="F1819" s="53" t="s">
        <v>25</v>
      </c>
      <c r="G1819" s="53" t="s">
        <v>25</v>
      </c>
      <c r="H1819" s="53" t="s">
        <v>25</v>
      </c>
      <c r="I1819" s="75">
        <v>44348</v>
      </c>
      <c r="J1819" s="76">
        <f>EFEITO!$J$1819*EFEITO!$Y$1819</f>
        <v>0</v>
      </c>
      <c r="K1819" s="76">
        <f ca="1">EFEITO!$L$1819*EFEITO!$Z$1819</f>
        <v>809992.06339962373</v>
      </c>
      <c r="L1819" s="76">
        <f>EFEITO!$N$1819*EFEITO!$AA$1819</f>
        <v>492760.3494915808</v>
      </c>
      <c r="M1819" s="76">
        <f>$J$1819-EFEITO!$K$1819*EFEITO!$Y$1819</f>
        <v>0</v>
      </c>
      <c r="N1819" s="76">
        <f ca="1">$K$1819-EFEITO!$M$1819*EFEITO!$Z$1819</f>
        <v>0</v>
      </c>
      <c r="O1819" s="76">
        <f>$L$1819-EFEITO!$O$1819*EFEITO!$AA$1819</f>
        <v>0</v>
      </c>
      <c r="P1819" s="57"/>
      <c r="Q1819" s="57"/>
      <c r="R1819" s="57"/>
      <c r="S1819" s="57"/>
      <c r="T1819" s="57"/>
      <c r="U1819" s="57"/>
      <c r="V1819" s="57"/>
      <c r="W1819" s="57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</row>
    <row r="1820" spans="1:36" ht="11.25" customHeight="1" x14ac:dyDescent="0.2">
      <c r="A1820" s="53" t="s">
        <v>28</v>
      </c>
      <c r="B1820" s="53" t="s">
        <v>39</v>
      </c>
      <c r="C1820" s="53" t="s">
        <v>23</v>
      </c>
      <c r="D1820" s="53" t="s">
        <v>43</v>
      </c>
      <c r="E1820" s="53" t="s">
        <v>25</v>
      </c>
      <c r="F1820" s="53" t="s">
        <v>25</v>
      </c>
      <c r="G1820" s="53" t="s">
        <v>25</v>
      </c>
      <c r="H1820" s="53" t="s">
        <v>25</v>
      </c>
      <c r="I1820" s="75">
        <v>44348</v>
      </c>
      <c r="J1820" s="76">
        <f>EFEITO!$J$1820*EFEITO!$Y$1820</f>
        <v>0</v>
      </c>
      <c r="K1820" s="76">
        <f ca="1">EFEITO!$L$1820*EFEITO!$Z$1820</f>
        <v>-9332.3885261147989</v>
      </c>
      <c r="L1820" s="76">
        <f>EFEITO!$N$1820*EFEITO!$AA$1820</f>
        <v>-5677.3778898753626</v>
      </c>
      <c r="M1820" s="76">
        <f>$J$1820-EFEITO!$K$1820*EFEITO!$Y$1820</f>
        <v>0</v>
      </c>
      <c r="N1820" s="76">
        <f ca="1">$K$1820-EFEITO!$M$1820*EFEITO!$Z$1820</f>
        <v>0</v>
      </c>
      <c r="O1820" s="76">
        <f>$L$1820-EFEITO!$O$1820*EFEITO!$AA$1820</f>
        <v>0</v>
      </c>
      <c r="P1820" s="57"/>
      <c r="Q1820" s="57"/>
      <c r="R1820" s="57"/>
      <c r="S1820" s="57"/>
      <c r="T1820" s="57"/>
      <c r="U1820" s="57"/>
      <c r="V1820" s="57"/>
      <c r="W1820" s="57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</row>
    <row r="1821" spans="1:36" ht="11.25" customHeight="1" x14ac:dyDescent="0.2">
      <c r="A1821" s="53" t="s">
        <v>21</v>
      </c>
      <c r="B1821" s="53" t="s">
        <v>39</v>
      </c>
      <c r="C1821" s="53" t="s">
        <v>23</v>
      </c>
      <c r="D1821" s="53" t="s">
        <v>43</v>
      </c>
      <c r="E1821" s="53" t="s">
        <v>25</v>
      </c>
      <c r="F1821" s="53" t="s">
        <v>25</v>
      </c>
      <c r="G1821" s="53" t="s">
        <v>25</v>
      </c>
      <c r="H1821" s="53" t="s">
        <v>25</v>
      </c>
      <c r="I1821" s="75">
        <v>44378</v>
      </c>
      <c r="J1821" s="76">
        <f>EFEITO!$J$1821*EFEITO!$Y$1821</f>
        <v>0</v>
      </c>
      <c r="K1821" s="76">
        <f ca="1">EFEITO!$L$1821*EFEITO!$Z$1821</f>
        <v>11922090.412415829</v>
      </c>
      <c r="L1821" s="76">
        <f>EFEITO!$N$1821*EFEITO!$AA$1821</f>
        <v>7252828.3964109002</v>
      </c>
      <c r="M1821" s="76">
        <f>$J$1821-EFEITO!$K$1821*EFEITO!$Y$1821</f>
        <v>0</v>
      </c>
      <c r="N1821" s="76">
        <f ca="1">$K$1821-EFEITO!$M$1821*EFEITO!$Z$1821</f>
        <v>0</v>
      </c>
      <c r="O1821" s="76">
        <f>$L$1821-EFEITO!$O$1821*EFEITO!$AA$1821</f>
        <v>0</v>
      </c>
      <c r="P1821" s="57"/>
      <c r="Q1821" s="57"/>
      <c r="R1821" s="57"/>
      <c r="S1821" s="57"/>
      <c r="T1821" s="57"/>
      <c r="U1821" s="57"/>
      <c r="V1821" s="57"/>
      <c r="W1821" s="57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</row>
    <row r="1822" spans="1:36" ht="11.25" customHeight="1" x14ac:dyDescent="0.2">
      <c r="A1822" s="53" t="s">
        <v>27</v>
      </c>
      <c r="B1822" s="53" t="s">
        <v>39</v>
      </c>
      <c r="C1822" s="53" t="s">
        <v>23</v>
      </c>
      <c r="D1822" s="53" t="s">
        <v>43</v>
      </c>
      <c r="E1822" s="53" t="s">
        <v>25</v>
      </c>
      <c r="F1822" s="53" t="s">
        <v>25</v>
      </c>
      <c r="G1822" s="53" t="s">
        <v>25</v>
      </c>
      <c r="H1822" s="53" t="s">
        <v>25</v>
      </c>
      <c r="I1822" s="75">
        <v>44378</v>
      </c>
      <c r="J1822" s="76">
        <f>EFEITO!$J$1822*EFEITO!$Y$1822</f>
        <v>0</v>
      </c>
      <c r="K1822" s="76">
        <f ca="1">EFEITO!$L$1822*EFEITO!$Z$1822</f>
        <v>-127849.9898523623</v>
      </c>
      <c r="L1822" s="76">
        <f>EFEITO!$N$1822*EFEITO!$AA$1822</f>
        <v>-77777.806140136527</v>
      </c>
      <c r="M1822" s="76">
        <f>$J$1822-EFEITO!$K$1822*EFEITO!$Y$1822</f>
        <v>0</v>
      </c>
      <c r="N1822" s="76">
        <f ca="1">$K$1822-EFEITO!$M$1822*EFEITO!$Z$1822</f>
        <v>0</v>
      </c>
      <c r="O1822" s="76">
        <f>$L$1822-EFEITO!$O$1822*EFEITO!$AA$1822</f>
        <v>0</v>
      </c>
      <c r="P1822" s="57"/>
      <c r="Q1822" s="57"/>
      <c r="R1822" s="57"/>
      <c r="S1822" s="57"/>
      <c r="T1822" s="57"/>
      <c r="U1822" s="57"/>
      <c r="V1822" s="57"/>
      <c r="W1822" s="57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</row>
    <row r="1823" spans="1:36" ht="11.25" customHeight="1" x14ac:dyDescent="0.2">
      <c r="A1823" s="53" t="s">
        <v>28</v>
      </c>
      <c r="B1823" s="53" t="s">
        <v>39</v>
      </c>
      <c r="C1823" s="53" t="s">
        <v>23</v>
      </c>
      <c r="D1823" s="53" t="s">
        <v>43</v>
      </c>
      <c r="E1823" s="53" t="s">
        <v>25</v>
      </c>
      <c r="F1823" s="53" t="s">
        <v>25</v>
      </c>
      <c r="G1823" s="53" t="s">
        <v>25</v>
      </c>
      <c r="H1823" s="53" t="s">
        <v>25</v>
      </c>
      <c r="I1823" s="75">
        <v>44378</v>
      </c>
      <c r="J1823" s="76">
        <f>EFEITO!$J$1823*EFEITO!$Y$1823</f>
        <v>0</v>
      </c>
      <c r="K1823" s="76">
        <f ca="1">EFEITO!$L$1823*EFEITO!$Z$1823</f>
        <v>830310.07307925448</v>
      </c>
      <c r="L1823" s="76">
        <f>EFEITO!$N$1823*EFEITO!$AA$1823</f>
        <v>505120.85276452295</v>
      </c>
      <c r="M1823" s="76">
        <f>$J$1823-EFEITO!$K$1823*EFEITO!$Y$1823</f>
        <v>0</v>
      </c>
      <c r="N1823" s="76">
        <f ca="1">$K$1823-EFEITO!$M$1823*EFEITO!$Z$1823</f>
        <v>0</v>
      </c>
      <c r="O1823" s="76">
        <f>$L$1823-EFEITO!$O$1823*EFEITO!$AA$1823</f>
        <v>0</v>
      </c>
      <c r="P1823" s="57"/>
      <c r="Q1823" s="57"/>
      <c r="R1823" s="57"/>
      <c r="S1823" s="57"/>
      <c r="T1823" s="57"/>
      <c r="U1823" s="57"/>
      <c r="V1823" s="57"/>
      <c r="W1823" s="57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</row>
    <row r="1824" spans="1:36" ht="11.25" customHeight="1" x14ac:dyDescent="0.2">
      <c r="A1824" s="53" t="s">
        <v>28</v>
      </c>
      <c r="B1824" s="53" t="s">
        <v>39</v>
      </c>
      <c r="C1824" s="53" t="s">
        <v>23</v>
      </c>
      <c r="D1824" s="53" t="s">
        <v>43</v>
      </c>
      <c r="E1824" s="53" t="s">
        <v>25</v>
      </c>
      <c r="F1824" s="53" t="s">
        <v>25</v>
      </c>
      <c r="G1824" s="53" t="s">
        <v>25</v>
      </c>
      <c r="H1824" s="53" t="s">
        <v>25</v>
      </c>
      <c r="I1824" s="75">
        <v>44378</v>
      </c>
      <c r="J1824" s="76">
        <f>EFEITO!$J$1824*EFEITO!$Y$1824</f>
        <v>0</v>
      </c>
      <c r="K1824" s="76">
        <f ca="1">EFEITO!$L$1824*EFEITO!$Z$1824</f>
        <v>-10580.595491482653</v>
      </c>
      <c r="L1824" s="76">
        <f>EFEITO!$N$1824*EFEITO!$AA$1824</f>
        <v>-6436.7271826461929</v>
      </c>
      <c r="M1824" s="76">
        <f>$J$1824-EFEITO!$K$1824*EFEITO!$Y$1824</f>
        <v>0</v>
      </c>
      <c r="N1824" s="76">
        <f ca="1">$K$1824-EFEITO!$M$1824*EFEITO!$Z$1824</f>
        <v>0</v>
      </c>
      <c r="O1824" s="76">
        <f>$L$1824-EFEITO!$O$1824*EFEITO!$AA$1824</f>
        <v>0</v>
      </c>
      <c r="P1824" s="57"/>
      <c r="Q1824" s="57"/>
      <c r="R1824" s="57"/>
      <c r="S1824" s="57"/>
      <c r="T1824" s="57"/>
      <c r="U1824" s="57"/>
      <c r="V1824" s="57"/>
      <c r="W1824" s="57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</row>
    <row r="1825" spans="1:36" ht="11.25" customHeight="1" x14ac:dyDescent="0.2">
      <c r="A1825" s="53" t="s">
        <v>21</v>
      </c>
      <c r="B1825" s="53" t="s">
        <v>39</v>
      </c>
      <c r="C1825" s="53" t="s">
        <v>23</v>
      </c>
      <c r="D1825" s="53" t="s">
        <v>43</v>
      </c>
      <c r="E1825" s="53" t="s">
        <v>25</v>
      </c>
      <c r="F1825" s="53" t="s">
        <v>25</v>
      </c>
      <c r="G1825" s="53" t="s">
        <v>25</v>
      </c>
      <c r="H1825" s="53" t="s">
        <v>25</v>
      </c>
      <c r="I1825" s="75">
        <v>44409</v>
      </c>
      <c r="J1825" s="76">
        <f>EFEITO!$J$1825*EFEITO!$Y$1825</f>
        <v>0</v>
      </c>
      <c r="K1825" s="76">
        <f ca="1">EFEITO!$L$1825*EFEITO!$Z$1825</f>
        <v>12219869.198745953</v>
      </c>
      <c r="L1825" s="76">
        <f>EFEITO!$N$1825*EFEITO!$AA$1825</f>
        <v>7433982.7378588319</v>
      </c>
      <c r="M1825" s="76">
        <f>$J$1825-EFEITO!$K$1825*EFEITO!$Y$1825</f>
        <v>0</v>
      </c>
      <c r="N1825" s="76">
        <f ca="1">$K$1825-EFEITO!$M$1825*EFEITO!$Z$1825</f>
        <v>0</v>
      </c>
      <c r="O1825" s="76">
        <f>$L$1825-EFEITO!$O$1825*EFEITO!$AA$1825</f>
        <v>0</v>
      </c>
      <c r="P1825" s="57"/>
      <c r="Q1825" s="57"/>
      <c r="R1825" s="57"/>
      <c r="S1825" s="57"/>
      <c r="T1825" s="57"/>
      <c r="U1825" s="57"/>
      <c r="V1825" s="57"/>
      <c r="W1825" s="57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</row>
    <row r="1826" spans="1:36" ht="11.25" customHeight="1" x14ac:dyDescent="0.2">
      <c r="A1826" s="53" t="s">
        <v>27</v>
      </c>
      <c r="B1826" s="53" t="s">
        <v>39</v>
      </c>
      <c r="C1826" s="53" t="s">
        <v>23</v>
      </c>
      <c r="D1826" s="53" t="s">
        <v>43</v>
      </c>
      <c r="E1826" s="53" t="s">
        <v>25</v>
      </c>
      <c r="F1826" s="53" t="s">
        <v>25</v>
      </c>
      <c r="G1826" s="53" t="s">
        <v>25</v>
      </c>
      <c r="H1826" s="53" t="s">
        <v>25</v>
      </c>
      <c r="I1826" s="75">
        <v>44409</v>
      </c>
      <c r="J1826" s="76">
        <f>EFEITO!$J$1826*EFEITO!$Y$1826</f>
        <v>0</v>
      </c>
      <c r="K1826" s="76">
        <f ca="1">EFEITO!$L$1826*EFEITO!$Z$1826</f>
        <v>-89284.360887619187</v>
      </c>
      <c r="L1826" s="76">
        <f>EFEITO!$N$1826*EFEITO!$AA$1826</f>
        <v>-54316.325879121076</v>
      </c>
      <c r="M1826" s="76">
        <f>$J$1826-EFEITO!$K$1826*EFEITO!$Y$1826</f>
        <v>0</v>
      </c>
      <c r="N1826" s="76">
        <f ca="1">$K$1826-EFEITO!$M$1826*EFEITO!$Z$1826</f>
        <v>0</v>
      </c>
      <c r="O1826" s="76">
        <f>$L$1826-EFEITO!$O$1826*EFEITO!$AA$1826</f>
        <v>0</v>
      </c>
      <c r="P1826" s="57"/>
      <c r="Q1826" s="57"/>
      <c r="R1826" s="57"/>
      <c r="S1826" s="57"/>
      <c r="T1826" s="57"/>
      <c r="U1826" s="57"/>
      <c r="V1826" s="57"/>
      <c r="W1826" s="57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</row>
    <row r="1827" spans="1:36" ht="11.25" customHeight="1" x14ac:dyDescent="0.2">
      <c r="A1827" s="53" t="s">
        <v>28</v>
      </c>
      <c r="B1827" s="53" t="s">
        <v>39</v>
      </c>
      <c r="C1827" s="53" t="s">
        <v>23</v>
      </c>
      <c r="D1827" s="53" t="s">
        <v>43</v>
      </c>
      <c r="E1827" s="53" t="s">
        <v>25</v>
      </c>
      <c r="F1827" s="53" t="s">
        <v>25</v>
      </c>
      <c r="G1827" s="53" t="s">
        <v>25</v>
      </c>
      <c r="H1827" s="53" t="s">
        <v>25</v>
      </c>
      <c r="I1827" s="75">
        <v>44409</v>
      </c>
      <c r="J1827" s="76">
        <f>EFEITO!$J$1827*EFEITO!$Y$1827</f>
        <v>0</v>
      </c>
      <c r="K1827" s="76">
        <f ca="1">EFEITO!$L$1827*EFEITO!$Z$1827</f>
        <v>808497.94799659273</v>
      </c>
      <c r="L1827" s="76">
        <f>EFEITO!$N$1827*EFEITO!$AA$1827</f>
        <v>491851.40129141178</v>
      </c>
      <c r="M1827" s="76">
        <f>$J$1827-EFEITO!$K$1827*EFEITO!$Y$1827</f>
        <v>0</v>
      </c>
      <c r="N1827" s="76">
        <f ca="1">$K$1827-EFEITO!$M$1827*EFEITO!$Z$1827</f>
        <v>0</v>
      </c>
      <c r="O1827" s="76">
        <f>$L$1827-EFEITO!$O$1827*EFEITO!$AA$1827</f>
        <v>0</v>
      </c>
      <c r="P1827" s="57"/>
      <c r="Q1827" s="57"/>
      <c r="R1827" s="57"/>
      <c r="S1827" s="57"/>
      <c r="T1827" s="57"/>
      <c r="U1827" s="57"/>
      <c r="V1827" s="57"/>
      <c r="W1827" s="57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</row>
    <row r="1828" spans="1:36" ht="11.25" customHeight="1" x14ac:dyDescent="0.2">
      <c r="A1828" s="53" t="s">
        <v>28</v>
      </c>
      <c r="B1828" s="53" t="s">
        <v>39</v>
      </c>
      <c r="C1828" s="53" t="s">
        <v>23</v>
      </c>
      <c r="D1828" s="53" t="s">
        <v>43</v>
      </c>
      <c r="E1828" s="53" t="s">
        <v>25</v>
      </c>
      <c r="F1828" s="53" t="s">
        <v>25</v>
      </c>
      <c r="G1828" s="53" t="s">
        <v>25</v>
      </c>
      <c r="H1828" s="53" t="s">
        <v>25</v>
      </c>
      <c r="I1828" s="75">
        <v>44409</v>
      </c>
      <c r="J1828" s="76">
        <f>EFEITO!$J$1828*EFEITO!$Y$1828</f>
        <v>0</v>
      </c>
      <c r="K1828" s="76">
        <f ca="1">EFEITO!$L$1828*EFEITO!$Z$1828</f>
        <v>7480.3760231073165</v>
      </c>
      <c r="L1828" s="76">
        <f>EFEITO!$N$1828*EFEITO!$AA$1828</f>
        <v>4550.702247629597</v>
      </c>
      <c r="M1828" s="76">
        <f>$J$1828-EFEITO!$K$1828*EFEITO!$Y$1828</f>
        <v>0</v>
      </c>
      <c r="N1828" s="76">
        <f ca="1">$K$1828-EFEITO!$M$1828*EFEITO!$Z$1828</f>
        <v>0</v>
      </c>
      <c r="O1828" s="76">
        <f>$L$1828-EFEITO!$O$1828*EFEITO!$AA$1828</f>
        <v>0</v>
      </c>
      <c r="P1828" s="57"/>
      <c r="Q1828" s="57"/>
      <c r="R1828" s="57"/>
      <c r="S1828" s="57"/>
      <c r="T1828" s="57"/>
      <c r="U1828" s="57"/>
      <c r="V1828" s="57"/>
      <c r="W1828" s="57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</row>
    <row r="1829" spans="1:36" ht="11.25" customHeight="1" x14ac:dyDescent="0.2">
      <c r="A1829" s="53" t="s">
        <v>21</v>
      </c>
      <c r="B1829" s="53" t="s">
        <v>39</v>
      </c>
      <c r="C1829" s="53" t="s">
        <v>23</v>
      </c>
      <c r="D1829" s="53" t="s">
        <v>43</v>
      </c>
      <c r="E1829" s="53" t="s">
        <v>25</v>
      </c>
      <c r="F1829" s="53" t="s">
        <v>25</v>
      </c>
      <c r="G1829" s="53" t="s">
        <v>25</v>
      </c>
      <c r="H1829" s="53" t="s">
        <v>25</v>
      </c>
      <c r="I1829" s="75">
        <v>44440</v>
      </c>
      <c r="J1829" s="76">
        <f>EFEITO!$J$1829*EFEITO!$Y$1829</f>
        <v>0</v>
      </c>
      <c r="K1829" s="76">
        <f ca="1">EFEITO!$L$1829*EFEITO!$Z$1829</f>
        <v>13031817.797400078</v>
      </c>
      <c r="L1829" s="76">
        <f>EFEITO!$N$1829*EFEITO!$AA$1829</f>
        <v>7927933.3496250259</v>
      </c>
      <c r="M1829" s="76">
        <f>$J$1829-EFEITO!$K$1829*EFEITO!$Y$1829</f>
        <v>0</v>
      </c>
      <c r="N1829" s="76">
        <f ca="1">$K$1829-EFEITO!$M$1829*EFEITO!$Z$1829</f>
        <v>0</v>
      </c>
      <c r="O1829" s="76">
        <f>$L$1829-EFEITO!$O$1829*EFEITO!$AA$1829</f>
        <v>0</v>
      </c>
      <c r="P1829" s="57"/>
      <c r="Q1829" s="57"/>
      <c r="R1829" s="57"/>
      <c r="S1829" s="57"/>
      <c r="T1829" s="57"/>
      <c r="U1829" s="57"/>
      <c r="V1829" s="57"/>
      <c r="W1829" s="57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</row>
    <row r="1830" spans="1:36" ht="11.25" customHeight="1" x14ac:dyDescent="0.2">
      <c r="A1830" s="53" t="s">
        <v>27</v>
      </c>
      <c r="B1830" s="53" t="s">
        <v>39</v>
      </c>
      <c r="C1830" s="53" t="s">
        <v>23</v>
      </c>
      <c r="D1830" s="53" t="s">
        <v>43</v>
      </c>
      <c r="E1830" s="53" t="s">
        <v>25</v>
      </c>
      <c r="F1830" s="53" t="s">
        <v>25</v>
      </c>
      <c r="G1830" s="53" t="s">
        <v>25</v>
      </c>
      <c r="H1830" s="53" t="s">
        <v>25</v>
      </c>
      <c r="I1830" s="75">
        <v>44440</v>
      </c>
      <c r="J1830" s="76">
        <f>EFEITO!$J$1830*EFEITO!$Y$1830</f>
        <v>0</v>
      </c>
      <c r="K1830" s="76">
        <f ca="1">EFEITO!$L$1830*EFEITO!$Z$1830</f>
        <v>-48774.795392886386</v>
      </c>
      <c r="L1830" s="76">
        <f>EFEITO!$N$1830*EFEITO!$AA$1830</f>
        <v>-29672.247803644597</v>
      </c>
      <c r="M1830" s="76">
        <f>$J$1830-EFEITO!$K$1830*EFEITO!$Y$1830</f>
        <v>0</v>
      </c>
      <c r="N1830" s="76">
        <f ca="1">$K$1830-EFEITO!$M$1830*EFEITO!$Z$1830</f>
        <v>0</v>
      </c>
      <c r="O1830" s="76">
        <f>$L$1830-EFEITO!$O$1830*EFEITO!$AA$1830</f>
        <v>0</v>
      </c>
      <c r="P1830" s="57"/>
      <c r="Q1830" s="57"/>
      <c r="R1830" s="57"/>
      <c r="S1830" s="57"/>
      <c r="T1830" s="57"/>
      <c r="U1830" s="57"/>
      <c r="V1830" s="57"/>
      <c r="W1830" s="57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</row>
    <row r="1831" spans="1:36" ht="11.25" customHeight="1" x14ac:dyDescent="0.2">
      <c r="A1831" s="53" t="s">
        <v>28</v>
      </c>
      <c r="B1831" s="53" t="s">
        <v>39</v>
      </c>
      <c r="C1831" s="53" t="s">
        <v>23</v>
      </c>
      <c r="D1831" s="53" t="s">
        <v>43</v>
      </c>
      <c r="E1831" s="53" t="s">
        <v>25</v>
      </c>
      <c r="F1831" s="53" t="s">
        <v>25</v>
      </c>
      <c r="G1831" s="53" t="s">
        <v>25</v>
      </c>
      <c r="H1831" s="53" t="s">
        <v>25</v>
      </c>
      <c r="I1831" s="75">
        <v>44440</v>
      </c>
      <c r="J1831" s="76">
        <f>EFEITO!$J$1831*EFEITO!$Y$1831</f>
        <v>0</v>
      </c>
      <c r="K1831" s="76">
        <f ca="1">EFEITO!$L$1831*EFEITO!$Z$1831</f>
        <v>721143.52505617402</v>
      </c>
      <c r="L1831" s="76">
        <f>EFEITO!$N$1831*EFEITO!$AA$1831</f>
        <v>438709.15715991688</v>
      </c>
      <c r="M1831" s="76">
        <f>$J$1831-EFEITO!$K$1831*EFEITO!$Y$1831</f>
        <v>0</v>
      </c>
      <c r="N1831" s="76">
        <f ca="1">$K$1831-EFEITO!$M$1831*EFEITO!$Z$1831</f>
        <v>0</v>
      </c>
      <c r="O1831" s="76">
        <f>$L$1831-EFEITO!$O$1831*EFEITO!$AA$1831</f>
        <v>0</v>
      </c>
      <c r="P1831" s="57"/>
      <c r="Q1831" s="57"/>
      <c r="R1831" s="57"/>
      <c r="S1831" s="57"/>
      <c r="T1831" s="57"/>
      <c r="U1831" s="57"/>
      <c r="V1831" s="57"/>
      <c r="W1831" s="57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</row>
    <row r="1832" spans="1:36" ht="11.25" customHeight="1" x14ac:dyDescent="0.2">
      <c r="A1832" s="53" t="s">
        <v>28</v>
      </c>
      <c r="B1832" s="53" t="s">
        <v>39</v>
      </c>
      <c r="C1832" s="53" t="s">
        <v>23</v>
      </c>
      <c r="D1832" s="53" t="s">
        <v>43</v>
      </c>
      <c r="E1832" s="53" t="s">
        <v>25</v>
      </c>
      <c r="F1832" s="53" t="s">
        <v>25</v>
      </c>
      <c r="G1832" s="53" t="s">
        <v>25</v>
      </c>
      <c r="H1832" s="53" t="s">
        <v>25</v>
      </c>
      <c r="I1832" s="75">
        <v>44440</v>
      </c>
      <c r="J1832" s="76">
        <f>EFEITO!$J$1832*EFEITO!$Y$1832</f>
        <v>0</v>
      </c>
      <c r="K1832" s="76">
        <f ca="1">EFEITO!$L$1832*EFEITO!$Z$1832</f>
        <v>31638.663581234392</v>
      </c>
      <c r="L1832" s="76">
        <f>EFEITO!$N$1832*EFEITO!$AA$1832</f>
        <v>19247.446522255457</v>
      </c>
      <c r="M1832" s="76">
        <f>$J$1832-EFEITO!$K$1832*EFEITO!$Y$1832</f>
        <v>0</v>
      </c>
      <c r="N1832" s="76">
        <f ca="1">$K$1832-EFEITO!$M$1832*EFEITO!$Z$1832</f>
        <v>0</v>
      </c>
      <c r="O1832" s="76">
        <f>$L$1832-EFEITO!$O$1832*EFEITO!$AA$1832</f>
        <v>0</v>
      </c>
      <c r="P1832" s="57"/>
      <c r="Q1832" s="57"/>
      <c r="R1832" s="57"/>
      <c r="S1832" s="57"/>
      <c r="T1832" s="57"/>
      <c r="U1832" s="57"/>
      <c r="V1832" s="57"/>
      <c r="W1832" s="57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</row>
    <row r="1833" spans="1:36" ht="11.25" customHeight="1" x14ac:dyDescent="0.2">
      <c r="A1833" s="53" t="s">
        <v>21</v>
      </c>
      <c r="B1833" s="53" t="s">
        <v>39</v>
      </c>
      <c r="C1833" s="53" t="s">
        <v>23</v>
      </c>
      <c r="D1833" s="53" t="s">
        <v>43</v>
      </c>
      <c r="E1833" s="53" t="s">
        <v>25</v>
      </c>
      <c r="F1833" s="53" t="s">
        <v>25</v>
      </c>
      <c r="G1833" s="53" t="s">
        <v>25</v>
      </c>
      <c r="H1833" s="53" t="s">
        <v>25</v>
      </c>
      <c r="I1833" s="75">
        <v>44470</v>
      </c>
      <c r="J1833" s="76">
        <f>EFEITO!$J$1833*EFEITO!$Y$1833</f>
        <v>0</v>
      </c>
      <c r="K1833" s="76">
        <f ca="1">EFEITO!$L$1833*EFEITO!$Z$1833</f>
        <v>14042182.775127353</v>
      </c>
      <c r="L1833" s="76">
        <f>EFEITO!$N$1833*EFEITO!$AA$1833</f>
        <v>8542590.976576753</v>
      </c>
      <c r="M1833" s="76">
        <f>$J$1833-EFEITO!$K$1833*EFEITO!$Y$1833</f>
        <v>0</v>
      </c>
      <c r="N1833" s="76">
        <f ca="1">$K$1833-EFEITO!$M$1833*EFEITO!$Z$1833</f>
        <v>0</v>
      </c>
      <c r="O1833" s="76">
        <f>$L$1833-EFEITO!$O$1833*EFEITO!$AA$1833</f>
        <v>0</v>
      </c>
      <c r="P1833" s="57"/>
      <c r="Q1833" s="57"/>
      <c r="R1833" s="57"/>
      <c r="S1833" s="57"/>
      <c r="T1833" s="57"/>
      <c r="U1833" s="57"/>
      <c r="V1833" s="57"/>
      <c r="W1833" s="57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</row>
    <row r="1834" spans="1:36" ht="11.25" customHeight="1" x14ac:dyDescent="0.2">
      <c r="A1834" s="53" t="s">
        <v>27</v>
      </c>
      <c r="B1834" s="53" t="s">
        <v>39</v>
      </c>
      <c r="C1834" s="53" t="s">
        <v>23</v>
      </c>
      <c r="D1834" s="53" t="s">
        <v>43</v>
      </c>
      <c r="E1834" s="53" t="s">
        <v>25</v>
      </c>
      <c r="F1834" s="53" t="s">
        <v>25</v>
      </c>
      <c r="G1834" s="53" t="s">
        <v>25</v>
      </c>
      <c r="H1834" s="53" t="s">
        <v>25</v>
      </c>
      <c r="I1834" s="75">
        <v>44470</v>
      </c>
      <c r="J1834" s="76">
        <f>EFEITO!$J$1834*EFEITO!$Y$1834</f>
        <v>0</v>
      </c>
      <c r="K1834" s="76">
        <f ca="1">EFEITO!$L$1834*EFEITO!$Z$1834</f>
        <v>-52581.476672688616</v>
      </c>
      <c r="L1834" s="76">
        <f>EFEITO!$N$1834*EFEITO!$AA$1834</f>
        <v>-31988.050244924762</v>
      </c>
      <c r="M1834" s="76">
        <f>$J$1834-EFEITO!$K$1834*EFEITO!$Y$1834</f>
        <v>0</v>
      </c>
      <c r="N1834" s="76">
        <f ca="1">$K$1834-EFEITO!$M$1834*EFEITO!$Z$1834</f>
        <v>0</v>
      </c>
      <c r="O1834" s="76">
        <f>$L$1834-EFEITO!$O$1834*EFEITO!$AA$1834</f>
        <v>0</v>
      </c>
      <c r="P1834" s="57"/>
      <c r="Q1834" s="57"/>
      <c r="R1834" s="57"/>
      <c r="S1834" s="57"/>
      <c r="T1834" s="57"/>
      <c r="U1834" s="57"/>
      <c r="V1834" s="57"/>
      <c r="W1834" s="57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</row>
    <row r="1835" spans="1:36" ht="11.25" customHeight="1" x14ac:dyDescent="0.2">
      <c r="A1835" s="53" t="s">
        <v>28</v>
      </c>
      <c r="B1835" s="53" t="s">
        <v>39</v>
      </c>
      <c r="C1835" s="53" t="s">
        <v>23</v>
      </c>
      <c r="D1835" s="53" t="s">
        <v>43</v>
      </c>
      <c r="E1835" s="53" t="s">
        <v>25</v>
      </c>
      <c r="F1835" s="53" t="s">
        <v>25</v>
      </c>
      <c r="G1835" s="53" t="s">
        <v>25</v>
      </c>
      <c r="H1835" s="53" t="s">
        <v>25</v>
      </c>
      <c r="I1835" s="75">
        <v>44470</v>
      </c>
      <c r="J1835" s="76">
        <f>EFEITO!$J$1835*EFEITO!$Y$1835</f>
        <v>0</v>
      </c>
      <c r="K1835" s="76">
        <f ca="1">EFEITO!$L$1835*EFEITO!$Z$1835</f>
        <v>760953.62803087453</v>
      </c>
      <c r="L1835" s="76">
        <f>EFEITO!$N$1835*EFEITO!$AA$1835</f>
        <v>462927.71576254722</v>
      </c>
      <c r="M1835" s="76">
        <f>$J$1835-EFEITO!$K$1835*EFEITO!$Y$1835</f>
        <v>0</v>
      </c>
      <c r="N1835" s="76">
        <f ca="1">$K$1835-EFEITO!$M$1835*EFEITO!$Z$1835</f>
        <v>0</v>
      </c>
      <c r="O1835" s="76">
        <f>$L$1835-EFEITO!$O$1835*EFEITO!$AA$1835</f>
        <v>0</v>
      </c>
      <c r="P1835" s="57"/>
      <c r="Q1835" s="57"/>
      <c r="R1835" s="57"/>
      <c r="S1835" s="57"/>
      <c r="T1835" s="57"/>
      <c r="U1835" s="57"/>
      <c r="V1835" s="57"/>
      <c r="W1835" s="57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</row>
    <row r="1836" spans="1:36" ht="11.25" customHeight="1" x14ac:dyDescent="0.2">
      <c r="A1836" s="53" t="s">
        <v>28</v>
      </c>
      <c r="B1836" s="53" t="s">
        <v>39</v>
      </c>
      <c r="C1836" s="53" t="s">
        <v>23</v>
      </c>
      <c r="D1836" s="53" t="s">
        <v>43</v>
      </c>
      <c r="E1836" s="53" t="s">
        <v>25</v>
      </c>
      <c r="F1836" s="53" t="s">
        <v>25</v>
      </c>
      <c r="G1836" s="53" t="s">
        <v>25</v>
      </c>
      <c r="H1836" s="53" t="s">
        <v>25</v>
      </c>
      <c r="I1836" s="75">
        <v>44470</v>
      </c>
      <c r="J1836" s="76">
        <f>EFEITO!$J$1836*EFEITO!$Y$1836</f>
        <v>0</v>
      </c>
      <c r="K1836" s="76">
        <f ca="1">EFEITO!$L$1836*EFEITO!$Z$1836</f>
        <v>35628.726295574772</v>
      </c>
      <c r="L1836" s="76">
        <f>EFEITO!$N$1836*EFEITO!$AA$1836</f>
        <v>21674.809439071669</v>
      </c>
      <c r="M1836" s="76">
        <f>$J$1836-EFEITO!$K$1836*EFEITO!$Y$1836</f>
        <v>0</v>
      </c>
      <c r="N1836" s="76">
        <f ca="1">$K$1836-EFEITO!$M$1836*EFEITO!$Z$1836</f>
        <v>0</v>
      </c>
      <c r="O1836" s="76">
        <f>$L$1836-EFEITO!$O$1836*EFEITO!$AA$1836</f>
        <v>0</v>
      </c>
      <c r="P1836" s="57"/>
      <c r="Q1836" s="57"/>
      <c r="R1836" s="57"/>
      <c r="S1836" s="57"/>
      <c r="T1836" s="57"/>
      <c r="U1836" s="57"/>
      <c r="V1836" s="57"/>
      <c r="W1836" s="57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</row>
    <row r="1837" spans="1:36" ht="11.25" customHeight="1" x14ac:dyDescent="0.2">
      <c r="A1837" s="53" t="s">
        <v>21</v>
      </c>
      <c r="B1837" s="53" t="s">
        <v>39</v>
      </c>
      <c r="C1837" s="53" t="s">
        <v>23</v>
      </c>
      <c r="D1837" s="53" t="s">
        <v>43</v>
      </c>
      <c r="E1837" s="53" t="s">
        <v>25</v>
      </c>
      <c r="F1837" s="53" t="s">
        <v>25</v>
      </c>
      <c r="G1837" s="53" t="s">
        <v>25</v>
      </c>
      <c r="H1837" s="53" t="s">
        <v>25</v>
      </c>
      <c r="I1837" s="75">
        <v>44501</v>
      </c>
      <c r="J1837" s="76">
        <f>EFEITO!$J$1837*EFEITO!$Y$1837</f>
        <v>0</v>
      </c>
      <c r="K1837" s="76">
        <f ca="1">EFEITO!$L$1837*EFEITO!$Z$1837</f>
        <v>14756423.599010186</v>
      </c>
      <c r="L1837" s="76">
        <f>EFEITO!$N$1837*EFEITO!$AA$1837</f>
        <v>8977100.8611804247</v>
      </c>
      <c r="M1837" s="76">
        <f>$J$1837-EFEITO!$K$1837*EFEITO!$Y$1837</f>
        <v>0</v>
      </c>
      <c r="N1837" s="76">
        <f ca="1">$K$1837-EFEITO!$M$1837*EFEITO!$Z$1837</f>
        <v>0</v>
      </c>
      <c r="O1837" s="76">
        <f>$L$1837-EFEITO!$O$1837*EFEITO!$AA$1837</f>
        <v>0</v>
      </c>
      <c r="P1837" s="57"/>
      <c r="Q1837" s="57"/>
      <c r="R1837" s="57"/>
      <c r="S1837" s="57"/>
      <c r="T1837" s="57"/>
      <c r="U1837" s="57"/>
      <c r="V1837" s="57"/>
      <c r="W1837" s="57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</row>
    <row r="1838" spans="1:36" ht="11.25" customHeight="1" x14ac:dyDescent="0.2">
      <c r="A1838" s="53" t="s">
        <v>27</v>
      </c>
      <c r="B1838" s="53" t="s">
        <v>39</v>
      </c>
      <c r="C1838" s="53" t="s">
        <v>23</v>
      </c>
      <c r="D1838" s="53" t="s">
        <v>43</v>
      </c>
      <c r="E1838" s="53" t="s">
        <v>25</v>
      </c>
      <c r="F1838" s="53" t="s">
        <v>25</v>
      </c>
      <c r="G1838" s="53" t="s">
        <v>25</v>
      </c>
      <c r="H1838" s="53" t="s">
        <v>25</v>
      </c>
      <c r="I1838" s="75">
        <v>44501</v>
      </c>
      <c r="J1838" s="76">
        <f>EFEITO!$J$1838*EFEITO!$Y$1838</f>
        <v>0</v>
      </c>
      <c r="K1838" s="76">
        <f ca="1">EFEITO!$L$1838*EFEITO!$Z$1838</f>
        <v>9494.3054670428901</v>
      </c>
      <c r="L1838" s="76">
        <f>EFEITO!$N$1838*EFEITO!$AA$1838</f>
        <v>5775.8803962647007</v>
      </c>
      <c r="M1838" s="76">
        <f>$J$1838-EFEITO!$K$1838*EFEITO!$Y$1838</f>
        <v>0</v>
      </c>
      <c r="N1838" s="76">
        <f ca="1">$K$1838-EFEITO!$M$1838*EFEITO!$Z$1838</f>
        <v>0</v>
      </c>
      <c r="O1838" s="76">
        <f>$L$1838-EFEITO!$O$1838*EFEITO!$AA$1838</f>
        <v>0</v>
      </c>
      <c r="P1838" s="57"/>
      <c r="Q1838" s="57"/>
      <c r="R1838" s="57"/>
      <c r="S1838" s="57"/>
      <c r="T1838" s="57"/>
      <c r="U1838" s="57"/>
      <c r="V1838" s="57"/>
      <c r="W1838" s="57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</row>
    <row r="1839" spans="1:36" ht="11.25" customHeight="1" x14ac:dyDescent="0.2">
      <c r="A1839" s="53" t="s">
        <v>28</v>
      </c>
      <c r="B1839" s="53" t="s">
        <v>39</v>
      </c>
      <c r="C1839" s="53" t="s">
        <v>23</v>
      </c>
      <c r="D1839" s="53" t="s">
        <v>43</v>
      </c>
      <c r="E1839" s="53" t="s">
        <v>25</v>
      </c>
      <c r="F1839" s="53" t="s">
        <v>25</v>
      </c>
      <c r="G1839" s="53" t="s">
        <v>25</v>
      </c>
      <c r="H1839" s="53" t="s">
        <v>25</v>
      </c>
      <c r="I1839" s="75">
        <v>44501</v>
      </c>
      <c r="J1839" s="76">
        <f>EFEITO!$J$1839*EFEITO!$Y$1839</f>
        <v>0</v>
      </c>
      <c r="K1839" s="76">
        <f ca="1">EFEITO!$L$1839*EFEITO!$Z$1839</f>
        <v>731088.58488902834</v>
      </c>
      <c r="L1839" s="76">
        <f>EFEITO!$N$1839*EFEITO!$AA$1839</f>
        <v>444759.25490826258</v>
      </c>
      <c r="M1839" s="76">
        <f>$J$1839-EFEITO!$K$1839*EFEITO!$Y$1839</f>
        <v>0</v>
      </c>
      <c r="N1839" s="76">
        <f ca="1">$K$1839-EFEITO!$M$1839*EFEITO!$Z$1839</f>
        <v>0</v>
      </c>
      <c r="O1839" s="76">
        <f>$L$1839-EFEITO!$O$1839*EFEITO!$AA$1839</f>
        <v>0</v>
      </c>
      <c r="P1839" s="57"/>
      <c r="Q1839" s="57"/>
      <c r="R1839" s="57"/>
      <c r="S1839" s="57"/>
      <c r="T1839" s="57"/>
      <c r="U1839" s="57"/>
      <c r="V1839" s="57"/>
      <c r="W1839" s="57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</row>
    <row r="1840" spans="1:36" ht="11.25" customHeight="1" x14ac:dyDescent="0.2">
      <c r="A1840" s="53" t="s">
        <v>28</v>
      </c>
      <c r="B1840" s="53" t="s">
        <v>39</v>
      </c>
      <c r="C1840" s="53" t="s">
        <v>23</v>
      </c>
      <c r="D1840" s="53" t="s">
        <v>43</v>
      </c>
      <c r="E1840" s="53" t="s">
        <v>25</v>
      </c>
      <c r="F1840" s="53" t="s">
        <v>25</v>
      </c>
      <c r="G1840" s="53" t="s">
        <v>25</v>
      </c>
      <c r="H1840" s="53" t="s">
        <v>25</v>
      </c>
      <c r="I1840" s="75">
        <v>44501</v>
      </c>
      <c r="J1840" s="76">
        <f>EFEITO!$J$1840*EFEITO!$Y$1840</f>
        <v>0</v>
      </c>
      <c r="K1840" s="76">
        <f ca="1">EFEITO!$L$1840*EFEITO!$Z$1840</f>
        <v>-2771.7193922560955</v>
      </c>
      <c r="L1840" s="76">
        <f>EFEITO!$N$1840*EFEITO!$AA$1840</f>
        <v>-1686.1812332929828</v>
      </c>
      <c r="M1840" s="76">
        <f>$J$1840-EFEITO!$K$1840*EFEITO!$Y$1840</f>
        <v>0</v>
      </c>
      <c r="N1840" s="76">
        <f ca="1">$K$1840-EFEITO!$M$1840*EFEITO!$Z$1840</f>
        <v>0</v>
      </c>
      <c r="O1840" s="76">
        <f>$L$1840-EFEITO!$O$1840*EFEITO!$AA$1840</f>
        <v>0</v>
      </c>
      <c r="P1840" s="57"/>
      <c r="Q1840" s="57"/>
      <c r="R1840" s="57"/>
      <c r="S1840" s="57"/>
      <c r="T1840" s="57"/>
      <c r="U1840" s="57"/>
      <c r="V1840" s="57"/>
      <c r="W1840" s="57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</row>
    <row r="1841" spans="1:36" ht="11.25" customHeight="1" x14ac:dyDescent="0.2">
      <c r="A1841" s="53" t="s">
        <v>21</v>
      </c>
      <c r="B1841" s="53" t="s">
        <v>39</v>
      </c>
      <c r="C1841" s="53" t="s">
        <v>23</v>
      </c>
      <c r="D1841" s="53" t="s">
        <v>43</v>
      </c>
      <c r="E1841" s="53" t="s">
        <v>25</v>
      </c>
      <c r="F1841" s="53" t="s">
        <v>25</v>
      </c>
      <c r="G1841" s="53" t="s">
        <v>25</v>
      </c>
      <c r="H1841" s="53" t="s">
        <v>25</v>
      </c>
      <c r="I1841" s="75">
        <v>44531</v>
      </c>
      <c r="J1841" s="76">
        <f>EFEITO!$J$1841*EFEITO!$Y$1841</f>
        <v>0</v>
      </c>
      <c r="K1841" s="76">
        <f ca="1">EFEITO!$L$1841*EFEITO!$Z$1841</f>
        <v>15038904.267448876</v>
      </c>
      <c r="L1841" s="76">
        <f>EFEITO!$N$1841*EFEITO!$AA$1841</f>
        <v>9148948.5609223787</v>
      </c>
      <c r="M1841" s="76">
        <f>$J$1841-EFEITO!$K$1841*EFEITO!$Y$1841</f>
        <v>0</v>
      </c>
      <c r="N1841" s="76">
        <f ca="1">$K$1841-EFEITO!$M$1841*EFEITO!$Z$1841</f>
        <v>0</v>
      </c>
      <c r="O1841" s="76">
        <f>$L$1841-EFEITO!$O$1841*EFEITO!$AA$1841</f>
        <v>0</v>
      </c>
      <c r="P1841" s="57"/>
      <c r="Q1841" s="57"/>
      <c r="R1841" s="57"/>
      <c r="S1841" s="57"/>
      <c r="T1841" s="57"/>
      <c r="U1841" s="57"/>
      <c r="V1841" s="57"/>
      <c r="W1841" s="57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</row>
    <row r="1842" spans="1:36" ht="11.25" customHeight="1" x14ac:dyDescent="0.2">
      <c r="A1842" s="53" t="s">
        <v>27</v>
      </c>
      <c r="B1842" s="53" t="s">
        <v>39</v>
      </c>
      <c r="C1842" s="53" t="s">
        <v>23</v>
      </c>
      <c r="D1842" s="53" t="s">
        <v>43</v>
      </c>
      <c r="E1842" s="53" t="s">
        <v>25</v>
      </c>
      <c r="F1842" s="53" t="s">
        <v>25</v>
      </c>
      <c r="G1842" s="53" t="s">
        <v>25</v>
      </c>
      <c r="H1842" s="53" t="s">
        <v>25</v>
      </c>
      <c r="I1842" s="75">
        <v>44531</v>
      </c>
      <c r="J1842" s="76">
        <f>EFEITO!$J$1842*EFEITO!$Y$1842</f>
        <v>0</v>
      </c>
      <c r="K1842" s="76">
        <f ca="1">EFEITO!$L$1842*EFEITO!$Z$1842</f>
        <v>-54264.106323947104</v>
      </c>
      <c r="L1842" s="76">
        <f>EFEITO!$N$1842*EFEITO!$AA$1842</f>
        <v>-33011.681478469283</v>
      </c>
      <c r="M1842" s="76">
        <f>$J$1842-EFEITO!$K$1842*EFEITO!$Y$1842</f>
        <v>0</v>
      </c>
      <c r="N1842" s="76">
        <f ca="1">$K$1842-EFEITO!$M$1842*EFEITO!$Z$1842</f>
        <v>0</v>
      </c>
      <c r="O1842" s="76">
        <f>$L$1842-EFEITO!$O$1842*EFEITO!$AA$1842</f>
        <v>0</v>
      </c>
      <c r="P1842" s="57"/>
      <c r="Q1842" s="57"/>
      <c r="R1842" s="57"/>
      <c r="S1842" s="57"/>
      <c r="T1842" s="57"/>
      <c r="U1842" s="57"/>
      <c r="V1842" s="57"/>
      <c r="W1842" s="57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</row>
    <row r="1843" spans="1:36" ht="11.25" customHeight="1" x14ac:dyDescent="0.2">
      <c r="A1843" s="53" t="s">
        <v>28</v>
      </c>
      <c r="B1843" s="53" t="s">
        <v>39</v>
      </c>
      <c r="C1843" s="53" t="s">
        <v>23</v>
      </c>
      <c r="D1843" s="53" t="s">
        <v>43</v>
      </c>
      <c r="E1843" s="53" t="s">
        <v>25</v>
      </c>
      <c r="F1843" s="53" t="s">
        <v>25</v>
      </c>
      <c r="G1843" s="53" t="s">
        <v>25</v>
      </c>
      <c r="H1843" s="53" t="s">
        <v>25</v>
      </c>
      <c r="I1843" s="75">
        <v>44531</v>
      </c>
      <c r="J1843" s="76">
        <f>EFEITO!$J$1843*EFEITO!$Y$1843</f>
        <v>0</v>
      </c>
      <c r="K1843" s="76">
        <f ca="1">EFEITO!$L$1843*EFEITO!$Z$1843</f>
        <v>921007.82420915377</v>
      </c>
      <c r="L1843" s="76">
        <f>EFEITO!$N$1843*EFEITO!$AA$1843</f>
        <v>560297.01752506569</v>
      </c>
      <c r="M1843" s="76">
        <f>$J$1843-EFEITO!$K$1843*EFEITO!$Y$1843</f>
        <v>0</v>
      </c>
      <c r="N1843" s="76">
        <f ca="1">$K$1843-EFEITO!$M$1843*EFEITO!$Z$1843</f>
        <v>0</v>
      </c>
      <c r="O1843" s="76">
        <f>$L$1843-EFEITO!$O$1843*EFEITO!$AA$1843</f>
        <v>0</v>
      </c>
      <c r="P1843" s="57"/>
      <c r="Q1843" s="57"/>
      <c r="R1843" s="57"/>
      <c r="S1843" s="57"/>
      <c r="T1843" s="57"/>
      <c r="U1843" s="57"/>
      <c r="V1843" s="57"/>
      <c r="W1843" s="57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</row>
    <row r="1844" spans="1:36" ht="11.25" customHeight="1" x14ac:dyDescent="0.2">
      <c r="A1844" s="53" t="s">
        <v>28</v>
      </c>
      <c r="B1844" s="53" t="s">
        <v>39</v>
      </c>
      <c r="C1844" s="53" t="s">
        <v>23</v>
      </c>
      <c r="D1844" s="53" t="s">
        <v>43</v>
      </c>
      <c r="E1844" s="53" t="s">
        <v>25</v>
      </c>
      <c r="F1844" s="53" t="s">
        <v>25</v>
      </c>
      <c r="G1844" s="53" t="s">
        <v>25</v>
      </c>
      <c r="H1844" s="53" t="s">
        <v>25</v>
      </c>
      <c r="I1844" s="75">
        <v>44531</v>
      </c>
      <c r="J1844" s="76">
        <f>EFEITO!$J$1844*EFEITO!$Y$1844</f>
        <v>0</v>
      </c>
      <c r="K1844" s="76">
        <f ca="1">EFEITO!$L$1844*EFEITO!$Z$1844</f>
        <v>-11605.291751650057</v>
      </c>
      <c r="L1844" s="76">
        <f>EFEITO!$N$1844*EFEITO!$AA$1844</f>
        <v>-7060.1032749545075</v>
      </c>
      <c r="M1844" s="76">
        <f>$J$1844-EFEITO!$K$1844*EFEITO!$Y$1844</f>
        <v>0</v>
      </c>
      <c r="N1844" s="76">
        <f ca="1">$K$1844-EFEITO!$M$1844*EFEITO!$Z$1844</f>
        <v>0</v>
      </c>
      <c r="O1844" s="76">
        <f>$L$1844-EFEITO!$O$1844*EFEITO!$AA$1844</f>
        <v>0</v>
      </c>
      <c r="P1844" s="57"/>
      <c r="Q1844" s="57"/>
      <c r="R1844" s="57"/>
      <c r="S1844" s="57"/>
      <c r="T1844" s="57"/>
      <c r="U1844" s="57"/>
      <c r="V1844" s="57"/>
      <c r="W1844" s="57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</row>
    <row r="1845" spans="1:36" ht="11.25" customHeight="1" x14ac:dyDescent="0.2">
      <c r="A1845" s="53" t="s">
        <v>21</v>
      </c>
      <c r="B1845" s="53" t="s">
        <v>39</v>
      </c>
      <c r="C1845" s="53" t="s">
        <v>23</v>
      </c>
      <c r="D1845" s="53" t="s">
        <v>43</v>
      </c>
      <c r="E1845" s="53" t="s">
        <v>25</v>
      </c>
      <c r="F1845" s="53" t="s">
        <v>25</v>
      </c>
      <c r="G1845" s="53" t="s">
        <v>25</v>
      </c>
      <c r="H1845" s="53" t="s">
        <v>25</v>
      </c>
      <c r="I1845" s="75">
        <v>44562</v>
      </c>
      <c r="J1845" s="76">
        <f>EFEITO!$J$1845*EFEITO!$Y$1845</f>
        <v>0</v>
      </c>
      <c r="K1845" s="76">
        <f ca="1">EFEITO!$L$1845*EFEITO!$Z$1845</f>
        <v>13551938.873887181</v>
      </c>
      <c r="L1845" s="76">
        <f>EFEITO!$N$1845*EFEITO!$AA$1845</f>
        <v>8244350.0838236604</v>
      </c>
      <c r="M1845" s="76">
        <f>$J$1845-EFEITO!$K$1845*EFEITO!$Y$1845</f>
        <v>0</v>
      </c>
      <c r="N1845" s="76">
        <f ca="1">$K$1845-EFEITO!$M$1845*EFEITO!$Z$1845</f>
        <v>0</v>
      </c>
      <c r="O1845" s="76">
        <f>$L$1845-EFEITO!$O$1845*EFEITO!$AA$1845</f>
        <v>0</v>
      </c>
      <c r="P1845" s="57"/>
      <c r="Q1845" s="57"/>
      <c r="R1845" s="57"/>
      <c r="S1845" s="57"/>
      <c r="T1845" s="57"/>
      <c r="U1845" s="57"/>
      <c r="V1845" s="57"/>
      <c r="W1845" s="57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</row>
    <row r="1846" spans="1:36" ht="11.25" customHeight="1" x14ac:dyDescent="0.2">
      <c r="A1846" s="53" t="s">
        <v>27</v>
      </c>
      <c r="B1846" s="53" t="s">
        <v>39</v>
      </c>
      <c r="C1846" s="53" t="s">
        <v>23</v>
      </c>
      <c r="D1846" s="53" t="s">
        <v>43</v>
      </c>
      <c r="E1846" s="53" t="s">
        <v>25</v>
      </c>
      <c r="F1846" s="53" t="s">
        <v>25</v>
      </c>
      <c r="G1846" s="53" t="s">
        <v>25</v>
      </c>
      <c r="H1846" s="53" t="s">
        <v>25</v>
      </c>
      <c r="I1846" s="75">
        <v>44562</v>
      </c>
      <c r="J1846" s="76">
        <f>EFEITO!$J$1846*EFEITO!$Y$1846</f>
        <v>0</v>
      </c>
      <c r="K1846" s="76">
        <f ca="1">EFEITO!$L$1846*EFEITO!$Z$1846</f>
        <v>-36475.640554319689</v>
      </c>
      <c r="L1846" s="76">
        <f>EFEITO!$N$1846*EFEITO!$AA$1846</f>
        <v>-22190.031482577859</v>
      </c>
      <c r="M1846" s="76">
        <f>$J$1846-EFEITO!$K$1846*EFEITO!$Y$1846</f>
        <v>0</v>
      </c>
      <c r="N1846" s="76">
        <f ca="1">$K$1846-EFEITO!$M$1846*EFEITO!$Z$1846</f>
        <v>0</v>
      </c>
      <c r="O1846" s="76">
        <f>$L$1846-EFEITO!$O$1846*EFEITO!$AA$1846</f>
        <v>0</v>
      </c>
      <c r="P1846" s="57"/>
      <c r="Q1846" s="57"/>
      <c r="R1846" s="57"/>
      <c r="S1846" s="57"/>
      <c r="T1846" s="57"/>
      <c r="U1846" s="57"/>
      <c r="V1846" s="57"/>
      <c r="W1846" s="57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</row>
    <row r="1847" spans="1:36" ht="11.25" customHeight="1" x14ac:dyDescent="0.2">
      <c r="A1847" s="53" t="s">
        <v>28</v>
      </c>
      <c r="B1847" s="53" t="s">
        <v>39</v>
      </c>
      <c r="C1847" s="53" t="s">
        <v>23</v>
      </c>
      <c r="D1847" s="53" t="s">
        <v>43</v>
      </c>
      <c r="E1847" s="53" t="s">
        <v>25</v>
      </c>
      <c r="F1847" s="53" t="s">
        <v>25</v>
      </c>
      <c r="G1847" s="53" t="s">
        <v>25</v>
      </c>
      <c r="H1847" s="53" t="s">
        <v>25</v>
      </c>
      <c r="I1847" s="75">
        <v>44562</v>
      </c>
      <c r="J1847" s="76">
        <f>EFEITO!$J$1847*EFEITO!$Y$1847</f>
        <v>0</v>
      </c>
      <c r="K1847" s="76">
        <f ca="1">EFEITO!$L$1847*EFEITO!$Z$1847</f>
        <v>880753.96616003651</v>
      </c>
      <c r="L1847" s="76">
        <f>EFEITO!$N$1847*EFEITO!$AA$1847</f>
        <v>535808.49960377172</v>
      </c>
      <c r="M1847" s="76">
        <f>$J$1847-EFEITO!$K$1847*EFEITO!$Y$1847</f>
        <v>0</v>
      </c>
      <c r="N1847" s="76">
        <f ca="1">$K$1847-EFEITO!$M$1847*EFEITO!$Z$1847</f>
        <v>0</v>
      </c>
      <c r="O1847" s="76">
        <f>$L$1847-EFEITO!$O$1847*EFEITO!$AA$1847</f>
        <v>0</v>
      </c>
      <c r="P1847" s="57"/>
      <c r="Q1847" s="57"/>
      <c r="R1847" s="57"/>
      <c r="S1847" s="57"/>
      <c r="T1847" s="57"/>
      <c r="U1847" s="57"/>
      <c r="V1847" s="57"/>
      <c r="W1847" s="57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</row>
    <row r="1848" spans="1:36" ht="11.25" customHeight="1" x14ac:dyDescent="0.2">
      <c r="A1848" s="53" t="s">
        <v>28</v>
      </c>
      <c r="B1848" s="53" t="s">
        <v>39</v>
      </c>
      <c r="C1848" s="53" t="s">
        <v>23</v>
      </c>
      <c r="D1848" s="53" t="s">
        <v>43</v>
      </c>
      <c r="E1848" s="53" t="s">
        <v>25</v>
      </c>
      <c r="F1848" s="53" t="s">
        <v>25</v>
      </c>
      <c r="G1848" s="53" t="s">
        <v>25</v>
      </c>
      <c r="H1848" s="53" t="s">
        <v>25</v>
      </c>
      <c r="I1848" s="75">
        <v>44562</v>
      </c>
      <c r="J1848" s="76">
        <f>EFEITO!$J$1848*EFEITO!$Y$1848</f>
        <v>0</v>
      </c>
      <c r="K1848" s="76">
        <f ca="1">EFEITO!$L$1848*EFEITO!$Z$1848</f>
        <v>-3980.2637063879611</v>
      </c>
      <c r="L1848" s="76">
        <f>EFEITO!$N$1848*EFEITO!$AA$1848</f>
        <v>-2421.4016700318421</v>
      </c>
      <c r="M1848" s="76">
        <f>$J$1848-EFEITO!$K$1848*EFEITO!$Y$1848</f>
        <v>0</v>
      </c>
      <c r="N1848" s="76">
        <f ca="1">$K$1848-EFEITO!$M$1848*EFEITO!$Z$1848</f>
        <v>0</v>
      </c>
      <c r="O1848" s="76">
        <f>$L$1848-EFEITO!$O$1848*EFEITO!$AA$1848</f>
        <v>0</v>
      </c>
      <c r="P1848" s="57"/>
      <c r="Q1848" s="57"/>
      <c r="R1848" s="57"/>
      <c r="S1848" s="57"/>
      <c r="T1848" s="57"/>
      <c r="U1848" s="57"/>
      <c r="V1848" s="57"/>
      <c r="W1848" s="57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</row>
    <row r="1849" spans="1:36" ht="11.25" customHeight="1" x14ac:dyDescent="0.2">
      <c r="A1849" s="53" t="s">
        <v>21</v>
      </c>
      <c r="B1849" s="53" t="s">
        <v>39</v>
      </c>
      <c r="C1849" s="53" t="s">
        <v>23</v>
      </c>
      <c r="D1849" s="53" t="s">
        <v>43</v>
      </c>
      <c r="E1849" s="53" t="s">
        <v>25</v>
      </c>
      <c r="F1849" s="53" t="s">
        <v>25</v>
      </c>
      <c r="G1849" s="53" t="s">
        <v>25</v>
      </c>
      <c r="H1849" s="53" t="s">
        <v>25</v>
      </c>
      <c r="I1849" s="75">
        <v>44593</v>
      </c>
      <c r="J1849" s="76">
        <f>EFEITO!$J$1849*EFEITO!$Y$1849</f>
        <v>0</v>
      </c>
      <c r="K1849" s="76">
        <f ca="1">EFEITO!$L$1849*EFEITO!$Z$1849</f>
        <v>13615548.900700605</v>
      </c>
      <c r="L1849" s="76">
        <f>EFEITO!$N$1849*EFEITO!$AA$1849</f>
        <v>8283047.3753899457</v>
      </c>
      <c r="M1849" s="76">
        <f>$J$1849-EFEITO!$K$1849*EFEITO!$Y$1849</f>
        <v>0</v>
      </c>
      <c r="N1849" s="76">
        <f ca="1">$K$1849-EFEITO!$M$1849*EFEITO!$Z$1849</f>
        <v>0</v>
      </c>
      <c r="O1849" s="76">
        <f>$L$1849-EFEITO!$O$1849*EFEITO!$AA$1849</f>
        <v>0</v>
      </c>
      <c r="P1849" s="57"/>
      <c r="Q1849" s="57"/>
      <c r="R1849" s="57"/>
      <c r="S1849" s="57"/>
      <c r="T1849" s="57"/>
      <c r="U1849" s="57"/>
      <c r="V1849" s="57"/>
      <c r="W1849" s="57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</row>
    <row r="1850" spans="1:36" ht="11.25" customHeight="1" x14ac:dyDescent="0.2">
      <c r="A1850" s="53" t="s">
        <v>27</v>
      </c>
      <c r="B1850" s="53" t="s">
        <v>39</v>
      </c>
      <c r="C1850" s="53" t="s">
        <v>23</v>
      </c>
      <c r="D1850" s="53" t="s">
        <v>43</v>
      </c>
      <c r="E1850" s="53" t="s">
        <v>25</v>
      </c>
      <c r="F1850" s="53" t="s">
        <v>25</v>
      </c>
      <c r="G1850" s="53" t="s">
        <v>25</v>
      </c>
      <c r="H1850" s="53" t="s">
        <v>25</v>
      </c>
      <c r="I1850" s="75">
        <v>44593</v>
      </c>
      <c r="J1850" s="76">
        <f>EFEITO!$J$1850*EFEITO!$Y$1850</f>
        <v>0</v>
      </c>
      <c r="K1850" s="76">
        <f ca="1">EFEITO!$L$1850*EFEITO!$Z$1850</f>
        <v>-55536.577499482861</v>
      </c>
      <c r="L1850" s="76">
        <f>EFEITO!$N$1850*EFEITO!$AA$1850</f>
        <v>-33785.791953753796</v>
      </c>
      <c r="M1850" s="76">
        <f>$J$1850-EFEITO!$K$1850*EFEITO!$Y$1850</f>
        <v>0</v>
      </c>
      <c r="N1850" s="76">
        <f ca="1">$K$1850-EFEITO!$M$1850*EFEITO!$Z$1850</f>
        <v>0</v>
      </c>
      <c r="O1850" s="76">
        <f>$L$1850-EFEITO!$O$1850*EFEITO!$AA$1850</f>
        <v>0</v>
      </c>
      <c r="P1850" s="57"/>
      <c r="Q1850" s="57"/>
      <c r="R1850" s="57"/>
      <c r="S1850" s="57"/>
      <c r="T1850" s="57"/>
      <c r="U1850" s="57"/>
      <c r="V1850" s="57"/>
      <c r="W1850" s="57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</row>
    <row r="1851" spans="1:36" ht="11.25" customHeight="1" x14ac:dyDescent="0.2">
      <c r="A1851" s="53" t="s">
        <v>28</v>
      </c>
      <c r="B1851" s="53" t="s">
        <v>39</v>
      </c>
      <c r="C1851" s="53" t="s">
        <v>23</v>
      </c>
      <c r="D1851" s="53" t="s">
        <v>43</v>
      </c>
      <c r="E1851" s="53" t="s">
        <v>25</v>
      </c>
      <c r="F1851" s="53" t="s">
        <v>25</v>
      </c>
      <c r="G1851" s="53" t="s">
        <v>25</v>
      </c>
      <c r="H1851" s="53" t="s">
        <v>25</v>
      </c>
      <c r="I1851" s="75">
        <v>44593</v>
      </c>
      <c r="J1851" s="76">
        <f>EFEITO!$J$1851*EFEITO!$Y$1851</f>
        <v>0</v>
      </c>
      <c r="K1851" s="76">
        <f ca="1">EFEITO!$L$1851*EFEITO!$Z$1851</f>
        <v>778973.07041652326</v>
      </c>
      <c r="L1851" s="76">
        <f>EFEITO!$N$1851*EFEITO!$AA$1851</f>
        <v>473889.88086121308</v>
      </c>
      <c r="M1851" s="76">
        <f>$J$1851-EFEITO!$K$1851*EFEITO!$Y$1851</f>
        <v>0</v>
      </c>
      <c r="N1851" s="76">
        <f ca="1">$K$1851-EFEITO!$M$1851*EFEITO!$Z$1851</f>
        <v>0</v>
      </c>
      <c r="O1851" s="76">
        <f>$L$1851-EFEITO!$O$1851*EFEITO!$AA$1851</f>
        <v>0</v>
      </c>
      <c r="P1851" s="57"/>
      <c r="Q1851" s="57"/>
      <c r="R1851" s="57"/>
      <c r="S1851" s="57"/>
      <c r="T1851" s="57"/>
      <c r="U1851" s="57"/>
      <c r="V1851" s="57"/>
      <c r="W1851" s="57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</row>
    <row r="1852" spans="1:36" ht="11.25" customHeight="1" x14ac:dyDescent="0.2">
      <c r="A1852" s="53" t="s">
        <v>28</v>
      </c>
      <c r="B1852" s="53" t="s">
        <v>39</v>
      </c>
      <c r="C1852" s="53" t="s">
        <v>23</v>
      </c>
      <c r="D1852" s="53" t="s">
        <v>43</v>
      </c>
      <c r="E1852" s="53" t="s">
        <v>25</v>
      </c>
      <c r="F1852" s="53" t="s">
        <v>25</v>
      </c>
      <c r="G1852" s="53" t="s">
        <v>25</v>
      </c>
      <c r="H1852" s="53" t="s">
        <v>25</v>
      </c>
      <c r="I1852" s="75">
        <v>44593</v>
      </c>
      <c r="J1852" s="76">
        <f>EFEITO!$J$1852*EFEITO!$Y$1852</f>
        <v>0</v>
      </c>
      <c r="K1852" s="76">
        <f ca="1">EFEITO!$L$1852*EFEITO!$Z$1852</f>
        <v>-2499.2136472935431</v>
      </c>
      <c r="L1852" s="76">
        <f>EFEITO!$N$1852*EFEITO!$AA$1852</f>
        <v>-1520.4017989086221</v>
      </c>
      <c r="M1852" s="76">
        <f>$J$1852-EFEITO!$K$1852*EFEITO!$Y$1852</f>
        <v>0</v>
      </c>
      <c r="N1852" s="76">
        <f ca="1">$K$1852-EFEITO!$M$1852*EFEITO!$Z$1852</f>
        <v>0</v>
      </c>
      <c r="O1852" s="76">
        <f>$L$1852-EFEITO!$O$1852*EFEITO!$AA$1852</f>
        <v>0</v>
      </c>
      <c r="P1852" s="57"/>
      <c r="Q1852" s="57"/>
      <c r="R1852" s="57"/>
      <c r="S1852" s="57"/>
      <c r="T1852" s="57"/>
      <c r="U1852" s="57"/>
      <c r="V1852" s="57"/>
      <c r="W1852" s="57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</row>
    <row r="1853" spans="1:36" ht="11.25" customHeight="1" x14ac:dyDescent="0.2">
      <c r="A1853" s="53" t="s">
        <v>21</v>
      </c>
      <c r="B1853" s="53" t="s">
        <v>39</v>
      </c>
      <c r="C1853" s="53" t="s">
        <v>23</v>
      </c>
      <c r="D1853" s="53" t="s">
        <v>43</v>
      </c>
      <c r="E1853" s="53" t="s">
        <v>25</v>
      </c>
      <c r="F1853" s="53" t="s">
        <v>25</v>
      </c>
      <c r="G1853" s="53" t="s">
        <v>25</v>
      </c>
      <c r="H1853" s="53" t="s">
        <v>25</v>
      </c>
      <c r="I1853" s="75">
        <v>44621</v>
      </c>
      <c r="J1853" s="76">
        <f>EFEITO!$J$1853*EFEITO!$Y$1853</f>
        <v>0</v>
      </c>
      <c r="K1853" s="76">
        <f ca="1">EFEITO!$L$1853*EFEITO!$Z$1853</f>
        <v>14420732.917531574</v>
      </c>
      <c r="L1853" s="76">
        <f>EFEITO!$N$1853*EFEITO!$AA$1853</f>
        <v>8772882.7397926617</v>
      </c>
      <c r="M1853" s="76">
        <f>$J$1853-EFEITO!$K$1853*EFEITO!$Y$1853</f>
        <v>0</v>
      </c>
      <c r="N1853" s="76">
        <f ca="1">$K$1853-EFEITO!$M$1853*EFEITO!$Z$1853</f>
        <v>0</v>
      </c>
      <c r="O1853" s="76">
        <f>$L$1853-EFEITO!$O$1853*EFEITO!$AA$1853</f>
        <v>0</v>
      </c>
      <c r="P1853" s="57"/>
      <c r="Q1853" s="57"/>
      <c r="R1853" s="57"/>
      <c r="S1853" s="57"/>
      <c r="T1853" s="57"/>
      <c r="U1853" s="57"/>
      <c r="V1853" s="57"/>
      <c r="W1853" s="57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</row>
    <row r="1854" spans="1:36" ht="11.25" customHeight="1" x14ac:dyDescent="0.2">
      <c r="A1854" s="53" t="s">
        <v>27</v>
      </c>
      <c r="B1854" s="53" t="s">
        <v>39</v>
      </c>
      <c r="C1854" s="53" t="s">
        <v>23</v>
      </c>
      <c r="D1854" s="53" t="s">
        <v>43</v>
      </c>
      <c r="E1854" s="53" t="s">
        <v>25</v>
      </c>
      <c r="F1854" s="53" t="s">
        <v>25</v>
      </c>
      <c r="G1854" s="53" t="s">
        <v>25</v>
      </c>
      <c r="H1854" s="53" t="s">
        <v>25</v>
      </c>
      <c r="I1854" s="75">
        <v>44621</v>
      </c>
      <c r="J1854" s="76">
        <f>EFEITO!$J$1854*EFEITO!$Y$1854</f>
        <v>0</v>
      </c>
      <c r="K1854" s="76">
        <f ca="1">EFEITO!$L$1854*EFEITO!$Z$1854</f>
        <v>-138558.90568607903</v>
      </c>
      <c r="L1854" s="76">
        <f>EFEITO!$N$1854*EFEITO!$AA$1854</f>
        <v>-84292.597268768499</v>
      </c>
      <c r="M1854" s="76">
        <f>$J$1854-EFEITO!$K$1854*EFEITO!$Y$1854</f>
        <v>0</v>
      </c>
      <c r="N1854" s="76">
        <f ca="1">$K$1854-EFEITO!$M$1854*EFEITO!$Z$1854</f>
        <v>0</v>
      </c>
      <c r="O1854" s="76">
        <f>$L$1854-EFEITO!$O$1854*EFEITO!$AA$1854</f>
        <v>0</v>
      </c>
      <c r="P1854" s="57"/>
      <c r="Q1854" s="57"/>
      <c r="R1854" s="57"/>
      <c r="S1854" s="57"/>
      <c r="T1854" s="57"/>
      <c r="U1854" s="57"/>
      <c r="V1854" s="57"/>
      <c r="W1854" s="57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</row>
    <row r="1855" spans="1:36" ht="11.25" customHeight="1" x14ac:dyDescent="0.2">
      <c r="A1855" s="53" t="s">
        <v>28</v>
      </c>
      <c r="B1855" s="53" t="s">
        <v>39</v>
      </c>
      <c r="C1855" s="53" t="s">
        <v>23</v>
      </c>
      <c r="D1855" s="53" t="s">
        <v>43</v>
      </c>
      <c r="E1855" s="53" t="s">
        <v>25</v>
      </c>
      <c r="F1855" s="53" t="s">
        <v>25</v>
      </c>
      <c r="G1855" s="53" t="s">
        <v>25</v>
      </c>
      <c r="H1855" s="53" t="s">
        <v>25</v>
      </c>
      <c r="I1855" s="75">
        <v>44621</v>
      </c>
      <c r="J1855" s="76">
        <f>EFEITO!$J$1855*EFEITO!$Y$1855</f>
        <v>0</v>
      </c>
      <c r="K1855" s="76">
        <f ca="1">EFEITO!$L$1855*EFEITO!$Z$1855</f>
        <v>1026100.7846405852</v>
      </c>
      <c r="L1855" s="76">
        <f>EFEITO!$N$1855*EFEITO!$AA$1855</f>
        <v>624230.53768074117</v>
      </c>
      <c r="M1855" s="76">
        <f>$J$1855-EFEITO!$K$1855*EFEITO!$Y$1855</f>
        <v>0</v>
      </c>
      <c r="N1855" s="76">
        <f ca="1">$K$1855-EFEITO!$M$1855*EFEITO!$Z$1855</f>
        <v>0</v>
      </c>
      <c r="O1855" s="76">
        <f>$L$1855-EFEITO!$O$1855*EFEITO!$AA$1855</f>
        <v>0</v>
      </c>
      <c r="P1855" s="57"/>
      <c r="Q1855" s="57"/>
      <c r="R1855" s="57"/>
      <c r="S1855" s="57"/>
      <c r="T1855" s="57"/>
      <c r="U1855" s="57"/>
      <c r="V1855" s="57"/>
      <c r="W1855" s="57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</row>
    <row r="1856" spans="1:36" ht="11.25" customHeight="1" x14ac:dyDescent="0.2">
      <c r="A1856" s="53" t="s">
        <v>28</v>
      </c>
      <c r="B1856" s="53" t="s">
        <v>39</v>
      </c>
      <c r="C1856" s="53" t="s">
        <v>23</v>
      </c>
      <c r="D1856" s="53" t="s">
        <v>43</v>
      </c>
      <c r="E1856" s="53" t="s">
        <v>25</v>
      </c>
      <c r="F1856" s="53" t="s">
        <v>25</v>
      </c>
      <c r="G1856" s="53" t="s">
        <v>25</v>
      </c>
      <c r="H1856" s="53" t="s">
        <v>25</v>
      </c>
      <c r="I1856" s="75">
        <v>44621</v>
      </c>
      <c r="J1856" s="76">
        <f>EFEITO!$J$1856*EFEITO!$Y$1856</f>
        <v>0</v>
      </c>
      <c r="K1856" s="76">
        <f ca="1">EFEITO!$L$1856*EFEITO!$Z$1856</f>
        <v>-2606.0694959175576</v>
      </c>
      <c r="L1856" s="76">
        <f>EFEITO!$N$1856*EFEITO!$AA$1856</f>
        <v>-1585.407775747695</v>
      </c>
      <c r="M1856" s="76">
        <f>$J$1856-EFEITO!$K$1856*EFEITO!$Y$1856</f>
        <v>0</v>
      </c>
      <c r="N1856" s="76">
        <f ca="1">$K$1856-EFEITO!$M$1856*EFEITO!$Z$1856</f>
        <v>0</v>
      </c>
      <c r="O1856" s="76">
        <f>$L$1856-EFEITO!$O$1856*EFEITO!$AA$1856</f>
        <v>0</v>
      </c>
      <c r="P1856" s="57"/>
      <c r="Q1856" s="57"/>
      <c r="R1856" s="57"/>
      <c r="S1856" s="57"/>
      <c r="T1856" s="57"/>
      <c r="U1856" s="57"/>
      <c r="V1856" s="57"/>
      <c r="W1856" s="57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</row>
    <row r="1857" spans="1:36" ht="11.25" customHeight="1" x14ac:dyDescent="0.2">
      <c r="A1857" s="53" t="s">
        <v>56</v>
      </c>
      <c r="B1857" s="53" t="s">
        <v>39</v>
      </c>
      <c r="C1857" s="53" t="s">
        <v>23</v>
      </c>
      <c r="D1857" s="53" t="s">
        <v>43</v>
      </c>
      <c r="E1857" s="53" t="s">
        <v>25</v>
      </c>
      <c r="F1857" s="53" t="s">
        <v>25</v>
      </c>
      <c r="G1857" s="53" t="s">
        <v>25</v>
      </c>
      <c r="H1857" s="53" t="s">
        <v>25</v>
      </c>
      <c r="I1857" s="75">
        <v>44652</v>
      </c>
      <c r="J1857" s="76">
        <f>EFEITO!$J$1857*EFEITO!$Y$1857</f>
        <v>0</v>
      </c>
      <c r="K1857" s="76">
        <f ca="1">EFEITO!$L$1857*EFEITO!$Z$1857</f>
        <v>14420732.917531574</v>
      </c>
      <c r="L1857" s="76">
        <f>EFEITO!$N$1857*EFEITO!$AA$1857</f>
        <v>8772882.7397926617</v>
      </c>
      <c r="M1857" s="76">
        <f>$J$1857-EFEITO!$K$1857*EFEITO!$Y$1857</f>
        <v>0</v>
      </c>
      <c r="N1857" s="76">
        <f ca="1">$K$1857-EFEITO!$M$1857*EFEITO!$Z$1857</f>
        <v>0</v>
      </c>
      <c r="O1857" s="76">
        <f>$L$1857-EFEITO!$O$1857*EFEITO!$AA$1857</f>
        <v>0</v>
      </c>
      <c r="P1857" s="57"/>
      <c r="Q1857" s="57"/>
      <c r="R1857" s="57"/>
      <c r="S1857" s="57"/>
      <c r="T1857" s="57"/>
      <c r="U1857" s="57"/>
      <c r="V1857" s="57"/>
      <c r="W1857" s="57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</row>
    <row r="1858" spans="1:36" ht="11.25" customHeight="1" x14ac:dyDescent="0.2">
      <c r="A1858" s="53" t="s">
        <v>56</v>
      </c>
      <c r="B1858" s="53" t="s">
        <v>39</v>
      </c>
      <c r="C1858" s="53" t="s">
        <v>23</v>
      </c>
      <c r="D1858" s="53" t="s">
        <v>43</v>
      </c>
      <c r="E1858" s="53" t="s">
        <v>25</v>
      </c>
      <c r="F1858" s="53" t="s">
        <v>25</v>
      </c>
      <c r="G1858" s="53" t="s">
        <v>25</v>
      </c>
      <c r="H1858" s="53" t="s">
        <v>25</v>
      </c>
      <c r="I1858" s="75">
        <v>44652</v>
      </c>
      <c r="J1858" s="76">
        <f>EFEITO!$J$1858*EFEITO!$Y$1858</f>
        <v>0</v>
      </c>
      <c r="K1858" s="76">
        <f ca="1">EFEITO!$L$1858*EFEITO!$Z$1858</f>
        <v>-138558.90568607903</v>
      </c>
      <c r="L1858" s="76">
        <f>EFEITO!$N$1858*EFEITO!$AA$1858</f>
        <v>-84292.597268768499</v>
      </c>
      <c r="M1858" s="76">
        <f>$J$1858-EFEITO!$K$1858*EFEITO!$Y$1858</f>
        <v>0</v>
      </c>
      <c r="N1858" s="76">
        <f ca="1">$K$1858-EFEITO!$M$1858*EFEITO!$Z$1858</f>
        <v>0</v>
      </c>
      <c r="O1858" s="76">
        <f>$L$1858-EFEITO!$O$1858*EFEITO!$AA$1858</f>
        <v>0</v>
      </c>
      <c r="P1858" s="57"/>
      <c r="Q1858" s="57"/>
      <c r="R1858" s="57"/>
      <c r="S1858" s="57"/>
      <c r="T1858" s="57"/>
      <c r="U1858" s="57"/>
      <c r="V1858" s="57"/>
      <c r="W1858" s="57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</row>
    <row r="1859" spans="1:36" ht="11.25" customHeight="1" x14ac:dyDescent="0.2">
      <c r="A1859" s="53" t="s">
        <v>56</v>
      </c>
      <c r="B1859" s="53" t="s">
        <v>39</v>
      </c>
      <c r="C1859" s="53" t="s">
        <v>23</v>
      </c>
      <c r="D1859" s="53" t="s">
        <v>43</v>
      </c>
      <c r="E1859" s="53" t="s">
        <v>25</v>
      </c>
      <c r="F1859" s="53" t="s">
        <v>25</v>
      </c>
      <c r="G1859" s="53" t="s">
        <v>25</v>
      </c>
      <c r="H1859" s="53" t="s">
        <v>25</v>
      </c>
      <c r="I1859" s="75">
        <v>44652</v>
      </c>
      <c r="J1859" s="76">
        <f>EFEITO!$J$1859*EFEITO!$Y$1859</f>
        <v>0</v>
      </c>
      <c r="K1859" s="76">
        <f ca="1">EFEITO!$L$1859*EFEITO!$Z$1859</f>
        <v>1026100.7846405852</v>
      </c>
      <c r="L1859" s="76">
        <f>EFEITO!$N$1859*EFEITO!$AA$1859</f>
        <v>624230.53768074117</v>
      </c>
      <c r="M1859" s="76">
        <f>$J$1859-EFEITO!$K$1859*EFEITO!$Y$1859</f>
        <v>0</v>
      </c>
      <c r="N1859" s="76">
        <f ca="1">$K$1859-EFEITO!$M$1859*EFEITO!$Z$1859</f>
        <v>0</v>
      </c>
      <c r="O1859" s="76">
        <f>$L$1859-EFEITO!$O$1859*EFEITO!$AA$1859</f>
        <v>0</v>
      </c>
      <c r="P1859" s="57"/>
      <c r="Q1859" s="57"/>
      <c r="R1859" s="57"/>
      <c r="S1859" s="57"/>
      <c r="T1859" s="57"/>
      <c r="U1859" s="57"/>
      <c r="V1859" s="57"/>
      <c r="W1859" s="57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</row>
    <row r="1860" spans="1:36" ht="11.25" customHeight="1" x14ac:dyDescent="0.2">
      <c r="A1860" s="53" t="s">
        <v>56</v>
      </c>
      <c r="B1860" s="53" t="s">
        <v>39</v>
      </c>
      <c r="C1860" s="53" t="s">
        <v>23</v>
      </c>
      <c r="D1860" s="53" t="s">
        <v>43</v>
      </c>
      <c r="E1860" s="53" t="s">
        <v>25</v>
      </c>
      <c r="F1860" s="53" t="s">
        <v>25</v>
      </c>
      <c r="G1860" s="53" t="s">
        <v>25</v>
      </c>
      <c r="H1860" s="53" t="s">
        <v>25</v>
      </c>
      <c r="I1860" s="75">
        <v>44652</v>
      </c>
      <c r="J1860" s="76">
        <f>EFEITO!$J$1860*EFEITO!$Y$1860</f>
        <v>0</v>
      </c>
      <c r="K1860" s="76">
        <f ca="1">EFEITO!$L$1860*EFEITO!$Z$1860</f>
        <v>-2606.0694959175576</v>
      </c>
      <c r="L1860" s="76">
        <f>EFEITO!$N$1860*EFEITO!$AA$1860</f>
        <v>-1585.407775747695</v>
      </c>
      <c r="M1860" s="76">
        <f>$J$1860-EFEITO!$K$1860*EFEITO!$Y$1860</f>
        <v>0</v>
      </c>
      <c r="N1860" s="76">
        <f ca="1">$K$1860-EFEITO!$M$1860*EFEITO!$Z$1860</f>
        <v>0</v>
      </c>
      <c r="O1860" s="76">
        <f>$L$1860-EFEITO!$O$1860*EFEITO!$AA$1860</f>
        <v>0</v>
      </c>
      <c r="P1860" s="57"/>
      <c r="Q1860" s="57"/>
      <c r="R1860" s="57"/>
      <c r="S1860" s="57"/>
      <c r="T1860" s="57"/>
      <c r="U1860" s="57"/>
      <c r="V1860" s="57"/>
      <c r="W1860" s="57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</row>
    <row r="1861" spans="1:36" ht="11.25" customHeight="1" x14ac:dyDescent="0.2">
      <c r="A1861" s="53" t="s">
        <v>21</v>
      </c>
      <c r="B1861" s="53" t="s">
        <v>39</v>
      </c>
      <c r="C1861" s="53" t="s">
        <v>23</v>
      </c>
      <c r="D1861" s="53" t="s">
        <v>52</v>
      </c>
      <c r="E1861" s="53" t="s">
        <v>25</v>
      </c>
      <c r="F1861" s="53" t="s">
        <v>25</v>
      </c>
      <c r="G1861" s="53" t="s">
        <v>25</v>
      </c>
      <c r="H1861" s="53" t="s">
        <v>25</v>
      </c>
      <c r="I1861" s="75">
        <v>44317</v>
      </c>
      <c r="J1861" s="76">
        <f>EFEITO!$J$1861*EFEITO!$Y$1861</f>
        <v>0</v>
      </c>
      <c r="K1861" s="76">
        <f ca="1">EFEITO!$L$1861*EFEITO!$Z$1861</f>
        <v>78683.700760805397</v>
      </c>
      <c r="L1861" s="76">
        <f>EFEITO!$N$1861*EFEITO!$AA$1861</f>
        <v>47867.392334011653</v>
      </c>
      <c r="M1861" s="76">
        <f>$J$1861-EFEITO!$K$1861*EFEITO!$Y$1861</f>
        <v>0</v>
      </c>
      <c r="N1861" s="76">
        <f ca="1">$K$1861-EFEITO!$M$1861*EFEITO!$Z$1861</f>
        <v>0</v>
      </c>
      <c r="O1861" s="76">
        <f>$L$1861-EFEITO!$O$1861*EFEITO!$AA$1861</f>
        <v>0</v>
      </c>
      <c r="P1861" s="57"/>
      <c r="Q1861" s="57"/>
      <c r="R1861" s="57"/>
      <c r="S1861" s="57"/>
      <c r="T1861" s="57"/>
      <c r="U1861" s="57"/>
      <c r="V1861" s="57"/>
      <c r="W1861" s="57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</row>
    <row r="1862" spans="1:36" ht="11.25" customHeight="1" x14ac:dyDescent="0.2">
      <c r="A1862" s="53" t="s">
        <v>21</v>
      </c>
      <c r="B1862" s="53" t="s">
        <v>39</v>
      </c>
      <c r="C1862" s="53" t="s">
        <v>23</v>
      </c>
      <c r="D1862" s="53" t="s">
        <v>52</v>
      </c>
      <c r="E1862" s="53" t="s">
        <v>25</v>
      </c>
      <c r="F1862" s="53" t="s">
        <v>25</v>
      </c>
      <c r="G1862" s="53" t="s">
        <v>25</v>
      </c>
      <c r="H1862" s="53" t="s">
        <v>25</v>
      </c>
      <c r="I1862" s="75">
        <v>44348</v>
      </c>
      <c r="J1862" s="76">
        <f>EFEITO!$J$1862*EFEITO!$Y$1862</f>
        <v>0</v>
      </c>
      <c r="K1862" s="76">
        <f ca="1">EFEITO!$L$1862*EFEITO!$Z$1862</f>
        <v>69340.113368459264</v>
      </c>
      <c r="L1862" s="76">
        <f>EFEITO!$N$1862*EFEITO!$AA$1862</f>
        <v>42183.201590668439</v>
      </c>
      <c r="M1862" s="76">
        <f>$J$1862-EFEITO!$K$1862*EFEITO!$Y$1862</f>
        <v>0</v>
      </c>
      <c r="N1862" s="76">
        <f ca="1">$K$1862-EFEITO!$M$1862*EFEITO!$Z$1862</f>
        <v>0</v>
      </c>
      <c r="O1862" s="76">
        <f>$L$1862-EFEITO!$O$1862*EFEITO!$AA$1862</f>
        <v>0</v>
      </c>
      <c r="P1862" s="57"/>
      <c r="Q1862" s="57"/>
      <c r="R1862" s="57"/>
      <c r="S1862" s="57"/>
      <c r="T1862" s="57"/>
      <c r="U1862" s="57"/>
      <c r="V1862" s="57"/>
      <c r="W1862" s="57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</row>
    <row r="1863" spans="1:36" ht="11.25" customHeight="1" x14ac:dyDescent="0.2">
      <c r="A1863" s="53" t="s">
        <v>27</v>
      </c>
      <c r="B1863" s="53" t="s">
        <v>39</v>
      </c>
      <c r="C1863" s="53" t="s">
        <v>23</v>
      </c>
      <c r="D1863" s="53" t="s">
        <v>52</v>
      </c>
      <c r="E1863" s="53" t="s">
        <v>25</v>
      </c>
      <c r="F1863" s="53" t="s">
        <v>25</v>
      </c>
      <c r="G1863" s="53" t="s">
        <v>25</v>
      </c>
      <c r="H1863" s="53" t="s">
        <v>25</v>
      </c>
      <c r="I1863" s="75">
        <v>44348</v>
      </c>
      <c r="J1863" s="76">
        <f>EFEITO!$J$1863*EFEITO!$Y$1863</f>
        <v>0</v>
      </c>
      <c r="K1863" s="76">
        <f ca="1">EFEITO!$L$1863*EFEITO!$Z$1863</f>
        <v>-1021.8965436095704</v>
      </c>
      <c r="L1863" s="76">
        <f>EFEITO!$N$1863*EFEITO!$AA$1863</f>
        <v>-621.67287894135222</v>
      </c>
      <c r="M1863" s="76">
        <f>$J$1863-EFEITO!$K$1863*EFEITO!$Y$1863</f>
        <v>0</v>
      </c>
      <c r="N1863" s="76">
        <f ca="1">$K$1863-EFEITO!$M$1863*EFEITO!$Z$1863</f>
        <v>0</v>
      </c>
      <c r="O1863" s="76">
        <f>$L$1863-EFEITO!$O$1863*EFEITO!$AA$1863</f>
        <v>0</v>
      </c>
      <c r="P1863" s="57"/>
      <c r="Q1863" s="57"/>
      <c r="R1863" s="57"/>
      <c r="S1863" s="57"/>
      <c r="T1863" s="57"/>
      <c r="U1863" s="57"/>
      <c r="V1863" s="57"/>
      <c r="W1863" s="57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</row>
    <row r="1864" spans="1:36" ht="11.25" customHeight="1" x14ac:dyDescent="0.2">
      <c r="A1864" s="53" t="s">
        <v>21</v>
      </c>
      <c r="B1864" s="53" t="s">
        <v>39</v>
      </c>
      <c r="C1864" s="53" t="s">
        <v>23</v>
      </c>
      <c r="D1864" s="53" t="s">
        <v>52</v>
      </c>
      <c r="E1864" s="53" t="s">
        <v>25</v>
      </c>
      <c r="F1864" s="53" t="s">
        <v>25</v>
      </c>
      <c r="G1864" s="53" t="s">
        <v>25</v>
      </c>
      <c r="H1864" s="53" t="s">
        <v>25</v>
      </c>
      <c r="I1864" s="75">
        <v>44378</v>
      </c>
      <c r="J1864" s="76">
        <f>EFEITO!$J$1864*EFEITO!$Y$1864</f>
        <v>0</v>
      </c>
      <c r="K1864" s="76">
        <f ca="1">EFEITO!$L$1864*EFEITO!$Z$1864</f>
        <v>64073.846523172673</v>
      </c>
      <c r="L1864" s="76">
        <f>EFEITO!$N$1864*EFEITO!$AA$1864</f>
        <v>38979.457247411774</v>
      </c>
      <c r="M1864" s="76">
        <f>$J$1864-EFEITO!$K$1864*EFEITO!$Y$1864</f>
        <v>0</v>
      </c>
      <c r="N1864" s="76">
        <f ca="1">$K$1864-EFEITO!$M$1864*EFEITO!$Z$1864</f>
        <v>0</v>
      </c>
      <c r="O1864" s="76">
        <f>$L$1864-EFEITO!$O$1864*EFEITO!$AA$1864</f>
        <v>0</v>
      </c>
      <c r="P1864" s="57"/>
      <c r="Q1864" s="57"/>
      <c r="R1864" s="57"/>
      <c r="S1864" s="57"/>
      <c r="T1864" s="57"/>
      <c r="U1864" s="57"/>
      <c r="V1864" s="57"/>
      <c r="W1864" s="57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</row>
    <row r="1865" spans="1:36" ht="11.25" customHeight="1" x14ac:dyDescent="0.2">
      <c r="A1865" s="53" t="s">
        <v>21</v>
      </c>
      <c r="B1865" s="53" t="s">
        <v>39</v>
      </c>
      <c r="C1865" s="53" t="s">
        <v>23</v>
      </c>
      <c r="D1865" s="53" t="s">
        <v>52</v>
      </c>
      <c r="E1865" s="53" t="s">
        <v>25</v>
      </c>
      <c r="F1865" s="53" t="s">
        <v>25</v>
      </c>
      <c r="G1865" s="53" t="s">
        <v>25</v>
      </c>
      <c r="H1865" s="53" t="s">
        <v>25</v>
      </c>
      <c r="I1865" s="75">
        <v>44409</v>
      </c>
      <c r="J1865" s="76">
        <f>EFEITO!$J$1865*EFEITO!$Y$1865</f>
        <v>0</v>
      </c>
      <c r="K1865" s="76">
        <f ca="1">EFEITO!$L$1865*EFEITO!$Z$1865</f>
        <v>69739.072977950666</v>
      </c>
      <c r="L1865" s="76">
        <f>EFEITO!$N$1865*EFEITO!$AA$1865</f>
        <v>42425.909495460612</v>
      </c>
      <c r="M1865" s="76">
        <f>$J$1865-EFEITO!$K$1865*EFEITO!$Y$1865</f>
        <v>0</v>
      </c>
      <c r="N1865" s="76">
        <f ca="1">$K$1865-EFEITO!$M$1865*EFEITO!$Z$1865</f>
        <v>0</v>
      </c>
      <c r="O1865" s="76">
        <f>$L$1865-EFEITO!$O$1865*EFEITO!$AA$1865</f>
        <v>0</v>
      </c>
      <c r="P1865" s="57"/>
      <c r="Q1865" s="57"/>
      <c r="R1865" s="57"/>
      <c r="S1865" s="57"/>
      <c r="T1865" s="57"/>
      <c r="U1865" s="57"/>
      <c r="V1865" s="57"/>
      <c r="W1865" s="57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</row>
    <row r="1866" spans="1:36" ht="11.25" customHeight="1" x14ac:dyDescent="0.2">
      <c r="A1866" s="53" t="s">
        <v>27</v>
      </c>
      <c r="B1866" s="53" t="s">
        <v>39</v>
      </c>
      <c r="C1866" s="53" t="s">
        <v>23</v>
      </c>
      <c r="D1866" s="53" t="s">
        <v>52</v>
      </c>
      <c r="E1866" s="53" t="s">
        <v>25</v>
      </c>
      <c r="F1866" s="53" t="s">
        <v>25</v>
      </c>
      <c r="G1866" s="53" t="s">
        <v>25</v>
      </c>
      <c r="H1866" s="53" t="s">
        <v>25</v>
      </c>
      <c r="I1866" s="75">
        <v>44409</v>
      </c>
      <c r="J1866" s="76">
        <f>EFEITO!$J$1866*EFEITO!$Y$1866</f>
        <v>0</v>
      </c>
      <c r="K1866" s="76">
        <f ca="1">EFEITO!$L$1866*EFEITO!$Z$1866</f>
        <v>2513.6788495090209</v>
      </c>
      <c r="L1866" s="76">
        <f>EFEITO!$N$1866*EFEITO!$AA$1866</f>
        <v>1529.2017346379289</v>
      </c>
      <c r="M1866" s="76">
        <f>$J$1866-EFEITO!$K$1866*EFEITO!$Y$1866</f>
        <v>0</v>
      </c>
      <c r="N1866" s="76">
        <f ca="1">$K$1866-EFEITO!$M$1866*EFEITO!$Z$1866</f>
        <v>0</v>
      </c>
      <c r="O1866" s="76">
        <f>$L$1866-EFEITO!$O$1866*EFEITO!$AA$1866</f>
        <v>0</v>
      </c>
      <c r="P1866" s="57"/>
      <c r="Q1866" s="57"/>
      <c r="R1866" s="57"/>
      <c r="S1866" s="57"/>
      <c r="T1866" s="57"/>
      <c r="U1866" s="57"/>
      <c r="V1866" s="57"/>
      <c r="W1866" s="57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</row>
    <row r="1867" spans="1:36" ht="11.25" customHeight="1" x14ac:dyDescent="0.2">
      <c r="A1867" s="53" t="s">
        <v>21</v>
      </c>
      <c r="B1867" s="53" t="s">
        <v>39</v>
      </c>
      <c r="C1867" s="53" t="s">
        <v>23</v>
      </c>
      <c r="D1867" s="53" t="s">
        <v>52</v>
      </c>
      <c r="E1867" s="53" t="s">
        <v>25</v>
      </c>
      <c r="F1867" s="53" t="s">
        <v>25</v>
      </c>
      <c r="G1867" s="53" t="s">
        <v>25</v>
      </c>
      <c r="H1867" s="53" t="s">
        <v>25</v>
      </c>
      <c r="I1867" s="75">
        <v>44440</v>
      </c>
      <c r="J1867" s="76">
        <f>EFEITO!$J$1867*EFEITO!$Y$1867</f>
        <v>0</v>
      </c>
      <c r="K1867" s="76">
        <f ca="1">EFEITO!$L$1867*EFEITO!$Z$1867</f>
        <v>80696.696965888346</v>
      </c>
      <c r="L1867" s="76">
        <f>EFEITO!$N$1867*EFEITO!$AA$1867</f>
        <v>49092.002744857768</v>
      </c>
      <c r="M1867" s="76">
        <f>$J$1867-EFEITO!$K$1867*EFEITO!$Y$1867</f>
        <v>0</v>
      </c>
      <c r="N1867" s="76">
        <f ca="1">$K$1867-EFEITO!$M$1867*EFEITO!$Z$1867</f>
        <v>0</v>
      </c>
      <c r="O1867" s="76">
        <f>$L$1867-EFEITO!$O$1867*EFEITO!$AA$1867</f>
        <v>0</v>
      </c>
      <c r="P1867" s="57"/>
      <c r="Q1867" s="57"/>
      <c r="R1867" s="57"/>
      <c r="S1867" s="57"/>
      <c r="T1867" s="57"/>
      <c r="U1867" s="57"/>
      <c r="V1867" s="57"/>
      <c r="W1867" s="57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</row>
    <row r="1868" spans="1:36" ht="11.25" customHeight="1" x14ac:dyDescent="0.2">
      <c r="A1868" s="53" t="s">
        <v>27</v>
      </c>
      <c r="B1868" s="53" t="s">
        <v>39</v>
      </c>
      <c r="C1868" s="53" t="s">
        <v>23</v>
      </c>
      <c r="D1868" s="53" t="s">
        <v>52</v>
      </c>
      <c r="E1868" s="53" t="s">
        <v>25</v>
      </c>
      <c r="F1868" s="53" t="s">
        <v>25</v>
      </c>
      <c r="G1868" s="53" t="s">
        <v>25</v>
      </c>
      <c r="H1868" s="53" t="s">
        <v>25</v>
      </c>
      <c r="I1868" s="75">
        <v>44440</v>
      </c>
      <c r="J1868" s="76">
        <f>EFEITO!$J$1868*EFEITO!$Y$1868</f>
        <v>0</v>
      </c>
      <c r="K1868" s="76">
        <f ca="1">EFEITO!$L$1868*EFEITO!$Z$1868</f>
        <v>992.03290032600307</v>
      </c>
      <c r="L1868" s="76">
        <f>EFEITO!$N$1868*EFEITO!$AA$1868</f>
        <v>603.50526969375107</v>
      </c>
      <c r="M1868" s="76">
        <f>$J$1868-EFEITO!$K$1868*EFEITO!$Y$1868</f>
        <v>0</v>
      </c>
      <c r="N1868" s="76">
        <f ca="1">$K$1868-EFEITO!$M$1868*EFEITO!$Z$1868</f>
        <v>0</v>
      </c>
      <c r="O1868" s="76">
        <f>$L$1868-EFEITO!$O$1868*EFEITO!$AA$1868</f>
        <v>0</v>
      </c>
      <c r="P1868" s="57"/>
      <c r="Q1868" s="57"/>
      <c r="R1868" s="57"/>
      <c r="S1868" s="57"/>
      <c r="T1868" s="57"/>
      <c r="U1868" s="57"/>
      <c r="V1868" s="57"/>
      <c r="W1868" s="57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</row>
    <row r="1869" spans="1:36" ht="11.25" customHeight="1" x14ac:dyDescent="0.2">
      <c r="A1869" s="53" t="s">
        <v>21</v>
      </c>
      <c r="B1869" s="53" t="s">
        <v>39</v>
      </c>
      <c r="C1869" s="53" t="s">
        <v>23</v>
      </c>
      <c r="D1869" s="53" t="s">
        <v>52</v>
      </c>
      <c r="E1869" s="53" t="s">
        <v>25</v>
      </c>
      <c r="F1869" s="53" t="s">
        <v>25</v>
      </c>
      <c r="G1869" s="53" t="s">
        <v>25</v>
      </c>
      <c r="H1869" s="53" t="s">
        <v>25</v>
      </c>
      <c r="I1869" s="75">
        <v>44470</v>
      </c>
      <c r="J1869" s="76">
        <f>EFEITO!$J$1869*EFEITO!$Y$1869</f>
        <v>0</v>
      </c>
      <c r="K1869" s="76">
        <f ca="1">EFEITO!$L$1869*EFEITO!$Z$1869</f>
        <v>85282.166068194856</v>
      </c>
      <c r="L1869" s="76">
        <f>EFEITO!$N$1869*EFEITO!$AA$1869</f>
        <v>51881.582371048025</v>
      </c>
      <c r="M1869" s="76">
        <f>$J$1869-EFEITO!$K$1869*EFEITO!$Y$1869</f>
        <v>0</v>
      </c>
      <c r="N1869" s="76">
        <f ca="1">$K$1869-EFEITO!$M$1869*EFEITO!$Z$1869</f>
        <v>0</v>
      </c>
      <c r="O1869" s="76">
        <f>$L$1869-EFEITO!$O$1869*EFEITO!$AA$1869</f>
        <v>0</v>
      </c>
      <c r="P1869" s="57"/>
      <c r="Q1869" s="57"/>
      <c r="R1869" s="57"/>
      <c r="S1869" s="57"/>
      <c r="T1869" s="57"/>
      <c r="U1869" s="57"/>
      <c r="V1869" s="57"/>
      <c r="W1869" s="57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</row>
    <row r="1870" spans="1:36" ht="11.25" customHeight="1" x14ac:dyDescent="0.2">
      <c r="A1870" s="53" t="s">
        <v>27</v>
      </c>
      <c r="B1870" s="53" t="s">
        <v>39</v>
      </c>
      <c r="C1870" s="53" t="s">
        <v>23</v>
      </c>
      <c r="D1870" s="53" t="s">
        <v>52</v>
      </c>
      <c r="E1870" s="53" t="s">
        <v>25</v>
      </c>
      <c r="F1870" s="53" t="s">
        <v>25</v>
      </c>
      <c r="G1870" s="53" t="s">
        <v>25</v>
      </c>
      <c r="H1870" s="53" t="s">
        <v>25</v>
      </c>
      <c r="I1870" s="75">
        <v>44470</v>
      </c>
      <c r="J1870" s="76">
        <f>EFEITO!$J$1870*EFEITO!$Y$1870</f>
        <v>0</v>
      </c>
      <c r="K1870" s="76">
        <f ca="1">EFEITO!$L$1870*EFEITO!$Z$1870</f>
        <v>-579.54132747172901</v>
      </c>
      <c r="L1870" s="76">
        <f>EFEITO!$N$1870*EFEITO!$AA$1870</f>
        <v>-352.56516696126005</v>
      </c>
      <c r="M1870" s="76">
        <f>$J$1870-EFEITO!$K$1870*EFEITO!$Y$1870</f>
        <v>0</v>
      </c>
      <c r="N1870" s="76">
        <f ca="1">$K$1870-EFEITO!$M$1870*EFEITO!$Z$1870</f>
        <v>0</v>
      </c>
      <c r="O1870" s="76">
        <f>$L$1870-EFEITO!$O$1870*EFEITO!$AA$1870</f>
        <v>0</v>
      </c>
      <c r="P1870" s="57"/>
      <c r="Q1870" s="57"/>
      <c r="R1870" s="57"/>
      <c r="S1870" s="57"/>
      <c r="T1870" s="57"/>
      <c r="U1870" s="57"/>
      <c r="V1870" s="57"/>
      <c r="W1870" s="57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</row>
    <row r="1871" spans="1:36" ht="11.25" customHeight="1" x14ac:dyDescent="0.2">
      <c r="A1871" s="53" t="s">
        <v>21</v>
      </c>
      <c r="B1871" s="53" t="s">
        <v>39</v>
      </c>
      <c r="C1871" s="53" t="s">
        <v>23</v>
      </c>
      <c r="D1871" s="53" t="s">
        <v>52</v>
      </c>
      <c r="E1871" s="53" t="s">
        <v>25</v>
      </c>
      <c r="F1871" s="53" t="s">
        <v>25</v>
      </c>
      <c r="G1871" s="53" t="s">
        <v>25</v>
      </c>
      <c r="H1871" s="53" t="s">
        <v>25</v>
      </c>
      <c r="I1871" s="75">
        <v>44501</v>
      </c>
      <c r="J1871" s="76">
        <f>EFEITO!$J$1871*EFEITO!$Y$1871</f>
        <v>0</v>
      </c>
      <c r="K1871" s="76">
        <f ca="1">EFEITO!$L$1871*EFEITO!$Z$1871</f>
        <v>93276.7566990911</v>
      </c>
      <c r="L1871" s="76">
        <f>EFEITO!$N$1871*EFEITO!$AA$1871</f>
        <v>56745.108140409757</v>
      </c>
      <c r="M1871" s="76">
        <f>$J$1871-EFEITO!$K$1871*EFEITO!$Y$1871</f>
        <v>0</v>
      </c>
      <c r="N1871" s="76">
        <f ca="1">$K$1871-EFEITO!$M$1871*EFEITO!$Z$1871</f>
        <v>0</v>
      </c>
      <c r="O1871" s="76">
        <f>$L$1871-EFEITO!$O$1871*EFEITO!$AA$1871</f>
        <v>0</v>
      </c>
      <c r="P1871" s="57"/>
      <c r="Q1871" s="57"/>
      <c r="R1871" s="57"/>
      <c r="S1871" s="57"/>
      <c r="T1871" s="57"/>
      <c r="U1871" s="57"/>
      <c r="V1871" s="57"/>
      <c r="W1871" s="57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</row>
    <row r="1872" spans="1:36" ht="11.25" customHeight="1" x14ac:dyDescent="0.2">
      <c r="A1872" s="53" t="s">
        <v>27</v>
      </c>
      <c r="B1872" s="53" t="s">
        <v>39</v>
      </c>
      <c r="C1872" s="53" t="s">
        <v>23</v>
      </c>
      <c r="D1872" s="53" t="s">
        <v>52</v>
      </c>
      <c r="E1872" s="53" t="s">
        <v>25</v>
      </c>
      <c r="F1872" s="53" t="s">
        <v>25</v>
      </c>
      <c r="G1872" s="53" t="s">
        <v>25</v>
      </c>
      <c r="H1872" s="53" t="s">
        <v>25</v>
      </c>
      <c r="I1872" s="75">
        <v>44501</v>
      </c>
      <c r="J1872" s="76">
        <f>EFEITO!$J$1872*EFEITO!$Y$1872</f>
        <v>0</v>
      </c>
      <c r="K1872" s="76">
        <f ca="1">EFEITO!$L$1872*EFEITO!$Z$1872</f>
        <v>961.23601818982422</v>
      </c>
      <c r="L1872" s="76">
        <f>EFEITO!$N$1872*EFEITO!$AA$1872</f>
        <v>584.7699226571624</v>
      </c>
      <c r="M1872" s="76">
        <f>$J$1872-EFEITO!$K$1872*EFEITO!$Y$1872</f>
        <v>0</v>
      </c>
      <c r="N1872" s="76">
        <f ca="1">$K$1872-EFEITO!$M$1872*EFEITO!$Z$1872</f>
        <v>0</v>
      </c>
      <c r="O1872" s="76">
        <f>$L$1872-EFEITO!$O$1872*EFEITO!$AA$1872</f>
        <v>0</v>
      </c>
      <c r="P1872" s="57"/>
      <c r="Q1872" s="57"/>
      <c r="R1872" s="57"/>
      <c r="S1872" s="57"/>
      <c r="T1872" s="57"/>
      <c r="U1872" s="57"/>
      <c r="V1872" s="57"/>
      <c r="W1872" s="57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</row>
    <row r="1873" spans="1:36" ht="11.25" customHeight="1" x14ac:dyDescent="0.2">
      <c r="A1873" s="53" t="s">
        <v>21</v>
      </c>
      <c r="B1873" s="53" t="s">
        <v>39</v>
      </c>
      <c r="C1873" s="53" t="s">
        <v>23</v>
      </c>
      <c r="D1873" s="53" t="s">
        <v>52</v>
      </c>
      <c r="E1873" s="53" t="s">
        <v>25</v>
      </c>
      <c r="F1873" s="53" t="s">
        <v>25</v>
      </c>
      <c r="G1873" s="53" t="s">
        <v>25</v>
      </c>
      <c r="H1873" s="53" t="s">
        <v>25</v>
      </c>
      <c r="I1873" s="75">
        <v>44531</v>
      </c>
      <c r="J1873" s="76">
        <f>EFEITO!$J$1873*EFEITO!$Y$1873</f>
        <v>0</v>
      </c>
      <c r="K1873" s="76">
        <f ca="1">EFEITO!$L$1873*EFEITO!$Z$1873</f>
        <v>1157722.4593157768</v>
      </c>
      <c r="L1873" s="76">
        <f>EFEITO!$N$1873*EFEITO!$AA$1873</f>
        <v>704302.85609507072</v>
      </c>
      <c r="M1873" s="76">
        <f>$J$1873-EFEITO!$K$1873*EFEITO!$Y$1873</f>
        <v>0</v>
      </c>
      <c r="N1873" s="76">
        <f ca="1">$K$1873-EFEITO!$M$1873*EFEITO!$Z$1873</f>
        <v>0</v>
      </c>
      <c r="O1873" s="76">
        <f>$L$1873-EFEITO!$O$1873*EFEITO!$AA$1873</f>
        <v>0</v>
      </c>
      <c r="P1873" s="57"/>
      <c r="Q1873" s="57"/>
      <c r="R1873" s="57"/>
      <c r="S1873" s="57"/>
      <c r="T1873" s="57"/>
      <c r="U1873" s="57"/>
      <c r="V1873" s="57"/>
      <c r="W1873" s="57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</row>
    <row r="1874" spans="1:36" ht="11.25" customHeight="1" x14ac:dyDescent="0.2">
      <c r="A1874" s="53" t="s">
        <v>21</v>
      </c>
      <c r="B1874" s="53" t="s">
        <v>39</v>
      </c>
      <c r="C1874" s="53" t="s">
        <v>23</v>
      </c>
      <c r="D1874" s="53" t="s">
        <v>52</v>
      </c>
      <c r="E1874" s="53" t="s">
        <v>25</v>
      </c>
      <c r="F1874" s="53" t="s">
        <v>25</v>
      </c>
      <c r="G1874" s="53" t="s">
        <v>25</v>
      </c>
      <c r="H1874" s="53" t="s">
        <v>25</v>
      </c>
      <c r="I1874" s="75">
        <v>44562</v>
      </c>
      <c r="J1874" s="76">
        <f>EFEITO!$J$1874*EFEITO!$Y$1874</f>
        <v>0</v>
      </c>
      <c r="K1874" s="76">
        <f ca="1">EFEITO!$L$1874*EFEITO!$Z$1874</f>
        <v>110605.13571438106</v>
      </c>
      <c r="L1874" s="76">
        <f>EFEITO!$N$1874*EFEITO!$AA$1874</f>
        <v>67286.863406330333</v>
      </c>
      <c r="M1874" s="76">
        <f>$J$1874-EFEITO!$K$1874*EFEITO!$Y$1874</f>
        <v>0</v>
      </c>
      <c r="N1874" s="76">
        <f ca="1">$K$1874-EFEITO!$M$1874*EFEITO!$Z$1874</f>
        <v>0</v>
      </c>
      <c r="O1874" s="76">
        <f>$L$1874-EFEITO!$O$1874*EFEITO!$AA$1874</f>
        <v>0</v>
      </c>
      <c r="P1874" s="57"/>
      <c r="Q1874" s="57"/>
      <c r="R1874" s="57"/>
      <c r="S1874" s="57"/>
      <c r="T1874" s="57"/>
      <c r="U1874" s="57"/>
      <c r="V1874" s="57"/>
      <c r="W1874" s="57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</row>
    <row r="1875" spans="1:36" ht="11.25" customHeight="1" x14ac:dyDescent="0.2">
      <c r="A1875" s="53" t="s">
        <v>21</v>
      </c>
      <c r="B1875" s="53" t="s">
        <v>39</v>
      </c>
      <c r="C1875" s="53" t="s">
        <v>23</v>
      </c>
      <c r="D1875" s="53" t="s">
        <v>52</v>
      </c>
      <c r="E1875" s="53" t="s">
        <v>25</v>
      </c>
      <c r="F1875" s="53" t="s">
        <v>25</v>
      </c>
      <c r="G1875" s="53" t="s">
        <v>25</v>
      </c>
      <c r="H1875" s="53" t="s">
        <v>25</v>
      </c>
      <c r="I1875" s="75">
        <v>44593</v>
      </c>
      <c r="J1875" s="76">
        <f>EFEITO!$J$1875*EFEITO!$Y$1875</f>
        <v>0</v>
      </c>
      <c r="K1875" s="76">
        <f ca="1">EFEITO!$L$1875*EFEITO!$Z$1875</f>
        <v>108727.92576235307</v>
      </c>
      <c r="L1875" s="76">
        <f>EFEITO!$N$1875*EFEITO!$AA$1875</f>
        <v>66144.858843781898</v>
      </c>
      <c r="M1875" s="76">
        <f>$J$1875-EFEITO!$K$1875*EFEITO!$Y$1875</f>
        <v>0</v>
      </c>
      <c r="N1875" s="76">
        <f ca="1">$K$1875-EFEITO!$M$1875*EFEITO!$Z$1875</f>
        <v>0</v>
      </c>
      <c r="O1875" s="76">
        <f>$L$1875-EFEITO!$O$1875*EFEITO!$AA$1875</f>
        <v>0</v>
      </c>
      <c r="P1875" s="57"/>
      <c r="Q1875" s="57"/>
      <c r="R1875" s="57"/>
      <c r="S1875" s="57"/>
      <c r="T1875" s="57"/>
      <c r="U1875" s="57"/>
      <c r="V1875" s="57"/>
      <c r="W1875" s="57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</row>
    <row r="1876" spans="1:36" ht="11.25" customHeight="1" x14ac:dyDescent="0.2">
      <c r="A1876" s="53" t="s">
        <v>27</v>
      </c>
      <c r="B1876" s="53" t="s">
        <v>39</v>
      </c>
      <c r="C1876" s="53" t="s">
        <v>23</v>
      </c>
      <c r="D1876" s="53" t="s">
        <v>52</v>
      </c>
      <c r="E1876" s="53" t="s">
        <v>25</v>
      </c>
      <c r="F1876" s="53" t="s">
        <v>25</v>
      </c>
      <c r="G1876" s="53" t="s">
        <v>25</v>
      </c>
      <c r="H1876" s="53" t="s">
        <v>25</v>
      </c>
      <c r="I1876" s="75">
        <v>44593</v>
      </c>
      <c r="J1876" s="76">
        <f>EFEITO!$J$1876*EFEITO!$Y$1876</f>
        <v>0</v>
      </c>
      <c r="K1876" s="76">
        <f ca="1">EFEITO!$L$1876*EFEITO!$Z$1876</f>
        <v>1926.2049917900945</v>
      </c>
      <c r="L1876" s="76">
        <f>EFEITO!$N$1876*EFEITO!$AA$1876</f>
        <v>1171.8107964702749</v>
      </c>
      <c r="M1876" s="76">
        <f>$J$1876-EFEITO!$K$1876*EFEITO!$Y$1876</f>
        <v>0</v>
      </c>
      <c r="N1876" s="76">
        <f ca="1">$K$1876-EFEITO!$M$1876*EFEITO!$Z$1876</f>
        <v>0</v>
      </c>
      <c r="O1876" s="76">
        <f>$L$1876-EFEITO!$O$1876*EFEITO!$AA$1876</f>
        <v>0</v>
      </c>
      <c r="P1876" s="57"/>
      <c r="Q1876" s="57"/>
      <c r="R1876" s="57"/>
      <c r="S1876" s="57"/>
      <c r="T1876" s="57"/>
      <c r="U1876" s="57"/>
      <c r="V1876" s="57"/>
      <c r="W1876" s="57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</row>
    <row r="1877" spans="1:36" ht="11.25" customHeight="1" x14ac:dyDescent="0.2">
      <c r="A1877" s="53" t="s">
        <v>21</v>
      </c>
      <c r="B1877" s="53" t="s">
        <v>39</v>
      </c>
      <c r="C1877" s="53" t="s">
        <v>23</v>
      </c>
      <c r="D1877" s="53" t="s">
        <v>52</v>
      </c>
      <c r="E1877" s="53" t="s">
        <v>25</v>
      </c>
      <c r="F1877" s="53" t="s">
        <v>25</v>
      </c>
      <c r="G1877" s="53" t="s">
        <v>25</v>
      </c>
      <c r="H1877" s="53" t="s">
        <v>25</v>
      </c>
      <c r="I1877" s="75">
        <v>44621</v>
      </c>
      <c r="J1877" s="76">
        <f>EFEITO!$J$1877*EFEITO!$Y$1877</f>
        <v>0</v>
      </c>
      <c r="K1877" s="76">
        <f ca="1">EFEITO!$L$1877*EFEITO!$Z$1877</f>
        <v>107730.7600483377</v>
      </c>
      <c r="L1877" s="76">
        <f>EFEITO!$N$1877*EFEITO!$AA$1877</f>
        <v>65538.231016248727</v>
      </c>
      <c r="M1877" s="76">
        <f>$J$1877-EFEITO!$K$1877*EFEITO!$Y$1877</f>
        <v>0</v>
      </c>
      <c r="N1877" s="76">
        <f ca="1">$K$1877-EFEITO!$M$1877*EFEITO!$Z$1877</f>
        <v>0</v>
      </c>
      <c r="O1877" s="76">
        <f>$L$1877-EFEITO!$O$1877*EFEITO!$AA$1877</f>
        <v>0</v>
      </c>
      <c r="P1877" s="57"/>
      <c r="Q1877" s="57"/>
      <c r="R1877" s="57"/>
      <c r="S1877" s="57"/>
      <c r="T1877" s="57"/>
      <c r="U1877" s="57"/>
      <c r="V1877" s="57"/>
      <c r="W1877" s="57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</row>
    <row r="1878" spans="1:36" ht="11.25" customHeight="1" x14ac:dyDescent="0.2">
      <c r="A1878" s="53" t="s">
        <v>27</v>
      </c>
      <c r="B1878" s="53" t="s">
        <v>39</v>
      </c>
      <c r="C1878" s="53" t="s">
        <v>23</v>
      </c>
      <c r="D1878" s="53" t="s">
        <v>52</v>
      </c>
      <c r="E1878" s="53" t="s">
        <v>25</v>
      </c>
      <c r="F1878" s="53" t="s">
        <v>25</v>
      </c>
      <c r="G1878" s="53" t="s">
        <v>25</v>
      </c>
      <c r="H1878" s="53" t="s">
        <v>25</v>
      </c>
      <c r="I1878" s="75">
        <v>44621</v>
      </c>
      <c r="J1878" s="76">
        <f>EFEITO!$J$1878*EFEITO!$Y$1878</f>
        <v>0</v>
      </c>
      <c r="K1878" s="76">
        <f ca="1">EFEITO!$L$1878*EFEITO!$Z$1878</f>
        <v>64204.499962538284</v>
      </c>
      <c r="L1878" s="76">
        <f>EFEITO!$N$1878*EFEITO!$AA$1878</f>
        <v>39058.940537870032</v>
      </c>
      <c r="M1878" s="76">
        <f>$J$1878-EFEITO!$K$1878*EFEITO!$Y$1878</f>
        <v>0</v>
      </c>
      <c r="N1878" s="76">
        <f ca="1">$K$1878-EFEITO!$M$1878*EFEITO!$Z$1878</f>
        <v>0</v>
      </c>
      <c r="O1878" s="76">
        <f>$L$1878-EFEITO!$O$1878*EFEITO!$AA$1878</f>
        <v>0</v>
      </c>
      <c r="P1878" s="57"/>
      <c r="Q1878" s="57"/>
      <c r="R1878" s="57"/>
      <c r="S1878" s="57"/>
      <c r="T1878" s="57"/>
      <c r="U1878" s="57"/>
      <c r="V1878" s="57"/>
      <c r="W1878" s="57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</row>
    <row r="1879" spans="1:36" ht="11.25" customHeight="1" x14ac:dyDescent="0.2">
      <c r="A1879" s="53" t="s">
        <v>56</v>
      </c>
      <c r="B1879" s="53" t="s">
        <v>39</v>
      </c>
      <c r="C1879" s="53" t="s">
        <v>23</v>
      </c>
      <c r="D1879" s="53" t="s">
        <v>52</v>
      </c>
      <c r="E1879" s="53" t="s">
        <v>25</v>
      </c>
      <c r="F1879" s="53" t="s">
        <v>25</v>
      </c>
      <c r="G1879" s="53" t="s">
        <v>25</v>
      </c>
      <c r="H1879" s="53" t="s">
        <v>25</v>
      </c>
      <c r="I1879" s="75">
        <v>44652</v>
      </c>
      <c r="J1879" s="76">
        <f>EFEITO!$J$1879*EFEITO!$Y$1879</f>
        <v>0</v>
      </c>
      <c r="K1879" s="76">
        <f ca="1">EFEITO!$L$1879*EFEITO!$Z$1879</f>
        <v>107730.7600483377</v>
      </c>
      <c r="L1879" s="76">
        <f>EFEITO!$N$1879*EFEITO!$AA$1879</f>
        <v>65538.231016248727</v>
      </c>
      <c r="M1879" s="76">
        <f>$J$1879-EFEITO!$K$1879*EFEITO!$Y$1879</f>
        <v>0</v>
      </c>
      <c r="N1879" s="76">
        <f ca="1">$K$1879-EFEITO!$M$1879*EFEITO!$Z$1879</f>
        <v>0</v>
      </c>
      <c r="O1879" s="76">
        <f>$L$1879-EFEITO!$O$1879*EFEITO!$AA$1879</f>
        <v>0</v>
      </c>
      <c r="P1879" s="57"/>
      <c r="Q1879" s="57"/>
      <c r="R1879" s="57"/>
      <c r="S1879" s="57"/>
      <c r="T1879" s="57"/>
      <c r="U1879" s="57"/>
      <c r="V1879" s="57"/>
      <c r="W1879" s="57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</row>
    <row r="1880" spans="1:36" ht="11.25" customHeight="1" x14ac:dyDescent="0.2">
      <c r="A1880" s="53" t="s">
        <v>56</v>
      </c>
      <c r="B1880" s="53" t="s">
        <v>39</v>
      </c>
      <c r="C1880" s="53" t="s">
        <v>23</v>
      </c>
      <c r="D1880" s="53" t="s">
        <v>52</v>
      </c>
      <c r="E1880" s="53" t="s">
        <v>25</v>
      </c>
      <c r="F1880" s="53" t="s">
        <v>25</v>
      </c>
      <c r="G1880" s="53" t="s">
        <v>25</v>
      </c>
      <c r="H1880" s="53" t="s">
        <v>25</v>
      </c>
      <c r="I1880" s="75">
        <v>44652</v>
      </c>
      <c r="J1880" s="76">
        <f>EFEITO!$J$1880*EFEITO!$Y$1880</f>
        <v>0</v>
      </c>
      <c r="K1880" s="76">
        <f ca="1">EFEITO!$L$1880*EFEITO!$Z$1880</f>
        <v>64204.499962538284</v>
      </c>
      <c r="L1880" s="76">
        <f>EFEITO!$N$1880*EFEITO!$AA$1880</f>
        <v>39058.940537870032</v>
      </c>
      <c r="M1880" s="76">
        <f>$J$1880-EFEITO!$K$1880*EFEITO!$Y$1880</f>
        <v>0</v>
      </c>
      <c r="N1880" s="76">
        <f ca="1">$K$1880-EFEITO!$M$1880*EFEITO!$Z$1880</f>
        <v>0</v>
      </c>
      <c r="O1880" s="76">
        <f>$L$1880-EFEITO!$O$1880*EFEITO!$AA$1880</f>
        <v>0</v>
      </c>
      <c r="P1880" s="57"/>
      <c r="Q1880" s="57"/>
      <c r="R1880" s="57"/>
      <c r="S1880" s="57"/>
      <c r="T1880" s="57"/>
      <c r="U1880" s="57"/>
      <c r="V1880" s="57"/>
      <c r="W1880" s="57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</row>
    <row r="1881" spans="1:36" ht="11.25" customHeight="1" x14ac:dyDescent="0.2">
      <c r="A1881" s="53" t="s">
        <v>21</v>
      </c>
      <c r="B1881" s="53" t="s">
        <v>39</v>
      </c>
      <c r="C1881" s="53" t="s">
        <v>23</v>
      </c>
      <c r="D1881" s="53" t="s">
        <v>40</v>
      </c>
      <c r="E1881" s="53" t="s">
        <v>25</v>
      </c>
      <c r="F1881" s="53" t="s">
        <v>25</v>
      </c>
      <c r="G1881" s="53" t="s">
        <v>25</v>
      </c>
      <c r="H1881" s="53" t="s">
        <v>25</v>
      </c>
      <c r="I1881" s="75">
        <v>44317</v>
      </c>
      <c r="J1881" s="76">
        <f>EFEITO!$J$1881*EFEITO!$Y$1881</f>
        <v>0</v>
      </c>
      <c r="K1881" s="76">
        <f ca="1">EFEITO!$L$1881*EFEITO!$Z$1881</f>
        <v>702577.67132232129</v>
      </c>
      <c r="L1881" s="76">
        <f>EFEITO!$N$1881*EFEITO!$AA$1881</f>
        <v>427414.58158579882</v>
      </c>
      <c r="M1881" s="76">
        <f>$J$1881-EFEITO!$K$1881*EFEITO!$Y$1881</f>
        <v>0</v>
      </c>
      <c r="N1881" s="76">
        <f ca="1">$K$1881-EFEITO!$M$1881*EFEITO!$Z$1881</f>
        <v>0</v>
      </c>
      <c r="O1881" s="76">
        <f>$L$1881-EFEITO!$O$1881*EFEITO!$AA$1881</f>
        <v>0</v>
      </c>
      <c r="P1881" s="57"/>
      <c r="Q1881" s="57"/>
      <c r="R1881" s="57"/>
      <c r="S1881" s="57"/>
      <c r="T1881" s="57"/>
      <c r="U1881" s="57"/>
      <c r="V1881" s="57"/>
      <c r="W1881" s="57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</row>
    <row r="1882" spans="1:36" ht="11.25" customHeight="1" x14ac:dyDescent="0.2">
      <c r="A1882" s="53" t="s">
        <v>27</v>
      </c>
      <c r="B1882" s="53" t="s">
        <v>39</v>
      </c>
      <c r="C1882" s="53" t="s">
        <v>23</v>
      </c>
      <c r="D1882" s="53" t="s">
        <v>40</v>
      </c>
      <c r="E1882" s="53" t="s">
        <v>25</v>
      </c>
      <c r="F1882" s="53" t="s">
        <v>25</v>
      </c>
      <c r="G1882" s="53" t="s">
        <v>25</v>
      </c>
      <c r="H1882" s="53" t="s">
        <v>25</v>
      </c>
      <c r="I1882" s="75">
        <v>44317</v>
      </c>
      <c r="J1882" s="76">
        <f>EFEITO!$J$1882*EFEITO!$Y$1882</f>
        <v>0</v>
      </c>
      <c r="K1882" s="76">
        <f ca="1">EFEITO!$L$1882*EFEITO!$Z$1882</f>
        <v>-80647.701926126261</v>
      </c>
      <c r="L1882" s="76">
        <f>EFEITO!$N$1882*EFEITO!$AA$1882</f>
        <v>-49062.196510935923</v>
      </c>
      <c r="M1882" s="76">
        <f>$J$1882-EFEITO!$K$1882*EFEITO!$Y$1882</f>
        <v>0</v>
      </c>
      <c r="N1882" s="76">
        <f ca="1">$K$1882-EFEITO!$M$1882*EFEITO!$Z$1882</f>
        <v>0</v>
      </c>
      <c r="O1882" s="76">
        <f>$L$1882-EFEITO!$O$1882*EFEITO!$AA$1882</f>
        <v>0</v>
      </c>
      <c r="P1882" s="57"/>
      <c r="Q1882" s="57"/>
      <c r="R1882" s="57"/>
      <c r="S1882" s="57"/>
      <c r="T1882" s="57"/>
      <c r="U1882" s="57"/>
      <c r="V1882" s="57"/>
      <c r="W1882" s="57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</row>
    <row r="1883" spans="1:36" ht="11.25" customHeight="1" x14ac:dyDescent="0.2">
      <c r="A1883" s="53" t="s">
        <v>28</v>
      </c>
      <c r="B1883" s="53" t="s">
        <v>39</v>
      </c>
      <c r="C1883" s="53" t="s">
        <v>23</v>
      </c>
      <c r="D1883" s="53" t="s">
        <v>40</v>
      </c>
      <c r="E1883" s="53" t="s">
        <v>25</v>
      </c>
      <c r="F1883" s="53" t="s">
        <v>25</v>
      </c>
      <c r="G1883" s="53" t="s">
        <v>25</v>
      </c>
      <c r="H1883" s="53" t="s">
        <v>25</v>
      </c>
      <c r="I1883" s="75">
        <v>44317</v>
      </c>
      <c r="J1883" s="76">
        <f>EFEITO!$J$1883*EFEITO!$Y$1883</f>
        <v>0</v>
      </c>
      <c r="K1883" s="76">
        <f ca="1">EFEITO!$L$1883*EFEITO!$Z$1883</f>
        <v>29312.099121673968</v>
      </c>
      <c r="L1883" s="76">
        <f>EFEITO!$N$1883*EFEITO!$AA$1883</f>
        <v>17832.076214309527</v>
      </c>
      <c r="M1883" s="76">
        <f>$J$1883-EFEITO!$K$1883*EFEITO!$Y$1883</f>
        <v>0</v>
      </c>
      <c r="N1883" s="76">
        <f ca="1">$K$1883-EFEITO!$M$1883*EFEITO!$Z$1883</f>
        <v>0</v>
      </c>
      <c r="O1883" s="76">
        <f>$L$1883-EFEITO!$O$1883*EFEITO!$AA$1883</f>
        <v>0</v>
      </c>
      <c r="P1883" s="57"/>
      <c r="Q1883" s="57"/>
      <c r="R1883" s="57"/>
      <c r="S1883" s="57"/>
      <c r="T1883" s="57"/>
      <c r="U1883" s="57"/>
      <c r="V1883" s="57"/>
      <c r="W1883" s="57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</row>
    <row r="1884" spans="1:36" ht="11.25" customHeight="1" x14ac:dyDescent="0.2">
      <c r="A1884" s="53" t="s">
        <v>21</v>
      </c>
      <c r="B1884" s="53" t="s">
        <v>39</v>
      </c>
      <c r="C1884" s="53" t="s">
        <v>23</v>
      </c>
      <c r="D1884" s="53" t="s">
        <v>40</v>
      </c>
      <c r="E1884" s="53" t="s">
        <v>25</v>
      </c>
      <c r="F1884" s="53" t="s">
        <v>25</v>
      </c>
      <c r="G1884" s="53" t="s">
        <v>25</v>
      </c>
      <c r="H1884" s="53" t="s">
        <v>25</v>
      </c>
      <c r="I1884" s="75">
        <v>44348</v>
      </c>
      <c r="J1884" s="76">
        <f>EFEITO!$J$1884*EFEITO!$Y$1884</f>
        <v>0</v>
      </c>
      <c r="K1884" s="76">
        <f ca="1">EFEITO!$L$1884*EFEITO!$Z$1884</f>
        <v>700526.41232428118</v>
      </c>
      <c r="L1884" s="76">
        <f>EFEITO!$N$1884*EFEITO!$AA$1884</f>
        <v>426166.69392560422</v>
      </c>
      <c r="M1884" s="76">
        <f>$J$1884-EFEITO!$K$1884*EFEITO!$Y$1884</f>
        <v>0</v>
      </c>
      <c r="N1884" s="76">
        <f ca="1">$K$1884-EFEITO!$M$1884*EFEITO!$Z$1884</f>
        <v>0</v>
      </c>
      <c r="O1884" s="76">
        <f>$L$1884-EFEITO!$O$1884*EFEITO!$AA$1884</f>
        <v>0</v>
      </c>
      <c r="P1884" s="57"/>
      <c r="Q1884" s="57"/>
      <c r="R1884" s="57"/>
      <c r="S1884" s="57"/>
      <c r="T1884" s="57"/>
      <c r="U1884" s="57"/>
      <c r="V1884" s="57"/>
      <c r="W1884" s="57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</row>
    <row r="1885" spans="1:36" ht="11.25" customHeight="1" x14ac:dyDescent="0.2">
      <c r="A1885" s="53" t="s">
        <v>27</v>
      </c>
      <c r="B1885" s="53" t="s">
        <v>39</v>
      </c>
      <c r="C1885" s="53" t="s">
        <v>23</v>
      </c>
      <c r="D1885" s="53" t="s">
        <v>40</v>
      </c>
      <c r="E1885" s="53" t="s">
        <v>25</v>
      </c>
      <c r="F1885" s="53" t="s">
        <v>25</v>
      </c>
      <c r="G1885" s="53" t="s">
        <v>25</v>
      </c>
      <c r="H1885" s="53" t="s">
        <v>25</v>
      </c>
      <c r="I1885" s="75">
        <v>44348</v>
      </c>
      <c r="J1885" s="76">
        <f>EFEITO!$J$1885*EFEITO!$Y$1885</f>
        <v>0</v>
      </c>
      <c r="K1885" s="76">
        <f ca="1">EFEITO!$L$1885*EFEITO!$Z$1885</f>
        <v>-3855.2097001380234</v>
      </c>
      <c r="L1885" s="76">
        <f>EFEITO!$N$1885*EFEITO!$AA$1885</f>
        <v>-2345.3248063075125</v>
      </c>
      <c r="M1885" s="76">
        <f>$J$1885-EFEITO!$K$1885*EFEITO!$Y$1885</f>
        <v>0</v>
      </c>
      <c r="N1885" s="76">
        <f ca="1">$K$1885-EFEITO!$M$1885*EFEITO!$Z$1885</f>
        <v>0</v>
      </c>
      <c r="O1885" s="76">
        <f>$L$1885-EFEITO!$O$1885*EFEITO!$AA$1885</f>
        <v>0</v>
      </c>
      <c r="P1885" s="57"/>
      <c r="Q1885" s="57"/>
      <c r="R1885" s="57"/>
      <c r="S1885" s="57"/>
      <c r="T1885" s="57"/>
      <c r="U1885" s="57"/>
      <c r="V1885" s="57"/>
      <c r="W1885" s="57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</row>
    <row r="1886" spans="1:36" ht="11.25" customHeight="1" x14ac:dyDescent="0.2">
      <c r="A1886" s="53" t="s">
        <v>28</v>
      </c>
      <c r="B1886" s="53" t="s">
        <v>39</v>
      </c>
      <c r="C1886" s="53" t="s">
        <v>23</v>
      </c>
      <c r="D1886" s="53" t="s">
        <v>40</v>
      </c>
      <c r="E1886" s="53" t="s">
        <v>25</v>
      </c>
      <c r="F1886" s="53" t="s">
        <v>25</v>
      </c>
      <c r="G1886" s="53" t="s">
        <v>25</v>
      </c>
      <c r="H1886" s="53" t="s">
        <v>25</v>
      </c>
      <c r="I1886" s="75">
        <v>44348</v>
      </c>
      <c r="J1886" s="76">
        <f>EFEITO!$J$1886*EFEITO!$Y$1886</f>
        <v>0</v>
      </c>
      <c r="K1886" s="76">
        <f ca="1">EFEITO!$L$1886*EFEITO!$Z$1886</f>
        <v>29286.435053227153</v>
      </c>
      <c r="L1886" s="76">
        <f>EFEITO!$N$1886*EFEITO!$AA$1886</f>
        <v>17816.463425112372</v>
      </c>
      <c r="M1886" s="76">
        <f>$J$1886-EFEITO!$K$1886*EFEITO!$Y$1886</f>
        <v>0</v>
      </c>
      <c r="N1886" s="76">
        <f ca="1">$K$1886-EFEITO!$M$1886*EFEITO!$Z$1886</f>
        <v>0</v>
      </c>
      <c r="O1886" s="76">
        <f>$L$1886-EFEITO!$O$1886*EFEITO!$AA$1886</f>
        <v>0</v>
      </c>
      <c r="P1886" s="57"/>
      <c r="Q1886" s="57"/>
      <c r="R1886" s="57"/>
      <c r="S1886" s="57"/>
      <c r="T1886" s="57"/>
      <c r="U1886" s="57"/>
      <c r="V1886" s="57"/>
      <c r="W1886" s="57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</row>
    <row r="1887" spans="1:36" ht="11.25" customHeight="1" x14ac:dyDescent="0.2">
      <c r="A1887" s="53" t="s">
        <v>21</v>
      </c>
      <c r="B1887" s="53" t="s">
        <v>39</v>
      </c>
      <c r="C1887" s="53" t="s">
        <v>23</v>
      </c>
      <c r="D1887" s="53" t="s">
        <v>40</v>
      </c>
      <c r="E1887" s="53" t="s">
        <v>25</v>
      </c>
      <c r="F1887" s="53" t="s">
        <v>25</v>
      </c>
      <c r="G1887" s="53" t="s">
        <v>25</v>
      </c>
      <c r="H1887" s="53" t="s">
        <v>25</v>
      </c>
      <c r="I1887" s="75">
        <v>44378</v>
      </c>
      <c r="J1887" s="76">
        <f>EFEITO!$J$1887*EFEITO!$Y$1887</f>
        <v>0</v>
      </c>
      <c r="K1887" s="76">
        <f ca="1">EFEITO!$L$1887*EFEITO!$Z$1887</f>
        <v>668481.3232227345</v>
      </c>
      <c r="L1887" s="76">
        <f>EFEITO!$N$1887*EFEITO!$AA$1887</f>
        <v>406671.99759624474</v>
      </c>
      <c r="M1887" s="76">
        <f>$J$1887-EFEITO!$K$1887*EFEITO!$Y$1887</f>
        <v>0</v>
      </c>
      <c r="N1887" s="76">
        <f ca="1">$K$1887-EFEITO!$M$1887*EFEITO!$Z$1887</f>
        <v>0</v>
      </c>
      <c r="O1887" s="76">
        <f>$L$1887-EFEITO!$O$1887*EFEITO!$AA$1887</f>
        <v>0</v>
      </c>
      <c r="P1887" s="57"/>
      <c r="Q1887" s="57"/>
      <c r="R1887" s="57"/>
      <c r="S1887" s="57"/>
      <c r="T1887" s="57"/>
      <c r="U1887" s="57"/>
      <c r="V1887" s="57"/>
      <c r="W1887" s="57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</row>
    <row r="1888" spans="1:36" ht="11.25" customHeight="1" x14ac:dyDescent="0.2">
      <c r="A1888" s="53" t="s">
        <v>27</v>
      </c>
      <c r="B1888" s="53" t="s">
        <v>39</v>
      </c>
      <c r="C1888" s="53" t="s">
        <v>23</v>
      </c>
      <c r="D1888" s="53" t="s">
        <v>40</v>
      </c>
      <c r="E1888" s="53" t="s">
        <v>25</v>
      </c>
      <c r="F1888" s="53" t="s">
        <v>25</v>
      </c>
      <c r="G1888" s="53" t="s">
        <v>25</v>
      </c>
      <c r="H1888" s="53" t="s">
        <v>25</v>
      </c>
      <c r="I1888" s="75">
        <v>44378</v>
      </c>
      <c r="J1888" s="76">
        <f>EFEITO!$J$1888*EFEITO!$Y$1888</f>
        <v>0</v>
      </c>
      <c r="K1888" s="76">
        <f ca="1">EFEITO!$L$1888*EFEITO!$Z$1888</f>
        <v>1865.0778469440424</v>
      </c>
      <c r="L1888" s="76">
        <f>EFEITO!$N$1888*EFEITO!$AA$1888</f>
        <v>1134.6239712915913</v>
      </c>
      <c r="M1888" s="76">
        <f>$J$1888-EFEITO!$K$1888*EFEITO!$Y$1888</f>
        <v>0</v>
      </c>
      <c r="N1888" s="76">
        <f ca="1">$K$1888-EFEITO!$M$1888*EFEITO!$Z$1888</f>
        <v>0</v>
      </c>
      <c r="O1888" s="76">
        <f>$L$1888-EFEITO!$O$1888*EFEITO!$AA$1888</f>
        <v>0</v>
      </c>
      <c r="P1888" s="57"/>
      <c r="Q1888" s="57"/>
      <c r="R1888" s="57"/>
      <c r="S1888" s="57"/>
      <c r="T1888" s="57"/>
      <c r="U1888" s="57"/>
      <c r="V1888" s="57"/>
      <c r="W1888" s="57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</row>
    <row r="1889" spans="1:36" ht="11.25" customHeight="1" x14ac:dyDescent="0.2">
      <c r="A1889" s="53" t="s">
        <v>28</v>
      </c>
      <c r="B1889" s="53" t="s">
        <v>39</v>
      </c>
      <c r="C1889" s="53" t="s">
        <v>23</v>
      </c>
      <c r="D1889" s="53" t="s">
        <v>40</v>
      </c>
      <c r="E1889" s="53" t="s">
        <v>25</v>
      </c>
      <c r="F1889" s="53" t="s">
        <v>25</v>
      </c>
      <c r="G1889" s="53" t="s">
        <v>25</v>
      </c>
      <c r="H1889" s="53" t="s">
        <v>25</v>
      </c>
      <c r="I1889" s="75">
        <v>44378</v>
      </c>
      <c r="J1889" s="76">
        <f>EFEITO!$J$1889*EFEITO!$Y$1889</f>
        <v>0</v>
      </c>
      <c r="K1889" s="76">
        <f ca="1">EFEITO!$L$1889*EFEITO!$Z$1889</f>
        <v>36902.597329389442</v>
      </c>
      <c r="L1889" s="76">
        <f>EFEITO!$N$1889*EFEITO!$AA$1889</f>
        <v>22449.771521039653</v>
      </c>
      <c r="M1889" s="76">
        <f>$J$1889-EFEITO!$K$1889*EFEITO!$Y$1889</f>
        <v>0</v>
      </c>
      <c r="N1889" s="76">
        <f ca="1">$K$1889-EFEITO!$M$1889*EFEITO!$Z$1889</f>
        <v>0</v>
      </c>
      <c r="O1889" s="76">
        <f>$L$1889-EFEITO!$O$1889*EFEITO!$AA$1889</f>
        <v>0</v>
      </c>
      <c r="P1889" s="57"/>
      <c r="Q1889" s="57"/>
      <c r="R1889" s="57"/>
      <c r="S1889" s="57"/>
      <c r="T1889" s="57"/>
      <c r="U1889" s="57"/>
      <c r="V1889" s="57"/>
      <c r="W1889" s="57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</row>
    <row r="1890" spans="1:36" ht="11.25" customHeight="1" x14ac:dyDescent="0.2">
      <c r="A1890" s="53" t="s">
        <v>21</v>
      </c>
      <c r="B1890" s="53" t="s">
        <v>39</v>
      </c>
      <c r="C1890" s="53" t="s">
        <v>23</v>
      </c>
      <c r="D1890" s="53" t="s">
        <v>40</v>
      </c>
      <c r="E1890" s="53" t="s">
        <v>25</v>
      </c>
      <c r="F1890" s="53" t="s">
        <v>25</v>
      </c>
      <c r="G1890" s="53" t="s">
        <v>25</v>
      </c>
      <c r="H1890" s="53" t="s">
        <v>25</v>
      </c>
      <c r="I1890" s="75">
        <v>44409</v>
      </c>
      <c r="J1890" s="76">
        <f>EFEITO!$J$1890*EFEITO!$Y$1890</f>
        <v>0</v>
      </c>
      <c r="K1890" s="76">
        <f ca="1">EFEITO!$L$1890*EFEITO!$Z$1890</f>
        <v>675693.85969514237</v>
      </c>
      <c r="L1890" s="76">
        <f>EFEITO!$N$1890*EFEITO!$AA$1890</f>
        <v>411059.75909843488</v>
      </c>
      <c r="M1890" s="76">
        <f>$J$1890-EFEITO!$K$1890*EFEITO!$Y$1890</f>
        <v>0</v>
      </c>
      <c r="N1890" s="76">
        <f ca="1">$K$1890-EFEITO!$M$1890*EFEITO!$Z$1890</f>
        <v>0</v>
      </c>
      <c r="O1890" s="76">
        <f>$L$1890-EFEITO!$O$1890*EFEITO!$AA$1890</f>
        <v>0</v>
      </c>
      <c r="P1890" s="57"/>
      <c r="Q1890" s="57"/>
      <c r="R1890" s="57"/>
      <c r="S1890" s="57"/>
      <c r="T1890" s="57"/>
      <c r="U1890" s="57"/>
      <c r="V1890" s="57"/>
      <c r="W1890" s="57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</row>
    <row r="1891" spans="1:36" ht="11.25" customHeight="1" x14ac:dyDescent="0.2">
      <c r="A1891" s="53" t="s">
        <v>27</v>
      </c>
      <c r="B1891" s="53" t="s">
        <v>39</v>
      </c>
      <c r="C1891" s="53" t="s">
        <v>23</v>
      </c>
      <c r="D1891" s="53" t="s">
        <v>40</v>
      </c>
      <c r="E1891" s="53" t="s">
        <v>25</v>
      </c>
      <c r="F1891" s="53" t="s">
        <v>25</v>
      </c>
      <c r="G1891" s="53" t="s">
        <v>25</v>
      </c>
      <c r="H1891" s="53" t="s">
        <v>25</v>
      </c>
      <c r="I1891" s="75">
        <v>44409</v>
      </c>
      <c r="J1891" s="76">
        <f>EFEITO!$J$1891*EFEITO!$Y$1891</f>
        <v>0</v>
      </c>
      <c r="K1891" s="76">
        <f ca="1">EFEITO!$L$1891*EFEITO!$Z$1891</f>
        <v>3373.6584521904997</v>
      </c>
      <c r="L1891" s="76">
        <f>EFEITO!$N$1891*EFEITO!$AA$1891</f>
        <v>2052.372107189944</v>
      </c>
      <c r="M1891" s="76">
        <f>$J$1891-EFEITO!$K$1891*EFEITO!$Y$1891</f>
        <v>0</v>
      </c>
      <c r="N1891" s="76">
        <f ca="1">$K$1891-EFEITO!$M$1891*EFEITO!$Z$1891</f>
        <v>0</v>
      </c>
      <c r="O1891" s="76">
        <f>$L$1891-EFEITO!$O$1891*EFEITO!$AA$1891</f>
        <v>0</v>
      </c>
      <c r="P1891" s="57"/>
      <c r="Q1891" s="57"/>
      <c r="R1891" s="57"/>
      <c r="S1891" s="57"/>
      <c r="T1891" s="57"/>
      <c r="U1891" s="57"/>
      <c r="V1891" s="57"/>
      <c r="W1891" s="57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</row>
    <row r="1892" spans="1:36" ht="11.25" customHeight="1" x14ac:dyDescent="0.2">
      <c r="A1892" s="53" t="s">
        <v>28</v>
      </c>
      <c r="B1892" s="53" t="s">
        <v>39</v>
      </c>
      <c r="C1892" s="53" t="s">
        <v>23</v>
      </c>
      <c r="D1892" s="53" t="s">
        <v>40</v>
      </c>
      <c r="E1892" s="53" t="s">
        <v>25</v>
      </c>
      <c r="F1892" s="53" t="s">
        <v>25</v>
      </c>
      <c r="G1892" s="53" t="s">
        <v>25</v>
      </c>
      <c r="H1892" s="53" t="s">
        <v>25</v>
      </c>
      <c r="I1892" s="75">
        <v>44409</v>
      </c>
      <c r="J1892" s="76">
        <f>EFEITO!$J$1892*EFEITO!$Y$1892</f>
        <v>0</v>
      </c>
      <c r="K1892" s="76">
        <f ca="1">EFEITO!$L$1892*EFEITO!$Z$1892</f>
        <v>38453.640302429725</v>
      </c>
      <c r="L1892" s="76">
        <f>EFEITO!$N$1892*EFEITO!$AA$1892</f>
        <v>23393.351726336943</v>
      </c>
      <c r="M1892" s="76">
        <f>$J$1892-EFEITO!$K$1892*EFEITO!$Y$1892</f>
        <v>0</v>
      </c>
      <c r="N1892" s="76">
        <f ca="1">$K$1892-EFEITO!$M$1892*EFEITO!$Z$1892</f>
        <v>0</v>
      </c>
      <c r="O1892" s="76">
        <f>$L$1892-EFEITO!$O$1892*EFEITO!$AA$1892</f>
        <v>0</v>
      </c>
      <c r="P1892" s="57"/>
      <c r="Q1892" s="57"/>
      <c r="R1892" s="57"/>
      <c r="S1892" s="57"/>
      <c r="T1892" s="57"/>
      <c r="U1892" s="57"/>
      <c r="V1892" s="57"/>
      <c r="W1892" s="57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</row>
    <row r="1893" spans="1:36" ht="11.25" customHeight="1" x14ac:dyDescent="0.2">
      <c r="A1893" s="53" t="s">
        <v>21</v>
      </c>
      <c r="B1893" s="53" t="s">
        <v>39</v>
      </c>
      <c r="C1893" s="53" t="s">
        <v>23</v>
      </c>
      <c r="D1893" s="53" t="s">
        <v>40</v>
      </c>
      <c r="E1893" s="53" t="s">
        <v>25</v>
      </c>
      <c r="F1893" s="53" t="s">
        <v>25</v>
      </c>
      <c r="G1893" s="53" t="s">
        <v>25</v>
      </c>
      <c r="H1893" s="53" t="s">
        <v>25</v>
      </c>
      <c r="I1893" s="75">
        <v>44440</v>
      </c>
      <c r="J1893" s="76">
        <f>EFEITO!$J$1893*EFEITO!$Y$1893</f>
        <v>0</v>
      </c>
      <c r="K1893" s="76">
        <f ca="1">EFEITO!$L$1893*EFEITO!$Z$1893</f>
        <v>681070.71534446348</v>
      </c>
      <c r="L1893" s="76">
        <f>EFEITO!$N$1893*EFEITO!$AA$1893</f>
        <v>414330.7803696866</v>
      </c>
      <c r="M1893" s="76">
        <f>$J$1893-EFEITO!$K$1893*EFEITO!$Y$1893</f>
        <v>0</v>
      </c>
      <c r="N1893" s="76">
        <f ca="1">$K$1893-EFEITO!$M$1893*EFEITO!$Z$1893</f>
        <v>0</v>
      </c>
      <c r="O1893" s="76">
        <f>$L$1893-EFEITO!$O$1893*EFEITO!$AA$1893</f>
        <v>0</v>
      </c>
      <c r="P1893" s="57"/>
      <c r="Q1893" s="57"/>
      <c r="R1893" s="57"/>
      <c r="S1893" s="57"/>
      <c r="T1893" s="57"/>
      <c r="U1893" s="57"/>
      <c r="V1893" s="57"/>
      <c r="W1893" s="57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</row>
    <row r="1894" spans="1:36" ht="11.25" customHeight="1" x14ac:dyDescent="0.2">
      <c r="A1894" s="53" t="s">
        <v>27</v>
      </c>
      <c r="B1894" s="53" t="s">
        <v>39</v>
      </c>
      <c r="C1894" s="53" t="s">
        <v>23</v>
      </c>
      <c r="D1894" s="53" t="s">
        <v>40</v>
      </c>
      <c r="E1894" s="53" t="s">
        <v>25</v>
      </c>
      <c r="F1894" s="53" t="s">
        <v>25</v>
      </c>
      <c r="G1894" s="53" t="s">
        <v>25</v>
      </c>
      <c r="H1894" s="53" t="s">
        <v>25</v>
      </c>
      <c r="I1894" s="75">
        <v>44440</v>
      </c>
      <c r="J1894" s="76">
        <f>EFEITO!$J$1894*EFEITO!$Y$1894</f>
        <v>0</v>
      </c>
      <c r="K1894" s="76">
        <f ca="1">EFEITO!$L$1894*EFEITO!$Z$1894</f>
        <v>-10455.074865806408</v>
      </c>
      <c r="L1894" s="76">
        <f>EFEITO!$N$1894*EFEITO!$AA$1894</f>
        <v>-6360.366450027369</v>
      </c>
      <c r="M1894" s="76">
        <f>$J$1894-EFEITO!$K$1894*EFEITO!$Y$1894</f>
        <v>0</v>
      </c>
      <c r="N1894" s="76">
        <f ca="1">$K$1894-EFEITO!$M$1894*EFEITO!$Z$1894</f>
        <v>0</v>
      </c>
      <c r="O1894" s="76">
        <f>$L$1894-EFEITO!$O$1894*EFEITO!$AA$1894</f>
        <v>0</v>
      </c>
      <c r="P1894" s="57"/>
      <c r="Q1894" s="57"/>
      <c r="R1894" s="57"/>
      <c r="S1894" s="57"/>
      <c r="T1894" s="57"/>
      <c r="U1894" s="57"/>
      <c r="V1894" s="57"/>
      <c r="W1894" s="57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</row>
    <row r="1895" spans="1:36" ht="11.25" customHeight="1" x14ac:dyDescent="0.2">
      <c r="A1895" s="53" t="s">
        <v>28</v>
      </c>
      <c r="B1895" s="53" t="s">
        <v>39</v>
      </c>
      <c r="C1895" s="53" t="s">
        <v>23</v>
      </c>
      <c r="D1895" s="53" t="s">
        <v>40</v>
      </c>
      <c r="E1895" s="53" t="s">
        <v>25</v>
      </c>
      <c r="F1895" s="53" t="s">
        <v>25</v>
      </c>
      <c r="G1895" s="53" t="s">
        <v>25</v>
      </c>
      <c r="H1895" s="53" t="s">
        <v>25</v>
      </c>
      <c r="I1895" s="75">
        <v>44440</v>
      </c>
      <c r="J1895" s="76">
        <f>EFEITO!$J$1895*EFEITO!$Y$1895</f>
        <v>0</v>
      </c>
      <c r="K1895" s="76">
        <f ca="1">EFEITO!$L$1895*EFEITO!$Z$1895</f>
        <v>44800.131119614089</v>
      </c>
      <c r="L1895" s="76">
        <f>EFEITO!$N$1895*EFEITO!$AA$1895</f>
        <v>27254.252560346682</v>
      </c>
      <c r="M1895" s="76">
        <f>$J$1895-EFEITO!$K$1895*EFEITO!$Y$1895</f>
        <v>0</v>
      </c>
      <c r="N1895" s="76">
        <f ca="1">$K$1895-EFEITO!$M$1895*EFEITO!$Z$1895</f>
        <v>0</v>
      </c>
      <c r="O1895" s="76">
        <f>$L$1895-EFEITO!$O$1895*EFEITO!$AA$1895</f>
        <v>0</v>
      </c>
      <c r="P1895" s="57"/>
      <c r="Q1895" s="57"/>
      <c r="R1895" s="57"/>
      <c r="S1895" s="57"/>
      <c r="T1895" s="57"/>
      <c r="U1895" s="57"/>
      <c r="V1895" s="57"/>
      <c r="W1895" s="57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</row>
    <row r="1896" spans="1:36" ht="11.25" customHeight="1" x14ac:dyDescent="0.2">
      <c r="A1896" s="53" t="s">
        <v>28</v>
      </c>
      <c r="B1896" s="53" t="s">
        <v>39</v>
      </c>
      <c r="C1896" s="53" t="s">
        <v>23</v>
      </c>
      <c r="D1896" s="53" t="s">
        <v>40</v>
      </c>
      <c r="E1896" s="53" t="s">
        <v>25</v>
      </c>
      <c r="F1896" s="53" t="s">
        <v>25</v>
      </c>
      <c r="G1896" s="53" t="s">
        <v>25</v>
      </c>
      <c r="H1896" s="53" t="s">
        <v>25</v>
      </c>
      <c r="I1896" s="75">
        <v>44440</v>
      </c>
      <c r="J1896" s="76">
        <f>EFEITO!$J$1896*EFEITO!$Y$1896</f>
        <v>0</v>
      </c>
      <c r="K1896" s="76">
        <f ca="1">EFEITO!$L$1896*EFEITO!$Z$1896</f>
        <v>-25784.922878228881</v>
      </c>
      <c r="L1896" s="76">
        <f>EFEITO!$N$1896*EFEITO!$AA$1896</f>
        <v>-15686.311240831134</v>
      </c>
      <c r="M1896" s="76">
        <f>$J$1896-EFEITO!$K$1896*EFEITO!$Y$1896</f>
        <v>0</v>
      </c>
      <c r="N1896" s="76">
        <f ca="1">$K$1896-EFEITO!$M$1896*EFEITO!$Z$1896</f>
        <v>0</v>
      </c>
      <c r="O1896" s="76">
        <f>$L$1896-EFEITO!$O$1896*EFEITO!$AA$1896</f>
        <v>0</v>
      </c>
      <c r="P1896" s="57"/>
      <c r="Q1896" s="57"/>
      <c r="R1896" s="57"/>
      <c r="S1896" s="57"/>
      <c r="T1896" s="57"/>
      <c r="U1896" s="57"/>
      <c r="V1896" s="57"/>
      <c r="W1896" s="57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</row>
    <row r="1897" spans="1:36" ht="11.25" customHeight="1" x14ac:dyDescent="0.2">
      <c r="A1897" s="53" t="s">
        <v>21</v>
      </c>
      <c r="B1897" s="53" t="s">
        <v>39</v>
      </c>
      <c r="C1897" s="53" t="s">
        <v>23</v>
      </c>
      <c r="D1897" s="53" t="s">
        <v>40</v>
      </c>
      <c r="E1897" s="53" t="s">
        <v>25</v>
      </c>
      <c r="F1897" s="53" t="s">
        <v>25</v>
      </c>
      <c r="G1897" s="53" t="s">
        <v>25</v>
      </c>
      <c r="H1897" s="53" t="s">
        <v>25</v>
      </c>
      <c r="I1897" s="75">
        <v>44470</v>
      </c>
      <c r="J1897" s="76">
        <f>EFEITO!$J$1897*EFEITO!$Y$1897</f>
        <v>0</v>
      </c>
      <c r="K1897" s="76">
        <f ca="1">EFEITO!$L$1897*EFEITO!$Z$1897</f>
        <v>711173.73439372564</v>
      </c>
      <c r="L1897" s="76">
        <f>EFEITO!$N$1897*EFEITO!$AA$1897</f>
        <v>432644.01436016307</v>
      </c>
      <c r="M1897" s="76">
        <f>$J$1897-EFEITO!$K$1897*EFEITO!$Y$1897</f>
        <v>0</v>
      </c>
      <c r="N1897" s="76">
        <f ca="1">$K$1897-EFEITO!$M$1897*EFEITO!$Z$1897</f>
        <v>0</v>
      </c>
      <c r="O1897" s="76">
        <f>$L$1897-EFEITO!$O$1897*EFEITO!$AA$1897</f>
        <v>0</v>
      </c>
      <c r="P1897" s="57"/>
      <c r="Q1897" s="57"/>
      <c r="R1897" s="57"/>
      <c r="S1897" s="57"/>
      <c r="T1897" s="57"/>
      <c r="U1897" s="57"/>
      <c r="V1897" s="57"/>
      <c r="W1897" s="57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</row>
    <row r="1898" spans="1:36" ht="11.25" customHeight="1" x14ac:dyDescent="0.2">
      <c r="A1898" s="53" t="s">
        <v>27</v>
      </c>
      <c r="B1898" s="53" t="s">
        <v>39</v>
      </c>
      <c r="C1898" s="53" t="s">
        <v>23</v>
      </c>
      <c r="D1898" s="53" t="s">
        <v>40</v>
      </c>
      <c r="E1898" s="53" t="s">
        <v>25</v>
      </c>
      <c r="F1898" s="53" t="s">
        <v>25</v>
      </c>
      <c r="G1898" s="53" t="s">
        <v>25</v>
      </c>
      <c r="H1898" s="53" t="s">
        <v>25</v>
      </c>
      <c r="I1898" s="75">
        <v>44470</v>
      </c>
      <c r="J1898" s="76">
        <f>EFEITO!$J$1898*EFEITO!$Y$1898</f>
        <v>0</v>
      </c>
      <c r="K1898" s="76">
        <f ca="1">EFEITO!$L$1898*EFEITO!$Z$1898</f>
        <v>-28721.358927970905</v>
      </c>
      <c r="L1898" s="76">
        <f>EFEITO!$N$1898*EFEITO!$AA$1898</f>
        <v>-17472.698193880417</v>
      </c>
      <c r="M1898" s="76">
        <f>$J$1898-EFEITO!$K$1898*EFEITO!$Y$1898</f>
        <v>0</v>
      </c>
      <c r="N1898" s="76">
        <f ca="1">$K$1898-EFEITO!$M$1898*EFEITO!$Z$1898</f>
        <v>0</v>
      </c>
      <c r="O1898" s="76">
        <f>$L$1898-EFEITO!$O$1898*EFEITO!$AA$1898</f>
        <v>0</v>
      </c>
      <c r="P1898" s="57"/>
      <c r="Q1898" s="57"/>
      <c r="R1898" s="57"/>
      <c r="S1898" s="57"/>
      <c r="T1898" s="57"/>
      <c r="U1898" s="57"/>
      <c r="V1898" s="57"/>
      <c r="W1898" s="57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</row>
    <row r="1899" spans="1:36" ht="11.25" customHeight="1" x14ac:dyDescent="0.2">
      <c r="A1899" s="53" t="s">
        <v>28</v>
      </c>
      <c r="B1899" s="53" t="s">
        <v>39</v>
      </c>
      <c r="C1899" s="53" t="s">
        <v>23</v>
      </c>
      <c r="D1899" s="53" t="s">
        <v>40</v>
      </c>
      <c r="E1899" s="53" t="s">
        <v>25</v>
      </c>
      <c r="F1899" s="53" t="s">
        <v>25</v>
      </c>
      <c r="G1899" s="53" t="s">
        <v>25</v>
      </c>
      <c r="H1899" s="53" t="s">
        <v>25</v>
      </c>
      <c r="I1899" s="75">
        <v>44470</v>
      </c>
      <c r="J1899" s="76">
        <f>EFEITO!$J$1899*EFEITO!$Y$1899</f>
        <v>0</v>
      </c>
      <c r="K1899" s="76">
        <f ca="1">EFEITO!$L$1899*EFEITO!$Z$1899</f>
        <v>25443.824077599387</v>
      </c>
      <c r="L1899" s="76">
        <f>EFEITO!$N$1899*EFEITO!$AA$1899</f>
        <v>15478.803078956189</v>
      </c>
      <c r="M1899" s="76">
        <f>$J$1899-EFEITO!$K$1899*EFEITO!$Y$1899</f>
        <v>0</v>
      </c>
      <c r="N1899" s="76">
        <f ca="1">$K$1899-EFEITO!$M$1899*EFEITO!$Z$1899</f>
        <v>0</v>
      </c>
      <c r="O1899" s="76">
        <f>$L$1899-EFEITO!$O$1899*EFEITO!$AA$1899</f>
        <v>0</v>
      </c>
      <c r="P1899" s="57"/>
      <c r="Q1899" s="57"/>
      <c r="R1899" s="57"/>
      <c r="S1899" s="57"/>
      <c r="T1899" s="57"/>
      <c r="U1899" s="57"/>
      <c r="V1899" s="57"/>
      <c r="W1899" s="57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</row>
    <row r="1900" spans="1:36" ht="11.25" customHeight="1" x14ac:dyDescent="0.2">
      <c r="A1900" s="53" t="s">
        <v>28</v>
      </c>
      <c r="B1900" s="53" t="s">
        <v>39</v>
      </c>
      <c r="C1900" s="53" t="s">
        <v>23</v>
      </c>
      <c r="D1900" s="53" t="s">
        <v>40</v>
      </c>
      <c r="E1900" s="53" t="s">
        <v>25</v>
      </c>
      <c r="F1900" s="53" t="s">
        <v>25</v>
      </c>
      <c r="G1900" s="53" t="s">
        <v>25</v>
      </c>
      <c r="H1900" s="53" t="s">
        <v>25</v>
      </c>
      <c r="I1900" s="75">
        <v>44470</v>
      </c>
      <c r="J1900" s="76">
        <f>EFEITO!$J$1900*EFEITO!$Y$1900</f>
        <v>0</v>
      </c>
      <c r="K1900" s="76">
        <f ca="1">EFEITO!$L$1900*EFEITO!$Z$1900</f>
        <v>-887.97676825982307</v>
      </c>
      <c r="L1900" s="76">
        <f>EFEITO!$N$1900*EFEITO!$AA$1900</f>
        <v>-540.20250622164076</v>
      </c>
      <c r="M1900" s="76">
        <f>$J$1900-EFEITO!$K$1900*EFEITO!$Y$1900</f>
        <v>0</v>
      </c>
      <c r="N1900" s="76">
        <f ca="1">$K$1900-EFEITO!$M$1900*EFEITO!$Z$1900</f>
        <v>0</v>
      </c>
      <c r="O1900" s="76">
        <f>$L$1900-EFEITO!$O$1900*EFEITO!$AA$1900</f>
        <v>0</v>
      </c>
      <c r="P1900" s="57"/>
      <c r="Q1900" s="57"/>
      <c r="R1900" s="57"/>
      <c r="S1900" s="57"/>
      <c r="T1900" s="57"/>
      <c r="U1900" s="57"/>
      <c r="V1900" s="57"/>
      <c r="W1900" s="57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</row>
    <row r="1901" spans="1:36" ht="11.25" customHeight="1" x14ac:dyDescent="0.2">
      <c r="A1901" s="53" t="s">
        <v>21</v>
      </c>
      <c r="B1901" s="53" t="s">
        <v>39</v>
      </c>
      <c r="C1901" s="53" t="s">
        <v>23</v>
      </c>
      <c r="D1901" s="53" t="s">
        <v>40</v>
      </c>
      <c r="E1901" s="53" t="s">
        <v>25</v>
      </c>
      <c r="F1901" s="53" t="s">
        <v>25</v>
      </c>
      <c r="G1901" s="53" t="s">
        <v>25</v>
      </c>
      <c r="H1901" s="53" t="s">
        <v>25</v>
      </c>
      <c r="I1901" s="75">
        <v>44501</v>
      </c>
      <c r="J1901" s="76">
        <f>EFEITO!$J$1901*EFEITO!$Y$1901</f>
        <v>0</v>
      </c>
      <c r="K1901" s="76">
        <f ca="1">EFEITO!$L$1901*EFEITO!$Z$1901</f>
        <v>754016.86363941338</v>
      </c>
      <c r="L1901" s="76">
        <f>EFEITO!$N$1901*EFEITO!$AA$1901</f>
        <v>458707.72077700286</v>
      </c>
      <c r="M1901" s="76">
        <f>$J$1901-EFEITO!$K$1901*EFEITO!$Y$1901</f>
        <v>0</v>
      </c>
      <c r="N1901" s="76">
        <f ca="1">$K$1901-EFEITO!$M$1901*EFEITO!$Z$1901</f>
        <v>0</v>
      </c>
      <c r="O1901" s="76">
        <f>$L$1901-EFEITO!$O$1901*EFEITO!$AA$1901</f>
        <v>0</v>
      </c>
      <c r="P1901" s="57"/>
      <c r="Q1901" s="57"/>
      <c r="R1901" s="57"/>
      <c r="S1901" s="57"/>
      <c r="T1901" s="57"/>
      <c r="U1901" s="57"/>
      <c r="V1901" s="57"/>
      <c r="W1901" s="57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</row>
    <row r="1902" spans="1:36" ht="11.25" customHeight="1" x14ac:dyDescent="0.2">
      <c r="A1902" s="53" t="s">
        <v>27</v>
      </c>
      <c r="B1902" s="53" t="s">
        <v>39</v>
      </c>
      <c r="C1902" s="53" t="s">
        <v>23</v>
      </c>
      <c r="D1902" s="53" t="s">
        <v>40</v>
      </c>
      <c r="E1902" s="53" t="s">
        <v>25</v>
      </c>
      <c r="F1902" s="53" t="s">
        <v>25</v>
      </c>
      <c r="G1902" s="53" t="s">
        <v>25</v>
      </c>
      <c r="H1902" s="53" t="s">
        <v>25</v>
      </c>
      <c r="I1902" s="75">
        <v>44501</v>
      </c>
      <c r="J1902" s="76">
        <f>EFEITO!$J$1902*EFEITO!$Y$1902</f>
        <v>0</v>
      </c>
      <c r="K1902" s="76">
        <f ca="1">EFEITO!$L$1902*EFEITO!$Z$1902</f>
        <v>4956.4315462195691</v>
      </c>
      <c r="L1902" s="76">
        <f>EFEITO!$N$1902*EFEITO!$AA$1902</f>
        <v>3015.2553973128051</v>
      </c>
      <c r="M1902" s="76">
        <f>$J$1902-EFEITO!$K$1902*EFEITO!$Y$1902</f>
        <v>0</v>
      </c>
      <c r="N1902" s="76">
        <f ca="1">$K$1902-EFEITO!$M$1902*EFEITO!$Z$1902</f>
        <v>0</v>
      </c>
      <c r="O1902" s="76">
        <f>$L$1902-EFEITO!$O$1902*EFEITO!$AA$1902</f>
        <v>0</v>
      </c>
      <c r="P1902" s="57"/>
      <c r="Q1902" s="57"/>
      <c r="R1902" s="57"/>
      <c r="S1902" s="57"/>
      <c r="T1902" s="57"/>
      <c r="U1902" s="57"/>
      <c r="V1902" s="57"/>
      <c r="W1902" s="57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</row>
    <row r="1903" spans="1:36" ht="11.25" customHeight="1" x14ac:dyDescent="0.2">
      <c r="A1903" s="53" t="s">
        <v>28</v>
      </c>
      <c r="B1903" s="53" t="s">
        <v>39</v>
      </c>
      <c r="C1903" s="53" t="s">
        <v>23</v>
      </c>
      <c r="D1903" s="53" t="s">
        <v>40</v>
      </c>
      <c r="E1903" s="53" t="s">
        <v>25</v>
      </c>
      <c r="F1903" s="53" t="s">
        <v>25</v>
      </c>
      <c r="G1903" s="53" t="s">
        <v>25</v>
      </c>
      <c r="H1903" s="53" t="s">
        <v>25</v>
      </c>
      <c r="I1903" s="75">
        <v>44501</v>
      </c>
      <c r="J1903" s="76">
        <f>EFEITO!$J$1903*EFEITO!$Y$1903</f>
        <v>0</v>
      </c>
      <c r="K1903" s="76">
        <f ca="1">EFEITO!$L$1903*EFEITO!$Z$1903</f>
        <v>31841.643031677388</v>
      </c>
      <c r="L1903" s="76">
        <f>EFEITO!$N$1903*EFEITO!$AA$1903</f>
        <v>19370.929491360246</v>
      </c>
      <c r="M1903" s="76">
        <f>$J$1903-EFEITO!$K$1903*EFEITO!$Y$1903</f>
        <v>0</v>
      </c>
      <c r="N1903" s="76">
        <f ca="1">$K$1903-EFEITO!$M$1903*EFEITO!$Z$1903</f>
        <v>0</v>
      </c>
      <c r="O1903" s="76">
        <f>$L$1903-EFEITO!$O$1903*EFEITO!$AA$1903</f>
        <v>0</v>
      </c>
      <c r="P1903" s="57"/>
      <c r="Q1903" s="57"/>
      <c r="R1903" s="57"/>
      <c r="S1903" s="57"/>
      <c r="T1903" s="57"/>
      <c r="U1903" s="57"/>
      <c r="V1903" s="57"/>
      <c r="W1903" s="57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</row>
    <row r="1904" spans="1:36" ht="11.25" customHeight="1" x14ac:dyDescent="0.2">
      <c r="A1904" s="53" t="s">
        <v>21</v>
      </c>
      <c r="B1904" s="53" t="s">
        <v>39</v>
      </c>
      <c r="C1904" s="53" t="s">
        <v>23</v>
      </c>
      <c r="D1904" s="53" t="s">
        <v>40</v>
      </c>
      <c r="E1904" s="53" t="s">
        <v>25</v>
      </c>
      <c r="F1904" s="53" t="s">
        <v>25</v>
      </c>
      <c r="G1904" s="53" t="s">
        <v>25</v>
      </c>
      <c r="H1904" s="53" t="s">
        <v>25</v>
      </c>
      <c r="I1904" s="75">
        <v>44531</v>
      </c>
      <c r="J1904" s="76">
        <f>EFEITO!$J$1904*EFEITO!$Y$1904</f>
        <v>0</v>
      </c>
      <c r="K1904" s="76">
        <f ca="1">EFEITO!$L$1904*EFEITO!$Z$1904</f>
        <v>733662.92426395707</v>
      </c>
      <c r="L1904" s="76">
        <f>EFEITO!$N$1904*EFEITO!$AA$1904</f>
        <v>446325.35959918471</v>
      </c>
      <c r="M1904" s="76">
        <f>$J$1904-EFEITO!$K$1904*EFEITO!$Y$1904</f>
        <v>0</v>
      </c>
      <c r="N1904" s="76">
        <f ca="1">$K$1904-EFEITO!$M$1904*EFEITO!$Z$1904</f>
        <v>0</v>
      </c>
      <c r="O1904" s="76">
        <f>$L$1904-EFEITO!$O$1904*EFEITO!$AA$1904</f>
        <v>0</v>
      </c>
      <c r="P1904" s="57"/>
      <c r="Q1904" s="57"/>
      <c r="R1904" s="57"/>
      <c r="S1904" s="57"/>
      <c r="T1904" s="57"/>
      <c r="U1904" s="57"/>
      <c r="V1904" s="57"/>
      <c r="W1904" s="57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</row>
    <row r="1905" spans="1:36" ht="11.25" customHeight="1" x14ac:dyDescent="0.2">
      <c r="A1905" s="53" t="s">
        <v>27</v>
      </c>
      <c r="B1905" s="53" t="s">
        <v>39</v>
      </c>
      <c r="C1905" s="53" t="s">
        <v>23</v>
      </c>
      <c r="D1905" s="53" t="s">
        <v>40</v>
      </c>
      <c r="E1905" s="53" t="s">
        <v>25</v>
      </c>
      <c r="F1905" s="53" t="s">
        <v>25</v>
      </c>
      <c r="G1905" s="53" t="s">
        <v>25</v>
      </c>
      <c r="H1905" s="53" t="s">
        <v>25</v>
      </c>
      <c r="I1905" s="75">
        <v>44531</v>
      </c>
      <c r="J1905" s="76">
        <f>EFEITO!$J$1905*EFEITO!$Y$1905</f>
        <v>0</v>
      </c>
      <c r="K1905" s="76">
        <f ca="1">EFEITO!$L$1905*EFEITO!$Z$1905</f>
        <v>-2135.2504947750658</v>
      </c>
      <c r="L1905" s="76">
        <f>EFEITO!$N$1905*EFEITO!$AA$1905</f>
        <v>-1298.984061203483</v>
      </c>
      <c r="M1905" s="76">
        <f>$J$1905-EFEITO!$K$1905*EFEITO!$Y$1905</f>
        <v>0</v>
      </c>
      <c r="N1905" s="76">
        <f ca="1">$K$1905-EFEITO!$M$1905*EFEITO!$Z$1905</f>
        <v>0</v>
      </c>
      <c r="O1905" s="76">
        <f>$L$1905-EFEITO!$O$1905*EFEITO!$AA$1905</f>
        <v>0</v>
      </c>
      <c r="P1905" s="57"/>
      <c r="Q1905" s="57"/>
      <c r="R1905" s="57"/>
      <c r="S1905" s="57"/>
      <c r="T1905" s="57"/>
      <c r="U1905" s="57"/>
      <c r="V1905" s="57"/>
      <c r="W1905" s="57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</row>
    <row r="1906" spans="1:36" ht="11.25" customHeight="1" x14ac:dyDescent="0.2">
      <c r="A1906" s="53" t="s">
        <v>28</v>
      </c>
      <c r="B1906" s="53" t="s">
        <v>39</v>
      </c>
      <c r="C1906" s="53" t="s">
        <v>23</v>
      </c>
      <c r="D1906" s="53" t="s">
        <v>40</v>
      </c>
      <c r="E1906" s="53" t="s">
        <v>25</v>
      </c>
      <c r="F1906" s="53" t="s">
        <v>25</v>
      </c>
      <c r="G1906" s="53" t="s">
        <v>25</v>
      </c>
      <c r="H1906" s="53" t="s">
        <v>25</v>
      </c>
      <c r="I1906" s="75">
        <v>44531</v>
      </c>
      <c r="J1906" s="76">
        <f>EFEITO!$J$1906*EFEITO!$Y$1906</f>
        <v>0</v>
      </c>
      <c r="K1906" s="76">
        <f ca="1">EFEITO!$L$1906*EFEITO!$Z$1906</f>
        <v>35915.697242752802</v>
      </c>
      <c r="L1906" s="76">
        <f>EFEITO!$N$1906*EFEITO!$AA$1906</f>
        <v>21849.388809185333</v>
      </c>
      <c r="M1906" s="76">
        <f>$J$1906-EFEITO!$K$1906*EFEITO!$Y$1906</f>
        <v>0</v>
      </c>
      <c r="N1906" s="76">
        <f ca="1">$K$1906-EFEITO!$M$1906*EFEITO!$Z$1906</f>
        <v>0</v>
      </c>
      <c r="O1906" s="76">
        <f>$L$1906-EFEITO!$O$1906*EFEITO!$AA$1906</f>
        <v>0</v>
      </c>
      <c r="P1906" s="57"/>
      <c r="Q1906" s="57"/>
      <c r="R1906" s="57"/>
      <c r="S1906" s="57"/>
      <c r="T1906" s="57"/>
      <c r="U1906" s="57"/>
      <c r="V1906" s="57"/>
      <c r="W1906" s="57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</row>
    <row r="1907" spans="1:36" ht="11.25" customHeight="1" x14ac:dyDescent="0.2">
      <c r="A1907" s="53" t="s">
        <v>21</v>
      </c>
      <c r="B1907" s="53" t="s">
        <v>39</v>
      </c>
      <c r="C1907" s="53" t="s">
        <v>23</v>
      </c>
      <c r="D1907" s="53" t="s">
        <v>40</v>
      </c>
      <c r="E1907" s="53" t="s">
        <v>25</v>
      </c>
      <c r="F1907" s="53" t="s">
        <v>25</v>
      </c>
      <c r="G1907" s="53" t="s">
        <v>25</v>
      </c>
      <c r="H1907" s="53" t="s">
        <v>25</v>
      </c>
      <c r="I1907" s="75">
        <v>44562</v>
      </c>
      <c r="J1907" s="76">
        <f>EFEITO!$J$1907*EFEITO!$Y$1907</f>
        <v>0</v>
      </c>
      <c r="K1907" s="76">
        <f ca="1">EFEITO!$L$1907*EFEITO!$Z$1907</f>
        <v>678108.61522627459</v>
      </c>
      <c r="L1907" s="76">
        <f>EFEITO!$N$1907*EFEITO!$AA$1907</f>
        <v>412528.7806274402</v>
      </c>
      <c r="M1907" s="76">
        <f>$J$1907-EFEITO!$K$1907*EFEITO!$Y$1907</f>
        <v>0</v>
      </c>
      <c r="N1907" s="76">
        <f ca="1">$K$1907-EFEITO!$M$1907*EFEITO!$Z$1907</f>
        <v>0</v>
      </c>
      <c r="O1907" s="76">
        <f>$L$1907-EFEITO!$O$1907*EFEITO!$AA$1907</f>
        <v>0</v>
      </c>
      <c r="P1907" s="57"/>
      <c r="Q1907" s="57"/>
      <c r="R1907" s="57"/>
      <c r="S1907" s="57"/>
      <c r="T1907" s="57"/>
      <c r="U1907" s="57"/>
      <c r="V1907" s="57"/>
      <c r="W1907" s="57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</row>
    <row r="1908" spans="1:36" ht="11.25" customHeight="1" x14ac:dyDescent="0.2">
      <c r="A1908" s="53" t="s">
        <v>27</v>
      </c>
      <c r="B1908" s="53" t="s">
        <v>39</v>
      </c>
      <c r="C1908" s="53" t="s">
        <v>23</v>
      </c>
      <c r="D1908" s="53" t="s">
        <v>40</v>
      </c>
      <c r="E1908" s="53" t="s">
        <v>25</v>
      </c>
      <c r="F1908" s="53" t="s">
        <v>25</v>
      </c>
      <c r="G1908" s="53" t="s">
        <v>25</v>
      </c>
      <c r="H1908" s="53" t="s">
        <v>25</v>
      </c>
      <c r="I1908" s="75">
        <v>44562</v>
      </c>
      <c r="J1908" s="76">
        <f>EFEITO!$J$1908*EFEITO!$Y$1908</f>
        <v>0</v>
      </c>
      <c r="K1908" s="76">
        <f ca="1">EFEITO!$L$1908*EFEITO!$Z$1908</f>
        <v>-5040.4230429546024</v>
      </c>
      <c r="L1908" s="76">
        <f>EFEITO!$N$1908*EFEITO!$AA$1908</f>
        <v>-3066.3517983216834</v>
      </c>
      <c r="M1908" s="76">
        <f>$J$1908-EFEITO!$K$1908*EFEITO!$Y$1908</f>
        <v>0</v>
      </c>
      <c r="N1908" s="76">
        <f ca="1">$K$1908-EFEITO!$M$1908*EFEITO!$Z$1908</f>
        <v>0</v>
      </c>
      <c r="O1908" s="76">
        <f>$L$1908-EFEITO!$O$1908*EFEITO!$AA$1908</f>
        <v>0</v>
      </c>
      <c r="P1908" s="57"/>
      <c r="Q1908" s="57"/>
      <c r="R1908" s="57"/>
      <c r="S1908" s="57"/>
      <c r="T1908" s="57"/>
      <c r="U1908" s="57"/>
      <c r="V1908" s="57"/>
      <c r="W1908" s="57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</row>
    <row r="1909" spans="1:36" ht="11.25" customHeight="1" x14ac:dyDescent="0.2">
      <c r="A1909" s="53" t="s">
        <v>28</v>
      </c>
      <c r="B1909" s="53" t="s">
        <v>39</v>
      </c>
      <c r="C1909" s="53" t="s">
        <v>23</v>
      </c>
      <c r="D1909" s="53" t="s">
        <v>40</v>
      </c>
      <c r="E1909" s="53" t="s">
        <v>25</v>
      </c>
      <c r="F1909" s="53" t="s">
        <v>25</v>
      </c>
      <c r="G1909" s="53" t="s">
        <v>25</v>
      </c>
      <c r="H1909" s="53" t="s">
        <v>25</v>
      </c>
      <c r="I1909" s="75">
        <v>44562</v>
      </c>
      <c r="J1909" s="76">
        <f>EFEITO!$J$1909*EFEITO!$Y$1909</f>
        <v>0</v>
      </c>
      <c r="K1909" s="76">
        <f ca="1">EFEITO!$L$1909*EFEITO!$Z$1909</f>
        <v>34520.50515809864</v>
      </c>
      <c r="L1909" s="76">
        <f>EFEITO!$N$1909*EFEITO!$AA$1909</f>
        <v>21000.62081464897</v>
      </c>
      <c r="M1909" s="76">
        <f>$J$1909-EFEITO!$K$1909*EFEITO!$Y$1909</f>
        <v>0</v>
      </c>
      <c r="N1909" s="76">
        <f ca="1">$K$1909-EFEITO!$M$1909*EFEITO!$Z$1909</f>
        <v>0</v>
      </c>
      <c r="O1909" s="76">
        <f>$L$1909-EFEITO!$O$1909*EFEITO!$AA$1909</f>
        <v>0</v>
      </c>
      <c r="P1909" s="57"/>
      <c r="Q1909" s="57"/>
      <c r="R1909" s="57"/>
      <c r="S1909" s="57"/>
      <c r="T1909" s="57"/>
      <c r="U1909" s="57"/>
      <c r="V1909" s="57"/>
      <c r="W1909" s="57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</row>
    <row r="1910" spans="1:36" ht="11.25" customHeight="1" x14ac:dyDescent="0.2">
      <c r="A1910" s="53" t="s">
        <v>21</v>
      </c>
      <c r="B1910" s="53" t="s">
        <v>39</v>
      </c>
      <c r="C1910" s="53" t="s">
        <v>23</v>
      </c>
      <c r="D1910" s="53" t="s">
        <v>40</v>
      </c>
      <c r="E1910" s="53" t="s">
        <v>25</v>
      </c>
      <c r="F1910" s="53" t="s">
        <v>25</v>
      </c>
      <c r="G1910" s="53" t="s">
        <v>25</v>
      </c>
      <c r="H1910" s="53" t="s">
        <v>25</v>
      </c>
      <c r="I1910" s="75">
        <v>44593</v>
      </c>
      <c r="J1910" s="76">
        <f>EFEITO!$J$1910*EFEITO!$Y$1910</f>
        <v>0</v>
      </c>
      <c r="K1910" s="76">
        <f ca="1">EFEITO!$L$1910*EFEITO!$Z$1910</f>
        <v>680783.27777785913</v>
      </c>
      <c r="L1910" s="76">
        <f>EFEITO!$N$1910*EFEITO!$AA$1910</f>
        <v>414155.91713067843</v>
      </c>
      <c r="M1910" s="76">
        <f>$J$1910-EFEITO!$K$1910*EFEITO!$Y$1910</f>
        <v>0</v>
      </c>
      <c r="N1910" s="76">
        <f ca="1">$K$1910-EFEITO!$M$1910*EFEITO!$Z$1910</f>
        <v>0</v>
      </c>
      <c r="O1910" s="76">
        <f>$L$1910-EFEITO!$O$1910*EFEITO!$AA$1910</f>
        <v>0</v>
      </c>
      <c r="P1910" s="57"/>
      <c r="Q1910" s="57"/>
      <c r="R1910" s="57"/>
      <c r="S1910" s="57"/>
      <c r="T1910" s="57"/>
      <c r="U1910" s="57"/>
      <c r="V1910" s="57"/>
      <c r="W1910" s="57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</row>
    <row r="1911" spans="1:36" ht="11.25" customHeight="1" x14ac:dyDescent="0.2">
      <c r="A1911" s="53" t="s">
        <v>27</v>
      </c>
      <c r="B1911" s="53" t="s">
        <v>39</v>
      </c>
      <c r="C1911" s="53" t="s">
        <v>23</v>
      </c>
      <c r="D1911" s="53" t="s">
        <v>40</v>
      </c>
      <c r="E1911" s="53" t="s">
        <v>25</v>
      </c>
      <c r="F1911" s="53" t="s">
        <v>25</v>
      </c>
      <c r="G1911" s="53" t="s">
        <v>25</v>
      </c>
      <c r="H1911" s="53" t="s">
        <v>25</v>
      </c>
      <c r="I1911" s="75">
        <v>44593</v>
      </c>
      <c r="J1911" s="76">
        <f>EFEITO!$J$1911*EFEITO!$Y$1911</f>
        <v>0</v>
      </c>
      <c r="K1911" s="76">
        <f ca="1">EFEITO!$L$1911*EFEITO!$Z$1911</f>
        <v>1822.6154791502202</v>
      </c>
      <c r="L1911" s="76">
        <f>EFEITO!$N$1911*EFEITO!$AA$1911</f>
        <v>1108.7919018926584</v>
      </c>
      <c r="M1911" s="76">
        <f>$J$1911-EFEITO!$K$1911*EFEITO!$Y$1911</f>
        <v>0</v>
      </c>
      <c r="N1911" s="76">
        <f ca="1">$K$1911-EFEITO!$M$1911*EFEITO!$Z$1911</f>
        <v>0</v>
      </c>
      <c r="O1911" s="76">
        <f>$L$1911-EFEITO!$O$1911*EFEITO!$AA$1911</f>
        <v>0</v>
      </c>
      <c r="P1911" s="57"/>
      <c r="Q1911" s="57"/>
      <c r="R1911" s="57"/>
      <c r="S1911" s="57"/>
      <c r="T1911" s="57"/>
      <c r="U1911" s="57"/>
      <c r="V1911" s="57"/>
      <c r="W1911" s="57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</row>
    <row r="1912" spans="1:36" ht="11.25" customHeight="1" x14ac:dyDescent="0.2">
      <c r="A1912" s="53" t="s">
        <v>28</v>
      </c>
      <c r="B1912" s="53" t="s">
        <v>39</v>
      </c>
      <c r="C1912" s="53" t="s">
        <v>23</v>
      </c>
      <c r="D1912" s="53" t="s">
        <v>40</v>
      </c>
      <c r="E1912" s="53" t="s">
        <v>25</v>
      </c>
      <c r="F1912" s="53" t="s">
        <v>25</v>
      </c>
      <c r="G1912" s="53" t="s">
        <v>25</v>
      </c>
      <c r="H1912" s="53" t="s">
        <v>25</v>
      </c>
      <c r="I1912" s="75">
        <v>44593</v>
      </c>
      <c r="J1912" s="76">
        <f>EFEITO!$J$1912*EFEITO!$Y$1912</f>
        <v>0</v>
      </c>
      <c r="K1912" s="76">
        <f ca="1">EFEITO!$L$1912*EFEITO!$Z$1912</f>
        <v>34354.388642333797</v>
      </c>
      <c r="L1912" s="76">
        <f>EFEITO!$N$1912*EFEITO!$AA$1912</f>
        <v>20899.563488209184</v>
      </c>
      <c r="M1912" s="76">
        <f>$J$1912-EFEITO!$K$1912*EFEITO!$Y$1912</f>
        <v>0</v>
      </c>
      <c r="N1912" s="76">
        <f ca="1">$K$1912-EFEITO!$M$1912*EFEITO!$Z$1912</f>
        <v>0</v>
      </c>
      <c r="O1912" s="76">
        <f>$L$1912-EFEITO!$O$1912*EFEITO!$AA$1912</f>
        <v>0</v>
      </c>
      <c r="P1912" s="57"/>
      <c r="Q1912" s="57"/>
      <c r="R1912" s="57"/>
      <c r="S1912" s="57"/>
      <c r="T1912" s="57"/>
      <c r="U1912" s="57"/>
      <c r="V1912" s="57"/>
      <c r="W1912" s="57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</row>
    <row r="1913" spans="1:36" ht="11.25" customHeight="1" x14ac:dyDescent="0.2">
      <c r="A1913" s="53" t="s">
        <v>21</v>
      </c>
      <c r="B1913" s="53" t="s">
        <v>39</v>
      </c>
      <c r="C1913" s="53" t="s">
        <v>23</v>
      </c>
      <c r="D1913" s="53" t="s">
        <v>40</v>
      </c>
      <c r="E1913" s="53" t="s">
        <v>25</v>
      </c>
      <c r="F1913" s="53" t="s">
        <v>25</v>
      </c>
      <c r="G1913" s="53" t="s">
        <v>25</v>
      </c>
      <c r="H1913" s="53" t="s">
        <v>25</v>
      </c>
      <c r="I1913" s="75">
        <v>44621</v>
      </c>
      <c r="J1913" s="76">
        <f>EFEITO!$J$1913*EFEITO!$Y$1913</f>
        <v>0</v>
      </c>
      <c r="K1913" s="76">
        <f ca="1">EFEITO!$L$1913*EFEITO!$Z$1913</f>
        <v>705675.55769356515</v>
      </c>
      <c r="L1913" s="76">
        <f>EFEITO!$N$1913*EFEITO!$AA$1913</f>
        <v>429299.187176343</v>
      </c>
      <c r="M1913" s="76">
        <f>$J$1913-EFEITO!$K$1913*EFEITO!$Y$1913</f>
        <v>0</v>
      </c>
      <c r="N1913" s="76">
        <f ca="1">$K$1913-EFEITO!$M$1913*EFEITO!$Z$1913</f>
        <v>0</v>
      </c>
      <c r="O1913" s="76">
        <f>$L$1913-EFEITO!$O$1913*EFEITO!$AA$1913</f>
        <v>0</v>
      </c>
      <c r="P1913" s="57"/>
      <c r="Q1913" s="57"/>
      <c r="R1913" s="57"/>
      <c r="S1913" s="57"/>
      <c r="T1913" s="57"/>
      <c r="U1913" s="57"/>
      <c r="V1913" s="57"/>
      <c r="W1913" s="57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</row>
    <row r="1914" spans="1:36" ht="11.25" customHeight="1" x14ac:dyDescent="0.2">
      <c r="A1914" s="53" t="s">
        <v>28</v>
      </c>
      <c r="B1914" s="53" t="s">
        <v>39</v>
      </c>
      <c r="C1914" s="53" t="s">
        <v>23</v>
      </c>
      <c r="D1914" s="53" t="s">
        <v>40</v>
      </c>
      <c r="E1914" s="53" t="s">
        <v>25</v>
      </c>
      <c r="F1914" s="53" t="s">
        <v>25</v>
      </c>
      <c r="G1914" s="53" t="s">
        <v>25</v>
      </c>
      <c r="H1914" s="53" t="s">
        <v>25</v>
      </c>
      <c r="I1914" s="75">
        <v>44621</v>
      </c>
      <c r="J1914" s="76">
        <f>EFEITO!$J$1914*EFEITO!$Y$1914</f>
        <v>0</v>
      </c>
      <c r="K1914" s="76">
        <f ca="1">EFEITO!$L$1914*EFEITO!$Z$1914</f>
        <v>42710.142709190681</v>
      </c>
      <c r="L1914" s="76">
        <f>EFEITO!$N$1914*EFEITO!$AA$1914</f>
        <v>25982.803781909093</v>
      </c>
      <c r="M1914" s="76">
        <f>$J$1914-EFEITO!$K$1914*EFEITO!$Y$1914</f>
        <v>0</v>
      </c>
      <c r="N1914" s="76">
        <f ca="1">$K$1914-EFEITO!$M$1914*EFEITO!$Z$1914</f>
        <v>0</v>
      </c>
      <c r="O1914" s="76">
        <f>$L$1914-EFEITO!$O$1914*EFEITO!$AA$1914</f>
        <v>0</v>
      </c>
      <c r="P1914" s="57"/>
      <c r="Q1914" s="57"/>
      <c r="R1914" s="57"/>
      <c r="S1914" s="57"/>
      <c r="T1914" s="57"/>
      <c r="U1914" s="57"/>
      <c r="V1914" s="57"/>
      <c r="W1914" s="57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</row>
    <row r="1915" spans="1:36" ht="11.25" customHeight="1" x14ac:dyDescent="0.2">
      <c r="A1915" s="53" t="s">
        <v>28</v>
      </c>
      <c r="B1915" s="53" t="s">
        <v>39</v>
      </c>
      <c r="C1915" s="53" t="s">
        <v>23</v>
      </c>
      <c r="D1915" s="53" t="s">
        <v>40</v>
      </c>
      <c r="E1915" s="53" t="s">
        <v>25</v>
      </c>
      <c r="F1915" s="53" t="s">
        <v>25</v>
      </c>
      <c r="G1915" s="53" t="s">
        <v>25</v>
      </c>
      <c r="H1915" s="53" t="s">
        <v>25</v>
      </c>
      <c r="I1915" s="75">
        <v>44621</v>
      </c>
      <c r="J1915" s="76">
        <f>EFEITO!$J$1915*EFEITO!$Y$1915</f>
        <v>0</v>
      </c>
      <c r="K1915" s="76">
        <f ca="1">EFEITO!$L$1915*EFEITO!$Z$1915</f>
        <v>-507.21531639433925</v>
      </c>
      <c r="L1915" s="76">
        <f>EFEITO!$N$1915*EFEITO!$AA$1915</f>
        <v>-308.565488314726</v>
      </c>
      <c r="M1915" s="76">
        <f>$J$1915-EFEITO!$K$1915*EFEITO!$Y$1915</f>
        <v>0</v>
      </c>
      <c r="N1915" s="76">
        <f ca="1">$K$1915-EFEITO!$M$1915*EFEITO!$Z$1915</f>
        <v>0</v>
      </c>
      <c r="O1915" s="76">
        <f>$L$1915-EFEITO!$O$1915*EFEITO!$AA$1915</f>
        <v>0</v>
      </c>
      <c r="P1915" s="57"/>
      <c r="Q1915" s="57"/>
      <c r="R1915" s="57"/>
      <c r="S1915" s="57"/>
      <c r="T1915" s="57"/>
      <c r="U1915" s="57"/>
      <c r="V1915" s="57"/>
      <c r="W1915" s="57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</row>
    <row r="1916" spans="1:36" ht="11.25" customHeight="1" x14ac:dyDescent="0.2">
      <c r="A1916" s="53" t="s">
        <v>56</v>
      </c>
      <c r="B1916" s="53" t="s">
        <v>39</v>
      </c>
      <c r="C1916" s="53" t="s">
        <v>23</v>
      </c>
      <c r="D1916" s="53" t="s">
        <v>40</v>
      </c>
      <c r="E1916" s="53" t="s">
        <v>25</v>
      </c>
      <c r="F1916" s="53" t="s">
        <v>25</v>
      </c>
      <c r="G1916" s="53" t="s">
        <v>25</v>
      </c>
      <c r="H1916" s="53" t="s">
        <v>25</v>
      </c>
      <c r="I1916" s="75">
        <v>44652</v>
      </c>
      <c r="J1916" s="76">
        <f>EFEITO!$J$1916*EFEITO!$Y$1916</f>
        <v>0</v>
      </c>
      <c r="K1916" s="76">
        <f ca="1">EFEITO!$L$1916*EFEITO!$Z$1916</f>
        <v>705675.55769356515</v>
      </c>
      <c r="L1916" s="76">
        <f>EFEITO!$N$1916*EFEITO!$AA$1916</f>
        <v>429299.187176343</v>
      </c>
      <c r="M1916" s="76">
        <f>$J$1916-EFEITO!$K$1916*EFEITO!$Y$1916</f>
        <v>0</v>
      </c>
      <c r="N1916" s="76">
        <f ca="1">$K$1916-EFEITO!$M$1916*EFEITO!$Z$1916</f>
        <v>0</v>
      </c>
      <c r="O1916" s="76">
        <f>$L$1916-EFEITO!$O$1916*EFEITO!$AA$1916</f>
        <v>0</v>
      </c>
      <c r="P1916" s="57"/>
      <c r="Q1916" s="57"/>
      <c r="R1916" s="57"/>
      <c r="S1916" s="57"/>
      <c r="T1916" s="57"/>
      <c r="U1916" s="57"/>
      <c r="V1916" s="57"/>
      <c r="W1916" s="57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</row>
    <row r="1917" spans="1:36" ht="11.25" customHeight="1" x14ac:dyDescent="0.2">
      <c r="A1917" s="53" t="s">
        <v>56</v>
      </c>
      <c r="B1917" s="53" t="s">
        <v>39</v>
      </c>
      <c r="C1917" s="53" t="s">
        <v>23</v>
      </c>
      <c r="D1917" s="53" t="s">
        <v>40</v>
      </c>
      <c r="E1917" s="53" t="s">
        <v>25</v>
      </c>
      <c r="F1917" s="53" t="s">
        <v>25</v>
      </c>
      <c r="G1917" s="53" t="s">
        <v>25</v>
      </c>
      <c r="H1917" s="53" t="s">
        <v>25</v>
      </c>
      <c r="I1917" s="75">
        <v>44652</v>
      </c>
      <c r="J1917" s="76">
        <f>EFEITO!$J$1917*EFEITO!$Y$1917</f>
        <v>0</v>
      </c>
      <c r="K1917" s="76">
        <f ca="1">EFEITO!$L$1917*EFEITO!$Z$1917</f>
        <v>42710.142709190681</v>
      </c>
      <c r="L1917" s="76">
        <f>EFEITO!$N$1917*EFEITO!$AA$1917</f>
        <v>25982.803781909093</v>
      </c>
      <c r="M1917" s="76">
        <f>$J$1917-EFEITO!$K$1917*EFEITO!$Y$1917</f>
        <v>0</v>
      </c>
      <c r="N1917" s="76">
        <f ca="1">$K$1917-EFEITO!$M$1917*EFEITO!$Z$1917</f>
        <v>0</v>
      </c>
      <c r="O1917" s="76">
        <f>$L$1917-EFEITO!$O$1917*EFEITO!$AA$1917</f>
        <v>0</v>
      </c>
      <c r="P1917" s="57"/>
      <c r="Q1917" s="57"/>
      <c r="R1917" s="57"/>
      <c r="S1917" s="57"/>
      <c r="T1917" s="57"/>
      <c r="U1917" s="57"/>
      <c r="V1917" s="57"/>
      <c r="W1917" s="57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</row>
    <row r="1918" spans="1:36" ht="11.25" customHeight="1" x14ac:dyDescent="0.2">
      <c r="A1918" s="53" t="s">
        <v>56</v>
      </c>
      <c r="B1918" s="53" t="s">
        <v>39</v>
      </c>
      <c r="C1918" s="53" t="s">
        <v>23</v>
      </c>
      <c r="D1918" s="53" t="s">
        <v>40</v>
      </c>
      <c r="E1918" s="53" t="s">
        <v>25</v>
      </c>
      <c r="F1918" s="53" t="s">
        <v>25</v>
      </c>
      <c r="G1918" s="53" t="s">
        <v>25</v>
      </c>
      <c r="H1918" s="53" t="s">
        <v>25</v>
      </c>
      <c r="I1918" s="75">
        <v>44652</v>
      </c>
      <c r="J1918" s="76">
        <f>EFEITO!$J$1918*EFEITO!$Y$1918</f>
        <v>0</v>
      </c>
      <c r="K1918" s="76">
        <f ca="1">EFEITO!$L$1918*EFEITO!$Z$1918</f>
        <v>-507.21531639433925</v>
      </c>
      <c r="L1918" s="76">
        <f>EFEITO!$N$1918*EFEITO!$AA$1918</f>
        <v>-308.565488314726</v>
      </c>
      <c r="M1918" s="76">
        <f>$J$1918-EFEITO!$K$1918*EFEITO!$Y$1918</f>
        <v>0</v>
      </c>
      <c r="N1918" s="76">
        <f ca="1">$K$1918-EFEITO!$M$1918*EFEITO!$Z$1918</f>
        <v>0</v>
      </c>
      <c r="O1918" s="76">
        <f>$L$1918-EFEITO!$O$1918*EFEITO!$AA$1918</f>
        <v>0</v>
      </c>
      <c r="P1918" s="57"/>
      <c r="Q1918" s="57"/>
      <c r="R1918" s="57"/>
      <c r="S1918" s="57"/>
      <c r="T1918" s="57"/>
      <c r="U1918" s="57"/>
      <c r="V1918" s="57"/>
      <c r="W1918" s="57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</row>
    <row r="1919" spans="1:36" ht="11.25" customHeight="1" x14ac:dyDescent="0.2">
      <c r="A1919" s="53" t="s">
        <v>21</v>
      </c>
      <c r="B1919" s="53" t="s">
        <v>39</v>
      </c>
      <c r="C1919" s="53" t="s">
        <v>23</v>
      </c>
      <c r="D1919" s="53" t="s">
        <v>46</v>
      </c>
      <c r="E1919" s="53" t="s">
        <v>25</v>
      </c>
      <c r="F1919" s="53" t="s">
        <v>25</v>
      </c>
      <c r="G1919" s="53" t="s">
        <v>25</v>
      </c>
      <c r="H1919" s="53" t="s">
        <v>25</v>
      </c>
      <c r="I1919" s="75">
        <v>44317</v>
      </c>
      <c r="J1919" s="76">
        <f>EFEITO!$J$1919*EFEITO!$Y$1919</f>
        <v>0</v>
      </c>
      <c r="K1919" s="76">
        <f ca="1">EFEITO!$L$1919*EFEITO!$Z$1919</f>
        <v>2666277.8671132135</v>
      </c>
      <c r="L1919" s="76">
        <f>EFEITO!$N$1919*EFEITO!$AA$1919</f>
        <v>1622035.6630731204</v>
      </c>
      <c r="M1919" s="76">
        <f>$J$1919-EFEITO!$K$1919*EFEITO!$Y$1919</f>
        <v>0</v>
      </c>
      <c r="N1919" s="76">
        <f ca="1">$K$1919-EFEITO!$M$1919*EFEITO!$Z$1919</f>
        <v>0</v>
      </c>
      <c r="O1919" s="76">
        <f>$L$1919-EFEITO!$O$1919*EFEITO!$AA$1919</f>
        <v>0</v>
      </c>
      <c r="P1919" s="57"/>
      <c r="Q1919" s="57"/>
      <c r="R1919" s="57"/>
      <c r="S1919" s="57"/>
      <c r="T1919" s="57"/>
      <c r="U1919" s="57"/>
      <c r="V1919" s="57"/>
      <c r="W1919" s="57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</row>
    <row r="1920" spans="1:36" ht="11.25" customHeight="1" x14ac:dyDescent="0.2">
      <c r="A1920" s="53" t="s">
        <v>27</v>
      </c>
      <c r="B1920" s="53" t="s">
        <v>39</v>
      </c>
      <c r="C1920" s="53" t="s">
        <v>23</v>
      </c>
      <c r="D1920" s="53" t="s">
        <v>46</v>
      </c>
      <c r="E1920" s="53" t="s">
        <v>25</v>
      </c>
      <c r="F1920" s="53" t="s">
        <v>25</v>
      </c>
      <c r="G1920" s="53" t="s">
        <v>25</v>
      </c>
      <c r="H1920" s="53" t="s">
        <v>25</v>
      </c>
      <c r="I1920" s="75">
        <v>44317</v>
      </c>
      <c r="J1920" s="76">
        <f>EFEITO!$J$1920*EFEITO!$Y$1920</f>
        <v>0</v>
      </c>
      <c r="K1920" s="76">
        <f ca="1">EFEITO!$L$1920*EFEITO!$Z$1920</f>
        <v>-1717.6261082314286</v>
      </c>
      <c r="L1920" s="76">
        <f>EFEITO!$N$1920*EFEITO!$AA$1920</f>
        <v>-1044.9214006315606</v>
      </c>
      <c r="M1920" s="76">
        <f>$J$1920-EFEITO!$K$1920*EFEITO!$Y$1920</f>
        <v>0</v>
      </c>
      <c r="N1920" s="76">
        <f ca="1">$K$1920-EFEITO!$M$1920*EFEITO!$Z$1920</f>
        <v>0</v>
      </c>
      <c r="O1920" s="76">
        <f>$L$1920-EFEITO!$O$1920*EFEITO!$AA$1920</f>
        <v>0</v>
      </c>
      <c r="P1920" s="57"/>
      <c r="Q1920" s="57"/>
      <c r="R1920" s="57"/>
      <c r="S1920" s="57"/>
      <c r="T1920" s="57"/>
      <c r="U1920" s="57"/>
      <c r="V1920" s="57"/>
      <c r="W1920" s="57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</row>
    <row r="1921" spans="1:36" ht="11.25" customHeight="1" x14ac:dyDescent="0.2">
      <c r="A1921" s="53" t="s">
        <v>28</v>
      </c>
      <c r="B1921" s="53" t="s">
        <v>39</v>
      </c>
      <c r="C1921" s="53" t="s">
        <v>23</v>
      </c>
      <c r="D1921" s="53" t="s">
        <v>46</v>
      </c>
      <c r="E1921" s="53" t="s">
        <v>25</v>
      </c>
      <c r="F1921" s="53" t="s">
        <v>25</v>
      </c>
      <c r="G1921" s="53" t="s">
        <v>25</v>
      </c>
      <c r="H1921" s="53" t="s">
        <v>25</v>
      </c>
      <c r="I1921" s="75">
        <v>44317</v>
      </c>
      <c r="J1921" s="76">
        <f>EFEITO!$J$1921*EFEITO!$Y$1921</f>
        <v>0</v>
      </c>
      <c r="K1921" s="76">
        <f ca="1">EFEITO!$L$1921*EFEITO!$Z$1921</f>
        <v>1652.2993885486251</v>
      </c>
      <c r="L1921" s="76">
        <f>EFEITO!$N$1921*EFEITO!$AA$1921</f>
        <v>1005.179755402433</v>
      </c>
      <c r="M1921" s="76">
        <f>$J$1921-EFEITO!$K$1921*EFEITO!$Y$1921</f>
        <v>0</v>
      </c>
      <c r="N1921" s="76">
        <f ca="1">$K$1921-EFEITO!$M$1921*EFEITO!$Z$1921</f>
        <v>0</v>
      </c>
      <c r="O1921" s="76">
        <f>$L$1921-EFEITO!$O$1921*EFEITO!$AA$1921</f>
        <v>0</v>
      </c>
      <c r="P1921" s="57"/>
      <c r="Q1921" s="57"/>
      <c r="R1921" s="57"/>
      <c r="S1921" s="57"/>
      <c r="T1921" s="57"/>
      <c r="U1921" s="57"/>
      <c r="V1921" s="57"/>
      <c r="W1921" s="57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</row>
    <row r="1922" spans="1:36" ht="11.25" customHeight="1" x14ac:dyDescent="0.2">
      <c r="A1922" s="53" t="s">
        <v>21</v>
      </c>
      <c r="B1922" s="53" t="s">
        <v>39</v>
      </c>
      <c r="C1922" s="53" t="s">
        <v>23</v>
      </c>
      <c r="D1922" s="53" t="s">
        <v>46</v>
      </c>
      <c r="E1922" s="53" t="s">
        <v>25</v>
      </c>
      <c r="F1922" s="53" t="s">
        <v>25</v>
      </c>
      <c r="G1922" s="53" t="s">
        <v>25</v>
      </c>
      <c r="H1922" s="53" t="s">
        <v>25</v>
      </c>
      <c r="I1922" s="75">
        <v>44348</v>
      </c>
      <c r="J1922" s="76">
        <f>EFEITO!$J$1922*EFEITO!$Y$1922</f>
        <v>0</v>
      </c>
      <c r="K1922" s="76">
        <f ca="1">EFEITO!$L$1922*EFEITO!$Z$1922</f>
        <v>2437166.7955582426</v>
      </c>
      <c r="L1922" s="76">
        <f>EFEITO!$N$1922*EFEITO!$AA$1922</f>
        <v>1482655.4681388915</v>
      </c>
      <c r="M1922" s="76">
        <f>$J$1922-EFEITO!$K$1922*EFEITO!$Y$1922</f>
        <v>0</v>
      </c>
      <c r="N1922" s="76">
        <f ca="1">$K$1922-EFEITO!$M$1922*EFEITO!$Z$1922</f>
        <v>0</v>
      </c>
      <c r="O1922" s="76">
        <f>$L$1922-EFEITO!$O$1922*EFEITO!$AA$1922</f>
        <v>0</v>
      </c>
      <c r="P1922" s="57"/>
      <c r="Q1922" s="57"/>
      <c r="R1922" s="57"/>
      <c r="S1922" s="57"/>
      <c r="T1922" s="57"/>
      <c r="U1922" s="57"/>
      <c r="V1922" s="57"/>
      <c r="W1922" s="57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</row>
    <row r="1923" spans="1:36" ht="11.25" customHeight="1" x14ac:dyDescent="0.2">
      <c r="A1923" s="53" t="s">
        <v>27</v>
      </c>
      <c r="B1923" s="53" t="s">
        <v>39</v>
      </c>
      <c r="C1923" s="53" t="s">
        <v>23</v>
      </c>
      <c r="D1923" s="53" t="s">
        <v>46</v>
      </c>
      <c r="E1923" s="53" t="s">
        <v>25</v>
      </c>
      <c r="F1923" s="53" t="s">
        <v>25</v>
      </c>
      <c r="G1923" s="53" t="s">
        <v>25</v>
      </c>
      <c r="H1923" s="53" t="s">
        <v>25</v>
      </c>
      <c r="I1923" s="75">
        <v>44348</v>
      </c>
      <c r="J1923" s="76">
        <f>EFEITO!$J$1923*EFEITO!$Y$1923</f>
        <v>0</v>
      </c>
      <c r="K1923" s="76">
        <f ca="1">EFEITO!$L$1923*EFEITO!$Z$1923</f>
        <v>-2093.2547464075492</v>
      </c>
      <c r="L1923" s="76">
        <f>EFEITO!$N$1923*EFEITO!$AA$1923</f>
        <v>-1273.4358606990438</v>
      </c>
      <c r="M1923" s="76">
        <f>$J$1923-EFEITO!$K$1923*EFEITO!$Y$1923</f>
        <v>0</v>
      </c>
      <c r="N1923" s="76">
        <f ca="1">$K$1923-EFEITO!$M$1923*EFEITO!$Z$1923</f>
        <v>0</v>
      </c>
      <c r="O1923" s="76">
        <f>$L$1923-EFEITO!$O$1923*EFEITO!$AA$1923</f>
        <v>0</v>
      </c>
      <c r="P1923" s="57"/>
      <c r="Q1923" s="57"/>
      <c r="R1923" s="57"/>
      <c r="S1923" s="57"/>
      <c r="T1923" s="57"/>
      <c r="U1923" s="57"/>
      <c r="V1923" s="57"/>
      <c r="W1923" s="57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</row>
    <row r="1924" spans="1:36" ht="11.25" customHeight="1" x14ac:dyDescent="0.2">
      <c r="A1924" s="53" t="s">
        <v>28</v>
      </c>
      <c r="B1924" s="53" t="s">
        <v>39</v>
      </c>
      <c r="C1924" s="53" t="s">
        <v>23</v>
      </c>
      <c r="D1924" s="53" t="s">
        <v>46</v>
      </c>
      <c r="E1924" s="53" t="s">
        <v>25</v>
      </c>
      <c r="F1924" s="53" t="s">
        <v>25</v>
      </c>
      <c r="G1924" s="53" t="s">
        <v>25</v>
      </c>
      <c r="H1924" s="53" t="s">
        <v>25</v>
      </c>
      <c r="I1924" s="75">
        <v>44348</v>
      </c>
      <c r="J1924" s="76">
        <f>EFEITO!$J$1924*EFEITO!$Y$1924</f>
        <v>0</v>
      </c>
      <c r="K1924" s="76">
        <f ca="1">EFEITO!$L$1924*EFEITO!$Z$1924</f>
        <v>1377.92716588085</v>
      </c>
      <c r="L1924" s="76">
        <f>EFEITO!$N$1924*EFEITO!$AA$1924</f>
        <v>838.26484544009736</v>
      </c>
      <c r="M1924" s="76">
        <f>$J$1924-EFEITO!$K$1924*EFEITO!$Y$1924</f>
        <v>0</v>
      </c>
      <c r="N1924" s="76">
        <f ca="1">$K$1924-EFEITO!$M$1924*EFEITO!$Z$1924</f>
        <v>0</v>
      </c>
      <c r="O1924" s="76">
        <f>$L$1924-EFEITO!$O$1924*EFEITO!$AA$1924</f>
        <v>0</v>
      </c>
      <c r="P1924" s="57"/>
      <c r="Q1924" s="57"/>
      <c r="R1924" s="57"/>
      <c r="S1924" s="57"/>
      <c r="T1924" s="57"/>
      <c r="U1924" s="57"/>
      <c r="V1924" s="57"/>
      <c r="W1924" s="57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</row>
    <row r="1925" spans="1:36" ht="11.25" customHeight="1" x14ac:dyDescent="0.2">
      <c r="A1925" s="53" t="s">
        <v>21</v>
      </c>
      <c r="B1925" s="53" t="s">
        <v>39</v>
      </c>
      <c r="C1925" s="53" t="s">
        <v>23</v>
      </c>
      <c r="D1925" s="53" t="s">
        <v>46</v>
      </c>
      <c r="E1925" s="53" t="s">
        <v>25</v>
      </c>
      <c r="F1925" s="53" t="s">
        <v>25</v>
      </c>
      <c r="G1925" s="53" t="s">
        <v>25</v>
      </c>
      <c r="H1925" s="53" t="s">
        <v>25</v>
      </c>
      <c r="I1925" s="75">
        <v>44378</v>
      </c>
      <c r="J1925" s="76">
        <f>EFEITO!$J$1925*EFEITO!$Y$1925</f>
        <v>0</v>
      </c>
      <c r="K1925" s="76">
        <f ca="1">EFEITO!$L$1925*EFEITO!$Z$1925</f>
        <v>2224498.9259668593</v>
      </c>
      <c r="L1925" s="76">
        <f>EFEITO!$N$1925*EFEITO!$AA$1925</f>
        <v>1353278.5291777281</v>
      </c>
      <c r="M1925" s="76">
        <f>$J$1925-EFEITO!$K$1925*EFEITO!$Y$1925</f>
        <v>0</v>
      </c>
      <c r="N1925" s="76">
        <f ca="1">$K$1925-EFEITO!$M$1925*EFEITO!$Z$1925</f>
        <v>0</v>
      </c>
      <c r="O1925" s="76">
        <f>$L$1925-EFEITO!$O$1925*EFEITO!$AA$1925</f>
        <v>0</v>
      </c>
      <c r="P1925" s="57"/>
      <c r="Q1925" s="57"/>
      <c r="R1925" s="57"/>
      <c r="S1925" s="57"/>
      <c r="T1925" s="57"/>
      <c r="U1925" s="57"/>
      <c r="V1925" s="57"/>
      <c r="W1925" s="57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</row>
    <row r="1926" spans="1:36" ht="11.25" customHeight="1" x14ac:dyDescent="0.2">
      <c r="A1926" s="53" t="s">
        <v>27</v>
      </c>
      <c r="B1926" s="53" t="s">
        <v>39</v>
      </c>
      <c r="C1926" s="53" t="s">
        <v>23</v>
      </c>
      <c r="D1926" s="53" t="s">
        <v>46</v>
      </c>
      <c r="E1926" s="53" t="s">
        <v>25</v>
      </c>
      <c r="F1926" s="53" t="s">
        <v>25</v>
      </c>
      <c r="G1926" s="53" t="s">
        <v>25</v>
      </c>
      <c r="H1926" s="53" t="s">
        <v>25</v>
      </c>
      <c r="I1926" s="75">
        <v>44378</v>
      </c>
      <c r="J1926" s="76">
        <f>EFEITO!$J$1926*EFEITO!$Y$1926</f>
        <v>0</v>
      </c>
      <c r="K1926" s="76">
        <f ca="1">EFEITO!$L$1926*EFEITO!$Z$1926</f>
        <v>-39641.653361804136</v>
      </c>
      <c r="L1926" s="76">
        <f>EFEITO!$N$1926*EFEITO!$AA$1926</f>
        <v>-24116.081931718072</v>
      </c>
      <c r="M1926" s="76">
        <f>$J$1926-EFEITO!$K$1926*EFEITO!$Y$1926</f>
        <v>0</v>
      </c>
      <c r="N1926" s="76">
        <f ca="1">$K$1926-EFEITO!$M$1926*EFEITO!$Z$1926</f>
        <v>0</v>
      </c>
      <c r="O1926" s="76">
        <f>$L$1926-EFEITO!$O$1926*EFEITO!$AA$1926</f>
        <v>0</v>
      </c>
      <c r="P1926" s="57"/>
      <c r="Q1926" s="57"/>
      <c r="R1926" s="57"/>
      <c r="S1926" s="57"/>
      <c r="T1926" s="57"/>
      <c r="U1926" s="57"/>
      <c r="V1926" s="57"/>
      <c r="W1926" s="57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</row>
    <row r="1927" spans="1:36" ht="11.25" customHeight="1" x14ac:dyDescent="0.2">
      <c r="A1927" s="53" t="s">
        <v>28</v>
      </c>
      <c r="B1927" s="53" t="s">
        <v>39</v>
      </c>
      <c r="C1927" s="53" t="s">
        <v>23</v>
      </c>
      <c r="D1927" s="53" t="s">
        <v>46</v>
      </c>
      <c r="E1927" s="53" t="s">
        <v>25</v>
      </c>
      <c r="F1927" s="53" t="s">
        <v>25</v>
      </c>
      <c r="G1927" s="53" t="s">
        <v>25</v>
      </c>
      <c r="H1927" s="53" t="s">
        <v>25</v>
      </c>
      <c r="I1927" s="75">
        <v>44378</v>
      </c>
      <c r="J1927" s="76">
        <f>EFEITO!$J$1927*EFEITO!$Y$1927</f>
        <v>0</v>
      </c>
      <c r="K1927" s="76">
        <f ca="1">EFEITO!$L$1927*EFEITO!$Z$1927</f>
        <v>1068.0918668138388</v>
      </c>
      <c r="L1927" s="76">
        <f>EFEITO!$N$1927*EFEITO!$AA$1927</f>
        <v>649.7758994962353</v>
      </c>
      <c r="M1927" s="76">
        <f>$J$1927-EFEITO!$K$1927*EFEITO!$Y$1927</f>
        <v>0</v>
      </c>
      <c r="N1927" s="76">
        <f ca="1">$K$1927-EFEITO!$M$1927*EFEITO!$Z$1927</f>
        <v>0</v>
      </c>
      <c r="O1927" s="76">
        <f>$L$1927-EFEITO!$O$1927*EFEITO!$AA$1927</f>
        <v>0</v>
      </c>
      <c r="P1927" s="57"/>
      <c r="Q1927" s="57"/>
      <c r="R1927" s="57"/>
      <c r="S1927" s="57"/>
      <c r="T1927" s="57"/>
      <c r="U1927" s="57"/>
      <c r="V1927" s="57"/>
      <c r="W1927" s="57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</row>
    <row r="1928" spans="1:36" ht="11.25" customHeight="1" x14ac:dyDescent="0.2">
      <c r="A1928" s="53" t="s">
        <v>21</v>
      </c>
      <c r="B1928" s="53" t="s">
        <v>39</v>
      </c>
      <c r="C1928" s="53" t="s">
        <v>23</v>
      </c>
      <c r="D1928" s="53" t="s">
        <v>46</v>
      </c>
      <c r="E1928" s="53" t="s">
        <v>25</v>
      </c>
      <c r="F1928" s="53" t="s">
        <v>25</v>
      </c>
      <c r="G1928" s="53" t="s">
        <v>25</v>
      </c>
      <c r="H1928" s="53" t="s">
        <v>25</v>
      </c>
      <c r="I1928" s="75">
        <v>44409</v>
      </c>
      <c r="J1928" s="76">
        <f>EFEITO!$J$1928*EFEITO!$Y$1928</f>
        <v>0</v>
      </c>
      <c r="K1928" s="76">
        <f ca="1">EFEITO!$L$1928*EFEITO!$Z$1928</f>
        <v>2372630.5291836006</v>
      </c>
      <c r="L1928" s="76">
        <f>EFEITO!$N$1928*EFEITO!$AA$1928</f>
        <v>1443394.6968170363</v>
      </c>
      <c r="M1928" s="76">
        <f>$J$1928-EFEITO!$K$1928*EFEITO!$Y$1928</f>
        <v>0</v>
      </c>
      <c r="N1928" s="76">
        <f ca="1">$K$1928-EFEITO!$M$1928*EFEITO!$Z$1928</f>
        <v>0</v>
      </c>
      <c r="O1928" s="76">
        <f>$L$1928-EFEITO!$O$1928*EFEITO!$AA$1928</f>
        <v>0</v>
      </c>
      <c r="P1928" s="57"/>
      <c r="Q1928" s="57"/>
      <c r="R1928" s="57"/>
      <c r="S1928" s="57"/>
      <c r="T1928" s="57"/>
      <c r="U1928" s="57"/>
      <c r="V1928" s="57"/>
      <c r="W1928" s="57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</row>
    <row r="1929" spans="1:36" ht="11.25" customHeight="1" x14ac:dyDescent="0.2">
      <c r="A1929" s="53" t="s">
        <v>27</v>
      </c>
      <c r="B1929" s="53" t="s">
        <v>39</v>
      </c>
      <c r="C1929" s="53" t="s">
        <v>23</v>
      </c>
      <c r="D1929" s="53" t="s">
        <v>46</v>
      </c>
      <c r="E1929" s="53" t="s">
        <v>25</v>
      </c>
      <c r="F1929" s="53" t="s">
        <v>25</v>
      </c>
      <c r="G1929" s="53" t="s">
        <v>25</v>
      </c>
      <c r="H1929" s="53" t="s">
        <v>25</v>
      </c>
      <c r="I1929" s="75">
        <v>44409</v>
      </c>
      <c r="J1929" s="76">
        <f>EFEITO!$J$1929*EFEITO!$Y$1929</f>
        <v>0</v>
      </c>
      <c r="K1929" s="76">
        <f ca="1">EFEITO!$L$1929*EFEITO!$Z$1929</f>
        <v>-10962.290182200748</v>
      </c>
      <c r="L1929" s="76">
        <f>EFEITO!$N$1929*EFEITO!$AA$1929</f>
        <v>-6668.9319383420952</v>
      </c>
      <c r="M1929" s="76">
        <f>$J$1929-EFEITO!$K$1929*EFEITO!$Y$1929</f>
        <v>0</v>
      </c>
      <c r="N1929" s="76">
        <f ca="1">$K$1929-EFEITO!$M$1929*EFEITO!$Z$1929</f>
        <v>0</v>
      </c>
      <c r="O1929" s="76">
        <f>$L$1929-EFEITO!$O$1929*EFEITO!$AA$1929</f>
        <v>0</v>
      </c>
      <c r="P1929" s="57"/>
      <c r="Q1929" s="57"/>
      <c r="R1929" s="57"/>
      <c r="S1929" s="57"/>
      <c r="T1929" s="57"/>
      <c r="U1929" s="57"/>
      <c r="V1929" s="57"/>
      <c r="W1929" s="57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</row>
    <row r="1930" spans="1:36" ht="11.25" customHeight="1" x14ac:dyDescent="0.2">
      <c r="A1930" s="53" t="s">
        <v>28</v>
      </c>
      <c r="B1930" s="53" t="s">
        <v>39</v>
      </c>
      <c r="C1930" s="53" t="s">
        <v>23</v>
      </c>
      <c r="D1930" s="53" t="s">
        <v>46</v>
      </c>
      <c r="E1930" s="53" t="s">
        <v>25</v>
      </c>
      <c r="F1930" s="53" t="s">
        <v>25</v>
      </c>
      <c r="G1930" s="53" t="s">
        <v>25</v>
      </c>
      <c r="H1930" s="53" t="s">
        <v>25</v>
      </c>
      <c r="I1930" s="75">
        <v>44409</v>
      </c>
      <c r="J1930" s="76">
        <f>EFEITO!$J$1930*EFEITO!$Y$1930</f>
        <v>0</v>
      </c>
      <c r="K1930" s="76">
        <f ca="1">EFEITO!$L$1930*EFEITO!$Z$1930</f>
        <v>1145.5506915805915</v>
      </c>
      <c r="L1930" s="76">
        <f>EFEITO!$N$1930*EFEITO!$AA$1930</f>
        <v>696.89813598220087</v>
      </c>
      <c r="M1930" s="76">
        <f>$J$1930-EFEITO!$K$1930*EFEITO!$Y$1930</f>
        <v>0</v>
      </c>
      <c r="N1930" s="76">
        <f ca="1">$K$1930-EFEITO!$M$1930*EFEITO!$Z$1930</f>
        <v>0</v>
      </c>
      <c r="O1930" s="76">
        <f>$L$1930-EFEITO!$O$1930*EFEITO!$AA$1930</f>
        <v>0</v>
      </c>
      <c r="P1930" s="57"/>
      <c r="Q1930" s="57"/>
      <c r="R1930" s="57"/>
      <c r="S1930" s="57"/>
      <c r="T1930" s="57"/>
      <c r="U1930" s="57"/>
      <c r="V1930" s="57"/>
      <c r="W1930" s="57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</row>
    <row r="1931" spans="1:36" ht="11.25" customHeight="1" x14ac:dyDescent="0.2">
      <c r="A1931" s="53" t="s">
        <v>21</v>
      </c>
      <c r="B1931" s="53" t="s">
        <v>39</v>
      </c>
      <c r="C1931" s="53" t="s">
        <v>23</v>
      </c>
      <c r="D1931" s="53" t="s">
        <v>46</v>
      </c>
      <c r="E1931" s="53" t="s">
        <v>25</v>
      </c>
      <c r="F1931" s="53" t="s">
        <v>25</v>
      </c>
      <c r="G1931" s="53" t="s">
        <v>25</v>
      </c>
      <c r="H1931" s="53" t="s">
        <v>25</v>
      </c>
      <c r="I1931" s="75">
        <v>44440</v>
      </c>
      <c r="J1931" s="76">
        <f>EFEITO!$J$1931*EFEITO!$Y$1931</f>
        <v>0</v>
      </c>
      <c r="K1931" s="76">
        <f ca="1">EFEITO!$L$1931*EFEITO!$Z$1931</f>
        <v>2767476.8884321237</v>
      </c>
      <c r="L1931" s="76">
        <f>EFEITO!$N$1931*EFEITO!$AA$1931</f>
        <v>1683600.2973042456</v>
      </c>
      <c r="M1931" s="76">
        <f>$J$1931-EFEITO!$K$1931*EFEITO!$Y$1931</f>
        <v>0</v>
      </c>
      <c r="N1931" s="76">
        <f ca="1">$K$1931-EFEITO!$M$1931*EFEITO!$Z$1931</f>
        <v>0</v>
      </c>
      <c r="O1931" s="76">
        <f>$L$1931-EFEITO!$O$1931*EFEITO!$AA$1931</f>
        <v>0</v>
      </c>
      <c r="P1931" s="57"/>
      <c r="Q1931" s="57"/>
      <c r="R1931" s="57"/>
      <c r="S1931" s="57"/>
      <c r="T1931" s="57"/>
      <c r="U1931" s="57"/>
      <c r="V1931" s="57"/>
      <c r="W1931" s="57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</row>
    <row r="1932" spans="1:36" ht="11.25" customHeight="1" x14ac:dyDescent="0.2">
      <c r="A1932" s="53" t="s">
        <v>27</v>
      </c>
      <c r="B1932" s="53" t="s">
        <v>39</v>
      </c>
      <c r="C1932" s="53" t="s">
        <v>23</v>
      </c>
      <c r="D1932" s="53" t="s">
        <v>46</v>
      </c>
      <c r="E1932" s="53" t="s">
        <v>25</v>
      </c>
      <c r="F1932" s="53" t="s">
        <v>25</v>
      </c>
      <c r="G1932" s="53" t="s">
        <v>25</v>
      </c>
      <c r="H1932" s="53" t="s">
        <v>25</v>
      </c>
      <c r="I1932" s="75">
        <v>44440</v>
      </c>
      <c r="J1932" s="76">
        <f>EFEITO!$J$1932*EFEITO!$Y$1932</f>
        <v>0</v>
      </c>
      <c r="K1932" s="76">
        <f ca="1">EFEITO!$L$1932*EFEITO!$Z$1932</f>
        <v>-11783.073753072544</v>
      </c>
      <c r="L1932" s="76">
        <f>EFEITO!$N$1932*EFEITO!$AA$1932</f>
        <v>-7168.257323756633</v>
      </c>
      <c r="M1932" s="76">
        <f>$J$1932-EFEITO!$K$1932*EFEITO!$Y$1932</f>
        <v>0</v>
      </c>
      <c r="N1932" s="76">
        <f ca="1">$K$1932-EFEITO!$M$1932*EFEITO!$Z$1932</f>
        <v>0</v>
      </c>
      <c r="O1932" s="76">
        <f>$L$1932-EFEITO!$O$1932*EFEITO!$AA$1932</f>
        <v>0</v>
      </c>
      <c r="P1932" s="57"/>
      <c r="Q1932" s="57"/>
      <c r="R1932" s="57"/>
      <c r="S1932" s="57"/>
      <c r="T1932" s="57"/>
      <c r="U1932" s="57"/>
      <c r="V1932" s="57"/>
      <c r="W1932" s="57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</row>
    <row r="1933" spans="1:36" ht="11.25" customHeight="1" x14ac:dyDescent="0.2">
      <c r="A1933" s="53" t="s">
        <v>28</v>
      </c>
      <c r="B1933" s="53" t="s">
        <v>39</v>
      </c>
      <c r="C1933" s="53" t="s">
        <v>23</v>
      </c>
      <c r="D1933" s="53" t="s">
        <v>46</v>
      </c>
      <c r="E1933" s="53" t="s">
        <v>25</v>
      </c>
      <c r="F1933" s="53" t="s">
        <v>25</v>
      </c>
      <c r="G1933" s="53" t="s">
        <v>25</v>
      </c>
      <c r="H1933" s="53" t="s">
        <v>25</v>
      </c>
      <c r="I1933" s="75">
        <v>44440</v>
      </c>
      <c r="J1933" s="76">
        <f>EFEITO!$J$1933*EFEITO!$Y$1933</f>
        <v>0</v>
      </c>
      <c r="K1933" s="76">
        <f ca="1">EFEITO!$L$1933*EFEITO!$Z$1933</f>
        <v>1320.9995958715497</v>
      </c>
      <c r="L1933" s="76">
        <f>EFEITO!$N$1933*EFEITO!$AA$1933</f>
        <v>803.63284031185765</v>
      </c>
      <c r="M1933" s="76">
        <f>$J$1933-EFEITO!$K$1933*EFEITO!$Y$1933</f>
        <v>0</v>
      </c>
      <c r="N1933" s="76">
        <f ca="1">$K$1933-EFEITO!$M$1933*EFEITO!$Z$1933</f>
        <v>0</v>
      </c>
      <c r="O1933" s="76">
        <f>$L$1933-EFEITO!$O$1933*EFEITO!$AA$1933</f>
        <v>0</v>
      </c>
      <c r="P1933" s="57"/>
      <c r="Q1933" s="57"/>
      <c r="R1933" s="57"/>
      <c r="S1933" s="57"/>
      <c r="T1933" s="57"/>
      <c r="U1933" s="57"/>
      <c r="V1933" s="57"/>
      <c r="W1933" s="57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</row>
    <row r="1934" spans="1:36" ht="11.25" customHeight="1" x14ac:dyDescent="0.2">
      <c r="A1934" s="53" t="s">
        <v>21</v>
      </c>
      <c r="B1934" s="53" t="s">
        <v>39</v>
      </c>
      <c r="C1934" s="53" t="s">
        <v>23</v>
      </c>
      <c r="D1934" s="53" t="s">
        <v>46</v>
      </c>
      <c r="E1934" s="53" t="s">
        <v>25</v>
      </c>
      <c r="F1934" s="53" t="s">
        <v>25</v>
      </c>
      <c r="G1934" s="53" t="s">
        <v>25</v>
      </c>
      <c r="H1934" s="53" t="s">
        <v>25</v>
      </c>
      <c r="I1934" s="75">
        <v>44470</v>
      </c>
      <c r="J1934" s="76">
        <f>EFEITO!$J$1934*EFEITO!$Y$1934</f>
        <v>0</v>
      </c>
      <c r="K1934" s="76">
        <f ca="1">EFEITO!$L$1934*EFEITO!$Z$1934</f>
        <v>3374785.338105028</v>
      </c>
      <c r="L1934" s="76">
        <f>EFEITO!$N$1934*EFEITO!$AA$1934</f>
        <v>2053057.6505701463</v>
      </c>
      <c r="M1934" s="76">
        <f>$J$1934-EFEITO!$K$1934*EFEITO!$Y$1934</f>
        <v>0</v>
      </c>
      <c r="N1934" s="76">
        <f ca="1">$K$1934-EFEITO!$M$1934*EFEITO!$Z$1934</f>
        <v>0</v>
      </c>
      <c r="O1934" s="76">
        <f>$L$1934-EFEITO!$O$1934*EFEITO!$AA$1934</f>
        <v>0</v>
      </c>
      <c r="P1934" s="57"/>
      <c r="Q1934" s="57"/>
      <c r="R1934" s="57"/>
      <c r="S1934" s="57"/>
      <c r="T1934" s="57"/>
      <c r="U1934" s="57"/>
      <c r="V1934" s="57"/>
      <c r="W1934" s="57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</row>
    <row r="1935" spans="1:36" ht="11.25" customHeight="1" x14ac:dyDescent="0.2">
      <c r="A1935" s="53" t="s">
        <v>27</v>
      </c>
      <c r="B1935" s="53" t="s">
        <v>39</v>
      </c>
      <c r="C1935" s="53" t="s">
        <v>23</v>
      </c>
      <c r="D1935" s="53" t="s">
        <v>46</v>
      </c>
      <c r="E1935" s="53" t="s">
        <v>25</v>
      </c>
      <c r="F1935" s="53" t="s">
        <v>25</v>
      </c>
      <c r="G1935" s="53" t="s">
        <v>25</v>
      </c>
      <c r="H1935" s="53" t="s">
        <v>25</v>
      </c>
      <c r="I1935" s="75">
        <v>44470</v>
      </c>
      <c r="J1935" s="76">
        <f>EFEITO!$J$1935*EFEITO!$Y$1935</f>
        <v>0</v>
      </c>
      <c r="K1935" s="76">
        <f ca="1">EFEITO!$L$1935*EFEITO!$Z$1935</f>
        <v>1198.7453061794458</v>
      </c>
      <c r="L1935" s="76">
        <f>EFEITO!$N$1935*EFEITO!$AA$1935</f>
        <v>729.25918995449035</v>
      </c>
      <c r="M1935" s="76">
        <f>$J$1935-EFEITO!$K$1935*EFEITO!$Y$1935</f>
        <v>0</v>
      </c>
      <c r="N1935" s="76">
        <f ca="1">$K$1935-EFEITO!$M$1935*EFEITO!$Z$1935</f>
        <v>0</v>
      </c>
      <c r="O1935" s="76">
        <f>$L$1935-EFEITO!$O$1935*EFEITO!$AA$1935</f>
        <v>0</v>
      </c>
      <c r="P1935" s="57"/>
      <c r="Q1935" s="57"/>
      <c r="R1935" s="57"/>
      <c r="S1935" s="57"/>
      <c r="T1935" s="57"/>
      <c r="U1935" s="57"/>
      <c r="V1935" s="57"/>
      <c r="W1935" s="57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</row>
    <row r="1936" spans="1:36" ht="11.25" customHeight="1" x14ac:dyDescent="0.2">
      <c r="A1936" s="53" t="s">
        <v>28</v>
      </c>
      <c r="B1936" s="53" t="s">
        <v>39</v>
      </c>
      <c r="C1936" s="53" t="s">
        <v>23</v>
      </c>
      <c r="D1936" s="53" t="s">
        <v>46</v>
      </c>
      <c r="E1936" s="53" t="s">
        <v>25</v>
      </c>
      <c r="F1936" s="53" t="s">
        <v>25</v>
      </c>
      <c r="G1936" s="53" t="s">
        <v>25</v>
      </c>
      <c r="H1936" s="53" t="s">
        <v>25</v>
      </c>
      <c r="I1936" s="75">
        <v>44470</v>
      </c>
      <c r="J1936" s="76">
        <f>EFEITO!$J$1936*EFEITO!$Y$1936</f>
        <v>0</v>
      </c>
      <c r="K1936" s="76">
        <f ca="1">EFEITO!$L$1936*EFEITO!$Z$1936</f>
        <v>1628.5017978070325</v>
      </c>
      <c r="L1936" s="76">
        <f>EFEITO!$N$1936*EFEITO!$AA$1936</f>
        <v>990.70244178325095</v>
      </c>
      <c r="M1936" s="76">
        <f>$J$1936-EFEITO!$K$1936*EFEITO!$Y$1936</f>
        <v>0</v>
      </c>
      <c r="N1936" s="76">
        <f ca="1">$K$1936-EFEITO!$M$1936*EFEITO!$Z$1936</f>
        <v>0</v>
      </c>
      <c r="O1936" s="76">
        <f>$L$1936-EFEITO!$O$1936*EFEITO!$AA$1936</f>
        <v>0</v>
      </c>
      <c r="P1936" s="57"/>
      <c r="Q1936" s="57"/>
      <c r="R1936" s="57"/>
      <c r="S1936" s="57"/>
      <c r="T1936" s="57"/>
      <c r="U1936" s="57"/>
      <c r="V1936" s="57"/>
      <c r="W1936" s="57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</row>
    <row r="1937" spans="1:36" ht="11.25" customHeight="1" x14ac:dyDescent="0.2">
      <c r="A1937" s="53" t="s">
        <v>21</v>
      </c>
      <c r="B1937" s="53" t="s">
        <v>39</v>
      </c>
      <c r="C1937" s="53" t="s">
        <v>23</v>
      </c>
      <c r="D1937" s="53" t="s">
        <v>46</v>
      </c>
      <c r="E1937" s="53" t="s">
        <v>25</v>
      </c>
      <c r="F1937" s="53" t="s">
        <v>25</v>
      </c>
      <c r="G1937" s="53" t="s">
        <v>25</v>
      </c>
      <c r="H1937" s="53" t="s">
        <v>25</v>
      </c>
      <c r="I1937" s="75">
        <v>44501</v>
      </c>
      <c r="J1937" s="76">
        <f>EFEITO!$J$1937*EFEITO!$Y$1937</f>
        <v>0</v>
      </c>
      <c r="K1937" s="76">
        <f ca="1">EFEITO!$L$1937*EFEITO!$Z$1937</f>
        <v>4041053.0187693681</v>
      </c>
      <c r="L1937" s="76">
        <f>EFEITO!$N$1937*EFEITO!$AA$1937</f>
        <v>2458382.9741309122</v>
      </c>
      <c r="M1937" s="76">
        <f>$J$1937-EFEITO!$K$1937*EFEITO!$Y$1937</f>
        <v>0</v>
      </c>
      <c r="N1937" s="76">
        <f ca="1">$K$1937-EFEITO!$M$1937*EFEITO!$Z$1937</f>
        <v>0</v>
      </c>
      <c r="O1937" s="76">
        <f>$L$1937-EFEITO!$O$1937*EFEITO!$AA$1937</f>
        <v>0</v>
      </c>
      <c r="P1937" s="57"/>
      <c r="Q1937" s="57"/>
      <c r="R1937" s="57"/>
      <c r="S1937" s="57"/>
      <c r="T1937" s="57"/>
      <c r="U1937" s="57"/>
      <c r="V1937" s="57"/>
      <c r="W1937" s="57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</row>
    <row r="1938" spans="1:36" ht="11.25" customHeight="1" x14ac:dyDescent="0.2">
      <c r="A1938" s="53" t="s">
        <v>27</v>
      </c>
      <c r="B1938" s="53" t="s">
        <v>39</v>
      </c>
      <c r="C1938" s="53" t="s">
        <v>23</v>
      </c>
      <c r="D1938" s="53" t="s">
        <v>46</v>
      </c>
      <c r="E1938" s="53" t="s">
        <v>25</v>
      </c>
      <c r="F1938" s="53" t="s">
        <v>25</v>
      </c>
      <c r="G1938" s="53" t="s">
        <v>25</v>
      </c>
      <c r="H1938" s="53" t="s">
        <v>25</v>
      </c>
      <c r="I1938" s="75">
        <v>44501</v>
      </c>
      <c r="J1938" s="76">
        <f>EFEITO!$J$1938*EFEITO!$Y$1938</f>
        <v>0</v>
      </c>
      <c r="K1938" s="76">
        <f ca="1">EFEITO!$L$1938*EFEITO!$Z$1938</f>
        <v>-142.78554444955643</v>
      </c>
      <c r="L1938" s="76">
        <f>EFEITO!$N$1938*EFEITO!$AA$1938</f>
        <v>-86.863881715093058</v>
      </c>
      <c r="M1938" s="76">
        <f>$J$1938-EFEITO!$K$1938*EFEITO!$Y$1938</f>
        <v>0</v>
      </c>
      <c r="N1938" s="76">
        <f ca="1">$K$1938-EFEITO!$M$1938*EFEITO!$Z$1938</f>
        <v>0</v>
      </c>
      <c r="O1938" s="76">
        <f>$L$1938-EFEITO!$O$1938*EFEITO!$AA$1938</f>
        <v>0</v>
      </c>
      <c r="P1938" s="57"/>
      <c r="Q1938" s="57"/>
      <c r="R1938" s="57"/>
      <c r="S1938" s="57"/>
      <c r="T1938" s="57"/>
      <c r="U1938" s="57"/>
      <c r="V1938" s="57"/>
      <c r="W1938" s="57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</row>
    <row r="1939" spans="1:36" ht="11.25" customHeight="1" x14ac:dyDescent="0.2">
      <c r="A1939" s="53" t="s">
        <v>28</v>
      </c>
      <c r="B1939" s="53" t="s">
        <v>39</v>
      </c>
      <c r="C1939" s="53" t="s">
        <v>23</v>
      </c>
      <c r="D1939" s="53" t="s">
        <v>46</v>
      </c>
      <c r="E1939" s="53" t="s">
        <v>25</v>
      </c>
      <c r="F1939" s="53" t="s">
        <v>25</v>
      </c>
      <c r="G1939" s="53" t="s">
        <v>25</v>
      </c>
      <c r="H1939" s="53" t="s">
        <v>25</v>
      </c>
      <c r="I1939" s="75">
        <v>44501</v>
      </c>
      <c r="J1939" s="76">
        <f>EFEITO!$J$1939*EFEITO!$Y$1939</f>
        <v>0</v>
      </c>
      <c r="K1939" s="76">
        <f ca="1">EFEITO!$L$1939*EFEITO!$Z$1939</f>
        <v>1614.9698344441658</v>
      </c>
      <c r="L1939" s="76">
        <f>EFEITO!$N$1939*EFEITO!$AA$1939</f>
        <v>982.4702438429315</v>
      </c>
      <c r="M1939" s="76">
        <f>$J$1939-EFEITO!$K$1939*EFEITO!$Y$1939</f>
        <v>0</v>
      </c>
      <c r="N1939" s="76">
        <f ca="1">$K$1939-EFEITO!$M$1939*EFEITO!$Z$1939</f>
        <v>0</v>
      </c>
      <c r="O1939" s="76">
        <f>$L$1939-EFEITO!$O$1939*EFEITO!$AA$1939</f>
        <v>0</v>
      </c>
      <c r="P1939" s="57"/>
      <c r="Q1939" s="57"/>
      <c r="R1939" s="57"/>
      <c r="S1939" s="57"/>
      <c r="T1939" s="57"/>
      <c r="U1939" s="57"/>
      <c r="V1939" s="57"/>
      <c r="W1939" s="57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</row>
    <row r="1940" spans="1:36" ht="11.25" customHeight="1" x14ac:dyDescent="0.2">
      <c r="A1940" s="53" t="s">
        <v>21</v>
      </c>
      <c r="B1940" s="53" t="s">
        <v>39</v>
      </c>
      <c r="C1940" s="53" t="s">
        <v>23</v>
      </c>
      <c r="D1940" s="53" t="s">
        <v>46</v>
      </c>
      <c r="E1940" s="53" t="s">
        <v>25</v>
      </c>
      <c r="F1940" s="53" t="s">
        <v>25</v>
      </c>
      <c r="G1940" s="53" t="s">
        <v>25</v>
      </c>
      <c r="H1940" s="53" t="s">
        <v>25</v>
      </c>
      <c r="I1940" s="75">
        <v>44531</v>
      </c>
      <c r="J1940" s="76">
        <f>EFEITO!$J$1940*EFEITO!$Y$1940</f>
        <v>0</v>
      </c>
      <c r="K1940" s="76">
        <f ca="1">EFEITO!$L$1940*EFEITO!$Z$1940</f>
        <v>3906795.8775744014</v>
      </c>
      <c r="L1940" s="76">
        <f>EFEITO!$N$1940*EFEITO!$AA$1940</f>
        <v>2376707.3642004821</v>
      </c>
      <c r="M1940" s="76">
        <f>$J$1940-EFEITO!$K$1940*EFEITO!$Y$1940</f>
        <v>0</v>
      </c>
      <c r="N1940" s="76">
        <f ca="1">$K$1940-EFEITO!$M$1940*EFEITO!$Z$1940</f>
        <v>0</v>
      </c>
      <c r="O1940" s="76">
        <f>$L$1940-EFEITO!$O$1940*EFEITO!$AA$1940</f>
        <v>0</v>
      </c>
      <c r="P1940" s="57"/>
      <c r="Q1940" s="57"/>
      <c r="R1940" s="57"/>
      <c r="S1940" s="57"/>
      <c r="T1940" s="57"/>
      <c r="U1940" s="57"/>
      <c r="V1940" s="57"/>
      <c r="W1940" s="57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</row>
    <row r="1941" spans="1:36" ht="11.25" customHeight="1" x14ac:dyDescent="0.2">
      <c r="A1941" s="53" t="s">
        <v>27</v>
      </c>
      <c r="B1941" s="53" t="s">
        <v>39</v>
      </c>
      <c r="C1941" s="53" t="s">
        <v>23</v>
      </c>
      <c r="D1941" s="53" t="s">
        <v>46</v>
      </c>
      <c r="E1941" s="53" t="s">
        <v>25</v>
      </c>
      <c r="F1941" s="53" t="s">
        <v>25</v>
      </c>
      <c r="G1941" s="53" t="s">
        <v>25</v>
      </c>
      <c r="H1941" s="53" t="s">
        <v>25</v>
      </c>
      <c r="I1941" s="75">
        <v>44531</v>
      </c>
      <c r="J1941" s="76">
        <f>EFEITO!$J$1941*EFEITO!$Y$1941</f>
        <v>0</v>
      </c>
      <c r="K1941" s="76">
        <f ca="1">EFEITO!$L$1941*EFEITO!$Z$1941</f>
        <v>9699.1513951911111</v>
      </c>
      <c r="L1941" s="76">
        <f>EFEITO!$N$1941*EFEITO!$AA$1941</f>
        <v>5900.4988409474654</v>
      </c>
      <c r="M1941" s="76">
        <f>$J$1941-EFEITO!$K$1941*EFEITO!$Y$1941</f>
        <v>0</v>
      </c>
      <c r="N1941" s="76">
        <f ca="1">$K$1941-EFEITO!$M$1941*EFEITO!$Z$1941</f>
        <v>0</v>
      </c>
      <c r="O1941" s="76">
        <f>$L$1941-EFEITO!$O$1941*EFEITO!$AA$1941</f>
        <v>0</v>
      </c>
      <c r="P1941" s="57"/>
      <c r="Q1941" s="57"/>
      <c r="R1941" s="57"/>
      <c r="S1941" s="57"/>
      <c r="T1941" s="57"/>
      <c r="U1941" s="57"/>
      <c r="V1941" s="57"/>
      <c r="W1941" s="57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</row>
    <row r="1942" spans="1:36" ht="11.25" customHeight="1" x14ac:dyDescent="0.2">
      <c r="A1942" s="53" t="s">
        <v>28</v>
      </c>
      <c r="B1942" s="53" t="s">
        <v>39</v>
      </c>
      <c r="C1942" s="53" t="s">
        <v>23</v>
      </c>
      <c r="D1942" s="53" t="s">
        <v>46</v>
      </c>
      <c r="E1942" s="53" t="s">
        <v>25</v>
      </c>
      <c r="F1942" s="53" t="s">
        <v>25</v>
      </c>
      <c r="G1942" s="53" t="s">
        <v>25</v>
      </c>
      <c r="H1942" s="53" t="s">
        <v>25</v>
      </c>
      <c r="I1942" s="75">
        <v>44531</v>
      </c>
      <c r="J1942" s="76">
        <f>EFEITO!$J$1942*EFEITO!$Y$1942</f>
        <v>0</v>
      </c>
      <c r="K1942" s="76">
        <f ca="1">EFEITO!$L$1942*EFEITO!$Z$1942</f>
        <v>6754.3161957755856</v>
      </c>
      <c r="L1942" s="76">
        <f>EFEITO!$N$1942*EFEITO!$AA$1942</f>
        <v>4109.0022477972943</v>
      </c>
      <c r="M1942" s="76">
        <f>$J$1942-EFEITO!$K$1942*EFEITO!$Y$1942</f>
        <v>0</v>
      </c>
      <c r="N1942" s="76">
        <f ca="1">$K$1942-EFEITO!$M$1942*EFEITO!$Z$1942</f>
        <v>0</v>
      </c>
      <c r="O1942" s="76">
        <f>$L$1942-EFEITO!$O$1942*EFEITO!$AA$1942</f>
        <v>0</v>
      </c>
      <c r="P1942" s="57"/>
      <c r="Q1942" s="57"/>
      <c r="R1942" s="57"/>
      <c r="S1942" s="57"/>
      <c r="T1942" s="57"/>
      <c r="U1942" s="57"/>
      <c r="V1942" s="57"/>
      <c r="W1942" s="57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</row>
    <row r="1943" spans="1:36" ht="11.25" customHeight="1" x14ac:dyDescent="0.2">
      <c r="A1943" s="53" t="s">
        <v>21</v>
      </c>
      <c r="B1943" s="53" t="s">
        <v>39</v>
      </c>
      <c r="C1943" s="53" t="s">
        <v>23</v>
      </c>
      <c r="D1943" s="53" t="s">
        <v>46</v>
      </c>
      <c r="E1943" s="53" t="s">
        <v>25</v>
      </c>
      <c r="F1943" s="53" t="s">
        <v>25</v>
      </c>
      <c r="G1943" s="53" t="s">
        <v>25</v>
      </c>
      <c r="H1943" s="53" t="s">
        <v>25</v>
      </c>
      <c r="I1943" s="75">
        <v>44562</v>
      </c>
      <c r="J1943" s="76">
        <f>EFEITO!$J$1943*EFEITO!$Y$1943</f>
        <v>0</v>
      </c>
      <c r="K1943" s="76">
        <f ca="1">EFEITO!$L$1943*EFEITO!$Z$1943</f>
        <v>3082820.6298266738</v>
      </c>
      <c r="L1943" s="76">
        <f>EFEITO!$N$1943*EFEITO!$AA$1943</f>
        <v>1875440.3155476064</v>
      </c>
      <c r="M1943" s="76">
        <f>$J$1943-EFEITO!$K$1943*EFEITO!$Y$1943</f>
        <v>0</v>
      </c>
      <c r="N1943" s="76">
        <f ca="1">$K$1943-EFEITO!$M$1943*EFEITO!$Z$1943</f>
        <v>0</v>
      </c>
      <c r="O1943" s="76">
        <f>$L$1943-EFEITO!$O$1943*EFEITO!$AA$1943</f>
        <v>0</v>
      </c>
      <c r="P1943" s="57"/>
      <c r="Q1943" s="57"/>
      <c r="R1943" s="57"/>
      <c r="S1943" s="57"/>
      <c r="T1943" s="57"/>
      <c r="U1943" s="57"/>
      <c r="V1943" s="57"/>
      <c r="W1943" s="57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</row>
    <row r="1944" spans="1:36" ht="11.25" customHeight="1" x14ac:dyDescent="0.2">
      <c r="A1944" s="53" t="s">
        <v>27</v>
      </c>
      <c r="B1944" s="53" t="s">
        <v>39</v>
      </c>
      <c r="C1944" s="53" t="s">
        <v>23</v>
      </c>
      <c r="D1944" s="53" t="s">
        <v>46</v>
      </c>
      <c r="E1944" s="53" t="s">
        <v>25</v>
      </c>
      <c r="F1944" s="53" t="s">
        <v>25</v>
      </c>
      <c r="G1944" s="53" t="s">
        <v>25</v>
      </c>
      <c r="H1944" s="53" t="s">
        <v>25</v>
      </c>
      <c r="I1944" s="75">
        <v>44562</v>
      </c>
      <c r="J1944" s="76">
        <f>EFEITO!$J$1944*EFEITO!$Y$1944</f>
        <v>0</v>
      </c>
      <c r="K1944" s="76">
        <f ca="1">EFEITO!$L$1944*EFEITO!$Z$1944</f>
        <v>5076.8193582064505</v>
      </c>
      <c r="L1944" s="76">
        <f>EFEITO!$N$1944*EFEITO!$AA$1944</f>
        <v>3088.4935720921976</v>
      </c>
      <c r="M1944" s="76">
        <f>$J$1944-EFEITO!$K$1944*EFEITO!$Y$1944</f>
        <v>0</v>
      </c>
      <c r="N1944" s="76">
        <f ca="1">$K$1944-EFEITO!$M$1944*EFEITO!$Z$1944</f>
        <v>0</v>
      </c>
      <c r="O1944" s="76">
        <f>$L$1944-EFEITO!$O$1944*EFEITO!$AA$1944</f>
        <v>0</v>
      </c>
      <c r="P1944" s="57"/>
      <c r="Q1944" s="57"/>
      <c r="R1944" s="57"/>
      <c r="S1944" s="57"/>
      <c r="T1944" s="57"/>
      <c r="U1944" s="57"/>
      <c r="V1944" s="57"/>
      <c r="W1944" s="57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</row>
    <row r="1945" spans="1:36" ht="11.25" customHeight="1" x14ac:dyDescent="0.2">
      <c r="A1945" s="53" t="s">
        <v>28</v>
      </c>
      <c r="B1945" s="53" t="s">
        <v>39</v>
      </c>
      <c r="C1945" s="53" t="s">
        <v>23</v>
      </c>
      <c r="D1945" s="53" t="s">
        <v>46</v>
      </c>
      <c r="E1945" s="53" t="s">
        <v>25</v>
      </c>
      <c r="F1945" s="53" t="s">
        <v>25</v>
      </c>
      <c r="G1945" s="53" t="s">
        <v>25</v>
      </c>
      <c r="H1945" s="53" t="s">
        <v>25</v>
      </c>
      <c r="I1945" s="75">
        <v>44562</v>
      </c>
      <c r="J1945" s="76">
        <f>EFEITO!$J$1945*EFEITO!$Y$1945</f>
        <v>0</v>
      </c>
      <c r="K1945" s="76">
        <f ca="1">EFEITO!$L$1945*EFEITO!$Z$1945</f>
        <v>1607.9705430495799</v>
      </c>
      <c r="L1945" s="76">
        <f>EFEITO!$N$1945*EFEITO!$AA$1945</f>
        <v>978.21221042552509</v>
      </c>
      <c r="M1945" s="76">
        <f>$J$1945-EFEITO!$K$1945*EFEITO!$Y$1945</f>
        <v>0</v>
      </c>
      <c r="N1945" s="76">
        <f ca="1">$K$1945-EFEITO!$M$1945*EFEITO!$Z$1945</f>
        <v>0</v>
      </c>
      <c r="O1945" s="76">
        <f>$L$1945-EFEITO!$O$1945*EFEITO!$AA$1945</f>
        <v>0</v>
      </c>
      <c r="P1945" s="57"/>
      <c r="Q1945" s="57"/>
      <c r="R1945" s="57"/>
      <c r="S1945" s="57"/>
      <c r="T1945" s="57"/>
      <c r="U1945" s="57"/>
      <c r="V1945" s="57"/>
      <c r="W1945" s="57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</row>
    <row r="1946" spans="1:36" ht="11.25" customHeight="1" x14ac:dyDescent="0.2">
      <c r="A1946" s="53" t="s">
        <v>21</v>
      </c>
      <c r="B1946" s="53" t="s">
        <v>39</v>
      </c>
      <c r="C1946" s="53" t="s">
        <v>23</v>
      </c>
      <c r="D1946" s="53" t="s">
        <v>46</v>
      </c>
      <c r="E1946" s="53" t="s">
        <v>25</v>
      </c>
      <c r="F1946" s="53" t="s">
        <v>25</v>
      </c>
      <c r="G1946" s="53" t="s">
        <v>25</v>
      </c>
      <c r="H1946" s="53" t="s">
        <v>25</v>
      </c>
      <c r="I1946" s="75">
        <v>44593</v>
      </c>
      <c r="J1946" s="76">
        <f>EFEITO!$J$1946*EFEITO!$Y$1946</f>
        <v>0</v>
      </c>
      <c r="K1946" s="76">
        <f ca="1">EFEITO!$L$1946*EFEITO!$Z$1946</f>
        <v>3457185.1959769321</v>
      </c>
      <c r="L1946" s="76">
        <f>EFEITO!$N$1946*EFEITO!$AA$1946</f>
        <v>2103185.774779906</v>
      </c>
      <c r="M1946" s="76">
        <f>$J$1946-EFEITO!$K$1946*EFEITO!$Y$1946</f>
        <v>0</v>
      </c>
      <c r="N1946" s="76">
        <f ca="1">$K$1946-EFEITO!$M$1946*EFEITO!$Z$1946</f>
        <v>0</v>
      </c>
      <c r="O1946" s="76">
        <f>$L$1946-EFEITO!$O$1946*EFEITO!$AA$1946</f>
        <v>0</v>
      </c>
      <c r="P1946" s="57"/>
      <c r="Q1946" s="57"/>
      <c r="R1946" s="57"/>
      <c r="S1946" s="57"/>
      <c r="T1946" s="57"/>
      <c r="U1946" s="57"/>
      <c r="V1946" s="57"/>
      <c r="W1946" s="57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</row>
    <row r="1947" spans="1:36" ht="11.25" customHeight="1" x14ac:dyDescent="0.2">
      <c r="A1947" s="53" t="s">
        <v>27</v>
      </c>
      <c r="B1947" s="53" t="s">
        <v>39</v>
      </c>
      <c r="C1947" s="53" t="s">
        <v>23</v>
      </c>
      <c r="D1947" s="53" t="s">
        <v>46</v>
      </c>
      <c r="E1947" s="53" t="s">
        <v>25</v>
      </c>
      <c r="F1947" s="53" t="s">
        <v>25</v>
      </c>
      <c r="G1947" s="53" t="s">
        <v>25</v>
      </c>
      <c r="H1947" s="53" t="s">
        <v>25</v>
      </c>
      <c r="I1947" s="75">
        <v>44593</v>
      </c>
      <c r="J1947" s="76">
        <f>EFEITO!$J$1947*EFEITO!$Y$1947</f>
        <v>0</v>
      </c>
      <c r="K1947" s="76">
        <f ca="1">EFEITO!$L$1947*EFEITO!$Z$1947</f>
        <v>3135.2159253482669</v>
      </c>
      <c r="L1947" s="76">
        <f>EFEITO!$N$1947*EFEITO!$AA$1947</f>
        <v>1907.3151021036283</v>
      </c>
      <c r="M1947" s="76">
        <f>$J$1947-EFEITO!$K$1947*EFEITO!$Y$1947</f>
        <v>0</v>
      </c>
      <c r="N1947" s="76">
        <f ca="1">$K$1947-EFEITO!$M$1947*EFEITO!$Z$1947</f>
        <v>0</v>
      </c>
      <c r="O1947" s="76">
        <f>$L$1947-EFEITO!$O$1947*EFEITO!$AA$1947</f>
        <v>0</v>
      </c>
      <c r="P1947" s="57"/>
      <c r="Q1947" s="57"/>
      <c r="R1947" s="57"/>
      <c r="S1947" s="57"/>
      <c r="T1947" s="57"/>
      <c r="U1947" s="57"/>
      <c r="V1947" s="57"/>
      <c r="W1947" s="57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</row>
    <row r="1948" spans="1:36" ht="11.25" customHeight="1" x14ac:dyDescent="0.2">
      <c r="A1948" s="53" t="s">
        <v>28</v>
      </c>
      <c r="B1948" s="53" t="s">
        <v>39</v>
      </c>
      <c r="C1948" s="53" t="s">
        <v>23</v>
      </c>
      <c r="D1948" s="53" t="s">
        <v>46</v>
      </c>
      <c r="E1948" s="53" t="s">
        <v>25</v>
      </c>
      <c r="F1948" s="53" t="s">
        <v>25</v>
      </c>
      <c r="G1948" s="53" t="s">
        <v>25</v>
      </c>
      <c r="H1948" s="53" t="s">
        <v>25</v>
      </c>
      <c r="I1948" s="75">
        <v>44593</v>
      </c>
      <c r="J1948" s="76">
        <f>EFEITO!$J$1948*EFEITO!$Y$1948</f>
        <v>0</v>
      </c>
      <c r="K1948" s="76">
        <f ca="1">EFEITO!$L$1948*EFEITO!$Z$1948</f>
        <v>1702.6942865896449</v>
      </c>
      <c r="L1948" s="76">
        <f>EFEITO!$N$1948*EFEITO!$AA$1948</f>
        <v>1035.8375960077599</v>
      </c>
      <c r="M1948" s="76">
        <f>$J$1948-EFEITO!$K$1948*EFEITO!$Y$1948</f>
        <v>0</v>
      </c>
      <c r="N1948" s="76">
        <f ca="1">$K$1948-EFEITO!$M$1948*EFEITO!$Z$1948</f>
        <v>0</v>
      </c>
      <c r="O1948" s="76">
        <f>$L$1948-EFEITO!$O$1948*EFEITO!$AA$1948</f>
        <v>0</v>
      </c>
      <c r="P1948" s="57"/>
      <c r="Q1948" s="57"/>
      <c r="R1948" s="57"/>
      <c r="S1948" s="57"/>
      <c r="T1948" s="57"/>
      <c r="U1948" s="57"/>
      <c r="V1948" s="57"/>
      <c r="W1948" s="57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</row>
    <row r="1949" spans="1:36" ht="11.25" customHeight="1" x14ac:dyDescent="0.2">
      <c r="A1949" s="53" t="s">
        <v>21</v>
      </c>
      <c r="B1949" s="53" t="s">
        <v>39</v>
      </c>
      <c r="C1949" s="53" t="s">
        <v>23</v>
      </c>
      <c r="D1949" s="53" t="s">
        <v>46</v>
      </c>
      <c r="E1949" s="53" t="s">
        <v>25</v>
      </c>
      <c r="F1949" s="53" t="s">
        <v>25</v>
      </c>
      <c r="G1949" s="53" t="s">
        <v>25</v>
      </c>
      <c r="H1949" s="53" t="s">
        <v>25</v>
      </c>
      <c r="I1949" s="75">
        <v>44621</v>
      </c>
      <c r="J1949" s="76">
        <f>EFEITO!$J$1949*EFEITO!$Y$1949</f>
        <v>0</v>
      </c>
      <c r="K1949" s="76">
        <f ca="1">EFEITO!$L$1949*EFEITO!$Z$1949</f>
        <v>4113232.977966324</v>
      </c>
      <c r="L1949" s="76">
        <f>EFEITO!$N$1949*EFEITO!$AA$1949</f>
        <v>2502293.8018134697</v>
      </c>
      <c r="M1949" s="76">
        <f>$J$1949-EFEITO!$K$1949*EFEITO!$Y$1949</f>
        <v>0</v>
      </c>
      <c r="N1949" s="76">
        <f ca="1">$K$1949-EFEITO!$M$1949*EFEITO!$Z$1949</f>
        <v>0</v>
      </c>
      <c r="O1949" s="76">
        <f>$L$1949-EFEITO!$O$1949*EFEITO!$AA$1949</f>
        <v>0</v>
      </c>
      <c r="P1949" s="57"/>
      <c r="Q1949" s="57"/>
      <c r="R1949" s="57"/>
      <c r="S1949" s="57"/>
      <c r="T1949" s="57"/>
      <c r="U1949" s="57"/>
      <c r="V1949" s="57"/>
      <c r="W1949" s="57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</row>
    <row r="1950" spans="1:36" ht="11.25" customHeight="1" x14ac:dyDescent="0.2">
      <c r="A1950" s="53" t="s">
        <v>27</v>
      </c>
      <c r="B1950" s="53" t="s">
        <v>39</v>
      </c>
      <c r="C1950" s="53" t="s">
        <v>23</v>
      </c>
      <c r="D1950" s="53" t="s">
        <v>46</v>
      </c>
      <c r="E1950" s="53" t="s">
        <v>25</v>
      </c>
      <c r="F1950" s="53" t="s">
        <v>25</v>
      </c>
      <c r="G1950" s="53" t="s">
        <v>25</v>
      </c>
      <c r="H1950" s="53" t="s">
        <v>25</v>
      </c>
      <c r="I1950" s="75">
        <v>44621</v>
      </c>
      <c r="J1950" s="76">
        <f>EFEITO!$J$1950*EFEITO!$Y$1950</f>
        <v>0</v>
      </c>
      <c r="K1950" s="76">
        <f ca="1">EFEITO!$L$1950*EFEITO!$Z$1950</f>
        <v>-223751.4808244232</v>
      </c>
      <c r="L1950" s="76">
        <f>EFEITO!$N$1950*EFEITO!$AA$1950</f>
        <v>-136119.67681207374</v>
      </c>
      <c r="M1950" s="76">
        <f>$J$1950-EFEITO!$K$1950*EFEITO!$Y$1950</f>
        <v>0</v>
      </c>
      <c r="N1950" s="76">
        <f ca="1">$K$1950-EFEITO!$M$1950*EFEITO!$Z$1950</f>
        <v>0</v>
      </c>
      <c r="O1950" s="76">
        <f>$L$1950-EFEITO!$O$1950*EFEITO!$AA$1950</f>
        <v>0</v>
      </c>
      <c r="P1950" s="57"/>
      <c r="Q1950" s="57"/>
      <c r="R1950" s="57"/>
      <c r="S1950" s="57"/>
      <c r="T1950" s="57"/>
      <c r="U1950" s="57"/>
      <c r="V1950" s="57"/>
      <c r="W1950" s="57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</row>
    <row r="1951" spans="1:36" ht="11.25" customHeight="1" x14ac:dyDescent="0.2">
      <c r="A1951" s="53" t="s">
        <v>28</v>
      </c>
      <c r="B1951" s="53" t="s">
        <v>39</v>
      </c>
      <c r="C1951" s="53" t="s">
        <v>23</v>
      </c>
      <c r="D1951" s="53" t="s">
        <v>46</v>
      </c>
      <c r="E1951" s="53" t="s">
        <v>25</v>
      </c>
      <c r="F1951" s="53" t="s">
        <v>25</v>
      </c>
      <c r="G1951" s="53" t="s">
        <v>25</v>
      </c>
      <c r="H1951" s="53" t="s">
        <v>25</v>
      </c>
      <c r="I1951" s="75">
        <v>44621</v>
      </c>
      <c r="J1951" s="76">
        <f>EFEITO!$J$1951*EFEITO!$Y$1951</f>
        <v>0</v>
      </c>
      <c r="K1951" s="76">
        <f ca="1">EFEITO!$L$1951*EFEITO!$Z$1951</f>
        <v>1890.2752959645525</v>
      </c>
      <c r="L1951" s="76">
        <f>EFEITO!$N$1951*EFEITO!$AA$1951</f>
        <v>1149.9528915942549</v>
      </c>
      <c r="M1951" s="76">
        <f>$J$1951-EFEITO!$K$1951*EFEITO!$Y$1951</f>
        <v>0</v>
      </c>
      <c r="N1951" s="76">
        <f ca="1">$K$1951-EFEITO!$M$1951*EFEITO!$Z$1951</f>
        <v>0</v>
      </c>
      <c r="O1951" s="76">
        <f>$L$1951-EFEITO!$O$1951*EFEITO!$AA$1951</f>
        <v>0</v>
      </c>
      <c r="P1951" s="57"/>
      <c r="Q1951" s="57"/>
      <c r="R1951" s="57"/>
      <c r="S1951" s="57"/>
      <c r="T1951" s="57"/>
      <c r="U1951" s="57"/>
      <c r="V1951" s="57"/>
      <c r="W1951" s="57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</row>
    <row r="1952" spans="1:36" ht="11.25" customHeight="1" x14ac:dyDescent="0.2">
      <c r="A1952" s="53" t="s">
        <v>56</v>
      </c>
      <c r="B1952" s="53" t="s">
        <v>39</v>
      </c>
      <c r="C1952" s="53" t="s">
        <v>23</v>
      </c>
      <c r="D1952" s="53" t="s">
        <v>46</v>
      </c>
      <c r="E1952" s="53" t="s">
        <v>25</v>
      </c>
      <c r="F1952" s="53" t="s">
        <v>25</v>
      </c>
      <c r="G1952" s="53" t="s">
        <v>25</v>
      </c>
      <c r="H1952" s="53" t="s">
        <v>25</v>
      </c>
      <c r="I1952" s="75">
        <v>44652</v>
      </c>
      <c r="J1952" s="76">
        <f>EFEITO!$J$1952*EFEITO!$Y$1952</f>
        <v>0</v>
      </c>
      <c r="K1952" s="76">
        <f ca="1">EFEITO!$L$1952*EFEITO!$Z$1952</f>
        <v>4113232.977966324</v>
      </c>
      <c r="L1952" s="76">
        <f>EFEITO!$N$1952*EFEITO!$AA$1952</f>
        <v>2502293.8018134697</v>
      </c>
      <c r="M1952" s="76">
        <f>$J$1952-EFEITO!$K$1952*EFEITO!$Y$1952</f>
        <v>0</v>
      </c>
      <c r="N1952" s="76">
        <f ca="1">$K$1952-EFEITO!$M$1952*EFEITO!$Z$1952</f>
        <v>0</v>
      </c>
      <c r="O1952" s="76">
        <f>$L$1952-EFEITO!$O$1952*EFEITO!$AA$1952</f>
        <v>0</v>
      </c>
      <c r="P1952" s="57"/>
      <c r="Q1952" s="57"/>
      <c r="R1952" s="57"/>
      <c r="S1952" s="57"/>
      <c r="T1952" s="57"/>
      <c r="U1952" s="57"/>
      <c r="V1952" s="57"/>
      <c r="W1952" s="57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</row>
    <row r="1953" spans="1:36" ht="11.25" customHeight="1" x14ac:dyDescent="0.2">
      <c r="A1953" s="53" t="s">
        <v>56</v>
      </c>
      <c r="B1953" s="53" t="s">
        <v>39</v>
      </c>
      <c r="C1953" s="53" t="s">
        <v>23</v>
      </c>
      <c r="D1953" s="53" t="s">
        <v>46</v>
      </c>
      <c r="E1953" s="53" t="s">
        <v>25</v>
      </c>
      <c r="F1953" s="53" t="s">
        <v>25</v>
      </c>
      <c r="G1953" s="53" t="s">
        <v>25</v>
      </c>
      <c r="H1953" s="53" t="s">
        <v>25</v>
      </c>
      <c r="I1953" s="75">
        <v>44652</v>
      </c>
      <c r="J1953" s="76">
        <f>EFEITO!$J$1953*EFEITO!$Y$1953</f>
        <v>0</v>
      </c>
      <c r="K1953" s="76">
        <f ca="1">EFEITO!$L$1953*EFEITO!$Z$1953</f>
        <v>-223751.4808244232</v>
      </c>
      <c r="L1953" s="76">
        <f>EFEITO!$N$1953*EFEITO!$AA$1953</f>
        <v>-136119.67681207374</v>
      </c>
      <c r="M1953" s="76">
        <f>$J$1953-EFEITO!$K$1953*EFEITO!$Y$1953</f>
        <v>0</v>
      </c>
      <c r="N1953" s="76">
        <f ca="1">$K$1953-EFEITO!$M$1953*EFEITO!$Z$1953</f>
        <v>0</v>
      </c>
      <c r="O1953" s="76">
        <f>$L$1953-EFEITO!$O$1953*EFEITO!$AA$1953</f>
        <v>0</v>
      </c>
      <c r="P1953" s="57"/>
      <c r="Q1953" s="57"/>
      <c r="R1953" s="57"/>
      <c r="S1953" s="57"/>
      <c r="T1953" s="57"/>
      <c r="U1953" s="57"/>
      <c r="V1953" s="57"/>
      <c r="W1953" s="57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</row>
    <row r="1954" spans="1:36" ht="11.25" customHeight="1" x14ac:dyDescent="0.2">
      <c r="A1954" s="53" t="s">
        <v>56</v>
      </c>
      <c r="B1954" s="53" t="s">
        <v>39</v>
      </c>
      <c r="C1954" s="53" t="s">
        <v>23</v>
      </c>
      <c r="D1954" s="53" t="s">
        <v>46</v>
      </c>
      <c r="E1954" s="53" t="s">
        <v>25</v>
      </c>
      <c r="F1954" s="53" t="s">
        <v>25</v>
      </c>
      <c r="G1954" s="53" t="s">
        <v>25</v>
      </c>
      <c r="H1954" s="53" t="s">
        <v>25</v>
      </c>
      <c r="I1954" s="75">
        <v>44652</v>
      </c>
      <c r="J1954" s="76">
        <f>EFEITO!$J$1954*EFEITO!$Y$1954</f>
        <v>0</v>
      </c>
      <c r="K1954" s="76">
        <f ca="1">EFEITO!$L$1954*EFEITO!$Z$1954</f>
        <v>1890.2752959645525</v>
      </c>
      <c r="L1954" s="76">
        <f>EFEITO!$N$1954*EFEITO!$AA$1954</f>
        <v>1149.9528915942549</v>
      </c>
      <c r="M1954" s="76">
        <f>$J$1954-EFEITO!$K$1954*EFEITO!$Y$1954</f>
        <v>0</v>
      </c>
      <c r="N1954" s="76">
        <f ca="1">$K$1954-EFEITO!$M$1954*EFEITO!$Z$1954</f>
        <v>0</v>
      </c>
      <c r="O1954" s="76">
        <f>$L$1954-EFEITO!$O$1954*EFEITO!$AA$1954</f>
        <v>0</v>
      </c>
      <c r="P1954" s="57"/>
      <c r="Q1954" s="57"/>
      <c r="R1954" s="57"/>
      <c r="S1954" s="57"/>
      <c r="T1954" s="57"/>
      <c r="U1954" s="57"/>
      <c r="V1954" s="57"/>
      <c r="W1954" s="57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</row>
    <row r="1955" spans="1:36" ht="11.25" customHeight="1" x14ac:dyDescent="0.2">
      <c r="A1955" s="53" t="s">
        <v>21</v>
      </c>
      <c r="B1955" s="53" t="s">
        <v>39</v>
      </c>
      <c r="C1955" s="53" t="s">
        <v>23</v>
      </c>
      <c r="D1955" s="53" t="s">
        <v>50</v>
      </c>
      <c r="E1955" s="53" t="s">
        <v>51</v>
      </c>
      <c r="F1955" s="53" t="s">
        <v>25</v>
      </c>
      <c r="G1955" s="53" t="s">
        <v>25</v>
      </c>
      <c r="H1955" s="53" t="s">
        <v>25</v>
      </c>
      <c r="I1955" s="75">
        <v>44317</v>
      </c>
      <c r="J1955" s="76">
        <f>EFEITO!$J$1955*EFEITO!$Y$1954</f>
        <v>0</v>
      </c>
      <c r="K1955" s="76">
        <f ca="1">EFEITO!$L$1955*EFEITO!$Z$1954</f>
        <v>1443186.2257468393</v>
      </c>
      <c r="L1955" s="76">
        <f>EFEITO!$N$1955*EFEITO!$AA$1954</f>
        <v>877965.32967952336</v>
      </c>
      <c r="M1955" s="76">
        <f>$J$1955-EFEITO!$K$1955*EFEITO!$Y$1955</f>
        <v>0</v>
      </c>
      <c r="N1955" s="76">
        <f ca="1">$K$1955-EFEITO!$M$1955*EFEITO!$Z$1955</f>
        <v>43295.58677240531</v>
      </c>
      <c r="O1955" s="76">
        <f>$L$1955-EFEITO!$O$1955*EFEITO!$AA$1955</f>
        <v>26338.95989038574</v>
      </c>
      <c r="P1955" s="57"/>
      <c r="Q1955" s="57"/>
      <c r="R1955" s="57"/>
      <c r="S1955" s="57"/>
      <c r="T1955" s="57"/>
      <c r="U1955" s="57"/>
      <c r="V1955" s="57"/>
      <c r="W1955" s="57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</row>
    <row r="1956" spans="1:36" ht="11.25" customHeight="1" x14ac:dyDescent="0.2">
      <c r="A1956" s="53" t="s">
        <v>27</v>
      </c>
      <c r="B1956" s="53" t="s">
        <v>39</v>
      </c>
      <c r="C1956" s="53" t="s">
        <v>23</v>
      </c>
      <c r="D1956" s="53" t="s">
        <v>50</v>
      </c>
      <c r="E1956" s="53" t="s">
        <v>51</v>
      </c>
      <c r="F1956" s="53" t="s">
        <v>25</v>
      </c>
      <c r="G1956" s="53" t="s">
        <v>25</v>
      </c>
      <c r="H1956" s="53" t="s">
        <v>25</v>
      </c>
      <c r="I1956" s="75">
        <v>44317</v>
      </c>
      <c r="J1956" s="76">
        <f>EFEITO!$J$1956*EFEITO!$Y$1954</f>
        <v>0</v>
      </c>
      <c r="K1956" s="76">
        <f ca="1">EFEITO!$L$1956*EFEITO!$Z$1954</f>
        <v>3075.0220193548262</v>
      </c>
      <c r="L1956" s="76">
        <f>EFEITO!$N$1956*EFEITO!$AA$1954</f>
        <v>1870.6960147139321</v>
      </c>
      <c r="M1956" s="76">
        <f>$J$1956-EFEITO!$K$1956*EFEITO!$Y$1956</f>
        <v>0</v>
      </c>
      <c r="N1956" s="76">
        <f ca="1">$K$1956-EFEITO!$M$1956*EFEITO!$Z$1956</f>
        <v>92.250660580644762</v>
      </c>
      <c r="O1956" s="76">
        <f>$L$1956-EFEITO!$O$1956*EFEITO!$AA$1956</f>
        <v>56.120880441417967</v>
      </c>
      <c r="P1956" s="57"/>
      <c r="Q1956" s="57"/>
      <c r="R1956" s="57"/>
      <c r="S1956" s="57"/>
      <c r="T1956" s="57"/>
      <c r="U1956" s="57"/>
      <c r="V1956" s="57"/>
      <c r="W1956" s="57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</row>
    <row r="1957" spans="1:36" ht="11.25" customHeight="1" x14ac:dyDescent="0.2">
      <c r="A1957" s="53" t="s">
        <v>21</v>
      </c>
      <c r="B1957" s="53" t="s">
        <v>39</v>
      </c>
      <c r="C1957" s="53" t="s">
        <v>23</v>
      </c>
      <c r="D1957" s="53" t="s">
        <v>50</v>
      </c>
      <c r="E1957" s="53" t="s">
        <v>51</v>
      </c>
      <c r="F1957" s="53" t="s">
        <v>25</v>
      </c>
      <c r="G1957" s="53" t="s">
        <v>25</v>
      </c>
      <c r="H1957" s="53" t="s">
        <v>25</v>
      </c>
      <c r="I1957" s="75">
        <v>44348</v>
      </c>
      <c r="J1957" s="76">
        <f>EFEITO!$J$1957*EFEITO!$Y$1954</f>
        <v>0</v>
      </c>
      <c r="K1957" s="76">
        <f ca="1">EFEITO!$L$1957*EFEITO!$Z$1954</f>
        <v>1443954.2813225386</v>
      </c>
      <c r="L1957" s="76">
        <f>EFEITO!$N$1957*EFEITO!$AA$1954</f>
        <v>878432.57787986007</v>
      </c>
      <c r="M1957" s="76">
        <f>$J$1957-EFEITO!$K$1957*EFEITO!$Y$1957</f>
        <v>0</v>
      </c>
      <c r="N1957" s="76">
        <f ca="1">$K$1957-EFEITO!$M$1957*EFEITO!$Z$1957</f>
        <v>43318.628439676249</v>
      </c>
      <c r="O1957" s="76">
        <f>$L$1957-EFEITO!$O$1957*EFEITO!$AA$1957</f>
        <v>26352.977336395765</v>
      </c>
      <c r="P1957" s="57"/>
      <c r="Q1957" s="57"/>
      <c r="R1957" s="57"/>
      <c r="S1957" s="57"/>
      <c r="T1957" s="57"/>
      <c r="U1957" s="57"/>
      <c r="V1957" s="57"/>
      <c r="W1957" s="57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</row>
    <row r="1958" spans="1:36" ht="11.25" customHeight="1" x14ac:dyDescent="0.2">
      <c r="A1958" s="53" t="s">
        <v>27</v>
      </c>
      <c r="B1958" s="53" t="s">
        <v>39</v>
      </c>
      <c r="C1958" s="53" t="s">
        <v>23</v>
      </c>
      <c r="D1958" s="53" t="s">
        <v>50</v>
      </c>
      <c r="E1958" s="53" t="s">
        <v>51</v>
      </c>
      <c r="F1958" s="53" t="s">
        <v>25</v>
      </c>
      <c r="G1958" s="53" t="s">
        <v>25</v>
      </c>
      <c r="H1958" s="53" t="s">
        <v>25</v>
      </c>
      <c r="I1958" s="75">
        <v>44348</v>
      </c>
      <c r="J1958" s="76">
        <f>EFEITO!$J$1958*EFEITO!$Y$1954</f>
        <v>0</v>
      </c>
      <c r="K1958" s="76">
        <f ca="1">EFEITO!$L$1958*EFEITO!$Z$1954</f>
        <v>-12.598724510254979</v>
      </c>
      <c r="L1958" s="76">
        <f>EFEITO!$N$1958*EFEITO!$AA$1954</f>
        <v>-7.6644601513317401</v>
      </c>
      <c r="M1958" s="76">
        <f>$J$1958-EFEITO!$K$1958*EFEITO!$Y$1958</f>
        <v>0</v>
      </c>
      <c r="N1958" s="76">
        <f ca="1">$K$1958-EFEITO!$M$1958*EFEITO!$Z$1958</f>
        <v>-0.37796173530765032</v>
      </c>
      <c r="O1958" s="76">
        <f>$L$1958-EFEITO!$O$1958*EFEITO!$AA$1958</f>
        <v>-0.22993380453995194</v>
      </c>
      <c r="P1958" s="57"/>
      <c r="Q1958" s="57"/>
      <c r="R1958" s="57"/>
      <c r="S1958" s="57"/>
      <c r="T1958" s="57"/>
      <c r="U1958" s="57"/>
      <c r="V1958" s="57"/>
      <c r="W1958" s="57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</row>
    <row r="1959" spans="1:36" ht="11.25" customHeight="1" x14ac:dyDescent="0.2">
      <c r="A1959" s="53" t="s">
        <v>21</v>
      </c>
      <c r="B1959" s="53" t="s">
        <v>39</v>
      </c>
      <c r="C1959" s="53" t="s">
        <v>23</v>
      </c>
      <c r="D1959" s="53" t="s">
        <v>50</v>
      </c>
      <c r="E1959" s="53" t="s">
        <v>51</v>
      </c>
      <c r="F1959" s="53" t="s">
        <v>25</v>
      </c>
      <c r="G1959" s="53" t="s">
        <v>25</v>
      </c>
      <c r="H1959" s="53" t="s">
        <v>25</v>
      </c>
      <c r="I1959" s="75">
        <v>44378</v>
      </c>
      <c r="J1959" s="76">
        <f>EFEITO!$J$1959*EFEITO!$Y$1954</f>
        <v>0</v>
      </c>
      <c r="K1959" s="76">
        <f ca="1">EFEITO!$L$1959*EFEITO!$Z$1954</f>
        <v>1366851.487178057</v>
      </c>
      <c r="L1959" s="76">
        <f>EFEITO!$N$1959*EFEITO!$AA$1954</f>
        <v>831526.93336039328</v>
      </c>
      <c r="M1959" s="76">
        <f>$J$1959-EFEITO!$K$1959*EFEITO!$Y$1959</f>
        <v>0</v>
      </c>
      <c r="N1959" s="76">
        <f ca="1">$K$1959-EFEITO!$M$1959*EFEITO!$Z$1959</f>
        <v>41005.544615341583</v>
      </c>
      <c r="O1959" s="76">
        <f>$L$1959-EFEITO!$O$1959*EFEITO!$AA$1959</f>
        <v>24945.808000811725</v>
      </c>
      <c r="P1959" s="57"/>
      <c r="Q1959" s="57"/>
      <c r="R1959" s="57"/>
      <c r="S1959" s="57"/>
      <c r="T1959" s="57"/>
      <c r="U1959" s="57"/>
      <c r="V1959" s="57"/>
      <c r="W1959" s="57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</row>
    <row r="1960" spans="1:36" ht="11.25" customHeight="1" x14ac:dyDescent="0.2">
      <c r="A1960" s="53" t="s">
        <v>27</v>
      </c>
      <c r="B1960" s="53" t="s">
        <v>39</v>
      </c>
      <c r="C1960" s="53" t="s">
        <v>23</v>
      </c>
      <c r="D1960" s="53" t="s">
        <v>50</v>
      </c>
      <c r="E1960" s="53" t="s">
        <v>51</v>
      </c>
      <c r="F1960" s="53" t="s">
        <v>25</v>
      </c>
      <c r="G1960" s="53" t="s">
        <v>25</v>
      </c>
      <c r="H1960" s="53" t="s">
        <v>25</v>
      </c>
      <c r="I1960" s="75">
        <v>44378</v>
      </c>
      <c r="J1960" s="76">
        <f>EFEITO!$J$1960*EFEITO!$Y$1954</f>
        <v>0</v>
      </c>
      <c r="K1960" s="76">
        <f ca="1">EFEITO!$L$1960*EFEITO!$Z$1954</f>
        <v>-3134.2826864956551</v>
      </c>
      <c r="L1960" s="76">
        <f>EFEITO!$N$1960*EFEITO!$AA$1954</f>
        <v>-1906.7473643146407</v>
      </c>
      <c r="M1960" s="76">
        <f>$J$1960-EFEITO!$K$1960*EFEITO!$Y$1960</f>
        <v>0</v>
      </c>
      <c r="N1960" s="76">
        <f ca="1">$K$1960-EFEITO!$M$1960*EFEITO!$Z$1960</f>
        <v>-94.028480594869961</v>
      </c>
      <c r="O1960" s="76">
        <f>$L$1960-EFEITO!$O$1960*EFEITO!$AA$1960</f>
        <v>-57.202420929439313</v>
      </c>
      <c r="P1960" s="57"/>
      <c r="Q1960" s="57"/>
      <c r="R1960" s="57"/>
      <c r="S1960" s="57"/>
      <c r="T1960" s="57"/>
      <c r="U1960" s="57"/>
      <c r="V1960" s="57"/>
      <c r="W1960" s="57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</row>
    <row r="1961" spans="1:36" ht="11.25" customHeight="1" x14ac:dyDescent="0.2">
      <c r="A1961" s="53" t="s">
        <v>21</v>
      </c>
      <c r="B1961" s="53" t="s">
        <v>39</v>
      </c>
      <c r="C1961" s="53" t="s">
        <v>23</v>
      </c>
      <c r="D1961" s="53" t="s">
        <v>50</v>
      </c>
      <c r="E1961" s="53" t="s">
        <v>51</v>
      </c>
      <c r="F1961" s="53" t="s">
        <v>25</v>
      </c>
      <c r="G1961" s="53" t="s">
        <v>25</v>
      </c>
      <c r="H1961" s="53" t="s">
        <v>25</v>
      </c>
      <c r="I1961" s="75">
        <v>44409</v>
      </c>
      <c r="J1961" s="76">
        <f>EFEITO!$J$1961*EFEITO!$Y$1954</f>
        <v>0</v>
      </c>
      <c r="K1961" s="76">
        <f ca="1">EFEITO!$L$1961*EFEITO!$Z$1954</f>
        <v>1380534.1686156201</v>
      </c>
      <c r="L1961" s="76">
        <f>EFEITO!$N$1961*EFEITO!$AA$1954</f>
        <v>839850.82095363399</v>
      </c>
      <c r="M1961" s="76">
        <f>$J$1961-EFEITO!$K$1961*EFEITO!$Y$1961</f>
        <v>0</v>
      </c>
      <c r="N1961" s="76">
        <f ca="1">$K$1961-EFEITO!$M$1961*EFEITO!$Z$1961</f>
        <v>41416.025058468571</v>
      </c>
      <c r="O1961" s="76">
        <f>$L$1961-EFEITO!$O$1961*EFEITO!$AA$1961</f>
        <v>25195.524628608953</v>
      </c>
      <c r="P1961" s="57"/>
      <c r="Q1961" s="57"/>
      <c r="R1961" s="57"/>
      <c r="S1961" s="57"/>
      <c r="T1961" s="57"/>
      <c r="U1961" s="57"/>
      <c r="V1961" s="57"/>
      <c r="W1961" s="57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</row>
    <row r="1962" spans="1:36" ht="11.25" customHeight="1" x14ac:dyDescent="0.2">
      <c r="A1962" s="53" t="s">
        <v>27</v>
      </c>
      <c r="B1962" s="53" t="s">
        <v>39</v>
      </c>
      <c r="C1962" s="53" t="s">
        <v>23</v>
      </c>
      <c r="D1962" s="53" t="s">
        <v>50</v>
      </c>
      <c r="E1962" s="53" t="s">
        <v>51</v>
      </c>
      <c r="F1962" s="53" t="s">
        <v>25</v>
      </c>
      <c r="G1962" s="53" t="s">
        <v>25</v>
      </c>
      <c r="H1962" s="53" t="s">
        <v>25</v>
      </c>
      <c r="I1962" s="75">
        <v>44409</v>
      </c>
      <c r="J1962" s="76">
        <f>EFEITO!$J$1962*EFEITO!$Y$1954</f>
        <v>0</v>
      </c>
      <c r="K1962" s="76">
        <f ca="1">EFEITO!$L$1962*EFEITO!$Z$1954</f>
        <v>1219.2765609368985</v>
      </c>
      <c r="L1962" s="76">
        <f>EFEITO!$N$1962*EFEITO!$AA$1954</f>
        <v>741.74942131221621</v>
      </c>
      <c r="M1962" s="76">
        <f>$J$1962-EFEITO!$K$1962*EFEITO!$Y$1962</f>
        <v>0</v>
      </c>
      <c r="N1962" s="76">
        <f ca="1">$K$1962-EFEITO!$M$1962*EFEITO!$Z$1962</f>
        <v>36.578296828106886</v>
      </c>
      <c r="O1962" s="76">
        <f>$L$1962-EFEITO!$O$1962*EFEITO!$AA$1962</f>
        <v>22.252482639366576</v>
      </c>
      <c r="P1962" s="57"/>
      <c r="Q1962" s="57"/>
      <c r="R1962" s="57"/>
      <c r="S1962" s="57"/>
      <c r="T1962" s="57"/>
      <c r="U1962" s="57"/>
      <c r="V1962" s="57"/>
      <c r="W1962" s="57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</row>
    <row r="1963" spans="1:36" ht="11.25" customHeight="1" x14ac:dyDescent="0.2">
      <c r="A1963" s="53" t="s">
        <v>28</v>
      </c>
      <c r="B1963" s="53" t="s">
        <v>39</v>
      </c>
      <c r="C1963" s="53" t="s">
        <v>23</v>
      </c>
      <c r="D1963" s="53" t="s">
        <v>50</v>
      </c>
      <c r="E1963" s="53" t="s">
        <v>51</v>
      </c>
      <c r="F1963" s="53" t="s">
        <v>25</v>
      </c>
      <c r="G1963" s="53" t="s">
        <v>25</v>
      </c>
      <c r="H1963" s="53" t="s">
        <v>25</v>
      </c>
      <c r="I1963" s="75">
        <v>44409</v>
      </c>
      <c r="J1963" s="76">
        <f>EFEITO!$J$1963*EFEITO!$Y$1954</f>
        <v>0</v>
      </c>
      <c r="K1963" s="76">
        <f ca="1">EFEITO!$L$1963*EFEITO!$Z$1954</f>
        <v>6522.4063409016326</v>
      </c>
      <c r="L1963" s="76">
        <f>EFEITO!$N$1963*EFEITO!$AA$1954</f>
        <v>3967.919407233891</v>
      </c>
      <c r="M1963" s="76">
        <f>$J$1963-EFEITO!$K$1963*EFEITO!$Y$1963</f>
        <v>0</v>
      </c>
      <c r="N1963" s="76">
        <f ca="1">$K$1963-EFEITO!$M$1963*EFEITO!$Z$1963</f>
        <v>195.67219022704921</v>
      </c>
      <c r="O1963" s="76">
        <f>$L$1963-EFEITO!$O$1963*EFEITO!$AA$1963</f>
        <v>119.03758221701673</v>
      </c>
      <c r="P1963" s="57"/>
      <c r="Q1963" s="57"/>
      <c r="R1963" s="57"/>
      <c r="S1963" s="57"/>
      <c r="T1963" s="57"/>
      <c r="U1963" s="57"/>
      <c r="V1963" s="57"/>
      <c r="W1963" s="57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</row>
    <row r="1964" spans="1:36" ht="11.25" customHeight="1" x14ac:dyDescent="0.2">
      <c r="A1964" s="53" t="s">
        <v>21</v>
      </c>
      <c r="B1964" s="53" t="s">
        <v>39</v>
      </c>
      <c r="C1964" s="53" t="s">
        <v>23</v>
      </c>
      <c r="D1964" s="53" t="s">
        <v>50</v>
      </c>
      <c r="E1964" s="53" t="s">
        <v>51</v>
      </c>
      <c r="F1964" s="53" t="s">
        <v>25</v>
      </c>
      <c r="G1964" s="53" t="s">
        <v>25</v>
      </c>
      <c r="H1964" s="53" t="s">
        <v>25</v>
      </c>
      <c r="I1964" s="75">
        <v>44440</v>
      </c>
      <c r="J1964" s="76">
        <f>EFEITO!$J$1964*EFEITO!$Y$1954</f>
        <v>0</v>
      </c>
      <c r="K1964" s="76">
        <f ca="1">EFEITO!$L$1964*EFEITO!$Z$1954</f>
        <v>1078837.1789628072</v>
      </c>
      <c r="L1964" s="76">
        <f>EFEITO!$N$1964*EFEITO!$AA$1954</f>
        <v>656312.83239863778</v>
      </c>
      <c r="M1964" s="76">
        <f>$J$1964-EFEITO!$K$1964*EFEITO!$Y$1964</f>
        <v>0</v>
      </c>
      <c r="N1964" s="76">
        <f ca="1">$K$1964-EFEITO!$M$1964*EFEITO!$Z$1964</f>
        <v>32365.115368884173</v>
      </c>
      <c r="O1964" s="76">
        <f>$L$1964-EFEITO!$O$1964*EFEITO!$AA$1964</f>
        <v>19689.384971959167</v>
      </c>
      <c r="P1964" s="57"/>
      <c r="Q1964" s="57"/>
      <c r="R1964" s="57"/>
      <c r="S1964" s="57"/>
      <c r="T1964" s="57"/>
      <c r="U1964" s="57"/>
      <c r="V1964" s="57"/>
      <c r="W1964" s="57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</row>
    <row r="1965" spans="1:36" ht="11.25" customHeight="1" x14ac:dyDescent="0.2">
      <c r="A1965" s="53" t="s">
        <v>28</v>
      </c>
      <c r="B1965" s="53" t="s">
        <v>39</v>
      </c>
      <c r="C1965" s="53" t="s">
        <v>23</v>
      </c>
      <c r="D1965" s="53" t="s">
        <v>50</v>
      </c>
      <c r="E1965" s="53" t="s">
        <v>51</v>
      </c>
      <c r="F1965" s="53" t="s">
        <v>25</v>
      </c>
      <c r="G1965" s="53" t="s">
        <v>25</v>
      </c>
      <c r="H1965" s="53" t="s">
        <v>25</v>
      </c>
      <c r="I1965" s="75">
        <v>44440</v>
      </c>
      <c r="J1965" s="76">
        <f>EFEITO!$J$1965*EFEITO!$Y$1954</f>
        <v>0</v>
      </c>
      <c r="K1965" s="76">
        <f ca="1">EFEITO!$L$1965*EFEITO!$Z$1954</f>
        <v>174071.44374450366</v>
      </c>
      <c r="L1965" s="76">
        <f>EFEITO!$N$1965*EFEITO!$AA$1954</f>
        <v>105896.72335311123</v>
      </c>
      <c r="M1965" s="76">
        <f>$J$1965-EFEITO!$K$1965*EFEITO!$Y$1965</f>
        <v>0</v>
      </c>
      <c r="N1965" s="76">
        <f ca="1">$K$1965-EFEITO!$M$1965*EFEITO!$Z$1965</f>
        <v>5222.1433123351017</v>
      </c>
      <c r="O1965" s="76">
        <f>$L$1965-EFEITO!$O$1965*EFEITO!$AA$1965</f>
        <v>3176.901700593342</v>
      </c>
      <c r="P1965" s="57"/>
      <c r="Q1965" s="57"/>
      <c r="R1965" s="57"/>
      <c r="S1965" s="57"/>
      <c r="T1965" s="57"/>
      <c r="U1965" s="57"/>
      <c r="V1965" s="57"/>
      <c r="W1965" s="57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</row>
    <row r="1966" spans="1:36" ht="11.25" customHeight="1" x14ac:dyDescent="0.2">
      <c r="A1966" s="53" t="s">
        <v>21</v>
      </c>
      <c r="B1966" s="53" t="s">
        <v>39</v>
      </c>
      <c r="C1966" s="53" t="s">
        <v>23</v>
      </c>
      <c r="D1966" s="53" t="s">
        <v>50</v>
      </c>
      <c r="E1966" s="53" t="s">
        <v>51</v>
      </c>
      <c r="F1966" s="53" t="s">
        <v>25</v>
      </c>
      <c r="G1966" s="53" t="s">
        <v>25</v>
      </c>
      <c r="H1966" s="53" t="s">
        <v>25</v>
      </c>
      <c r="I1966" s="75">
        <v>44470</v>
      </c>
      <c r="J1966" s="76">
        <f>EFEITO!$J$1966*EFEITO!$Y$1954</f>
        <v>0</v>
      </c>
      <c r="K1966" s="76">
        <f ca="1">EFEITO!$L$1966*EFEITO!$Z$1954</f>
        <v>1169341.2830307898</v>
      </c>
      <c r="L1966" s="76">
        <f>EFEITO!$N$1966*EFEITO!$AA$1954</f>
        <v>711371.19156796567</v>
      </c>
      <c r="M1966" s="76">
        <f>$J$1966-EFEITO!$K$1966*EFEITO!$Y$1966</f>
        <v>0</v>
      </c>
      <c r="N1966" s="76">
        <f ca="1">$K$1966-EFEITO!$M$1966*EFEITO!$Z$1966</f>
        <v>35080.238490923773</v>
      </c>
      <c r="O1966" s="76">
        <f>$L$1966-EFEITO!$O$1966*EFEITO!$AA$1966</f>
        <v>21341.135747038992</v>
      </c>
      <c r="P1966" s="57"/>
      <c r="Q1966" s="57"/>
      <c r="R1966" s="57"/>
      <c r="S1966" s="57"/>
      <c r="T1966" s="57"/>
      <c r="U1966" s="57"/>
      <c r="V1966" s="57"/>
      <c r="W1966" s="57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</row>
    <row r="1967" spans="1:36" ht="11.25" customHeight="1" x14ac:dyDescent="0.2">
      <c r="A1967" s="53" t="s">
        <v>28</v>
      </c>
      <c r="B1967" s="53" t="s">
        <v>39</v>
      </c>
      <c r="C1967" s="53" t="s">
        <v>23</v>
      </c>
      <c r="D1967" s="53" t="s">
        <v>50</v>
      </c>
      <c r="E1967" s="53" t="s">
        <v>51</v>
      </c>
      <c r="F1967" s="53" t="s">
        <v>25</v>
      </c>
      <c r="G1967" s="53" t="s">
        <v>25</v>
      </c>
      <c r="H1967" s="53" t="s">
        <v>25</v>
      </c>
      <c r="I1967" s="75">
        <v>44470</v>
      </c>
      <c r="J1967" s="76">
        <f>EFEITO!$J$1967*EFEITO!$Y$1954</f>
        <v>0</v>
      </c>
      <c r="K1967" s="76">
        <f ca="1">EFEITO!$L$1967*EFEITO!$Z$1954</f>
        <v>91687.450933093758</v>
      </c>
      <c r="L1967" s="76">
        <f>EFEITO!$N$1967*EFEITO!$AA$1954</f>
        <v>55778.250685763982</v>
      </c>
      <c r="M1967" s="76">
        <f>$J$1967-EFEITO!$K$1967*EFEITO!$Y$1967</f>
        <v>0</v>
      </c>
      <c r="N1967" s="76">
        <f ca="1">$K$1967-EFEITO!$M$1967*EFEITO!$Z$1967</f>
        <v>2750.6235279928223</v>
      </c>
      <c r="O1967" s="76">
        <f>$L$1967-EFEITO!$O$1967*EFEITO!$AA$1967</f>
        <v>1673.3475205729192</v>
      </c>
      <c r="P1967" s="57"/>
      <c r="Q1967" s="57"/>
      <c r="R1967" s="57"/>
      <c r="S1967" s="57"/>
      <c r="T1967" s="57"/>
      <c r="U1967" s="57"/>
      <c r="V1967" s="57"/>
      <c r="W1967" s="57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</row>
    <row r="1968" spans="1:36" ht="11.25" customHeight="1" x14ac:dyDescent="0.2">
      <c r="A1968" s="53" t="s">
        <v>28</v>
      </c>
      <c r="B1968" s="53" t="s">
        <v>39</v>
      </c>
      <c r="C1968" s="53" t="s">
        <v>23</v>
      </c>
      <c r="D1968" s="53" t="s">
        <v>50</v>
      </c>
      <c r="E1968" s="53" t="s">
        <v>51</v>
      </c>
      <c r="F1968" s="53" t="s">
        <v>25</v>
      </c>
      <c r="G1968" s="53" t="s">
        <v>25</v>
      </c>
      <c r="H1968" s="53" t="s">
        <v>25</v>
      </c>
      <c r="I1968" s="75">
        <v>44470</v>
      </c>
      <c r="J1968" s="76">
        <f>EFEITO!$J$1968*EFEITO!$Y$1954</f>
        <v>0</v>
      </c>
      <c r="K1968" s="76">
        <f ca="1">EFEITO!$L$1968*EFEITO!$Z$1954</f>
        <v>1169.81490174849</v>
      </c>
      <c r="L1968" s="76">
        <f>EFEITO!$N$1968*EFEITO!$AA$1954</f>
        <v>711.65931849587685</v>
      </c>
      <c r="M1968" s="76">
        <f>$J$1968-EFEITO!$K$1968*EFEITO!$Y$1968</f>
        <v>0</v>
      </c>
      <c r="N1968" s="76">
        <f ca="1">$K$1968-EFEITO!$M$1968*EFEITO!$Z$1968</f>
        <v>35.094447052454598</v>
      </c>
      <c r="O1968" s="76">
        <f>$L$1968-EFEITO!$O$1968*EFEITO!$AA$1968</f>
        <v>21.349779554876363</v>
      </c>
      <c r="P1968" s="57"/>
      <c r="Q1968" s="57"/>
      <c r="R1968" s="57"/>
      <c r="S1968" s="57"/>
      <c r="T1968" s="57"/>
      <c r="U1968" s="57"/>
      <c r="V1968" s="57"/>
      <c r="W1968" s="57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</row>
    <row r="1969" spans="1:36" ht="11.25" customHeight="1" x14ac:dyDescent="0.2">
      <c r="A1969" s="53" t="s">
        <v>21</v>
      </c>
      <c r="B1969" s="53" t="s">
        <v>39</v>
      </c>
      <c r="C1969" s="53" t="s">
        <v>23</v>
      </c>
      <c r="D1969" s="53" t="s">
        <v>50</v>
      </c>
      <c r="E1969" s="53" t="s">
        <v>51</v>
      </c>
      <c r="F1969" s="53" t="s">
        <v>25</v>
      </c>
      <c r="G1969" s="53" t="s">
        <v>25</v>
      </c>
      <c r="H1969" s="53" t="s">
        <v>25</v>
      </c>
      <c r="I1969" s="75">
        <v>44501</v>
      </c>
      <c r="J1969" s="76">
        <f>EFEITO!$J$1969*EFEITO!$Y$1954</f>
        <v>0</v>
      </c>
      <c r="K1969" s="76">
        <f ca="1">EFEITO!$L$1969*EFEITO!$Z$1954</f>
        <v>1155228.3784821725</v>
      </c>
      <c r="L1969" s="76">
        <f>EFEITO!$N$1969*EFEITO!$AA$1954</f>
        <v>702785.5768540015</v>
      </c>
      <c r="M1969" s="76">
        <f>$J$1969-EFEITO!$K$1969*EFEITO!$Y$1969</f>
        <v>0</v>
      </c>
      <c r="N1969" s="76">
        <f ca="1">$K$1969-EFEITO!$M$1969*EFEITO!$Z$1969</f>
        <v>34656.851354465121</v>
      </c>
      <c r="O1969" s="76">
        <f>$L$1969-EFEITO!$O$1969*EFEITO!$AA$1969</f>
        <v>21083.567305620061</v>
      </c>
      <c r="P1969" s="57"/>
      <c r="Q1969" s="57"/>
      <c r="R1969" s="57"/>
      <c r="S1969" s="57"/>
      <c r="T1969" s="57"/>
      <c r="U1969" s="57"/>
      <c r="V1969" s="57"/>
      <c r="W1969" s="57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</row>
    <row r="1970" spans="1:36" ht="11.25" customHeight="1" x14ac:dyDescent="0.2">
      <c r="A1970" s="53" t="s">
        <v>28</v>
      </c>
      <c r="B1970" s="53" t="s">
        <v>39</v>
      </c>
      <c r="C1970" s="53" t="s">
        <v>23</v>
      </c>
      <c r="D1970" s="53" t="s">
        <v>50</v>
      </c>
      <c r="E1970" s="53" t="s">
        <v>51</v>
      </c>
      <c r="F1970" s="53" t="s">
        <v>25</v>
      </c>
      <c r="G1970" s="53" t="s">
        <v>25</v>
      </c>
      <c r="H1970" s="53" t="s">
        <v>25</v>
      </c>
      <c r="I1970" s="75">
        <v>44501</v>
      </c>
      <c r="J1970" s="76">
        <f>EFEITO!$J$1970*EFEITO!$Y$1954</f>
        <v>0</v>
      </c>
      <c r="K1970" s="76">
        <f ca="1">EFEITO!$L$1970*EFEITO!$Z$1954</f>
        <v>39981.352304154716</v>
      </c>
      <c r="L1970" s="76">
        <f>EFEITO!$N$1970*EFEITO!$AA$1954</f>
        <v>24322.73848690954</v>
      </c>
      <c r="M1970" s="76">
        <f>$J$1970-EFEITO!$K$1970*EFEITO!$Y$1970</f>
        <v>0</v>
      </c>
      <c r="N1970" s="76">
        <f ca="1">$K$1970-EFEITO!$M$1970*EFEITO!$Z$1970</f>
        <v>1199.4405691246429</v>
      </c>
      <c r="O1970" s="76">
        <f>$L$1970-EFEITO!$O$1970*EFEITO!$AA$1970</f>
        <v>729.6821546072897</v>
      </c>
      <c r="P1970" s="57"/>
      <c r="Q1970" s="57"/>
      <c r="R1970" s="57"/>
      <c r="S1970" s="57"/>
      <c r="T1970" s="57"/>
      <c r="U1970" s="57"/>
      <c r="V1970" s="57"/>
      <c r="W1970" s="57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</row>
    <row r="1971" spans="1:36" ht="11.25" customHeight="1" x14ac:dyDescent="0.2">
      <c r="A1971" s="53" t="s">
        <v>21</v>
      </c>
      <c r="B1971" s="53" t="s">
        <v>39</v>
      </c>
      <c r="C1971" s="53" t="s">
        <v>23</v>
      </c>
      <c r="D1971" s="53" t="s">
        <v>50</v>
      </c>
      <c r="E1971" s="53" t="s">
        <v>51</v>
      </c>
      <c r="F1971" s="53" t="s">
        <v>25</v>
      </c>
      <c r="G1971" s="53" t="s">
        <v>25</v>
      </c>
      <c r="H1971" s="53" t="s">
        <v>25</v>
      </c>
      <c r="I1971" s="75">
        <v>44531</v>
      </c>
      <c r="J1971" s="76">
        <f>EFEITO!$J$1971*EFEITO!$Y$1954</f>
        <v>0</v>
      </c>
      <c r="K1971" s="76">
        <f ca="1">EFEITO!$L$1971*EFEITO!$Z$1954</f>
        <v>1165045.1179727926</v>
      </c>
      <c r="L1971" s="76">
        <f>EFEITO!$N$1971*EFEITO!$AA$1954</f>
        <v>708757.61065636144</v>
      </c>
      <c r="M1971" s="76">
        <f>$J$1971-EFEITO!$K$1971*EFEITO!$Y$1971</f>
        <v>0</v>
      </c>
      <c r="N1971" s="76">
        <f ca="1">$K$1971-EFEITO!$M$1971*EFEITO!$Z$1971</f>
        <v>34951.353539183736</v>
      </c>
      <c r="O1971" s="76">
        <f>$L$1971-EFEITO!$O$1971*EFEITO!$AA$1971</f>
        <v>21262.728319690912</v>
      </c>
      <c r="P1971" s="57"/>
      <c r="Q1971" s="57"/>
      <c r="R1971" s="57"/>
      <c r="S1971" s="57"/>
      <c r="T1971" s="57"/>
      <c r="U1971" s="57"/>
      <c r="V1971" s="57"/>
      <c r="W1971" s="57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</row>
    <row r="1972" spans="1:36" ht="11.25" customHeight="1" x14ac:dyDescent="0.2">
      <c r="A1972" s="53" t="s">
        <v>27</v>
      </c>
      <c r="B1972" s="53" t="s">
        <v>39</v>
      </c>
      <c r="C1972" s="53" t="s">
        <v>23</v>
      </c>
      <c r="D1972" s="53" t="s">
        <v>50</v>
      </c>
      <c r="E1972" s="53" t="s">
        <v>51</v>
      </c>
      <c r="F1972" s="53" t="s">
        <v>25</v>
      </c>
      <c r="G1972" s="53" t="s">
        <v>25</v>
      </c>
      <c r="H1972" s="53" t="s">
        <v>25</v>
      </c>
      <c r="I1972" s="75">
        <v>44531</v>
      </c>
      <c r="J1972" s="76">
        <f>EFEITO!$J$1972*EFEITO!$Y$1954</f>
        <v>0</v>
      </c>
      <c r="K1972" s="76">
        <f ca="1">EFEITO!$L$1972*EFEITO!$Z$1954</f>
        <v>-2.3330971315286995</v>
      </c>
      <c r="L1972" s="76">
        <f>EFEITO!$N$1972*EFEITO!$AA$1954</f>
        <v>-1.4193444724688409</v>
      </c>
      <c r="M1972" s="76">
        <f>$J$1972-EFEITO!$K$1972*EFEITO!$Y$1972</f>
        <v>0</v>
      </c>
      <c r="N1972" s="76">
        <f ca="1">$K$1972-EFEITO!$M$1972*EFEITO!$Z$1972</f>
        <v>-6.9992913945860824E-2</v>
      </c>
      <c r="O1972" s="76">
        <f>$L$1972-EFEITO!$O$1972*EFEITO!$AA$1972</f>
        <v>-4.2580334174065371E-2</v>
      </c>
      <c r="P1972" s="57"/>
      <c r="Q1972" s="57"/>
      <c r="R1972" s="57"/>
      <c r="S1972" s="57"/>
      <c r="T1972" s="57"/>
      <c r="U1972" s="57"/>
      <c r="V1972" s="57"/>
      <c r="W1972" s="57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</row>
    <row r="1973" spans="1:36" ht="11.25" customHeight="1" x14ac:dyDescent="0.2">
      <c r="A1973" s="53" t="s">
        <v>28</v>
      </c>
      <c r="B1973" s="53" t="s">
        <v>39</v>
      </c>
      <c r="C1973" s="53" t="s">
        <v>23</v>
      </c>
      <c r="D1973" s="53" t="s">
        <v>50</v>
      </c>
      <c r="E1973" s="53" t="s">
        <v>51</v>
      </c>
      <c r="F1973" s="53" t="s">
        <v>25</v>
      </c>
      <c r="G1973" s="53" t="s">
        <v>25</v>
      </c>
      <c r="H1973" s="53" t="s">
        <v>25</v>
      </c>
      <c r="I1973" s="75">
        <v>44531</v>
      </c>
      <c r="J1973" s="76">
        <f>EFEITO!$J$1973*EFEITO!$Y$1954</f>
        <v>0</v>
      </c>
      <c r="K1973" s="76">
        <f ca="1">EFEITO!$L$1973*EFEITO!$Z$1954</f>
        <v>69941.119189541059</v>
      </c>
      <c r="L1973" s="76">
        <f>EFEITO!$N$1973*EFEITO!$AA$1954</f>
        <v>42548.824726776416</v>
      </c>
      <c r="M1973" s="76">
        <f>$J$1973-EFEITO!$K$1973*EFEITO!$Y$1973</f>
        <v>0</v>
      </c>
      <c r="N1973" s="76">
        <f ca="1">$K$1973-EFEITO!$M$1973*EFEITO!$Z$1973</f>
        <v>2098.2335756862303</v>
      </c>
      <c r="O1973" s="76">
        <f>$L$1973-EFEITO!$O$1973*EFEITO!$AA$1973</f>
        <v>1276.464741803291</v>
      </c>
      <c r="P1973" s="57"/>
      <c r="Q1973" s="57"/>
      <c r="R1973" s="57"/>
      <c r="S1973" s="57"/>
      <c r="T1973" s="57"/>
      <c r="U1973" s="57"/>
      <c r="V1973" s="57"/>
      <c r="W1973" s="57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</row>
    <row r="1974" spans="1:36" ht="11.25" customHeight="1" x14ac:dyDescent="0.2">
      <c r="A1974" s="53" t="s">
        <v>28</v>
      </c>
      <c r="B1974" s="53" t="s">
        <v>39</v>
      </c>
      <c r="C1974" s="53" t="s">
        <v>23</v>
      </c>
      <c r="D1974" s="53" t="s">
        <v>50</v>
      </c>
      <c r="E1974" s="53" t="s">
        <v>51</v>
      </c>
      <c r="F1974" s="53" t="s">
        <v>25</v>
      </c>
      <c r="G1974" s="53" t="s">
        <v>25</v>
      </c>
      <c r="H1974" s="53" t="s">
        <v>25</v>
      </c>
      <c r="I1974" s="75">
        <v>44531</v>
      </c>
      <c r="J1974" s="76">
        <f>EFEITO!$J$1974*EFEITO!$Y$1954</f>
        <v>0</v>
      </c>
      <c r="K1974" s="76">
        <f ca="1">EFEITO!$L$1974*EFEITO!$Z$1954</f>
        <v>405.492281459688</v>
      </c>
      <c r="L1974" s="76">
        <f>EFEITO!$N$1974*EFEITO!$AA$1954</f>
        <v>246.68206931508453</v>
      </c>
      <c r="M1974" s="76">
        <f>$J$1974-EFEITO!$K$1974*EFEITO!$Y$1974</f>
        <v>0</v>
      </c>
      <c r="N1974" s="76">
        <f ca="1">$K$1974-EFEITO!$M$1974*EFEITO!$Z$1974</f>
        <v>12.164768443790649</v>
      </c>
      <c r="O1974" s="76">
        <f>$L$1974-EFEITO!$O$1974*EFEITO!$AA$1974</f>
        <v>7.4004620794525522</v>
      </c>
      <c r="P1974" s="57"/>
      <c r="Q1974" s="57"/>
      <c r="R1974" s="57"/>
      <c r="S1974" s="57"/>
      <c r="T1974" s="57"/>
      <c r="U1974" s="57"/>
      <c r="V1974" s="57"/>
      <c r="W1974" s="57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</row>
    <row r="1975" spans="1:36" ht="11.25" customHeight="1" x14ac:dyDescent="0.2">
      <c r="A1975" s="53" t="s">
        <v>21</v>
      </c>
      <c r="B1975" s="53" t="s">
        <v>39</v>
      </c>
      <c r="C1975" s="53" t="s">
        <v>23</v>
      </c>
      <c r="D1975" s="53" t="s">
        <v>50</v>
      </c>
      <c r="E1975" s="53" t="s">
        <v>51</v>
      </c>
      <c r="F1975" s="53" t="s">
        <v>25</v>
      </c>
      <c r="G1975" s="53" t="s">
        <v>25</v>
      </c>
      <c r="H1975" s="53" t="s">
        <v>25</v>
      </c>
      <c r="I1975" s="75">
        <v>44562</v>
      </c>
      <c r="J1975" s="76">
        <f>EFEITO!$J$1975*EFEITO!$Y$1954</f>
        <v>0</v>
      </c>
      <c r="K1975" s="76">
        <f ca="1">EFEITO!$L$1975*EFEITO!$Z$1954</f>
        <v>1087479.4373574159</v>
      </c>
      <c r="L1975" s="76">
        <f>EFEITO!$N$1975*EFEITO!$AA$1954</f>
        <v>661570.3681935569</v>
      </c>
      <c r="M1975" s="76">
        <f>$J$1975-EFEITO!$K$1975*EFEITO!$Y$1975</f>
        <v>0</v>
      </c>
      <c r="N1975" s="76">
        <f ca="1">$K$1975-EFEITO!$M$1975*EFEITO!$Z$1975</f>
        <v>32624.383120722603</v>
      </c>
      <c r="O1975" s="76">
        <f>$L$1975-EFEITO!$O$1975*EFEITO!$AA$1975</f>
        <v>19847.111045806785</v>
      </c>
      <c r="P1975" s="57"/>
      <c r="Q1975" s="57"/>
      <c r="R1975" s="57"/>
      <c r="S1975" s="57"/>
      <c r="T1975" s="57"/>
      <c r="U1975" s="57"/>
      <c r="V1975" s="57"/>
      <c r="W1975" s="57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</row>
    <row r="1976" spans="1:36" ht="11.25" customHeight="1" x14ac:dyDescent="0.2">
      <c r="A1976" s="53" t="s">
        <v>27</v>
      </c>
      <c r="B1976" s="53" t="s">
        <v>39</v>
      </c>
      <c r="C1976" s="53" t="s">
        <v>23</v>
      </c>
      <c r="D1976" s="53" t="s">
        <v>50</v>
      </c>
      <c r="E1976" s="53" t="s">
        <v>51</v>
      </c>
      <c r="F1976" s="53" t="s">
        <v>25</v>
      </c>
      <c r="G1976" s="53" t="s">
        <v>25</v>
      </c>
      <c r="H1976" s="53" t="s">
        <v>25</v>
      </c>
      <c r="I1976" s="75">
        <v>44562</v>
      </c>
      <c r="J1976" s="76">
        <f>EFEITO!$J$1976*EFEITO!$Y$1954</f>
        <v>0</v>
      </c>
      <c r="K1976" s="76">
        <f ca="1">EFEITO!$L$1976*EFEITO!$Z$1954</f>
        <v>5813.1448129169084</v>
      </c>
      <c r="L1976" s="76">
        <f>EFEITO!$N$1976*EFEITO!$AA$1954</f>
        <v>3536.4386876033636</v>
      </c>
      <c r="M1976" s="76">
        <f>$J$1976-EFEITO!$K$1976*EFEITO!$Y$1976</f>
        <v>0</v>
      </c>
      <c r="N1976" s="76">
        <f ca="1">$K$1976-EFEITO!$M$1976*EFEITO!$Z$1976</f>
        <v>174.39434438750777</v>
      </c>
      <c r="O1976" s="76">
        <f>$L$1976-EFEITO!$O$1976*EFEITO!$AA$1976</f>
        <v>106.09316062810103</v>
      </c>
      <c r="P1976" s="57"/>
      <c r="Q1976" s="57"/>
      <c r="R1976" s="57"/>
      <c r="S1976" s="57"/>
      <c r="T1976" s="57"/>
      <c r="U1976" s="57"/>
      <c r="V1976" s="57"/>
      <c r="W1976" s="57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</row>
    <row r="1977" spans="1:36" ht="11.25" customHeight="1" x14ac:dyDescent="0.2">
      <c r="A1977" s="53" t="s">
        <v>28</v>
      </c>
      <c r="B1977" s="53" t="s">
        <v>39</v>
      </c>
      <c r="C1977" s="53" t="s">
        <v>23</v>
      </c>
      <c r="D1977" s="53" t="s">
        <v>50</v>
      </c>
      <c r="E1977" s="53" t="s">
        <v>51</v>
      </c>
      <c r="F1977" s="53" t="s">
        <v>25</v>
      </c>
      <c r="G1977" s="53" t="s">
        <v>25</v>
      </c>
      <c r="H1977" s="53" t="s">
        <v>25</v>
      </c>
      <c r="I1977" s="75">
        <v>44562</v>
      </c>
      <c r="J1977" s="76">
        <f>EFEITO!$J$1977*EFEITO!$Y$1954</f>
        <v>0</v>
      </c>
      <c r="K1977" s="76">
        <f ca="1">EFEITO!$L$1977*EFEITO!$Z$1954</f>
        <v>26015.899494250221</v>
      </c>
      <c r="L1977" s="76">
        <f>EFEITO!$N$1977*EFEITO!$AA$1954</f>
        <v>15826.826343605549</v>
      </c>
      <c r="M1977" s="76">
        <f>$J$1977-EFEITO!$K$1977*EFEITO!$Y$1977</f>
        <v>0</v>
      </c>
      <c r="N1977" s="76">
        <f ca="1">$K$1977-EFEITO!$M$1977*EFEITO!$Z$1977</f>
        <v>780.47698482750639</v>
      </c>
      <c r="O1977" s="76">
        <f>$L$1977-EFEITO!$O$1977*EFEITO!$AA$1977</f>
        <v>474.80479030816787</v>
      </c>
      <c r="P1977" s="57"/>
      <c r="Q1977" s="57"/>
      <c r="R1977" s="57"/>
      <c r="S1977" s="57"/>
      <c r="T1977" s="57"/>
      <c r="U1977" s="57"/>
      <c r="V1977" s="57"/>
      <c r="W1977" s="57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</row>
    <row r="1978" spans="1:36" ht="11.25" customHeight="1" x14ac:dyDescent="0.2">
      <c r="A1978" s="53" t="s">
        <v>28</v>
      </c>
      <c r="B1978" s="53" t="s">
        <v>39</v>
      </c>
      <c r="C1978" s="53" t="s">
        <v>23</v>
      </c>
      <c r="D1978" s="53" t="s">
        <v>50</v>
      </c>
      <c r="E1978" s="53" t="s">
        <v>51</v>
      </c>
      <c r="F1978" s="53" t="s">
        <v>25</v>
      </c>
      <c r="G1978" s="53" t="s">
        <v>25</v>
      </c>
      <c r="H1978" s="53" t="s">
        <v>25</v>
      </c>
      <c r="I1978" s="75">
        <v>44562</v>
      </c>
      <c r="J1978" s="76">
        <f>EFEITO!$J$1978*EFEITO!$Y$1954</f>
        <v>0</v>
      </c>
      <c r="K1978" s="76">
        <f ca="1">EFEITO!$L$1978*EFEITO!$Z$1954</f>
        <v>3576.6379026334967</v>
      </c>
      <c r="L1978" s="76">
        <f>EFEITO!$N$1978*EFEITO!$AA$1954</f>
        <v>2175.855076294733</v>
      </c>
      <c r="M1978" s="76">
        <f>$J$1978-EFEITO!$K$1978*EFEITO!$Y$1978</f>
        <v>0</v>
      </c>
      <c r="N1978" s="76">
        <f ca="1">$K$1978-EFEITO!$M$1978*EFEITO!$Z$1978</f>
        <v>107.29913707900505</v>
      </c>
      <c r="O1978" s="76">
        <f>$L$1978-EFEITO!$O$1978*EFEITO!$AA$1978</f>
        <v>65.275652288842139</v>
      </c>
      <c r="P1978" s="57"/>
      <c r="Q1978" s="57"/>
      <c r="R1978" s="57"/>
      <c r="S1978" s="57"/>
      <c r="T1978" s="57"/>
      <c r="U1978" s="57"/>
      <c r="V1978" s="57"/>
      <c r="W1978" s="57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</row>
    <row r="1979" spans="1:36" ht="11.25" customHeight="1" x14ac:dyDescent="0.2">
      <c r="A1979" s="53" t="s">
        <v>21</v>
      </c>
      <c r="B1979" s="53" t="s">
        <v>39</v>
      </c>
      <c r="C1979" s="53" t="s">
        <v>23</v>
      </c>
      <c r="D1979" s="53" t="s">
        <v>50</v>
      </c>
      <c r="E1979" s="53" t="s">
        <v>51</v>
      </c>
      <c r="F1979" s="53" t="s">
        <v>25</v>
      </c>
      <c r="G1979" s="53" t="s">
        <v>25</v>
      </c>
      <c r="H1979" s="53" t="s">
        <v>25</v>
      </c>
      <c r="I1979" s="75">
        <v>44593</v>
      </c>
      <c r="J1979" s="76">
        <f>EFEITO!$J$1979*EFEITO!$Y$1954</f>
        <v>0</v>
      </c>
      <c r="K1979" s="76">
        <f ca="1">EFEITO!$L$1979*EFEITO!$Z$1954</f>
        <v>1064423.7715036494</v>
      </c>
      <c r="L1979" s="76">
        <f>EFEITO!$N$1979*EFEITO!$AA$1954</f>
        <v>647544.40611661982</v>
      </c>
      <c r="M1979" s="76">
        <f>$J$1979-EFEITO!$K$1979*EFEITO!$Y$1979</f>
        <v>0</v>
      </c>
      <c r="N1979" s="76">
        <f ca="1">$K$1979-EFEITO!$M$1979*EFEITO!$Z$1979</f>
        <v>31932.713145109592</v>
      </c>
      <c r="O1979" s="76">
        <f>$L$1979-EFEITO!$O$1979*EFEITO!$AA$1979</f>
        <v>19426.33218349854</v>
      </c>
      <c r="P1979" s="57"/>
      <c r="Q1979" s="57"/>
      <c r="R1979" s="57"/>
      <c r="S1979" s="57"/>
      <c r="T1979" s="57"/>
      <c r="U1979" s="57"/>
      <c r="V1979" s="57"/>
      <c r="W1979" s="57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</row>
    <row r="1980" spans="1:36" ht="11.25" customHeight="1" x14ac:dyDescent="0.2">
      <c r="A1980" s="53" t="s">
        <v>27</v>
      </c>
      <c r="B1980" s="53" t="s">
        <v>39</v>
      </c>
      <c r="C1980" s="53" t="s">
        <v>23</v>
      </c>
      <c r="D1980" s="53" t="s">
        <v>50</v>
      </c>
      <c r="E1980" s="53" t="s">
        <v>51</v>
      </c>
      <c r="F1980" s="53" t="s">
        <v>25</v>
      </c>
      <c r="G1980" s="53" t="s">
        <v>25</v>
      </c>
      <c r="H1980" s="53" t="s">
        <v>25</v>
      </c>
      <c r="I1980" s="75">
        <v>44593</v>
      </c>
      <c r="J1980" s="76">
        <f>EFEITO!$J$1980*EFEITO!$Y$1954</f>
        <v>0</v>
      </c>
      <c r="K1980" s="76">
        <f ca="1">EFEITO!$L$1980*EFEITO!$Z$1954</f>
        <v>2179.5793402741115</v>
      </c>
      <c r="L1980" s="76">
        <f>EFEITO!$N$1980*EFEITO!$AA$1954</f>
        <v>1325.9516061803911</v>
      </c>
      <c r="M1980" s="76">
        <f>$J$1980-EFEITO!$K$1980*EFEITO!$Y$1980</f>
        <v>0</v>
      </c>
      <c r="N1980" s="76">
        <f ca="1">$K$1980-EFEITO!$M$1980*EFEITO!$Z$1980</f>
        <v>65.387380208223476</v>
      </c>
      <c r="O1980" s="76">
        <f>$L$1980-EFEITO!$O$1980*EFEITO!$AA$1980</f>
        <v>39.778548185411637</v>
      </c>
      <c r="P1980" s="57"/>
      <c r="Q1980" s="57"/>
      <c r="R1980" s="57"/>
      <c r="S1980" s="57"/>
      <c r="T1980" s="57"/>
      <c r="U1980" s="57"/>
      <c r="V1980" s="57"/>
      <c r="W1980" s="57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</row>
    <row r="1981" spans="1:36" ht="11.25" customHeight="1" x14ac:dyDescent="0.2">
      <c r="A1981" s="53" t="s">
        <v>28</v>
      </c>
      <c r="B1981" s="53" t="s">
        <v>39</v>
      </c>
      <c r="C1981" s="53" t="s">
        <v>23</v>
      </c>
      <c r="D1981" s="53" t="s">
        <v>50</v>
      </c>
      <c r="E1981" s="53" t="s">
        <v>51</v>
      </c>
      <c r="F1981" s="53" t="s">
        <v>25</v>
      </c>
      <c r="G1981" s="53" t="s">
        <v>25</v>
      </c>
      <c r="H1981" s="53" t="s">
        <v>25</v>
      </c>
      <c r="I1981" s="75">
        <v>44593</v>
      </c>
      <c r="J1981" s="76">
        <f>EFEITO!$J$1981*EFEITO!$Y$1954</f>
        <v>0</v>
      </c>
      <c r="K1981" s="76">
        <f ca="1">EFEITO!$L$1981*EFEITO!$Z$1954</f>
        <v>31067.521403436163</v>
      </c>
      <c r="L1981" s="76">
        <f>EFEITO!$N$1981*EFEITO!$AA$1954</f>
        <v>18899.990995395085</v>
      </c>
      <c r="M1981" s="76">
        <f>$J$1981-EFEITO!$K$1981*EFEITO!$Y$1981</f>
        <v>0</v>
      </c>
      <c r="N1981" s="76">
        <f ca="1">$K$1981-EFEITO!$M$1981*EFEITO!$Z$1981</f>
        <v>932.02564210308628</v>
      </c>
      <c r="O1981" s="76">
        <f>$L$1981-EFEITO!$O$1981*EFEITO!$AA$1981</f>
        <v>566.99972986185458</v>
      </c>
      <c r="P1981" s="57"/>
      <c r="Q1981" s="57"/>
      <c r="R1981" s="57"/>
      <c r="S1981" s="57"/>
      <c r="T1981" s="57"/>
      <c r="U1981" s="57"/>
      <c r="V1981" s="57"/>
      <c r="W1981" s="57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</row>
    <row r="1982" spans="1:36" ht="11.25" customHeight="1" x14ac:dyDescent="0.2">
      <c r="A1982" s="53" t="s">
        <v>28</v>
      </c>
      <c r="B1982" s="53" t="s">
        <v>39</v>
      </c>
      <c r="C1982" s="53" t="s">
        <v>23</v>
      </c>
      <c r="D1982" s="53" t="s">
        <v>50</v>
      </c>
      <c r="E1982" s="53" t="s">
        <v>51</v>
      </c>
      <c r="F1982" s="53" t="s">
        <v>25</v>
      </c>
      <c r="G1982" s="53" t="s">
        <v>25</v>
      </c>
      <c r="H1982" s="53" t="s">
        <v>25</v>
      </c>
      <c r="I1982" s="75">
        <v>44593</v>
      </c>
      <c r="J1982" s="76">
        <f>EFEITO!$J$1982*EFEITO!$Y$1954</f>
        <v>0</v>
      </c>
      <c r="K1982" s="76">
        <f ca="1">EFEITO!$L$1982*EFEITO!$Z$1954</f>
        <v>-3193.0767342101781</v>
      </c>
      <c r="L1982" s="76">
        <f>EFEITO!$N$1982*EFEITO!$AA$1954</f>
        <v>-1942.5148450208555</v>
      </c>
      <c r="M1982" s="76">
        <f>$J$1982-EFEITO!$K$1982*EFEITO!$Y$1982</f>
        <v>0</v>
      </c>
      <c r="N1982" s="76">
        <f ca="1">$K$1982-EFEITO!$M$1982*EFEITO!$Z$1982</f>
        <v>-95.792302026305151</v>
      </c>
      <c r="O1982" s="76">
        <f>$L$1982-EFEITO!$O$1982*EFEITO!$AA$1982</f>
        <v>-58.27544535062566</v>
      </c>
      <c r="P1982" s="57"/>
      <c r="Q1982" s="57"/>
      <c r="R1982" s="57"/>
      <c r="S1982" s="57"/>
      <c r="T1982" s="57"/>
      <c r="U1982" s="57"/>
      <c r="V1982" s="57"/>
      <c r="W1982" s="57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</row>
    <row r="1983" spans="1:36" ht="11.25" customHeight="1" x14ac:dyDescent="0.2">
      <c r="A1983" s="53" t="s">
        <v>21</v>
      </c>
      <c r="B1983" s="53" t="s">
        <v>39</v>
      </c>
      <c r="C1983" s="53" t="s">
        <v>23</v>
      </c>
      <c r="D1983" s="53" t="s">
        <v>50</v>
      </c>
      <c r="E1983" s="53" t="s">
        <v>51</v>
      </c>
      <c r="F1983" s="53" t="s">
        <v>25</v>
      </c>
      <c r="G1983" s="53" t="s">
        <v>25</v>
      </c>
      <c r="H1983" s="53" t="s">
        <v>25</v>
      </c>
      <c r="I1983" s="75">
        <v>44621</v>
      </c>
      <c r="J1983" s="76">
        <f>EFEITO!$J$1983*EFEITO!$Y$1954</f>
        <v>0</v>
      </c>
      <c r="K1983" s="76">
        <f ca="1">EFEITO!$L$1983*EFEITO!$Z$1954</f>
        <v>1096107.2305498091</v>
      </c>
      <c r="L1983" s="76">
        <f>EFEITO!$N$1983*EFEITO!$AA$1954</f>
        <v>666819.10405274667</v>
      </c>
      <c r="M1983" s="76">
        <f>$J$1983-EFEITO!$K$1983*EFEITO!$Y$1983</f>
        <v>0</v>
      </c>
      <c r="N1983" s="76">
        <f ca="1">$K$1983-EFEITO!$M$1983*EFEITO!$Z$1983</f>
        <v>32883.216916494304</v>
      </c>
      <c r="O1983" s="76">
        <f>$L$1983-EFEITO!$O$1983*EFEITO!$AA$1983</f>
        <v>20004.573121582391</v>
      </c>
      <c r="P1983" s="57"/>
      <c r="Q1983" s="57"/>
      <c r="R1983" s="57"/>
      <c r="S1983" s="57"/>
      <c r="T1983" s="57"/>
      <c r="U1983" s="57"/>
      <c r="V1983" s="57"/>
      <c r="W1983" s="57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</row>
    <row r="1984" spans="1:36" ht="11.25" customHeight="1" x14ac:dyDescent="0.2">
      <c r="A1984" s="53" t="s">
        <v>27</v>
      </c>
      <c r="B1984" s="53" t="s">
        <v>39</v>
      </c>
      <c r="C1984" s="53" t="s">
        <v>23</v>
      </c>
      <c r="D1984" s="53" t="s">
        <v>50</v>
      </c>
      <c r="E1984" s="53" t="s">
        <v>51</v>
      </c>
      <c r="F1984" s="53" t="s">
        <v>25</v>
      </c>
      <c r="G1984" s="53" t="s">
        <v>25</v>
      </c>
      <c r="H1984" s="53" t="s">
        <v>25</v>
      </c>
      <c r="I1984" s="75">
        <v>44621</v>
      </c>
      <c r="J1984" s="76">
        <f>EFEITO!$J$1984*EFEITO!$Y$1954</f>
        <v>0</v>
      </c>
      <c r="K1984" s="76">
        <f ca="1">EFEITO!$L$1984*EFEITO!$Z$1954</f>
        <v>-1306.5343936560716</v>
      </c>
      <c r="L1984" s="76">
        <f>EFEITO!$N$1984*EFEITO!$AA$1954</f>
        <v>-794.83290458255078</v>
      </c>
      <c r="M1984" s="76">
        <f>$J$1984-EFEITO!$K$1984*EFEITO!$Y$1984</f>
        <v>0</v>
      </c>
      <c r="N1984" s="76">
        <f ca="1">$K$1984-EFEITO!$M$1984*EFEITO!$Z$1984</f>
        <v>-39.196031809682154</v>
      </c>
      <c r="O1984" s="76">
        <f>$L$1984-EFEITO!$O$1984*EFEITO!$AA$1984</f>
        <v>-23.844987137476551</v>
      </c>
      <c r="P1984" s="57"/>
      <c r="Q1984" s="57"/>
      <c r="R1984" s="57"/>
      <c r="S1984" s="57"/>
      <c r="T1984" s="57"/>
      <c r="U1984" s="57"/>
      <c r="V1984" s="57"/>
      <c r="W1984" s="57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</row>
    <row r="1985" spans="1:36" ht="11.25" customHeight="1" x14ac:dyDescent="0.2">
      <c r="A1985" s="53" t="s">
        <v>28</v>
      </c>
      <c r="B1985" s="53" t="s">
        <v>39</v>
      </c>
      <c r="C1985" s="53" t="s">
        <v>23</v>
      </c>
      <c r="D1985" s="53" t="s">
        <v>50</v>
      </c>
      <c r="E1985" s="53" t="s">
        <v>51</v>
      </c>
      <c r="F1985" s="53" t="s">
        <v>25</v>
      </c>
      <c r="G1985" s="53" t="s">
        <v>25</v>
      </c>
      <c r="H1985" s="53" t="s">
        <v>25</v>
      </c>
      <c r="I1985" s="75">
        <v>44621</v>
      </c>
      <c r="J1985" s="76">
        <f>EFEITO!$J$1985*EFEITO!$Y$1954</f>
        <v>0</v>
      </c>
      <c r="K1985" s="76">
        <f ca="1">EFEITO!$L$1985*EFEITO!$Z$1954</f>
        <v>27007.465775149918</v>
      </c>
      <c r="L1985" s="76">
        <f>EFEITO!$N$1985*EFEITO!$AA$1954</f>
        <v>16430.047744404805</v>
      </c>
      <c r="M1985" s="76">
        <f>$J$1985-EFEITO!$K$1985*EFEITO!$Y$1985</f>
        <v>0</v>
      </c>
      <c r="N1985" s="76">
        <f ca="1">$K$1985-EFEITO!$M$1985*EFEITO!$Z$1985</f>
        <v>810.22397325449492</v>
      </c>
      <c r="O1985" s="76">
        <f>$L$1985-EFEITO!$O$1985*EFEITO!$AA$1985</f>
        <v>492.90143233214258</v>
      </c>
      <c r="P1985" s="57"/>
      <c r="Q1985" s="57"/>
      <c r="R1985" s="57"/>
      <c r="S1985" s="57"/>
      <c r="T1985" s="57"/>
      <c r="U1985" s="57"/>
      <c r="V1985" s="57"/>
      <c r="W1985" s="57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</row>
    <row r="1986" spans="1:36" ht="11.25" customHeight="1" x14ac:dyDescent="0.2">
      <c r="A1986" s="53" t="s">
        <v>28</v>
      </c>
      <c r="B1986" s="53" t="s">
        <v>39</v>
      </c>
      <c r="C1986" s="53" t="s">
        <v>23</v>
      </c>
      <c r="D1986" s="53" t="s">
        <v>50</v>
      </c>
      <c r="E1986" s="53" t="s">
        <v>51</v>
      </c>
      <c r="F1986" s="53" t="s">
        <v>25</v>
      </c>
      <c r="G1986" s="53" t="s">
        <v>25</v>
      </c>
      <c r="H1986" s="53" t="s">
        <v>25</v>
      </c>
      <c r="I1986" s="75">
        <v>44621</v>
      </c>
      <c r="J1986" s="76">
        <f>EFEITO!$J$1986*EFEITO!$Y$1954</f>
        <v>0</v>
      </c>
      <c r="K1986" s="76">
        <f ca="1">EFEITO!$L$1986*EFEITO!$Z$1954</f>
        <v>3376.9247881746401</v>
      </c>
      <c r="L1986" s="76">
        <f>EFEITO!$N$1986*EFEITO!$AA$1954</f>
        <v>2054.3591894514002</v>
      </c>
      <c r="M1986" s="76">
        <f>$J$1986-EFEITO!$K$1986*EFEITO!$Y$1986</f>
        <v>0</v>
      </c>
      <c r="N1986" s="76">
        <f ca="1">$K$1986-EFEITO!$M$1986*EFEITO!$Z$1986</f>
        <v>101.3077436452395</v>
      </c>
      <c r="O1986" s="76">
        <f>$L$1986-EFEITO!$O$1986*EFEITO!$AA$1986</f>
        <v>61.63077568354197</v>
      </c>
      <c r="P1986" s="57"/>
      <c r="Q1986" s="57"/>
      <c r="R1986" s="57"/>
      <c r="S1986" s="57"/>
      <c r="T1986" s="57"/>
      <c r="U1986" s="57"/>
      <c r="V1986" s="57"/>
      <c r="W1986" s="57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</row>
    <row r="1987" spans="1:36" ht="11.25" customHeight="1" x14ac:dyDescent="0.2">
      <c r="A1987" s="53" t="s">
        <v>56</v>
      </c>
      <c r="B1987" s="53" t="s">
        <v>39</v>
      </c>
      <c r="C1987" s="53" t="s">
        <v>23</v>
      </c>
      <c r="D1987" s="53" t="s">
        <v>50</v>
      </c>
      <c r="E1987" s="53" t="s">
        <v>51</v>
      </c>
      <c r="F1987" s="53" t="s">
        <v>25</v>
      </c>
      <c r="G1987" s="53" t="s">
        <v>25</v>
      </c>
      <c r="H1987" s="53" t="s">
        <v>25</v>
      </c>
      <c r="I1987" s="75">
        <v>44652</v>
      </c>
      <c r="J1987" s="76">
        <f>EFEITO!$J$1987*EFEITO!$Y$1954</f>
        <v>0</v>
      </c>
      <c r="K1987" s="76">
        <f ca="1">EFEITO!$L$1987*EFEITO!$Z$1954</f>
        <v>1096107.2305498091</v>
      </c>
      <c r="L1987" s="76">
        <f>EFEITO!$N$1987*EFEITO!$AA$1954</f>
        <v>666819.10405274667</v>
      </c>
      <c r="M1987" s="76">
        <f>$J$1987-EFEITO!$K$1987*EFEITO!$Y$1987</f>
        <v>0</v>
      </c>
      <c r="N1987" s="76">
        <f ca="1">$K$1987-EFEITO!$M$1987*EFEITO!$Z$1987</f>
        <v>32883.216916494304</v>
      </c>
      <c r="O1987" s="76">
        <f>$L$1987-EFEITO!$O$1987*EFEITO!$AA$1987</f>
        <v>20004.573121582391</v>
      </c>
      <c r="P1987" s="57"/>
      <c r="Q1987" s="57"/>
      <c r="R1987" s="57"/>
      <c r="S1987" s="57"/>
      <c r="T1987" s="57"/>
      <c r="U1987" s="57"/>
      <c r="V1987" s="57"/>
      <c r="W1987" s="57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</row>
    <row r="1988" spans="1:36" ht="11.25" customHeight="1" x14ac:dyDescent="0.2">
      <c r="A1988" s="53" t="s">
        <v>56</v>
      </c>
      <c r="B1988" s="53" t="s">
        <v>39</v>
      </c>
      <c r="C1988" s="53" t="s">
        <v>23</v>
      </c>
      <c r="D1988" s="53" t="s">
        <v>50</v>
      </c>
      <c r="E1988" s="53" t="s">
        <v>51</v>
      </c>
      <c r="F1988" s="53" t="s">
        <v>25</v>
      </c>
      <c r="G1988" s="53" t="s">
        <v>25</v>
      </c>
      <c r="H1988" s="53" t="s">
        <v>25</v>
      </c>
      <c r="I1988" s="75">
        <v>44652</v>
      </c>
      <c r="J1988" s="76">
        <f>EFEITO!$J$1988*EFEITO!$Y$1954</f>
        <v>0</v>
      </c>
      <c r="K1988" s="76">
        <f ca="1">EFEITO!$L$1988*EFEITO!$Z$1954</f>
        <v>-1306.5343936560716</v>
      </c>
      <c r="L1988" s="76">
        <f>EFEITO!$N$1988*EFEITO!$AA$1954</f>
        <v>-794.83290458255078</v>
      </c>
      <c r="M1988" s="76">
        <f>$J$1988-EFEITO!$K$1988*EFEITO!$Y$1988</f>
        <v>0</v>
      </c>
      <c r="N1988" s="76">
        <f ca="1">$K$1988-EFEITO!$M$1988*EFEITO!$Z$1988</f>
        <v>-39.196031809682154</v>
      </c>
      <c r="O1988" s="76">
        <f>$L$1988-EFEITO!$O$1988*EFEITO!$AA$1988</f>
        <v>-23.844987137476551</v>
      </c>
      <c r="P1988" s="57"/>
      <c r="Q1988" s="57"/>
      <c r="R1988" s="57"/>
      <c r="S1988" s="57"/>
      <c r="T1988" s="57"/>
      <c r="U1988" s="57"/>
      <c r="V1988" s="57"/>
      <c r="W1988" s="57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</row>
    <row r="1989" spans="1:36" ht="11.25" customHeight="1" x14ac:dyDescent="0.2">
      <c r="A1989" s="53" t="s">
        <v>56</v>
      </c>
      <c r="B1989" s="53" t="s">
        <v>39</v>
      </c>
      <c r="C1989" s="53" t="s">
        <v>23</v>
      </c>
      <c r="D1989" s="53" t="s">
        <v>50</v>
      </c>
      <c r="E1989" s="53" t="s">
        <v>51</v>
      </c>
      <c r="F1989" s="53" t="s">
        <v>25</v>
      </c>
      <c r="G1989" s="53" t="s">
        <v>25</v>
      </c>
      <c r="H1989" s="53" t="s">
        <v>25</v>
      </c>
      <c r="I1989" s="75">
        <v>44652</v>
      </c>
      <c r="J1989" s="76">
        <f>EFEITO!$J$1989*EFEITO!$Y$1954</f>
        <v>0</v>
      </c>
      <c r="K1989" s="76">
        <f ca="1">EFEITO!$L$1989*EFEITO!$Z$1954</f>
        <v>27007.465775149918</v>
      </c>
      <c r="L1989" s="76">
        <f>EFEITO!$N$1989*EFEITO!$AA$1954</f>
        <v>16430.047744404805</v>
      </c>
      <c r="M1989" s="76">
        <f>$J$1989-EFEITO!$K$1989*EFEITO!$Y$1989</f>
        <v>0</v>
      </c>
      <c r="N1989" s="76">
        <f ca="1">$K$1989-EFEITO!$M$1989*EFEITO!$Z$1989</f>
        <v>810.22397325449492</v>
      </c>
      <c r="O1989" s="76">
        <f>$L$1989-EFEITO!$O$1989*EFEITO!$AA$1989</f>
        <v>492.90143233214258</v>
      </c>
      <c r="P1989" s="57"/>
      <c r="Q1989" s="57"/>
      <c r="R1989" s="57"/>
      <c r="S1989" s="57"/>
      <c r="T1989" s="57"/>
      <c r="U1989" s="57"/>
      <c r="V1989" s="57"/>
      <c r="W1989" s="57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</row>
    <row r="1990" spans="1:36" ht="11.25" customHeight="1" x14ac:dyDescent="0.2">
      <c r="A1990" s="53" t="s">
        <v>56</v>
      </c>
      <c r="B1990" s="53" t="s">
        <v>39</v>
      </c>
      <c r="C1990" s="53" t="s">
        <v>23</v>
      </c>
      <c r="D1990" s="53" t="s">
        <v>50</v>
      </c>
      <c r="E1990" s="53" t="s">
        <v>51</v>
      </c>
      <c r="F1990" s="53" t="s">
        <v>25</v>
      </c>
      <c r="G1990" s="53" t="s">
        <v>25</v>
      </c>
      <c r="H1990" s="53" t="s">
        <v>25</v>
      </c>
      <c r="I1990" s="75">
        <v>44652</v>
      </c>
      <c r="J1990" s="76">
        <f>EFEITO!$J$1990*EFEITO!$Y$1954</f>
        <v>0</v>
      </c>
      <c r="K1990" s="76">
        <f ca="1">EFEITO!$L$1990*EFEITO!$Z$1954</f>
        <v>3376.9247881746401</v>
      </c>
      <c r="L1990" s="76">
        <f>EFEITO!$N$1990*EFEITO!$AA$1954</f>
        <v>2054.3591894514002</v>
      </c>
      <c r="M1990" s="76">
        <f>$J$1990-EFEITO!$K$1990*EFEITO!$Y$1990</f>
        <v>0</v>
      </c>
      <c r="N1990" s="76">
        <f ca="1">$K$1990-EFEITO!$M$1990*EFEITO!$Z$1990</f>
        <v>101.3077436452395</v>
      </c>
      <c r="O1990" s="76">
        <f>$L$1990-EFEITO!$O$1990*EFEITO!$AA$1990</f>
        <v>61.63077568354197</v>
      </c>
      <c r="P1990" s="57"/>
      <c r="Q1990" s="57"/>
      <c r="R1990" s="57"/>
      <c r="S1990" s="57"/>
      <c r="T1990" s="57"/>
      <c r="U1990" s="57"/>
      <c r="V1990" s="57"/>
      <c r="W1990" s="57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</row>
    <row r="1991" spans="1:36" ht="11.25" customHeight="1" x14ac:dyDescent="0.2">
      <c r="A1991" s="53" t="s">
        <v>21</v>
      </c>
      <c r="B1991" s="53" t="s">
        <v>47</v>
      </c>
      <c r="C1991" s="53" t="s">
        <v>23</v>
      </c>
      <c r="D1991" s="53" t="s">
        <v>48</v>
      </c>
      <c r="E1991" s="53" t="s">
        <v>49</v>
      </c>
      <c r="F1991" s="53" t="s">
        <v>25</v>
      </c>
      <c r="G1991" s="53" t="s">
        <v>25</v>
      </c>
      <c r="H1991" s="53" t="s">
        <v>25</v>
      </c>
      <c r="I1991" s="75">
        <v>44317</v>
      </c>
      <c r="J1991" s="76">
        <f>EFEITO!$J$1991*EFEITO!$Y$1991</f>
        <v>0</v>
      </c>
      <c r="K1991" s="76">
        <f ca="1">EFEITO!$L$1991*EFEITO!$Z$1991</f>
        <v>5369079.4132506847</v>
      </c>
      <c r="L1991" s="76">
        <f>EFEITO!$N$1991*EFEITO!$AA$1991</f>
        <v>3266290.5819315067</v>
      </c>
      <c r="M1991" s="76">
        <f>$J$1991-EFEITO!$K$1991*EFEITO!$Y$1991</f>
        <v>0</v>
      </c>
      <c r="N1991" s="76">
        <f ca="1">$K$1991-EFEITO!$M$1991*EFEITO!$Z$1991</f>
        <v>0</v>
      </c>
      <c r="O1991" s="76">
        <f>$L$1991-EFEITO!$O$1991*EFEITO!$AA$1991</f>
        <v>0</v>
      </c>
      <c r="P1991" s="57"/>
      <c r="Q1991" s="57"/>
      <c r="R1991" s="57"/>
      <c r="S1991" s="57"/>
      <c r="T1991" s="57"/>
      <c r="U1991" s="57"/>
      <c r="V1991" s="57"/>
      <c r="W1991" s="57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</row>
    <row r="1992" spans="1:36" ht="11.25" customHeight="1" x14ac:dyDescent="0.2">
      <c r="A1992" s="53" t="s">
        <v>21</v>
      </c>
      <c r="B1992" s="53" t="s">
        <v>47</v>
      </c>
      <c r="C1992" s="53" t="s">
        <v>23</v>
      </c>
      <c r="D1992" s="53" t="s">
        <v>48</v>
      </c>
      <c r="E1992" s="53" t="s">
        <v>49</v>
      </c>
      <c r="F1992" s="53" t="s">
        <v>25</v>
      </c>
      <c r="G1992" s="53" t="s">
        <v>25</v>
      </c>
      <c r="H1992" s="53" t="s">
        <v>25</v>
      </c>
      <c r="I1992" s="75">
        <v>44348</v>
      </c>
      <c r="J1992" s="76">
        <f>EFEITO!$J$1992*EFEITO!$Y$1992</f>
        <v>0</v>
      </c>
      <c r="K1992" s="76">
        <f ca="1">EFEITO!$L$1992*EFEITO!$Z$1992</f>
        <v>5183158.3791538887</v>
      </c>
      <c r="L1992" s="76">
        <f>EFEITO!$N$1992*EFEITO!$AA$1992</f>
        <v>3153185.1357437288</v>
      </c>
      <c r="M1992" s="76">
        <f>$J$1992-EFEITO!$K$1992*EFEITO!$Y$1992</f>
        <v>0</v>
      </c>
      <c r="N1992" s="76">
        <f ca="1">$K$1992-EFEITO!$M$1992*EFEITO!$Z$1992</f>
        <v>0</v>
      </c>
      <c r="O1992" s="76">
        <f>$L$1992-EFEITO!$O$1992*EFEITO!$AA$1992</f>
        <v>0</v>
      </c>
      <c r="P1992" s="57"/>
      <c r="Q1992" s="57"/>
      <c r="R1992" s="57"/>
      <c r="S1992" s="57"/>
      <c r="T1992" s="57"/>
      <c r="U1992" s="57"/>
      <c r="V1992" s="57"/>
      <c r="W1992" s="57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</row>
    <row r="1993" spans="1:36" ht="11.25" customHeight="1" x14ac:dyDescent="0.2">
      <c r="A1993" s="53" t="s">
        <v>27</v>
      </c>
      <c r="B1993" s="53" t="s">
        <v>47</v>
      </c>
      <c r="C1993" s="53" t="s">
        <v>23</v>
      </c>
      <c r="D1993" s="53" t="s">
        <v>48</v>
      </c>
      <c r="E1993" s="53" t="s">
        <v>49</v>
      </c>
      <c r="F1993" s="53" t="s">
        <v>25</v>
      </c>
      <c r="G1993" s="53" t="s">
        <v>25</v>
      </c>
      <c r="H1993" s="53" t="s">
        <v>25</v>
      </c>
      <c r="I1993" s="75">
        <v>44348</v>
      </c>
      <c r="J1993" s="76">
        <f>EFEITO!$J$1993*EFEITO!$Y$1993</f>
        <v>0</v>
      </c>
      <c r="K1993" s="76">
        <f ca="1">EFEITO!$L$1993*EFEITO!$Z$1993</f>
        <v>51.841418262567707</v>
      </c>
      <c r="L1993" s="76">
        <f>EFEITO!$N$1993*EFEITO!$AA$1993</f>
        <v>31.53783417825764</v>
      </c>
      <c r="M1993" s="76">
        <f>$J$1993-EFEITO!$K$1993*EFEITO!$Y$1993</f>
        <v>0</v>
      </c>
      <c r="N1993" s="76">
        <f ca="1">$K$1993-EFEITO!$M$1993*EFEITO!$Z$1993</f>
        <v>0</v>
      </c>
      <c r="O1993" s="76">
        <f>$L$1993-EFEITO!$O$1993*EFEITO!$AA$1993</f>
        <v>0</v>
      </c>
      <c r="P1993" s="57"/>
      <c r="Q1993" s="57"/>
      <c r="R1993" s="57"/>
      <c r="S1993" s="57"/>
      <c r="T1993" s="57"/>
      <c r="U1993" s="57"/>
      <c r="V1993" s="57"/>
      <c r="W1993" s="57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</row>
    <row r="1994" spans="1:36" ht="11.25" customHeight="1" x14ac:dyDescent="0.2">
      <c r="A1994" s="53" t="s">
        <v>21</v>
      </c>
      <c r="B1994" s="53" t="s">
        <v>47</v>
      </c>
      <c r="C1994" s="53" t="s">
        <v>23</v>
      </c>
      <c r="D1994" s="53" t="s">
        <v>48</v>
      </c>
      <c r="E1994" s="53" t="s">
        <v>49</v>
      </c>
      <c r="F1994" s="53" t="s">
        <v>25</v>
      </c>
      <c r="G1994" s="53" t="s">
        <v>25</v>
      </c>
      <c r="H1994" s="53" t="s">
        <v>25</v>
      </c>
      <c r="I1994" s="75">
        <v>44378</v>
      </c>
      <c r="J1994" s="76">
        <f>EFEITO!$J$1994*EFEITO!$Y$1994</f>
        <v>0</v>
      </c>
      <c r="K1994" s="76">
        <f ca="1">EFEITO!$L$1994*EFEITO!$Z$1994</f>
        <v>5363996.6444947934</v>
      </c>
      <c r="L1994" s="76">
        <f>EFEITO!$N$1994*EFEITO!$AA$1994</f>
        <v>3263198.4690310098</v>
      </c>
      <c r="M1994" s="76">
        <f>$J$1994-EFEITO!$K$1994*EFEITO!$Y$1994</f>
        <v>0</v>
      </c>
      <c r="N1994" s="76">
        <f ca="1">$K$1994-EFEITO!$M$1994*EFEITO!$Z$1994</f>
        <v>0</v>
      </c>
      <c r="O1994" s="76">
        <f>$L$1994-EFEITO!$O$1994*EFEITO!$AA$1994</f>
        <v>0</v>
      </c>
      <c r="P1994" s="57"/>
      <c r="Q1994" s="57"/>
      <c r="R1994" s="57"/>
      <c r="S1994" s="57"/>
      <c r="T1994" s="57"/>
      <c r="U1994" s="57"/>
      <c r="V1994" s="57"/>
      <c r="W1994" s="57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</row>
    <row r="1995" spans="1:36" ht="11.25" customHeight="1" x14ac:dyDescent="0.2">
      <c r="A1995" s="53" t="s">
        <v>27</v>
      </c>
      <c r="B1995" s="53" t="s">
        <v>47</v>
      </c>
      <c r="C1995" s="53" t="s">
        <v>23</v>
      </c>
      <c r="D1995" s="53" t="s">
        <v>48</v>
      </c>
      <c r="E1995" s="53" t="s">
        <v>49</v>
      </c>
      <c r="F1995" s="53" t="s">
        <v>25</v>
      </c>
      <c r="G1995" s="53" t="s">
        <v>25</v>
      </c>
      <c r="H1995" s="53" t="s">
        <v>25</v>
      </c>
      <c r="I1995" s="75">
        <v>44378</v>
      </c>
      <c r="J1995" s="76">
        <f>EFEITO!$J$1995*EFEITO!$Y$1995</f>
        <v>0</v>
      </c>
      <c r="K1995" s="76">
        <f ca="1">EFEITO!$L$1995*EFEITO!$Z$1995</f>
        <v>526.11340315972177</v>
      </c>
      <c r="L1995" s="76">
        <f>EFEITO!$N$1995*EFEITO!$AA$1995</f>
        <v>320.06217854172354</v>
      </c>
      <c r="M1995" s="76">
        <f>$J$1995-EFEITO!$K$1995*EFEITO!$Y$1995</f>
        <v>0</v>
      </c>
      <c r="N1995" s="76">
        <f ca="1">$K$1995-EFEITO!$M$1995*EFEITO!$Z$1995</f>
        <v>0</v>
      </c>
      <c r="O1995" s="76">
        <f>$L$1995-EFEITO!$O$1995*EFEITO!$AA$1995</f>
        <v>0</v>
      </c>
      <c r="P1995" s="57"/>
      <c r="Q1995" s="57"/>
      <c r="R1995" s="57"/>
      <c r="S1995" s="57"/>
      <c r="T1995" s="57"/>
      <c r="U1995" s="57"/>
      <c r="V1995" s="57"/>
      <c r="W1995" s="57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</row>
    <row r="1996" spans="1:36" ht="11.25" customHeight="1" x14ac:dyDescent="0.2">
      <c r="A1996" s="53" t="s">
        <v>21</v>
      </c>
      <c r="B1996" s="53" t="s">
        <v>47</v>
      </c>
      <c r="C1996" s="53" t="s">
        <v>23</v>
      </c>
      <c r="D1996" s="53" t="s">
        <v>48</v>
      </c>
      <c r="E1996" s="53" t="s">
        <v>49</v>
      </c>
      <c r="F1996" s="53" t="s">
        <v>25</v>
      </c>
      <c r="G1996" s="53" t="s">
        <v>25</v>
      </c>
      <c r="H1996" s="53" t="s">
        <v>25</v>
      </c>
      <c r="I1996" s="75">
        <v>44409</v>
      </c>
      <c r="J1996" s="76">
        <f>EFEITO!$J$1996*EFEITO!$Y$1996</f>
        <v>0</v>
      </c>
      <c r="K1996" s="76">
        <f ca="1">EFEITO!$L$1996*EFEITO!$Z$1996</f>
        <v>5328594.3452758333</v>
      </c>
      <c r="L1996" s="76">
        <f>EFEITO!$N$1996*EFEITO!$AA$1996</f>
        <v>3241661.4069729913</v>
      </c>
      <c r="M1996" s="76">
        <f>$J$1996-EFEITO!$K$1996*EFEITO!$Y$1996</f>
        <v>0</v>
      </c>
      <c r="N1996" s="76">
        <f ca="1">$K$1996-EFEITO!$M$1996*EFEITO!$Z$1996</f>
        <v>0</v>
      </c>
      <c r="O1996" s="76">
        <f>$L$1996-EFEITO!$O$1996*EFEITO!$AA$1996</f>
        <v>0</v>
      </c>
      <c r="P1996" s="57"/>
      <c r="Q1996" s="57"/>
      <c r="R1996" s="57"/>
      <c r="S1996" s="57"/>
      <c r="T1996" s="57"/>
      <c r="U1996" s="57"/>
      <c r="V1996" s="57"/>
      <c r="W1996" s="57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</row>
    <row r="1997" spans="1:36" ht="11.25" customHeight="1" x14ac:dyDescent="0.2">
      <c r="A1997" s="53" t="s">
        <v>27</v>
      </c>
      <c r="B1997" s="53" t="s">
        <v>47</v>
      </c>
      <c r="C1997" s="53" t="s">
        <v>23</v>
      </c>
      <c r="D1997" s="53" t="s">
        <v>48</v>
      </c>
      <c r="E1997" s="53" t="s">
        <v>49</v>
      </c>
      <c r="F1997" s="53" t="s">
        <v>25</v>
      </c>
      <c r="G1997" s="53" t="s">
        <v>25</v>
      </c>
      <c r="H1997" s="53" t="s">
        <v>25</v>
      </c>
      <c r="I1997" s="75">
        <v>44409</v>
      </c>
      <c r="J1997" s="76">
        <f>EFEITO!$J$1997*EFEITO!$Y$1997</f>
        <v>0</v>
      </c>
      <c r="K1997" s="76">
        <f ca="1">EFEITO!$L$1997*EFEITO!$Z$1997</f>
        <v>-5838.575571650571</v>
      </c>
      <c r="L1997" s="76">
        <f>EFEITO!$N$1997*EFEITO!$AA$1997</f>
        <v>-3551.9095423532735</v>
      </c>
      <c r="M1997" s="76">
        <f>$J$1997-EFEITO!$K$1997*EFEITO!$Y$1997</f>
        <v>0</v>
      </c>
      <c r="N1997" s="76">
        <f ca="1">$K$1997-EFEITO!$M$1997*EFEITO!$Z$1997</f>
        <v>0</v>
      </c>
      <c r="O1997" s="76">
        <f>$L$1997-EFEITO!$O$1997*EFEITO!$AA$1997</f>
        <v>0</v>
      </c>
      <c r="P1997" s="57"/>
      <c r="Q1997" s="57"/>
      <c r="R1997" s="57"/>
      <c r="S1997" s="57"/>
      <c r="T1997" s="57"/>
      <c r="U1997" s="57"/>
      <c r="V1997" s="57"/>
      <c r="W1997" s="57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</row>
    <row r="1998" spans="1:36" ht="11.25" customHeight="1" x14ac:dyDescent="0.2">
      <c r="A1998" s="53" t="s">
        <v>21</v>
      </c>
      <c r="B1998" s="53" t="s">
        <v>47</v>
      </c>
      <c r="C1998" s="53" t="s">
        <v>23</v>
      </c>
      <c r="D1998" s="53" t="s">
        <v>48</v>
      </c>
      <c r="E1998" s="53" t="s">
        <v>49</v>
      </c>
      <c r="F1998" s="53" t="s">
        <v>25</v>
      </c>
      <c r="G1998" s="53" t="s">
        <v>25</v>
      </c>
      <c r="H1998" s="53" t="s">
        <v>25</v>
      </c>
      <c r="I1998" s="75">
        <v>44440</v>
      </c>
      <c r="J1998" s="76">
        <f>EFEITO!$J$1998*EFEITO!$Y$1998</f>
        <v>0</v>
      </c>
      <c r="K1998" s="76">
        <f ca="1">EFEITO!$L$1998*EFEITO!$Z$1998</f>
        <v>5123068.2726518298</v>
      </c>
      <c r="L1998" s="76">
        <f>EFEITO!$N$1998*EFEITO!$AA$1998</f>
        <v>3116629.1949896123</v>
      </c>
      <c r="M1998" s="76">
        <f>$J$1998-EFEITO!$K$1998*EFEITO!$Y$1998</f>
        <v>0</v>
      </c>
      <c r="N1998" s="76">
        <f ca="1">$K$1998-EFEITO!$M$1998*EFEITO!$Z$1998</f>
        <v>0</v>
      </c>
      <c r="O1998" s="76">
        <f>$L$1998-EFEITO!$O$1998*EFEITO!$AA$1998</f>
        <v>0</v>
      </c>
      <c r="P1998" s="57"/>
      <c r="Q1998" s="57"/>
      <c r="R1998" s="57"/>
      <c r="S1998" s="57"/>
      <c r="T1998" s="57"/>
      <c r="U1998" s="57"/>
      <c r="V1998" s="57"/>
      <c r="W1998" s="57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</row>
    <row r="1999" spans="1:36" ht="11.25" customHeight="1" x14ac:dyDescent="0.2">
      <c r="A1999" s="53" t="s">
        <v>27</v>
      </c>
      <c r="B1999" s="53" t="s">
        <v>47</v>
      </c>
      <c r="C1999" s="53" t="s">
        <v>23</v>
      </c>
      <c r="D1999" s="53" t="s">
        <v>48</v>
      </c>
      <c r="E1999" s="53" t="s">
        <v>49</v>
      </c>
      <c r="F1999" s="53" t="s">
        <v>25</v>
      </c>
      <c r="G1999" s="53" t="s">
        <v>25</v>
      </c>
      <c r="H1999" s="53" t="s">
        <v>25</v>
      </c>
      <c r="I1999" s="75">
        <v>44440</v>
      </c>
      <c r="J1999" s="76">
        <f>EFEITO!$J$1999*EFEITO!$Y$1999</f>
        <v>0</v>
      </c>
      <c r="K1999" s="76">
        <f ca="1">EFEITO!$L$1999*EFEITO!$Z$1999</f>
        <v>325183.7651945434</v>
      </c>
      <c r="L1999" s="76">
        <f>EFEITO!$N$1999*EFEITO!$AA$1999</f>
        <v>197826.21710355609</v>
      </c>
      <c r="M1999" s="76">
        <f>$J$1999-EFEITO!$K$1999*EFEITO!$Y$1999</f>
        <v>0</v>
      </c>
      <c r="N1999" s="76">
        <f ca="1">$K$1999-EFEITO!$M$1999*EFEITO!$Z$1999</f>
        <v>0</v>
      </c>
      <c r="O1999" s="76">
        <f>$L$1999-EFEITO!$O$1999*EFEITO!$AA$1999</f>
        <v>0</v>
      </c>
      <c r="P1999" s="57"/>
      <c r="Q1999" s="57"/>
      <c r="R1999" s="57"/>
      <c r="S1999" s="57"/>
      <c r="T1999" s="57"/>
      <c r="U1999" s="57"/>
      <c r="V1999" s="57"/>
      <c r="W1999" s="57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</row>
    <row r="2000" spans="1:36" ht="11.25" customHeight="1" x14ac:dyDescent="0.2">
      <c r="A2000" s="53" t="s">
        <v>21</v>
      </c>
      <c r="B2000" s="53" t="s">
        <v>47</v>
      </c>
      <c r="C2000" s="53" t="s">
        <v>23</v>
      </c>
      <c r="D2000" s="53" t="s">
        <v>48</v>
      </c>
      <c r="E2000" s="53" t="s">
        <v>49</v>
      </c>
      <c r="F2000" s="53" t="s">
        <v>25</v>
      </c>
      <c r="G2000" s="53" t="s">
        <v>25</v>
      </c>
      <c r="H2000" s="53" t="s">
        <v>25</v>
      </c>
      <c r="I2000" s="75">
        <v>44470</v>
      </c>
      <c r="J2000" s="76">
        <f>EFEITO!$J$2000*EFEITO!$Y$2000</f>
        <v>0</v>
      </c>
      <c r="K2000" s="76">
        <f ca="1">EFEITO!$L$2000*EFEITO!$Z$2000</f>
        <v>5330095.6932799714</v>
      </c>
      <c r="L2000" s="76">
        <f>EFEITO!$N$2000*EFEITO!$AA$2000</f>
        <v>3242574.7551410245</v>
      </c>
      <c r="M2000" s="76">
        <f>$J$2000-EFEITO!$K$2000*EFEITO!$Y$2000</f>
        <v>0</v>
      </c>
      <c r="N2000" s="76">
        <f ca="1">$K$2000-EFEITO!$M$2000*EFEITO!$Z$2000</f>
        <v>0</v>
      </c>
      <c r="O2000" s="76">
        <f>$L$2000-EFEITO!$O$2000*EFEITO!$AA$2000</f>
        <v>0</v>
      </c>
      <c r="P2000" s="57"/>
      <c r="Q2000" s="57"/>
      <c r="R2000" s="57"/>
      <c r="S2000" s="57"/>
      <c r="T2000" s="57"/>
      <c r="U2000" s="57"/>
      <c r="V2000" s="57"/>
      <c r="W2000" s="57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</row>
    <row r="2001" spans="1:36" ht="11.25" customHeight="1" x14ac:dyDescent="0.2">
      <c r="A2001" s="53" t="s">
        <v>27</v>
      </c>
      <c r="B2001" s="53" t="s">
        <v>47</v>
      </c>
      <c r="C2001" s="53" t="s">
        <v>23</v>
      </c>
      <c r="D2001" s="53" t="s">
        <v>48</v>
      </c>
      <c r="E2001" s="53" t="s">
        <v>49</v>
      </c>
      <c r="F2001" s="53" t="s">
        <v>25</v>
      </c>
      <c r="G2001" s="53" t="s">
        <v>25</v>
      </c>
      <c r="H2001" s="53" t="s">
        <v>25</v>
      </c>
      <c r="I2001" s="75">
        <v>44470</v>
      </c>
      <c r="J2001" s="76">
        <f>EFEITO!$J$2001*EFEITO!$Y$2001</f>
        <v>0</v>
      </c>
      <c r="K2001" s="76">
        <f ca="1">EFEITO!$L$2001*EFEITO!$Z$2001</f>
        <v>436210.11826505064</v>
      </c>
      <c r="L2001" s="76">
        <f>EFEITO!$N$2001*EFEITO!$AA$2001</f>
        <v>265369.32896094595</v>
      </c>
      <c r="M2001" s="76">
        <f>$J$2001-EFEITO!$K$2001*EFEITO!$Y$2001</f>
        <v>0</v>
      </c>
      <c r="N2001" s="76">
        <f ca="1">$K$2001-EFEITO!$M$2001*EFEITO!$Z$2001</f>
        <v>0</v>
      </c>
      <c r="O2001" s="76">
        <f>$L$2001-EFEITO!$O$2001*EFEITO!$AA$2001</f>
        <v>0</v>
      </c>
      <c r="P2001" s="57"/>
      <c r="Q2001" s="57"/>
      <c r="R2001" s="57"/>
      <c r="S2001" s="57"/>
      <c r="T2001" s="57"/>
      <c r="U2001" s="57"/>
      <c r="V2001" s="57"/>
      <c r="W2001" s="57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</row>
    <row r="2002" spans="1:36" ht="11.25" customHeight="1" x14ac:dyDescent="0.2">
      <c r="A2002" s="53" t="s">
        <v>21</v>
      </c>
      <c r="B2002" s="53" t="s">
        <v>47</v>
      </c>
      <c r="C2002" s="53" t="s">
        <v>23</v>
      </c>
      <c r="D2002" s="53" t="s">
        <v>48</v>
      </c>
      <c r="E2002" s="53" t="s">
        <v>49</v>
      </c>
      <c r="F2002" s="53" t="s">
        <v>25</v>
      </c>
      <c r="G2002" s="53" t="s">
        <v>25</v>
      </c>
      <c r="H2002" s="53" t="s">
        <v>25</v>
      </c>
      <c r="I2002" s="75">
        <v>44501</v>
      </c>
      <c r="J2002" s="76">
        <f>EFEITO!$J$2002*EFEITO!$Y$2002</f>
        <v>0</v>
      </c>
      <c r="K2002" s="76">
        <f ca="1">EFEITO!$L$2002*EFEITO!$Z$2002</f>
        <v>5156260.3822961506</v>
      </c>
      <c r="L2002" s="76">
        <f>EFEITO!$N$2002*EFEITO!$AA$2002</f>
        <v>3136821.6836419725</v>
      </c>
      <c r="M2002" s="76">
        <f>$J$2002-EFEITO!$K$2002*EFEITO!$Y$2002</f>
        <v>0</v>
      </c>
      <c r="N2002" s="76">
        <f ca="1">$K$2002-EFEITO!$M$2002*EFEITO!$Z$2002</f>
        <v>0</v>
      </c>
      <c r="O2002" s="76">
        <f>$L$2002-EFEITO!$O$2002*EFEITO!$AA$2002</f>
        <v>0</v>
      </c>
      <c r="P2002" s="57"/>
      <c r="Q2002" s="57"/>
      <c r="R2002" s="57"/>
      <c r="S2002" s="57"/>
      <c r="T2002" s="57"/>
      <c r="U2002" s="57"/>
      <c r="V2002" s="57"/>
      <c r="W2002" s="57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</row>
    <row r="2003" spans="1:36" ht="11.25" customHeight="1" x14ac:dyDescent="0.2">
      <c r="A2003" s="53" t="s">
        <v>27</v>
      </c>
      <c r="B2003" s="53" t="s">
        <v>47</v>
      </c>
      <c r="C2003" s="53" t="s">
        <v>23</v>
      </c>
      <c r="D2003" s="53" t="s">
        <v>48</v>
      </c>
      <c r="E2003" s="53" t="s">
        <v>49</v>
      </c>
      <c r="F2003" s="53" t="s">
        <v>25</v>
      </c>
      <c r="G2003" s="53" t="s">
        <v>25</v>
      </c>
      <c r="H2003" s="53" t="s">
        <v>25</v>
      </c>
      <c r="I2003" s="75">
        <v>44501</v>
      </c>
      <c r="J2003" s="76">
        <f>EFEITO!$J$2003*EFEITO!$Y$2003</f>
        <v>0</v>
      </c>
      <c r="K2003" s="76">
        <f ca="1">EFEITO!$L$2003*EFEITO!$Z$2003</f>
        <v>570023.59770948556</v>
      </c>
      <c r="L2003" s="76">
        <f>EFEITO!$N$2003*EFEITO!$AA$2003</f>
        <v>346775.03634649172</v>
      </c>
      <c r="M2003" s="76">
        <f>$J$2003-EFEITO!$K$2003*EFEITO!$Y$2003</f>
        <v>0</v>
      </c>
      <c r="N2003" s="76">
        <f ca="1">$K$2003-EFEITO!$M$2003*EFEITO!$Z$2003</f>
        <v>0</v>
      </c>
      <c r="O2003" s="76">
        <f>$L$2003-EFEITO!$O$2003*EFEITO!$AA$2003</f>
        <v>0</v>
      </c>
      <c r="P2003" s="57"/>
      <c r="Q2003" s="57"/>
      <c r="R2003" s="57"/>
      <c r="S2003" s="57"/>
      <c r="T2003" s="57"/>
      <c r="U2003" s="57"/>
      <c r="V2003" s="57"/>
      <c r="W2003" s="57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</row>
    <row r="2004" spans="1:36" ht="11.25" customHeight="1" x14ac:dyDescent="0.2">
      <c r="A2004" s="53" t="s">
        <v>21</v>
      </c>
      <c r="B2004" s="53" t="s">
        <v>47</v>
      </c>
      <c r="C2004" s="53" t="s">
        <v>23</v>
      </c>
      <c r="D2004" s="53" t="s">
        <v>48</v>
      </c>
      <c r="E2004" s="53" t="s">
        <v>49</v>
      </c>
      <c r="F2004" s="53" t="s">
        <v>25</v>
      </c>
      <c r="G2004" s="53" t="s">
        <v>25</v>
      </c>
      <c r="H2004" s="53" t="s">
        <v>25</v>
      </c>
      <c r="I2004" s="75">
        <v>44531</v>
      </c>
      <c r="J2004" s="76">
        <f>EFEITO!$J$2004*EFEITO!$Y$2004</f>
        <v>0</v>
      </c>
      <c r="K2004" s="76">
        <f ca="1">EFEITO!$L$2004*EFEITO!$Z$2004</f>
        <v>5330101.8526563989</v>
      </c>
      <c r="L2004" s="76">
        <f>EFEITO!$N$2004*EFEITO!$AA$2004</f>
        <v>3242578.5022104322</v>
      </c>
      <c r="M2004" s="76">
        <f>$J$2004-EFEITO!$K$2004*EFEITO!$Y$2004</f>
        <v>0</v>
      </c>
      <c r="N2004" s="76">
        <f ca="1">$K$2004-EFEITO!$M$2004*EFEITO!$Z$2004</f>
        <v>0</v>
      </c>
      <c r="O2004" s="76">
        <f>$L$2004-EFEITO!$O$2004*EFEITO!$AA$2004</f>
        <v>0</v>
      </c>
      <c r="P2004" s="57"/>
      <c r="Q2004" s="57"/>
      <c r="R2004" s="57"/>
      <c r="S2004" s="57"/>
      <c r="T2004" s="57"/>
      <c r="U2004" s="57"/>
      <c r="V2004" s="57"/>
      <c r="W2004" s="57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</row>
    <row r="2005" spans="1:36" ht="11.25" customHeight="1" x14ac:dyDescent="0.2">
      <c r="A2005" s="53" t="s">
        <v>27</v>
      </c>
      <c r="B2005" s="53" t="s">
        <v>47</v>
      </c>
      <c r="C2005" s="53" t="s">
        <v>23</v>
      </c>
      <c r="D2005" s="53" t="s">
        <v>48</v>
      </c>
      <c r="E2005" s="53" t="s">
        <v>49</v>
      </c>
      <c r="F2005" s="53" t="s">
        <v>25</v>
      </c>
      <c r="G2005" s="53" t="s">
        <v>25</v>
      </c>
      <c r="H2005" s="53" t="s">
        <v>25</v>
      </c>
      <c r="I2005" s="75">
        <v>44531</v>
      </c>
      <c r="J2005" s="76">
        <f>EFEITO!$J$2005*EFEITO!$Y$2005</f>
        <v>0</v>
      </c>
      <c r="K2005" s="76">
        <f ca="1">EFEITO!$L$2005*EFEITO!$Z$2005</f>
        <v>1060579.9473175132</v>
      </c>
      <c r="L2005" s="76">
        <f>EFEITO!$N$2005*EFEITO!$AA$2005</f>
        <v>645206.00771133776</v>
      </c>
      <c r="M2005" s="76">
        <f>$J$2005-EFEITO!$K$2005*EFEITO!$Y$2005</f>
        <v>0</v>
      </c>
      <c r="N2005" s="76">
        <f ca="1">$K$2005-EFEITO!$M$2005*EFEITO!$Z$2005</f>
        <v>0</v>
      </c>
      <c r="O2005" s="76">
        <f>$L$2005-EFEITO!$O$2005*EFEITO!$AA$2005</f>
        <v>0</v>
      </c>
      <c r="P2005" s="57"/>
      <c r="Q2005" s="57"/>
      <c r="R2005" s="57"/>
      <c r="S2005" s="57"/>
      <c r="T2005" s="57"/>
      <c r="U2005" s="57"/>
      <c r="V2005" s="57"/>
      <c r="W2005" s="57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</row>
    <row r="2006" spans="1:36" ht="11.25" customHeight="1" x14ac:dyDescent="0.2">
      <c r="A2006" s="53" t="s">
        <v>21</v>
      </c>
      <c r="B2006" s="53" t="s">
        <v>47</v>
      </c>
      <c r="C2006" s="53" t="s">
        <v>23</v>
      </c>
      <c r="D2006" s="53" t="s">
        <v>48</v>
      </c>
      <c r="E2006" s="53" t="s">
        <v>49</v>
      </c>
      <c r="F2006" s="53" t="s">
        <v>25</v>
      </c>
      <c r="G2006" s="53" t="s">
        <v>25</v>
      </c>
      <c r="H2006" s="53" t="s">
        <v>25</v>
      </c>
      <c r="I2006" s="75">
        <v>44562</v>
      </c>
      <c r="J2006" s="76">
        <f>EFEITO!$J$2006*EFEITO!$Y$2006</f>
        <v>0</v>
      </c>
      <c r="K2006" s="76">
        <f ca="1">EFEITO!$L$2006*EFEITO!$Z$2006</f>
        <v>5337887.0478197401</v>
      </c>
      <c r="L2006" s="76">
        <f>EFEITO!$N$2006*EFEITO!$AA$2006</f>
        <v>3247314.6418133895</v>
      </c>
      <c r="M2006" s="76">
        <f>$J$2006-EFEITO!$K$2006*EFEITO!$Y$2006</f>
        <v>0</v>
      </c>
      <c r="N2006" s="76">
        <f ca="1">$K$2006-EFEITO!$M$2006*EFEITO!$Z$2006</f>
        <v>0</v>
      </c>
      <c r="O2006" s="76">
        <f>$L$2006-EFEITO!$O$2006*EFEITO!$AA$2006</f>
        <v>0</v>
      </c>
      <c r="P2006" s="57"/>
      <c r="Q2006" s="57"/>
      <c r="R2006" s="57"/>
      <c r="S2006" s="57"/>
      <c r="T2006" s="57"/>
      <c r="U2006" s="57"/>
      <c r="V2006" s="57"/>
      <c r="W2006" s="57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</row>
    <row r="2007" spans="1:36" ht="11.25" customHeight="1" x14ac:dyDescent="0.2">
      <c r="A2007" s="53" t="s">
        <v>21</v>
      </c>
      <c r="B2007" s="53" t="s">
        <v>47</v>
      </c>
      <c r="C2007" s="53" t="s">
        <v>23</v>
      </c>
      <c r="D2007" s="53" t="s">
        <v>48</v>
      </c>
      <c r="E2007" s="53" t="s">
        <v>49</v>
      </c>
      <c r="F2007" s="53" t="s">
        <v>25</v>
      </c>
      <c r="G2007" s="53" t="s">
        <v>25</v>
      </c>
      <c r="H2007" s="53" t="s">
        <v>25</v>
      </c>
      <c r="I2007" s="75">
        <v>44593</v>
      </c>
      <c r="J2007" s="76">
        <f>EFEITO!$J$2007*EFEITO!$Y$2007</f>
        <v>0</v>
      </c>
      <c r="K2007" s="76">
        <f ca="1">EFEITO!$L$2007*EFEITO!$Z$2007</f>
        <v>4809989.4786215965</v>
      </c>
      <c r="L2007" s="76">
        <f>EFEITO!$N$2007*EFEITO!$AA$2007</f>
        <v>2926167.0621666801</v>
      </c>
      <c r="M2007" s="76">
        <f>$J$2007-EFEITO!$K$2007*EFEITO!$Y$2007</f>
        <v>0</v>
      </c>
      <c r="N2007" s="76">
        <f ca="1">$K$2007-EFEITO!$M$2007*EFEITO!$Z$2007</f>
        <v>0</v>
      </c>
      <c r="O2007" s="76">
        <f>$L$2007-EFEITO!$O$2007*EFEITO!$AA$2007</f>
        <v>0</v>
      </c>
      <c r="P2007" s="57"/>
      <c r="Q2007" s="57"/>
      <c r="R2007" s="57"/>
      <c r="S2007" s="57"/>
      <c r="T2007" s="57"/>
      <c r="U2007" s="57"/>
      <c r="V2007" s="57"/>
      <c r="W2007" s="57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</row>
    <row r="2008" spans="1:36" ht="11.25" customHeight="1" x14ac:dyDescent="0.2">
      <c r="A2008" s="53" t="s">
        <v>27</v>
      </c>
      <c r="B2008" s="53" t="s">
        <v>47</v>
      </c>
      <c r="C2008" s="53" t="s">
        <v>23</v>
      </c>
      <c r="D2008" s="53" t="s">
        <v>48</v>
      </c>
      <c r="E2008" s="53" t="s">
        <v>49</v>
      </c>
      <c r="F2008" s="53" t="s">
        <v>25</v>
      </c>
      <c r="G2008" s="53" t="s">
        <v>25</v>
      </c>
      <c r="H2008" s="53" t="s">
        <v>25</v>
      </c>
      <c r="I2008" s="75">
        <v>44593</v>
      </c>
      <c r="J2008" s="76">
        <f>EFEITO!$J$2008*EFEITO!$Y$2008</f>
        <v>0</v>
      </c>
      <c r="K2008" s="76">
        <f ca="1">EFEITO!$L$2008*EFEITO!$Z$2008</f>
        <v>-1943.0266221084164</v>
      </c>
      <c r="L2008" s="76">
        <f>EFEITO!$N$2008*EFEITO!$AA$2008</f>
        <v>-1182.0442701167751</v>
      </c>
      <c r="M2008" s="76">
        <f>$J$2008-EFEITO!$K$2008*EFEITO!$Y$2008</f>
        <v>0</v>
      </c>
      <c r="N2008" s="76">
        <f ca="1">$K$2008-EFEITO!$M$2008*EFEITO!$Z$2008</f>
        <v>0</v>
      </c>
      <c r="O2008" s="76">
        <f>$L$2008-EFEITO!$O$2008*EFEITO!$AA$2008</f>
        <v>0</v>
      </c>
      <c r="P2008" s="57"/>
      <c r="Q2008" s="57"/>
      <c r="R2008" s="57"/>
      <c r="S2008" s="57"/>
      <c r="T2008" s="57"/>
      <c r="U2008" s="57"/>
      <c r="V2008" s="57"/>
      <c r="W2008" s="57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</row>
    <row r="2009" spans="1:36" ht="11.25" customHeight="1" x14ac:dyDescent="0.2">
      <c r="A2009" s="53" t="s">
        <v>21</v>
      </c>
      <c r="B2009" s="53" t="s">
        <v>47</v>
      </c>
      <c r="C2009" s="53" t="s">
        <v>23</v>
      </c>
      <c r="D2009" s="53" t="s">
        <v>48</v>
      </c>
      <c r="E2009" s="53" t="s">
        <v>49</v>
      </c>
      <c r="F2009" s="53" t="s">
        <v>25</v>
      </c>
      <c r="G2009" s="53" t="s">
        <v>25</v>
      </c>
      <c r="H2009" s="53" t="s">
        <v>25</v>
      </c>
      <c r="I2009" s="75">
        <v>44621</v>
      </c>
      <c r="J2009" s="76">
        <f>EFEITO!$J$2009*EFEITO!$Y$2009</f>
        <v>0</v>
      </c>
      <c r="K2009" s="76">
        <f ca="1">EFEITO!$L$2009*EFEITO!$Z$2009</f>
        <v>5951830.0791436303</v>
      </c>
      <c r="L2009" s="76">
        <f>EFEITO!$N$2009*EFEITO!$AA$2009</f>
        <v>3620808.1565687605</v>
      </c>
      <c r="M2009" s="76">
        <f>$J$2009-EFEITO!$K$2009*EFEITO!$Y$2009</f>
        <v>0</v>
      </c>
      <c r="N2009" s="76">
        <f ca="1">$K$2009-EFEITO!$M$2009*EFEITO!$Z$2009</f>
        <v>0</v>
      </c>
      <c r="O2009" s="76">
        <f>$L$2009-EFEITO!$O$2009*EFEITO!$AA$2009</f>
        <v>0</v>
      </c>
      <c r="P2009" s="57"/>
      <c r="Q2009" s="57"/>
      <c r="R2009" s="57"/>
      <c r="S2009" s="57"/>
      <c r="T2009" s="57"/>
      <c r="U2009" s="57"/>
      <c r="V2009" s="57"/>
      <c r="W2009" s="57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</row>
    <row r="2010" spans="1:36" ht="11.25" customHeight="1" x14ac:dyDescent="0.2">
      <c r="A2010" s="53" t="s">
        <v>27</v>
      </c>
      <c r="B2010" s="53" t="s">
        <v>47</v>
      </c>
      <c r="C2010" s="53" t="s">
        <v>23</v>
      </c>
      <c r="D2010" s="53" t="s">
        <v>48</v>
      </c>
      <c r="E2010" s="53" t="s">
        <v>49</v>
      </c>
      <c r="F2010" s="53" t="s">
        <v>25</v>
      </c>
      <c r="G2010" s="53" t="s">
        <v>25</v>
      </c>
      <c r="H2010" s="53" t="s">
        <v>25</v>
      </c>
      <c r="I2010" s="75">
        <v>44621</v>
      </c>
      <c r="J2010" s="76">
        <f>EFEITO!$J$2010*EFEITO!$Y$2010</f>
        <v>0</v>
      </c>
      <c r="K2010" s="76">
        <f ca="1">EFEITO!$L$2010*EFEITO!$Z$2010</f>
        <v>1999.2309320069428</v>
      </c>
      <c r="L2010" s="76">
        <f>EFEITO!$N$2010*EFEITO!$AA$2010</f>
        <v>1216.2362784585496</v>
      </c>
      <c r="M2010" s="76">
        <f>$J$2010-EFEITO!$K$2010*EFEITO!$Y$2010</f>
        <v>0</v>
      </c>
      <c r="N2010" s="76">
        <f ca="1">$K$2010-EFEITO!$M$2010*EFEITO!$Z$2010</f>
        <v>0</v>
      </c>
      <c r="O2010" s="76">
        <f>$L$2010-EFEITO!$O$2010*EFEITO!$AA$2010</f>
        <v>0</v>
      </c>
      <c r="P2010" s="57"/>
      <c r="Q2010" s="57"/>
      <c r="R2010" s="57"/>
      <c r="S2010" s="57"/>
      <c r="T2010" s="57"/>
      <c r="U2010" s="57"/>
      <c r="V2010" s="57"/>
      <c r="W2010" s="57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</row>
    <row r="2011" spans="1:36" ht="11.25" customHeight="1" x14ac:dyDescent="0.2">
      <c r="A2011" s="53" t="s">
        <v>56</v>
      </c>
      <c r="B2011" s="53" t="s">
        <v>47</v>
      </c>
      <c r="C2011" s="53" t="s">
        <v>23</v>
      </c>
      <c r="D2011" s="53" t="s">
        <v>48</v>
      </c>
      <c r="E2011" s="53" t="s">
        <v>49</v>
      </c>
      <c r="F2011" s="53" t="s">
        <v>25</v>
      </c>
      <c r="G2011" s="53" t="s">
        <v>25</v>
      </c>
      <c r="H2011" s="53" t="s">
        <v>25</v>
      </c>
      <c r="I2011" s="75">
        <v>44652</v>
      </c>
      <c r="J2011" s="76">
        <f>EFEITO!$J$2011*EFEITO!$Y$2011</f>
        <v>0</v>
      </c>
      <c r="K2011" s="76">
        <f ca="1">EFEITO!$L$2011*EFEITO!$Z$2011</f>
        <v>5951830.0791436303</v>
      </c>
      <c r="L2011" s="76">
        <f>EFEITO!$N$2011*EFEITO!$AA$2011</f>
        <v>3620808.1565687605</v>
      </c>
      <c r="M2011" s="76">
        <f>$J$2011-EFEITO!$K$2011*EFEITO!$Y$2011</f>
        <v>0</v>
      </c>
      <c r="N2011" s="76">
        <f ca="1">$K$2011-EFEITO!$M$2011*EFEITO!$Z$2011</f>
        <v>0</v>
      </c>
      <c r="O2011" s="76">
        <f>$L$2011-EFEITO!$O$2011*EFEITO!$AA$2011</f>
        <v>0</v>
      </c>
      <c r="P2011" s="57"/>
      <c r="Q2011" s="57"/>
      <c r="R2011" s="57"/>
      <c r="S2011" s="57"/>
      <c r="T2011" s="57"/>
      <c r="U2011" s="57"/>
      <c r="V2011" s="57"/>
      <c r="W2011" s="57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</row>
    <row r="2012" spans="1:36" ht="11.25" customHeight="1" x14ac:dyDescent="0.2">
      <c r="A2012" s="53" t="s">
        <v>56</v>
      </c>
      <c r="B2012" s="53" t="s">
        <v>47</v>
      </c>
      <c r="C2012" s="53" t="s">
        <v>23</v>
      </c>
      <c r="D2012" s="53" t="s">
        <v>48</v>
      </c>
      <c r="E2012" s="53" t="s">
        <v>49</v>
      </c>
      <c r="F2012" s="53" t="s">
        <v>25</v>
      </c>
      <c r="G2012" s="53" t="s">
        <v>25</v>
      </c>
      <c r="H2012" s="53" t="s">
        <v>25</v>
      </c>
      <c r="I2012" s="75">
        <v>44652</v>
      </c>
      <c r="J2012" s="76">
        <f>EFEITO!$J$2012*EFEITO!$Y$2012</f>
        <v>0</v>
      </c>
      <c r="K2012" s="76">
        <f ca="1">EFEITO!$L$2012*EFEITO!$Z$2012</f>
        <v>1999.2309320069428</v>
      </c>
      <c r="L2012" s="76">
        <f>EFEITO!$N$2012*EFEITO!$AA$2012</f>
        <v>1216.2362784585496</v>
      </c>
      <c r="M2012" s="76">
        <f>$J$2012-EFEITO!$K$2012*EFEITO!$Y$2012</f>
        <v>0</v>
      </c>
      <c r="N2012" s="76">
        <f ca="1">$K$2012-EFEITO!$M$2012*EFEITO!$Z$2012</f>
        <v>0</v>
      </c>
      <c r="O2012" s="76">
        <f>$L$2012-EFEITO!$O$2012*EFEITO!$AA$2012</f>
        <v>0</v>
      </c>
      <c r="P2012" s="57"/>
      <c r="Q2012" s="57"/>
      <c r="R2012" s="57"/>
      <c r="S2012" s="57"/>
      <c r="T2012" s="57"/>
      <c r="U2012" s="57"/>
      <c r="V2012" s="57"/>
      <c r="W2012" s="57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EE358-4E25-4D56-8FA2-7573C081790F}">
  <dimension ref="A1:BD125"/>
  <sheetViews>
    <sheetView showGridLines="0" topLeftCell="B40" workbookViewId="0">
      <selection activeCell="L64" sqref="L64:BD125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21.7109375" style="9" bestFit="1" customWidth="1"/>
    <col min="16" max="16" width="4.42578125" style="9" bestFit="1" customWidth="1"/>
    <col min="17" max="18" width="10.85546875" style="9" bestFit="1" customWidth="1"/>
    <col min="19" max="19" width="8.7109375" style="9" bestFit="1" customWidth="1"/>
    <col min="20" max="21" width="10.85546875" style="9" bestFit="1" customWidth="1"/>
    <col min="22" max="22" width="10" style="9" bestFit="1" customWidth="1"/>
    <col min="23" max="23" width="9.85546875" style="9" bestFit="1" customWidth="1"/>
    <col min="24" max="24" width="10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.7109375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10.85546875" style="9" bestFit="1" customWidth="1"/>
    <col min="34" max="34" width="9.140625" style="9"/>
    <col min="35" max="35" width="13.42578125" style="9" bestFit="1" customWidth="1"/>
    <col min="36" max="37" width="10" style="9" bestFit="1" customWidth="1"/>
    <col min="38" max="38" width="21.7109375" style="9" bestFit="1" customWidth="1"/>
    <col min="39" max="39" width="4.42578125" style="9" bestFit="1" customWidth="1"/>
    <col min="40" max="41" width="10.85546875" style="9" bestFit="1" customWidth="1"/>
    <col min="42" max="42" width="8.7109375" style="9" bestFit="1" customWidth="1"/>
    <col min="43" max="44" width="10.85546875" style="9" bestFit="1" customWidth="1"/>
    <col min="45" max="45" width="10" style="9" bestFit="1" customWidth="1"/>
    <col min="46" max="46" width="9.85546875" style="9" bestFit="1" customWidth="1"/>
    <col min="47" max="47" width="10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.7109375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10.85546875" style="9" bestFit="1" customWidth="1"/>
    <col min="57" max="16384" width="9.140625" style="9"/>
  </cols>
  <sheetData>
    <row r="1" spans="1:56" ht="11.25" customHeight="1" x14ac:dyDescent="0.25">
      <c r="A1" s="132" t="s">
        <v>80</v>
      </c>
      <c r="B1" s="132" t="s">
        <v>81</v>
      </c>
      <c r="C1" s="132" t="s">
        <v>82</v>
      </c>
      <c r="D1" s="132" t="s">
        <v>83</v>
      </c>
      <c r="E1" s="132" t="s">
        <v>84</v>
      </c>
      <c r="F1" s="132" t="s">
        <v>15</v>
      </c>
      <c r="G1" s="132" t="s">
        <v>86</v>
      </c>
      <c r="H1" s="132" t="s">
        <v>87</v>
      </c>
      <c r="I1" s="132" t="s">
        <v>854</v>
      </c>
      <c r="J1" s="130"/>
      <c r="L1" s="133" t="s">
        <v>1058</v>
      </c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I1" s="133" t="s">
        <v>1059</v>
      </c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</row>
    <row r="2" spans="1:56" ht="11.25" customHeight="1" x14ac:dyDescent="0.25">
      <c r="A2" s="132"/>
      <c r="B2" s="132"/>
      <c r="C2" s="132"/>
      <c r="D2" s="132"/>
      <c r="E2" s="132"/>
      <c r="F2" s="132"/>
      <c r="G2" s="132"/>
      <c r="H2" s="132"/>
      <c r="I2" s="132"/>
      <c r="J2" s="130"/>
      <c r="L2" s="133" t="s">
        <v>754</v>
      </c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I2" s="133" t="s">
        <v>754</v>
      </c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</row>
    <row r="3" spans="1:56" ht="11.25" customHeight="1" x14ac:dyDescent="0.25">
      <c r="A3" s="132"/>
      <c r="B3" s="132"/>
      <c r="C3" s="132"/>
      <c r="D3" s="132"/>
      <c r="E3" s="132"/>
      <c r="F3" s="132"/>
      <c r="G3" s="132"/>
      <c r="H3" s="132"/>
      <c r="I3" s="132"/>
      <c r="J3" s="130"/>
      <c r="L3" s="133" t="s">
        <v>755</v>
      </c>
      <c r="M3" s="133"/>
      <c r="N3" s="133"/>
      <c r="O3" s="133"/>
      <c r="P3" s="133"/>
      <c r="Q3" s="133"/>
      <c r="R3" s="133"/>
      <c r="S3" s="133"/>
      <c r="T3" s="133" t="s">
        <v>764</v>
      </c>
      <c r="U3" s="133"/>
      <c r="V3" s="133"/>
      <c r="W3" s="133"/>
      <c r="X3" s="133"/>
      <c r="Y3" s="133"/>
      <c r="Z3" s="133"/>
      <c r="AA3" s="80" t="s">
        <v>772</v>
      </c>
      <c r="AB3" s="133" t="s">
        <v>774</v>
      </c>
      <c r="AC3" s="133"/>
      <c r="AD3" s="133" t="s">
        <v>777</v>
      </c>
      <c r="AE3" s="133"/>
      <c r="AF3" s="133"/>
      <c r="AG3" s="133"/>
      <c r="AI3" s="133" t="s">
        <v>755</v>
      </c>
      <c r="AJ3" s="133"/>
      <c r="AK3" s="133"/>
      <c r="AL3" s="133"/>
      <c r="AM3" s="133"/>
      <c r="AN3" s="133"/>
      <c r="AO3" s="133"/>
      <c r="AP3" s="133"/>
      <c r="AQ3" s="133" t="s">
        <v>764</v>
      </c>
      <c r="AR3" s="133"/>
      <c r="AS3" s="133"/>
      <c r="AT3" s="133"/>
      <c r="AU3" s="133"/>
      <c r="AV3" s="133"/>
      <c r="AW3" s="133"/>
      <c r="AX3" s="80" t="s">
        <v>772</v>
      </c>
      <c r="AY3" s="133" t="s">
        <v>774</v>
      </c>
      <c r="AZ3" s="133"/>
      <c r="BA3" s="133" t="s">
        <v>777</v>
      </c>
      <c r="BB3" s="133"/>
      <c r="BC3" s="133"/>
      <c r="BD3" s="133"/>
    </row>
    <row r="4" spans="1:56" ht="11.25" customHeight="1" x14ac:dyDescent="0.25">
      <c r="A4" s="132"/>
      <c r="B4" s="132"/>
      <c r="C4" s="132"/>
      <c r="D4" s="132"/>
      <c r="E4" s="132"/>
      <c r="F4" s="132"/>
      <c r="G4" s="132"/>
      <c r="H4" s="132"/>
      <c r="I4" s="132"/>
      <c r="J4" s="130"/>
      <c r="L4" s="80" t="s">
        <v>839</v>
      </c>
      <c r="M4" s="80" t="s">
        <v>756</v>
      </c>
      <c r="N4" s="80" t="s">
        <v>757</v>
      </c>
      <c r="O4" s="80" t="s">
        <v>758</v>
      </c>
      <c r="P4" s="80" t="s">
        <v>759</v>
      </c>
      <c r="Q4" s="80" t="s">
        <v>760</v>
      </c>
      <c r="R4" s="80" t="s">
        <v>761</v>
      </c>
      <c r="S4" s="80" t="s">
        <v>762</v>
      </c>
      <c r="T4" s="80" t="s">
        <v>765</v>
      </c>
      <c r="U4" s="80" t="s">
        <v>766</v>
      </c>
      <c r="V4" s="80" t="s">
        <v>767</v>
      </c>
      <c r="W4" s="80" t="s">
        <v>768</v>
      </c>
      <c r="X4" s="80" t="s">
        <v>769</v>
      </c>
      <c r="Y4" s="80" t="s">
        <v>770</v>
      </c>
      <c r="Z4" s="80" t="s">
        <v>771</v>
      </c>
      <c r="AA4" s="80" t="s">
        <v>773</v>
      </c>
      <c r="AB4" s="80" t="s">
        <v>775</v>
      </c>
      <c r="AC4" s="80" t="s">
        <v>776</v>
      </c>
      <c r="AD4" s="80" t="s">
        <v>778</v>
      </c>
      <c r="AE4" s="80" t="s">
        <v>779</v>
      </c>
      <c r="AF4" s="80" t="s">
        <v>780</v>
      </c>
      <c r="AG4" s="80" t="s">
        <v>781</v>
      </c>
      <c r="AI4" s="80" t="s">
        <v>839</v>
      </c>
      <c r="AJ4" s="80" t="s">
        <v>756</v>
      </c>
      <c r="AK4" s="80" t="s">
        <v>757</v>
      </c>
      <c r="AL4" s="80" t="s">
        <v>758</v>
      </c>
      <c r="AM4" s="80" t="s">
        <v>759</v>
      </c>
      <c r="AN4" s="80" t="s">
        <v>760</v>
      </c>
      <c r="AO4" s="80" t="s">
        <v>761</v>
      </c>
      <c r="AP4" s="80" t="s">
        <v>762</v>
      </c>
      <c r="AQ4" s="80" t="s">
        <v>765</v>
      </c>
      <c r="AR4" s="80" t="s">
        <v>766</v>
      </c>
      <c r="AS4" s="80" t="s">
        <v>767</v>
      </c>
      <c r="AT4" s="80" t="s">
        <v>768</v>
      </c>
      <c r="AU4" s="80" t="s">
        <v>769</v>
      </c>
      <c r="AV4" s="80" t="s">
        <v>770</v>
      </c>
      <c r="AW4" s="80" t="s">
        <v>771</v>
      </c>
      <c r="AX4" s="80" t="s">
        <v>773</v>
      </c>
      <c r="AY4" s="80" t="s">
        <v>775</v>
      </c>
      <c r="AZ4" s="80" t="s">
        <v>776</v>
      </c>
      <c r="BA4" s="80" t="s">
        <v>778</v>
      </c>
      <c r="BB4" s="80" t="s">
        <v>779</v>
      </c>
      <c r="BC4" s="80" t="s">
        <v>780</v>
      </c>
      <c r="BD4" s="80" t="s">
        <v>781</v>
      </c>
    </row>
    <row r="5" spans="1:56" ht="11.25" customHeight="1" x14ac:dyDescent="0.25">
      <c r="A5" s="136" t="s">
        <v>41</v>
      </c>
      <c r="B5" s="136" t="s">
        <v>42</v>
      </c>
      <c r="C5" s="136" t="s">
        <v>25</v>
      </c>
      <c r="D5" s="136" t="s">
        <v>25</v>
      </c>
      <c r="E5" s="136" t="s">
        <v>25</v>
      </c>
      <c r="F5" s="136" t="s">
        <v>25</v>
      </c>
      <c r="G5" s="21" t="s">
        <v>94</v>
      </c>
      <c r="H5" s="21" t="s">
        <v>93</v>
      </c>
      <c r="I5" s="21">
        <f>'MERCADO TUSD'!$U$2</f>
        <v>1039543</v>
      </c>
      <c r="J5" s="17"/>
      <c r="L5" s="79">
        <f>('TUSD BE'!$L$5+'TUSD BF'!$L$5+'TUSD CVA'!$L$5)*1</f>
        <v>0</v>
      </c>
      <c r="M5" s="79">
        <f>('TUSD BE'!$M$5+'TUSD BF'!$M$5+'TUSD CVA'!$M$5)*1</f>
        <v>0</v>
      </c>
      <c r="N5" s="79">
        <f ca="1">('TUSD BE'!$N$5+'TUSD BF'!$N$5+'TUSD CVA'!$N$5)*1</f>
        <v>0</v>
      </c>
      <c r="O5" s="79">
        <f>('TUSD BE'!$O$5+'TUSD BF'!$O$5+'TUSD CVA'!$O$5)*1</f>
        <v>0</v>
      </c>
      <c r="P5" s="79">
        <f>('TUSD BE'!$P$5+'TUSD BF'!$P$5+'TUSD CVA'!$P$5)*1</f>
        <v>0</v>
      </c>
      <c r="Q5" s="79">
        <f>('TUSD BE'!$Q$5+'TUSD BF'!$Q$5+'TUSD CVA'!$Q$5)*1</f>
        <v>0</v>
      </c>
      <c r="R5" s="79">
        <f>('TUSD BE'!$R$5+'TUSD BF'!$R$5+'TUSD CVA'!$R$5)*1</f>
        <v>0</v>
      </c>
      <c r="S5" s="79">
        <f>('TUSD BE'!$S$5+'TUSD BF'!$S$5+'TUSD CVA'!$S$5)*1</f>
        <v>0</v>
      </c>
      <c r="T5" s="79">
        <f>('TUSD BE'!$U$5+'TUSD BF'!$U$5+'TUSD CVA'!$U$5)*1</f>
        <v>12.700734610719813</v>
      </c>
      <c r="U5" s="79">
        <f>('TUSD BE'!$V$5+'TUSD BF'!$V$5+'TUSD CVA'!$V$5)*1</f>
        <v>3.2396131386939557</v>
      </c>
      <c r="V5" s="79">
        <f>('TUSD BE'!$W$5+'TUSD BF'!$W$5+'TUSD CVA'!$W$5)*1</f>
        <v>0.88633452751432551</v>
      </c>
      <c r="W5" s="79">
        <f>('TUSD BE'!$X$5+'TUSD BF'!$X$5+'TUSD CVA'!$X$5)*1</f>
        <v>0</v>
      </c>
      <c r="X5" s="79">
        <f>('TUSD BE'!$Y$5+'TUSD BF'!$Y$5+'TUSD CVA'!$Y$5)*1</f>
        <v>0.26520131509403627</v>
      </c>
      <c r="Y5" s="79">
        <f>('TUSD BE'!$Z$5+'TUSD BF'!$Z$5+'TUSD CVA'!$Z$5)*1</f>
        <v>0</v>
      </c>
      <c r="Z5" s="79">
        <f>('TUSD BE'!$AA$5+'TUSD BF'!$AA$5+'TUSD CVA'!$AA$5)*1</f>
        <v>0</v>
      </c>
      <c r="AA5" s="79">
        <f>('TUSD BE'!$AC$5+'TUSD BF'!$AC$5+'TUSD CVA'!$AC$5)*1</f>
        <v>13.201534655235463</v>
      </c>
      <c r="AB5" s="79">
        <f ca="1">('TUSD BE'!$AE$5+'TUSD BF'!$AE$5+'TUSD CVA'!$AE$5)*1</f>
        <v>4.3877217293094836E-2</v>
      </c>
      <c r="AC5" s="79">
        <f ca="1">('TUSD BE'!$AF$5+'TUSD BF'!$AF$5+'TUSD CVA'!$AF$5)*1</f>
        <v>0</v>
      </c>
      <c r="AD5" s="79">
        <f>('TUSD BE'!$AH$5+'TUSD BF'!$AH$5+'TUSD CVA'!$AH$5)*1</f>
        <v>0</v>
      </c>
      <c r="AE5" s="79">
        <f>('TUSD BE'!$AI$5+'TUSD BF'!$AI$5+'TUSD CVA'!$AI$5)*1</f>
        <v>0</v>
      </c>
      <c r="AF5" s="79">
        <f ca="1">('TUSD BE'!$AJ$5+'TUSD BF'!$AJ$5+'TUSD CVA'!$AJ$5)*1</f>
        <v>0</v>
      </c>
      <c r="AG5" s="79">
        <f ca="1">('TUSD BE'!$AK$5+'TUSD BF'!$AK$5+'TUSD CVA'!$AK$5)*1</f>
        <v>0</v>
      </c>
      <c r="AI5" s="79">
        <v>0</v>
      </c>
      <c r="AJ5" s="79">
        <v>0</v>
      </c>
      <c r="AK5" s="79">
        <v>0</v>
      </c>
      <c r="AL5" s="79">
        <v>0</v>
      </c>
      <c r="AM5" s="79">
        <v>0</v>
      </c>
      <c r="AN5" s="79">
        <v>0</v>
      </c>
      <c r="AO5" s="79">
        <v>0</v>
      </c>
      <c r="AP5" s="79">
        <v>0</v>
      </c>
      <c r="AQ5" s="79">
        <v>12.1881707020378</v>
      </c>
      <c r="AR5" s="79">
        <v>4.5158559907483902</v>
      </c>
      <c r="AS5" s="79">
        <v>0.92081866501205101</v>
      </c>
      <c r="AT5" s="79">
        <v>0</v>
      </c>
      <c r="AU5" s="79">
        <v>0.295871601297304</v>
      </c>
      <c r="AV5" s="79">
        <v>0</v>
      </c>
      <c r="AW5" s="79">
        <v>0</v>
      </c>
      <c r="AX5" s="79">
        <v>11.0141598634463</v>
      </c>
      <c r="AY5" s="79">
        <v>-2.4774367333737701</v>
      </c>
      <c r="AZ5" s="79">
        <v>0</v>
      </c>
      <c r="BA5" s="79">
        <v>0</v>
      </c>
      <c r="BB5" s="79">
        <v>0</v>
      </c>
      <c r="BC5" s="79">
        <v>0</v>
      </c>
      <c r="BD5" s="79">
        <v>0</v>
      </c>
    </row>
    <row r="6" spans="1:56" ht="11.25" customHeight="1" x14ac:dyDescent="0.25">
      <c r="A6" s="136"/>
      <c r="B6" s="136"/>
      <c r="C6" s="136"/>
      <c r="D6" s="136"/>
      <c r="E6" s="136"/>
      <c r="F6" s="136"/>
      <c r="G6" s="21" t="s">
        <v>95</v>
      </c>
      <c r="H6" s="21" t="s">
        <v>93</v>
      </c>
      <c r="I6" s="21">
        <f>'MERCADO TUSD'!$U$3</f>
        <v>1376546</v>
      </c>
      <c r="J6" s="17"/>
      <c r="L6" s="79">
        <f>('TUSD BE'!$L$6+'TUSD BF'!$L$6+'TUSD CVA'!$L$6)*1</f>
        <v>0</v>
      </c>
      <c r="M6" s="79">
        <f>('TUSD BE'!$M$6+'TUSD BF'!$M$6+'TUSD CVA'!$M$6)*1</f>
        <v>0</v>
      </c>
      <c r="N6" s="79">
        <f ca="1">('TUSD BE'!$N$6+'TUSD BF'!$N$6+'TUSD CVA'!$N$6)*1</f>
        <v>0</v>
      </c>
      <c r="O6" s="79">
        <f>('TUSD BE'!$O$6+'TUSD BF'!$O$6+'TUSD CVA'!$O$6)*1</f>
        <v>0</v>
      </c>
      <c r="P6" s="79">
        <f>('TUSD BE'!$P$6+'TUSD BF'!$P$6+'TUSD CVA'!$P$6)*1</f>
        <v>0</v>
      </c>
      <c r="Q6" s="79">
        <f>('TUSD BE'!$Q$6+'TUSD BF'!$Q$6+'TUSD CVA'!$Q$6)*1</f>
        <v>0</v>
      </c>
      <c r="R6" s="79">
        <f>('TUSD BE'!$R$6+'TUSD BF'!$R$6+'TUSD CVA'!$R$6)*1</f>
        <v>0</v>
      </c>
      <c r="S6" s="79">
        <f>('TUSD BE'!$S$6+'TUSD BF'!$S$6+'TUSD CVA'!$S$6)*1</f>
        <v>0</v>
      </c>
      <c r="T6" s="79">
        <f>('TUSD BE'!$U$6+'TUSD BF'!$U$6+'TUSD CVA'!$U$6)*1</f>
        <v>11.20936449421631</v>
      </c>
      <c r="U6" s="79">
        <f>('TUSD BE'!$V$6+'TUSD BF'!$V$6+'TUSD CVA'!$V$6)*1</f>
        <v>2.8695319480684054</v>
      </c>
      <c r="V6" s="79">
        <f>('TUSD BE'!$W$6+'TUSD BF'!$W$6+'TUSD CVA'!$W$6)*1</f>
        <v>0.80012011004541028</v>
      </c>
      <c r="W6" s="79">
        <f>('TUSD BE'!$X$6+'TUSD BF'!$X$6+'TUSD CVA'!$X$6)*1</f>
        <v>0</v>
      </c>
      <c r="X6" s="79">
        <f>('TUSD BE'!$Y$6+'TUSD BF'!$Y$6+'TUSD CVA'!$Y$6)*1</f>
        <v>0.11908343487315505</v>
      </c>
      <c r="Y6" s="79">
        <f>('TUSD BE'!$Z$6+'TUSD BF'!$Z$6+'TUSD CVA'!$Z$6)*1</f>
        <v>0</v>
      </c>
      <c r="Z6" s="79">
        <f>('TUSD BE'!$AA$6+'TUSD BF'!$AA$6+'TUSD CVA'!$AA$6)*1</f>
        <v>0</v>
      </c>
      <c r="AA6" s="79">
        <f>('TUSD BE'!$AC$6+'TUSD BF'!$AC$6+'TUSD CVA'!$AC$6)*1</f>
        <v>1.3201108372996602</v>
      </c>
      <c r="AB6" s="79">
        <f ca="1">('TUSD BE'!$AE$6+'TUSD BF'!$AE$6+'TUSD CVA'!$AE$6)*1</f>
        <v>2.5665628639662749E-2</v>
      </c>
      <c r="AC6" s="79">
        <f ca="1">('TUSD BE'!$AF$6+'TUSD BF'!$AF$6+'TUSD CVA'!$AF$6)*1</f>
        <v>0</v>
      </c>
      <c r="AD6" s="79">
        <f>('TUSD BE'!$AH$6+'TUSD BF'!$AH$6+'TUSD CVA'!$AH$6)*1</f>
        <v>0</v>
      </c>
      <c r="AE6" s="79">
        <f>('TUSD BE'!$AI$6+'TUSD BF'!$AI$6+'TUSD CVA'!$AI$6)*1</f>
        <v>0</v>
      </c>
      <c r="AF6" s="79">
        <f ca="1">('TUSD BE'!$AJ$6+'TUSD BF'!$AJ$6+'TUSD CVA'!$AJ$6)*1</f>
        <v>0</v>
      </c>
      <c r="AG6" s="79">
        <f ca="1">('TUSD BE'!$AK$6+'TUSD BF'!$AK$6+'TUSD CVA'!$AK$6)*1</f>
        <v>0</v>
      </c>
      <c r="AI6" s="79">
        <v>0</v>
      </c>
      <c r="AJ6" s="79">
        <v>0</v>
      </c>
      <c r="AK6" s="79">
        <v>0</v>
      </c>
      <c r="AL6" s="79">
        <v>0</v>
      </c>
      <c r="AM6" s="79">
        <v>0</v>
      </c>
      <c r="AN6" s="79">
        <v>0</v>
      </c>
      <c r="AO6" s="79">
        <v>0</v>
      </c>
      <c r="AP6" s="79">
        <v>0</v>
      </c>
      <c r="AQ6" s="79">
        <v>10.7569878518332</v>
      </c>
      <c r="AR6" s="79">
        <v>3.9999816285325802</v>
      </c>
      <c r="AS6" s="79">
        <v>0.83124994988915402</v>
      </c>
      <c r="AT6" s="79">
        <v>0</v>
      </c>
      <c r="AU6" s="79">
        <v>0.132855323705353</v>
      </c>
      <c r="AV6" s="79">
        <v>0</v>
      </c>
      <c r="AW6" s="79">
        <v>0</v>
      </c>
      <c r="AX6" s="79">
        <v>1.1013804212315701</v>
      </c>
      <c r="AY6" s="79">
        <v>-1.5905768169113199</v>
      </c>
      <c r="AZ6" s="79">
        <v>0</v>
      </c>
      <c r="BA6" s="79">
        <v>0</v>
      </c>
      <c r="BB6" s="79">
        <v>0</v>
      </c>
      <c r="BC6" s="79">
        <v>0</v>
      </c>
      <c r="BD6" s="79">
        <v>0</v>
      </c>
    </row>
    <row r="7" spans="1:56" ht="11.25" customHeight="1" x14ac:dyDescent="0.25">
      <c r="A7" s="136"/>
      <c r="B7" s="136"/>
      <c r="C7" s="136"/>
      <c r="D7" s="136"/>
      <c r="E7" s="136"/>
      <c r="F7" s="136"/>
      <c r="G7" s="21" t="s">
        <v>96</v>
      </c>
      <c r="H7" s="21" t="s">
        <v>90</v>
      </c>
      <c r="I7" s="21">
        <f>'MERCADO TUSD'!$U$4</f>
        <v>455785.89300000004</v>
      </c>
      <c r="J7" s="17"/>
      <c r="L7" s="79">
        <f>('TUSD BE'!$L$7+'TUSD BF'!$L$7+'TUSD CVA'!$L$7)*1</f>
        <v>6.4044727458683015</v>
      </c>
      <c r="M7" s="79">
        <f>('TUSD BE'!$M$7+'TUSD BF'!$M$7+'TUSD CVA'!$M$7)*1</f>
        <v>0.1009870104065391</v>
      </c>
      <c r="N7" s="79">
        <f ca="1">('TUSD BE'!$N$7+'TUSD BF'!$N$7+'TUSD CVA'!$N$7)*1</f>
        <v>0.50181957183389647</v>
      </c>
      <c r="O7" s="79">
        <f>('TUSD BE'!$O$7+'TUSD BF'!$O$7+'TUSD CVA'!$O$7)*1</f>
        <v>-1.5285559498368537E-3</v>
      </c>
      <c r="P7" s="79">
        <f>('TUSD BE'!$P$7+'TUSD BF'!$P$7+'TUSD CVA'!$P$7)*1</f>
        <v>0</v>
      </c>
      <c r="Q7" s="79">
        <f>('TUSD BE'!$Q$7+'TUSD BF'!$Q$7+'TUSD CVA'!$Q$7)*1</f>
        <v>25.208009084806324</v>
      </c>
      <c r="R7" s="79">
        <f>('TUSD BE'!$R$7+'TUSD BF'!$R$7+'TUSD CVA'!$R$7)*1</f>
        <v>16.690821434365507</v>
      </c>
      <c r="S7" s="79">
        <f>('TUSD BE'!$S$7+'TUSD BF'!$S$7+'TUSD CVA'!$S$7)*1</f>
        <v>0</v>
      </c>
      <c r="T7" s="79">
        <f>('TUSD BE'!$U$7+'TUSD BF'!$U$7+'TUSD CVA'!$U$7)*1</f>
        <v>0</v>
      </c>
      <c r="U7" s="79">
        <f>('TUSD BE'!$V$7+'TUSD BF'!$V$7+'TUSD CVA'!$V$7)*1</f>
        <v>0</v>
      </c>
      <c r="V7" s="79">
        <f>('TUSD BE'!$W$7+'TUSD BF'!$W$7+'TUSD CVA'!$W$7)*1</f>
        <v>0</v>
      </c>
      <c r="W7" s="79">
        <f>('TUSD BE'!$X$7+'TUSD BF'!$X$7+'TUSD CVA'!$X$7)*1</f>
        <v>0</v>
      </c>
      <c r="X7" s="79">
        <f>('TUSD BE'!$Y$7+'TUSD BF'!$Y$7+'TUSD CVA'!$Y$7)*1</f>
        <v>0</v>
      </c>
      <c r="Y7" s="79">
        <f>('TUSD BE'!$Z$7+'TUSD BF'!$Z$7+'TUSD CVA'!$Z$7)*1</f>
        <v>0</v>
      </c>
      <c r="Z7" s="79">
        <f>('TUSD BE'!$AA$7+'TUSD BF'!$AA$7+'TUSD CVA'!$AA$7)*1</f>
        <v>0</v>
      </c>
      <c r="AA7" s="79">
        <f>('TUSD BE'!$AC$7+'TUSD BF'!$AC$7+'TUSD CVA'!$AC$7)*1</f>
        <v>0</v>
      </c>
      <c r="AB7" s="79">
        <f ca="1">('TUSD BE'!$AE$7+'TUSD BF'!$AE$7+'TUSD CVA'!$AE$7)*1</f>
        <v>9.2364786036486152E-2</v>
      </c>
      <c r="AC7" s="79">
        <f ca="1">('TUSD BE'!$AF$7+'TUSD BF'!$AF$7+'TUSD CVA'!$AF$7)*1</f>
        <v>0</v>
      </c>
      <c r="AD7" s="79">
        <f>('TUSD BE'!$AH$7+'TUSD BF'!$AH$7+'TUSD CVA'!$AH$7)*1</f>
        <v>7.3729816745017844</v>
      </c>
      <c r="AE7" s="79">
        <f>('TUSD BE'!$AI$7+'TUSD BF'!$AI$7+'TUSD CVA'!$AI$7)*1</f>
        <v>0.42575071248985547</v>
      </c>
      <c r="AF7" s="79">
        <f ca="1">('TUSD BE'!$AJ$7+'TUSD BF'!$AJ$7+'TUSD CVA'!$AJ$7)*1</f>
        <v>14.670229474742195</v>
      </c>
      <c r="AG7" s="79">
        <f ca="1">('TUSD BE'!$AK$7+'TUSD BF'!$AK$7+'TUSD CVA'!$AK$7)*1</f>
        <v>4.7775685638566197</v>
      </c>
      <c r="AI7" s="79">
        <v>0</v>
      </c>
      <c r="AJ7" s="79">
        <v>7.2003811116699803E-2</v>
      </c>
      <c r="AK7" s="79">
        <v>0.38942733919701</v>
      </c>
      <c r="AL7" s="79">
        <v>-1.34746813487984E-3</v>
      </c>
      <c r="AM7" s="79">
        <v>0</v>
      </c>
      <c r="AN7" s="79">
        <v>16.847092865720199</v>
      </c>
      <c r="AO7" s="79">
        <v>16.006661772939498</v>
      </c>
      <c r="AP7" s="79">
        <v>0</v>
      </c>
      <c r="AQ7" s="79">
        <v>0</v>
      </c>
      <c r="AR7" s="79">
        <v>0</v>
      </c>
      <c r="AS7" s="79">
        <v>0</v>
      </c>
      <c r="AT7" s="79">
        <v>0</v>
      </c>
      <c r="AU7" s="79">
        <v>0</v>
      </c>
      <c r="AV7" s="79">
        <v>0</v>
      </c>
      <c r="AW7" s="79">
        <v>0</v>
      </c>
      <c r="AX7" s="79">
        <v>0</v>
      </c>
      <c r="AY7" s="79">
        <v>-4.2704842409420296</v>
      </c>
      <c r="AZ7" s="79">
        <v>0</v>
      </c>
      <c r="BA7" s="79">
        <v>6.5386970063097598</v>
      </c>
      <c r="BB7" s="79">
        <v>0.34189779827901801</v>
      </c>
      <c r="BC7" s="79">
        <v>13.086045104600201</v>
      </c>
      <c r="BD7" s="79">
        <v>3.3943183898145399</v>
      </c>
    </row>
    <row r="8" spans="1:56" ht="11.25" customHeight="1" x14ac:dyDescent="0.25">
      <c r="A8" s="136"/>
      <c r="B8" s="136"/>
      <c r="C8" s="136"/>
      <c r="D8" s="136"/>
      <c r="E8" s="81" t="s">
        <v>58</v>
      </c>
      <c r="F8" s="81" t="s">
        <v>25</v>
      </c>
      <c r="G8" s="21" t="s">
        <v>96</v>
      </c>
      <c r="H8" s="21" t="s">
        <v>90</v>
      </c>
      <c r="I8" s="21">
        <f>'MERCADO TUSD'!$U$5</f>
        <v>80167.627000000008</v>
      </c>
      <c r="J8" s="17"/>
      <c r="L8" s="79">
        <f>('TUSD BE'!$L$8+'TUSD BF'!$L$8+'TUSD CVA'!$L$8)*1</f>
        <v>0</v>
      </c>
      <c r="M8" s="79">
        <f>('TUSD BE'!$M$8+'TUSD BF'!$M$8+'TUSD CVA'!$M$8)*1</f>
        <v>0.1009870104065391</v>
      </c>
      <c r="N8" s="79">
        <f ca="1">('TUSD BE'!$N$8+'TUSD BF'!$N$8+'TUSD CVA'!$N$8)*1</f>
        <v>0.49032667439787719</v>
      </c>
      <c r="O8" s="79">
        <f>('TUSD BE'!$O$8+'TUSD BF'!$O$8+'TUSD CVA'!$O$8)*1</f>
        <v>-1.5285559498368537E-3</v>
      </c>
      <c r="P8" s="79">
        <f>('TUSD BE'!$P$8+'TUSD BF'!$P$8+'TUSD CVA'!$P$8)*1</f>
        <v>0</v>
      </c>
      <c r="Q8" s="79">
        <f>('TUSD BE'!$Q$8+'TUSD BF'!$Q$8+'TUSD CVA'!$Q$8)*1</f>
        <v>0</v>
      </c>
      <c r="R8" s="79">
        <f>('TUSD BE'!$R$8+'TUSD BF'!$R$8+'TUSD CVA'!$R$8)*1</f>
        <v>0</v>
      </c>
      <c r="S8" s="79">
        <f>('TUSD BE'!$S$8+'TUSD BF'!$S$8+'TUSD CVA'!$S$8)*1</f>
        <v>0</v>
      </c>
      <c r="T8" s="79">
        <f>('TUSD BE'!$U$8+'TUSD BF'!$U$8+'TUSD CVA'!$U$8)*1</f>
        <v>0</v>
      </c>
      <c r="U8" s="79">
        <f>('TUSD BE'!$V$8+'TUSD BF'!$V$8+'TUSD CVA'!$V$8)*1</f>
        <v>0</v>
      </c>
      <c r="V8" s="79">
        <f>('TUSD BE'!$W$8+'TUSD BF'!$W$8+'TUSD CVA'!$W$8)*1</f>
        <v>0</v>
      </c>
      <c r="W8" s="79">
        <f>('TUSD BE'!$X$8+'TUSD BF'!$X$8+'TUSD CVA'!$X$8)*1</f>
        <v>0</v>
      </c>
      <c r="X8" s="79">
        <f>('TUSD BE'!$Y$8+'TUSD BF'!$Y$8+'TUSD CVA'!$Y$8)*1</f>
        <v>0</v>
      </c>
      <c r="Y8" s="79">
        <f>('TUSD BE'!$Z$8+'TUSD BF'!$Z$8+'TUSD CVA'!$Z$8)*1</f>
        <v>0</v>
      </c>
      <c r="Z8" s="79">
        <f>('TUSD BE'!$AA$8+'TUSD BF'!$AA$8+'TUSD CVA'!$AA$8)*1</f>
        <v>0</v>
      </c>
      <c r="AA8" s="79">
        <f>('TUSD BE'!$AC$8+'TUSD BF'!$AC$8+'TUSD CVA'!$AC$8)*1</f>
        <v>0</v>
      </c>
      <c r="AB8" s="79">
        <f ca="1">('TUSD BE'!$AE$8+'TUSD BF'!$AE$8+'TUSD CVA'!$AE$8)*1</f>
        <v>3.3187209337201512E-2</v>
      </c>
      <c r="AC8" s="79">
        <f ca="1">('TUSD BE'!$AF$8+'TUSD BF'!$AF$8+'TUSD CVA'!$AF$8)*1</f>
        <v>0</v>
      </c>
      <c r="AD8" s="79">
        <f>('TUSD BE'!$AH$8+'TUSD BF'!$AH$8+'TUSD CVA'!$AH$8)*1</f>
        <v>7.3729816745017844</v>
      </c>
      <c r="AE8" s="79">
        <f>('TUSD BE'!$AI$8+'TUSD BF'!$AI$8+'TUSD CVA'!$AI$8)*1</f>
        <v>0.42575071248985547</v>
      </c>
      <c r="AF8" s="79">
        <f ca="1">('TUSD BE'!$AJ$8+'TUSD BF'!$AJ$8+'TUSD CVA'!$AJ$8)*1</f>
        <v>14.670229474742195</v>
      </c>
      <c r="AG8" s="79">
        <f ca="1">('TUSD BE'!$AK$8+'TUSD BF'!$AK$8+'TUSD CVA'!$AK$8)*1</f>
        <v>4.7775685638566197</v>
      </c>
      <c r="AI8" s="79">
        <v>0</v>
      </c>
      <c r="AJ8" s="79">
        <v>7.2003811116699803E-2</v>
      </c>
      <c r="AK8" s="79">
        <v>0.3799002222124</v>
      </c>
      <c r="AL8" s="79">
        <v>-1.34746813487984E-3</v>
      </c>
      <c r="AM8" s="79">
        <v>0</v>
      </c>
      <c r="AN8" s="79">
        <v>0</v>
      </c>
      <c r="AO8" s="79">
        <v>0</v>
      </c>
      <c r="AP8" s="79">
        <v>0</v>
      </c>
      <c r="AQ8" s="79">
        <v>0</v>
      </c>
      <c r="AR8" s="79">
        <v>0</v>
      </c>
      <c r="AS8" s="79">
        <v>0</v>
      </c>
      <c r="AT8" s="79">
        <v>0</v>
      </c>
      <c r="AU8" s="79">
        <v>0</v>
      </c>
      <c r="AV8" s="79">
        <v>0</v>
      </c>
      <c r="AW8" s="79">
        <v>0</v>
      </c>
      <c r="AX8" s="79">
        <v>0</v>
      </c>
      <c r="AY8" s="79">
        <v>-1.6160587740191901</v>
      </c>
      <c r="AZ8" s="79">
        <v>0</v>
      </c>
      <c r="BA8" s="79">
        <v>6.5386970063097598</v>
      </c>
      <c r="BB8" s="79">
        <v>0.34189779827901801</v>
      </c>
      <c r="BC8" s="79">
        <v>13.086045104600201</v>
      </c>
      <c r="BD8" s="79">
        <v>3.3943183898145399</v>
      </c>
    </row>
    <row r="9" spans="1:56" ht="11.25" customHeight="1" x14ac:dyDescent="0.25">
      <c r="A9" s="136"/>
      <c r="B9" s="136" t="s">
        <v>61</v>
      </c>
      <c r="C9" s="136" t="s">
        <v>25</v>
      </c>
      <c r="D9" s="136" t="s">
        <v>25</v>
      </c>
      <c r="E9" s="136" t="s">
        <v>25</v>
      </c>
      <c r="F9" s="136" t="s">
        <v>62</v>
      </c>
      <c r="G9" s="21" t="s">
        <v>94</v>
      </c>
      <c r="H9" s="21" t="s">
        <v>93</v>
      </c>
      <c r="I9" s="21">
        <f>'MERCADO TUSD'!$U$6</f>
        <v>36090</v>
      </c>
      <c r="J9" s="17"/>
      <c r="L9" s="79">
        <f>('TUSD BE'!$L$9+'TUSD BF'!$L$9+'TUSD CVA'!$L$9)*1</f>
        <v>0</v>
      </c>
      <c r="M9" s="79">
        <f>('TUSD BE'!$M$9+'TUSD BF'!$M$9+'TUSD CVA'!$M$9)*1</f>
        <v>0</v>
      </c>
      <c r="N9" s="79">
        <f ca="1">('TUSD BE'!$N$9+'TUSD BF'!$N$9+'TUSD CVA'!$N$9)*1</f>
        <v>0</v>
      </c>
      <c r="O9" s="79">
        <f>('TUSD BE'!$O$9+'TUSD BF'!$O$9+'TUSD CVA'!$O$9)*1</f>
        <v>0</v>
      </c>
      <c r="P9" s="79">
        <f>('TUSD BE'!$P$9+'TUSD BF'!$P$9+'TUSD CVA'!$P$9)*1</f>
        <v>0</v>
      </c>
      <c r="Q9" s="79">
        <f>('TUSD BE'!$Q$9+'TUSD BF'!$Q$9+'TUSD CVA'!$Q$9)*1</f>
        <v>0</v>
      </c>
      <c r="R9" s="79">
        <f>('TUSD BE'!$R$9+'TUSD BF'!$R$9+'TUSD CVA'!$R$9)*1</f>
        <v>0</v>
      </c>
      <c r="S9" s="79">
        <f>('TUSD BE'!$S$9+'TUSD BF'!$S$9+'TUSD CVA'!$S$9)*1</f>
        <v>0</v>
      </c>
      <c r="T9" s="79">
        <f>('TUSD BE'!$U$9+'TUSD BF'!$U$9+'TUSD CVA'!$U$9)*1</f>
        <v>12.700734610719813</v>
      </c>
      <c r="U9" s="79">
        <f>('TUSD BE'!$V$9+'TUSD BF'!$V$9+'TUSD CVA'!$V$9)*1</f>
        <v>3.2396131386939557</v>
      </c>
      <c r="V9" s="79">
        <f>('TUSD BE'!$W$9+'TUSD BF'!$W$9+'TUSD CVA'!$W$9)*1</f>
        <v>0.88633452751432551</v>
      </c>
      <c r="W9" s="79">
        <f>('TUSD BE'!$X$9+'TUSD BF'!$X$9+'TUSD CVA'!$X$9)*1</f>
        <v>0</v>
      </c>
      <c r="X9" s="79">
        <f>('TUSD BE'!$Y$9+'TUSD BF'!$Y$9+'TUSD CVA'!$Y$9)*1</f>
        <v>0.26520131509403627</v>
      </c>
      <c r="Y9" s="79">
        <f>('TUSD BE'!$Z$9+'TUSD BF'!$Z$9+'TUSD CVA'!$Z$9)*1</f>
        <v>0</v>
      </c>
      <c r="Z9" s="79">
        <f>('TUSD BE'!$AA$9+'TUSD BF'!$AA$9+'TUSD CVA'!$AA$9)*1</f>
        <v>0</v>
      </c>
      <c r="AA9" s="79">
        <f>('TUSD BE'!$AC$9+'TUSD BF'!$AC$9+'TUSD CVA'!$AC$9)*1</f>
        <v>13.201534655235463</v>
      </c>
      <c r="AB9" s="79">
        <f>('TUSD BE'!$AE$9+'TUSD BF'!$AE$9+'TUSD CVA'!$AE$9)*1</f>
        <v>0</v>
      </c>
      <c r="AC9" s="79">
        <f ca="1">('TUSD BE'!$AF$9+'TUSD BF'!$AF$9+'TUSD CVA'!$AF$9)*1</f>
        <v>0</v>
      </c>
      <c r="AD9" s="79">
        <f>('TUSD BE'!$AH$9+'TUSD BF'!$AH$9+'TUSD CVA'!$AH$9)*1</f>
        <v>0</v>
      </c>
      <c r="AE9" s="79">
        <f>('TUSD BE'!$AI$9+'TUSD BF'!$AI$9+'TUSD CVA'!$AI$9)*1</f>
        <v>0</v>
      </c>
      <c r="AF9" s="79">
        <f ca="1">('TUSD BE'!$AJ$9+'TUSD BF'!$AJ$9+'TUSD CVA'!$AJ$9)*1</f>
        <v>0</v>
      </c>
      <c r="AG9" s="79">
        <f ca="1">('TUSD BE'!$AK$9+'TUSD BF'!$AK$9+'TUSD CVA'!$AK$9)*1</f>
        <v>0</v>
      </c>
      <c r="AI9" s="79">
        <v>0</v>
      </c>
      <c r="AJ9" s="79">
        <v>0</v>
      </c>
      <c r="AK9" s="79">
        <v>0</v>
      </c>
      <c r="AL9" s="79">
        <v>0</v>
      </c>
      <c r="AM9" s="79">
        <v>0</v>
      </c>
      <c r="AN9" s="79">
        <v>0</v>
      </c>
      <c r="AO9" s="79">
        <v>0</v>
      </c>
      <c r="AP9" s="79">
        <v>0</v>
      </c>
      <c r="AQ9" s="79">
        <v>12.1881707020378</v>
      </c>
      <c r="AR9" s="79">
        <v>4.5158559907483902</v>
      </c>
      <c r="AS9" s="79">
        <v>0.92081866501205101</v>
      </c>
      <c r="AT9" s="79">
        <v>0</v>
      </c>
      <c r="AU9" s="79">
        <v>0.295871601297304</v>
      </c>
      <c r="AV9" s="79">
        <v>0</v>
      </c>
      <c r="AW9" s="79">
        <v>0</v>
      </c>
      <c r="AX9" s="79">
        <v>11.0141598634463</v>
      </c>
      <c r="AY9" s="79">
        <v>0</v>
      </c>
      <c r="AZ9" s="79">
        <v>0</v>
      </c>
      <c r="BA9" s="79">
        <v>0</v>
      </c>
      <c r="BB9" s="79">
        <v>0</v>
      </c>
      <c r="BC9" s="79">
        <v>0</v>
      </c>
      <c r="BD9" s="79">
        <v>0</v>
      </c>
    </row>
    <row r="10" spans="1:56" ht="11.25" customHeight="1" x14ac:dyDescent="0.25">
      <c r="A10" s="136"/>
      <c r="B10" s="136"/>
      <c r="C10" s="136"/>
      <c r="D10" s="136"/>
      <c r="E10" s="136"/>
      <c r="F10" s="136"/>
      <c r="G10" s="21" t="s">
        <v>95</v>
      </c>
      <c r="H10" s="21" t="s">
        <v>93</v>
      </c>
      <c r="I10" s="21">
        <f>'MERCADO TUSD'!$U$7</f>
        <v>36090</v>
      </c>
      <c r="J10" s="17"/>
      <c r="L10" s="79">
        <f>('TUSD BE'!$L$10+'TUSD BF'!$L$10+'TUSD CVA'!$L$10)*1</f>
        <v>0</v>
      </c>
      <c r="M10" s="79">
        <f>('TUSD BE'!$M$10+'TUSD BF'!$M$10+'TUSD CVA'!$M$10)*1</f>
        <v>0</v>
      </c>
      <c r="N10" s="79">
        <f ca="1">('TUSD BE'!$N$10+'TUSD BF'!$N$10+'TUSD CVA'!$N$10)*1</f>
        <v>0</v>
      </c>
      <c r="O10" s="79">
        <f>('TUSD BE'!$O$10+'TUSD BF'!$O$10+'TUSD CVA'!$O$10)*1</f>
        <v>0</v>
      </c>
      <c r="P10" s="79">
        <f>('TUSD BE'!$P$10+'TUSD BF'!$P$10+'TUSD CVA'!$P$10)*1</f>
        <v>0</v>
      </c>
      <c r="Q10" s="79">
        <f>('TUSD BE'!$Q$10+'TUSD BF'!$Q$10+'TUSD CVA'!$Q$10)*1</f>
        <v>0</v>
      </c>
      <c r="R10" s="79">
        <f>('TUSD BE'!$R$10+'TUSD BF'!$R$10+'TUSD CVA'!$R$10)*1</f>
        <v>0</v>
      </c>
      <c r="S10" s="79">
        <f>('TUSD BE'!$S$10+'TUSD BF'!$S$10+'TUSD CVA'!$S$10)*1</f>
        <v>0</v>
      </c>
      <c r="T10" s="79">
        <f>('TUSD BE'!$U$10+'TUSD BF'!$U$10+'TUSD CVA'!$U$10)*1</f>
        <v>11.20936449421631</v>
      </c>
      <c r="U10" s="79">
        <f>('TUSD BE'!$V$10+'TUSD BF'!$V$10+'TUSD CVA'!$V$10)*1</f>
        <v>2.8695319480684054</v>
      </c>
      <c r="V10" s="79">
        <f>('TUSD BE'!$W$10+'TUSD BF'!$W$10+'TUSD CVA'!$W$10)*1</f>
        <v>0.80012011004541028</v>
      </c>
      <c r="W10" s="79">
        <f>('TUSD BE'!$X$10+'TUSD BF'!$X$10+'TUSD CVA'!$X$10)*1</f>
        <v>0</v>
      </c>
      <c r="X10" s="79">
        <f>('TUSD BE'!$Y$10+'TUSD BF'!$Y$10+'TUSD CVA'!$Y$10)*1</f>
        <v>0.11908343487315505</v>
      </c>
      <c r="Y10" s="79">
        <f>('TUSD BE'!$Z$10+'TUSD BF'!$Z$10+'TUSD CVA'!$Z$10)*1</f>
        <v>0</v>
      </c>
      <c r="Z10" s="79">
        <f>('TUSD BE'!$AA$10+'TUSD BF'!$AA$10+'TUSD CVA'!$AA$10)*1</f>
        <v>0</v>
      </c>
      <c r="AA10" s="79">
        <f>('TUSD BE'!$AC$10+'TUSD BF'!$AC$10+'TUSD CVA'!$AC$10)*1</f>
        <v>1.3201108372996602</v>
      </c>
      <c r="AB10" s="79">
        <f>('TUSD BE'!$AE$10+'TUSD BF'!$AE$10+'TUSD CVA'!$AE$10)*1</f>
        <v>0</v>
      </c>
      <c r="AC10" s="79">
        <f ca="1">('TUSD BE'!$AF$10+'TUSD BF'!$AF$10+'TUSD CVA'!$AF$10)*1</f>
        <v>0</v>
      </c>
      <c r="AD10" s="79">
        <f>('TUSD BE'!$AH$10+'TUSD BF'!$AH$10+'TUSD CVA'!$AH$10)*1</f>
        <v>0</v>
      </c>
      <c r="AE10" s="79">
        <f>('TUSD BE'!$AI$10+'TUSD BF'!$AI$10+'TUSD CVA'!$AI$10)*1</f>
        <v>0</v>
      </c>
      <c r="AF10" s="79">
        <f ca="1">('TUSD BE'!$AJ$10+'TUSD BF'!$AJ$10+'TUSD CVA'!$AJ$10)*1</f>
        <v>0</v>
      </c>
      <c r="AG10" s="79">
        <f ca="1">('TUSD BE'!$AK$10+'TUSD BF'!$AK$10+'TUSD CVA'!$AK$10)*1</f>
        <v>0</v>
      </c>
      <c r="AI10" s="79">
        <v>0</v>
      </c>
      <c r="AJ10" s="79">
        <v>0</v>
      </c>
      <c r="AK10" s="79">
        <v>0</v>
      </c>
      <c r="AL10" s="79">
        <v>0</v>
      </c>
      <c r="AM10" s="79">
        <v>0</v>
      </c>
      <c r="AN10" s="79">
        <v>0</v>
      </c>
      <c r="AO10" s="79">
        <v>0</v>
      </c>
      <c r="AP10" s="79">
        <v>0</v>
      </c>
      <c r="AQ10" s="79">
        <v>10.7569878518332</v>
      </c>
      <c r="AR10" s="79">
        <v>3.9999816285325802</v>
      </c>
      <c r="AS10" s="79">
        <v>0.83124994988915402</v>
      </c>
      <c r="AT10" s="79">
        <v>0</v>
      </c>
      <c r="AU10" s="79">
        <v>0.132855323705353</v>
      </c>
      <c r="AV10" s="79">
        <v>0</v>
      </c>
      <c r="AW10" s="79">
        <v>0</v>
      </c>
      <c r="AX10" s="79">
        <v>1.1013804212315701</v>
      </c>
      <c r="AY10" s="79">
        <v>0</v>
      </c>
      <c r="AZ10" s="79">
        <v>0</v>
      </c>
      <c r="BA10" s="79">
        <v>0</v>
      </c>
      <c r="BB10" s="79">
        <v>0</v>
      </c>
      <c r="BC10" s="79">
        <v>0</v>
      </c>
      <c r="BD10" s="79">
        <v>0</v>
      </c>
    </row>
    <row r="11" spans="1:56" ht="11.25" customHeight="1" x14ac:dyDescent="0.25">
      <c r="A11" s="136"/>
      <c r="B11" s="136"/>
      <c r="C11" s="136"/>
      <c r="D11" s="136"/>
      <c r="E11" s="136"/>
      <c r="F11" s="136"/>
      <c r="G11" s="21" t="s">
        <v>96</v>
      </c>
      <c r="H11" s="21" t="s">
        <v>90</v>
      </c>
      <c r="I11" s="21">
        <f>'MERCADO TUSD'!$U$8</f>
        <v>14869.070999999996</v>
      </c>
      <c r="J11" s="17"/>
      <c r="L11" s="79">
        <f>('TUSD BE'!$L$11+'TUSD BF'!$L$11+'TUSD CVA'!$L$11)*1</f>
        <v>0</v>
      </c>
      <c r="M11" s="79">
        <f>('TUSD BE'!$M$11+'TUSD BF'!$M$11+'TUSD CVA'!$M$11)*1</f>
        <v>0</v>
      </c>
      <c r="N11" s="79">
        <f ca="1">('TUSD BE'!$N$11+'TUSD BF'!$N$11+'TUSD CVA'!$N$11)*1</f>
        <v>0</v>
      </c>
      <c r="O11" s="79">
        <f>('TUSD BE'!$O$11+'TUSD BF'!$O$11+'TUSD CVA'!$O$11)*1</f>
        <v>0</v>
      </c>
      <c r="P11" s="79">
        <f>('TUSD BE'!$P$11+'TUSD BF'!$P$11+'TUSD CVA'!$P$11)*1</f>
        <v>0</v>
      </c>
      <c r="Q11" s="79">
        <f>('TUSD BE'!$Q$11+'TUSD BF'!$Q$11+'TUSD CVA'!$Q$11)*1</f>
        <v>0</v>
      </c>
      <c r="R11" s="79">
        <f>('TUSD BE'!$R$11+'TUSD BF'!$R$11+'TUSD CVA'!$R$11)*1</f>
        <v>0</v>
      </c>
      <c r="S11" s="79">
        <f>('TUSD BE'!$S$11+'TUSD BF'!$S$11+'TUSD CVA'!$S$11)*1</f>
        <v>0</v>
      </c>
      <c r="T11" s="79">
        <f>('TUSD BE'!$U$11+'TUSD BF'!$U$11+'TUSD CVA'!$U$11)*1</f>
        <v>0</v>
      </c>
      <c r="U11" s="79">
        <f>('TUSD BE'!$V$11+'TUSD BF'!$V$11+'TUSD CVA'!$V$11)*1</f>
        <v>0</v>
      </c>
      <c r="V11" s="79">
        <f>('TUSD BE'!$W$11+'TUSD BF'!$W$11+'TUSD CVA'!$W$11)*1</f>
        <v>0</v>
      </c>
      <c r="W11" s="79">
        <f>('TUSD BE'!$X$11+'TUSD BF'!$X$11+'TUSD CVA'!$X$11)*1</f>
        <v>0</v>
      </c>
      <c r="X11" s="79">
        <f>('TUSD BE'!$Y$11+'TUSD BF'!$Y$11+'TUSD CVA'!$Y$11)*1</f>
        <v>0</v>
      </c>
      <c r="Y11" s="79">
        <f>('TUSD BE'!$Z$11+'TUSD BF'!$Z$11+'TUSD CVA'!$Z$11)*1</f>
        <v>0</v>
      </c>
      <c r="Z11" s="79">
        <f>('TUSD BE'!$AA$11+'TUSD BF'!$AA$11+'TUSD CVA'!$AA$11)*1</f>
        <v>0</v>
      </c>
      <c r="AA11" s="79">
        <f>('TUSD BE'!$AC$11+'TUSD BF'!$AC$11+'TUSD CVA'!$AC$11)*1</f>
        <v>0</v>
      </c>
      <c r="AB11" s="79">
        <f>('TUSD BE'!$AE$11+'TUSD BF'!$AE$11+'TUSD CVA'!$AE$11)*1</f>
        <v>0</v>
      </c>
      <c r="AC11" s="79">
        <f ca="1">('TUSD BE'!$AF$11+'TUSD BF'!$AF$11+'TUSD CVA'!$AF$11)*1</f>
        <v>0</v>
      </c>
      <c r="AD11" s="79">
        <f>('TUSD BE'!$AH$11+'TUSD BF'!$AH$11+'TUSD CVA'!$AH$11)*1</f>
        <v>7.3729816745017844</v>
      </c>
      <c r="AE11" s="79">
        <f>('TUSD BE'!$AI$11+'TUSD BF'!$AI$11+'TUSD CVA'!$AI$11)*1</f>
        <v>0.42575071248985547</v>
      </c>
      <c r="AF11" s="79">
        <f ca="1">('TUSD BE'!$AJ$11+'TUSD BF'!$AJ$11+'TUSD CVA'!$AJ$11)*1</f>
        <v>0</v>
      </c>
      <c r="AG11" s="79">
        <f ca="1">('TUSD BE'!$AK$11+'TUSD BF'!$AK$11+'TUSD CVA'!$AK$11)*1</f>
        <v>0</v>
      </c>
      <c r="AI11" s="79">
        <v>0</v>
      </c>
      <c r="AJ11" s="79">
        <v>0</v>
      </c>
      <c r="AK11" s="79">
        <v>0</v>
      </c>
      <c r="AL11" s="79">
        <v>0</v>
      </c>
      <c r="AM11" s="79">
        <v>0</v>
      </c>
      <c r="AN11" s="79">
        <v>0</v>
      </c>
      <c r="AO11" s="79">
        <v>0</v>
      </c>
      <c r="AP11" s="79">
        <v>0</v>
      </c>
      <c r="AQ11" s="79">
        <v>0</v>
      </c>
      <c r="AR11" s="79">
        <v>0</v>
      </c>
      <c r="AS11" s="79">
        <v>0</v>
      </c>
      <c r="AT11" s="79">
        <v>0</v>
      </c>
      <c r="AU11" s="79">
        <v>0</v>
      </c>
      <c r="AV11" s="79">
        <v>0</v>
      </c>
      <c r="AW11" s="79">
        <v>0</v>
      </c>
      <c r="AX11" s="79">
        <v>0</v>
      </c>
      <c r="AY11" s="79">
        <v>0</v>
      </c>
      <c r="AZ11" s="79">
        <v>0</v>
      </c>
      <c r="BA11" s="79">
        <v>6.5386970063097598</v>
      </c>
      <c r="BB11" s="79">
        <v>0.34189779827901801</v>
      </c>
      <c r="BC11" s="79">
        <v>0</v>
      </c>
      <c r="BD11" s="79">
        <v>0</v>
      </c>
    </row>
    <row r="12" spans="1:56" ht="11.25" customHeight="1" x14ac:dyDescent="0.25">
      <c r="A12" s="136"/>
      <c r="B12" s="81" t="s">
        <v>64</v>
      </c>
      <c r="C12" s="81" t="s">
        <v>25</v>
      </c>
      <c r="D12" s="81" t="s">
        <v>25</v>
      </c>
      <c r="E12" s="81" t="s">
        <v>25</v>
      </c>
      <c r="F12" s="81" t="s">
        <v>25</v>
      </c>
      <c r="G12" s="21" t="s">
        <v>9</v>
      </c>
      <c r="H12" s="21" t="s">
        <v>93</v>
      </c>
      <c r="I12" s="21">
        <f>'MERCADO TUSD'!$U$9</f>
        <v>888226</v>
      </c>
      <c r="J12" s="17"/>
      <c r="L12" s="79">
        <f>('TUSD BE'!$L$12+'TUSD BF'!$L$12+'TUSD CVA'!$L$12)*1</f>
        <v>0</v>
      </c>
      <c r="M12" s="79">
        <f>('TUSD BE'!$M$12+'TUSD BF'!$M$12+'TUSD CVA'!$M$12)*1</f>
        <v>8.0503504554528843E-2</v>
      </c>
      <c r="N12" s="79">
        <f ca="1">('TUSD BE'!$N$12+'TUSD BF'!$N$12+'TUSD CVA'!$N$12)*1</f>
        <v>0.2157951344050924</v>
      </c>
      <c r="O12" s="79">
        <f>('TUSD BE'!$O$12+'TUSD BF'!$O$12+'TUSD CVA'!$O$12)*1</f>
        <v>6.6166294240736874E-3</v>
      </c>
      <c r="P12" s="79">
        <f>('TUSD BE'!$P$12+'TUSD BF'!$P$12+'TUSD CVA'!$P$12)*1</f>
        <v>0</v>
      </c>
      <c r="Q12" s="79">
        <f>('TUSD BE'!$Q$12+'TUSD BF'!$Q$12+'TUSD CVA'!$Q$12)*1</f>
        <v>0</v>
      </c>
      <c r="R12" s="79">
        <f>('TUSD BE'!$R$12+'TUSD BF'!$R$12+'TUSD CVA'!$R$12)*1</f>
        <v>0</v>
      </c>
      <c r="S12" s="79">
        <f>('TUSD BE'!$S$12+'TUSD BF'!$S$12+'TUSD CVA'!$S$12)*1</f>
        <v>0</v>
      </c>
      <c r="T12" s="79">
        <f>('TUSD BE'!$U$12+'TUSD BF'!$U$12+'TUSD CVA'!$U$12)*1</f>
        <v>0</v>
      </c>
      <c r="U12" s="79">
        <f>('TUSD BE'!$V$12+'TUSD BF'!$V$12+'TUSD CVA'!$V$12)*1</f>
        <v>0</v>
      </c>
      <c r="V12" s="79">
        <f>('TUSD BE'!$W$12+'TUSD BF'!$W$12+'TUSD CVA'!$W$12)*1</f>
        <v>0.22056823201228332</v>
      </c>
      <c r="W12" s="79">
        <f>('TUSD BE'!$X$12+'TUSD BF'!$X$12+'TUSD CVA'!$X$12)*1</f>
        <v>0</v>
      </c>
      <c r="X12" s="79">
        <f>('TUSD BE'!$Y$12+'TUSD BF'!$Y$12+'TUSD CVA'!$Y$12)*1</f>
        <v>0.25296799626222344</v>
      </c>
      <c r="Y12" s="79">
        <f>('TUSD BE'!$Z$12+'TUSD BF'!$Z$12+'TUSD CVA'!$Z$12)*1</f>
        <v>0</v>
      </c>
      <c r="Z12" s="79">
        <f>('TUSD BE'!$AA$12+'TUSD BF'!$AA$12+'TUSD CVA'!$AA$12)*1</f>
        <v>0</v>
      </c>
      <c r="AA12" s="79">
        <f>('TUSD BE'!$AC$12+'TUSD BF'!$AC$12+'TUSD CVA'!$AC$12)*1</f>
        <v>15.078116141109431</v>
      </c>
      <c r="AB12" s="79">
        <f ca="1">('TUSD BE'!$AE$12+'TUSD BF'!$AE$12+'TUSD CVA'!$AE$12)*1</f>
        <v>2.1581861141732633E-2</v>
      </c>
      <c r="AC12" s="79">
        <f ca="1">('TUSD BE'!$AF$12+'TUSD BF'!$AF$12+'TUSD CVA'!$AF$12)*1</f>
        <v>0</v>
      </c>
      <c r="AD12" s="79">
        <f>('TUSD BE'!$AH$12+'TUSD BF'!$AH$12+'TUSD CVA'!$AH$12)*1</f>
        <v>1.129123755736126</v>
      </c>
      <c r="AE12" s="79">
        <f>('TUSD BE'!$AI$12+'TUSD BF'!$AI$12+'TUSD CVA'!$AI$12)*1</f>
        <v>0.24782062768141622</v>
      </c>
      <c r="AF12" s="79">
        <f ca="1">('TUSD BE'!$AJ$12+'TUSD BF'!$AJ$12+'TUSD CVA'!$AJ$12)*1</f>
        <v>0</v>
      </c>
      <c r="AG12" s="79">
        <f ca="1">('TUSD BE'!$AK$12+'TUSD BF'!$AK$12+'TUSD CVA'!$AK$12)*1</f>
        <v>0</v>
      </c>
      <c r="AI12" s="79">
        <v>0</v>
      </c>
      <c r="AJ12" s="79">
        <v>6.6798786603868607E-2</v>
      </c>
      <c r="AK12" s="79">
        <v>0.188633923952783</v>
      </c>
      <c r="AL12" s="79">
        <v>5.7838225826791802E-3</v>
      </c>
      <c r="AM12" s="79">
        <v>0</v>
      </c>
      <c r="AN12" s="79">
        <v>0</v>
      </c>
      <c r="AO12" s="79">
        <v>0</v>
      </c>
      <c r="AP12" s="79">
        <v>0</v>
      </c>
      <c r="AQ12" s="79">
        <v>0</v>
      </c>
      <c r="AR12" s="79">
        <v>0</v>
      </c>
      <c r="AS12" s="79">
        <v>0.18788589328303801</v>
      </c>
      <c r="AT12" s="79">
        <v>0</v>
      </c>
      <c r="AU12" s="79">
        <v>0.28690450144493701</v>
      </c>
      <c r="AV12" s="79">
        <v>0</v>
      </c>
      <c r="AW12" s="79">
        <v>0</v>
      </c>
      <c r="AX12" s="79">
        <v>13.0649331502911</v>
      </c>
      <c r="AY12" s="79">
        <v>-1.02293091006243</v>
      </c>
      <c r="AZ12" s="79">
        <v>0</v>
      </c>
      <c r="BA12" s="79">
        <v>0.97489938540611498</v>
      </c>
      <c r="BB12" s="79">
        <v>0.213971388335604</v>
      </c>
      <c r="BC12" s="79">
        <v>0</v>
      </c>
      <c r="BD12" s="79">
        <v>0</v>
      </c>
    </row>
    <row r="13" spans="1:56" ht="11.25" customHeight="1" x14ac:dyDescent="0.25">
      <c r="A13" s="136" t="s">
        <v>33</v>
      </c>
      <c r="B13" s="136" t="s">
        <v>42</v>
      </c>
      <c r="C13" s="136" t="s">
        <v>25</v>
      </c>
      <c r="D13" s="136" t="s">
        <v>25</v>
      </c>
      <c r="E13" s="136" t="s">
        <v>25</v>
      </c>
      <c r="F13" s="136" t="s">
        <v>25</v>
      </c>
      <c r="G13" s="21" t="s">
        <v>94</v>
      </c>
      <c r="H13" s="21" t="s">
        <v>93</v>
      </c>
      <c r="I13" s="21">
        <f>'MERCADO TUSD'!$U$10</f>
        <v>565553</v>
      </c>
      <c r="J13" s="17"/>
      <c r="L13" s="79">
        <f>('TUSD BE'!$L$13+'TUSD BF'!$L$13+'TUSD CVA'!$L$13)*1</f>
        <v>0</v>
      </c>
      <c r="M13" s="79">
        <f>('TUSD BE'!$M$13+'TUSD BF'!$M$13+'TUSD CVA'!$M$13)*1</f>
        <v>0</v>
      </c>
      <c r="N13" s="79">
        <f ca="1">('TUSD BE'!$N$13+'TUSD BF'!$N$13+'TUSD CVA'!$N$13)*1</f>
        <v>0</v>
      </c>
      <c r="O13" s="79">
        <f>('TUSD BE'!$O$13+'TUSD BF'!$O$13+'TUSD CVA'!$O$13)*1</f>
        <v>0</v>
      </c>
      <c r="P13" s="79">
        <f>('TUSD BE'!$P$13+'TUSD BF'!$P$13+'TUSD CVA'!$P$13)*1</f>
        <v>0</v>
      </c>
      <c r="Q13" s="79">
        <f>('TUSD BE'!$Q$13+'TUSD BF'!$Q$13+'TUSD CVA'!$Q$13)*1</f>
        <v>0</v>
      </c>
      <c r="R13" s="79">
        <f>('TUSD BE'!$R$13+'TUSD BF'!$R$13+'TUSD CVA'!$R$13)*1</f>
        <v>0</v>
      </c>
      <c r="S13" s="79">
        <f>('TUSD BE'!$S$13+'TUSD BF'!$S$13+'TUSD CVA'!$S$13)*1</f>
        <v>0</v>
      </c>
      <c r="T13" s="79">
        <f>('TUSD BE'!$U$13+'TUSD BF'!$U$13+'TUSD CVA'!$U$13)*1</f>
        <v>8.9805845328270735</v>
      </c>
      <c r="U13" s="79">
        <f>('TUSD BE'!$V$13+'TUSD BF'!$V$13+'TUSD CVA'!$V$13)*1</f>
        <v>2.3026069869737706</v>
      </c>
      <c r="V13" s="79">
        <f>('TUSD BE'!$W$13+'TUSD BF'!$W$13+'TUSD CVA'!$W$13)*1</f>
        <v>0.62590810052789547</v>
      </c>
      <c r="W13" s="79">
        <f>('TUSD BE'!$X$13+'TUSD BF'!$X$13+'TUSD CVA'!$X$13)*1</f>
        <v>0</v>
      </c>
      <c r="X13" s="79">
        <f>('TUSD BE'!$Y$13+'TUSD BF'!$Y$13+'TUSD CVA'!$Y$13)*1</f>
        <v>0.4847360827853629</v>
      </c>
      <c r="Y13" s="79">
        <f>('TUSD BE'!$Z$13+'TUSD BF'!$Z$13+'TUSD CVA'!$Z$13)*1</f>
        <v>0</v>
      </c>
      <c r="Z13" s="79">
        <f>('TUSD BE'!$AA$13+'TUSD BF'!$AA$13+'TUSD CVA'!$AA$13)*1</f>
        <v>0</v>
      </c>
      <c r="AA13" s="79">
        <f>('TUSD BE'!$AC$13+'TUSD BF'!$AC$13+'TUSD CVA'!$AC$13)*1</f>
        <v>56.770441647408482</v>
      </c>
      <c r="AB13" s="79">
        <f ca="1">('TUSD BE'!$AE$13+'TUSD BF'!$AE$13+'TUSD CVA'!$AE$13)*1</f>
        <v>9.0856270225610478E-2</v>
      </c>
      <c r="AC13" s="79">
        <f ca="1">('TUSD BE'!$AF$13+'TUSD BF'!$AF$13+'TUSD CVA'!$AF$13)*1</f>
        <v>0</v>
      </c>
      <c r="AD13" s="79">
        <f>('TUSD BE'!$AH$13+'TUSD BF'!$AH$13+'TUSD CVA'!$AH$13)*1</f>
        <v>0</v>
      </c>
      <c r="AE13" s="79">
        <f>('TUSD BE'!$AI$13+'TUSD BF'!$AI$13+'TUSD CVA'!$AI$13)*1</f>
        <v>0</v>
      </c>
      <c r="AF13" s="79">
        <f ca="1">('TUSD BE'!$AJ$13+'TUSD BF'!$AJ$13+'TUSD CVA'!$AJ$13)*1</f>
        <v>0</v>
      </c>
      <c r="AG13" s="79">
        <f ca="1">('TUSD BE'!$AK$13+'TUSD BF'!$AK$13+'TUSD CVA'!$AK$13)*1</f>
        <v>0</v>
      </c>
      <c r="AI13" s="79">
        <v>0</v>
      </c>
      <c r="AJ13" s="79">
        <v>0</v>
      </c>
      <c r="AK13" s="79">
        <v>0</v>
      </c>
      <c r="AL13" s="79">
        <v>0</v>
      </c>
      <c r="AM13" s="79">
        <v>0</v>
      </c>
      <c r="AN13" s="79">
        <v>0</v>
      </c>
      <c r="AO13" s="79">
        <v>0</v>
      </c>
      <c r="AP13" s="79">
        <v>0</v>
      </c>
      <c r="AQ13" s="79">
        <v>9.2810898135529296</v>
      </c>
      <c r="AR13" s="79">
        <v>3.4566183714428802</v>
      </c>
      <c r="AS13" s="79">
        <v>0.700279965598684</v>
      </c>
      <c r="AT13" s="79">
        <v>0</v>
      </c>
      <c r="AU13" s="79">
        <v>0.58239500450442805</v>
      </c>
      <c r="AV13" s="79">
        <v>0</v>
      </c>
      <c r="AW13" s="79">
        <v>0</v>
      </c>
      <c r="AX13" s="79">
        <v>51.007485150165401</v>
      </c>
      <c r="AY13" s="79">
        <v>-4.8274422469060099</v>
      </c>
      <c r="AZ13" s="79">
        <v>0</v>
      </c>
      <c r="BA13" s="79">
        <v>0</v>
      </c>
      <c r="BB13" s="79">
        <v>0</v>
      </c>
      <c r="BC13" s="79">
        <v>0</v>
      </c>
      <c r="BD13" s="79">
        <v>0</v>
      </c>
    </row>
    <row r="14" spans="1:56" ht="11.25" customHeight="1" x14ac:dyDescent="0.25">
      <c r="A14" s="136"/>
      <c r="B14" s="136"/>
      <c r="C14" s="136"/>
      <c r="D14" s="136"/>
      <c r="E14" s="136"/>
      <c r="F14" s="136"/>
      <c r="G14" s="21" t="s">
        <v>95</v>
      </c>
      <c r="H14" s="21" t="s">
        <v>93</v>
      </c>
      <c r="I14" s="21">
        <f>'MERCADO TUSD'!$U$11</f>
        <v>602292</v>
      </c>
      <c r="J14" s="17"/>
      <c r="L14" s="79">
        <f>('TUSD BE'!$L$14+'TUSD BF'!$L$14+'TUSD CVA'!$L$14)*1</f>
        <v>0</v>
      </c>
      <c r="M14" s="79">
        <f>('TUSD BE'!$M$14+'TUSD BF'!$M$14+'TUSD CVA'!$M$14)*1</f>
        <v>0</v>
      </c>
      <c r="N14" s="79">
        <f ca="1">('TUSD BE'!$N$14+'TUSD BF'!$N$14+'TUSD CVA'!$N$14)*1</f>
        <v>0</v>
      </c>
      <c r="O14" s="79">
        <f>('TUSD BE'!$O$14+'TUSD BF'!$O$14+'TUSD CVA'!$O$14)*1</f>
        <v>0</v>
      </c>
      <c r="P14" s="79">
        <f>('TUSD BE'!$P$14+'TUSD BF'!$P$14+'TUSD CVA'!$P$14)*1</f>
        <v>0</v>
      </c>
      <c r="Q14" s="79">
        <f>('TUSD BE'!$Q$14+'TUSD BF'!$Q$14+'TUSD CVA'!$Q$14)*1</f>
        <v>0</v>
      </c>
      <c r="R14" s="79">
        <f>('TUSD BE'!$R$14+'TUSD BF'!$R$14+'TUSD CVA'!$R$14)*1</f>
        <v>0</v>
      </c>
      <c r="S14" s="79">
        <f>('TUSD BE'!$S$14+'TUSD BF'!$S$14+'TUSD CVA'!$S$14)*1</f>
        <v>0</v>
      </c>
      <c r="T14" s="79">
        <f>('TUSD BE'!$U$14+'TUSD BF'!$U$14+'TUSD CVA'!$U$14)*1</f>
        <v>4.9077922256262836</v>
      </c>
      <c r="U14" s="79">
        <f>('TUSD BE'!$V$14+'TUSD BF'!$V$14+'TUSD CVA'!$V$14)*1</f>
        <v>1.2629566759793867</v>
      </c>
      <c r="V14" s="79">
        <f>('TUSD BE'!$W$14+'TUSD BF'!$W$14+'TUSD CVA'!$W$14)*1</f>
        <v>0.34986161714578262</v>
      </c>
      <c r="W14" s="79">
        <f>('TUSD BE'!$X$14+'TUSD BF'!$X$14+'TUSD CVA'!$X$14)*1</f>
        <v>0</v>
      </c>
      <c r="X14" s="79">
        <f>('TUSD BE'!$Y$14+'TUSD BF'!$Y$14+'TUSD CVA'!$Y$14)*1</f>
        <v>0.12810747621222185</v>
      </c>
      <c r="Y14" s="79">
        <f>('TUSD BE'!$Z$14+'TUSD BF'!$Z$14+'TUSD CVA'!$Z$14)*1</f>
        <v>0</v>
      </c>
      <c r="Z14" s="79">
        <f>('TUSD BE'!$AA$14+'TUSD BF'!$AA$14+'TUSD CVA'!$AA$14)*1</f>
        <v>0</v>
      </c>
      <c r="AA14" s="79">
        <f>('TUSD BE'!$AC$14+'TUSD BF'!$AC$14+'TUSD CVA'!$AC$14)*1</f>
        <v>17.987527145834864</v>
      </c>
      <c r="AB14" s="79">
        <f ca="1">('TUSD BE'!$AE$14+'TUSD BF'!$AE$14+'TUSD CVA'!$AE$14)*1</f>
        <v>3.3153680479047425E-2</v>
      </c>
      <c r="AC14" s="79">
        <f ca="1">('TUSD BE'!$AF$14+'TUSD BF'!$AF$14+'TUSD CVA'!$AF$14)*1</f>
        <v>0</v>
      </c>
      <c r="AD14" s="79">
        <f>('TUSD BE'!$AH$14+'TUSD BF'!$AH$14+'TUSD CVA'!$AH$14)*1</f>
        <v>0</v>
      </c>
      <c r="AE14" s="79">
        <f>('TUSD BE'!$AI$14+'TUSD BF'!$AI$14+'TUSD CVA'!$AI$14)*1</f>
        <v>0</v>
      </c>
      <c r="AF14" s="79">
        <f ca="1">('TUSD BE'!$AJ$14+'TUSD BF'!$AJ$14+'TUSD CVA'!$AJ$14)*1</f>
        <v>0</v>
      </c>
      <c r="AG14" s="79">
        <f ca="1">('TUSD BE'!$AK$14+'TUSD BF'!$AK$14+'TUSD CVA'!$AK$14)*1</f>
        <v>0</v>
      </c>
      <c r="AI14" s="79">
        <v>0</v>
      </c>
      <c r="AJ14" s="79">
        <v>0</v>
      </c>
      <c r="AK14" s="79">
        <v>0</v>
      </c>
      <c r="AL14" s="79">
        <v>0</v>
      </c>
      <c r="AM14" s="79">
        <v>0</v>
      </c>
      <c r="AN14" s="79">
        <v>0</v>
      </c>
      <c r="AO14" s="79">
        <v>0</v>
      </c>
      <c r="AP14" s="79">
        <v>0</v>
      </c>
      <c r="AQ14" s="79">
        <v>5.0720151083478999</v>
      </c>
      <c r="AR14" s="79">
        <v>1.89592026482308</v>
      </c>
      <c r="AS14" s="79">
        <v>0.39143299313831098</v>
      </c>
      <c r="AT14" s="79">
        <v>0</v>
      </c>
      <c r="AU14" s="79">
        <v>0.15391706298601299</v>
      </c>
      <c r="AV14" s="79">
        <v>0</v>
      </c>
      <c r="AW14" s="79">
        <v>0</v>
      </c>
      <c r="AX14" s="79">
        <v>16.161553392129601</v>
      </c>
      <c r="AY14" s="79">
        <v>-1.8271792728204199</v>
      </c>
      <c r="AZ14" s="79">
        <v>0</v>
      </c>
      <c r="BA14" s="79">
        <v>0</v>
      </c>
      <c r="BB14" s="79">
        <v>0</v>
      </c>
      <c r="BC14" s="79">
        <v>0</v>
      </c>
      <c r="BD14" s="79">
        <v>0</v>
      </c>
    </row>
    <row r="15" spans="1:56" ht="11.25" customHeight="1" x14ac:dyDescent="0.25">
      <c r="A15" s="136"/>
      <c r="B15" s="136"/>
      <c r="C15" s="136"/>
      <c r="D15" s="136"/>
      <c r="E15" s="136"/>
      <c r="F15" s="136"/>
      <c r="G15" s="21" t="s">
        <v>96</v>
      </c>
      <c r="H15" s="21" t="s">
        <v>90</v>
      </c>
      <c r="I15" s="21">
        <f>'MERCADO TUSD'!$U$12</f>
        <v>263308.96999999997</v>
      </c>
      <c r="J15" s="17"/>
      <c r="L15" s="79">
        <f>('TUSD BE'!$L$15+'TUSD BF'!$L$15+'TUSD CVA'!$L$15)*1</f>
        <v>8.6770275911764081</v>
      </c>
      <c r="M15" s="79">
        <f>('TUSD BE'!$M$15+'TUSD BF'!$M$15+'TUSD CVA'!$M$15)*1</f>
        <v>0.58041322814374718</v>
      </c>
      <c r="N15" s="79">
        <f ca="1">('TUSD BE'!$N$15+'TUSD BF'!$N$15+'TUSD CVA'!$N$15)*1</f>
        <v>1.0331376244843107</v>
      </c>
      <c r="O15" s="79">
        <f>('TUSD BE'!$O$15+'TUSD BF'!$O$15+'TUSD CVA'!$O$15)*1</f>
        <v>-1.5285559498368537E-3</v>
      </c>
      <c r="P15" s="79">
        <f>('TUSD BE'!$P$15+'TUSD BF'!$P$15+'TUSD CVA'!$P$15)*1</f>
        <v>0</v>
      </c>
      <c r="Q15" s="79">
        <f>('TUSD BE'!$Q$15+'TUSD BF'!$Q$15+'TUSD CVA'!$Q$15)*1</f>
        <v>34.152786501995664</v>
      </c>
      <c r="R15" s="79">
        <f>('TUSD BE'!$R$15+'TUSD BF'!$R$15+'TUSD CVA'!$R$15)*1</f>
        <v>16.690821434365507</v>
      </c>
      <c r="S15" s="79">
        <f>('TUSD BE'!$S$15+'TUSD BF'!$S$15+'TUSD CVA'!$S$15)*1</f>
        <v>0</v>
      </c>
      <c r="T15" s="79">
        <f>('TUSD BE'!$U$15+'TUSD BF'!$U$15+'TUSD CVA'!$U$15)*1</f>
        <v>0</v>
      </c>
      <c r="U15" s="79">
        <f>('TUSD BE'!$V$15+'TUSD BF'!$V$15+'TUSD CVA'!$V$15)*1</f>
        <v>0</v>
      </c>
      <c r="V15" s="79">
        <f>('TUSD BE'!$W$15+'TUSD BF'!$W$15+'TUSD CVA'!$W$15)*1</f>
        <v>0</v>
      </c>
      <c r="W15" s="79">
        <f>('TUSD BE'!$X$15+'TUSD BF'!$X$15+'TUSD CVA'!$X$15)*1</f>
        <v>0</v>
      </c>
      <c r="X15" s="79">
        <f>('TUSD BE'!$Y$15+'TUSD BF'!$Y$15+'TUSD CVA'!$Y$15)*1</f>
        <v>0</v>
      </c>
      <c r="Y15" s="79">
        <f>('TUSD BE'!$Z$15+'TUSD BF'!$Z$15+'TUSD CVA'!$Z$15)*1</f>
        <v>0</v>
      </c>
      <c r="Z15" s="79">
        <f>('TUSD BE'!$AA$15+'TUSD BF'!$AA$15+'TUSD CVA'!$AA$15)*1</f>
        <v>0</v>
      </c>
      <c r="AA15" s="79">
        <f>('TUSD BE'!$AC$15+'TUSD BF'!$AC$15+'TUSD CVA'!$AC$15)*1</f>
        <v>0</v>
      </c>
      <c r="AB15" s="79">
        <f ca="1">('TUSD BE'!$AE$15+'TUSD BF'!$AE$15+'TUSD CVA'!$AE$15)*1</f>
        <v>0.14290683035679777</v>
      </c>
      <c r="AC15" s="79">
        <f ca="1">('TUSD BE'!$AF$15+'TUSD BF'!$AF$15+'TUSD CVA'!$AF$15)*1</f>
        <v>0</v>
      </c>
      <c r="AD15" s="79">
        <f>('TUSD BE'!$AH$15+'TUSD BF'!$AH$15+'TUSD CVA'!$AH$15)*1</f>
        <v>18.989096226433531</v>
      </c>
      <c r="AE15" s="79">
        <f>('TUSD BE'!$AI$15+'TUSD BF'!$AI$15+'TUSD CVA'!$AI$15)*1</f>
        <v>1.0965199162099917</v>
      </c>
      <c r="AF15" s="79">
        <f ca="1">('TUSD BE'!$AJ$15+'TUSD BF'!$AJ$15+'TUSD CVA'!$AJ$15)*1</f>
        <v>27.329669506210955</v>
      </c>
      <c r="AG15" s="79">
        <f ca="1">('TUSD BE'!$AK$15+'TUSD BF'!$AK$15+'TUSD CVA'!$AK$15)*1</f>
        <v>8.9002949898136379</v>
      </c>
      <c r="AI15" s="79">
        <v>0</v>
      </c>
      <c r="AJ15" s="79">
        <v>0.49335662240218697</v>
      </c>
      <c r="AK15" s="79">
        <v>0.80839542481790405</v>
      </c>
      <c r="AL15" s="79">
        <v>-1.34746813487984E-3</v>
      </c>
      <c r="AM15" s="79">
        <v>0</v>
      </c>
      <c r="AN15" s="79">
        <v>21.876075810711299</v>
      </c>
      <c r="AO15" s="79">
        <v>16.006661772939498</v>
      </c>
      <c r="AP15" s="79">
        <v>0</v>
      </c>
      <c r="AQ15" s="79">
        <v>0</v>
      </c>
      <c r="AR15" s="79">
        <v>0</v>
      </c>
      <c r="AS15" s="79">
        <v>0</v>
      </c>
      <c r="AT15" s="79">
        <v>0</v>
      </c>
      <c r="AU15" s="79">
        <v>0</v>
      </c>
      <c r="AV15" s="79">
        <v>0</v>
      </c>
      <c r="AW15" s="79">
        <v>0</v>
      </c>
      <c r="AX15" s="79">
        <v>0</v>
      </c>
      <c r="AY15" s="79">
        <v>-6.6307524757052896</v>
      </c>
      <c r="AZ15" s="79">
        <v>0</v>
      </c>
      <c r="BA15" s="79">
        <v>16.840398108910101</v>
      </c>
      <c r="BB15" s="79">
        <v>0.88055694124110695</v>
      </c>
      <c r="BC15" s="79">
        <v>24.466354917113101</v>
      </c>
      <c r="BD15" s="79">
        <v>6.3461953373286599</v>
      </c>
    </row>
    <row r="16" spans="1:56" ht="11.25" customHeight="1" x14ac:dyDescent="0.25">
      <c r="A16" s="136"/>
      <c r="B16" s="136"/>
      <c r="C16" s="136"/>
      <c r="D16" s="136"/>
      <c r="E16" s="81" t="s">
        <v>58</v>
      </c>
      <c r="F16" s="81" t="s">
        <v>25</v>
      </c>
      <c r="G16" s="21" t="s">
        <v>96</v>
      </c>
      <c r="H16" s="21" t="s">
        <v>90</v>
      </c>
      <c r="I16" s="21">
        <f>'MERCADO TUSD'!$U$13</f>
        <v>0</v>
      </c>
      <c r="J16" s="17"/>
      <c r="L16" s="79">
        <f>('TUSD BE'!$L$16+'TUSD BF'!$L$16+'TUSD CVA'!$L$16)*1</f>
        <v>0</v>
      </c>
      <c r="M16" s="79">
        <f>('TUSD BE'!$M$16+'TUSD BF'!$M$16+'TUSD CVA'!$M$16)*1</f>
        <v>0.58041322814374718</v>
      </c>
      <c r="N16" s="79">
        <f ca="1">('TUSD BE'!$N$16+'TUSD BF'!$N$16+'TUSD CVA'!$N$16)*1</f>
        <v>1.0216447270482911</v>
      </c>
      <c r="O16" s="79">
        <f>('TUSD BE'!$O$16+'TUSD BF'!$O$16+'TUSD CVA'!$O$16)*1</f>
        <v>-1.5285559498368537E-3</v>
      </c>
      <c r="P16" s="79">
        <f>('TUSD BE'!$P$16+'TUSD BF'!$P$16+'TUSD CVA'!$P$16)*1</f>
        <v>0</v>
      </c>
      <c r="Q16" s="79">
        <f>('TUSD BE'!$Q$16+'TUSD BF'!$Q$16+'TUSD CVA'!$Q$16)*1</f>
        <v>0</v>
      </c>
      <c r="R16" s="79">
        <f>('TUSD BE'!$R$16+'TUSD BF'!$R$16+'TUSD CVA'!$R$16)*1</f>
        <v>0</v>
      </c>
      <c r="S16" s="79">
        <f>('TUSD BE'!$S$16+'TUSD BF'!$S$16+'TUSD CVA'!$S$16)*1</f>
        <v>0</v>
      </c>
      <c r="T16" s="79">
        <f>('TUSD BE'!$U$16+'TUSD BF'!$U$16+'TUSD CVA'!$U$16)*1</f>
        <v>0</v>
      </c>
      <c r="U16" s="79">
        <f>('TUSD BE'!$V$16+'TUSD BF'!$V$16+'TUSD CVA'!$V$16)*1</f>
        <v>0</v>
      </c>
      <c r="V16" s="79">
        <f>('TUSD BE'!$W$16+'TUSD BF'!$W$16+'TUSD CVA'!$W$16)*1</f>
        <v>0</v>
      </c>
      <c r="W16" s="79">
        <f>('TUSD BE'!$X$16+'TUSD BF'!$X$16+'TUSD CVA'!$X$16)*1</f>
        <v>0</v>
      </c>
      <c r="X16" s="79">
        <f>('TUSD BE'!$Y$16+'TUSD BF'!$Y$16+'TUSD CVA'!$Y$16)*1</f>
        <v>0</v>
      </c>
      <c r="Y16" s="79">
        <f>('TUSD BE'!$Z$16+'TUSD BF'!$Z$16+'TUSD CVA'!$Z$16)*1</f>
        <v>0</v>
      </c>
      <c r="Z16" s="79">
        <f>('TUSD BE'!$AA$16+'TUSD BF'!$AA$16+'TUSD CVA'!$AA$16)*1</f>
        <v>0</v>
      </c>
      <c r="AA16" s="79">
        <f>('TUSD BE'!$AC$16+'TUSD BF'!$AC$16+'TUSD CVA'!$AC$16)*1</f>
        <v>0</v>
      </c>
      <c r="AB16" s="79">
        <f ca="1">('TUSD BE'!$AE$16+'TUSD BF'!$AE$16+'TUSD CVA'!$AE$16)*1</f>
        <v>6.9264938923557867E-2</v>
      </c>
      <c r="AC16" s="79">
        <f ca="1">('TUSD BE'!$AF$16+'TUSD BF'!$AF$16+'TUSD CVA'!$AF$16)*1</f>
        <v>0</v>
      </c>
      <c r="AD16" s="79">
        <f>('TUSD BE'!$AH$16+'TUSD BF'!$AH$16+'TUSD CVA'!$AH$16)*1</f>
        <v>18.989096226433531</v>
      </c>
      <c r="AE16" s="79">
        <f>('TUSD BE'!$AI$16+'TUSD BF'!$AI$16+'TUSD CVA'!$AI$16)*1</f>
        <v>1.0965199162099917</v>
      </c>
      <c r="AF16" s="79">
        <f ca="1">('TUSD BE'!$AJ$16+'TUSD BF'!$AJ$16+'TUSD CVA'!$AJ$16)*1</f>
        <v>27.329669506210955</v>
      </c>
      <c r="AG16" s="79">
        <f ca="1">('TUSD BE'!$AK$16+'TUSD BF'!$AK$16+'TUSD CVA'!$AK$16)*1</f>
        <v>8.9002949898136379</v>
      </c>
      <c r="AI16" s="79">
        <v>0</v>
      </c>
      <c r="AJ16" s="79">
        <v>0.49335662240218697</v>
      </c>
      <c r="AK16" s="79">
        <v>0.79886830783329399</v>
      </c>
      <c r="AL16" s="79">
        <v>-1.34746813487984E-3</v>
      </c>
      <c r="AM16" s="79">
        <v>0</v>
      </c>
      <c r="AN16" s="79">
        <v>0</v>
      </c>
      <c r="AO16" s="79">
        <v>0</v>
      </c>
      <c r="AP16" s="79">
        <v>0</v>
      </c>
      <c r="AQ16" s="79">
        <v>0</v>
      </c>
      <c r="AR16" s="79">
        <v>0</v>
      </c>
      <c r="AS16" s="79">
        <v>0</v>
      </c>
      <c r="AT16" s="79">
        <v>0</v>
      </c>
      <c r="AU16" s="79">
        <v>0</v>
      </c>
      <c r="AV16" s="79">
        <v>0</v>
      </c>
      <c r="AW16" s="79">
        <v>0</v>
      </c>
      <c r="AX16" s="79">
        <v>0</v>
      </c>
      <c r="AY16" s="79">
        <v>-3.3800288569253198</v>
      </c>
      <c r="AZ16" s="79">
        <v>0</v>
      </c>
      <c r="BA16" s="79">
        <v>16.840398108910101</v>
      </c>
      <c r="BB16" s="79">
        <v>0.88055694124110695</v>
      </c>
      <c r="BC16" s="79">
        <v>24.466354917113101</v>
      </c>
      <c r="BD16" s="79">
        <v>6.3461953373286599</v>
      </c>
    </row>
    <row r="17" spans="1:56" ht="11.25" customHeight="1" x14ac:dyDescent="0.25">
      <c r="A17" s="136"/>
      <c r="B17" s="136" t="s">
        <v>61</v>
      </c>
      <c r="C17" s="136" t="s">
        <v>25</v>
      </c>
      <c r="D17" s="136" t="s">
        <v>25</v>
      </c>
      <c r="E17" s="136" t="s">
        <v>25</v>
      </c>
      <c r="F17" s="136" t="s">
        <v>62</v>
      </c>
      <c r="G17" s="21" t="s">
        <v>94</v>
      </c>
      <c r="H17" s="21" t="s">
        <v>93</v>
      </c>
      <c r="I17" s="21">
        <f>'MERCADO TUSD'!$U$14</f>
        <v>5691</v>
      </c>
      <c r="J17" s="17"/>
      <c r="L17" s="79">
        <f>('TUSD BE'!$L$17+'TUSD BF'!$L$17+'TUSD CVA'!$L$17)*1</f>
        <v>0</v>
      </c>
      <c r="M17" s="79">
        <f>('TUSD BE'!$M$17+'TUSD BF'!$M$17+'TUSD CVA'!$M$17)*1</f>
        <v>0</v>
      </c>
      <c r="N17" s="79">
        <f ca="1">('TUSD BE'!$N$17+'TUSD BF'!$N$17+'TUSD CVA'!$N$17)*1</f>
        <v>0</v>
      </c>
      <c r="O17" s="79">
        <f>('TUSD BE'!$O$17+'TUSD BF'!$O$17+'TUSD CVA'!$O$17)*1</f>
        <v>0</v>
      </c>
      <c r="P17" s="79">
        <f>('TUSD BE'!$P$17+'TUSD BF'!$P$17+'TUSD CVA'!$P$17)*1</f>
        <v>0</v>
      </c>
      <c r="Q17" s="79">
        <f>('TUSD BE'!$Q$17+'TUSD BF'!$Q$17+'TUSD CVA'!$Q$17)*1</f>
        <v>0</v>
      </c>
      <c r="R17" s="79">
        <f>('TUSD BE'!$R$17+'TUSD BF'!$R$17+'TUSD CVA'!$R$17)*1</f>
        <v>0</v>
      </c>
      <c r="S17" s="79">
        <f>('TUSD BE'!$S$17+'TUSD BF'!$S$17+'TUSD CVA'!$S$17)*1</f>
        <v>0</v>
      </c>
      <c r="T17" s="79">
        <f>('TUSD BE'!$U$17+'TUSD BF'!$U$17+'TUSD CVA'!$U$17)*1</f>
        <v>8.9805845328270735</v>
      </c>
      <c r="U17" s="79">
        <f>('TUSD BE'!$V$17+'TUSD BF'!$V$17+'TUSD CVA'!$V$17)*1</f>
        <v>2.3026069869737706</v>
      </c>
      <c r="V17" s="79">
        <f>('TUSD BE'!$W$17+'TUSD BF'!$W$17+'TUSD CVA'!$W$17)*1</f>
        <v>0.62590810052789547</v>
      </c>
      <c r="W17" s="79">
        <f>('TUSD BE'!$X$17+'TUSD BF'!$X$17+'TUSD CVA'!$X$17)*1</f>
        <v>0</v>
      </c>
      <c r="X17" s="79">
        <f>('TUSD BE'!$Y$17+'TUSD BF'!$Y$17+'TUSD CVA'!$Y$17)*1</f>
        <v>0.4847360827853629</v>
      </c>
      <c r="Y17" s="79">
        <f>('TUSD BE'!$Z$17+'TUSD BF'!$Z$17+'TUSD CVA'!$Z$17)*1</f>
        <v>0</v>
      </c>
      <c r="Z17" s="79">
        <f>('TUSD BE'!$AA$17+'TUSD BF'!$AA$17+'TUSD CVA'!$AA$17)*1</f>
        <v>0</v>
      </c>
      <c r="AA17" s="79">
        <f>('TUSD BE'!$AC$17+'TUSD BF'!$AC$17+'TUSD CVA'!$AC$17)*1</f>
        <v>18.107007967640872</v>
      </c>
      <c r="AB17" s="79">
        <f>('TUSD BE'!$AE$17+'TUSD BF'!$AE$17+'TUSD CVA'!$AE$17)*1</f>
        <v>0</v>
      </c>
      <c r="AC17" s="79">
        <f ca="1">('TUSD BE'!$AF$17+'TUSD BF'!$AF$17+'TUSD CVA'!$AF$17)*1</f>
        <v>0</v>
      </c>
      <c r="AD17" s="79">
        <f>('TUSD BE'!$AH$17+'TUSD BF'!$AH$17+'TUSD CVA'!$AH$17)*1</f>
        <v>0</v>
      </c>
      <c r="AE17" s="79">
        <f>('TUSD BE'!$AI$17+'TUSD BF'!$AI$17+'TUSD CVA'!$AI$17)*1</f>
        <v>0</v>
      </c>
      <c r="AF17" s="79">
        <f ca="1">('TUSD BE'!$AJ$17+'TUSD BF'!$AJ$17+'TUSD CVA'!$AJ$17)*1</f>
        <v>0</v>
      </c>
      <c r="AG17" s="79">
        <f ca="1">('TUSD BE'!$AK$17+'TUSD BF'!$AK$17+'TUSD CVA'!$AK$17)*1</f>
        <v>0</v>
      </c>
      <c r="AI17" s="79">
        <v>0</v>
      </c>
      <c r="AJ17" s="79">
        <v>0</v>
      </c>
      <c r="AK17" s="79">
        <v>0</v>
      </c>
      <c r="AL17" s="79">
        <v>0</v>
      </c>
      <c r="AM17" s="79">
        <v>0</v>
      </c>
      <c r="AN17" s="79">
        <v>0</v>
      </c>
      <c r="AO17" s="79">
        <v>0</v>
      </c>
      <c r="AP17" s="79">
        <v>0</v>
      </c>
      <c r="AQ17" s="79">
        <v>9.2810898135529296</v>
      </c>
      <c r="AR17" s="79">
        <v>3.4566183714428802</v>
      </c>
      <c r="AS17" s="79">
        <v>0.700279965598684</v>
      </c>
      <c r="AT17" s="79">
        <v>0</v>
      </c>
      <c r="AU17" s="79">
        <v>0.58239500450442805</v>
      </c>
      <c r="AV17" s="79">
        <v>0</v>
      </c>
      <c r="AW17" s="79">
        <v>0</v>
      </c>
      <c r="AX17" s="79">
        <v>16.2689053180112</v>
      </c>
      <c r="AY17" s="79">
        <v>0</v>
      </c>
      <c r="AZ17" s="79">
        <v>0</v>
      </c>
      <c r="BA17" s="79">
        <v>0</v>
      </c>
      <c r="BB17" s="79">
        <v>0</v>
      </c>
      <c r="BC17" s="79">
        <v>0</v>
      </c>
      <c r="BD17" s="79">
        <v>0</v>
      </c>
    </row>
    <row r="18" spans="1:56" ht="11.25" customHeight="1" x14ac:dyDescent="0.25">
      <c r="A18" s="136"/>
      <c r="B18" s="136"/>
      <c r="C18" s="136"/>
      <c r="D18" s="136"/>
      <c r="E18" s="136"/>
      <c r="F18" s="136"/>
      <c r="G18" s="21" t="s">
        <v>95</v>
      </c>
      <c r="H18" s="21" t="s">
        <v>93</v>
      </c>
      <c r="I18" s="21">
        <f>'MERCADO TUSD'!$U$15</f>
        <v>7796</v>
      </c>
      <c r="J18" s="17"/>
      <c r="L18" s="79">
        <f>('TUSD BE'!$L$18+'TUSD BF'!$L$18+'TUSD CVA'!$L$18)*1</f>
        <v>0</v>
      </c>
      <c r="M18" s="79">
        <f>('TUSD BE'!$M$18+'TUSD BF'!$M$18+'TUSD CVA'!$M$18)*1</f>
        <v>0</v>
      </c>
      <c r="N18" s="79">
        <f ca="1">('TUSD BE'!$N$18+'TUSD BF'!$N$18+'TUSD CVA'!$N$18)*1</f>
        <v>0</v>
      </c>
      <c r="O18" s="79">
        <f>('TUSD BE'!$O$18+'TUSD BF'!$O$18+'TUSD CVA'!$O$18)*1</f>
        <v>0</v>
      </c>
      <c r="P18" s="79">
        <f>('TUSD BE'!$P$18+'TUSD BF'!$P$18+'TUSD CVA'!$P$18)*1</f>
        <v>0</v>
      </c>
      <c r="Q18" s="79">
        <f>('TUSD BE'!$Q$18+'TUSD BF'!$Q$18+'TUSD CVA'!$Q$18)*1</f>
        <v>0</v>
      </c>
      <c r="R18" s="79">
        <f>('TUSD BE'!$R$18+'TUSD BF'!$R$18+'TUSD CVA'!$R$18)*1</f>
        <v>0</v>
      </c>
      <c r="S18" s="79">
        <f>('TUSD BE'!$S$18+'TUSD BF'!$S$18+'TUSD CVA'!$S$18)*1</f>
        <v>0</v>
      </c>
      <c r="T18" s="79">
        <f>('TUSD BE'!$U$18+'TUSD BF'!$U$18+'TUSD CVA'!$U$18)*1</f>
        <v>4.9077922256262836</v>
      </c>
      <c r="U18" s="79">
        <f>('TUSD BE'!$V$18+'TUSD BF'!$V$18+'TUSD CVA'!$V$18)*1</f>
        <v>1.2629566759793867</v>
      </c>
      <c r="V18" s="79">
        <f>('TUSD BE'!$W$18+'TUSD BF'!$W$18+'TUSD CVA'!$W$18)*1</f>
        <v>0.34986161714578262</v>
      </c>
      <c r="W18" s="79">
        <f>('TUSD BE'!$X$18+'TUSD BF'!$X$18+'TUSD CVA'!$X$18)*1</f>
        <v>0</v>
      </c>
      <c r="X18" s="79">
        <f>('TUSD BE'!$Y$18+'TUSD BF'!$Y$18+'TUSD CVA'!$Y$18)*1</f>
        <v>0.12810747621222185</v>
      </c>
      <c r="Y18" s="79">
        <f>('TUSD BE'!$Z$18+'TUSD BF'!$Z$18+'TUSD CVA'!$Z$18)*1</f>
        <v>0</v>
      </c>
      <c r="Z18" s="79">
        <f>('TUSD BE'!$AA$18+'TUSD BF'!$AA$18+'TUSD CVA'!$AA$18)*1</f>
        <v>0</v>
      </c>
      <c r="AA18" s="79">
        <f>('TUSD BE'!$AC$18+'TUSD BF'!$AC$18+'TUSD CVA'!$AC$18)*1</f>
        <v>5.7371499604200178</v>
      </c>
      <c r="AB18" s="79">
        <f>('TUSD BE'!$AE$18+'TUSD BF'!$AE$18+'TUSD CVA'!$AE$18)*1</f>
        <v>0</v>
      </c>
      <c r="AC18" s="79">
        <f ca="1">('TUSD BE'!$AF$18+'TUSD BF'!$AF$18+'TUSD CVA'!$AF$18)*1</f>
        <v>0</v>
      </c>
      <c r="AD18" s="79">
        <f>('TUSD BE'!$AH$18+'TUSD BF'!$AH$18+'TUSD CVA'!$AH$18)*1</f>
        <v>0</v>
      </c>
      <c r="AE18" s="79">
        <f>('TUSD BE'!$AI$18+'TUSD BF'!$AI$18+'TUSD CVA'!$AI$18)*1</f>
        <v>0</v>
      </c>
      <c r="AF18" s="79">
        <f ca="1">('TUSD BE'!$AJ$18+'TUSD BF'!$AJ$18+'TUSD CVA'!$AJ$18)*1</f>
        <v>0</v>
      </c>
      <c r="AG18" s="79">
        <f ca="1">('TUSD BE'!$AK$18+'TUSD BF'!$AK$18+'TUSD CVA'!$AK$18)*1</f>
        <v>0</v>
      </c>
      <c r="AI18" s="79">
        <v>0</v>
      </c>
      <c r="AJ18" s="79">
        <v>0</v>
      </c>
      <c r="AK18" s="79">
        <v>0</v>
      </c>
      <c r="AL18" s="79">
        <v>0</v>
      </c>
      <c r="AM18" s="79">
        <v>0</v>
      </c>
      <c r="AN18" s="79">
        <v>0</v>
      </c>
      <c r="AO18" s="79">
        <v>0</v>
      </c>
      <c r="AP18" s="79">
        <v>0</v>
      </c>
      <c r="AQ18" s="79">
        <v>5.0720151083478999</v>
      </c>
      <c r="AR18" s="79">
        <v>1.89592026482308</v>
      </c>
      <c r="AS18" s="79">
        <v>0.39143299313831098</v>
      </c>
      <c r="AT18" s="79">
        <v>0</v>
      </c>
      <c r="AU18" s="79">
        <v>0.15391706298601299</v>
      </c>
      <c r="AV18" s="79">
        <v>0</v>
      </c>
      <c r="AW18" s="79">
        <v>0</v>
      </c>
      <c r="AX18" s="79">
        <v>5.1547527713086696</v>
      </c>
      <c r="AY18" s="79">
        <v>0</v>
      </c>
      <c r="AZ18" s="79">
        <v>0</v>
      </c>
      <c r="BA18" s="79">
        <v>0</v>
      </c>
      <c r="BB18" s="79">
        <v>0</v>
      </c>
      <c r="BC18" s="79">
        <v>0</v>
      </c>
      <c r="BD18" s="79">
        <v>0</v>
      </c>
    </row>
    <row r="19" spans="1:56" ht="11.25" customHeight="1" x14ac:dyDescent="0.25">
      <c r="A19" s="136"/>
      <c r="B19" s="136"/>
      <c r="C19" s="136"/>
      <c r="D19" s="136"/>
      <c r="E19" s="136"/>
      <c r="F19" s="136"/>
      <c r="G19" s="21" t="s">
        <v>96</v>
      </c>
      <c r="H19" s="21" t="s">
        <v>90</v>
      </c>
      <c r="I19" s="21">
        <f>'MERCADO TUSD'!$U$16</f>
        <v>2880.6459999999997</v>
      </c>
      <c r="J19" s="17"/>
      <c r="L19" s="79">
        <f>('TUSD BE'!$L$19+'TUSD BF'!$L$19+'TUSD CVA'!$L$19)*1</f>
        <v>0</v>
      </c>
      <c r="M19" s="79">
        <f>('TUSD BE'!$M$19+'TUSD BF'!$M$19+'TUSD CVA'!$M$19)*1</f>
        <v>0</v>
      </c>
      <c r="N19" s="79">
        <f ca="1">('TUSD BE'!$N$19+'TUSD BF'!$N$19+'TUSD CVA'!$N$19)*1</f>
        <v>0</v>
      </c>
      <c r="O19" s="79">
        <f>('TUSD BE'!$O$19+'TUSD BF'!$O$19+'TUSD CVA'!$O$19)*1</f>
        <v>0</v>
      </c>
      <c r="P19" s="79">
        <f>('TUSD BE'!$P$19+'TUSD BF'!$P$19+'TUSD CVA'!$P$19)*1</f>
        <v>0</v>
      </c>
      <c r="Q19" s="79">
        <f>('TUSD BE'!$Q$19+'TUSD BF'!$Q$19+'TUSD CVA'!$Q$19)*1</f>
        <v>0</v>
      </c>
      <c r="R19" s="79">
        <f>('TUSD BE'!$R$19+'TUSD BF'!$R$19+'TUSD CVA'!$R$19)*1</f>
        <v>0</v>
      </c>
      <c r="S19" s="79">
        <f>('TUSD BE'!$S$19+'TUSD BF'!$S$19+'TUSD CVA'!$S$19)*1</f>
        <v>0</v>
      </c>
      <c r="T19" s="79">
        <f>('TUSD BE'!$U$19+'TUSD BF'!$U$19+'TUSD CVA'!$U$19)*1</f>
        <v>0</v>
      </c>
      <c r="U19" s="79">
        <f>('TUSD BE'!$V$19+'TUSD BF'!$V$19+'TUSD CVA'!$V$19)*1</f>
        <v>0</v>
      </c>
      <c r="V19" s="79">
        <f>('TUSD BE'!$W$19+'TUSD BF'!$W$19+'TUSD CVA'!$W$19)*1</f>
        <v>0</v>
      </c>
      <c r="W19" s="79">
        <f>('TUSD BE'!$X$19+'TUSD BF'!$X$19+'TUSD CVA'!$X$19)*1</f>
        <v>0</v>
      </c>
      <c r="X19" s="79">
        <f>('TUSD BE'!$Y$19+'TUSD BF'!$Y$19+'TUSD CVA'!$Y$19)*1</f>
        <v>0</v>
      </c>
      <c r="Y19" s="79">
        <f>('TUSD BE'!$Z$19+'TUSD BF'!$Z$19+'TUSD CVA'!$Z$19)*1</f>
        <v>0</v>
      </c>
      <c r="Z19" s="79">
        <f>('TUSD BE'!$AA$19+'TUSD BF'!$AA$19+'TUSD CVA'!$AA$19)*1</f>
        <v>0</v>
      </c>
      <c r="AA19" s="79">
        <f>('TUSD BE'!$AC$19+'TUSD BF'!$AC$19+'TUSD CVA'!$AC$19)*1</f>
        <v>0</v>
      </c>
      <c r="AB19" s="79">
        <f>('TUSD BE'!$AE$19+'TUSD BF'!$AE$19+'TUSD CVA'!$AE$19)*1</f>
        <v>0</v>
      </c>
      <c r="AC19" s="79">
        <f ca="1">('TUSD BE'!$AF$19+'TUSD BF'!$AF$19+'TUSD CVA'!$AF$19)*1</f>
        <v>0</v>
      </c>
      <c r="AD19" s="79">
        <f>('TUSD BE'!$AH$19+'TUSD BF'!$AH$19+'TUSD CVA'!$AH$19)*1</f>
        <v>18.989096226433531</v>
      </c>
      <c r="AE19" s="79">
        <f>('TUSD BE'!$AI$19+'TUSD BF'!$AI$19+'TUSD CVA'!$AI$19)*1</f>
        <v>1.0965199162099917</v>
      </c>
      <c r="AF19" s="79">
        <f ca="1">('TUSD BE'!$AJ$19+'TUSD BF'!$AJ$19+'TUSD CVA'!$AJ$19)*1</f>
        <v>0</v>
      </c>
      <c r="AG19" s="79">
        <f ca="1">('TUSD BE'!$AK$19+'TUSD BF'!$AK$19+'TUSD CVA'!$AK$19)*1</f>
        <v>0</v>
      </c>
      <c r="AI19" s="79">
        <v>0</v>
      </c>
      <c r="AJ19" s="79">
        <v>0</v>
      </c>
      <c r="AK19" s="79">
        <v>0</v>
      </c>
      <c r="AL19" s="79">
        <v>0</v>
      </c>
      <c r="AM19" s="79">
        <v>0</v>
      </c>
      <c r="AN19" s="79">
        <v>0</v>
      </c>
      <c r="AO19" s="79">
        <v>0</v>
      </c>
      <c r="AP19" s="79">
        <v>0</v>
      </c>
      <c r="AQ19" s="79">
        <v>0</v>
      </c>
      <c r="AR19" s="79">
        <v>0</v>
      </c>
      <c r="AS19" s="79">
        <v>0</v>
      </c>
      <c r="AT19" s="79">
        <v>0</v>
      </c>
      <c r="AU19" s="79">
        <v>0</v>
      </c>
      <c r="AV19" s="79">
        <v>0</v>
      </c>
      <c r="AW19" s="79">
        <v>0</v>
      </c>
      <c r="AX19" s="79">
        <v>0</v>
      </c>
      <c r="AY19" s="79">
        <v>0</v>
      </c>
      <c r="AZ19" s="79">
        <v>0</v>
      </c>
      <c r="BA19" s="79">
        <v>16.840398108910101</v>
      </c>
      <c r="BB19" s="79">
        <v>0.88055694124110695</v>
      </c>
      <c r="BC19" s="79">
        <v>0</v>
      </c>
      <c r="BD19" s="79">
        <v>0</v>
      </c>
    </row>
    <row r="20" spans="1:56" ht="11.25" customHeight="1" x14ac:dyDescent="0.25">
      <c r="A20" s="136"/>
      <c r="B20" s="81" t="s">
        <v>64</v>
      </c>
      <c r="C20" s="81" t="s">
        <v>25</v>
      </c>
      <c r="D20" s="81" t="s">
        <v>25</v>
      </c>
      <c r="E20" s="81" t="s">
        <v>25</v>
      </c>
      <c r="F20" s="81" t="s">
        <v>25</v>
      </c>
      <c r="G20" s="21" t="s">
        <v>9</v>
      </c>
      <c r="H20" s="21" t="s">
        <v>93</v>
      </c>
      <c r="I20" s="21">
        <f>'MERCADO TUSD'!$U$17</f>
        <v>38138</v>
      </c>
      <c r="J20" s="17"/>
      <c r="L20" s="79">
        <f>('TUSD BE'!$L$20+'TUSD BF'!$L$20+'TUSD CVA'!$L$20)*1</f>
        <v>0</v>
      </c>
      <c r="M20" s="79">
        <f>('TUSD BE'!$M$20+'TUSD BF'!$M$20+'TUSD CVA'!$M$20)*1</f>
        <v>4.8504286663417932E-2</v>
      </c>
      <c r="N20" s="79">
        <f ca="1">('TUSD BE'!$N$20+'TUSD BF'!$N$20+'TUSD CVA'!$N$20)*1</f>
        <v>0.14113278051431774</v>
      </c>
      <c r="O20" s="79">
        <f>('TUSD BE'!$O$20+'TUSD BF'!$O$20+'TUSD CVA'!$O$20)*1</f>
        <v>0</v>
      </c>
      <c r="P20" s="79">
        <f>('TUSD BE'!$P$20+'TUSD BF'!$P$20+'TUSD CVA'!$P$20)*1</f>
        <v>0</v>
      </c>
      <c r="Q20" s="79">
        <f>('TUSD BE'!$Q$20+'TUSD BF'!$Q$20+'TUSD CVA'!$Q$20)*1</f>
        <v>0</v>
      </c>
      <c r="R20" s="79">
        <f>('TUSD BE'!$R$20+'TUSD BF'!$R$20+'TUSD CVA'!$R$20)*1</f>
        <v>0</v>
      </c>
      <c r="S20" s="79">
        <f>('TUSD BE'!$S$20+'TUSD BF'!$S$20+'TUSD CVA'!$S$20)*1</f>
        <v>0</v>
      </c>
      <c r="T20" s="79">
        <f>('TUSD BE'!$U$20+'TUSD BF'!$U$20+'TUSD CVA'!$U$20)*1</f>
        <v>0</v>
      </c>
      <c r="U20" s="79">
        <f>('TUSD BE'!$V$20+'TUSD BF'!$V$20+'TUSD CVA'!$V$20)*1</f>
        <v>0</v>
      </c>
      <c r="V20" s="79">
        <f>('TUSD BE'!$W$20+'TUSD BF'!$W$20+'TUSD CVA'!$W$20)*1</f>
        <v>0</v>
      </c>
      <c r="W20" s="79">
        <f>('TUSD BE'!$X$20+'TUSD BF'!$X$20+'TUSD CVA'!$X$20)*1</f>
        <v>0</v>
      </c>
      <c r="X20" s="79">
        <f>('TUSD BE'!$Y$20+'TUSD BF'!$Y$20+'TUSD CVA'!$Y$20)*1</f>
        <v>0</v>
      </c>
      <c r="Y20" s="79">
        <f>('TUSD BE'!$Z$20+'TUSD BF'!$Z$20+'TUSD CVA'!$Z$20)*1</f>
        <v>0</v>
      </c>
      <c r="Z20" s="79">
        <f>('TUSD BE'!$AA$20+'TUSD BF'!$AA$20+'TUSD CVA'!$AA$20)*1</f>
        <v>0</v>
      </c>
      <c r="AA20" s="79">
        <f>('TUSD BE'!$AC$20+'TUSD BF'!$AC$20+'TUSD CVA'!$AC$20)*1</f>
        <v>14.891743732312817</v>
      </c>
      <c r="AB20" s="79">
        <f ca="1">('TUSD BE'!$AE$20+'TUSD BF'!$AE$20+'TUSD CVA'!$AE$20)*1</f>
        <v>1.8891853859577791E-2</v>
      </c>
      <c r="AC20" s="79">
        <f ca="1">('TUSD BE'!$AF$20+'TUSD BF'!$AF$20+'TUSD CVA'!$AF$20)*1</f>
        <v>0</v>
      </c>
      <c r="AD20" s="79">
        <f>('TUSD BE'!$AH$20+'TUSD BF'!$AH$20+'TUSD CVA'!$AH$20)*1</f>
        <v>1.0633085772284085E-3</v>
      </c>
      <c r="AE20" s="79">
        <f>('TUSD BE'!$AI$20+'TUSD BF'!$AI$20+'TUSD CVA'!$AI$20)*1</f>
        <v>0</v>
      </c>
      <c r="AF20" s="79">
        <f ca="1">('TUSD BE'!$AJ$20+'TUSD BF'!$AJ$20+'TUSD CVA'!$AJ$20)*1</f>
        <v>0</v>
      </c>
      <c r="AG20" s="79">
        <f ca="1">('TUSD BE'!$AK$20+'TUSD BF'!$AK$20+'TUSD CVA'!$AK$20)*1</f>
        <v>0</v>
      </c>
      <c r="AI20" s="79">
        <v>0</v>
      </c>
      <c r="AJ20" s="79">
        <v>4.6237282835798497E-2</v>
      </c>
      <c r="AK20" s="79">
        <v>0.11699299657100901</v>
      </c>
      <c r="AL20" s="79">
        <v>0</v>
      </c>
      <c r="AM20" s="79">
        <v>0</v>
      </c>
      <c r="AN20" s="79">
        <v>0</v>
      </c>
      <c r="AO20" s="79">
        <v>0</v>
      </c>
      <c r="AP20" s="79">
        <v>0</v>
      </c>
      <c r="AQ20" s="79">
        <v>0</v>
      </c>
      <c r="AR20" s="79">
        <v>0</v>
      </c>
      <c r="AS20" s="79">
        <v>0</v>
      </c>
      <c r="AT20" s="79">
        <v>0</v>
      </c>
      <c r="AU20" s="79">
        <v>0</v>
      </c>
      <c r="AV20" s="79">
        <v>0</v>
      </c>
      <c r="AW20" s="79">
        <v>0</v>
      </c>
      <c r="AX20" s="79">
        <v>12.711031594637101</v>
      </c>
      <c r="AY20" s="79">
        <v>-0.88225311691451402</v>
      </c>
      <c r="AZ20" s="79">
        <v>0</v>
      </c>
      <c r="BA20" s="79">
        <v>9.4299062681133005E-4</v>
      </c>
      <c r="BB20" s="79">
        <v>0</v>
      </c>
      <c r="BC20" s="79">
        <v>0</v>
      </c>
      <c r="BD20" s="79">
        <v>0</v>
      </c>
    </row>
    <row r="21" spans="1:56" ht="11.25" customHeight="1" x14ac:dyDescent="0.25">
      <c r="A21" s="136"/>
      <c r="B21" s="136" t="s">
        <v>34</v>
      </c>
      <c r="C21" s="136" t="s">
        <v>25</v>
      </c>
      <c r="D21" s="136" t="s">
        <v>25</v>
      </c>
      <c r="E21" s="136" t="s">
        <v>25</v>
      </c>
      <c r="F21" s="136" t="s">
        <v>25</v>
      </c>
      <c r="G21" s="21" t="s">
        <v>9</v>
      </c>
      <c r="H21" s="21" t="s">
        <v>93</v>
      </c>
      <c r="I21" s="21">
        <f>'MERCADO TUSD'!$U$18</f>
        <v>3390140</v>
      </c>
      <c r="J21" s="17"/>
      <c r="L21" s="79">
        <f>('TUSD BE'!$L$21+'TUSD BF'!$L$21+'TUSD CVA'!$L$21)*1</f>
        <v>0</v>
      </c>
      <c r="M21" s="79">
        <f>('TUSD BE'!$M$21+'TUSD BF'!$M$21+'TUSD CVA'!$M$21)*1</f>
        <v>0</v>
      </c>
      <c r="N21" s="79">
        <f ca="1">('TUSD BE'!$N$21+'TUSD BF'!$N$21+'TUSD CVA'!$N$21)*1</f>
        <v>0</v>
      </c>
      <c r="O21" s="79">
        <f>('TUSD BE'!$O$21+'TUSD BF'!$O$21+'TUSD CVA'!$O$21)*1</f>
        <v>0</v>
      </c>
      <c r="P21" s="79">
        <f>('TUSD BE'!$P$21+'TUSD BF'!$P$21+'TUSD CVA'!$P$21)*1</f>
        <v>0</v>
      </c>
      <c r="Q21" s="79">
        <f>('TUSD BE'!$Q$21+'TUSD BF'!$Q$21+'TUSD CVA'!$Q$21)*1</f>
        <v>0</v>
      </c>
      <c r="R21" s="79">
        <f>('TUSD BE'!$R$21+'TUSD BF'!$R$21+'TUSD CVA'!$R$21)*1</f>
        <v>0</v>
      </c>
      <c r="S21" s="79">
        <f>('TUSD BE'!$S$21+'TUSD BF'!$S$21+'TUSD CVA'!$S$21)*1</f>
        <v>0</v>
      </c>
      <c r="T21" s="79">
        <f>('TUSD BE'!$U$21+'TUSD BF'!$U$21+'TUSD CVA'!$U$21)*1</f>
        <v>4.9077922256262836</v>
      </c>
      <c r="U21" s="79">
        <f>('TUSD BE'!$V$21+'TUSD BF'!$V$21+'TUSD CVA'!$V$21)*1</f>
        <v>1.2629566759793867</v>
      </c>
      <c r="V21" s="79">
        <f>('TUSD BE'!$W$21+'TUSD BF'!$W$21+'TUSD CVA'!$W$21)*1</f>
        <v>0.34986161714578262</v>
      </c>
      <c r="W21" s="79">
        <f>('TUSD BE'!$X$21+'TUSD BF'!$X$21+'TUSD CVA'!$X$21)*1</f>
        <v>0</v>
      </c>
      <c r="X21" s="79">
        <f>('TUSD BE'!$Y$21+'TUSD BF'!$Y$21+'TUSD CVA'!$Y$21)*1</f>
        <v>0.12810747621222185</v>
      </c>
      <c r="Y21" s="79">
        <f>('TUSD BE'!$Z$21+'TUSD BF'!$Z$21+'TUSD CVA'!$Z$21)*1</f>
        <v>0</v>
      </c>
      <c r="Z21" s="79">
        <f>('TUSD BE'!$AA$21+'TUSD BF'!$AA$21+'TUSD CVA'!$AA$21)*1</f>
        <v>0</v>
      </c>
      <c r="AA21" s="79">
        <f>('TUSD BE'!$AC$21+'TUSD BF'!$AC$21+'TUSD CVA'!$AC$21)*1</f>
        <v>17.987527145834864</v>
      </c>
      <c r="AB21" s="79">
        <f ca="1">('TUSD BE'!$AE$21+'TUSD BF'!$AE$21+'TUSD CVA'!$AE$21)*1</f>
        <v>3.3153680479047425E-2</v>
      </c>
      <c r="AC21" s="79">
        <f ca="1">('TUSD BE'!$AF$21+'TUSD BF'!$AF$21+'TUSD CVA'!$AF$21)*1</f>
        <v>0</v>
      </c>
      <c r="AD21" s="79">
        <f>('TUSD BE'!$AH$21+'TUSD BF'!$AH$21+'TUSD CVA'!$AH$21)*1</f>
        <v>0</v>
      </c>
      <c r="AE21" s="79">
        <f>('TUSD BE'!$AI$21+'TUSD BF'!$AI$21+'TUSD CVA'!$AI$21)*1</f>
        <v>0</v>
      </c>
      <c r="AF21" s="79">
        <f ca="1">('TUSD BE'!$AJ$21+'TUSD BF'!$AJ$21+'TUSD CVA'!$AJ$21)*1</f>
        <v>0</v>
      </c>
      <c r="AG21" s="79">
        <f ca="1">('TUSD BE'!$AK$21+'TUSD BF'!$AK$21+'TUSD CVA'!$AK$21)*1</f>
        <v>0</v>
      </c>
      <c r="AI21" s="79">
        <v>0</v>
      </c>
      <c r="AJ21" s="79">
        <v>0</v>
      </c>
      <c r="AK21" s="79">
        <v>0</v>
      </c>
      <c r="AL21" s="79">
        <v>0</v>
      </c>
      <c r="AM21" s="79">
        <v>0</v>
      </c>
      <c r="AN21" s="79">
        <v>0</v>
      </c>
      <c r="AO21" s="79">
        <v>0</v>
      </c>
      <c r="AP21" s="79">
        <v>0</v>
      </c>
      <c r="AQ21" s="79">
        <v>5.0720151083478999</v>
      </c>
      <c r="AR21" s="79">
        <v>1.89592026482308</v>
      </c>
      <c r="AS21" s="79">
        <v>0.39143299313831098</v>
      </c>
      <c r="AT21" s="79">
        <v>0</v>
      </c>
      <c r="AU21" s="79">
        <v>0.15391706298601299</v>
      </c>
      <c r="AV21" s="79">
        <v>0</v>
      </c>
      <c r="AW21" s="79">
        <v>0</v>
      </c>
      <c r="AX21" s="79">
        <v>16.161553392129601</v>
      </c>
      <c r="AY21" s="79">
        <v>-1.8271792728204199</v>
      </c>
      <c r="AZ21" s="79">
        <v>0</v>
      </c>
      <c r="BA21" s="79">
        <v>0</v>
      </c>
      <c r="BB21" s="79">
        <v>0</v>
      </c>
      <c r="BC21" s="79">
        <v>0</v>
      </c>
      <c r="BD21" s="79">
        <v>0</v>
      </c>
    </row>
    <row r="22" spans="1:56" ht="11.25" customHeight="1" x14ac:dyDescent="0.25">
      <c r="A22" s="136"/>
      <c r="B22" s="136"/>
      <c r="C22" s="136"/>
      <c r="D22" s="136"/>
      <c r="E22" s="136"/>
      <c r="F22" s="136"/>
      <c r="G22" s="21" t="s">
        <v>91</v>
      </c>
      <c r="H22" s="21" t="s">
        <v>90</v>
      </c>
      <c r="I22" s="21">
        <f>'MERCADO TUSD'!$U$19</f>
        <v>49009.922999999995</v>
      </c>
      <c r="J22" s="17"/>
      <c r="L22" s="79">
        <f>('TUSD BE'!$L$22+'TUSD BF'!$L$22+'TUSD CVA'!$L$22)*1</f>
        <v>8.6770275911764081</v>
      </c>
      <c r="M22" s="79">
        <f>('TUSD BE'!$M$22+'TUSD BF'!$M$22+'TUSD CVA'!$M$22)*1</f>
        <v>0.58041322814374718</v>
      </c>
      <c r="N22" s="79">
        <f ca="1">('TUSD BE'!$N$22+'TUSD BF'!$N$22+'TUSD CVA'!$N$22)*1</f>
        <v>16.96701705165335</v>
      </c>
      <c r="O22" s="79">
        <f>('TUSD BE'!$O$22+'TUSD BF'!$O$22+'TUSD CVA'!$O$22)*1</f>
        <v>-1.5285559498368537E-3</v>
      </c>
      <c r="P22" s="79">
        <f>('TUSD BE'!$P$22+'TUSD BF'!$P$22+'TUSD CVA'!$P$22)*1</f>
        <v>0</v>
      </c>
      <c r="Q22" s="79">
        <f>('TUSD BE'!$Q$22+'TUSD BF'!$Q$22+'TUSD CVA'!$Q$22)*1</f>
        <v>34.152786501995664</v>
      </c>
      <c r="R22" s="79">
        <f>('TUSD BE'!$R$22+'TUSD BF'!$R$22+'TUSD CVA'!$R$22)*1</f>
        <v>16.690821434365507</v>
      </c>
      <c r="S22" s="79">
        <f>('TUSD BE'!$S$22+'TUSD BF'!$S$22+'TUSD CVA'!$S$22)*1</f>
        <v>0</v>
      </c>
      <c r="T22" s="79">
        <f>('TUSD BE'!$U$22+'TUSD BF'!$U$22+'TUSD CVA'!$U$22)*1</f>
        <v>215.98220177106484</v>
      </c>
      <c r="U22" s="79">
        <f>('TUSD BE'!$V$22+'TUSD BF'!$V$22+'TUSD CVA'!$V$22)*1</f>
        <v>55.376817455502355</v>
      </c>
      <c r="V22" s="79">
        <f>('TUSD BE'!$W$22+'TUSD BF'!$W$22+'TUSD CVA'!$W$22)*1</f>
        <v>15.053587447811148</v>
      </c>
      <c r="W22" s="79">
        <f>('TUSD BE'!$X$22+'TUSD BF'!$X$22+'TUSD CVA'!$X$22)*1</f>
        <v>0</v>
      </c>
      <c r="X22" s="79">
        <f>('TUSD BE'!$Y$22+'TUSD BF'!$Y$22+'TUSD CVA'!$Y$22)*1</f>
        <v>11.65796872865956</v>
      </c>
      <c r="Y22" s="79">
        <f>('TUSD BE'!$Z$22+'TUSD BF'!$Z$22+'TUSD CVA'!$Z$22)*1</f>
        <v>0</v>
      </c>
      <c r="Z22" s="79">
        <f>('TUSD BE'!$AA$22+'TUSD BF'!$AA$22+'TUSD CVA'!$AA$22)*1</f>
        <v>0</v>
      </c>
      <c r="AA22" s="79">
        <f>('TUSD BE'!$AC$22+'TUSD BF'!$AC$22+'TUSD CVA'!$AC$22)*1</f>
        <v>1365.3313443775626</v>
      </c>
      <c r="AB22" s="79">
        <f ca="1">('TUSD BE'!$AE$22+'TUSD BF'!$AE$22+'TUSD CVA'!$AE$22)*1</f>
        <v>2.3479619810919337</v>
      </c>
      <c r="AC22" s="79">
        <f ca="1">('TUSD BE'!$AF$22+'TUSD BF'!$AF$22+'TUSD CVA'!$AF$22)*1</f>
        <v>0</v>
      </c>
      <c r="AD22" s="79">
        <f>('TUSD BE'!$AH$22+'TUSD BF'!$AH$22+'TUSD CVA'!$AH$22)*1</f>
        <v>18.989096226433531</v>
      </c>
      <c r="AE22" s="79">
        <f>('TUSD BE'!$AI$22+'TUSD BF'!$AI$22+'TUSD CVA'!$AI$22)*1</f>
        <v>1.0965199162099917</v>
      </c>
      <c r="AF22" s="79">
        <f ca="1">('TUSD BE'!$AJ$22+'TUSD BF'!$AJ$22+'TUSD CVA'!$AJ$22)*1</f>
        <v>27.329669506210955</v>
      </c>
      <c r="AG22" s="79">
        <f ca="1">('TUSD BE'!$AK$22+'TUSD BF'!$AK$22+'TUSD CVA'!$AK$22)*1</f>
        <v>8.9002949898136379</v>
      </c>
      <c r="AI22" s="79">
        <v>0</v>
      </c>
      <c r="AJ22" s="79">
        <v>0.49335662240218697</v>
      </c>
      <c r="AK22" s="79">
        <v>14.016895210567901</v>
      </c>
      <c r="AL22" s="79">
        <v>-1.34746813487984E-3</v>
      </c>
      <c r="AM22" s="79">
        <v>0</v>
      </c>
      <c r="AN22" s="79">
        <v>21.876075810711299</v>
      </c>
      <c r="AO22" s="79">
        <v>16.006661772939498</v>
      </c>
      <c r="AP22" s="79">
        <v>0</v>
      </c>
      <c r="AQ22" s="79">
        <v>223.20932512119401</v>
      </c>
      <c r="AR22" s="79">
        <v>83.130349925802903</v>
      </c>
      <c r="AS22" s="79">
        <v>16.8422899323383</v>
      </c>
      <c r="AT22" s="79">
        <v>0</v>
      </c>
      <c r="AU22" s="79">
        <v>14.006679080349199</v>
      </c>
      <c r="AV22" s="79">
        <v>0</v>
      </c>
      <c r="AW22" s="79">
        <v>0</v>
      </c>
      <c r="AX22" s="79">
        <v>1226.73201497936</v>
      </c>
      <c r="AY22" s="79">
        <v>-123.627969975553</v>
      </c>
      <c r="AZ22" s="79">
        <v>0</v>
      </c>
      <c r="BA22" s="79">
        <v>16.840398108910101</v>
      </c>
      <c r="BB22" s="79">
        <v>0.88055694124110695</v>
      </c>
      <c r="BC22" s="79">
        <v>24.466354917113101</v>
      </c>
      <c r="BD22" s="79">
        <v>6.3461953373286599</v>
      </c>
    </row>
    <row r="23" spans="1:56" ht="11.25" customHeight="1" x14ac:dyDescent="0.25">
      <c r="A23" s="136"/>
      <c r="B23" s="136"/>
      <c r="C23" s="136"/>
      <c r="D23" s="136"/>
      <c r="E23" s="136"/>
      <c r="F23" s="136"/>
      <c r="G23" s="21" t="s">
        <v>92</v>
      </c>
      <c r="H23" s="21" t="s">
        <v>90</v>
      </c>
      <c r="I23" s="21">
        <f>'MERCADO TUSD'!$U$20</f>
        <v>680185.39</v>
      </c>
      <c r="J23" s="17"/>
      <c r="L23" s="79">
        <f>('TUSD BE'!$L$23+'TUSD BF'!$L$23+'TUSD CVA'!$L$23)*1</f>
        <v>8.6770275911764081</v>
      </c>
      <c r="M23" s="79">
        <f>('TUSD BE'!$M$23+'TUSD BF'!$M$23+'TUSD CVA'!$M$23)*1</f>
        <v>0.58041322814374718</v>
      </c>
      <c r="N23" s="79">
        <f ca="1">('TUSD BE'!$N$23+'TUSD BF'!$N$23+'TUSD CVA'!$N$23)*1</f>
        <v>1.0331376244843107</v>
      </c>
      <c r="O23" s="79">
        <f>('TUSD BE'!$O$23+'TUSD BF'!$O$23+'TUSD CVA'!$O$23)*1</f>
        <v>-1.5285559498368537E-3</v>
      </c>
      <c r="P23" s="79">
        <f>('TUSD BE'!$P$23+'TUSD BF'!$P$23+'TUSD CVA'!$P$23)*1</f>
        <v>0</v>
      </c>
      <c r="Q23" s="79">
        <f>('TUSD BE'!$Q$23+'TUSD BF'!$Q$23+'TUSD CVA'!$Q$23)*1</f>
        <v>34.152786501995664</v>
      </c>
      <c r="R23" s="79">
        <f>('TUSD BE'!$R$23+'TUSD BF'!$R$23+'TUSD CVA'!$R$23)*1</f>
        <v>16.690821434365507</v>
      </c>
      <c r="S23" s="79">
        <f>('TUSD BE'!$S$23+'TUSD BF'!$S$23+'TUSD CVA'!$S$23)*1</f>
        <v>0</v>
      </c>
      <c r="T23" s="79">
        <f>('TUSD BE'!$U$23+'TUSD BF'!$U$23+'TUSD CVA'!$U$23)*1</f>
        <v>0</v>
      </c>
      <c r="U23" s="79">
        <f>('TUSD BE'!$V$23+'TUSD BF'!$V$23+'TUSD CVA'!$V$23)*1</f>
        <v>0</v>
      </c>
      <c r="V23" s="79">
        <f>('TUSD BE'!$W$23+'TUSD BF'!$W$23+'TUSD CVA'!$W$23)*1</f>
        <v>0</v>
      </c>
      <c r="W23" s="79">
        <f>('TUSD BE'!$X$23+'TUSD BF'!$X$23+'TUSD CVA'!$X$23)*1</f>
        <v>0</v>
      </c>
      <c r="X23" s="79">
        <f>('TUSD BE'!$Y$23+'TUSD BF'!$Y$23+'TUSD CVA'!$Y$23)*1</f>
        <v>0</v>
      </c>
      <c r="Y23" s="79">
        <f>('TUSD BE'!$Z$23+'TUSD BF'!$Z$23+'TUSD CVA'!$Z$23)*1</f>
        <v>0</v>
      </c>
      <c r="Z23" s="79">
        <f>('TUSD BE'!$AA$23+'TUSD BF'!$AA$23+'TUSD CVA'!$AA$23)*1</f>
        <v>0</v>
      </c>
      <c r="AA23" s="79">
        <f>('TUSD BE'!$AC$23+'TUSD BF'!$AC$23+'TUSD CVA'!$AC$23)*1</f>
        <v>0</v>
      </c>
      <c r="AB23" s="79">
        <f ca="1">('TUSD BE'!$AE$23+'TUSD BF'!$AE$23+'TUSD CVA'!$AE$23)*1</f>
        <v>0.14290683035679777</v>
      </c>
      <c r="AC23" s="79">
        <f ca="1">('TUSD BE'!$AF$23+'TUSD BF'!$AF$23+'TUSD CVA'!$AF$23)*1</f>
        <v>0</v>
      </c>
      <c r="AD23" s="79">
        <f>('TUSD BE'!$AH$23+'TUSD BF'!$AH$23+'TUSD CVA'!$AH$23)*1</f>
        <v>18.989096226433531</v>
      </c>
      <c r="AE23" s="79">
        <f>('TUSD BE'!$AI$23+'TUSD BF'!$AI$23+'TUSD CVA'!$AI$23)*1</f>
        <v>1.0965199162099917</v>
      </c>
      <c r="AF23" s="79">
        <f ca="1">('TUSD BE'!$AJ$23+'TUSD BF'!$AJ$23+'TUSD CVA'!$AJ$23)*1</f>
        <v>27.329669506210955</v>
      </c>
      <c r="AG23" s="79">
        <f ca="1">('TUSD BE'!$AK$23+'TUSD BF'!$AK$23+'TUSD CVA'!$AK$23)*1</f>
        <v>8.9002949898136379</v>
      </c>
      <c r="AI23" s="79">
        <v>0</v>
      </c>
      <c r="AJ23" s="79">
        <v>0.49335662240218697</v>
      </c>
      <c r="AK23" s="79">
        <v>0.80839542481790405</v>
      </c>
      <c r="AL23" s="79">
        <v>-1.34746813487984E-3</v>
      </c>
      <c r="AM23" s="79">
        <v>0</v>
      </c>
      <c r="AN23" s="79">
        <v>21.876075810711299</v>
      </c>
      <c r="AO23" s="79">
        <v>16.006661772939498</v>
      </c>
      <c r="AP23" s="79">
        <v>0</v>
      </c>
      <c r="AQ23" s="79">
        <v>0</v>
      </c>
      <c r="AR23" s="79">
        <v>0</v>
      </c>
      <c r="AS23" s="79">
        <v>0</v>
      </c>
      <c r="AT23" s="79">
        <v>0</v>
      </c>
      <c r="AU23" s="79">
        <v>0</v>
      </c>
      <c r="AV23" s="79">
        <v>0</v>
      </c>
      <c r="AW23" s="79">
        <v>0</v>
      </c>
      <c r="AX23" s="79">
        <v>0</v>
      </c>
      <c r="AY23" s="79">
        <v>-6.6307524757052896</v>
      </c>
      <c r="AZ23" s="79">
        <v>0</v>
      </c>
      <c r="BA23" s="79">
        <v>16.840398108910101</v>
      </c>
      <c r="BB23" s="79">
        <v>0.88055694124110695</v>
      </c>
      <c r="BC23" s="79">
        <v>24.466354917113101</v>
      </c>
      <c r="BD23" s="79">
        <v>6.3461953373286599</v>
      </c>
    </row>
    <row r="24" spans="1:56" ht="11.25" customHeight="1" x14ac:dyDescent="0.25">
      <c r="A24" s="136"/>
      <c r="B24" s="136"/>
      <c r="C24" s="136"/>
      <c r="D24" s="136"/>
      <c r="E24" s="136" t="s">
        <v>58</v>
      </c>
      <c r="F24" s="136" t="s">
        <v>25</v>
      </c>
      <c r="G24" s="21" t="s">
        <v>91</v>
      </c>
      <c r="H24" s="21" t="s">
        <v>90</v>
      </c>
      <c r="I24" s="21">
        <f>'MERCADO TUSD'!$U$21</f>
        <v>0</v>
      </c>
      <c r="J24" s="17"/>
      <c r="L24" s="79">
        <f>('TUSD BE'!$L$24+'TUSD BF'!$L$24+'TUSD CVA'!$L$24)*1</f>
        <v>0</v>
      </c>
      <c r="M24" s="79">
        <f>('TUSD BE'!$M$24+'TUSD BF'!$M$24+'TUSD CVA'!$M$24)*1</f>
        <v>0.58041322814374718</v>
      </c>
      <c r="N24" s="79">
        <f ca="1">('TUSD BE'!$N$24+'TUSD BF'!$N$24+'TUSD CVA'!$N$24)*1</f>
        <v>16.955524154217329</v>
      </c>
      <c r="O24" s="79">
        <f>('TUSD BE'!$O$24+'TUSD BF'!$O$24+'TUSD CVA'!$O$24)*1</f>
        <v>-1.5285559498368537E-3</v>
      </c>
      <c r="P24" s="79">
        <f>('TUSD BE'!$P$24+'TUSD BF'!$P$24+'TUSD CVA'!$P$24)*1</f>
        <v>0</v>
      </c>
      <c r="Q24" s="79">
        <f>('TUSD BE'!$Q$24+'TUSD BF'!$Q$24+'TUSD CVA'!$Q$24)*1</f>
        <v>0</v>
      </c>
      <c r="R24" s="79">
        <f>('TUSD BE'!$R$24+'TUSD BF'!$R$24+'TUSD CVA'!$R$24)*1</f>
        <v>0</v>
      </c>
      <c r="S24" s="79">
        <f>('TUSD BE'!$S$24+'TUSD BF'!$S$24+'TUSD CVA'!$S$24)*1</f>
        <v>0</v>
      </c>
      <c r="T24" s="79">
        <f>('TUSD BE'!$U$24+'TUSD BF'!$U$24+'TUSD CVA'!$U$24)*1</f>
        <v>215.98220177106484</v>
      </c>
      <c r="U24" s="79">
        <f>('TUSD BE'!$V$24+'TUSD BF'!$V$24+'TUSD CVA'!$V$24)*1</f>
        <v>55.376817455502355</v>
      </c>
      <c r="V24" s="79">
        <f>('TUSD BE'!$W$24+'TUSD BF'!$W$24+'TUSD CVA'!$W$24)*1</f>
        <v>15.053587447811148</v>
      </c>
      <c r="W24" s="79">
        <f>('TUSD BE'!$X$24+'TUSD BF'!$X$24+'TUSD CVA'!$X$24)*1</f>
        <v>0</v>
      </c>
      <c r="X24" s="79">
        <f>('TUSD BE'!$Y$24+'TUSD BF'!$Y$24+'TUSD CVA'!$Y$24)*1</f>
        <v>11.65796872865956</v>
      </c>
      <c r="Y24" s="79">
        <f>('TUSD BE'!$Z$24+'TUSD BF'!$Z$24+'TUSD CVA'!$Z$24)*1</f>
        <v>0</v>
      </c>
      <c r="Z24" s="79">
        <f>('TUSD BE'!$AA$24+'TUSD BF'!$AA$24+'TUSD CVA'!$AA$24)*1</f>
        <v>0</v>
      </c>
      <c r="AA24" s="79">
        <f>('TUSD BE'!$AC$24+'TUSD BF'!$AC$24+'TUSD CVA'!$AC$24)*1</f>
        <v>1365.3313443775626</v>
      </c>
      <c r="AB24" s="79">
        <f ca="1">('TUSD BE'!$AE$24+'TUSD BF'!$AE$24+'TUSD CVA'!$AE$24)*1</f>
        <v>2.2743200896586937</v>
      </c>
      <c r="AC24" s="79">
        <f ca="1">('TUSD BE'!$AF$24+'TUSD BF'!$AF$24+'TUSD CVA'!$AF$24)*1</f>
        <v>0</v>
      </c>
      <c r="AD24" s="79">
        <f>('TUSD BE'!$AH$24+'TUSD BF'!$AH$24+'TUSD CVA'!$AH$24)*1</f>
        <v>18.989096226433531</v>
      </c>
      <c r="AE24" s="79">
        <f>('TUSD BE'!$AI$24+'TUSD BF'!$AI$24+'TUSD CVA'!$AI$24)*1</f>
        <v>1.0965199162099917</v>
      </c>
      <c r="AF24" s="79">
        <f ca="1">('TUSD BE'!$AJ$24+'TUSD BF'!$AJ$24+'TUSD CVA'!$AJ$24)*1</f>
        <v>27.329669506210955</v>
      </c>
      <c r="AG24" s="79">
        <f ca="1">('TUSD BE'!$AK$24+'TUSD BF'!$AK$24+'TUSD CVA'!$AK$24)*1</f>
        <v>8.9002949898136379</v>
      </c>
      <c r="AI24" s="79">
        <v>0</v>
      </c>
      <c r="AJ24" s="79">
        <v>0.49335662240218697</v>
      </c>
      <c r="AK24" s="79">
        <v>14.007368093583199</v>
      </c>
      <c r="AL24" s="79">
        <v>-1.34746813487984E-3</v>
      </c>
      <c r="AM24" s="79">
        <v>0</v>
      </c>
      <c r="AN24" s="79">
        <v>0</v>
      </c>
      <c r="AO24" s="79">
        <v>0</v>
      </c>
      <c r="AP24" s="79">
        <v>0</v>
      </c>
      <c r="AQ24" s="79">
        <v>223.20932512119401</v>
      </c>
      <c r="AR24" s="79">
        <v>83.130349925802903</v>
      </c>
      <c r="AS24" s="79">
        <v>16.8422899323383</v>
      </c>
      <c r="AT24" s="79">
        <v>0</v>
      </c>
      <c r="AU24" s="79">
        <v>14.006679080349199</v>
      </c>
      <c r="AV24" s="79">
        <v>0</v>
      </c>
      <c r="AW24" s="79">
        <v>0</v>
      </c>
      <c r="AX24" s="79">
        <v>1226.73201497936</v>
      </c>
      <c r="AY24" s="79">
        <v>-120.377246356773</v>
      </c>
      <c r="AZ24" s="79">
        <v>0</v>
      </c>
      <c r="BA24" s="79">
        <v>16.840398108910101</v>
      </c>
      <c r="BB24" s="79">
        <v>0.88055694124110695</v>
      </c>
      <c r="BC24" s="79">
        <v>24.466354917113101</v>
      </c>
      <c r="BD24" s="79">
        <v>6.3461953373286599</v>
      </c>
    </row>
    <row r="25" spans="1:56" ht="11.25" customHeight="1" x14ac:dyDescent="0.25">
      <c r="A25" s="136"/>
      <c r="B25" s="136"/>
      <c r="C25" s="136"/>
      <c r="D25" s="136"/>
      <c r="E25" s="136"/>
      <c r="F25" s="136"/>
      <c r="G25" s="21" t="s">
        <v>92</v>
      </c>
      <c r="H25" s="21" t="s">
        <v>90</v>
      </c>
      <c r="I25" s="21">
        <f>'MERCADO TUSD'!$U$22</f>
        <v>0</v>
      </c>
      <c r="J25" s="17"/>
      <c r="L25" s="79">
        <f>('TUSD BE'!$L$25+'TUSD BF'!$L$25+'TUSD CVA'!$L$25)*1</f>
        <v>0</v>
      </c>
      <c r="M25" s="79">
        <f>('TUSD BE'!$M$25+'TUSD BF'!$M$25+'TUSD CVA'!$M$25)*1</f>
        <v>0.58041322814374718</v>
      </c>
      <c r="N25" s="79">
        <f ca="1">('TUSD BE'!$N$25+'TUSD BF'!$N$25+'TUSD CVA'!$N$25)*1</f>
        <v>1.0216447270482911</v>
      </c>
      <c r="O25" s="79">
        <f>('TUSD BE'!$O$25+'TUSD BF'!$O$25+'TUSD CVA'!$O$25)*1</f>
        <v>-1.5285559498368537E-3</v>
      </c>
      <c r="P25" s="79">
        <f>('TUSD BE'!$P$25+'TUSD BF'!$P$25+'TUSD CVA'!$P$25)*1</f>
        <v>0</v>
      </c>
      <c r="Q25" s="79">
        <f>('TUSD BE'!$Q$25+'TUSD BF'!$Q$25+'TUSD CVA'!$Q$25)*1</f>
        <v>0</v>
      </c>
      <c r="R25" s="79">
        <f>('TUSD BE'!$R$25+'TUSD BF'!$R$25+'TUSD CVA'!$R$25)*1</f>
        <v>0</v>
      </c>
      <c r="S25" s="79">
        <f>('TUSD BE'!$S$25+'TUSD BF'!$S$25+'TUSD CVA'!$S$25)*1</f>
        <v>0</v>
      </c>
      <c r="T25" s="79">
        <f>('TUSD BE'!$U$25+'TUSD BF'!$U$25+'TUSD CVA'!$U$25)*1</f>
        <v>0</v>
      </c>
      <c r="U25" s="79">
        <f>('TUSD BE'!$V$25+'TUSD BF'!$V$25+'TUSD CVA'!$V$25)*1</f>
        <v>0</v>
      </c>
      <c r="V25" s="79">
        <f>('TUSD BE'!$W$25+'TUSD BF'!$W$25+'TUSD CVA'!$W$25)*1</f>
        <v>0</v>
      </c>
      <c r="W25" s="79">
        <f>('TUSD BE'!$X$25+'TUSD BF'!$X$25+'TUSD CVA'!$X$25)*1</f>
        <v>0</v>
      </c>
      <c r="X25" s="79">
        <f>('TUSD BE'!$Y$25+'TUSD BF'!$Y$25+'TUSD CVA'!$Y$25)*1</f>
        <v>0</v>
      </c>
      <c r="Y25" s="79">
        <f>('TUSD BE'!$Z$25+'TUSD BF'!$Z$25+'TUSD CVA'!$Z$25)*1</f>
        <v>0</v>
      </c>
      <c r="Z25" s="79">
        <f>('TUSD BE'!$AA$25+'TUSD BF'!$AA$25+'TUSD CVA'!$AA$25)*1</f>
        <v>0</v>
      </c>
      <c r="AA25" s="79">
        <f>('TUSD BE'!$AC$25+'TUSD BF'!$AC$25+'TUSD CVA'!$AC$25)*1</f>
        <v>0</v>
      </c>
      <c r="AB25" s="79">
        <f ca="1">('TUSD BE'!$AE$25+'TUSD BF'!$AE$25+'TUSD CVA'!$AE$25)*1</f>
        <v>6.9264938923557867E-2</v>
      </c>
      <c r="AC25" s="79">
        <f ca="1">('TUSD BE'!$AF$25+'TUSD BF'!$AF$25+'TUSD CVA'!$AF$25)*1</f>
        <v>0</v>
      </c>
      <c r="AD25" s="79">
        <f>('TUSD BE'!$AH$25+'TUSD BF'!$AH$25+'TUSD CVA'!$AH$25)*1</f>
        <v>18.989096226433531</v>
      </c>
      <c r="AE25" s="79">
        <f>('TUSD BE'!$AI$25+'TUSD BF'!$AI$25+'TUSD CVA'!$AI$25)*1</f>
        <v>1.0965199162099917</v>
      </c>
      <c r="AF25" s="79">
        <f ca="1">('TUSD BE'!$AJ$25+'TUSD BF'!$AJ$25+'TUSD CVA'!$AJ$25)*1</f>
        <v>27.329669506210955</v>
      </c>
      <c r="AG25" s="79">
        <f ca="1">('TUSD BE'!$AK$25+'TUSD BF'!$AK$25+'TUSD CVA'!$AK$25)*1</f>
        <v>8.9002949898136379</v>
      </c>
      <c r="AI25" s="79">
        <v>0</v>
      </c>
      <c r="AJ25" s="79">
        <v>0.49335662240218697</v>
      </c>
      <c r="AK25" s="79">
        <v>0.79886830783329399</v>
      </c>
      <c r="AL25" s="79">
        <v>-1.34746813487984E-3</v>
      </c>
      <c r="AM25" s="79">
        <v>0</v>
      </c>
      <c r="AN25" s="79">
        <v>0</v>
      </c>
      <c r="AO25" s="79">
        <v>0</v>
      </c>
      <c r="AP25" s="79">
        <v>0</v>
      </c>
      <c r="AQ25" s="79">
        <v>0</v>
      </c>
      <c r="AR25" s="79">
        <v>0</v>
      </c>
      <c r="AS25" s="79">
        <v>0</v>
      </c>
      <c r="AT25" s="79">
        <v>0</v>
      </c>
      <c r="AU25" s="79">
        <v>0</v>
      </c>
      <c r="AV25" s="79">
        <v>0</v>
      </c>
      <c r="AW25" s="79">
        <v>0</v>
      </c>
      <c r="AX25" s="79">
        <v>0</v>
      </c>
      <c r="AY25" s="79">
        <v>-3.3800288569253198</v>
      </c>
      <c r="AZ25" s="79">
        <v>0</v>
      </c>
      <c r="BA25" s="79">
        <v>16.840398108910101</v>
      </c>
      <c r="BB25" s="79">
        <v>0.88055694124110695</v>
      </c>
      <c r="BC25" s="79">
        <v>24.466354917113101</v>
      </c>
      <c r="BD25" s="79">
        <v>6.3461953373286599</v>
      </c>
    </row>
    <row r="26" spans="1:56" ht="11.25" customHeight="1" x14ac:dyDescent="0.25">
      <c r="A26" s="136" t="s">
        <v>98</v>
      </c>
      <c r="B26" s="136" t="s">
        <v>64</v>
      </c>
      <c r="C26" s="136" t="s">
        <v>25</v>
      </c>
      <c r="D26" s="136" t="s">
        <v>25</v>
      </c>
      <c r="E26" s="81" t="s">
        <v>99</v>
      </c>
      <c r="F26" s="81" t="s">
        <v>25</v>
      </c>
      <c r="G26" s="21" t="s">
        <v>9</v>
      </c>
      <c r="H26" s="21" t="s">
        <v>93</v>
      </c>
      <c r="I26" s="21">
        <f>'MERCADO TUSD'!$U$23+0.00000001</f>
        <v>1E-8</v>
      </c>
      <c r="J26" s="17"/>
      <c r="L26" s="79">
        <f>('TUSD BE'!$L$26+'TUSD BF'!$L$26+'TUSD CVA'!$L$26)*1</f>
        <v>0</v>
      </c>
      <c r="M26" s="79">
        <f>('TUSD BE'!$M$26+'TUSD BF'!$M$26+'TUSD CVA'!$M$26)*1</f>
        <v>2.737665259530337E-2</v>
      </c>
      <c r="N26" s="79">
        <f ca="1">('TUSD BE'!$N$26+'TUSD BF'!$N$26+'TUSD CVA'!$N$26)*1</f>
        <v>7.9760708205974362E-2</v>
      </c>
      <c r="O26" s="79">
        <f>('TUSD BE'!$O$26+'TUSD BF'!$O$26+'TUSD CVA'!$O$26)*1</f>
        <v>0</v>
      </c>
      <c r="P26" s="79">
        <f>('TUSD BE'!$P$26+'TUSD BF'!$P$26+'TUSD CVA'!$P$26)*1</f>
        <v>0</v>
      </c>
      <c r="Q26" s="79">
        <f>('TUSD BE'!$Q$26+'TUSD BF'!$Q$26+'TUSD CVA'!$Q$26)*1</f>
        <v>0</v>
      </c>
      <c r="R26" s="79">
        <f>('TUSD BE'!$R$26+'TUSD BF'!$R$26+'TUSD CVA'!$R$26)*1</f>
        <v>0</v>
      </c>
      <c r="S26" s="79">
        <f>('TUSD BE'!$S$26+'TUSD BF'!$S$26+'TUSD CVA'!$S$26)*1</f>
        <v>0</v>
      </c>
      <c r="T26" s="79">
        <f>('TUSD BE'!$U$26+'TUSD BF'!$U$26+'TUSD CVA'!$U$26)*1</f>
        <v>0</v>
      </c>
      <c r="U26" s="79">
        <f>('TUSD BE'!$V$26+'TUSD BF'!$V$26+'TUSD CVA'!$V$26)*1</f>
        <v>0</v>
      </c>
      <c r="V26" s="79">
        <f>('TUSD BE'!$W$26+'TUSD BF'!$W$26+'TUSD CVA'!$W$26)*1</f>
        <v>0</v>
      </c>
      <c r="W26" s="79">
        <f>('TUSD BE'!$X$26+'TUSD BF'!$X$26+'TUSD CVA'!$X$26)*1</f>
        <v>0</v>
      </c>
      <c r="X26" s="79">
        <f>('TUSD BE'!$Y$26+'TUSD BF'!$Y$26+'TUSD CVA'!$Y$26)*1</f>
        <v>0</v>
      </c>
      <c r="Y26" s="79">
        <f>('TUSD BE'!$Z$26+'TUSD BF'!$Z$26+'TUSD CVA'!$Z$26)*1</f>
        <v>0</v>
      </c>
      <c r="Z26" s="79">
        <f>('TUSD BE'!$AA$26+'TUSD BF'!$AA$26+'TUSD CVA'!$AA$26)*1</f>
        <v>0</v>
      </c>
      <c r="AA26" s="79">
        <f>('TUSD BE'!$AC$26+'TUSD BF'!$AC$26+'TUSD CVA'!$AC$26)*1</f>
        <v>8.4133498559790691</v>
      </c>
      <c r="AB26" s="79">
        <f ca="1">('TUSD BE'!$AE$26+'TUSD BF'!$AE$26+'TUSD CVA'!$AE$26)*1</f>
        <v>1.0672544060841289E-2</v>
      </c>
      <c r="AC26" s="79">
        <f ca="1">('TUSD BE'!$AF$26+'TUSD BF'!$AF$26+'TUSD CVA'!$AF$26)*1</f>
        <v>0</v>
      </c>
      <c r="AD26" s="79">
        <f>('TUSD BE'!$AH$26+'TUSD BF'!$AH$26+'TUSD CVA'!$AH$26)*1</f>
        <v>0</v>
      </c>
      <c r="AE26" s="79">
        <f>('TUSD BE'!$AI$26+'TUSD BF'!$AI$26+'TUSD CVA'!$AI$26)*1</f>
        <v>0</v>
      </c>
      <c r="AF26" s="79">
        <f ca="1">('TUSD BE'!$AJ$26+'TUSD BF'!$AJ$26+'TUSD CVA'!$AJ$26)*1</f>
        <v>0</v>
      </c>
      <c r="AG26" s="79">
        <f ca="1">('TUSD BE'!$AK$26+'TUSD BF'!$AK$26+'TUSD CVA'!$AK$26)*1</f>
        <v>0</v>
      </c>
      <c r="AI26" s="79">
        <v>0</v>
      </c>
      <c r="AJ26" s="79">
        <v>2.6097116692597899E-2</v>
      </c>
      <c r="AK26" s="79">
        <v>6.6118191873192497E-2</v>
      </c>
      <c r="AL26" s="79">
        <v>0</v>
      </c>
      <c r="AM26" s="79">
        <v>0</v>
      </c>
      <c r="AN26" s="79">
        <v>0</v>
      </c>
      <c r="AO26" s="79">
        <v>0</v>
      </c>
      <c r="AP26" s="79">
        <v>0</v>
      </c>
      <c r="AQ26" s="79">
        <v>0</v>
      </c>
      <c r="AR26" s="79">
        <v>0</v>
      </c>
      <c r="AS26" s="79">
        <v>0</v>
      </c>
      <c r="AT26" s="79">
        <v>0</v>
      </c>
      <c r="AU26" s="79">
        <v>0</v>
      </c>
      <c r="AV26" s="79">
        <v>0</v>
      </c>
      <c r="AW26" s="79">
        <v>0</v>
      </c>
      <c r="AX26" s="79">
        <v>7.5592827074930504</v>
      </c>
      <c r="AY26" s="79">
        <v>-0.52430353346560599</v>
      </c>
      <c r="AZ26" s="79">
        <v>0</v>
      </c>
      <c r="BA26" s="79">
        <v>0</v>
      </c>
      <c r="BB26" s="79">
        <v>0</v>
      </c>
      <c r="BC26" s="79">
        <v>0</v>
      </c>
      <c r="BD26" s="79">
        <v>0</v>
      </c>
    </row>
    <row r="27" spans="1:56" ht="11.25" customHeight="1" x14ac:dyDescent="0.25">
      <c r="A27" s="136"/>
      <c r="B27" s="136"/>
      <c r="C27" s="136"/>
      <c r="D27" s="136"/>
      <c r="E27" s="81" t="s">
        <v>100</v>
      </c>
      <c r="F27" s="81" t="s">
        <v>25</v>
      </c>
      <c r="G27" s="21" t="s">
        <v>9</v>
      </c>
      <c r="H27" s="21" t="s">
        <v>93</v>
      </c>
      <c r="I27" s="21">
        <f>'MERCADO TUSD'!$U$24+0.00000001</f>
        <v>1E-8</v>
      </c>
      <c r="J27" s="17"/>
      <c r="L27" s="79">
        <f>('TUSD BE'!$L$27+'TUSD BF'!$L$27+'TUSD CVA'!$L$27)*1</f>
        <v>0</v>
      </c>
      <c r="M27" s="79">
        <f>('TUSD BE'!$M$27+'TUSD BF'!$M$27+'TUSD CVA'!$M$27)*1</f>
        <v>2.737665259530337E-2</v>
      </c>
      <c r="N27" s="79">
        <f ca="1">('TUSD BE'!$N$27+'TUSD BF'!$N$27+'TUSD CVA'!$N$27)*1</f>
        <v>7.9760708205974362E-2</v>
      </c>
      <c r="O27" s="79">
        <f>('TUSD BE'!$O$27+'TUSD BF'!$O$27+'TUSD CVA'!$O$27)*1</f>
        <v>0</v>
      </c>
      <c r="P27" s="79">
        <f>('TUSD BE'!$P$27+'TUSD BF'!$P$27+'TUSD CVA'!$P$27)*1</f>
        <v>0</v>
      </c>
      <c r="Q27" s="79">
        <f>('TUSD BE'!$Q$27+'TUSD BF'!$Q$27+'TUSD CVA'!$Q$27)*1</f>
        <v>0</v>
      </c>
      <c r="R27" s="79">
        <f>('TUSD BE'!$R$27+'TUSD BF'!$R$27+'TUSD CVA'!$R$27)*1</f>
        <v>0</v>
      </c>
      <c r="S27" s="79">
        <f>('TUSD BE'!$S$27+'TUSD BF'!$S$27+'TUSD CVA'!$S$27)*1</f>
        <v>0</v>
      </c>
      <c r="T27" s="79">
        <f>('TUSD BE'!$U$27+'TUSD BF'!$U$27+'TUSD CVA'!$U$27)*1</f>
        <v>0</v>
      </c>
      <c r="U27" s="79">
        <f>('TUSD BE'!$V$27+'TUSD BF'!$V$27+'TUSD CVA'!$V$27)*1</f>
        <v>0</v>
      </c>
      <c r="V27" s="79">
        <f>('TUSD BE'!$W$27+'TUSD BF'!$W$27+'TUSD CVA'!$W$27)*1</f>
        <v>0</v>
      </c>
      <c r="W27" s="79">
        <f>('TUSD BE'!$X$27+'TUSD BF'!$X$27+'TUSD CVA'!$X$27)*1</f>
        <v>0</v>
      </c>
      <c r="X27" s="79">
        <f>('TUSD BE'!$Y$27+'TUSD BF'!$Y$27+'TUSD CVA'!$Y$27)*1</f>
        <v>0</v>
      </c>
      <c r="Y27" s="79">
        <f>('TUSD BE'!$Z$27+'TUSD BF'!$Z$27+'TUSD CVA'!$Z$27)*1</f>
        <v>0</v>
      </c>
      <c r="Z27" s="79">
        <f>('TUSD BE'!$AA$27+'TUSD BF'!$AA$27+'TUSD CVA'!$AA$27)*1</f>
        <v>0</v>
      </c>
      <c r="AA27" s="79">
        <f>('TUSD BE'!$AC$27+'TUSD BF'!$AC$27+'TUSD CVA'!$AC$27)*1</f>
        <v>21.480605605973835</v>
      </c>
      <c r="AB27" s="79">
        <f ca="1">('TUSD BE'!$AE$27+'TUSD BF'!$AE$27+'TUSD CVA'!$AE$27)*1</f>
        <v>2.7039233978275012E-2</v>
      </c>
      <c r="AC27" s="79">
        <f ca="1">('TUSD BE'!$AF$27+'TUSD BF'!$AF$27+'TUSD CVA'!$AF$27)*1</f>
        <v>0</v>
      </c>
      <c r="AD27" s="79">
        <f>('TUSD BE'!$AH$27+'TUSD BF'!$AH$27+'TUSD CVA'!$AH$27)*1</f>
        <v>0</v>
      </c>
      <c r="AE27" s="79">
        <f>('TUSD BE'!$AI$27+'TUSD BF'!$AI$27+'TUSD CVA'!$AI$27)*1</f>
        <v>0</v>
      </c>
      <c r="AF27" s="79">
        <f ca="1">('TUSD BE'!$AJ$27+'TUSD BF'!$AJ$27+'TUSD CVA'!$AJ$27)*1</f>
        <v>0</v>
      </c>
      <c r="AG27" s="79">
        <f ca="1">('TUSD BE'!$AK$27+'TUSD BF'!$AK$27+'TUSD CVA'!$AK$27)*1</f>
        <v>0</v>
      </c>
      <c r="AI27" s="79">
        <v>0</v>
      </c>
      <c r="AJ27" s="79">
        <v>2.6097116692597899E-2</v>
      </c>
      <c r="AK27" s="79">
        <v>6.6118191873192497E-2</v>
      </c>
      <c r="AL27" s="79">
        <v>0</v>
      </c>
      <c r="AM27" s="79">
        <v>0</v>
      </c>
      <c r="AN27" s="79">
        <v>0</v>
      </c>
      <c r="AO27" s="79">
        <v>0</v>
      </c>
      <c r="AP27" s="79">
        <v>0</v>
      </c>
      <c r="AQ27" s="79">
        <v>0</v>
      </c>
      <c r="AR27" s="79">
        <v>0</v>
      </c>
      <c r="AS27" s="79">
        <v>0</v>
      </c>
      <c r="AT27" s="79">
        <v>0</v>
      </c>
      <c r="AU27" s="79">
        <v>0</v>
      </c>
      <c r="AV27" s="79">
        <v>0</v>
      </c>
      <c r="AW27" s="79">
        <v>0</v>
      </c>
      <c r="AX27" s="79">
        <v>19.300037830748199</v>
      </c>
      <c r="AY27" s="79">
        <v>-1.32869933212724</v>
      </c>
      <c r="AZ27" s="79">
        <v>0</v>
      </c>
      <c r="BA27" s="79">
        <v>0</v>
      </c>
      <c r="BB27" s="79">
        <v>0</v>
      </c>
      <c r="BC27" s="79">
        <v>0</v>
      </c>
      <c r="BD27" s="79">
        <v>0</v>
      </c>
    </row>
    <row r="28" spans="1:56" ht="11.25" customHeight="1" x14ac:dyDescent="0.25">
      <c r="A28" s="136" t="s">
        <v>22</v>
      </c>
      <c r="B28" s="136" t="s">
        <v>37</v>
      </c>
      <c r="C28" s="136" t="s">
        <v>24</v>
      </c>
      <c r="D28" s="136" t="s">
        <v>24</v>
      </c>
      <c r="E28" s="136" t="s">
        <v>25</v>
      </c>
      <c r="F28" s="136" t="s">
        <v>25</v>
      </c>
      <c r="G28" s="21" t="s">
        <v>91</v>
      </c>
      <c r="H28" s="21" t="s">
        <v>90</v>
      </c>
      <c r="I28" s="21">
        <f>'MERCADO TUSD'!$U$25</f>
        <v>50.420000000000009</v>
      </c>
      <c r="J28" s="17"/>
      <c r="L28" s="79">
        <f>('TUSD BE'!$L$28+'TUSD BF'!$L$28+'TUSD CVA'!$L$28)*1</f>
        <v>10.329794751400486</v>
      </c>
      <c r="M28" s="79">
        <f>('TUSD BE'!$M$28+'TUSD BF'!$M$28+'TUSD CVA'!$M$28)*1</f>
        <v>0.87002339922857264</v>
      </c>
      <c r="N28" s="79">
        <f ca="1">('TUSD BE'!$N$28+'TUSD BF'!$N$28+'TUSD CVA'!$N$28)*1</f>
        <v>11.28389467463805</v>
      </c>
      <c r="O28" s="79">
        <f>('TUSD BE'!$O$28+'TUSD BF'!$O$28+'TUSD CVA'!$O$28)*1</f>
        <v>-1.5285559498368537E-3</v>
      </c>
      <c r="P28" s="79">
        <f>('TUSD BE'!$P$28+'TUSD BF'!$P$28+'TUSD CVA'!$P$28)*1</f>
        <v>0</v>
      </c>
      <c r="Q28" s="79">
        <f>('TUSD BE'!$Q$28+'TUSD BF'!$Q$28+'TUSD CVA'!$Q$28)*1</f>
        <v>40.658079169042452</v>
      </c>
      <c r="R28" s="79">
        <f>('TUSD BE'!$R$28+'TUSD BF'!$R$28+'TUSD CVA'!$R$28)*1</f>
        <v>16.690821434365507</v>
      </c>
      <c r="S28" s="79">
        <f>('TUSD BE'!$S$28+'TUSD BF'!$S$28+'TUSD CVA'!$S$28)*1</f>
        <v>0</v>
      </c>
      <c r="T28" s="79">
        <f>('TUSD BE'!$U$28+'TUSD BF'!$U$28+'TUSD CVA'!$U$28)*1</f>
        <v>115.26532233220533</v>
      </c>
      <c r="U28" s="79">
        <f>('TUSD BE'!$V$28+'TUSD BF'!$V$28+'TUSD CVA'!$V$28)*1</f>
        <v>29.605366299766015</v>
      </c>
      <c r="V28" s="79">
        <f>('TUSD BE'!$W$28+'TUSD BF'!$W$28+'TUSD CVA'!$W$28)*1</f>
        <v>8.1229822481054015</v>
      </c>
      <c r="W28" s="79">
        <f>('TUSD BE'!$X$28+'TUSD BF'!$X$28+'TUSD CVA'!$X$28)*1</f>
        <v>0</v>
      </c>
      <c r="X28" s="79">
        <f>('TUSD BE'!$Y$28+'TUSD BF'!$Y$28+'TUSD CVA'!$Y$28)*1</f>
        <v>4.6572719403563765</v>
      </c>
      <c r="Y28" s="79">
        <f>('TUSD BE'!$Z$28+'TUSD BF'!$Z$28+'TUSD CVA'!$Z$28)*1</f>
        <v>0</v>
      </c>
      <c r="Z28" s="79">
        <f>('TUSD BE'!$AA$28+'TUSD BF'!$AA$28+'TUSD CVA'!$AA$28)*1</f>
        <v>0</v>
      </c>
      <c r="AA28" s="79">
        <f>('TUSD BE'!$AC$28+'TUSD BF'!$AC$28+'TUSD CVA'!$AC$28)*1</f>
        <v>852.30286221898211</v>
      </c>
      <c r="AB28" s="79">
        <f ca="1">('TUSD BE'!$AE$28+'TUSD BF'!$AE$28+'TUSD CVA'!$AE$28)*1</f>
        <v>1.5226737421340997</v>
      </c>
      <c r="AC28" s="79">
        <f ca="1">('TUSD BE'!$AF$28+'TUSD BF'!$AF$28+'TUSD CVA'!$AF$28)*1</f>
        <v>0</v>
      </c>
      <c r="AD28" s="79">
        <f>('TUSD BE'!$AH$28+'TUSD BF'!$AH$28+'TUSD CVA'!$AH$28)*1</f>
        <v>38.734204851276459</v>
      </c>
      <c r="AE28" s="79">
        <f>('TUSD BE'!$AI$28+'TUSD BF'!$AI$28+'TUSD CVA'!$AI$28)*1</f>
        <v>2.2366955515691451</v>
      </c>
      <c r="AF28" s="79">
        <f ca="1">('TUSD BE'!$AJ$28+'TUSD BF'!$AJ$28+'TUSD CVA'!$AJ$28)*1</f>
        <v>34.631913335369397</v>
      </c>
      <c r="AG28" s="79">
        <f ca="1">('TUSD BE'!$AK$28+'TUSD BF'!$AK$28+'TUSD CVA'!$AK$28)*1</f>
        <v>11.278374393674936</v>
      </c>
      <c r="AI28" s="79">
        <v>0</v>
      </c>
      <c r="AJ28" s="79">
        <v>0.75105334418111602</v>
      </c>
      <c r="AK28" s="79">
        <v>9.2898555401381593</v>
      </c>
      <c r="AL28" s="79">
        <v>-1.34746813487984E-3</v>
      </c>
      <c r="AM28" s="79">
        <v>0</v>
      </c>
      <c r="AN28" s="79">
        <v>25.144914724955498</v>
      </c>
      <c r="AO28" s="79">
        <v>16.006661772939498</v>
      </c>
      <c r="AP28" s="79">
        <v>0</v>
      </c>
      <c r="AQ28" s="79">
        <v>119.12229154381799</v>
      </c>
      <c r="AR28" s="79">
        <v>44.4428656839791</v>
      </c>
      <c r="AS28" s="79">
        <v>9.0881740058394591</v>
      </c>
      <c r="AT28" s="79">
        <v>0</v>
      </c>
      <c r="AU28" s="79">
        <v>5.5955642854076801</v>
      </c>
      <c r="AV28" s="79">
        <v>0</v>
      </c>
      <c r="AW28" s="79">
        <v>0</v>
      </c>
      <c r="AX28" s="79">
        <v>765.78276170699303</v>
      </c>
      <c r="AY28" s="79">
        <v>-78.872995739197293</v>
      </c>
      <c r="AZ28" s="79">
        <v>0</v>
      </c>
      <c r="BA28" s="79">
        <v>34.351262553483103</v>
      </c>
      <c r="BB28" s="79">
        <v>1.79617147327777</v>
      </c>
      <c r="BC28" s="79">
        <v>30.831729774023302</v>
      </c>
      <c r="BD28" s="79">
        <v>7.9972754583408001</v>
      </c>
    </row>
    <row r="29" spans="1:56" ht="11.25" customHeight="1" x14ac:dyDescent="0.25">
      <c r="A29" s="136"/>
      <c r="B29" s="136"/>
      <c r="C29" s="136"/>
      <c r="D29" s="136"/>
      <c r="E29" s="136"/>
      <c r="F29" s="136"/>
      <c r="G29" s="21" t="s">
        <v>101</v>
      </c>
      <c r="H29" s="21" t="s">
        <v>90</v>
      </c>
      <c r="I29" s="21">
        <f>'MERCADO TUSD'!$U$26</f>
        <v>34.840000000000003</v>
      </c>
      <c r="J29" s="17"/>
      <c r="L29" s="79">
        <f>('TUSD BE'!$L$29+'TUSD BF'!$L$29+'TUSD CVA'!$L$29)*1</f>
        <v>10.329794751400486</v>
      </c>
      <c r="M29" s="79">
        <f>('TUSD BE'!$M$29+'TUSD BF'!$M$29+'TUSD CVA'!$M$29)*1</f>
        <v>0.87002339922857264</v>
      </c>
      <c r="N29" s="79">
        <f ca="1">('TUSD BE'!$N$29+'TUSD BF'!$N$29+'TUSD CVA'!$N$29)*1</f>
        <v>7.4190401390585858</v>
      </c>
      <c r="O29" s="79">
        <f>('TUSD BE'!$O$29+'TUSD BF'!$O$29+'TUSD CVA'!$O$29)*1</f>
        <v>-1.5285559498368537E-3</v>
      </c>
      <c r="P29" s="79">
        <f>('TUSD BE'!$P$29+'TUSD BF'!$P$29+'TUSD CVA'!$P$29)*1</f>
        <v>0</v>
      </c>
      <c r="Q29" s="79">
        <f>('TUSD BE'!$Q$29+'TUSD BF'!$Q$29+'TUSD CVA'!$Q$29)*1</f>
        <v>40.658079169042452</v>
      </c>
      <c r="R29" s="79">
        <f>('TUSD BE'!$R$29+'TUSD BF'!$R$29+'TUSD CVA'!$R$29)*1</f>
        <v>16.690821434365507</v>
      </c>
      <c r="S29" s="79">
        <f>('TUSD BE'!$S$29+'TUSD BF'!$S$29+'TUSD CVA'!$S$29)*1</f>
        <v>0</v>
      </c>
      <c r="T29" s="79">
        <f>('TUSD BE'!$U$29+'TUSD BF'!$U$29+'TUSD CVA'!$U$29)*1</f>
        <v>69.159215076371979</v>
      </c>
      <c r="U29" s="79">
        <f>('TUSD BE'!$V$29+'TUSD BF'!$V$29+'TUSD CVA'!$V$29)*1</f>
        <v>17.76324235886517</v>
      </c>
      <c r="V29" s="79">
        <f>('TUSD BE'!$W$29+'TUSD BF'!$W$29+'TUSD CVA'!$W$29)*1</f>
        <v>4.873872287215784</v>
      </c>
      <c r="W29" s="79">
        <f>('TUSD BE'!$X$29+'TUSD BF'!$X$29+'TUSD CVA'!$X$29)*1</f>
        <v>0</v>
      </c>
      <c r="X29" s="79">
        <f>('TUSD BE'!$Y$29+'TUSD BF'!$Y$29+'TUSD CVA'!$Y$29)*1</f>
        <v>2.7944385215527747</v>
      </c>
      <c r="Y29" s="79">
        <f>('TUSD BE'!$Z$29+'TUSD BF'!$Z$29+'TUSD CVA'!$Z$29)*1</f>
        <v>0</v>
      </c>
      <c r="Z29" s="79">
        <f>('TUSD BE'!$AA$29+'TUSD BF'!$AA$29+'TUSD CVA'!$AA$29)*1</f>
        <v>0</v>
      </c>
      <c r="AA29" s="79">
        <f>('TUSD BE'!$AC$29+'TUSD BF'!$AC$29+'TUSD CVA'!$AC$29)*1</f>
        <v>511.38169297240415</v>
      </c>
      <c r="AB29" s="79">
        <f ca="1">('TUSD BE'!$AE$29+'TUSD BF'!$AE$29+'TUSD CVA'!$AE$29)*1</f>
        <v>0.9902024123781179</v>
      </c>
      <c r="AC29" s="79">
        <f ca="1">('TUSD BE'!$AF$29+'TUSD BF'!$AF$29+'TUSD CVA'!$AF$29)*1</f>
        <v>0</v>
      </c>
      <c r="AD29" s="79">
        <f>('TUSD BE'!$AH$29+'TUSD BF'!$AH$29+'TUSD CVA'!$AH$29)*1</f>
        <v>38.734204851276459</v>
      </c>
      <c r="AE29" s="79">
        <f>('TUSD BE'!$AI$29+'TUSD BF'!$AI$29+'TUSD CVA'!$AI$29)*1</f>
        <v>2.2366955515691451</v>
      </c>
      <c r="AF29" s="79">
        <f ca="1">('TUSD BE'!$AJ$29+'TUSD BF'!$AJ$29+'TUSD CVA'!$AJ$29)*1</f>
        <v>34.631913335369397</v>
      </c>
      <c r="AG29" s="79">
        <f ca="1">('TUSD BE'!$AK$29+'TUSD BF'!$AK$29+'TUSD CVA'!$AK$29)*1</f>
        <v>11.278374393674936</v>
      </c>
      <c r="AI29" s="79">
        <v>0</v>
      </c>
      <c r="AJ29" s="79">
        <v>0.75105334418111602</v>
      </c>
      <c r="AK29" s="79">
        <v>6.0860575863195798</v>
      </c>
      <c r="AL29" s="79">
        <v>-1.34746813487984E-3</v>
      </c>
      <c r="AM29" s="79">
        <v>0</v>
      </c>
      <c r="AN29" s="79">
        <v>25.144914724955498</v>
      </c>
      <c r="AO29" s="79">
        <v>16.006661772939498</v>
      </c>
      <c r="AP29" s="79">
        <v>0</v>
      </c>
      <c r="AQ29" s="79">
        <v>71.473397328689401</v>
      </c>
      <c r="AR29" s="79">
        <v>26.665753305449002</v>
      </c>
      <c r="AS29" s="79">
        <v>5.4529971967853399</v>
      </c>
      <c r="AT29" s="79">
        <v>0</v>
      </c>
      <c r="AU29" s="79">
        <v>3.35742911069342</v>
      </c>
      <c r="AV29" s="79">
        <v>0</v>
      </c>
      <c r="AW29" s="79">
        <v>0</v>
      </c>
      <c r="AX29" s="79">
        <v>459.46963513797198</v>
      </c>
      <c r="AY29" s="79">
        <v>-50.865175124877801</v>
      </c>
      <c r="AZ29" s="79">
        <v>0</v>
      </c>
      <c r="BA29" s="79">
        <v>34.351262553483103</v>
      </c>
      <c r="BB29" s="79">
        <v>1.79617147327777</v>
      </c>
      <c r="BC29" s="79">
        <v>30.831729774023302</v>
      </c>
      <c r="BD29" s="79">
        <v>7.9972754583408001</v>
      </c>
    </row>
    <row r="30" spans="1:56" ht="11.25" customHeight="1" x14ac:dyDescent="0.25">
      <c r="A30" s="136"/>
      <c r="B30" s="136"/>
      <c r="C30" s="136"/>
      <c r="D30" s="136"/>
      <c r="E30" s="136"/>
      <c r="F30" s="136"/>
      <c r="G30" s="21" t="s">
        <v>92</v>
      </c>
      <c r="H30" s="21" t="s">
        <v>90</v>
      </c>
      <c r="I30" s="21">
        <f>'MERCADO TUSD'!$U$27</f>
        <v>677.41499999999996</v>
      </c>
      <c r="J30" s="17"/>
      <c r="L30" s="79">
        <f>('TUSD BE'!$L$30+'TUSD BF'!$L$30+'TUSD CVA'!$L$30)*1</f>
        <v>10.329794751400486</v>
      </c>
      <c r="M30" s="79">
        <f>('TUSD BE'!$M$30+'TUSD BF'!$M$30+'TUSD CVA'!$M$30)*1</f>
        <v>0.87002339922857264</v>
      </c>
      <c r="N30" s="79">
        <f ca="1">('TUSD BE'!$N$30+'TUSD BF'!$N$30+'TUSD CVA'!$N$30)*1</f>
        <v>3.5541833048996372</v>
      </c>
      <c r="O30" s="79">
        <f>('TUSD BE'!$O$30+'TUSD BF'!$O$30+'TUSD CVA'!$O$30)*1</f>
        <v>-1.5285559498368537E-3</v>
      </c>
      <c r="P30" s="79">
        <f>('TUSD BE'!$P$30+'TUSD BF'!$P$30+'TUSD CVA'!$P$30)*1</f>
        <v>0</v>
      </c>
      <c r="Q30" s="79">
        <f>('TUSD BE'!$Q$30+'TUSD BF'!$Q$30+'TUSD CVA'!$Q$30)*1</f>
        <v>40.658079169042452</v>
      </c>
      <c r="R30" s="79">
        <f>('TUSD BE'!$R$30+'TUSD BF'!$R$30+'TUSD CVA'!$R$30)*1</f>
        <v>16.690821434365507</v>
      </c>
      <c r="S30" s="79">
        <f>('TUSD BE'!$S$30+'TUSD BF'!$S$30+'TUSD CVA'!$S$30)*1</f>
        <v>0</v>
      </c>
      <c r="T30" s="79">
        <f>('TUSD BE'!$U$30+'TUSD BF'!$U$30+'TUSD CVA'!$U$30)*1</f>
        <v>23.0531078205386</v>
      </c>
      <c r="U30" s="79">
        <f>('TUSD BE'!$V$30+'TUSD BF'!$V$30+'TUSD CVA'!$V$30)*1</f>
        <v>5.9211184179643217</v>
      </c>
      <c r="V30" s="79">
        <f>('TUSD BE'!$W$30+'TUSD BF'!$W$30+'TUSD CVA'!$W$30)*1</f>
        <v>1.6246240957385947</v>
      </c>
      <c r="W30" s="79">
        <f>('TUSD BE'!$X$30+'TUSD BF'!$X$30+'TUSD CVA'!$X$30)*1</f>
        <v>0</v>
      </c>
      <c r="X30" s="79">
        <f>('TUSD BE'!$Y$30+'TUSD BF'!$Y$30+'TUSD CVA'!$Y$30)*1</f>
        <v>0.9314167094018011</v>
      </c>
      <c r="Y30" s="79">
        <f>('TUSD BE'!$Z$30+'TUSD BF'!$Z$30+'TUSD CVA'!$Z$30)*1</f>
        <v>0</v>
      </c>
      <c r="Z30" s="79">
        <f>('TUSD BE'!$AA$30+'TUSD BF'!$AA$30+'TUSD CVA'!$AA$30)*1</f>
        <v>0</v>
      </c>
      <c r="AA30" s="79">
        <f>('TUSD BE'!$AC$30+'TUSD BF'!$AC$30+'TUSD CVA'!$AC$30)*1</f>
        <v>170.46052372582622</v>
      </c>
      <c r="AB30" s="79">
        <f ca="1">('TUSD BE'!$AE$30+'TUSD BF'!$AE$30+'TUSD CVA'!$AE$30)*1</f>
        <v>0.45773064443090483</v>
      </c>
      <c r="AC30" s="79">
        <f ca="1">('TUSD BE'!$AF$30+'TUSD BF'!$AF$30+'TUSD CVA'!$AF$30)*1</f>
        <v>0</v>
      </c>
      <c r="AD30" s="79">
        <f>('TUSD BE'!$AH$30+'TUSD BF'!$AH$30+'TUSD CVA'!$AH$30)*1</f>
        <v>38.734204851276459</v>
      </c>
      <c r="AE30" s="79">
        <f>('TUSD BE'!$AI$30+'TUSD BF'!$AI$30+'TUSD CVA'!$AI$30)*1</f>
        <v>2.2366955515691451</v>
      </c>
      <c r="AF30" s="79">
        <f ca="1">('TUSD BE'!$AJ$30+'TUSD BF'!$AJ$30+'TUSD CVA'!$AJ$30)*1</f>
        <v>34.631913335369397</v>
      </c>
      <c r="AG30" s="79">
        <f ca="1">('TUSD BE'!$AK$30+'TUSD BF'!$AK$30+'TUSD CVA'!$AK$30)*1</f>
        <v>11.278374393674936</v>
      </c>
      <c r="AI30" s="79">
        <v>0</v>
      </c>
      <c r="AJ30" s="79">
        <v>0.75105334418111602</v>
      </c>
      <c r="AK30" s="79">
        <v>2.8822577270776102</v>
      </c>
      <c r="AL30" s="79">
        <v>-1.34746813487984E-3</v>
      </c>
      <c r="AM30" s="79">
        <v>0</v>
      </c>
      <c r="AN30" s="79">
        <v>25.144914724955498</v>
      </c>
      <c r="AO30" s="79">
        <v>16.006661772939498</v>
      </c>
      <c r="AP30" s="79">
        <v>0</v>
      </c>
      <c r="AQ30" s="79">
        <v>23.8245031135612</v>
      </c>
      <c r="AR30" s="79">
        <v>8.8886409269188107</v>
      </c>
      <c r="AS30" s="79">
        <v>1.81766573226178</v>
      </c>
      <c r="AT30" s="79">
        <v>0</v>
      </c>
      <c r="AU30" s="79">
        <v>1.1190675873571301</v>
      </c>
      <c r="AV30" s="79">
        <v>0</v>
      </c>
      <c r="AW30" s="79">
        <v>0</v>
      </c>
      <c r="AX30" s="79">
        <v>153.15650856895201</v>
      </c>
      <c r="AY30" s="79">
        <v>-22.857330361807701</v>
      </c>
      <c r="AZ30" s="79">
        <v>0</v>
      </c>
      <c r="BA30" s="79">
        <v>34.351262553483103</v>
      </c>
      <c r="BB30" s="79">
        <v>1.79617147327777</v>
      </c>
      <c r="BC30" s="79">
        <v>30.831729774023302</v>
      </c>
      <c r="BD30" s="79">
        <v>7.9972754583408001</v>
      </c>
    </row>
    <row r="31" spans="1:56" ht="11.25" customHeight="1" x14ac:dyDescent="0.25">
      <c r="A31" s="136"/>
      <c r="B31" s="136" t="s">
        <v>23</v>
      </c>
      <c r="C31" s="136" t="s">
        <v>24</v>
      </c>
      <c r="D31" s="81" t="s">
        <v>24</v>
      </c>
      <c r="E31" s="81" t="s">
        <v>25</v>
      </c>
      <c r="F31" s="81" t="s">
        <v>25</v>
      </c>
      <c r="G31" s="21" t="s">
        <v>96</v>
      </c>
      <c r="H31" s="21" t="s">
        <v>90</v>
      </c>
      <c r="I31" s="21">
        <f>'MERCADO TUSD'!$U$28</f>
        <v>1165006.6750000003</v>
      </c>
      <c r="J31" s="17"/>
      <c r="L31" s="79">
        <f>('TUSD BE'!$L$31+'TUSD BF'!$L$31+'TUSD CVA'!$L$31)*1</f>
        <v>10.329794751400486</v>
      </c>
      <c r="M31" s="79">
        <f>('TUSD BE'!$M$31+'TUSD BF'!$M$31+'TUSD CVA'!$M$31)*1</f>
        <v>0.87002339922857264</v>
      </c>
      <c r="N31" s="79">
        <f ca="1">('TUSD BE'!$N$31+'TUSD BF'!$N$31+'TUSD CVA'!$N$31)*1</f>
        <v>4.5496750950127618</v>
      </c>
      <c r="O31" s="79">
        <f>('TUSD BE'!$O$31+'TUSD BF'!$O$31+'TUSD CVA'!$O$31)*1</f>
        <v>-1.5285559498368537E-3</v>
      </c>
      <c r="P31" s="79">
        <f>('TUSD BE'!$P$31+'TUSD BF'!$P$31+'TUSD CVA'!$P$31)*1</f>
        <v>0</v>
      </c>
      <c r="Q31" s="79">
        <f>('TUSD BE'!$Q$31+'TUSD BF'!$Q$31+'TUSD CVA'!$Q$31)*1</f>
        <v>40.658079169042452</v>
      </c>
      <c r="R31" s="79">
        <f>('TUSD BE'!$R$31+'TUSD BF'!$R$31+'TUSD CVA'!$R$31)*1</f>
        <v>16.690821434365507</v>
      </c>
      <c r="S31" s="79">
        <f>('TUSD BE'!$S$31+'TUSD BF'!$S$31+'TUSD CVA'!$S$31)*1</f>
        <v>0</v>
      </c>
      <c r="T31" s="79">
        <f>('TUSD BE'!$U$31+'TUSD BF'!$U$31+'TUSD CVA'!$U$31)*1</f>
        <v>34.928878986411085</v>
      </c>
      <c r="U31" s="79">
        <f>('TUSD BE'!$V$31+'TUSD BF'!$V$31+'TUSD CVA'!$V$31)*1</f>
        <v>8.9713162790183194</v>
      </c>
      <c r="V31" s="79">
        <f>('TUSD BE'!$W$31+'TUSD BF'!$W$31+'TUSD CVA'!$W$31)*1</f>
        <v>2.4614720729019952</v>
      </c>
      <c r="W31" s="79">
        <f>('TUSD BE'!$X$31+'TUSD BF'!$X$31+'TUSD CVA'!$X$31)*1</f>
        <v>0</v>
      </c>
      <c r="X31" s="79">
        <f>('TUSD BE'!$Y$31+'TUSD BF'!$Y$31+'TUSD CVA'!$Y$31)*1</f>
        <v>1.4112545651555202</v>
      </c>
      <c r="Y31" s="79">
        <f>('TUSD BE'!$Z$31+'TUSD BF'!$Z$31+'TUSD CVA'!$Z$31)*1</f>
        <v>0</v>
      </c>
      <c r="Z31" s="79">
        <f>('TUSD BE'!$AA$31+'TUSD BF'!$AA$31+'TUSD CVA'!$AA$31)*1</f>
        <v>0</v>
      </c>
      <c r="AA31" s="79">
        <f>('TUSD BE'!$AC$31+'TUSD BF'!$AC$31+'TUSD CVA'!$AC$31)*1</f>
        <v>258.27356877652551</v>
      </c>
      <c r="AB31" s="79">
        <f ca="1">('TUSD BE'!$AE$31+'TUSD BF'!$AE$31+'TUSD CVA'!$AE$31)*1</f>
        <v>0.59488220073761389</v>
      </c>
      <c r="AC31" s="79">
        <f ca="1">('TUSD BE'!$AF$31+'TUSD BF'!$AF$31+'TUSD CVA'!$AF$31)*1</f>
        <v>0</v>
      </c>
      <c r="AD31" s="79">
        <f>('TUSD BE'!$AH$31+'TUSD BF'!$AH$31+'TUSD CVA'!$AH$31)*1</f>
        <v>38.734204851276459</v>
      </c>
      <c r="AE31" s="79">
        <f>('TUSD BE'!$AI$31+'TUSD BF'!$AI$31+'TUSD CVA'!$AI$31)*1</f>
        <v>2.2366955515691451</v>
      </c>
      <c r="AF31" s="79">
        <f ca="1">('TUSD BE'!$AJ$31+'TUSD BF'!$AJ$31+'TUSD CVA'!$AJ$31)*1</f>
        <v>34.631913335369397</v>
      </c>
      <c r="AG31" s="79">
        <f ca="1">('TUSD BE'!$AK$31+'TUSD BF'!$AK$31+'TUSD CVA'!$AK$31)*1</f>
        <v>11.278374393674936</v>
      </c>
      <c r="AI31" s="79">
        <v>0</v>
      </c>
      <c r="AJ31" s="79">
        <v>0.75105334418111602</v>
      </c>
      <c r="AK31" s="79">
        <v>3.70747754605055</v>
      </c>
      <c r="AL31" s="79">
        <v>-1.34746813487984E-3</v>
      </c>
      <c r="AM31" s="79">
        <v>0</v>
      </c>
      <c r="AN31" s="79">
        <v>25.144914724955498</v>
      </c>
      <c r="AO31" s="79">
        <v>16.006661772939498</v>
      </c>
      <c r="AP31" s="79">
        <v>0</v>
      </c>
      <c r="AQ31" s="79">
        <v>36.0976573155815</v>
      </c>
      <c r="AR31" s="79">
        <v>13.467524784520499</v>
      </c>
      <c r="AS31" s="79">
        <v>2.7539499442172599</v>
      </c>
      <c r="AT31" s="79">
        <v>0</v>
      </c>
      <c r="AU31" s="79">
        <v>1.6955775276885601</v>
      </c>
      <c r="AV31" s="79">
        <v>0</v>
      </c>
      <c r="AW31" s="79">
        <v>0</v>
      </c>
      <c r="AX31" s="79">
        <v>232.055359122791</v>
      </c>
      <c r="AY31" s="79">
        <v>-30.0714564446765</v>
      </c>
      <c r="AZ31" s="79">
        <v>0</v>
      </c>
      <c r="BA31" s="79">
        <v>34.351262553483103</v>
      </c>
      <c r="BB31" s="79">
        <v>1.79617147327777</v>
      </c>
      <c r="BC31" s="79">
        <v>30.831729774023302</v>
      </c>
      <c r="BD31" s="79">
        <v>7.9972754583408001</v>
      </c>
    </row>
    <row r="32" spans="1:56" ht="11.25" customHeight="1" x14ac:dyDescent="0.25">
      <c r="A32" s="136"/>
      <c r="B32" s="136"/>
      <c r="C32" s="136"/>
      <c r="D32" s="81" t="s">
        <v>29</v>
      </c>
      <c r="E32" s="81" t="s">
        <v>25</v>
      </c>
      <c r="F32" s="81" t="s">
        <v>25</v>
      </c>
      <c r="G32" s="21" t="s">
        <v>96</v>
      </c>
      <c r="H32" s="21" t="s">
        <v>90</v>
      </c>
      <c r="I32" s="21">
        <f>'MERCADO TUSD'!$U$29</f>
        <v>134316.74400000001</v>
      </c>
      <c r="J32" s="17"/>
      <c r="L32" s="79">
        <f>('TUSD BE'!$L$32+'TUSD BF'!$L$32+'TUSD CVA'!$L$32)*(1 - 0.65)</f>
        <v>0</v>
      </c>
      <c r="M32" s="79">
        <f>('TUSD BE'!$M$32+'TUSD BF'!$M$32+'TUSD CVA'!$M$32)*(1 - 0.65)</f>
        <v>0.30450818973000038</v>
      </c>
      <c r="N32" s="79">
        <f ca="1">('TUSD BE'!$N$32+'TUSD BF'!$N$32+'TUSD CVA'!$N$32)*(1 - 0.65)</f>
        <v>1.5883637691518602</v>
      </c>
      <c r="O32" s="79">
        <f>('TUSD BE'!$O$32+'TUSD BF'!$O$32+'TUSD CVA'!$O$32)*(1 - 0.65)</f>
        <v>-5.3499458244289871E-4</v>
      </c>
      <c r="P32" s="79">
        <v>0</v>
      </c>
      <c r="Q32" s="79">
        <f>('TUSD BE'!$Q$32+'TUSD BF'!$Q$32+'TUSD CVA'!$Q$32)*(1 - 0.65)</f>
        <v>0</v>
      </c>
      <c r="R32" s="79">
        <v>0</v>
      </c>
      <c r="S32" s="79">
        <f>('TUSD BE'!$S$32+'TUSD BF'!$S$32+'TUSD CVA'!$S$32)*(1 - 0.65)</f>
        <v>0</v>
      </c>
      <c r="T32" s="79">
        <f>('TUSD BE'!$U$32+'TUSD BF'!$U$32+'TUSD CVA'!$U$32)*(1 - 0.65)</f>
        <v>12.225107645243879</v>
      </c>
      <c r="U32" s="79">
        <f>('TUSD BE'!$V$32+'TUSD BF'!$V$32+'TUSD CVA'!$V$32)*(1 - 0.65)</f>
        <v>3.1399606976564116</v>
      </c>
      <c r="V32" s="79">
        <f>('TUSD BE'!$W$32+'TUSD BF'!$W$32+'TUSD CVA'!$W$32)*(1 - 0.65)</f>
        <v>0.86151522551569826</v>
      </c>
      <c r="W32" s="79">
        <f>('TUSD BE'!$X$32+'TUSD BF'!$X$32+'TUSD CVA'!$X$32)*(1 - 0.65)</f>
        <v>0</v>
      </c>
      <c r="X32" s="79">
        <f>('TUSD BE'!$Y$32+'TUSD BF'!$Y$32+'TUSD CVA'!$Y$32)*(1 - 0.65)</f>
        <v>0.49393909780443201</v>
      </c>
      <c r="Y32" s="79">
        <f>('TUSD BE'!$Z$32+'TUSD BF'!$Z$32+'TUSD CVA'!$Z$32)*(1 - 0.65)</f>
        <v>0</v>
      </c>
      <c r="Z32" s="79">
        <f>('TUSD BE'!$AA$32+'TUSD BF'!$AA$32+'TUSD CVA'!$AA$32)*(1 - 0.65)</f>
        <v>0</v>
      </c>
      <c r="AA32" s="79">
        <f>('TUSD BE'!$AC$32+'TUSD BF'!$AC$32+'TUSD CVA'!$AC$32)*(1 - 0.65)</f>
        <v>90.395749071783925</v>
      </c>
      <c r="AB32" s="79">
        <f ca="1">('TUSD BE'!$AE$32+'TUSD BF'!$AE$32+'TUSD CVA'!$AE$32)*(1 - 0.65)</f>
        <v>0.17875228268788776</v>
      </c>
      <c r="AC32" s="79">
        <f ca="1">('TUSD BE'!$AF$32+'TUSD BF'!$AF$32+'TUSD CVA'!$AF$32)*(1 - 0.65)</f>
        <v>0</v>
      </c>
      <c r="AD32" s="79">
        <f>('TUSD BE'!$AH$32+'TUSD BF'!$AH$32+'TUSD CVA'!$AH$32)*(1 - 0.65)</f>
        <v>13.556971697946761</v>
      </c>
      <c r="AE32" s="79">
        <f>('TUSD BE'!$AI$32+'TUSD BF'!$AI$32+'TUSD CVA'!$AI$32)*(1 - 0.65)</f>
        <v>0.78284344304920073</v>
      </c>
      <c r="AF32" s="79">
        <f ca="1">('TUSD BE'!$AJ$32+'TUSD BF'!$AJ$32+'TUSD CVA'!$AJ$32)*(1 - 0.65)</f>
        <v>12.121169667379288</v>
      </c>
      <c r="AG32" s="79">
        <f ca="1">('TUSD BE'!$AK$32+'TUSD BF'!$AK$32+'TUSD CVA'!$AK$32)*(1 - 0.65)</f>
        <v>3.9474310377862274</v>
      </c>
      <c r="AI32" s="79">
        <v>0</v>
      </c>
      <c r="AJ32" s="79">
        <v>0.26286867046339102</v>
      </c>
      <c r="AK32" s="79">
        <v>1.29428265017308</v>
      </c>
      <c r="AL32" s="79">
        <v>-4.7161384720794498E-4</v>
      </c>
      <c r="AM32" s="79">
        <v>0</v>
      </c>
      <c r="AN32" s="79">
        <v>0</v>
      </c>
      <c r="AO32" s="79">
        <v>0</v>
      </c>
      <c r="AP32" s="79">
        <v>0</v>
      </c>
      <c r="AQ32" s="79">
        <v>12.634180060453501</v>
      </c>
      <c r="AR32" s="79">
        <v>4.7136336745821703</v>
      </c>
      <c r="AS32" s="79">
        <v>0.96388248047604197</v>
      </c>
      <c r="AT32" s="79">
        <v>0</v>
      </c>
      <c r="AU32" s="79">
        <v>0.593452134690997</v>
      </c>
      <c r="AV32" s="79">
        <v>0</v>
      </c>
      <c r="AW32" s="79">
        <v>0</v>
      </c>
      <c r="AX32" s="79">
        <v>81.219375692976897</v>
      </c>
      <c r="AY32" s="79">
        <v>-9.2515986595163096</v>
      </c>
      <c r="AZ32" s="79">
        <v>0</v>
      </c>
      <c r="BA32" s="79">
        <v>12.0229418937191</v>
      </c>
      <c r="BB32" s="79">
        <v>0.62866001564721896</v>
      </c>
      <c r="BC32" s="79">
        <v>10.791105420908201</v>
      </c>
      <c r="BD32" s="79">
        <v>2.79904641041928</v>
      </c>
    </row>
    <row r="33" spans="1:56" ht="11.25" customHeight="1" x14ac:dyDescent="0.25">
      <c r="A33" s="136"/>
      <c r="B33" s="136"/>
      <c r="C33" s="136"/>
      <c r="D33" s="81" t="s">
        <v>30</v>
      </c>
      <c r="E33" s="81" t="s">
        <v>25</v>
      </c>
      <c r="F33" s="81" t="s">
        <v>25</v>
      </c>
      <c r="G33" s="21" t="s">
        <v>96</v>
      </c>
      <c r="H33" s="21" t="s">
        <v>90</v>
      </c>
      <c r="I33" s="21">
        <f>'MERCADO TUSD'!$U$30</f>
        <v>207428.35200000001</v>
      </c>
      <c r="J33" s="17"/>
      <c r="L33" s="79">
        <f>('TUSD BE'!$L$33+'TUSD BF'!$L$33+'TUSD CVA'!$L$33)*(1 - 0.4)</f>
        <v>0</v>
      </c>
      <c r="M33" s="79">
        <f>('TUSD BE'!$M$33+'TUSD BF'!$M$33+'TUSD CVA'!$M$33)*(1 - 0.4)</f>
        <v>0.52201403953714354</v>
      </c>
      <c r="N33" s="79">
        <f ca="1">('TUSD BE'!$N$33+'TUSD BF'!$N$33+'TUSD CVA'!$N$33)*(1 - 0.4)</f>
        <v>2.722909318546046</v>
      </c>
      <c r="O33" s="79">
        <f>('TUSD BE'!$O$33+'TUSD BF'!$O$33+'TUSD CVA'!$O$33)*(1 - 0.4)</f>
        <v>-9.1713356990211214E-4</v>
      </c>
      <c r="P33" s="79">
        <v>0</v>
      </c>
      <c r="Q33" s="79">
        <f>('TUSD BE'!$Q$33+'TUSD BF'!$Q$33+'TUSD CVA'!$Q$33)*(1 - 0.4)</f>
        <v>0</v>
      </c>
      <c r="R33" s="79">
        <v>0</v>
      </c>
      <c r="S33" s="79">
        <f>('TUSD BE'!$S$33+'TUSD BF'!$S$33+'TUSD CVA'!$S$33)*(1 - 0.4)</f>
        <v>0</v>
      </c>
      <c r="T33" s="79">
        <f>('TUSD BE'!$U$33+'TUSD BF'!$U$33+'TUSD CVA'!$U$33)*(1 - 0.4)</f>
        <v>20.95732739184665</v>
      </c>
      <c r="U33" s="79">
        <f>('TUSD BE'!$V$33+'TUSD BF'!$V$33+'TUSD CVA'!$V$33)*(1 - 0.4)</f>
        <v>5.3827897674109915</v>
      </c>
      <c r="V33" s="79">
        <f>('TUSD BE'!$W$33+'TUSD BF'!$W$33+'TUSD CVA'!$W$33)*(1 - 0.4)</f>
        <v>1.4768832437411972</v>
      </c>
      <c r="W33" s="79">
        <f>('TUSD BE'!$X$33+'TUSD BF'!$X$33+'TUSD CVA'!$X$33)*(1 - 0.4)</f>
        <v>0</v>
      </c>
      <c r="X33" s="79">
        <f>('TUSD BE'!$Y$33+'TUSD BF'!$Y$33+'TUSD CVA'!$Y$33)*(1 - 0.4)</f>
        <v>0.84675273909331206</v>
      </c>
      <c r="Y33" s="79">
        <f>('TUSD BE'!$Z$33+'TUSD BF'!$Z$33+'TUSD CVA'!$Z$33)*(1 - 0.4)</f>
        <v>0</v>
      </c>
      <c r="Z33" s="79">
        <f>('TUSD BE'!$AA$33+'TUSD BF'!$AA$33+'TUSD CVA'!$AA$33)*(1 - 0.4)</f>
        <v>0</v>
      </c>
      <c r="AA33" s="79">
        <f>('TUSD BE'!$AC$33+'TUSD BF'!$AC$33+'TUSD CVA'!$AC$33)*(1 - 0.4)</f>
        <v>154.96414126591529</v>
      </c>
      <c r="AB33" s="79">
        <f ca="1">('TUSD BE'!$AE$33+'TUSD BF'!$AE$33+'TUSD CVA'!$AE$33)*(1 - 0.4)</f>
        <v>0.30643248460780759</v>
      </c>
      <c r="AC33" s="79">
        <f ca="1">('TUSD BE'!$AF$33+'TUSD BF'!$AF$33+'TUSD CVA'!$AF$33)*(1 - 0.4)</f>
        <v>0</v>
      </c>
      <c r="AD33" s="79">
        <f>('TUSD BE'!$AH$33+'TUSD BF'!$AH$33+'TUSD CVA'!$AH$33)*(1 - 0.4)</f>
        <v>23.240522910765876</v>
      </c>
      <c r="AE33" s="79">
        <f>('TUSD BE'!$AI$33+'TUSD BF'!$AI$33+'TUSD CVA'!$AI$33)*(1 - 0.4)</f>
        <v>1.3420173309414871</v>
      </c>
      <c r="AF33" s="79">
        <f ca="1">('TUSD BE'!$AJ$33+'TUSD BF'!$AJ$33+'TUSD CVA'!$AJ$33)*(1 - 0.4)</f>
        <v>20.779148001221639</v>
      </c>
      <c r="AG33" s="79">
        <f ca="1">('TUSD BE'!$AK$33+'TUSD BF'!$AK$33+'TUSD CVA'!$AK$33)*(1 - 0.4)</f>
        <v>6.7670246362049609</v>
      </c>
      <c r="AI33" s="79">
        <v>0</v>
      </c>
      <c r="AJ33" s="79">
        <v>0.45063200650866903</v>
      </c>
      <c r="AK33" s="79">
        <v>2.21877025743956</v>
      </c>
      <c r="AL33" s="79">
        <v>-8.0848088092790602E-4</v>
      </c>
      <c r="AM33" s="79">
        <v>0</v>
      </c>
      <c r="AN33" s="79">
        <v>0</v>
      </c>
      <c r="AO33" s="79">
        <v>0</v>
      </c>
      <c r="AP33" s="79">
        <v>0</v>
      </c>
      <c r="AQ33" s="79">
        <v>21.658594389348899</v>
      </c>
      <c r="AR33" s="79">
        <v>8.0805148707122907</v>
      </c>
      <c r="AS33" s="79">
        <v>1.6523699665303599</v>
      </c>
      <c r="AT33" s="79">
        <v>0</v>
      </c>
      <c r="AU33" s="79">
        <v>1.0173465166131399</v>
      </c>
      <c r="AV33" s="79">
        <v>0</v>
      </c>
      <c r="AW33" s="79">
        <v>0</v>
      </c>
      <c r="AX33" s="79">
        <v>139.23321547367499</v>
      </c>
      <c r="AY33" s="79">
        <v>-15.8598834163137</v>
      </c>
      <c r="AZ33" s="79">
        <v>0</v>
      </c>
      <c r="BA33" s="79">
        <v>20.610757532089899</v>
      </c>
      <c r="BB33" s="79">
        <v>1.07770288396666</v>
      </c>
      <c r="BC33" s="79">
        <v>18.499037864413999</v>
      </c>
      <c r="BD33" s="79">
        <v>4.7983652750044801</v>
      </c>
    </row>
    <row r="34" spans="1:56" ht="11.25" customHeight="1" x14ac:dyDescent="0.25">
      <c r="A34" s="136"/>
      <c r="B34" s="136"/>
      <c r="C34" s="136"/>
      <c r="D34" s="81" t="s">
        <v>31</v>
      </c>
      <c r="E34" s="81" t="s">
        <v>25</v>
      </c>
      <c r="F34" s="81" t="s">
        <v>25</v>
      </c>
      <c r="G34" s="21" t="s">
        <v>96</v>
      </c>
      <c r="H34" s="21" t="s">
        <v>90</v>
      </c>
      <c r="I34" s="21">
        <f>'MERCADO TUSD'!$U$31</f>
        <v>81316.453999999983</v>
      </c>
      <c r="J34" s="17"/>
      <c r="L34" s="79">
        <f>('TUSD BE'!$L$34+'TUSD BF'!$L$34+'TUSD CVA'!$L$34)*(1 - 0.1)</f>
        <v>0</v>
      </c>
      <c r="M34" s="79">
        <f>('TUSD BE'!$M$34+'TUSD BF'!$M$34+'TUSD CVA'!$M$34)*(1 - 0.1)</f>
        <v>0.78302105930571542</v>
      </c>
      <c r="N34" s="79">
        <f ca="1">('TUSD BE'!$N$34+'TUSD BF'!$N$34+'TUSD CVA'!$N$34)*(1 - 0.1)</f>
        <v>4.084363977819069</v>
      </c>
      <c r="O34" s="79">
        <f>('TUSD BE'!$O$34+'TUSD BF'!$O$34+'TUSD CVA'!$O$34)*(1 - 0.1)</f>
        <v>-1.3757003548531684E-3</v>
      </c>
      <c r="P34" s="79">
        <v>0</v>
      </c>
      <c r="Q34" s="79">
        <f>('TUSD BE'!$Q$34+'TUSD BF'!$Q$34+'TUSD CVA'!$Q$34)*(1 - 0.1)</f>
        <v>0</v>
      </c>
      <c r="R34" s="79">
        <v>0</v>
      </c>
      <c r="S34" s="79">
        <f>('TUSD BE'!$S$34+'TUSD BF'!$S$34+'TUSD CVA'!$S$34)*(1 - 0.1)</f>
        <v>0</v>
      </c>
      <c r="T34" s="79">
        <f>('TUSD BE'!$U$34+'TUSD BF'!$U$34+'TUSD CVA'!$U$34)*(1 - 0.1)</f>
        <v>31.435991087769978</v>
      </c>
      <c r="U34" s="79">
        <f>('TUSD BE'!$V$34+'TUSD BF'!$V$34+'TUSD CVA'!$V$34)*(1 - 0.1)</f>
        <v>8.0741846511164876</v>
      </c>
      <c r="V34" s="79">
        <f>('TUSD BE'!$W$34+'TUSD BF'!$W$34+'TUSD CVA'!$W$34)*(1 - 0.1)</f>
        <v>2.2153248656117959</v>
      </c>
      <c r="W34" s="79">
        <f>('TUSD BE'!$X$34+'TUSD BF'!$X$34+'TUSD CVA'!$X$34)*(1 - 0.1)</f>
        <v>0</v>
      </c>
      <c r="X34" s="79">
        <f>('TUSD BE'!$Y$34+'TUSD BF'!$Y$34+'TUSD CVA'!$Y$34)*(1 - 0.1)</f>
        <v>1.2701291086399682</v>
      </c>
      <c r="Y34" s="79">
        <f>('TUSD BE'!$Z$34+'TUSD BF'!$Z$34+'TUSD CVA'!$Z$34)*(1 - 0.1)</f>
        <v>0</v>
      </c>
      <c r="Z34" s="79">
        <f>('TUSD BE'!$AA$34+'TUSD BF'!$AA$34+'TUSD CVA'!$AA$34)*(1 - 0.1)</f>
        <v>0</v>
      </c>
      <c r="AA34" s="79">
        <f>('TUSD BE'!$AC$34+'TUSD BF'!$AC$34+'TUSD CVA'!$AC$34)*(1 - 0.1)</f>
        <v>232.44621189887297</v>
      </c>
      <c r="AB34" s="79">
        <f ca="1">('TUSD BE'!$AE$34+'TUSD BF'!$AE$34+'TUSD CVA'!$AE$34)*(1 - 0.1)</f>
        <v>0.45964872691171138</v>
      </c>
      <c r="AC34" s="79">
        <f ca="1">('TUSD BE'!$AF$34+'TUSD BF'!$AF$34+'TUSD CVA'!$AF$34)*(1 - 0.1)</f>
        <v>0</v>
      </c>
      <c r="AD34" s="79">
        <f>('TUSD BE'!$AH$34+'TUSD BF'!$AH$34+'TUSD CVA'!$AH$34)*(1 - 0.1)</f>
        <v>34.860784366148813</v>
      </c>
      <c r="AE34" s="79">
        <f>('TUSD BE'!$AI$34+'TUSD BF'!$AI$34+'TUSD CVA'!$AI$34)*(1 - 0.1)</f>
        <v>2.0130259964122308</v>
      </c>
      <c r="AF34" s="79">
        <f ca="1">('TUSD BE'!$AJ$34+'TUSD BF'!$AJ$34+'TUSD CVA'!$AJ$34)*(1 - 0.1)</f>
        <v>31.168722001832457</v>
      </c>
      <c r="AG34" s="79">
        <f ca="1">('TUSD BE'!$AK$34+'TUSD BF'!$AK$34+'TUSD CVA'!$AK$34)*(1 - 0.1)</f>
        <v>10.150536954307443</v>
      </c>
      <c r="AI34" s="79">
        <v>0</v>
      </c>
      <c r="AJ34" s="79">
        <v>0.67594800976300395</v>
      </c>
      <c r="AK34" s="79">
        <v>3.3281553861593398</v>
      </c>
      <c r="AL34" s="79">
        <v>-1.2127213213918599E-3</v>
      </c>
      <c r="AM34" s="79">
        <v>0</v>
      </c>
      <c r="AN34" s="79">
        <v>0</v>
      </c>
      <c r="AO34" s="79">
        <v>0</v>
      </c>
      <c r="AP34" s="79">
        <v>0</v>
      </c>
      <c r="AQ34" s="79">
        <v>32.487891584023302</v>
      </c>
      <c r="AR34" s="79">
        <v>12.1207723060684</v>
      </c>
      <c r="AS34" s="79">
        <v>2.4785549497955399</v>
      </c>
      <c r="AT34" s="79">
        <v>0</v>
      </c>
      <c r="AU34" s="79">
        <v>1.52601977491971</v>
      </c>
      <c r="AV34" s="79">
        <v>0</v>
      </c>
      <c r="AW34" s="79">
        <v>0</v>
      </c>
      <c r="AX34" s="79">
        <v>208.849823210512</v>
      </c>
      <c r="AY34" s="79">
        <v>-23.7898251244705</v>
      </c>
      <c r="AZ34" s="79">
        <v>0</v>
      </c>
      <c r="BA34" s="79">
        <v>30.916136298134798</v>
      </c>
      <c r="BB34" s="79">
        <v>1.6165543259499899</v>
      </c>
      <c r="BC34" s="79">
        <v>27.748556796620999</v>
      </c>
      <c r="BD34" s="79">
        <v>7.1975479125067201</v>
      </c>
    </row>
    <row r="35" spans="1:56" ht="11.25" customHeight="1" x14ac:dyDescent="0.25">
      <c r="A35" s="136"/>
      <c r="B35" s="136"/>
      <c r="C35" s="136"/>
      <c r="D35" s="81" t="s">
        <v>32</v>
      </c>
      <c r="E35" s="81" t="s">
        <v>25</v>
      </c>
      <c r="F35" s="81" t="s">
        <v>25</v>
      </c>
      <c r="G35" s="21" t="s">
        <v>96</v>
      </c>
      <c r="H35" s="21" t="s">
        <v>90</v>
      </c>
      <c r="I35" s="21">
        <f>'MERCADO TUSD'!$U$32</f>
        <v>15947.552</v>
      </c>
      <c r="J35" s="17"/>
      <c r="L35" s="79">
        <f>('TUSD BE'!$L$35+'TUSD BF'!$L$35+'TUSD CVA'!$L$35)*1</f>
        <v>0</v>
      </c>
      <c r="M35" s="79">
        <f>('TUSD BE'!$M$35+'TUSD BF'!$M$35+'TUSD CVA'!$M$35)*1</f>
        <v>0.87002339922857264</v>
      </c>
      <c r="N35" s="79">
        <f ca="1">('TUSD BE'!$N$35+'TUSD BF'!$N$35+'TUSD CVA'!$N$35)*1</f>
        <v>4.5381821975767433</v>
      </c>
      <c r="O35" s="79">
        <f>('TUSD BE'!$O$35+'TUSD BF'!$O$35+'TUSD CVA'!$O$35)*1</f>
        <v>-1.5285559498368537E-3</v>
      </c>
      <c r="P35" s="79">
        <v>0</v>
      </c>
      <c r="Q35" s="79">
        <f>('TUSD BE'!$Q$35+'TUSD BF'!$Q$35+'TUSD CVA'!$Q$35)*1</f>
        <v>0</v>
      </c>
      <c r="R35" s="79">
        <v>0</v>
      </c>
      <c r="S35" s="79">
        <f>('TUSD BE'!$S$35+'TUSD BF'!$S$35+'TUSD CVA'!$S$35)*1</f>
        <v>0</v>
      </c>
      <c r="T35" s="79">
        <f>('TUSD BE'!$U$35+'TUSD BF'!$U$35+'TUSD CVA'!$U$35)*1</f>
        <v>34.928878986411085</v>
      </c>
      <c r="U35" s="79">
        <f>('TUSD BE'!$V$35+'TUSD BF'!$V$35+'TUSD CVA'!$V$35)*1</f>
        <v>8.9713162790183194</v>
      </c>
      <c r="V35" s="79">
        <f>('TUSD BE'!$W$35+'TUSD BF'!$W$35+'TUSD CVA'!$W$35)*1</f>
        <v>2.4614720729019952</v>
      </c>
      <c r="W35" s="79">
        <f>('TUSD BE'!$X$35+'TUSD BF'!$X$35+'TUSD CVA'!$X$35)*1</f>
        <v>0</v>
      </c>
      <c r="X35" s="79">
        <f>('TUSD BE'!$Y$35+'TUSD BF'!$Y$35+'TUSD CVA'!$Y$35)*1</f>
        <v>1.4112545651555202</v>
      </c>
      <c r="Y35" s="79">
        <f>('TUSD BE'!$Z$35+'TUSD BF'!$Z$35+'TUSD CVA'!$Z$35)*1</f>
        <v>0</v>
      </c>
      <c r="Z35" s="79">
        <f>('TUSD BE'!$AA$35+'TUSD BF'!$AA$35+'TUSD CVA'!$AA$35)*1</f>
        <v>0</v>
      </c>
      <c r="AA35" s="79">
        <f>('TUSD BE'!$AC$35+'TUSD BF'!$AC$35+'TUSD CVA'!$AC$35)*1</f>
        <v>258.27356877652551</v>
      </c>
      <c r="AB35" s="79">
        <f ca="1">('TUSD BE'!$AE$35+'TUSD BF'!$AE$35+'TUSD CVA'!$AE$35)*1</f>
        <v>0.51072080767967931</v>
      </c>
      <c r="AC35" s="79">
        <f ca="1">('TUSD BE'!$AF$35+'TUSD BF'!$AF$35+'TUSD CVA'!$AF$35)*1</f>
        <v>0</v>
      </c>
      <c r="AD35" s="79">
        <f>('TUSD BE'!$AH$35+'TUSD BF'!$AH$35+'TUSD CVA'!$AH$35)*1</f>
        <v>38.734204851276459</v>
      </c>
      <c r="AE35" s="79">
        <f>('TUSD BE'!$AI$35+'TUSD BF'!$AI$35+'TUSD CVA'!$AI$35)*1</f>
        <v>2.2366955515691451</v>
      </c>
      <c r="AF35" s="79">
        <f ca="1">('TUSD BE'!$AJ$35+'TUSD BF'!$AJ$35+'TUSD CVA'!$AJ$35)*1</f>
        <v>34.631913335369397</v>
      </c>
      <c r="AG35" s="79">
        <f ca="1">('TUSD BE'!$AK$35+'TUSD BF'!$AK$35+'TUSD CVA'!$AK$35)*1</f>
        <v>11.278374393674936</v>
      </c>
      <c r="AI35" s="79">
        <v>0</v>
      </c>
      <c r="AJ35" s="79">
        <v>0.75105334418111602</v>
      </c>
      <c r="AK35" s="79">
        <v>3.6979504290659402</v>
      </c>
      <c r="AL35" s="79">
        <v>-1.34746813487984E-3</v>
      </c>
      <c r="AM35" s="79">
        <v>0</v>
      </c>
      <c r="AN35" s="79">
        <v>0</v>
      </c>
      <c r="AO35" s="79">
        <v>0</v>
      </c>
      <c r="AP35" s="79">
        <v>0</v>
      </c>
      <c r="AQ35" s="79">
        <v>36.0976573155815</v>
      </c>
      <c r="AR35" s="79">
        <v>13.467524784520499</v>
      </c>
      <c r="AS35" s="79">
        <v>2.7539499442172599</v>
      </c>
      <c r="AT35" s="79">
        <v>0</v>
      </c>
      <c r="AU35" s="79">
        <v>1.6955775276885601</v>
      </c>
      <c r="AV35" s="79">
        <v>0</v>
      </c>
      <c r="AW35" s="79">
        <v>0</v>
      </c>
      <c r="AX35" s="79">
        <v>232.055359122791</v>
      </c>
      <c r="AY35" s="79">
        <v>-26.433139027189501</v>
      </c>
      <c r="AZ35" s="79">
        <v>0</v>
      </c>
      <c r="BA35" s="79">
        <v>34.351262553483103</v>
      </c>
      <c r="BB35" s="79">
        <v>1.79617147327777</v>
      </c>
      <c r="BC35" s="79">
        <v>30.831729774023302</v>
      </c>
      <c r="BD35" s="79">
        <v>7.9972754583408001</v>
      </c>
    </row>
    <row r="36" spans="1:56" ht="11.25" customHeight="1" x14ac:dyDescent="0.25">
      <c r="A36" s="136"/>
      <c r="B36" s="136" t="s">
        <v>103</v>
      </c>
      <c r="C36" s="136" t="s">
        <v>24</v>
      </c>
      <c r="D36" s="81" t="s">
        <v>24</v>
      </c>
      <c r="E36" s="81" t="s">
        <v>25</v>
      </c>
      <c r="F36" s="81" t="s">
        <v>25</v>
      </c>
      <c r="G36" s="21" t="s">
        <v>96</v>
      </c>
      <c r="H36" s="21" t="s">
        <v>90</v>
      </c>
      <c r="I36" s="21">
        <f>'MERCADO TUSD'!$U$33</f>
        <v>0</v>
      </c>
      <c r="J36" s="17"/>
      <c r="L36" s="79">
        <f>('TUSD BE'!$L$36+'TUSD BF'!$L$36+'TUSD CVA'!$L$36)*1</f>
        <v>10.329794751400486</v>
      </c>
      <c r="M36" s="79">
        <f>('TUSD BE'!$M$36+'TUSD BF'!$M$36+'TUSD CVA'!$M$36)*1</f>
        <v>0.87002339922857264</v>
      </c>
      <c r="N36" s="79">
        <f ca="1">('TUSD BE'!$N$36+'TUSD BF'!$N$36+'TUSD CVA'!$N$36)*1</f>
        <v>4.5496750950127618</v>
      </c>
      <c r="O36" s="79">
        <f>('TUSD BE'!$O$36+'TUSD BF'!$O$36+'TUSD CVA'!$O$36)*1</f>
        <v>-1.5285559498368537E-3</v>
      </c>
      <c r="P36" s="79">
        <f>('TUSD BE'!$P$36+'TUSD BF'!$P$36+'TUSD CVA'!$P$36)*1</f>
        <v>0</v>
      </c>
      <c r="Q36" s="79">
        <f>('TUSD BE'!$Q$36+'TUSD BF'!$Q$36+'TUSD CVA'!$Q$36)*1</f>
        <v>40.658079169042452</v>
      </c>
      <c r="R36" s="79">
        <f>('TUSD BE'!$R$36+'TUSD BF'!$R$36+'TUSD CVA'!$R$36)*1</f>
        <v>16.690821434365507</v>
      </c>
      <c r="S36" s="79">
        <f>('TUSD BE'!$S$36+'TUSD BF'!$S$36+'TUSD CVA'!$S$36)*1</f>
        <v>0</v>
      </c>
      <c r="T36" s="79">
        <f>('TUSD BE'!$U$36+'TUSD BF'!$U$36+'TUSD CVA'!$U$36)*1</f>
        <v>34.928878986411085</v>
      </c>
      <c r="U36" s="79">
        <f>('TUSD BE'!$V$36+'TUSD BF'!$V$36+'TUSD CVA'!$V$36)*1</f>
        <v>8.9713162790183194</v>
      </c>
      <c r="V36" s="79">
        <f>('TUSD BE'!$W$36+'TUSD BF'!$W$36+'TUSD CVA'!$W$36)*1</f>
        <v>2.4614720729019952</v>
      </c>
      <c r="W36" s="79">
        <f>('TUSD BE'!$X$36+'TUSD BF'!$X$36+'TUSD CVA'!$X$36)*1</f>
        <v>0</v>
      </c>
      <c r="X36" s="79">
        <f>('TUSD BE'!$Y$36+'TUSD BF'!$Y$36+'TUSD CVA'!$Y$36)*1</f>
        <v>1.4112545651555202</v>
      </c>
      <c r="Y36" s="79">
        <f>('TUSD BE'!$Z$36+'TUSD BF'!$Z$36+'TUSD CVA'!$Z$36)*1</f>
        <v>0</v>
      </c>
      <c r="Z36" s="79">
        <f>('TUSD BE'!$AA$36+'TUSD BF'!$AA$36+'TUSD CVA'!$AA$36)*1</f>
        <v>0</v>
      </c>
      <c r="AA36" s="79">
        <f>('TUSD BE'!$AC$36+'TUSD BF'!$AC$36+'TUSD CVA'!$AC$36)*1</f>
        <v>258.27356877652551</v>
      </c>
      <c r="AB36" s="79">
        <f ca="1">('TUSD BE'!$AE$36+'TUSD BF'!$AE$36+'TUSD CVA'!$AE$36)*1</f>
        <v>0.59488220073761389</v>
      </c>
      <c r="AC36" s="79">
        <f ca="1">('TUSD BE'!$AF$36+'TUSD BF'!$AF$36+'TUSD CVA'!$AF$36)*1</f>
        <v>0</v>
      </c>
      <c r="AD36" s="79">
        <f>('TUSD BE'!$AH$36+'TUSD BF'!$AH$36+'TUSD CVA'!$AH$36)*1</f>
        <v>38.734204851276459</v>
      </c>
      <c r="AE36" s="79">
        <f>('TUSD BE'!$AI$36+'TUSD BF'!$AI$36+'TUSD CVA'!$AI$36)*1</f>
        <v>2.2366955515691451</v>
      </c>
      <c r="AF36" s="79">
        <f ca="1">('TUSD BE'!$AJ$36+'TUSD BF'!$AJ$36+'TUSD CVA'!$AJ$36)*1</f>
        <v>34.631913335369397</v>
      </c>
      <c r="AG36" s="79">
        <f ca="1">('TUSD BE'!$AK$36+'TUSD BF'!$AK$36+'TUSD CVA'!$AK$36)*1</f>
        <v>11.278374393674936</v>
      </c>
      <c r="AI36" s="79">
        <v>0</v>
      </c>
      <c r="AJ36" s="79">
        <v>0.75105334418111602</v>
      </c>
      <c r="AK36" s="79">
        <v>3.70747754605055</v>
      </c>
      <c r="AL36" s="79">
        <v>-1.34746813487984E-3</v>
      </c>
      <c r="AM36" s="79">
        <v>0</v>
      </c>
      <c r="AN36" s="79">
        <v>25.144914724955498</v>
      </c>
      <c r="AO36" s="79">
        <v>16.006661772939498</v>
      </c>
      <c r="AP36" s="79">
        <v>0</v>
      </c>
      <c r="AQ36" s="79">
        <v>36.0976573155815</v>
      </c>
      <c r="AR36" s="79">
        <v>13.467524784520499</v>
      </c>
      <c r="AS36" s="79">
        <v>2.7539499442172599</v>
      </c>
      <c r="AT36" s="79">
        <v>0</v>
      </c>
      <c r="AU36" s="79">
        <v>1.6955775276885601</v>
      </c>
      <c r="AV36" s="79">
        <v>0</v>
      </c>
      <c r="AW36" s="79">
        <v>0</v>
      </c>
      <c r="AX36" s="79">
        <v>232.055359122791</v>
      </c>
      <c r="AY36" s="79">
        <v>-30.0714564446765</v>
      </c>
      <c r="AZ36" s="79">
        <v>0</v>
      </c>
      <c r="BA36" s="79">
        <v>34.351262553483103</v>
      </c>
      <c r="BB36" s="79">
        <v>1.79617147327777</v>
      </c>
      <c r="BC36" s="79">
        <v>30.831729774023302</v>
      </c>
      <c r="BD36" s="79">
        <v>7.9972754583408001</v>
      </c>
    </row>
    <row r="37" spans="1:56" ht="11.25" customHeight="1" x14ac:dyDescent="0.25">
      <c r="A37" s="136"/>
      <c r="B37" s="136"/>
      <c r="C37" s="136"/>
      <c r="D37" s="81" t="s">
        <v>29</v>
      </c>
      <c r="E37" s="81" t="s">
        <v>25</v>
      </c>
      <c r="F37" s="81" t="s">
        <v>25</v>
      </c>
      <c r="G37" s="21" t="s">
        <v>96</v>
      </c>
      <c r="H37" s="21" t="s">
        <v>90</v>
      </c>
      <c r="I37" s="21">
        <f>'MERCADO TUSD'!$U$34</f>
        <v>0</v>
      </c>
      <c r="J37" s="17"/>
      <c r="L37" s="79">
        <f>('TUSD BE'!$L$37+'TUSD BF'!$L$37+'TUSD CVA'!$L$37)*(1 - 0.65)</f>
        <v>0</v>
      </c>
      <c r="M37" s="79">
        <f>('TUSD BE'!$M$37+'TUSD BF'!$M$37+'TUSD CVA'!$M$37)*(1 - 0.65)</f>
        <v>0.30450818973000038</v>
      </c>
      <c r="N37" s="79">
        <f ca="1">('TUSD BE'!$N$37+'TUSD BF'!$N$37+'TUSD CVA'!$N$37)*(1 - 0.65)</f>
        <v>1.5883637691518602</v>
      </c>
      <c r="O37" s="79">
        <f>('TUSD BE'!$O$37+'TUSD BF'!$O$37+'TUSD CVA'!$O$37)*(1 - 0.65)</f>
        <v>-5.3499458244289871E-4</v>
      </c>
      <c r="P37" s="79">
        <v>0</v>
      </c>
      <c r="Q37" s="79">
        <f>('TUSD BE'!$Q$37+'TUSD BF'!$Q$37+'TUSD CVA'!$Q$37)*(1 - 0.65)</f>
        <v>0</v>
      </c>
      <c r="R37" s="79">
        <v>0</v>
      </c>
      <c r="S37" s="79">
        <f>('TUSD BE'!$S$37+'TUSD BF'!$S$37+'TUSD CVA'!$S$37)*(1 - 0.65)</f>
        <v>0</v>
      </c>
      <c r="T37" s="79">
        <f>('TUSD BE'!$U$37+'TUSD BF'!$U$37+'TUSD CVA'!$U$37)*(1 - 0.65)</f>
        <v>12.225107645243879</v>
      </c>
      <c r="U37" s="79">
        <f>('TUSD BE'!$V$37+'TUSD BF'!$V$37+'TUSD CVA'!$V$37)*(1 - 0.65)</f>
        <v>3.1399606976564116</v>
      </c>
      <c r="V37" s="79">
        <f>('TUSD BE'!$W$37+'TUSD BF'!$W$37+'TUSD CVA'!$W$37)*(1 - 0.65)</f>
        <v>0.86151522551569826</v>
      </c>
      <c r="W37" s="79">
        <f>('TUSD BE'!$X$37+'TUSD BF'!$X$37+'TUSD CVA'!$X$37)*(1 - 0.65)</f>
        <v>0</v>
      </c>
      <c r="X37" s="79">
        <f>('TUSD BE'!$Y$37+'TUSD BF'!$Y$37+'TUSD CVA'!$Y$37)*(1 - 0.65)</f>
        <v>0.49393909780443201</v>
      </c>
      <c r="Y37" s="79">
        <f>('TUSD BE'!$Z$37+'TUSD BF'!$Z$37+'TUSD CVA'!$Z$37)*(1 - 0.65)</f>
        <v>0</v>
      </c>
      <c r="Z37" s="79">
        <f>('TUSD BE'!$AA$37+'TUSD BF'!$AA$37+'TUSD CVA'!$AA$37)*(1 - 0.65)</f>
        <v>0</v>
      </c>
      <c r="AA37" s="79">
        <f>('TUSD BE'!$AC$37+'TUSD BF'!$AC$37+'TUSD CVA'!$AC$37)*(1 - 0.65)</f>
        <v>90.395749071783925</v>
      </c>
      <c r="AB37" s="79">
        <f ca="1">('TUSD BE'!$AE$37+'TUSD BF'!$AE$37+'TUSD CVA'!$AE$37)*(1 - 0.65)</f>
        <v>0.17875228268788776</v>
      </c>
      <c r="AC37" s="79">
        <f ca="1">('TUSD BE'!$AF$37+'TUSD BF'!$AF$37+'TUSD CVA'!$AF$37)*(1 - 0.65)</f>
        <v>0</v>
      </c>
      <c r="AD37" s="79">
        <f>('TUSD BE'!$AH$37+'TUSD BF'!$AH$37+'TUSD CVA'!$AH$37)*(1 - 0.65)</f>
        <v>13.556971697946761</v>
      </c>
      <c r="AE37" s="79">
        <f>('TUSD BE'!$AI$37+'TUSD BF'!$AI$37+'TUSD CVA'!$AI$37)*(1 - 0.65)</f>
        <v>0.78284344304920073</v>
      </c>
      <c r="AF37" s="79">
        <f ca="1">('TUSD BE'!$AJ$37+'TUSD BF'!$AJ$37+'TUSD CVA'!$AJ$37)*(1 - 0.65)</f>
        <v>12.121169667379288</v>
      </c>
      <c r="AG37" s="79">
        <f ca="1">('TUSD BE'!$AK$37+'TUSD BF'!$AK$37+'TUSD CVA'!$AK$37)*(1 - 0.65)</f>
        <v>3.9474310377862274</v>
      </c>
      <c r="AI37" s="79">
        <v>0</v>
      </c>
      <c r="AJ37" s="79">
        <v>0.26286867046339102</v>
      </c>
      <c r="AK37" s="79">
        <v>1.29428265017308</v>
      </c>
      <c r="AL37" s="79">
        <v>-4.7161384720794498E-4</v>
      </c>
      <c r="AM37" s="79">
        <v>0</v>
      </c>
      <c r="AN37" s="79">
        <v>0</v>
      </c>
      <c r="AO37" s="79">
        <v>0</v>
      </c>
      <c r="AP37" s="79">
        <v>0</v>
      </c>
      <c r="AQ37" s="79">
        <v>12.634180060453501</v>
      </c>
      <c r="AR37" s="79">
        <v>4.7136336745821703</v>
      </c>
      <c r="AS37" s="79">
        <v>0.96388248047604197</v>
      </c>
      <c r="AT37" s="79">
        <v>0</v>
      </c>
      <c r="AU37" s="79">
        <v>0.593452134690997</v>
      </c>
      <c r="AV37" s="79">
        <v>0</v>
      </c>
      <c r="AW37" s="79">
        <v>0</v>
      </c>
      <c r="AX37" s="79">
        <v>81.219375692976897</v>
      </c>
      <c r="AY37" s="79">
        <v>-9.2515986595163096</v>
      </c>
      <c r="AZ37" s="79">
        <v>0</v>
      </c>
      <c r="BA37" s="79">
        <v>12.0229418937191</v>
      </c>
      <c r="BB37" s="79">
        <v>0.62866001564721896</v>
      </c>
      <c r="BC37" s="79">
        <v>10.791105420908201</v>
      </c>
      <c r="BD37" s="79">
        <v>2.79904641041928</v>
      </c>
    </row>
    <row r="38" spans="1:56" ht="11.25" customHeight="1" x14ac:dyDescent="0.25">
      <c r="A38" s="136"/>
      <c r="B38" s="136"/>
      <c r="C38" s="136"/>
      <c r="D38" s="81" t="s">
        <v>30</v>
      </c>
      <c r="E38" s="81" t="s">
        <v>25</v>
      </c>
      <c r="F38" s="81" t="s">
        <v>25</v>
      </c>
      <c r="G38" s="21" t="s">
        <v>96</v>
      </c>
      <c r="H38" s="21" t="s">
        <v>90</v>
      </c>
      <c r="I38" s="21">
        <f>'MERCADO TUSD'!$U$35</f>
        <v>0</v>
      </c>
      <c r="J38" s="17"/>
      <c r="L38" s="79">
        <f>('TUSD BE'!$L$38+'TUSD BF'!$L$38+'TUSD CVA'!$L$38)*(1 - 0.4)</f>
        <v>0</v>
      </c>
      <c r="M38" s="79">
        <f>('TUSD BE'!$M$38+'TUSD BF'!$M$38+'TUSD CVA'!$M$38)*(1 - 0.4)</f>
        <v>0.52201403953714354</v>
      </c>
      <c r="N38" s="79">
        <f ca="1">('TUSD BE'!$N$38+'TUSD BF'!$N$38+'TUSD CVA'!$N$38)*(1 - 0.4)</f>
        <v>2.722909318546046</v>
      </c>
      <c r="O38" s="79">
        <f>('TUSD BE'!$O$38+'TUSD BF'!$O$38+'TUSD CVA'!$O$38)*(1 - 0.4)</f>
        <v>-9.1713356990211214E-4</v>
      </c>
      <c r="P38" s="79">
        <v>0</v>
      </c>
      <c r="Q38" s="79">
        <f>('TUSD BE'!$Q$38+'TUSD BF'!$Q$38+'TUSD CVA'!$Q$38)*(1 - 0.4)</f>
        <v>0</v>
      </c>
      <c r="R38" s="79">
        <v>0</v>
      </c>
      <c r="S38" s="79">
        <f>('TUSD BE'!$S$38+'TUSD BF'!$S$38+'TUSD CVA'!$S$38)*(1 - 0.4)</f>
        <v>0</v>
      </c>
      <c r="T38" s="79">
        <f>('TUSD BE'!$U$38+'TUSD BF'!$U$38+'TUSD CVA'!$U$38)*(1 - 0.4)</f>
        <v>20.95732739184665</v>
      </c>
      <c r="U38" s="79">
        <f>('TUSD BE'!$V$38+'TUSD BF'!$V$38+'TUSD CVA'!$V$38)*(1 - 0.4)</f>
        <v>5.3827897674109915</v>
      </c>
      <c r="V38" s="79">
        <f>('TUSD BE'!$W$38+'TUSD BF'!$W$38+'TUSD CVA'!$W$38)*(1 - 0.4)</f>
        <v>1.4768832437411972</v>
      </c>
      <c r="W38" s="79">
        <f>('TUSD BE'!$X$38+'TUSD BF'!$X$38+'TUSD CVA'!$X$38)*(1 - 0.4)</f>
        <v>0</v>
      </c>
      <c r="X38" s="79">
        <f>('TUSD BE'!$Y$38+'TUSD BF'!$Y$38+'TUSD CVA'!$Y$38)*(1 - 0.4)</f>
        <v>0.84675273909331206</v>
      </c>
      <c r="Y38" s="79">
        <f>('TUSD BE'!$Z$38+'TUSD BF'!$Z$38+'TUSD CVA'!$Z$38)*(1 - 0.4)</f>
        <v>0</v>
      </c>
      <c r="Z38" s="79">
        <f>('TUSD BE'!$AA$38+'TUSD BF'!$AA$38+'TUSD CVA'!$AA$38)*(1 - 0.4)</f>
        <v>0</v>
      </c>
      <c r="AA38" s="79">
        <f>('TUSD BE'!$AC$38+'TUSD BF'!$AC$38+'TUSD CVA'!$AC$38)*(1 - 0.4)</f>
        <v>154.96414126591529</v>
      </c>
      <c r="AB38" s="79">
        <f ca="1">('TUSD BE'!$AE$38+'TUSD BF'!$AE$38+'TUSD CVA'!$AE$38)*(1 - 0.4)</f>
        <v>0.30643248460780759</v>
      </c>
      <c r="AC38" s="79">
        <f ca="1">('TUSD BE'!$AF$38+'TUSD BF'!$AF$38+'TUSD CVA'!$AF$38)*(1 - 0.4)</f>
        <v>0</v>
      </c>
      <c r="AD38" s="79">
        <f>('TUSD BE'!$AH$38+'TUSD BF'!$AH$38+'TUSD CVA'!$AH$38)*(1 - 0.4)</f>
        <v>23.240522910765876</v>
      </c>
      <c r="AE38" s="79">
        <f>('TUSD BE'!$AI$38+'TUSD BF'!$AI$38+'TUSD CVA'!$AI$38)*(1 - 0.4)</f>
        <v>1.3420173309414871</v>
      </c>
      <c r="AF38" s="79">
        <f ca="1">('TUSD BE'!$AJ$38+'TUSD BF'!$AJ$38+'TUSD CVA'!$AJ$38)*(1 - 0.4)</f>
        <v>20.779148001221639</v>
      </c>
      <c r="AG38" s="79">
        <f ca="1">('TUSD BE'!$AK$38+'TUSD BF'!$AK$38+'TUSD CVA'!$AK$38)*(1 - 0.4)</f>
        <v>6.7670246362049609</v>
      </c>
      <c r="AI38" s="79">
        <v>0</v>
      </c>
      <c r="AJ38" s="79">
        <v>0.45063200650866903</v>
      </c>
      <c r="AK38" s="79">
        <v>2.21877025743956</v>
      </c>
      <c r="AL38" s="79">
        <v>-8.0848088092790602E-4</v>
      </c>
      <c r="AM38" s="79">
        <v>0</v>
      </c>
      <c r="AN38" s="79">
        <v>0</v>
      </c>
      <c r="AO38" s="79">
        <v>0</v>
      </c>
      <c r="AP38" s="79">
        <v>0</v>
      </c>
      <c r="AQ38" s="79">
        <v>21.658594389348899</v>
      </c>
      <c r="AR38" s="79">
        <v>8.0805148707122907</v>
      </c>
      <c r="AS38" s="79">
        <v>1.6523699665303599</v>
      </c>
      <c r="AT38" s="79">
        <v>0</v>
      </c>
      <c r="AU38" s="79">
        <v>1.0173465166131399</v>
      </c>
      <c r="AV38" s="79">
        <v>0</v>
      </c>
      <c r="AW38" s="79">
        <v>0</v>
      </c>
      <c r="AX38" s="79">
        <v>139.23321547367499</v>
      </c>
      <c r="AY38" s="79">
        <v>-15.8598834163137</v>
      </c>
      <c r="AZ38" s="79">
        <v>0</v>
      </c>
      <c r="BA38" s="79">
        <v>20.610757532089899</v>
      </c>
      <c r="BB38" s="79">
        <v>1.07770288396666</v>
      </c>
      <c r="BC38" s="79">
        <v>18.499037864413999</v>
      </c>
      <c r="BD38" s="79">
        <v>4.7983652750044801</v>
      </c>
    </row>
    <row r="39" spans="1:56" ht="11.25" customHeight="1" x14ac:dyDescent="0.25">
      <c r="A39" s="136"/>
      <c r="B39" s="136"/>
      <c r="C39" s="136"/>
      <c r="D39" s="81" t="s">
        <v>31</v>
      </c>
      <c r="E39" s="81" t="s">
        <v>25</v>
      </c>
      <c r="F39" s="81" t="s">
        <v>25</v>
      </c>
      <c r="G39" s="21" t="s">
        <v>96</v>
      </c>
      <c r="H39" s="21" t="s">
        <v>90</v>
      </c>
      <c r="I39" s="21">
        <f>'MERCADO TUSD'!$U$36</f>
        <v>0</v>
      </c>
      <c r="J39" s="17"/>
      <c r="L39" s="79">
        <f>('TUSD BE'!$L$39+'TUSD BF'!$L$39+'TUSD CVA'!$L$39)*(1 - 0.1)</f>
        <v>0</v>
      </c>
      <c r="M39" s="79">
        <f>('TUSD BE'!$M$39+'TUSD BF'!$M$39+'TUSD CVA'!$M$39)*(1 - 0.1)</f>
        <v>0.78302105930571542</v>
      </c>
      <c r="N39" s="79">
        <f ca="1">('TUSD BE'!$N$39+'TUSD BF'!$N$39+'TUSD CVA'!$N$39)*(1 - 0.1)</f>
        <v>4.084363977819069</v>
      </c>
      <c r="O39" s="79">
        <f>('TUSD BE'!$O$39+'TUSD BF'!$O$39+'TUSD CVA'!$O$39)*(1 - 0.1)</f>
        <v>-1.3757003548531684E-3</v>
      </c>
      <c r="P39" s="79">
        <v>0</v>
      </c>
      <c r="Q39" s="79">
        <f>('TUSD BE'!$Q$39+'TUSD BF'!$Q$39+'TUSD CVA'!$Q$39)*(1 - 0.1)</f>
        <v>0</v>
      </c>
      <c r="R39" s="79">
        <v>0</v>
      </c>
      <c r="S39" s="79">
        <f>('TUSD BE'!$S$39+'TUSD BF'!$S$39+'TUSD CVA'!$S$39)*(1 - 0.1)</f>
        <v>0</v>
      </c>
      <c r="T39" s="79">
        <f>('TUSD BE'!$U$39+'TUSD BF'!$U$39+'TUSD CVA'!$U$39)*(1 - 0.1)</f>
        <v>31.435991087769978</v>
      </c>
      <c r="U39" s="79">
        <f>('TUSD BE'!$V$39+'TUSD BF'!$V$39+'TUSD CVA'!$V$39)*(1 - 0.1)</f>
        <v>8.0741846511164876</v>
      </c>
      <c r="V39" s="79">
        <f>('TUSD BE'!$W$39+'TUSD BF'!$W$39+'TUSD CVA'!$W$39)*(1 - 0.1)</f>
        <v>2.2153248656117959</v>
      </c>
      <c r="W39" s="79">
        <f>('TUSD BE'!$X$39+'TUSD BF'!$X$39+'TUSD CVA'!$X$39)*(1 - 0.1)</f>
        <v>0</v>
      </c>
      <c r="X39" s="79">
        <f>('TUSD BE'!$Y$39+'TUSD BF'!$Y$39+'TUSD CVA'!$Y$39)*(1 - 0.1)</f>
        <v>1.2701291086399682</v>
      </c>
      <c r="Y39" s="79">
        <f>('TUSD BE'!$Z$39+'TUSD BF'!$Z$39+'TUSD CVA'!$Z$39)*(1 - 0.1)</f>
        <v>0</v>
      </c>
      <c r="Z39" s="79">
        <f>('TUSD BE'!$AA$39+'TUSD BF'!$AA$39+'TUSD CVA'!$AA$39)*(1 - 0.1)</f>
        <v>0</v>
      </c>
      <c r="AA39" s="79">
        <f>('TUSD BE'!$AC$39+'TUSD BF'!$AC$39+'TUSD CVA'!$AC$39)*(1 - 0.1)</f>
        <v>232.44621189887297</v>
      </c>
      <c r="AB39" s="79">
        <f ca="1">('TUSD BE'!$AE$39+'TUSD BF'!$AE$39+'TUSD CVA'!$AE$39)*(1 - 0.1)</f>
        <v>0.45964872691171138</v>
      </c>
      <c r="AC39" s="79">
        <f ca="1">('TUSD BE'!$AF$39+'TUSD BF'!$AF$39+'TUSD CVA'!$AF$39)*(1 - 0.1)</f>
        <v>0</v>
      </c>
      <c r="AD39" s="79">
        <f>('TUSD BE'!$AH$39+'TUSD BF'!$AH$39+'TUSD CVA'!$AH$39)*(1 - 0.1)</f>
        <v>34.860784366148813</v>
      </c>
      <c r="AE39" s="79">
        <f>('TUSD BE'!$AI$39+'TUSD BF'!$AI$39+'TUSD CVA'!$AI$39)*(1 - 0.1)</f>
        <v>2.0130259964122308</v>
      </c>
      <c r="AF39" s="79">
        <f ca="1">('TUSD BE'!$AJ$39+'TUSD BF'!$AJ$39+'TUSD CVA'!$AJ$39)*(1 - 0.1)</f>
        <v>31.168722001832457</v>
      </c>
      <c r="AG39" s="79">
        <f ca="1">('TUSD BE'!$AK$39+'TUSD BF'!$AK$39+'TUSD CVA'!$AK$39)*(1 - 0.1)</f>
        <v>10.150536954307443</v>
      </c>
      <c r="AI39" s="79">
        <v>0</v>
      </c>
      <c r="AJ39" s="79">
        <v>0.67594800976300395</v>
      </c>
      <c r="AK39" s="79">
        <v>3.3281553861593398</v>
      </c>
      <c r="AL39" s="79">
        <v>-1.2127213213918599E-3</v>
      </c>
      <c r="AM39" s="79">
        <v>0</v>
      </c>
      <c r="AN39" s="79">
        <v>0</v>
      </c>
      <c r="AO39" s="79">
        <v>0</v>
      </c>
      <c r="AP39" s="79">
        <v>0</v>
      </c>
      <c r="AQ39" s="79">
        <v>32.487891584023302</v>
      </c>
      <c r="AR39" s="79">
        <v>12.1207723060684</v>
      </c>
      <c r="AS39" s="79">
        <v>2.4785549497955399</v>
      </c>
      <c r="AT39" s="79">
        <v>0</v>
      </c>
      <c r="AU39" s="79">
        <v>1.52601977491971</v>
      </c>
      <c r="AV39" s="79">
        <v>0</v>
      </c>
      <c r="AW39" s="79">
        <v>0</v>
      </c>
      <c r="AX39" s="79">
        <v>208.849823210512</v>
      </c>
      <c r="AY39" s="79">
        <v>-23.7898251244705</v>
      </c>
      <c r="AZ39" s="79">
        <v>0</v>
      </c>
      <c r="BA39" s="79">
        <v>30.916136298134798</v>
      </c>
      <c r="BB39" s="79">
        <v>1.6165543259499899</v>
      </c>
      <c r="BC39" s="79">
        <v>27.748556796620999</v>
      </c>
      <c r="BD39" s="79">
        <v>7.1975479125067201</v>
      </c>
    </row>
    <row r="40" spans="1:56" ht="11.25" customHeight="1" x14ac:dyDescent="0.25">
      <c r="A40" s="136"/>
      <c r="B40" s="136"/>
      <c r="C40" s="136"/>
      <c r="D40" s="81" t="s">
        <v>32</v>
      </c>
      <c r="E40" s="81" t="s">
        <v>25</v>
      </c>
      <c r="F40" s="81" t="s">
        <v>25</v>
      </c>
      <c r="G40" s="21" t="s">
        <v>96</v>
      </c>
      <c r="H40" s="21" t="s">
        <v>90</v>
      </c>
      <c r="I40" s="21">
        <f>'MERCADO TUSD'!$U$37</f>
        <v>0</v>
      </c>
      <c r="J40" s="17"/>
      <c r="L40" s="79">
        <f>('TUSD BE'!$L$40+'TUSD BF'!$L$40+'TUSD CVA'!$L$40)*1</f>
        <v>0</v>
      </c>
      <c r="M40" s="79">
        <f>('TUSD BE'!$M$40+'TUSD BF'!$M$40+'TUSD CVA'!$M$40)*1</f>
        <v>0.87002339922857264</v>
      </c>
      <c r="N40" s="79">
        <f ca="1">('TUSD BE'!$N$40+'TUSD BF'!$N$40+'TUSD CVA'!$N$40)*1</f>
        <v>4.5381821975767433</v>
      </c>
      <c r="O40" s="79">
        <f>('TUSD BE'!$O$40+'TUSD BF'!$O$40+'TUSD CVA'!$O$40)*1</f>
        <v>-1.5285559498368537E-3</v>
      </c>
      <c r="P40" s="79">
        <v>0</v>
      </c>
      <c r="Q40" s="79">
        <f>('TUSD BE'!$Q$40+'TUSD BF'!$Q$40+'TUSD CVA'!$Q$40)*1</f>
        <v>0</v>
      </c>
      <c r="R40" s="79">
        <v>0</v>
      </c>
      <c r="S40" s="79">
        <f>('TUSD BE'!$S$40+'TUSD BF'!$S$40+'TUSD CVA'!$S$40)*1</f>
        <v>0</v>
      </c>
      <c r="T40" s="79">
        <f>('TUSD BE'!$U$40+'TUSD BF'!$U$40+'TUSD CVA'!$U$40)*1</f>
        <v>34.928878986411085</v>
      </c>
      <c r="U40" s="79">
        <f>('TUSD BE'!$V$40+'TUSD BF'!$V$40+'TUSD CVA'!$V$40)*1</f>
        <v>8.9713162790183194</v>
      </c>
      <c r="V40" s="79">
        <f>('TUSD BE'!$W$40+'TUSD BF'!$W$40+'TUSD CVA'!$W$40)*1</f>
        <v>2.4614720729019952</v>
      </c>
      <c r="W40" s="79">
        <f>('TUSD BE'!$X$40+'TUSD BF'!$X$40+'TUSD CVA'!$X$40)*1</f>
        <v>0</v>
      </c>
      <c r="X40" s="79">
        <f>('TUSD BE'!$Y$40+'TUSD BF'!$Y$40+'TUSD CVA'!$Y$40)*1</f>
        <v>1.4112545651555202</v>
      </c>
      <c r="Y40" s="79">
        <f>('TUSD BE'!$Z$40+'TUSD BF'!$Z$40+'TUSD CVA'!$Z$40)*1</f>
        <v>0</v>
      </c>
      <c r="Z40" s="79">
        <f>('TUSD BE'!$AA$40+'TUSD BF'!$AA$40+'TUSD CVA'!$AA$40)*1</f>
        <v>0</v>
      </c>
      <c r="AA40" s="79">
        <f>('TUSD BE'!$AC$40+'TUSD BF'!$AC$40+'TUSD CVA'!$AC$40)*1</f>
        <v>258.27356877652551</v>
      </c>
      <c r="AB40" s="79">
        <f ca="1">('TUSD BE'!$AE$40+'TUSD BF'!$AE$40+'TUSD CVA'!$AE$40)*1</f>
        <v>0.51072080767967931</v>
      </c>
      <c r="AC40" s="79">
        <f ca="1">('TUSD BE'!$AF$40+'TUSD BF'!$AF$40+'TUSD CVA'!$AF$40)*1</f>
        <v>0</v>
      </c>
      <c r="AD40" s="79">
        <f>('TUSD BE'!$AH$40+'TUSD BF'!$AH$40+'TUSD CVA'!$AH$40)*1</f>
        <v>38.734204851276459</v>
      </c>
      <c r="AE40" s="79">
        <f>('TUSD BE'!$AI$40+'TUSD BF'!$AI$40+'TUSD CVA'!$AI$40)*1</f>
        <v>2.2366955515691451</v>
      </c>
      <c r="AF40" s="79">
        <f ca="1">('TUSD BE'!$AJ$40+'TUSD BF'!$AJ$40+'TUSD CVA'!$AJ$40)*1</f>
        <v>34.631913335369397</v>
      </c>
      <c r="AG40" s="79">
        <f ca="1">('TUSD BE'!$AK$40+'TUSD BF'!$AK$40+'TUSD CVA'!$AK$40)*1</f>
        <v>11.278374393674936</v>
      </c>
      <c r="AI40" s="79">
        <v>0</v>
      </c>
      <c r="AJ40" s="79">
        <v>0.75105334418111602</v>
      </c>
      <c r="AK40" s="79">
        <v>3.6979504290659402</v>
      </c>
      <c r="AL40" s="79">
        <v>-1.34746813487984E-3</v>
      </c>
      <c r="AM40" s="79">
        <v>0</v>
      </c>
      <c r="AN40" s="79">
        <v>0</v>
      </c>
      <c r="AO40" s="79">
        <v>0</v>
      </c>
      <c r="AP40" s="79">
        <v>0</v>
      </c>
      <c r="AQ40" s="79">
        <v>36.0976573155815</v>
      </c>
      <c r="AR40" s="79">
        <v>13.467524784520499</v>
      </c>
      <c r="AS40" s="79">
        <v>2.7539499442172599</v>
      </c>
      <c r="AT40" s="79">
        <v>0</v>
      </c>
      <c r="AU40" s="79">
        <v>1.6955775276885601</v>
      </c>
      <c r="AV40" s="79">
        <v>0</v>
      </c>
      <c r="AW40" s="79">
        <v>0</v>
      </c>
      <c r="AX40" s="79">
        <v>232.055359122791</v>
      </c>
      <c r="AY40" s="79">
        <v>-26.433139027189501</v>
      </c>
      <c r="AZ40" s="79">
        <v>0</v>
      </c>
      <c r="BA40" s="79">
        <v>34.351262553483103</v>
      </c>
      <c r="BB40" s="79">
        <v>1.79617147327777</v>
      </c>
      <c r="BC40" s="79">
        <v>30.831729774023302</v>
      </c>
      <c r="BD40" s="79">
        <v>7.9972754583408001</v>
      </c>
    </row>
    <row r="41" spans="1:56" ht="11.25" customHeight="1" x14ac:dyDescent="0.25">
      <c r="A41" s="136" t="s">
        <v>44</v>
      </c>
      <c r="B41" s="136" t="s">
        <v>37</v>
      </c>
      <c r="C41" s="136" t="s">
        <v>45</v>
      </c>
      <c r="D41" s="136" t="s">
        <v>25</v>
      </c>
      <c r="E41" s="136" t="s">
        <v>25</v>
      </c>
      <c r="F41" s="136" t="s">
        <v>25</v>
      </c>
      <c r="G41" s="21" t="s">
        <v>91</v>
      </c>
      <c r="H41" s="21" t="s">
        <v>90</v>
      </c>
      <c r="I41" s="21">
        <f>'MERCADO TUSD'!$U$38</f>
        <v>3.0000000000000001E-3</v>
      </c>
      <c r="J41" s="17"/>
      <c r="L41" s="79">
        <f>('TUSD BE'!$L$41+'TUSD BF'!$L$41+'TUSD CVA'!$L$41)*(1 - CUSTOS!$M$38)</f>
        <v>9.7100070663164573</v>
      </c>
      <c r="M41" s="79">
        <f>('TUSD BE'!$M$41+'TUSD BF'!$M$41+'TUSD CVA'!$M$41)*(1 - CUSTOS!$M$38)</f>
        <v>0.81782199527485822</v>
      </c>
      <c r="N41" s="79">
        <f ca="1">('TUSD BE'!$N$41+'TUSD BF'!$N$41+'TUSD CVA'!$N$41)*(1 - CUSTOS!$M$38)</f>
        <v>10.606860994159767</v>
      </c>
      <c r="O41" s="79">
        <f>('TUSD BE'!$O$41+'TUSD BF'!$O$41+'TUSD CVA'!$O$41)*(1 - CUSTOS!$M$38)</f>
        <v>-1.4368425928466425E-3</v>
      </c>
      <c r="P41" s="79">
        <f>('TUSD BE'!$P$41+'TUSD BF'!$P$41+'TUSD CVA'!$P$41)*(1 - CUSTOS!$M$38)</f>
        <v>0</v>
      </c>
      <c r="Q41" s="79">
        <f>('TUSD BE'!$Q$41+'TUSD BF'!$Q$41+'TUSD CVA'!$Q$41)*(1 - CUSTOS!$M$38)</f>
        <v>38.218594418899904</v>
      </c>
      <c r="R41" s="79">
        <f>('TUSD BE'!$R$41+'TUSD BF'!$R$41+'TUSD CVA'!$R$41)*(1 - CUSTOS!$M$38)</f>
        <v>15.689372148303576</v>
      </c>
      <c r="S41" s="79">
        <f>('TUSD BE'!$S$41+'TUSD BF'!$S$41+'TUSD CVA'!$S$41)*(1 - CUSTOS!$M$38)</f>
        <v>0</v>
      </c>
      <c r="T41" s="79">
        <f>('TUSD BE'!$U$41+'TUSD BF'!$U$41+'TUSD CVA'!$U$41)*(1 - CUSTOS!$M$38)</f>
        <v>108.349402992273</v>
      </c>
      <c r="U41" s="79">
        <f>('TUSD BE'!$V$41+'TUSD BF'!$V$41+'TUSD CVA'!$V$41)*(1 - CUSTOS!$M$38)</f>
        <v>27.829044321780053</v>
      </c>
      <c r="V41" s="79">
        <f>('TUSD BE'!$W$41+'TUSD BF'!$W$41+'TUSD CVA'!$W$41)*(1 - CUSTOS!$M$38)</f>
        <v>7.635603313219077</v>
      </c>
      <c r="W41" s="79">
        <f>('TUSD BE'!$X$41+'TUSD BF'!$X$41+'TUSD CVA'!$X$41)*(1 - CUSTOS!$M$38)</f>
        <v>0</v>
      </c>
      <c r="X41" s="79">
        <f>('TUSD BE'!$Y$41+'TUSD BF'!$Y$41+'TUSD CVA'!$Y$41)*(1 - CUSTOS!$M$38)</f>
        <v>4.3778356239349936</v>
      </c>
      <c r="Y41" s="79">
        <f>('TUSD BE'!$Z$41+'TUSD BF'!$Z$41+'TUSD CVA'!$Z$41)*(1 - CUSTOS!$M$38)</f>
        <v>0</v>
      </c>
      <c r="Z41" s="79">
        <f>('TUSD BE'!$AA$41+'TUSD BF'!$AA$41+'TUSD CVA'!$AA$41)*(1 - CUSTOS!$M$38)</f>
        <v>0</v>
      </c>
      <c r="AA41" s="79">
        <f>('TUSD BE'!$AC$41+'TUSD BF'!$AC$41+'TUSD CVA'!$AC$41)*(1 - CUSTOS!$M$38)</f>
        <v>801.16469048584315</v>
      </c>
      <c r="AB41" s="79">
        <f ca="1">('TUSD BE'!$AE$41+'TUSD BF'!$AE$41+'TUSD CVA'!$AE$41)*(1 - CUSTOS!$M$38)</f>
        <v>1.4313133176060535</v>
      </c>
      <c r="AC41" s="79">
        <f ca="1">('TUSD BE'!$AF$41+'TUSD BF'!$AF$41+'TUSD CVA'!$AF$41)*(1 - CUSTOS!$M$38)</f>
        <v>0</v>
      </c>
      <c r="AD41" s="79">
        <f>('TUSD BE'!$AH$41+'TUSD BF'!$AH$41+'TUSD CVA'!$AH$41)*(1 - CUSTOS!$M$38)</f>
        <v>36.410152560199869</v>
      </c>
      <c r="AE41" s="79">
        <f>('TUSD BE'!$AI$41+'TUSD BF'!$AI$41+'TUSD CVA'!$AI$41)*(1 - CUSTOS!$M$38)</f>
        <v>2.1024938184749962</v>
      </c>
      <c r="AF41" s="79">
        <f ca="1">('TUSD BE'!$AJ$41+'TUSD BF'!$AJ$41+'TUSD CVA'!$AJ$41)*(1 - CUSTOS!$M$38)</f>
        <v>32.553998535247231</v>
      </c>
      <c r="AG41" s="79">
        <f ca="1">('TUSD BE'!$AK$41+'TUSD BF'!$AK$41+'TUSD CVA'!$AK$41)*(1 - CUSTOS!$M$38)</f>
        <v>10.601671930054438</v>
      </c>
      <c r="AI41" s="79">
        <v>0</v>
      </c>
      <c r="AJ41" s="79">
        <v>0.66092694287938203</v>
      </c>
      <c r="AK41" s="79">
        <v>8.1750728753215807</v>
      </c>
      <c r="AL41" s="79">
        <v>-1.18577195869426E-3</v>
      </c>
      <c r="AM41" s="79">
        <v>0</v>
      </c>
      <c r="AN41" s="79">
        <v>22.127524957960901</v>
      </c>
      <c r="AO41" s="79">
        <v>14.085862360186701</v>
      </c>
      <c r="AP41" s="79">
        <v>0</v>
      </c>
      <c r="AQ41" s="79">
        <v>104.82761655856</v>
      </c>
      <c r="AR41" s="79">
        <v>39.1097218019016</v>
      </c>
      <c r="AS41" s="79">
        <v>7.9975931251387298</v>
      </c>
      <c r="AT41" s="79">
        <v>0</v>
      </c>
      <c r="AU41" s="79">
        <v>4.9240965711587599</v>
      </c>
      <c r="AV41" s="79">
        <v>0</v>
      </c>
      <c r="AW41" s="79">
        <v>0</v>
      </c>
      <c r="AX41" s="79">
        <v>673.88883030215402</v>
      </c>
      <c r="AY41" s="79">
        <v>-69.408236250493701</v>
      </c>
      <c r="AZ41" s="79">
        <v>0</v>
      </c>
      <c r="BA41" s="79">
        <v>30.229111047065199</v>
      </c>
      <c r="BB41" s="79">
        <v>1.58063089648444</v>
      </c>
      <c r="BC41" s="79">
        <v>27.131922201140501</v>
      </c>
      <c r="BD41" s="79">
        <v>7.0376024033399096</v>
      </c>
    </row>
    <row r="42" spans="1:56" ht="11.25" customHeight="1" x14ac:dyDescent="0.25">
      <c r="A42" s="136"/>
      <c r="B42" s="136"/>
      <c r="C42" s="136"/>
      <c r="D42" s="136"/>
      <c r="E42" s="136"/>
      <c r="F42" s="136"/>
      <c r="G42" s="21" t="s">
        <v>101</v>
      </c>
      <c r="H42" s="21" t="s">
        <v>90</v>
      </c>
      <c r="I42" s="21">
        <f>'MERCADO TUSD'!$U$39</f>
        <v>3.1E-2</v>
      </c>
      <c r="J42" s="17"/>
      <c r="L42" s="79">
        <f>('TUSD BE'!$L$42+'TUSD BF'!$L$42+'TUSD CVA'!$L$42)*(1 - CUSTOS!$M$38)</f>
        <v>9.7100070663164573</v>
      </c>
      <c r="M42" s="79">
        <f>('TUSD BE'!$M$42+'TUSD BF'!$M$42+'TUSD CVA'!$M$42)*(1 - CUSTOS!$M$38)</f>
        <v>0.81782199527485822</v>
      </c>
      <c r="N42" s="79">
        <f ca="1">('TUSD BE'!$N$42+'TUSD BF'!$N$42+'TUSD CVA'!$N$42)*(1 - CUSTOS!$M$38)</f>
        <v>6.9738977307150707</v>
      </c>
      <c r="O42" s="79">
        <f>('TUSD BE'!$O$42+'TUSD BF'!$O$42+'TUSD CVA'!$O$42)*(1 - CUSTOS!$M$38)</f>
        <v>-1.4368425928466425E-3</v>
      </c>
      <c r="P42" s="79">
        <f>('TUSD BE'!$P$42+'TUSD BF'!$P$42+'TUSD CVA'!$P$42)*(1 - CUSTOS!$M$38)</f>
        <v>0</v>
      </c>
      <c r="Q42" s="79">
        <f>('TUSD BE'!$Q$42+'TUSD BF'!$Q$42+'TUSD CVA'!$Q$42)*(1 - CUSTOS!$M$38)</f>
        <v>38.218594418899904</v>
      </c>
      <c r="R42" s="79">
        <f>('TUSD BE'!$R$42+'TUSD BF'!$R$42+'TUSD CVA'!$R$42)*(1 - CUSTOS!$M$38)</f>
        <v>15.689372148303576</v>
      </c>
      <c r="S42" s="79">
        <f>('TUSD BE'!$S$42+'TUSD BF'!$S$42+'TUSD CVA'!$S$42)*(1 - CUSTOS!$M$38)</f>
        <v>0</v>
      </c>
      <c r="T42" s="79">
        <f>('TUSD BE'!$U$42+'TUSD BF'!$U$42+'TUSD CVA'!$U$42)*(1 - CUSTOS!$M$38)</f>
        <v>65.009662171789657</v>
      </c>
      <c r="U42" s="79">
        <f>('TUSD BE'!$V$42+'TUSD BF'!$V$42+'TUSD CVA'!$V$42)*(1 - CUSTOS!$M$38)</f>
        <v>16.697447817333259</v>
      </c>
      <c r="V42" s="79">
        <f>('TUSD BE'!$W$42+'TUSD BF'!$W$42+'TUSD CVA'!$W$42)*(1 - CUSTOS!$M$38)</f>
        <v>4.5814399499828369</v>
      </c>
      <c r="W42" s="79">
        <f>('TUSD BE'!$X$42+'TUSD BF'!$X$42+'TUSD CVA'!$X$42)*(1 - CUSTOS!$M$38)</f>
        <v>0</v>
      </c>
      <c r="X42" s="79">
        <f>('TUSD BE'!$Y$42+'TUSD BF'!$Y$42+'TUSD CVA'!$Y$42)*(1 - CUSTOS!$M$38)</f>
        <v>2.6267722102596083</v>
      </c>
      <c r="Y42" s="79">
        <f>('TUSD BE'!$Z$42+'TUSD BF'!$Z$42+'TUSD CVA'!$Z$42)*(1 - CUSTOS!$M$38)</f>
        <v>0</v>
      </c>
      <c r="Z42" s="79">
        <f>('TUSD BE'!$AA$42+'TUSD BF'!$AA$42+'TUSD CVA'!$AA$42)*(1 - CUSTOS!$M$38)</f>
        <v>0</v>
      </c>
      <c r="AA42" s="79">
        <f>('TUSD BE'!$AC$42+'TUSD BF'!$AC$42+'TUSD CVA'!$AC$42)*(1 - CUSTOS!$M$38)</f>
        <v>480.69879139405987</v>
      </c>
      <c r="AB42" s="79">
        <f ca="1">('TUSD BE'!$AE$42+'TUSD BF'!$AE$42+'TUSD CVA'!$AE$42)*(1 - CUSTOS!$M$38)</f>
        <v>0.93079026763543082</v>
      </c>
      <c r="AC42" s="79">
        <f ca="1">('TUSD BE'!$AF$42+'TUSD BF'!$AF$42+'TUSD CVA'!$AF$42)*(1 - CUSTOS!$M$38)</f>
        <v>0</v>
      </c>
      <c r="AD42" s="79">
        <f>('TUSD BE'!$AH$42+'TUSD BF'!$AH$42+'TUSD CVA'!$AH$42)*(1 - CUSTOS!$M$38)</f>
        <v>36.410152560199869</v>
      </c>
      <c r="AE42" s="79">
        <f>('TUSD BE'!$AI$42+'TUSD BF'!$AI$42+'TUSD CVA'!$AI$42)*(1 - CUSTOS!$M$38)</f>
        <v>2.1024938184749962</v>
      </c>
      <c r="AF42" s="79">
        <f ca="1">('TUSD BE'!$AJ$42+'TUSD BF'!$AJ$42+'TUSD CVA'!$AJ$42)*(1 - CUSTOS!$M$38)</f>
        <v>32.553998535247231</v>
      </c>
      <c r="AG42" s="79">
        <f ca="1">('TUSD BE'!$AK$42+'TUSD BF'!$AK$42+'TUSD CVA'!$AK$42)*(1 - CUSTOS!$M$38)</f>
        <v>10.601671930054438</v>
      </c>
      <c r="AI42" s="79">
        <v>0</v>
      </c>
      <c r="AJ42" s="79">
        <v>0.66092694287938203</v>
      </c>
      <c r="AK42" s="79">
        <v>5.3557306759612304</v>
      </c>
      <c r="AL42" s="79">
        <v>-1.18577195869426E-3</v>
      </c>
      <c r="AM42" s="79">
        <v>0</v>
      </c>
      <c r="AN42" s="79">
        <v>22.127524957960901</v>
      </c>
      <c r="AO42" s="79">
        <v>14.085862360186701</v>
      </c>
      <c r="AP42" s="79">
        <v>0</v>
      </c>
      <c r="AQ42" s="79">
        <v>62.8965896492467</v>
      </c>
      <c r="AR42" s="79">
        <v>23.465862908795099</v>
      </c>
      <c r="AS42" s="79">
        <v>4.7986375331711004</v>
      </c>
      <c r="AT42" s="79">
        <v>0</v>
      </c>
      <c r="AU42" s="79">
        <v>2.9545376174102098</v>
      </c>
      <c r="AV42" s="79">
        <v>0</v>
      </c>
      <c r="AW42" s="79">
        <v>0</v>
      </c>
      <c r="AX42" s="79">
        <v>404.33327892141602</v>
      </c>
      <c r="AY42" s="79">
        <v>-44.761354109892402</v>
      </c>
      <c r="AZ42" s="79">
        <v>0</v>
      </c>
      <c r="BA42" s="79">
        <v>30.229111047065199</v>
      </c>
      <c r="BB42" s="79">
        <v>1.58063089648444</v>
      </c>
      <c r="BC42" s="79">
        <v>27.131922201140501</v>
      </c>
      <c r="BD42" s="79">
        <v>7.0376024033399096</v>
      </c>
    </row>
    <row r="43" spans="1:56" ht="11.25" customHeight="1" x14ac:dyDescent="0.25">
      <c r="A43" s="136"/>
      <c r="B43" s="136"/>
      <c r="C43" s="136"/>
      <c r="D43" s="136"/>
      <c r="E43" s="136"/>
      <c r="F43" s="136"/>
      <c r="G43" s="21" t="s">
        <v>92</v>
      </c>
      <c r="H43" s="21" t="s">
        <v>90</v>
      </c>
      <c r="I43" s="21">
        <f>'MERCADO TUSD'!$U$40</f>
        <v>8.956999999999999</v>
      </c>
      <c r="J43" s="17"/>
      <c r="L43" s="79">
        <f>('TUSD BE'!$L$43+'TUSD BF'!$L$43+'TUSD CVA'!$L$43)*(1 - CUSTOS!$M$38)</f>
        <v>9.7100070663164573</v>
      </c>
      <c r="M43" s="79">
        <f>('TUSD BE'!$M$43+'TUSD BF'!$M$43+'TUSD CVA'!$M$43)*(1 - CUSTOS!$M$38)</f>
        <v>0.81782199527485822</v>
      </c>
      <c r="N43" s="79">
        <f ca="1">('TUSD BE'!$N$43+'TUSD BF'!$N$43+'TUSD CVA'!$N$43)*(1 - CUSTOS!$M$38)</f>
        <v>3.3409323066056587</v>
      </c>
      <c r="O43" s="79">
        <f>('TUSD BE'!$O$43+'TUSD BF'!$O$43+'TUSD CVA'!$O$43)*(1 - CUSTOS!$M$38)</f>
        <v>-1.4368425928466425E-3</v>
      </c>
      <c r="P43" s="79">
        <f>('TUSD BE'!$P$43+'TUSD BF'!$P$43+'TUSD CVA'!$P$43)*(1 - CUSTOS!$M$38)</f>
        <v>0</v>
      </c>
      <c r="Q43" s="79">
        <f>('TUSD BE'!$Q$43+'TUSD BF'!$Q$43+'TUSD CVA'!$Q$43)*(1 - CUSTOS!$M$38)</f>
        <v>38.218594418899904</v>
      </c>
      <c r="R43" s="79">
        <f>('TUSD BE'!$R$43+'TUSD BF'!$R$43+'TUSD CVA'!$R$43)*(1 - CUSTOS!$M$38)</f>
        <v>15.689372148303576</v>
      </c>
      <c r="S43" s="79">
        <f>('TUSD BE'!$S$43+'TUSD BF'!$S$43+'TUSD CVA'!$S$43)*(1 - CUSTOS!$M$38)</f>
        <v>0</v>
      </c>
      <c r="T43" s="79">
        <f>('TUSD BE'!$U$43+'TUSD BF'!$U$43+'TUSD CVA'!$U$43)*(1 - CUSTOS!$M$38)</f>
        <v>21.669921351306282</v>
      </c>
      <c r="U43" s="79">
        <f>('TUSD BE'!$V$43+'TUSD BF'!$V$43+'TUSD CVA'!$V$43)*(1 - CUSTOS!$M$38)</f>
        <v>5.565851312886462</v>
      </c>
      <c r="V43" s="79">
        <f>('TUSD BE'!$W$43+'TUSD BF'!$W$43+'TUSD CVA'!$W$43)*(1 - CUSTOS!$M$38)</f>
        <v>1.527146649994279</v>
      </c>
      <c r="W43" s="79">
        <f>('TUSD BE'!$X$43+'TUSD BF'!$X$43+'TUSD CVA'!$X$43)*(1 - CUSTOS!$M$38)</f>
        <v>0</v>
      </c>
      <c r="X43" s="79">
        <f>('TUSD BE'!$Y$43+'TUSD BF'!$Y$43+'TUSD CVA'!$Y$43)*(1 - CUSTOS!$M$38)</f>
        <v>0.87553170683769299</v>
      </c>
      <c r="Y43" s="79">
        <f>('TUSD BE'!$Z$43+'TUSD BF'!$Z$43+'TUSD CVA'!$Z$43)*(1 - CUSTOS!$M$38)</f>
        <v>0</v>
      </c>
      <c r="Z43" s="79">
        <f>('TUSD BE'!$AA$43+'TUSD BF'!$AA$43+'TUSD CVA'!$AA$43)*(1 - CUSTOS!$M$38)</f>
        <v>0</v>
      </c>
      <c r="AA43" s="79">
        <f>('TUSD BE'!$AC$43+'TUSD BF'!$AC$43+'TUSD CVA'!$AC$43)*(1 - CUSTOS!$M$38)</f>
        <v>160.23289230227664</v>
      </c>
      <c r="AB43" s="79">
        <f ca="1">('TUSD BE'!$AE$43+'TUSD BF'!$AE$43+'TUSD CVA'!$AE$43)*(1 - CUSTOS!$M$38)</f>
        <v>0.4302668057650505</v>
      </c>
      <c r="AC43" s="79">
        <f ca="1">('TUSD BE'!$AF$43+'TUSD BF'!$AF$43+'TUSD CVA'!$AF$43)*(1 - CUSTOS!$M$38)</f>
        <v>0</v>
      </c>
      <c r="AD43" s="79">
        <f>('TUSD BE'!$AH$43+'TUSD BF'!$AH$43+'TUSD CVA'!$AH$43)*(1 - CUSTOS!$M$38)</f>
        <v>36.410152560199869</v>
      </c>
      <c r="AE43" s="79">
        <f>('TUSD BE'!$AI$43+'TUSD BF'!$AI$43+'TUSD CVA'!$AI$43)*(1 - CUSTOS!$M$38)</f>
        <v>2.1024938184749962</v>
      </c>
      <c r="AF43" s="79">
        <f ca="1">('TUSD BE'!$AJ$43+'TUSD BF'!$AJ$43+'TUSD CVA'!$AJ$43)*(1 - CUSTOS!$M$38)</f>
        <v>32.553998535247231</v>
      </c>
      <c r="AG43" s="79">
        <f ca="1">('TUSD BE'!$AK$43+'TUSD BF'!$AK$43+'TUSD CVA'!$AK$43)*(1 - CUSTOS!$M$38)</f>
        <v>10.601671930054438</v>
      </c>
      <c r="AI43" s="79">
        <v>0</v>
      </c>
      <c r="AJ43" s="79">
        <v>0.66092694287938203</v>
      </c>
      <c r="AK43" s="79">
        <v>2.5363867998282998</v>
      </c>
      <c r="AL43" s="79">
        <v>-1.18577195869426E-3</v>
      </c>
      <c r="AM43" s="79">
        <v>0</v>
      </c>
      <c r="AN43" s="79">
        <v>22.127524957960901</v>
      </c>
      <c r="AO43" s="79">
        <v>14.085862360186701</v>
      </c>
      <c r="AP43" s="79">
        <v>0</v>
      </c>
      <c r="AQ43" s="79">
        <v>20.965562739933901</v>
      </c>
      <c r="AR43" s="79">
        <v>7.8220040156885604</v>
      </c>
      <c r="AS43" s="79">
        <v>1.5995458443903701</v>
      </c>
      <c r="AT43" s="79">
        <v>0</v>
      </c>
      <c r="AU43" s="79">
        <v>0.98477947687427303</v>
      </c>
      <c r="AV43" s="79">
        <v>0</v>
      </c>
      <c r="AW43" s="79">
        <v>0</v>
      </c>
      <c r="AX43" s="79">
        <v>134.77772754067701</v>
      </c>
      <c r="AY43" s="79">
        <v>-20.1144507183907</v>
      </c>
      <c r="AZ43" s="79">
        <v>0</v>
      </c>
      <c r="BA43" s="79">
        <v>30.229111047065199</v>
      </c>
      <c r="BB43" s="79">
        <v>1.58063089648444</v>
      </c>
      <c r="BC43" s="79">
        <v>27.131922201140501</v>
      </c>
      <c r="BD43" s="79">
        <v>7.0376024033399096</v>
      </c>
    </row>
    <row r="44" spans="1:56" ht="11.25" customHeight="1" x14ac:dyDescent="0.25">
      <c r="A44" s="136"/>
      <c r="B44" s="81" t="s">
        <v>23</v>
      </c>
      <c r="C44" s="81" t="s">
        <v>45</v>
      </c>
      <c r="D44" s="81" t="s">
        <v>25</v>
      </c>
      <c r="E44" s="81" t="s">
        <v>25</v>
      </c>
      <c r="F44" s="81" t="s">
        <v>25</v>
      </c>
      <c r="G44" s="21" t="s">
        <v>96</v>
      </c>
      <c r="H44" s="21" t="s">
        <v>90</v>
      </c>
      <c r="I44" s="21">
        <f>'MERCADO TUSD'!$U$41</f>
        <v>60904.316999999995</v>
      </c>
      <c r="J44" s="17"/>
      <c r="L44" s="79">
        <f>('TUSD BE'!$L$44+'TUSD BF'!$L$44+'TUSD CVA'!$L$44)*(1 - CUSTOS!$M$38)</f>
        <v>9.7100070663164573</v>
      </c>
      <c r="M44" s="79">
        <f>('TUSD BE'!$M$44+'TUSD BF'!$M$44+'TUSD CVA'!$M$44)*(1 - CUSTOS!$M$38)</f>
        <v>0.81782199527485822</v>
      </c>
      <c r="N44" s="79">
        <f ca="1">('TUSD BE'!$N$44+'TUSD BF'!$N$44+'TUSD CVA'!$N$44)*(1 - CUSTOS!$M$38)</f>
        <v>4.2766945893119956</v>
      </c>
      <c r="O44" s="79">
        <f>('TUSD BE'!$O$44+'TUSD BF'!$O$44+'TUSD CVA'!$O$44)*(1 - CUSTOS!$M$38)</f>
        <v>-1.4368425928466425E-3</v>
      </c>
      <c r="P44" s="79">
        <f>('TUSD BE'!$P$44+'TUSD BF'!$P$44+'TUSD CVA'!$P$44)*(1 - CUSTOS!$M$38)</f>
        <v>0</v>
      </c>
      <c r="Q44" s="79">
        <f>('TUSD BE'!$Q$44+'TUSD BF'!$Q$44+'TUSD CVA'!$Q$44)*(1 - CUSTOS!$M$38)</f>
        <v>38.218594418899904</v>
      </c>
      <c r="R44" s="79">
        <f>('TUSD BE'!$R$44+'TUSD BF'!$R$44+'TUSD CVA'!$R$44)*(1 - CUSTOS!$M$38)</f>
        <v>15.689372148303576</v>
      </c>
      <c r="S44" s="79">
        <f>('TUSD BE'!$S$44+'TUSD BF'!$S$44+'TUSD CVA'!$S$44)*(1 - CUSTOS!$M$38)</f>
        <v>0</v>
      </c>
      <c r="T44" s="79">
        <f>('TUSD BE'!$U$44+'TUSD BF'!$U$44+'TUSD CVA'!$U$44)*(1 - CUSTOS!$M$38)</f>
        <v>32.833146247226416</v>
      </c>
      <c r="U44" s="79">
        <f>('TUSD BE'!$V$44+'TUSD BF'!$V$44+'TUSD CVA'!$V$44)*(1 - CUSTOS!$M$38)</f>
        <v>8.4330373022772189</v>
      </c>
      <c r="V44" s="79">
        <f>('TUSD BE'!$W$44+'TUSD BF'!$W$44+'TUSD CVA'!$W$44)*(1 - CUSTOS!$M$38)</f>
        <v>2.3137837485278752</v>
      </c>
      <c r="W44" s="79">
        <f>('TUSD BE'!$X$44+'TUSD BF'!$X$44+'TUSD CVA'!$X$44)*(1 - CUSTOS!$M$38)</f>
        <v>0</v>
      </c>
      <c r="X44" s="79">
        <f>('TUSD BE'!$Y$44+'TUSD BF'!$Y$44+'TUSD CVA'!$Y$44)*(1 - CUSTOS!$M$38)</f>
        <v>1.3265792912461889</v>
      </c>
      <c r="Y44" s="79">
        <f>('TUSD BE'!$Z$44+'TUSD BF'!$Z$44+'TUSD CVA'!$Z$44)*(1 - CUSTOS!$M$38)</f>
        <v>0</v>
      </c>
      <c r="Z44" s="79">
        <f>('TUSD BE'!$AA$44+'TUSD BF'!$AA$44+'TUSD CVA'!$AA$44)*(1 - CUSTOS!$M$38)</f>
        <v>0</v>
      </c>
      <c r="AA44" s="79">
        <f>('TUSD BE'!$AC$44+'TUSD BF'!$AC$44+'TUSD CVA'!$AC$44)*(1 - CUSTOS!$M$38)</f>
        <v>242.77715464993398</v>
      </c>
      <c r="AB44" s="79">
        <f ca="1">('TUSD BE'!$AE$44+'TUSD BF'!$AE$44+'TUSD CVA'!$AE$44)*(1 - CUSTOS!$M$38)</f>
        <v>0.55918926869335706</v>
      </c>
      <c r="AC44" s="79">
        <f ca="1">('TUSD BE'!$AF$44+'TUSD BF'!$AF$44+'TUSD CVA'!$AF$44)*(1 - CUSTOS!$M$38)</f>
        <v>0</v>
      </c>
      <c r="AD44" s="79">
        <f>('TUSD BE'!$AH$44+'TUSD BF'!$AH$44+'TUSD CVA'!$AH$44)*(1 - CUSTOS!$M$38)</f>
        <v>36.410152560199869</v>
      </c>
      <c r="AE44" s="79">
        <f>('TUSD BE'!$AI$44+'TUSD BF'!$AI$44+'TUSD CVA'!$AI$44)*(1 - CUSTOS!$M$38)</f>
        <v>2.1024938184749962</v>
      </c>
      <c r="AF44" s="79">
        <f ca="1">('TUSD BE'!$AJ$44+'TUSD BF'!$AJ$44+'TUSD CVA'!$AJ$44)*(1 - CUSTOS!$M$38)</f>
        <v>32.553998535247231</v>
      </c>
      <c r="AG44" s="79">
        <f ca="1">('TUSD BE'!$AK$44+'TUSD BF'!$AK$44+'TUSD CVA'!$AK$44)*(1 - CUSTOS!$M$38)</f>
        <v>10.601671930054438</v>
      </c>
      <c r="AI44" s="79">
        <v>0</v>
      </c>
      <c r="AJ44" s="79">
        <v>0.66092694287938203</v>
      </c>
      <c r="AK44" s="79">
        <v>3.2625802405244801</v>
      </c>
      <c r="AL44" s="79">
        <v>-1.18577195869426E-3</v>
      </c>
      <c r="AM44" s="79">
        <v>0</v>
      </c>
      <c r="AN44" s="79">
        <v>22.127524957960901</v>
      </c>
      <c r="AO44" s="79">
        <v>14.085862360186701</v>
      </c>
      <c r="AP44" s="79">
        <v>0</v>
      </c>
      <c r="AQ44" s="79">
        <v>31.7659384377117</v>
      </c>
      <c r="AR44" s="79">
        <v>11.851421810378</v>
      </c>
      <c r="AS44" s="79">
        <v>2.4234759509111901</v>
      </c>
      <c r="AT44" s="79">
        <v>0</v>
      </c>
      <c r="AU44" s="79">
        <v>1.49210822436593</v>
      </c>
      <c r="AV44" s="79">
        <v>0</v>
      </c>
      <c r="AW44" s="79">
        <v>0</v>
      </c>
      <c r="AX44" s="79">
        <v>204.20871602805599</v>
      </c>
      <c r="AY44" s="79">
        <v>-26.462881671315401</v>
      </c>
      <c r="AZ44" s="79">
        <v>0</v>
      </c>
      <c r="BA44" s="79">
        <v>30.229111047065199</v>
      </c>
      <c r="BB44" s="79">
        <v>1.58063089648444</v>
      </c>
      <c r="BC44" s="79">
        <v>27.131922201140501</v>
      </c>
      <c r="BD44" s="79">
        <v>7.0376024033399096</v>
      </c>
    </row>
    <row r="45" spans="1:56" ht="11.25" customHeight="1" x14ac:dyDescent="0.25">
      <c r="A45" s="136"/>
      <c r="B45" s="136" t="s">
        <v>37</v>
      </c>
      <c r="C45" s="136" t="s">
        <v>45</v>
      </c>
      <c r="D45" s="136" t="s">
        <v>104</v>
      </c>
      <c r="E45" s="136" t="s">
        <v>25</v>
      </c>
      <c r="F45" s="136" t="s">
        <v>25</v>
      </c>
      <c r="G45" s="21" t="s">
        <v>91</v>
      </c>
      <c r="H45" s="21" t="s">
        <v>90</v>
      </c>
      <c r="I45" s="21">
        <f>'MERCADO TUSD'!$U$42</f>
        <v>0</v>
      </c>
      <c r="J45" s="17"/>
      <c r="L45" s="79">
        <f>('TUSD BE'!$L$45+'TUSD BF'!$L$45+'TUSD CVA'!$L$45)*(1 - CUSTOS!$M$39)</f>
        <v>9.7100070663164573</v>
      </c>
      <c r="M45" s="79">
        <f>('TUSD BE'!$M$45+'TUSD BF'!$M$45+'TUSD CVA'!$M$45)*(1 - CUSTOS!$M$39)</f>
        <v>0.81782199527485822</v>
      </c>
      <c r="N45" s="79">
        <f ca="1">('TUSD BE'!$N$45+'TUSD BF'!$N$45+'TUSD CVA'!$N$45)*(1 - CUSTOS!$M$39)</f>
        <v>10.606860994159767</v>
      </c>
      <c r="O45" s="79">
        <f>('TUSD BE'!$O$45+'TUSD BF'!$O$45+'TUSD CVA'!$O$45)*(1 - CUSTOS!$M$39)</f>
        <v>-1.4368425928466425E-3</v>
      </c>
      <c r="P45" s="79">
        <f>('TUSD BE'!$P$45+'TUSD BF'!$P$45+'TUSD CVA'!$P$45)*(1 - CUSTOS!$M$39)</f>
        <v>0</v>
      </c>
      <c r="Q45" s="79">
        <f>('TUSD BE'!$Q$45+'TUSD BF'!$Q$45+'TUSD CVA'!$Q$45)*(1 - CUSTOS!$M$39)</f>
        <v>38.218594418899904</v>
      </c>
      <c r="R45" s="79">
        <f>('TUSD BE'!$R$45+'TUSD BF'!$R$45+'TUSD CVA'!$R$45)*(1 - CUSTOS!$M$39)</f>
        <v>15.689372148303576</v>
      </c>
      <c r="S45" s="79">
        <f>('TUSD BE'!$S$45+'TUSD BF'!$S$45+'TUSD CVA'!$S$45)*(1 - CUSTOS!$M$39)</f>
        <v>0</v>
      </c>
      <c r="T45" s="79">
        <f>('TUSD BE'!$U$45+'TUSD BF'!$U$45+'TUSD CVA'!$U$45)*(1 - CUSTOS!$M$39)</f>
        <v>108.349402992273</v>
      </c>
      <c r="U45" s="79">
        <f>('TUSD BE'!$V$45+'TUSD BF'!$V$45+'TUSD CVA'!$V$45)*(1 - CUSTOS!$M$39)</f>
        <v>27.829044321780053</v>
      </c>
      <c r="V45" s="79">
        <f>('TUSD BE'!$W$45+'TUSD BF'!$W$45+'TUSD CVA'!$W$45)*(1 - CUSTOS!$M$39)</f>
        <v>7.635603313219077</v>
      </c>
      <c r="W45" s="79">
        <f>('TUSD BE'!$X$45+'TUSD BF'!$X$45+'TUSD CVA'!$X$45)*(1 - CUSTOS!$M$39)</f>
        <v>0</v>
      </c>
      <c r="X45" s="79">
        <f>('TUSD BE'!$Y$45+'TUSD BF'!$Y$45+'TUSD CVA'!$Y$45)*(1 - CUSTOS!$M$39)</f>
        <v>4.3778356239349936</v>
      </c>
      <c r="Y45" s="79">
        <f>('TUSD BE'!$Z$45+'TUSD BF'!$Z$45+'TUSD CVA'!$Z$45)*(1 - CUSTOS!$M$39)</f>
        <v>0</v>
      </c>
      <c r="Z45" s="79">
        <f>('TUSD BE'!$AA$45+'TUSD BF'!$AA$45+'TUSD CVA'!$AA$45)*(1 - CUSTOS!$M$39)</f>
        <v>0</v>
      </c>
      <c r="AA45" s="79">
        <f>('TUSD BE'!$AC$45+'TUSD BF'!$AC$45+'TUSD CVA'!$AC$45)*(1 - CUSTOS!$M$39)</f>
        <v>801.16469048584315</v>
      </c>
      <c r="AB45" s="79">
        <f ca="1">('TUSD BE'!$AE$45+'TUSD BF'!$AE$45+'TUSD CVA'!$AE$45)*(1 - CUSTOS!$M$39)</f>
        <v>1.4313133176060535</v>
      </c>
      <c r="AC45" s="79">
        <f ca="1">('TUSD BE'!$AF$45+'TUSD BF'!$AF$45+'TUSD CVA'!$AF$45)*(1 - CUSTOS!$M$39)</f>
        <v>0</v>
      </c>
      <c r="AD45" s="79">
        <f>('TUSD BE'!$AH$45+'TUSD BF'!$AH$45+'TUSD CVA'!$AH$45)*(1 - CUSTOS!$M$39)</f>
        <v>36.410152560199869</v>
      </c>
      <c r="AE45" s="79">
        <f>('TUSD BE'!$AI$45+'TUSD BF'!$AI$45+'TUSD CVA'!$AI$45)*(1 - CUSTOS!$M$39)</f>
        <v>2.1024938184749962</v>
      </c>
      <c r="AF45" s="79">
        <f ca="1">('TUSD BE'!$AJ$45+'TUSD BF'!$AJ$45+'TUSD CVA'!$AJ$45)*(1 - CUSTOS!$M$39)</f>
        <v>32.553998535247231</v>
      </c>
      <c r="AG45" s="79">
        <f ca="1">('TUSD BE'!$AK$45+'TUSD BF'!$AK$45+'TUSD CVA'!$AK$45)*(1 - CUSTOS!$M$39)</f>
        <v>10.601671930054438</v>
      </c>
      <c r="AI45" s="79">
        <v>0</v>
      </c>
      <c r="AJ45" s="79">
        <v>0.66092694287938203</v>
      </c>
      <c r="AK45" s="79">
        <v>8.1750728753215807</v>
      </c>
      <c r="AL45" s="79">
        <v>-1.18577195869426E-3</v>
      </c>
      <c r="AM45" s="79">
        <v>0</v>
      </c>
      <c r="AN45" s="79">
        <v>22.127524957960901</v>
      </c>
      <c r="AO45" s="79">
        <v>14.085862360186701</v>
      </c>
      <c r="AP45" s="79">
        <v>0</v>
      </c>
      <c r="AQ45" s="79">
        <v>104.82761655856</v>
      </c>
      <c r="AR45" s="79">
        <v>39.1097218019016</v>
      </c>
      <c r="AS45" s="79">
        <v>7.9975931251387298</v>
      </c>
      <c r="AT45" s="79">
        <v>0</v>
      </c>
      <c r="AU45" s="79">
        <v>4.9240965711587599</v>
      </c>
      <c r="AV45" s="79">
        <v>0</v>
      </c>
      <c r="AW45" s="79">
        <v>0</v>
      </c>
      <c r="AX45" s="79">
        <v>673.88883030215402</v>
      </c>
      <c r="AY45" s="79">
        <v>-69.408236250493701</v>
      </c>
      <c r="AZ45" s="79">
        <v>0</v>
      </c>
      <c r="BA45" s="79">
        <v>30.229111047065199</v>
      </c>
      <c r="BB45" s="79">
        <v>1.58063089648444</v>
      </c>
      <c r="BC45" s="79">
        <v>27.131922201140501</v>
      </c>
      <c r="BD45" s="79">
        <v>7.0376024033399096</v>
      </c>
    </row>
    <row r="46" spans="1:56" ht="11.25" customHeight="1" x14ac:dyDescent="0.25">
      <c r="A46" s="136"/>
      <c r="B46" s="136"/>
      <c r="C46" s="136"/>
      <c r="D46" s="136"/>
      <c r="E46" s="136"/>
      <c r="F46" s="136"/>
      <c r="G46" s="21" t="s">
        <v>101</v>
      </c>
      <c r="H46" s="21" t="s">
        <v>90</v>
      </c>
      <c r="I46" s="21">
        <f>'MERCADO TUSD'!$U$43</f>
        <v>0</v>
      </c>
      <c r="J46" s="17"/>
      <c r="L46" s="79">
        <f>('TUSD BE'!$L$46+'TUSD BF'!$L$46+'TUSD CVA'!$L$46)*(1 - CUSTOS!$M$39)</f>
        <v>9.7100070663164573</v>
      </c>
      <c r="M46" s="79">
        <f>('TUSD BE'!$M$46+'TUSD BF'!$M$46+'TUSD CVA'!$M$46)*(1 - CUSTOS!$M$39)</f>
        <v>0.81782199527485822</v>
      </c>
      <c r="N46" s="79">
        <f ca="1">('TUSD BE'!$N$46+'TUSD BF'!$N$46+'TUSD CVA'!$N$46)*(1 - CUSTOS!$M$39)</f>
        <v>6.9738977307150707</v>
      </c>
      <c r="O46" s="79">
        <f>('TUSD BE'!$O$46+'TUSD BF'!$O$46+'TUSD CVA'!$O$46)*(1 - CUSTOS!$M$39)</f>
        <v>-1.4368425928466425E-3</v>
      </c>
      <c r="P46" s="79">
        <f>('TUSD BE'!$P$46+'TUSD BF'!$P$46+'TUSD CVA'!$P$46)*(1 - CUSTOS!$M$39)</f>
        <v>0</v>
      </c>
      <c r="Q46" s="79">
        <f>('TUSD BE'!$Q$46+'TUSD BF'!$Q$46+'TUSD CVA'!$Q$46)*(1 - CUSTOS!$M$39)</f>
        <v>38.218594418899904</v>
      </c>
      <c r="R46" s="79">
        <f>('TUSD BE'!$R$46+'TUSD BF'!$R$46+'TUSD CVA'!$R$46)*(1 - CUSTOS!$M$39)</f>
        <v>15.689372148303576</v>
      </c>
      <c r="S46" s="79">
        <f>('TUSD BE'!$S$46+'TUSD BF'!$S$46+'TUSD CVA'!$S$46)*(1 - CUSTOS!$M$39)</f>
        <v>0</v>
      </c>
      <c r="T46" s="79">
        <f>('TUSD BE'!$U$46+'TUSD BF'!$U$46+'TUSD CVA'!$U$46)*(1 - CUSTOS!$M$39)</f>
        <v>65.009662171789657</v>
      </c>
      <c r="U46" s="79">
        <f>('TUSD BE'!$V$46+'TUSD BF'!$V$46+'TUSD CVA'!$V$46)*(1 - CUSTOS!$M$39)</f>
        <v>16.697447817333259</v>
      </c>
      <c r="V46" s="79">
        <f>('TUSD BE'!$W$46+'TUSD BF'!$W$46+'TUSD CVA'!$W$46)*(1 - CUSTOS!$M$39)</f>
        <v>4.5814399499828369</v>
      </c>
      <c r="W46" s="79">
        <f>('TUSD BE'!$X$46+'TUSD BF'!$X$46+'TUSD CVA'!$X$46)*(1 - CUSTOS!$M$39)</f>
        <v>0</v>
      </c>
      <c r="X46" s="79">
        <f>('TUSD BE'!$Y$46+'TUSD BF'!$Y$46+'TUSD CVA'!$Y$46)*(1 - CUSTOS!$M$39)</f>
        <v>2.6267722102596083</v>
      </c>
      <c r="Y46" s="79">
        <f>('TUSD BE'!$Z$46+'TUSD BF'!$Z$46+'TUSD CVA'!$Z$46)*(1 - CUSTOS!$M$39)</f>
        <v>0</v>
      </c>
      <c r="Z46" s="79">
        <f>('TUSD BE'!$AA$46+'TUSD BF'!$AA$46+'TUSD CVA'!$AA$46)*(1 - CUSTOS!$M$39)</f>
        <v>0</v>
      </c>
      <c r="AA46" s="79">
        <f>('TUSD BE'!$AC$46+'TUSD BF'!$AC$46+'TUSD CVA'!$AC$46)*(1 - CUSTOS!$M$39)</f>
        <v>480.69879139405987</v>
      </c>
      <c r="AB46" s="79">
        <f ca="1">('TUSD BE'!$AE$46+'TUSD BF'!$AE$46+'TUSD CVA'!$AE$46)*(1 - CUSTOS!$M$39)</f>
        <v>0.93079026763543082</v>
      </c>
      <c r="AC46" s="79">
        <f ca="1">('TUSD BE'!$AF$46+'TUSD BF'!$AF$46+'TUSD CVA'!$AF$46)*(1 - CUSTOS!$M$39)</f>
        <v>0</v>
      </c>
      <c r="AD46" s="79">
        <f>('TUSD BE'!$AH$46+'TUSD BF'!$AH$46+'TUSD CVA'!$AH$46)*(1 - CUSTOS!$M$39)</f>
        <v>36.410152560199869</v>
      </c>
      <c r="AE46" s="79">
        <f>('TUSD BE'!$AI$46+'TUSD BF'!$AI$46+'TUSD CVA'!$AI$46)*(1 - CUSTOS!$M$39)</f>
        <v>2.1024938184749962</v>
      </c>
      <c r="AF46" s="79">
        <f ca="1">('TUSD BE'!$AJ$46+'TUSD BF'!$AJ$46+'TUSD CVA'!$AJ$46)*(1 - CUSTOS!$M$39)</f>
        <v>32.553998535247231</v>
      </c>
      <c r="AG46" s="79">
        <f ca="1">('TUSD BE'!$AK$46+'TUSD BF'!$AK$46+'TUSD CVA'!$AK$46)*(1 - CUSTOS!$M$39)</f>
        <v>10.601671930054438</v>
      </c>
      <c r="AI46" s="79">
        <v>0</v>
      </c>
      <c r="AJ46" s="79">
        <v>0.66092694287938203</v>
      </c>
      <c r="AK46" s="79">
        <v>5.3557306759612304</v>
      </c>
      <c r="AL46" s="79">
        <v>-1.18577195869426E-3</v>
      </c>
      <c r="AM46" s="79">
        <v>0</v>
      </c>
      <c r="AN46" s="79">
        <v>22.127524957960901</v>
      </c>
      <c r="AO46" s="79">
        <v>14.085862360186701</v>
      </c>
      <c r="AP46" s="79">
        <v>0</v>
      </c>
      <c r="AQ46" s="79">
        <v>62.8965896492467</v>
      </c>
      <c r="AR46" s="79">
        <v>23.465862908795099</v>
      </c>
      <c r="AS46" s="79">
        <v>4.7986375331711004</v>
      </c>
      <c r="AT46" s="79">
        <v>0</v>
      </c>
      <c r="AU46" s="79">
        <v>2.9545376174102098</v>
      </c>
      <c r="AV46" s="79">
        <v>0</v>
      </c>
      <c r="AW46" s="79">
        <v>0</v>
      </c>
      <c r="AX46" s="79">
        <v>404.33327892141602</v>
      </c>
      <c r="AY46" s="79">
        <v>-44.761354109892402</v>
      </c>
      <c r="AZ46" s="79">
        <v>0</v>
      </c>
      <c r="BA46" s="79">
        <v>30.229111047065199</v>
      </c>
      <c r="BB46" s="79">
        <v>1.58063089648444</v>
      </c>
      <c r="BC46" s="79">
        <v>27.131922201140501</v>
      </c>
      <c r="BD46" s="79">
        <v>7.0376024033399096</v>
      </c>
    </row>
    <row r="47" spans="1:56" ht="11.25" customHeight="1" x14ac:dyDescent="0.25">
      <c r="A47" s="136"/>
      <c r="B47" s="136"/>
      <c r="C47" s="136"/>
      <c r="D47" s="136"/>
      <c r="E47" s="136"/>
      <c r="F47" s="136"/>
      <c r="G47" s="21" t="s">
        <v>92</v>
      </c>
      <c r="H47" s="21" t="s">
        <v>90</v>
      </c>
      <c r="I47" s="21">
        <f>'MERCADO TUSD'!$U$44</f>
        <v>0</v>
      </c>
      <c r="J47" s="17"/>
      <c r="L47" s="79">
        <f>('TUSD BE'!$L$47+'TUSD BF'!$L$47+'TUSD CVA'!$L$47)*(1 - CUSTOS!$M$39)</f>
        <v>9.7100070663164573</v>
      </c>
      <c r="M47" s="79">
        <f>('TUSD BE'!$M$47+'TUSD BF'!$M$47+'TUSD CVA'!$M$47)*(1 - CUSTOS!$M$39)</f>
        <v>0.81782199527485822</v>
      </c>
      <c r="N47" s="79">
        <f ca="1">('TUSD BE'!$N$47+'TUSD BF'!$N$47+'TUSD CVA'!$N$47)*(1 - CUSTOS!$M$39)</f>
        <v>3.3409323066056587</v>
      </c>
      <c r="O47" s="79">
        <f>('TUSD BE'!$O$47+'TUSD BF'!$O$47+'TUSD CVA'!$O$47)*(1 - CUSTOS!$M$39)</f>
        <v>-1.4368425928466425E-3</v>
      </c>
      <c r="P47" s="79">
        <f>('TUSD BE'!$P$47+'TUSD BF'!$P$47+'TUSD CVA'!$P$47)*(1 - CUSTOS!$M$39)</f>
        <v>0</v>
      </c>
      <c r="Q47" s="79">
        <f>('TUSD BE'!$Q$47+'TUSD BF'!$Q$47+'TUSD CVA'!$Q$47)*(1 - CUSTOS!$M$39)</f>
        <v>38.218594418899904</v>
      </c>
      <c r="R47" s="79">
        <f>('TUSD BE'!$R$47+'TUSD BF'!$R$47+'TUSD CVA'!$R$47)*(1 - CUSTOS!$M$39)</f>
        <v>15.689372148303576</v>
      </c>
      <c r="S47" s="79">
        <f>('TUSD BE'!$S$47+'TUSD BF'!$S$47+'TUSD CVA'!$S$47)*(1 - CUSTOS!$M$39)</f>
        <v>0</v>
      </c>
      <c r="T47" s="79">
        <f>('TUSD BE'!$U$47+'TUSD BF'!$U$47+'TUSD CVA'!$U$47)*(1 - CUSTOS!$M$39)</f>
        <v>21.669921351306282</v>
      </c>
      <c r="U47" s="79">
        <f>('TUSD BE'!$V$47+'TUSD BF'!$V$47+'TUSD CVA'!$V$47)*(1 - CUSTOS!$M$39)</f>
        <v>5.565851312886462</v>
      </c>
      <c r="V47" s="79">
        <f>('TUSD BE'!$W$47+'TUSD BF'!$W$47+'TUSD CVA'!$W$47)*(1 - CUSTOS!$M$39)</f>
        <v>1.527146649994279</v>
      </c>
      <c r="W47" s="79">
        <f>('TUSD BE'!$X$47+'TUSD BF'!$X$47+'TUSD CVA'!$X$47)*(1 - CUSTOS!$M$39)</f>
        <v>0</v>
      </c>
      <c r="X47" s="79">
        <f>('TUSD BE'!$Y$47+'TUSD BF'!$Y$47+'TUSD CVA'!$Y$47)*(1 - CUSTOS!$M$39)</f>
        <v>0.87553170683769299</v>
      </c>
      <c r="Y47" s="79">
        <f>('TUSD BE'!$Z$47+'TUSD BF'!$Z$47+'TUSD CVA'!$Z$47)*(1 - CUSTOS!$M$39)</f>
        <v>0</v>
      </c>
      <c r="Z47" s="79">
        <f>('TUSD BE'!$AA$47+'TUSD BF'!$AA$47+'TUSD CVA'!$AA$47)*(1 - CUSTOS!$M$39)</f>
        <v>0</v>
      </c>
      <c r="AA47" s="79">
        <f>('TUSD BE'!$AC$47+'TUSD BF'!$AC$47+'TUSD CVA'!$AC$47)*(1 - CUSTOS!$M$39)</f>
        <v>160.23289230227664</v>
      </c>
      <c r="AB47" s="79">
        <f ca="1">('TUSD BE'!$AE$47+'TUSD BF'!$AE$47+'TUSD CVA'!$AE$47)*(1 - CUSTOS!$M$39)</f>
        <v>0.4302668057650505</v>
      </c>
      <c r="AC47" s="79">
        <f ca="1">('TUSD BE'!$AF$47+'TUSD BF'!$AF$47+'TUSD CVA'!$AF$47)*(1 - CUSTOS!$M$39)</f>
        <v>0</v>
      </c>
      <c r="AD47" s="79">
        <f>('TUSD BE'!$AH$47+'TUSD BF'!$AH$47+'TUSD CVA'!$AH$47)*(1 - CUSTOS!$M$39)</f>
        <v>36.410152560199869</v>
      </c>
      <c r="AE47" s="79">
        <f>('TUSD BE'!$AI$47+'TUSD BF'!$AI$47+'TUSD CVA'!$AI$47)*(1 - CUSTOS!$M$39)</f>
        <v>2.1024938184749962</v>
      </c>
      <c r="AF47" s="79">
        <f ca="1">('TUSD BE'!$AJ$47+'TUSD BF'!$AJ$47+'TUSD CVA'!$AJ$47)*(1 - CUSTOS!$M$39)</f>
        <v>32.553998535247231</v>
      </c>
      <c r="AG47" s="79">
        <f ca="1">('TUSD BE'!$AK$47+'TUSD BF'!$AK$47+'TUSD CVA'!$AK$47)*(1 - CUSTOS!$M$39)</f>
        <v>10.601671930054438</v>
      </c>
      <c r="AI47" s="79">
        <v>0</v>
      </c>
      <c r="AJ47" s="79">
        <v>0.66092694287938203</v>
      </c>
      <c r="AK47" s="79">
        <v>2.5363867998282998</v>
      </c>
      <c r="AL47" s="79">
        <v>-1.18577195869426E-3</v>
      </c>
      <c r="AM47" s="79">
        <v>0</v>
      </c>
      <c r="AN47" s="79">
        <v>22.127524957960901</v>
      </c>
      <c r="AO47" s="79">
        <v>14.085862360186701</v>
      </c>
      <c r="AP47" s="79">
        <v>0</v>
      </c>
      <c r="AQ47" s="79">
        <v>20.965562739933901</v>
      </c>
      <c r="AR47" s="79">
        <v>7.8220040156885604</v>
      </c>
      <c r="AS47" s="79">
        <v>1.5995458443903701</v>
      </c>
      <c r="AT47" s="79">
        <v>0</v>
      </c>
      <c r="AU47" s="79">
        <v>0.98477947687427303</v>
      </c>
      <c r="AV47" s="79">
        <v>0</v>
      </c>
      <c r="AW47" s="79">
        <v>0</v>
      </c>
      <c r="AX47" s="79">
        <v>134.77772754067701</v>
      </c>
      <c r="AY47" s="79">
        <v>-20.1144507183907</v>
      </c>
      <c r="AZ47" s="79">
        <v>0</v>
      </c>
      <c r="BA47" s="79">
        <v>30.229111047065199</v>
      </c>
      <c r="BB47" s="79">
        <v>1.58063089648444</v>
      </c>
      <c r="BC47" s="79">
        <v>27.131922201140501</v>
      </c>
      <c r="BD47" s="79">
        <v>7.0376024033399096</v>
      </c>
    </row>
    <row r="48" spans="1:56" ht="11.25" customHeight="1" x14ac:dyDescent="0.25">
      <c r="A48" s="136"/>
      <c r="B48" s="81" t="s">
        <v>23</v>
      </c>
      <c r="C48" s="81" t="s">
        <v>45</v>
      </c>
      <c r="D48" s="81" t="s">
        <v>104</v>
      </c>
      <c r="E48" s="81" t="s">
        <v>25</v>
      </c>
      <c r="F48" s="81" t="s">
        <v>25</v>
      </c>
      <c r="G48" s="21" t="s">
        <v>96</v>
      </c>
      <c r="H48" s="21" t="s">
        <v>90</v>
      </c>
      <c r="I48" s="21">
        <f>'MERCADO TUSD'!$U$45</f>
        <v>0</v>
      </c>
      <c r="J48" s="17"/>
      <c r="L48" s="79">
        <f>('TUSD BE'!$L$48+'TUSD BF'!$L$48+'TUSD CVA'!$L$48)*(1 - CUSTOS!$M$39)</f>
        <v>9.7100070663164573</v>
      </c>
      <c r="M48" s="79">
        <f>('TUSD BE'!$M$48+'TUSD BF'!$M$48+'TUSD CVA'!$M$48)*(1 - CUSTOS!$M$39)</f>
        <v>0.81782199527485822</v>
      </c>
      <c r="N48" s="79">
        <f ca="1">('TUSD BE'!$N$48+'TUSD BF'!$N$48+'TUSD CVA'!$N$48)*(1 - CUSTOS!$M$39)</f>
        <v>4.2766945893119956</v>
      </c>
      <c r="O48" s="79">
        <f>('TUSD BE'!$O$48+'TUSD BF'!$O$48+'TUSD CVA'!$O$48)*(1 - CUSTOS!$M$39)</f>
        <v>-1.4368425928466425E-3</v>
      </c>
      <c r="P48" s="79">
        <f>('TUSD BE'!$P$48+'TUSD BF'!$P$48+'TUSD CVA'!$P$48)*(1 - CUSTOS!$M$39)</f>
        <v>0</v>
      </c>
      <c r="Q48" s="79">
        <f>('TUSD BE'!$Q$48+'TUSD BF'!$Q$48+'TUSD CVA'!$Q$48)*(1 - CUSTOS!$M$39)</f>
        <v>38.218594418899904</v>
      </c>
      <c r="R48" s="79">
        <f>('TUSD BE'!$R$48+'TUSD BF'!$R$48+'TUSD CVA'!$R$48)*(1 - CUSTOS!$M$39)</f>
        <v>15.689372148303576</v>
      </c>
      <c r="S48" s="79">
        <f>('TUSD BE'!$S$48+'TUSD BF'!$S$48+'TUSD CVA'!$S$48)*(1 - CUSTOS!$M$39)</f>
        <v>0</v>
      </c>
      <c r="T48" s="79">
        <f>('TUSD BE'!$U$48+'TUSD BF'!$U$48+'TUSD CVA'!$U$48)*(1 - CUSTOS!$M$39)</f>
        <v>32.833146247226416</v>
      </c>
      <c r="U48" s="79">
        <f>('TUSD BE'!$V$48+'TUSD BF'!$V$48+'TUSD CVA'!$V$48)*(1 - CUSTOS!$M$39)</f>
        <v>8.4330373022772189</v>
      </c>
      <c r="V48" s="79">
        <f>('TUSD BE'!$W$48+'TUSD BF'!$W$48+'TUSD CVA'!$W$48)*(1 - CUSTOS!$M$39)</f>
        <v>2.3137837485278752</v>
      </c>
      <c r="W48" s="79">
        <f>('TUSD BE'!$X$48+'TUSD BF'!$X$48+'TUSD CVA'!$X$48)*(1 - CUSTOS!$M$39)</f>
        <v>0</v>
      </c>
      <c r="X48" s="79">
        <f>('TUSD BE'!$Y$48+'TUSD BF'!$Y$48+'TUSD CVA'!$Y$48)*(1 - CUSTOS!$M$39)</f>
        <v>1.3265792912461889</v>
      </c>
      <c r="Y48" s="79">
        <f>('TUSD BE'!$Z$48+'TUSD BF'!$Z$48+'TUSD CVA'!$Z$48)*(1 - CUSTOS!$M$39)</f>
        <v>0</v>
      </c>
      <c r="Z48" s="79">
        <f>('TUSD BE'!$AA$48+'TUSD BF'!$AA$48+'TUSD CVA'!$AA$48)*(1 - CUSTOS!$M$39)</f>
        <v>0</v>
      </c>
      <c r="AA48" s="79">
        <f>('TUSD BE'!$AC$48+'TUSD BF'!$AC$48+'TUSD CVA'!$AC$48)*(1 - CUSTOS!$M$39)</f>
        <v>242.77715464993398</v>
      </c>
      <c r="AB48" s="79">
        <f ca="1">('TUSD BE'!$AE$48+'TUSD BF'!$AE$48+'TUSD CVA'!$AE$48)*(1 - CUSTOS!$M$39)</f>
        <v>0.55918926869335706</v>
      </c>
      <c r="AC48" s="79">
        <f ca="1">('TUSD BE'!$AF$48+'TUSD BF'!$AF$48+'TUSD CVA'!$AF$48)*(1 - CUSTOS!$M$39)</f>
        <v>0</v>
      </c>
      <c r="AD48" s="79">
        <f>('TUSD BE'!$AH$48+'TUSD BF'!$AH$48+'TUSD CVA'!$AH$48)*(1 - CUSTOS!$M$39)</f>
        <v>36.410152560199869</v>
      </c>
      <c r="AE48" s="79">
        <f>('TUSD BE'!$AI$48+'TUSD BF'!$AI$48+'TUSD CVA'!$AI$48)*(1 - CUSTOS!$M$39)</f>
        <v>2.1024938184749962</v>
      </c>
      <c r="AF48" s="79">
        <f ca="1">('TUSD BE'!$AJ$48+'TUSD BF'!$AJ$48+'TUSD CVA'!$AJ$48)*(1 - CUSTOS!$M$39)</f>
        <v>32.553998535247231</v>
      </c>
      <c r="AG48" s="79">
        <f ca="1">('TUSD BE'!$AK$48+'TUSD BF'!$AK$48+'TUSD CVA'!$AK$48)*(1 - CUSTOS!$M$39)</f>
        <v>10.601671930054438</v>
      </c>
      <c r="AI48" s="79">
        <v>0</v>
      </c>
      <c r="AJ48" s="79">
        <v>0.66092694287938203</v>
      </c>
      <c r="AK48" s="79">
        <v>3.2625802405244801</v>
      </c>
      <c r="AL48" s="79">
        <v>-1.18577195869426E-3</v>
      </c>
      <c r="AM48" s="79">
        <v>0</v>
      </c>
      <c r="AN48" s="79">
        <v>22.127524957960901</v>
      </c>
      <c r="AO48" s="79">
        <v>14.085862360186701</v>
      </c>
      <c r="AP48" s="79">
        <v>0</v>
      </c>
      <c r="AQ48" s="79">
        <v>31.7659384377117</v>
      </c>
      <c r="AR48" s="79">
        <v>11.851421810378</v>
      </c>
      <c r="AS48" s="79">
        <v>2.4234759509111901</v>
      </c>
      <c r="AT48" s="79">
        <v>0</v>
      </c>
      <c r="AU48" s="79">
        <v>1.49210822436593</v>
      </c>
      <c r="AV48" s="79">
        <v>0</v>
      </c>
      <c r="AW48" s="79">
        <v>0</v>
      </c>
      <c r="AX48" s="79">
        <v>204.20871602805599</v>
      </c>
      <c r="AY48" s="79">
        <v>-26.462881671315401</v>
      </c>
      <c r="AZ48" s="79">
        <v>0</v>
      </c>
      <c r="BA48" s="79">
        <v>30.229111047065199</v>
      </c>
      <c r="BB48" s="79">
        <v>1.58063089648444</v>
      </c>
      <c r="BC48" s="79">
        <v>27.131922201140501</v>
      </c>
      <c r="BD48" s="79">
        <v>7.0376024033399096</v>
      </c>
    </row>
    <row r="49" spans="1:56" ht="11.25" customHeight="1" x14ac:dyDescent="0.25">
      <c r="A49" s="136"/>
      <c r="B49" s="136" t="s">
        <v>37</v>
      </c>
      <c r="C49" s="136" t="s">
        <v>45</v>
      </c>
      <c r="D49" s="136" t="s">
        <v>105</v>
      </c>
      <c r="E49" s="136" t="s">
        <v>25</v>
      </c>
      <c r="F49" s="136" t="s">
        <v>25</v>
      </c>
      <c r="G49" s="21" t="s">
        <v>91</v>
      </c>
      <c r="H49" s="21" t="s">
        <v>90</v>
      </c>
      <c r="I49" s="21">
        <f>'MERCADO TUSD'!$U$46</f>
        <v>0</v>
      </c>
      <c r="J49" s="17"/>
      <c r="L49" s="79">
        <f>('TUSD BE'!$L$49+'TUSD BF'!$L$49+'TUSD CVA'!$L$49)*(1 - CUSTOS!$M$40)</f>
        <v>9.5034111712884481</v>
      </c>
      <c r="M49" s="79">
        <f>('TUSD BE'!$M$49+'TUSD BF'!$M$49+'TUSD CVA'!$M$49)*(1 - CUSTOS!$M$40)</f>
        <v>0.80042152729028682</v>
      </c>
      <c r="N49" s="79">
        <f ca="1">('TUSD BE'!$N$49+'TUSD BF'!$N$49+'TUSD CVA'!$N$49)*(1 - CUSTOS!$M$40)</f>
        <v>10.381183100667007</v>
      </c>
      <c r="O49" s="79">
        <f>('TUSD BE'!$O$49+'TUSD BF'!$O$49+'TUSD CVA'!$O$49)*(1 - CUSTOS!$M$40)</f>
        <v>-1.4062714738499054E-3</v>
      </c>
      <c r="P49" s="79">
        <f>('TUSD BE'!$P$49+'TUSD BF'!$P$49+'TUSD CVA'!$P$49)*(1 - CUSTOS!$M$40)</f>
        <v>0</v>
      </c>
      <c r="Q49" s="79">
        <f>('TUSD BE'!$Q$49+'TUSD BF'!$Q$49+'TUSD CVA'!$Q$49)*(1 - CUSTOS!$M$40)</f>
        <v>37.405432835519058</v>
      </c>
      <c r="R49" s="79">
        <f>('TUSD BE'!$R$49+'TUSD BF'!$R$49+'TUSD CVA'!$R$49)*(1 - CUSTOS!$M$40)</f>
        <v>15.355555719616268</v>
      </c>
      <c r="S49" s="79">
        <f>('TUSD BE'!$S$49+'TUSD BF'!$S$49+'TUSD CVA'!$S$49)*(1 - CUSTOS!$M$40)</f>
        <v>0</v>
      </c>
      <c r="T49" s="79">
        <f>('TUSD BE'!$U$49+'TUSD BF'!$U$49+'TUSD CVA'!$U$49)*(1 - CUSTOS!$M$40)</f>
        <v>106.0440965456289</v>
      </c>
      <c r="U49" s="79">
        <f>('TUSD BE'!$V$49+'TUSD BF'!$V$49+'TUSD CVA'!$V$49)*(1 - CUSTOS!$M$40)</f>
        <v>27.236936995784735</v>
      </c>
      <c r="V49" s="79">
        <f>('TUSD BE'!$W$49+'TUSD BF'!$W$49+'TUSD CVA'!$W$49)*(1 - CUSTOS!$M$40)</f>
        <v>7.4731436682569701</v>
      </c>
      <c r="W49" s="79">
        <f>('TUSD BE'!$X$49+'TUSD BF'!$X$49+'TUSD CVA'!$X$49)*(1 - CUSTOS!$M$40)</f>
        <v>0</v>
      </c>
      <c r="X49" s="79">
        <f>('TUSD BE'!$Y$49+'TUSD BF'!$Y$49+'TUSD CVA'!$Y$49)*(1 - CUSTOS!$M$40)</f>
        <v>4.2846901851278663</v>
      </c>
      <c r="Y49" s="79">
        <f>('TUSD BE'!$Z$49+'TUSD BF'!$Z$49+'TUSD CVA'!$Z$49)*(1 - CUSTOS!$M$40)</f>
        <v>0</v>
      </c>
      <c r="Z49" s="79">
        <f>('TUSD BE'!$AA$49+'TUSD BF'!$AA$49+'TUSD CVA'!$AA$49)*(1 - CUSTOS!$M$40)</f>
        <v>0</v>
      </c>
      <c r="AA49" s="79">
        <f>('TUSD BE'!$AC$49+'TUSD BF'!$AC$49+'TUSD CVA'!$AC$49)*(1 - CUSTOS!$M$40)</f>
        <v>784.11863324146361</v>
      </c>
      <c r="AB49" s="79">
        <f ca="1">('TUSD BE'!$AE$49+'TUSD BF'!$AE$49+'TUSD CVA'!$AE$49)*(1 - CUSTOS!$M$40)</f>
        <v>1.4008598427633718</v>
      </c>
      <c r="AC49" s="79">
        <f ca="1">('TUSD BE'!$AF$49+'TUSD BF'!$AF$49+'TUSD CVA'!$AF$49)*(1 - CUSTOS!$M$40)</f>
        <v>0</v>
      </c>
      <c r="AD49" s="79">
        <f>('TUSD BE'!$AH$49+'TUSD BF'!$AH$49+'TUSD CVA'!$AH$49)*(1 - CUSTOS!$M$40)</f>
        <v>35.635468463174341</v>
      </c>
      <c r="AE49" s="79">
        <f>('TUSD BE'!$AI$49+'TUSD BF'!$AI$49+'TUSD CVA'!$AI$49)*(1 - CUSTOS!$M$40)</f>
        <v>2.0577599074436135</v>
      </c>
      <c r="AF49" s="79">
        <f ca="1">('TUSD BE'!$AJ$49+'TUSD BF'!$AJ$49+'TUSD CVA'!$AJ$49)*(1 - CUSTOS!$M$40)</f>
        <v>31.861360268539848</v>
      </c>
      <c r="AG49" s="79">
        <f ca="1">('TUSD BE'!$AK$49+'TUSD BF'!$AK$49+'TUSD CVA'!$AK$49)*(1 - CUSTOS!$M$40)</f>
        <v>10.376104442180941</v>
      </c>
      <c r="AI49" s="79">
        <v>0</v>
      </c>
      <c r="AJ49" s="79">
        <v>0.63088480911213696</v>
      </c>
      <c r="AK49" s="79">
        <v>7.8034786537160503</v>
      </c>
      <c r="AL49" s="79">
        <v>-1.13187323329907E-3</v>
      </c>
      <c r="AM49" s="79">
        <v>0</v>
      </c>
      <c r="AN49" s="79">
        <v>21.1217283689627</v>
      </c>
      <c r="AO49" s="79">
        <v>13.4455958892692</v>
      </c>
      <c r="AP49" s="79">
        <v>0</v>
      </c>
      <c r="AQ49" s="79">
        <v>100.062724896807</v>
      </c>
      <c r="AR49" s="79">
        <v>37.332007174542397</v>
      </c>
      <c r="AS49" s="79">
        <v>7.6340661649051498</v>
      </c>
      <c r="AT49" s="79">
        <v>0</v>
      </c>
      <c r="AU49" s="79">
        <v>4.7002739997424499</v>
      </c>
      <c r="AV49" s="79">
        <v>0</v>
      </c>
      <c r="AW49" s="79">
        <v>0</v>
      </c>
      <c r="AX49" s="79">
        <v>643.25751983387397</v>
      </c>
      <c r="AY49" s="79">
        <v>-66.253316420925799</v>
      </c>
      <c r="AZ49" s="79">
        <v>0</v>
      </c>
      <c r="BA49" s="79">
        <v>28.855060544925799</v>
      </c>
      <c r="BB49" s="79">
        <v>1.5087840375533299</v>
      </c>
      <c r="BC49" s="79">
        <v>25.898653010179601</v>
      </c>
      <c r="BD49" s="79">
        <v>6.71771138500627</v>
      </c>
    </row>
    <row r="50" spans="1:56" ht="11.25" customHeight="1" x14ac:dyDescent="0.25">
      <c r="A50" s="136"/>
      <c r="B50" s="136"/>
      <c r="C50" s="136"/>
      <c r="D50" s="136"/>
      <c r="E50" s="136"/>
      <c r="F50" s="136"/>
      <c r="G50" s="21" t="s">
        <v>101</v>
      </c>
      <c r="H50" s="21" t="s">
        <v>90</v>
      </c>
      <c r="I50" s="21">
        <f>'MERCADO TUSD'!$U$47</f>
        <v>0</v>
      </c>
      <c r="J50" s="17"/>
      <c r="L50" s="79">
        <f>('TUSD BE'!$L$50+'TUSD BF'!$L$50+'TUSD CVA'!$L$50)*(1 - CUSTOS!$M$40)</f>
        <v>9.5034111712884481</v>
      </c>
      <c r="M50" s="79">
        <f>('TUSD BE'!$M$50+'TUSD BF'!$M$50+'TUSD CVA'!$M$50)*(1 - CUSTOS!$M$40)</f>
        <v>0.80042152729028682</v>
      </c>
      <c r="N50" s="79">
        <f ca="1">('TUSD BE'!$N$50+'TUSD BF'!$N$50+'TUSD CVA'!$N$50)*(1 - CUSTOS!$M$40)</f>
        <v>6.825516927933899</v>
      </c>
      <c r="O50" s="79">
        <f>('TUSD BE'!$O$50+'TUSD BF'!$O$50+'TUSD CVA'!$O$50)*(1 - CUSTOS!$M$40)</f>
        <v>-1.4062714738499054E-3</v>
      </c>
      <c r="P50" s="79">
        <f>('TUSD BE'!$P$50+'TUSD BF'!$P$50+'TUSD CVA'!$P$50)*(1 - CUSTOS!$M$40)</f>
        <v>0</v>
      </c>
      <c r="Q50" s="79">
        <f>('TUSD BE'!$Q$50+'TUSD BF'!$Q$50+'TUSD CVA'!$Q$50)*(1 - CUSTOS!$M$40)</f>
        <v>37.405432835519058</v>
      </c>
      <c r="R50" s="79">
        <f>('TUSD BE'!$R$50+'TUSD BF'!$R$50+'TUSD CVA'!$R$50)*(1 - CUSTOS!$M$40)</f>
        <v>15.355555719616268</v>
      </c>
      <c r="S50" s="79">
        <f>('TUSD BE'!$S$50+'TUSD BF'!$S$50+'TUSD CVA'!$S$50)*(1 - CUSTOS!$M$40)</f>
        <v>0</v>
      </c>
      <c r="T50" s="79">
        <f>('TUSD BE'!$U$50+'TUSD BF'!$U$50+'TUSD CVA'!$U$50)*(1 - CUSTOS!$M$40)</f>
        <v>63.626477870262221</v>
      </c>
      <c r="U50" s="79">
        <f>('TUSD BE'!$V$50+'TUSD BF'!$V$50+'TUSD CVA'!$V$50)*(1 - CUSTOS!$M$40)</f>
        <v>16.342182970155957</v>
      </c>
      <c r="V50" s="79">
        <f>('TUSD BE'!$W$50+'TUSD BF'!$W$50+'TUSD CVA'!$W$50)*(1 - CUSTOS!$M$40)</f>
        <v>4.4839625042385212</v>
      </c>
      <c r="W50" s="79">
        <f>('TUSD BE'!$X$50+'TUSD BF'!$X$50+'TUSD CVA'!$X$50)*(1 - CUSTOS!$M$40)</f>
        <v>0</v>
      </c>
      <c r="X50" s="79">
        <f>('TUSD BE'!$Y$50+'TUSD BF'!$Y$50+'TUSD CVA'!$Y$50)*(1 - CUSTOS!$M$40)</f>
        <v>2.5708834398285529</v>
      </c>
      <c r="Y50" s="79">
        <f>('TUSD BE'!$Z$50+'TUSD BF'!$Z$50+'TUSD CVA'!$Z$50)*(1 - CUSTOS!$M$40)</f>
        <v>0</v>
      </c>
      <c r="Z50" s="79">
        <f>('TUSD BE'!$AA$50+'TUSD BF'!$AA$50+'TUSD CVA'!$AA$50)*(1 - CUSTOS!$M$40)</f>
        <v>0</v>
      </c>
      <c r="AA50" s="79">
        <f>('TUSD BE'!$AC$50+'TUSD BF'!$AC$50+'TUSD CVA'!$AC$50)*(1 - CUSTOS!$M$40)</f>
        <v>470.47115753461185</v>
      </c>
      <c r="AB50" s="79">
        <f ca="1">('TUSD BE'!$AE$50+'TUSD BF'!$AE$50+'TUSD CVA'!$AE$50)*(1 - CUSTOS!$M$40)</f>
        <v>0.9109862193878685</v>
      </c>
      <c r="AC50" s="79">
        <f ca="1">('TUSD BE'!$AF$50+'TUSD BF'!$AF$50+'TUSD CVA'!$AF$50)*(1 - CUSTOS!$M$40)</f>
        <v>0</v>
      </c>
      <c r="AD50" s="79">
        <f>('TUSD BE'!$AH$50+'TUSD BF'!$AH$50+'TUSD CVA'!$AH$50)*(1 - CUSTOS!$M$40)</f>
        <v>35.635468463174341</v>
      </c>
      <c r="AE50" s="79">
        <f>('TUSD BE'!$AI$50+'TUSD BF'!$AI$50+'TUSD CVA'!$AI$50)*(1 - CUSTOS!$M$40)</f>
        <v>2.0577599074436135</v>
      </c>
      <c r="AF50" s="79">
        <f ca="1">('TUSD BE'!$AJ$50+'TUSD BF'!$AJ$50+'TUSD CVA'!$AJ$50)*(1 - CUSTOS!$M$40)</f>
        <v>31.861360268539848</v>
      </c>
      <c r="AG50" s="79">
        <f ca="1">('TUSD BE'!$AK$50+'TUSD BF'!$AK$50+'TUSD CVA'!$AK$50)*(1 - CUSTOS!$M$40)</f>
        <v>10.376104442180941</v>
      </c>
      <c r="AI50" s="79">
        <v>0</v>
      </c>
      <c r="AJ50" s="79">
        <v>0.63088480911213696</v>
      </c>
      <c r="AK50" s="79">
        <v>5.1122883725084503</v>
      </c>
      <c r="AL50" s="79">
        <v>-1.13187323329907E-3</v>
      </c>
      <c r="AM50" s="79">
        <v>0</v>
      </c>
      <c r="AN50" s="79">
        <v>21.1217283689627</v>
      </c>
      <c r="AO50" s="79">
        <v>13.4455958892692</v>
      </c>
      <c r="AP50" s="79">
        <v>0</v>
      </c>
      <c r="AQ50" s="79">
        <v>60.037653756099097</v>
      </c>
      <c r="AR50" s="79">
        <v>22.399232776577101</v>
      </c>
      <c r="AS50" s="79">
        <v>4.5805176452996799</v>
      </c>
      <c r="AT50" s="79">
        <v>0</v>
      </c>
      <c r="AU50" s="79">
        <v>2.8202404529824801</v>
      </c>
      <c r="AV50" s="79">
        <v>0</v>
      </c>
      <c r="AW50" s="79">
        <v>0</v>
      </c>
      <c r="AX50" s="79">
        <v>385.95449351589701</v>
      </c>
      <c r="AY50" s="79">
        <v>-42.726747104897299</v>
      </c>
      <c r="AZ50" s="79">
        <v>0</v>
      </c>
      <c r="BA50" s="79">
        <v>28.855060544925799</v>
      </c>
      <c r="BB50" s="79">
        <v>1.5087840375533299</v>
      </c>
      <c r="BC50" s="79">
        <v>25.898653010179601</v>
      </c>
      <c r="BD50" s="79">
        <v>6.71771138500627</v>
      </c>
    </row>
    <row r="51" spans="1:56" ht="11.25" customHeight="1" x14ac:dyDescent="0.25">
      <c r="A51" s="136"/>
      <c r="B51" s="136"/>
      <c r="C51" s="136"/>
      <c r="D51" s="136"/>
      <c r="E51" s="136"/>
      <c r="F51" s="136"/>
      <c r="G51" s="21" t="s">
        <v>92</v>
      </c>
      <c r="H51" s="21" t="s">
        <v>90</v>
      </c>
      <c r="I51" s="21">
        <f>'MERCADO TUSD'!$U$48</f>
        <v>0</v>
      </c>
      <c r="J51" s="17"/>
      <c r="L51" s="79">
        <f>('TUSD BE'!$L$51+'TUSD BF'!$L$51+'TUSD CVA'!$L$51)*(1 - CUSTOS!$M$40)</f>
        <v>9.5034111712884481</v>
      </c>
      <c r="M51" s="79">
        <f>('TUSD BE'!$M$51+'TUSD BF'!$M$51+'TUSD CVA'!$M$51)*(1 - CUSTOS!$M$40)</f>
        <v>0.80042152729028682</v>
      </c>
      <c r="N51" s="79">
        <f ca="1">('TUSD BE'!$N$51+'TUSD BF'!$N$51+'TUSD CVA'!$N$51)*(1 - CUSTOS!$M$40)</f>
        <v>3.2698486405076665</v>
      </c>
      <c r="O51" s="79">
        <f>('TUSD BE'!$O$51+'TUSD BF'!$O$51+'TUSD CVA'!$O$51)*(1 - CUSTOS!$M$40)</f>
        <v>-1.4062714738499054E-3</v>
      </c>
      <c r="P51" s="79">
        <f>('TUSD BE'!$P$51+'TUSD BF'!$P$51+'TUSD CVA'!$P$51)*(1 - CUSTOS!$M$40)</f>
        <v>0</v>
      </c>
      <c r="Q51" s="79">
        <f>('TUSD BE'!$Q$51+'TUSD BF'!$Q$51+'TUSD CVA'!$Q$51)*(1 - CUSTOS!$M$40)</f>
        <v>37.405432835519058</v>
      </c>
      <c r="R51" s="79">
        <f>('TUSD BE'!$R$51+'TUSD BF'!$R$51+'TUSD CVA'!$R$51)*(1 - CUSTOS!$M$40)</f>
        <v>15.355555719616268</v>
      </c>
      <c r="S51" s="79">
        <f>('TUSD BE'!$S$51+'TUSD BF'!$S$51+'TUSD CVA'!$S$51)*(1 - CUSTOS!$M$40)</f>
        <v>0</v>
      </c>
      <c r="T51" s="79">
        <f>('TUSD BE'!$U$51+'TUSD BF'!$U$51+'TUSD CVA'!$U$51)*(1 - CUSTOS!$M$40)</f>
        <v>21.208859194895513</v>
      </c>
      <c r="U51" s="79">
        <f>('TUSD BE'!$V$51+'TUSD BF'!$V$51+'TUSD CVA'!$V$51)*(1 - CUSTOS!$M$40)</f>
        <v>5.447428944527176</v>
      </c>
      <c r="V51" s="79">
        <f>('TUSD BE'!$W$51+'TUSD BF'!$W$51+'TUSD CVA'!$W$51)*(1 - CUSTOS!$M$40)</f>
        <v>1.4946541680795071</v>
      </c>
      <c r="W51" s="79">
        <f>('TUSD BE'!$X$51+'TUSD BF'!$X$51+'TUSD CVA'!$X$51)*(1 - CUSTOS!$M$40)</f>
        <v>0</v>
      </c>
      <c r="X51" s="79">
        <f>('TUSD BE'!$Y$51+'TUSD BF'!$Y$51+'TUSD CVA'!$Y$51)*(1 - CUSTOS!$M$40)</f>
        <v>0.8569033726496571</v>
      </c>
      <c r="Y51" s="79">
        <f>('TUSD BE'!$Z$51+'TUSD BF'!$Z$51+'TUSD CVA'!$Z$51)*(1 - CUSTOS!$M$40)</f>
        <v>0</v>
      </c>
      <c r="Z51" s="79">
        <f>('TUSD BE'!$AA$51+'TUSD BF'!$AA$51+'TUSD CVA'!$AA$51)*(1 - CUSTOS!$M$40)</f>
        <v>0</v>
      </c>
      <c r="AA51" s="79">
        <f>('TUSD BE'!$AC$51+'TUSD BF'!$AC$51+'TUSD CVA'!$AC$51)*(1 - CUSTOS!$M$40)</f>
        <v>156.82368182776014</v>
      </c>
      <c r="AB51" s="79">
        <f ca="1">('TUSD BE'!$AE$51+'TUSD BF'!$AE$51+'TUSD CVA'!$AE$51)*(1 - CUSTOS!$M$40)</f>
        <v>0.42111219287643248</v>
      </c>
      <c r="AC51" s="79">
        <f ca="1">('TUSD BE'!$AF$51+'TUSD BF'!$AF$51+'TUSD CVA'!$AF$51)*(1 - CUSTOS!$M$40)</f>
        <v>0</v>
      </c>
      <c r="AD51" s="79">
        <f>('TUSD BE'!$AH$51+'TUSD BF'!$AH$51+'TUSD CVA'!$AH$51)*(1 - CUSTOS!$M$40)</f>
        <v>35.635468463174341</v>
      </c>
      <c r="AE51" s="79">
        <f>('TUSD BE'!$AI$51+'TUSD BF'!$AI$51+'TUSD CVA'!$AI$51)*(1 - CUSTOS!$M$40)</f>
        <v>2.0577599074436135</v>
      </c>
      <c r="AF51" s="79">
        <f ca="1">('TUSD BE'!$AJ$51+'TUSD BF'!$AJ$51+'TUSD CVA'!$AJ$51)*(1 - CUSTOS!$M$40)</f>
        <v>31.861360268539848</v>
      </c>
      <c r="AG51" s="79">
        <f ca="1">('TUSD BE'!$AK$51+'TUSD BF'!$AK$51+'TUSD CVA'!$AK$51)*(1 - CUSTOS!$M$40)</f>
        <v>10.376104442180941</v>
      </c>
      <c r="AI51" s="79">
        <v>0</v>
      </c>
      <c r="AJ51" s="79">
        <v>0.63088480911213696</v>
      </c>
      <c r="AK51" s="79">
        <v>2.4210964907451902</v>
      </c>
      <c r="AL51" s="79">
        <v>-1.13187323329907E-3</v>
      </c>
      <c r="AM51" s="79">
        <v>0</v>
      </c>
      <c r="AN51" s="79">
        <v>21.1217283689627</v>
      </c>
      <c r="AO51" s="79">
        <v>13.4455958892692</v>
      </c>
      <c r="AP51" s="79">
        <v>0</v>
      </c>
      <c r="AQ51" s="79">
        <v>20.012582615391398</v>
      </c>
      <c r="AR51" s="79">
        <v>7.4664583786118</v>
      </c>
      <c r="AS51" s="79">
        <v>1.52683921509989</v>
      </c>
      <c r="AT51" s="79">
        <v>0</v>
      </c>
      <c r="AU51" s="79">
        <v>0.94001677337998801</v>
      </c>
      <c r="AV51" s="79">
        <v>0</v>
      </c>
      <c r="AW51" s="79">
        <v>0</v>
      </c>
      <c r="AX51" s="79">
        <v>128.651467197919</v>
      </c>
      <c r="AY51" s="79">
        <v>-19.200157503918401</v>
      </c>
      <c r="AZ51" s="79">
        <v>0</v>
      </c>
      <c r="BA51" s="79">
        <v>28.855060544925799</v>
      </c>
      <c r="BB51" s="79">
        <v>1.5087840375533299</v>
      </c>
      <c r="BC51" s="79">
        <v>25.898653010179601</v>
      </c>
      <c r="BD51" s="79">
        <v>6.71771138500627</v>
      </c>
    </row>
    <row r="52" spans="1:56" ht="11.25" customHeight="1" x14ac:dyDescent="0.25">
      <c r="A52" s="136"/>
      <c r="B52" s="81" t="s">
        <v>23</v>
      </c>
      <c r="C52" s="81" t="s">
        <v>45</v>
      </c>
      <c r="D52" s="81" t="s">
        <v>105</v>
      </c>
      <c r="E52" s="81" t="s">
        <v>25</v>
      </c>
      <c r="F52" s="81" t="s">
        <v>25</v>
      </c>
      <c r="G52" s="21" t="s">
        <v>96</v>
      </c>
      <c r="H52" s="21" t="s">
        <v>90</v>
      </c>
      <c r="I52" s="21">
        <f>'MERCADO TUSD'!$U$49</f>
        <v>0</v>
      </c>
      <c r="J52" s="17"/>
      <c r="L52" s="79">
        <f>('TUSD BE'!$L$52+'TUSD BF'!$L$52+'TUSD CVA'!$L$52)*(1 - CUSTOS!$M$40)</f>
        <v>9.5034111712884481</v>
      </c>
      <c r="M52" s="79">
        <f>('TUSD BE'!$M$52+'TUSD BF'!$M$52+'TUSD CVA'!$M$52)*(1 - CUSTOS!$M$40)</f>
        <v>0.80042152729028682</v>
      </c>
      <c r="N52" s="79">
        <f ca="1">('TUSD BE'!$N$52+'TUSD BF'!$N$52+'TUSD CVA'!$N$52)*(1 - CUSTOS!$M$40)</f>
        <v>4.1857010874117409</v>
      </c>
      <c r="O52" s="79">
        <f>('TUSD BE'!$O$52+'TUSD BF'!$O$52+'TUSD CVA'!$O$52)*(1 - CUSTOS!$M$40)</f>
        <v>-1.4062714738499054E-3</v>
      </c>
      <c r="P52" s="79">
        <f>('TUSD BE'!$P$52+'TUSD BF'!$P$52+'TUSD CVA'!$P$52)*(1 - CUSTOS!$M$40)</f>
        <v>0</v>
      </c>
      <c r="Q52" s="79">
        <f>('TUSD BE'!$Q$52+'TUSD BF'!$Q$52+'TUSD CVA'!$Q$52)*(1 - CUSTOS!$M$40)</f>
        <v>37.405432835519058</v>
      </c>
      <c r="R52" s="79">
        <f>('TUSD BE'!$R$52+'TUSD BF'!$R$52+'TUSD CVA'!$R$52)*(1 - CUSTOS!$M$40)</f>
        <v>15.355555719616268</v>
      </c>
      <c r="S52" s="79">
        <f>('TUSD BE'!$S$52+'TUSD BF'!$S$52+'TUSD CVA'!$S$52)*(1 - CUSTOS!$M$40)</f>
        <v>0</v>
      </c>
      <c r="T52" s="79">
        <f>('TUSD BE'!$U$52+'TUSD BF'!$U$52+'TUSD CVA'!$U$52)*(1 - CUSTOS!$M$40)</f>
        <v>32.134568667498201</v>
      </c>
      <c r="U52" s="79">
        <f>('TUSD BE'!$V$52+'TUSD BF'!$V$52+'TUSD CVA'!$V$52)*(1 - CUSTOS!$M$40)</f>
        <v>8.2536109766968551</v>
      </c>
      <c r="V52" s="79">
        <f>('TUSD BE'!$W$52+'TUSD BF'!$W$52+'TUSD CVA'!$W$52)*(1 - CUSTOS!$M$40)</f>
        <v>2.2645543070698357</v>
      </c>
      <c r="W52" s="79">
        <f>('TUSD BE'!$X$52+'TUSD BF'!$X$52+'TUSD CVA'!$X$52)*(1 - CUSTOS!$M$40)</f>
        <v>0</v>
      </c>
      <c r="X52" s="79">
        <f>('TUSD BE'!$Y$52+'TUSD BF'!$Y$52+'TUSD CVA'!$Y$52)*(1 - CUSTOS!$M$40)</f>
        <v>1.2983541999430785</v>
      </c>
      <c r="Y52" s="79">
        <f>('TUSD BE'!$Z$52+'TUSD BF'!$Z$52+'TUSD CVA'!$Z$52)*(1 - CUSTOS!$M$40)</f>
        <v>0</v>
      </c>
      <c r="Z52" s="79">
        <f>('TUSD BE'!$AA$52+'TUSD BF'!$AA$52+'TUSD CVA'!$AA$52)*(1 - CUSTOS!$M$40)</f>
        <v>0</v>
      </c>
      <c r="AA52" s="79">
        <f>('TUSD BE'!$AC$52+'TUSD BF'!$AC$52+'TUSD CVA'!$AC$52)*(1 - CUSTOS!$M$40)</f>
        <v>237.61168327440348</v>
      </c>
      <c r="AB52" s="79">
        <f ca="1">('TUSD BE'!$AE$52+'TUSD BF'!$AE$52+'TUSD CVA'!$AE$52)*(1 - CUSTOS!$M$40)</f>
        <v>0.54729162467860482</v>
      </c>
      <c r="AC52" s="79">
        <f ca="1">('TUSD BE'!$AF$52+'TUSD BF'!$AF$52+'TUSD CVA'!$AF$52)*(1 - CUSTOS!$M$40)</f>
        <v>0</v>
      </c>
      <c r="AD52" s="79">
        <f>('TUSD BE'!$AH$52+'TUSD BF'!$AH$52+'TUSD CVA'!$AH$52)*(1 - CUSTOS!$M$40)</f>
        <v>35.635468463174341</v>
      </c>
      <c r="AE52" s="79">
        <f>('TUSD BE'!$AI$52+'TUSD BF'!$AI$52+'TUSD CVA'!$AI$52)*(1 - CUSTOS!$M$40)</f>
        <v>2.0577599074436135</v>
      </c>
      <c r="AF52" s="79">
        <f ca="1">('TUSD BE'!$AJ$52+'TUSD BF'!$AJ$52+'TUSD CVA'!$AJ$52)*(1 - CUSTOS!$M$40)</f>
        <v>31.861360268539848</v>
      </c>
      <c r="AG52" s="79">
        <f ca="1">('TUSD BE'!$AK$52+'TUSD BF'!$AK$52+'TUSD CVA'!$AK$52)*(1 - CUSTOS!$M$40)</f>
        <v>10.376104442180941</v>
      </c>
      <c r="AI52" s="79">
        <v>0</v>
      </c>
      <c r="AJ52" s="79">
        <v>0.63088480911213696</v>
      </c>
      <c r="AK52" s="79">
        <v>3.1142811386824598</v>
      </c>
      <c r="AL52" s="79">
        <v>-1.13187323329907E-3</v>
      </c>
      <c r="AM52" s="79">
        <v>0</v>
      </c>
      <c r="AN52" s="79">
        <v>21.1217283689627</v>
      </c>
      <c r="AO52" s="79">
        <v>13.4455958892692</v>
      </c>
      <c r="AP52" s="79">
        <v>0</v>
      </c>
      <c r="AQ52" s="79">
        <v>30.3220321450884</v>
      </c>
      <c r="AR52" s="79">
        <v>11.3127208189972</v>
      </c>
      <c r="AS52" s="79">
        <v>2.3133179531425001</v>
      </c>
      <c r="AT52" s="79">
        <v>0</v>
      </c>
      <c r="AU52" s="79">
        <v>1.42428512325839</v>
      </c>
      <c r="AV52" s="79">
        <v>0</v>
      </c>
      <c r="AW52" s="79">
        <v>0</v>
      </c>
      <c r="AX52" s="79">
        <v>194.92650166314499</v>
      </c>
      <c r="AY52" s="79">
        <v>-25.260023413528302</v>
      </c>
      <c r="AZ52" s="79">
        <v>0</v>
      </c>
      <c r="BA52" s="79">
        <v>28.855060544925799</v>
      </c>
      <c r="BB52" s="79">
        <v>1.5087840375533299</v>
      </c>
      <c r="BC52" s="79">
        <v>25.898653010179601</v>
      </c>
      <c r="BD52" s="79">
        <v>6.71771138500627</v>
      </c>
    </row>
    <row r="53" spans="1:56" ht="11.25" customHeight="1" x14ac:dyDescent="0.25">
      <c r="A53" s="136"/>
      <c r="B53" s="136" t="s">
        <v>103</v>
      </c>
      <c r="C53" s="136" t="s">
        <v>45</v>
      </c>
      <c r="D53" s="81" t="s">
        <v>25</v>
      </c>
      <c r="E53" s="81" t="s">
        <v>25</v>
      </c>
      <c r="F53" s="81" t="s">
        <v>25</v>
      </c>
      <c r="G53" s="21" t="s">
        <v>96</v>
      </c>
      <c r="H53" s="21" t="s">
        <v>90</v>
      </c>
      <c r="I53" s="21">
        <f>'MERCADO TUSD'!$U$50</f>
        <v>0</v>
      </c>
      <c r="J53" s="17"/>
      <c r="L53" s="79">
        <f>('TUSD BE'!$L$53+'TUSD BF'!$L$53+'TUSD CVA'!$L$53)*(1 - CUSTOS!$M$38)</f>
        <v>9.7100070663164573</v>
      </c>
      <c r="M53" s="79">
        <f>('TUSD BE'!$M$53+'TUSD BF'!$M$53+'TUSD CVA'!$M$53)*(1 - CUSTOS!$M$38)</f>
        <v>0.81782199527485822</v>
      </c>
      <c r="N53" s="79">
        <f ca="1">('TUSD BE'!$N$53+'TUSD BF'!$N$53+'TUSD CVA'!$N$53)*(1 - CUSTOS!$M$38)</f>
        <v>4.2766945893119956</v>
      </c>
      <c r="O53" s="79">
        <f>('TUSD BE'!$O$53+'TUSD BF'!$O$53+'TUSD CVA'!$O$53)*(1 - CUSTOS!$M$38)</f>
        <v>-1.4368425928466425E-3</v>
      </c>
      <c r="P53" s="79">
        <f>('TUSD BE'!$P$53+'TUSD BF'!$P$53+'TUSD CVA'!$P$53)*(1 - CUSTOS!$M$38)</f>
        <v>0</v>
      </c>
      <c r="Q53" s="79">
        <f>('TUSD BE'!$Q$53+'TUSD BF'!$Q$53+'TUSD CVA'!$Q$53)*(1 - CUSTOS!$M$38)</f>
        <v>38.218594418899904</v>
      </c>
      <c r="R53" s="79">
        <f>('TUSD BE'!$R$53+'TUSD BF'!$R$53+'TUSD CVA'!$R$53)*(1 - CUSTOS!$M$38)</f>
        <v>15.689372148303576</v>
      </c>
      <c r="S53" s="79">
        <f>('TUSD BE'!$S$53+'TUSD BF'!$S$53+'TUSD CVA'!$S$53)*(1 - CUSTOS!$M$38)</f>
        <v>0</v>
      </c>
      <c r="T53" s="79">
        <f>('TUSD BE'!$U$53+'TUSD BF'!$U$53+'TUSD CVA'!$U$53)*(1 - CUSTOS!$M$38)</f>
        <v>32.833146247226416</v>
      </c>
      <c r="U53" s="79">
        <f>('TUSD BE'!$V$53+'TUSD BF'!$V$53+'TUSD CVA'!$V$53)*(1 - CUSTOS!$M$38)</f>
        <v>8.4330373022772189</v>
      </c>
      <c r="V53" s="79">
        <f>('TUSD BE'!$W$53+'TUSD BF'!$W$53+'TUSD CVA'!$W$53)*(1 - CUSTOS!$M$38)</f>
        <v>2.3137837485278752</v>
      </c>
      <c r="W53" s="79">
        <f>('TUSD BE'!$X$53+'TUSD BF'!$X$53+'TUSD CVA'!$X$53)*(1 - CUSTOS!$M$38)</f>
        <v>0</v>
      </c>
      <c r="X53" s="79">
        <f>('TUSD BE'!$Y$53+'TUSD BF'!$Y$53+'TUSD CVA'!$Y$53)*(1 - CUSTOS!$M$38)</f>
        <v>1.3265792912461889</v>
      </c>
      <c r="Y53" s="79">
        <f>('TUSD BE'!$Z$53+'TUSD BF'!$Z$53+'TUSD CVA'!$Z$53)*(1 - CUSTOS!$M$38)</f>
        <v>0</v>
      </c>
      <c r="Z53" s="79">
        <f>('TUSD BE'!$AA$53+'TUSD BF'!$AA$53+'TUSD CVA'!$AA$53)*(1 - CUSTOS!$M$38)</f>
        <v>0</v>
      </c>
      <c r="AA53" s="79">
        <f>('TUSD BE'!$AC$53+'TUSD BF'!$AC$53+'TUSD CVA'!$AC$53)*(1 - CUSTOS!$M$38)</f>
        <v>242.77715464993398</v>
      </c>
      <c r="AB53" s="79">
        <f ca="1">('TUSD BE'!$AE$53+'TUSD BF'!$AE$53+'TUSD CVA'!$AE$53)*(1 - CUSTOS!$M$38)</f>
        <v>0.55918926869335706</v>
      </c>
      <c r="AC53" s="79">
        <f ca="1">('TUSD BE'!$AF$53+'TUSD BF'!$AF$53+'TUSD CVA'!$AF$53)*(1 - CUSTOS!$M$38)</f>
        <v>0</v>
      </c>
      <c r="AD53" s="79">
        <f>('TUSD BE'!$AH$53+'TUSD BF'!$AH$53+'TUSD CVA'!$AH$53)*(1 - CUSTOS!$M$38)</f>
        <v>36.410152560199869</v>
      </c>
      <c r="AE53" s="79">
        <f>('TUSD BE'!$AI$53+'TUSD BF'!$AI$53+'TUSD CVA'!$AI$53)*(1 - CUSTOS!$M$38)</f>
        <v>2.1024938184749962</v>
      </c>
      <c r="AF53" s="79">
        <f ca="1">('TUSD BE'!$AJ$53+'TUSD BF'!$AJ$53+'TUSD CVA'!$AJ$53)*(1 - CUSTOS!$M$38)</f>
        <v>32.553998535247231</v>
      </c>
      <c r="AG53" s="79">
        <f ca="1">('TUSD BE'!$AK$53+'TUSD BF'!$AK$53+'TUSD CVA'!$AK$53)*(1 - CUSTOS!$M$38)</f>
        <v>10.601671930054438</v>
      </c>
      <c r="AI53" s="79">
        <v>0</v>
      </c>
      <c r="AJ53" s="79">
        <v>0.66092694287938203</v>
      </c>
      <c r="AK53" s="79">
        <v>3.2625802405244801</v>
      </c>
      <c r="AL53" s="79">
        <v>-1.18577195869426E-3</v>
      </c>
      <c r="AM53" s="79">
        <v>0</v>
      </c>
      <c r="AN53" s="79">
        <v>22.127524957960901</v>
      </c>
      <c r="AO53" s="79">
        <v>14.085862360186701</v>
      </c>
      <c r="AP53" s="79">
        <v>0</v>
      </c>
      <c r="AQ53" s="79">
        <v>31.7659384377117</v>
      </c>
      <c r="AR53" s="79">
        <v>11.851421810378</v>
      </c>
      <c r="AS53" s="79">
        <v>2.4234759509111901</v>
      </c>
      <c r="AT53" s="79">
        <v>0</v>
      </c>
      <c r="AU53" s="79">
        <v>1.49210822436593</v>
      </c>
      <c r="AV53" s="79">
        <v>0</v>
      </c>
      <c r="AW53" s="79">
        <v>0</v>
      </c>
      <c r="AX53" s="79">
        <v>204.20871602805599</v>
      </c>
      <c r="AY53" s="79">
        <v>-26.462881671315401</v>
      </c>
      <c r="AZ53" s="79">
        <v>0</v>
      </c>
      <c r="BA53" s="79">
        <v>30.229111047065199</v>
      </c>
      <c r="BB53" s="79">
        <v>1.58063089648444</v>
      </c>
      <c r="BC53" s="79">
        <v>27.131922201140501</v>
      </c>
      <c r="BD53" s="79">
        <v>7.0376024033399096</v>
      </c>
    </row>
    <row r="54" spans="1:56" ht="11.25" customHeight="1" x14ac:dyDescent="0.25">
      <c r="A54" s="136"/>
      <c r="B54" s="136"/>
      <c r="C54" s="136"/>
      <c r="D54" s="81" t="s">
        <v>104</v>
      </c>
      <c r="E54" s="81" t="s">
        <v>25</v>
      </c>
      <c r="F54" s="81" t="s">
        <v>25</v>
      </c>
      <c r="G54" s="21" t="s">
        <v>96</v>
      </c>
      <c r="H54" s="21" t="s">
        <v>90</v>
      </c>
      <c r="I54" s="21">
        <f>'MERCADO TUSD'!$U$51</f>
        <v>0</v>
      </c>
      <c r="J54" s="17"/>
      <c r="L54" s="79">
        <f>('TUSD BE'!$L$54+'TUSD BF'!$L$54+'TUSD CVA'!$L$54)*(1 - CUSTOS!$M$39)</f>
        <v>9.7100070663164573</v>
      </c>
      <c r="M54" s="79">
        <f>('TUSD BE'!$M$54+'TUSD BF'!$M$54+'TUSD CVA'!$M$54)*(1 - CUSTOS!$M$39)</f>
        <v>0.81782199527485822</v>
      </c>
      <c r="N54" s="79">
        <f ca="1">('TUSD BE'!$N$54+'TUSD BF'!$N$54+'TUSD CVA'!$N$54)*(1 - CUSTOS!$M$39)</f>
        <v>4.2766945893119956</v>
      </c>
      <c r="O54" s="79">
        <f>('TUSD BE'!$O$54+'TUSD BF'!$O$54+'TUSD CVA'!$O$54)*(1 - CUSTOS!$M$39)</f>
        <v>-1.4368425928466425E-3</v>
      </c>
      <c r="P54" s="79">
        <f>('TUSD BE'!$P$54+'TUSD BF'!$P$54+'TUSD CVA'!$P$54)*(1 - CUSTOS!$M$39)</f>
        <v>0</v>
      </c>
      <c r="Q54" s="79">
        <f>('TUSD BE'!$Q$54+'TUSD BF'!$Q$54+'TUSD CVA'!$Q$54)*(1 - CUSTOS!$M$39)</f>
        <v>38.218594418899904</v>
      </c>
      <c r="R54" s="79">
        <f>('TUSD BE'!$R$54+'TUSD BF'!$R$54+'TUSD CVA'!$R$54)*(1 - CUSTOS!$M$39)</f>
        <v>15.689372148303576</v>
      </c>
      <c r="S54" s="79">
        <f>('TUSD BE'!$S$54+'TUSD BF'!$S$54+'TUSD CVA'!$S$54)*(1 - CUSTOS!$M$39)</f>
        <v>0</v>
      </c>
      <c r="T54" s="79">
        <f>('TUSD BE'!$U$54+'TUSD BF'!$U$54+'TUSD CVA'!$U$54)*(1 - CUSTOS!$M$39)</f>
        <v>32.833146247226416</v>
      </c>
      <c r="U54" s="79">
        <f>('TUSD BE'!$V$54+'TUSD BF'!$V$54+'TUSD CVA'!$V$54)*(1 - CUSTOS!$M$39)</f>
        <v>8.4330373022772189</v>
      </c>
      <c r="V54" s="79">
        <f>('TUSD BE'!$W$54+'TUSD BF'!$W$54+'TUSD CVA'!$W$54)*(1 - CUSTOS!$M$39)</f>
        <v>2.3137837485278752</v>
      </c>
      <c r="W54" s="79">
        <f>('TUSD BE'!$X$54+'TUSD BF'!$X$54+'TUSD CVA'!$X$54)*(1 - CUSTOS!$M$39)</f>
        <v>0</v>
      </c>
      <c r="X54" s="79">
        <f>('TUSD BE'!$Y$54+'TUSD BF'!$Y$54+'TUSD CVA'!$Y$54)*(1 - CUSTOS!$M$39)</f>
        <v>1.3265792912461889</v>
      </c>
      <c r="Y54" s="79">
        <f>('TUSD BE'!$Z$54+'TUSD BF'!$Z$54+'TUSD CVA'!$Z$54)*(1 - CUSTOS!$M$39)</f>
        <v>0</v>
      </c>
      <c r="Z54" s="79">
        <f>('TUSD BE'!$AA$54+'TUSD BF'!$AA$54+'TUSD CVA'!$AA$54)*(1 - CUSTOS!$M$39)</f>
        <v>0</v>
      </c>
      <c r="AA54" s="79">
        <f>('TUSD BE'!$AC$54+'TUSD BF'!$AC$54+'TUSD CVA'!$AC$54)*(1 - CUSTOS!$M$39)</f>
        <v>242.77715464993398</v>
      </c>
      <c r="AB54" s="79">
        <f ca="1">('TUSD BE'!$AE$54+'TUSD BF'!$AE$54+'TUSD CVA'!$AE$54)*(1 - CUSTOS!$M$39)</f>
        <v>0.55918926869335706</v>
      </c>
      <c r="AC54" s="79">
        <f ca="1">('TUSD BE'!$AF$54+'TUSD BF'!$AF$54+'TUSD CVA'!$AF$54)*(1 - CUSTOS!$M$39)</f>
        <v>0</v>
      </c>
      <c r="AD54" s="79">
        <f>('TUSD BE'!$AH$54+'TUSD BF'!$AH$54+'TUSD CVA'!$AH$54)*(1 - CUSTOS!$M$39)</f>
        <v>36.410152560199869</v>
      </c>
      <c r="AE54" s="79">
        <f>('TUSD BE'!$AI$54+'TUSD BF'!$AI$54+'TUSD CVA'!$AI$54)*(1 - CUSTOS!$M$39)</f>
        <v>2.1024938184749962</v>
      </c>
      <c r="AF54" s="79">
        <f ca="1">('TUSD BE'!$AJ$54+'TUSD BF'!$AJ$54+'TUSD CVA'!$AJ$54)*(1 - CUSTOS!$M$39)</f>
        <v>32.553998535247231</v>
      </c>
      <c r="AG54" s="79">
        <f ca="1">('TUSD BE'!$AK$54+'TUSD BF'!$AK$54+'TUSD CVA'!$AK$54)*(1 - CUSTOS!$M$39)</f>
        <v>10.601671930054438</v>
      </c>
      <c r="AI54" s="79">
        <v>0</v>
      </c>
      <c r="AJ54" s="79">
        <v>0.66092694287938203</v>
      </c>
      <c r="AK54" s="79">
        <v>3.2625802405244801</v>
      </c>
      <c r="AL54" s="79">
        <v>-1.18577195869426E-3</v>
      </c>
      <c r="AM54" s="79">
        <v>0</v>
      </c>
      <c r="AN54" s="79">
        <v>22.127524957960901</v>
      </c>
      <c r="AO54" s="79">
        <v>14.085862360186701</v>
      </c>
      <c r="AP54" s="79">
        <v>0</v>
      </c>
      <c r="AQ54" s="79">
        <v>31.7659384377117</v>
      </c>
      <c r="AR54" s="79">
        <v>11.851421810378</v>
      </c>
      <c r="AS54" s="79">
        <v>2.4234759509111901</v>
      </c>
      <c r="AT54" s="79">
        <v>0</v>
      </c>
      <c r="AU54" s="79">
        <v>1.49210822436593</v>
      </c>
      <c r="AV54" s="79">
        <v>0</v>
      </c>
      <c r="AW54" s="79">
        <v>0</v>
      </c>
      <c r="AX54" s="79">
        <v>204.20871602805599</v>
      </c>
      <c r="AY54" s="79">
        <v>-26.462881671315401</v>
      </c>
      <c r="AZ54" s="79">
        <v>0</v>
      </c>
      <c r="BA54" s="79">
        <v>30.229111047065199</v>
      </c>
      <c r="BB54" s="79">
        <v>1.58063089648444</v>
      </c>
      <c r="BC54" s="79">
        <v>27.131922201140501</v>
      </c>
      <c r="BD54" s="79">
        <v>7.0376024033399096</v>
      </c>
    </row>
    <row r="55" spans="1:56" ht="11.25" customHeight="1" x14ac:dyDescent="0.25">
      <c r="A55" s="136"/>
      <c r="B55" s="136"/>
      <c r="C55" s="136"/>
      <c r="D55" s="81" t="s">
        <v>105</v>
      </c>
      <c r="E55" s="81" t="s">
        <v>25</v>
      </c>
      <c r="F55" s="81" t="s">
        <v>25</v>
      </c>
      <c r="G55" s="21" t="s">
        <v>96</v>
      </c>
      <c r="H55" s="21" t="s">
        <v>90</v>
      </c>
      <c r="I55" s="21">
        <f>'MERCADO TUSD'!$U$52</f>
        <v>0</v>
      </c>
      <c r="J55" s="17"/>
      <c r="L55" s="79">
        <f>('TUSD BE'!$L$55+'TUSD BF'!$L$55+'TUSD CVA'!$L$55)*(1 - CUSTOS!$M$40)</f>
        <v>9.5034111712884481</v>
      </c>
      <c r="M55" s="79">
        <f>('TUSD BE'!$M$55+'TUSD BF'!$M$55+'TUSD CVA'!$M$55)*(1 - CUSTOS!$M$40)</f>
        <v>0.80042152729028682</v>
      </c>
      <c r="N55" s="79">
        <f ca="1">('TUSD BE'!$N$55+'TUSD BF'!$N$55+'TUSD CVA'!$N$55)*(1 - CUSTOS!$M$40)</f>
        <v>4.1857010874117409</v>
      </c>
      <c r="O55" s="79">
        <f>('TUSD BE'!$O$55+'TUSD BF'!$O$55+'TUSD CVA'!$O$55)*(1 - CUSTOS!$M$40)</f>
        <v>-1.4062714738499054E-3</v>
      </c>
      <c r="P55" s="79">
        <f>('TUSD BE'!$P$55+'TUSD BF'!$P$55+'TUSD CVA'!$P$55)*(1 - CUSTOS!$M$40)</f>
        <v>0</v>
      </c>
      <c r="Q55" s="79">
        <f>('TUSD BE'!$Q$55+'TUSD BF'!$Q$55+'TUSD CVA'!$Q$55)*(1 - CUSTOS!$M$40)</f>
        <v>37.405432835519058</v>
      </c>
      <c r="R55" s="79">
        <f>('TUSD BE'!$R$55+'TUSD BF'!$R$55+'TUSD CVA'!$R$55)*(1 - CUSTOS!$M$40)</f>
        <v>15.355555719616268</v>
      </c>
      <c r="S55" s="79">
        <f>('TUSD BE'!$S$55+'TUSD BF'!$S$55+'TUSD CVA'!$S$55)*(1 - CUSTOS!$M$40)</f>
        <v>0</v>
      </c>
      <c r="T55" s="79">
        <f>('TUSD BE'!$U$55+'TUSD BF'!$U$55+'TUSD CVA'!$U$55)*(1 - CUSTOS!$M$40)</f>
        <v>32.134568667498201</v>
      </c>
      <c r="U55" s="79">
        <f>('TUSD BE'!$V$55+'TUSD BF'!$V$55+'TUSD CVA'!$V$55)*(1 - CUSTOS!$M$40)</f>
        <v>8.2536109766968551</v>
      </c>
      <c r="V55" s="79">
        <f>('TUSD BE'!$W$55+'TUSD BF'!$W$55+'TUSD CVA'!$W$55)*(1 - CUSTOS!$M$40)</f>
        <v>2.2645543070698357</v>
      </c>
      <c r="W55" s="79">
        <f>('TUSD BE'!$X$55+'TUSD BF'!$X$55+'TUSD CVA'!$X$55)*(1 - CUSTOS!$M$40)</f>
        <v>0</v>
      </c>
      <c r="X55" s="79">
        <f>('TUSD BE'!$Y$55+'TUSD BF'!$Y$55+'TUSD CVA'!$Y$55)*(1 - CUSTOS!$M$40)</f>
        <v>1.2983541999430785</v>
      </c>
      <c r="Y55" s="79">
        <f>('TUSD BE'!$Z$55+'TUSD BF'!$Z$55+'TUSD CVA'!$Z$55)*(1 - CUSTOS!$M$40)</f>
        <v>0</v>
      </c>
      <c r="Z55" s="79">
        <f>('TUSD BE'!$AA$55+'TUSD BF'!$AA$55+'TUSD CVA'!$AA$55)*(1 - CUSTOS!$M$40)</f>
        <v>0</v>
      </c>
      <c r="AA55" s="79">
        <f>('TUSD BE'!$AC$55+'TUSD BF'!$AC$55+'TUSD CVA'!$AC$55)*(1 - CUSTOS!$M$40)</f>
        <v>237.61168327440348</v>
      </c>
      <c r="AB55" s="79">
        <f ca="1">('TUSD BE'!$AE$55+'TUSD BF'!$AE$55+'TUSD CVA'!$AE$55)*(1 - CUSTOS!$M$40)</f>
        <v>0.54729162467860482</v>
      </c>
      <c r="AC55" s="79">
        <f ca="1">('TUSD BE'!$AF$55+'TUSD BF'!$AF$55+'TUSD CVA'!$AF$55)*(1 - CUSTOS!$M$40)</f>
        <v>0</v>
      </c>
      <c r="AD55" s="79">
        <f>('TUSD BE'!$AH$55+'TUSD BF'!$AH$55+'TUSD CVA'!$AH$55)*(1 - CUSTOS!$M$40)</f>
        <v>35.635468463174341</v>
      </c>
      <c r="AE55" s="79">
        <f>('TUSD BE'!$AI$55+'TUSD BF'!$AI$55+'TUSD CVA'!$AI$55)*(1 - CUSTOS!$M$40)</f>
        <v>2.0577599074436135</v>
      </c>
      <c r="AF55" s="79">
        <f ca="1">('TUSD BE'!$AJ$55+'TUSD BF'!$AJ$55+'TUSD CVA'!$AJ$55)*(1 - CUSTOS!$M$40)</f>
        <v>31.861360268539848</v>
      </c>
      <c r="AG55" s="79">
        <f ca="1">('TUSD BE'!$AK$55+'TUSD BF'!$AK$55+'TUSD CVA'!$AK$55)*(1 - CUSTOS!$M$40)</f>
        <v>10.376104442180941</v>
      </c>
      <c r="AI55" s="79">
        <v>0</v>
      </c>
      <c r="AJ55" s="79">
        <v>0.63088480911213696</v>
      </c>
      <c r="AK55" s="79">
        <v>3.1142811386824598</v>
      </c>
      <c r="AL55" s="79">
        <v>-1.13187323329907E-3</v>
      </c>
      <c r="AM55" s="79">
        <v>0</v>
      </c>
      <c r="AN55" s="79">
        <v>21.1217283689627</v>
      </c>
      <c r="AO55" s="79">
        <v>13.4455958892692</v>
      </c>
      <c r="AP55" s="79">
        <v>0</v>
      </c>
      <c r="AQ55" s="79">
        <v>30.3220321450884</v>
      </c>
      <c r="AR55" s="79">
        <v>11.3127208189972</v>
      </c>
      <c r="AS55" s="79">
        <v>2.3133179531425001</v>
      </c>
      <c r="AT55" s="79">
        <v>0</v>
      </c>
      <c r="AU55" s="79">
        <v>1.42428512325839</v>
      </c>
      <c r="AV55" s="79">
        <v>0</v>
      </c>
      <c r="AW55" s="79">
        <v>0</v>
      </c>
      <c r="AX55" s="79">
        <v>194.92650166314499</v>
      </c>
      <c r="AY55" s="79">
        <v>-25.260023413528302</v>
      </c>
      <c r="AZ55" s="79">
        <v>0</v>
      </c>
      <c r="BA55" s="79">
        <v>28.855060544925799</v>
      </c>
      <c r="BB55" s="79">
        <v>1.5087840375533299</v>
      </c>
      <c r="BC55" s="79">
        <v>25.898653010179601</v>
      </c>
      <c r="BD55" s="79">
        <v>6.71771138500627</v>
      </c>
    </row>
    <row r="56" spans="1:56" ht="11.25" customHeight="1" x14ac:dyDescent="0.25">
      <c r="A56" s="136" t="s">
        <v>39</v>
      </c>
      <c r="B56" s="136" t="s">
        <v>37</v>
      </c>
      <c r="C56" s="136" t="s">
        <v>25</v>
      </c>
      <c r="D56" s="136" t="s">
        <v>25</v>
      </c>
      <c r="E56" s="136" t="s">
        <v>25</v>
      </c>
      <c r="F56" s="136" t="s">
        <v>25</v>
      </c>
      <c r="G56" s="21" t="s">
        <v>91</v>
      </c>
      <c r="H56" s="21" t="s">
        <v>90</v>
      </c>
      <c r="I56" s="21">
        <f>'MERCADO TUSD'!$U$53</f>
        <v>133.833</v>
      </c>
      <c r="J56" s="17"/>
      <c r="L56" s="79">
        <f>('TUSD BE'!$L$56+'TUSD BF'!$L$56+'TUSD CVA'!$L$56)*1</f>
        <v>10.329794751400486</v>
      </c>
      <c r="M56" s="79">
        <f>('TUSD BE'!$M$56+'TUSD BF'!$M$56+'TUSD CVA'!$M$56)*1</f>
        <v>0.87002339922857264</v>
      </c>
      <c r="N56" s="79">
        <f ca="1">('TUSD BE'!$N$56+'TUSD BF'!$N$56+'TUSD CVA'!$N$56)*1</f>
        <v>11.28389467463805</v>
      </c>
      <c r="O56" s="79">
        <f>('TUSD BE'!$O$56+'TUSD BF'!$O$56+'TUSD CVA'!$O$56)*1</f>
        <v>-1.5285559498368537E-3</v>
      </c>
      <c r="P56" s="79">
        <f>('TUSD BE'!$P$56+'TUSD BF'!$P$56+'TUSD CVA'!$P$56)*1</f>
        <v>0</v>
      </c>
      <c r="Q56" s="79">
        <f>('TUSD BE'!$Q$56+'TUSD BF'!$Q$56+'TUSD CVA'!$Q$56)*1</f>
        <v>40.658079169042452</v>
      </c>
      <c r="R56" s="79">
        <f>('TUSD BE'!$R$56+'TUSD BF'!$R$56+'TUSD CVA'!$R$56)*1</f>
        <v>16.690821434365507</v>
      </c>
      <c r="S56" s="79">
        <f>('TUSD BE'!$S$56+'TUSD BF'!$S$56+'TUSD CVA'!$S$56)*1</f>
        <v>0</v>
      </c>
      <c r="T56" s="79">
        <f>('TUSD BE'!$U$56+'TUSD BF'!$U$56+'TUSD CVA'!$U$56)*1</f>
        <v>115.26532233220533</v>
      </c>
      <c r="U56" s="79">
        <f>('TUSD BE'!$V$56+'TUSD BF'!$V$56+'TUSD CVA'!$V$56)*1</f>
        <v>29.605366299766015</v>
      </c>
      <c r="V56" s="79">
        <f>('TUSD BE'!$W$56+'TUSD BF'!$W$56+'TUSD CVA'!$W$56)*1</f>
        <v>8.1229822481054015</v>
      </c>
      <c r="W56" s="79">
        <f>('TUSD BE'!$X$56+'TUSD BF'!$X$56+'TUSD CVA'!$X$56)*1</f>
        <v>0</v>
      </c>
      <c r="X56" s="79">
        <f>('TUSD BE'!$Y$56+'TUSD BF'!$Y$56+'TUSD CVA'!$Y$56)*1</f>
        <v>4.6572719403563765</v>
      </c>
      <c r="Y56" s="79">
        <f>('TUSD BE'!$Z$56+'TUSD BF'!$Z$56+'TUSD CVA'!$Z$56)*1</f>
        <v>0</v>
      </c>
      <c r="Z56" s="79">
        <f>('TUSD BE'!$AA$56+'TUSD BF'!$AA$56+'TUSD CVA'!$AA$56)*1</f>
        <v>0</v>
      </c>
      <c r="AA56" s="79">
        <f>('TUSD BE'!$AC$56+'TUSD BF'!$AC$56+'TUSD CVA'!$AC$56)*1</f>
        <v>852.30286221898211</v>
      </c>
      <c r="AB56" s="79">
        <f ca="1">('TUSD BE'!$AE$56+'TUSD BF'!$AE$56+'TUSD CVA'!$AE$56)*1</f>
        <v>1.5226737421340997</v>
      </c>
      <c r="AC56" s="79">
        <f ca="1">('TUSD BE'!$AF$56+'TUSD BF'!$AF$56+'TUSD CVA'!$AF$56)*1</f>
        <v>0</v>
      </c>
      <c r="AD56" s="79">
        <f>('TUSD BE'!$AH$56+'TUSD BF'!$AH$56+'TUSD CVA'!$AH$56)*1</f>
        <v>38.734204851276459</v>
      </c>
      <c r="AE56" s="79">
        <f>('TUSD BE'!$AI$56+'TUSD BF'!$AI$56+'TUSD CVA'!$AI$56)*1</f>
        <v>2.2366955515691451</v>
      </c>
      <c r="AF56" s="79">
        <f ca="1">('TUSD BE'!$AJ$56+'TUSD BF'!$AJ$56+'TUSD CVA'!$AJ$56)*1</f>
        <v>34.631913335369397</v>
      </c>
      <c r="AG56" s="79">
        <f ca="1">('TUSD BE'!$AK$56+'TUSD BF'!$AK$56+'TUSD CVA'!$AK$56)*1</f>
        <v>11.278374393674936</v>
      </c>
      <c r="AI56" s="79">
        <v>0</v>
      </c>
      <c r="AJ56" s="79">
        <v>0.75105334418111602</v>
      </c>
      <c r="AK56" s="79">
        <v>9.2898555401381593</v>
      </c>
      <c r="AL56" s="79">
        <v>-1.34746813487984E-3</v>
      </c>
      <c r="AM56" s="79">
        <v>0</v>
      </c>
      <c r="AN56" s="79">
        <v>25.144914724955498</v>
      </c>
      <c r="AO56" s="79">
        <v>16.006661772939498</v>
      </c>
      <c r="AP56" s="79">
        <v>0</v>
      </c>
      <c r="AQ56" s="79">
        <v>119.12229154381799</v>
      </c>
      <c r="AR56" s="79">
        <v>44.4428656839791</v>
      </c>
      <c r="AS56" s="79">
        <v>9.0881740058394591</v>
      </c>
      <c r="AT56" s="79">
        <v>0</v>
      </c>
      <c r="AU56" s="79">
        <v>5.5955642854076801</v>
      </c>
      <c r="AV56" s="79">
        <v>0</v>
      </c>
      <c r="AW56" s="79">
        <v>0</v>
      </c>
      <c r="AX56" s="79">
        <v>765.78276170699303</v>
      </c>
      <c r="AY56" s="79">
        <v>-78.872995739197293</v>
      </c>
      <c r="AZ56" s="79">
        <v>0</v>
      </c>
      <c r="BA56" s="79">
        <v>34.351262553483103</v>
      </c>
      <c r="BB56" s="79">
        <v>1.79617147327777</v>
      </c>
      <c r="BC56" s="79">
        <v>30.831729774023302</v>
      </c>
      <c r="BD56" s="79">
        <v>7.9972754583408001</v>
      </c>
    </row>
    <row r="57" spans="1:56" ht="11.25" customHeight="1" x14ac:dyDescent="0.25">
      <c r="A57" s="136"/>
      <c r="B57" s="136"/>
      <c r="C57" s="136"/>
      <c r="D57" s="136"/>
      <c r="E57" s="136"/>
      <c r="F57" s="136"/>
      <c r="G57" s="21" t="s">
        <v>101</v>
      </c>
      <c r="H57" s="21" t="s">
        <v>90</v>
      </c>
      <c r="I57" s="21">
        <f>'MERCADO TUSD'!$U$54</f>
        <v>132.79500000000002</v>
      </c>
      <c r="J57" s="17"/>
      <c r="L57" s="79">
        <f>('TUSD BE'!$L$57+'TUSD BF'!$L$57+'TUSD CVA'!$L$57)*1</f>
        <v>10.329794751400486</v>
      </c>
      <c r="M57" s="79">
        <f>('TUSD BE'!$M$57+'TUSD BF'!$M$57+'TUSD CVA'!$M$57)*1</f>
        <v>0.87002339922857264</v>
      </c>
      <c r="N57" s="79">
        <f ca="1">('TUSD BE'!$N$57+'TUSD BF'!$N$57+'TUSD CVA'!$N$57)*1</f>
        <v>7.4190401390585858</v>
      </c>
      <c r="O57" s="79">
        <f>('TUSD BE'!$O$57+'TUSD BF'!$O$57+'TUSD CVA'!$O$57)*1</f>
        <v>-1.5285559498368537E-3</v>
      </c>
      <c r="P57" s="79">
        <f>('TUSD BE'!$P$57+'TUSD BF'!$P$57+'TUSD CVA'!$P$57)*1</f>
        <v>0</v>
      </c>
      <c r="Q57" s="79">
        <f>('TUSD BE'!$Q$57+'TUSD BF'!$Q$57+'TUSD CVA'!$Q$57)*1</f>
        <v>40.658079169042452</v>
      </c>
      <c r="R57" s="79">
        <f>('TUSD BE'!$R$57+'TUSD BF'!$R$57+'TUSD CVA'!$R$57)*1</f>
        <v>16.690821434365507</v>
      </c>
      <c r="S57" s="79">
        <f>('TUSD BE'!$S$57+'TUSD BF'!$S$57+'TUSD CVA'!$S$57)*1</f>
        <v>0</v>
      </c>
      <c r="T57" s="79">
        <f>('TUSD BE'!$U$57+'TUSD BF'!$U$57+'TUSD CVA'!$U$57)*1</f>
        <v>69.159215076371979</v>
      </c>
      <c r="U57" s="79">
        <f>('TUSD BE'!$V$57+'TUSD BF'!$V$57+'TUSD CVA'!$V$57)*1</f>
        <v>17.76324235886517</v>
      </c>
      <c r="V57" s="79">
        <f>('TUSD BE'!$W$57+'TUSD BF'!$W$57+'TUSD CVA'!$W$57)*1</f>
        <v>4.873872287215784</v>
      </c>
      <c r="W57" s="79">
        <f>('TUSD BE'!$X$57+'TUSD BF'!$X$57+'TUSD CVA'!$X$57)*1</f>
        <v>0</v>
      </c>
      <c r="X57" s="79">
        <f>('TUSD BE'!$Y$57+'TUSD BF'!$Y$57+'TUSD CVA'!$Y$57)*1</f>
        <v>2.7944385215527747</v>
      </c>
      <c r="Y57" s="79">
        <f>('TUSD BE'!$Z$57+'TUSD BF'!$Z$57+'TUSD CVA'!$Z$57)*1</f>
        <v>0</v>
      </c>
      <c r="Z57" s="79">
        <f>('TUSD BE'!$AA$57+'TUSD BF'!$AA$57+'TUSD CVA'!$AA$57)*1</f>
        <v>0</v>
      </c>
      <c r="AA57" s="79">
        <f>('TUSD BE'!$AC$57+'TUSD BF'!$AC$57+'TUSD CVA'!$AC$57)*1</f>
        <v>511.38169297240415</v>
      </c>
      <c r="AB57" s="79">
        <f ca="1">('TUSD BE'!$AE$57+'TUSD BF'!$AE$57+'TUSD CVA'!$AE$57)*1</f>
        <v>0.9902024123781179</v>
      </c>
      <c r="AC57" s="79">
        <f ca="1">('TUSD BE'!$AF$57+'TUSD BF'!$AF$57+'TUSD CVA'!$AF$57)*1</f>
        <v>0</v>
      </c>
      <c r="AD57" s="79">
        <f>('TUSD BE'!$AH$57+'TUSD BF'!$AH$57+'TUSD CVA'!$AH$57)*1</f>
        <v>38.734204851276459</v>
      </c>
      <c r="AE57" s="79">
        <f>('TUSD BE'!$AI$57+'TUSD BF'!$AI$57+'TUSD CVA'!$AI$57)*1</f>
        <v>2.2366955515691451</v>
      </c>
      <c r="AF57" s="79">
        <f ca="1">('TUSD BE'!$AJ$57+'TUSD BF'!$AJ$57+'TUSD CVA'!$AJ$57)*1</f>
        <v>34.631913335369397</v>
      </c>
      <c r="AG57" s="79">
        <f ca="1">('TUSD BE'!$AK$57+'TUSD BF'!$AK$57+'TUSD CVA'!$AK$57)*1</f>
        <v>11.278374393674936</v>
      </c>
      <c r="AI57" s="79">
        <v>0</v>
      </c>
      <c r="AJ57" s="79">
        <v>0.75105334418111602</v>
      </c>
      <c r="AK57" s="79">
        <v>6.0860575863195798</v>
      </c>
      <c r="AL57" s="79">
        <v>-1.34746813487984E-3</v>
      </c>
      <c r="AM57" s="79">
        <v>0</v>
      </c>
      <c r="AN57" s="79">
        <v>25.144914724955498</v>
      </c>
      <c r="AO57" s="79">
        <v>16.006661772939498</v>
      </c>
      <c r="AP57" s="79">
        <v>0</v>
      </c>
      <c r="AQ57" s="79">
        <v>71.473397328689401</v>
      </c>
      <c r="AR57" s="79">
        <v>26.665753305449002</v>
      </c>
      <c r="AS57" s="79">
        <v>5.4529971967853399</v>
      </c>
      <c r="AT57" s="79">
        <v>0</v>
      </c>
      <c r="AU57" s="79">
        <v>3.35742911069342</v>
      </c>
      <c r="AV57" s="79">
        <v>0</v>
      </c>
      <c r="AW57" s="79">
        <v>0</v>
      </c>
      <c r="AX57" s="79">
        <v>459.46963513797198</v>
      </c>
      <c r="AY57" s="79">
        <v>-50.865175124877801</v>
      </c>
      <c r="AZ57" s="79">
        <v>0</v>
      </c>
      <c r="BA57" s="79">
        <v>34.351262553483103</v>
      </c>
      <c r="BB57" s="79">
        <v>1.79617147327777</v>
      </c>
      <c r="BC57" s="79">
        <v>30.831729774023302</v>
      </c>
      <c r="BD57" s="79">
        <v>7.9972754583408001</v>
      </c>
    </row>
    <row r="58" spans="1:56" ht="11.25" customHeight="1" x14ac:dyDescent="0.25">
      <c r="A58" s="136"/>
      <c r="B58" s="136"/>
      <c r="C58" s="136"/>
      <c r="D58" s="136"/>
      <c r="E58" s="136"/>
      <c r="F58" s="136"/>
      <c r="G58" s="21" t="s">
        <v>92</v>
      </c>
      <c r="H58" s="21" t="s">
        <v>90</v>
      </c>
      <c r="I58" s="21">
        <f>'MERCADO TUSD'!$U$55</f>
        <v>2117.7150000000001</v>
      </c>
      <c r="J58" s="17"/>
      <c r="L58" s="79">
        <f>('TUSD BE'!$L$58+'TUSD BF'!$L$58+'TUSD CVA'!$L$58)*1</f>
        <v>10.329794751400486</v>
      </c>
      <c r="M58" s="79">
        <f>('TUSD BE'!$M$58+'TUSD BF'!$M$58+'TUSD CVA'!$M$58)*1</f>
        <v>0.87002339922857264</v>
      </c>
      <c r="N58" s="79">
        <f ca="1">('TUSD BE'!$N$58+'TUSD BF'!$N$58+'TUSD CVA'!$N$58)*1</f>
        <v>3.5541833048996372</v>
      </c>
      <c r="O58" s="79">
        <f>('TUSD BE'!$O$58+'TUSD BF'!$O$58+'TUSD CVA'!$O$58)*1</f>
        <v>-1.5285559498368537E-3</v>
      </c>
      <c r="P58" s="79">
        <f>('TUSD BE'!$P$58+'TUSD BF'!$P$58+'TUSD CVA'!$P$58)*1</f>
        <v>0</v>
      </c>
      <c r="Q58" s="79">
        <f>('TUSD BE'!$Q$58+'TUSD BF'!$Q$58+'TUSD CVA'!$Q$58)*1</f>
        <v>40.658079169042452</v>
      </c>
      <c r="R58" s="79">
        <f>('TUSD BE'!$R$58+'TUSD BF'!$R$58+'TUSD CVA'!$R$58)*1</f>
        <v>16.690821434365507</v>
      </c>
      <c r="S58" s="79">
        <f>('TUSD BE'!$S$58+'TUSD BF'!$S$58+'TUSD CVA'!$S$58)*1</f>
        <v>0</v>
      </c>
      <c r="T58" s="79">
        <f>('TUSD BE'!$U$58+'TUSD BF'!$U$58+'TUSD CVA'!$U$58)*1</f>
        <v>23.0531078205386</v>
      </c>
      <c r="U58" s="79">
        <f>('TUSD BE'!$V$58+'TUSD BF'!$V$58+'TUSD CVA'!$V$58)*1</f>
        <v>5.9211184179643217</v>
      </c>
      <c r="V58" s="79">
        <f>('TUSD BE'!$W$58+'TUSD BF'!$W$58+'TUSD CVA'!$W$58)*1</f>
        <v>1.6246240957385947</v>
      </c>
      <c r="W58" s="79">
        <f>('TUSD BE'!$X$58+'TUSD BF'!$X$58+'TUSD CVA'!$X$58)*1</f>
        <v>0</v>
      </c>
      <c r="X58" s="79">
        <f>('TUSD BE'!$Y$58+'TUSD BF'!$Y$58+'TUSD CVA'!$Y$58)*1</f>
        <v>0.9314167094018011</v>
      </c>
      <c r="Y58" s="79">
        <f>('TUSD BE'!$Z$58+'TUSD BF'!$Z$58+'TUSD CVA'!$Z$58)*1</f>
        <v>0</v>
      </c>
      <c r="Z58" s="79">
        <f>('TUSD BE'!$AA$58+'TUSD BF'!$AA$58+'TUSD CVA'!$AA$58)*1</f>
        <v>0</v>
      </c>
      <c r="AA58" s="79">
        <f>('TUSD BE'!$AC$58+'TUSD BF'!$AC$58+'TUSD CVA'!$AC$58)*1</f>
        <v>170.46052372582622</v>
      </c>
      <c r="AB58" s="79">
        <f ca="1">('TUSD BE'!$AE$58+'TUSD BF'!$AE$58+'TUSD CVA'!$AE$58)*1</f>
        <v>0.45773064443090483</v>
      </c>
      <c r="AC58" s="79">
        <f ca="1">('TUSD BE'!$AF$58+'TUSD BF'!$AF$58+'TUSD CVA'!$AF$58)*1</f>
        <v>0</v>
      </c>
      <c r="AD58" s="79">
        <f>('TUSD BE'!$AH$58+'TUSD BF'!$AH$58+'TUSD CVA'!$AH$58)*1</f>
        <v>38.734204851276459</v>
      </c>
      <c r="AE58" s="79">
        <f>('TUSD BE'!$AI$58+'TUSD BF'!$AI$58+'TUSD CVA'!$AI$58)*1</f>
        <v>2.2366955515691451</v>
      </c>
      <c r="AF58" s="79">
        <f ca="1">('TUSD BE'!$AJ$58+'TUSD BF'!$AJ$58+'TUSD CVA'!$AJ$58)*1</f>
        <v>34.631913335369397</v>
      </c>
      <c r="AG58" s="79">
        <f ca="1">('TUSD BE'!$AK$58+'TUSD BF'!$AK$58+'TUSD CVA'!$AK$58)*1</f>
        <v>11.278374393674936</v>
      </c>
      <c r="AI58" s="79">
        <v>0</v>
      </c>
      <c r="AJ58" s="79">
        <v>0.75105334418111602</v>
      </c>
      <c r="AK58" s="79">
        <v>2.8822577270776102</v>
      </c>
      <c r="AL58" s="79">
        <v>-1.34746813487984E-3</v>
      </c>
      <c r="AM58" s="79">
        <v>0</v>
      </c>
      <c r="AN58" s="79">
        <v>25.144914724955498</v>
      </c>
      <c r="AO58" s="79">
        <v>16.006661772939498</v>
      </c>
      <c r="AP58" s="79">
        <v>0</v>
      </c>
      <c r="AQ58" s="79">
        <v>23.8245031135612</v>
      </c>
      <c r="AR58" s="79">
        <v>8.8886409269188107</v>
      </c>
      <c r="AS58" s="79">
        <v>1.81766573226178</v>
      </c>
      <c r="AT58" s="79">
        <v>0</v>
      </c>
      <c r="AU58" s="79">
        <v>1.1190675873571301</v>
      </c>
      <c r="AV58" s="79">
        <v>0</v>
      </c>
      <c r="AW58" s="79">
        <v>0</v>
      </c>
      <c r="AX58" s="79">
        <v>153.15650856895201</v>
      </c>
      <c r="AY58" s="79">
        <v>-22.857330361807701</v>
      </c>
      <c r="AZ58" s="79">
        <v>0</v>
      </c>
      <c r="BA58" s="79">
        <v>34.351262553483103</v>
      </c>
      <c r="BB58" s="79">
        <v>1.79617147327777</v>
      </c>
      <c r="BC58" s="79">
        <v>30.831729774023302</v>
      </c>
      <c r="BD58" s="79">
        <v>7.9972754583408001</v>
      </c>
    </row>
    <row r="59" spans="1:56" ht="11.25" customHeight="1" x14ac:dyDescent="0.25">
      <c r="A59" s="136"/>
      <c r="B59" s="81" t="s">
        <v>23</v>
      </c>
      <c r="C59" s="81" t="s">
        <v>25</v>
      </c>
      <c r="D59" s="81" t="s">
        <v>25</v>
      </c>
      <c r="E59" s="81" t="s">
        <v>25</v>
      </c>
      <c r="F59" s="81" t="s">
        <v>25</v>
      </c>
      <c r="G59" s="21" t="s">
        <v>96</v>
      </c>
      <c r="H59" s="21" t="s">
        <v>90</v>
      </c>
      <c r="I59" s="21">
        <f>'MERCADO TUSD'!$U$56</f>
        <v>505530.49800000002</v>
      </c>
      <c r="J59" s="17"/>
      <c r="L59" s="79">
        <f>('TUSD BE'!$L$59+'TUSD BF'!$L$59+'TUSD CVA'!$L$59)*1</f>
        <v>10.329794751400486</v>
      </c>
      <c r="M59" s="79">
        <f>('TUSD BE'!$M$59+'TUSD BF'!$M$59+'TUSD CVA'!$M$59)*1</f>
        <v>0.87002339922857264</v>
      </c>
      <c r="N59" s="79">
        <f ca="1">('TUSD BE'!$N$59+'TUSD BF'!$N$59+'TUSD CVA'!$N$59)*1</f>
        <v>4.5496750950127618</v>
      </c>
      <c r="O59" s="79">
        <f>('TUSD BE'!$O$59+'TUSD BF'!$O$59+'TUSD CVA'!$O$59)*1</f>
        <v>-1.5285559498368537E-3</v>
      </c>
      <c r="P59" s="79">
        <f>('TUSD BE'!$P$59+'TUSD BF'!$P$59+'TUSD CVA'!$P$59)*1</f>
        <v>0</v>
      </c>
      <c r="Q59" s="79">
        <f>('TUSD BE'!$Q$59+'TUSD BF'!$Q$59+'TUSD CVA'!$Q$59)*1</f>
        <v>40.658079169042452</v>
      </c>
      <c r="R59" s="79">
        <f>('TUSD BE'!$R$59+'TUSD BF'!$R$59+'TUSD CVA'!$R$59)*1</f>
        <v>16.690821434365507</v>
      </c>
      <c r="S59" s="79">
        <f>('TUSD BE'!$S$59+'TUSD BF'!$S$59+'TUSD CVA'!$S$59)*1</f>
        <v>0</v>
      </c>
      <c r="T59" s="79">
        <f>('TUSD BE'!$U$59+'TUSD BF'!$U$59+'TUSD CVA'!$U$59)*1</f>
        <v>34.928878986411085</v>
      </c>
      <c r="U59" s="79">
        <f>('TUSD BE'!$V$59+'TUSD BF'!$V$59+'TUSD CVA'!$V$59)*1</f>
        <v>8.9713162790183194</v>
      </c>
      <c r="V59" s="79">
        <f>('TUSD BE'!$W$59+'TUSD BF'!$W$59+'TUSD CVA'!$W$59)*1</f>
        <v>2.4614720729019952</v>
      </c>
      <c r="W59" s="79">
        <f>('TUSD BE'!$X$59+'TUSD BF'!$X$59+'TUSD CVA'!$X$59)*1</f>
        <v>0</v>
      </c>
      <c r="X59" s="79">
        <f>('TUSD BE'!$Y$59+'TUSD BF'!$Y$59+'TUSD CVA'!$Y$59)*1</f>
        <v>1.4112545651555202</v>
      </c>
      <c r="Y59" s="79">
        <f>('TUSD BE'!$Z$59+'TUSD BF'!$Z$59+'TUSD CVA'!$Z$59)*1</f>
        <v>0</v>
      </c>
      <c r="Z59" s="79">
        <f>('TUSD BE'!$AA$59+'TUSD BF'!$AA$59+'TUSD CVA'!$AA$59)*1</f>
        <v>0</v>
      </c>
      <c r="AA59" s="79">
        <f>('TUSD BE'!$AC$59+'TUSD BF'!$AC$59+'TUSD CVA'!$AC$59)*1</f>
        <v>258.27356877652551</v>
      </c>
      <c r="AB59" s="79">
        <f ca="1">('TUSD BE'!$AE$59+'TUSD BF'!$AE$59+'TUSD CVA'!$AE$59)*1</f>
        <v>0.59488220073761389</v>
      </c>
      <c r="AC59" s="79">
        <f ca="1">('TUSD BE'!$AF$59+'TUSD BF'!$AF$59+'TUSD CVA'!$AF$59)*1</f>
        <v>0</v>
      </c>
      <c r="AD59" s="79">
        <f>('TUSD BE'!$AH$59+'TUSD BF'!$AH$59+'TUSD CVA'!$AH$59)*1</f>
        <v>38.734204851276459</v>
      </c>
      <c r="AE59" s="79">
        <f>('TUSD BE'!$AI$59+'TUSD BF'!$AI$59+'TUSD CVA'!$AI$59)*1</f>
        <v>2.2366955515691451</v>
      </c>
      <c r="AF59" s="79">
        <f ca="1">('TUSD BE'!$AJ$59+'TUSD BF'!$AJ$59+'TUSD CVA'!$AJ$59)*1</f>
        <v>34.631913335369397</v>
      </c>
      <c r="AG59" s="79">
        <f ca="1">('TUSD BE'!$AK$59+'TUSD BF'!$AK$59+'TUSD CVA'!$AK$59)*1</f>
        <v>11.278374393674936</v>
      </c>
      <c r="AI59" s="79">
        <v>0</v>
      </c>
      <c r="AJ59" s="79">
        <v>0.75105334418111602</v>
      </c>
      <c r="AK59" s="79">
        <v>3.70747754605055</v>
      </c>
      <c r="AL59" s="79">
        <v>-1.34746813487984E-3</v>
      </c>
      <c r="AM59" s="79">
        <v>0</v>
      </c>
      <c r="AN59" s="79">
        <v>25.144914724955498</v>
      </c>
      <c r="AO59" s="79">
        <v>16.006661772939498</v>
      </c>
      <c r="AP59" s="79">
        <v>0</v>
      </c>
      <c r="AQ59" s="79">
        <v>36.0976573155815</v>
      </c>
      <c r="AR59" s="79">
        <v>13.467524784520499</v>
      </c>
      <c r="AS59" s="79">
        <v>2.7539499442172599</v>
      </c>
      <c r="AT59" s="79">
        <v>0</v>
      </c>
      <c r="AU59" s="79">
        <v>1.6955775276885601</v>
      </c>
      <c r="AV59" s="79">
        <v>0</v>
      </c>
      <c r="AW59" s="79">
        <v>0</v>
      </c>
      <c r="AX59" s="79">
        <v>232.055359122791</v>
      </c>
      <c r="AY59" s="79">
        <v>-30.0714564446765</v>
      </c>
      <c r="AZ59" s="79">
        <v>0</v>
      </c>
      <c r="BA59" s="79">
        <v>34.351262553483103</v>
      </c>
      <c r="BB59" s="79">
        <v>1.79617147327777</v>
      </c>
      <c r="BC59" s="79">
        <v>30.831729774023302</v>
      </c>
      <c r="BD59" s="79">
        <v>7.9972754583408001</v>
      </c>
    </row>
    <row r="60" spans="1:56" ht="11.25" customHeight="1" x14ac:dyDescent="0.25">
      <c r="A60" s="136"/>
      <c r="B60" s="81" t="s">
        <v>103</v>
      </c>
      <c r="C60" s="81" t="s">
        <v>25</v>
      </c>
      <c r="D60" s="81" t="s">
        <v>25</v>
      </c>
      <c r="E60" s="81" t="s">
        <v>25</v>
      </c>
      <c r="F60" s="81" t="s">
        <v>25</v>
      </c>
      <c r="G60" s="21" t="s">
        <v>96</v>
      </c>
      <c r="H60" s="21" t="s">
        <v>90</v>
      </c>
      <c r="I60" s="21">
        <f>'MERCADO TUSD'!$U$57</f>
        <v>0</v>
      </c>
      <c r="J60" s="17"/>
      <c r="L60" s="79">
        <f>('TUSD BE'!$L$60+'TUSD BF'!$L$60+'TUSD CVA'!$L$60)*1</f>
        <v>10.329794751400486</v>
      </c>
      <c r="M60" s="79">
        <f>('TUSD BE'!$M$60+'TUSD BF'!$M$60+'TUSD CVA'!$M$60)*1</f>
        <v>0.87002339922857264</v>
      </c>
      <c r="N60" s="79">
        <f ca="1">('TUSD BE'!$N$60+'TUSD BF'!$N$60+'TUSD CVA'!$N$60)*1</f>
        <v>4.5496750950127618</v>
      </c>
      <c r="O60" s="79">
        <f>('TUSD BE'!$O$60+'TUSD BF'!$O$60+'TUSD CVA'!$O$60)*1</f>
        <v>-1.5285559498368537E-3</v>
      </c>
      <c r="P60" s="79">
        <f>('TUSD BE'!$P$60+'TUSD BF'!$P$60+'TUSD CVA'!$P$60)*1</f>
        <v>0</v>
      </c>
      <c r="Q60" s="79">
        <f>('TUSD BE'!$Q$60+'TUSD BF'!$Q$60+'TUSD CVA'!$Q$60)*1</f>
        <v>40.658079169042452</v>
      </c>
      <c r="R60" s="79">
        <f>('TUSD BE'!$R$60+'TUSD BF'!$R$60+'TUSD CVA'!$R$60)*1</f>
        <v>16.690821434365507</v>
      </c>
      <c r="S60" s="79">
        <f>('TUSD BE'!$S$60+'TUSD BF'!$S$60+'TUSD CVA'!$S$60)*1</f>
        <v>0</v>
      </c>
      <c r="T60" s="79">
        <f>('TUSD BE'!$U$60+'TUSD BF'!$U$60+'TUSD CVA'!$U$60)*1</f>
        <v>34.928878986411085</v>
      </c>
      <c r="U60" s="79">
        <f>('TUSD BE'!$V$60+'TUSD BF'!$V$60+'TUSD CVA'!$V$60)*1</f>
        <v>8.9713162790183194</v>
      </c>
      <c r="V60" s="79">
        <f>('TUSD BE'!$W$60+'TUSD BF'!$W$60+'TUSD CVA'!$W$60)*1</f>
        <v>2.4614720729019952</v>
      </c>
      <c r="W60" s="79">
        <f>('TUSD BE'!$X$60+'TUSD BF'!$X$60+'TUSD CVA'!$X$60)*1</f>
        <v>0</v>
      </c>
      <c r="X60" s="79">
        <f>('TUSD BE'!$Y$60+'TUSD BF'!$Y$60+'TUSD CVA'!$Y$60)*1</f>
        <v>1.4112545651555202</v>
      </c>
      <c r="Y60" s="79">
        <f>('TUSD BE'!$Z$60+'TUSD BF'!$Z$60+'TUSD CVA'!$Z$60)*1</f>
        <v>0</v>
      </c>
      <c r="Z60" s="79">
        <f>('TUSD BE'!$AA$60+'TUSD BF'!$AA$60+'TUSD CVA'!$AA$60)*1</f>
        <v>0</v>
      </c>
      <c r="AA60" s="79">
        <f>('TUSD BE'!$AC$60+'TUSD BF'!$AC$60+'TUSD CVA'!$AC$60)*1</f>
        <v>258.27356877652551</v>
      </c>
      <c r="AB60" s="79">
        <f ca="1">('TUSD BE'!$AE$60+'TUSD BF'!$AE$60+'TUSD CVA'!$AE$60)*1</f>
        <v>0.59488220073761389</v>
      </c>
      <c r="AC60" s="79">
        <f ca="1">('TUSD BE'!$AF$60+'TUSD BF'!$AF$60+'TUSD CVA'!$AF$60)*1</f>
        <v>0</v>
      </c>
      <c r="AD60" s="79">
        <f>('TUSD BE'!$AH$60+'TUSD BF'!$AH$60+'TUSD CVA'!$AH$60)*1</f>
        <v>38.734204851276459</v>
      </c>
      <c r="AE60" s="79">
        <f>('TUSD BE'!$AI$60+'TUSD BF'!$AI$60+'TUSD CVA'!$AI$60)*1</f>
        <v>2.2366955515691451</v>
      </c>
      <c r="AF60" s="79">
        <f ca="1">('TUSD BE'!$AJ$60+'TUSD BF'!$AJ$60+'TUSD CVA'!$AJ$60)*1</f>
        <v>34.631913335369397</v>
      </c>
      <c r="AG60" s="79">
        <f ca="1">('TUSD BE'!$AK$60+'TUSD BF'!$AK$60+'TUSD CVA'!$AK$60)*1</f>
        <v>11.278374393674936</v>
      </c>
      <c r="AI60" s="79">
        <v>0</v>
      </c>
      <c r="AJ60" s="79">
        <v>0.75105334418111602</v>
      </c>
      <c r="AK60" s="79">
        <v>3.70747754605055</v>
      </c>
      <c r="AL60" s="79">
        <v>-1.34746813487984E-3</v>
      </c>
      <c r="AM60" s="79">
        <v>0</v>
      </c>
      <c r="AN60" s="79">
        <v>25.144914724955498</v>
      </c>
      <c r="AO60" s="79">
        <v>16.006661772939498</v>
      </c>
      <c r="AP60" s="79">
        <v>0</v>
      </c>
      <c r="AQ60" s="79">
        <v>36.0976573155815</v>
      </c>
      <c r="AR60" s="79">
        <v>13.467524784520499</v>
      </c>
      <c r="AS60" s="79">
        <v>2.7539499442172599</v>
      </c>
      <c r="AT60" s="79">
        <v>0</v>
      </c>
      <c r="AU60" s="79">
        <v>1.6955775276885601</v>
      </c>
      <c r="AV60" s="79">
        <v>0</v>
      </c>
      <c r="AW60" s="79">
        <v>0</v>
      </c>
      <c r="AX60" s="79">
        <v>232.055359122791</v>
      </c>
      <c r="AY60" s="79">
        <v>-30.0714564446765</v>
      </c>
      <c r="AZ60" s="79">
        <v>0</v>
      </c>
      <c r="BA60" s="79">
        <v>34.351262553483103</v>
      </c>
      <c r="BB60" s="79">
        <v>1.79617147327777</v>
      </c>
      <c r="BC60" s="79">
        <v>30.831729774023302</v>
      </c>
      <c r="BD60" s="79">
        <v>7.9972754583408001</v>
      </c>
    </row>
    <row r="61" spans="1:56" ht="11.25" customHeight="1" x14ac:dyDescent="0.25">
      <c r="A61" s="136" t="s">
        <v>47</v>
      </c>
      <c r="B61" s="136" t="s">
        <v>23</v>
      </c>
      <c r="C61" s="136" t="s">
        <v>48</v>
      </c>
      <c r="D61" s="81" t="s">
        <v>49</v>
      </c>
      <c r="E61" s="81" t="s">
        <v>25</v>
      </c>
      <c r="F61" s="81" t="s">
        <v>25</v>
      </c>
      <c r="G61" s="21" t="s">
        <v>96</v>
      </c>
      <c r="H61" s="21" t="s">
        <v>90</v>
      </c>
      <c r="I61" s="21">
        <f>'MERCADO TUSD'!$U$58</f>
        <v>259602.97000000003</v>
      </c>
      <c r="J61" s="17"/>
      <c r="L61" s="79">
        <f>('TUSD BE'!$L$61+'TUSD BF'!$L$61+'TUSD CVA'!$L$61)*1</f>
        <v>5.6813871132702678</v>
      </c>
      <c r="M61" s="79">
        <f>('TUSD BE'!$M$61+'TUSD BF'!$M$61+'TUSD CVA'!$M$61)*1</f>
        <v>0.47851286957571498</v>
      </c>
      <c r="N61" s="79">
        <f ca="1">('TUSD BE'!$N$61+'TUSD BF'!$N$61+'TUSD CVA'!$N$61)*1</f>
        <v>2.5023213022570197</v>
      </c>
      <c r="O61" s="79">
        <f>('TUSD BE'!$O$61+'TUSD BF'!$O$61+'TUSD CVA'!$O$61)*1</f>
        <v>-8.4070577241026961E-4</v>
      </c>
      <c r="P61" s="79">
        <f>('TUSD BE'!$P$61+'TUSD BF'!$P$61+'TUSD CVA'!$P$61)*1</f>
        <v>0</v>
      </c>
      <c r="Q61" s="79">
        <f>('TUSD BE'!$Q$61+'TUSD BF'!$Q$61+'TUSD CVA'!$Q$61)*1</f>
        <v>22.361943542973354</v>
      </c>
      <c r="R61" s="79">
        <f>('TUSD BE'!$R$61+'TUSD BF'!$R$61+'TUSD CVA'!$R$61)*1</f>
        <v>9.1799517889010289</v>
      </c>
      <c r="S61" s="79">
        <f>('TUSD BE'!$S$61+'TUSD BF'!$S$61+'TUSD CVA'!$S$61)*1</f>
        <v>0</v>
      </c>
      <c r="T61" s="79">
        <f>('TUSD BE'!$U$61+'TUSD BF'!$U$61+'TUSD CVA'!$U$61)*1</f>
        <v>19.210883442526097</v>
      </c>
      <c r="U61" s="79">
        <f>('TUSD BE'!$V$61+'TUSD BF'!$V$61+'TUSD CVA'!$V$61)*1</f>
        <v>4.9342239534600765</v>
      </c>
      <c r="V61" s="79">
        <f>('TUSD BE'!$W$61+'TUSD BF'!$W$61+'TUSD CVA'!$W$61)*1</f>
        <v>1.3538096400960975</v>
      </c>
      <c r="W61" s="79">
        <f>('TUSD BE'!$X$61+'TUSD BF'!$X$61+'TUSD CVA'!$X$61)*1</f>
        <v>0</v>
      </c>
      <c r="X61" s="79">
        <f>('TUSD BE'!$Y$61+'TUSD BF'!$Y$61+'TUSD CVA'!$Y$61)*1</f>
        <v>0.77619001083553618</v>
      </c>
      <c r="Y61" s="79">
        <f>('TUSD BE'!$Z$61+'TUSD BF'!$Z$61+'TUSD CVA'!$Z$61)*1</f>
        <v>0</v>
      </c>
      <c r="Z61" s="79">
        <f>('TUSD BE'!$AA$61+'TUSD BF'!$AA$61+'TUSD CVA'!$AA$61)*1</f>
        <v>0</v>
      </c>
      <c r="AA61" s="79">
        <f>('TUSD BE'!$AC$61+'TUSD BF'!$AC$61+'TUSD CVA'!$AC$61)*1</f>
        <v>142.05046282708904</v>
      </c>
      <c r="AB61" s="79">
        <f ca="1">('TUSD BE'!$AE$61+'TUSD BF'!$AE$61+'TUSD CVA'!$AE$61)*1</f>
        <v>0.32718521040568765</v>
      </c>
      <c r="AC61" s="79">
        <f ca="1">('TUSD BE'!$AF$61+'TUSD BF'!$AF$61+'TUSD CVA'!$AF$61)*1</f>
        <v>0</v>
      </c>
      <c r="AD61" s="79">
        <f>('TUSD BE'!$AH$61+'TUSD BF'!$AH$61+'TUSD CVA'!$AH$61)*1</f>
        <v>21.303812668202053</v>
      </c>
      <c r="AE61" s="79">
        <f>('TUSD BE'!$AI$61+'TUSD BF'!$AI$61+'TUSD CVA'!$AI$61)*1</f>
        <v>1.23018255336303</v>
      </c>
      <c r="AF61" s="79">
        <f ca="1">('TUSD BE'!$AJ$61+'TUSD BF'!$AJ$61+'TUSD CVA'!$AJ$61)*1</f>
        <v>19.047552334453165</v>
      </c>
      <c r="AG61" s="79">
        <f ca="1">('TUSD BE'!$AK$61+'TUSD BF'!$AK$61+'TUSD CVA'!$AK$61)*1</f>
        <v>6.2031059165212143</v>
      </c>
      <c r="AI61" s="79">
        <v>0</v>
      </c>
      <c r="AJ61" s="79">
        <v>0.41307933929961399</v>
      </c>
      <c r="AK61" s="79">
        <v>2.0391126503277999</v>
      </c>
      <c r="AL61" s="79">
        <v>-7.4110747418391399E-4</v>
      </c>
      <c r="AM61" s="79">
        <v>0</v>
      </c>
      <c r="AN61" s="79">
        <v>13.8297030987256</v>
      </c>
      <c r="AO61" s="79">
        <v>8.8036639751167094</v>
      </c>
      <c r="AP61" s="79">
        <v>0</v>
      </c>
      <c r="AQ61" s="79">
        <v>19.8537115235698</v>
      </c>
      <c r="AR61" s="79">
        <v>7.4071386314862702</v>
      </c>
      <c r="AS61" s="79">
        <v>1.5146724693194999</v>
      </c>
      <c r="AT61" s="79">
        <v>0</v>
      </c>
      <c r="AU61" s="79">
        <v>0.93256764022870897</v>
      </c>
      <c r="AV61" s="79">
        <v>0</v>
      </c>
      <c r="AW61" s="79">
        <v>0</v>
      </c>
      <c r="AX61" s="79">
        <v>127.630447517535</v>
      </c>
      <c r="AY61" s="79">
        <v>-16.539301044572099</v>
      </c>
      <c r="AZ61" s="79">
        <v>0</v>
      </c>
      <c r="BA61" s="79">
        <v>18.893194404415699</v>
      </c>
      <c r="BB61" s="79">
        <v>0.98789431030277297</v>
      </c>
      <c r="BC61" s="79">
        <v>16.9574513757128</v>
      </c>
      <c r="BD61" s="79">
        <v>4.3985015020874396</v>
      </c>
    </row>
    <row r="62" spans="1:56" ht="11.25" customHeight="1" x14ac:dyDescent="0.25">
      <c r="A62" s="136"/>
      <c r="B62" s="136"/>
      <c r="C62" s="136"/>
      <c r="D62" s="21" t="s">
        <v>106</v>
      </c>
      <c r="E62" s="21" t="s">
        <v>25</v>
      </c>
      <c r="F62" s="21" t="s">
        <v>25</v>
      </c>
      <c r="G62" s="21" t="s">
        <v>96</v>
      </c>
      <c r="H62" s="21" t="s">
        <v>90</v>
      </c>
      <c r="I62" s="21">
        <f>'MERCADO TUSD'!$U$59</f>
        <v>0</v>
      </c>
      <c r="J62" s="17"/>
      <c r="L62" s="79">
        <f>('TUSD BE'!$L$62+'TUSD BF'!$L$62+'TUSD CVA'!$L$62)*1</f>
        <v>6.1978768508402915</v>
      </c>
      <c r="M62" s="79">
        <f>('TUSD BE'!$M$62+'TUSD BF'!$M$62+'TUSD CVA'!$M$62)*1</f>
        <v>0.52201403953714354</v>
      </c>
      <c r="N62" s="79">
        <f ca="1">('TUSD BE'!$N$62+'TUSD BF'!$N$62+'TUSD CVA'!$N$62)*1</f>
        <v>2.7298050570076575</v>
      </c>
      <c r="O62" s="79">
        <f>('TUSD BE'!$O$62+'TUSD BF'!$O$62+'TUSD CVA'!$O$62)*1</f>
        <v>-9.1713356990211214E-4</v>
      </c>
      <c r="P62" s="79">
        <f>('TUSD BE'!$P$62+'TUSD BF'!$P$62+'TUSD CVA'!$P$62)*1</f>
        <v>0</v>
      </c>
      <c r="Q62" s="79">
        <f>('TUSD BE'!$Q$62+'TUSD BF'!$Q$62+'TUSD CVA'!$Q$62)*1</f>
        <v>24.394847501425474</v>
      </c>
      <c r="R62" s="79">
        <f>('TUSD BE'!$R$62+'TUSD BF'!$R$62+'TUSD CVA'!$R$62)*1</f>
        <v>10.014492860619301</v>
      </c>
      <c r="S62" s="79">
        <f>('TUSD BE'!$S$62+'TUSD BF'!$S$62+'TUSD CVA'!$S$62)*1</f>
        <v>0</v>
      </c>
      <c r="T62" s="79">
        <f>('TUSD BE'!$U$62+'TUSD BF'!$U$62+'TUSD CVA'!$U$62)*1</f>
        <v>20.957327391846643</v>
      </c>
      <c r="U62" s="79">
        <f>('TUSD BE'!$V$62+'TUSD BF'!$V$62+'TUSD CVA'!$V$62)*1</f>
        <v>5.3827897674109906</v>
      </c>
      <c r="V62" s="79">
        <f>('TUSD BE'!$W$62+'TUSD BF'!$W$62+'TUSD CVA'!$W$62)*1</f>
        <v>1.4768832437411972</v>
      </c>
      <c r="W62" s="79">
        <f>('TUSD BE'!$X$62+'TUSD BF'!$X$62+'TUSD CVA'!$X$62)*1</f>
        <v>0</v>
      </c>
      <c r="X62" s="79">
        <f>('TUSD BE'!$Y$62+'TUSD BF'!$Y$62+'TUSD CVA'!$Y$62)*1</f>
        <v>0.84675273909331206</v>
      </c>
      <c r="Y62" s="79">
        <f>('TUSD BE'!$Z$62+'TUSD BF'!$Z$62+'TUSD CVA'!$Z$62)*1</f>
        <v>0</v>
      </c>
      <c r="Z62" s="79">
        <f>('TUSD BE'!$AA$62+'TUSD BF'!$AA$62+'TUSD CVA'!$AA$62)*1</f>
        <v>0</v>
      </c>
      <c r="AA62" s="79">
        <f>('TUSD BE'!$AC$62+'TUSD BF'!$AC$62+'TUSD CVA'!$AC$62)*1</f>
        <v>154.96414126591532</v>
      </c>
      <c r="AB62" s="79">
        <f ca="1">('TUSD BE'!$AE$62+'TUSD BF'!$AE$62+'TUSD CVA'!$AE$62)*1</f>
        <v>0.35692932044256825</v>
      </c>
      <c r="AC62" s="79">
        <f ca="1">('TUSD BE'!$AF$62+'TUSD BF'!$AF$62+'TUSD CVA'!$AF$62)*1</f>
        <v>0</v>
      </c>
      <c r="AD62" s="79">
        <f>('TUSD BE'!$AH$62+'TUSD BF'!$AH$62+'TUSD CVA'!$AH$62)*1</f>
        <v>23.240522910765876</v>
      </c>
      <c r="AE62" s="79">
        <f>('TUSD BE'!$AI$62+'TUSD BF'!$AI$62+'TUSD CVA'!$AI$62)*1</f>
        <v>1.3420173309414869</v>
      </c>
      <c r="AF62" s="79">
        <f ca="1">('TUSD BE'!$AJ$62+'TUSD BF'!$AJ$62+'TUSD CVA'!$AJ$62)*1</f>
        <v>20.779148001221635</v>
      </c>
      <c r="AG62" s="79">
        <f ca="1">('TUSD BE'!$AK$62+'TUSD BF'!$AK$62+'TUSD CVA'!$AK$62)*1</f>
        <v>6.7670246362049609</v>
      </c>
      <c r="AI62" s="79">
        <v>0</v>
      </c>
      <c r="AJ62" s="79">
        <v>0.45063200650866903</v>
      </c>
      <c r="AK62" s="79">
        <v>2.2244865276303298</v>
      </c>
      <c r="AL62" s="79">
        <v>-8.0848088092790602E-4</v>
      </c>
      <c r="AM62" s="79">
        <v>0</v>
      </c>
      <c r="AN62" s="79">
        <v>15.086948834973301</v>
      </c>
      <c r="AO62" s="79">
        <v>9.6039970637636891</v>
      </c>
      <c r="AP62" s="79">
        <v>0</v>
      </c>
      <c r="AQ62" s="79">
        <v>21.658594389348899</v>
      </c>
      <c r="AR62" s="79">
        <v>8.0805148707122907</v>
      </c>
      <c r="AS62" s="79">
        <v>1.6523699665303599</v>
      </c>
      <c r="AT62" s="79">
        <v>0</v>
      </c>
      <c r="AU62" s="79">
        <v>1.0173465166131399</v>
      </c>
      <c r="AV62" s="79">
        <v>0</v>
      </c>
      <c r="AW62" s="79">
        <v>0</v>
      </c>
      <c r="AX62" s="79">
        <v>139.23321547367499</v>
      </c>
      <c r="AY62" s="79">
        <v>-18.042873866805898</v>
      </c>
      <c r="AZ62" s="79">
        <v>0</v>
      </c>
      <c r="BA62" s="79">
        <v>20.610757532089899</v>
      </c>
      <c r="BB62" s="79">
        <v>1.07770288396666</v>
      </c>
      <c r="BC62" s="79">
        <v>18.499037864413999</v>
      </c>
      <c r="BD62" s="79">
        <v>4.7983652750044801</v>
      </c>
    </row>
    <row r="64" spans="1:56" ht="11.25" customHeight="1" x14ac:dyDescent="0.25">
      <c r="L64" s="133" t="s">
        <v>1058</v>
      </c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  <c r="AA64" s="133"/>
      <c r="AB64" s="133"/>
      <c r="AC64" s="133"/>
      <c r="AD64" s="133"/>
      <c r="AE64" s="133"/>
      <c r="AF64" s="133"/>
      <c r="AG64" s="133"/>
      <c r="AI64" s="133" t="s">
        <v>1059</v>
      </c>
      <c r="AJ64" s="133"/>
      <c r="AK64" s="133"/>
      <c r="AL64" s="133"/>
      <c r="AM64" s="133"/>
      <c r="AN64" s="133"/>
      <c r="AO64" s="133"/>
      <c r="AP64" s="133"/>
      <c r="AQ64" s="133"/>
      <c r="AR64" s="133"/>
      <c r="AS64" s="133"/>
      <c r="AT64" s="133"/>
      <c r="AU64" s="133"/>
      <c r="AV64" s="133"/>
      <c r="AW64" s="133"/>
      <c r="AX64" s="133"/>
      <c r="AY64" s="133"/>
      <c r="AZ64" s="133"/>
      <c r="BA64" s="133"/>
      <c r="BB64" s="133"/>
      <c r="BC64" s="133"/>
      <c r="BD64" s="133"/>
    </row>
    <row r="65" spans="1:56" ht="11.25" customHeight="1" x14ac:dyDescent="0.25">
      <c r="L65" s="133" t="s">
        <v>754</v>
      </c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  <c r="AA65" s="133"/>
      <c r="AB65" s="133"/>
      <c r="AC65" s="133"/>
      <c r="AD65" s="133"/>
      <c r="AE65" s="133"/>
      <c r="AF65" s="133"/>
      <c r="AG65" s="133"/>
      <c r="AI65" s="133" t="s">
        <v>754</v>
      </c>
      <c r="AJ65" s="133"/>
      <c r="AK65" s="133"/>
      <c r="AL65" s="133"/>
      <c r="AM65" s="133"/>
      <c r="AN65" s="133"/>
      <c r="AO65" s="133"/>
      <c r="AP65" s="133"/>
      <c r="AQ65" s="133"/>
      <c r="AR65" s="133"/>
      <c r="AS65" s="133"/>
      <c r="AT65" s="133"/>
      <c r="AU65" s="133"/>
      <c r="AV65" s="133"/>
      <c r="AW65" s="133"/>
      <c r="AX65" s="133"/>
      <c r="AY65" s="133"/>
      <c r="AZ65" s="133"/>
      <c r="BA65" s="133"/>
      <c r="BB65" s="133"/>
      <c r="BC65" s="133"/>
      <c r="BD65" s="133"/>
    </row>
    <row r="66" spans="1:56" ht="11.25" customHeight="1" x14ac:dyDescent="0.25">
      <c r="L66" s="133" t="s">
        <v>755</v>
      </c>
      <c r="M66" s="133"/>
      <c r="N66" s="133"/>
      <c r="O66" s="133"/>
      <c r="P66" s="133"/>
      <c r="Q66" s="133"/>
      <c r="R66" s="133"/>
      <c r="S66" s="133"/>
      <c r="T66" s="133" t="s">
        <v>764</v>
      </c>
      <c r="U66" s="133"/>
      <c r="V66" s="133"/>
      <c r="W66" s="133"/>
      <c r="X66" s="133"/>
      <c r="Y66" s="133"/>
      <c r="Z66" s="133"/>
      <c r="AA66" s="80" t="s">
        <v>772</v>
      </c>
      <c r="AB66" s="133" t="s">
        <v>774</v>
      </c>
      <c r="AC66" s="133"/>
      <c r="AD66" s="133" t="s">
        <v>777</v>
      </c>
      <c r="AE66" s="133"/>
      <c r="AF66" s="133"/>
      <c r="AG66" s="133"/>
      <c r="AI66" s="133" t="s">
        <v>755</v>
      </c>
      <c r="AJ66" s="133"/>
      <c r="AK66" s="133"/>
      <c r="AL66" s="133"/>
      <c r="AM66" s="133"/>
      <c r="AN66" s="133"/>
      <c r="AO66" s="133"/>
      <c r="AP66" s="133"/>
      <c r="AQ66" s="133" t="s">
        <v>764</v>
      </c>
      <c r="AR66" s="133"/>
      <c r="AS66" s="133"/>
      <c r="AT66" s="133"/>
      <c r="AU66" s="133"/>
      <c r="AV66" s="133"/>
      <c r="AW66" s="133"/>
      <c r="AX66" s="80" t="s">
        <v>772</v>
      </c>
      <c r="AY66" s="133" t="s">
        <v>774</v>
      </c>
      <c r="AZ66" s="133"/>
      <c r="BA66" s="133" t="s">
        <v>777</v>
      </c>
      <c r="BB66" s="133"/>
      <c r="BC66" s="133"/>
      <c r="BD66" s="133"/>
    </row>
    <row r="67" spans="1:56" ht="11.25" customHeight="1" x14ac:dyDescent="0.25">
      <c r="L67" s="80" t="s">
        <v>839</v>
      </c>
      <c r="M67" s="80" t="s">
        <v>756</v>
      </c>
      <c r="N67" s="80" t="s">
        <v>757</v>
      </c>
      <c r="O67" s="80" t="s">
        <v>758</v>
      </c>
      <c r="P67" s="80" t="s">
        <v>759</v>
      </c>
      <c r="Q67" s="80" t="s">
        <v>760</v>
      </c>
      <c r="R67" s="80" t="s">
        <v>761</v>
      </c>
      <c r="S67" s="80" t="s">
        <v>762</v>
      </c>
      <c r="T67" s="80" t="s">
        <v>765</v>
      </c>
      <c r="U67" s="80" t="s">
        <v>766</v>
      </c>
      <c r="V67" s="80" t="s">
        <v>767</v>
      </c>
      <c r="W67" s="80" t="s">
        <v>768</v>
      </c>
      <c r="X67" s="80" t="s">
        <v>769</v>
      </c>
      <c r="Y67" s="80" t="s">
        <v>770</v>
      </c>
      <c r="Z67" s="80" t="s">
        <v>771</v>
      </c>
      <c r="AA67" s="80" t="s">
        <v>773</v>
      </c>
      <c r="AB67" s="80" t="s">
        <v>775</v>
      </c>
      <c r="AC67" s="80" t="s">
        <v>776</v>
      </c>
      <c r="AD67" s="80" t="s">
        <v>778</v>
      </c>
      <c r="AE67" s="80" t="s">
        <v>779</v>
      </c>
      <c r="AF67" s="80" t="s">
        <v>780</v>
      </c>
      <c r="AG67" s="80" t="s">
        <v>781</v>
      </c>
      <c r="AI67" s="80" t="s">
        <v>839</v>
      </c>
      <c r="AJ67" s="80" t="s">
        <v>756</v>
      </c>
      <c r="AK67" s="80" t="s">
        <v>757</v>
      </c>
      <c r="AL67" s="80" t="s">
        <v>758</v>
      </c>
      <c r="AM67" s="80" t="s">
        <v>759</v>
      </c>
      <c r="AN67" s="80" t="s">
        <v>760</v>
      </c>
      <c r="AO67" s="80" t="s">
        <v>761</v>
      </c>
      <c r="AP67" s="80" t="s">
        <v>762</v>
      </c>
      <c r="AQ67" s="80" t="s">
        <v>765</v>
      </c>
      <c r="AR67" s="80" t="s">
        <v>766</v>
      </c>
      <c r="AS67" s="80" t="s">
        <v>767</v>
      </c>
      <c r="AT67" s="80" t="s">
        <v>768</v>
      </c>
      <c r="AU67" s="80" t="s">
        <v>769</v>
      </c>
      <c r="AV67" s="80" t="s">
        <v>770</v>
      </c>
      <c r="AW67" s="80" t="s">
        <v>771</v>
      </c>
      <c r="AX67" s="80" t="s">
        <v>773</v>
      </c>
      <c r="AY67" s="80" t="s">
        <v>775</v>
      </c>
      <c r="AZ67" s="80" t="s">
        <v>776</v>
      </c>
      <c r="BA67" s="80" t="s">
        <v>778</v>
      </c>
      <c r="BB67" s="80" t="s">
        <v>779</v>
      </c>
      <c r="BC67" s="80" t="s">
        <v>780</v>
      </c>
      <c r="BD67" s="80" t="s">
        <v>781</v>
      </c>
    </row>
    <row r="68" spans="1:56" ht="11.25" customHeight="1" x14ac:dyDescent="0.25">
      <c r="A68" s="9" t="s">
        <v>41</v>
      </c>
      <c r="B68" s="9" t="s">
        <v>1060</v>
      </c>
      <c r="C68" s="9" t="s">
        <v>1061</v>
      </c>
      <c r="D68" s="9" t="s">
        <v>1062</v>
      </c>
      <c r="E68" s="9" t="s">
        <v>1063</v>
      </c>
      <c r="F68" s="9" t="s">
        <v>1064</v>
      </c>
      <c r="G68" s="9" t="s">
        <v>1065</v>
      </c>
      <c r="L68" s="79">
        <f>$I$5*$L$5</f>
        <v>0</v>
      </c>
      <c r="M68" s="79">
        <f>$I$5*$M$5</f>
        <v>0</v>
      </c>
      <c r="N68" s="79">
        <f ca="1">$I$5*$N$5</f>
        <v>0</v>
      </c>
      <c r="O68" s="79">
        <f>$I$5*$O$5</f>
        <v>0</v>
      </c>
      <c r="P68" s="79">
        <f>$I$5*$P$5</f>
        <v>0</v>
      </c>
      <c r="Q68" s="79">
        <f>$I$5*$Q$5</f>
        <v>0</v>
      </c>
      <c r="R68" s="79">
        <f>$I$5*$R$5</f>
        <v>0</v>
      </c>
      <c r="S68" s="79">
        <f>$I$5*$S$5</f>
        <v>0</v>
      </c>
      <c r="T68" s="79">
        <f>$I$5*$T$5</f>
        <v>13202959.759431507</v>
      </c>
      <c r="U68" s="79">
        <f>$I$5*$U$5</f>
        <v>3367717.161037331</v>
      </c>
      <c r="V68" s="79">
        <f>$I$5*$V$5</f>
        <v>921382.85373582446</v>
      </c>
      <c r="W68" s="79">
        <f>$I$5*$W$5</f>
        <v>0</v>
      </c>
      <c r="X68" s="79">
        <f>$I$5*$X$5</f>
        <v>275688.17069679976</v>
      </c>
      <c r="Y68" s="79">
        <f>$I$5*$Y$5</f>
        <v>0</v>
      </c>
      <c r="Z68" s="79">
        <f>$I$5*$Z$5</f>
        <v>0</v>
      </c>
      <c r="AA68" s="79">
        <f>$I$5*$AA$5</f>
        <v>13723562.940107439</v>
      </c>
      <c r="AB68" s="79">
        <f ca="1">$I$5*$AB$5</f>
        <v>45612.254096515688</v>
      </c>
      <c r="AC68" s="79">
        <f ca="1">$I$5*$AC$5</f>
        <v>0</v>
      </c>
      <c r="AD68" s="79">
        <f>$I$5*$AD$5</f>
        <v>0</v>
      </c>
      <c r="AE68" s="79">
        <f>$I$5*$AE$5</f>
        <v>0</v>
      </c>
      <c r="AF68" s="79">
        <f ca="1">$I$5*$AF$5</f>
        <v>0</v>
      </c>
      <c r="AG68" s="79">
        <f ca="1">$I$5*$AG$5</f>
        <v>0</v>
      </c>
      <c r="AI68" s="79">
        <f>$I$5*$AI$5</f>
        <v>0</v>
      </c>
      <c r="AJ68" s="79">
        <f>$I$5*$AJ$5</f>
        <v>0</v>
      </c>
      <c r="AK68" s="79">
        <f>$I$5*$AK$5</f>
        <v>0</v>
      </c>
      <c r="AL68" s="79">
        <f>$I$5*$AL$5</f>
        <v>0</v>
      </c>
      <c r="AM68" s="79">
        <f>$I$5*$AM$5</f>
        <v>0</v>
      </c>
      <c r="AN68" s="79">
        <f>$I$5*$AN$5</f>
        <v>0</v>
      </c>
      <c r="AO68" s="79">
        <f>$I$5*$AO$5</f>
        <v>0</v>
      </c>
      <c r="AP68" s="79">
        <f>$I$5*$AP$5</f>
        <v>0</v>
      </c>
      <c r="AQ68" s="79">
        <f>$I$5*$AQ$5</f>
        <v>12670127.536108481</v>
      </c>
      <c r="AR68" s="79">
        <f>$I$5*$AR$5</f>
        <v>4694426.4841905534</v>
      </c>
      <c r="AS68" s="79">
        <f>$I$5*$AS$5</f>
        <v>957230.59748262248</v>
      </c>
      <c r="AT68" s="79">
        <f>$I$5*$AT$5</f>
        <v>0</v>
      </c>
      <c r="AU68" s="79">
        <f>$I$5*$AU$5</f>
        <v>307571.25202740327</v>
      </c>
      <c r="AV68" s="79">
        <f>$I$5*$AV$5</f>
        <v>0</v>
      </c>
      <c r="AW68" s="79">
        <f>$I$5*$AW$5</f>
        <v>0</v>
      </c>
      <c r="AX68" s="79">
        <f>$I$5*$AX$5</f>
        <v>11449692.786926558</v>
      </c>
      <c r="AY68" s="79">
        <f>$I$5*$AY$5</f>
        <v>-2575402.0141215692</v>
      </c>
      <c r="AZ68" s="79">
        <f>$I$5*$AZ$5</f>
        <v>0</v>
      </c>
      <c r="BA68" s="79">
        <f>$I$5*$BA$5</f>
        <v>0</v>
      </c>
      <c r="BB68" s="79">
        <f>$I$5*$BB$5</f>
        <v>0</v>
      </c>
      <c r="BC68" s="79">
        <f>$I$5*$BC$5</f>
        <v>0</v>
      </c>
      <c r="BD68" s="79">
        <f>$I$5*$BD$5</f>
        <v>0</v>
      </c>
    </row>
    <row r="69" spans="1:56" ht="11.25" customHeight="1" x14ac:dyDescent="0.25">
      <c r="A69" s="9" t="s">
        <v>41</v>
      </c>
      <c r="B69" s="9" t="s">
        <v>1060</v>
      </c>
      <c r="C69" s="9" t="s">
        <v>1061</v>
      </c>
      <c r="D69" s="9" t="s">
        <v>1062</v>
      </c>
      <c r="E69" s="9" t="s">
        <v>1063</v>
      </c>
      <c r="F69" s="9" t="s">
        <v>1064</v>
      </c>
      <c r="G69" s="9" t="s">
        <v>1066</v>
      </c>
      <c r="L69" s="79">
        <f>$I$6*$L$6</f>
        <v>0</v>
      </c>
      <c r="M69" s="79">
        <f>$I$6*$M$6</f>
        <v>0</v>
      </c>
      <c r="N69" s="79">
        <f ca="1">$I$6*$N$6</f>
        <v>0</v>
      </c>
      <c r="O69" s="79">
        <f>$I$6*$O$6</f>
        <v>0</v>
      </c>
      <c r="P69" s="79">
        <f>$I$6*$P$6</f>
        <v>0</v>
      </c>
      <c r="Q69" s="79">
        <f>$I$6*$Q$6</f>
        <v>0</v>
      </c>
      <c r="R69" s="79">
        <f>$I$6*$R$6</f>
        <v>0</v>
      </c>
      <c r="S69" s="79">
        <f>$I$6*$S$6</f>
        <v>0</v>
      </c>
      <c r="T69" s="79">
        <f>$I$6*$T$6</f>
        <v>15430205.857055483</v>
      </c>
      <c r="U69" s="79">
        <f>$I$6*$U$6</f>
        <v>3950042.7249857713</v>
      </c>
      <c r="V69" s="79">
        <f>$I$6*$V$6</f>
        <v>1101402.1370025694</v>
      </c>
      <c r="W69" s="79">
        <f>$I$6*$W$6</f>
        <v>0</v>
      </c>
      <c r="X69" s="79">
        <f>$I$6*$X$6</f>
        <v>163923.82594090208</v>
      </c>
      <c r="Y69" s="79">
        <f>$I$6*$Y$6</f>
        <v>0</v>
      </c>
      <c r="Z69" s="79">
        <f>$I$6*$Z$6</f>
        <v>0</v>
      </c>
      <c r="AA69" s="79">
        <f>$I$6*$AA$6</f>
        <v>1817193.2926414979</v>
      </c>
      <c r="AB69" s="79">
        <f ca="1">$I$6*$AB$6</f>
        <v>35329.918441413196</v>
      </c>
      <c r="AC69" s="79">
        <f ca="1">$I$6*$AC$6</f>
        <v>0</v>
      </c>
      <c r="AD69" s="79">
        <f>$I$6*$AD$6</f>
        <v>0</v>
      </c>
      <c r="AE69" s="79">
        <f>$I$6*$AE$6</f>
        <v>0</v>
      </c>
      <c r="AF69" s="79">
        <f ca="1">$I$6*$AF$6</f>
        <v>0</v>
      </c>
      <c r="AG69" s="79">
        <f ca="1">$I$6*$AG$6</f>
        <v>0</v>
      </c>
      <c r="AI69" s="79">
        <f>$I$6*$AI$6</f>
        <v>0</v>
      </c>
      <c r="AJ69" s="79">
        <f>$I$6*$AJ$6</f>
        <v>0</v>
      </c>
      <c r="AK69" s="79">
        <f>$I$6*$AK$6</f>
        <v>0</v>
      </c>
      <c r="AL69" s="79">
        <f>$I$6*$AL$6</f>
        <v>0</v>
      </c>
      <c r="AM69" s="79">
        <f>$I$6*$AM$6</f>
        <v>0</v>
      </c>
      <c r="AN69" s="79">
        <f>$I$6*$AN$6</f>
        <v>0</v>
      </c>
      <c r="AO69" s="79">
        <f>$I$6*$AO$6</f>
        <v>0</v>
      </c>
      <c r="AP69" s="79">
        <f>$I$6*$AP$6</f>
        <v>0</v>
      </c>
      <c r="AQ69" s="79">
        <f>$I$6*$AQ$6</f>
        <v>14807488.599489585</v>
      </c>
      <c r="AR69" s="79">
        <f>$I$6*$AR$6</f>
        <v>5506158.7108300095</v>
      </c>
      <c r="AS69" s="79">
        <f>$I$6*$AS$6</f>
        <v>1144253.7935201153</v>
      </c>
      <c r="AT69" s="79">
        <f>$I$6*$AT$6</f>
        <v>0</v>
      </c>
      <c r="AU69" s="79">
        <f>$I$6*$AU$6</f>
        <v>182881.46442530883</v>
      </c>
      <c r="AV69" s="79">
        <f>$I$6*$AV$6</f>
        <v>0</v>
      </c>
      <c r="AW69" s="79">
        <f>$I$6*$AW$6</f>
        <v>0</v>
      </c>
      <c r="AX69" s="79">
        <f>$I$6*$AX$6</f>
        <v>1516100.8133246328</v>
      </c>
      <c r="AY69" s="79">
        <f>$I$6*$AY$6</f>
        <v>-2189502.1550120097</v>
      </c>
      <c r="AZ69" s="79">
        <f>$I$6*$AZ$6</f>
        <v>0</v>
      </c>
      <c r="BA69" s="79">
        <f>$I$6*$BA$6</f>
        <v>0</v>
      </c>
      <c r="BB69" s="79">
        <f>$I$6*$BB$6</f>
        <v>0</v>
      </c>
      <c r="BC69" s="79">
        <f>$I$6*$BC$6</f>
        <v>0</v>
      </c>
      <c r="BD69" s="79">
        <f>$I$6*$BD$6</f>
        <v>0</v>
      </c>
    </row>
    <row r="70" spans="1:56" ht="11.25" customHeight="1" x14ac:dyDescent="0.25">
      <c r="A70" s="9" t="s">
        <v>41</v>
      </c>
      <c r="B70" s="9" t="s">
        <v>1060</v>
      </c>
      <c r="C70" s="9" t="s">
        <v>1061</v>
      </c>
      <c r="D70" s="9" t="s">
        <v>1062</v>
      </c>
      <c r="E70" s="9" t="s">
        <v>1063</v>
      </c>
      <c r="F70" s="9" t="s">
        <v>1064</v>
      </c>
      <c r="G70" s="9" t="s">
        <v>1067</v>
      </c>
      <c r="L70" s="79">
        <f>$I$7*$L$7</f>
        <v>2919068.3296697461</v>
      </c>
      <c r="M70" s="79">
        <f>$I$7*$M$7</f>
        <v>46028.454719544716</v>
      </c>
      <c r="N70" s="79">
        <f ca="1">$I$7*$N$7</f>
        <v>228722.28167319018</v>
      </c>
      <c r="O70" s="79">
        <f>$I$7*$O$7</f>
        <v>-696.69423859685367</v>
      </c>
      <c r="P70" s="79">
        <f>$I$7*$P$7</f>
        <v>0</v>
      </c>
      <c r="Q70" s="79">
        <f>$I$7*$Q$7</f>
        <v>11489454.931470564</v>
      </c>
      <c r="R70" s="79">
        <f>$I$7*$R$7</f>
        <v>7607440.952365824</v>
      </c>
      <c r="S70" s="79">
        <f>$I$7*$S$7</f>
        <v>0</v>
      </c>
      <c r="T70" s="79">
        <f>$I$7*$T$7</f>
        <v>0</v>
      </c>
      <c r="U70" s="79">
        <f>$I$7*$U$7</f>
        <v>0</v>
      </c>
      <c r="V70" s="79">
        <f>$I$7*$V$7</f>
        <v>0</v>
      </c>
      <c r="W70" s="79">
        <f>$I$7*$W$7</f>
        <v>0</v>
      </c>
      <c r="X70" s="79">
        <f>$I$7*$X$7</f>
        <v>0</v>
      </c>
      <c r="Y70" s="79">
        <f>$I$7*$Y$7</f>
        <v>0</v>
      </c>
      <c r="Z70" s="79">
        <f>$I$7*$Z$7</f>
        <v>0</v>
      </c>
      <c r="AA70" s="79">
        <f>$I$7*$AA$7</f>
        <v>0</v>
      </c>
      <c r="AB70" s="79">
        <f ca="1">$I$7*$AB$7</f>
        <v>42098.566485393778</v>
      </c>
      <c r="AC70" s="79">
        <f ca="1">$I$7*$AC$7</f>
        <v>0</v>
      </c>
      <c r="AD70" s="79">
        <f>$I$7*$AD$7</f>
        <v>3360501.0365854315</v>
      </c>
      <c r="AE70" s="79">
        <f>$I$7*$AE$7</f>
        <v>194051.16868757503</v>
      </c>
      <c r="AF70" s="79">
        <f ca="1">$I$7*$AF$7</f>
        <v>6686483.6416602926</v>
      </c>
      <c r="AG70" s="79">
        <f ca="1">$I$7*$AG$7</f>
        <v>2177548.3542461172</v>
      </c>
      <c r="AI70" s="79">
        <f>$I$7*$AI$7</f>
        <v>0</v>
      </c>
      <c r="AJ70" s="79">
        <f>$I$7*$AJ$7</f>
        <v>32818.321349228347</v>
      </c>
      <c r="AK70" s="79">
        <f>$I$7*$AK$7</f>
        <v>177495.48755452313</v>
      </c>
      <c r="AL70" s="79">
        <f>$I$7*$AL$7</f>
        <v>-614.15696714525234</v>
      </c>
      <c r="AM70" s="79">
        <f>$I$7*$AM$7</f>
        <v>0</v>
      </c>
      <c r="AN70" s="79">
        <f>$I$7*$AN$7</f>
        <v>7678667.2662562113</v>
      </c>
      <c r="AO70" s="79">
        <f>$I$7*$AO$7</f>
        <v>7295610.6301281927</v>
      </c>
      <c r="AP70" s="79">
        <f>$I$7*$AP$7</f>
        <v>0</v>
      </c>
      <c r="AQ70" s="79">
        <f>$I$7*$AQ$7</f>
        <v>0</v>
      </c>
      <c r="AR70" s="79">
        <f>$I$7*$AR$7</f>
        <v>0</v>
      </c>
      <c r="AS70" s="79">
        <f>$I$7*$AS$7</f>
        <v>0</v>
      </c>
      <c r="AT70" s="79">
        <f>$I$7*$AT$7</f>
        <v>0</v>
      </c>
      <c r="AU70" s="79">
        <f>$I$7*$AU$7</f>
        <v>0</v>
      </c>
      <c r="AV70" s="79">
        <f>$I$7*$AV$7</f>
        <v>0</v>
      </c>
      <c r="AW70" s="79">
        <f>$I$7*$AW$7</f>
        <v>0</v>
      </c>
      <c r="AX70" s="79">
        <f>$I$7*$AX$7</f>
        <v>0</v>
      </c>
      <c r="AY70" s="79">
        <f>$I$7*$AY$7</f>
        <v>-1946426.4733001904</v>
      </c>
      <c r="AZ70" s="79">
        <f>$I$7*$AZ$7</f>
        <v>0</v>
      </c>
      <c r="BA70" s="79">
        <f>$I$7*$BA$7</f>
        <v>2980245.8540773205</v>
      </c>
      <c r="BB70" s="79">
        <f>$I$7*$BB$7</f>
        <v>155832.1933033361</v>
      </c>
      <c r="BC70" s="79">
        <f>$I$7*$BC$7</f>
        <v>5964434.7538384814</v>
      </c>
      <c r="BD70" s="79">
        <f>$I$7*$BD$7</f>
        <v>1547082.4384279423</v>
      </c>
    </row>
    <row r="71" spans="1:56" ht="11.25" customHeight="1" x14ac:dyDescent="0.25">
      <c r="A71" s="9" t="s">
        <v>41</v>
      </c>
      <c r="B71" s="9" t="s">
        <v>1060</v>
      </c>
      <c r="C71" s="9" t="s">
        <v>1061</v>
      </c>
      <c r="D71" s="9" t="s">
        <v>1062</v>
      </c>
      <c r="E71" s="9" t="s">
        <v>1068</v>
      </c>
      <c r="F71" s="9" t="s">
        <v>1069</v>
      </c>
      <c r="G71" s="9" t="s">
        <v>1070</v>
      </c>
      <c r="L71" s="79">
        <f>$I$8*$L$8</f>
        <v>0</v>
      </c>
      <c r="M71" s="79">
        <f>$I$8*$M$8</f>
        <v>8095.8889821165458</v>
      </c>
      <c r="N71" s="79">
        <f ca="1">$I$8*$N$8</f>
        <v>39308.325941279472</v>
      </c>
      <c r="O71" s="79">
        <f>$I$8*$O$8</f>
        <v>-122.54070323515161</v>
      </c>
      <c r="P71" s="79">
        <f>$I$8*$P$8</f>
        <v>0</v>
      </c>
      <c r="Q71" s="79">
        <f>$I$8*$Q$8</f>
        <v>0</v>
      </c>
      <c r="R71" s="79">
        <f>$I$8*$R$8</f>
        <v>0</v>
      </c>
      <c r="S71" s="79">
        <f>$I$8*$S$8</f>
        <v>0</v>
      </c>
      <c r="T71" s="79">
        <f>$I$8*$T$8</f>
        <v>0</v>
      </c>
      <c r="U71" s="79">
        <f>$I$8*$U$8</f>
        <v>0</v>
      </c>
      <c r="V71" s="79">
        <f>$I$8*$V$8</f>
        <v>0</v>
      </c>
      <c r="W71" s="79">
        <f>$I$8*$W$8</f>
        <v>0</v>
      </c>
      <c r="X71" s="79">
        <f>$I$8*$X$8</f>
        <v>0</v>
      </c>
      <c r="Y71" s="79">
        <f>$I$8*$Y$8</f>
        <v>0</v>
      </c>
      <c r="Z71" s="79">
        <f>$I$8*$Z$8</f>
        <v>0</v>
      </c>
      <c r="AA71" s="79">
        <f>$I$8*$AA$8</f>
        <v>0</v>
      </c>
      <c r="AB71" s="79">
        <f ca="1">$I$8*$AB$8</f>
        <v>2660.5398193156884</v>
      </c>
      <c r="AC71" s="79">
        <f ca="1">$I$8*$AC$8</f>
        <v>0</v>
      </c>
      <c r="AD71" s="79">
        <f>$I$8*$AD$8</f>
        <v>591074.44475929451</v>
      </c>
      <c r="AE71" s="79">
        <f>$I$8*$AE$8</f>
        <v>34131.424313870979</v>
      </c>
      <c r="AF71" s="79">
        <f ca="1">$I$8*$AF$8</f>
        <v>1176077.4845355384</v>
      </c>
      <c r="AG71" s="79">
        <f ca="1">$I$8*$AG$8</f>
        <v>383006.33459418319</v>
      </c>
      <c r="AI71" s="79">
        <f>$I$8*$AI$8</f>
        <v>0</v>
      </c>
      <c r="AJ71" s="79">
        <f>$I$8*$AJ$8</f>
        <v>5772.3746721820435</v>
      </c>
      <c r="AK71" s="79">
        <f>$I$8*$AK$8</f>
        <v>30455.6993115408</v>
      </c>
      <c r="AL71" s="79">
        <f>$I$8*$AL$8</f>
        <v>-108.02332283143272</v>
      </c>
      <c r="AM71" s="79">
        <f>$I$8*$AM$8</f>
        <v>0</v>
      </c>
      <c r="AN71" s="79">
        <f>$I$8*$AN$8</f>
        <v>0</v>
      </c>
      <c r="AO71" s="79">
        <f>$I$8*$AO$8</f>
        <v>0</v>
      </c>
      <c r="AP71" s="79">
        <f>$I$8*$AP$8</f>
        <v>0</v>
      </c>
      <c r="AQ71" s="79">
        <f>$I$8*$AQ$8</f>
        <v>0</v>
      </c>
      <c r="AR71" s="79">
        <f>$I$8*$AR$8</f>
        <v>0</v>
      </c>
      <c r="AS71" s="79">
        <f>$I$8*$AS$8</f>
        <v>0</v>
      </c>
      <c r="AT71" s="79">
        <f>$I$8*$AT$8</f>
        <v>0</v>
      </c>
      <c r="AU71" s="79">
        <f>$I$8*$AU$8</f>
        <v>0</v>
      </c>
      <c r="AV71" s="79">
        <f>$I$8*$AV$8</f>
        <v>0</v>
      </c>
      <c r="AW71" s="79">
        <f>$I$8*$AW$8</f>
        <v>0</v>
      </c>
      <c r="AX71" s="79">
        <f>$I$8*$AX$8</f>
        <v>0</v>
      </c>
      <c r="AY71" s="79">
        <f>$I$8*$AY$8</f>
        <v>-129555.59700564774</v>
      </c>
      <c r="AZ71" s="79">
        <f>$I$8*$AZ$8</f>
        <v>0</v>
      </c>
      <c r="BA71" s="79">
        <f>$I$8*$BA$8</f>
        <v>524191.82266785752</v>
      </c>
      <c r="BB71" s="79">
        <f>$I$8*$BB$8</f>
        <v>27409.135164553561</v>
      </c>
      <c r="BC71" s="79">
        <f>$I$8*$BC$8</f>
        <v>1049077.1828507651</v>
      </c>
      <c r="BD71" s="79">
        <f>$I$8*$BD$8</f>
        <v>272114.45059389266</v>
      </c>
    </row>
    <row r="72" spans="1:56" ht="11.25" customHeight="1" x14ac:dyDescent="0.25">
      <c r="A72" s="9" t="s">
        <v>41</v>
      </c>
      <c r="B72" s="9" t="s">
        <v>1071</v>
      </c>
      <c r="C72" s="9" t="s">
        <v>1072</v>
      </c>
      <c r="D72" s="9" t="s">
        <v>1073</v>
      </c>
      <c r="E72" s="9" t="s">
        <v>1074</v>
      </c>
      <c r="F72" s="9" t="s">
        <v>1075</v>
      </c>
      <c r="G72" s="9" t="s">
        <v>1076</v>
      </c>
      <c r="L72" s="79">
        <f>$I$9*$L$9</f>
        <v>0</v>
      </c>
      <c r="M72" s="79">
        <f>$I$9*$M$9</f>
        <v>0</v>
      </c>
      <c r="N72" s="79">
        <f ca="1">$I$9*$N$9</f>
        <v>0</v>
      </c>
      <c r="O72" s="79">
        <f>$I$9*$O$9</f>
        <v>0</v>
      </c>
      <c r="P72" s="79">
        <f>$I$9*$P$9</f>
        <v>0</v>
      </c>
      <c r="Q72" s="79">
        <f>$I$9*$Q$9</f>
        <v>0</v>
      </c>
      <c r="R72" s="79">
        <f>$I$9*$R$9</f>
        <v>0</v>
      </c>
      <c r="S72" s="79">
        <f>$I$9*$S$9</f>
        <v>0</v>
      </c>
      <c r="T72" s="79">
        <f>$I$9*$T$9</f>
        <v>458369.51210087806</v>
      </c>
      <c r="U72" s="79">
        <f>$I$9*$U$9</f>
        <v>116917.63817546486</v>
      </c>
      <c r="V72" s="79">
        <f>$I$9*$V$9</f>
        <v>31987.813097992006</v>
      </c>
      <c r="W72" s="79">
        <f>$I$9*$W$9</f>
        <v>0</v>
      </c>
      <c r="X72" s="79">
        <f>$I$9*$X$9</f>
        <v>9571.1154617437696</v>
      </c>
      <c r="Y72" s="79">
        <f>$I$9*$Y$9</f>
        <v>0</v>
      </c>
      <c r="Z72" s="79">
        <f>$I$9*$Z$9</f>
        <v>0</v>
      </c>
      <c r="AA72" s="79">
        <f>$I$9*$AA$9</f>
        <v>476443.38570744783</v>
      </c>
      <c r="AB72" s="79">
        <f>$I$9*$AB$9</f>
        <v>0</v>
      </c>
      <c r="AC72" s="79">
        <f ca="1">$I$9*$AC$9</f>
        <v>0</v>
      </c>
      <c r="AD72" s="79">
        <f>$I$9*$AD$9</f>
        <v>0</v>
      </c>
      <c r="AE72" s="79">
        <f>$I$9*$AE$9</f>
        <v>0</v>
      </c>
      <c r="AF72" s="79">
        <f ca="1">$I$9*$AF$9</f>
        <v>0</v>
      </c>
      <c r="AG72" s="79">
        <f ca="1">$I$9*$AG$9</f>
        <v>0</v>
      </c>
      <c r="AI72" s="79">
        <f>$I$9*$AI$9</f>
        <v>0</v>
      </c>
      <c r="AJ72" s="79">
        <f>$I$9*$AJ$9</f>
        <v>0</v>
      </c>
      <c r="AK72" s="79">
        <f>$I$9*$AK$9</f>
        <v>0</v>
      </c>
      <c r="AL72" s="79">
        <f>$I$9*$AL$9</f>
        <v>0</v>
      </c>
      <c r="AM72" s="79">
        <f>$I$9*$AM$9</f>
        <v>0</v>
      </c>
      <c r="AN72" s="79">
        <f>$I$9*$AN$9</f>
        <v>0</v>
      </c>
      <c r="AO72" s="79">
        <f>$I$9*$AO$9</f>
        <v>0</v>
      </c>
      <c r="AP72" s="79">
        <f>$I$9*$AP$9</f>
        <v>0</v>
      </c>
      <c r="AQ72" s="79">
        <f>$I$9*$AQ$9</f>
        <v>439871.08063654421</v>
      </c>
      <c r="AR72" s="79">
        <f>$I$9*$AR$9</f>
        <v>162977.24270610939</v>
      </c>
      <c r="AS72" s="79">
        <f>$I$9*$AS$9</f>
        <v>33232.345620284919</v>
      </c>
      <c r="AT72" s="79">
        <f>$I$9*$AT$9</f>
        <v>0</v>
      </c>
      <c r="AU72" s="79">
        <f>$I$9*$AU$9</f>
        <v>10678.006090819701</v>
      </c>
      <c r="AV72" s="79">
        <f>$I$9*$AV$9</f>
        <v>0</v>
      </c>
      <c r="AW72" s="79">
        <f>$I$9*$AW$9</f>
        <v>0</v>
      </c>
      <c r="AX72" s="79">
        <f>$I$9*$AX$9</f>
        <v>397501.02947177697</v>
      </c>
      <c r="AY72" s="79">
        <f>$I$9*$AY$9</f>
        <v>0</v>
      </c>
      <c r="AZ72" s="79">
        <f>$I$9*$AZ$9</f>
        <v>0</v>
      </c>
      <c r="BA72" s="79">
        <f>$I$9*$BA$9</f>
        <v>0</v>
      </c>
      <c r="BB72" s="79">
        <f>$I$9*$BB$9</f>
        <v>0</v>
      </c>
      <c r="BC72" s="79">
        <f>$I$9*$BC$9</f>
        <v>0</v>
      </c>
      <c r="BD72" s="79">
        <f>$I$9*$BD$9</f>
        <v>0</v>
      </c>
    </row>
    <row r="73" spans="1:56" ht="11.25" customHeight="1" x14ac:dyDescent="0.25">
      <c r="A73" s="9" t="s">
        <v>41</v>
      </c>
      <c r="B73" s="9" t="s">
        <v>1071</v>
      </c>
      <c r="C73" s="9" t="s">
        <v>1072</v>
      </c>
      <c r="D73" s="9" t="s">
        <v>1073</v>
      </c>
      <c r="E73" s="9" t="s">
        <v>1074</v>
      </c>
      <c r="F73" s="9" t="s">
        <v>1075</v>
      </c>
      <c r="G73" s="9" t="s">
        <v>1077</v>
      </c>
      <c r="L73" s="79">
        <f>$I$10*$L$10</f>
        <v>0</v>
      </c>
      <c r="M73" s="79">
        <f>$I$10*$M$10</f>
        <v>0</v>
      </c>
      <c r="N73" s="79">
        <f ca="1">$I$10*$N$10</f>
        <v>0</v>
      </c>
      <c r="O73" s="79">
        <f>$I$10*$O$10</f>
        <v>0</v>
      </c>
      <c r="P73" s="79">
        <f>$I$10*$P$10</f>
        <v>0</v>
      </c>
      <c r="Q73" s="79">
        <f>$I$10*$Q$10</f>
        <v>0</v>
      </c>
      <c r="R73" s="79">
        <f>$I$10*$R$10</f>
        <v>0</v>
      </c>
      <c r="S73" s="79">
        <f>$I$10*$S$10</f>
        <v>0</v>
      </c>
      <c r="T73" s="79">
        <f>$I$10*$T$10</f>
        <v>404545.96459626663</v>
      </c>
      <c r="U73" s="79">
        <f>$I$10*$U$10</f>
        <v>103561.40800578875</v>
      </c>
      <c r="V73" s="79">
        <f>$I$10*$V$10</f>
        <v>28876.334771538855</v>
      </c>
      <c r="W73" s="79">
        <f>$I$10*$W$10</f>
        <v>0</v>
      </c>
      <c r="X73" s="79">
        <f>$I$10*$X$10</f>
        <v>4297.7211645721654</v>
      </c>
      <c r="Y73" s="79">
        <f>$I$10*$Y$10</f>
        <v>0</v>
      </c>
      <c r="Z73" s="79">
        <f>$I$10*$Z$10</f>
        <v>0</v>
      </c>
      <c r="AA73" s="79">
        <f>$I$10*$AA$10</f>
        <v>47642.800118144733</v>
      </c>
      <c r="AB73" s="79">
        <f>$I$10*$AB$10</f>
        <v>0</v>
      </c>
      <c r="AC73" s="79">
        <f ca="1">$I$10*$AC$10</f>
        <v>0</v>
      </c>
      <c r="AD73" s="79">
        <f>$I$10*$AD$10</f>
        <v>0</v>
      </c>
      <c r="AE73" s="79">
        <f>$I$10*$AE$10</f>
        <v>0</v>
      </c>
      <c r="AF73" s="79">
        <f ca="1">$I$10*$AF$10</f>
        <v>0</v>
      </c>
      <c r="AG73" s="79">
        <f ca="1">$I$10*$AG$10</f>
        <v>0</v>
      </c>
      <c r="AI73" s="79">
        <f>$I$10*$AI$10</f>
        <v>0</v>
      </c>
      <c r="AJ73" s="79">
        <f>$I$10*$AJ$10</f>
        <v>0</v>
      </c>
      <c r="AK73" s="79">
        <f>$I$10*$AK$10</f>
        <v>0</v>
      </c>
      <c r="AL73" s="79">
        <f>$I$10*$AL$10</f>
        <v>0</v>
      </c>
      <c r="AM73" s="79">
        <f>$I$10*$AM$10</f>
        <v>0</v>
      </c>
      <c r="AN73" s="79">
        <f>$I$10*$AN$10</f>
        <v>0</v>
      </c>
      <c r="AO73" s="79">
        <f>$I$10*$AO$10</f>
        <v>0</v>
      </c>
      <c r="AP73" s="79">
        <f>$I$10*$AP$10</f>
        <v>0</v>
      </c>
      <c r="AQ73" s="79">
        <f>$I$10*$AQ$10</f>
        <v>388219.69157266017</v>
      </c>
      <c r="AR73" s="79">
        <f>$I$10*$AR$10</f>
        <v>144359.33697374081</v>
      </c>
      <c r="AS73" s="79">
        <f>$I$10*$AS$10</f>
        <v>29999.81069149957</v>
      </c>
      <c r="AT73" s="79">
        <f>$I$10*$AT$10</f>
        <v>0</v>
      </c>
      <c r="AU73" s="79">
        <f>$I$10*$AU$10</f>
        <v>4794.7486325261898</v>
      </c>
      <c r="AV73" s="79">
        <f>$I$10*$AV$10</f>
        <v>0</v>
      </c>
      <c r="AW73" s="79">
        <f>$I$10*$AW$10</f>
        <v>0</v>
      </c>
      <c r="AX73" s="79">
        <f>$I$10*$AX$10</f>
        <v>39748.819402247362</v>
      </c>
      <c r="AY73" s="79">
        <f>$I$10*$AY$10</f>
        <v>0</v>
      </c>
      <c r="AZ73" s="79">
        <f>$I$10*$AZ$10</f>
        <v>0</v>
      </c>
      <c r="BA73" s="79">
        <f>$I$10*$BA$10</f>
        <v>0</v>
      </c>
      <c r="BB73" s="79">
        <f>$I$10*$BB$10</f>
        <v>0</v>
      </c>
      <c r="BC73" s="79">
        <f>$I$10*$BC$10</f>
        <v>0</v>
      </c>
      <c r="BD73" s="79">
        <f>$I$10*$BD$10</f>
        <v>0</v>
      </c>
    </row>
    <row r="74" spans="1:56" ht="11.25" customHeight="1" x14ac:dyDescent="0.25">
      <c r="A74" s="9" t="s">
        <v>41</v>
      </c>
      <c r="B74" s="9" t="s">
        <v>1071</v>
      </c>
      <c r="C74" s="9" t="s">
        <v>1072</v>
      </c>
      <c r="D74" s="9" t="s">
        <v>1073</v>
      </c>
      <c r="E74" s="9" t="s">
        <v>1074</v>
      </c>
      <c r="F74" s="9" t="s">
        <v>1075</v>
      </c>
      <c r="G74" s="9" t="s">
        <v>1078</v>
      </c>
      <c r="L74" s="79">
        <f>$I$11*$L$11</f>
        <v>0</v>
      </c>
      <c r="M74" s="79">
        <f>$I$11*$M$11</f>
        <v>0</v>
      </c>
      <c r="N74" s="79">
        <f ca="1">$I$11*$N$11</f>
        <v>0</v>
      </c>
      <c r="O74" s="79">
        <f>$I$11*$O$11</f>
        <v>0</v>
      </c>
      <c r="P74" s="79">
        <f>$I$11*$P$11</f>
        <v>0</v>
      </c>
      <c r="Q74" s="79">
        <f>$I$11*$Q$11</f>
        <v>0</v>
      </c>
      <c r="R74" s="79">
        <f>$I$11*$R$11</f>
        <v>0</v>
      </c>
      <c r="S74" s="79">
        <f>$I$11*$S$11</f>
        <v>0</v>
      </c>
      <c r="T74" s="79">
        <f>$I$11*$T$11</f>
        <v>0</v>
      </c>
      <c r="U74" s="79">
        <f>$I$11*$U$11</f>
        <v>0</v>
      </c>
      <c r="V74" s="79">
        <f>$I$11*$V$11</f>
        <v>0</v>
      </c>
      <c r="W74" s="79">
        <f>$I$11*$W$11</f>
        <v>0</v>
      </c>
      <c r="X74" s="79">
        <f>$I$11*$X$11</f>
        <v>0</v>
      </c>
      <c r="Y74" s="79">
        <f>$I$11*$Y$11</f>
        <v>0</v>
      </c>
      <c r="Z74" s="79">
        <f>$I$11*$Z$11</f>
        <v>0</v>
      </c>
      <c r="AA74" s="79">
        <f>$I$11*$AA$11</f>
        <v>0</v>
      </c>
      <c r="AB74" s="79">
        <f>$I$11*$AB$11</f>
        <v>0</v>
      </c>
      <c r="AC74" s="79">
        <f ca="1">$I$11*$AC$11</f>
        <v>0</v>
      </c>
      <c r="AD74" s="79">
        <f>$I$11*$AD$11</f>
        <v>109629.3879998659</v>
      </c>
      <c r="AE74" s="79">
        <f>$I$11*$AE$11</f>
        <v>6330.5175723122466</v>
      </c>
      <c r="AF74" s="79">
        <f ca="1">$I$11*$AF$11</f>
        <v>0</v>
      </c>
      <c r="AG74" s="79">
        <f ca="1">$I$11*$AG$11</f>
        <v>0</v>
      </c>
      <c r="AI74" s="79">
        <f>$I$11*$AI$11</f>
        <v>0</v>
      </c>
      <c r="AJ74" s="79">
        <f>$I$11*$AJ$11</f>
        <v>0</v>
      </c>
      <c r="AK74" s="79">
        <f>$I$11*$AK$11</f>
        <v>0</v>
      </c>
      <c r="AL74" s="79">
        <f>$I$11*$AL$11</f>
        <v>0</v>
      </c>
      <c r="AM74" s="79">
        <f>$I$11*$AM$11</f>
        <v>0</v>
      </c>
      <c r="AN74" s="79">
        <f>$I$11*$AN$11</f>
        <v>0</v>
      </c>
      <c r="AO74" s="79">
        <f>$I$11*$AO$11</f>
        <v>0</v>
      </c>
      <c r="AP74" s="79">
        <f>$I$11*$AP$11</f>
        <v>0</v>
      </c>
      <c r="AQ74" s="79">
        <f>$I$11*$AQ$11</f>
        <v>0</v>
      </c>
      <c r="AR74" s="79">
        <f>$I$11*$AR$11</f>
        <v>0</v>
      </c>
      <c r="AS74" s="79">
        <f>$I$11*$AS$11</f>
        <v>0</v>
      </c>
      <c r="AT74" s="79">
        <f>$I$11*$AT$11</f>
        <v>0</v>
      </c>
      <c r="AU74" s="79">
        <f>$I$11*$AU$11</f>
        <v>0</v>
      </c>
      <c r="AV74" s="79">
        <f>$I$11*$AV$11</f>
        <v>0</v>
      </c>
      <c r="AW74" s="79">
        <f>$I$11*$AW$11</f>
        <v>0</v>
      </c>
      <c r="AX74" s="79">
        <f>$I$11*$AX$11</f>
        <v>0</v>
      </c>
      <c r="AY74" s="79">
        <f>$I$11*$AY$11</f>
        <v>0</v>
      </c>
      <c r="AZ74" s="79">
        <f>$I$11*$AZ$11</f>
        <v>0</v>
      </c>
      <c r="BA74" s="79">
        <f>$I$11*$BA$11</f>
        <v>97224.350034307237</v>
      </c>
      <c r="BB74" s="79">
        <f>$I$11*$BB$11</f>
        <v>5083.7026373543949</v>
      </c>
      <c r="BC74" s="79">
        <f>$I$11*$BC$11</f>
        <v>0</v>
      </c>
      <c r="BD74" s="79">
        <f>$I$11*$BD$11</f>
        <v>0</v>
      </c>
    </row>
    <row r="75" spans="1:56" ht="11.25" customHeight="1" x14ac:dyDescent="0.25">
      <c r="A75" s="9" t="s">
        <v>41</v>
      </c>
      <c r="B75" s="9" t="s">
        <v>1079</v>
      </c>
      <c r="C75" s="9" t="s">
        <v>1080</v>
      </c>
      <c r="D75" s="9" t="s">
        <v>1081</v>
      </c>
      <c r="E75" s="9" t="s">
        <v>1082</v>
      </c>
      <c r="F75" s="9" t="s">
        <v>1083</v>
      </c>
      <c r="G75" s="9" t="s">
        <v>1084</v>
      </c>
      <c r="L75" s="79">
        <f>$I$12*$L$12</f>
        <v>0</v>
      </c>
      <c r="M75" s="79">
        <f>$I$12*$M$12</f>
        <v>71505.305836450934</v>
      </c>
      <c r="N75" s="79">
        <f ca="1">$I$12*$N$12</f>
        <v>191674.84905209762</v>
      </c>
      <c r="O75" s="79">
        <f>$I$12*$O$12</f>
        <v>5877.0622868272749</v>
      </c>
      <c r="P75" s="79">
        <f>$I$12*$P$12</f>
        <v>0</v>
      </c>
      <c r="Q75" s="79">
        <f>$I$12*$Q$12</f>
        <v>0</v>
      </c>
      <c r="R75" s="79">
        <f>$I$12*$R$12</f>
        <v>0</v>
      </c>
      <c r="S75" s="79">
        <f>$I$12*$S$12</f>
        <v>0</v>
      </c>
      <c r="T75" s="79">
        <f>$I$12*$T$12</f>
        <v>0</v>
      </c>
      <c r="U75" s="79">
        <f>$I$12*$U$12</f>
        <v>0</v>
      </c>
      <c r="V75" s="79">
        <f>$I$12*$V$12</f>
        <v>195914.43844734237</v>
      </c>
      <c r="W75" s="79">
        <f>$I$12*$W$12</f>
        <v>0</v>
      </c>
      <c r="X75" s="79">
        <f>$I$12*$X$12</f>
        <v>224692.75144800969</v>
      </c>
      <c r="Y75" s="79">
        <f>$I$12*$Y$12</f>
        <v>0</v>
      </c>
      <c r="Z75" s="79">
        <f>$I$12*$Z$12</f>
        <v>0</v>
      </c>
      <c r="AA75" s="79">
        <f>$I$12*$AA$12</f>
        <v>13392774.787553066</v>
      </c>
      <c r="AB75" s="79">
        <f ca="1">$I$12*$AB$12</f>
        <v>19169.570194476612</v>
      </c>
      <c r="AC75" s="79">
        <f ca="1">$I$12*$AC$12</f>
        <v>0</v>
      </c>
      <c r="AD75" s="79">
        <f>$I$12*$AD$12</f>
        <v>1002917.0770624763</v>
      </c>
      <c r="AE75" s="79">
        <f>$I$12*$AE$12</f>
        <v>220120.72484295361</v>
      </c>
      <c r="AF75" s="79">
        <f ca="1">$I$12*$AF$12</f>
        <v>0</v>
      </c>
      <c r="AG75" s="79">
        <f ca="1">$I$12*$AG$12</f>
        <v>0</v>
      </c>
      <c r="AI75" s="79">
        <f>$I$12*$AI$12</f>
        <v>0</v>
      </c>
      <c r="AJ75" s="79">
        <f>$I$12*$AJ$12</f>
        <v>59332.419030007797</v>
      </c>
      <c r="AK75" s="79">
        <f>$I$12*$AK$12</f>
        <v>167549.55573688462</v>
      </c>
      <c r="AL75" s="79">
        <f>$I$12*$AL$12</f>
        <v>5137.3415973227975</v>
      </c>
      <c r="AM75" s="79">
        <f>$I$12*$AM$12</f>
        <v>0</v>
      </c>
      <c r="AN75" s="79">
        <f>$I$12*$AN$12</f>
        <v>0</v>
      </c>
      <c r="AO75" s="79">
        <f>$I$12*$AO$12</f>
        <v>0</v>
      </c>
      <c r="AP75" s="79">
        <f>$I$12*$AP$12</f>
        <v>0</v>
      </c>
      <c r="AQ75" s="79">
        <f>$I$12*$AQ$12</f>
        <v>0</v>
      </c>
      <c r="AR75" s="79">
        <f>$I$12*$AR$12</f>
        <v>0</v>
      </c>
      <c r="AS75" s="79">
        <f>$I$12*$AS$12</f>
        <v>166885.13544721971</v>
      </c>
      <c r="AT75" s="79">
        <f>$I$12*$AT$12</f>
        <v>0</v>
      </c>
      <c r="AU75" s="79">
        <f>$I$12*$AU$12</f>
        <v>254836.03770043061</v>
      </c>
      <c r="AV75" s="79">
        <f>$I$12*$AV$12</f>
        <v>0</v>
      </c>
      <c r="AW75" s="79">
        <f>$I$12*$AW$12</f>
        <v>0</v>
      </c>
      <c r="AX75" s="79">
        <f>$I$12*$AX$12</f>
        <v>11604613.312350463</v>
      </c>
      <c r="AY75" s="79">
        <f>$I$12*$AY$12</f>
        <v>-908593.83052111196</v>
      </c>
      <c r="AZ75" s="79">
        <f>$I$12*$AZ$12</f>
        <v>0</v>
      </c>
      <c r="BA75" s="79">
        <f>$I$12*$BA$12</f>
        <v>865930.98150173191</v>
      </c>
      <c r="BB75" s="79">
        <f>$I$12*$BB$12</f>
        <v>190054.9503757802</v>
      </c>
      <c r="BC75" s="79">
        <f>$I$12*$BC$12</f>
        <v>0</v>
      </c>
      <c r="BD75" s="79">
        <f>$I$12*$BD$12</f>
        <v>0</v>
      </c>
    </row>
    <row r="76" spans="1:56" ht="11.25" customHeight="1" x14ac:dyDescent="0.25">
      <c r="A76" s="9" t="s">
        <v>33</v>
      </c>
      <c r="B76" s="9" t="s">
        <v>1085</v>
      </c>
      <c r="C76" s="9" t="s">
        <v>1086</v>
      </c>
      <c r="D76" s="9" t="s">
        <v>1087</v>
      </c>
      <c r="E76" s="9" t="s">
        <v>1088</v>
      </c>
      <c r="F76" s="9" t="s">
        <v>1089</v>
      </c>
      <c r="G76" s="9" t="s">
        <v>1090</v>
      </c>
      <c r="L76" s="79">
        <f>$I$13*$L$13</f>
        <v>0</v>
      </c>
      <c r="M76" s="79">
        <f>$I$13*$M$13</f>
        <v>0</v>
      </c>
      <c r="N76" s="79">
        <f ca="1">$I$13*$N$13</f>
        <v>0</v>
      </c>
      <c r="O76" s="79">
        <f>$I$13*$O$13</f>
        <v>0</v>
      </c>
      <c r="P76" s="79">
        <f>$I$13*$P$13</f>
        <v>0</v>
      </c>
      <c r="Q76" s="79">
        <f>$I$13*$Q$13</f>
        <v>0</v>
      </c>
      <c r="R76" s="79">
        <f>$I$13*$R$13</f>
        <v>0</v>
      </c>
      <c r="S76" s="79">
        <f>$I$13*$S$13</f>
        <v>0</v>
      </c>
      <c r="T76" s="79">
        <f>$I$13*$T$13</f>
        <v>5078996.5242939498</v>
      </c>
      <c r="U76" s="79">
        <f>$I$13*$U$13</f>
        <v>1302246.2893039768</v>
      </c>
      <c r="V76" s="79">
        <f>$I$13*$V$13</f>
        <v>353984.20397785289</v>
      </c>
      <c r="W76" s="79">
        <f>$I$13*$W$13</f>
        <v>0</v>
      </c>
      <c r="X76" s="79">
        <f>$I$13*$X$13</f>
        <v>274143.94582751032</v>
      </c>
      <c r="Y76" s="79">
        <f>$I$13*$Y$13</f>
        <v>0</v>
      </c>
      <c r="Z76" s="79">
        <f>$I$13*$Z$13</f>
        <v>0</v>
      </c>
      <c r="AA76" s="79">
        <f>$I$13*$AA$13</f>
        <v>32106693.585016809</v>
      </c>
      <c r="AB76" s="79">
        <f ca="1">$I$13*$AB$13</f>
        <v>51384.036194904686</v>
      </c>
      <c r="AC76" s="79">
        <f ca="1">$I$13*$AC$13</f>
        <v>0</v>
      </c>
      <c r="AD76" s="79">
        <f>$I$13*$AD$13</f>
        <v>0</v>
      </c>
      <c r="AE76" s="79">
        <f>$I$13*$AE$13</f>
        <v>0</v>
      </c>
      <c r="AF76" s="79">
        <f ca="1">$I$13*$AF$13</f>
        <v>0</v>
      </c>
      <c r="AG76" s="79">
        <f ca="1">$I$13*$AG$13</f>
        <v>0</v>
      </c>
      <c r="AI76" s="79">
        <f>$I$13*$AI$13</f>
        <v>0</v>
      </c>
      <c r="AJ76" s="79">
        <f>$I$13*$AJ$13</f>
        <v>0</v>
      </c>
      <c r="AK76" s="79">
        <f>$I$13*$AK$13</f>
        <v>0</v>
      </c>
      <c r="AL76" s="79">
        <f>$I$13*$AL$13</f>
        <v>0</v>
      </c>
      <c r="AM76" s="79">
        <f>$I$13*$AM$13</f>
        <v>0</v>
      </c>
      <c r="AN76" s="79">
        <f>$I$13*$AN$13</f>
        <v>0</v>
      </c>
      <c r="AO76" s="79">
        <f>$I$13*$AO$13</f>
        <v>0</v>
      </c>
      <c r="AP76" s="79">
        <f>$I$13*$AP$13</f>
        <v>0</v>
      </c>
      <c r="AQ76" s="79">
        <f>$I$13*$AQ$13</f>
        <v>5248948.1873243004</v>
      </c>
      <c r="AR76" s="79">
        <f>$I$13*$AR$13</f>
        <v>1954900.8898246351</v>
      </c>
      <c r="AS76" s="79">
        <f>$I$13*$AS$13</f>
        <v>396045.43538423255</v>
      </c>
      <c r="AT76" s="79">
        <f>$I$13*$AT$13</f>
        <v>0</v>
      </c>
      <c r="AU76" s="79">
        <f>$I$13*$AU$13</f>
        <v>329375.24198249279</v>
      </c>
      <c r="AV76" s="79">
        <f>$I$13*$AV$13</f>
        <v>0</v>
      </c>
      <c r="AW76" s="79">
        <f>$I$13*$AW$13</f>
        <v>0</v>
      </c>
      <c r="AX76" s="79">
        <f>$I$13*$AX$13</f>
        <v>28847436.249131493</v>
      </c>
      <c r="AY76" s="79">
        <f>$I$13*$AY$13</f>
        <v>-2730174.4450644348</v>
      </c>
      <c r="AZ76" s="79">
        <f>$I$13*$AZ$13</f>
        <v>0</v>
      </c>
      <c r="BA76" s="79">
        <f>$I$13*$BA$13</f>
        <v>0</v>
      </c>
      <c r="BB76" s="79">
        <f>$I$13*$BB$13</f>
        <v>0</v>
      </c>
      <c r="BC76" s="79">
        <f>$I$13*$BC$13</f>
        <v>0</v>
      </c>
      <c r="BD76" s="79">
        <f>$I$13*$BD$13</f>
        <v>0</v>
      </c>
    </row>
    <row r="77" spans="1:56" ht="11.25" customHeight="1" x14ac:dyDescent="0.25">
      <c r="A77" s="9" t="s">
        <v>33</v>
      </c>
      <c r="B77" s="9" t="s">
        <v>1085</v>
      </c>
      <c r="C77" s="9" t="s">
        <v>1086</v>
      </c>
      <c r="D77" s="9" t="s">
        <v>1087</v>
      </c>
      <c r="E77" s="9" t="s">
        <v>1088</v>
      </c>
      <c r="F77" s="9" t="s">
        <v>1089</v>
      </c>
      <c r="G77" s="9" t="s">
        <v>1091</v>
      </c>
      <c r="L77" s="79">
        <f>$I$14*$L$14</f>
        <v>0</v>
      </c>
      <c r="M77" s="79">
        <f>$I$14*$M$14</f>
        <v>0</v>
      </c>
      <c r="N77" s="79">
        <f ca="1">$I$14*$N$14</f>
        <v>0</v>
      </c>
      <c r="O77" s="79">
        <f>$I$14*$O$14</f>
        <v>0</v>
      </c>
      <c r="P77" s="79">
        <f>$I$14*$P$14</f>
        <v>0</v>
      </c>
      <c r="Q77" s="79">
        <f>$I$14*$Q$14</f>
        <v>0</v>
      </c>
      <c r="R77" s="79">
        <f>$I$14*$R$14</f>
        <v>0</v>
      </c>
      <c r="S77" s="79">
        <f>$I$14*$S$14</f>
        <v>0</v>
      </c>
      <c r="T77" s="79">
        <f>$I$14*$T$14</f>
        <v>2955923.9951569056</v>
      </c>
      <c r="U77" s="79">
        <f>$I$14*$U$14</f>
        <v>760668.70228897675</v>
      </c>
      <c r="V77" s="79">
        <f>$I$14*$V$14</f>
        <v>210718.85311396769</v>
      </c>
      <c r="W77" s="79">
        <f>$I$14*$W$14</f>
        <v>0</v>
      </c>
      <c r="X77" s="79">
        <f>$I$14*$X$14</f>
        <v>77158.108062811516</v>
      </c>
      <c r="Y77" s="79">
        <f>$I$14*$Y$14</f>
        <v>0</v>
      </c>
      <c r="Z77" s="79">
        <f>$I$14*$Z$14</f>
        <v>0</v>
      </c>
      <c r="AA77" s="79">
        <f>$I$14*$AA$14</f>
        <v>10833743.699719172</v>
      </c>
      <c r="AB77" s="79">
        <f ca="1">$I$14*$AB$14</f>
        <v>19968.19652308643</v>
      </c>
      <c r="AC77" s="79">
        <f ca="1">$I$14*$AC$14</f>
        <v>0</v>
      </c>
      <c r="AD77" s="79">
        <f>$I$14*$AD$14</f>
        <v>0</v>
      </c>
      <c r="AE77" s="79">
        <f>$I$14*$AE$14</f>
        <v>0</v>
      </c>
      <c r="AF77" s="79">
        <f ca="1">$I$14*$AF$14</f>
        <v>0</v>
      </c>
      <c r="AG77" s="79">
        <f ca="1">$I$14*$AG$14</f>
        <v>0</v>
      </c>
      <c r="AI77" s="79">
        <f>$I$14*$AI$14</f>
        <v>0</v>
      </c>
      <c r="AJ77" s="79">
        <f>$I$14*$AJ$14</f>
        <v>0</v>
      </c>
      <c r="AK77" s="79">
        <f>$I$14*$AK$14</f>
        <v>0</v>
      </c>
      <c r="AL77" s="79">
        <f>$I$14*$AL$14</f>
        <v>0</v>
      </c>
      <c r="AM77" s="79">
        <f>$I$14*$AM$14</f>
        <v>0</v>
      </c>
      <c r="AN77" s="79">
        <f>$I$14*$AN$14</f>
        <v>0</v>
      </c>
      <c r="AO77" s="79">
        <f>$I$14*$AO$14</f>
        <v>0</v>
      </c>
      <c r="AP77" s="79">
        <f>$I$14*$AP$14</f>
        <v>0</v>
      </c>
      <c r="AQ77" s="79">
        <f>$I$14*$AQ$14</f>
        <v>3054834.1236370732</v>
      </c>
      <c r="AR77" s="79">
        <f>$I$14*$AR$14</f>
        <v>1141897.6081408225</v>
      </c>
      <c r="AS77" s="79">
        <f>$I$14*$AS$14</f>
        <v>235756.96030325961</v>
      </c>
      <c r="AT77" s="79">
        <f>$I$14*$AT$14</f>
        <v>0</v>
      </c>
      <c r="AU77" s="79">
        <f>$I$14*$AU$14</f>
        <v>92703.015699971729</v>
      </c>
      <c r="AV77" s="79">
        <f>$I$14*$AV$14</f>
        <v>0</v>
      </c>
      <c r="AW77" s="79">
        <f>$I$14*$AW$14</f>
        <v>0</v>
      </c>
      <c r="AX77" s="79">
        <f>$I$14*$AX$14</f>
        <v>9733974.3156525213</v>
      </c>
      <c r="AY77" s="79">
        <f>$I$14*$AY$14</f>
        <v>-1100495.4585855564</v>
      </c>
      <c r="AZ77" s="79">
        <f>$I$14*$AZ$14</f>
        <v>0</v>
      </c>
      <c r="BA77" s="79">
        <f>$I$14*$BA$14</f>
        <v>0</v>
      </c>
      <c r="BB77" s="79">
        <f>$I$14*$BB$14</f>
        <v>0</v>
      </c>
      <c r="BC77" s="79">
        <f>$I$14*$BC$14</f>
        <v>0</v>
      </c>
      <c r="BD77" s="79">
        <f>$I$14*$BD$14</f>
        <v>0</v>
      </c>
    </row>
    <row r="78" spans="1:56" ht="11.25" customHeight="1" x14ac:dyDescent="0.25">
      <c r="A78" s="9" t="s">
        <v>33</v>
      </c>
      <c r="B78" s="9" t="s">
        <v>1085</v>
      </c>
      <c r="C78" s="9" t="s">
        <v>1086</v>
      </c>
      <c r="D78" s="9" t="s">
        <v>1087</v>
      </c>
      <c r="E78" s="9" t="s">
        <v>1088</v>
      </c>
      <c r="F78" s="9" t="s">
        <v>1089</v>
      </c>
      <c r="G78" s="9" t="s">
        <v>1092</v>
      </c>
      <c r="L78" s="79">
        <f>$I$15*$L$15</f>
        <v>2284739.1976942411</v>
      </c>
      <c r="M78" s="79">
        <f>$I$15*$M$15</f>
        <v>152828.00927690507</v>
      </c>
      <c r="N78" s="79">
        <f ca="1">$I$15*$N$15</f>
        <v>272034.40377121058</v>
      </c>
      <c r="O78" s="79">
        <f>$I$15*$O$15</f>
        <v>-402.48249273891361</v>
      </c>
      <c r="P78" s="79">
        <f>$I$15*$P$15</f>
        <v>0</v>
      </c>
      <c r="Q78" s="79">
        <f>$I$15*$Q$15</f>
        <v>8992735.0364703797</v>
      </c>
      <c r="R78" s="79">
        <f>$I$15*$R$15</f>
        <v>4394843.0003367038</v>
      </c>
      <c r="S78" s="79">
        <f>$I$15*$S$15</f>
        <v>0</v>
      </c>
      <c r="T78" s="79">
        <f>$I$15*$T$15</f>
        <v>0</v>
      </c>
      <c r="U78" s="79">
        <f>$I$15*$U$15</f>
        <v>0</v>
      </c>
      <c r="V78" s="79">
        <f>$I$15*$V$15</f>
        <v>0</v>
      </c>
      <c r="W78" s="79">
        <f>$I$15*$W$15</f>
        <v>0</v>
      </c>
      <c r="X78" s="79">
        <f>$I$15*$X$15</f>
        <v>0</v>
      </c>
      <c r="Y78" s="79">
        <f>$I$15*$Y$15</f>
        <v>0</v>
      </c>
      <c r="Z78" s="79">
        <f>$I$15*$Z$15</f>
        <v>0</v>
      </c>
      <c r="AA78" s="79">
        <f>$I$15*$AA$15</f>
        <v>0</v>
      </c>
      <c r="AB78" s="79">
        <f ca="1">$I$15*$AB$15</f>
        <v>37628.650307213153</v>
      </c>
      <c r="AC78" s="79">
        <f ca="1">$I$15*$AC$15</f>
        <v>0</v>
      </c>
      <c r="AD78" s="79">
        <f>$I$15*$AD$15</f>
        <v>4999999.3686130997</v>
      </c>
      <c r="AE78" s="79">
        <f>$I$15*$AE$15</f>
        <v>288723.52972173918</v>
      </c>
      <c r="AF78" s="79">
        <f ca="1">$I$15*$AF$15</f>
        <v>7196147.1281208145</v>
      </c>
      <c r="AG78" s="79">
        <f ca="1">$I$15*$AG$15</f>
        <v>2343527.5064639891</v>
      </c>
      <c r="AI78" s="79">
        <f>$I$15*$AI$15</f>
        <v>0</v>
      </c>
      <c r="AJ78" s="79">
        <f>$I$15*$AJ$15</f>
        <v>129905.22408739876</v>
      </c>
      <c r="AK78" s="79">
        <f>$I$15*$AK$15</f>
        <v>212857.76666151473</v>
      </c>
      <c r="AL78" s="79">
        <f>$I$15*$AL$15</f>
        <v>-354.8004467030317</v>
      </c>
      <c r="AM78" s="79">
        <f>$I$15*$AM$15</f>
        <v>0</v>
      </c>
      <c r="AN78" s="79">
        <f>$I$15*$AN$15</f>
        <v>5760166.9893603064</v>
      </c>
      <c r="AO78" s="79">
        <f>$I$15*$AO$15</f>
        <v>4214697.6245710729</v>
      </c>
      <c r="AP78" s="79">
        <f>$I$15*$AP$15</f>
        <v>0</v>
      </c>
      <c r="AQ78" s="79">
        <f>$I$15*$AQ$15</f>
        <v>0</v>
      </c>
      <c r="AR78" s="79">
        <f>$I$15*$AR$15</f>
        <v>0</v>
      </c>
      <c r="AS78" s="79">
        <f>$I$15*$AS$15</f>
        <v>0</v>
      </c>
      <c r="AT78" s="79">
        <f>$I$15*$AT$15</f>
        <v>0</v>
      </c>
      <c r="AU78" s="79">
        <f>$I$15*$AU$15</f>
        <v>0</v>
      </c>
      <c r="AV78" s="79">
        <f>$I$15*$AV$15</f>
        <v>0</v>
      </c>
      <c r="AW78" s="79">
        <f>$I$15*$AW$15</f>
        <v>0</v>
      </c>
      <c r="AX78" s="79">
        <f>$I$15*$AX$15</f>
        <v>0</v>
      </c>
      <c r="AY78" s="79">
        <f>$I$15*$AY$15</f>
        <v>-1745936.6047029097</v>
      </c>
      <c r="AZ78" s="79">
        <f>$I$15*$AZ$15</f>
        <v>0</v>
      </c>
      <c r="BA78" s="79">
        <f>$I$15*$BA$15</f>
        <v>4434227.8804470664</v>
      </c>
      <c r="BB78" s="79">
        <f>$I$15*$BB$15</f>
        <v>231858.54122454638</v>
      </c>
      <c r="BC78" s="79">
        <f>$I$15*$BC$15</f>
        <v>6442210.7128794855</v>
      </c>
      <c r="BD78" s="79">
        <f>$I$15*$BD$15</f>
        <v>1671010.1576908119</v>
      </c>
    </row>
    <row r="79" spans="1:56" ht="11.25" customHeight="1" x14ac:dyDescent="0.25">
      <c r="A79" s="9" t="s">
        <v>33</v>
      </c>
      <c r="B79" s="9" t="s">
        <v>1085</v>
      </c>
      <c r="C79" s="9" t="s">
        <v>1086</v>
      </c>
      <c r="D79" s="9" t="s">
        <v>1087</v>
      </c>
      <c r="E79" s="9" t="s">
        <v>1093</v>
      </c>
      <c r="F79" s="9" t="s">
        <v>1094</v>
      </c>
      <c r="G79" s="9" t="s">
        <v>1095</v>
      </c>
      <c r="L79" s="79">
        <f>$I$16*$L$16</f>
        <v>0</v>
      </c>
      <c r="M79" s="79">
        <f>$I$16*$M$16</f>
        <v>0</v>
      </c>
      <c r="N79" s="79">
        <f ca="1">$I$16*$N$16</f>
        <v>0</v>
      </c>
      <c r="O79" s="79">
        <f>$I$16*$O$16</f>
        <v>0</v>
      </c>
      <c r="P79" s="79">
        <f>$I$16*$P$16</f>
        <v>0</v>
      </c>
      <c r="Q79" s="79">
        <f>$I$16*$Q$16</f>
        <v>0</v>
      </c>
      <c r="R79" s="79">
        <f>$I$16*$R$16</f>
        <v>0</v>
      </c>
      <c r="S79" s="79">
        <f>$I$16*$S$16</f>
        <v>0</v>
      </c>
      <c r="T79" s="79">
        <f>$I$16*$T$16</f>
        <v>0</v>
      </c>
      <c r="U79" s="79">
        <f>$I$16*$U$16</f>
        <v>0</v>
      </c>
      <c r="V79" s="79">
        <f>$I$16*$V$16</f>
        <v>0</v>
      </c>
      <c r="W79" s="79">
        <f>$I$16*$W$16</f>
        <v>0</v>
      </c>
      <c r="X79" s="79">
        <f>$I$16*$X$16</f>
        <v>0</v>
      </c>
      <c r="Y79" s="79">
        <f>$I$16*$Y$16</f>
        <v>0</v>
      </c>
      <c r="Z79" s="79">
        <f>$I$16*$Z$16</f>
        <v>0</v>
      </c>
      <c r="AA79" s="79">
        <f>$I$16*$AA$16</f>
        <v>0</v>
      </c>
      <c r="AB79" s="79">
        <f ca="1">$I$16*$AB$16</f>
        <v>0</v>
      </c>
      <c r="AC79" s="79">
        <f ca="1">$I$16*$AC$16</f>
        <v>0</v>
      </c>
      <c r="AD79" s="79">
        <f>$I$16*$AD$16</f>
        <v>0</v>
      </c>
      <c r="AE79" s="79">
        <f>$I$16*$AE$16</f>
        <v>0</v>
      </c>
      <c r="AF79" s="79">
        <f ca="1">$I$16*$AF$16</f>
        <v>0</v>
      </c>
      <c r="AG79" s="79">
        <f ca="1">$I$16*$AG$16</f>
        <v>0</v>
      </c>
      <c r="AI79" s="79">
        <f>$I$16*$AI$16</f>
        <v>0</v>
      </c>
      <c r="AJ79" s="79">
        <f>$I$16*$AJ$16</f>
        <v>0</v>
      </c>
      <c r="AK79" s="79">
        <f>$I$16*$AK$16</f>
        <v>0</v>
      </c>
      <c r="AL79" s="79">
        <f>$I$16*$AL$16</f>
        <v>0</v>
      </c>
      <c r="AM79" s="79">
        <f>$I$16*$AM$16</f>
        <v>0</v>
      </c>
      <c r="AN79" s="79">
        <f>$I$16*$AN$16</f>
        <v>0</v>
      </c>
      <c r="AO79" s="79">
        <f>$I$16*$AO$16</f>
        <v>0</v>
      </c>
      <c r="AP79" s="79">
        <f>$I$16*$AP$16</f>
        <v>0</v>
      </c>
      <c r="AQ79" s="79">
        <f>$I$16*$AQ$16</f>
        <v>0</v>
      </c>
      <c r="AR79" s="79">
        <f>$I$16*$AR$16</f>
        <v>0</v>
      </c>
      <c r="AS79" s="79">
        <f>$I$16*$AS$16</f>
        <v>0</v>
      </c>
      <c r="AT79" s="79">
        <f>$I$16*$AT$16</f>
        <v>0</v>
      </c>
      <c r="AU79" s="79">
        <f>$I$16*$AU$16</f>
        <v>0</v>
      </c>
      <c r="AV79" s="79">
        <f>$I$16*$AV$16</f>
        <v>0</v>
      </c>
      <c r="AW79" s="79">
        <f>$I$16*$AW$16</f>
        <v>0</v>
      </c>
      <c r="AX79" s="79">
        <f>$I$16*$AX$16</f>
        <v>0</v>
      </c>
      <c r="AY79" s="79">
        <f>$I$16*$AY$16</f>
        <v>0</v>
      </c>
      <c r="AZ79" s="79">
        <f>$I$16*$AZ$16</f>
        <v>0</v>
      </c>
      <c r="BA79" s="79">
        <f>$I$16*$BA$16</f>
        <v>0</v>
      </c>
      <c r="BB79" s="79">
        <f>$I$16*$BB$16</f>
        <v>0</v>
      </c>
      <c r="BC79" s="79">
        <f>$I$16*$BC$16</f>
        <v>0</v>
      </c>
      <c r="BD79" s="79">
        <f>$I$16*$BD$16</f>
        <v>0</v>
      </c>
    </row>
    <row r="80" spans="1:56" ht="11.25" customHeight="1" x14ac:dyDescent="0.25">
      <c r="A80" s="9" t="s">
        <v>33</v>
      </c>
      <c r="B80" s="9" t="s">
        <v>1096</v>
      </c>
      <c r="C80" s="9" t="s">
        <v>1097</v>
      </c>
      <c r="D80" s="9" t="s">
        <v>1098</v>
      </c>
      <c r="E80" s="9" t="s">
        <v>1099</v>
      </c>
      <c r="F80" s="9" t="s">
        <v>1100</v>
      </c>
      <c r="G80" s="9" t="s">
        <v>1101</v>
      </c>
      <c r="L80" s="79">
        <f>$I$17*$L$17</f>
        <v>0</v>
      </c>
      <c r="M80" s="79">
        <f>$I$17*$M$17</f>
        <v>0</v>
      </c>
      <c r="N80" s="79">
        <f ca="1">$I$17*$N$17</f>
        <v>0</v>
      </c>
      <c r="O80" s="79">
        <f>$I$17*$O$17</f>
        <v>0</v>
      </c>
      <c r="P80" s="79">
        <f>$I$17*$P$17</f>
        <v>0</v>
      </c>
      <c r="Q80" s="79">
        <f>$I$17*$Q$17</f>
        <v>0</v>
      </c>
      <c r="R80" s="79">
        <f>$I$17*$R$17</f>
        <v>0</v>
      </c>
      <c r="S80" s="79">
        <f>$I$17*$S$17</f>
        <v>0</v>
      </c>
      <c r="T80" s="79">
        <f>$I$17*$T$17</f>
        <v>51108.506576318876</v>
      </c>
      <c r="U80" s="79">
        <f>$I$17*$U$17</f>
        <v>13104.136362867728</v>
      </c>
      <c r="V80" s="79">
        <f>$I$17*$V$17</f>
        <v>3562.0430001042532</v>
      </c>
      <c r="W80" s="79">
        <f>$I$17*$W$17</f>
        <v>0</v>
      </c>
      <c r="X80" s="79">
        <f>$I$17*$X$17</f>
        <v>2758.6330471315005</v>
      </c>
      <c r="Y80" s="79">
        <f>$I$17*$Y$17</f>
        <v>0</v>
      </c>
      <c r="Z80" s="79">
        <f>$I$17*$Z$17</f>
        <v>0</v>
      </c>
      <c r="AA80" s="79">
        <f>$I$17*$AA$17</f>
        <v>103046.9823438442</v>
      </c>
      <c r="AB80" s="79">
        <f>$I$17*$AB$17</f>
        <v>0</v>
      </c>
      <c r="AC80" s="79">
        <f ca="1">$I$17*$AC$17</f>
        <v>0</v>
      </c>
      <c r="AD80" s="79">
        <f>$I$17*$AD$17</f>
        <v>0</v>
      </c>
      <c r="AE80" s="79">
        <f>$I$17*$AE$17</f>
        <v>0</v>
      </c>
      <c r="AF80" s="79">
        <f ca="1">$I$17*$AF$17</f>
        <v>0</v>
      </c>
      <c r="AG80" s="79">
        <f ca="1">$I$17*$AG$17</f>
        <v>0</v>
      </c>
      <c r="AI80" s="79">
        <f>$I$17*$AI$17</f>
        <v>0</v>
      </c>
      <c r="AJ80" s="79">
        <f>$I$17*$AJ$17</f>
        <v>0</v>
      </c>
      <c r="AK80" s="79">
        <f>$I$17*$AK$17</f>
        <v>0</v>
      </c>
      <c r="AL80" s="79">
        <f>$I$17*$AL$17</f>
        <v>0</v>
      </c>
      <c r="AM80" s="79">
        <f>$I$17*$AM$17</f>
        <v>0</v>
      </c>
      <c r="AN80" s="79">
        <f>$I$17*$AN$17</f>
        <v>0</v>
      </c>
      <c r="AO80" s="79">
        <f>$I$17*$AO$17</f>
        <v>0</v>
      </c>
      <c r="AP80" s="79">
        <f>$I$17*$AP$17</f>
        <v>0</v>
      </c>
      <c r="AQ80" s="79">
        <f>$I$17*$AQ$17</f>
        <v>52818.682128929722</v>
      </c>
      <c r="AR80" s="79">
        <f>$I$17*$AR$17</f>
        <v>19671.615151881429</v>
      </c>
      <c r="AS80" s="79">
        <f>$I$17*$AS$17</f>
        <v>3985.2932842221107</v>
      </c>
      <c r="AT80" s="79">
        <f>$I$17*$AT$17</f>
        <v>0</v>
      </c>
      <c r="AU80" s="79">
        <f>$I$17*$AU$17</f>
        <v>3314.4099706347001</v>
      </c>
      <c r="AV80" s="79">
        <f>$I$17*$AV$17</f>
        <v>0</v>
      </c>
      <c r="AW80" s="79">
        <f>$I$17*$AW$17</f>
        <v>0</v>
      </c>
      <c r="AX80" s="79">
        <f>$I$17*$AX$17</f>
        <v>92586.340164801732</v>
      </c>
      <c r="AY80" s="79">
        <f>$I$17*$AY$17</f>
        <v>0</v>
      </c>
      <c r="AZ80" s="79">
        <f>$I$17*$AZ$17</f>
        <v>0</v>
      </c>
      <c r="BA80" s="79">
        <f>$I$17*$BA$17</f>
        <v>0</v>
      </c>
      <c r="BB80" s="79">
        <f>$I$17*$BB$17</f>
        <v>0</v>
      </c>
      <c r="BC80" s="79">
        <f>$I$17*$BC$17</f>
        <v>0</v>
      </c>
      <c r="BD80" s="79">
        <f>$I$17*$BD$17</f>
        <v>0</v>
      </c>
    </row>
    <row r="81" spans="1:56" ht="11.25" customHeight="1" x14ac:dyDescent="0.25">
      <c r="A81" s="9" t="s">
        <v>33</v>
      </c>
      <c r="B81" s="9" t="s">
        <v>1096</v>
      </c>
      <c r="C81" s="9" t="s">
        <v>1097</v>
      </c>
      <c r="D81" s="9" t="s">
        <v>1098</v>
      </c>
      <c r="E81" s="9" t="s">
        <v>1099</v>
      </c>
      <c r="F81" s="9" t="s">
        <v>1100</v>
      </c>
      <c r="G81" s="9" t="s">
        <v>1102</v>
      </c>
      <c r="L81" s="79">
        <f>$I$18*$L$18</f>
        <v>0</v>
      </c>
      <c r="M81" s="79">
        <f>$I$18*$M$18</f>
        <v>0</v>
      </c>
      <c r="N81" s="79">
        <f ca="1">$I$18*$N$18</f>
        <v>0</v>
      </c>
      <c r="O81" s="79">
        <f>$I$18*$O$18</f>
        <v>0</v>
      </c>
      <c r="P81" s="79">
        <f>$I$18*$P$18</f>
        <v>0</v>
      </c>
      <c r="Q81" s="79">
        <f>$I$18*$Q$18</f>
        <v>0</v>
      </c>
      <c r="R81" s="79">
        <f>$I$18*$R$18</f>
        <v>0</v>
      </c>
      <c r="S81" s="79">
        <f>$I$18*$S$18</f>
        <v>0</v>
      </c>
      <c r="T81" s="79">
        <f>$I$18*$T$18</f>
        <v>38261.148190982509</v>
      </c>
      <c r="U81" s="79">
        <f>$I$18*$U$18</f>
        <v>9846.0102459352984</v>
      </c>
      <c r="V81" s="79">
        <f>$I$18*$V$18</f>
        <v>2727.5211672685214</v>
      </c>
      <c r="W81" s="79">
        <f>$I$18*$W$18</f>
        <v>0</v>
      </c>
      <c r="X81" s="79">
        <f>$I$18*$X$18</f>
        <v>998.72588455048151</v>
      </c>
      <c r="Y81" s="79">
        <f>$I$18*$Y$18</f>
        <v>0</v>
      </c>
      <c r="Z81" s="79">
        <f>$I$18*$Z$18</f>
        <v>0</v>
      </c>
      <c r="AA81" s="79">
        <f>$I$18*$AA$18</f>
        <v>44726.82109143446</v>
      </c>
      <c r="AB81" s="79">
        <f>$I$18*$AB$18</f>
        <v>0</v>
      </c>
      <c r="AC81" s="79">
        <f ca="1">$I$18*$AC$18</f>
        <v>0</v>
      </c>
      <c r="AD81" s="79">
        <f>$I$18*$AD$18</f>
        <v>0</v>
      </c>
      <c r="AE81" s="79">
        <f>$I$18*$AE$18</f>
        <v>0</v>
      </c>
      <c r="AF81" s="79">
        <f ca="1">$I$18*$AF$18</f>
        <v>0</v>
      </c>
      <c r="AG81" s="79">
        <f ca="1">$I$18*$AG$18</f>
        <v>0</v>
      </c>
      <c r="AI81" s="79">
        <f>$I$18*$AI$18</f>
        <v>0</v>
      </c>
      <c r="AJ81" s="79">
        <f>$I$18*$AJ$18</f>
        <v>0</v>
      </c>
      <c r="AK81" s="79">
        <f>$I$18*$AK$18</f>
        <v>0</v>
      </c>
      <c r="AL81" s="79">
        <f>$I$18*$AL$18</f>
        <v>0</v>
      </c>
      <c r="AM81" s="79">
        <f>$I$18*$AM$18</f>
        <v>0</v>
      </c>
      <c r="AN81" s="79">
        <f>$I$18*$AN$18</f>
        <v>0</v>
      </c>
      <c r="AO81" s="79">
        <f>$I$18*$AO$18</f>
        <v>0</v>
      </c>
      <c r="AP81" s="79">
        <f>$I$18*$AP$18</f>
        <v>0</v>
      </c>
      <c r="AQ81" s="79">
        <f>$I$18*$AQ$18</f>
        <v>39541.429784680229</v>
      </c>
      <c r="AR81" s="79">
        <f>$I$18*$AR$18</f>
        <v>14780.594384560731</v>
      </c>
      <c r="AS81" s="79">
        <f>$I$18*$AS$18</f>
        <v>3051.6116145062724</v>
      </c>
      <c r="AT81" s="79">
        <f>$I$18*$AT$18</f>
        <v>0</v>
      </c>
      <c r="AU81" s="79">
        <f>$I$18*$AU$18</f>
        <v>1199.9374230389571</v>
      </c>
      <c r="AV81" s="79">
        <f>$I$18*$AV$18</f>
        <v>0</v>
      </c>
      <c r="AW81" s="79">
        <f>$I$18*$AW$18</f>
        <v>0</v>
      </c>
      <c r="AX81" s="79">
        <f>$I$18*$AX$18</f>
        <v>40186.452605122387</v>
      </c>
      <c r="AY81" s="79">
        <f>$I$18*$AY$18</f>
        <v>0</v>
      </c>
      <c r="AZ81" s="79">
        <f>$I$18*$AZ$18</f>
        <v>0</v>
      </c>
      <c r="BA81" s="79">
        <f>$I$18*$BA$18</f>
        <v>0</v>
      </c>
      <c r="BB81" s="79">
        <f>$I$18*$BB$18</f>
        <v>0</v>
      </c>
      <c r="BC81" s="79">
        <f>$I$18*$BC$18</f>
        <v>0</v>
      </c>
      <c r="BD81" s="79">
        <f>$I$18*$BD$18</f>
        <v>0</v>
      </c>
    </row>
    <row r="82" spans="1:56" ht="11.25" customHeight="1" x14ac:dyDescent="0.25">
      <c r="A82" s="9" t="s">
        <v>33</v>
      </c>
      <c r="B82" s="9" t="s">
        <v>1096</v>
      </c>
      <c r="C82" s="9" t="s">
        <v>1097</v>
      </c>
      <c r="D82" s="9" t="s">
        <v>1098</v>
      </c>
      <c r="E82" s="9" t="s">
        <v>1099</v>
      </c>
      <c r="F82" s="9" t="s">
        <v>1100</v>
      </c>
      <c r="G82" s="9" t="s">
        <v>1103</v>
      </c>
      <c r="L82" s="79">
        <f>$I$19*$L$19</f>
        <v>0</v>
      </c>
      <c r="M82" s="79">
        <f>$I$19*$M$19</f>
        <v>0</v>
      </c>
      <c r="N82" s="79">
        <f ca="1">$I$19*$N$19</f>
        <v>0</v>
      </c>
      <c r="O82" s="79">
        <f>$I$19*$O$19</f>
        <v>0</v>
      </c>
      <c r="P82" s="79">
        <f>$I$19*$P$19</f>
        <v>0</v>
      </c>
      <c r="Q82" s="79">
        <f>$I$19*$Q$19</f>
        <v>0</v>
      </c>
      <c r="R82" s="79">
        <f>$I$19*$R$19</f>
        <v>0</v>
      </c>
      <c r="S82" s="79">
        <f>$I$19*$S$19</f>
        <v>0</v>
      </c>
      <c r="T82" s="79">
        <f>$I$19*$T$19</f>
        <v>0</v>
      </c>
      <c r="U82" s="79">
        <f>$I$19*$U$19</f>
        <v>0</v>
      </c>
      <c r="V82" s="79">
        <f>$I$19*$V$19</f>
        <v>0</v>
      </c>
      <c r="W82" s="79">
        <f>$I$19*$W$19</f>
        <v>0</v>
      </c>
      <c r="X82" s="79">
        <f>$I$19*$X$19</f>
        <v>0</v>
      </c>
      <c r="Y82" s="79">
        <f>$I$19*$Y$19</f>
        <v>0</v>
      </c>
      <c r="Z82" s="79">
        <f>$I$19*$Z$19</f>
        <v>0</v>
      </c>
      <c r="AA82" s="79">
        <f>$I$19*$AA$19</f>
        <v>0</v>
      </c>
      <c r="AB82" s="79">
        <f>$I$19*$AB$19</f>
        <v>0</v>
      </c>
      <c r="AC82" s="79">
        <f ca="1">$I$19*$AC$19</f>
        <v>0</v>
      </c>
      <c r="AD82" s="79">
        <f>$I$19*$AD$19</f>
        <v>54700.864088290844</v>
      </c>
      <c r="AE82" s="79">
        <f>$I$19*$AE$19</f>
        <v>3158.6857105506474</v>
      </c>
      <c r="AF82" s="79">
        <f ca="1">$I$19*$AF$19</f>
        <v>0</v>
      </c>
      <c r="AG82" s="79">
        <f ca="1">$I$19*$AG$19</f>
        <v>0</v>
      </c>
      <c r="AI82" s="79">
        <f>$I$19*$AI$19</f>
        <v>0</v>
      </c>
      <c r="AJ82" s="79">
        <f>$I$19*$AJ$19</f>
        <v>0</v>
      </c>
      <c r="AK82" s="79">
        <f>$I$19*$AK$19</f>
        <v>0</v>
      </c>
      <c r="AL82" s="79">
        <f>$I$19*$AL$19</f>
        <v>0</v>
      </c>
      <c r="AM82" s="79">
        <f>$I$19*$AM$19</f>
        <v>0</v>
      </c>
      <c r="AN82" s="79">
        <f>$I$19*$AN$19</f>
        <v>0</v>
      </c>
      <c r="AO82" s="79">
        <f>$I$19*$AO$19</f>
        <v>0</v>
      </c>
      <c r="AP82" s="79">
        <f>$I$19*$AP$19</f>
        <v>0</v>
      </c>
      <c r="AQ82" s="79">
        <f>$I$19*$AQ$19</f>
        <v>0</v>
      </c>
      <c r="AR82" s="79">
        <f>$I$19*$AR$19</f>
        <v>0</v>
      </c>
      <c r="AS82" s="79">
        <f>$I$19*$AS$19</f>
        <v>0</v>
      </c>
      <c r="AT82" s="79">
        <f>$I$19*$AT$19</f>
        <v>0</v>
      </c>
      <c r="AU82" s="79">
        <f>$I$19*$AU$19</f>
        <v>0</v>
      </c>
      <c r="AV82" s="79">
        <f>$I$19*$AV$19</f>
        <v>0</v>
      </c>
      <c r="AW82" s="79">
        <f>$I$19*$AW$19</f>
        <v>0</v>
      </c>
      <c r="AX82" s="79">
        <f>$I$19*$AX$19</f>
        <v>0</v>
      </c>
      <c r="AY82" s="79">
        <f>$I$19*$AY$19</f>
        <v>0</v>
      </c>
      <c r="AZ82" s="79">
        <f>$I$19*$AZ$19</f>
        <v>0</v>
      </c>
      <c r="BA82" s="79">
        <f>$I$19*$BA$19</f>
        <v>48511.22545083944</v>
      </c>
      <c r="BB82" s="79">
        <f>$I$19*$BB$19</f>
        <v>2536.5728305584294</v>
      </c>
      <c r="BC82" s="79">
        <f>$I$19*$BC$19</f>
        <v>0</v>
      </c>
      <c r="BD82" s="79">
        <f>$I$19*$BD$19</f>
        <v>0</v>
      </c>
    </row>
    <row r="83" spans="1:56" ht="11.25" customHeight="1" x14ac:dyDescent="0.25">
      <c r="A83" s="9" t="s">
        <v>33</v>
      </c>
      <c r="B83" s="9" t="s">
        <v>1104</v>
      </c>
      <c r="C83" s="9" t="s">
        <v>1105</v>
      </c>
      <c r="D83" s="9" t="s">
        <v>1106</v>
      </c>
      <c r="E83" s="9" t="s">
        <v>1107</v>
      </c>
      <c r="F83" s="9" t="s">
        <v>1108</v>
      </c>
      <c r="G83" s="9" t="s">
        <v>1109</v>
      </c>
      <c r="L83" s="79">
        <f>$I$20*$L$20</f>
        <v>0</v>
      </c>
      <c r="M83" s="79">
        <f>$I$20*$M$20</f>
        <v>1849.8564847694331</v>
      </c>
      <c r="N83" s="79">
        <f ca="1">$I$20*$N$20</f>
        <v>5382.5219832550501</v>
      </c>
      <c r="O83" s="79">
        <f>$I$20*$O$20</f>
        <v>0</v>
      </c>
      <c r="P83" s="79">
        <f>$I$20*$P$20</f>
        <v>0</v>
      </c>
      <c r="Q83" s="79">
        <f>$I$20*$Q$20</f>
        <v>0</v>
      </c>
      <c r="R83" s="79">
        <f>$I$20*$R$20</f>
        <v>0</v>
      </c>
      <c r="S83" s="79">
        <f>$I$20*$S$20</f>
        <v>0</v>
      </c>
      <c r="T83" s="79">
        <f>$I$20*$T$20</f>
        <v>0</v>
      </c>
      <c r="U83" s="79">
        <f>$I$20*$U$20</f>
        <v>0</v>
      </c>
      <c r="V83" s="79">
        <f>$I$20*$V$20</f>
        <v>0</v>
      </c>
      <c r="W83" s="79">
        <f>$I$20*$W$20</f>
        <v>0</v>
      </c>
      <c r="X83" s="79">
        <f>$I$20*$X$20</f>
        <v>0</v>
      </c>
      <c r="Y83" s="79">
        <f>$I$20*$Y$20</f>
        <v>0</v>
      </c>
      <c r="Z83" s="79">
        <f>$I$20*$Z$20</f>
        <v>0</v>
      </c>
      <c r="AA83" s="79">
        <f>$I$20*$AA$20</f>
        <v>567941.32246294618</v>
      </c>
      <c r="AB83" s="79">
        <f ca="1">$I$20*$AB$20</f>
        <v>720.49752249657774</v>
      </c>
      <c r="AC83" s="79">
        <f ca="1">$I$20*$AC$20</f>
        <v>0</v>
      </c>
      <c r="AD83" s="79">
        <f>$I$20*$AD$20</f>
        <v>40.552462518337045</v>
      </c>
      <c r="AE83" s="79">
        <f>$I$20*$AE$20</f>
        <v>0</v>
      </c>
      <c r="AF83" s="79">
        <f ca="1">$I$20*$AF$20</f>
        <v>0</v>
      </c>
      <c r="AG83" s="79">
        <f ca="1">$I$20*$AG$20</f>
        <v>0</v>
      </c>
      <c r="AI83" s="79">
        <f>$I$20*$AI$20</f>
        <v>0</v>
      </c>
      <c r="AJ83" s="79">
        <f>$I$20*$AJ$20</f>
        <v>1763.3974927916831</v>
      </c>
      <c r="AK83" s="79">
        <f>$I$20*$AK$20</f>
        <v>4461.8789032251416</v>
      </c>
      <c r="AL83" s="79">
        <f>$I$20*$AL$20</f>
        <v>0</v>
      </c>
      <c r="AM83" s="79">
        <f>$I$20*$AM$20</f>
        <v>0</v>
      </c>
      <c r="AN83" s="79">
        <f>$I$20*$AN$20</f>
        <v>0</v>
      </c>
      <c r="AO83" s="79">
        <f>$I$20*$AO$20</f>
        <v>0</v>
      </c>
      <c r="AP83" s="79">
        <f>$I$20*$AP$20</f>
        <v>0</v>
      </c>
      <c r="AQ83" s="79">
        <f>$I$20*$AQ$20</f>
        <v>0</v>
      </c>
      <c r="AR83" s="79">
        <f>$I$20*$AR$20</f>
        <v>0</v>
      </c>
      <c r="AS83" s="79">
        <f>$I$20*$AS$20</f>
        <v>0</v>
      </c>
      <c r="AT83" s="79">
        <f>$I$20*$AT$20</f>
        <v>0</v>
      </c>
      <c r="AU83" s="79">
        <f>$I$20*$AU$20</f>
        <v>0</v>
      </c>
      <c r="AV83" s="79">
        <f>$I$20*$AV$20</f>
        <v>0</v>
      </c>
      <c r="AW83" s="79">
        <f>$I$20*$AW$20</f>
        <v>0</v>
      </c>
      <c r="AX83" s="79">
        <f>$I$20*$AX$20</f>
        <v>484773.32295626972</v>
      </c>
      <c r="AY83" s="79">
        <f>$I$20*$AY$20</f>
        <v>-33647.369372885732</v>
      </c>
      <c r="AZ83" s="79">
        <f>$I$20*$AZ$20</f>
        <v>0</v>
      </c>
      <c r="BA83" s="79">
        <f>$I$20*$BA$20</f>
        <v>35.963776525330502</v>
      </c>
      <c r="BB83" s="79">
        <f>$I$20*$BB$20</f>
        <v>0</v>
      </c>
      <c r="BC83" s="79">
        <f>$I$20*$BC$20</f>
        <v>0</v>
      </c>
      <c r="BD83" s="79">
        <f>$I$20*$BD$20</f>
        <v>0</v>
      </c>
    </row>
    <row r="84" spans="1:56" ht="11.25" customHeight="1" x14ac:dyDescent="0.25">
      <c r="A84" s="9" t="s">
        <v>33</v>
      </c>
      <c r="B84" s="9" t="s">
        <v>1110</v>
      </c>
      <c r="C84" s="9" t="s">
        <v>1111</v>
      </c>
      <c r="D84" s="9" t="s">
        <v>1112</v>
      </c>
      <c r="E84" s="9" t="s">
        <v>1113</v>
      </c>
      <c r="F84" s="9" t="s">
        <v>1114</v>
      </c>
      <c r="G84" s="9" t="s">
        <v>1115</v>
      </c>
      <c r="L84" s="79">
        <f>$I$21*$L$21</f>
        <v>0</v>
      </c>
      <c r="M84" s="79">
        <f>$I$21*$M$21</f>
        <v>0</v>
      </c>
      <c r="N84" s="79">
        <f ca="1">$I$21*$N$21</f>
        <v>0</v>
      </c>
      <c r="O84" s="79">
        <f>$I$21*$O$21</f>
        <v>0</v>
      </c>
      <c r="P84" s="79">
        <f>$I$21*$P$21</f>
        <v>0</v>
      </c>
      <c r="Q84" s="79">
        <f>$I$21*$Q$21</f>
        <v>0</v>
      </c>
      <c r="R84" s="79">
        <f>$I$21*$R$21</f>
        <v>0</v>
      </c>
      <c r="S84" s="79">
        <f>$I$21*$S$21</f>
        <v>0</v>
      </c>
      <c r="T84" s="79">
        <f>$I$21*$T$21</f>
        <v>16638102.735784689</v>
      </c>
      <c r="U84" s="79">
        <f>$I$21*$U$21</f>
        <v>4281599.9455047576</v>
      </c>
      <c r="V84" s="79">
        <f>$I$21*$V$21</f>
        <v>1186079.8627506036</v>
      </c>
      <c r="W84" s="79">
        <f>$I$21*$W$21</f>
        <v>0</v>
      </c>
      <c r="X84" s="79">
        <f>$I$21*$X$21</f>
        <v>434302.27940610179</v>
      </c>
      <c r="Y84" s="79">
        <f>$I$21*$Y$21</f>
        <v>0</v>
      </c>
      <c r="Z84" s="79">
        <f>$I$21*$Z$21</f>
        <v>0</v>
      </c>
      <c r="AA84" s="79">
        <f>$I$21*$AA$21</f>
        <v>60980235.278180607</v>
      </c>
      <c r="AB84" s="79">
        <f ca="1">$I$21*$AB$21</f>
        <v>112395.61833923783</v>
      </c>
      <c r="AC84" s="79">
        <f ca="1">$I$21*$AC$21</f>
        <v>0</v>
      </c>
      <c r="AD84" s="79">
        <f>$I$21*$AD$21</f>
        <v>0</v>
      </c>
      <c r="AE84" s="79">
        <f>$I$21*$AE$21</f>
        <v>0</v>
      </c>
      <c r="AF84" s="79">
        <f ca="1">$I$21*$AF$21</f>
        <v>0</v>
      </c>
      <c r="AG84" s="79">
        <f ca="1">$I$21*$AG$21</f>
        <v>0</v>
      </c>
      <c r="AI84" s="79">
        <f>$I$21*$AI$21</f>
        <v>0</v>
      </c>
      <c r="AJ84" s="79">
        <f>$I$21*$AJ$21</f>
        <v>0</v>
      </c>
      <c r="AK84" s="79">
        <f>$I$21*$AK$21</f>
        <v>0</v>
      </c>
      <c r="AL84" s="79">
        <f>$I$21*$AL$21</f>
        <v>0</v>
      </c>
      <c r="AM84" s="79">
        <f>$I$21*$AM$21</f>
        <v>0</v>
      </c>
      <c r="AN84" s="79">
        <f>$I$21*$AN$21</f>
        <v>0</v>
      </c>
      <c r="AO84" s="79">
        <f>$I$21*$AO$21</f>
        <v>0</v>
      </c>
      <c r="AP84" s="79">
        <f>$I$21*$AP$21</f>
        <v>0</v>
      </c>
      <c r="AQ84" s="79">
        <f>$I$21*$AQ$21</f>
        <v>17194841.299414549</v>
      </c>
      <c r="AR84" s="79">
        <f>$I$21*$AR$21</f>
        <v>6427435.1265873164</v>
      </c>
      <c r="AS84" s="79">
        <f>$I$21*$AS$21</f>
        <v>1327012.6473579137</v>
      </c>
      <c r="AT84" s="79">
        <f>$I$21*$AT$21</f>
        <v>0</v>
      </c>
      <c r="AU84" s="79">
        <f>$I$21*$AU$21</f>
        <v>521800.39191140205</v>
      </c>
      <c r="AV84" s="79">
        <f>$I$21*$AV$21</f>
        <v>0</v>
      </c>
      <c r="AW84" s="79">
        <f>$I$21*$AW$21</f>
        <v>0</v>
      </c>
      <c r="AX84" s="79">
        <f>$I$21*$AX$21</f>
        <v>54789928.616794243</v>
      </c>
      <c r="AY84" s="79">
        <f>$I$21*$AY$21</f>
        <v>-6194393.5399594186</v>
      </c>
      <c r="AZ84" s="79">
        <f>$I$21*$AZ$21</f>
        <v>0</v>
      </c>
      <c r="BA84" s="79">
        <f>$I$21*$BA$21</f>
        <v>0</v>
      </c>
      <c r="BB84" s="79">
        <f>$I$21*$BB$21</f>
        <v>0</v>
      </c>
      <c r="BC84" s="79">
        <f>$I$21*$BC$21</f>
        <v>0</v>
      </c>
      <c r="BD84" s="79">
        <f>$I$21*$BD$21</f>
        <v>0</v>
      </c>
    </row>
    <row r="85" spans="1:56" ht="11.25" customHeight="1" x14ac:dyDescent="0.25">
      <c r="A85" s="9" t="s">
        <v>33</v>
      </c>
      <c r="B85" s="9" t="s">
        <v>1110</v>
      </c>
      <c r="C85" s="9" t="s">
        <v>1111</v>
      </c>
      <c r="D85" s="9" t="s">
        <v>1112</v>
      </c>
      <c r="E85" s="9" t="s">
        <v>1113</v>
      </c>
      <c r="F85" s="9" t="s">
        <v>1114</v>
      </c>
      <c r="G85" s="9" t="s">
        <v>1116</v>
      </c>
      <c r="L85" s="79">
        <f>$I$22*$L$22</f>
        <v>425260.45411243121</v>
      </c>
      <c r="M85" s="79">
        <f>$I$22*$M$22</f>
        <v>28446.007619506479</v>
      </c>
      <c r="N85" s="79">
        <f ca="1">$I$22*$N$22</f>
        <v>831552.19924121769</v>
      </c>
      <c r="O85" s="79">
        <f>$I$22*$O$22</f>
        <v>-74.914409402696052</v>
      </c>
      <c r="P85" s="79">
        <f>$I$22*$P$22</f>
        <v>0</v>
      </c>
      <c r="Q85" s="79">
        <f>$I$22*$Q$22</f>
        <v>1673825.4366982467</v>
      </c>
      <c r="R85" s="79">
        <f>$I$22*$R$22</f>
        <v>818015.87330500293</v>
      </c>
      <c r="S85" s="79">
        <f>$I$22*$S$22</f>
        <v>0</v>
      </c>
      <c r="T85" s="79">
        <f>$I$22*$T$22</f>
        <v>10585271.07817035</v>
      </c>
      <c r="U85" s="79">
        <f>$I$22*$U$22</f>
        <v>2714013.5594792259</v>
      </c>
      <c r="V85" s="79">
        <f>$I$22*$V$22</f>
        <v>737775.16169099079</v>
      </c>
      <c r="W85" s="79">
        <f>$I$22*$W$22</f>
        <v>0</v>
      </c>
      <c r="X85" s="79">
        <f>$I$22*$X$22</f>
        <v>571356.14972801285</v>
      </c>
      <c r="Y85" s="79">
        <f>$I$22*$Y$22</f>
        <v>0</v>
      </c>
      <c r="Z85" s="79">
        <f>$I$22*$Z$22</f>
        <v>0</v>
      </c>
      <c r="AA85" s="79">
        <f>$I$22*$AA$22</f>
        <v>66914784.057430819</v>
      </c>
      <c r="AB85" s="79">
        <f ca="1">$I$22*$AB$22</f>
        <v>115073.43590024312</v>
      </c>
      <c r="AC85" s="79">
        <f ca="1">$I$22*$AC$22</f>
        <v>0</v>
      </c>
      <c r="AD85" s="79">
        <f>$I$22*$AD$22</f>
        <v>930654.14389709791</v>
      </c>
      <c r="AE85" s="79">
        <f>$I$22*$AE$22</f>
        <v>53740.35666141814</v>
      </c>
      <c r="AF85" s="79">
        <f ca="1">$I$22*$AF$22</f>
        <v>1339424.9981148469</v>
      </c>
      <c r="AG85" s="79">
        <f ca="1">$I$22*$AG$22</f>
        <v>436202.77212805214</v>
      </c>
      <c r="AI85" s="79">
        <f>$I$22*$AI$22</f>
        <v>0</v>
      </c>
      <c r="AJ85" s="79">
        <f>$I$22*$AJ$22</f>
        <v>24179.370075471255</v>
      </c>
      <c r="AK85" s="79">
        <f>$I$22*$AK$22</f>
        <v>686966.95496900158</v>
      </c>
      <c r="AL85" s="79">
        <f>$I$22*$AL$22</f>
        <v>-66.039309535414574</v>
      </c>
      <c r="AM85" s="79">
        <f>$I$22*$AM$22</f>
        <v>0</v>
      </c>
      <c r="AN85" s="79">
        <f>$I$22*$AN$22</f>
        <v>1072144.7910251233</v>
      </c>
      <c r="AO85" s="79">
        <f>$I$22*$AO$22</f>
        <v>784485.26097880828</v>
      </c>
      <c r="AP85" s="79">
        <f>$I$22*$AP$22</f>
        <v>0</v>
      </c>
      <c r="AQ85" s="79">
        <f>$I$22*$AQ$22</f>
        <v>10939471.837071683</v>
      </c>
      <c r="AR85" s="79">
        <f>$I$22*$AR$22</f>
        <v>4074212.0488266558</v>
      </c>
      <c r="AS85" s="79">
        <f>$I$22*$AS$22</f>
        <v>825439.33272757521</v>
      </c>
      <c r="AT85" s="79">
        <f>$I$22*$AT$22</f>
        <v>0</v>
      </c>
      <c r="AU85" s="79">
        <f>$I$22*$AU$22</f>
        <v>686466.26321362506</v>
      </c>
      <c r="AV85" s="79">
        <f>$I$22*$AV$22</f>
        <v>0</v>
      </c>
      <c r="AW85" s="79">
        <f>$I$22*$AW$22</f>
        <v>0</v>
      </c>
      <c r="AX85" s="79">
        <f>$I$22*$AX$22</f>
        <v>60122041.595773272</v>
      </c>
      <c r="AY85" s="79">
        <f>$I$22*$AY$22</f>
        <v>-6058997.289148164</v>
      </c>
      <c r="AZ85" s="79">
        <f>$I$22*$AZ$22</f>
        <v>0</v>
      </c>
      <c r="BA85" s="79">
        <f>$I$22*$BA$22</f>
        <v>825346.61460702959</v>
      </c>
      <c r="BB85" s="79">
        <f>$I$22*$BB$22</f>
        <v>43156.02788734217</v>
      </c>
      <c r="BC85" s="79">
        <f>$I$22*$BC$22</f>
        <v>1199094.1705783843</v>
      </c>
      <c r="BD85" s="79">
        <f>$I$22*$BD$22</f>
        <v>311026.54482543661</v>
      </c>
    </row>
    <row r="86" spans="1:56" ht="11.25" customHeight="1" x14ac:dyDescent="0.25">
      <c r="A86" s="9" t="s">
        <v>33</v>
      </c>
      <c r="B86" s="9" t="s">
        <v>1110</v>
      </c>
      <c r="C86" s="9" t="s">
        <v>1111</v>
      </c>
      <c r="D86" s="9" t="s">
        <v>1112</v>
      </c>
      <c r="E86" s="9" t="s">
        <v>1113</v>
      </c>
      <c r="F86" s="9" t="s">
        <v>1114</v>
      </c>
      <c r="G86" s="9" t="s">
        <v>1117</v>
      </c>
      <c r="L86" s="79">
        <f>$I$23*$L$23</f>
        <v>5901987.3961450858</v>
      </c>
      <c r="M86" s="79">
        <f>$I$23*$M$23</f>
        <v>394788.59794611367</v>
      </c>
      <c r="N86" s="79">
        <f ca="1">$I$23*$N$23</f>
        <v>702725.11803353438</v>
      </c>
      <c r="O86" s="79">
        <f>$I$23*$O$23</f>
        <v>-1039.7014248766009</v>
      </c>
      <c r="P86" s="79">
        <f>$I$23*$P$23</f>
        <v>0</v>
      </c>
      <c r="Q86" s="79">
        <f>$I$23*$Q$23</f>
        <v>23230226.406446658</v>
      </c>
      <c r="R86" s="79">
        <f>$I$23*$R$23</f>
        <v>11352852.886754261</v>
      </c>
      <c r="S86" s="79">
        <f>$I$23*$S$23</f>
        <v>0</v>
      </c>
      <c r="T86" s="79">
        <f>$I$23*$T$23</f>
        <v>0</v>
      </c>
      <c r="U86" s="79">
        <f>$I$23*$U$23</f>
        <v>0</v>
      </c>
      <c r="V86" s="79">
        <f>$I$23*$V$23</f>
        <v>0</v>
      </c>
      <c r="W86" s="79">
        <f>$I$23*$W$23</f>
        <v>0</v>
      </c>
      <c r="X86" s="79">
        <f>$I$23*$X$23</f>
        <v>0</v>
      </c>
      <c r="Y86" s="79">
        <f>$I$23*$Y$23</f>
        <v>0</v>
      </c>
      <c r="Z86" s="79">
        <f>$I$23*$Z$23</f>
        <v>0</v>
      </c>
      <c r="AA86" s="79">
        <f>$I$23*$AA$23</f>
        <v>0</v>
      </c>
      <c r="AB86" s="79">
        <f ca="1">$I$23*$AB$23</f>
        <v>97203.138139902338</v>
      </c>
      <c r="AC86" s="79">
        <f ca="1">$I$23*$AC$23</f>
        <v>0</v>
      </c>
      <c r="AD86" s="79">
        <f>$I$23*$AD$23</f>
        <v>12916105.82252422</v>
      </c>
      <c r="AE86" s="79">
        <f>$I$23*$AE$23</f>
        <v>745836.82685006049</v>
      </c>
      <c r="AF86" s="79">
        <f ca="1">$I$23*$AF$23</f>
        <v>18589241.911653206</v>
      </c>
      <c r="AG86" s="79">
        <f ca="1">$I$23*$AG$23</f>
        <v>6053850.6187614352</v>
      </c>
      <c r="AI86" s="79">
        <f>$I$23*$AI$23</f>
        <v>0</v>
      </c>
      <c r="AJ86" s="79">
        <f>$I$23*$AJ$23</f>
        <v>335573.96661771426</v>
      </c>
      <c r="AK86" s="79">
        <f>$I$23*$AK$23</f>
        <v>549858.75730398181</v>
      </c>
      <c r="AL86" s="79">
        <f>$I$23*$AL$23</f>
        <v>-916.52813883581666</v>
      </c>
      <c r="AM86" s="79">
        <f>$I$23*$AM$23</f>
        <v>0</v>
      </c>
      <c r="AN86" s="79">
        <f>$I$23*$AN$23</f>
        <v>14879787.156978231</v>
      </c>
      <c r="AO86" s="79">
        <f>$I$23*$AO$23</f>
        <v>10887497.480624944</v>
      </c>
      <c r="AP86" s="79">
        <f>$I$23*$AP$23</f>
        <v>0</v>
      </c>
      <c r="AQ86" s="79">
        <f>$I$23*$AQ$23</f>
        <v>0</v>
      </c>
      <c r="AR86" s="79">
        <f>$I$23*$AR$23</f>
        <v>0</v>
      </c>
      <c r="AS86" s="79">
        <f>$I$23*$AS$23</f>
        <v>0</v>
      </c>
      <c r="AT86" s="79">
        <f>$I$23*$AT$23</f>
        <v>0</v>
      </c>
      <c r="AU86" s="79">
        <f>$I$23*$AU$23</f>
        <v>0</v>
      </c>
      <c r="AV86" s="79">
        <f>$I$23*$AV$23</f>
        <v>0</v>
      </c>
      <c r="AW86" s="79">
        <f>$I$23*$AW$23</f>
        <v>0</v>
      </c>
      <c r="AX86" s="79">
        <f>$I$23*$AX$23</f>
        <v>0</v>
      </c>
      <c r="AY86" s="79">
        <f>$I$23*$AY$23</f>
        <v>-4510140.9586810684</v>
      </c>
      <c r="AZ86" s="79">
        <f>$I$23*$AZ$23</f>
        <v>0</v>
      </c>
      <c r="BA86" s="79">
        <f>$I$23*$BA$23</f>
        <v>11454592.75546428</v>
      </c>
      <c r="BB86" s="79">
        <f>$I$23*$BB$23</f>
        <v>598941.96649528947</v>
      </c>
      <c r="BC86" s="79">
        <f>$I$23*$BC$23</f>
        <v>16641657.161174992</v>
      </c>
      <c r="BD86" s="79">
        <f>$I$23*$BD$23</f>
        <v>4316589.3505370766</v>
      </c>
    </row>
    <row r="87" spans="1:56" ht="11.25" customHeight="1" x14ac:dyDescent="0.25">
      <c r="A87" s="9" t="s">
        <v>33</v>
      </c>
      <c r="B87" s="9" t="s">
        <v>1110</v>
      </c>
      <c r="C87" s="9" t="s">
        <v>1111</v>
      </c>
      <c r="D87" s="9" t="s">
        <v>1112</v>
      </c>
      <c r="E87" s="9" t="s">
        <v>1118</v>
      </c>
      <c r="F87" s="9" t="s">
        <v>1119</v>
      </c>
      <c r="G87" s="9" t="s">
        <v>1120</v>
      </c>
      <c r="L87" s="79">
        <f>$I$24*$L$24</f>
        <v>0</v>
      </c>
      <c r="M87" s="79">
        <f>$I$24*$M$24</f>
        <v>0</v>
      </c>
      <c r="N87" s="79">
        <f ca="1">$I$24*$N$24</f>
        <v>0</v>
      </c>
      <c r="O87" s="79">
        <f>$I$24*$O$24</f>
        <v>0</v>
      </c>
      <c r="P87" s="79">
        <f>$I$24*$P$24</f>
        <v>0</v>
      </c>
      <c r="Q87" s="79">
        <f>$I$24*$Q$24</f>
        <v>0</v>
      </c>
      <c r="R87" s="79">
        <f>$I$24*$R$24</f>
        <v>0</v>
      </c>
      <c r="S87" s="79">
        <f>$I$24*$S$24</f>
        <v>0</v>
      </c>
      <c r="T87" s="79">
        <f>$I$24*$T$24</f>
        <v>0</v>
      </c>
      <c r="U87" s="79">
        <f>$I$24*$U$24</f>
        <v>0</v>
      </c>
      <c r="V87" s="79">
        <f>$I$24*$V$24</f>
        <v>0</v>
      </c>
      <c r="W87" s="79">
        <f>$I$24*$W$24</f>
        <v>0</v>
      </c>
      <c r="X87" s="79">
        <f>$I$24*$X$24</f>
        <v>0</v>
      </c>
      <c r="Y87" s="79">
        <f>$I$24*$Y$24</f>
        <v>0</v>
      </c>
      <c r="Z87" s="79">
        <f>$I$24*$Z$24</f>
        <v>0</v>
      </c>
      <c r="AA87" s="79">
        <f>$I$24*$AA$24</f>
        <v>0</v>
      </c>
      <c r="AB87" s="79">
        <f ca="1">$I$24*$AB$24</f>
        <v>0</v>
      </c>
      <c r="AC87" s="79">
        <f ca="1">$I$24*$AC$24</f>
        <v>0</v>
      </c>
      <c r="AD87" s="79">
        <f>$I$24*$AD$24</f>
        <v>0</v>
      </c>
      <c r="AE87" s="79">
        <f>$I$24*$AE$24</f>
        <v>0</v>
      </c>
      <c r="AF87" s="79">
        <f ca="1">$I$24*$AF$24</f>
        <v>0</v>
      </c>
      <c r="AG87" s="79">
        <f ca="1">$I$24*$AG$24</f>
        <v>0</v>
      </c>
      <c r="AI87" s="79">
        <f>$I$24*$AI$24</f>
        <v>0</v>
      </c>
      <c r="AJ87" s="79">
        <f>$I$24*$AJ$24</f>
        <v>0</v>
      </c>
      <c r="AK87" s="79">
        <f>$I$24*$AK$24</f>
        <v>0</v>
      </c>
      <c r="AL87" s="79">
        <f>$I$24*$AL$24</f>
        <v>0</v>
      </c>
      <c r="AM87" s="79">
        <f>$I$24*$AM$24</f>
        <v>0</v>
      </c>
      <c r="AN87" s="79">
        <f>$I$24*$AN$24</f>
        <v>0</v>
      </c>
      <c r="AO87" s="79">
        <f>$I$24*$AO$24</f>
        <v>0</v>
      </c>
      <c r="AP87" s="79">
        <f>$I$24*$AP$24</f>
        <v>0</v>
      </c>
      <c r="AQ87" s="79">
        <f>$I$24*$AQ$24</f>
        <v>0</v>
      </c>
      <c r="AR87" s="79">
        <f>$I$24*$AR$24</f>
        <v>0</v>
      </c>
      <c r="AS87" s="79">
        <f>$I$24*$AS$24</f>
        <v>0</v>
      </c>
      <c r="AT87" s="79">
        <f>$I$24*$AT$24</f>
        <v>0</v>
      </c>
      <c r="AU87" s="79">
        <f>$I$24*$AU$24</f>
        <v>0</v>
      </c>
      <c r="AV87" s="79">
        <f>$I$24*$AV$24</f>
        <v>0</v>
      </c>
      <c r="AW87" s="79">
        <f>$I$24*$AW$24</f>
        <v>0</v>
      </c>
      <c r="AX87" s="79">
        <f>$I$24*$AX$24</f>
        <v>0</v>
      </c>
      <c r="AY87" s="79">
        <f>$I$24*$AY$24</f>
        <v>0</v>
      </c>
      <c r="AZ87" s="79">
        <f>$I$24*$AZ$24</f>
        <v>0</v>
      </c>
      <c r="BA87" s="79">
        <f>$I$24*$BA$24</f>
        <v>0</v>
      </c>
      <c r="BB87" s="79">
        <f>$I$24*$BB$24</f>
        <v>0</v>
      </c>
      <c r="BC87" s="79">
        <f>$I$24*$BC$24</f>
        <v>0</v>
      </c>
      <c r="BD87" s="79">
        <f>$I$24*$BD$24</f>
        <v>0</v>
      </c>
    </row>
    <row r="88" spans="1:56" ht="11.25" customHeight="1" x14ac:dyDescent="0.25">
      <c r="A88" s="9" t="s">
        <v>33</v>
      </c>
      <c r="B88" s="9" t="s">
        <v>1110</v>
      </c>
      <c r="C88" s="9" t="s">
        <v>1111</v>
      </c>
      <c r="D88" s="9" t="s">
        <v>1112</v>
      </c>
      <c r="E88" s="9" t="s">
        <v>1118</v>
      </c>
      <c r="F88" s="9" t="s">
        <v>1119</v>
      </c>
      <c r="G88" s="9" t="s">
        <v>1121</v>
      </c>
      <c r="L88" s="79">
        <f>$I$25*$L$25</f>
        <v>0</v>
      </c>
      <c r="M88" s="79">
        <f>$I$25*$M$25</f>
        <v>0</v>
      </c>
      <c r="N88" s="79">
        <f ca="1">$I$25*$N$25</f>
        <v>0</v>
      </c>
      <c r="O88" s="79">
        <f>$I$25*$O$25</f>
        <v>0</v>
      </c>
      <c r="P88" s="79">
        <f>$I$25*$P$25</f>
        <v>0</v>
      </c>
      <c r="Q88" s="79">
        <f>$I$25*$Q$25</f>
        <v>0</v>
      </c>
      <c r="R88" s="79">
        <f>$I$25*$R$25</f>
        <v>0</v>
      </c>
      <c r="S88" s="79">
        <f>$I$25*$S$25</f>
        <v>0</v>
      </c>
      <c r="T88" s="79">
        <f>$I$25*$T$25</f>
        <v>0</v>
      </c>
      <c r="U88" s="79">
        <f>$I$25*$U$25</f>
        <v>0</v>
      </c>
      <c r="V88" s="79">
        <f>$I$25*$V$25</f>
        <v>0</v>
      </c>
      <c r="W88" s="79">
        <f>$I$25*$W$25</f>
        <v>0</v>
      </c>
      <c r="X88" s="79">
        <f>$I$25*$X$25</f>
        <v>0</v>
      </c>
      <c r="Y88" s="79">
        <f>$I$25*$Y$25</f>
        <v>0</v>
      </c>
      <c r="Z88" s="79">
        <f>$I$25*$Z$25</f>
        <v>0</v>
      </c>
      <c r="AA88" s="79">
        <f>$I$25*$AA$25</f>
        <v>0</v>
      </c>
      <c r="AB88" s="79">
        <f ca="1">$I$25*$AB$25</f>
        <v>0</v>
      </c>
      <c r="AC88" s="79">
        <f ca="1">$I$25*$AC$25</f>
        <v>0</v>
      </c>
      <c r="AD88" s="79">
        <f>$I$25*$AD$25</f>
        <v>0</v>
      </c>
      <c r="AE88" s="79">
        <f>$I$25*$AE$25</f>
        <v>0</v>
      </c>
      <c r="AF88" s="79">
        <f ca="1">$I$25*$AF$25</f>
        <v>0</v>
      </c>
      <c r="AG88" s="79">
        <f ca="1">$I$25*$AG$25</f>
        <v>0</v>
      </c>
      <c r="AI88" s="79">
        <f>$I$25*$AI$25</f>
        <v>0</v>
      </c>
      <c r="AJ88" s="79">
        <f>$I$25*$AJ$25</f>
        <v>0</v>
      </c>
      <c r="AK88" s="79">
        <f>$I$25*$AK$25</f>
        <v>0</v>
      </c>
      <c r="AL88" s="79">
        <f>$I$25*$AL$25</f>
        <v>0</v>
      </c>
      <c r="AM88" s="79">
        <f>$I$25*$AM$25</f>
        <v>0</v>
      </c>
      <c r="AN88" s="79">
        <f>$I$25*$AN$25</f>
        <v>0</v>
      </c>
      <c r="AO88" s="79">
        <f>$I$25*$AO$25</f>
        <v>0</v>
      </c>
      <c r="AP88" s="79">
        <f>$I$25*$AP$25</f>
        <v>0</v>
      </c>
      <c r="AQ88" s="79">
        <f>$I$25*$AQ$25</f>
        <v>0</v>
      </c>
      <c r="AR88" s="79">
        <f>$I$25*$AR$25</f>
        <v>0</v>
      </c>
      <c r="AS88" s="79">
        <f>$I$25*$AS$25</f>
        <v>0</v>
      </c>
      <c r="AT88" s="79">
        <f>$I$25*$AT$25</f>
        <v>0</v>
      </c>
      <c r="AU88" s="79">
        <f>$I$25*$AU$25</f>
        <v>0</v>
      </c>
      <c r="AV88" s="79">
        <f>$I$25*$AV$25</f>
        <v>0</v>
      </c>
      <c r="AW88" s="79">
        <f>$I$25*$AW$25</f>
        <v>0</v>
      </c>
      <c r="AX88" s="79">
        <f>$I$25*$AX$25</f>
        <v>0</v>
      </c>
      <c r="AY88" s="79">
        <f>$I$25*$AY$25</f>
        <v>0</v>
      </c>
      <c r="AZ88" s="79">
        <f>$I$25*$AZ$25</f>
        <v>0</v>
      </c>
      <c r="BA88" s="79">
        <f>$I$25*$BA$25</f>
        <v>0</v>
      </c>
      <c r="BB88" s="79">
        <f>$I$25*$BB$25</f>
        <v>0</v>
      </c>
      <c r="BC88" s="79">
        <f>$I$25*$BC$25</f>
        <v>0</v>
      </c>
      <c r="BD88" s="79">
        <f>$I$25*$BD$25</f>
        <v>0</v>
      </c>
    </row>
    <row r="89" spans="1:56" ht="11.25" customHeight="1" x14ac:dyDescent="0.25">
      <c r="A89" s="9" t="s">
        <v>98</v>
      </c>
      <c r="B89" s="9" t="s">
        <v>1122</v>
      </c>
      <c r="C89" s="9" t="s">
        <v>1123</v>
      </c>
      <c r="D89" s="9" t="s">
        <v>1124</v>
      </c>
      <c r="E89" s="9" t="s">
        <v>1125</v>
      </c>
      <c r="F89" s="9" t="s">
        <v>1126</v>
      </c>
      <c r="G89" s="9" t="s">
        <v>1127</v>
      </c>
      <c r="L89" s="79">
        <f>$I$26*$L$26</f>
        <v>0</v>
      </c>
      <c r="M89" s="79">
        <f>$I$26*$M$26</f>
        <v>2.7376652595303372E-10</v>
      </c>
      <c r="N89" s="79">
        <f ca="1">$I$26*$N$26</f>
        <v>7.9760708205974364E-10</v>
      </c>
      <c r="O89" s="79">
        <f>$I$26*$O$26</f>
        <v>0</v>
      </c>
      <c r="P89" s="79">
        <f>$I$26*$P$26</f>
        <v>0</v>
      </c>
      <c r="Q89" s="79">
        <f>$I$26*$Q$26</f>
        <v>0</v>
      </c>
      <c r="R89" s="79">
        <f>$I$26*$R$26</f>
        <v>0</v>
      </c>
      <c r="S89" s="79">
        <f>$I$26*$S$26</f>
        <v>0</v>
      </c>
      <c r="T89" s="79">
        <f>$I$26*$T$26</f>
        <v>0</v>
      </c>
      <c r="U89" s="79">
        <f>$I$26*$U$26</f>
        <v>0</v>
      </c>
      <c r="V89" s="79">
        <f>$I$26*$V$26</f>
        <v>0</v>
      </c>
      <c r="W89" s="79">
        <f>$I$26*$W$26</f>
        <v>0</v>
      </c>
      <c r="X89" s="79">
        <f>$I$26*$X$26</f>
        <v>0</v>
      </c>
      <c r="Y89" s="79">
        <f>$I$26*$Y$26</f>
        <v>0</v>
      </c>
      <c r="Z89" s="79">
        <f>$I$26*$Z$26</f>
        <v>0</v>
      </c>
      <c r="AA89" s="79">
        <f>$I$26*$AA$26</f>
        <v>8.4133498559790691E-8</v>
      </c>
      <c r="AB89" s="79">
        <f ca="1">$I$26*$AB$26</f>
        <v>1.0672544060841289E-10</v>
      </c>
      <c r="AC89" s="79">
        <f ca="1">$I$26*$AC$26</f>
        <v>0</v>
      </c>
      <c r="AD89" s="79">
        <f>$I$26*$AD$26</f>
        <v>0</v>
      </c>
      <c r="AE89" s="79">
        <f>$I$26*$AE$26</f>
        <v>0</v>
      </c>
      <c r="AF89" s="79">
        <f ca="1">$I$26*$AF$26</f>
        <v>0</v>
      </c>
      <c r="AG89" s="79">
        <f ca="1">$I$26*$AG$26</f>
        <v>0</v>
      </c>
      <c r="AI89" s="79">
        <f>$I$26*$AI$26</f>
        <v>0</v>
      </c>
      <c r="AJ89" s="79">
        <f>$I$26*$AJ$26</f>
        <v>2.6097116692597901E-10</v>
      </c>
      <c r="AK89" s="79">
        <f>$I$26*$AK$26</f>
        <v>6.6118191873192494E-10</v>
      </c>
      <c r="AL89" s="79">
        <f>$I$26*$AL$26</f>
        <v>0</v>
      </c>
      <c r="AM89" s="79">
        <f>$I$26*$AM$26</f>
        <v>0</v>
      </c>
      <c r="AN89" s="79">
        <f>$I$26*$AN$26</f>
        <v>0</v>
      </c>
      <c r="AO89" s="79">
        <f>$I$26*$AO$26</f>
        <v>0</v>
      </c>
      <c r="AP89" s="79">
        <f>$I$26*$AP$26</f>
        <v>0</v>
      </c>
      <c r="AQ89" s="79">
        <f>$I$26*$AQ$26</f>
        <v>0</v>
      </c>
      <c r="AR89" s="79">
        <f>$I$26*$AR$26</f>
        <v>0</v>
      </c>
      <c r="AS89" s="79">
        <f>$I$26*$AS$26</f>
        <v>0</v>
      </c>
      <c r="AT89" s="79">
        <f>$I$26*$AT$26</f>
        <v>0</v>
      </c>
      <c r="AU89" s="79">
        <f>$I$26*$AU$26</f>
        <v>0</v>
      </c>
      <c r="AV89" s="79">
        <f>$I$26*$AV$26</f>
        <v>0</v>
      </c>
      <c r="AW89" s="79">
        <f>$I$26*$AW$26</f>
        <v>0</v>
      </c>
      <c r="AX89" s="79">
        <f>$I$26*$AX$26</f>
        <v>7.5592827074930508E-8</v>
      </c>
      <c r="AY89" s="79">
        <f>$I$26*$AY$26</f>
        <v>-5.2430353346560601E-9</v>
      </c>
      <c r="AZ89" s="79">
        <f>$I$26*$AZ$26</f>
        <v>0</v>
      </c>
      <c r="BA89" s="79">
        <f>$I$26*$BA$26</f>
        <v>0</v>
      </c>
      <c r="BB89" s="79">
        <f>$I$26*$BB$26</f>
        <v>0</v>
      </c>
      <c r="BC89" s="79">
        <f>$I$26*$BC$26</f>
        <v>0</v>
      </c>
      <c r="BD89" s="79">
        <f>$I$26*$BD$26</f>
        <v>0</v>
      </c>
    </row>
    <row r="90" spans="1:56" ht="11.25" customHeight="1" x14ac:dyDescent="0.25">
      <c r="A90" s="9" t="s">
        <v>98</v>
      </c>
      <c r="B90" s="9" t="s">
        <v>1122</v>
      </c>
      <c r="C90" s="9" t="s">
        <v>1123</v>
      </c>
      <c r="D90" s="9" t="s">
        <v>1124</v>
      </c>
      <c r="E90" s="9" t="s">
        <v>1128</v>
      </c>
      <c r="F90" s="9" t="s">
        <v>1129</v>
      </c>
      <c r="G90" s="9" t="s">
        <v>1130</v>
      </c>
      <c r="L90" s="79">
        <f>$I$27*$L$27</f>
        <v>0</v>
      </c>
      <c r="M90" s="79">
        <f>$I$27*$M$27</f>
        <v>2.7376652595303372E-10</v>
      </c>
      <c r="N90" s="79">
        <f ca="1">$I$27*$N$27</f>
        <v>7.9760708205974364E-10</v>
      </c>
      <c r="O90" s="79">
        <f>$I$27*$O$27</f>
        <v>0</v>
      </c>
      <c r="P90" s="79">
        <f>$I$27*$P$27</f>
        <v>0</v>
      </c>
      <c r="Q90" s="79">
        <f>$I$27*$Q$27</f>
        <v>0</v>
      </c>
      <c r="R90" s="79">
        <f>$I$27*$R$27</f>
        <v>0</v>
      </c>
      <c r="S90" s="79">
        <f>$I$27*$S$27</f>
        <v>0</v>
      </c>
      <c r="T90" s="79">
        <f>$I$27*$T$27</f>
        <v>0</v>
      </c>
      <c r="U90" s="79">
        <f>$I$27*$U$27</f>
        <v>0</v>
      </c>
      <c r="V90" s="79">
        <f>$I$27*$V$27</f>
        <v>0</v>
      </c>
      <c r="W90" s="79">
        <f>$I$27*$W$27</f>
        <v>0</v>
      </c>
      <c r="X90" s="79">
        <f>$I$27*$X$27</f>
        <v>0</v>
      </c>
      <c r="Y90" s="79">
        <f>$I$27*$Y$27</f>
        <v>0</v>
      </c>
      <c r="Z90" s="79">
        <f>$I$27*$Z$27</f>
        <v>0</v>
      </c>
      <c r="AA90" s="79">
        <f>$I$27*$AA$27</f>
        <v>2.1480605605973836E-7</v>
      </c>
      <c r="AB90" s="79">
        <f ca="1">$I$27*$AB$27</f>
        <v>2.7039233978275013E-10</v>
      </c>
      <c r="AC90" s="79">
        <f ca="1">$I$27*$AC$27</f>
        <v>0</v>
      </c>
      <c r="AD90" s="79">
        <f>$I$27*$AD$27</f>
        <v>0</v>
      </c>
      <c r="AE90" s="79">
        <f>$I$27*$AE$27</f>
        <v>0</v>
      </c>
      <c r="AF90" s="79">
        <f ca="1">$I$27*$AF$27</f>
        <v>0</v>
      </c>
      <c r="AG90" s="79">
        <f ca="1">$I$27*$AG$27</f>
        <v>0</v>
      </c>
      <c r="AI90" s="79">
        <f>$I$27*$AI$27</f>
        <v>0</v>
      </c>
      <c r="AJ90" s="79">
        <f>$I$27*$AJ$27</f>
        <v>2.6097116692597901E-10</v>
      </c>
      <c r="AK90" s="79">
        <f>$I$27*$AK$27</f>
        <v>6.6118191873192494E-10</v>
      </c>
      <c r="AL90" s="79">
        <f>$I$27*$AL$27</f>
        <v>0</v>
      </c>
      <c r="AM90" s="79">
        <f>$I$27*$AM$27</f>
        <v>0</v>
      </c>
      <c r="AN90" s="79">
        <f>$I$27*$AN$27</f>
        <v>0</v>
      </c>
      <c r="AO90" s="79">
        <f>$I$27*$AO$27</f>
        <v>0</v>
      </c>
      <c r="AP90" s="79">
        <f>$I$27*$AP$27</f>
        <v>0</v>
      </c>
      <c r="AQ90" s="79">
        <f>$I$27*$AQ$27</f>
        <v>0</v>
      </c>
      <c r="AR90" s="79">
        <f>$I$27*$AR$27</f>
        <v>0</v>
      </c>
      <c r="AS90" s="79">
        <f>$I$27*$AS$27</f>
        <v>0</v>
      </c>
      <c r="AT90" s="79">
        <f>$I$27*$AT$27</f>
        <v>0</v>
      </c>
      <c r="AU90" s="79">
        <f>$I$27*$AU$27</f>
        <v>0</v>
      </c>
      <c r="AV90" s="79">
        <f>$I$27*$AV$27</f>
        <v>0</v>
      </c>
      <c r="AW90" s="79">
        <f>$I$27*$AW$27</f>
        <v>0</v>
      </c>
      <c r="AX90" s="79">
        <f>$I$27*$AX$27</f>
        <v>1.93000378307482E-7</v>
      </c>
      <c r="AY90" s="79">
        <f>$I$27*$AY$27</f>
        <v>-1.32869933212724E-8</v>
      </c>
      <c r="AZ90" s="79">
        <f>$I$27*$AZ$27</f>
        <v>0</v>
      </c>
      <c r="BA90" s="79">
        <f>$I$27*$BA$27</f>
        <v>0</v>
      </c>
      <c r="BB90" s="79">
        <f>$I$27*$BB$27</f>
        <v>0</v>
      </c>
      <c r="BC90" s="79">
        <f>$I$27*$BC$27</f>
        <v>0</v>
      </c>
      <c r="BD90" s="79">
        <f>$I$27*$BD$27</f>
        <v>0</v>
      </c>
    </row>
    <row r="91" spans="1:56" ht="11.25" customHeight="1" x14ac:dyDescent="0.25">
      <c r="A91" s="9" t="s">
        <v>22</v>
      </c>
      <c r="B91" s="9" t="s">
        <v>1131</v>
      </c>
      <c r="C91" s="9" t="s">
        <v>1132</v>
      </c>
      <c r="D91" s="9" t="s">
        <v>1133</v>
      </c>
      <c r="E91" s="9" t="s">
        <v>1134</v>
      </c>
      <c r="F91" s="9" t="s">
        <v>1135</v>
      </c>
      <c r="G91" s="9" t="s">
        <v>1136</v>
      </c>
      <c r="L91" s="79">
        <f>$I$28*$L$28</f>
        <v>520.82825136561257</v>
      </c>
      <c r="M91" s="79">
        <f>$I$28*$M$28</f>
        <v>43.866579789104641</v>
      </c>
      <c r="N91" s="79">
        <f ca="1">$I$28*$N$28</f>
        <v>568.93396949525061</v>
      </c>
      <c r="O91" s="79">
        <f>$I$28*$O$28</f>
        <v>-7.7069790990774184E-2</v>
      </c>
      <c r="P91" s="79">
        <f>$I$28*$P$28</f>
        <v>0</v>
      </c>
      <c r="Q91" s="79">
        <f>$I$28*$Q$28</f>
        <v>2049.980351703121</v>
      </c>
      <c r="R91" s="79">
        <f>$I$28*$R$28</f>
        <v>841.55121672070902</v>
      </c>
      <c r="S91" s="79">
        <f>$I$28*$S$28</f>
        <v>0</v>
      </c>
      <c r="T91" s="79">
        <f>$I$28*$T$28</f>
        <v>5811.6775519897938</v>
      </c>
      <c r="U91" s="79">
        <f>$I$28*$U$28</f>
        <v>1492.7025688342028</v>
      </c>
      <c r="V91" s="79">
        <f>$I$28*$V$28</f>
        <v>409.56076494947439</v>
      </c>
      <c r="W91" s="79">
        <f>$I$28*$W$28</f>
        <v>0</v>
      </c>
      <c r="X91" s="79">
        <f>$I$28*$X$28</f>
        <v>234.81965123276854</v>
      </c>
      <c r="Y91" s="79">
        <f>$I$28*$Y$28</f>
        <v>0</v>
      </c>
      <c r="Z91" s="79">
        <f>$I$28*$Z$28</f>
        <v>0</v>
      </c>
      <c r="AA91" s="79">
        <f>$I$28*$AA$28</f>
        <v>42973.110313081088</v>
      </c>
      <c r="AB91" s="79">
        <f ca="1">$I$28*$AB$28</f>
        <v>76.77321007840132</v>
      </c>
      <c r="AC91" s="79">
        <f ca="1">$I$28*$AC$28</f>
        <v>0</v>
      </c>
      <c r="AD91" s="79">
        <f>$I$28*$AD$28</f>
        <v>1952.9786086013594</v>
      </c>
      <c r="AE91" s="79">
        <f>$I$28*$AE$28</f>
        <v>112.77418971011632</v>
      </c>
      <c r="AF91" s="79">
        <f ca="1">$I$28*$AF$28</f>
        <v>1746.1410703693252</v>
      </c>
      <c r="AG91" s="79">
        <f ca="1">$I$28*$AG$28</f>
        <v>568.65563692909041</v>
      </c>
      <c r="AI91" s="79">
        <f>$I$28*$AI$28</f>
        <v>0</v>
      </c>
      <c r="AJ91" s="79">
        <f>$I$28*$AJ$28</f>
        <v>37.868109613611878</v>
      </c>
      <c r="AK91" s="79">
        <f>$I$28*$AK$28</f>
        <v>468.39451633376609</v>
      </c>
      <c r="AL91" s="79">
        <f>$I$28*$AL$28</f>
        <v>-6.7939343360641544E-2</v>
      </c>
      <c r="AM91" s="79">
        <f>$I$28*$AM$28</f>
        <v>0</v>
      </c>
      <c r="AN91" s="79">
        <f>$I$28*$AN$28</f>
        <v>1267.8066004322563</v>
      </c>
      <c r="AO91" s="79">
        <f>$I$28*$AO$28</f>
        <v>807.05588659160969</v>
      </c>
      <c r="AP91" s="79">
        <f>$I$28*$AP$28</f>
        <v>0</v>
      </c>
      <c r="AQ91" s="79">
        <f>$I$28*$AQ$28</f>
        <v>6006.1459396393047</v>
      </c>
      <c r="AR91" s="79">
        <f>$I$28*$AR$28</f>
        <v>2240.8092877862268</v>
      </c>
      <c r="AS91" s="79">
        <f>$I$28*$AS$28</f>
        <v>458.2257333744256</v>
      </c>
      <c r="AT91" s="79">
        <f>$I$28*$AT$28</f>
        <v>0</v>
      </c>
      <c r="AU91" s="79">
        <f>$I$28*$AU$28</f>
        <v>282.12835127025528</v>
      </c>
      <c r="AV91" s="79">
        <f>$I$28*$AV$28</f>
        <v>0</v>
      </c>
      <c r="AW91" s="79">
        <f>$I$28*$AW$28</f>
        <v>0</v>
      </c>
      <c r="AX91" s="79">
        <f>$I$28*$AX$28</f>
        <v>38610.766845266597</v>
      </c>
      <c r="AY91" s="79">
        <f>$I$28*$AY$28</f>
        <v>-3976.7764451703283</v>
      </c>
      <c r="AZ91" s="79">
        <f>$I$28*$AZ$28</f>
        <v>0</v>
      </c>
      <c r="BA91" s="79">
        <f>$I$28*$BA$28</f>
        <v>1731.9906579466183</v>
      </c>
      <c r="BB91" s="79">
        <f>$I$28*$BB$28</f>
        <v>90.56296568266518</v>
      </c>
      <c r="BC91" s="79">
        <f>$I$28*$BC$28</f>
        <v>1554.5358152062552</v>
      </c>
      <c r="BD91" s="79">
        <f>$I$28*$BD$28</f>
        <v>403.22262860954322</v>
      </c>
    </row>
    <row r="92" spans="1:56" ht="11.25" customHeight="1" x14ac:dyDescent="0.25">
      <c r="A92" s="9" t="s">
        <v>22</v>
      </c>
      <c r="B92" s="9" t="s">
        <v>1131</v>
      </c>
      <c r="C92" s="9" t="s">
        <v>1132</v>
      </c>
      <c r="D92" s="9" t="s">
        <v>1133</v>
      </c>
      <c r="E92" s="9" t="s">
        <v>1134</v>
      </c>
      <c r="F92" s="9" t="s">
        <v>1135</v>
      </c>
      <c r="G92" s="9" t="s">
        <v>1137</v>
      </c>
      <c r="L92" s="79">
        <f>$I$29*$L$29</f>
        <v>359.89004913879296</v>
      </c>
      <c r="M92" s="79">
        <f>$I$29*$M$29</f>
        <v>30.311615229123472</v>
      </c>
      <c r="N92" s="79">
        <f ca="1">$I$29*$N$29</f>
        <v>258.47935844480116</v>
      </c>
      <c r="O92" s="79">
        <f>$I$29*$O$29</f>
        <v>-5.3254889292315991E-2</v>
      </c>
      <c r="P92" s="79">
        <f>$I$29*$P$29</f>
        <v>0</v>
      </c>
      <c r="Q92" s="79">
        <f>$I$29*$Q$29</f>
        <v>1416.5274782494391</v>
      </c>
      <c r="R92" s="79">
        <f>$I$29*$R$29</f>
        <v>581.50821877329429</v>
      </c>
      <c r="S92" s="79">
        <f>$I$29*$S$29</f>
        <v>0</v>
      </c>
      <c r="T92" s="79">
        <f>$I$29*$T$29</f>
        <v>2409.5070532608001</v>
      </c>
      <c r="U92" s="79">
        <f>$I$29*$U$29</f>
        <v>618.87136378286255</v>
      </c>
      <c r="V92" s="79">
        <f>$I$29*$V$29</f>
        <v>169.80571048659795</v>
      </c>
      <c r="W92" s="79">
        <f>$I$29*$W$29</f>
        <v>0</v>
      </c>
      <c r="X92" s="79">
        <f>$I$29*$X$29</f>
        <v>97.358238090898681</v>
      </c>
      <c r="Y92" s="79">
        <f>$I$29*$Y$29</f>
        <v>0</v>
      </c>
      <c r="Z92" s="79">
        <f>$I$29*$Z$29</f>
        <v>0</v>
      </c>
      <c r="AA92" s="79">
        <f>$I$29*$AA$29</f>
        <v>17816.538183158562</v>
      </c>
      <c r="AB92" s="79">
        <f ca="1">$I$29*$AB$29</f>
        <v>34.498652047253628</v>
      </c>
      <c r="AC92" s="79">
        <f ca="1">$I$29*$AC$29</f>
        <v>0</v>
      </c>
      <c r="AD92" s="79">
        <f>$I$29*$AD$29</f>
        <v>1349.499697018472</v>
      </c>
      <c r="AE92" s="79">
        <f>$I$29*$AE$29</f>
        <v>77.926473016669021</v>
      </c>
      <c r="AF92" s="79">
        <f ca="1">$I$29*$AF$29</f>
        <v>1206.57586060427</v>
      </c>
      <c r="AG92" s="79">
        <f ca="1">$I$29*$AG$29</f>
        <v>392.93856387563477</v>
      </c>
      <c r="AI92" s="79">
        <f>$I$29*$AI$29</f>
        <v>0</v>
      </c>
      <c r="AJ92" s="79">
        <f>$I$29*$AJ$29</f>
        <v>26.166698511270084</v>
      </c>
      <c r="AK92" s="79">
        <f>$I$29*$AK$29</f>
        <v>212.03824630737418</v>
      </c>
      <c r="AL92" s="79">
        <f>$I$29*$AL$29</f>
        <v>-4.6945789819213629E-2</v>
      </c>
      <c r="AM92" s="79">
        <f>$I$29*$AM$29</f>
        <v>0</v>
      </c>
      <c r="AN92" s="79">
        <f>$I$29*$AN$29</f>
        <v>876.04882901744963</v>
      </c>
      <c r="AO92" s="79">
        <f>$I$29*$AO$29</f>
        <v>557.67209616921218</v>
      </c>
      <c r="AP92" s="79">
        <f>$I$29*$AP$29</f>
        <v>0</v>
      </c>
      <c r="AQ92" s="79">
        <f>$I$29*$AQ$29</f>
        <v>2490.1331629315391</v>
      </c>
      <c r="AR92" s="79">
        <f>$I$29*$AR$29</f>
        <v>929.03484516184335</v>
      </c>
      <c r="AS92" s="79">
        <f>$I$29*$AS$29</f>
        <v>189.98242233600126</v>
      </c>
      <c r="AT92" s="79">
        <f>$I$29*$AT$29</f>
        <v>0</v>
      </c>
      <c r="AU92" s="79">
        <f>$I$29*$AU$29</f>
        <v>116.97283021655876</v>
      </c>
      <c r="AV92" s="79">
        <f>$I$29*$AV$29</f>
        <v>0</v>
      </c>
      <c r="AW92" s="79">
        <f>$I$29*$AW$29</f>
        <v>0</v>
      </c>
      <c r="AX92" s="79">
        <f>$I$29*$AX$29</f>
        <v>16007.922088206946</v>
      </c>
      <c r="AY92" s="79">
        <f>$I$29*$AY$29</f>
        <v>-1772.1427013507428</v>
      </c>
      <c r="AZ92" s="79">
        <f>$I$29*$AZ$29</f>
        <v>0</v>
      </c>
      <c r="BA92" s="79">
        <f>$I$29*$BA$29</f>
        <v>1196.7979873633515</v>
      </c>
      <c r="BB92" s="79">
        <f>$I$29*$BB$29</f>
        <v>62.578614128997515</v>
      </c>
      <c r="BC92" s="79">
        <f>$I$29*$BC$29</f>
        <v>1074.177465326972</v>
      </c>
      <c r="BD92" s="79">
        <f>$I$29*$BD$29</f>
        <v>278.62507696859348</v>
      </c>
    </row>
    <row r="93" spans="1:56" ht="11.25" customHeight="1" x14ac:dyDescent="0.25">
      <c r="A93" s="9" t="s">
        <v>22</v>
      </c>
      <c r="B93" s="9" t="s">
        <v>1131</v>
      </c>
      <c r="C93" s="9" t="s">
        <v>1132</v>
      </c>
      <c r="D93" s="9" t="s">
        <v>1133</v>
      </c>
      <c r="E93" s="9" t="s">
        <v>1134</v>
      </c>
      <c r="F93" s="9" t="s">
        <v>1135</v>
      </c>
      <c r="G93" s="9" t="s">
        <v>1138</v>
      </c>
      <c r="L93" s="79">
        <f>$I$30*$L$30</f>
        <v>6997.5579115199598</v>
      </c>
      <c r="M93" s="79">
        <f>$I$30*$M$30</f>
        <v>589.36690098842348</v>
      </c>
      <c r="N93" s="79">
        <f ca="1">$I$30*$N$30</f>
        <v>2407.6570834885874</v>
      </c>
      <c r="O93" s="79">
        <f>$I$30*$O$30</f>
        <v>-1.0354667287587322</v>
      </c>
      <c r="P93" s="79">
        <f>$I$30*$P$30</f>
        <v>0</v>
      </c>
      <c r="Q93" s="79">
        <f>$I$30*$Q$30</f>
        <v>27542.392700296892</v>
      </c>
      <c r="R93" s="79">
        <f>$I$30*$R$30</f>
        <v>11306.612801960709</v>
      </c>
      <c r="S93" s="79">
        <f>$I$30*$S$30</f>
        <v>0</v>
      </c>
      <c r="T93" s="79">
        <f>$I$30*$T$30</f>
        <v>15616.521034250154</v>
      </c>
      <c r="U93" s="79">
        <f>$I$30*$U$30</f>
        <v>4011.0544331053006</v>
      </c>
      <c r="V93" s="79">
        <f>$I$30*$V$30</f>
        <v>1100.5447318147601</v>
      </c>
      <c r="W93" s="79">
        <f>$I$30*$W$30</f>
        <v>0</v>
      </c>
      <c r="X93" s="79">
        <f>$I$30*$X$30</f>
        <v>630.95565019942103</v>
      </c>
      <c r="Y93" s="79">
        <f>$I$30*$Y$30</f>
        <v>0</v>
      </c>
      <c r="Z93" s="79">
        <f>$I$30*$Z$30</f>
        <v>0</v>
      </c>
      <c r="AA93" s="79">
        <f>$I$30*$AA$30</f>
        <v>115472.51567973057</v>
      </c>
      <c r="AB93" s="79">
        <f ca="1">$I$30*$AB$30</f>
        <v>310.0736044971614</v>
      </c>
      <c r="AC93" s="79">
        <f ca="1">$I$30*$AC$30</f>
        <v>0</v>
      </c>
      <c r="AD93" s="79">
        <f>$I$30*$AD$30</f>
        <v>26239.131379327442</v>
      </c>
      <c r="AE93" s="79">
        <f>$I$30*$AE$30</f>
        <v>1515.1711170662124</v>
      </c>
      <c r="AF93" s="79">
        <f ca="1">$I$30*$AF$30</f>
        <v>23460.177572079258</v>
      </c>
      <c r="AG93" s="79">
        <f ca="1">$I$30*$AG$30</f>
        <v>7640.139989891306</v>
      </c>
      <c r="AI93" s="79">
        <f>$I$30*$AI$30</f>
        <v>0</v>
      </c>
      <c r="AJ93" s="79">
        <f>$I$30*$AJ$30</f>
        <v>508.77480114845071</v>
      </c>
      <c r="AK93" s="79">
        <f>$I$30*$AK$30</f>
        <v>1952.4846181882792</v>
      </c>
      <c r="AL93" s="79">
        <f>$I$30*$AL$30</f>
        <v>-0.9127951265896268</v>
      </c>
      <c r="AM93" s="79">
        <f>$I$30*$AM$30</f>
        <v>0</v>
      </c>
      <c r="AN93" s="79">
        <f>$I$30*$AN$30</f>
        <v>17033.542408405727</v>
      </c>
      <c r="AO93" s="79">
        <f>$I$30*$AO$30</f>
        <v>10843.15278491581</v>
      </c>
      <c r="AP93" s="79">
        <f>$I$30*$AP$30</f>
        <v>0</v>
      </c>
      <c r="AQ93" s="79">
        <f>$I$30*$AQ$30</f>
        <v>16139.075776673058</v>
      </c>
      <c r="AR93" s="79">
        <f>$I$30*$AR$30</f>
        <v>6021.2986935087056</v>
      </c>
      <c r="AS93" s="79">
        <f>$I$30*$AS$30</f>
        <v>1231.3140320201137</v>
      </c>
      <c r="AT93" s="79">
        <f>$I$30*$AT$30</f>
        <v>0</v>
      </c>
      <c r="AU93" s="79">
        <f>$I$30*$AU$30</f>
        <v>758.07316968953023</v>
      </c>
      <c r="AV93" s="79">
        <f>$I$30*$AV$30</f>
        <v>0</v>
      </c>
      <c r="AW93" s="79">
        <f>$I$30*$AW$30</f>
        <v>0</v>
      </c>
      <c r="AX93" s="79">
        <f>$I$30*$AX$30</f>
        <v>103750.51625223662</v>
      </c>
      <c r="AY93" s="79">
        <f>$I$30*$AY$30</f>
        <v>-15483.898447043963</v>
      </c>
      <c r="AZ93" s="79">
        <f>$I$30*$AZ$30</f>
        <v>0</v>
      </c>
      <c r="BA93" s="79">
        <f>$I$30*$BA$30</f>
        <v>23270.060522667754</v>
      </c>
      <c r="BB93" s="79">
        <f>$I$30*$BB$30</f>
        <v>1216.7534985704606</v>
      </c>
      <c r="BC93" s="79">
        <f>$I$30*$BC$30</f>
        <v>20885.876224869993</v>
      </c>
      <c r="BD93" s="79">
        <f>$I$30*$BD$30</f>
        <v>5417.4743546119325</v>
      </c>
    </row>
    <row r="94" spans="1:56" ht="11.25" customHeight="1" x14ac:dyDescent="0.25">
      <c r="A94" s="9" t="s">
        <v>22</v>
      </c>
      <c r="B94" s="9" t="s">
        <v>1139</v>
      </c>
      <c r="C94" s="9" t="s">
        <v>1140</v>
      </c>
      <c r="D94" s="9" t="s">
        <v>1141</v>
      </c>
      <c r="E94" s="9" t="s">
        <v>1142</v>
      </c>
      <c r="F94" s="9" t="s">
        <v>1143</v>
      </c>
      <c r="G94" s="9" t="s">
        <v>1144</v>
      </c>
      <c r="L94" s="79">
        <f>$I$31*$L$31</f>
        <v>12034279.836761536</v>
      </c>
      <c r="M94" s="79">
        <f>$I$31*$M$31</f>
        <v>1013583.0675074772</v>
      </c>
      <c r="N94" s="79">
        <f ca="1">$I$31*$N$31</f>
        <v>5300401.8547711279</v>
      </c>
      <c r="O94" s="79">
        <f>$I$31*$O$31</f>
        <v>-1780.7778846709002</v>
      </c>
      <c r="P94" s="79">
        <f>$I$31*$P$31</f>
        <v>0</v>
      </c>
      <c r="Q94" s="79">
        <f>$I$31*$Q$31</f>
        <v>47366933.62461292</v>
      </c>
      <c r="R94" s="79">
        <f>$I$31*$R$31</f>
        <v>19444918.382268894</v>
      </c>
      <c r="S94" s="79">
        <f>$I$31*$S$31</f>
        <v>0</v>
      </c>
      <c r="T94" s="79">
        <f>$I$31*$T$31</f>
        <v>40692377.169436157</v>
      </c>
      <c r="U94" s="79">
        <f>$I$31*$U$31</f>
        <v>10451643.348592507</v>
      </c>
      <c r="V94" s="79">
        <f>$I$31*$V$31</f>
        <v>2867631.3952569119</v>
      </c>
      <c r="W94" s="79">
        <f>$I$31*$W$31</f>
        <v>0</v>
      </c>
      <c r="X94" s="79">
        <f>$I$31*$X$31</f>
        <v>1644120.9885304037</v>
      </c>
      <c r="Y94" s="79">
        <f>$I$31*$Y$31</f>
        <v>0</v>
      </c>
      <c r="Z94" s="79">
        <f>$I$31*$Z$31</f>
        <v>0</v>
      </c>
      <c r="AA94" s="79">
        <f>$I$31*$AA$31</f>
        <v>300890431.60072386</v>
      </c>
      <c r="AB94" s="79">
        <f ca="1">$I$31*$AB$31</f>
        <v>693041.73469801026</v>
      </c>
      <c r="AC94" s="79">
        <f ca="1">$I$31*$AC$31</f>
        <v>0</v>
      </c>
      <c r="AD94" s="79">
        <f>$I$31*$AD$31</f>
        <v>45125607.202554464</v>
      </c>
      <c r="AE94" s="79">
        <f>$I$31*$AE$31</f>
        <v>2605765.2475208612</v>
      </c>
      <c r="AF94" s="79">
        <f ca="1">$I$31*$AF$31</f>
        <v>40346410.203726873</v>
      </c>
      <c r="AG94" s="79">
        <f ca="1">$I$31*$AG$31</f>
        <v>13139381.451780381</v>
      </c>
      <c r="AI94" s="79">
        <f>$I$31*$AI$31</f>
        <v>0</v>
      </c>
      <c r="AJ94" s="79">
        <f>$I$31*$AJ$31</f>
        <v>874982.1592520728</v>
      </c>
      <c r="AK94" s="79">
        <f>$I$31*$AK$31</f>
        <v>4319236.0885615116</v>
      </c>
      <c r="AL94" s="79">
        <f>$I$31*$AL$31</f>
        <v>-1569.8093714848144</v>
      </c>
      <c r="AM94" s="79">
        <f>$I$31*$AM$31</f>
        <v>0</v>
      </c>
      <c r="AN94" s="79">
        <f>$I$31*$AN$31</f>
        <v>29293993.496878952</v>
      </c>
      <c r="AO94" s="79">
        <f>$I$31*$AO$31</f>
        <v>18647867.809941854</v>
      </c>
      <c r="AP94" s="79">
        <f>$I$31*$AP$31</f>
        <v>0</v>
      </c>
      <c r="AQ94" s="79">
        <f>$I$31*$AQ$31</f>
        <v>42054011.724515043</v>
      </c>
      <c r="AR94" s="79">
        <f>$I$31*$AR$31</f>
        <v>15689756.269694323</v>
      </c>
      <c r="AS94" s="79">
        <f>$I$31*$AS$31</f>
        <v>3208370.0676289862</v>
      </c>
      <c r="AT94" s="79">
        <f>$I$31*$AT$31</f>
        <v>0</v>
      </c>
      <c r="AU94" s="79">
        <f>$I$31*$AU$31</f>
        <v>1975359.1377371703</v>
      </c>
      <c r="AV94" s="79">
        <f>$I$31*$AV$31</f>
        <v>0</v>
      </c>
      <c r="AW94" s="79">
        <f>$I$31*$AW$31</f>
        <v>0</v>
      </c>
      <c r="AX94" s="79">
        <f>$I$31*$AX$31</f>
        <v>270346042.34757376</v>
      </c>
      <c r="AY94" s="79">
        <f>$I$31*$AY$31</f>
        <v>-35033447.4850199</v>
      </c>
      <c r="AZ94" s="79">
        <f>$I$31*$AZ$31</f>
        <v>0</v>
      </c>
      <c r="BA94" s="79">
        <f>$I$31*$BA$31</f>
        <v>40019450.169485368</v>
      </c>
      <c r="BB94" s="79">
        <f>$I$31*$BB$31</f>
        <v>2092551.7558131868</v>
      </c>
      <c r="BC94" s="79">
        <f>$I$31*$BC$31</f>
        <v>35919170.9885334</v>
      </c>
      <c r="BD94" s="79">
        <f>$I$31*$BD$31</f>
        <v>9316879.2907807194</v>
      </c>
    </row>
    <row r="95" spans="1:56" ht="11.25" customHeight="1" x14ac:dyDescent="0.25">
      <c r="A95" s="9" t="s">
        <v>22</v>
      </c>
      <c r="B95" s="9" t="s">
        <v>1139</v>
      </c>
      <c r="C95" s="9" t="s">
        <v>1140</v>
      </c>
      <c r="D95" s="9" t="s">
        <v>1145</v>
      </c>
      <c r="E95" s="9" t="s">
        <v>1146</v>
      </c>
      <c r="F95" s="9" t="s">
        <v>1147</v>
      </c>
      <c r="G95" s="9" t="s">
        <v>1148</v>
      </c>
      <c r="L95" s="79">
        <f>$I$32*$L$32</f>
        <v>0</v>
      </c>
      <c r="M95" s="79">
        <f>$I$32*$M$32</f>
        <v>40900.548565867895</v>
      </c>
      <c r="N95" s="79">
        <f ca="1">$I$32*$N$32</f>
        <v>213343.8497600455</v>
      </c>
      <c r="O95" s="79">
        <f>$I$32*$O$32</f>
        <v>-71.858730371369731</v>
      </c>
      <c r="P95" s="79">
        <f>$I$32*$P$32</f>
        <v>0</v>
      </c>
      <c r="Q95" s="79">
        <f>$I$32*$Q$32</f>
        <v>0</v>
      </c>
      <c r="R95" s="79">
        <f>$I$32*$R$32</f>
        <v>0</v>
      </c>
      <c r="S95" s="79">
        <f>$I$32*$S$32</f>
        <v>0</v>
      </c>
      <c r="T95" s="79">
        <f>$I$32*$T$32</f>
        <v>1642036.653958665</v>
      </c>
      <c r="U95" s="79">
        <f>$I$32*$U$32</f>
        <v>421749.29719717766</v>
      </c>
      <c r="V95" s="79">
        <f>$I$32*$V$32</f>
        <v>115715.91999769432</v>
      </c>
      <c r="W95" s="79">
        <f>$I$32*$W$32</f>
        <v>0</v>
      </c>
      <c r="X95" s="79">
        <f>$I$32*$X$32</f>
        <v>66344.291351388863</v>
      </c>
      <c r="Y95" s="79">
        <f>$I$32*$Y$32</f>
        <v>0</v>
      </c>
      <c r="Z95" s="79">
        <f>$I$32*$Z$32</f>
        <v>0</v>
      </c>
      <c r="AA95" s="79">
        <f>$I$32*$AA$32</f>
        <v>12141662.686763039</v>
      </c>
      <c r="AB95" s="79">
        <f ca="1">$I$32*$AB$32</f>
        <v>24009.424593204654</v>
      </c>
      <c r="AC95" s="79">
        <f ca="1">$I$32*$AC$32</f>
        <v>0</v>
      </c>
      <c r="AD95" s="79">
        <f>$I$32*$AD$32</f>
        <v>1820928.2969683604</v>
      </c>
      <c r="AE95" s="79">
        <f>$I$32*$AE$32</f>
        <v>105148.98233211807</v>
      </c>
      <c r="AF95" s="79">
        <f ca="1">$I$32*$AF$32</f>
        <v>1628076.0431939492</v>
      </c>
      <c r="AG95" s="79">
        <f ca="1">$I$32*$AG$32</f>
        <v>530206.08415998705</v>
      </c>
      <c r="AI95" s="79">
        <f>$I$32*$AI$32</f>
        <v>0</v>
      </c>
      <c r="AJ95" s="79">
        <f>$I$32*$AJ$32</f>
        <v>35307.663916251651</v>
      </c>
      <c r="AK95" s="79">
        <f>$I$32*$AK$32</f>
        <v>173843.83138693916</v>
      </c>
      <c r="AL95" s="79">
        <f>$I$32*$AL$32</f>
        <v>-63.345636382284667</v>
      </c>
      <c r="AM95" s="79">
        <f>$I$32*$AM$32</f>
        <v>0</v>
      </c>
      <c r="AN95" s="79">
        <f>$I$32*$AN$32</f>
        <v>0</v>
      </c>
      <c r="AO95" s="79">
        <f>$I$32*$AO$32</f>
        <v>0</v>
      </c>
      <c r="AP95" s="79">
        <f>$I$32*$AP$32</f>
        <v>0</v>
      </c>
      <c r="AQ95" s="79">
        <f>$I$32*$AQ$32</f>
        <v>1696981.9288298374</v>
      </c>
      <c r="AR95" s="79">
        <f>$I$32*$AR$32</f>
        <v>633119.92757863272</v>
      </c>
      <c r="AS95" s="79">
        <f>$I$32*$AS$32</f>
        <v>129465.55637618553</v>
      </c>
      <c r="AT95" s="79">
        <f>$I$32*$AT$32</f>
        <v>0</v>
      </c>
      <c r="AU95" s="79">
        <f>$I$32*$AU$32</f>
        <v>79710.558451544173</v>
      </c>
      <c r="AV95" s="79">
        <f>$I$32*$AV$32</f>
        <v>0</v>
      </c>
      <c r="AW95" s="79">
        <f>$I$32*$AW$32</f>
        <v>0</v>
      </c>
      <c r="AX95" s="79">
        <f>$I$32*$AX$32</f>
        <v>10909122.092793401</v>
      </c>
      <c r="AY95" s="79">
        <f>$I$32*$AY$32</f>
        <v>-1242644.6087409954</v>
      </c>
      <c r="AZ95" s="79">
        <f>$I$32*$AZ$32</f>
        <v>0</v>
      </c>
      <c r="BA95" s="79">
        <f>$I$32*$BA$32</f>
        <v>1614882.4084655435</v>
      </c>
      <c r="BB95" s="79">
        <f>$I$32*$BB$32</f>
        <v>84439.566384723512</v>
      </c>
      <c r="BC95" s="79">
        <f>$I$32*$BC$32</f>
        <v>1449426.144297139</v>
      </c>
      <c r="BD95" s="79">
        <f>$I$32*$BD$32</f>
        <v>375958.8001524054</v>
      </c>
    </row>
    <row r="96" spans="1:56" ht="11.25" customHeight="1" x14ac:dyDescent="0.25">
      <c r="A96" s="9" t="s">
        <v>22</v>
      </c>
      <c r="B96" s="9" t="s">
        <v>1139</v>
      </c>
      <c r="C96" s="9" t="s">
        <v>1140</v>
      </c>
      <c r="D96" s="9" t="s">
        <v>1149</v>
      </c>
      <c r="E96" s="9" t="s">
        <v>1150</v>
      </c>
      <c r="F96" s="9" t="s">
        <v>1151</v>
      </c>
      <c r="G96" s="9" t="s">
        <v>1152</v>
      </c>
      <c r="L96" s="79">
        <f>$I$33*$L$33</f>
        <v>0</v>
      </c>
      <c r="M96" s="79">
        <f>$I$33*$M$33</f>
        <v>108280.51194205253</v>
      </c>
      <c r="N96" s="79">
        <f ca="1">$I$33*$N$33</f>
        <v>564808.59259144939</v>
      </c>
      <c r="O96" s="79">
        <f>$I$33*$O$33</f>
        <v>-190.23950496867192</v>
      </c>
      <c r="P96" s="79">
        <f>$I$33*$P$33</f>
        <v>0</v>
      </c>
      <c r="Q96" s="79">
        <f>$I$33*$Q$33</f>
        <v>0</v>
      </c>
      <c r="R96" s="79">
        <f>$I$33*$R$33</f>
        <v>0</v>
      </c>
      <c r="S96" s="79">
        <f>$I$33*$S$33</f>
        <v>0</v>
      </c>
      <c r="T96" s="79">
        <f>$I$33*$T$33</f>
        <v>4347143.8832152095</v>
      </c>
      <c r="U96" s="79">
        <f>$I$33*$U$33</f>
        <v>1116543.2106165253</v>
      </c>
      <c r="V96" s="79">
        <f>$I$33*$V$33</f>
        <v>306347.45734565088</v>
      </c>
      <c r="W96" s="79">
        <f>$I$33*$W$33</f>
        <v>0</v>
      </c>
      <c r="X96" s="79">
        <f>$I$33*$X$33</f>
        <v>175640.52522161169</v>
      </c>
      <c r="Y96" s="79">
        <f>$I$33*$Y$33</f>
        <v>0</v>
      </c>
      <c r="Z96" s="79">
        <f>$I$33*$Z$33</f>
        <v>0</v>
      </c>
      <c r="AA96" s="79">
        <f>$I$33*$AA$33</f>
        <v>32143956.441884004</v>
      </c>
      <c r="AB96" s="79">
        <f ca="1">$I$33*$AB$33</f>
        <v>63562.7852814629</v>
      </c>
      <c r="AC96" s="79">
        <f ca="1">$I$33*$AC$33</f>
        <v>0</v>
      </c>
      <c r="AD96" s="79">
        <f>$I$33*$AD$33</f>
        <v>4820743.3669984089</v>
      </c>
      <c r="AE96" s="79">
        <f>$I$33*$AE$33</f>
        <v>278372.44331263128</v>
      </c>
      <c r="AF96" s="79">
        <f ca="1">$I$33*$AF$33</f>
        <v>4310184.4258574992</v>
      </c>
      <c r="AG96" s="79">
        <f ca="1">$I$33*$AG$33</f>
        <v>1403672.7682313947</v>
      </c>
      <c r="AI96" s="79">
        <f>$I$33*$AI$33</f>
        <v>0</v>
      </c>
      <c r="AJ96" s="79">
        <f>$I$33*$AJ$33</f>
        <v>93473.854468546502</v>
      </c>
      <c r="AK96" s="79">
        <f>$I$33*$AK$33</f>
        <v>460235.85796730372</v>
      </c>
      <c r="AL96" s="79">
        <f>$I$33*$AL$33</f>
        <v>-167.70185675438378</v>
      </c>
      <c r="AM96" s="79">
        <f>$I$33*$AM$33</f>
        <v>0</v>
      </c>
      <c r="AN96" s="79">
        <f>$I$33*$AN$33</f>
        <v>0</v>
      </c>
      <c r="AO96" s="79">
        <f>$I$33*$AO$33</f>
        <v>0</v>
      </c>
      <c r="AP96" s="79">
        <f>$I$33*$AP$33</f>
        <v>0</v>
      </c>
      <c r="AQ96" s="79">
        <f>$I$33*$AQ$33</f>
        <v>4492606.5408190889</v>
      </c>
      <c r="AR96" s="79">
        <f>$I$33*$AR$33</f>
        <v>1676127.8829433436</v>
      </c>
      <c r="AS96" s="79">
        <f>$I$33*$AS$33</f>
        <v>342748.37905168772</v>
      </c>
      <c r="AT96" s="79">
        <f>$I$33*$AT$33</f>
        <v>0</v>
      </c>
      <c r="AU96" s="79">
        <f>$I$33*$AU$33</f>
        <v>211026.51135400424</v>
      </c>
      <c r="AV96" s="79">
        <f>$I$33*$AV$33</f>
        <v>0</v>
      </c>
      <c r="AW96" s="79">
        <f>$I$33*$AW$33</f>
        <v>0</v>
      </c>
      <c r="AX96" s="79">
        <f>$I$33*$AX$33</f>
        <v>28880916.429365303</v>
      </c>
      <c r="AY96" s="79">
        <f>$I$33*$AY$33</f>
        <v>-3289789.4799580807</v>
      </c>
      <c r="AZ96" s="79">
        <f>$I$33*$AZ$33</f>
        <v>0</v>
      </c>
      <c r="BA96" s="79">
        <f>$I$33*$BA$33</f>
        <v>4275255.4683529949</v>
      </c>
      <c r="BB96" s="79">
        <f>$I$33*$BB$33</f>
        <v>223546.13316685153</v>
      </c>
      <c r="BC96" s="79">
        <f>$I$33*$BC$33</f>
        <v>3837224.9378009955</v>
      </c>
      <c r="BD96" s="79">
        <f>$I$33*$BD$33</f>
        <v>995317.0012882062</v>
      </c>
    </row>
    <row r="97" spans="1:56" ht="11.25" customHeight="1" x14ac:dyDescent="0.25">
      <c r="A97" s="9" t="s">
        <v>22</v>
      </c>
      <c r="B97" s="9" t="s">
        <v>1139</v>
      </c>
      <c r="C97" s="9" t="s">
        <v>1140</v>
      </c>
      <c r="D97" s="9" t="s">
        <v>1153</v>
      </c>
      <c r="E97" s="9" t="s">
        <v>1154</v>
      </c>
      <c r="F97" s="9" t="s">
        <v>1155</v>
      </c>
      <c r="G97" s="9" t="s">
        <v>1156</v>
      </c>
      <c r="L97" s="79">
        <f>$I$34*$L$34</f>
        <v>0</v>
      </c>
      <c r="M97" s="79">
        <f>$I$34*$M$34</f>
        <v>63672.495950064469</v>
      </c>
      <c r="N97" s="79">
        <f ca="1">$I$34*$N$34</f>
        <v>332125.99552158127</v>
      </c>
      <c r="O97" s="79">
        <f>$I$34*$O$34</f>
        <v>-111.86707462320132</v>
      </c>
      <c r="P97" s="79">
        <f>$I$34*$P$34</f>
        <v>0</v>
      </c>
      <c r="Q97" s="79">
        <f>$I$34*$Q$34</f>
        <v>0</v>
      </c>
      <c r="R97" s="79">
        <f>$I$34*$R$34</f>
        <v>0</v>
      </c>
      <c r="S97" s="79">
        <f>$I$34*$S$34</f>
        <v>0</v>
      </c>
      <c r="T97" s="79">
        <f>$I$34*$T$34</f>
        <v>2556263.3232330568</v>
      </c>
      <c r="U97" s="79">
        <f>$I$34*$U$34</f>
        <v>656564.06477001973</v>
      </c>
      <c r="V97" s="79">
        <f>$I$34*$V$34</f>
        <v>180142.36252957775</v>
      </c>
      <c r="W97" s="79">
        <f>$I$34*$W$34</f>
        <v>0</v>
      </c>
      <c r="X97" s="79">
        <f>$I$34*$X$34</f>
        <v>103282.39523678296</v>
      </c>
      <c r="Y97" s="79">
        <f>$I$34*$Y$34</f>
        <v>0</v>
      </c>
      <c r="Z97" s="79">
        <f>$I$34*$Z$34</f>
        <v>0</v>
      </c>
      <c r="AA97" s="79">
        <f>$I$34*$AA$34</f>
        <v>18901701.697348952</v>
      </c>
      <c r="AB97" s="79">
        <f ca="1">$I$34*$AB$34</f>
        <v>37377.004558074732</v>
      </c>
      <c r="AC97" s="79">
        <f ca="1">$I$34*$AC$34</f>
        <v>0</v>
      </c>
      <c r="AD97" s="79">
        <f>$I$34*$AD$34</f>
        <v>2834755.3683138588</v>
      </c>
      <c r="AE97" s="79">
        <f>$I$34*$AE$34</f>
        <v>163692.1358380593</v>
      </c>
      <c r="AF97" s="79">
        <f ca="1">$I$34*$AF$34</f>
        <v>2534529.9489007965</v>
      </c>
      <c r="AG97" s="79">
        <f ca="1">$I$34*$AG$34</f>
        <v>825405.67132024106</v>
      </c>
      <c r="AI97" s="79">
        <f>$I$34*$AI$34</f>
        <v>0</v>
      </c>
      <c r="AJ97" s="79">
        <f>$I$34*$AJ$34</f>
        <v>54965.695242284848</v>
      </c>
      <c r="AK97" s="79">
        <f>$I$34*$AK$34</f>
        <v>270633.79436347814</v>
      </c>
      <c r="AL97" s="79">
        <f>$I$34*$AL$34</f>
        <v>-98.614197545780371</v>
      </c>
      <c r="AM97" s="79">
        <f>$I$34*$AM$34</f>
        <v>0</v>
      </c>
      <c r="AN97" s="79">
        <f>$I$34*$AN$34</f>
        <v>0</v>
      </c>
      <c r="AO97" s="79">
        <f>$I$34*$AO$34</f>
        <v>0</v>
      </c>
      <c r="AP97" s="79">
        <f>$I$34*$AP$34</f>
        <v>0</v>
      </c>
      <c r="AQ97" s="79">
        <f>$I$34*$AQ$34</f>
        <v>2641800.1415492175</v>
      </c>
      <c r="AR97" s="79">
        <f>$I$34*$AR$34</f>
        <v>985618.22367088473</v>
      </c>
      <c r="AS97" s="79">
        <f>$I$34*$AS$34</f>
        <v>201547.2995615213</v>
      </c>
      <c r="AT97" s="79">
        <f>$I$34*$AT$34</f>
        <v>0</v>
      </c>
      <c r="AU97" s="79">
        <f>$I$34*$AU$34</f>
        <v>124090.51683034892</v>
      </c>
      <c r="AV97" s="79">
        <f>$I$34*$AV$34</f>
        <v>0</v>
      </c>
      <c r="AW97" s="79">
        <f>$I$34*$AW$34</f>
        <v>0</v>
      </c>
      <c r="AX97" s="79">
        <f>$I$34*$AX$34</f>
        <v>16982927.042005729</v>
      </c>
      <c r="AY97" s="79">
        <f>$I$34*$AY$34</f>
        <v>-1934504.2204020494</v>
      </c>
      <c r="AZ97" s="79">
        <f>$I$34*$AZ$34</f>
        <v>0</v>
      </c>
      <c r="BA97" s="79">
        <f>$I$34*$BA$34</f>
        <v>2513990.575145008</v>
      </c>
      <c r="BB97" s="79">
        <f>$I$34*$BB$34</f>
        <v>131452.46548461335</v>
      </c>
      <c r="BC97" s="79">
        <f>$I$34*$BC$34</f>
        <v>2256414.2423188183</v>
      </c>
      <c r="BD97" s="79">
        <f>$I$34*$BD$34</f>
        <v>585279.07374014857</v>
      </c>
    </row>
    <row r="98" spans="1:56" ht="11.25" customHeight="1" x14ac:dyDescent="0.25">
      <c r="A98" s="9" t="s">
        <v>22</v>
      </c>
      <c r="B98" s="9" t="s">
        <v>1139</v>
      </c>
      <c r="C98" s="9" t="s">
        <v>1140</v>
      </c>
      <c r="D98" s="9" t="s">
        <v>1157</v>
      </c>
      <c r="E98" s="9" t="s">
        <v>1158</v>
      </c>
      <c r="F98" s="9" t="s">
        <v>1159</v>
      </c>
      <c r="G98" s="9" t="s">
        <v>1160</v>
      </c>
      <c r="L98" s="79">
        <f>$I$35*$L$35</f>
        <v>0</v>
      </c>
      <c r="M98" s="79">
        <f>$I$35*$M$35</f>
        <v>13874.743400414422</v>
      </c>
      <c r="N98" s="79">
        <f ca="1">$I$35*$N$35</f>
        <v>72372.896581329391</v>
      </c>
      <c r="O98" s="79">
        <f>$I$35*$O$35</f>
        <v>-24.376725494932614</v>
      </c>
      <c r="P98" s="79">
        <f>$I$35*$P$35</f>
        <v>0</v>
      </c>
      <c r="Q98" s="79">
        <f>$I$35*$Q$35</f>
        <v>0</v>
      </c>
      <c r="R98" s="79">
        <f>$I$35*$R$35</f>
        <v>0</v>
      </c>
      <c r="S98" s="79">
        <f>$I$35*$S$35</f>
        <v>0</v>
      </c>
      <c r="T98" s="79">
        <f>$I$35*$T$35</f>
        <v>557030.11393749807</v>
      </c>
      <c r="U98" s="79">
        <f>$I$35*$U$35</f>
        <v>143070.53286809116</v>
      </c>
      <c r="V98" s="79">
        <f>$I$35*$V$35</f>
        <v>39254.453879152359</v>
      </c>
      <c r="W98" s="79">
        <f>$I$35*$W$35</f>
        <v>0</v>
      </c>
      <c r="X98" s="79">
        <f>$I$35*$X$35</f>
        <v>22506.055563055044</v>
      </c>
      <c r="Y98" s="79">
        <f>$I$35*$Y$35</f>
        <v>0</v>
      </c>
      <c r="Z98" s="79">
        <f>$I$35*$Z$35</f>
        <v>0</v>
      </c>
      <c r="AA98" s="79">
        <f>$I$35*$AA$35</f>
        <v>4118831.1682892167</v>
      </c>
      <c r="AB98" s="79">
        <f ca="1">$I$35*$AB$35</f>
        <v>8144.7466379536854</v>
      </c>
      <c r="AC98" s="79">
        <f ca="1">$I$35*$AC$35</f>
        <v>0</v>
      </c>
      <c r="AD98" s="79">
        <f>$I$35*$AD$35</f>
        <v>617715.74604438362</v>
      </c>
      <c r="AE98" s="79">
        <f>$I$35*$AE$35</f>
        <v>35669.818616817625</v>
      </c>
      <c r="AF98" s="79">
        <f ca="1">$I$35*$AF$35</f>
        <v>552294.23877529684</v>
      </c>
      <c r="AG98" s="79">
        <f ca="1">$I$35*$AG$35</f>
        <v>179862.46211859951</v>
      </c>
      <c r="AI98" s="79">
        <f>$I$35*$AI$35</f>
        <v>0</v>
      </c>
      <c r="AJ98" s="79">
        <f>$I$35*$AJ$35</f>
        <v>11977.462261102244</v>
      </c>
      <c r="AK98" s="79">
        <f>$I$35*$AK$35</f>
        <v>58973.256760951394</v>
      </c>
      <c r="AL98" s="79">
        <f>$I$35*$AL$35</f>
        <v>-21.488818149339263</v>
      </c>
      <c r="AM98" s="79">
        <f>$I$35*$AM$35</f>
        <v>0</v>
      </c>
      <c r="AN98" s="79">
        <f>$I$35*$AN$35</f>
        <v>0</v>
      </c>
      <c r="AO98" s="79">
        <f>$I$35*$AO$35</f>
        <v>0</v>
      </c>
      <c r="AP98" s="79">
        <f>$I$35*$AP$35</f>
        <v>0</v>
      </c>
      <c r="AQ98" s="79">
        <f>$I$35*$AQ$35</f>
        <v>575669.26711841638</v>
      </c>
      <c r="AR98" s="79">
        <f>$I$35*$AR$35</f>
        <v>214774.05181242945</v>
      </c>
      <c r="AS98" s="79">
        <f>$I$35*$AS$35</f>
        <v>43918.75994080185</v>
      </c>
      <c r="AT98" s="79">
        <f>$I$35*$AT$35</f>
        <v>0</v>
      </c>
      <c r="AU98" s="79">
        <f>$I$35*$AU$35</f>
        <v>27040.31079284475</v>
      </c>
      <c r="AV98" s="79">
        <f>$I$35*$AV$35</f>
        <v>0</v>
      </c>
      <c r="AW98" s="79">
        <f>$I$35*$AW$35</f>
        <v>0</v>
      </c>
      <c r="AX98" s="79">
        <f>$I$35*$AX$35</f>
        <v>3700714.9064893839</v>
      </c>
      <c r="AY98" s="79">
        <f>$I$35*$AY$35</f>
        <v>-421543.85915933398</v>
      </c>
      <c r="AZ98" s="79">
        <f>$I$35*$AZ$35</f>
        <v>0</v>
      </c>
      <c r="BA98" s="79">
        <f>$I$35*$BA$35</f>
        <v>547818.54583732458</v>
      </c>
      <c r="BB98" s="79">
        <f>$I$35*$BB$35</f>
        <v>28644.537971013848</v>
      </c>
      <c r="BC98" s="79">
        <f>$I$35*$BC$35</f>
        <v>491690.61382118484</v>
      </c>
      <c r="BD98" s="79">
        <f>$I$35*$BD$35</f>
        <v>127536.96623021374</v>
      </c>
    </row>
    <row r="99" spans="1:56" ht="11.25" customHeight="1" x14ac:dyDescent="0.25">
      <c r="A99" s="9" t="s">
        <v>22</v>
      </c>
      <c r="B99" s="9" t="s">
        <v>1161</v>
      </c>
      <c r="C99" s="9" t="s">
        <v>1162</v>
      </c>
      <c r="D99" s="9" t="s">
        <v>1163</v>
      </c>
      <c r="E99" s="9" t="s">
        <v>1164</v>
      </c>
      <c r="F99" s="9" t="s">
        <v>1165</v>
      </c>
      <c r="G99" s="9" t="s">
        <v>1166</v>
      </c>
      <c r="L99" s="79">
        <f>$I$36*$L$36</f>
        <v>0</v>
      </c>
      <c r="M99" s="79">
        <f>$I$36*$M$36</f>
        <v>0</v>
      </c>
      <c r="N99" s="79">
        <f ca="1">$I$36*$N$36</f>
        <v>0</v>
      </c>
      <c r="O99" s="79">
        <f>$I$36*$O$36</f>
        <v>0</v>
      </c>
      <c r="P99" s="79">
        <f>$I$36*$P$36</f>
        <v>0</v>
      </c>
      <c r="Q99" s="79">
        <f>$I$36*$Q$36</f>
        <v>0</v>
      </c>
      <c r="R99" s="79">
        <f>$I$36*$R$36</f>
        <v>0</v>
      </c>
      <c r="S99" s="79">
        <f>$I$36*$S$36</f>
        <v>0</v>
      </c>
      <c r="T99" s="79">
        <f>$I$36*$T$36</f>
        <v>0</v>
      </c>
      <c r="U99" s="79">
        <f>$I$36*$U$36</f>
        <v>0</v>
      </c>
      <c r="V99" s="79">
        <f>$I$36*$V$36</f>
        <v>0</v>
      </c>
      <c r="W99" s="79">
        <f>$I$36*$W$36</f>
        <v>0</v>
      </c>
      <c r="X99" s="79">
        <f>$I$36*$X$36</f>
        <v>0</v>
      </c>
      <c r="Y99" s="79">
        <f>$I$36*$Y$36</f>
        <v>0</v>
      </c>
      <c r="Z99" s="79">
        <f>$I$36*$Z$36</f>
        <v>0</v>
      </c>
      <c r="AA99" s="79">
        <f>$I$36*$AA$36</f>
        <v>0</v>
      </c>
      <c r="AB99" s="79">
        <f ca="1">$I$36*$AB$36</f>
        <v>0</v>
      </c>
      <c r="AC99" s="79">
        <f ca="1">$I$36*$AC$36</f>
        <v>0</v>
      </c>
      <c r="AD99" s="79">
        <f>$I$36*$AD$36</f>
        <v>0</v>
      </c>
      <c r="AE99" s="79">
        <f>$I$36*$AE$36</f>
        <v>0</v>
      </c>
      <c r="AF99" s="79">
        <f ca="1">$I$36*$AF$36</f>
        <v>0</v>
      </c>
      <c r="AG99" s="79">
        <f ca="1">$I$36*$AG$36</f>
        <v>0</v>
      </c>
      <c r="AI99" s="79">
        <f>$I$36*$AI$36</f>
        <v>0</v>
      </c>
      <c r="AJ99" s="79">
        <f>$I$36*$AJ$36</f>
        <v>0</v>
      </c>
      <c r="AK99" s="79">
        <f>$I$36*$AK$36</f>
        <v>0</v>
      </c>
      <c r="AL99" s="79">
        <f>$I$36*$AL$36</f>
        <v>0</v>
      </c>
      <c r="AM99" s="79">
        <f>$I$36*$AM$36</f>
        <v>0</v>
      </c>
      <c r="AN99" s="79">
        <f>$I$36*$AN$36</f>
        <v>0</v>
      </c>
      <c r="AO99" s="79">
        <f>$I$36*$AO$36</f>
        <v>0</v>
      </c>
      <c r="AP99" s="79">
        <f>$I$36*$AP$36</f>
        <v>0</v>
      </c>
      <c r="AQ99" s="79">
        <f>$I$36*$AQ$36</f>
        <v>0</v>
      </c>
      <c r="AR99" s="79">
        <f>$I$36*$AR$36</f>
        <v>0</v>
      </c>
      <c r="AS99" s="79">
        <f>$I$36*$AS$36</f>
        <v>0</v>
      </c>
      <c r="AT99" s="79">
        <f>$I$36*$AT$36</f>
        <v>0</v>
      </c>
      <c r="AU99" s="79">
        <f>$I$36*$AU$36</f>
        <v>0</v>
      </c>
      <c r="AV99" s="79">
        <f>$I$36*$AV$36</f>
        <v>0</v>
      </c>
      <c r="AW99" s="79">
        <f>$I$36*$AW$36</f>
        <v>0</v>
      </c>
      <c r="AX99" s="79">
        <f>$I$36*$AX$36</f>
        <v>0</v>
      </c>
      <c r="AY99" s="79">
        <f>$I$36*$AY$36</f>
        <v>0</v>
      </c>
      <c r="AZ99" s="79">
        <f>$I$36*$AZ$36</f>
        <v>0</v>
      </c>
      <c r="BA99" s="79">
        <f>$I$36*$BA$36</f>
        <v>0</v>
      </c>
      <c r="BB99" s="79">
        <f>$I$36*$BB$36</f>
        <v>0</v>
      </c>
      <c r="BC99" s="79">
        <f>$I$36*$BC$36</f>
        <v>0</v>
      </c>
      <c r="BD99" s="79">
        <f>$I$36*$BD$36</f>
        <v>0</v>
      </c>
    </row>
    <row r="100" spans="1:56" ht="11.25" customHeight="1" x14ac:dyDescent="0.25">
      <c r="A100" s="9" t="s">
        <v>22</v>
      </c>
      <c r="B100" s="9" t="s">
        <v>1161</v>
      </c>
      <c r="C100" s="9" t="s">
        <v>1162</v>
      </c>
      <c r="D100" s="9" t="s">
        <v>1167</v>
      </c>
      <c r="E100" s="9" t="s">
        <v>1168</v>
      </c>
      <c r="F100" s="9" t="s">
        <v>1169</v>
      </c>
      <c r="G100" s="9" t="s">
        <v>1170</v>
      </c>
      <c r="L100" s="79">
        <f>$I$37*$L$37</f>
        <v>0</v>
      </c>
      <c r="M100" s="79">
        <f>$I$37*$M$37</f>
        <v>0</v>
      </c>
      <c r="N100" s="79">
        <f ca="1">$I$37*$N$37</f>
        <v>0</v>
      </c>
      <c r="O100" s="79">
        <f>$I$37*$O$37</f>
        <v>0</v>
      </c>
      <c r="P100" s="79">
        <f>$I$37*$P$37</f>
        <v>0</v>
      </c>
      <c r="Q100" s="79">
        <f>$I$37*$Q$37</f>
        <v>0</v>
      </c>
      <c r="R100" s="79">
        <f>$I$37*$R$37</f>
        <v>0</v>
      </c>
      <c r="S100" s="79">
        <f>$I$37*$S$37</f>
        <v>0</v>
      </c>
      <c r="T100" s="79">
        <f>$I$37*$T$37</f>
        <v>0</v>
      </c>
      <c r="U100" s="79">
        <f>$I$37*$U$37</f>
        <v>0</v>
      </c>
      <c r="V100" s="79">
        <f>$I$37*$V$37</f>
        <v>0</v>
      </c>
      <c r="W100" s="79">
        <f>$I$37*$W$37</f>
        <v>0</v>
      </c>
      <c r="X100" s="79">
        <f>$I$37*$X$37</f>
        <v>0</v>
      </c>
      <c r="Y100" s="79">
        <f>$I$37*$Y$37</f>
        <v>0</v>
      </c>
      <c r="Z100" s="79">
        <f>$I$37*$Z$37</f>
        <v>0</v>
      </c>
      <c r="AA100" s="79">
        <f>$I$37*$AA$37</f>
        <v>0</v>
      </c>
      <c r="AB100" s="79">
        <f ca="1">$I$37*$AB$37</f>
        <v>0</v>
      </c>
      <c r="AC100" s="79">
        <f ca="1">$I$37*$AC$37</f>
        <v>0</v>
      </c>
      <c r="AD100" s="79">
        <f>$I$37*$AD$37</f>
        <v>0</v>
      </c>
      <c r="AE100" s="79">
        <f>$I$37*$AE$37</f>
        <v>0</v>
      </c>
      <c r="AF100" s="79">
        <f ca="1">$I$37*$AF$37</f>
        <v>0</v>
      </c>
      <c r="AG100" s="79">
        <f ca="1">$I$37*$AG$37</f>
        <v>0</v>
      </c>
      <c r="AI100" s="79">
        <f>$I$37*$AI$37</f>
        <v>0</v>
      </c>
      <c r="AJ100" s="79">
        <f>$I$37*$AJ$37</f>
        <v>0</v>
      </c>
      <c r="AK100" s="79">
        <f>$I$37*$AK$37</f>
        <v>0</v>
      </c>
      <c r="AL100" s="79">
        <f>$I$37*$AL$37</f>
        <v>0</v>
      </c>
      <c r="AM100" s="79">
        <f>$I$37*$AM$37</f>
        <v>0</v>
      </c>
      <c r="AN100" s="79">
        <f>$I$37*$AN$37</f>
        <v>0</v>
      </c>
      <c r="AO100" s="79">
        <f>$I$37*$AO$37</f>
        <v>0</v>
      </c>
      <c r="AP100" s="79">
        <f>$I$37*$AP$37</f>
        <v>0</v>
      </c>
      <c r="AQ100" s="79">
        <f>$I$37*$AQ$37</f>
        <v>0</v>
      </c>
      <c r="AR100" s="79">
        <f>$I$37*$AR$37</f>
        <v>0</v>
      </c>
      <c r="AS100" s="79">
        <f>$I$37*$AS$37</f>
        <v>0</v>
      </c>
      <c r="AT100" s="79">
        <f>$I$37*$AT$37</f>
        <v>0</v>
      </c>
      <c r="AU100" s="79">
        <f>$I$37*$AU$37</f>
        <v>0</v>
      </c>
      <c r="AV100" s="79">
        <f>$I$37*$AV$37</f>
        <v>0</v>
      </c>
      <c r="AW100" s="79">
        <f>$I$37*$AW$37</f>
        <v>0</v>
      </c>
      <c r="AX100" s="79">
        <f>$I$37*$AX$37</f>
        <v>0</v>
      </c>
      <c r="AY100" s="79">
        <f>$I$37*$AY$37</f>
        <v>0</v>
      </c>
      <c r="AZ100" s="79">
        <f>$I$37*$AZ$37</f>
        <v>0</v>
      </c>
      <c r="BA100" s="79">
        <f>$I$37*$BA$37</f>
        <v>0</v>
      </c>
      <c r="BB100" s="79">
        <f>$I$37*$BB$37</f>
        <v>0</v>
      </c>
      <c r="BC100" s="79">
        <f>$I$37*$BC$37</f>
        <v>0</v>
      </c>
      <c r="BD100" s="79">
        <f>$I$37*$BD$37</f>
        <v>0</v>
      </c>
    </row>
    <row r="101" spans="1:56" ht="11.25" customHeight="1" x14ac:dyDescent="0.25">
      <c r="A101" s="9" t="s">
        <v>22</v>
      </c>
      <c r="B101" s="9" t="s">
        <v>1161</v>
      </c>
      <c r="C101" s="9" t="s">
        <v>1162</v>
      </c>
      <c r="D101" s="9" t="s">
        <v>1171</v>
      </c>
      <c r="E101" s="9" t="s">
        <v>1172</v>
      </c>
      <c r="F101" s="9" t="s">
        <v>1173</v>
      </c>
      <c r="G101" s="9" t="s">
        <v>1174</v>
      </c>
      <c r="L101" s="79">
        <f>$I$38*$L$38</f>
        <v>0</v>
      </c>
      <c r="M101" s="79">
        <f>$I$38*$M$38</f>
        <v>0</v>
      </c>
      <c r="N101" s="79">
        <f ca="1">$I$38*$N$38</f>
        <v>0</v>
      </c>
      <c r="O101" s="79">
        <f>$I$38*$O$38</f>
        <v>0</v>
      </c>
      <c r="P101" s="79">
        <f>$I$38*$P$38</f>
        <v>0</v>
      </c>
      <c r="Q101" s="79">
        <f>$I$38*$Q$38</f>
        <v>0</v>
      </c>
      <c r="R101" s="79">
        <f>$I$38*$R$38</f>
        <v>0</v>
      </c>
      <c r="S101" s="79">
        <f>$I$38*$S$38</f>
        <v>0</v>
      </c>
      <c r="T101" s="79">
        <f>$I$38*$T$38</f>
        <v>0</v>
      </c>
      <c r="U101" s="79">
        <f>$I$38*$U$38</f>
        <v>0</v>
      </c>
      <c r="V101" s="79">
        <f>$I$38*$V$38</f>
        <v>0</v>
      </c>
      <c r="W101" s="79">
        <f>$I$38*$W$38</f>
        <v>0</v>
      </c>
      <c r="X101" s="79">
        <f>$I$38*$X$38</f>
        <v>0</v>
      </c>
      <c r="Y101" s="79">
        <f>$I$38*$Y$38</f>
        <v>0</v>
      </c>
      <c r="Z101" s="79">
        <f>$I$38*$Z$38</f>
        <v>0</v>
      </c>
      <c r="AA101" s="79">
        <f>$I$38*$AA$38</f>
        <v>0</v>
      </c>
      <c r="AB101" s="79">
        <f ca="1">$I$38*$AB$38</f>
        <v>0</v>
      </c>
      <c r="AC101" s="79">
        <f ca="1">$I$38*$AC$38</f>
        <v>0</v>
      </c>
      <c r="AD101" s="79">
        <f>$I$38*$AD$38</f>
        <v>0</v>
      </c>
      <c r="AE101" s="79">
        <f>$I$38*$AE$38</f>
        <v>0</v>
      </c>
      <c r="AF101" s="79">
        <f ca="1">$I$38*$AF$38</f>
        <v>0</v>
      </c>
      <c r="AG101" s="79">
        <f ca="1">$I$38*$AG$38</f>
        <v>0</v>
      </c>
      <c r="AI101" s="79">
        <f>$I$38*$AI$38</f>
        <v>0</v>
      </c>
      <c r="AJ101" s="79">
        <f>$I$38*$AJ$38</f>
        <v>0</v>
      </c>
      <c r="AK101" s="79">
        <f>$I$38*$AK$38</f>
        <v>0</v>
      </c>
      <c r="AL101" s="79">
        <f>$I$38*$AL$38</f>
        <v>0</v>
      </c>
      <c r="AM101" s="79">
        <f>$I$38*$AM$38</f>
        <v>0</v>
      </c>
      <c r="AN101" s="79">
        <f>$I$38*$AN$38</f>
        <v>0</v>
      </c>
      <c r="AO101" s="79">
        <f>$I$38*$AO$38</f>
        <v>0</v>
      </c>
      <c r="AP101" s="79">
        <f>$I$38*$AP$38</f>
        <v>0</v>
      </c>
      <c r="AQ101" s="79">
        <f>$I$38*$AQ$38</f>
        <v>0</v>
      </c>
      <c r="AR101" s="79">
        <f>$I$38*$AR$38</f>
        <v>0</v>
      </c>
      <c r="AS101" s="79">
        <f>$I$38*$AS$38</f>
        <v>0</v>
      </c>
      <c r="AT101" s="79">
        <f>$I$38*$AT$38</f>
        <v>0</v>
      </c>
      <c r="AU101" s="79">
        <f>$I$38*$AU$38</f>
        <v>0</v>
      </c>
      <c r="AV101" s="79">
        <f>$I$38*$AV$38</f>
        <v>0</v>
      </c>
      <c r="AW101" s="79">
        <f>$I$38*$AW$38</f>
        <v>0</v>
      </c>
      <c r="AX101" s="79">
        <f>$I$38*$AX$38</f>
        <v>0</v>
      </c>
      <c r="AY101" s="79">
        <f>$I$38*$AY$38</f>
        <v>0</v>
      </c>
      <c r="AZ101" s="79">
        <f>$I$38*$AZ$38</f>
        <v>0</v>
      </c>
      <c r="BA101" s="79">
        <f>$I$38*$BA$38</f>
        <v>0</v>
      </c>
      <c r="BB101" s="79">
        <f>$I$38*$BB$38</f>
        <v>0</v>
      </c>
      <c r="BC101" s="79">
        <f>$I$38*$BC$38</f>
        <v>0</v>
      </c>
      <c r="BD101" s="79">
        <f>$I$38*$BD$38</f>
        <v>0</v>
      </c>
    </row>
    <row r="102" spans="1:56" ht="11.25" customHeight="1" x14ac:dyDescent="0.25">
      <c r="A102" s="9" t="s">
        <v>22</v>
      </c>
      <c r="B102" s="9" t="s">
        <v>1161</v>
      </c>
      <c r="C102" s="9" t="s">
        <v>1162</v>
      </c>
      <c r="D102" s="9" t="s">
        <v>1175</v>
      </c>
      <c r="E102" s="9" t="s">
        <v>1176</v>
      </c>
      <c r="F102" s="9" t="s">
        <v>1177</v>
      </c>
      <c r="G102" s="9" t="s">
        <v>1178</v>
      </c>
      <c r="L102" s="79">
        <f>$I$39*$L$39</f>
        <v>0</v>
      </c>
      <c r="M102" s="79">
        <f>$I$39*$M$39</f>
        <v>0</v>
      </c>
      <c r="N102" s="79">
        <f ca="1">$I$39*$N$39</f>
        <v>0</v>
      </c>
      <c r="O102" s="79">
        <f>$I$39*$O$39</f>
        <v>0</v>
      </c>
      <c r="P102" s="79">
        <f>$I$39*$P$39</f>
        <v>0</v>
      </c>
      <c r="Q102" s="79">
        <f>$I$39*$Q$39</f>
        <v>0</v>
      </c>
      <c r="R102" s="79">
        <f>$I$39*$R$39</f>
        <v>0</v>
      </c>
      <c r="S102" s="79">
        <f>$I$39*$S$39</f>
        <v>0</v>
      </c>
      <c r="T102" s="79">
        <f>$I$39*$T$39</f>
        <v>0</v>
      </c>
      <c r="U102" s="79">
        <f>$I$39*$U$39</f>
        <v>0</v>
      </c>
      <c r="V102" s="79">
        <f>$I$39*$V$39</f>
        <v>0</v>
      </c>
      <c r="W102" s="79">
        <f>$I$39*$W$39</f>
        <v>0</v>
      </c>
      <c r="X102" s="79">
        <f>$I$39*$X$39</f>
        <v>0</v>
      </c>
      <c r="Y102" s="79">
        <f>$I$39*$Y$39</f>
        <v>0</v>
      </c>
      <c r="Z102" s="79">
        <f>$I$39*$Z$39</f>
        <v>0</v>
      </c>
      <c r="AA102" s="79">
        <f>$I$39*$AA$39</f>
        <v>0</v>
      </c>
      <c r="AB102" s="79">
        <f ca="1">$I$39*$AB$39</f>
        <v>0</v>
      </c>
      <c r="AC102" s="79">
        <f ca="1">$I$39*$AC$39</f>
        <v>0</v>
      </c>
      <c r="AD102" s="79">
        <f>$I$39*$AD$39</f>
        <v>0</v>
      </c>
      <c r="AE102" s="79">
        <f>$I$39*$AE$39</f>
        <v>0</v>
      </c>
      <c r="AF102" s="79">
        <f ca="1">$I$39*$AF$39</f>
        <v>0</v>
      </c>
      <c r="AG102" s="79">
        <f ca="1">$I$39*$AG$39</f>
        <v>0</v>
      </c>
      <c r="AI102" s="79">
        <f>$I$39*$AI$39</f>
        <v>0</v>
      </c>
      <c r="AJ102" s="79">
        <f>$I$39*$AJ$39</f>
        <v>0</v>
      </c>
      <c r="AK102" s="79">
        <f>$I$39*$AK$39</f>
        <v>0</v>
      </c>
      <c r="AL102" s="79">
        <f>$I$39*$AL$39</f>
        <v>0</v>
      </c>
      <c r="AM102" s="79">
        <f>$I$39*$AM$39</f>
        <v>0</v>
      </c>
      <c r="AN102" s="79">
        <f>$I$39*$AN$39</f>
        <v>0</v>
      </c>
      <c r="AO102" s="79">
        <f>$I$39*$AO$39</f>
        <v>0</v>
      </c>
      <c r="AP102" s="79">
        <f>$I$39*$AP$39</f>
        <v>0</v>
      </c>
      <c r="AQ102" s="79">
        <f>$I$39*$AQ$39</f>
        <v>0</v>
      </c>
      <c r="AR102" s="79">
        <f>$I$39*$AR$39</f>
        <v>0</v>
      </c>
      <c r="AS102" s="79">
        <f>$I$39*$AS$39</f>
        <v>0</v>
      </c>
      <c r="AT102" s="79">
        <f>$I$39*$AT$39</f>
        <v>0</v>
      </c>
      <c r="AU102" s="79">
        <f>$I$39*$AU$39</f>
        <v>0</v>
      </c>
      <c r="AV102" s="79">
        <f>$I$39*$AV$39</f>
        <v>0</v>
      </c>
      <c r="AW102" s="79">
        <f>$I$39*$AW$39</f>
        <v>0</v>
      </c>
      <c r="AX102" s="79">
        <f>$I$39*$AX$39</f>
        <v>0</v>
      </c>
      <c r="AY102" s="79">
        <f>$I$39*$AY$39</f>
        <v>0</v>
      </c>
      <c r="AZ102" s="79">
        <f>$I$39*$AZ$39</f>
        <v>0</v>
      </c>
      <c r="BA102" s="79">
        <f>$I$39*$BA$39</f>
        <v>0</v>
      </c>
      <c r="BB102" s="79">
        <f>$I$39*$BB$39</f>
        <v>0</v>
      </c>
      <c r="BC102" s="79">
        <f>$I$39*$BC$39</f>
        <v>0</v>
      </c>
      <c r="BD102" s="79">
        <f>$I$39*$BD$39</f>
        <v>0</v>
      </c>
    </row>
    <row r="103" spans="1:56" ht="11.25" customHeight="1" x14ac:dyDescent="0.25">
      <c r="A103" s="9" t="s">
        <v>22</v>
      </c>
      <c r="B103" s="9" t="s">
        <v>1161</v>
      </c>
      <c r="C103" s="9" t="s">
        <v>1162</v>
      </c>
      <c r="D103" s="9" t="s">
        <v>1179</v>
      </c>
      <c r="E103" s="9" t="s">
        <v>1180</v>
      </c>
      <c r="F103" s="9" t="s">
        <v>1181</v>
      </c>
      <c r="G103" s="9" t="s">
        <v>1182</v>
      </c>
      <c r="L103" s="79">
        <f>$I$40*$L$40</f>
        <v>0</v>
      </c>
      <c r="M103" s="79">
        <f>$I$40*$M$40</f>
        <v>0</v>
      </c>
      <c r="N103" s="79">
        <f ca="1">$I$40*$N$40</f>
        <v>0</v>
      </c>
      <c r="O103" s="79">
        <f>$I$40*$O$40</f>
        <v>0</v>
      </c>
      <c r="P103" s="79">
        <f>$I$40*$P$40</f>
        <v>0</v>
      </c>
      <c r="Q103" s="79">
        <f>$I$40*$Q$40</f>
        <v>0</v>
      </c>
      <c r="R103" s="79">
        <f>$I$40*$R$40</f>
        <v>0</v>
      </c>
      <c r="S103" s="79">
        <f>$I$40*$S$40</f>
        <v>0</v>
      </c>
      <c r="T103" s="79">
        <f>$I$40*$T$40</f>
        <v>0</v>
      </c>
      <c r="U103" s="79">
        <f>$I$40*$U$40</f>
        <v>0</v>
      </c>
      <c r="V103" s="79">
        <f>$I$40*$V$40</f>
        <v>0</v>
      </c>
      <c r="W103" s="79">
        <f>$I$40*$W$40</f>
        <v>0</v>
      </c>
      <c r="X103" s="79">
        <f>$I$40*$X$40</f>
        <v>0</v>
      </c>
      <c r="Y103" s="79">
        <f>$I$40*$Y$40</f>
        <v>0</v>
      </c>
      <c r="Z103" s="79">
        <f>$I$40*$Z$40</f>
        <v>0</v>
      </c>
      <c r="AA103" s="79">
        <f>$I$40*$AA$40</f>
        <v>0</v>
      </c>
      <c r="AB103" s="79">
        <f ca="1">$I$40*$AB$40</f>
        <v>0</v>
      </c>
      <c r="AC103" s="79">
        <f ca="1">$I$40*$AC$40</f>
        <v>0</v>
      </c>
      <c r="AD103" s="79">
        <f>$I$40*$AD$40</f>
        <v>0</v>
      </c>
      <c r="AE103" s="79">
        <f>$I$40*$AE$40</f>
        <v>0</v>
      </c>
      <c r="AF103" s="79">
        <f ca="1">$I$40*$AF$40</f>
        <v>0</v>
      </c>
      <c r="AG103" s="79">
        <f ca="1">$I$40*$AG$40</f>
        <v>0</v>
      </c>
      <c r="AI103" s="79">
        <f>$I$40*$AI$40</f>
        <v>0</v>
      </c>
      <c r="AJ103" s="79">
        <f>$I$40*$AJ$40</f>
        <v>0</v>
      </c>
      <c r="AK103" s="79">
        <f>$I$40*$AK$40</f>
        <v>0</v>
      </c>
      <c r="AL103" s="79">
        <f>$I$40*$AL$40</f>
        <v>0</v>
      </c>
      <c r="AM103" s="79">
        <f>$I$40*$AM$40</f>
        <v>0</v>
      </c>
      <c r="AN103" s="79">
        <f>$I$40*$AN$40</f>
        <v>0</v>
      </c>
      <c r="AO103" s="79">
        <f>$I$40*$AO$40</f>
        <v>0</v>
      </c>
      <c r="AP103" s="79">
        <f>$I$40*$AP$40</f>
        <v>0</v>
      </c>
      <c r="AQ103" s="79">
        <f>$I$40*$AQ$40</f>
        <v>0</v>
      </c>
      <c r="AR103" s="79">
        <f>$I$40*$AR$40</f>
        <v>0</v>
      </c>
      <c r="AS103" s="79">
        <f>$I$40*$AS$40</f>
        <v>0</v>
      </c>
      <c r="AT103" s="79">
        <f>$I$40*$AT$40</f>
        <v>0</v>
      </c>
      <c r="AU103" s="79">
        <f>$I$40*$AU$40</f>
        <v>0</v>
      </c>
      <c r="AV103" s="79">
        <f>$I$40*$AV$40</f>
        <v>0</v>
      </c>
      <c r="AW103" s="79">
        <f>$I$40*$AW$40</f>
        <v>0</v>
      </c>
      <c r="AX103" s="79">
        <f>$I$40*$AX$40</f>
        <v>0</v>
      </c>
      <c r="AY103" s="79">
        <f>$I$40*$AY$40</f>
        <v>0</v>
      </c>
      <c r="AZ103" s="79">
        <f>$I$40*$AZ$40</f>
        <v>0</v>
      </c>
      <c r="BA103" s="79">
        <f>$I$40*$BA$40</f>
        <v>0</v>
      </c>
      <c r="BB103" s="79">
        <f>$I$40*$BB$40</f>
        <v>0</v>
      </c>
      <c r="BC103" s="79">
        <f>$I$40*$BC$40</f>
        <v>0</v>
      </c>
      <c r="BD103" s="79">
        <f>$I$40*$BD$40</f>
        <v>0</v>
      </c>
    </row>
    <row r="104" spans="1:56" ht="11.25" customHeight="1" x14ac:dyDescent="0.25">
      <c r="A104" s="9" t="s">
        <v>44</v>
      </c>
      <c r="B104" s="9" t="s">
        <v>1183</v>
      </c>
      <c r="C104" s="9" t="s">
        <v>1184</v>
      </c>
      <c r="D104" s="9" t="s">
        <v>1185</v>
      </c>
      <c r="E104" s="9" t="s">
        <v>1186</v>
      </c>
      <c r="F104" s="9" t="s">
        <v>1187</v>
      </c>
      <c r="G104" s="9" t="s">
        <v>1188</v>
      </c>
      <c r="L104" s="79">
        <f>$I$41*$L$41</f>
        <v>2.9130021198949373E-2</v>
      </c>
      <c r="M104" s="79">
        <f>$I$41*$M$41</f>
        <v>2.4534659858245749E-3</v>
      </c>
      <c r="N104" s="79">
        <f ca="1">$I$41*$N$41</f>
        <v>3.1820582982479299E-2</v>
      </c>
      <c r="O104" s="79">
        <f>$I$41*$O$41</f>
        <v>-4.3105277785399278E-6</v>
      </c>
      <c r="P104" s="79">
        <f>$I$41*$P$41</f>
        <v>0</v>
      </c>
      <c r="Q104" s="79">
        <f>$I$41*$Q$41</f>
        <v>0.11465578325669971</v>
      </c>
      <c r="R104" s="79">
        <f>$I$41*$R$41</f>
        <v>4.7068116444910726E-2</v>
      </c>
      <c r="S104" s="79">
        <f>$I$41*$S$41</f>
        <v>0</v>
      </c>
      <c r="T104" s="79">
        <f>$I$41*$T$41</f>
        <v>0.32504820897681902</v>
      </c>
      <c r="U104" s="79">
        <f>$I$41*$U$41</f>
        <v>8.3487132965340161E-2</v>
      </c>
      <c r="V104" s="79">
        <f>$I$41*$V$41</f>
        <v>2.2906809939657231E-2</v>
      </c>
      <c r="W104" s="79">
        <f>$I$41*$W$41</f>
        <v>0</v>
      </c>
      <c r="X104" s="79">
        <f>$I$41*$X$41</f>
        <v>1.313350687180498E-2</v>
      </c>
      <c r="Y104" s="79">
        <f>$I$41*$Y$41</f>
        <v>0</v>
      </c>
      <c r="Z104" s="79">
        <f>$I$41*$Z$41</f>
        <v>0</v>
      </c>
      <c r="AA104" s="79">
        <f>$I$41*$AA$41</f>
        <v>2.4034940714575295</v>
      </c>
      <c r="AB104" s="79">
        <f ca="1">$I$41*$AB$41</f>
        <v>4.2939399528181604E-3</v>
      </c>
      <c r="AC104" s="79">
        <f ca="1">$I$41*$AC$41</f>
        <v>0</v>
      </c>
      <c r="AD104" s="79">
        <f>$I$41*$AD$41</f>
        <v>0.10923045768059961</v>
      </c>
      <c r="AE104" s="79">
        <f>$I$41*$AE$41</f>
        <v>6.3074814554249887E-3</v>
      </c>
      <c r="AF104" s="79">
        <f ca="1">$I$41*$AF$41</f>
        <v>9.7661995605741694E-2</v>
      </c>
      <c r="AG104" s="79">
        <f ca="1">$I$41*$AG$41</f>
        <v>3.1805015790163316E-2</v>
      </c>
      <c r="AI104" s="79">
        <f>$I$41*$AI$41</f>
        <v>0</v>
      </c>
      <c r="AJ104" s="79">
        <f>$I$41*$AJ$41</f>
        <v>1.9827808286381463E-3</v>
      </c>
      <c r="AK104" s="79">
        <f>$I$41*$AK$41</f>
        <v>2.4525218625964743E-2</v>
      </c>
      <c r="AL104" s="79">
        <f>$I$41*$AL$41</f>
        <v>-3.5573158760827799E-6</v>
      </c>
      <c r="AM104" s="79">
        <f>$I$41*$AM$41</f>
        <v>0</v>
      </c>
      <c r="AN104" s="79">
        <f>$I$41*$AN$41</f>
        <v>6.6382574873882702E-2</v>
      </c>
      <c r="AO104" s="79">
        <f>$I$41*$AO$41</f>
        <v>4.2257587080560099E-2</v>
      </c>
      <c r="AP104" s="79">
        <f>$I$41*$AP$41</f>
        <v>0</v>
      </c>
      <c r="AQ104" s="79">
        <f>$I$41*$AQ$41</f>
        <v>0.31448284967568002</v>
      </c>
      <c r="AR104" s="79">
        <f>$I$41*$AR$41</f>
        <v>0.1173291654057048</v>
      </c>
      <c r="AS104" s="79">
        <f>$I$41*$AS$41</f>
        <v>2.399277937541619E-2</v>
      </c>
      <c r="AT104" s="79">
        <f>$I$41*$AT$41</f>
        <v>0</v>
      </c>
      <c r="AU104" s="79">
        <f>$I$41*$AU$41</f>
        <v>1.4772289713476281E-2</v>
      </c>
      <c r="AV104" s="79">
        <f>$I$41*$AV$41</f>
        <v>0</v>
      </c>
      <c r="AW104" s="79">
        <f>$I$41*$AW$41</f>
        <v>0</v>
      </c>
      <c r="AX104" s="79">
        <f>$I$41*$AX$41</f>
        <v>2.0216664909064619</v>
      </c>
      <c r="AY104" s="79">
        <f>$I$41*$AY$41</f>
        <v>-0.20822470875148111</v>
      </c>
      <c r="AZ104" s="79">
        <f>$I$41*$AZ$41</f>
        <v>0</v>
      </c>
      <c r="BA104" s="79">
        <f>$I$41*$BA$41</f>
        <v>9.0687333141195606E-2</v>
      </c>
      <c r="BB104" s="79">
        <f>$I$41*$BB$41</f>
        <v>4.7418926894533201E-3</v>
      </c>
      <c r="BC104" s="79">
        <f>$I$41*$BC$41</f>
        <v>8.1395766603421502E-2</v>
      </c>
      <c r="BD104" s="79">
        <f>$I$41*$BD$41</f>
        <v>2.1112807210019728E-2</v>
      </c>
    </row>
    <row r="105" spans="1:56" ht="11.25" customHeight="1" x14ac:dyDescent="0.25">
      <c r="A105" s="9" t="s">
        <v>44</v>
      </c>
      <c r="B105" s="9" t="s">
        <v>1183</v>
      </c>
      <c r="C105" s="9" t="s">
        <v>1184</v>
      </c>
      <c r="D105" s="9" t="s">
        <v>1185</v>
      </c>
      <c r="E105" s="9" t="s">
        <v>1186</v>
      </c>
      <c r="F105" s="9" t="s">
        <v>1187</v>
      </c>
      <c r="G105" s="9" t="s">
        <v>1189</v>
      </c>
      <c r="L105" s="79">
        <f>$I$42*$L$42</f>
        <v>0.30101021905581016</v>
      </c>
      <c r="M105" s="79">
        <f>$I$42*$M$42</f>
        <v>2.5352481853520605E-2</v>
      </c>
      <c r="N105" s="79">
        <f ca="1">$I$42*$N$42</f>
        <v>0.21619082965216718</v>
      </c>
      <c r="O105" s="79">
        <f>$I$42*$O$42</f>
        <v>-4.4542120378245913E-5</v>
      </c>
      <c r="P105" s="79">
        <f>$I$42*$P$42</f>
        <v>0</v>
      </c>
      <c r="Q105" s="79">
        <f>$I$42*$Q$42</f>
        <v>1.1847764269858971</v>
      </c>
      <c r="R105" s="79">
        <f>$I$42*$R$42</f>
        <v>0.48637053659741086</v>
      </c>
      <c r="S105" s="79">
        <f>$I$42*$S$42</f>
        <v>0</v>
      </c>
      <c r="T105" s="79">
        <f>$I$42*$T$42</f>
        <v>2.0152995273254795</v>
      </c>
      <c r="U105" s="79">
        <f>$I$42*$U$42</f>
        <v>0.51762088233733106</v>
      </c>
      <c r="V105" s="79">
        <f>$I$42*$V$42</f>
        <v>0.14202463844946794</v>
      </c>
      <c r="W105" s="79">
        <f>$I$42*$W$42</f>
        <v>0</v>
      </c>
      <c r="X105" s="79">
        <f>$I$42*$X$42</f>
        <v>8.1429938518047862E-2</v>
      </c>
      <c r="Y105" s="79">
        <f>$I$42*$Y$42</f>
        <v>0</v>
      </c>
      <c r="Z105" s="79">
        <f>$I$42*$Z$42</f>
        <v>0</v>
      </c>
      <c r="AA105" s="79">
        <f>$I$42*$AA$42</f>
        <v>14.901662533215855</v>
      </c>
      <c r="AB105" s="79">
        <f ca="1">$I$42*$AB$42</f>
        <v>2.8854498296698356E-2</v>
      </c>
      <c r="AC105" s="79">
        <f ca="1">$I$42*$AC$42</f>
        <v>0</v>
      </c>
      <c r="AD105" s="79">
        <f>$I$42*$AD$42</f>
        <v>1.1287147293661959</v>
      </c>
      <c r="AE105" s="79">
        <f>$I$42*$AE$42</f>
        <v>6.5177308372724882E-2</v>
      </c>
      <c r="AF105" s="79">
        <f ca="1">$I$42*$AF$42</f>
        <v>1.0091739545926641</v>
      </c>
      <c r="AG105" s="79">
        <f ca="1">$I$42*$AG$42</f>
        <v>0.32865182983168761</v>
      </c>
      <c r="AI105" s="79">
        <f>$I$42*$AI$42</f>
        <v>0</v>
      </c>
      <c r="AJ105" s="79">
        <f>$I$42*$AJ$42</f>
        <v>2.0488735229260844E-2</v>
      </c>
      <c r="AK105" s="79">
        <f>$I$42*$AK$42</f>
        <v>0.16602765095479813</v>
      </c>
      <c r="AL105" s="79">
        <f>$I$42*$AL$42</f>
        <v>-3.6758930719522058E-5</v>
      </c>
      <c r="AM105" s="79">
        <f>$I$42*$AM$42</f>
        <v>0</v>
      </c>
      <c r="AN105" s="79">
        <f>$I$42*$AN$42</f>
        <v>0.68595327369678794</v>
      </c>
      <c r="AO105" s="79">
        <f>$I$42*$AO$42</f>
        <v>0.43666173316578771</v>
      </c>
      <c r="AP105" s="79">
        <f>$I$42*$AP$42</f>
        <v>0</v>
      </c>
      <c r="AQ105" s="79">
        <f>$I$42*$AQ$42</f>
        <v>1.9497942791266476</v>
      </c>
      <c r="AR105" s="79">
        <f>$I$42*$AR$42</f>
        <v>0.72744175017264812</v>
      </c>
      <c r="AS105" s="79">
        <f>$I$42*$AS$42</f>
        <v>0.14875776352830411</v>
      </c>
      <c r="AT105" s="79">
        <f>$I$42*$AT$42</f>
        <v>0</v>
      </c>
      <c r="AU105" s="79">
        <f>$I$42*$AU$42</f>
        <v>9.1590666139716503E-2</v>
      </c>
      <c r="AV105" s="79">
        <f>$I$42*$AV$42</f>
        <v>0</v>
      </c>
      <c r="AW105" s="79">
        <f>$I$42*$AW$42</f>
        <v>0</v>
      </c>
      <c r="AX105" s="79">
        <f>$I$42*$AX$42</f>
        <v>12.534331646563897</v>
      </c>
      <c r="AY105" s="79">
        <f>$I$42*$AY$42</f>
        <v>-1.3876019774066644</v>
      </c>
      <c r="AZ105" s="79">
        <f>$I$42*$AZ$42</f>
        <v>0</v>
      </c>
      <c r="BA105" s="79">
        <f>$I$42*$BA$42</f>
        <v>0.93710244245902119</v>
      </c>
      <c r="BB105" s="79">
        <f>$I$42*$BB$42</f>
        <v>4.8999557791017639E-2</v>
      </c>
      <c r="BC105" s="79">
        <f>$I$42*$BC$42</f>
        <v>0.84108958823535551</v>
      </c>
      <c r="BD105" s="79">
        <f>$I$42*$BD$42</f>
        <v>0.21816567450353719</v>
      </c>
    </row>
    <row r="106" spans="1:56" ht="11.25" customHeight="1" x14ac:dyDescent="0.25">
      <c r="A106" s="9" t="s">
        <v>44</v>
      </c>
      <c r="B106" s="9" t="s">
        <v>1183</v>
      </c>
      <c r="C106" s="9" t="s">
        <v>1184</v>
      </c>
      <c r="D106" s="9" t="s">
        <v>1185</v>
      </c>
      <c r="E106" s="9" t="s">
        <v>1186</v>
      </c>
      <c r="F106" s="9" t="s">
        <v>1187</v>
      </c>
      <c r="G106" s="9" t="s">
        <v>1190</v>
      </c>
      <c r="L106" s="79">
        <f>$I$43*$L$43</f>
        <v>86.972533292996502</v>
      </c>
      <c r="M106" s="79">
        <f>$I$43*$M$43</f>
        <v>7.3252316116769043</v>
      </c>
      <c r="N106" s="79">
        <f ca="1">$I$43*$N$43</f>
        <v>29.924730670266882</v>
      </c>
      <c r="O106" s="79">
        <f>$I$43*$O$43</f>
        <v>-1.2869799104127375E-2</v>
      </c>
      <c r="P106" s="79">
        <f>$I$43*$P$43</f>
        <v>0</v>
      </c>
      <c r="Q106" s="79">
        <f>$I$43*$Q$43</f>
        <v>342.32395021008642</v>
      </c>
      <c r="R106" s="79">
        <f>$I$43*$R$43</f>
        <v>140.52970633235512</v>
      </c>
      <c r="S106" s="79">
        <f>$I$43*$S$43</f>
        <v>0</v>
      </c>
      <c r="T106" s="79">
        <f>$I$43*$T$43</f>
        <v>194.09748554365035</v>
      </c>
      <c r="U106" s="79">
        <f>$I$43*$U$43</f>
        <v>49.853330209524032</v>
      </c>
      <c r="V106" s="79">
        <f>$I$43*$V$43</f>
        <v>13.678652543998755</v>
      </c>
      <c r="W106" s="79">
        <f>$I$43*$W$43</f>
        <v>0</v>
      </c>
      <c r="X106" s="79">
        <f>$I$43*$X$43</f>
        <v>7.842137498145215</v>
      </c>
      <c r="Y106" s="79">
        <f>$I$43*$Y$43</f>
        <v>0</v>
      </c>
      <c r="Z106" s="79">
        <f>$I$43*$Z$43</f>
        <v>0</v>
      </c>
      <c r="AA106" s="79">
        <f>$I$43*$AA$43</f>
        <v>1435.2060163514916</v>
      </c>
      <c r="AB106" s="79">
        <f ca="1">$I$43*$AB$43</f>
        <v>3.8538997792375569</v>
      </c>
      <c r="AC106" s="79">
        <f ca="1">$I$43*$AC$43</f>
        <v>0</v>
      </c>
      <c r="AD106" s="79">
        <f>$I$43*$AD$43</f>
        <v>326.12573648171019</v>
      </c>
      <c r="AE106" s="79">
        <f>$I$43*$AE$43</f>
        <v>18.83203713208054</v>
      </c>
      <c r="AF106" s="79">
        <f ca="1">$I$43*$AF$43</f>
        <v>291.58616488020942</v>
      </c>
      <c r="AG106" s="79">
        <f ca="1">$I$43*$AG$43</f>
        <v>94.959175477497595</v>
      </c>
      <c r="AI106" s="79">
        <f>$I$43*$AI$43</f>
        <v>0</v>
      </c>
      <c r="AJ106" s="79">
        <f>$I$43*$AJ$43</f>
        <v>5.9199226273706245</v>
      </c>
      <c r="AK106" s="79">
        <f>$I$43*$AK$43</f>
        <v>22.718416566062078</v>
      </c>
      <c r="AL106" s="79">
        <f>$I$43*$AL$43</f>
        <v>-1.0620959434024486E-2</v>
      </c>
      <c r="AM106" s="79">
        <f>$I$43*$AM$43</f>
        <v>0</v>
      </c>
      <c r="AN106" s="79">
        <f>$I$43*$AN$43</f>
        <v>198.19624104845576</v>
      </c>
      <c r="AO106" s="79">
        <f>$I$43*$AO$43</f>
        <v>126.16706916019226</v>
      </c>
      <c r="AP106" s="79">
        <f>$I$43*$AP$43</f>
        <v>0</v>
      </c>
      <c r="AQ106" s="79">
        <f>$I$43*$AQ$43</f>
        <v>187.78854546158794</v>
      </c>
      <c r="AR106" s="79">
        <f>$I$43*$AR$43</f>
        <v>70.06168996852243</v>
      </c>
      <c r="AS106" s="79">
        <f>$I$43*$AS$43</f>
        <v>14.327132128204543</v>
      </c>
      <c r="AT106" s="79">
        <f>$I$43*$AT$43</f>
        <v>0</v>
      </c>
      <c r="AU106" s="79">
        <f>$I$43*$AU$43</f>
        <v>8.8206697743628624</v>
      </c>
      <c r="AV106" s="79">
        <f>$I$43*$AV$43</f>
        <v>0</v>
      </c>
      <c r="AW106" s="79">
        <f>$I$43*$AW$43</f>
        <v>0</v>
      </c>
      <c r="AX106" s="79">
        <f>$I$43*$AX$43</f>
        <v>1207.2041055818438</v>
      </c>
      <c r="AY106" s="79">
        <f>$I$43*$AY$43</f>
        <v>-180.16513508462546</v>
      </c>
      <c r="AZ106" s="79">
        <f>$I$43*$AZ$43</f>
        <v>0</v>
      </c>
      <c r="BA106" s="79">
        <f>$I$43*$BA$43</f>
        <v>270.76214764856297</v>
      </c>
      <c r="BB106" s="79">
        <f>$I$43*$BB$43</f>
        <v>14.157710939811128</v>
      </c>
      <c r="BC106" s="79">
        <f>$I$43*$BC$43</f>
        <v>243.02062715561544</v>
      </c>
      <c r="BD106" s="79">
        <f>$I$43*$BD$43</f>
        <v>63.035804726715561</v>
      </c>
    </row>
    <row r="107" spans="1:56" ht="11.25" customHeight="1" x14ac:dyDescent="0.25">
      <c r="A107" s="9" t="s">
        <v>44</v>
      </c>
      <c r="B107" s="9" t="s">
        <v>1191</v>
      </c>
      <c r="C107" s="9" t="s">
        <v>1192</v>
      </c>
      <c r="D107" s="9" t="s">
        <v>1193</v>
      </c>
      <c r="E107" s="9" t="s">
        <v>1194</v>
      </c>
      <c r="F107" s="9" t="s">
        <v>1195</v>
      </c>
      <c r="G107" s="9" t="s">
        <v>1196</v>
      </c>
      <c r="L107" s="79">
        <f>$I$44*$L$44</f>
        <v>591381.3484391775</v>
      </c>
      <c r="M107" s="79">
        <f>$I$44*$M$44</f>
        <v>49808.890049792462</v>
      </c>
      <c r="N107" s="79">
        <f ca="1">$I$44*$N$44</f>
        <v>260469.16297964257</v>
      </c>
      <c r="O107" s="79">
        <f>$I$44*$O$44</f>
        <v>-87.509916753833835</v>
      </c>
      <c r="P107" s="79">
        <f>$I$44*$P$44</f>
        <v>0</v>
      </c>
      <c r="Q107" s="79">
        <f>$I$44*$Q$44</f>
        <v>2327677.3897831105</v>
      </c>
      <c r="R107" s="79">
        <f>$I$44*$R$44</f>
        <v>955550.49485125195</v>
      </c>
      <c r="S107" s="79">
        <f>$I$44*$S$44</f>
        <v>0</v>
      </c>
      <c r="T107" s="79">
        <f>$I$44*$T$44</f>
        <v>1999680.347148438</v>
      </c>
      <c r="U107" s="79">
        <f>$I$44*$U$44</f>
        <v>513608.37713071652</v>
      </c>
      <c r="V107" s="79">
        <f>$I$44*$V$44</f>
        <v>140919.41888978999</v>
      </c>
      <c r="W107" s="79">
        <f>$I$44*$W$44</f>
        <v>0</v>
      </c>
      <c r="X107" s="79">
        <f>$I$44*$X$44</f>
        <v>80794.405679693213</v>
      </c>
      <c r="Y107" s="79">
        <f>$I$44*$Y$44</f>
        <v>0</v>
      </c>
      <c r="Z107" s="79">
        <f>$I$44*$Z$44</f>
        <v>0</v>
      </c>
      <c r="AA107" s="79">
        <f>$I$44*$AA$44</f>
        <v>14786176.787157603</v>
      </c>
      <c r="AB107" s="79">
        <f ca="1">$I$44*$AB$44</f>
        <v>34057.040483498393</v>
      </c>
      <c r="AC107" s="79">
        <f ca="1">$I$44*$AC$44</f>
        <v>0</v>
      </c>
      <c r="AD107" s="79">
        <f>$I$44*$AD$44</f>
        <v>2217535.4735447741</v>
      </c>
      <c r="AE107" s="79">
        <f>$I$44*$AE$44</f>
        <v>128050.95001094161</v>
      </c>
      <c r="AF107" s="79">
        <f ca="1">$I$44*$AF$44</f>
        <v>1982679.046408233</v>
      </c>
      <c r="AG107" s="79">
        <f ca="1">$I$44*$AG$44</f>
        <v>645687.58795803727</v>
      </c>
      <c r="AI107" s="79">
        <f>$I$44*$AI$44</f>
        <v>0</v>
      </c>
      <c r="AJ107" s="79">
        <f>$I$44*$AJ$44</f>
        <v>40253.304042966774</v>
      </c>
      <c r="AK107" s="79">
        <f>$I$44*$AK$44</f>
        <v>198705.22120683917</v>
      </c>
      <c r="AL107" s="79">
        <f>$I$44*$AL$44</f>
        <v>-72.218631262026108</v>
      </c>
      <c r="AM107" s="79">
        <f>$I$44*$AM$44</f>
        <v>0</v>
      </c>
      <c r="AN107" s="79">
        <f>$I$44*$AN$44</f>
        <v>1347661.7944650622</v>
      </c>
      <c r="AO107" s="79">
        <f>$I$44*$AO$44</f>
        <v>857889.82640317897</v>
      </c>
      <c r="AP107" s="79">
        <f>$I$44*$AP$44</f>
        <v>0</v>
      </c>
      <c r="AQ107" s="79">
        <f>$I$44*$AQ$44</f>
        <v>1934682.7844128781</v>
      </c>
      <c r="AR107" s="79">
        <f>$I$44*$AR$44</f>
        <v>721802.75083997555</v>
      </c>
      <c r="AS107" s="79">
        <f>$I$44*$AS$44</f>
        <v>147600.14755617155</v>
      </c>
      <c r="AT107" s="79">
        <f>$I$44*$AT$44</f>
        <v>0</v>
      </c>
      <c r="AU107" s="79">
        <f>$I$44*$AU$44</f>
        <v>90875.832295089727</v>
      </c>
      <c r="AV107" s="79">
        <f>$I$44*$AV$44</f>
        <v>0</v>
      </c>
      <c r="AW107" s="79">
        <f>$I$44*$AW$44</f>
        <v>0</v>
      </c>
      <c r="AX107" s="79">
        <f>$I$44*$AX$44</f>
        <v>12437192.375135701</v>
      </c>
      <c r="AY107" s="79">
        <f>$I$44*$AY$44</f>
        <v>-1611703.7340432829</v>
      </c>
      <c r="AZ107" s="79">
        <f>$I$44*$AZ$44</f>
        <v>0</v>
      </c>
      <c r="BA107" s="79">
        <f>$I$44*$BA$44</f>
        <v>1841083.3618386607</v>
      </c>
      <c r="BB107" s="79">
        <f>$I$44*$BB$44</f>
        <v>96267.245179482517</v>
      </c>
      <c r="BC107" s="79">
        <f>$I$44*$BC$44</f>
        <v>1652451.1905575986</v>
      </c>
      <c r="BD107" s="79">
        <f>$I$44*$BD$44</f>
        <v>428620.36769297568</v>
      </c>
    </row>
    <row r="108" spans="1:56" ht="11.25" customHeight="1" x14ac:dyDescent="0.25">
      <c r="A108" s="9" t="s">
        <v>44</v>
      </c>
      <c r="B108" s="9" t="s">
        <v>1183</v>
      </c>
      <c r="C108" s="9" t="s">
        <v>1184</v>
      </c>
      <c r="D108" s="9" t="s">
        <v>1197</v>
      </c>
      <c r="E108" s="9" t="s">
        <v>1198</v>
      </c>
      <c r="F108" s="9" t="s">
        <v>1199</v>
      </c>
      <c r="G108" s="9" t="s">
        <v>1200</v>
      </c>
      <c r="L108" s="79">
        <f>$I$45*$L$45</f>
        <v>0</v>
      </c>
      <c r="M108" s="79">
        <f>$I$45*$M$45</f>
        <v>0</v>
      </c>
      <c r="N108" s="79">
        <f ca="1">$I$45*$N$45</f>
        <v>0</v>
      </c>
      <c r="O108" s="79">
        <f>$I$45*$O$45</f>
        <v>0</v>
      </c>
      <c r="P108" s="79">
        <f>$I$45*$P$45</f>
        <v>0</v>
      </c>
      <c r="Q108" s="79">
        <f>$I$45*$Q$45</f>
        <v>0</v>
      </c>
      <c r="R108" s="79">
        <f>$I$45*$R$45</f>
        <v>0</v>
      </c>
      <c r="S108" s="79">
        <f>$I$45*$S$45</f>
        <v>0</v>
      </c>
      <c r="T108" s="79">
        <f>$I$45*$T$45</f>
        <v>0</v>
      </c>
      <c r="U108" s="79">
        <f>$I$45*$U$45</f>
        <v>0</v>
      </c>
      <c r="V108" s="79">
        <f>$I$45*$V$45</f>
        <v>0</v>
      </c>
      <c r="W108" s="79">
        <f>$I$45*$W$45</f>
        <v>0</v>
      </c>
      <c r="X108" s="79">
        <f>$I$45*$X$45</f>
        <v>0</v>
      </c>
      <c r="Y108" s="79">
        <f>$I$45*$Y$45</f>
        <v>0</v>
      </c>
      <c r="Z108" s="79">
        <f>$I$45*$Z$45</f>
        <v>0</v>
      </c>
      <c r="AA108" s="79">
        <f>$I$45*$AA$45</f>
        <v>0</v>
      </c>
      <c r="AB108" s="79">
        <f ca="1">$I$45*$AB$45</f>
        <v>0</v>
      </c>
      <c r="AC108" s="79">
        <f ca="1">$I$45*$AC$45</f>
        <v>0</v>
      </c>
      <c r="AD108" s="79">
        <f>$I$45*$AD$45</f>
        <v>0</v>
      </c>
      <c r="AE108" s="79">
        <f>$I$45*$AE$45</f>
        <v>0</v>
      </c>
      <c r="AF108" s="79">
        <f ca="1">$I$45*$AF$45</f>
        <v>0</v>
      </c>
      <c r="AG108" s="79">
        <f ca="1">$I$45*$AG$45</f>
        <v>0</v>
      </c>
      <c r="AI108" s="79">
        <f>$I$45*$AI$45</f>
        <v>0</v>
      </c>
      <c r="AJ108" s="79">
        <f>$I$45*$AJ$45</f>
        <v>0</v>
      </c>
      <c r="AK108" s="79">
        <f>$I$45*$AK$45</f>
        <v>0</v>
      </c>
      <c r="AL108" s="79">
        <f>$I$45*$AL$45</f>
        <v>0</v>
      </c>
      <c r="AM108" s="79">
        <f>$I$45*$AM$45</f>
        <v>0</v>
      </c>
      <c r="AN108" s="79">
        <f>$I$45*$AN$45</f>
        <v>0</v>
      </c>
      <c r="AO108" s="79">
        <f>$I$45*$AO$45</f>
        <v>0</v>
      </c>
      <c r="AP108" s="79">
        <f>$I$45*$AP$45</f>
        <v>0</v>
      </c>
      <c r="AQ108" s="79">
        <f>$I$45*$AQ$45</f>
        <v>0</v>
      </c>
      <c r="AR108" s="79">
        <f>$I$45*$AR$45</f>
        <v>0</v>
      </c>
      <c r="AS108" s="79">
        <f>$I$45*$AS$45</f>
        <v>0</v>
      </c>
      <c r="AT108" s="79">
        <f>$I$45*$AT$45</f>
        <v>0</v>
      </c>
      <c r="AU108" s="79">
        <f>$I$45*$AU$45</f>
        <v>0</v>
      </c>
      <c r="AV108" s="79">
        <f>$I$45*$AV$45</f>
        <v>0</v>
      </c>
      <c r="AW108" s="79">
        <f>$I$45*$AW$45</f>
        <v>0</v>
      </c>
      <c r="AX108" s="79">
        <f>$I$45*$AX$45</f>
        <v>0</v>
      </c>
      <c r="AY108" s="79">
        <f>$I$45*$AY$45</f>
        <v>0</v>
      </c>
      <c r="AZ108" s="79">
        <f>$I$45*$AZ$45</f>
        <v>0</v>
      </c>
      <c r="BA108" s="79">
        <f>$I$45*$BA$45</f>
        <v>0</v>
      </c>
      <c r="BB108" s="79">
        <f>$I$45*$BB$45</f>
        <v>0</v>
      </c>
      <c r="BC108" s="79">
        <f>$I$45*$BC$45</f>
        <v>0</v>
      </c>
      <c r="BD108" s="79">
        <f>$I$45*$BD$45</f>
        <v>0</v>
      </c>
    </row>
    <row r="109" spans="1:56" ht="11.25" customHeight="1" x14ac:dyDescent="0.25">
      <c r="A109" s="9" t="s">
        <v>44</v>
      </c>
      <c r="B109" s="9" t="s">
        <v>1183</v>
      </c>
      <c r="C109" s="9" t="s">
        <v>1184</v>
      </c>
      <c r="D109" s="9" t="s">
        <v>1197</v>
      </c>
      <c r="E109" s="9" t="s">
        <v>1198</v>
      </c>
      <c r="F109" s="9" t="s">
        <v>1199</v>
      </c>
      <c r="G109" s="9" t="s">
        <v>1201</v>
      </c>
      <c r="L109" s="79">
        <f>$I$46*$L$46</f>
        <v>0</v>
      </c>
      <c r="M109" s="79">
        <f>$I$46*$M$46</f>
        <v>0</v>
      </c>
      <c r="N109" s="79">
        <f ca="1">$I$46*$N$46</f>
        <v>0</v>
      </c>
      <c r="O109" s="79">
        <f>$I$46*$O$46</f>
        <v>0</v>
      </c>
      <c r="P109" s="79">
        <f>$I$46*$P$46</f>
        <v>0</v>
      </c>
      <c r="Q109" s="79">
        <f>$I$46*$Q$46</f>
        <v>0</v>
      </c>
      <c r="R109" s="79">
        <f>$I$46*$R$46</f>
        <v>0</v>
      </c>
      <c r="S109" s="79">
        <f>$I$46*$S$46</f>
        <v>0</v>
      </c>
      <c r="T109" s="79">
        <f>$I$46*$T$46</f>
        <v>0</v>
      </c>
      <c r="U109" s="79">
        <f>$I$46*$U$46</f>
        <v>0</v>
      </c>
      <c r="V109" s="79">
        <f>$I$46*$V$46</f>
        <v>0</v>
      </c>
      <c r="W109" s="79">
        <f>$I$46*$W$46</f>
        <v>0</v>
      </c>
      <c r="X109" s="79">
        <f>$I$46*$X$46</f>
        <v>0</v>
      </c>
      <c r="Y109" s="79">
        <f>$I$46*$Y$46</f>
        <v>0</v>
      </c>
      <c r="Z109" s="79">
        <f>$I$46*$Z$46</f>
        <v>0</v>
      </c>
      <c r="AA109" s="79">
        <f>$I$46*$AA$46</f>
        <v>0</v>
      </c>
      <c r="AB109" s="79">
        <f ca="1">$I$46*$AB$46</f>
        <v>0</v>
      </c>
      <c r="AC109" s="79">
        <f ca="1">$I$46*$AC$46</f>
        <v>0</v>
      </c>
      <c r="AD109" s="79">
        <f>$I$46*$AD$46</f>
        <v>0</v>
      </c>
      <c r="AE109" s="79">
        <f>$I$46*$AE$46</f>
        <v>0</v>
      </c>
      <c r="AF109" s="79">
        <f ca="1">$I$46*$AF$46</f>
        <v>0</v>
      </c>
      <c r="AG109" s="79">
        <f ca="1">$I$46*$AG$46</f>
        <v>0</v>
      </c>
      <c r="AI109" s="79">
        <f>$I$46*$AI$46</f>
        <v>0</v>
      </c>
      <c r="AJ109" s="79">
        <f>$I$46*$AJ$46</f>
        <v>0</v>
      </c>
      <c r="AK109" s="79">
        <f>$I$46*$AK$46</f>
        <v>0</v>
      </c>
      <c r="AL109" s="79">
        <f>$I$46*$AL$46</f>
        <v>0</v>
      </c>
      <c r="AM109" s="79">
        <f>$I$46*$AM$46</f>
        <v>0</v>
      </c>
      <c r="AN109" s="79">
        <f>$I$46*$AN$46</f>
        <v>0</v>
      </c>
      <c r="AO109" s="79">
        <f>$I$46*$AO$46</f>
        <v>0</v>
      </c>
      <c r="AP109" s="79">
        <f>$I$46*$AP$46</f>
        <v>0</v>
      </c>
      <c r="AQ109" s="79">
        <f>$I$46*$AQ$46</f>
        <v>0</v>
      </c>
      <c r="AR109" s="79">
        <f>$I$46*$AR$46</f>
        <v>0</v>
      </c>
      <c r="AS109" s="79">
        <f>$I$46*$AS$46</f>
        <v>0</v>
      </c>
      <c r="AT109" s="79">
        <f>$I$46*$AT$46</f>
        <v>0</v>
      </c>
      <c r="AU109" s="79">
        <f>$I$46*$AU$46</f>
        <v>0</v>
      </c>
      <c r="AV109" s="79">
        <f>$I$46*$AV$46</f>
        <v>0</v>
      </c>
      <c r="AW109" s="79">
        <f>$I$46*$AW$46</f>
        <v>0</v>
      </c>
      <c r="AX109" s="79">
        <f>$I$46*$AX$46</f>
        <v>0</v>
      </c>
      <c r="AY109" s="79">
        <f>$I$46*$AY$46</f>
        <v>0</v>
      </c>
      <c r="AZ109" s="79">
        <f>$I$46*$AZ$46</f>
        <v>0</v>
      </c>
      <c r="BA109" s="79">
        <f>$I$46*$BA$46</f>
        <v>0</v>
      </c>
      <c r="BB109" s="79">
        <f>$I$46*$BB$46</f>
        <v>0</v>
      </c>
      <c r="BC109" s="79">
        <f>$I$46*$BC$46</f>
        <v>0</v>
      </c>
      <c r="BD109" s="79">
        <f>$I$46*$BD$46</f>
        <v>0</v>
      </c>
    </row>
    <row r="110" spans="1:56" ht="11.25" customHeight="1" x14ac:dyDescent="0.25">
      <c r="A110" s="9" t="s">
        <v>44</v>
      </c>
      <c r="B110" s="9" t="s">
        <v>1183</v>
      </c>
      <c r="C110" s="9" t="s">
        <v>1184</v>
      </c>
      <c r="D110" s="9" t="s">
        <v>1197</v>
      </c>
      <c r="E110" s="9" t="s">
        <v>1198</v>
      </c>
      <c r="F110" s="9" t="s">
        <v>1199</v>
      </c>
      <c r="G110" s="9" t="s">
        <v>1202</v>
      </c>
      <c r="L110" s="79">
        <f>$I$47*$L$47</f>
        <v>0</v>
      </c>
      <c r="M110" s="79">
        <f>$I$47*$M$47</f>
        <v>0</v>
      </c>
      <c r="N110" s="79">
        <f ca="1">$I$47*$N$47</f>
        <v>0</v>
      </c>
      <c r="O110" s="79">
        <f>$I$47*$O$47</f>
        <v>0</v>
      </c>
      <c r="P110" s="79">
        <f>$I$47*$P$47</f>
        <v>0</v>
      </c>
      <c r="Q110" s="79">
        <f>$I$47*$Q$47</f>
        <v>0</v>
      </c>
      <c r="R110" s="79">
        <f>$I$47*$R$47</f>
        <v>0</v>
      </c>
      <c r="S110" s="79">
        <f>$I$47*$S$47</f>
        <v>0</v>
      </c>
      <c r="T110" s="79">
        <f>$I$47*$T$47</f>
        <v>0</v>
      </c>
      <c r="U110" s="79">
        <f>$I$47*$U$47</f>
        <v>0</v>
      </c>
      <c r="V110" s="79">
        <f>$I$47*$V$47</f>
        <v>0</v>
      </c>
      <c r="W110" s="79">
        <f>$I$47*$W$47</f>
        <v>0</v>
      </c>
      <c r="X110" s="79">
        <f>$I$47*$X$47</f>
        <v>0</v>
      </c>
      <c r="Y110" s="79">
        <f>$I$47*$Y$47</f>
        <v>0</v>
      </c>
      <c r="Z110" s="79">
        <f>$I$47*$Z$47</f>
        <v>0</v>
      </c>
      <c r="AA110" s="79">
        <f>$I$47*$AA$47</f>
        <v>0</v>
      </c>
      <c r="AB110" s="79">
        <f ca="1">$I$47*$AB$47</f>
        <v>0</v>
      </c>
      <c r="AC110" s="79">
        <f ca="1">$I$47*$AC$47</f>
        <v>0</v>
      </c>
      <c r="AD110" s="79">
        <f>$I$47*$AD$47</f>
        <v>0</v>
      </c>
      <c r="AE110" s="79">
        <f>$I$47*$AE$47</f>
        <v>0</v>
      </c>
      <c r="AF110" s="79">
        <f ca="1">$I$47*$AF$47</f>
        <v>0</v>
      </c>
      <c r="AG110" s="79">
        <f ca="1">$I$47*$AG$47</f>
        <v>0</v>
      </c>
      <c r="AI110" s="79">
        <f>$I$47*$AI$47</f>
        <v>0</v>
      </c>
      <c r="AJ110" s="79">
        <f>$I$47*$AJ$47</f>
        <v>0</v>
      </c>
      <c r="AK110" s="79">
        <f>$I$47*$AK$47</f>
        <v>0</v>
      </c>
      <c r="AL110" s="79">
        <f>$I$47*$AL$47</f>
        <v>0</v>
      </c>
      <c r="AM110" s="79">
        <f>$I$47*$AM$47</f>
        <v>0</v>
      </c>
      <c r="AN110" s="79">
        <f>$I$47*$AN$47</f>
        <v>0</v>
      </c>
      <c r="AO110" s="79">
        <f>$I$47*$AO$47</f>
        <v>0</v>
      </c>
      <c r="AP110" s="79">
        <f>$I$47*$AP$47</f>
        <v>0</v>
      </c>
      <c r="AQ110" s="79">
        <f>$I$47*$AQ$47</f>
        <v>0</v>
      </c>
      <c r="AR110" s="79">
        <f>$I$47*$AR$47</f>
        <v>0</v>
      </c>
      <c r="AS110" s="79">
        <f>$I$47*$AS$47</f>
        <v>0</v>
      </c>
      <c r="AT110" s="79">
        <f>$I$47*$AT$47</f>
        <v>0</v>
      </c>
      <c r="AU110" s="79">
        <f>$I$47*$AU$47</f>
        <v>0</v>
      </c>
      <c r="AV110" s="79">
        <f>$I$47*$AV$47</f>
        <v>0</v>
      </c>
      <c r="AW110" s="79">
        <f>$I$47*$AW$47</f>
        <v>0</v>
      </c>
      <c r="AX110" s="79">
        <f>$I$47*$AX$47</f>
        <v>0</v>
      </c>
      <c r="AY110" s="79">
        <f>$I$47*$AY$47</f>
        <v>0</v>
      </c>
      <c r="AZ110" s="79">
        <f>$I$47*$AZ$47</f>
        <v>0</v>
      </c>
      <c r="BA110" s="79">
        <f>$I$47*$BA$47</f>
        <v>0</v>
      </c>
      <c r="BB110" s="79">
        <f>$I$47*$BB$47</f>
        <v>0</v>
      </c>
      <c r="BC110" s="79">
        <f>$I$47*$BC$47</f>
        <v>0</v>
      </c>
      <c r="BD110" s="79">
        <f>$I$47*$BD$47</f>
        <v>0</v>
      </c>
    </row>
    <row r="111" spans="1:56" ht="11.25" customHeight="1" x14ac:dyDescent="0.25">
      <c r="A111" s="9" t="s">
        <v>44</v>
      </c>
      <c r="B111" s="9" t="s">
        <v>1191</v>
      </c>
      <c r="C111" s="9" t="s">
        <v>1192</v>
      </c>
      <c r="D111" s="9" t="s">
        <v>1203</v>
      </c>
      <c r="E111" s="9" t="s">
        <v>1204</v>
      </c>
      <c r="F111" s="9" t="s">
        <v>1205</v>
      </c>
      <c r="G111" s="9" t="s">
        <v>1206</v>
      </c>
      <c r="L111" s="79">
        <f>$I$48*$L$48</f>
        <v>0</v>
      </c>
      <c r="M111" s="79">
        <f>$I$48*$M$48</f>
        <v>0</v>
      </c>
      <c r="N111" s="79">
        <f ca="1">$I$48*$N$48</f>
        <v>0</v>
      </c>
      <c r="O111" s="79">
        <f>$I$48*$O$48</f>
        <v>0</v>
      </c>
      <c r="P111" s="79">
        <f>$I$48*$P$48</f>
        <v>0</v>
      </c>
      <c r="Q111" s="79">
        <f>$I$48*$Q$48</f>
        <v>0</v>
      </c>
      <c r="R111" s="79">
        <f>$I$48*$R$48</f>
        <v>0</v>
      </c>
      <c r="S111" s="79">
        <f>$I$48*$S$48</f>
        <v>0</v>
      </c>
      <c r="T111" s="79">
        <f>$I$48*$T$48</f>
        <v>0</v>
      </c>
      <c r="U111" s="79">
        <f>$I$48*$U$48</f>
        <v>0</v>
      </c>
      <c r="V111" s="79">
        <f>$I$48*$V$48</f>
        <v>0</v>
      </c>
      <c r="W111" s="79">
        <f>$I$48*$W$48</f>
        <v>0</v>
      </c>
      <c r="X111" s="79">
        <f>$I$48*$X$48</f>
        <v>0</v>
      </c>
      <c r="Y111" s="79">
        <f>$I$48*$Y$48</f>
        <v>0</v>
      </c>
      <c r="Z111" s="79">
        <f>$I$48*$Z$48</f>
        <v>0</v>
      </c>
      <c r="AA111" s="79">
        <f>$I$48*$AA$48</f>
        <v>0</v>
      </c>
      <c r="AB111" s="79">
        <f ca="1">$I$48*$AB$48</f>
        <v>0</v>
      </c>
      <c r="AC111" s="79">
        <f ca="1">$I$48*$AC$48</f>
        <v>0</v>
      </c>
      <c r="AD111" s="79">
        <f>$I$48*$AD$48</f>
        <v>0</v>
      </c>
      <c r="AE111" s="79">
        <f>$I$48*$AE$48</f>
        <v>0</v>
      </c>
      <c r="AF111" s="79">
        <f ca="1">$I$48*$AF$48</f>
        <v>0</v>
      </c>
      <c r="AG111" s="79">
        <f ca="1">$I$48*$AG$48</f>
        <v>0</v>
      </c>
      <c r="AI111" s="79">
        <f>$I$48*$AI$48</f>
        <v>0</v>
      </c>
      <c r="AJ111" s="79">
        <f>$I$48*$AJ$48</f>
        <v>0</v>
      </c>
      <c r="AK111" s="79">
        <f>$I$48*$AK$48</f>
        <v>0</v>
      </c>
      <c r="AL111" s="79">
        <f>$I$48*$AL$48</f>
        <v>0</v>
      </c>
      <c r="AM111" s="79">
        <f>$I$48*$AM$48</f>
        <v>0</v>
      </c>
      <c r="AN111" s="79">
        <f>$I$48*$AN$48</f>
        <v>0</v>
      </c>
      <c r="AO111" s="79">
        <f>$I$48*$AO$48</f>
        <v>0</v>
      </c>
      <c r="AP111" s="79">
        <f>$I$48*$AP$48</f>
        <v>0</v>
      </c>
      <c r="AQ111" s="79">
        <f>$I$48*$AQ$48</f>
        <v>0</v>
      </c>
      <c r="AR111" s="79">
        <f>$I$48*$AR$48</f>
        <v>0</v>
      </c>
      <c r="AS111" s="79">
        <f>$I$48*$AS$48</f>
        <v>0</v>
      </c>
      <c r="AT111" s="79">
        <f>$I$48*$AT$48</f>
        <v>0</v>
      </c>
      <c r="AU111" s="79">
        <f>$I$48*$AU$48</f>
        <v>0</v>
      </c>
      <c r="AV111" s="79">
        <f>$I$48*$AV$48</f>
        <v>0</v>
      </c>
      <c r="AW111" s="79">
        <f>$I$48*$AW$48</f>
        <v>0</v>
      </c>
      <c r="AX111" s="79">
        <f>$I$48*$AX$48</f>
        <v>0</v>
      </c>
      <c r="AY111" s="79">
        <f>$I$48*$AY$48</f>
        <v>0</v>
      </c>
      <c r="AZ111" s="79">
        <f>$I$48*$AZ$48</f>
        <v>0</v>
      </c>
      <c r="BA111" s="79">
        <f>$I$48*$BA$48</f>
        <v>0</v>
      </c>
      <c r="BB111" s="79">
        <f>$I$48*$BB$48</f>
        <v>0</v>
      </c>
      <c r="BC111" s="79">
        <f>$I$48*$BC$48</f>
        <v>0</v>
      </c>
      <c r="BD111" s="79">
        <f>$I$48*$BD$48</f>
        <v>0</v>
      </c>
    </row>
    <row r="112" spans="1:56" ht="11.25" customHeight="1" x14ac:dyDescent="0.25">
      <c r="A112" s="9" t="s">
        <v>44</v>
      </c>
      <c r="B112" s="9" t="s">
        <v>1183</v>
      </c>
      <c r="C112" s="9" t="s">
        <v>1184</v>
      </c>
      <c r="D112" s="9" t="s">
        <v>1207</v>
      </c>
      <c r="E112" s="9" t="s">
        <v>1208</v>
      </c>
      <c r="F112" s="9" t="s">
        <v>1209</v>
      </c>
      <c r="G112" s="9" t="s">
        <v>1210</v>
      </c>
      <c r="L112" s="79">
        <f>$I$49*$L$49</f>
        <v>0</v>
      </c>
      <c r="M112" s="79">
        <f>$I$49*$M$49</f>
        <v>0</v>
      </c>
      <c r="N112" s="79">
        <f ca="1">$I$49*$N$49</f>
        <v>0</v>
      </c>
      <c r="O112" s="79">
        <f>$I$49*$O$49</f>
        <v>0</v>
      </c>
      <c r="P112" s="79">
        <f>$I$49*$P$49</f>
        <v>0</v>
      </c>
      <c r="Q112" s="79">
        <f>$I$49*$Q$49</f>
        <v>0</v>
      </c>
      <c r="R112" s="79">
        <f>$I$49*$R$49</f>
        <v>0</v>
      </c>
      <c r="S112" s="79">
        <f>$I$49*$S$49</f>
        <v>0</v>
      </c>
      <c r="T112" s="79">
        <f>$I$49*$T$49</f>
        <v>0</v>
      </c>
      <c r="U112" s="79">
        <f>$I$49*$U$49</f>
        <v>0</v>
      </c>
      <c r="V112" s="79">
        <f>$I$49*$V$49</f>
        <v>0</v>
      </c>
      <c r="W112" s="79">
        <f>$I$49*$W$49</f>
        <v>0</v>
      </c>
      <c r="X112" s="79">
        <f>$I$49*$X$49</f>
        <v>0</v>
      </c>
      <c r="Y112" s="79">
        <f>$I$49*$Y$49</f>
        <v>0</v>
      </c>
      <c r="Z112" s="79">
        <f>$I$49*$Z$49</f>
        <v>0</v>
      </c>
      <c r="AA112" s="79">
        <f>$I$49*$AA$49</f>
        <v>0</v>
      </c>
      <c r="AB112" s="79">
        <f ca="1">$I$49*$AB$49</f>
        <v>0</v>
      </c>
      <c r="AC112" s="79">
        <f ca="1">$I$49*$AC$49</f>
        <v>0</v>
      </c>
      <c r="AD112" s="79">
        <f>$I$49*$AD$49</f>
        <v>0</v>
      </c>
      <c r="AE112" s="79">
        <f>$I$49*$AE$49</f>
        <v>0</v>
      </c>
      <c r="AF112" s="79">
        <f ca="1">$I$49*$AF$49</f>
        <v>0</v>
      </c>
      <c r="AG112" s="79">
        <f ca="1">$I$49*$AG$49</f>
        <v>0</v>
      </c>
      <c r="AI112" s="79">
        <f>$I$49*$AI$49</f>
        <v>0</v>
      </c>
      <c r="AJ112" s="79">
        <f>$I$49*$AJ$49</f>
        <v>0</v>
      </c>
      <c r="AK112" s="79">
        <f>$I$49*$AK$49</f>
        <v>0</v>
      </c>
      <c r="AL112" s="79">
        <f>$I$49*$AL$49</f>
        <v>0</v>
      </c>
      <c r="AM112" s="79">
        <f>$I$49*$AM$49</f>
        <v>0</v>
      </c>
      <c r="AN112" s="79">
        <f>$I$49*$AN$49</f>
        <v>0</v>
      </c>
      <c r="AO112" s="79">
        <f>$I$49*$AO$49</f>
        <v>0</v>
      </c>
      <c r="AP112" s="79">
        <f>$I$49*$AP$49</f>
        <v>0</v>
      </c>
      <c r="AQ112" s="79">
        <f>$I$49*$AQ$49</f>
        <v>0</v>
      </c>
      <c r="AR112" s="79">
        <f>$I$49*$AR$49</f>
        <v>0</v>
      </c>
      <c r="AS112" s="79">
        <f>$I$49*$AS$49</f>
        <v>0</v>
      </c>
      <c r="AT112" s="79">
        <f>$I$49*$AT$49</f>
        <v>0</v>
      </c>
      <c r="AU112" s="79">
        <f>$I$49*$AU$49</f>
        <v>0</v>
      </c>
      <c r="AV112" s="79">
        <f>$I$49*$AV$49</f>
        <v>0</v>
      </c>
      <c r="AW112" s="79">
        <f>$I$49*$AW$49</f>
        <v>0</v>
      </c>
      <c r="AX112" s="79">
        <f>$I$49*$AX$49</f>
        <v>0</v>
      </c>
      <c r="AY112" s="79">
        <f>$I$49*$AY$49</f>
        <v>0</v>
      </c>
      <c r="AZ112" s="79">
        <f>$I$49*$AZ$49</f>
        <v>0</v>
      </c>
      <c r="BA112" s="79">
        <f>$I$49*$BA$49</f>
        <v>0</v>
      </c>
      <c r="BB112" s="79">
        <f>$I$49*$BB$49</f>
        <v>0</v>
      </c>
      <c r="BC112" s="79">
        <f>$I$49*$BC$49</f>
        <v>0</v>
      </c>
      <c r="BD112" s="79">
        <f>$I$49*$BD$49</f>
        <v>0</v>
      </c>
    </row>
    <row r="113" spans="1:56" ht="11.25" customHeight="1" x14ac:dyDescent="0.25">
      <c r="A113" s="9" t="s">
        <v>44</v>
      </c>
      <c r="B113" s="9" t="s">
        <v>1183</v>
      </c>
      <c r="C113" s="9" t="s">
        <v>1184</v>
      </c>
      <c r="D113" s="9" t="s">
        <v>1207</v>
      </c>
      <c r="E113" s="9" t="s">
        <v>1208</v>
      </c>
      <c r="F113" s="9" t="s">
        <v>1209</v>
      </c>
      <c r="G113" s="9" t="s">
        <v>1211</v>
      </c>
      <c r="L113" s="79">
        <f>$I$50*$L$50</f>
        <v>0</v>
      </c>
      <c r="M113" s="79">
        <f>$I$50*$M$50</f>
        <v>0</v>
      </c>
      <c r="N113" s="79">
        <f ca="1">$I$50*$N$50</f>
        <v>0</v>
      </c>
      <c r="O113" s="79">
        <f>$I$50*$O$50</f>
        <v>0</v>
      </c>
      <c r="P113" s="79">
        <f>$I$50*$P$50</f>
        <v>0</v>
      </c>
      <c r="Q113" s="79">
        <f>$I$50*$Q$50</f>
        <v>0</v>
      </c>
      <c r="R113" s="79">
        <f>$I$50*$R$50</f>
        <v>0</v>
      </c>
      <c r="S113" s="79">
        <f>$I$50*$S$50</f>
        <v>0</v>
      </c>
      <c r="T113" s="79">
        <f>$I$50*$T$50</f>
        <v>0</v>
      </c>
      <c r="U113" s="79">
        <f>$I$50*$U$50</f>
        <v>0</v>
      </c>
      <c r="V113" s="79">
        <f>$I$50*$V$50</f>
        <v>0</v>
      </c>
      <c r="W113" s="79">
        <f>$I$50*$W$50</f>
        <v>0</v>
      </c>
      <c r="X113" s="79">
        <f>$I$50*$X$50</f>
        <v>0</v>
      </c>
      <c r="Y113" s="79">
        <f>$I$50*$Y$50</f>
        <v>0</v>
      </c>
      <c r="Z113" s="79">
        <f>$I$50*$Z$50</f>
        <v>0</v>
      </c>
      <c r="AA113" s="79">
        <f>$I$50*$AA$50</f>
        <v>0</v>
      </c>
      <c r="AB113" s="79">
        <f ca="1">$I$50*$AB$50</f>
        <v>0</v>
      </c>
      <c r="AC113" s="79">
        <f ca="1">$I$50*$AC$50</f>
        <v>0</v>
      </c>
      <c r="AD113" s="79">
        <f>$I$50*$AD$50</f>
        <v>0</v>
      </c>
      <c r="AE113" s="79">
        <f>$I$50*$AE$50</f>
        <v>0</v>
      </c>
      <c r="AF113" s="79">
        <f ca="1">$I$50*$AF$50</f>
        <v>0</v>
      </c>
      <c r="AG113" s="79">
        <f ca="1">$I$50*$AG$50</f>
        <v>0</v>
      </c>
      <c r="AI113" s="79">
        <f>$I$50*$AI$50</f>
        <v>0</v>
      </c>
      <c r="AJ113" s="79">
        <f>$I$50*$AJ$50</f>
        <v>0</v>
      </c>
      <c r="AK113" s="79">
        <f>$I$50*$AK$50</f>
        <v>0</v>
      </c>
      <c r="AL113" s="79">
        <f>$I$50*$AL$50</f>
        <v>0</v>
      </c>
      <c r="AM113" s="79">
        <f>$I$50*$AM$50</f>
        <v>0</v>
      </c>
      <c r="AN113" s="79">
        <f>$I$50*$AN$50</f>
        <v>0</v>
      </c>
      <c r="AO113" s="79">
        <f>$I$50*$AO$50</f>
        <v>0</v>
      </c>
      <c r="AP113" s="79">
        <f>$I$50*$AP$50</f>
        <v>0</v>
      </c>
      <c r="AQ113" s="79">
        <f>$I$50*$AQ$50</f>
        <v>0</v>
      </c>
      <c r="AR113" s="79">
        <f>$I$50*$AR$50</f>
        <v>0</v>
      </c>
      <c r="AS113" s="79">
        <f>$I$50*$AS$50</f>
        <v>0</v>
      </c>
      <c r="AT113" s="79">
        <f>$I$50*$AT$50</f>
        <v>0</v>
      </c>
      <c r="AU113" s="79">
        <f>$I$50*$AU$50</f>
        <v>0</v>
      </c>
      <c r="AV113" s="79">
        <f>$I$50*$AV$50</f>
        <v>0</v>
      </c>
      <c r="AW113" s="79">
        <f>$I$50*$AW$50</f>
        <v>0</v>
      </c>
      <c r="AX113" s="79">
        <f>$I$50*$AX$50</f>
        <v>0</v>
      </c>
      <c r="AY113" s="79">
        <f>$I$50*$AY$50</f>
        <v>0</v>
      </c>
      <c r="AZ113" s="79">
        <f>$I$50*$AZ$50</f>
        <v>0</v>
      </c>
      <c r="BA113" s="79">
        <f>$I$50*$BA$50</f>
        <v>0</v>
      </c>
      <c r="BB113" s="79">
        <f>$I$50*$BB$50</f>
        <v>0</v>
      </c>
      <c r="BC113" s="79">
        <f>$I$50*$BC$50</f>
        <v>0</v>
      </c>
      <c r="BD113" s="79">
        <f>$I$50*$BD$50</f>
        <v>0</v>
      </c>
    </row>
    <row r="114" spans="1:56" ht="11.25" customHeight="1" x14ac:dyDescent="0.25">
      <c r="A114" s="9" t="s">
        <v>44</v>
      </c>
      <c r="B114" s="9" t="s">
        <v>1183</v>
      </c>
      <c r="C114" s="9" t="s">
        <v>1184</v>
      </c>
      <c r="D114" s="9" t="s">
        <v>1207</v>
      </c>
      <c r="E114" s="9" t="s">
        <v>1208</v>
      </c>
      <c r="F114" s="9" t="s">
        <v>1209</v>
      </c>
      <c r="G114" s="9" t="s">
        <v>1212</v>
      </c>
      <c r="L114" s="79">
        <f>$I$51*$L$51</f>
        <v>0</v>
      </c>
      <c r="M114" s="79">
        <f>$I$51*$M$51</f>
        <v>0</v>
      </c>
      <c r="N114" s="79">
        <f ca="1">$I$51*$N$51</f>
        <v>0</v>
      </c>
      <c r="O114" s="79">
        <f>$I$51*$O$51</f>
        <v>0</v>
      </c>
      <c r="P114" s="79">
        <f>$I$51*$P$51</f>
        <v>0</v>
      </c>
      <c r="Q114" s="79">
        <f>$I$51*$Q$51</f>
        <v>0</v>
      </c>
      <c r="R114" s="79">
        <f>$I$51*$R$51</f>
        <v>0</v>
      </c>
      <c r="S114" s="79">
        <f>$I$51*$S$51</f>
        <v>0</v>
      </c>
      <c r="T114" s="79">
        <f>$I$51*$T$51</f>
        <v>0</v>
      </c>
      <c r="U114" s="79">
        <f>$I$51*$U$51</f>
        <v>0</v>
      </c>
      <c r="V114" s="79">
        <f>$I$51*$V$51</f>
        <v>0</v>
      </c>
      <c r="W114" s="79">
        <f>$I$51*$W$51</f>
        <v>0</v>
      </c>
      <c r="X114" s="79">
        <f>$I$51*$X$51</f>
        <v>0</v>
      </c>
      <c r="Y114" s="79">
        <f>$I$51*$Y$51</f>
        <v>0</v>
      </c>
      <c r="Z114" s="79">
        <f>$I$51*$Z$51</f>
        <v>0</v>
      </c>
      <c r="AA114" s="79">
        <f>$I$51*$AA$51</f>
        <v>0</v>
      </c>
      <c r="AB114" s="79">
        <f ca="1">$I$51*$AB$51</f>
        <v>0</v>
      </c>
      <c r="AC114" s="79">
        <f ca="1">$I$51*$AC$51</f>
        <v>0</v>
      </c>
      <c r="AD114" s="79">
        <f>$I$51*$AD$51</f>
        <v>0</v>
      </c>
      <c r="AE114" s="79">
        <f>$I$51*$AE$51</f>
        <v>0</v>
      </c>
      <c r="AF114" s="79">
        <f ca="1">$I$51*$AF$51</f>
        <v>0</v>
      </c>
      <c r="AG114" s="79">
        <f ca="1">$I$51*$AG$51</f>
        <v>0</v>
      </c>
      <c r="AI114" s="79">
        <f>$I$51*$AI$51</f>
        <v>0</v>
      </c>
      <c r="AJ114" s="79">
        <f>$I$51*$AJ$51</f>
        <v>0</v>
      </c>
      <c r="AK114" s="79">
        <f>$I$51*$AK$51</f>
        <v>0</v>
      </c>
      <c r="AL114" s="79">
        <f>$I$51*$AL$51</f>
        <v>0</v>
      </c>
      <c r="AM114" s="79">
        <f>$I$51*$AM$51</f>
        <v>0</v>
      </c>
      <c r="AN114" s="79">
        <f>$I$51*$AN$51</f>
        <v>0</v>
      </c>
      <c r="AO114" s="79">
        <f>$I$51*$AO$51</f>
        <v>0</v>
      </c>
      <c r="AP114" s="79">
        <f>$I$51*$AP$51</f>
        <v>0</v>
      </c>
      <c r="AQ114" s="79">
        <f>$I$51*$AQ$51</f>
        <v>0</v>
      </c>
      <c r="AR114" s="79">
        <f>$I$51*$AR$51</f>
        <v>0</v>
      </c>
      <c r="AS114" s="79">
        <f>$I$51*$AS$51</f>
        <v>0</v>
      </c>
      <c r="AT114" s="79">
        <f>$I$51*$AT$51</f>
        <v>0</v>
      </c>
      <c r="AU114" s="79">
        <f>$I$51*$AU$51</f>
        <v>0</v>
      </c>
      <c r="AV114" s="79">
        <f>$I$51*$AV$51</f>
        <v>0</v>
      </c>
      <c r="AW114" s="79">
        <f>$I$51*$AW$51</f>
        <v>0</v>
      </c>
      <c r="AX114" s="79">
        <f>$I$51*$AX$51</f>
        <v>0</v>
      </c>
      <c r="AY114" s="79">
        <f>$I$51*$AY$51</f>
        <v>0</v>
      </c>
      <c r="AZ114" s="79">
        <f>$I$51*$AZ$51</f>
        <v>0</v>
      </c>
      <c r="BA114" s="79">
        <f>$I$51*$BA$51</f>
        <v>0</v>
      </c>
      <c r="BB114" s="79">
        <f>$I$51*$BB$51</f>
        <v>0</v>
      </c>
      <c r="BC114" s="79">
        <f>$I$51*$BC$51</f>
        <v>0</v>
      </c>
      <c r="BD114" s="79">
        <f>$I$51*$BD$51</f>
        <v>0</v>
      </c>
    </row>
    <row r="115" spans="1:56" ht="11.25" customHeight="1" x14ac:dyDescent="0.25">
      <c r="A115" s="9" t="s">
        <v>44</v>
      </c>
      <c r="B115" s="9" t="s">
        <v>1191</v>
      </c>
      <c r="C115" s="9" t="s">
        <v>1192</v>
      </c>
      <c r="D115" s="9" t="s">
        <v>1213</v>
      </c>
      <c r="E115" s="9" t="s">
        <v>1214</v>
      </c>
      <c r="F115" s="9" t="s">
        <v>1215</v>
      </c>
      <c r="G115" s="9" t="s">
        <v>1216</v>
      </c>
      <c r="L115" s="79">
        <f>$I$52*$L$52</f>
        <v>0</v>
      </c>
      <c r="M115" s="79">
        <f>$I$52*$M$52</f>
        <v>0</v>
      </c>
      <c r="N115" s="79">
        <f ca="1">$I$52*$N$52</f>
        <v>0</v>
      </c>
      <c r="O115" s="79">
        <f>$I$52*$O$52</f>
        <v>0</v>
      </c>
      <c r="P115" s="79">
        <f>$I$52*$P$52</f>
        <v>0</v>
      </c>
      <c r="Q115" s="79">
        <f>$I$52*$Q$52</f>
        <v>0</v>
      </c>
      <c r="R115" s="79">
        <f>$I$52*$R$52</f>
        <v>0</v>
      </c>
      <c r="S115" s="79">
        <f>$I$52*$S$52</f>
        <v>0</v>
      </c>
      <c r="T115" s="79">
        <f>$I$52*$T$52</f>
        <v>0</v>
      </c>
      <c r="U115" s="79">
        <f>$I$52*$U$52</f>
        <v>0</v>
      </c>
      <c r="V115" s="79">
        <f>$I$52*$V$52</f>
        <v>0</v>
      </c>
      <c r="W115" s="79">
        <f>$I$52*$W$52</f>
        <v>0</v>
      </c>
      <c r="X115" s="79">
        <f>$I$52*$X$52</f>
        <v>0</v>
      </c>
      <c r="Y115" s="79">
        <f>$I$52*$Y$52</f>
        <v>0</v>
      </c>
      <c r="Z115" s="79">
        <f>$I$52*$Z$52</f>
        <v>0</v>
      </c>
      <c r="AA115" s="79">
        <f>$I$52*$AA$52</f>
        <v>0</v>
      </c>
      <c r="AB115" s="79">
        <f ca="1">$I$52*$AB$52</f>
        <v>0</v>
      </c>
      <c r="AC115" s="79">
        <f ca="1">$I$52*$AC$52</f>
        <v>0</v>
      </c>
      <c r="AD115" s="79">
        <f>$I$52*$AD$52</f>
        <v>0</v>
      </c>
      <c r="AE115" s="79">
        <f>$I$52*$AE$52</f>
        <v>0</v>
      </c>
      <c r="AF115" s="79">
        <f ca="1">$I$52*$AF$52</f>
        <v>0</v>
      </c>
      <c r="AG115" s="79">
        <f ca="1">$I$52*$AG$52</f>
        <v>0</v>
      </c>
      <c r="AI115" s="79">
        <f>$I$52*$AI$52</f>
        <v>0</v>
      </c>
      <c r="AJ115" s="79">
        <f>$I$52*$AJ$52</f>
        <v>0</v>
      </c>
      <c r="AK115" s="79">
        <f>$I$52*$AK$52</f>
        <v>0</v>
      </c>
      <c r="AL115" s="79">
        <f>$I$52*$AL$52</f>
        <v>0</v>
      </c>
      <c r="AM115" s="79">
        <f>$I$52*$AM$52</f>
        <v>0</v>
      </c>
      <c r="AN115" s="79">
        <f>$I$52*$AN$52</f>
        <v>0</v>
      </c>
      <c r="AO115" s="79">
        <f>$I$52*$AO$52</f>
        <v>0</v>
      </c>
      <c r="AP115" s="79">
        <f>$I$52*$AP$52</f>
        <v>0</v>
      </c>
      <c r="AQ115" s="79">
        <f>$I$52*$AQ$52</f>
        <v>0</v>
      </c>
      <c r="AR115" s="79">
        <f>$I$52*$AR$52</f>
        <v>0</v>
      </c>
      <c r="AS115" s="79">
        <f>$I$52*$AS$52</f>
        <v>0</v>
      </c>
      <c r="AT115" s="79">
        <f>$I$52*$AT$52</f>
        <v>0</v>
      </c>
      <c r="AU115" s="79">
        <f>$I$52*$AU$52</f>
        <v>0</v>
      </c>
      <c r="AV115" s="79">
        <f>$I$52*$AV$52</f>
        <v>0</v>
      </c>
      <c r="AW115" s="79">
        <f>$I$52*$AW$52</f>
        <v>0</v>
      </c>
      <c r="AX115" s="79">
        <f>$I$52*$AX$52</f>
        <v>0</v>
      </c>
      <c r="AY115" s="79">
        <f>$I$52*$AY$52</f>
        <v>0</v>
      </c>
      <c r="AZ115" s="79">
        <f>$I$52*$AZ$52</f>
        <v>0</v>
      </c>
      <c r="BA115" s="79">
        <f>$I$52*$BA$52</f>
        <v>0</v>
      </c>
      <c r="BB115" s="79">
        <f>$I$52*$BB$52</f>
        <v>0</v>
      </c>
      <c r="BC115" s="79">
        <f>$I$52*$BC$52</f>
        <v>0</v>
      </c>
      <c r="BD115" s="79">
        <f>$I$52*$BD$52</f>
        <v>0</v>
      </c>
    </row>
    <row r="116" spans="1:56" ht="11.25" customHeight="1" x14ac:dyDescent="0.25">
      <c r="A116" s="9" t="s">
        <v>44</v>
      </c>
      <c r="B116" s="9" t="s">
        <v>1217</v>
      </c>
      <c r="C116" s="9" t="s">
        <v>1218</v>
      </c>
      <c r="D116" s="9" t="s">
        <v>1219</v>
      </c>
      <c r="E116" s="9" t="s">
        <v>1220</v>
      </c>
      <c r="F116" s="9" t="s">
        <v>1221</v>
      </c>
      <c r="G116" s="9" t="s">
        <v>1222</v>
      </c>
      <c r="L116" s="79">
        <f>$I$53*$L$53</f>
        <v>0</v>
      </c>
      <c r="M116" s="79">
        <f>$I$53*$M$53</f>
        <v>0</v>
      </c>
      <c r="N116" s="79">
        <f ca="1">$I$53*$N$53</f>
        <v>0</v>
      </c>
      <c r="O116" s="79">
        <f>$I$53*$O$53</f>
        <v>0</v>
      </c>
      <c r="P116" s="79">
        <f>$I$53*$P$53</f>
        <v>0</v>
      </c>
      <c r="Q116" s="79">
        <f>$I$53*$Q$53</f>
        <v>0</v>
      </c>
      <c r="R116" s="79">
        <f>$I$53*$R$53</f>
        <v>0</v>
      </c>
      <c r="S116" s="79">
        <f>$I$53*$S$53</f>
        <v>0</v>
      </c>
      <c r="T116" s="79">
        <f>$I$53*$T$53</f>
        <v>0</v>
      </c>
      <c r="U116" s="79">
        <f>$I$53*$U$53</f>
        <v>0</v>
      </c>
      <c r="V116" s="79">
        <f>$I$53*$V$53</f>
        <v>0</v>
      </c>
      <c r="W116" s="79">
        <f>$I$53*$W$53</f>
        <v>0</v>
      </c>
      <c r="X116" s="79">
        <f>$I$53*$X$53</f>
        <v>0</v>
      </c>
      <c r="Y116" s="79">
        <f>$I$53*$Y$53</f>
        <v>0</v>
      </c>
      <c r="Z116" s="79">
        <f>$I$53*$Z$53</f>
        <v>0</v>
      </c>
      <c r="AA116" s="79">
        <f>$I$53*$AA$53</f>
        <v>0</v>
      </c>
      <c r="AB116" s="79">
        <f ca="1">$I$53*$AB$53</f>
        <v>0</v>
      </c>
      <c r="AC116" s="79">
        <f ca="1">$I$53*$AC$53</f>
        <v>0</v>
      </c>
      <c r="AD116" s="79">
        <f>$I$53*$AD$53</f>
        <v>0</v>
      </c>
      <c r="AE116" s="79">
        <f>$I$53*$AE$53</f>
        <v>0</v>
      </c>
      <c r="AF116" s="79">
        <f ca="1">$I$53*$AF$53</f>
        <v>0</v>
      </c>
      <c r="AG116" s="79">
        <f ca="1">$I$53*$AG$53</f>
        <v>0</v>
      </c>
      <c r="AI116" s="79">
        <f>$I$53*$AI$53</f>
        <v>0</v>
      </c>
      <c r="AJ116" s="79">
        <f>$I$53*$AJ$53</f>
        <v>0</v>
      </c>
      <c r="AK116" s="79">
        <f>$I$53*$AK$53</f>
        <v>0</v>
      </c>
      <c r="AL116" s="79">
        <f>$I$53*$AL$53</f>
        <v>0</v>
      </c>
      <c r="AM116" s="79">
        <f>$I$53*$AM$53</f>
        <v>0</v>
      </c>
      <c r="AN116" s="79">
        <f>$I$53*$AN$53</f>
        <v>0</v>
      </c>
      <c r="AO116" s="79">
        <f>$I$53*$AO$53</f>
        <v>0</v>
      </c>
      <c r="AP116" s="79">
        <f>$I$53*$AP$53</f>
        <v>0</v>
      </c>
      <c r="AQ116" s="79">
        <f>$I$53*$AQ$53</f>
        <v>0</v>
      </c>
      <c r="AR116" s="79">
        <f>$I$53*$AR$53</f>
        <v>0</v>
      </c>
      <c r="AS116" s="79">
        <f>$I$53*$AS$53</f>
        <v>0</v>
      </c>
      <c r="AT116" s="79">
        <f>$I$53*$AT$53</f>
        <v>0</v>
      </c>
      <c r="AU116" s="79">
        <f>$I$53*$AU$53</f>
        <v>0</v>
      </c>
      <c r="AV116" s="79">
        <f>$I$53*$AV$53</f>
        <v>0</v>
      </c>
      <c r="AW116" s="79">
        <f>$I$53*$AW$53</f>
        <v>0</v>
      </c>
      <c r="AX116" s="79">
        <f>$I$53*$AX$53</f>
        <v>0</v>
      </c>
      <c r="AY116" s="79">
        <f>$I$53*$AY$53</f>
        <v>0</v>
      </c>
      <c r="AZ116" s="79">
        <f>$I$53*$AZ$53</f>
        <v>0</v>
      </c>
      <c r="BA116" s="79">
        <f>$I$53*$BA$53</f>
        <v>0</v>
      </c>
      <c r="BB116" s="79">
        <f>$I$53*$BB$53</f>
        <v>0</v>
      </c>
      <c r="BC116" s="79">
        <f>$I$53*$BC$53</f>
        <v>0</v>
      </c>
      <c r="BD116" s="79">
        <f>$I$53*$BD$53</f>
        <v>0</v>
      </c>
    </row>
    <row r="117" spans="1:56" ht="11.25" customHeight="1" x14ac:dyDescent="0.25">
      <c r="A117" s="9" t="s">
        <v>44</v>
      </c>
      <c r="B117" s="9" t="s">
        <v>1217</v>
      </c>
      <c r="C117" s="9" t="s">
        <v>1218</v>
      </c>
      <c r="D117" s="9" t="s">
        <v>1223</v>
      </c>
      <c r="E117" s="9" t="s">
        <v>1224</v>
      </c>
      <c r="F117" s="9" t="s">
        <v>1225</v>
      </c>
      <c r="G117" s="9" t="s">
        <v>1226</v>
      </c>
      <c r="L117" s="79">
        <f>$I$54*$L$54</f>
        <v>0</v>
      </c>
      <c r="M117" s="79">
        <f>$I$54*$M$54</f>
        <v>0</v>
      </c>
      <c r="N117" s="79">
        <f ca="1">$I$54*$N$54</f>
        <v>0</v>
      </c>
      <c r="O117" s="79">
        <f>$I$54*$O$54</f>
        <v>0</v>
      </c>
      <c r="P117" s="79">
        <f>$I$54*$P$54</f>
        <v>0</v>
      </c>
      <c r="Q117" s="79">
        <f>$I$54*$Q$54</f>
        <v>0</v>
      </c>
      <c r="R117" s="79">
        <f>$I$54*$R$54</f>
        <v>0</v>
      </c>
      <c r="S117" s="79">
        <f>$I$54*$S$54</f>
        <v>0</v>
      </c>
      <c r="T117" s="79">
        <f>$I$54*$T$54</f>
        <v>0</v>
      </c>
      <c r="U117" s="79">
        <f>$I$54*$U$54</f>
        <v>0</v>
      </c>
      <c r="V117" s="79">
        <f>$I$54*$V$54</f>
        <v>0</v>
      </c>
      <c r="W117" s="79">
        <f>$I$54*$W$54</f>
        <v>0</v>
      </c>
      <c r="X117" s="79">
        <f>$I$54*$X$54</f>
        <v>0</v>
      </c>
      <c r="Y117" s="79">
        <f>$I$54*$Y$54</f>
        <v>0</v>
      </c>
      <c r="Z117" s="79">
        <f>$I$54*$Z$54</f>
        <v>0</v>
      </c>
      <c r="AA117" s="79">
        <f>$I$54*$AA$54</f>
        <v>0</v>
      </c>
      <c r="AB117" s="79">
        <f ca="1">$I$54*$AB$54</f>
        <v>0</v>
      </c>
      <c r="AC117" s="79">
        <f ca="1">$I$54*$AC$54</f>
        <v>0</v>
      </c>
      <c r="AD117" s="79">
        <f>$I$54*$AD$54</f>
        <v>0</v>
      </c>
      <c r="AE117" s="79">
        <f>$I$54*$AE$54</f>
        <v>0</v>
      </c>
      <c r="AF117" s="79">
        <f ca="1">$I$54*$AF$54</f>
        <v>0</v>
      </c>
      <c r="AG117" s="79">
        <f ca="1">$I$54*$AG$54</f>
        <v>0</v>
      </c>
      <c r="AI117" s="79">
        <f>$I$54*$AI$54</f>
        <v>0</v>
      </c>
      <c r="AJ117" s="79">
        <f>$I$54*$AJ$54</f>
        <v>0</v>
      </c>
      <c r="AK117" s="79">
        <f>$I$54*$AK$54</f>
        <v>0</v>
      </c>
      <c r="AL117" s="79">
        <f>$I$54*$AL$54</f>
        <v>0</v>
      </c>
      <c r="AM117" s="79">
        <f>$I$54*$AM$54</f>
        <v>0</v>
      </c>
      <c r="AN117" s="79">
        <f>$I$54*$AN$54</f>
        <v>0</v>
      </c>
      <c r="AO117" s="79">
        <f>$I$54*$AO$54</f>
        <v>0</v>
      </c>
      <c r="AP117" s="79">
        <f>$I$54*$AP$54</f>
        <v>0</v>
      </c>
      <c r="AQ117" s="79">
        <f>$I$54*$AQ$54</f>
        <v>0</v>
      </c>
      <c r="AR117" s="79">
        <f>$I$54*$AR$54</f>
        <v>0</v>
      </c>
      <c r="AS117" s="79">
        <f>$I$54*$AS$54</f>
        <v>0</v>
      </c>
      <c r="AT117" s="79">
        <f>$I$54*$AT$54</f>
        <v>0</v>
      </c>
      <c r="AU117" s="79">
        <f>$I$54*$AU$54</f>
        <v>0</v>
      </c>
      <c r="AV117" s="79">
        <f>$I$54*$AV$54</f>
        <v>0</v>
      </c>
      <c r="AW117" s="79">
        <f>$I$54*$AW$54</f>
        <v>0</v>
      </c>
      <c r="AX117" s="79">
        <f>$I$54*$AX$54</f>
        <v>0</v>
      </c>
      <c r="AY117" s="79">
        <f>$I$54*$AY$54</f>
        <v>0</v>
      </c>
      <c r="AZ117" s="79">
        <f>$I$54*$AZ$54</f>
        <v>0</v>
      </c>
      <c r="BA117" s="79">
        <f>$I$54*$BA$54</f>
        <v>0</v>
      </c>
      <c r="BB117" s="79">
        <f>$I$54*$BB$54</f>
        <v>0</v>
      </c>
      <c r="BC117" s="79">
        <f>$I$54*$BC$54</f>
        <v>0</v>
      </c>
      <c r="BD117" s="79">
        <f>$I$54*$BD$54</f>
        <v>0</v>
      </c>
    </row>
    <row r="118" spans="1:56" ht="11.25" customHeight="1" x14ac:dyDescent="0.25">
      <c r="A118" s="9" t="s">
        <v>44</v>
      </c>
      <c r="B118" s="9" t="s">
        <v>1217</v>
      </c>
      <c r="C118" s="9" t="s">
        <v>1218</v>
      </c>
      <c r="D118" s="9" t="s">
        <v>1227</v>
      </c>
      <c r="E118" s="9" t="s">
        <v>1228</v>
      </c>
      <c r="F118" s="9" t="s">
        <v>1229</v>
      </c>
      <c r="G118" s="9" t="s">
        <v>1230</v>
      </c>
      <c r="L118" s="79">
        <f>$I$55*$L$55</f>
        <v>0</v>
      </c>
      <c r="M118" s="79">
        <f>$I$55*$M$55</f>
        <v>0</v>
      </c>
      <c r="N118" s="79">
        <f ca="1">$I$55*$N$55</f>
        <v>0</v>
      </c>
      <c r="O118" s="79">
        <f>$I$55*$O$55</f>
        <v>0</v>
      </c>
      <c r="P118" s="79">
        <f>$I$55*$P$55</f>
        <v>0</v>
      </c>
      <c r="Q118" s="79">
        <f>$I$55*$Q$55</f>
        <v>0</v>
      </c>
      <c r="R118" s="79">
        <f>$I$55*$R$55</f>
        <v>0</v>
      </c>
      <c r="S118" s="79">
        <f>$I$55*$S$55</f>
        <v>0</v>
      </c>
      <c r="T118" s="79">
        <f>$I$55*$T$55</f>
        <v>0</v>
      </c>
      <c r="U118" s="79">
        <f>$I$55*$U$55</f>
        <v>0</v>
      </c>
      <c r="V118" s="79">
        <f>$I$55*$V$55</f>
        <v>0</v>
      </c>
      <c r="W118" s="79">
        <f>$I$55*$W$55</f>
        <v>0</v>
      </c>
      <c r="X118" s="79">
        <f>$I$55*$X$55</f>
        <v>0</v>
      </c>
      <c r="Y118" s="79">
        <f>$I$55*$Y$55</f>
        <v>0</v>
      </c>
      <c r="Z118" s="79">
        <f>$I$55*$Z$55</f>
        <v>0</v>
      </c>
      <c r="AA118" s="79">
        <f>$I$55*$AA$55</f>
        <v>0</v>
      </c>
      <c r="AB118" s="79">
        <f ca="1">$I$55*$AB$55</f>
        <v>0</v>
      </c>
      <c r="AC118" s="79">
        <f ca="1">$I$55*$AC$55</f>
        <v>0</v>
      </c>
      <c r="AD118" s="79">
        <f>$I$55*$AD$55</f>
        <v>0</v>
      </c>
      <c r="AE118" s="79">
        <f>$I$55*$AE$55</f>
        <v>0</v>
      </c>
      <c r="AF118" s="79">
        <f ca="1">$I$55*$AF$55</f>
        <v>0</v>
      </c>
      <c r="AG118" s="79">
        <f ca="1">$I$55*$AG$55</f>
        <v>0</v>
      </c>
      <c r="AI118" s="79">
        <f>$I$55*$AI$55</f>
        <v>0</v>
      </c>
      <c r="AJ118" s="79">
        <f>$I$55*$AJ$55</f>
        <v>0</v>
      </c>
      <c r="AK118" s="79">
        <f>$I$55*$AK$55</f>
        <v>0</v>
      </c>
      <c r="AL118" s="79">
        <f>$I$55*$AL$55</f>
        <v>0</v>
      </c>
      <c r="AM118" s="79">
        <f>$I$55*$AM$55</f>
        <v>0</v>
      </c>
      <c r="AN118" s="79">
        <f>$I$55*$AN$55</f>
        <v>0</v>
      </c>
      <c r="AO118" s="79">
        <f>$I$55*$AO$55</f>
        <v>0</v>
      </c>
      <c r="AP118" s="79">
        <f>$I$55*$AP$55</f>
        <v>0</v>
      </c>
      <c r="AQ118" s="79">
        <f>$I$55*$AQ$55</f>
        <v>0</v>
      </c>
      <c r="AR118" s="79">
        <f>$I$55*$AR$55</f>
        <v>0</v>
      </c>
      <c r="AS118" s="79">
        <f>$I$55*$AS$55</f>
        <v>0</v>
      </c>
      <c r="AT118" s="79">
        <f>$I$55*$AT$55</f>
        <v>0</v>
      </c>
      <c r="AU118" s="79">
        <f>$I$55*$AU$55</f>
        <v>0</v>
      </c>
      <c r="AV118" s="79">
        <f>$I$55*$AV$55</f>
        <v>0</v>
      </c>
      <c r="AW118" s="79">
        <f>$I$55*$AW$55</f>
        <v>0</v>
      </c>
      <c r="AX118" s="79">
        <f>$I$55*$AX$55</f>
        <v>0</v>
      </c>
      <c r="AY118" s="79">
        <f>$I$55*$AY$55</f>
        <v>0</v>
      </c>
      <c r="AZ118" s="79">
        <f>$I$55*$AZ$55</f>
        <v>0</v>
      </c>
      <c r="BA118" s="79">
        <f>$I$55*$BA$55</f>
        <v>0</v>
      </c>
      <c r="BB118" s="79">
        <f>$I$55*$BB$55</f>
        <v>0</v>
      </c>
      <c r="BC118" s="79">
        <f>$I$55*$BC$55</f>
        <v>0</v>
      </c>
      <c r="BD118" s="79">
        <f>$I$55*$BD$55</f>
        <v>0</v>
      </c>
    </row>
    <row r="119" spans="1:56" ht="11.25" customHeight="1" x14ac:dyDescent="0.25">
      <c r="A119" s="9" t="s">
        <v>39</v>
      </c>
      <c r="B119" s="9" t="s">
        <v>1231</v>
      </c>
      <c r="C119" s="9" t="s">
        <v>1232</v>
      </c>
      <c r="D119" s="9" t="s">
        <v>1233</v>
      </c>
      <c r="E119" s="9" t="s">
        <v>1234</v>
      </c>
      <c r="F119" s="9" t="s">
        <v>1235</v>
      </c>
      <c r="G119" s="9" t="s">
        <v>1236</v>
      </c>
      <c r="L119" s="79">
        <f>$I$56*$L$56</f>
        <v>1382.4674209641812</v>
      </c>
      <c r="M119" s="79">
        <f>$I$56*$M$56</f>
        <v>116.43784158895755</v>
      </c>
      <c r="N119" s="79">
        <f ca="1">$I$56*$N$56</f>
        <v>1510.1574759908342</v>
      </c>
      <c r="O119" s="79">
        <f>$I$56*$O$56</f>
        <v>-0.20457122843451564</v>
      </c>
      <c r="P119" s="79">
        <f>$I$56*$P$56</f>
        <v>0</v>
      </c>
      <c r="Q119" s="79">
        <f>$I$56*$Q$56</f>
        <v>5441.3927094304581</v>
      </c>
      <c r="R119" s="79">
        <f>$I$56*$R$56</f>
        <v>2233.7827050254386</v>
      </c>
      <c r="S119" s="79">
        <f>$I$56*$S$56</f>
        <v>0</v>
      </c>
      <c r="T119" s="79">
        <f>$I$56*$T$56</f>
        <v>15426.303883686036</v>
      </c>
      <c r="U119" s="79">
        <f>$I$56*$U$56</f>
        <v>3962.1749879965851</v>
      </c>
      <c r="V119" s="79">
        <f>$I$56*$V$56</f>
        <v>1087.1230832106901</v>
      </c>
      <c r="W119" s="79">
        <f>$I$56*$W$56</f>
        <v>0</v>
      </c>
      <c r="X119" s="79">
        <f>$I$56*$X$56</f>
        <v>623.29667559371489</v>
      </c>
      <c r="Y119" s="79">
        <f>$I$56*$Y$56</f>
        <v>0</v>
      </c>
      <c r="Z119" s="79">
        <f>$I$56*$Z$56</f>
        <v>0</v>
      </c>
      <c r="AA119" s="79">
        <f>$I$56*$AA$56</f>
        <v>114066.24895935303</v>
      </c>
      <c r="AB119" s="79">
        <f ca="1">$I$56*$AB$56</f>
        <v>203.78399493103296</v>
      </c>
      <c r="AC119" s="79">
        <f ca="1">$I$56*$AC$56</f>
        <v>0</v>
      </c>
      <c r="AD119" s="79">
        <f>$I$56*$AD$56</f>
        <v>5183.9148378608825</v>
      </c>
      <c r="AE119" s="79">
        <f>$I$56*$AE$56</f>
        <v>299.34367575315338</v>
      </c>
      <c r="AF119" s="79">
        <f ca="1">$I$56*$AF$56</f>
        <v>4634.892857412492</v>
      </c>
      <c r="AG119" s="79">
        <f ca="1">$I$56*$AG$56</f>
        <v>1509.4186802286977</v>
      </c>
      <c r="AI119" s="79">
        <f>$I$56*$AI$56</f>
        <v>0</v>
      </c>
      <c r="AJ119" s="79">
        <f>$I$56*$AJ$56</f>
        <v>100.5157222117913</v>
      </c>
      <c r="AK119" s="79">
        <f>$I$56*$AK$56</f>
        <v>1243.2892365033103</v>
      </c>
      <c r="AL119" s="79">
        <f>$I$56*$AL$56</f>
        <v>-0.18033570289537362</v>
      </c>
      <c r="AM119" s="79">
        <f>$I$56*$AM$56</f>
        <v>0</v>
      </c>
      <c r="AN119" s="79">
        <f>$I$56*$AN$56</f>
        <v>3365.2193723849691</v>
      </c>
      <c r="AO119" s="79">
        <f>$I$56*$AO$56</f>
        <v>2142.2195650578119</v>
      </c>
      <c r="AP119" s="79">
        <f>$I$56*$AP$56</f>
        <v>0</v>
      </c>
      <c r="AQ119" s="79">
        <f>$I$56*$AQ$56</f>
        <v>15942.493644183793</v>
      </c>
      <c r="AR119" s="79">
        <f>$I$56*$AR$56</f>
        <v>5947.922043083975</v>
      </c>
      <c r="AS119" s="79">
        <f>$I$56*$AS$56</f>
        <v>1216.2975917235124</v>
      </c>
      <c r="AT119" s="79">
        <f>$I$56*$AT$56</f>
        <v>0</v>
      </c>
      <c r="AU119" s="79">
        <f>$I$56*$AU$56</f>
        <v>748.87115500896607</v>
      </c>
      <c r="AV119" s="79">
        <f>$I$56*$AV$56</f>
        <v>0</v>
      </c>
      <c r="AW119" s="79">
        <f>$I$56*$AW$56</f>
        <v>0</v>
      </c>
      <c r="AX119" s="79">
        <f>$I$56*$AX$56</f>
        <v>102487.004347532</v>
      </c>
      <c r="AY119" s="79">
        <f>$I$56*$AY$56</f>
        <v>-10555.809638763991</v>
      </c>
      <c r="AZ119" s="79">
        <f>$I$56*$AZ$56</f>
        <v>0</v>
      </c>
      <c r="BA119" s="79">
        <f>$I$56*$BA$56</f>
        <v>4597.3325213203043</v>
      </c>
      <c r="BB119" s="79">
        <f>$I$56*$BB$56</f>
        <v>240.38701678318378</v>
      </c>
      <c r="BC119" s="79">
        <f>$I$56*$BC$56</f>
        <v>4126.3028908468605</v>
      </c>
      <c r="BD119" s="79">
        <f>$I$56*$BD$56</f>
        <v>1070.2993664161243</v>
      </c>
    </row>
    <row r="120" spans="1:56" ht="11.25" customHeight="1" x14ac:dyDescent="0.25">
      <c r="A120" s="9" t="s">
        <v>39</v>
      </c>
      <c r="B120" s="9" t="s">
        <v>1231</v>
      </c>
      <c r="C120" s="9" t="s">
        <v>1232</v>
      </c>
      <c r="D120" s="9" t="s">
        <v>1233</v>
      </c>
      <c r="E120" s="9" t="s">
        <v>1234</v>
      </c>
      <c r="F120" s="9" t="s">
        <v>1235</v>
      </c>
      <c r="G120" s="9" t="s">
        <v>1237</v>
      </c>
      <c r="L120" s="79">
        <f>$I$57*$L$57</f>
        <v>1371.7450940122278</v>
      </c>
      <c r="M120" s="79">
        <f>$I$57*$M$57</f>
        <v>115.53475730055831</v>
      </c>
      <c r="N120" s="79">
        <f ca="1">$I$57*$N$57</f>
        <v>985.21143526628498</v>
      </c>
      <c r="O120" s="79">
        <f>$I$57*$O$57</f>
        <v>-0.20298458735858502</v>
      </c>
      <c r="P120" s="79">
        <f>$I$57*$P$57</f>
        <v>0</v>
      </c>
      <c r="Q120" s="79">
        <f>$I$57*$Q$57</f>
        <v>5399.1896232529934</v>
      </c>
      <c r="R120" s="79">
        <f>$I$57*$R$57</f>
        <v>2216.4576323765677</v>
      </c>
      <c r="S120" s="79">
        <f>$I$57*$S$57</f>
        <v>0</v>
      </c>
      <c r="T120" s="79">
        <f>$I$57*$T$57</f>
        <v>9183.9979660668178</v>
      </c>
      <c r="U120" s="79">
        <f>$I$57*$U$57</f>
        <v>2358.8697690455006</v>
      </c>
      <c r="V120" s="79">
        <f>$I$57*$V$57</f>
        <v>647.22587038082008</v>
      </c>
      <c r="W120" s="79">
        <f>$I$57*$W$57</f>
        <v>0</v>
      </c>
      <c r="X120" s="79">
        <f>$I$57*$X$57</f>
        <v>371.08746346960078</v>
      </c>
      <c r="Y120" s="79">
        <f>$I$57*$Y$57</f>
        <v>0</v>
      </c>
      <c r="Z120" s="79">
        <f>$I$57*$Z$57</f>
        <v>0</v>
      </c>
      <c r="AA120" s="79">
        <f>$I$57*$AA$57</f>
        <v>67908.93191827042</v>
      </c>
      <c r="AB120" s="79">
        <f ca="1">$I$57*$AB$57</f>
        <v>131.49392935175217</v>
      </c>
      <c r="AC120" s="79">
        <f ca="1">$I$57*$AC$57</f>
        <v>0</v>
      </c>
      <c r="AD120" s="79">
        <f>$I$57*$AD$57</f>
        <v>5143.7087332252577</v>
      </c>
      <c r="AE120" s="79">
        <f>$I$57*$AE$57</f>
        <v>297.02198577062467</v>
      </c>
      <c r="AF120" s="79">
        <f ca="1">$I$57*$AF$57</f>
        <v>4598.9449313703799</v>
      </c>
      <c r="AG120" s="79">
        <f ca="1">$I$57*$AG$57</f>
        <v>1497.7117276080633</v>
      </c>
      <c r="AI120" s="79">
        <f>$I$57*$AI$57</f>
        <v>0</v>
      </c>
      <c r="AJ120" s="79">
        <f>$I$57*$AJ$57</f>
        <v>99.736128840531308</v>
      </c>
      <c r="AK120" s="79">
        <f>$I$57*$AK$57</f>
        <v>808.19801717530868</v>
      </c>
      <c r="AL120" s="79">
        <f>$I$57*$AL$57</f>
        <v>-0.17893703097136837</v>
      </c>
      <c r="AM120" s="79">
        <f>$I$57*$AM$57</f>
        <v>0</v>
      </c>
      <c r="AN120" s="79">
        <f>$I$57*$AN$57</f>
        <v>3339.1189509004657</v>
      </c>
      <c r="AO120" s="79">
        <f>$I$57*$AO$57</f>
        <v>2125.6046501375008</v>
      </c>
      <c r="AP120" s="79">
        <f>$I$57*$AP$57</f>
        <v>0</v>
      </c>
      <c r="AQ120" s="79">
        <f>$I$57*$AQ$57</f>
        <v>9491.3097982633099</v>
      </c>
      <c r="AR120" s="79">
        <f>$I$57*$AR$57</f>
        <v>3541.0787101971005</v>
      </c>
      <c r="AS120" s="79">
        <f>$I$57*$AS$57</f>
        <v>724.13076274710932</v>
      </c>
      <c r="AT120" s="79">
        <f>$I$57*$AT$57</f>
        <v>0</v>
      </c>
      <c r="AU120" s="79">
        <f>$I$57*$AU$57</f>
        <v>445.84979875453274</v>
      </c>
      <c r="AV120" s="79">
        <f>$I$57*$AV$57</f>
        <v>0</v>
      </c>
      <c r="AW120" s="79">
        <f>$I$57*$AW$57</f>
        <v>0</v>
      </c>
      <c r="AX120" s="79">
        <f>$I$57*$AX$57</f>
        <v>61015.270198146995</v>
      </c>
      <c r="AY120" s="79">
        <f>$I$57*$AY$57</f>
        <v>-6754.6409307081485</v>
      </c>
      <c r="AZ120" s="79">
        <f>$I$57*$AZ$57</f>
        <v>0</v>
      </c>
      <c r="BA120" s="79">
        <f>$I$57*$BA$57</f>
        <v>4561.6759107897897</v>
      </c>
      <c r="BB120" s="79">
        <f>$I$57*$BB$57</f>
        <v>238.52259079392149</v>
      </c>
      <c r="BC120" s="79">
        <f>$I$57*$BC$57</f>
        <v>4094.2995553414248</v>
      </c>
      <c r="BD120" s="79">
        <f>$I$57*$BD$57</f>
        <v>1061.9981944903666</v>
      </c>
    </row>
    <row r="121" spans="1:56" ht="11.25" customHeight="1" x14ac:dyDescent="0.25">
      <c r="A121" s="9" t="s">
        <v>39</v>
      </c>
      <c r="B121" s="9" t="s">
        <v>1231</v>
      </c>
      <c r="C121" s="9" t="s">
        <v>1232</v>
      </c>
      <c r="D121" s="9" t="s">
        <v>1233</v>
      </c>
      <c r="E121" s="9" t="s">
        <v>1234</v>
      </c>
      <c r="F121" s="9" t="s">
        <v>1235</v>
      </c>
      <c r="G121" s="9" t="s">
        <v>1238</v>
      </c>
      <c r="L121" s="79">
        <f>$I$58*$L$58</f>
        <v>21875.561291962083</v>
      </c>
      <c r="M121" s="79">
        <f>$I$58*$M$58</f>
        <v>1842.4616028973369</v>
      </c>
      <c r="N121" s="79">
        <f ca="1">$I$58*$N$58</f>
        <v>7526.7472975355358</v>
      </c>
      <c r="O121" s="79">
        <f>$I$58*$O$58</f>
        <v>-3.2370458633087531</v>
      </c>
      <c r="P121" s="79">
        <f>$I$58*$P$58</f>
        <v>0</v>
      </c>
      <c r="Q121" s="79">
        <f>$I$58*$Q$58</f>
        <v>86102.22412746874</v>
      </c>
      <c r="R121" s="79">
        <f>$I$58*$R$58</f>
        <v>35346.402913877355</v>
      </c>
      <c r="S121" s="79">
        <f>$I$58*$S$58</f>
        <v>0</v>
      </c>
      <c r="T121" s="79">
        <f>$I$58*$T$58</f>
        <v>48819.912228171903</v>
      </c>
      <c r="U121" s="79">
        <f>$I$58*$U$58</f>
        <v>12539.241290499314</v>
      </c>
      <c r="V121" s="79">
        <f>$I$58*$V$58</f>
        <v>3440.4908169070582</v>
      </c>
      <c r="W121" s="79">
        <f>$I$58*$W$58</f>
        <v>0</v>
      </c>
      <c r="X121" s="79">
        <f>$I$58*$X$58</f>
        <v>1972.4751367508354</v>
      </c>
      <c r="Y121" s="79">
        <f>$I$58*$Y$58</f>
        <v>0</v>
      </c>
      <c r="Z121" s="79">
        <f>$I$58*$Z$58</f>
        <v>0</v>
      </c>
      <c r="AA121" s="79">
        <f>$I$58*$AA$58</f>
        <v>360986.8080020381</v>
      </c>
      <c r="AB121" s="79">
        <f ca="1">$I$58*$AB$58</f>
        <v>969.34305167099365</v>
      </c>
      <c r="AC121" s="79">
        <f ca="1">$I$58*$AC$58</f>
        <v>0</v>
      </c>
      <c r="AD121" s="79">
        <f>$I$58*$AD$58</f>
        <v>82028.006626620932</v>
      </c>
      <c r="AE121" s="79">
        <f>$I$58*$AE$58</f>
        <v>4736.6837199912525</v>
      </c>
      <c r="AF121" s="79">
        <f ca="1">$I$58*$AF$58</f>
        <v>73340.522349011808</v>
      </c>
      <c r="AG121" s="79">
        <f ca="1">$I$58*$AG$58</f>
        <v>23884.382629101317</v>
      </c>
      <c r="AI121" s="79">
        <f>$I$58*$AI$58</f>
        <v>0</v>
      </c>
      <c r="AJ121" s="79">
        <f>$I$58*$AJ$58</f>
        <v>1590.5169327725123</v>
      </c>
      <c r="AK121" s="79">
        <f>$I$58*$AK$58</f>
        <v>6103.8004224981614</v>
      </c>
      <c r="AL121" s="79">
        <f>$I$58*$AL$58</f>
        <v>-2.8535534812570607</v>
      </c>
      <c r="AM121" s="79">
        <f>$I$58*$AM$58</f>
        <v>0</v>
      </c>
      <c r="AN121" s="79">
        <f>$I$58*$AN$58</f>
        <v>53249.763086759136</v>
      </c>
      <c r="AO121" s="79">
        <f>$I$58*$AO$58</f>
        <v>33897.54773648057</v>
      </c>
      <c r="AP121" s="79">
        <f>$I$58*$AP$58</f>
        <v>0</v>
      </c>
      <c r="AQ121" s="79">
        <f>$I$58*$AQ$58</f>
        <v>50453.507611135261</v>
      </c>
      <c r="AR121" s="79">
        <f>$I$58*$AR$58</f>
        <v>18823.608220549871</v>
      </c>
      <c r="AS121" s="79">
        <f>$I$58*$AS$58</f>
        <v>3849.2979861967556</v>
      </c>
      <c r="AT121" s="79">
        <f>$I$58*$AT$58</f>
        <v>0</v>
      </c>
      <c r="AU121" s="79">
        <f>$I$58*$AU$58</f>
        <v>2369.8662157600047</v>
      </c>
      <c r="AV121" s="79">
        <f>$I$58*$AV$58</f>
        <v>0</v>
      </c>
      <c r="AW121" s="79">
        <f>$I$58*$AW$58</f>
        <v>0</v>
      </c>
      <c r="AX121" s="79">
        <f>$I$58*$AX$58</f>
        <v>324341.83554409823</v>
      </c>
      <c r="AY121" s="79">
        <f>$I$58*$AY$58</f>
        <v>-48405.311367155598</v>
      </c>
      <c r="AZ121" s="79">
        <f>$I$58*$AZ$58</f>
        <v>0</v>
      </c>
      <c r="BA121" s="79">
        <f>$I$58*$BA$58</f>
        <v>72746.18397844948</v>
      </c>
      <c r="BB121" s="79">
        <f>$I$58*$BB$58</f>
        <v>3803.7792715324331</v>
      </c>
      <c r="BC121" s="79">
        <f>$I$58*$BC$58</f>
        <v>65292.816618395758</v>
      </c>
      <c r="BD121" s="79">
        <f>$I$58*$BD$58</f>
        <v>16935.95019726019</v>
      </c>
    </row>
    <row r="122" spans="1:56" ht="11.25" customHeight="1" x14ac:dyDescent="0.25">
      <c r="A122" s="9" t="s">
        <v>39</v>
      </c>
      <c r="B122" s="9" t="s">
        <v>1239</v>
      </c>
      <c r="C122" s="9" t="s">
        <v>1240</v>
      </c>
      <c r="D122" s="9" t="s">
        <v>1241</v>
      </c>
      <c r="E122" s="9" t="s">
        <v>1242</v>
      </c>
      <c r="F122" s="9" t="s">
        <v>1243</v>
      </c>
      <c r="G122" s="9" t="s">
        <v>1244</v>
      </c>
      <c r="L122" s="79">
        <f>$I$59*$L$59</f>
        <v>5222026.2849132745</v>
      </c>
      <c r="M122" s="79">
        <f>$I$59*$M$59</f>
        <v>439823.36228367314</v>
      </c>
      <c r="N122" s="79">
        <f ca="1">$I$59*$N$59</f>
        <v>2299999.5165199987</v>
      </c>
      <c r="O122" s="79">
        <f>$I$59*$O$59</f>
        <v>-772.73165054188769</v>
      </c>
      <c r="P122" s="79">
        <f>$I$59*$P$59</f>
        <v>0</v>
      </c>
      <c r="Q122" s="79">
        <f>$I$59*$Q$59</f>
        <v>20553899.010049459</v>
      </c>
      <c r="R122" s="79">
        <f>$I$59*$R$59</f>
        <v>8437719.2717438694</v>
      </c>
      <c r="S122" s="79">
        <f>$I$59*$S$59</f>
        <v>0</v>
      </c>
      <c r="T122" s="79">
        <f>$I$59*$T$59</f>
        <v>17657613.588582132</v>
      </c>
      <c r="U122" s="79">
        <f>$I$59*$U$59</f>
        <v>4535273.9862476382</v>
      </c>
      <c r="V122" s="79">
        <f>$I$59*$V$59</f>
        <v>1244349.202827238</v>
      </c>
      <c r="W122" s="79">
        <f>$I$59*$W$59</f>
        <v>0</v>
      </c>
      <c r="X122" s="79">
        <f>$I$59*$X$59</f>
        <v>713432.22312784358</v>
      </c>
      <c r="Y122" s="79">
        <f>$I$59*$Y$59</f>
        <v>0</v>
      </c>
      <c r="Z122" s="79">
        <f>$I$59*$Z$59</f>
        <v>0</v>
      </c>
      <c r="AA122" s="79">
        <f>$I$59*$AA$59</f>
        <v>130565165.84383419</v>
      </c>
      <c r="AB122" s="79">
        <f ca="1">$I$59*$AB$59</f>
        <v>300731.09519022191</v>
      </c>
      <c r="AC122" s="79">
        <f ca="1">$I$59*$AC$59</f>
        <v>0</v>
      </c>
      <c r="AD122" s="79">
        <f>$I$59*$AD$59</f>
        <v>19581321.868099805</v>
      </c>
      <c r="AE122" s="79">
        <f>$I$59*$AE$59</f>
        <v>1130717.8160591347</v>
      </c>
      <c r="AF122" s="79">
        <f ca="1">$I$59*$AF$59</f>
        <v>17507488.395122133</v>
      </c>
      <c r="AG122" s="79">
        <f ca="1">$I$59*$AG$59</f>
        <v>5701562.2238649381</v>
      </c>
      <c r="AI122" s="79">
        <f>$I$59*$AI$59</f>
        <v>0</v>
      </c>
      <c r="AJ122" s="79">
        <f>$I$59*$AJ$59</f>
        <v>379680.37110844499</v>
      </c>
      <c r="AK122" s="79">
        <f>$I$59*$AK$59</f>
        <v>1874242.9701787527</v>
      </c>
      <c r="AL122" s="79">
        <f>$I$59*$AL$59</f>
        <v>-681.18623726493672</v>
      </c>
      <c r="AM122" s="79">
        <f>$I$59*$AM$59</f>
        <v>0</v>
      </c>
      <c r="AN122" s="79">
        <f>$I$59*$AN$59</f>
        <v>12711521.263074286</v>
      </c>
      <c r="AO122" s="79">
        <f>$I$59*$AO$59</f>
        <v>8091855.6973916683</v>
      </c>
      <c r="AP122" s="79">
        <f>$I$59*$AP$59</f>
        <v>0</v>
      </c>
      <c r="AQ122" s="79">
        <f>$I$59*$AQ$59</f>
        <v>18248466.679379258</v>
      </c>
      <c r="AR122" s="79">
        <f>$I$59*$AR$59</f>
        <v>6808244.5111459913</v>
      </c>
      <c r="AS122" s="79">
        <f>$I$59*$AS$59</f>
        <v>1392205.6867672238</v>
      </c>
      <c r="AT122" s="79">
        <f>$I$59*$AT$59</f>
        <v>0</v>
      </c>
      <c r="AU122" s="79">
        <f>$I$59*$AU$59</f>
        <v>857166.15197000664</v>
      </c>
      <c r="AV122" s="79">
        <f>$I$59*$AV$59</f>
        <v>0</v>
      </c>
      <c r="AW122" s="79">
        <f>$I$59*$AW$59</f>
        <v>0</v>
      </c>
      <c r="AX122" s="79">
        <f>$I$59*$AX$59</f>
        <v>117311061.26091339</v>
      </c>
      <c r="AY122" s="79">
        <f>$I$59*$AY$59</f>
        <v>-15202038.35206262</v>
      </c>
      <c r="AZ122" s="79">
        <f>$I$59*$AZ$59</f>
        <v>0</v>
      </c>
      <c r="BA122" s="79">
        <f>$I$59*$BA$59</f>
        <v>17365610.865591064</v>
      </c>
      <c r="BB122" s="79">
        <f>$I$59*$BB$59</f>
        <v>908019.45937950478</v>
      </c>
      <c r="BC122" s="79">
        <f>$I$59*$BC$59</f>
        <v>15586379.706863428</v>
      </c>
      <c r="BD122" s="79">
        <f>$I$59*$BD$59</f>
        <v>4042866.6450982033</v>
      </c>
    </row>
    <row r="123" spans="1:56" ht="11.25" customHeight="1" x14ac:dyDescent="0.25">
      <c r="A123" s="9" t="s">
        <v>39</v>
      </c>
      <c r="B123" s="9" t="s">
        <v>1245</v>
      </c>
      <c r="C123" s="9" t="s">
        <v>1246</v>
      </c>
      <c r="D123" s="9" t="s">
        <v>1247</v>
      </c>
      <c r="E123" s="9" t="s">
        <v>1248</v>
      </c>
      <c r="F123" s="9" t="s">
        <v>1249</v>
      </c>
      <c r="G123" s="9" t="s">
        <v>1250</v>
      </c>
      <c r="L123" s="79">
        <f>$I$60*$L$60</f>
        <v>0</v>
      </c>
      <c r="M123" s="79">
        <f>$I$60*$M$60</f>
        <v>0</v>
      </c>
      <c r="N123" s="79">
        <f ca="1">$I$60*$N$60</f>
        <v>0</v>
      </c>
      <c r="O123" s="79">
        <f>$I$60*$O$60</f>
        <v>0</v>
      </c>
      <c r="P123" s="79">
        <f>$I$60*$P$60</f>
        <v>0</v>
      </c>
      <c r="Q123" s="79">
        <f>$I$60*$Q$60</f>
        <v>0</v>
      </c>
      <c r="R123" s="79">
        <f>$I$60*$R$60</f>
        <v>0</v>
      </c>
      <c r="S123" s="79">
        <f>$I$60*$S$60</f>
        <v>0</v>
      </c>
      <c r="T123" s="79">
        <f>$I$60*$T$60</f>
        <v>0</v>
      </c>
      <c r="U123" s="79">
        <f>$I$60*$U$60</f>
        <v>0</v>
      </c>
      <c r="V123" s="79">
        <f>$I$60*$V$60</f>
        <v>0</v>
      </c>
      <c r="W123" s="79">
        <f>$I$60*$W$60</f>
        <v>0</v>
      </c>
      <c r="X123" s="79">
        <f>$I$60*$X$60</f>
        <v>0</v>
      </c>
      <c r="Y123" s="79">
        <f>$I$60*$Y$60</f>
        <v>0</v>
      </c>
      <c r="Z123" s="79">
        <f>$I$60*$Z$60</f>
        <v>0</v>
      </c>
      <c r="AA123" s="79">
        <f>$I$60*$AA$60</f>
        <v>0</v>
      </c>
      <c r="AB123" s="79">
        <f ca="1">$I$60*$AB$60</f>
        <v>0</v>
      </c>
      <c r="AC123" s="79">
        <f ca="1">$I$60*$AC$60</f>
        <v>0</v>
      </c>
      <c r="AD123" s="79">
        <f>$I$60*$AD$60</f>
        <v>0</v>
      </c>
      <c r="AE123" s="79">
        <f>$I$60*$AE$60</f>
        <v>0</v>
      </c>
      <c r="AF123" s="79">
        <f ca="1">$I$60*$AF$60</f>
        <v>0</v>
      </c>
      <c r="AG123" s="79">
        <f ca="1">$I$60*$AG$60</f>
        <v>0</v>
      </c>
      <c r="AI123" s="79">
        <f>$I$60*$AI$60</f>
        <v>0</v>
      </c>
      <c r="AJ123" s="79">
        <f>$I$60*$AJ$60</f>
        <v>0</v>
      </c>
      <c r="AK123" s="79">
        <f>$I$60*$AK$60</f>
        <v>0</v>
      </c>
      <c r="AL123" s="79">
        <f>$I$60*$AL$60</f>
        <v>0</v>
      </c>
      <c r="AM123" s="79">
        <f>$I$60*$AM$60</f>
        <v>0</v>
      </c>
      <c r="AN123" s="79">
        <f>$I$60*$AN$60</f>
        <v>0</v>
      </c>
      <c r="AO123" s="79">
        <f>$I$60*$AO$60</f>
        <v>0</v>
      </c>
      <c r="AP123" s="79">
        <f>$I$60*$AP$60</f>
        <v>0</v>
      </c>
      <c r="AQ123" s="79">
        <f>$I$60*$AQ$60</f>
        <v>0</v>
      </c>
      <c r="AR123" s="79">
        <f>$I$60*$AR$60</f>
        <v>0</v>
      </c>
      <c r="AS123" s="79">
        <f>$I$60*$AS$60</f>
        <v>0</v>
      </c>
      <c r="AT123" s="79">
        <f>$I$60*$AT$60</f>
        <v>0</v>
      </c>
      <c r="AU123" s="79">
        <f>$I$60*$AU$60</f>
        <v>0</v>
      </c>
      <c r="AV123" s="79">
        <f>$I$60*$AV$60</f>
        <v>0</v>
      </c>
      <c r="AW123" s="79">
        <f>$I$60*$AW$60</f>
        <v>0</v>
      </c>
      <c r="AX123" s="79">
        <f>$I$60*$AX$60</f>
        <v>0</v>
      </c>
      <c r="AY123" s="79">
        <f>$I$60*$AY$60</f>
        <v>0</v>
      </c>
      <c r="AZ123" s="79">
        <f>$I$60*$AZ$60</f>
        <v>0</v>
      </c>
      <c r="BA123" s="79">
        <f>$I$60*$BA$60</f>
        <v>0</v>
      </c>
      <c r="BB123" s="79">
        <f>$I$60*$BB$60</f>
        <v>0</v>
      </c>
      <c r="BC123" s="79">
        <f>$I$60*$BC$60</f>
        <v>0</v>
      </c>
      <c r="BD123" s="79">
        <f>$I$60*$BD$60</f>
        <v>0</v>
      </c>
    </row>
    <row r="124" spans="1:56" ht="11.25" customHeight="1" x14ac:dyDescent="0.25">
      <c r="A124" s="9" t="s">
        <v>47</v>
      </c>
      <c r="B124" s="9" t="s">
        <v>1251</v>
      </c>
      <c r="C124" s="9" t="s">
        <v>1252</v>
      </c>
      <c r="D124" s="9" t="s">
        <v>1253</v>
      </c>
      <c r="E124" s="9" t="s">
        <v>1254</v>
      </c>
      <c r="F124" s="9" t="s">
        <v>1255</v>
      </c>
      <c r="G124" s="9" t="s">
        <v>1256</v>
      </c>
      <c r="L124" s="79">
        <f>$I$61*$L$61</f>
        <v>1474904.968324688</v>
      </c>
      <c r="M124" s="79">
        <f>$I$61*$M$61</f>
        <v>124223.36212507826</v>
      </c>
      <c r="N124" s="79">
        <f ca="1">$I$61*$N$61</f>
        <v>649610.04196019005</v>
      </c>
      <c r="O124" s="79">
        <f>$I$61*$O$61</f>
        <v>-218.24971541385008</v>
      </c>
      <c r="P124" s="79">
        <f>$I$61*$P$61</f>
        <v>0</v>
      </c>
      <c r="Q124" s="79">
        <f>$I$61*$Q$61</f>
        <v>5805226.9587282063</v>
      </c>
      <c r="R124" s="79">
        <f>$I$61*$R$61</f>
        <v>2383142.7488555205</v>
      </c>
      <c r="S124" s="79">
        <f>$I$61*$S$61</f>
        <v>0</v>
      </c>
      <c r="T124" s="79">
        <f>$I$61*$T$61</f>
        <v>4987202.3980035996</v>
      </c>
      <c r="U124" s="79">
        <f>$I$61*$U$61</f>
        <v>1280939.1929633778</v>
      </c>
      <c r="V124" s="79">
        <f>$I$61*$V$61</f>
        <v>351453.00338357803</v>
      </c>
      <c r="W124" s="79">
        <f>$I$61*$W$61</f>
        <v>0</v>
      </c>
      <c r="X124" s="79">
        <f>$I$61*$X$61</f>
        <v>201501.2320972374</v>
      </c>
      <c r="Y124" s="79">
        <f>$I$61*$Y$61</f>
        <v>0</v>
      </c>
      <c r="Z124" s="79">
        <f>$I$61*$Z$61</f>
        <v>0</v>
      </c>
      <c r="AA124" s="79">
        <f>$I$61*$AA$61</f>
        <v>36876722.039786913</v>
      </c>
      <c r="AB124" s="79">
        <f ca="1">$I$61*$AB$61</f>
        <v>84938.252361391424</v>
      </c>
      <c r="AC124" s="79">
        <f ca="1">$I$61*$AC$61</f>
        <v>0</v>
      </c>
      <c r="AD124" s="79">
        <f>$I$61*$AD$61</f>
        <v>5530533.0409888783</v>
      </c>
      <c r="AE124" s="79">
        <f>$I$61*$AE$61</f>
        <v>319359.04449522612</v>
      </c>
      <c r="AF124" s="79">
        <f ca="1">$I$61*$AF$61</f>
        <v>4944801.1572544752</v>
      </c>
      <c r="AG124" s="79">
        <f ca="1">$I$61*$AG$61</f>
        <v>1610344.7191534794</v>
      </c>
      <c r="AI124" s="79">
        <f>$I$61*$AI$61</f>
        <v>0</v>
      </c>
      <c r="AJ124" s="79">
        <f>$I$61*$AJ$61</f>
        <v>107236.62332781752</v>
      </c>
      <c r="AK124" s="79">
        <f>$I$61*$AK$61</f>
        <v>529359.70018966834</v>
      </c>
      <c r="AL124" s="79">
        <f>$I$61*$AL$61</f>
        <v>-192.39370138734242</v>
      </c>
      <c r="AM124" s="79">
        <f>$I$61*$AM$61</f>
        <v>0</v>
      </c>
      <c r="AN124" s="79">
        <f>$I$61*$AN$61</f>
        <v>3590231.9986473694</v>
      </c>
      <c r="AO124" s="79">
        <f>$I$61*$AO$61</f>
        <v>2285457.3148223041</v>
      </c>
      <c r="AP124" s="79">
        <f>$I$61*$AP$61</f>
        <v>0</v>
      </c>
      <c r="AQ124" s="79">
        <f>$I$61*$AQ$61</f>
        <v>5154082.4770419458</v>
      </c>
      <c r="AR124" s="79">
        <f>$I$61*$AR$61</f>
        <v>1922915.1879355714</v>
      </c>
      <c r="AS124" s="79">
        <f>$I$61*$AS$61</f>
        <v>393213.4716125761</v>
      </c>
      <c r="AT124" s="79">
        <f>$I$61*$AT$61</f>
        <v>0</v>
      </c>
      <c r="AU124" s="79">
        <f>$I$61*$AU$61</f>
        <v>242097.32912926437</v>
      </c>
      <c r="AV124" s="79">
        <f>$I$61*$AV$61</f>
        <v>0</v>
      </c>
      <c r="AW124" s="79">
        <f>$I$61*$AW$61</f>
        <v>0</v>
      </c>
      <c r="AX124" s="79">
        <f>$I$61*$AX$61</f>
        <v>33133243.237981219</v>
      </c>
      <c r="AY124" s="79">
        <f>$I$61*$AY$61</f>
        <v>-4293651.6728950199</v>
      </c>
      <c r="AZ124" s="79">
        <f>$I$61*$AZ$61</f>
        <v>0</v>
      </c>
      <c r="BA124" s="79">
        <f>$I$61*$BA$61</f>
        <v>4904729.3801736971</v>
      </c>
      <c r="BB124" s="79">
        <f>$I$61*$BB$61</f>
        <v>256460.29700070148</v>
      </c>
      <c r="BC124" s="79">
        <f>$I$61*$BC$61</f>
        <v>4402204.7407656293</v>
      </c>
      <c r="BD124" s="79">
        <f>$I$61*$BD$61</f>
        <v>1141864.0534913607</v>
      </c>
    </row>
    <row r="125" spans="1:56" ht="11.25" customHeight="1" x14ac:dyDescent="0.25">
      <c r="A125" s="9" t="s">
        <v>47</v>
      </c>
      <c r="B125" s="9" t="s">
        <v>1251</v>
      </c>
      <c r="C125" s="9" t="s">
        <v>1252</v>
      </c>
      <c r="D125" s="9" t="s">
        <v>1257</v>
      </c>
      <c r="E125" s="9" t="s">
        <v>1258</v>
      </c>
      <c r="F125" s="9" t="s">
        <v>1259</v>
      </c>
      <c r="G125" s="9" t="s">
        <v>1260</v>
      </c>
      <c r="L125" s="79">
        <f>$I$62*$L$62</f>
        <v>0</v>
      </c>
      <c r="M125" s="79">
        <f>$I$62*$M$62</f>
        <v>0</v>
      </c>
      <c r="N125" s="79">
        <f ca="1">$I$62*$N$62</f>
        <v>0</v>
      </c>
      <c r="O125" s="79">
        <f>$I$62*$O$62</f>
        <v>0</v>
      </c>
      <c r="P125" s="79">
        <f>$I$62*$P$62</f>
        <v>0</v>
      </c>
      <c r="Q125" s="79">
        <f>$I$62*$Q$62</f>
        <v>0</v>
      </c>
      <c r="R125" s="79">
        <f>$I$62*$R$62</f>
        <v>0</v>
      </c>
      <c r="S125" s="79">
        <f>$I$62*$S$62</f>
        <v>0</v>
      </c>
      <c r="T125" s="79">
        <f>$I$62*$T$62</f>
        <v>0</v>
      </c>
      <c r="U125" s="79">
        <f>$I$62*$U$62</f>
        <v>0</v>
      </c>
      <c r="V125" s="79">
        <f>$I$62*$V$62</f>
        <v>0</v>
      </c>
      <c r="W125" s="79">
        <f>$I$62*$W$62</f>
        <v>0</v>
      </c>
      <c r="X125" s="79">
        <f>$I$62*$X$62</f>
        <v>0</v>
      </c>
      <c r="Y125" s="79">
        <f>$I$62*$Y$62</f>
        <v>0</v>
      </c>
      <c r="Z125" s="79">
        <f>$I$62*$Z$62</f>
        <v>0</v>
      </c>
      <c r="AA125" s="79">
        <f>$I$62*$AA$62</f>
        <v>0</v>
      </c>
      <c r="AB125" s="79">
        <f ca="1">$I$62*$AB$62</f>
        <v>0</v>
      </c>
      <c r="AC125" s="79">
        <f ca="1">$I$62*$AC$62</f>
        <v>0</v>
      </c>
      <c r="AD125" s="79">
        <f>$I$62*$AD$62</f>
        <v>0</v>
      </c>
      <c r="AE125" s="79">
        <f>$I$62*$AE$62</f>
        <v>0</v>
      </c>
      <c r="AF125" s="79">
        <f ca="1">$I$62*$AF$62</f>
        <v>0</v>
      </c>
      <c r="AG125" s="79">
        <f ca="1">$I$62*$AG$62</f>
        <v>0</v>
      </c>
      <c r="AI125" s="79">
        <f>$I$62*$AI$62</f>
        <v>0</v>
      </c>
      <c r="AJ125" s="79">
        <f>$I$62*$AJ$62</f>
        <v>0</v>
      </c>
      <c r="AK125" s="79">
        <f>$I$62*$AK$62</f>
        <v>0</v>
      </c>
      <c r="AL125" s="79">
        <f>$I$62*$AL$62</f>
        <v>0</v>
      </c>
      <c r="AM125" s="79">
        <f>$I$62*$AM$62</f>
        <v>0</v>
      </c>
      <c r="AN125" s="79">
        <f>$I$62*$AN$62</f>
        <v>0</v>
      </c>
      <c r="AO125" s="79">
        <f>$I$62*$AO$62</f>
        <v>0</v>
      </c>
      <c r="AP125" s="79">
        <f>$I$62*$AP$62</f>
        <v>0</v>
      </c>
      <c r="AQ125" s="79">
        <f>$I$62*$AQ$62</f>
        <v>0</v>
      </c>
      <c r="AR125" s="79">
        <f>$I$62*$AR$62</f>
        <v>0</v>
      </c>
      <c r="AS125" s="79">
        <f>$I$62*$AS$62</f>
        <v>0</v>
      </c>
      <c r="AT125" s="79">
        <f>$I$62*$AT$62</f>
        <v>0</v>
      </c>
      <c r="AU125" s="79">
        <f>$I$62*$AU$62</f>
        <v>0</v>
      </c>
      <c r="AV125" s="79">
        <f>$I$62*$AV$62</f>
        <v>0</v>
      </c>
      <c r="AW125" s="79">
        <f>$I$62*$AW$62</f>
        <v>0</v>
      </c>
      <c r="AX125" s="79">
        <f>$I$62*$AX$62</f>
        <v>0</v>
      </c>
      <c r="AY125" s="79">
        <f>$I$62*$AY$62</f>
        <v>0</v>
      </c>
      <c r="AZ125" s="79">
        <f>$I$62*$AZ$62</f>
        <v>0</v>
      </c>
      <c r="BA125" s="79">
        <f>$I$62*$BA$62</f>
        <v>0</v>
      </c>
      <c r="BB125" s="79">
        <f>$I$62*$BB$62</f>
        <v>0</v>
      </c>
      <c r="BC125" s="79">
        <f>$I$62*$BC$62</f>
        <v>0</v>
      </c>
      <c r="BD125" s="79">
        <f>$I$62*$BD$62</f>
        <v>0</v>
      </c>
    </row>
  </sheetData>
  <mergeCells count="104">
    <mergeCell ref="G1:G4"/>
    <mergeCell ref="H1:H4"/>
    <mergeCell ref="I1:I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  <mergeCell ref="F1:F4"/>
    <mergeCell ref="C9:C11"/>
    <mergeCell ref="D9:D11"/>
    <mergeCell ref="E9:E11"/>
    <mergeCell ref="F9:F11"/>
    <mergeCell ref="A13:A25"/>
    <mergeCell ref="B13:B16"/>
    <mergeCell ref="C13:C16"/>
    <mergeCell ref="D13:D16"/>
    <mergeCell ref="E13:E15"/>
    <mergeCell ref="F13:F15"/>
    <mergeCell ref="A5:A12"/>
    <mergeCell ref="B5:B8"/>
    <mergeCell ref="C5:C8"/>
    <mergeCell ref="D5:D8"/>
    <mergeCell ref="E5:E7"/>
    <mergeCell ref="F5:F7"/>
    <mergeCell ref="B9:B11"/>
    <mergeCell ref="E24:E25"/>
    <mergeCell ref="F24:F25"/>
    <mergeCell ref="A26:A27"/>
    <mergeCell ref="B26:B27"/>
    <mergeCell ref="C26:C27"/>
    <mergeCell ref="D26:D27"/>
    <mergeCell ref="B17:B19"/>
    <mergeCell ref="C17:C19"/>
    <mergeCell ref="D17:D19"/>
    <mergeCell ref="E17:E19"/>
    <mergeCell ref="F17:F19"/>
    <mergeCell ref="B21:B25"/>
    <mergeCell ref="C21:C25"/>
    <mergeCell ref="D21:D25"/>
    <mergeCell ref="E21:E23"/>
    <mergeCell ref="F21:F23"/>
    <mergeCell ref="C41:C43"/>
    <mergeCell ref="D41:D43"/>
    <mergeCell ref="E41:E43"/>
    <mergeCell ref="F41:F43"/>
    <mergeCell ref="B45:B47"/>
    <mergeCell ref="C45:C47"/>
    <mergeCell ref="D45:D47"/>
    <mergeCell ref="E45:E47"/>
    <mergeCell ref="A28:A40"/>
    <mergeCell ref="B28:B30"/>
    <mergeCell ref="C28:C30"/>
    <mergeCell ref="D28:D30"/>
    <mergeCell ref="E28:E30"/>
    <mergeCell ref="F28:F30"/>
    <mergeCell ref="B31:B35"/>
    <mergeCell ref="C31:C35"/>
    <mergeCell ref="B36:B40"/>
    <mergeCell ref="C36:C40"/>
    <mergeCell ref="E56:E58"/>
    <mergeCell ref="F56:F58"/>
    <mergeCell ref="A61:A62"/>
    <mergeCell ref="B61:B62"/>
    <mergeCell ref="C61:C62"/>
    <mergeCell ref="AI1:BD1"/>
    <mergeCell ref="AI2:BD2"/>
    <mergeCell ref="AI3:AP3"/>
    <mergeCell ref="AQ3:AW3"/>
    <mergeCell ref="AY3:AZ3"/>
    <mergeCell ref="B53:B55"/>
    <mergeCell ref="C53:C55"/>
    <mergeCell ref="A56:A60"/>
    <mergeCell ref="B56:B58"/>
    <mergeCell ref="C56:C58"/>
    <mergeCell ref="D56:D58"/>
    <mergeCell ref="F45:F47"/>
    <mergeCell ref="B49:B51"/>
    <mergeCell ref="C49:C51"/>
    <mergeCell ref="D49:D51"/>
    <mergeCell ref="E49:E51"/>
    <mergeCell ref="F49:F51"/>
    <mergeCell ref="A41:A55"/>
    <mergeCell ref="B41:B43"/>
    <mergeCell ref="AQ66:AW66"/>
    <mergeCell ref="AY66:AZ66"/>
    <mergeCell ref="BA66:BD66"/>
    <mergeCell ref="BA3:BD3"/>
    <mergeCell ref="L64:AG64"/>
    <mergeCell ref="AI64:BD64"/>
    <mergeCell ref="L65:AG65"/>
    <mergeCell ref="AI65:BD65"/>
    <mergeCell ref="L66:S66"/>
    <mergeCell ref="T66:Z66"/>
    <mergeCell ref="AB66:AC66"/>
    <mergeCell ref="AD66:AG66"/>
    <mergeCell ref="AI66:AP66"/>
    <mergeCell ref="AB3:AC3"/>
    <mergeCell ref="AD3:AG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256B7-9D6E-4C18-87DD-4771D946060A}">
  <dimension ref="A1:AF89"/>
  <sheetViews>
    <sheetView showGridLines="0" topLeftCell="K1" workbookViewId="0">
      <selection activeCell="V45" sqref="V45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10.85546875" style="9" bestFit="1" customWidth="1"/>
    <col min="14" max="14" width="6" style="9" bestFit="1" customWidth="1"/>
    <col min="15" max="15" width="11.140625" style="9" bestFit="1" customWidth="1"/>
    <col min="16" max="16" width="15" style="9" bestFit="1" customWidth="1"/>
    <col min="17" max="17" width="6" style="9" bestFit="1" customWidth="1"/>
    <col min="18" max="18" width="10.4257812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9.140625" style="9"/>
    <col min="23" max="23" width="10" style="9" bestFit="1" customWidth="1"/>
    <col min="24" max="24" width="10.85546875" style="9" bestFit="1" customWidth="1"/>
    <col min="25" max="25" width="6" style="9" bestFit="1" customWidth="1"/>
    <col min="26" max="26" width="11.140625" style="9" bestFit="1" customWidth="1"/>
    <col min="27" max="27" width="15" style="9" bestFit="1" customWidth="1"/>
    <col min="28" max="28" width="6" style="9" bestFit="1" customWidth="1"/>
    <col min="29" max="29" width="10.4257812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9.140625" style="9"/>
  </cols>
  <sheetData>
    <row r="1" spans="1:32" ht="11.25" customHeight="1" x14ac:dyDescent="0.25">
      <c r="A1" s="141" t="s">
        <v>80</v>
      </c>
      <c r="B1" s="141" t="s">
        <v>81</v>
      </c>
      <c r="C1" s="141" t="s">
        <v>82</v>
      </c>
      <c r="D1" s="141" t="s">
        <v>83</v>
      </c>
      <c r="E1" s="141" t="s">
        <v>84</v>
      </c>
      <c r="F1" s="141" t="s">
        <v>15</v>
      </c>
      <c r="G1" s="141" t="s">
        <v>86</v>
      </c>
      <c r="H1" s="141" t="s">
        <v>87</v>
      </c>
      <c r="I1" s="141" t="s">
        <v>854</v>
      </c>
      <c r="J1" s="130"/>
      <c r="L1" s="142" t="s">
        <v>1261</v>
      </c>
      <c r="M1" s="142"/>
      <c r="N1" s="142"/>
      <c r="O1" s="142"/>
      <c r="P1" s="142"/>
      <c r="Q1" s="142"/>
      <c r="R1" s="142"/>
      <c r="S1" s="142"/>
      <c r="T1" s="142"/>
      <c r="U1" s="142"/>
      <c r="W1" s="142" t="s">
        <v>1262</v>
      </c>
      <c r="X1" s="142"/>
      <c r="Y1" s="142"/>
      <c r="Z1" s="142"/>
      <c r="AA1" s="142"/>
      <c r="AB1" s="142"/>
      <c r="AC1" s="142"/>
      <c r="AD1" s="142"/>
      <c r="AE1" s="142"/>
      <c r="AF1" s="142"/>
    </row>
    <row r="2" spans="1:32" ht="11.25" customHeight="1" x14ac:dyDescent="0.25">
      <c r="A2" s="141"/>
      <c r="B2" s="141"/>
      <c r="C2" s="141"/>
      <c r="D2" s="141"/>
      <c r="E2" s="141"/>
      <c r="F2" s="141"/>
      <c r="G2" s="141"/>
      <c r="H2" s="141"/>
      <c r="I2" s="141"/>
      <c r="J2" s="130"/>
      <c r="L2" s="142" t="s">
        <v>782</v>
      </c>
      <c r="M2" s="142"/>
      <c r="N2" s="142"/>
      <c r="O2" s="142"/>
      <c r="P2" s="142"/>
      <c r="Q2" s="142"/>
      <c r="R2" s="142"/>
      <c r="S2" s="142"/>
      <c r="T2" s="142"/>
      <c r="U2" s="142"/>
      <c r="W2" s="142" t="s">
        <v>782</v>
      </c>
      <c r="X2" s="142"/>
      <c r="Y2" s="142"/>
      <c r="Z2" s="142"/>
      <c r="AA2" s="142"/>
      <c r="AB2" s="142"/>
      <c r="AC2" s="142"/>
      <c r="AD2" s="142"/>
      <c r="AE2" s="142"/>
      <c r="AF2" s="142"/>
    </row>
    <row r="3" spans="1:32" ht="11.25" customHeight="1" x14ac:dyDescent="0.25">
      <c r="A3" s="141"/>
      <c r="B3" s="141"/>
      <c r="C3" s="141"/>
      <c r="D3" s="141"/>
      <c r="E3" s="141"/>
      <c r="F3" s="141"/>
      <c r="G3" s="141"/>
      <c r="H3" s="141"/>
      <c r="I3" s="141"/>
      <c r="J3" s="130"/>
      <c r="L3" s="142" t="s">
        <v>755</v>
      </c>
      <c r="M3" s="142"/>
      <c r="N3" s="142"/>
      <c r="O3" s="142"/>
      <c r="P3" s="83" t="s">
        <v>785</v>
      </c>
      <c r="Q3" s="142" t="s">
        <v>764</v>
      </c>
      <c r="R3" s="142"/>
      <c r="S3" s="142"/>
      <c r="T3" s="83" t="s">
        <v>774</v>
      </c>
      <c r="U3" s="83" t="s">
        <v>777</v>
      </c>
      <c r="W3" s="142" t="s">
        <v>755</v>
      </c>
      <c r="X3" s="142"/>
      <c r="Y3" s="142"/>
      <c r="Z3" s="142"/>
      <c r="AA3" s="83" t="s">
        <v>785</v>
      </c>
      <c r="AB3" s="142" t="s">
        <v>764</v>
      </c>
      <c r="AC3" s="142"/>
      <c r="AD3" s="142"/>
      <c r="AE3" s="83" t="s">
        <v>774</v>
      </c>
      <c r="AF3" s="83" t="s">
        <v>777</v>
      </c>
    </row>
    <row r="4" spans="1:32" ht="11.25" customHeight="1" x14ac:dyDescent="0.25">
      <c r="A4" s="141"/>
      <c r="B4" s="141"/>
      <c r="C4" s="141"/>
      <c r="D4" s="141"/>
      <c r="E4" s="141"/>
      <c r="F4" s="141"/>
      <c r="G4" s="141"/>
      <c r="H4" s="141"/>
      <c r="I4" s="141"/>
      <c r="J4" s="130"/>
      <c r="L4" s="83" t="s">
        <v>757</v>
      </c>
      <c r="M4" s="83" t="s">
        <v>783</v>
      </c>
      <c r="N4" s="83" t="s">
        <v>784</v>
      </c>
      <c r="O4" s="83" t="s">
        <v>842</v>
      </c>
      <c r="P4" s="83" t="s">
        <v>786</v>
      </c>
      <c r="Q4" s="83" t="s">
        <v>787</v>
      </c>
      <c r="R4" s="83" t="s">
        <v>788</v>
      </c>
      <c r="S4" s="83" t="s">
        <v>789</v>
      </c>
      <c r="T4" s="83" t="s">
        <v>775</v>
      </c>
      <c r="U4" s="83" t="s">
        <v>790</v>
      </c>
      <c r="W4" s="83" t="s">
        <v>757</v>
      </c>
      <c r="X4" s="83" t="s">
        <v>783</v>
      </c>
      <c r="Y4" s="83" t="s">
        <v>784</v>
      </c>
      <c r="Z4" s="83" t="s">
        <v>842</v>
      </c>
      <c r="AA4" s="83" t="s">
        <v>786</v>
      </c>
      <c r="AB4" s="83" t="s">
        <v>787</v>
      </c>
      <c r="AC4" s="83" t="s">
        <v>788</v>
      </c>
      <c r="AD4" s="83" t="s">
        <v>789</v>
      </c>
      <c r="AE4" s="83" t="s">
        <v>775</v>
      </c>
      <c r="AF4" s="83" t="s">
        <v>790</v>
      </c>
    </row>
    <row r="5" spans="1:32" ht="11.25" customHeight="1" x14ac:dyDescent="0.25">
      <c r="A5" s="140" t="s">
        <v>41</v>
      </c>
      <c r="B5" s="140" t="s">
        <v>89</v>
      </c>
      <c r="C5" s="140" t="s">
        <v>25</v>
      </c>
      <c r="D5" s="140" t="s">
        <v>25</v>
      </c>
      <c r="E5" s="140" t="s">
        <v>25</v>
      </c>
      <c r="F5" s="140" t="s">
        <v>25</v>
      </c>
      <c r="G5" s="32" t="s">
        <v>91</v>
      </c>
      <c r="H5" s="32" t="s">
        <v>90</v>
      </c>
      <c r="I5" s="32">
        <f>'MERCADO TE'!$U$2</f>
        <v>3168.23</v>
      </c>
      <c r="J5" s="17"/>
      <c r="L5" s="30">
        <f>('TE BE'!$L$5+'TE BF'!$L$5+'TE CVA'!$L$5)*1</f>
        <v>2.6620626617255141</v>
      </c>
      <c r="M5" s="30">
        <f>('TE BE'!$M$5+'TE BF'!$M$5+'TE CVA'!$M$5)*1</f>
        <v>19.297483720173027</v>
      </c>
      <c r="N5" s="30">
        <f>('TE BE'!$N$5+'TE BF'!$N$5+'TE CVA'!$N$5)*1</f>
        <v>0</v>
      </c>
      <c r="O5" s="30">
        <f>('TE BE'!$O$5+'TE BF'!$O$5+'TE CVA'!$O$5)*1</f>
        <v>30.376179604110764</v>
      </c>
      <c r="P5" s="30">
        <f>('TE BE'!$Q$5+'TE BF'!$Q$5+'TE CVA'!$Q$5)*1</f>
        <v>364.47511406713647</v>
      </c>
      <c r="Q5" s="30">
        <f>('TE BE'!$S$5+'TE BF'!$S$5+'TE CVA'!$S$5)*1</f>
        <v>0</v>
      </c>
      <c r="R5" s="30">
        <f>('TE BE'!$T$5+'TE BF'!$T$5+'TE CVA'!$T$5)*1</f>
        <v>0</v>
      </c>
      <c r="S5" s="30">
        <f>('TE BE'!$U$5+'TE BF'!$U$5+'TE CVA'!$U$5)*1</f>
        <v>0</v>
      </c>
      <c r="T5" s="30">
        <f>('TE BE'!$W$5+'TE BF'!$W$5+'TE CVA'!$W$5)*1</f>
        <v>0.51000886903388831</v>
      </c>
      <c r="U5" s="30">
        <f>('TE BE'!$Y$5+'TE BF'!$Y$5+'TE CVA'!$Y$5)*1</f>
        <v>6.5756761319588151</v>
      </c>
      <c r="W5" s="30">
        <v>2.3063975178962002</v>
      </c>
      <c r="X5" s="30">
        <v>17.761398416282201</v>
      </c>
      <c r="Y5" s="30">
        <v>0</v>
      </c>
      <c r="Z5" s="30">
        <v>0</v>
      </c>
      <c r="AA5" s="30">
        <v>324.29761772156797</v>
      </c>
      <c r="AB5" s="30">
        <v>0</v>
      </c>
      <c r="AC5" s="30">
        <v>0</v>
      </c>
      <c r="AD5" s="30">
        <v>0</v>
      </c>
      <c r="AE5" s="30">
        <v>-24.723855188268899</v>
      </c>
      <c r="AF5" s="30">
        <v>5.29543954970557</v>
      </c>
    </row>
    <row r="6" spans="1:32" ht="11.25" customHeight="1" x14ac:dyDescent="0.25">
      <c r="A6" s="140"/>
      <c r="B6" s="140"/>
      <c r="C6" s="140"/>
      <c r="D6" s="140"/>
      <c r="E6" s="140"/>
      <c r="F6" s="140"/>
      <c r="G6" s="32" t="s">
        <v>92</v>
      </c>
      <c r="H6" s="32" t="s">
        <v>90</v>
      </c>
      <c r="I6" s="32">
        <f>'MERCADO TE'!$U$3</f>
        <v>107910.84700000001</v>
      </c>
      <c r="J6" s="17"/>
      <c r="L6" s="30">
        <f>('TE BE'!$L$6+'TE BF'!$L$6+'TE CVA'!$L$6)*1</f>
        <v>2.6620626617255141</v>
      </c>
      <c r="M6" s="30">
        <f>('TE BE'!$M$6+'TE BF'!$M$6+'TE CVA'!$M$6)*1</f>
        <v>19.297483720173027</v>
      </c>
      <c r="N6" s="30">
        <f>('TE BE'!$N$6+'TE BF'!$N$6+'TE CVA'!$N$6)*1</f>
        <v>0</v>
      </c>
      <c r="O6" s="30">
        <f>('TE BE'!$O$6+'TE BF'!$O$6+'TE CVA'!$O$6)*1</f>
        <v>30.376179604110764</v>
      </c>
      <c r="P6" s="30">
        <f>('TE BE'!$Q$6+'TE BF'!$Q$6+'TE CVA'!$Q$6)*1</f>
        <v>211.90413608554445</v>
      </c>
      <c r="Q6" s="30">
        <f>('TE BE'!$S$6+'TE BF'!$S$6+'TE CVA'!$S$6)*1</f>
        <v>0</v>
      </c>
      <c r="R6" s="30">
        <f>('TE BE'!$T$6+'TE BF'!$T$6+'TE CVA'!$T$6)*1</f>
        <v>0</v>
      </c>
      <c r="S6" s="30">
        <f>('TE BE'!$U$6+'TE BF'!$U$6+'TE CVA'!$U$6)*1</f>
        <v>0</v>
      </c>
      <c r="T6" s="30">
        <f>('TE BE'!$W$6+'TE BF'!$W$6+'TE CVA'!$W$6)*1</f>
        <v>0.32357169385823958</v>
      </c>
      <c r="U6" s="30">
        <f>('TE BE'!$Y$6+'TE BF'!$Y$6+'TE CVA'!$Y$6)*1</f>
        <v>6.5756761319588151</v>
      </c>
      <c r="W6" s="30">
        <v>2.3063975178962002</v>
      </c>
      <c r="X6" s="30">
        <v>17.761398416282201</v>
      </c>
      <c r="Y6" s="30">
        <v>0</v>
      </c>
      <c r="Z6" s="30">
        <v>0</v>
      </c>
      <c r="AA6" s="30">
        <v>188.54512658230701</v>
      </c>
      <c r="AB6" s="30">
        <v>0</v>
      </c>
      <c r="AC6" s="30">
        <v>0</v>
      </c>
      <c r="AD6" s="30">
        <v>0</v>
      </c>
      <c r="AE6" s="30">
        <v>-15.6092297789739</v>
      </c>
      <c r="AF6" s="30">
        <v>5.29543954970557</v>
      </c>
    </row>
    <row r="7" spans="1:32" ht="11.25" customHeight="1" x14ac:dyDescent="0.25">
      <c r="A7" s="140" t="s">
        <v>33</v>
      </c>
      <c r="B7" s="140" t="s">
        <v>89</v>
      </c>
      <c r="C7" s="140" t="s">
        <v>25</v>
      </c>
      <c r="D7" s="140" t="s">
        <v>25</v>
      </c>
      <c r="E7" s="140" t="s">
        <v>25</v>
      </c>
      <c r="F7" s="140" t="s">
        <v>25</v>
      </c>
      <c r="G7" s="32" t="s">
        <v>91</v>
      </c>
      <c r="H7" s="32" t="s">
        <v>90</v>
      </c>
      <c r="I7" s="32">
        <f>'MERCADO TE'!$U$4</f>
        <v>47285.341999999997</v>
      </c>
      <c r="J7" s="17"/>
      <c r="L7" s="30">
        <f>('TE BE'!$L$7+'TE BF'!$L$7+'TE CVA'!$L$7)*1</f>
        <v>2.6620626617255141</v>
      </c>
      <c r="M7" s="30">
        <f>('TE BE'!$M$7+'TE BF'!$M$7+'TE CVA'!$M$7)*1</f>
        <v>19.297483720173027</v>
      </c>
      <c r="N7" s="30">
        <f>('TE BE'!$N$7+'TE BF'!$N$7+'TE CVA'!$N$7)*1</f>
        <v>0</v>
      </c>
      <c r="O7" s="30">
        <f>('TE BE'!$O$7+'TE BF'!$O$7+'TE CVA'!$O$7)*1</f>
        <v>30.376179604110764</v>
      </c>
      <c r="P7" s="30">
        <f>('TE BE'!$Q$7+'TE BF'!$Q$7+'TE CVA'!$Q$7)*1</f>
        <v>364.47511406713647</v>
      </c>
      <c r="Q7" s="30">
        <f>('TE BE'!$S$7+'TE BF'!$S$7+'TE CVA'!$S$7)*1</f>
        <v>0</v>
      </c>
      <c r="R7" s="30">
        <f>('TE BE'!$T$7+'TE BF'!$T$7+'TE CVA'!$T$7)*1</f>
        <v>0</v>
      </c>
      <c r="S7" s="30">
        <f>('TE BE'!$U$7+'TE BF'!$U$7+'TE CVA'!$U$7)*1</f>
        <v>0</v>
      </c>
      <c r="T7" s="30">
        <f>('TE BE'!$W$7+'TE BF'!$W$7+'TE CVA'!$W$7)*1</f>
        <v>0.51000886903388831</v>
      </c>
      <c r="U7" s="30">
        <f>('TE BE'!$Y$7+'TE BF'!$Y$7+'TE CVA'!$Y$7)*1</f>
        <v>6.5756761319588151</v>
      </c>
      <c r="W7" s="30">
        <v>2.3063975178962002</v>
      </c>
      <c r="X7" s="30">
        <v>17.761398416282201</v>
      </c>
      <c r="Y7" s="30">
        <v>0</v>
      </c>
      <c r="Z7" s="30">
        <v>0</v>
      </c>
      <c r="AA7" s="30">
        <v>324.29761772156797</v>
      </c>
      <c r="AB7" s="30">
        <v>0</v>
      </c>
      <c r="AC7" s="30">
        <v>0</v>
      </c>
      <c r="AD7" s="30">
        <v>0</v>
      </c>
      <c r="AE7" s="30">
        <v>-24.723855188268899</v>
      </c>
      <c r="AF7" s="30">
        <v>5.29543954970557</v>
      </c>
    </row>
    <row r="8" spans="1:32" ht="11.25" customHeight="1" x14ac:dyDescent="0.25">
      <c r="A8" s="140"/>
      <c r="B8" s="140"/>
      <c r="C8" s="140"/>
      <c r="D8" s="140"/>
      <c r="E8" s="140"/>
      <c r="F8" s="140"/>
      <c r="G8" s="32" t="s">
        <v>92</v>
      </c>
      <c r="H8" s="32" t="s">
        <v>90</v>
      </c>
      <c r="I8" s="32">
        <f>'MERCADO TE'!$U$5</f>
        <v>661995.96299999999</v>
      </c>
      <c r="J8" s="17"/>
      <c r="L8" s="30">
        <f>('TE BE'!$L$8+'TE BF'!$L$8+'TE CVA'!$L$8)*1</f>
        <v>2.6620626617255141</v>
      </c>
      <c r="M8" s="30">
        <f>('TE BE'!$M$8+'TE BF'!$M$8+'TE CVA'!$M$8)*1</f>
        <v>19.297483720173027</v>
      </c>
      <c r="N8" s="30">
        <f>('TE BE'!$N$8+'TE BF'!$N$8+'TE CVA'!$N$8)*1</f>
        <v>0</v>
      </c>
      <c r="O8" s="30">
        <f>('TE BE'!$O$8+'TE BF'!$O$8+'TE CVA'!$O$8)*1</f>
        <v>30.376179604110764</v>
      </c>
      <c r="P8" s="30">
        <f>('TE BE'!$Q$8+'TE BF'!$Q$8+'TE CVA'!$Q$8)*1</f>
        <v>211.90413608554445</v>
      </c>
      <c r="Q8" s="30">
        <f>('TE BE'!$S$8+'TE BF'!$S$8+'TE CVA'!$S$8)*1</f>
        <v>0</v>
      </c>
      <c r="R8" s="30">
        <f>('TE BE'!$T$8+'TE BF'!$T$8+'TE CVA'!$T$8)*1</f>
        <v>0</v>
      </c>
      <c r="S8" s="30">
        <f>('TE BE'!$U$8+'TE BF'!$U$8+'TE CVA'!$U$8)*1</f>
        <v>0</v>
      </c>
      <c r="T8" s="30">
        <f>('TE BE'!$W$8+'TE BF'!$W$8+'TE CVA'!$W$8)*1</f>
        <v>0.32357169385823958</v>
      </c>
      <c r="U8" s="30">
        <f>('TE BE'!$Y$8+'TE BF'!$Y$8+'TE CVA'!$Y$8)*1</f>
        <v>6.5756761319588151</v>
      </c>
      <c r="W8" s="30">
        <v>2.3063975178962002</v>
      </c>
      <c r="X8" s="30">
        <v>17.761398416282201</v>
      </c>
      <c r="Y8" s="30">
        <v>0</v>
      </c>
      <c r="Z8" s="30">
        <v>0</v>
      </c>
      <c r="AA8" s="30">
        <v>188.54512658230701</v>
      </c>
      <c r="AB8" s="30">
        <v>0</v>
      </c>
      <c r="AC8" s="30">
        <v>0</v>
      </c>
      <c r="AD8" s="30">
        <v>0</v>
      </c>
      <c r="AE8" s="30">
        <v>-15.6092297789739</v>
      </c>
      <c r="AF8" s="30">
        <v>5.29543954970557</v>
      </c>
    </row>
    <row r="9" spans="1:32" ht="11.25" customHeight="1" x14ac:dyDescent="0.25">
      <c r="A9" s="140"/>
      <c r="B9" s="82" t="s">
        <v>97</v>
      </c>
      <c r="C9" s="82" t="s">
        <v>25</v>
      </c>
      <c r="D9" s="82" t="s">
        <v>25</v>
      </c>
      <c r="E9" s="82" t="s">
        <v>25</v>
      </c>
      <c r="F9" s="82" t="s">
        <v>25</v>
      </c>
      <c r="G9" s="32" t="s">
        <v>96</v>
      </c>
      <c r="H9" s="32" t="s">
        <v>90</v>
      </c>
      <c r="I9" s="32">
        <f>'MERCADO TE'!$U$6</f>
        <v>0</v>
      </c>
      <c r="J9" s="17"/>
      <c r="L9" s="30">
        <f>('TE BE'!$L$9+'TE BF'!$L$9+'TE CVA'!$L$9)*1</f>
        <v>2.6620626617255141</v>
      </c>
      <c r="M9" s="30">
        <f>('TE BE'!$M$9+'TE BF'!$M$9+'TE CVA'!$M$9)*1</f>
        <v>19.297483720173027</v>
      </c>
      <c r="N9" s="30">
        <f>('TE BE'!$N$9+'TE BF'!$N$9+'TE CVA'!$N$9)*1</f>
        <v>0</v>
      </c>
      <c r="O9" s="30">
        <f>('TE BE'!$O$9+'TE BF'!$O$9+'TE CVA'!$O$9)*1</f>
        <v>30.376179604110764</v>
      </c>
      <c r="P9" s="30">
        <f>('TE BE'!$Q$9+'TE BF'!$Q$9+'TE CVA'!$Q$9)*1</f>
        <v>224.61838425067714</v>
      </c>
      <c r="Q9" s="30">
        <f>('TE BE'!$S$9+'TE BF'!$S$9+'TE CVA'!$S$9)*1</f>
        <v>0</v>
      </c>
      <c r="R9" s="30">
        <f>('TE BE'!$T$9+'TE BF'!$T$9+'TE CVA'!$T$9)*1</f>
        <v>0</v>
      </c>
      <c r="S9" s="30">
        <f>('TE BE'!$U$9+'TE BF'!$U$9+'TE CVA'!$U$9)*1</f>
        <v>0</v>
      </c>
      <c r="T9" s="30">
        <f>('TE BE'!$W$9+'TE BF'!$W$9+'TE CVA'!$W$9)*1</f>
        <v>0.33910812512287697</v>
      </c>
      <c r="U9" s="30">
        <f>('TE BE'!$Y$9+'TE BF'!$Y$9+'TE CVA'!$Y$9)*1</f>
        <v>6.5756761319588151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</row>
    <row r="10" spans="1:32" ht="11.25" customHeight="1" x14ac:dyDescent="0.25">
      <c r="A10" s="140" t="s">
        <v>22</v>
      </c>
      <c r="B10" s="140" t="s">
        <v>89</v>
      </c>
      <c r="C10" s="140" t="s">
        <v>24</v>
      </c>
      <c r="D10" s="140" t="s">
        <v>24</v>
      </c>
      <c r="E10" s="140" t="s">
        <v>25</v>
      </c>
      <c r="F10" s="140" t="s">
        <v>25</v>
      </c>
      <c r="G10" s="32" t="s">
        <v>91</v>
      </c>
      <c r="H10" s="32" t="s">
        <v>90</v>
      </c>
      <c r="I10" s="32">
        <f>'MERCADO TE'!$U$7</f>
        <v>50.420000000000009</v>
      </c>
      <c r="J10" s="17"/>
      <c r="L10" s="30">
        <f>('TE BE'!$L$10+'TE BF'!$L$10+'TE CVA'!$L$10)*1</f>
        <v>2.6620626617255141</v>
      </c>
      <c r="M10" s="30">
        <f>('TE BE'!$M$10+'TE BF'!$M$10+'TE CVA'!$M$10)*1</f>
        <v>19.297483720173027</v>
      </c>
      <c r="N10" s="30">
        <f>('TE BE'!$N$10+'TE BF'!$N$10+'TE CVA'!$N$10)*1</f>
        <v>0</v>
      </c>
      <c r="O10" s="30">
        <f>('TE BE'!$O$10+'TE BF'!$O$10+'TE CVA'!$O$10)*1</f>
        <v>30.376179604110764</v>
      </c>
      <c r="P10" s="30">
        <f>('TE BE'!$Q$10+'TE BF'!$Q$10+'TE CVA'!$Q$10)*1</f>
        <v>364.47511406713647</v>
      </c>
      <c r="Q10" s="30">
        <f>('TE BE'!$S$10+'TE BF'!$S$10+'TE CVA'!$S$10)*1</f>
        <v>0</v>
      </c>
      <c r="R10" s="30">
        <f>('TE BE'!$T$10+'TE BF'!$T$10+'TE CVA'!$T$10)*1</f>
        <v>0</v>
      </c>
      <c r="S10" s="30">
        <f>('TE BE'!$U$10+'TE BF'!$U$10+'TE CVA'!$U$10)*1</f>
        <v>0</v>
      </c>
      <c r="T10" s="30">
        <f>('TE BE'!$W$10+'TE BF'!$W$10+'TE CVA'!$W$10)*1</f>
        <v>0.51000886903388831</v>
      </c>
      <c r="U10" s="30">
        <f>('TE BE'!$Y$10+'TE BF'!$Y$10+'TE CVA'!$Y$10)*1</f>
        <v>6.5756761319588151</v>
      </c>
      <c r="W10" s="30">
        <v>2.3063975178962002</v>
      </c>
      <c r="X10" s="30">
        <v>17.761398416282201</v>
      </c>
      <c r="Y10" s="30">
        <v>0</v>
      </c>
      <c r="Z10" s="30">
        <v>0</v>
      </c>
      <c r="AA10" s="30">
        <v>324.29761772156797</v>
      </c>
      <c r="AB10" s="30">
        <v>0</v>
      </c>
      <c r="AC10" s="30">
        <v>0</v>
      </c>
      <c r="AD10" s="30">
        <v>0</v>
      </c>
      <c r="AE10" s="30">
        <v>-24.723855188268899</v>
      </c>
      <c r="AF10" s="30">
        <v>5.29543954970557</v>
      </c>
    </row>
    <row r="11" spans="1:32" ht="11.25" customHeight="1" x14ac:dyDescent="0.25">
      <c r="A11" s="140"/>
      <c r="B11" s="140"/>
      <c r="C11" s="140"/>
      <c r="D11" s="140"/>
      <c r="E11" s="140"/>
      <c r="F11" s="140"/>
      <c r="G11" s="32" t="s">
        <v>101</v>
      </c>
      <c r="H11" s="32" t="s">
        <v>90</v>
      </c>
      <c r="I11" s="32">
        <f>'MERCADO TE'!$U$8</f>
        <v>34.840000000000003</v>
      </c>
      <c r="J11" s="17"/>
      <c r="L11" s="30">
        <f>('TE BE'!$L$11+'TE BF'!$L$11+'TE CVA'!$L$11)*1</f>
        <v>2.6620626617255141</v>
      </c>
      <c r="M11" s="30">
        <f>('TE BE'!$M$11+'TE BF'!$M$11+'TE CVA'!$M$11)*1</f>
        <v>19.297483720173027</v>
      </c>
      <c r="N11" s="30">
        <f>('TE BE'!$N$11+'TE BF'!$N$11+'TE CVA'!$N$11)*1</f>
        <v>0</v>
      </c>
      <c r="O11" s="30">
        <f>('TE BE'!$O$11+'TE BF'!$O$11+'TE CVA'!$O$11)*1</f>
        <v>30.376179604110764</v>
      </c>
      <c r="P11" s="30">
        <f>('TE BE'!$Q$11+'TE BF'!$Q$11+'TE CVA'!$Q$11)*1</f>
        <v>211.90413608554445</v>
      </c>
      <c r="Q11" s="30">
        <f>('TE BE'!$S$11+'TE BF'!$S$11+'TE CVA'!$S$11)*1</f>
        <v>0</v>
      </c>
      <c r="R11" s="30">
        <f>('TE BE'!$T$11+'TE BF'!$T$11+'TE CVA'!$T$11)*1</f>
        <v>0</v>
      </c>
      <c r="S11" s="30">
        <f>('TE BE'!$U$11+'TE BF'!$U$11+'TE CVA'!$U$11)*1</f>
        <v>0</v>
      </c>
      <c r="T11" s="30">
        <f>('TE BE'!$W$11+'TE BF'!$W$11+'TE CVA'!$W$11)*1</f>
        <v>0.32357169385823958</v>
      </c>
      <c r="U11" s="30">
        <f>('TE BE'!$Y$11+'TE BF'!$Y$11+'TE CVA'!$Y$11)*1</f>
        <v>6.5756761319588151</v>
      </c>
      <c r="W11" s="30">
        <v>2.3063975178962002</v>
      </c>
      <c r="X11" s="30">
        <v>17.761398416282201</v>
      </c>
      <c r="Y11" s="30">
        <v>0</v>
      </c>
      <c r="Z11" s="30">
        <v>0</v>
      </c>
      <c r="AA11" s="30">
        <v>188.54512658230701</v>
      </c>
      <c r="AB11" s="30">
        <v>0</v>
      </c>
      <c r="AC11" s="30">
        <v>0</v>
      </c>
      <c r="AD11" s="30">
        <v>0</v>
      </c>
      <c r="AE11" s="30">
        <v>-15.6092297789739</v>
      </c>
      <c r="AF11" s="30">
        <v>5.29543954970557</v>
      </c>
    </row>
    <row r="12" spans="1:32" ht="11.25" customHeight="1" x14ac:dyDescent="0.25">
      <c r="A12" s="140"/>
      <c r="B12" s="140"/>
      <c r="C12" s="140"/>
      <c r="D12" s="140"/>
      <c r="E12" s="140"/>
      <c r="F12" s="140"/>
      <c r="G12" s="32" t="s">
        <v>92</v>
      </c>
      <c r="H12" s="32" t="s">
        <v>90</v>
      </c>
      <c r="I12" s="32">
        <f>'MERCADO TE'!$U$9</f>
        <v>677.41499999999996</v>
      </c>
      <c r="J12" s="17"/>
      <c r="L12" s="30">
        <f>('TE BE'!$L$12+'TE BF'!$L$12+'TE CVA'!$L$12)*1</f>
        <v>2.6620626617255141</v>
      </c>
      <c r="M12" s="30">
        <f>('TE BE'!$M$12+'TE BF'!$M$12+'TE CVA'!$M$12)*1</f>
        <v>19.297483720173027</v>
      </c>
      <c r="N12" s="30">
        <f>('TE BE'!$N$12+'TE BF'!$N$12+'TE CVA'!$N$12)*1</f>
        <v>0</v>
      </c>
      <c r="O12" s="30">
        <f>('TE BE'!$O$12+'TE BF'!$O$12+'TE CVA'!$O$12)*1</f>
        <v>30.376179604110764</v>
      </c>
      <c r="P12" s="30">
        <f>('TE BE'!$Q$12+'TE BF'!$Q$12+'TE CVA'!$Q$12)*1</f>
        <v>211.90413608554445</v>
      </c>
      <c r="Q12" s="30">
        <f>('TE BE'!$S$12+'TE BF'!$S$12+'TE CVA'!$S$12)*1</f>
        <v>0</v>
      </c>
      <c r="R12" s="30">
        <f>('TE BE'!$T$12+'TE BF'!$T$12+'TE CVA'!$T$12)*1</f>
        <v>0</v>
      </c>
      <c r="S12" s="30">
        <f>('TE BE'!$U$12+'TE BF'!$U$12+'TE CVA'!$U$12)*1</f>
        <v>0</v>
      </c>
      <c r="T12" s="30">
        <f>('TE BE'!$W$12+'TE BF'!$W$12+'TE CVA'!$W$12)*1</f>
        <v>0.32357169385823958</v>
      </c>
      <c r="U12" s="30">
        <f>('TE BE'!$Y$12+'TE BF'!$Y$12+'TE CVA'!$Y$12)*1</f>
        <v>6.5756761319588151</v>
      </c>
      <c r="W12" s="30">
        <v>2.3063975178962002</v>
      </c>
      <c r="X12" s="30">
        <v>17.761398416282201</v>
      </c>
      <c r="Y12" s="30">
        <v>0</v>
      </c>
      <c r="Z12" s="30">
        <v>0</v>
      </c>
      <c r="AA12" s="30">
        <v>188.54512658230701</v>
      </c>
      <c r="AB12" s="30">
        <v>0</v>
      </c>
      <c r="AC12" s="30">
        <v>0</v>
      </c>
      <c r="AD12" s="30">
        <v>0</v>
      </c>
      <c r="AE12" s="30">
        <v>-15.6092297789739</v>
      </c>
      <c r="AF12" s="30">
        <v>5.29543954970557</v>
      </c>
    </row>
    <row r="13" spans="1:32" ht="11.25" customHeight="1" x14ac:dyDescent="0.25">
      <c r="A13" s="140"/>
      <c r="B13" s="140" t="s">
        <v>97</v>
      </c>
      <c r="C13" s="140" t="s">
        <v>24</v>
      </c>
      <c r="D13" s="82" t="s">
        <v>24</v>
      </c>
      <c r="E13" s="82" t="s">
        <v>25</v>
      </c>
      <c r="F13" s="82" t="s">
        <v>25</v>
      </c>
      <c r="G13" s="32" t="s">
        <v>96</v>
      </c>
      <c r="H13" s="32" t="s">
        <v>90</v>
      </c>
      <c r="I13" s="32">
        <f>'MERCADO TE'!$U$10</f>
        <v>1165006.6750000003</v>
      </c>
      <c r="J13" s="17"/>
      <c r="L13" s="30">
        <f>('TE BE'!$L$13+'TE BF'!$L$13+'TE CVA'!$L$13)*1</f>
        <v>2.6620626617255141</v>
      </c>
      <c r="M13" s="30">
        <f>('TE BE'!$M$13+'TE BF'!$M$13+'TE CVA'!$M$13)*1</f>
        <v>19.297483720173027</v>
      </c>
      <c r="N13" s="30">
        <f>('TE BE'!$N$13+'TE BF'!$N$13+'TE CVA'!$N$13)*1</f>
        <v>0</v>
      </c>
      <c r="O13" s="30">
        <f>('TE BE'!$O$13+'TE BF'!$O$13+'TE CVA'!$O$13)*1</f>
        <v>30.376179604110764</v>
      </c>
      <c r="P13" s="30">
        <f>('TE BE'!$Q$13+'TE BF'!$Q$13+'TE CVA'!$Q$13)*1</f>
        <v>224.61838425067714</v>
      </c>
      <c r="Q13" s="30">
        <f>('TE BE'!$S$13+'TE BF'!$S$13+'TE CVA'!$S$13)*1</f>
        <v>0</v>
      </c>
      <c r="R13" s="30">
        <f>('TE BE'!$T$13+'TE BF'!$T$13+'TE CVA'!$T$13)*1</f>
        <v>0</v>
      </c>
      <c r="S13" s="30">
        <f>('TE BE'!$U$13+'TE BF'!$U$13+'TE CVA'!$U$13)*1</f>
        <v>0</v>
      </c>
      <c r="T13" s="30">
        <f>('TE BE'!$W$13+'TE BF'!$W$13+'TE CVA'!$W$13)*1</f>
        <v>0.33910812512287697</v>
      </c>
      <c r="U13" s="30">
        <f>('TE BE'!$Y$13+'TE BF'!$Y$13+'TE CVA'!$Y$13)*1</f>
        <v>6.5756761319588151</v>
      </c>
      <c r="W13" s="30">
        <v>2.3063975178962002</v>
      </c>
      <c r="X13" s="30">
        <v>17.761398416282201</v>
      </c>
      <c r="Y13" s="30">
        <v>0</v>
      </c>
      <c r="Z13" s="30">
        <v>0</v>
      </c>
      <c r="AA13" s="30">
        <v>199.85783417724599</v>
      </c>
      <c r="AB13" s="30">
        <v>0</v>
      </c>
      <c r="AC13" s="30">
        <v>0</v>
      </c>
      <c r="AD13" s="30">
        <v>0</v>
      </c>
      <c r="AE13" s="30">
        <v>-16.3687818964152</v>
      </c>
      <c r="AF13" s="30">
        <v>5.29543954970557</v>
      </c>
    </row>
    <row r="14" spans="1:32" ht="11.25" customHeight="1" x14ac:dyDescent="0.25">
      <c r="A14" s="140"/>
      <c r="B14" s="140"/>
      <c r="C14" s="140"/>
      <c r="D14" s="82" t="s">
        <v>29</v>
      </c>
      <c r="E14" s="82" t="s">
        <v>25</v>
      </c>
      <c r="F14" s="82" t="s">
        <v>25</v>
      </c>
      <c r="G14" s="32" t="s">
        <v>96</v>
      </c>
      <c r="H14" s="32" t="s">
        <v>90</v>
      </c>
      <c r="I14" s="32">
        <f>'MERCADO TE'!$U$11</f>
        <v>134316.74400000001</v>
      </c>
      <c r="J14" s="17"/>
      <c r="L14" s="30">
        <f>('TE BE'!$L$14+'TE BF'!$L$14+'TE CVA'!$L$14)*(1 - 0.65)</f>
        <v>0.93172193160392991</v>
      </c>
      <c r="M14" s="30">
        <f>('TE BE'!$M$14+'TE BF'!$M$14+'TE CVA'!$M$14)*(1 - 0.65)</f>
        <v>6.754119302060559</v>
      </c>
      <c r="N14" s="30">
        <f>('TE BE'!$N$14+'TE BF'!$N$14+'TE CVA'!$N$14)*(1 - 0.65)</f>
        <v>0</v>
      </c>
      <c r="O14" s="30">
        <f>('TE BE'!$O$14+'TE BF'!$O$14+'TE CVA'!$O$14)*(1 - 0.65)</f>
        <v>10.631662861438766</v>
      </c>
      <c r="P14" s="30">
        <f>('TE BE'!$Q$14+'TE BF'!$Q$14+'TE CVA'!$Q$14)*(1 - 0.65)</f>
        <v>78.616434487736996</v>
      </c>
      <c r="Q14" s="30">
        <f>('TE BE'!$S$14+'TE BF'!$S$14+'TE CVA'!$S$14)*(1 - 0.65)</f>
        <v>0</v>
      </c>
      <c r="R14" s="30">
        <f>('TE BE'!$T$14+'TE BF'!$T$14+'TE CVA'!$T$14)*(1 - 0.65)</f>
        <v>0</v>
      </c>
      <c r="S14" s="30">
        <f>('TE BE'!$U$14+'TE BF'!$U$14+'TE CVA'!$U$14)*(1 - 0.65)</f>
        <v>0</v>
      </c>
      <c r="T14" s="30">
        <f>('TE BE'!$W$14+'TE BF'!$W$14+'TE CVA'!$W$14)*(1 - 0.65)</f>
        <v>0.11868784379300693</v>
      </c>
      <c r="U14" s="30">
        <f>('TE BE'!$Y$14+'TE BF'!$Y$14+'TE CVA'!$Y$14)*(1 - 0.65)</f>
        <v>2.3014866461855852</v>
      </c>
      <c r="W14" s="30">
        <v>0.80723913126367097</v>
      </c>
      <c r="X14" s="30">
        <v>6.2164894456987598</v>
      </c>
      <c r="Y14" s="30">
        <v>0</v>
      </c>
      <c r="Z14" s="30">
        <v>0</v>
      </c>
      <c r="AA14" s="30">
        <v>69.950241962035903</v>
      </c>
      <c r="AB14" s="30">
        <v>0</v>
      </c>
      <c r="AC14" s="30">
        <v>0</v>
      </c>
      <c r="AD14" s="30">
        <v>0</v>
      </c>
      <c r="AE14" s="30">
        <v>-5.7290736637453197</v>
      </c>
      <c r="AF14" s="30">
        <v>1.8534038423969501</v>
      </c>
    </row>
    <row r="15" spans="1:32" ht="11.25" customHeight="1" x14ac:dyDescent="0.25">
      <c r="A15" s="140"/>
      <c r="B15" s="140"/>
      <c r="C15" s="140"/>
      <c r="D15" s="82" t="s">
        <v>30</v>
      </c>
      <c r="E15" s="82" t="s">
        <v>25</v>
      </c>
      <c r="F15" s="82" t="s">
        <v>25</v>
      </c>
      <c r="G15" s="32" t="s">
        <v>96</v>
      </c>
      <c r="H15" s="32" t="s">
        <v>90</v>
      </c>
      <c r="I15" s="32">
        <f>'MERCADO TE'!$U$12</f>
        <v>207428.35200000001</v>
      </c>
      <c r="J15" s="17"/>
      <c r="L15" s="30">
        <f>('TE BE'!$L$15+'TE BF'!$L$15+'TE CVA'!$L$15)*(1 - 0.4)</f>
        <v>1.5972375970353083</v>
      </c>
      <c r="M15" s="30">
        <f>('TE BE'!$M$15+'TE BF'!$M$15+'TE CVA'!$M$15)*(1 - 0.4)</f>
        <v>11.578490232103816</v>
      </c>
      <c r="N15" s="30">
        <f>('TE BE'!$N$15+'TE BF'!$N$15+'TE CVA'!$N$15)*(1 - 0.4)</f>
        <v>0</v>
      </c>
      <c r="O15" s="30">
        <f>('TE BE'!$O$15+'TE BF'!$O$15+'TE CVA'!$O$15)*(1 - 0.4)</f>
        <v>18.225707762466456</v>
      </c>
      <c r="P15" s="30">
        <f>('TE BE'!$Q$15+'TE BF'!$Q$15+'TE CVA'!$Q$15)*(1 - 0.4)</f>
        <v>134.77103055040627</v>
      </c>
      <c r="Q15" s="30">
        <f>('TE BE'!$S$15+'TE BF'!$S$15+'TE CVA'!$S$15)*(1 - 0.4)</f>
        <v>0</v>
      </c>
      <c r="R15" s="30">
        <f>('TE BE'!$T$15+'TE BF'!$T$15+'TE CVA'!$T$15)*(1 - 0.4)</f>
        <v>0</v>
      </c>
      <c r="S15" s="30">
        <f>('TE BE'!$U$15+'TE BF'!$U$15+'TE CVA'!$U$15)*(1 - 0.4)</f>
        <v>0</v>
      </c>
      <c r="T15" s="30">
        <f>('TE BE'!$W$15+'TE BF'!$W$15+'TE CVA'!$W$15)*(1 - 0.4)</f>
        <v>0.20346487507372618</v>
      </c>
      <c r="U15" s="30">
        <f>('TE BE'!$Y$15+'TE BF'!$Y$15+'TE CVA'!$Y$15)*(1 - 0.4)</f>
        <v>3.9454056791752889</v>
      </c>
      <c r="W15" s="30">
        <v>1.38383851073772</v>
      </c>
      <c r="X15" s="30">
        <v>10.6568390497693</v>
      </c>
      <c r="Y15" s="30">
        <v>0</v>
      </c>
      <c r="Z15" s="30">
        <v>0</v>
      </c>
      <c r="AA15" s="30">
        <v>119.914700506347</v>
      </c>
      <c r="AB15" s="30">
        <v>0</v>
      </c>
      <c r="AC15" s="30">
        <v>0</v>
      </c>
      <c r="AD15" s="30">
        <v>0</v>
      </c>
      <c r="AE15" s="30">
        <v>-9.8212691378491108</v>
      </c>
      <c r="AF15" s="30">
        <v>3.1772637298233399</v>
      </c>
    </row>
    <row r="16" spans="1:32" ht="11.25" customHeight="1" x14ac:dyDescent="0.25">
      <c r="A16" s="140"/>
      <c r="B16" s="140"/>
      <c r="C16" s="140"/>
      <c r="D16" s="82" t="s">
        <v>31</v>
      </c>
      <c r="E16" s="82" t="s">
        <v>25</v>
      </c>
      <c r="F16" s="82" t="s">
        <v>25</v>
      </c>
      <c r="G16" s="32" t="s">
        <v>96</v>
      </c>
      <c r="H16" s="32" t="s">
        <v>90</v>
      </c>
      <c r="I16" s="32">
        <f>'MERCADO TE'!$U$13</f>
        <v>81316.453999999983</v>
      </c>
      <c r="J16" s="17"/>
      <c r="L16" s="30">
        <f>('TE BE'!$L$16+'TE BF'!$L$16+'TE CVA'!$L$16)*(1 - 0.1)</f>
        <v>2.3958563955529626</v>
      </c>
      <c r="M16" s="30">
        <f>('TE BE'!$M$16+'TE BF'!$M$16+'TE CVA'!$M$16)*(1 - 0.1)</f>
        <v>17.367735348155726</v>
      </c>
      <c r="N16" s="30">
        <f>('TE BE'!$N$16+'TE BF'!$N$16+'TE CVA'!$N$16)*(1 - 0.1)</f>
        <v>0</v>
      </c>
      <c r="O16" s="30">
        <f>('TE BE'!$O$16+'TE BF'!$O$16+'TE CVA'!$O$16)*(1 - 0.1)</f>
        <v>27.338561643699688</v>
      </c>
      <c r="P16" s="30">
        <f>('TE BE'!$Q$16+'TE BF'!$Q$16+'TE CVA'!$Q$16)*(1 - 0.1)</f>
        <v>202.15654582560944</v>
      </c>
      <c r="Q16" s="30">
        <f>('TE BE'!$S$16+'TE BF'!$S$16+'TE CVA'!$S$16)*(1 - 0.1)</f>
        <v>0</v>
      </c>
      <c r="R16" s="30">
        <f>('TE BE'!$T$16+'TE BF'!$T$16+'TE CVA'!$T$16)*(1 - 0.1)</f>
        <v>0</v>
      </c>
      <c r="S16" s="30">
        <f>('TE BE'!$U$16+'TE BF'!$U$16+'TE CVA'!$U$16)*(1 - 0.1)</f>
        <v>0</v>
      </c>
      <c r="T16" s="30">
        <f>('TE BE'!$W$16+'TE BF'!$W$16+'TE CVA'!$W$16)*(1 - 0.1)</f>
        <v>0.3051973126105893</v>
      </c>
      <c r="U16" s="30">
        <f>('TE BE'!$Y$16+'TE BF'!$Y$16+'TE CVA'!$Y$16)*(1 - 0.1)</f>
        <v>5.9181085187629341</v>
      </c>
      <c r="W16" s="30">
        <v>2.0757577661065798</v>
      </c>
      <c r="X16" s="30">
        <v>15.985258574654001</v>
      </c>
      <c r="Y16" s="30">
        <v>0</v>
      </c>
      <c r="Z16" s="30">
        <v>0</v>
      </c>
      <c r="AA16" s="30">
        <v>179.87205075952099</v>
      </c>
      <c r="AB16" s="30">
        <v>0</v>
      </c>
      <c r="AC16" s="30">
        <v>0</v>
      </c>
      <c r="AD16" s="30">
        <v>0</v>
      </c>
      <c r="AE16" s="30">
        <v>-14.7319037067737</v>
      </c>
      <c r="AF16" s="30">
        <v>4.7658955947350101</v>
      </c>
    </row>
    <row r="17" spans="1:32" ht="11.25" customHeight="1" x14ac:dyDescent="0.25">
      <c r="A17" s="140"/>
      <c r="B17" s="140"/>
      <c r="C17" s="140"/>
      <c r="D17" s="82" t="s">
        <v>32</v>
      </c>
      <c r="E17" s="82" t="s">
        <v>25</v>
      </c>
      <c r="F17" s="82" t="s">
        <v>25</v>
      </c>
      <c r="G17" s="32" t="s">
        <v>96</v>
      </c>
      <c r="H17" s="32" t="s">
        <v>90</v>
      </c>
      <c r="I17" s="32">
        <f>'MERCADO TE'!$U$14</f>
        <v>15947.552</v>
      </c>
      <c r="J17" s="17"/>
      <c r="L17" s="30">
        <f>('TE BE'!$L$17+'TE BF'!$L$17+'TE CVA'!$L$17)*1</f>
        <v>2.6620626617255141</v>
      </c>
      <c r="M17" s="30">
        <f>('TE BE'!$M$17+'TE BF'!$M$17+'TE CVA'!$M$17)*1</f>
        <v>19.297483720173027</v>
      </c>
      <c r="N17" s="30">
        <f>('TE BE'!$N$17+'TE BF'!$N$17+'TE CVA'!$N$17)*1</f>
        <v>0</v>
      </c>
      <c r="O17" s="30">
        <f>('TE BE'!$O$17+'TE BF'!$O$17+'TE CVA'!$O$17)*1</f>
        <v>30.376179604110764</v>
      </c>
      <c r="P17" s="30">
        <f>('TE BE'!$Q$17+'TE BF'!$Q$17+'TE CVA'!$Q$17)*1</f>
        <v>224.61838425067714</v>
      </c>
      <c r="Q17" s="30">
        <f>('TE BE'!$S$17+'TE BF'!$S$17+'TE CVA'!$S$17)*1</f>
        <v>0</v>
      </c>
      <c r="R17" s="30">
        <f>('TE BE'!$T$17+'TE BF'!$T$17+'TE CVA'!$T$17)*1</f>
        <v>0</v>
      </c>
      <c r="S17" s="30">
        <f>('TE BE'!$U$17+'TE BF'!$U$17+'TE CVA'!$U$17)*1</f>
        <v>0</v>
      </c>
      <c r="T17" s="30">
        <f>('TE BE'!$W$17+'TE BF'!$W$17+'TE CVA'!$W$17)*1</f>
        <v>0.33910812512287697</v>
      </c>
      <c r="U17" s="30">
        <f>('TE BE'!$Y$17+'TE BF'!$Y$17+'TE CVA'!$Y$17)*1</f>
        <v>6.5756761319588151</v>
      </c>
      <c r="W17" s="30">
        <v>2.3063975178962002</v>
      </c>
      <c r="X17" s="30">
        <v>17.761398416282201</v>
      </c>
      <c r="Y17" s="30">
        <v>0</v>
      </c>
      <c r="Z17" s="30">
        <v>0</v>
      </c>
      <c r="AA17" s="30">
        <v>199.85783417724599</v>
      </c>
      <c r="AB17" s="30">
        <v>0</v>
      </c>
      <c r="AC17" s="30">
        <v>0</v>
      </c>
      <c r="AD17" s="30">
        <v>0</v>
      </c>
      <c r="AE17" s="30">
        <v>-16.3687818964152</v>
      </c>
      <c r="AF17" s="30">
        <v>5.29543954970557</v>
      </c>
    </row>
    <row r="18" spans="1:32" ht="11.25" customHeight="1" x14ac:dyDescent="0.25">
      <c r="A18" s="140"/>
      <c r="B18" s="140" t="s">
        <v>102</v>
      </c>
      <c r="C18" s="140" t="s">
        <v>24</v>
      </c>
      <c r="D18" s="82" t="s">
        <v>24</v>
      </c>
      <c r="E18" s="82" t="s">
        <v>25</v>
      </c>
      <c r="F18" s="82" t="s">
        <v>25</v>
      </c>
      <c r="G18" s="32" t="s">
        <v>96</v>
      </c>
      <c r="H18" s="32" t="s">
        <v>90</v>
      </c>
      <c r="I18" s="32">
        <f>'MERCADO TE'!$U$15</f>
        <v>0</v>
      </c>
      <c r="J18" s="17"/>
      <c r="L18" s="30">
        <f>('TE BE'!$L$18+'TE BF'!$L$18+'TE CVA'!$L$18)*1</f>
        <v>2.6620626617255141</v>
      </c>
      <c r="M18" s="30">
        <f>('TE BE'!$M$18+'TE BF'!$M$18+'TE CVA'!$M$18)*1</f>
        <v>19.297483720173027</v>
      </c>
      <c r="N18" s="30">
        <f>('TE BE'!$N$18+'TE BF'!$N$18+'TE CVA'!$N$18)*1</f>
        <v>0</v>
      </c>
      <c r="O18" s="30">
        <f>('TE BE'!$O$18+'TE BF'!$O$18+'TE CVA'!$O$18)*1</f>
        <v>30.376179604110764</v>
      </c>
      <c r="P18" s="30">
        <f>('TE BE'!$Q$18+'TE BF'!$Q$18+'TE CVA'!$Q$18)*1</f>
        <v>224.61838425067714</v>
      </c>
      <c r="Q18" s="30">
        <f>('TE BE'!$S$18+'TE BF'!$S$18+'TE CVA'!$S$18)*1</f>
        <v>0</v>
      </c>
      <c r="R18" s="30">
        <f>('TE BE'!$T$18+'TE BF'!$T$18+'TE CVA'!$T$18)*1</f>
        <v>0</v>
      </c>
      <c r="S18" s="30">
        <f>('TE BE'!$U$18+'TE BF'!$U$18+'TE CVA'!$U$18)*1</f>
        <v>0</v>
      </c>
      <c r="T18" s="30">
        <f>('TE BE'!$W$18+'TE BF'!$W$18+'TE CVA'!$W$18)*1</f>
        <v>0.33910812512287697</v>
      </c>
      <c r="U18" s="30">
        <f>('TE BE'!$Y$18+'TE BF'!$Y$18+'TE CVA'!$Y$18)*1</f>
        <v>6.5756761319588151</v>
      </c>
      <c r="W18" s="30">
        <v>2.3063975178962002</v>
      </c>
      <c r="X18" s="30">
        <v>17.761398416282201</v>
      </c>
      <c r="Y18" s="30">
        <v>0</v>
      </c>
      <c r="Z18" s="30">
        <v>0</v>
      </c>
      <c r="AA18" s="30">
        <v>199.85783417724599</v>
      </c>
      <c r="AB18" s="30">
        <v>0</v>
      </c>
      <c r="AC18" s="30">
        <v>0</v>
      </c>
      <c r="AD18" s="30">
        <v>0</v>
      </c>
      <c r="AE18" s="30">
        <v>-16.3687818964152</v>
      </c>
      <c r="AF18" s="30">
        <v>5.29543954970557</v>
      </c>
    </row>
    <row r="19" spans="1:32" ht="11.25" customHeight="1" x14ac:dyDescent="0.25">
      <c r="A19" s="140"/>
      <c r="B19" s="140"/>
      <c r="C19" s="140"/>
      <c r="D19" s="82" t="s">
        <v>29</v>
      </c>
      <c r="E19" s="82" t="s">
        <v>25</v>
      </c>
      <c r="F19" s="82" t="s">
        <v>25</v>
      </c>
      <c r="G19" s="32" t="s">
        <v>96</v>
      </c>
      <c r="H19" s="32" t="s">
        <v>90</v>
      </c>
      <c r="I19" s="32">
        <f>'MERCADO TE'!$U$16</f>
        <v>0</v>
      </c>
      <c r="J19" s="17"/>
      <c r="L19" s="30">
        <f>('TE BE'!$L$19+'TE BF'!$L$19+'TE CVA'!$L$19)*(1 - 0.65)</f>
        <v>0.93172193160392991</v>
      </c>
      <c r="M19" s="30">
        <f>('TE BE'!$M$19+'TE BF'!$M$19+'TE CVA'!$M$19)*(1 - 0.65)</f>
        <v>6.754119302060559</v>
      </c>
      <c r="N19" s="30">
        <f>('TE BE'!$N$19+'TE BF'!$N$19+'TE CVA'!$N$19)*(1 - 0.65)</f>
        <v>0</v>
      </c>
      <c r="O19" s="30">
        <f>('TE BE'!$O$19+'TE BF'!$O$19+'TE CVA'!$O$19)*(1 - 0.65)</f>
        <v>10.631662861438766</v>
      </c>
      <c r="P19" s="30">
        <f>('TE BE'!$Q$19+'TE BF'!$Q$19+'TE CVA'!$Q$19)*(1 - 0.65)</f>
        <v>78.616434487736996</v>
      </c>
      <c r="Q19" s="30">
        <f>('TE BE'!$S$19+'TE BF'!$S$19+'TE CVA'!$S$19)*(1 - 0.65)</f>
        <v>0</v>
      </c>
      <c r="R19" s="30">
        <f>('TE BE'!$T$19+'TE BF'!$T$19+'TE CVA'!$T$19)*(1 - 0.65)</f>
        <v>0</v>
      </c>
      <c r="S19" s="30">
        <f>('TE BE'!$U$19+'TE BF'!$U$19+'TE CVA'!$U$19)*(1 - 0.65)</f>
        <v>0</v>
      </c>
      <c r="T19" s="30">
        <f>('TE BE'!$W$19+'TE BF'!$W$19+'TE CVA'!$W$19)*(1 - 0.65)</f>
        <v>0.11868784379300693</v>
      </c>
      <c r="U19" s="30">
        <f>('TE BE'!$Y$19+'TE BF'!$Y$19+'TE CVA'!$Y$19)*(1 - 0.65)</f>
        <v>2.3014866461855852</v>
      </c>
      <c r="W19" s="30">
        <v>0.80723913126367097</v>
      </c>
      <c r="X19" s="30">
        <v>6.2164894456987598</v>
      </c>
      <c r="Y19" s="30">
        <v>0</v>
      </c>
      <c r="Z19" s="30">
        <v>0</v>
      </c>
      <c r="AA19" s="30">
        <v>69.950241962035903</v>
      </c>
      <c r="AB19" s="30">
        <v>0</v>
      </c>
      <c r="AC19" s="30">
        <v>0</v>
      </c>
      <c r="AD19" s="30">
        <v>0</v>
      </c>
      <c r="AE19" s="30">
        <v>-5.7290736637453197</v>
      </c>
      <c r="AF19" s="30">
        <v>1.8534038423969501</v>
      </c>
    </row>
    <row r="20" spans="1:32" ht="11.25" customHeight="1" x14ac:dyDescent="0.25">
      <c r="A20" s="140"/>
      <c r="B20" s="140"/>
      <c r="C20" s="140"/>
      <c r="D20" s="82" t="s">
        <v>30</v>
      </c>
      <c r="E20" s="82" t="s">
        <v>25</v>
      </c>
      <c r="F20" s="82" t="s">
        <v>25</v>
      </c>
      <c r="G20" s="32" t="s">
        <v>96</v>
      </c>
      <c r="H20" s="32" t="s">
        <v>90</v>
      </c>
      <c r="I20" s="32">
        <f>'MERCADO TE'!$U$17</f>
        <v>0</v>
      </c>
      <c r="J20" s="17"/>
      <c r="L20" s="30">
        <f>('TE BE'!$L$20+'TE BF'!$L$20+'TE CVA'!$L$20)*(1 - 0.4)</f>
        <v>1.5972375970353083</v>
      </c>
      <c r="M20" s="30">
        <f>('TE BE'!$M$20+'TE BF'!$M$20+'TE CVA'!$M$20)*(1 - 0.4)</f>
        <v>11.578490232103816</v>
      </c>
      <c r="N20" s="30">
        <f>('TE BE'!$N$20+'TE BF'!$N$20+'TE CVA'!$N$20)*(1 - 0.4)</f>
        <v>0</v>
      </c>
      <c r="O20" s="30">
        <f>('TE BE'!$O$20+'TE BF'!$O$20+'TE CVA'!$O$20)*(1 - 0.4)</f>
        <v>18.225707762466456</v>
      </c>
      <c r="P20" s="30">
        <f>('TE BE'!$Q$20+'TE BF'!$Q$20+'TE CVA'!$Q$20)*(1 - 0.4)</f>
        <v>134.77103055040627</v>
      </c>
      <c r="Q20" s="30">
        <f>('TE BE'!$S$20+'TE BF'!$S$20+'TE CVA'!$S$20)*(1 - 0.4)</f>
        <v>0</v>
      </c>
      <c r="R20" s="30">
        <f>('TE BE'!$T$20+'TE BF'!$T$20+'TE CVA'!$T$20)*(1 - 0.4)</f>
        <v>0</v>
      </c>
      <c r="S20" s="30">
        <f>('TE BE'!$U$20+'TE BF'!$U$20+'TE CVA'!$U$20)*(1 - 0.4)</f>
        <v>0</v>
      </c>
      <c r="T20" s="30">
        <f>('TE BE'!$W$20+'TE BF'!$W$20+'TE CVA'!$W$20)*(1 - 0.4)</f>
        <v>0.20346487507372618</v>
      </c>
      <c r="U20" s="30">
        <f>('TE BE'!$Y$20+'TE BF'!$Y$20+'TE CVA'!$Y$20)*(1 - 0.4)</f>
        <v>3.9454056791752889</v>
      </c>
      <c r="W20" s="30">
        <v>1.38383851073772</v>
      </c>
      <c r="X20" s="30">
        <v>10.6568390497693</v>
      </c>
      <c r="Y20" s="30">
        <v>0</v>
      </c>
      <c r="Z20" s="30">
        <v>0</v>
      </c>
      <c r="AA20" s="30">
        <v>119.914700506347</v>
      </c>
      <c r="AB20" s="30">
        <v>0</v>
      </c>
      <c r="AC20" s="30">
        <v>0</v>
      </c>
      <c r="AD20" s="30">
        <v>0</v>
      </c>
      <c r="AE20" s="30">
        <v>-9.8212691378491108</v>
      </c>
      <c r="AF20" s="30">
        <v>3.1772637298233399</v>
      </c>
    </row>
    <row r="21" spans="1:32" ht="11.25" customHeight="1" x14ac:dyDescent="0.25">
      <c r="A21" s="140"/>
      <c r="B21" s="140"/>
      <c r="C21" s="140"/>
      <c r="D21" s="82" t="s">
        <v>31</v>
      </c>
      <c r="E21" s="82" t="s">
        <v>25</v>
      </c>
      <c r="F21" s="82" t="s">
        <v>25</v>
      </c>
      <c r="G21" s="32" t="s">
        <v>96</v>
      </c>
      <c r="H21" s="32" t="s">
        <v>90</v>
      </c>
      <c r="I21" s="32">
        <f>'MERCADO TE'!$U$18</f>
        <v>0</v>
      </c>
      <c r="J21" s="17"/>
      <c r="L21" s="30">
        <f>('TE BE'!$L$21+'TE BF'!$L$21+'TE CVA'!$L$21)*(1 - 0.1)</f>
        <v>2.3958563955529626</v>
      </c>
      <c r="M21" s="30">
        <f>('TE BE'!$M$21+'TE BF'!$M$21+'TE CVA'!$M$21)*(1 - 0.1)</f>
        <v>17.367735348155726</v>
      </c>
      <c r="N21" s="30">
        <f>('TE BE'!$N$21+'TE BF'!$N$21+'TE CVA'!$N$21)*(1 - 0.1)</f>
        <v>0</v>
      </c>
      <c r="O21" s="30">
        <f>('TE BE'!$O$21+'TE BF'!$O$21+'TE CVA'!$O$21)*(1 - 0.1)</f>
        <v>27.338561643699688</v>
      </c>
      <c r="P21" s="30">
        <f>('TE BE'!$Q$21+'TE BF'!$Q$21+'TE CVA'!$Q$21)*(1 - 0.1)</f>
        <v>202.15654582560944</v>
      </c>
      <c r="Q21" s="30">
        <f>('TE BE'!$S$21+'TE BF'!$S$21+'TE CVA'!$S$21)*(1 - 0.1)</f>
        <v>0</v>
      </c>
      <c r="R21" s="30">
        <f>('TE BE'!$T$21+'TE BF'!$T$21+'TE CVA'!$T$21)*(1 - 0.1)</f>
        <v>0</v>
      </c>
      <c r="S21" s="30">
        <f>('TE BE'!$U$21+'TE BF'!$U$21+'TE CVA'!$U$21)*(1 - 0.1)</f>
        <v>0</v>
      </c>
      <c r="T21" s="30">
        <f>('TE BE'!$W$21+'TE BF'!$W$21+'TE CVA'!$W$21)*(1 - 0.1)</f>
        <v>0.3051973126105893</v>
      </c>
      <c r="U21" s="30">
        <f>('TE BE'!$Y$21+'TE BF'!$Y$21+'TE CVA'!$Y$21)*(1 - 0.1)</f>
        <v>5.9181085187629341</v>
      </c>
      <c r="W21" s="30">
        <v>2.0757577661065798</v>
      </c>
      <c r="X21" s="30">
        <v>15.985258574654001</v>
      </c>
      <c r="Y21" s="30">
        <v>0</v>
      </c>
      <c r="Z21" s="30">
        <v>0</v>
      </c>
      <c r="AA21" s="30">
        <v>179.87205075952099</v>
      </c>
      <c r="AB21" s="30">
        <v>0</v>
      </c>
      <c r="AC21" s="30">
        <v>0</v>
      </c>
      <c r="AD21" s="30">
        <v>0</v>
      </c>
      <c r="AE21" s="30">
        <v>-14.7319037067737</v>
      </c>
      <c r="AF21" s="30">
        <v>4.7658955947350101</v>
      </c>
    </row>
    <row r="22" spans="1:32" ht="11.25" customHeight="1" x14ac:dyDescent="0.25">
      <c r="A22" s="140"/>
      <c r="B22" s="140"/>
      <c r="C22" s="140"/>
      <c r="D22" s="82" t="s">
        <v>32</v>
      </c>
      <c r="E22" s="82" t="s">
        <v>25</v>
      </c>
      <c r="F22" s="82" t="s">
        <v>25</v>
      </c>
      <c r="G22" s="32" t="s">
        <v>96</v>
      </c>
      <c r="H22" s="32" t="s">
        <v>90</v>
      </c>
      <c r="I22" s="32">
        <f>'MERCADO TE'!$U$19</f>
        <v>0</v>
      </c>
      <c r="J22" s="17"/>
      <c r="L22" s="30">
        <f>('TE BE'!$L$22+'TE BF'!$L$22+'TE CVA'!$L$22)*1</f>
        <v>2.6620626617255141</v>
      </c>
      <c r="M22" s="30">
        <f>('TE BE'!$M$22+'TE BF'!$M$22+'TE CVA'!$M$22)*1</f>
        <v>19.297483720173027</v>
      </c>
      <c r="N22" s="30">
        <f>('TE BE'!$N$22+'TE BF'!$N$22+'TE CVA'!$N$22)*1</f>
        <v>0</v>
      </c>
      <c r="O22" s="30">
        <f>('TE BE'!$O$22+'TE BF'!$O$22+'TE CVA'!$O$22)*1</f>
        <v>30.376179604110764</v>
      </c>
      <c r="P22" s="30">
        <f>('TE BE'!$Q$22+'TE BF'!$Q$22+'TE CVA'!$Q$22)*1</f>
        <v>224.61838425067714</v>
      </c>
      <c r="Q22" s="30">
        <f>('TE BE'!$S$22+'TE BF'!$S$22+'TE CVA'!$S$22)*1</f>
        <v>0</v>
      </c>
      <c r="R22" s="30">
        <f>('TE BE'!$T$22+'TE BF'!$T$22+'TE CVA'!$T$22)*1</f>
        <v>0</v>
      </c>
      <c r="S22" s="30">
        <f>('TE BE'!$U$22+'TE BF'!$U$22+'TE CVA'!$U$22)*1</f>
        <v>0</v>
      </c>
      <c r="T22" s="30">
        <f>('TE BE'!$W$22+'TE BF'!$W$22+'TE CVA'!$W$22)*1</f>
        <v>0.33910812512287697</v>
      </c>
      <c r="U22" s="30">
        <f>('TE BE'!$Y$22+'TE BF'!$Y$22+'TE CVA'!$Y$22)*1</f>
        <v>6.5756761319588151</v>
      </c>
      <c r="W22" s="30">
        <v>2.3063975178962002</v>
      </c>
      <c r="X22" s="30">
        <v>17.761398416282201</v>
      </c>
      <c r="Y22" s="30">
        <v>0</v>
      </c>
      <c r="Z22" s="30">
        <v>0</v>
      </c>
      <c r="AA22" s="30">
        <v>199.85783417724599</v>
      </c>
      <c r="AB22" s="30">
        <v>0</v>
      </c>
      <c r="AC22" s="30">
        <v>0</v>
      </c>
      <c r="AD22" s="30">
        <v>0</v>
      </c>
      <c r="AE22" s="30">
        <v>-16.3687818964152</v>
      </c>
      <c r="AF22" s="30">
        <v>5.29543954970557</v>
      </c>
    </row>
    <row r="23" spans="1:32" ht="11.25" customHeight="1" x14ac:dyDescent="0.25">
      <c r="A23" s="140" t="s">
        <v>44</v>
      </c>
      <c r="B23" s="140" t="s">
        <v>89</v>
      </c>
      <c r="C23" s="140" t="s">
        <v>45</v>
      </c>
      <c r="D23" s="140" t="s">
        <v>25</v>
      </c>
      <c r="E23" s="140" t="s">
        <v>25</v>
      </c>
      <c r="F23" s="140" t="s">
        <v>25</v>
      </c>
      <c r="G23" s="32" t="s">
        <v>91</v>
      </c>
      <c r="H23" s="32" t="s">
        <v>90</v>
      </c>
      <c r="I23" s="32">
        <f>'MERCADO TE'!$U$20</f>
        <v>3.0000000000000001E-3</v>
      </c>
      <c r="J23" s="17"/>
      <c r="L23" s="30">
        <f>('TE BE'!$L$23+'TE BF'!$L$23+'TE CVA'!$L$23)*(1 - CUSTOS!$M$38)</f>
        <v>2.5023389020219833</v>
      </c>
      <c r="M23" s="30">
        <f>('TE BE'!$M$23+'TE BF'!$M$23+'TE CVA'!$M$23)*(1 - CUSTOS!$M$38)</f>
        <v>18.139634696962645</v>
      </c>
      <c r="N23" s="30">
        <f>('TE BE'!$N$23+'TE BF'!$N$23+'TE CVA'!$N$23)*(1 - CUSTOS!$M$38)</f>
        <v>0</v>
      </c>
      <c r="O23" s="30">
        <f>('TE BE'!$O$23+'TE BF'!$O$23+'TE CVA'!$O$23)*(1 - CUSTOS!$M$38)</f>
        <v>28.553608827864117</v>
      </c>
      <c r="P23" s="30">
        <f>('TE BE'!$Q$23+'TE BF'!$Q$23+'TE CVA'!$Q$23)*(1 - CUSTOS!$M$38)</f>
        <v>342.60660722310826</v>
      </c>
      <c r="Q23" s="30">
        <f>('TE BE'!$S$23+'TE BF'!$S$23+'TE CVA'!$S$23)*(1 - CUSTOS!$M$38)</f>
        <v>0</v>
      </c>
      <c r="R23" s="30">
        <f>('TE BE'!$T$23+'TE BF'!$T$23+'TE CVA'!$T$23)*(1 - CUSTOS!$M$38)</f>
        <v>0</v>
      </c>
      <c r="S23" s="30">
        <f>('TE BE'!$U$23+'TE BF'!$U$23+'TE CVA'!$U$23)*(1 - CUSTOS!$M$38)</f>
        <v>0</v>
      </c>
      <c r="T23" s="30">
        <f>('TE BE'!$W$23+'TE BF'!$W$23+'TE CVA'!$W$23)*(1 - CUSTOS!$M$38)</f>
        <v>0.47940833689185497</v>
      </c>
      <c r="U23" s="30">
        <f>('TE BE'!$Y$23+'TE BF'!$Y$23+'TE CVA'!$Y$23)*(1 - CUSTOS!$M$38)</f>
        <v>6.1811355640412859</v>
      </c>
      <c r="W23" s="30">
        <v>2.0296298157486601</v>
      </c>
      <c r="X23" s="30">
        <v>15.630030606328299</v>
      </c>
      <c r="Y23" s="30">
        <v>0</v>
      </c>
      <c r="Z23" s="30">
        <v>0</v>
      </c>
      <c r="AA23" s="30">
        <v>285.38190359497997</v>
      </c>
      <c r="AB23" s="30">
        <v>0</v>
      </c>
      <c r="AC23" s="30">
        <v>0</v>
      </c>
      <c r="AD23" s="30">
        <v>0</v>
      </c>
      <c r="AE23" s="30">
        <v>-21.756992565676601</v>
      </c>
      <c r="AF23" s="30">
        <v>4.6599868037408996</v>
      </c>
    </row>
    <row r="24" spans="1:32" ht="11.25" customHeight="1" x14ac:dyDescent="0.25">
      <c r="A24" s="140"/>
      <c r="B24" s="140"/>
      <c r="C24" s="140"/>
      <c r="D24" s="140"/>
      <c r="E24" s="140"/>
      <c r="F24" s="140"/>
      <c r="G24" s="32" t="s">
        <v>101</v>
      </c>
      <c r="H24" s="32" t="s">
        <v>90</v>
      </c>
      <c r="I24" s="32">
        <f>'MERCADO TE'!$U$21</f>
        <v>3.1E-2</v>
      </c>
      <c r="J24" s="17"/>
      <c r="L24" s="30">
        <f>('TE BE'!$L$24+'TE BF'!$L$24+'TE CVA'!$L$24)*(1 - CUSTOS!$M$38)</f>
        <v>2.5023389020219833</v>
      </c>
      <c r="M24" s="30">
        <f>('TE BE'!$M$24+'TE BF'!$M$24+'TE CVA'!$M$24)*(1 - CUSTOS!$M$38)</f>
        <v>18.139634696962645</v>
      </c>
      <c r="N24" s="30">
        <f>('TE BE'!$N$24+'TE BF'!$N$24+'TE CVA'!$N$24)*(1 - CUSTOS!$M$38)</f>
        <v>0</v>
      </c>
      <c r="O24" s="30">
        <f>('TE BE'!$O$24+'TE BF'!$O$24+'TE CVA'!$O$24)*(1 - CUSTOS!$M$38)</f>
        <v>28.553608827864117</v>
      </c>
      <c r="P24" s="30">
        <f>('TE BE'!$Q$24+'TE BF'!$Q$24+'TE CVA'!$Q$24)*(1 - CUSTOS!$M$38)</f>
        <v>199.18988792041176</v>
      </c>
      <c r="Q24" s="30">
        <f>('TE BE'!$S$24+'TE BF'!$S$24+'TE CVA'!$S$24)*(1 - CUSTOS!$M$38)</f>
        <v>0</v>
      </c>
      <c r="R24" s="30">
        <f>('TE BE'!$T$24+'TE BF'!$T$24+'TE CVA'!$T$24)*(1 - CUSTOS!$M$38)</f>
        <v>0</v>
      </c>
      <c r="S24" s="30">
        <f>('TE BE'!$U$24+'TE BF'!$U$24+'TE CVA'!$U$24)*(1 - CUSTOS!$M$38)</f>
        <v>0</v>
      </c>
      <c r="T24" s="30">
        <f>('TE BE'!$W$24+'TE BF'!$W$24+'TE CVA'!$W$24)*(1 - CUSTOS!$M$38)</f>
        <v>0.3041573922267452</v>
      </c>
      <c r="U24" s="30">
        <f>('TE BE'!$Y$24+'TE BF'!$Y$24+'TE CVA'!$Y$24)*(1 - CUSTOS!$M$38)</f>
        <v>6.1811355640412859</v>
      </c>
      <c r="W24" s="30">
        <v>2.0296298157486601</v>
      </c>
      <c r="X24" s="30">
        <v>15.630030606328299</v>
      </c>
      <c r="Y24" s="30">
        <v>0</v>
      </c>
      <c r="Z24" s="30">
        <v>0</v>
      </c>
      <c r="AA24" s="30">
        <v>165.91971139243</v>
      </c>
      <c r="AB24" s="30">
        <v>0</v>
      </c>
      <c r="AC24" s="30">
        <v>0</v>
      </c>
      <c r="AD24" s="30">
        <v>0</v>
      </c>
      <c r="AE24" s="30">
        <v>-13.7361222054971</v>
      </c>
      <c r="AF24" s="30">
        <v>4.6599868037408996</v>
      </c>
    </row>
    <row r="25" spans="1:32" ht="11.25" customHeight="1" x14ac:dyDescent="0.25">
      <c r="A25" s="140"/>
      <c r="B25" s="140"/>
      <c r="C25" s="140"/>
      <c r="D25" s="140"/>
      <c r="E25" s="140"/>
      <c r="F25" s="140"/>
      <c r="G25" s="32" t="s">
        <v>92</v>
      </c>
      <c r="H25" s="32" t="s">
        <v>90</v>
      </c>
      <c r="I25" s="32">
        <f>'MERCADO TE'!$U$22</f>
        <v>8.956999999999999</v>
      </c>
      <c r="J25" s="17"/>
      <c r="L25" s="30">
        <f>('TE BE'!$L$25+'TE BF'!$L$25+'TE CVA'!$L$25)*(1 - CUSTOS!$M$38)</f>
        <v>2.5023389020219833</v>
      </c>
      <c r="M25" s="30">
        <f>('TE BE'!$M$25+'TE BF'!$M$25+'TE CVA'!$M$25)*(1 - CUSTOS!$M$38)</f>
        <v>18.139634696962645</v>
      </c>
      <c r="N25" s="30">
        <f>('TE BE'!$N$25+'TE BF'!$N$25+'TE CVA'!$N$25)*(1 - CUSTOS!$M$38)</f>
        <v>0</v>
      </c>
      <c r="O25" s="30">
        <f>('TE BE'!$O$25+'TE BF'!$O$25+'TE CVA'!$O$25)*(1 - CUSTOS!$M$38)</f>
        <v>28.553608827864117</v>
      </c>
      <c r="P25" s="30">
        <f>('TE BE'!$Q$25+'TE BF'!$Q$25+'TE CVA'!$Q$25)*(1 - CUSTOS!$M$38)</f>
        <v>199.18988792041176</v>
      </c>
      <c r="Q25" s="30">
        <f>('TE BE'!$S$25+'TE BF'!$S$25+'TE CVA'!$S$25)*(1 - CUSTOS!$M$38)</f>
        <v>0</v>
      </c>
      <c r="R25" s="30">
        <f>('TE BE'!$T$25+'TE BF'!$T$25+'TE CVA'!$T$25)*(1 - CUSTOS!$M$38)</f>
        <v>0</v>
      </c>
      <c r="S25" s="30">
        <f>('TE BE'!$U$25+'TE BF'!$U$25+'TE CVA'!$U$25)*(1 - CUSTOS!$M$38)</f>
        <v>0</v>
      </c>
      <c r="T25" s="30">
        <f>('TE BE'!$W$25+'TE BF'!$W$25+'TE CVA'!$W$25)*(1 - CUSTOS!$M$38)</f>
        <v>0.3041573922267452</v>
      </c>
      <c r="U25" s="30">
        <f>('TE BE'!$Y$25+'TE BF'!$Y$25+'TE CVA'!$Y$25)*(1 - CUSTOS!$M$38)</f>
        <v>6.1811355640412859</v>
      </c>
      <c r="W25" s="30">
        <v>2.0296298157486601</v>
      </c>
      <c r="X25" s="30">
        <v>15.630030606328299</v>
      </c>
      <c r="Y25" s="30">
        <v>0</v>
      </c>
      <c r="Z25" s="30">
        <v>0</v>
      </c>
      <c r="AA25" s="30">
        <v>165.91971139243</v>
      </c>
      <c r="AB25" s="30">
        <v>0</v>
      </c>
      <c r="AC25" s="30">
        <v>0</v>
      </c>
      <c r="AD25" s="30">
        <v>0</v>
      </c>
      <c r="AE25" s="30">
        <v>-13.7361222054971</v>
      </c>
      <c r="AF25" s="30">
        <v>4.6599868037408996</v>
      </c>
    </row>
    <row r="26" spans="1:32" ht="11.25" customHeight="1" x14ac:dyDescent="0.25">
      <c r="A26" s="140"/>
      <c r="B26" s="82" t="s">
        <v>97</v>
      </c>
      <c r="C26" s="82" t="s">
        <v>45</v>
      </c>
      <c r="D26" s="82" t="s">
        <v>25</v>
      </c>
      <c r="E26" s="82" t="s">
        <v>25</v>
      </c>
      <c r="F26" s="82" t="s">
        <v>25</v>
      </c>
      <c r="G26" s="32" t="s">
        <v>96</v>
      </c>
      <c r="H26" s="32" t="s">
        <v>90</v>
      </c>
      <c r="I26" s="32">
        <f>'MERCADO TE'!$U$23</f>
        <v>60904.316999999995</v>
      </c>
      <c r="J26" s="17"/>
      <c r="L26" s="30">
        <f>('TE BE'!$L$26+'TE BF'!$L$26+'TE CVA'!$L$26)*(1 - CUSTOS!$M$38)</f>
        <v>2.5023389020219833</v>
      </c>
      <c r="M26" s="30">
        <f>('TE BE'!$M$26+'TE BF'!$M$26+'TE CVA'!$M$26)*(1 - CUSTOS!$M$38)</f>
        <v>18.139634696962645</v>
      </c>
      <c r="N26" s="30">
        <f>('TE BE'!$N$26+'TE BF'!$N$26+'TE CVA'!$N$26)*(1 - CUSTOS!$M$38)</f>
        <v>0</v>
      </c>
      <c r="O26" s="30">
        <f>('TE BE'!$O$26+'TE BF'!$O$26+'TE CVA'!$O$26)*(1 - CUSTOS!$M$38)</f>
        <v>28.553608827864117</v>
      </c>
      <c r="P26" s="30">
        <f>('TE BE'!$Q$26+'TE BF'!$Q$26+'TE CVA'!$Q$26)*(1 - CUSTOS!$M$38)</f>
        <v>211.14128119563651</v>
      </c>
      <c r="Q26" s="30">
        <f>('TE BE'!$S$26+'TE BF'!$S$26+'TE CVA'!$S$26)*(1 - CUSTOS!$M$38)</f>
        <v>0</v>
      </c>
      <c r="R26" s="30">
        <f>('TE BE'!$T$26+'TE BF'!$T$26+'TE CVA'!$T$26)*(1 - CUSTOS!$M$38)</f>
        <v>0</v>
      </c>
      <c r="S26" s="30">
        <f>('TE BE'!$U$26+'TE BF'!$U$26+'TE CVA'!$U$26)*(1 - CUSTOS!$M$38)</f>
        <v>0</v>
      </c>
      <c r="T26" s="30">
        <f>('TE BE'!$W$26+'TE BF'!$W$26+'TE CVA'!$W$26)*(1 - CUSTOS!$M$38)</f>
        <v>0.31876163761550436</v>
      </c>
      <c r="U26" s="30">
        <f>('TE BE'!$Y$26+'TE BF'!$Y$26+'TE CVA'!$Y$26)*(1 - CUSTOS!$M$38)</f>
        <v>6.1811355640412859</v>
      </c>
      <c r="W26" s="30">
        <v>2.0296298157486601</v>
      </c>
      <c r="X26" s="30">
        <v>15.630030606328299</v>
      </c>
      <c r="Y26" s="30">
        <v>0</v>
      </c>
      <c r="Z26" s="30">
        <v>0</v>
      </c>
      <c r="AA26" s="30">
        <v>175.87489407597599</v>
      </c>
      <c r="AB26" s="30">
        <v>0</v>
      </c>
      <c r="AC26" s="30">
        <v>0</v>
      </c>
      <c r="AD26" s="30">
        <v>0</v>
      </c>
      <c r="AE26" s="30">
        <v>-14.4045280688454</v>
      </c>
      <c r="AF26" s="30">
        <v>4.6599868037408996</v>
      </c>
    </row>
    <row r="27" spans="1:32" ht="11.25" customHeight="1" x14ac:dyDescent="0.25">
      <c r="A27" s="140"/>
      <c r="B27" s="140" t="s">
        <v>89</v>
      </c>
      <c r="C27" s="140" t="s">
        <v>45</v>
      </c>
      <c r="D27" s="140" t="s">
        <v>104</v>
      </c>
      <c r="E27" s="140" t="s">
        <v>25</v>
      </c>
      <c r="F27" s="140" t="s">
        <v>25</v>
      </c>
      <c r="G27" s="32" t="s">
        <v>91</v>
      </c>
      <c r="H27" s="32" t="s">
        <v>90</v>
      </c>
      <c r="I27" s="32">
        <f>'MERCADO TE'!$U$24</f>
        <v>0</v>
      </c>
      <c r="J27" s="17"/>
      <c r="L27" s="30">
        <f>('TE BE'!$L$27+'TE BF'!$L$27+'TE CVA'!$L$27)*(1 - CUSTOS!$M$39)</f>
        <v>2.5023389020219833</v>
      </c>
      <c r="M27" s="30">
        <f>('TE BE'!$M$27+'TE BF'!$M$27+'TE CVA'!$M$27)*(1 - CUSTOS!$M$39)</f>
        <v>18.139634696962645</v>
      </c>
      <c r="N27" s="30">
        <f>('TE BE'!$N$27+'TE BF'!$N$27+'TE CVA'!$N$27)*(1 - CUSTOS!$M$39)</f>
        <v>0</v>
      </c>
      <c r="O27" s="30">
        <f>('TE BE'!$O$27+'TE BF'!$O$27+'TE CVA'!$O$27)*(1 - CUSTOS!$M$39)</f>
        <v>28.553608827864117</v>
      </c>
      <c r="P27" s="30">
        <f>('TE BE'!$Q$27+'TE BF'!$Q$27+'TE CVA'!$Q$27)*(1 - CUSTOS!$M$39)</f>
        <v>342.60660722310826</v>
      </c>
      <c r="Q27" s="30">
        <f>('TE BE'!$S$27+'TE BF'!$S$27+'TE CVA'!$S$27)*(1 - CUSTOS!$M$39)</f>
        <v>0</v>
      </c>
      <c r="R27" s="30">
        <f>('TE BE'!$T$27+'TE BF'!$T$27+'TE CVA'!$T$27)*(1 - CUSTOS!$M$39)</f>
        <v>0</v>
      </c>
      <c r="S27" s="30">
        <f>('TE BE'!$U$27+'TE BF'!$U$27+'TE CVA'!$U$27)*(1 - CUSTOS!$M$39)</f>
        <v>0</v>
      </c>
      <c r="T27" s="30">
        <f>('TE BE'!$W$27+'TE BF'!$W$27+'TE CVA'!$W$27)*(1 - CUSTOS!$M$39)</f>
        <v>0.47940833689185497</v>
      </c>
      <c r="U27" s="30">
        <f>('TE BE'!$Y$27+'TE BF'!$Y$27+'TE CVA'!$Y$27)*(1 - CUSTOS!$M$39)</f>
        <v>6.1811355640412859</v>
      </c>
      <c r="W27" s="30">
        <v>2.0296298157486601</v>
      </c>
      <c r="X27" s="30">
        <v>15.630030606328299</v>
      </c>
      <c r="Y27" s="30">
        <v>0</v>
      </c>
      <c r="Z27" s="30">
        <v>0</v>
      </c>
      <c r="AA27" s="30">
        <v>285.38190359497997</v>
      </c>
      <c r="AB27" s="30">
        <v>0</v>
      </c>
      <c r="AC27" s="30">
        <v>0</v>
      </c>
      <c r="AD27" s="30">
        <v>0</v>
      </c>
      <c r="AE27" s="30">
        <v>-21.756992565676601</v>
      </c>
      <c r="AF27" s="30">
        <v>4.6599868037408996</v>
      </c>
    </row>
    <row r="28" spans="1:32" ht="11.25" customHeight="1" x14ac:dyDescent="0.25">
      <c r="A28" s="140"/>
      <c r="B28" s="140"/>
      <c r="C28" s="140"/>
      <c r="D28" s="140"/>
      <c r="E28" s="140"/>
      <c r="F28" s="140"/>
      <c r="G28" s="32" t="s">
        <v>101</v>
      </c>
      <c r="H28" s="32" t="s">
        <v>90</v>
      </c>
      <c r="I28" s="32">
        <f>'MERCADO TE'!$U$25</f>
        <v>0</v>
      </c>
      <c r="J28" s="17"/>
      <c r="L28" s="30">
        <f>('TE BE'!$L$28+'TE BF'!$L$28+'TE CVA'!$L$28)*(1 - CUSTOS!$M$39)</f>
        <v>2.5023389020219833</v>
      </c>
      <c r="M28" s="30">
        <f>('TE BE'!$M$28+'TE BF'!$M$28+'TE CVA'!$M$28)*(1 - CUSTOS!$M$39)</f>
        <v>18.139634696962645</v>
      </c>
      <c r="N28" s="30">
        <f>('TE BE'!$N$28+'TE BF'!$N$28+'TE CVA'!$N$28)*(1 - CUSTOS!$M$39)</f>
        <v>0</v>
      </c>
      <c r="O28" s="30">
        <f>('TE BE'!$O$28+'TE BF'!$O$28+'TE CVA'!$O$28)*(1 - CUSTOS!$M$39)</f>
        <v>28.553608827864117</v>
      </c>
      <c r="P28" s="30">
        <f>('TE BE'!$Q$28+'TE BF'!$Q$28+'TE CVA'!$Q$28)*(1 - CUSTOS!$M$39)</f>
        <v>199.18988792041176</v>
      </c>
      <c r="Q28" s="30">
        <f>('TE BE'!$S$28+'TE BF'!$S$28+'TE CVA'!$S$28)*(1 - CUSTOS!$M$39)</f>
        <v>0</v>
      </c>
      <c r="R28" s="30">
        <f>('TE BE'!$T$28+'TE BF'!$T$28+'TE CVA'!$T$28)*(1 - CUSTOS!$M$39)</f>
        <v>0</v>
      </c>
      <c r="S28" s="30">
        <f>('TE BE'!$U$28+'TE BF'!$U$28+'TE CVA'!$U$28)*(1 - CUSTOS!$M$39)</f>
        <v>0</v>
      </c>
      <c r="T28" s="30">
        <f>('TE BE'!$W$28+'TE BF'!$W$28+'TE CVA'!$W$28)*(1 - CUSTOS!$M$39)</f>
        <v>0.3041573922267452</v>
      </c>
      <c r="U28" s="30">
        <f>('TE BE'!$Y$28+'TE BF'!$Y$28+'TE CVA'!$Y$28)*(1 - CUSTOS!$M$39)</f>
        <v>6.1811355640412859</v>
      </c>
      <c r="W28" s="30">
        <v>2.0296298157486601</v>
      </c>
      <c r="X28" s="30">
        <v>15.630030606328299</v>
      </c>
      <c r="Y28" s="30">
        <v>0</v>
      </c>
      <c r="Z28" s="30">
        <v>0</v>
      </c>
      <c r="AA28" s="30">
        <v>165.91971139243</v>
      </c>
      <c r="AB28" s="30">
        <v>0</v>
      </c>
      <c r="AC28" s="30">
        <v>0</v>
      </c>
      <c r="AD28" s="30">
        <v>0</v>
      </c>
      <c r="AE28" s="30">
        <v>-13.7361222054971</v>
      </c>
      <c r="AF28" s="30">
        <v>4.6599868037408996</v>
      </c>
    </row>
    <row r="29" spans="1:32" ht="11.25" customHeight="1" x14ac:dyDescent="0.25">
      <c r="A29" s="140"/>
      <c r="B29" s="140"/>
      <c r="C29" s="140"/>
      <c r="D29" s="140"/>
      <c r="E29" s="140"/>
      <c r="F29" s="140"/>
      <c r="G29" s="32" t="s">
        <v>92</v>
      </c>
      <c r="H29" s="32" t="s">
        <v>90</v>
      </c>
      <c r="I29" s="32">
        <f>'MERCADO TE'!$U$26</f>
        <v>0</v>
      </c>
      <c r="J29" s="17"/>
      <c r="L29" s="30">
        <f>('TE BE'!$L$29+'TE BF'!$L$29+'TE CVA'!$L$29)*(1 - CUSTOS!$M$39)</f>
        <v>2.5023389020219833</v>
      </c>
      <c r="M29" s="30">
        <f>('TE BE'!$M$29+'TE BF'!$M$29+'TE CVA'!$M$29)*(1 - CUSTOS!$M$39)</f>
        <v>18.139634696962645</v>
      </c>
      <c r="N29" s="30">
        <f>('TE BE'!$N$29+'TE BF'!$N$29+'TE CVA'!$N$29)*(1 - CUSTOS!$M$39)</f>
        <v>0</v>
      </c>
      <c r="O29" s="30">
        <f>('TE BE'!$O$29+'TE BF'!$O$29+'TE CVA'!$O$29)*(1 - CUSTOS!$M$39)</f>
        <v>28.553608827864117</v>
      </c>
      <c r="P29" s="30">
        <f>('TE BE'!$Q$29+'TE BF'!$Q$29+'TE CVA'!$Q$29)*(1 - CUSTOS!$M$39)</f>
        <v>199.18988792041176</v>
      </c>
      <c r="Q29" s="30">
        <f>('TE BE'!$S$29+'TE BF'!$S$29+'TE CVA'!$S$29)*(1 - CUSTOS!$M$39)</f>
        <v>0</v>
      </c>
      <c r="R29" s="30">
        <f>('TE BE'!$T$29+'TE BF'!$T$29+'TE CVA'!$T$29)*(1 - CUSTOS!$M$39)</f>
        <v>0</v>
      </c>
      <c r="S29" s="30">
        <f>('TE BE'!$U$29+'TE BF'!$U$29+'TE CVA'!$U$29)*(1 - CUSTOS!$M$39)</f>
        <v>0</v>
      </c>
      <c r="T29" s="30">
        <f>('TE BE'!$W$29+'TE BF'!$W$29+'TE CVA'!$W$29)*(1 - CUSTOS!$M$39)</f>
        <v>0.3041573922267452</v>
      </c>
      <c r="U29" s="30">
        <f>('TE BE'!$Y$29+'TE BF'!$Y$29+'TE CVA'!$Y$29)*(1 - CUSTOS!$M$39)</f>
        <v>6.1811355640412859</v>
      </c>
      <c r="W29" s="30">
        <v>2.0296298157486601</v>
      </c>
      <c r="X29" s="30">
        <v>15.630030606328299</v>
      </c>
      <c r="Y29" s="30">
        <v>0</v>
      </c>
      <c r="Z29" s="30">
        <v>0</v>
      </c>
      <c r="AA29" s="30">
        <v>165.91971139243</v>
      </c>
      <c r="AB29" s="30">
        <v>0</v>
      </c>
      <c r="AC29" s="30">
        <v>0</v>
      </c>
      <c r="AD29" s="30">
        <v>0</v>
      </c>
      <c r="AE29" s="30">
        <v>-13.7361222054971</v>
      </c>
      <c r="AF29" s="30">
        <v>4.6599868037408996</v>
      </c>
    </row>
    <row r="30" spans="1:32" ht="11.25" customHeight="1" x14ac:dyDescent="0.25">
      <c r="A30" s="140"/>
      <c r="B30" s="82" t="s">
        <v>97</v>
      </c>
      <c r="C30" s="82" t="s">
        <v>45</v>
      </c>
      <c r="D30" s="82" t="s">
        <v>104</v>
      </c>
      <c r="E30" s="82" t="s">
        <v>25</v>
      </c>
      <c r="F30" s="82" t="s">
        <v>25</v>
      </c>
      <c r="G30" s="32" t="s">
        <v>96</v>
      </c>
      <c r="H30" s="32" t="s">
        <v>90</v>
      </c>
      <c r="I30" s="32">
        <f>'MERCADO TE'!$U$27</f>
        <v>0</v>
      </c>
      <c r="J30" s="17"/>
      <c r="L30" s="30">
        <f>('TE BE'!$L$30+'TE BF'!$L$30+'TE CVA'!$L$30)*(1 - CUSTOS!$M$39)</f>
        <v>2.5023389020219833</v>
      </c>
      <c r="M30" s="30">
        <f>('TE BE'!$M$30+'TE BF'!$M$30+'TE CVA'!$M$30)*(1 - CUSTOS!$M$39)</f>
        <v>18.139634696962645</v>
      </c>
      <c r="N30" s="30">
        <f>('TE BE'!$N$30+'TE BF'!$N$30+'TE CVA'!$N$30)*(1 - CUSTOS!$M$39)</f>
        <v>0</v>
      </c>
      <c r="O30" s="30">
        <f>('TE BE'!$O$30+'TE BF'!$O$30+'TE CVA'!$O$30)*(1 - CUSTOS!$M$39)</f>
        <v>28.553608827864117</v>
      </c>
      <c r="P30" s="30">
        <f>('TE BE'!$Q$30+'TE BF'!$Q$30+'TE CVA'!$Q$30)*(1 - CUSTOS!$M$39)</f>
        <v>211.14128119563651</v>
      </c>
      <c r="Q30" s="30">
        <f>('TE BE'!$S$30+'TE BF'!$S$30+'TE CVA'!$S$30)*(1 - CUSTOS!$M$39)</f>
        <v>0</v>
      </c>
      <c r="R30" s="30">
        <f>('TE BE'!$T$30+'TE BF'!$T$30+'TE CVA'!$T$30)*(1 - CUSTOS!$M$39)</f>
        <v>0</v>
      </c>
      <c r="S30" s="30">
        <f>('TE BE'!$U$30+'TE BF'!$U$30+'TE CVA'!$U$30)*(1 - CUSTOS!$M$39)</f>
        <v>0</v>
      </c>
      <c r="T30" s="30">
        <f>('TE BE'!$W$30+'TE BF'!$W$30+'TE CVA'!$W$30)*(1 - CUSTOS!$M$39)</f>
        <v>0.31876163761550436</v>
      </c>
      <c r="U30" s="30">
        <f>('TE BE'!$Y$30+'TE BF'!$Y$30+'TE CVA'!$Y$30)*(1 - CUSTOS!$M$39)</f>
        <v>6.1811355640412859</v>
      </c>
      <c r="W30" s="30">
        <v>2.0296298157486601</v>
      </c>
      <c r="X30" s="30">
        <v>15.630030606328299</v>
      </c>
      <c r="Y30" s="30">
        <v>0</v>
      </c>
      <c r="Z30" s="30">
        <v>0</v>
      </c>
      <c r="AA30" s="30">
        <v>175.87489407597599</v>
      </c>
      <c r="AB30" s="30">
        <v>0</v>
      </c>
      <c r="AC30" s="30">
        <v>0</v>
      </c>
      <c r="AD30" s="30">
        <v>0</v>
      </c>
      <c r="AE30" s="30">
        <v>-14.4045280688454</v>
      </c>
      <c r="AF30" s="30">
        <v>4.6599868037408996</v>
      </c>
    </row>
    <row r="31" spans="1:32" ht="11.25" customHeight="1" x14ac:dyDescent="0.25">
      <c r="A31" s="140"/>
      <c r="B31" s="140" t="s">
        <v>89</v>
      </c>
      <c r="C31" s="140" t="s">
        <v>45</v>
      </c>
      <c r="D31" s="140" t="s">
        <v>105</v>
      </c>
      <c r="E31" s="140" t="s">
        <v>25</v>
      </c>
      <c r="F31" s="140" t="s">
        <v>25</v>
      </c>
      <c r="G31" s="32" t="s">
        <v>91</v>
      </c>
      <c r="H31" s="32" t="s">
        <v>90</v>
      </c>
      <c r="I31" s="32">
        <f>'MERCADO TE'!$U$28</f>
        <v>0</v>
      </c>
      <c r="J31" s="17"/>
      <c r="L31" s="30">
        <f>('TE BE'!$L$31+'TE BF'!$L$31+'TE CVA'!$L$31)*(1 - CUSTOS!$M$40)</f>
        <v>2.4490976487874732</v>
      </c>
      <c r="M31" s="30">
        <f>('TE BE'!$M$31+'TE BF'!$M$31+'TE CVA'!$M$31)*(1 - CUSTOS!$M$40)</f>
        <v>17.753685022559186</v>
      </c>
      <c r="N31" s="30">
        <f>('TE BE'!$N$31+'TE BF'!$N$31+'TE CVA'!$N$31)*(1 - CUSTOS!$M$40)</f>
        <v>0</v>
      </c>
      <c r="O31" s="30">
        <f>('TE BE'!$O$31+'TE BF'!$O$31+'TE CVA'!$O$31)*(1 - CUSTOS!$M$40)</f>
        <v>27.946085235781904</v>
      </c>
      <c r="P31" s="30">
        <f>('TE BE'!$Q$31+'TE BF'!$Q$31+'TE CVA'!$Q$31)*(1 - CUSTOS!$M$40)</f>
        <v>335.31710494176559</v>
      </c>
      <c r="Q31" s="30">
        <f>('TE BE'!$S$31+'TE BF'!$S$31+'TE CVA'!$S$31)*(1 - CUSTOS!$M$40)</f>
        <v>0</v>
      </c>
      <c r="R31" s="30">
        <f>('TE BE'!$T$31+'TE BF'!$T$31+'TE CVA'!$T$31)*(1 - CUSTOS!$M$40)</f>
        <v>0</v>
      </c>
      <c r="S31" s="30">
        <f>('TE BE'!$U$31+'TE BF'!$U$31+'TE CVA'!$U$31)*(1 - CUSTOS!$M$40)</f>
        <v>0</v>
      </c>
      <c r="T31" s="30">
        <f>('TE BE'!$W$31+'TE BF'!$W$31+'TE CVA'!$W$31)*(1 - CUSTOS!$M$40)</f>
        <v>0.46920815951117728</v>
      </c>
      <c r="U31" s="30">
        <f>('TE BE'!$Y$31+'TE BF'!$Y$31+'TE CVA'!$Y$31)*(1 - CUSTOS!$M$40)</f>
        <v>6.0496220414021105</v>
      </c>
      <c r="W31" s="30">
        <v>1.93737391503281</v>
      </c>
      <c r="X31" s="30">
        <v>14.919574669677001</v>
      </c>
      <c r="Y31" s="30">
        <v>0</v>
      </c>
      <c r="Z31" s="30">
        <v>0</v>
      </c>
      <c r="AA31" s="30">
        <v>272.40999888611702</v>
      </c>
      <c r="AB31" s="30">
        <v>0</v>
      </c>
      <c r="AC31" s="30">
        <v>0</v>
      </c>
      <c r="AD31" s="30">
        <v>0</v>
      </c>
      <c r="AE31" s="30">
        <v>-20.768038358145901</v>
      </c>
      <c r="AF31" s="30">
        <v>4.4481692217526803</v>
      </c>
    </row>
    <row r="32" spans="1:32" ht="11.25" customHeight="1" x14ac:dyDescent="0.25">
      <c r="A32" s="140"/>
      <c r="B32" s="140"/>
      <c r="C32" s="140"/>
      <c r="D32" s="140"/>
      <c r="E32" s="140"/>
      <c r="F32" s="140"/>
      <c r="G32" s="32" t="s">
        <v>101</v>
      </c>
      <c r="H32" s="32" t="s">
        <v>90</v>
      </c>
      <c r="I32" s="32">
        <f>'MERCADO TE'!$U$29</f>
        <v>0</v>
      </c>
      <c r="J32" s="17"/>
      <c r="L32" s="30">
        <f>('TE BE'!$L$32+'TE BF'!$L$32+'TE CVA'!$L$32)*(1 - CUSTOS!$M$40)</f>
        <v>2.4490976487874732</v>
      </c>
      <c r="M32" s="30">
        <f>('TE BE'!$M$32+'TE BF'!$M$32+'TE CVA'!$M$32)*(1 - CUSTOS!$M$40)</f>
        <v>17.753685022559186</v>
      </c>
      <c r="N32" s="30">
        <f>('TE BE'!$N$32+'TE BF'!$N$32+'TE CVA'!$N$32)*(1 - CUSTOS!$M$40)</f>
        <v>0</v>
      </c>
      <c r="O32" s="30">
        <f>('TE BE'!$O$32+'TE BF'!$O$32+'TE CVA'!$O$32)*(1 - CUSTOS!$M$40)</f>
        <v>27.946085235781904</v>
      </c>
      <c r="P32" s="30">
        <f>('TE BE'!$Q$32+'TE BF'!$Q$32+'TE CVA'!$Q$32)*(1 - CUSTOS!$M$40)</f>
        <v>194.9518051987009</v>
      </c>
      <c r="Q32" s="30">
        <f>('TE BE'!$S$32+'TE BF'!$S$32+'TE CVA'!$S$32)*(1 - CUSTOS!$M$40)</f>
        <v>0</v>
      </c>
      <c r="R32" s="30">
        <f>('TE BE'!$T$32+'TE BF'!$T$32+'TE CVA'!$T$32)*(1 - CUSTOS!$M$40)</f>
        <v>0</v>
      </c>
      <c r="S32" s="30">
        <f>('TE BE'!$U$32+'TE BF'!$U$32+'TE CVA'!$U$32)*(1 - CUSTOS!$M$40)</f>
        <v>0</v>
      </c>
      <c r="T32" s="30">
        <f>('TE BE'!$W$32+'TE BF'!$W$32+'TE CVA'!$W$32)*(1 - CUSTOS!$M$40)</f>
        <v>0.29768595834958045</v>
      </c>
      <c r="U32" s="30">
        <f>('TE BE'!$Y$32+'TE BF'!$Y$32+'TE CVA'!$Y$32)*(1 - CUSTOS!$M$40)</f>
        <v>6.0496220414021105</v>
      </c>
      <c r="W32" s="30">
        <v>1.93737391503281</v>
      </c>
      <c r="X32" s="30">
        <v>14.919574669677001</v>
      </c>
      <c r="Y32" s="30">
        <v>0</v>
      </c>
      <c r="Z32" s="30">
        <v>0</v>
      </c>
      <c r="AA32" s="30">
        <v>158.377906329138</v>
      </c>
      <c r="AB32" s="30">
        <v>0</v>
      </c>
      <c r="AC32" s="30">
        <v>0</v>
      </c>
      <c r="AD32" s="30">
        <v>0</v>
      </c>
      <c r="AE32" s="30">
        <v>-13.111753014338101</v>
      </c>
      <c r="AF32" s="30">
        <v>4.4481692217526803</v>
      </c>
    </row>
    <row r="33" spans="1:32" ht="11.25" customHeight="1" x14ac:dyDescent="0.25">
      <c r="A33" s="140"/>
      <c r="B33" s="140"/>
      <c r="C33" s="140"/>
      <c r="D33" s="140"/>
      <c r="E33" s="140"/>
      <c r="F33" s="140"/>
      <c r="G33" s="32" t="s">
        <v>92</v>
      </c>
      <c r="H33" s="32" t="s">
        <v>90</v>
      </c>
      <c r="I33" s="32">
        <f>'MERCADO TE'!$U$30</f>
        <v>0</v>
      </c>
      <c r="J33" s="17"/>
      <c r="L33" s="30">
        <f>('TE BE'!$L$33+'TE BF'!$L$33+'TE CVA'!$L$33)*(1 - CUSTOS!$M$40)</f>
        <v>2.4490976487874732</v>
      </c>
      <c r="M33" s="30">
        <f>('TE BE'!$M$33+'TE BF'!$M$33+'TE CVA'!$M$33)*(1 - CUSTOS!$M$40)</f>
        <v>17.753685022559186</v>
      </c>
      <c r="N33" s="30">
        <f>('TE BE'!$N$33+'TE BF'!$N$33+'TE CVA'!$N$33)*(1 - CUSTOS!$M$40)</f>
        <v>0</v>
      </c>
      <c r="O33" s="30">
        <f>('TE BE'!$O$33+'TE BF'!$O$33+'TE CVA'!$O$33)*(1 - CUSTOS!$M$40)</f>
        <v>27.946085235781904</v>
      </c>
      <c r="P33" s="30">
        <f>('TE BE'!$Q$33+'TE BF'!$Q$33+'TE CVA'!$Q$33)*(1 - CUSTOS!$M$40)</f>
        <v>194.9518051987009</v>
      </c>
      <c r="Q33" s="30">
        <f>('TE BE'!$S$33+'TE BF'!$S$33+'TE CVA'!$S$33)*(1 - CUSTOS!$M$40)</f>
        <v>0</v>
      </c>
      <c r="R33" s="30">
        <f>('TE BE'!$T$33+'TE BF'!$T$33+'TE CVA'!$T$33)*(1 - CUSTOS!$M$40)</f>
        <v>0</v>
      </c>
      <c r="S33" s="30">
        <f>('TE BE'!$U$33+'TE BF'!$U$33+'TE CVA'!$U$33)*(1 - CUSTOS!$M$40)</f>
        <v>0</v>
      </c>
      <c r="T33" s="30">
        <f>('TE BE'!$W$33+'TE BF'!$W$33+'TE CVA'!$W$33)*(1 - CUSTOS!$M$40)</f>
        <v>0.29768595834958045</v>
      </c>
      <c r="U33" s="30">
        <f>('TE BE'!$Y$33+'TE BF'!$Y$33+'TE CVA'!$Y$33)*(1 - CUSTOS!$M$40)</f>
        <v>6.0496220414021105</v>
      </c>
      <c r="W33" s="30">
        <v>1.93737391503281</v>
      </c>
      <c r="X33" s="30">
        <v>14.919574669677001</v>
      </c>
      <c r="Y33" s="30">
        <v>0</v>
      </c>
      <c r="Z33" s="30">
        <v>0</v>
      </c>
      <c r="AA33" s="30">
        <v>158.377906329138</v>
      </c>
      <c r="AB33" s="30">
        <v>0</v>
      </c>
      <c r="AC33" s="30">
        <v>0</v>
      </c>
      <c r="AD33" s="30">
        <v>0</v>
      </c>
      <c r="AE33" s="30">
        <v>-13.111753014338101</v>
      </c>
      <c r="AF33" s="30">
        <v>4.4481692217526803</v>
      </c>
    </row>
    <row r="34" spans="1:32" ht="11.25" customHeight="1" x14ac:dyDescent="0.25">
      <c r="A34" s="140"/>
      <c r="B34" s="82" t="s">
        <v>97</v>
      </c>
      <c r="C34" s="82" t="s">
        <v>45</v>
      </c>
      <c r="D34" s="82" t="s">
        <v>105</v>
      </c>
      <c r="E34" s="82" t="s">
        <v>25</v>
      </c>
      <c r="F34" s="82" t="s">
        <v>25</v>
      </c>
      <c r="G34" s="32" t="s">
        <v>96</v>
      </c>
      <c r="H34" s="32" t="s">
        <v>90</v>
      </c>
      <c r="I34" s="32">
        <f>'MERCADO TE'!$U$31</f>
        <v>0</v>
      </c>
      <c r="J34" s="17"/>
      <c r="L34" s="30">
        <f>('TE BE'!$L$34+'TE BF'!$L$34+'TE CVA'!$L$34)*(1 - CUSTOS!$M$40)</f>
        <v>2.4490976487874732</v>
      </c>
      <c r="M34" s="30">
        <f>('TE BE'!$M$34+'TE BF'!$M$34+'TE CVA'!$M$34)*(1 - CUSTOS!$M$40)</f>
        <v>17.753685022559186</v>
      </c>
      <c r="N34" s="30">
        <f>('TE BE'!$N$34+'TE BF'!$N$34+'TE CVA'!$N$34)*(1 - CUSTOS!$M$40)</f>
        <v>0</v>
      </c>
      <c r="O34" s="30">
        <f>('TE BE'!$O$34+'TE BF'!$O$34+'TE CVA'!$O$34)*(1 - CUSTOS!$M$40)</f>
        <v>27.946085235781904</v>
      </c>
      <c r="P34" s="30">
        <f>('TE BE'!$Q$34+'TE BF'!$Q$34+'TE CVA'!$Q$34)*(1 - CUSTOS!$M$40)</f>
        <v>206.64891351062298</v>
      </c>
      <c r="Q34" s="30">
        <f>('TE BE'!$S$34+'TE BF'!$S$34+'TE CVA'!$S$34)*(1 - CUSTOS!$M$40)</f>
        <v>0</v>
      </c>
      <c r="R34" s="30">
        <f>('TE BE'!$T$34+'TE BF'!$T$34+'TE CVA'!$T$34)*(1 - CUSTOS!$M$40)</f>
        <v>0</v>
      </c>
      <c r="S34" s="30">
        <f>('TE BE'!$U$34+'TE BF'!$U$34+'TE CVA'!$U$34)*(1 - CUSTOS!$M$40)</f>
        <v>0</v>
      </c>
      <c r="T34" s="30">
        <f>('TE BE'!$W$34+'TE BF'!$W$34+'TE CVA'!$W$34)*(1 - CUSTOS!$M$40)</f>
        <v>0.3119794751130468</v>
      </c>
      <c r="U34" s="30">
        <f>('TE BE'!$Y$34+'TE BF'!$Y$34+'TE CVA'!$Y$34)*(1 - CUSTOS!$M$40)</f>
        <v>6.0496220414021105</v>
      </c>
      <c r="W34" s="30">
        <v>1.93737391503281</v>
      </c>
      <c r="X34" s="30">
        <v>14.919574669677001</v>
      </c>
      <c r="Y34" s="30">
        <v>0</v>
      </c>
      <c r="Z34" s="30">
        <v>0</v>
      </c>
      <c r="AA34" s="30">
        <v>167.88058070888599</v>
      </c>
      <c r="AB34" s="30">
        <v>0</v>
      </c>
      <c r="AC34" s="30">
        <v>0</v>
      </c>
      <c r="AD34" s="30">
        <v>0</v>
      </c>
      <c r="AE34" s="30">
        <v>-13.749776792988801</v>
      </c>
      <c r="AF34" s="30">
        <v>4.4481692217526803</v>
      </c>
    </row>
    <row r="35" spans="1:32" ht="11.25" customHeight="1" x14ac:dyDescent="0.25">
      <c r="A35" s="140"/>
      <c r="B35" s="140" t="s">
        <v>102</v>
      </c>
      <c r="C35" s="140" t="s">
        <v>45</v>
      </c>
      <c r="D35" s="82" t="s">
        <v>25</v>
      </c>
      <c r="E35" s="82" t="s">
        <v>25</v>
      </c>
      <c r="F35" s="82" t="s">
        <v>25</v>
      </c>
      <c r="G35" s="32" t="s">
        <v>96</v>
      </c>
      <c r="H35" s="32" t="s">
        <v>90</v>
      </c>
      <c r="I35" s="32">
        <f>'MERCADO TE'!$U$32</f>
        <v>0</v>
      </c>
      <c r="J35" s="17"/>
      <c r="L35" s="30">
        <f>('TE BE'!$L$35+'TE BF'!$L$35+'TE CVA'!$L$35)*(1 - CUSTOS!$M$38)</f>
        <v>2.5023389020219833</v>
      </c>
      <c r="M35" s="30">
        <f>('TE BE'!$M$35+'TE BF'!$M$35+'TE CVA'!$M$35)*(1 - CUSTOS!$M$38)</f>
        <v>18.139634696962645</v>
      </c>
      <c r="N35" s="30">
        <f>('TE BE'!$N$35+'TE BF'!$N$35+'TE CVA'!$N$35)*(1 - CUSTOS!$M$38)</f>
        <v>0</v>
      </c>
      <c r="O35" s="30">
        <f>('TE BE'!$O$35+'TE BF'!$O$35+'TE CVA'!$O$35)*(1 - CUSTOS!$M$38)</f>
        <v>28.553608827864117</v>
      </c>
      <c r="P35" s="30">
        <f>('TE BE'!$Q$35+'TE BF'!$Q$35+'TE CVA'!$Q$35)*(1 - CUSTOS!$M$38)</f>
        <v>211.14128119563651</v>
      </c>
      <c r="Q35" s="30">
        <f>('TE BE'!$S$35+'TE BF'!$S$35+'TE CVA'!$S$35)*(1 - CUSTOS!$M$38)</f>
        <v>0</v>
      </c>
      <c r="R35" s="30">
        <f>('TE BE'!$T$35+'TE BF'!$T$35+'TE CVA'!$T$35)*(1 - CUSTOS!$M$38)</f>
        <v>0</v>
      </c>
      <c r="S35" s="30">
        <f>('TE BE'!$U$35+'TE BF'!$U$35+'TE CVA'!$U$35)*(1 - CUSTOS!$M$38)</f>
        <v>0</v>
      </c>
      <c r="T35" s="30">
        <f>('TE BE'!$W$35+'TE BF'!$W$35+'TE CVA'!$W$35)*(1 - CUSTOS!$M$38)</f>
        <v>0.31876163761550436</v>
      </c>
      <c r="U35" s="30">
        <f>('TE BE'!$Y$35+'TE BF'!$Y$35+'TE CVA'!$Y$35)*(1 - CUSTOS!$M$38)</f>
        <v>6.1811355640412859</v>
      </c>
      <c r="W35" s="30">
        <v>2.0296298157486601</v>
      </c>
      <c r="X35" s="30">
        <v>15.630030606328299</v>
      </c>
      <c r="Y35" s="30">
        <v>0</v>
      </c>
      <c r="Z35" s="30">
        <v>0</v>
      </c>
      <c r="AA35" s="30">
        <v>175.87489407597599</v>
      </c>
      <c r="AB35" s="30">
        <v>0</v>
      </c>
      <c r="AC35" s="30">
        <v>0</v>
      </c>
      <c r="AD35" s="30">
        <v>0</v>
      </c>
      <c r="AE35" s="30">
        <v>-14.4045280688454</v>
      </c>
      <c r="AF35" s="30">
        <v>4.6599868037408996</v>
      </c>
    </row>
    <row r="36" spans="1:32" ht="11.25" customHeight="1" x14ac:dyDescent="0.25">
      <c r="A36" s="140"/>
      <c r="B36" s="140"/>
      <c r="C36" s="140"/>
      <c r="D36" s="82" t="s">
        <v>104</v>
      </c>
      <c r="E36" s="82" t="s">
        <v>25</v>
      </c>
      <c r="F36" s="82" t="s">
        <v>25</v>
      </c>
      <c r="G36" s="32" t="s">
        <v>96</v>
      </c>
      <c r="H36" s="32" t="s">
        <v>90</v>
      </c>
      <c r="I36" s="32">
        <f>'MERCADO TE'!$U$33</f>
        <v>0</v>
      </c>
      <c r="J36" s="17"/>
      <c r="L36" s="30">
        <f>('TE BE'!$L$36+'TE BF'!$L$36+'TE CVA'!$L$36)*(1 - CUSTOS!$M$39)</f>
        <v>2.5023389020219833</v>
      </c>
      <c r="M36" s="30">
        <f>('TE BE'!$M$36+'TE BF'!$M$36+'TE CVA'!$M$36)*(1 - CUSTOS!$M$39)</f>
        <v>18.139634696962645</v>
      </c>
      <c r="N36" s="30">
        <f>('TE BE'!$N$36+'TE BF'!$N$36+'TE CVA'!$N$36)*(1 - CUSTOS!$M$39)</f>
        <v>0</v>
      </c>
      <c r="O36" s="30">
        <f>('TE BE'!$O$36+'TE BF'!$O$36+'TE CVA'!$O$36)*(1 - CUSTOS!$M$39)</f>
        <v>28.553608827864117</v>
      </c>
      <c r="P36" s="30">
        <f>('TE BE'!$Q$36+'TE BF'!$Q$36+'TE CVA'!$Q$36)*(1 - CUSTOS!$M$39)</f>
        <v>211.14128119563651</v>
      </c>
      <c r="Q36" s="30">
        <f>('TE BE'!$S$36+'TE BF'!$S$36+'TE CVA'!$S$36)*(1 - CUSTOS!$M$39)</f>
        <v>0</v>
      </c>
      <c r="R36" s="30">
        <f>('TE BE'!$T$36+'TE BF'!$T$36+'TE CVA'!$T$36)*(1 - CUSTOS!$M$39)</f>
        <v>0</v>
      </c>
      <c r="S36" s="30">
        <f>('TE BE'!$U$36+'TE BF'!$U$36+'TE CVA'!$U$36)*(1 - CUSTOS!$M$39)</f>
        <v>0</v>
      </c>
      <c r="T36" s="30">
        <f>('TE BE'!$W$36+'TE BF'!$W$36+'TE CVA'!$W$36)*(1 - CUSTOS!$M$39)</f>
        <v>0.31876163761550436</v>
      </c>
      <c r="U36" s="30">
        <f>('TE BE'!$Y$36+'TE BF'!$Y$36+'TE CVA'!$Y$36)*(1 - CUSTOS!$M$39)</f>
        <v>6.1811355640412859</v>
      </c>
      <c r="W36" s="30">
        <v>2.0296298157486601</v>
      </c>
      <c r="X36" s="30">
        <v>15.630030606328299</v>
      </c>
      <c r="Y36" s="30">
        <v>0</v>
      </c>
      <c r="Z36" s="30">
        <v>0</v>
      </c>
      <c r="AA36" s="30">
        <v>175.87489407597599</v>
      </c>
      <c r="AB36" s="30">
        <v>0</v>
      </c>
      <c r="AC36" s="30">
        <v>0</v>
      </c>
      <c r="AD36" s="30">
        <v>0</v>
      </c>
      <c r="AE36" s="30">
        <v>-14.4045280688454</v>
      </c>
      <c r="AF36" s="30">
        <v>4.6599868037408996</v>
      </c>
    </row>
    <row r="37" spans="1:32" ht="11.25" customHeight="1" x14ac:dyDescent="0.25">
      <c r="A37" s="140"/>
      <c r="B37" s="140"/>
      <c r="C37" s="140"/>
      <c r="D37" s="82" t="s">
        <v>105</v>
      </c>
      <c r="E37" s="82" t="s">
        <v>25</v>
      </c>
      <c r="F37" s="82" t="s">
        <v>25</v>
      </c>
      <c r="G37" s="32" t="s">
        <v>96</v>
      </c>
      <c r="H37" s="32" t="s">
        <v>90</v>
      </c>
      <c r="I37" s="32">
        <f>'MERCADO TE'!$U$34</f>
        <v>0</v>
      </c>
      <c r="J37" s="17"/>
      <c r="L37" s="30">
        <f>('TE BE'!$L$37+'TE BF'!$L$37+'TE CVA'!$L$37)*(1 - CUSTOS!$M$40)</f>
        <v>2.4490976487874732</v>
      </c>
      <c r="M37" s="30">
        <f>('TE BE'!$M$37+'TE BF'!$M$37+'TE CVA'!$M$37)*(1 - CUSTOS!$M$40)</f>
        <v>17.753685022559186</v>
      </c>
      <c r="N37" s="30">
        <f>('TE BE'!$N$37+'TE BF'!$N$37+'TE CVA'!$N$37)*(1 - CUSTOS!$M$40)</f>
        <v>0</v>
      </c>
      <c r="O37" s="30">
        <f>('TE BE'!$O$37+'TE BF'!$O$37+'TE CVA'!$O$37)*(1 - CUSTOS!$M$40)</f>
        <v>27.946085235781904</v>
      </c>
      <c r="P37" s="30">
        <f>('TE BE'!$Q$37+'TE BF'!$Q$37+'TE CVA'!$Q$37)*(1 - CUSTOS!$M$40)</f>
        <v>206.64891351062298</v>
      </c>
      <c r="Q37" s="30">
        <f>('TE BE'!$S$37+'TE BF'!$S$37+'TE CVA'!$S$37)*(1 - CUSTOS!$M$40)</f>
        <v>0</v>
      </c>
      <c r="R37" s="30">
        <f>('TE BE'!$T$37+'TE BF'!$T$37+'TE CVA'!$T$37)*(1 - CUSTOS!$M$40)</f>
        <v>0</v>
      </c>
      <c r="S37" s="30">
        <f>('TE BE'!$U$37+'TE BF'!$U$37+'TE CVA'!$U$37)*(1 - CUSTOS!$M$40)</f>
        <v>0</v>
      </c>
      <c r="T37" s="30">
        <f>('TE BE'!$W$37+'TE BF'!$W$37+'TE CVA'!$W$37)*(1 - CUSTOS!$M$40)</f>
        <v>0.3119794751130468</v>
      </c>
      <c r="U37" s="30">
        <f>('TE BE'!$Y$37+'TE BF'!$Y$37+'TE CVA'!$Y$37)*(1 - CUSTOS!$M$40)</f>
        <v>6.0496220414021105</v>
      </c>
      <c r="W37" s="30">
        <v>1.93737391503281</v>
      </c>
      <c r="X37" s="30">
        <v>14.919574669677001</v>
      </c>
      <c r="Y37" s="30">
        <v>0</v>
      </c>
      <c r="Z37" s="30">
        <v>0</v>
      </c>
      <c r="AA37" s="30">
        <v>167.88058070888599</v>
      </c>
      <c r="AB37" s="30">
        <v>0</v>
      </c>
      <c r="AC37" s="30">
        <v>0</v>
      </c>
      <c r="AD37" s="30">
        <v>0</v>
      </c>
      <c r="AE37" s="30">
        <v>-13.749776792988801</v>
      </c>
      <c r="AF37" s="30">
        <v>4.4481692217526803</v>
      </c>
    </row>
    <row r="38" spans="1:32" ht="11.25" customHeight="1" x14ac:dyDescent="0.25">
      <c r="A38" s="140" t="s">
        <v>39</v>
      </c>
      <c r="B38" s="140" t="s">
        <v>89</v>
      </c>
      <c r="C38" s="140" t="s">
        <v>25</v>
      </c>
      <c r="D38" s="140" t="s">
        <v>25</v>
      </c>
      <c r="E38" s="140" t="s">
        <v>25</v>
      </c>
      <c r="F38" s="140" t="s">
        <v>25</v>
      </c>
      <c r="G38" s="32" t="s">
        <v>91</v>
      </c>
      <c r="H38" s="32" t="s">
        <v>90</v>
      </c>
      <c r="I38" s="32">
        <f>'MERCADO TE'!$U$35</f>
        <v>133.833</v>
      </c>
      <c r="J38" s="17"/>
      <c r="L38" s="30">
        <f>('TE BE'!$L$38+'TE BF'!$L$38+'TE CVA'!$L$38)*1</f>
        <v>2.6620626617255141</v>
      </c>
      <c r="M38" s="30">
        <f>('TE BE'!$M$38+'TE BF'!$M$38+'TE CVA'!$M$38)*1</f>
        <v>19.297483720173027</v>
      </c>
      <c r="N38" s="30">
        <f>('TE BE'!$N$38+'TE BF'!$N$38+'TE CVA'!$N$38)*1</f>
        <v>0</v>
      </c>
      <c r="O38" s="30">
        <f>('TE BE'!$O$38+'TE BF'!$O$38+'TE CVA'!$O$38)*1</f>
        <v>30.376179604110764</v>
      </c>
      <c r="P38" s="30">
        <f>('TE BE'!$Q$38+'TE BF'!$Q$38+'TE CVA'!$Q$38)*1</f>
        <v>364.47511406713647</v>
      </c>
      <c r="Q38" s="30">
        <f>('TE BE'!$S$38+'TE BF'!$S$38+'TE CVA'!$S$38)*1</f>
        <v>0</v>
      </c>
      <c r="R38" s="30">
        <f>('TE BE'!$T$38+'TE BF'!$T$38+'TE CVA'!$T$38)*1</f>
        <v>0</v>
      </c>
      <c r="S38" s="30">
        <f>('TE BE'!$U$38+'TE BF'!$U$38+'TE CVA'!$U$38)*1</f>
        <v>0</v>
      </c>
      <c r="T38" s="30">
        <f>('TE BE'!$W$38+'TE BF'!$W$38+'TE CVA'!$W$38)*1</f>
        <v>0.51000886903388831</v>
      </c>
      <c r="U38" s="30">
        <f>('TE BE'!$Y$38+'TE BF'!$Y$38+'TE CVA'!$Y$38)*1</f>
        <v>6.5756761319588151</v>
      </c>
      <c r="W38" s="30">
        <v>2.3063975178962002</v>
      </c>
      <c r="X38" s="30">
        <v>17.761398416282201</v>
      </c>
      <c r="Y38" s="30">
        <v>0</v>
      </c>
      <c r="Z38" s="30">
        <v>0</v>
      </c>
      <c r="AA38" s="30">
        <v>324.29761772156797</v>
      </c>
      <c r="AB38" s="30">
        <v>0</v>
      </c>
      <c r="AC38" s="30">
        <v>0</v>
      </c>
      <c r="AD38" s="30">
        <v>0</v>
      </c>
      <c r="AE38" s="30">
        <v>-24.723855188268899</v>
      </c>
      <c r="AF38" s="30">
        <v>5.29543954970557</v>
      </c>
    </row>
    <row r="39" spans="1:32" ht="11.25" customHeight="1" x14ac:dyDescent="0.25">
      <c r="A39" s="140"/>
      <c r="B39" s="140"/>
      <c r="C39" s="140"/>
      <c r="D39" s="140"/>
      <c r="E39" s="140"/>
      <c r="F39" s="140"/>
      <c r="G39" s="32" t="s">
        <v>101</v>
      </c>
      <c r="H39" s="32" t="s">
        <v>90</v>
      </c>
      <c r="I39" s="32">
        <f>'MERCADO TE'!$U$36</f>
        <v>132.79500000000002</v>
      </c>
      <c r="J39" s="17"/>
      <c r="L39" s="30">
        <f>('TE BE'!$L$39+'TE BF'!$L$39+'TE CVA'!$L$39)*1</f>
        <v>2.6620626617255141</v>
      </c>
      <c r="M39" s="30">
        <f>('TE BE'!$M$39+'TE BF'!$M$39+'TE CVA'!$M$39)*1</f>
        <v>19.297483720173027</v>
      </c>
      <c r="N39" s="30">
        <f>('TE BE'!$N$39+'TE BF'!$N$39+'TE CVA'!$N$39)*1</f>
        <v>0</v>
      </c>
      <c r="O39" s="30">
        <f>('TE BE'!$O$39+'TE BF'!$O$39+'TE CVA'!$O$39)*1</f>
        <v>30.376179604110764</v>
      </c>
      <c r="P39" s="30">
        <f>('TE BE'!$Q$39+'TE BF'!$Q$39+'TE CVA'!$Q$39)*1</f>
        <v>211.90413608554445</v>
      </c>
      <c r="Q39" s="30">
        <f>('TE BE'!$S$39+'TE BF'!$S$39+'TE CVA'!$S$39)*1</f>
        <v>0</v>
      </c>
      <c r="R39" s="30">
        <f>('TE BE'!$T$39+'TE BF'!$T$39+'TE CVA'!$T$39)*1</f>
        <v>0</v>
      </c>
      <c r="S39" s="30">
        <f>('TE BE'!$U$39+'TE BF'!$U$39+'TE CVA'!$U$39)*1</f>
        <v>0</v>
      </c>
      <c r="T39" s="30">
        <f>('TE BE'!$W$39+'TE BF'!$W$39+'TE CVA'!$W$39)*1</f>
        <v>0.32357169385823958</v>
      </c>
      <c r="U39" s="30">
        <f>('TE BE'!$Y$39+'TE BF'!$Y$39+'TE CVA'!$Y$39)*1</f>
        <v>6.5756761319588151</v>
      </c>
      <c r="W39" s="30">
        <v>2.3063975178962002</v>
      </c>
      <c r="X39" s="30">
        <v>17.761398416282201</v>
      </c>
      <c r="Y39" s="30">
        <v>0</v>
      </c>
      <c r="Z39" s="30">
        <v>0</v>
      </c>
      <c r="AA39" s="30">
        <v>188.54512658230701</v>
      </c>
      <c r="AB39" s="30">
        <v>0</v>
      </c>
      <c r="AC39" s="30">
        <v>0</v>
      </c>
      <c r="AD39" s="30">
        <v>0</v>
      </c>
      <c r="AE39" s="30">
        <v>-15.6092297789739</v>
      </c>
      <c r="AF39" s="30">
        <v>5.29543954970557</v>
      </c>
    </row>
    <row r="40" spans="1:32" ht="11.25" customHeight="1" x14ac:dyDescent="0.25">
      <c r="A40" s="140"/>
      <c r="B40" s="140"/>
      <c r="C40" s="140"/>
      <c r="D40" s="140"/>
      <c r="E40" s="140"/>
      <c r="F40" s="140"/>
      <c r="G40" s="32" t="s">
        <v>92</v>
      </c>
      <c r="H40" s="32" t="s">
        <v>90</v>
      </c>
      <c r="I40" s="32">
        <f>'MERCADO TE'!$U$37</f>
        <v>2117.7150000000001</v>
      </c>
      <c r="J40" s="17"/>
      <c r="L40" s="30">
        <f>('TE BE'!$L$40+'TE BF'!$L$40+'TE CVA'!$L$40)*1</f>
        <v>2.6620626617255141</v>
      </c>
      <c r="M40" s="30">
        <f>('TE BE'!$M$40+'TE BF'!$M$40+'TE CVA'!$M$40)*1</f>
        <v>19.297483720173027</v>
      </c>
      <c r="N40" s="30">
        <f>('TE BE'!$N$40+'TE BF'!$N$40+'TE CVA'!$N$40)*1</f>
        <v>0</v>
      </c>
      <c r="O40" s="30">
        <f>('TE BE'!$O$40+'TE BF'!$O$40+'TE CVA'!$O$40)*1</f>
        <v>30.376179604110764</v>
      </c>
      <c r="P40" s="30">
        <f>('TE BE'!$Q$40+'TE BF'!$Q$40+'TE CVA'!$Q$40)*1</f>
        <v>211.90413608554445</v>
      </c>
      <c r="Q40" s="30">
        <f>('TE BE'!$S$40+'TE BF'!$S$40+'TE CVA'!$S$40)*1</f>
        <v>0</v>
      </c>
      <c r="R40" s="30">
        <f>('TE BE'!$T$40+'TE BF'!$T$40+'TE CVA'!$T$40)*1</f>
        <v>0</v>
      </c>
      <c r="S40" s="30">
        <f>('TE BE'!$U$40+'TE BF'!$U$40+'TE CVA'!$U$40)*1</f>
        <v>0</v>
      </c>
      <c r="T40" s="30">
        <f>('TE BE'!$W$40+'TE BF'!$W$40+'TE CVA'!$W$40)*1</f>
        <v>0.32357169385823958</v>
      </c>
      <c r="U40" s="30">
        <f>('TE BE'!$Y$40+'TE BF'!$Y$40+'TE CVA'!$Y$40)*1</f>
        <v>6.5756761319588151</v>
      </c>
      <c r="W40" s="30">
        <v>2.3063975178962002</v>
      </c>
      <c r="X40" s="30">
        <v>17.761398416282201</v>
      </c>
      <c r="Y40" s="30">
        <v>0</v>
      </c>
      <c r="Z40" s="30">
        <v>0</v>
      </c>
      <c r="AA40" s="30">
        <v>188.54512658230701</v>
      </c>
      <c r="AB40" s="30">
        <v>0</v>
      </c>
      <c r="AC40" s="30">
        <v>0</v>
      </c>
      <c r="AD40" s="30">
        <v>0</v>
      </c>
      <c r="AE40" s="30">
        <v>-15.6092297789739</v>
      </c>
      <c r="AF40" s="30">
        <v>5.29543954970557</v>
      </c>
    </row>
    <row r="41" spans="1:32" ht="11.25" customHeight="1" x14ac:dyDescent="0.25">
      <c r="A41" s="140"/>
      <c r="B41" s="82" t="s">
        <v>97</v>
      </c>
      <c r="C41" s="82" t="s">
        <v>25</v>
      </c>
      <c r="D41" s="82" t="s">
        <v>25</v>
      </c>
      <c r="E41" s="82" t="s">
        <v>25</v>
      </c>
      <c r="F41" s="82" t="s">
        <v>25</v>
      </c>
      <c r="G41" s="32" t="s">
        <v>96</v>
      </c>
      <c r="H41" s="32" t="s">
        <v>90</v>
      </c>
      <c r="I41" s="32">
        <f>'MERCADO TE'!$U$38</f>
        <v>505530.49800000002</v>
      </c>
      <c r="J41" s="17"/>
      <c r="L41" s="30">
        <f>('TE BE'!$L$41+'TE BF'!$L$41+'TE CVA'!$L$41)*1</f>
        <v>2.6620626617255141</v>
      </c>
      <c r="M41" s="30">
        <f>('TE BE'!$M$41+'TE BF'!$M$41+'TE CVA'!$M$41)*1</f>
        <v>19.297483720173027</v>
      </c>
      <c r="N41" s="30">
        <f>('TE BE'!$N$41+'TE BF'!$N$41+'TE CVA'!$N$41)*1</f>
        <v>0</v>
      </c>
      <c r="O41" s="30">
        <f>('TE BE'!$O$41+'TE BF'!$O$41+'TE CVA'!$O$41)*1</f>
        <v>30.376179604110764</v>
      </c>
      <c r="P41" s="30">
        <f>('TE BE'!$Q$41+'TE BF'!$Q$41+'TE CVA'!$Q$41)*1</f>
        <v>224.61838425067714</v>
      </c>
      <c r="Q41" s="30">
        <f>('TE BE'!$S$41+'TE BF'!$S$41+'TE CVA'!$S$41)*1</f>
        <v>0</v>
      </c>
      <c r="R41" s="30">
        <f>('TE BE'!$T$41+'TE BF'!$T$41+'TE CVA'!$T$41)*1</f>
        <v>0</v>
      </c>
      <c r="S41" s="30">
        <f>('TE BE'!$U$41+'TE BF'!$U$41+'TE CVA'!$U$41)*1</f>
        <v>0</v>
      </c>
      <c r="T41" s="30">
        <f>('TE BE'!$W$41+'TE BF'!$W$41+'TE CVA'!$W$41)*1</f>
        <v>0.33910812512287697</v>
      </c>
      <c r="U41" s="30">
        <f>('TE BE'!$Y$41+'TE BF'!$Y$41+'TE CVA'!$Y$41)*1</f>
        <v>6.5756761319588151</v>
      </c>
      <c r="W41" s="30">
        <v>2.3063975178962002</v>
      </c>
      <c r="X41" s="30">
        <v>17.761398416282201</v>
      </c>
      <c r="Y41" s="30">
        <v>0</v>
      </c>
      <c r="Z41" s="30">
        <v>0</v>
      </c>
      <c r="AA41" s="30">
        <v>199.85783417724599</v>
      </c>
      <c r="AB41" s="30">
        <v>0</v>
      </c>
      <c r="AC41" s="30">
        <v>0</v>
      </c>
      <c r="AD41" s="30">
        <v>0</v>
      </c>
      <c r="AE41" s="30">
        <v>-16.3687818964152</v>
      </c>
      <c r="AF41" s="30">
        <v>5.29543954970557</v>
      </c>
    </row>
    <row r="42" spans="1:32" ht="11.25" customHeight="1" x14ac:dyDescent="0.25">
      <c r="A42" s="140"/>
      <c r="B42" s="82" t="s">
        <v>102</v>
      </c>
      <c r="C42" s="82" t="s">
        <v>25</v>
      </c>
      <c r="D42" s="82" t="s">
        <v>25</v>
      </c>
      <c r="E42" s="82" t="s">
        <v>25</v>
      </c>
      <c r="F42" s="82" t="s">
        <v>25</v>
      </c>
      <c r="G42" s="32" t="s">
        <v>96</v>
      </c>
      <c r="H42" s="32" t="s">
        <v>90</v>
      </c>
      <c r="I42" s="32">
        <f>'MERCADO TE'!$U$39</f>
        <v>0</v>
      </c>
      <c r="J42" s="17"/>
      <c r="L42" s="30">
        <f>('TE BE'!$L$42+'TE BF'!$L$42+'TE CVA'!$L$42)*1</f>
        <v>2.6620626617255141</v>
      </c>
      <c r="M42" s="30">
        <f>('TE BE'!$M$42+'TE BF'!$M$42+'TE CVA'!$M$42)*1</f>
        <v>19.297483720173027</v>
      </c>
      <c r="N42" s="30">
        <f>('TE BE'!$N$42+'TE BF'!$N$42+'TE CVA'!$N$42)*1</f>
        <v>0</v>
      </c>
      <c r="O42" s="30">
        <f>('TE BE'!$O$42+'TE BF'!$O$42+'TE CVA'!$O$42)*1</f>
        <v>30.376179604110764</v>
      </c>
      <c r="P42" s="30">
        <f>('TE BE'!$Q$42+'TE BF'!$Q$42+'TE CVA'!$Q$42)*1</f>
        <v>224.61838425067714</v>
      </c>
      <c r="Q42" s="30">
        <f>('TE BE'!$S$42+'TE BF'!$S$42+'TE CVA'!$S$42)*1</f>
        <v>0</v>
      </c>
      <c r="R42" s="30">
        <f>('TE BE'!$T$42+'TE BF'!$T$42+'TE CVA'!$T$42)*1</f>
        <v>0</v>
      </c>
      <c r="S42" s="30">
        <f>('TE BE'!$U$42+'TE BF'!$U$42+'TE CVA'!$U$42)*1</f>
        <v>0</v>
      </c>
      <c r="T42" s="30">
        <f>('TE BE'!$W$42+'TE BF'!$W$42+'TE CVA'!$W$42)*1</f>
        <v>0.33910812512287697</v>
      </c>
      <c r="U42" s="30">
        <f>('TE BE'!$Y$42+'TE BF'!$Y$42+'TE CVA'!$Y$42)*1</f>
        <v>6.5756761319588151</v>
      </c>
      <c r="W42" s="30">
        <v>2.3063975178962002</v>
      </c>
      <c r="X42" s="30">
        <v>17.761398416282201</v>
      </c>
      <c r="Y42" s="30">
        <v>0</v>
      </c>
      <c r="Z42" s="30">
        <v>0</v>
      </c>
      <c r="AA42" s="30">
        <v>199.85783417724599</v>
      </c>
      <c r="AB42" s="30">
        <v>0</v>
      </c>
      <c r="AC42" s="30">
        <v>0</v>
      </c>
      <c r="AD42" s="30">
        <v>0</v>
      </c>
      <c r="AE42" s="30">
        <v>-16.3687818964152</v>
      </c>
      <c r="AF42" s="30">
        <v>5.29543954970557</v>
      </c>
    </row>
    <row r="43" spans="1:32" ht="11.25" customHeight="1" x14ac:dyDescent="0.25">
      <c r="A43" s="140" t="s">
        <v>47</v>
      </c>
      <c r="B43" s="140" t="s">
        <v>97</v>
      </c>
      <c r="C43" s="140" t="s">
        <v>48</v>
      </c>
      <c r="D43" s="82" t="s">
        <v>49</v>
      </c>
      <c r="E43" s="82" t="s">
        <v>25</v>
      </c>
      <c r="F43" s="82" t="s">
        <v>25</v>
      </c>
      <c r="G43" s="32" t="s">
        <v>96</v>
      </c>
      <c r="H43" s="32" t="s">
        <v>90</v>
      </c>
      <c r="I43" s="32">
        <f>'MERCADO TE'!$U$40</f>
        <v>259602.97000000003</v>
      </c>
      <c r="J43" s="17"/>
      <c r="L43" s="30">
        <f>('TE BE'!$L$43+'TE BF'!$L$43+'TE CVA'!$L$43)*1</f>
        <v>1.4641344639490328</v>
      </c>
      <c r="M43" s="30">
        <f>('TE BE'!$M$43+'TE BF'!$M$43+'TE CVA'!$M$43)*1</f>
        <v>10.613616046095165</v>
      </c>
      <c r="N43" s="30">
        <f>('TE BE'!$N$43+'TE BF'!$N$43+'TE CVA'!$N$43)*1</f>
        <v>0</v>
      </c>
      <c r="O43" s="30">
        <f>('TE BE'!$O$43+'TE BF'!$O$43+'TE CVA'!$O$43)*1</f>
        <v>16.706898782260918</v>
      </c>
      <c r="P43" s="30">
        <f>('TE BE'!$Q$43+'TE BF'!$Q$43+'TE CVA'!$Q$43)*1</f>
        <v>123.54011133787245</v>
      </c>
      <c r="Q43" s="30">
        <f>('TE BE'!$S$43+'TE BF'!$S$43+'TE CVA'!$S$43)*1</f>
        <v>0</v>
      </c>
      <c r="R43" s="30">
        <f>('TE BE'!$T$43+'TE BF'!$T$43+'TE CVA'!$T$43)*1</f>
        <v>0</v>
      </c>
      <c r="S43" s="30">
        <f>('TE BE'!$U$43+'TE BF'!$U$43+'TE CVA'!$U$43)*1</f>
        <v>0</v>
      </c>
      <c r="T43" s="30">
        <f>('TE BE'!$W$43+'TE BF'!$W$43+'TE CVA'!$W$43)*1</f>
        <v>0.18650946881758235</v>
      </c>
      <c r="U43" s="30">
        <f>('TE BE'!$Y$43+'TE BF'!$Y$43+'TE CVA'!$Y$43)*1</f>
        <v>3.6166218725773489</v>
      </c>
      <c r="W43" s="30">
        <v>1.2685186348429101</v>
      </c>
      <c r="X43" s="30">
        <v>9.7687691289551992</v>
      </c>
      <c r="Y43" s="30">
        <v>0</v>
      </c>
      <c r="Z43" s="30">
        <v>0</v>
      </c>
      <c r="AA43" s="30">
        <v>109.921808797485</v>
      </c>
      <c r="AB43" s="30">
        <v>0</v>
      </c>
      <c r="AC43" s="30">
        <v>0</v>
      </c>
      <c r="AD43" s="30">
        <v>0</v>
      </c>
      <c r="AE43" s="30">
        <v>-9.0028300430283608</v>
      </c>
      <c r="AF43" s="30">
        <v>2.91249175233806</v>
      </c>
    </row>
    <row r="44" spans="1:32" ht="11.25" customHeight="1" x14ac:dyDescent="0.25">
      <c r="A44" s="140"/>
      <c r="B44" s="140"/>
      <c r="C44" s="140"/>
      <c r="D44" s="32" t="s">
        <v>106</v>
      </c>
      <c r="E44" s="32" t="s">
        <v>25</v>
      </c>
      <c r="F44" s="32" t="s">
        <v>25</v>
      </c>
      <c r="G44" s="32" t="s">
        <v>96</v>
      </c>
      <c r="H44" s="32" t="s">
        <v>90</v>
      </c>
      <c r="I44" s="32">
        <f>'MERCADO TE'!$U$41</f>
        <v>0</v>
      </c>
      <c r="J44" s="17"/>
      <c r="L44" s="30">
        <f>('TE BE'!$L$44+'TE BF'!$L$44+'TE CVA'!$L$44)*1</f>
        <v>1.5972375970353083</v>
      </c>
      <c r="M44" s="30">
        <f>('TE BE'!$M$44+'TE BF'!$M$44+'TE CVA'!$M$44)*1</f>
        <v>11.578490232103816</v>
      </c>
      <c r="N44" s="30">
        <f>('TE BE'!$N$44+'TE BF'!$N$44+'TE CVA'!$N$44)*1</f>
        <v>0</v>
      </c>
      <c r="O44" s="30">
        <f>('TE BE'!$O$44+'TE BF'!$O$44+'TE CVA'!$O$44)*1</f>
        <v>18.225707762466456</v>
      </c>
      <c r="P44" s="30">
        <f>('TE BE'!$Q$44+'TE BF'!$Q$44+'TE CVA'!$Q$44)*1</f>
        <v>134.77103055040629</v>
      </c>
      <c r="Q44" s="30">
        <f>('TE BE'!$S$44+'TE BF'!$S$44+'TE CVA'!$S$44)*1</f>
        <v>0</v>
      </c>
      <c r="R44" s="30">
        <f>('TE BE'!$T$44+'TE BF'!$T$44+'TE CVA'!$T$44)*1</f>
        <v>0</v>
      </c>
      <c r="S44" s="30">
        <f>('TE BE'!$U$44+'TE BF'!$U$44+'TE CVA'!$U$44)*1</f>
        <v>0</v>
      </c>
      <c r="T44" s="30">
        <f>('TE BE'!$W$44+'TE BF'!$W$44+'TE CVA'!$W$44)*1</f>
        <v>0.20346487507372621</v>
      </c>
      <c r="U44" s="30">
        <f>('TE BE'!$Y$44+'TE BF'!$Y$44+'TE CVA'!$Y$44)*1</f>
        <v>3.9454056791752894</v>
      </c>
      <c r="W44" s="30">
        <v>1.38383851073772</v>
      </c>
      <c r="X44" s="30">
        <v>10.6568390497693</v>
      </c>
      <c r="Y44" s="30">
        <v>0</v>
      </c>
      <c r="Z44" s="30">
        <v>0</v>
      </c>
      <c r="AA44" s="30">
        <v>119.914700506347</v>
      </c>
      <c r="AB44" s="30">
        <v>0</v>
      </c>
      <c r="AC44" s="30">
        <v>0</v>
      </c>
      <c r="AD44" s="30">
        <v>0</v>
      </c>
      <c r="AE44" s="30">
        <v>-9.8212691378491108</v>
      </c>
      <c r="AF44" s="30">
        <v>3.1772637298233399</v>
      </c>
    </row>
    <row r="46" spans="1:32" ht="11.25" customHeight="1" x14ac:dyDescent="0.25">
      <c r="L46" s="142" t="s">
        <v>1261</v>
      </c>
      <c r="M46" s="142"/>
      <c r="N46" s="142"/>
      <c r="O46" s="142"/>
      <c r="P46" s="142"/>
      <c r="Q46" s="142"/>
      <c r="R46" s="142"/>
      <c r="S46" s="142"/>
      <c r="T46" s="142"/>
      <c r="U46" s="142"/>
      <c r="W46" s="142" t="s">
        <v>1262</v>
      </c>
      <c r="X46" s="142"/>
      <c r="Y46" s="142"/>
      <c r="Z46" s="142"/>
      <c r="AA46" s="142"/>
      <c r="AB46" s="142"/>
      <c r="AC46" s="142"/>
      <c r="AD46" s="142"/>
      <c r="AE46" s="142"/>
      <c r="AF46" s="142"/>
    </row>
    <row r="47" spans="1:32" ht="11.25" customHeight="1" x14ac:dyDescent="0.25">
      <c r="L47" s="142" t="s">
        <v>782</v>
      </c>
      <c r="M47" s="142"/>
      <c r="N47" s="142"/>
      <c r="O47" s="142"/>
      <c r="P47" s="142"/>
      <c r="Q47" s="142"/>
      <c r="R47" s="142"/>
      <c r="S47" s="142"/>
      <c r="T47" s="142"/>
      <c r="U47" s="142"/>
      <c r="W47" s="142" t="s">
        <v>782</v>
      </c>
      <c r="X47" s="142"/>
      <c r="Y47" s="142"/>
      <c r="Z47" s="142"/>
      <c r="AA47" s="142"/>
      <c r="AB47" s="142"/>
      <c r="AC47" s="142"/>
      <c r="AD47" s="142"/>
      <c r="AE47" s="142"/>
      <c r="AF47" s="142"/>
    </row>
    <row r="48" spans="1:32" ht="11.25" customHeight="1" x14ac:dyDescent="0.25">
      <c r="L48" s="142" t="s">
        <v>755</v>
      </c>
      <c r="M48" s="142"/>
      <c r="N48" s="142"/>
      <c r="O48" s="142"/>
      <c r="P48" s="83" t="s">
        <v>785</v>
      </c>
      <c r="Q48" s="142" t="s">
        <v>764</v>
      </c>
      <c r="R48" s="142"/>
      <c r="S48" s="142"/>
      <c r="T48" s="83" t="s">
        <v>774</v>
      </c>
      <c r="U48" s="83" t="s">
        <v>777</v>
      </c>
      <c r="W48" s="142" t="s">
        <v>755</v>
      </c>
      <c r="X48" s="142"/>
      <c r="Y48" s="142"/>
      <c r="Z48" s="142"/>
      <c r="AA48" s="83" t="s">
        <v>785</v>
      </c>
      <c r="AB48" s="142" t="s">
        <v>764</v>
      </c>
      <c r="AC48" s="142"/>
      <c r="AD48" s="142"/>
      <c r="AE48" s="83" t="s">
        <v>774</v>
      </c>
      <c r="AF48" s="83" t="s">
        <v>777</v>
      </c>
    </row>
    <row r="49" spans="1:32" ht="11.25" customHeight="1" x14ac:dyDescent="0.25">
      <c r="L49" s="83" t="s">
        <v>757</v>
      </c>
      <c r="M49" s="83" t="s">
        <v>783</v>
      </c>
      <c r="N49" s="83" t="s">
        <v>784</v>
      </c>
      <c r="O49" s="83" t="s">
        <v>842</v>
      </c>
      <c r="P49" s="83" t="s">
        <v>786</v>
      </c>
      <c r="Q49" s="83" t="s">
        <v>787</v>
      </c>
      <c r="R49" s="83" t="s">
        <v>788</v>
      </c>
      <c r="S49" s="83" t="s">
        <v>789</v>
      </c>
      <c r="T49" s="83" t="s">
        <v>775</v>
      </c>
      <c r="U49" s="83" t="s">
        <v>790</v>
      </c>
      <c r="W49" s="83" t="s">
        <v>757</v>
      </c>
      <c r="X49" s="83" t="s">
        <v>783</v>
      </c>
      <c r="Y49" s="83" t="s">
        <v>784</v>
      </c>
      <c r="Z49" s="83" t="s">
        <v>842</v>
      </c>
      <c r="AA49" s="83" t="s">
        <v>786</v>
      </c>
      <c r="AB49" s="83" t="s">
        <v>787</v>
      </c>
      <c r="AC49" s="83" t="s">
        <v>788</v>
      </c>
      <c r="AD49" s="83" t="s">
        <v>789</v>
      </c>
      <c r="AE49" s="83" t="s">
        <v>775</v>
      </c>
      <c r="AF49" s="83" t="s">
        <v>790</v>
      </c>
    </row>
    <row r="50" spans="1:32" ht="11.25" customHeight="1" x14ac:dyDescent="0.25">
      <c r="A50" s="9" t="s">
        <v>41</v>
      </c>
      <c r="B50" s="9" t="s">
        <v>1263</v>
      </c>
      <c r="C50" s="9" t="s">
        <v>1264</v>
      </c>
      <c r="D50" s="9" t="s">
        <v>1265</v>
      </c>
      <c r="E50" s="9" t="s">
        <v>1266</v>
      </c>
      <c r="F50" s="9" t="s">
        <v>1267</v>
      </c>
      <c r="G50" s="9" t="s">
        <v>1268</v>
      </c>
      <c r="L50" s="30">
        <f>$I$5*$L$5</f>
        <v>8434.0267867586263</v>
      </c>
      <c r="M50" s="30">
        <f>$I$5*$M$5</f>
        <v>61138.866846763791</v>
      </c>
      <c r="N50" s="30">
        <f>$I$5*$N$5</f>
        <v>0</v>
      </c>
      <c r="O50" s="30">
        <f>$I$5*$O$5</f>
        <v>96238.723507131843</v>
      </c>
      <c r="P50" s="30">
        <f>$I$5*$P$5</f>
        <v>1154740.9906409238</v>
      </c>
      <c r="Q50" s="30">
        <f>$I$5*$Q$5</f>
        <v>0</v>
      </c>
      <c r="R50" s="30">
        <f>$I$5*$R$5</f>
        <v>0</v>
      </c>
      <c r="S50" s="30">
        <f>$I$5*$S$5</f>
        <v>0</v>
      </c>
      <c r="T50" s="30">
        <f>$I$5*$T$5</f>
        <v>1615.825399139236</v>
      </c>
      <c r="U50" s="30">
        <f>$I$5*$U$5</f>
        <v>20833.254391555878</v>
      </c>
      <c r="W50" s="30">
        <f>$I$5*$W$5</f>
        <v>7307.1978081242787</v>
      </c>
      <c r="X50" s="30">
        <f>$I$5*$X$5</f>
        <v>56272.195304417757</v>
      </c>
      <c r="Y50" s="30">
        <f>$I$5*$Y$5</f>
        <v>0</v>
      </c>
      <c r="Z50" s="30">
        <f>$I$5*$Z$5</f>
        <v>0</v>
      </c>
      <c r="AA50" s="30">
        <f>$I$5*$AA$5</f>
        <v>1027449.4413940033</v>
      </c>
      <c r="AB50" s="30">
        <f>$I$5*$AB$5</f>
        <v>0</v>
      </c>
      <c r="AC50" s="30">
        <f>$I$5*$AC$5</f>
        <v>0</v>
      </c>
      <c r="AD50" s="30">
        <f>$I$5*$AD$5</f>
        <v>0</v>
      </c>
      <c r="AE50" s="30">
        <f>$I$5*$AE$5</f>
        <v>-78330.859723129179</v>
      </c>
      <c r="AF50" s="30">
        <f>$I$5*$AF$5</f>
        <v>16777.170444563679</v>
      </c>
    </row>
    <row r="51" spans="1:32" ht="11.25" customHeight="1" x14ac:dyDescent="0.25">
      <c r="A51" s="9" t="s">
        <v>41</v>
      </c>
      <c r="B51" s="9" t="s">
        <v>1263</v>
      </c>
      <c r="C51" s="9" t="s">
        <v>1264</v>
      </c>
      <c r="D51" s="9" t="s">
        <v>1265</v>
      </c>
      <c r="E51" s="9" t="s">
        <v>1266</v>
      </c>
      <c r="F51" s="9" t="s">
        <v>1267</v>
      </c>
      <c r="G51" s="9" t="s">
        <v>1269</v>
      </c>
      <c r="L51" s="30">
        <f>$I$6*$L$6</f>
        <v>287265.43659387471</v>
      </c>
      <c r="M51" s="30">
        <f>$I$6*$M$6</f>
        <v>2082407.8132125824</v>
      </c>
      <c r="N51" s="30">
        <f>$I$6*$N$6</f>
        <v>0</v>
      </c>
      <c r="O51" s="30">
        <f>$I$6*$O$6</f>
        <v>3277919.2697037174</v>
      </c>
      <c r="P51" s="30">
        <f>$I$6*$P$6</f>
        <v>22866754.80779437</v>
      </c>
      <c r="Q51" s="30">
        <f>$I$6*$Q$6</f>
        <v>0</v>
      </c>
      <c r="R51" s="30">
        <f>$I$6*$R$6</f>
        <v>0</v>
      </c>
      <c r="S51" s="30">
        <f>$I$6*$S$6</f>
        <v>0</v>
      </c>
      <c r="T51" s="30">
        <f>$I$6*$T$6</f>
        <v>34916.895549467336</v>
      </c>
      <c r="U51" s="30">
        <f>$I$6*$U$6</f>
        <v>709586.78099735954</v>
      </c>
      <c r="W51" s="30">
        <f>$I$6*$W$6</f>
        <v>248885.30967487663</v>
      </c>
      <c r="X51" s="30">
        <f>$I$6*$X$6</f>
        <v>1916647.5470054711</v>
      </c>
      <c r="Y51" s="30">
        <f>$I$6*$Y$6</f>
        <v>0</v>
      </c>
      <c r="Z51" s="30">
        <f>$I$6*$Z$6</f>
        <v>0</v>
      </c>
      <c r="AA51" s="30">
        <f>$I$6*$AA$6</f>
        <v>20346064.307218965</v>
      </c>
      <c r="AB51" s="30">
        <f>$I$6*$AB$6</f>
        <v>0</v>
      </c>
      <c r="AC51" s="30">
        <f>$I$6*$AC$6</f>
        <v>0</v>
      </c>
      <c r="AD51" s="30">
        <f>$I$6*$AD$6</f>
        <v>0</v>
      </c>
      <c r="AE51" s="30">
        <f>$I$6*$AE$6</f>
        <v>-1684405.2064666965</v>
      </c>
      <c r="AF51" s="30">
        <f>$I$6*$AF$6</f>
        <v>571435.36704602675</v>
      </c>
    </row>
    <row r="52" spans="1:32" ht="11.25" customHeight="1" x14ac:dyDescent="0.25">
      <c r="A52" s="9" t="s">
        <v>33</v>
      </c>
      <c r="B52" s="9" t="s">
        <v>1270</v>
      </c>
      <c r="C52" s="9" t="s">
        <v>1271</v>
      </c>
      <c r="D52" s="9" t="s">
        <v>1272</v>
      </c>
      <c r="E52" s="9" t="s">
        <v>1273</v>
      </c>
      <c r="F52" s="9" t="s">
        <v>1274</v>
      </c>
      <c r="G52" s="9" t="s">
        <v>1275</v>
      </c>
      <c r="L52" s="30">
        <f>$I$7*$L$7</f>
        <v>125876.54338512123</v>
      </c>
      <c r="M52" s="30">
        <f>$I$7*$M$7</f>
        <v>912488.11744781386</v>
      </c>
      <c r="N52" s="30">
        <f>$I$7*$N$7</f>
        <v>0</v>
      </c>
      <c r="O52" s="30">
        <f>$I$7*$O$7</f>
        <v>1436348.041233802</v>
      </c>
      <c r="P52" s="30">
        <f>$I$7*$P$7</f>
        <v>17234330.419153556</v>
      </c>
      <c r="Q52" s="30">
        <f>$I$7*$Q$7</f>
        <v>0</v>
      </c>
      <c r="R52" s="30">
        <f>$I$7*$R$7</f>
        <v>0</v>
      </c>
      <c r="S52" s="30">
        <f>$I$7*$S$7</f>
        <v>0</v>
      </c>
      <c r="T52" s="30">
        <f>$I$7*$T$7</f>
        <v>24115.943795300616</v>
      </c>
      <c r="U52" s="30">
        <f>$I$7*$U$7</f>
        <v>310933.09478090965</v>
      </c>
      <c r="W52" s="30">
        <f>$I$7*$W$7</f>
        <v>109058.79542167294</v>
      </c>
      <c r="X52" s="30">
        <f>$I$7*$X$7</f>
        <v>839853.79851216218</v>
      </c>
      <c r="Y52" s="30">
        <f>$I$7*$Y$7</f>
        <v>0</v>
      </c>
      <c r="Z52" s="30">
        <f>$I$7*$Z$7</f>
        <v>0</v>
      </c>
      <c r="AA52" s="30">
        <f>$I$7*$AA$7</f>
        <v>15334523.763749601</v>
      </c>
      <c r="AB52" s="30">
        <f>$I$7*$AB$7</f>
        <v>0</v>
      </c>
      <c r="AC52" s="30">
        <f>$I$7*$AC$7</f>
        <v>0</v>
      </c>
      <c r="AD52" s="30">
        <f>$I$7*$AD$7</f>
        <v>0</v>
      </c>
      <c r="AE52" s="30">
        <f>$I$7*$AE$7</f>
        <v>-1169075.9481357692</v>
      </c>
      <c r="AF52" s="30">
        <f>$I$7*$AF$7</f>
        <v>250396.67014815385</v>
      </c>
    </row>
    <row r="53" spans="1:32" ht="11.25" customHeight="1" x14ac:dyDescent="0.25">
      <c r="A53" s="9" t="s">
        <v>33</v>
      </c>
      <c r="B53" s="9" t="s">
        <v>1270</v>
      </c>
      <c r="C53" s="9" t="s">
        <v>1271</v>
      </c>
      <c r="D53" s="9" t="s">
        <v>1272</v>
      </c>
      <c r="E53" s="9" t="s">
        <v>1273</v>
      </c>
      <c r="F53" s="9" t="s">
        <v>1274</v>
      </c>
      <c r="G53" s="9" t="s">
        <v>1276</v>
      </c>
      <c r="L53" s="30">
        <f>$I$8*$L$8</f>
        <v>1762274.735315325</v>
      </c>
      <c r="M53" s="30">
        <f>$I$8*$M$8</f>
        <v>12774856.318812765</v>
      </c>
      <c r="N53" s="30">
        <f>$I$8*$N$8</f>
        <v>0</v>
      </c>
      <c r="O53" s="30">
        <f>$I$8*$O$8</f>
        <v>20108908.269284263</v>
      </c>
      <c r="P53" s="30">
        <f>$I$8*$P$8</f>
        <v>140279682.63163304</v>
      </c>
      <c r="Q53" s="30">
        <f>$I$8*$Q$8</f>
        <v>0</v>
      </c>
      <c r="R53" s="30">
        <f>$I$8*$R$8</f>
        <v>0</v>
      </c>
      <c r="S53" s="30">
        <f>$I$8*$S$8</f>
        <v>0</v>
      </c>
      <c r="T53" s="30">
        <f>$I$8*$T$8</f>
        <v>214203.1550752265</v>
      </c>
      <c r="U53" s="30">
        <f>$I$8*$U$8</f>
        <v>4353071.0533521911</v>
      </c>
      <c r="W53" s="30">
        <f>$I$8*$W$8</f>
        <v>1526825.8459205048</v>
      </c>
      <c r="X53" s="30">
        <f>$I$8*$X$8</f>
        <v>11757974.04881341</v>
      </c>
      <c r="Y53" s="30">
        <f>$I$8*$Y$8</f>
        <v>0</v>
      </c>
      <c r="Z53" s="30">
        <f>$I$8*$Z$8</f>
        <v>0</v>
      </c>
      <c r="AA53" s="30">
        <f>$I$8*$AA$8</f>
        <v>124816112.64081122</v>
      </c>
      <c r="AB53" s="30">
        <f>$I$8*$AB$8</f>
        <v>0</v>
      </c>
      <c r="AC53" s="30">
        <f>$I$8*$AC$8</f>
        <v>0</v>
      </c>
      <c r="AD53" s="30">
        <f>$I$8*$AD$8</f>
        <v>0</v>
      </c>
      <c r="AE53" s="30">
        <f>$I$8*$AE$8</f>
        <v>-10333247.099220105</v>
      </c>
      <c r="AF53" s="30">
        <f>$I$8*$AF$8</f>
        <v>3505559.6042156252</v>
      </c>
    </row>
    <row r="54" spans="1:32" ht="11.25" customHeight="1" x14ac:dyDescent="0.25">
      <c r="A54" s="9" t="s">
        <v>33</v>
      </c>
      <c r="B54" s="9" t="s">
        <v>1277</v>
      </c>
      <c r="C54" s="9" t="s">
        <v>1278</v>
      </c>
      <c r="D54" s="9" t="s">
        <v>1279</v>
      </c>
      <c r="E54" s="9" t="s">
        <v>1280</v>
      </c>
      <c r="F54" s="9" t="s">
        <v>1281</v>
      </c>
      <c r="G54" s="9" t="s">
        <v>1282</v>
      </c>
      <c r="L54" s="30">
        <f>$I$9*$L$9</f>
        <v>0</v>
      </c>
      <c r="M54" s="30">
        <f>$I$9*$M$9</f>
        <v>0</v>
      </c>
      <c r="N54" s="30">
        <f>$I$9*$N$9</f>
        <v>0</v>
      </c>
      <c r="O54" s="30">
        <f>$I$9*$O$9</f>
        <v>0</v>
      </c>
      <c r="P54" s="30">
        <f>$I$9*$P$9</f>
        <v>0</v>
      </c>
      <c r="Q54" s="30">
        <f>$I$9*$Q$9</f>
        <v>0</v>
      </c>
      <c r="R54" s="30">
        <f>$I$9*$R$9</f>
        <v>0</v>
      </c>
      <c r="S54" s="30">
        <f>$I$9*$S$9</f>
        <v>0</v>
      </c>
      <c r="T54" s="30">
        <f>$I$9*$T$9</f>
        <v>0</v>
      </c>
      <c r="U54" s="30">
        <f>$I$9*$U$9</f>
        <v>0</v>
      </c>
      <c r="W54" s="30">
        <f>$I$9*$W$9</f>
        <v>0</v>
      </c>
      <c r="X54" s="30">
        <f>$I$9*$X$9</f>
        <v>0</v>
      </c>
      <c r="Y54" s="30">
        <f>$I$9*$Y$9</f>
        <v>0</v>
      </c>
      <c r="Z54" s="30">
        <f>$I$9*$Z$9</f>
        <v>0</v>
      </c>
      <c r="AA54" s="30">
        <f>$I$9*$AA$9</f>
        <v>0</v>
      </c>
      <c r="AB54" s="30">
        <f>$I$9*$AB$9</f>
        <v>0</v>
      </c>
      <c r="AC54" s="30">
        <f>$I$9*$AC$9</f>
        <v>0</v>
      </c>
      <c r="AD54" s="30">
        <f>$I$9*$AD$9</f>
        <v>0</v>
      </c>
      <c r="AE54" s="30">
        <f>$I$9*$AE$9</f>
        <v>0</v>
      </c>
      <c r="AF54" s="30">
        <f>$I$9*$AF$9</f>
        <v>0</v>
      </c>
    </row>
    <row r="55" spans="1:32" ht="11.25" customHeight="1" x14ac:dyDescent="0.25">
      <c r="A55" s="9" t="s">
        <v>22</v>
      </c>
      <c r="B55" s="9" t="s">
        <v>1283</v>
      </c>
      <c r="C55" s="9" t="s">
        <v>1284</v>
      </c>
      <c r="D55" s="9" t="s">
        <v>1285</v>
      </c>
      <c r="E55" s="9" t="s">
        <v>1286</v>
      </c>
      <c r="F55" s="9" t="s">
        <v>1287</v>
      </c>
      <c r="G55" s="9" t="s">
        <v>1288</v>
      </c>
      <c r="L55" s="30">
        <f>$I$10*$L$10</f>
        <v>134.22119940420043</v>
      </c>
      <c r="M55" s="30">
        <f>$I$10*$M$10</f>
        <v>972.97912917112421</v>
      </c>
      <c r="N55" s="30">
        <f>$I$10*$N$10</f>
        <v>0</v>
      </c>
      <c r="O55" s="30">
        <f>$I$10*$O$10</f>
        <v>1531.5669756392649</v>
      </c>
      <c r="P55" s="30">
        <f>$I$10*$P$10</f>
        <v>18376.835251265024</v>
      </c>
      <c r="Q55" s="30">
        <f>$I$10*$Q$10</f>
        <v>0</v>
      </c>
      <c r="R55" s="30">
        <f>$I$10*$R$10</f>
        <v>0</v>
      </c>
      <c r="S55" s="30">
        <f>$I$10*$S$10</f>
        <v>0</v>
      </c>
      <c r="T55" s="30">
        <f>$I$10*$T$10</f>
        <v>25.714647176688654</v>
      </c>
      <c r="U55" s="30">
        <f>$I$10*$U$10</f>
        <v>331.54559057336354</v>
      </c>
      <c r="W55" s="30">
        <f>$I$10*$W$10</f>
        <v>116.28856285232644</v>
      </c>
      <c r="X55" s="30">
        <f>$I$10*$X$10</f>
        <v>895.52970814894877</v>
      </c>
      <c r="Y55" s="30">
        <f>$I$10*$Y$10</f>
        <v>0</v>
      </c>
      <c r="Z55" s="30">
        <f>$I$10*$Z$10</f>
        <v>0</v>
      </c>
      <c r="AA55" s="30">
        <f>$I$10*$AA$10</f>
        <v>16351.085885521459</v>
      </c>
      <c r="AB55" s="30">
        <f>$I$10*$AB$10</f>
        <v>0</v>
      </c>
      <c r="AC55" s="30">
        <f>$I$10*$AC$10</f>
        <v>0</v>
      </c>
      <c r="AD55" s="30">
        <f>$I$10*$AD$10</f>
        <v>0</v>
      </c>
      <c r="AE55" s="30">
        <f>$I$10*$AE$10</f>
        <v>-1246.5767785925182</v>
      </c>
      <c r="AF55" s="30">
        <f>$I$10*$AF$10</f>
        <v>266.9960620961549</v>
      </c>
    </row>
    <row r="56" spans="1:32" ht="11.25" customHeight="1" x14ac:dyDescent="0.25">
      <c r="A56" s="9" t="s">
        <v>22</v>
      </c>
      <c r="B56" s="9" t="s">
        <v>1283</v>
      </c>
      <c r="C56" s="9" t="s">
        <v>1284</v>
      </c>
      <c r="D56" s="9" t="s">
        <v>1285</v>
      </c>
      <c r="E56" s="9" t="s">
        <v>1286</v>
      </c>
      <c r="F56" s="9" t="s">
        <v>1287</v>
      </c>
      <c r="G56" s="9" t="s">
        <v>1289</v>
      </c>
      <c r="L56" s="30">
        <f>$I$11*$L$11</f>
        <v>92.746263134516923</v>
      </c>
      <c r="M56" s="30">
        <f>$I$11*$M$11</f>
        <v>672.32433281082831</v>
      </c>
      <c r="N56" s="30">
        <f>$I$11*$N$11</f>
        <v>0</v>
      </c>
      <c r="O56" s="30">
        <f>$I$11*$O$11</f>
        <v>1058.3060974072191</v>
      </c>
      <c r="P56" s="30">
        <f>$I$11*$P$11</f>
        <v>7382.7401012203691</v>
      </c>
      <c r="Q56" s="30">
        <f>$I$11*$Q$11</f>
        <v>0</v>
      </c>
      <c r="R56" s="30">
        <f>$I$11*$R$11</f>
        <v>0</v>
      </c>
      <c r="S56" s="30">
        <f>$I$11*$S$11</f>
        <v>0</v>
      </c>
      <c r="T56" s="30">
        <f>$I$11*$T$11</f>
        <v>11.273237814021067</v>
      </c>
      <c r="U56" s="30">
        <f>$I$11*$U$11</f>
        <v>229.09655643744514</v>
      </c>
      <c r="W56" s="30">
        <f>$I$11*$W$11</f>
        <v>80.354889523503616</v>
      </c>
      <c r="X56" s="30">
        <f>$I$11*$X$11</f>
        <v>618.80712082327193</v>
      </c>
      <c r="Y56" s="30">
        <f>$I$11*$Y$11</f>
        <v>0</v>
      </c>
      <c r="Z56" s="30">
        <f>$I$11*$Z$11</f>
        <v>0</v>
      </c>
      <c r="AA56" s="30">
        <f>$I$11*$AA$11</f>
        <v>6568.9122101275771</v>
      </c>
      <c r="AB56" s="30">
        <f>$I$11*$AB$11</f>
        <v>0</v>
      </c>
      <c r="AC56" s="30">
        <f>$I$11*$AC$11</f>
        <v>0</v>
      </c>
      <c r="AD56" s="30">
        <f>$I$11*$AD$11</f>
        <v>0</v>
      </c>
      <c r="AE56" s="30">
        <f>$I$11*$AE$11</f>
        <v>-543.8255654994507</v>
      </c>
      <c r="AF56" s="30">
        <f>$I$11*$AF$11</f>
        <v>184.49311391174209</v>
      </c>
    </row>
    <row r="57" spans="1:32" ht="11.25" customHeight="1" x14ac:dyDescent="0.25">
      <c r="A57" s="9" t="s">
        <v>22</v>
      </c>
      <c r="B57" s="9" t="s">
        <v>1283</v>
      </c>
      <c r="C57" s="9" t="s">
        <v>1284</v>
      </c>
      <c r="D57" s="9" t="s">
        <v>1285</v>
      </c>
      <c r="E57" s="9" t="s">
        <v>1286</v>
      </c>
      <c r="F57" s="9" t="s">
        <v>1287</v>
      </c>
      <c r="G57" s="9" t="s">
        <v>1290</v>
      </c>
      <c r="L57" s="30">
        <f>$I$12*$L$12</f>
        <v>1803.321177992789</v>
      </c>
      <c r="M57" s="30">
        <f>$I$12*$M$12</f>
        <v>13072.40493430101</v>
      </c>
      <c r="N57" s="30">
        <f>$I$12*$N$12</f>
        <v>0</v>
      </c>
      <c r="O57" s="30">
        <f>$I$12*$O$12</f>
        <v>20577.279706518693</v>
      </c>
      <c r="P57" s="30">
        <f>$I$12*$P$12</f>
        <v>143547.04034638908</v>
      </c>
      <c r="Q57" s="30">
        <f>$I$12*$Q$12</f>
        <v>0</v>
      </c>
      <c r="R57" s="30">
        <f>$I$12*$R$12</f>
        <v>0</v>
      </c>
      <c r="S57" s="30">
        <f>$I$12*$S$12</f>
        <v>0</v>
      </c>
      <c r="T57" s="30">
        <f>$I$12*$T$12</f>
        <v>219.19231899497936</v>
      </c>
      <c r="U57" s="30">
        <f>$I$12*$U$12</f>
        <v>4454.4616469308803</v>
      </c>
      <c r="W57" s="30">
        <f>$I$12*$W$12</f>
        <v>1562.3882745856545</v>
      </c>
      <c r="X57" s="30">
        <f>$I$12*$X$12</f>
        <v>12031.837708165807</v>
      </c>
      <c r="Y57" s="30">
        <f>$I$12*$Y$12</f>
        <v>0</v>
      </c>
      <c r="Z57" s="30">
        <f>$I$12*$Z$12</f>
        <v>0</v>
      </c>
      <c r="AA57" s="30">
        <f>$I$12*$AA$12</f>
        <v>127723.2969237535</v>
      </c>
      <c r="AB57" s="30">
        <f>$I$12*$AB$12</f>
        <v>0</v>
      </c>
      <c r="AC57" s="30">
        <f>$I$12*$AC$12</f>
        <v>0</v>
      </c>
      <c r="AD57" s="30">
        <f>$I$12*$AD$12</f>
        <v>0</v>
      </c>
      <c r="AE57" s="30">
        <f>$I$12*$AE$12</f>
        <v>-10573.926390723604</v>
      </c>
      <c r="AF57" s="30">
        <f>$I$12*$AF$12</f>
        <v>3587.2101825637983</v>
      </c>
    </row>
    <row r="58" spans="1:32" ht="11.25" customHeight="1" x14ac:dyDescent="0.25">
      <c r="A58" s="9" t="s">
        <v>22</v>
      </c>
      <c r="B58" s="9" t="s">
        <v>1291</v>
      </c>
      <c r="C58" s="9" t="s">
        <v>1292</v>
      </c>
      <c r="D58" s="9" t="s">
        <v>1293</v>
      </c>
      <c r="E58" s="9" t="s">
        <v>1294</v>
      </c>
      <c r="F58" s="9" t="s">
        <v>1295</v>
      </c>
      <c r="G58" s="9" t="s">
        <v>1296</v>
      </c>
      <c r="L58" s="30">
        <f>$I$13*$L$13</f>
        <v>3101320.7701784917</v>
      </c>
      <c r="M58" s="30">
        <f>$I$13*$M$13</f>
        <v>22481697.344705414</v>
      </c>
      <c r="N58" s="30">
        <f>$I$13*$N$13</f>
        <v>0</v>
      </c>
      <c r="O58" s="30">
        <f>$I$13*$O$13</f>
        <v>35388451.999787904</v>
      </c>
      <c r="P58" s="30">
        <f>$I$13*$P$13</f>
        <v>261681916.97975379</v>
      </c>
      <c r="Q58" s="30">
        <f>$I$13*$Q$13</f>
        <v>0</v>
      </c>
      <c r="R58" s="30">
        <f>$I$13*$R$13</f>
        <v>0</v>
      </c>
      <c r="S58" s="30">
        <f>$I$13*$S$13</f>
        <v>0</v>
      </c>
      <c r="T58" s="30">
        <f>$I$13*$T$13</f>
        <v>395063.22931488696</v>
      </c>
      <c r="U58" s="30">
        <f>$I$13*$U$13</f>
        <v>7660706.5863702018</v>
      </c>
      <c r="W58" s="30">
        <f>$I$13*$W$13</f>
        <v>2686968.5035525057</v>
      </c>
      <c r="X58" s="30">
        <f>$I$13*$X$13</f>
        <v>20692147.712303199</v>
      </c>
      <c r="Y58" s="30">
        <f>$I$13*$Y$13</f>
        <v>0</v>
      </c>
      <c r="Z58" s="30">
        <f>$I$13*$Z$13</f>
        <v>0</v>
      </c>
      <c r="AA58" s="30">
        <f>$I$13*$AA$13</f>
        <v>232835710.86753476</v>
      </c>
      <c r="AB58" s="30">
        <f>$I$13*$AB$13</f>
        <v>0</v>
      </c>
      <c r="AC58" s="30">
        <f>$I$13*$AC$13</f>
        <v>0</v>
      </c>
      <c r="AD58" s="30">
        <f>$I$13*$AD$13</f>
        <v>0</v>
      </c>
      <c r="AE58" s="30">
        <f>$I$13*$AE$13</f>
        <v>-19069740.170942873</v>
      </c>
      <c r="AF58" s="30">
        <f>$I$13*$AF$13</f>
        <v>6169222.4224659847</v>
      </c>
    </row>
    <row r="59" spans="1:32" ht="11.25" customHeight="1" x14ac:dyDescent="0.25">
      <c r="A59" s="9" t="s">
        <v>22</v>
      </c>
      <c r="B59" s="9" t="s">
        <v>1291</v>
      </c>
      <c r="C59" s="9" t="s">
        <v>1292</v>
      </c>
      <c r="D59" s="9" t="s">
        <v>1297</v>
      </c>
      <c r="E59" s="9" t="s">
        <v>1298</v>
      </c>
      <c r="F59" s="9" t="s">
        <v>1299</v>
      </c>
      <c r="G59" s="9" t="s">
        <v>1300</v>
      </c>
      <c r="L59" s="30">
        <f>$I$14*$L$14</f>
        <v>125145.85616643057</v>
      </c>
      <c r="M59" s="30">
        <f>$I$14*$M$14</f>
        <v>907191.31324032682</v>
      </c>
      <c r="N59" s="30">
        <f>$I$14*$N$14</f>
        <v>0</v>
      </c>
      <c r="O59" s="30">
        <f>$I$14*$O$14</f>
        <v>1428010.3388541783</v>
      </c>
      <c r="P59" s="30">
        <f>$I$14*$P$14</f>
        <v>10559503.505282141</v>
      </c>
      <c r="Q59" s="30">
        <f>$I$14*$Q$14</f>
        <v>0</v>
      </c>
      <c r="R59" s="30">
        <f>$I$14*$R$14</f>
        <v>0</v>
      </c>
      <c r="S59" s="30">
        <f>$I$14*$S$14</f>
        <v>0</v>
      </c>
      <c r="T59" s="30">
        <f>$I$14*$T$14</f>
        <v>15941.764730657302</v>
      </c>
      <c r="U59" s="30">
        <f>$I$14*$U$14</f>
        <v>309128.19267512782</v>
      </c>
      <c r="W59" s="30">
        <f>$I$14*$W$14</f>
        <v>108425.73174072489</v>
      </c>
      <c r="X59" s="30">
        <f>$I$14*$X$14</f>
        <v>834978.62145662226</v>
      </c>
      <c r="Y59" s="30">
        <f>$I$14*$Y$14</f>
        <v>0</v>
      </c>
      <c r="Z59" s="30">
        <f>$I$14*$Z$14</f>
        <v>0</v>
      </c>
      <c r="AA59" s="30">
        <f>$I$14*$AA$14</f>
        <v>9395488.742352834</v>
      </c>
      <c r="AB59" s="30">
        <f>$I$14*$AB$14</f>
        <v>0</v>
      </c>
      <c r="AC59" s="30">
        <f>$I$14*$AC$14</f>
        <v>0</v>
      </c>
      <c r="AD59" s="30">
        <f>$I$14*$AD$14</f>
        <v>0</v>
      </c>
      <c r="AE59" s="30">
        <f>$I$14*$AE$14</f>
        <v>-769510.5206504222</v>
      </c>
      <c r="AF59" s="30">
        <f>$I$14*$AF$14</f>
        <v>248943.16942784752</v>
      </c>
    </row>
    <row r="60" spans="1:32" ht="11.25" customHeight="1" x14ac:dyDescent="0.25">
      <c r="A60" s="9" t="s">
        <v>22</v>
      </c>
      <c r="B60" s="9" t="s">
        <v>1291</v>
      </c>
      <c r="C60" s="9" t="s">
        <v>1292</v>
      </c>
      <c r="D60" s="9" t="s">
        <v>1301</v>
      </c>
      <c r="E60" s="9" t="s">
        <v>1302</v>
      </c>
      <c r="F60" s="9" t="s">
        <v>1303</v>
      </c>
      <c r="G60" s="9" t="s">
        <v>1304</v>
      </c>
      <c r="L60" s="30">
        <f>$I$15*$L$15</f>
        <v>331312.36250547413</v>
      </c>
      <c r="M60" s="30">
        <f>$I$15*$M$15</f>
        <v>2401707.1474933922</v>
      </c>
      <c r="N60" s="30">
        <f>$I$15*$N$15</f>
        <v>0</v>
      </c>
      <c r="O60" s="30">
        <f>$I$15*$O$15</f>
        <v>3780528.5252020247</v>
      </c>
      <c r="P60" s="30">
        <f>$I$15*$P$15</f>
        <v>27955332.764412425</v>
      </c>
      <c r="Q60" s="30">
        <f>$I$15*$Q$15</f>
        <v>0</v>
      </c>
      <c r="R60" s="30">
        <f>$I$15*$R$15</f>
        <v>0</v>
      </c>
      <c r="S60" s="30">
        <f>$I$15*$S$15</f>
        <v>0</v>
      </c>
      <c r="T60" s="30">
        <f>$I$15*$T$15</f>
        <v>42204.383726428903</v>
      </c>
      <c r="U60" s="30">
        <f>$I$15*$U$15</f>
        <v>818388.99800277094</v>
      </c>
      <c r="W60" s="30">
        <f>$I$15*$W$15</f>
        <v>287047.3417164596</v>
      </c>
      <c r="X60" s="30">
        <f>$I$15*$X$15</f>
        <v>2210530.561622892</v>
      </c>
      <c r="Y60" s="30">
        <f>$I$15*$Y$15</f>
        <v>0</v>
      </c>
      <c r="Z60" s="30">
        <f>$I$15*$Z$15</f>
        <v>0</v>
      </c>
      <c r="AA60" s="30">
        <f>$I$15*$AA$15</f>
        <v>24873708.706605125</v>
      </c>
      <c r="AB60" s="30">
        <f>$I$15*$AB$15</f>
        <v>0</v>
      </c>
      <c r="AC60" s="30">
        <f>$I$15*$AC$15</f>
        <v>0</v>
      </c>
      <c r="AD60" s="30">
        <f>$I$15*$AD$15</f>
        <v>0</v>
      </c>
      <c r="AE60" s="30">
        <f>$I$15*$AE$15</f>
        <v>-2037209.671812502</v>
      </c>
      <c r="AF60" s="30">
        <f>$I$15*$AF$15</f>
        <v>659054.57934662874</v>
      </c>
    </row>
    <row r="61" spans="1:32" ht="11.25" customHeight="1" x14ac:dyDescent="0.25">
      <c r="A61" s="9" t="s">
        <v>22</v>
      </c>
      <c r="B61" s="9" t="s">
        <v>1291</v>
      </c>
      <c r="C61" s="9" t="s">
        <v>1292</v>
      </c>
      <c r="D61" s="9" t="s">
        <v>1305</v>
      </c>
      <c r="E61" s="9" t="s">
        <v>1306</v>
      </c>
      <c r="F61" s="9" t="s">
        <v>1307</v>
      </c>
      <c r="G61" s="9" t="s">
        <v>1308</v>
      </c>
      <c r="L61" s="30">
        <f>$I$16*$L$16</f>
        <v>194822.54637958825</v>
      </c>
      <c r="M61" s="30">
        <f>$I$16*$M$16</f>
        <v>1412282.6525224787</v>
      </c>
      <c r="N61" s="30">
        <f>$I$16*$N$16</f>
        <v>0</v>
      </c>
      <c r="O61" s="30">
        <f>$I$16*$O$16</f>
        <v>2223074.8903260697</v>
      </c>
      <c r="P61" s="30">
        <f>$I$16*$P$16</f>
        <v>16438653.459427059</v>
      </c>
      <c r="Q61" s="30">
        <f>$I$16*$Q$16</f>
        <v>0</v>
      </c>
      <c r="R61" s="30">
        <f>$I$16*$R$16</f>
        <v>0</v>
      </c>
      <c r="S61" s="30">
        <f>$I$16*$S$16</f>
        <v>0</v>
      </c>
      <c r="T61" s="30">
        <f>$I$16*$T$16</f>
        <v>24817.563231822598</v>
      </c>
      <c r="U61" s="30">
        <f>$I$16*$U$16</f>
        <v>481239.59913299419</v>
      </c>
      <c r="W61" s="30">
        <f>$I$16*$W$16</f>
        <v>168793.26090274841</v>
      </c>
      <c r="X61" s="30">
        <f>$I$16*$X$16</f>
        <v>1299864.5435639573</v>
      </c>
      <c r="Y61" s="30">
        <f>$I$16*$Y$16</f>
        <v>0</v>
      </c>
      <c r="Z61" s="30">
        <f>$I$16*$Z$16</f>
        <v>0</v>
      </c>
      <c r="AA61" s="30">
        <f>$I$16*$AA$16</f>
        <v>14626557.341472251</v>
      </c>
      <c r="AB61" s="30">
        <f>$I$16*$AB$16</f>
        <v>0</v>
      </c>
      <c r="AC61" s="30">
        <f>$I$16*$AC$16</f>
        <v>0</v>
      </c>
      <c r="AD61" s="30">
        <f>$I$16*$AD$16</f>
        <v>0</v>
      </c>
      <c r="AE61" s="30">
        <f>$I$16*$AE$16</f>
        <v>-1197946.1701042929</v>
      </c>
      <c r="AF61" s="30">
        <f>$I$16*$AF$16</f>
        <v>387545.72989807202</v>
      </c>
    </row>
    <row r="62" spans="1:32" ht="11.25" customHeight="1" x14ac:dyDescent="0.25">
      <c r="A62" s="9" t="s">
        <v>22</v>
      </c>
      <c r="B62" s="9" t="s">
        <v>1291</v>
      </c>
      <c r="C62" s="9" t="s">
        <v>1292</v>
      </c>
      <c r="D62" s="9" t="s">
        <v>1309</v>
      </c>
      <c r="E62" s="9" t="s">
        <v>1310</v>
      </c>
      <c r="F62" s="9" t="s">
        <v>1311</v>
      </c>
      <c r="G62" s="9" t="s">
        <v>1312</v>
      </c>
      <c r="L62" s="30">
        <f>$I$17*$L$17</f>
        <v>42453.382725126045</v>
      </c>
      <c r="M62" s="30">
        <f>$I$17*$M$17</f>
        <v>307747.62509661278</v>
      </c>
      <c r="N62" s="30">
        <f>$I$17*$N$17</f>
        <v>0</v>
      </c>
      <c r="O62" s="30">
        <f>$I$17*$O$17</f>
        <v>484425.70379789581</v>
      </c>
      <c r="P62" s="30">
        <f>$I$17*$P$17</f>
        <v>3582113.3629936548</v>
      </c>
      <c r="Q62" s="30">
        <f>$I$17*$Q$17</f>
        <v>0</v>
      </c>
      <c r="R62" s="30">
        <f>$I$17*$R$17</f>
        <v>0</v>
      </c>
      <c r="S62" s="30">
        <f>$I$17*$S$17</f>
        <v>0</v>
      </c>
      <c r="T62" s="30">
        <f>$I$17*$T$17</f>
        <v>5407.9444590195872</v>
      </c>
      <c r="U62" s="30">
        <f>$I$17*$U$17</f>
        <v>104865.93704957207</v>
      </c>
      <c r="W62" s="30">
        <f>$I$17*$W$17</f>
        <v>36781.394349320581</v>
      </c>
      <c r="X62" s="30">
        <f>$I$17*$X$17</f>
        <v>283250.82483637804</v>
      </c>
      <c r="Y62" s="30">
        <f>$I$17*$Y$17</f>
        <v>0</v>
      </c>
      <c r="Z62" s="30">
        <f>$I$17*$Z$17</f>
        <v>0</v>
      </c>
      <c r="AA62" s="30">
        <f>$I$17*$AA$17</f>
        <v>3187243.2031490076</v>
      </c>
      <c r="AB62" s="30">
        <f>$I$17*$AB$17</f>
        <v>0</v>
      </c>
      <c r="AC62" s="30">
        <f>$I$17*$AC$17</f>
        <v>0</v>
      </c>
      <c r="AD62" s="30">
        <f>$I$17*$AD$17</f>
        <v>0</v>
      </c>
      <c r="AE62" s="30">
        <f>$I$17*$AE$17</f>
        <v>-261042.00046974001</v>
      </c>
      <c r="AF62" s="30">
        <f>$I$17*$AF$17</f>
        <v>84449.297581786159</v>
      </c>
    </row>
    <row r="63" spans="1:32" ht="11.25" customHeight="1" x14ac:dyDescent="0.25">
      <c r="A63" s="9" t="s">
        <v>22</v>
      </c>
      <c r="B63" s="9" t="s">
        <v>1313</v>
      </c>
      <c r="C63" s="9" t="s">
        <v>1314</v>
      </c>
      <c r="D63" s="9" t="s">
        <v>1315</v>
      </c>
      <c r="E63" s="9" t="s">
        <v>1316</v>
      </c>
      <c r="F63" s="9" t="s">
        <v>1317</v>
      </c>
      <c r="G63" s="9" t="s">
        <v>1318</v>
      </c>
      <c r="L63" s="30">
        <f>$I$18*$L$18</f>
        <v>0</v>
      </c>
      <c r="M63" s="30">
        <f>$I$18*$M$18</f>
        <v>0</v>
      </c>
      <c r="N63" s="30">
        <f>$I$18*$N$18</f>
        <v>0</v>
      </c>
      <c r="O63" s="30">
        <f>$I$18*$O$18</f>
        <v>0</v>
      </c>
      <c r="P63" s="30">
        <f>$I$18*$P$18</f>
        <v>0</v>
      </c>
      <c r="Q63" s="30">
        <f>$I$18*$Q$18</f>
        <v>0</v>
      </c>
      <c r="R63" s="30">
        <f>$I$18*$R$18</f>
        <v>0</v>
      </c>
      <c r="S63" s="30">
        <f>$I$18*$S$18</f>
        <v>0</v>
      </c>
      <c r="T63" s="30">
        <f>$I$18*$T$18</f>
        <v>0</v>
      </c>
      <c r="U63" s="30">
        <f>$I$18*$U$18</f>
        <v>0</v>
      </c>
      <c r="W63" s="30">
        <f>$I$18*$W$18</f>
        <v>0</v>
      </c>
      <c r="X63" s="30">
        <f>$I$18*$X$18</f>
        <v>0</v>
      </c>
      <c r="Y63" s="30">
        <f>$I$18*$Y$18</f>
        <v>0</v>
      </c>
      <c r="Z63" s="30">
        <f>$I$18*$Z$18</f>
        <v>0</v>
      </c>
      <c r="AA63" s="30">
        <f>$I$18*$AA$18</f>
        <v>0</v>
      </c>
      <c r="AB63" s="30">
        <f>$I$18*$AB$18</f>
        <v>0</v>
      </c>
      <c r="AC63" s="30">
        <f>$I$18*$AC$18</f>
        <v>0</v>
      </c>
      <c r="AD63" s="30">
        <f>$I$18*$AD$18</f>
        <v>0</v>
      </c>
      <c r="AE63" s="30">
        <f>$I$18*$AE$18</f>
        <v>0</v>
      </c>
      <c r="AF63" s="30">
        <f>$I$18*$AF$18</f>
        <v>0</v>
      </c>
    </row>
    <row r="64" spans="1:32" ht="11.25" customHeight="1" x14ac:dyDescent="0.25">
      <c r="A64" s="9" t="s">
        <v>22</v>
      </c>
      <c r="B64" s="9" t="s">
        <v>1313</v>
      </c>
      <c r="C64" s="9" t="s">
        <v>1314</v>
      </c>
      <c r="D64" s="9" t="s">
        <v>1319</v>
      </c>
      <c r="E64" s="9" t="s">
        <v>1320</v>
      </c>
      <c r="F64" s="9" t="s">
        <v>1321</v>
      </c>
      <c r="G64" s="9" t="s">
        <v>1322</v>
      </c>
      <c r="L64" s="30">
        <f>$I$19*$L$19</f>
        <v>0</v>
      </c>
      <c r="M64" s="30">
        <f>$I$19*$M$19</f>
        <v>0</v>
      </c>
      <c r="N64" s="30">
        <f>$I$19*$N$19</f>
        <v>0</v>
      </c>
      <c r="O64" s="30">
        <f>$I$19*$O$19</f>
        <v>0</v>
      </c>
      <c r="P64" s="30">
        <f>$I$19*$P$19</f>
        <v>0</v>
      </c>
      <c r="Q64" s="30">
        <f>$I$19*$Q$19</f>
        <v>0</v>
      </c>
      <c r="R64" s="30">
        <f>$I$19*$R$19</f>
        <v>0</v>
      </c>
      <c r="S64" s="30">
        <f>$I$19*$S$19</f>
        <v>0</v>
      </c>
      <c r="T64" s="30">
        <f>$I$19*$T$19</f>
        <v>0</v>
      </c>
      <c r="U64" s="30">
        <f>$I$19*$U$19</f>
        <v>0</v>
      </c>
      <c r="W64" s="30">
        <f>$I$19*$W$19</f>
        <v>0</v>
      </c>
      <c r="X64" s="30">
        <f>$I$19*$X$19</f>
        <v>0</v>
      </c>
      <c r="Y64" s="30">
        <f>$I$19*$Y$19</f>
        <v>0</v>
      </c>
      <c r="Z64" s="30">
        <f>$I$19*$Z$19</f>
        <v>0</v>
      </c>
      <c r="AA64" s="30">
        <f>$I$19*$AA$19</f>
        <v>0</v>
      </c>
      <c r="AB64" s="30">
        <f>$I$19*$AB$19</f>
        <v>0</v>
      </c>
      <c r="AC64" s="30">
        <f>$I$19*$AC$19</f>
        <v>0</v>
      </c>
      <c r="AD64" s="30">
        <f>$I$19*$AD$19</f>
        <v>0</v>
      </c>
      <c r="AE64" s="30">
        <f>$I$19*$AE$19</f>
        <v>0</v>
      </c>
      <c r="AF64" s="30">
        <f>$I$19*$AF$19</f>
        <v>0</v>
      </c>
    </row>
    <row r="65" spans="1:32" ht="11.25" customHeight="1" x14ac:dyDescent="0.25">
      <c r="A65" s="9" t="s">
        <v>22</v>
      </c>
      <c r="B65" s="9" t="s">
        <v>1313</v>
      </c>
      <c r="C65" s="9" t="s">
        <v>1314</v>
      </c>
      <c r="D65" s="9" t="s">
        <v>1323</v>
      </c>
      <c r="E65" s="9" t="s">
        <v>1324</v>
      </c>
      <c r="F65" s="9" t="s">
        <v>1325</v>
      </c>
      <c r="G65" s="9" t="s">
        <v>1326</v>
      </c>
      <c r="L65" s="30">
        <f>$I$20*$L$20</f>
        <v>0</v>
      </c>
      <c r="M65" s="30">
        <f>$I$20*$M$20</f>
        <v>0</v>
      </c>
      <c r="N65" s="30">
        <f>$I$20*$N$20</f>
        <v>0</v>
      </c>
      <c r="O65" s="30">
        <f>$I$20*$O$20</f>
        <v>0</v>
      </c>
      <c r="P65" s="30">
        <f>$I$20*$P$20</f>
        <v>0</v>
      </c>
      <c r="Q65" s="30">
        <f>$I$20*$Q$20</f>
        <v>0</v>
      </c>
      <c r="R65" s="30">
        <f>$I$20*$R$20</f>
        <v>0</v>
      </c>
      <c r="S65" s="30">
        <f>$I$20*$S$20</f>
        <v>0</v>
      </c>
      <c r="T65" s="30">
        <f>$I$20*$T$20</f>
        <v>0</v>
      </c>
      <c r="U65" s="30">
        <f>$I$20*$U$20</f>
        <v>0</v>
      </c>
      <c r="W65" s="30">
        <f>$I$20*$W$20</f>
        <v>0</v>
      </c>
      <c r="X65" s="30">
        <f>$I$20*$X$20</f>
        <v>0</v>
      </c>
      <c r="Y65" s="30">
        <f>$I$20*$Y$20</f>
        <v>0</v>
      </c>
      <c r="Z65" s="30">
        <f>$I$20*$Z$20</f>
        <v>0</v>
      </c>
      <c r="AA65" s="30">
        <f>$I$20*$AA$20</f>
        <v>0</v>
      </c>
      <c r="AB65" s="30">
        <f>$I$20*$AB$20</f>
        <v>0</v>
      </c>
      <c r="AC65" s="30">
        <f>$I$20*$AC$20</f>
        <v>0</v>
      </c>
      <c r="AD65" s="30">
        <f>$I$20*$AD$20</f>
        <v>0</v>
      </c>
      <c r="AE65" s="30">
        <f>$I$20*$AE$20</f>
        <v>0</v>
      </c>
      <c r="AF65" s="30">
        <f>$I$20*$AF$20</f>
        <v>0</v>
      </c>
    </row>
    <row r="66" spans="1:32" ht="11.25" customHeight="1" x14ac:dyDescent="0.25">
      <c r="A66" s="9" t="s">
        <v>22</v>
      </c>
      <c r="B66" s="9" t="s">
        <v>1313</v>
      </c>
      <c r="C66" s="9" t="s">
        <v>1314</v>
      </c>
      <c r="D66" s="9" t="s">
        <v>1327</v>
      </c>
      <c r="E66" s="9" t="s">
        <v>1328</v>
      </c>
      <c r="F66" s="9" t="s">
        <v>1329</v>
      </c>
      <c r="G66" s="9" t="s">
        <v>1330</v>
      </c>
      <c r="L66" s="30">
        <f>$I$21*$L$21</f>
        <v>0</v>
      </c>
      <c r="M66" s="30">
        <f>$I$21*$M$21</f>
        <v>0</v>
      </c>
      <c r="N66" s="30">
        <f>$I$21*$N$21</f>
        <v>0</v>
      </c>
      <c r="O66" s="30">
        <f>$I$21*$O$21</f>
        <v>0</v>
      </c>
      <c r="P66" s="30">
        <f>$I$21*$P$21</f>
        <v>0</v>
      </c>
      <c r="Q66" s="30">
        <f>$I$21*$Q$21</f>
        <v>0</v>
      </c>
      <c r="R66" s="30">
        <f>$I$21*$R$21</f>
        <v>0</v>
      </c>
      <c r="S66" s="30">
        <f>$I$21*$S$21</f>
        <v>0</v>
      </c>
      <c r="T66" s="30">
        <f>$I$21*$T$21</f>
        <v>0</v>
      </c>
      <c r="U66" s="30">
        <f>$I$21*$U$21</f>
        <v>0</v>
      </c>
      <c r="W66" s="30">
        <f>$I$21*$W$21</f>
        <v>0</v>
      </c>
      <c r="X66" s="30">
        <f>$I$21*$X$21</f>
        <v>0</v>
      </c>
      <c r="Y66" s="30">
        <f>$I$21*$Y$21</f>
        <v>0</v>
      </c>
      <c r="Z66" s="30">
        <f>$I$21*$Z$21</f>
        <v>0</v>
      </c>
      <c r="AA66" s="30">
        <f>$I$21*$AA$21</f>
        <v>0</v>
      </c>
      <c r="AB66" s="30">
        <f>$I$21*$AB$21</f>
        <v>0</v>
      </c>
      <c r="AC66" s="30">
        <f>$I$21*$AC$21</f>
        <v>0</v>
      </c>
      <c r="AD66" s="30">
        <f>$I$21*$AD$21</f>
        <v>0</v>
      </c>
      <c r="AE66" s="30">
        <f>$I$21*$AE$21</f>
        <v>0</v>
      </c>
      <c r="AF66" s="30">
        <f>$I$21*$AF$21</f>
        <v>0</v>
      </c>
    </row>
    <row r="67" spans="1:32" ht="11.25" customHeight="1" x14ac:dyDescent="0.25">
      <c r="A67" s="9" t="s">
        <v>22</v>
      </c>
      <c r="B67" s="9" t="s">
        <v>1313</v>
      </c>
      <c r="C67" s="9" t="s">
        <v>1314</v>
      </c>
      <c r="D67" s="9" t="s">
        <v>1331</v>
      </c>
      <c r="E67" s="9" t="s">
        <v>1332</v>
      </c>
      <c r="F67" s="9" t="s">
        <v>1333</v>
      </c>
      <c r="G67" s="9" t="s">
        <v>1334</v>
      </c>
      <c r="L67" s="30">
        <f>$I$22*$L$22</f>
        <v>0</v>
      </c>
      <c r="M67" s="30">
        <f>$I$22*$M$22</f>
        <v>0</v>
      </c>
      <c r="N67" s="30">
        <f>$I$22*$N$22</f>
        <v>0</v>
      </c>
      <c r="O67" s="30">
        <f>$I$22*$O$22</f>
        <v>0</v>
      </c>
      <c r="P67" s="30">
        <f>$I$22*$P$22</f>
        <v>0</v>
      </c>
      <c r="Q67" s="30">
        <f>$I$22*$Q$22</f>
        <v>0</v>
      </c>
      <c r="R67" s="30">
        <f>$I$22*$R$22</f>
        <v>0</v>
      </c>
      <c r="S67" s="30">
        <f>$I$22*$S$22</f>
        <v>0</v>
      </c>
      <c r="T67" s="30">
        <f>$I$22*$T$22</f>
        <v>0</v>
      </c>
      <c r="U67" s="30">
        <f>$I$22*$U$22</f>
        <v>0</v>
      </c>
      <c r="W67" s="30">
        <f>$I$22*$W$22</f>
        <v>0</v>
      </c>
      <c r="X67" s="30">
        <f>$I$22*$X$22</f>
        <v>0</v>
      </c>
      <c r="Y67" s="30">
        <f>$I$22*$Y$22</f>
        <v>0</v>
      </c>
      <c r="Z67" s="30">
        <f>$I$22*$Z$22</f>
        <v>0</v>
      </c>
      <c r="AA67" s="30">
        <f>$I$22*$AA$22</f>
        <v>0</v>
      </c>
      <c r="AB67" s="30">
        <f>$I$22*$AB$22</f>
        <v>0</v>
      </c>
      <c r="AC67" s="30">
        <f>$I$22*$AC$22</f>
        <v>0</v>
      </c>
      <c r="AD67" s="30">
        <f>$I$22*$AD$22</f>
        <v>0</v>
      </c>
      <c r="AE67" s="30">
        <f>$I$22*$AE$22</f>
        <v>0</v>
      </c>
      <c r="AF67" s="30">
        <f>$I$22*$AF$22</f>
        <v>0</v>
      </c>
    </row>
    <row r="68" spans="1:32" ht="11.25" customHeight="1" x14ac:dyDescent="0.25">
      <c r="A68" s="9" t="s">
        <v>44</v>
      </c>
      <c r="B68" s="9" t="s">
        <v>1335</v>
      </c>
      <c r="C68" s="9" t="s">
        <v>1336</v>
      </c>
      <c r="D68" s="9" t="s">
        <v>1337</v>
      </c>
      <c r="E68" s="9" t="s">
        <v>1338</v>
      </c>
      <c r="F68" s="9" t="s">
        <v>1339</v>
      </c>
      <c r="G68" s="9" t="s">
        <v>1340</v>
      </c>
      <c r="L68" s="30">
        <f>$I$23*$L$23</f>
        <v>7.5070167060659497E-3</v>
      </c>
      <c r="M68" s="30">
        <f>$I$23*$M$23</f>
        <v>5.4418904090887933E-2</v>
      </c>
      <c r="N68" s="30">
        <f>$I$23*$N$23</f>
        <v>0</v>
      </c>
      <c r="O68" s="30">
        <f>$I$23*$O$23</f>
        <v>8.5660826483592356E-2</v>
      </c>
      <c r="P68" s="30">
        <f>$I$23*$P$23</f>
        <v>1.0278198216693248</v>
      </c>
      <c r="Q68" s="30">
        <f>$I$23*$Q$23</f>
        <v>0</v>
      </c>
      <c r="R68" s="30">
        <f>$I$23*$R$23</f>
        <v>0</v>
      </c>
      <c r="S68" s="30">
        <f>$I$23*$S$23</f>
        <v>0</v>
      </c>
      <c r="T68" s="30">
        <f>$I$23*$T$23</f>
        <v>1.438225010675565E-3</v>
      </c>
      <c r="U68" s="30">
        <f>$I$23*$U$23</f>
        <v>1.8543406692123857E-2</v>
      </c>
      <c r="W68" s="30">
        <f>$I$23*$W$23</f>
        <v>6.0888894472459799E-3</v>
      </c>
      <c r="X68" s="30">
        <f>$I$23*$X$23</f>
        <v>4.6890091818984896E-2</v>
      </c>
      <c r="Y68" s="30">
        <f>$I$23*$Y$23</f>
        <v>0</v>
      </c>
      <c r="Z68" s="30">
        <f>$I$23*$Z$23</f>
        <v>0</v>
      </c>
      <c r="AA68" s="30">
        <f>$I$23*$AA$23</f>
        <v>0.85614571078493995</v>
      </c>
      <c r="AB68" s="30">
        <f>$I$23*$AB$23</f>
        <v>0</v>
      </c>
      <c r="AC68" s="30">
        <f>$I$23*$AC$23</f>
        <v>0</v>
      </c>
      <c r="AD68" s="30">
        <f>$I$23*$AD$23</f>
        <v>0</v>
      </c>
      <c r="AE68" s="30">
        <f>$I$23*$AE$23</f>
        <v>-6.5270977697029803E-2</v>
      </c>
      <c r="AF68" s="30">
        <f>$I$23*$AF$23</f>
        <v>1.39799604112227E-2</v>
      </c>
    </row>
    <row r="69" spans="1:32" ht="11.25" customHeight="1" x14ac:dyDescent="0.25">
      <c r="A69" s="9" t="s">
        <v>44</v>
      </c>
      <c r="B69" s="9" t="s">
        <v>1335</v>
      </c>
      <c r="C69" s="9" t="s">
        <v>1336</v>
      </c>
      <c r="D69" s="9" t="s">
        <v>1337</v>
      </c>
      <c r="E69" s="9" t="s">
        <v>1338</v>
      </c>
      <c r="F69" s="9" t="s">
        <v>1339</v>
      </c>
      <c r="G69" s="9" t="s">
        <v>1341</v>
      </c>
      <c r="L69" s="30">
        <f>$I$24*$L$24</f>
        <v>7.7572505962681476E-2</v>
      </c>
      <c r="M69" s="30">
        <f>$I$24*$M$24</f>
        <v>0.56232867560584199</v>
      </c>
      <c r="N69" s="30">
        <f>$I$24*$N$24</f>
        <v>0</v>
      </c>
      <c r="O69" s="30">
        <f>$I$24*$O$24</f>
        <v>0.88516187366378762</v>
      </c>
      <c r="P69" s="30">
        <f>$I$24*$P$24</f>
        <v>6.1748865255327647</v>
      </c>
      <c r="Q69" s="30">
        <f>$I$24*$Q$24</f>
        <v>0</v>
      </c>
      <c r="R69" s="30">
        <f>$I$24*$R$24</f>
        <v>0</v>
      </c>
      <c r="S69" s="30">
        <f>$I$24*$S$24</f>
        <v>0</v>
      </c>
      <c r="T69" s="30">
        <f>$I$24*$T$24</f>
        <v>9.4288791590291018E-3</v>
      </c>
      <c r="U69" s="30">
        <f>$I$24*$U$24</f>
        <v>0.19161520248527986</v>
      </c>
      <c r="W69" s="30">
        <f>$I$24*$W$24</f>
        <v>6.2918524288208461E-2</v>
      </c>
      <c r="X69" s="30">
        <f>$I$24*$X$24</f>
        <v>0.48453094879617725</v>
      </c>
      <c r="Y69" s="30">
        <f>$I$24*$Y$24</f>
        <v>0</v>
      </c>
      <c r="Z69" s="30">
        <f>$I$24*$Z$24</f>
        <v>0</v>
      </c>
      <c r="AA69" s="30">
        <f>$I$24*$AA$24</f>
        <v>5.1435110531653301</v>
      </c>
      <c r="AB69" s="30">
        <f>$I$24*$AB$24</f>
        <v>0</v>
      </c>
      <c r="AC69" s="30">
        <f>$I$24*$AC$24</f>
        <v>0</v>
      </c>
      <c r="AD69" s="30">
        <f>$I$24*$AD$24</f>
        <v>0</v>
      </c>
      <c r="AE69" s="30">
        <f>$I$24*$AE$24</f>
        <v>-0.42581978837041012</v>
      </c>
      <c r="AF69" s="30">
        <f>$I$24*$AF$24</f>
        <v>0.14445959091596788</v>
      </c>
    </row>
    <row r="70" spans="1:32" ht="11.25" customHeight="1" x14ac:dyDescent="0.25">
      <c r="A70" s="9" t="s">
        <v>44</v>
      </c>
      <c r="B70" s="9" t="s">
        <v>1335</v>
      </c>
      <c r="C70" s="9" t="s">
        <v>1336</v>
      </c>
      <c r="D70" s="9" t="s">
        <v>1337</v>
      </c>
      <c r="E70" s="9" t="s">
        <v>1338</v>
      </c>
      <c r="F70" s="9" t="s">
        <v>1339</v>
      </c>
      <c r="G70" s="9" t="s">
        <v>1342</v>
      </c>
      <c r="L70" s="30">
        <f>$I$25*$L$25</f>
        <v>22.413449545410902</v>
      </c>
      <c r="M70" s="30">
        <f>$I$25*$M$25</f>
        <v>162.47670798069439</v>
      </c>
      <c r="N70" s="30">
        <f>$I$25*$N$25</f>
        <v>0</v>
      </c>
      <c r="O70" s="30">
        <f>$I$25*$O$25</f>
        <v>255.75467427117886</v>
      </c>
      <c r="P70" s="30">
        <f>$I$25*$P$25</f>
        <v>1784.143826103128</v>
      </c>
      <c r="Q70" s="30">
        <f>$I$25*$Q$25</f>
        <v>0</v>
      </c>
      <c r="R70" s="30">
        <f>$I$25*$R$25</f>
        <v>0</v>
      </c>
      <c r="S70" s="30">
        <f>$I$25*$S$25</f>
        <v>0</v>
      </c>
      <c r="T70" s="30">
        <f>$I$25*$T$25</f>
        <v>2.7243377621749563</v>
      </c>
      <c r="U70" s="30">
        <f>$I$25*$U$25</f>
        <v>55.364431247117793</v>
      </c>
      <c r="W70" s="30">
        <f>$I$25*$W$25</f>
        <v>18.179394259660747</v>
      </c>
      <c r="X70" s="30">
        <f>$I$25*$X$25</f>
        <v>139.99818414088256</v>
      </c>
      <c r="Y70" s="30">
        <f>$I$25*$Y$25</f>
        <v>0</v>
      </c>
      <c r="Z70" s="30">
        <f>$I$25*$Z$25</f>
        <v>0</v>
      </c>
      <c r="AA70" s="30">
        <f>$I$25*$AA$25</f>
        <v>1486.1428549419954</v>
      </c>
      <c r="AB70" s="30">
        <f>$I$25*$AB$25</f>
        <v>0</v>
      </c>
      <c r="AC70" s="30">
        <f>$I$25*$AC$25</f>
        <v>0</v>
      </c>
      <c r="AD70" s="30">
        <f>$I$25*$AD$25</f>
        <v>0</v>
      </c>
      <c r="AE70" s="30">
        <f>$I$25*$AE$25</f>
        <v>-123.03444659463752</v>
      </c>
      <c r="AF70" s="30">
        <f>$I$25*$AF$25</f>
        <v>41.739501801107231</v>
      </c>
    </row>
    <row r="71" spans="1:32" ht="11.25" customHeight="1" x14ac:dyDescent="0.25">
      <c r="A71" s="9" t="s">
        <v>44</v>
      </c>
      <c r="B71" s="9" t="s">
        <v>1343</v>
      </c>
      <c r="C71" s="9" t="s">
        <v>1344</v>
      </c>
      <c r="D71" s="9" t="s">
        <v>1345</v>
      </c>
      <c r="E71" s="9" t="s">
        <v>1346</v>
      </c>
      <c r="F71" s="9" t="s">
        <v>1347</v>
      </c>
      <c r="G71" s="9" t="s">
        <v>1348</v>
      </c>
      <c r="L71" s="30">
        <f>$I$26*$L$26</f>
        <v>152403.24173017879</v>
      </c>
      <c r="M71" s="30">
        <f>$I$26*$M$26</f>
        <v>1104782.0618480118</v>
      </c>
      <c r="N71" s="30">
        <f>$I$26*$N$26</f>
        <v>0</v>
      </c>
      <c r="O71" s="30">
        <f>$I$26*$O$26</f>
        <v>1739038.0435462345</v>
      </c>
      <c r="P71" s="30">
        <f>$I$26*$P$26</f>
        <v>12859415.521725183</v>
      </c>
      <c r="Q71" s="30">
        <f>$I$26*$Q$26</f>
        <v>0</v>
      </c>
      <c r="R71" s="30">
        <f>$I$26*$R$26</f>
        <v>0</v>
      </c>
      <c r="S71" s="30">
        <f>$I$26*$S$26</f>
        <v>0</v>
      </c>
      <c r="T71" s="30">
        <f>$I$26*$T$26</f>
        <v>19413.959824773799</v>
      </c>
      <c r="U71" s="30">
        <f>$I$26*$U$26</f>
        <v>376457.83981234423</v>
      </c>
      <c r="W71" s="30">
        <f>$I$26*$W$26</f>
        <v>123613.21769100797</v>
      </c>
      <c r="X71" s="30">
        <f>$I$26*$X$26</f>
        <v>951936.33876752085</v>
      </c>
      <c r="Y71" s="30">
        <f>$I$26*$Y$26</f>
        <v>0</v>
      </c>
      <c r="Z71" s="30">
        <f>$I$26*$Z$26</f>
        <v>0</v>
      </c>
      <c r="AA71" s="30">
        <f>$I$26*$AA$26</f>
        <v>10711540.301144663</v>
      </c>
      <c r="AB71" s="30">
        <f>$I$26*$AB$26</f>
        <v>0</v>
      </c>
      <c r="AC71" s="30">
        <f>$I$26*$AC$26</f>
        <v>0</v>
      </c>
      <c r="AD71" s="30">
        <f>$I$26*$AD$26</f>
        <v>0</v>
      </c>
      <c r="AE71" s="30">
        <f>$I$26*$AE$26</f>
        <v>-877297.94374035799</v>
      </c>
      <c r="AF71" s="30">
        <f>$I$26*$AF$26</f>
        <v>283813.31351085252</v>
      </c>
    </row>
    <row r="72" spans="1:32" ht="11.25" customHeight="1" x14ac:dyDescent="0.25">
      <c r="A72" s="9" t="s">
        <v>44</v>
      </c>
      <c r="B72" s="9" t="s">
        <v>1335</v>
      </c>
      <c r="C72" s="9" t="s">
        <v>1336</v>
      </c>
      <c r="D72" s="9" t="s">
        <v>1349</v>
      </c>
      <c r="E72" s="9" t="s">
        <v>1350</v>
      </c>
      <c r="F72" s="9" t="s">
        <v>1351</v>
      </c>
      <c r="G72" s="9" t="s">
        <v>1352</v>
      </c>
      <c r="L72" s="30">
        <f>$I$27*$L$27</f>
        <v>0</v>
      </c>
      <c r="M72" s="30">
        <f>$I$27*$M$27</f>
        <v>0</v>
      </c>
      <c r="N72" s="30">
        <f>$I$27*$N$27</f>
        <v>0</v>
      </c>
      <c r="O72" s="30">
        <f>$I$27*$O$27</f>
        <v>0</v>
      </c>
      <c r="P72" s="30">
        <f>$I$27*$P$27</f>
        <v>0</v>
      </c>
      <c r="Q72" s="30">
        <f>$I$27*$Q$27</f>
        <v>0</v>
      </c>
      <c r="R72" s="30">
        <f>$I$27*$R$27</f>
        <v>0</v>
      </c>
      <c r="S72" s="30">
        <f>$I$27*$S$27</f>
        <v>0</v>
      </c>
      <c r="T72" s="30">
        <f>$I$27*$T$27</f>
        <v>0</v>
      </c>
      <c r="U72" s="30">
        <f>$I$27*$U$27</f>
        <v>0</v>
      </c>
      <c r="W72" s="30">
        <f>$I$27*$W$27</f>
        <v>0</v>
      </c>
      <c r="X72" s="30">
        <f>$I$27*$X$27</f>
        <v>0</v>
      </c>
      <c r="Y72" s="30">
        <f>$I$27*$Y$27</f>
        <v>0</v>
      </c>
      <c r="Z72" s="30">
        <f>$I$27*$Z$27</f>
        <v>0</v>
      </c>
      <c r="AA72" s="30">
        <f>$I$27*$AA$27</f>
        <v>0</v>
      </c>
      <c r="AB72" s="30">
        <f>$I$27*$AB$27</f>
        <v>0</v>
      </c>
      <c r="AC72" s="30">
        <f>$I$27*$AC$27</f>
        <v>0</v>
      </c>
      <c r="AD72" s="30">
        <f>$I$27*$AD$27</f>
        <v>0</v>
      </c>
      <c r="AE72" s="30">
        <f>$I$27*$AE$27</f>
        <v>0</v>
      </c>
      <c r="AF72" s="30">
        <f>$I$27*$AF$27</f>
        <v>0</v>
      </c>
    </row>
    <row r="73" spans="1:32" ht="11.25" customHeight="1" x14ac:dyDescent="0.25">
      <c r="A73" s="9" t="s">
        <v>44</v>
      </c>
      <c r="B73" s="9" t="s">
        <v>1335</v>
      </c>
      <c r="C73" s="9" t="s">
        <v>1336</v>
      </c>
      <c r="D73" s="9" t="s">
        <v>1349</v>
      </c>
      <c r="E73" s="9" t="s">
        <v>1350</v>
      </c>
      <c r="F73" s="9" t="s">
        <v>1351</v>
      </c>
      <c r="G73" s="9" t="s">
        <v>1353</v>
      </c>
      <c r="L73" s="30">
        <f>$I$28*$L$28</f>
        <v>0</v>
      </c>
      <c r="M73" s="30">
        <f>$I$28*$M$28</f>
        <v>0</v>
      </c>
      <c r="N73" s="30">
        <f>$I$28*$N$28</f>
        <v>0</v>
      </c>
      <c r="O73" s="30">
        <f>$I$28*$O$28</f>
        <v>0</v>
      </c>
      <c r="P73" s="30">
        <f>$I$28*$P$28</f>
        <v>0</v>
      </c>
      <c r="Q73" s="30">
        <f>$I$28*$Q$28</f>
        <v>0</v>
      </c>
      <c r="R73" s="30">
        <f>$I$28*$R$28</f>
        <v>0</v>
      </c>
      <c r="S73" s="30">
        <f>$I$28*$S$28</f>
        <v>0</v>
      </c>
      <c r="T73" s="30">
        <f>$I$28*$T$28</f>
        <v>0</v>
      </c>
      <c r="U73" s="30">
        <f>$I$28*$U$28</f>
        <v>0</v>
      </c>
      <c r="W73" s="30">
        <f>$I$28*$W$28</f>
        <v>0</v>
      </c>
      <c r="X73" s="30">
        <f>$I$28*$X$28</f>
        <v>0</v>
      </c>
      <c r="Y73" s="30">
        <f>$I$28*$Y$28</f>
        <v>0</v>
      </c>
      <c r="Z73" s="30">
        <f>$I$28*$Z$28</f>
        <v>0</v>
      </c>
      <c r="AA73" s="30">
        <f>$I$28*$AA$28</f>
        <v>0</v>
      </c>
      <c r="AB73" s="30">
        <f>$I$28*$AB$28</f>
        <v>0</v>
      </c>
      <c r="AC73" s="30">
        <f>$I$28*$AC$28</f>
        <v>0</v>
      </c>
      <c r="AD73" s="30">
        <f>$I$28*$AD$28</f>
        <v>0</v>
      </c>
      <c r="AE73" s="30">
        <f>$I$28*$AE$28</f>
        <v>0</v>
      </c>
      <c r="AF73" s="30">
        <f>$I$28*$AF$28</f>
        <v>0</v>
      </c>
    </row>
    <row r="74" spans="1:32" ht="11.25" customHeight="1" x14ac:dyDescent="0.25">
      <c r="A74" s="9" t="s">
        <v>44</v>
      </c>
      <c r="B74" s="9" t="s">
        <v>1335</v>
      </c>
      <c r="C74" s="9" t="s">
        <v>1336</v>
      </c>
      <c r="D74" s="9" t="s">
        <v>1349</v>
      </c>
      <c r="E74" s="9" t="s">
        <v>1350</v>
      </c>
      <c r="F74" s="9" t="s">
        <v>1351</v>
      </c>
      <c r="G74" s="9" t="s">
        <v>1354</v>
      </c>
      <c r="L74" s="30">
        <f>$I$29*$L$29</f>
        <v>0</v>
      </c>
      <c r="M74" s="30">
        <f>$I$29*$M$29</f>
        <v>0</v>
      </c>
      <c r="N74" s="30">
        <f>$I$29*$N$29</f>
        <v>0</v>
      </c>
      <c r="O74" s="30">
        <f>$I$29*$O$29</f>
        <v>0</v>
      </c>
      <c r="P74" s="30">
        <f>$I$29*$P$29</f>
        <v>0</v>
      </c>
      <c r="Q74" s="30">
        <f>$I$29*$Q$29</f>
        <v>0</v>
      </c>
      <c r="R74" s="30">
        <f>$I$29*$R$29</f>
        <v>0</v>
      </c>
      <c r="S74" s="30">
        <f>$I$29*$S$29</f>
        <v>0</v>
      </c>
      <c r="T74" s="30">
        <f>$I$29*$T$29</f>
        <v>0</v>
      </c>
      <c r="U74" s="30">
        <f>$I$29*$U$29</f>
        <v>0</v>
      </c>
      <c r="W74" s="30">
        <f>$I$29*$W$29</f>
        <v>0</v>
      </c>
      <c r="X74" s="30">
        <f>$I$29*$X$29</f>
        <v>0</v>
      </c>
      <c r="Y74" s="30">
        <f>$I$29*$Y$29</f>
        <v>0</v>
      </c>
      <c r="Z74" s="30">
        <f>$I$29*$Z$29</f>
        <v>0</v>
      </c>
      <c r="AA74" s="30">
        <f>$I$29*$AA$29</f>
        <v>0</v>
      </c>
      <c r="AB74" s="30">
        <f>$I$29*$AB$29</f>
        <v>0</v>
      </c>
      <c r="AC74" s="30">
        <f>$I$29*$AC$29</f>
        <v>0</v>
      </c>
      <c r="AD74" s="30">
        <f>$I$29*$AD$29</f>
        <v>0</v>
      </c>
      <c r="AE74" s="30">
        <f>$I$29*$AE$29</f>
        <v>0</v>
      </c>
      <c r="AF74" s="30">
        <f>$I$29*$AF$29</f>
        <v>0</v>
      </c>
    </row>
    <row r="75" spans="1:32" ht="11.25" customHeight="1" x14ac:dyDescent="0.25">
      <c r="A75" s="9" t="s">
        <v>44</v>
      </c>
      <c r="B75" s="9" t="s">
        <v>1343</v>
      </c>
      <c r="C75" s="9" t="s">
        <v>1344</v>
      </c>
      <c r="D75" s="9" t="s">
        <v>1355</v>
      </c>
      <c r="E75" s="9" t="s">
        <v>1356</v>
      </c>
      <c r="F75" s="9" t="s">
        <v>1357</v>
      </c>
      <c r="G75" s="9" t="s">
        <v>1358</v>
      </c>
      <c r="L75" s="30">
        <f>$I$30*$L$30</f>
        <v>0</v>
      </c>
      <c r="M75" s="30">
        <f>$I$30*$M$30</f>
        <v>0</v>
      </c>
      <c r="N75" s="30">
        <f>$I$30*$N$30</f>
        <v>0</v>
      </c>
      <c r="O75" s="30">
        <f>$I$30*$O$30</f>
        <v>0</v>
      </c>
      <c r="P75" s="30">
        <f>$I$30*$P$30</f>
        <v>0</v>
      </c>
      <c r="Q75" s="30">
        <f>$I$30*$Q$30</f>
        <v>0</v>
      </c>
      <c r="R75" s="30">
        <f>$I$30*$R$30</f>
        <v>0</v>
      </c>
      <c r="S75" s="30">
        <f>$I$30*$S$30</f>
        <v>0</v>
      </c>
      <c r="T75" s="30">
        <f>$I$30*$T$30</f>
        <v>0</v>
      </c>
      <c r="U75" s="30">
        <f>$I$30*$U$30</f>
        <v>0</v>
      </c>
      <c r="W75" s="30">
        <f>$I$30*$W$30</f>
        <v>0</v>
      </c>
      <c r="X75" s="30">
        <f>$I$30*$X$30</f>
        <v>0</v>
      </c>
      <c r="Y75" s="30">
        <f>$I$30*$Y$30</f>
        <v>0</v>
      </c>
      <c r="Z75" s="30">
        <f>$I$30*$Z$30</f>
        <v>0</v>
      </c>
      <c r="AA75" s="30">
        <f>$I$30*$AA$30</f>
        <v>0</v>
      </c>
      <c r="AB75" s="30">
        <f>$I$30*$AB$30</f>
        <v>0</v>
      </c>
      <c r="AC75" s="30">
        <f>$I$30*$AC$30</f>
        <v>0</v>
      </c>
      <c r="AD75" s="30">
        <f>$I$30*$AD$30</f>
        <v>0</v>
      </c>
      <c r="AE75" s="30">
        <f>$I$30*$AE$30</f>
        <v>0</v>
      </c>
      <c r="AF75" s="30">
        <f>$I$30*$AF$30</f>
        <v>0</v>
      </c>
    </row>
    <row r="76" spans="1:32" ht="11.25" customHeight="1" x14ac:dyDescent="0.25">
      <c r="A76" s="9" t="s">
        <v>44</v>
      </c>
      <c r="B76" s="9" t="s">
        <v>1335</v>
      </c>
      <c r="C76" s="9" t="s">
        <v>1336</v>
      </c>
      <c r="D76" s="9" t="s">
        <v>1359</v>
      </c>
      <c r="E76" s="9" t="s">
        <v>1360</v>
      </c>
      <c r="F76" s="9" t="s">
        <v>1361</v>
      </c>
      <c r="G76" s="9" t="s">
        <v>1362</v>
      </c>
      <c r="L76" s="30">
        <f>$I$31*$L$31</f>
        <v>0</v>
      </c>
      <c r="M76" s="30">
        <f>$I$31*$M$31</f>
        <v>0</v>
      </c>
      <c r="N76" s="30">
        <f>$I$31*$N$31</f>
        <v>0</v>
      </c>
      <c r="O76" s="30">
        <f>$I$31*$O$31</f>
        <v>0</v>
      </c>
      <c r="P76" s="30">
        <f>$I$31*$P$31</f>
        <v>0</v>
      </c>
      <c r="Q76" s="30">
        <f>$I$31*$Q$31</f>
        <v>0</v>
      </c>
      <c r="R76" s="30">
        <f>$I$31*$R$31</f>
        <v>0</v>
      </c>
      <c r="S76" s="30">
        <f>$I$31*$S$31</f>
        <v>0</v>
      </c>
      <c r="T76" s="30">
        <f>$I$31*$T$31</f>
        <v>0</v>
      </c>
      <c r="U76" s="30">
        <f>$I$31*$U$31</f>
        <v>0</v>
      </c>
      <c r="W76" s="30">
        <f>$I$31*$W$31</f>
        <v>0</v>
      </c>
      <c r="X76" s="30">
        <f>$I$31*$X$31</f>
        <v>0</v>
      </c>
      <c r="Y76" s="30">
        <f>$I$31*$Y$31</f>
        <v>0</v>
      </c>
      <c r="Z76" s="30">
        <f>$I$31*$Z$31</f>
        <v>0</v>
      </c>
      <c r="AA76" s="30">
        <f>$I$31*$AA$31</f>
        <v>0</v>
      </c>
      <c r="AB76" s="30">
        <f>$I$31*$AB$31</f>
        <v>0</v>
      </c>
      <c r="AC76" s="30">
        <f>$I$31*$AC$31</f>
        <v>0</v>
      </c>
      <c r="AD76" s="30">
        <f>$I$31*$AD$31</f>
        <v>0</v>
      </c>
      <c r="AE76" s="30">
        <f>$I$31*$AE$31</f>
        <v>0</v>
      </c>
      <c r="AF76" s="30">
        <f>$I$31*$AF$31</f>
        <v>0</v>
      </c>
    </row>
    <row r="77" spans="1:32" ht="11.25" customHeight="1" x14ac:dyDescent="0.25">
      <c r="A77" s="9" t="s">
        <v>44</v>
      </c>
      <c r="B77" s="9" t="s">
        <v>1335</v>
      </c>
      <c r="C77" s="9" t="s">
        <v>1336</v>
      </c>
      <c r="D77" s="9" t="s">
        <v>1359</v>
      </c>
      <c r="E77" s="9" t="s">
        <v>1360</v>
      </c>
      <c r="F77" s="9" t="s">
        <v>1361</v>
      </c>
      <c r="G77" s="9" t="s">
        <v>1363</v>
      </c>
      <c r="L77" s="30">
        <f>$I$32*$L$32</f>
        <v>0</v>
      </c>
      <c r="M77" s="30">
        <f>$I$32*$M$32</f>
        <v>0</v>
      </c>
      <c r="N77" s="30">
        <f>$I$32*$N$32</f>
        <v>0</v>
      </c>
      <c r="O77" s="30">
        <f>$I$32*$O$32</f>
        <v>0</v>
      </c>
      <c r="P77" s="30">
        <f>$I$32*$P$32</f>
        <v>0</v>
      </c>
      <c r="Q77" s="30">
        <f>$I$32*$Q$32</f>
        <v>0</v>
      </c>
      <c r="R77" s="30">
        <f>$I$32*$R$32</f>
        <v>0</v>
      </c>
      <c r="S77" s="30">
        <f>$I$32*$S$32</f>
        <v>0</v>
      </c>
      <c r="T77" s="30">
        <f>$I$32*$T$32</f>
        <v>0</v>
      </c>
      <c r="U77" s="30">
        <f>$I$32*$U$32</f>
        <v>0</v>
      </c>
      <c r="W77" s="30">
        <f>$I$32*$W$32</f>
        <v>0</v>
      </c>
      <c r="X77" s="30">
        <f>$I$32*$X$32</f>
        <v>0</v>
      </c>
      <c r="Y77" s="30">
        <f>$I$32*$Y$32</f>
        <v>0</v>
      </c>
      <c r="Z77" s="30">
        <f>$I$32*$Z$32</f>
        <v>0</v>
      </c>
      <c r="AA77" s="30">
        <f>$I$32*$AA$32</f>
        <v>0</v>
      </c>
      <c r="AB77" s="30">
        <f>$I$32*$AB$32</f>
        <v>0</v>
      </c>
      <c r="AC77" s="30">
        <f>$I$32*$AC$32</f>
        <v>0</v>
      </c>
      <c r="AD77" s="30">
        <f>$I$32*$AD$32</f>
        <v>0</v>
      </c>
      <c r="AE77" s="30">
        <f>$I$32*$AE$32</f>
        <v>0</v>
      </c>
      <c r="AF77" s="30">
        <f>$I$32*$AF$32</f>
        <v>0</v>
      </c>
    </row>
    <row r="78" spans="1:32" ht="11.25" customHeight="1" x14ac:dyDescent="0.25">
      <c r="A78" s="9" t="s">
        <v>44</v>
      </c>
      <c r="B78" s="9" t="s">
        <v>1335</v>
      </c>
      <c r="C78" s="9" t="s">
        <v>1336</v>
      </c>
      <c r="D78" s="9" t="s">
        <v>1359</v>
      </c>
      <c r="E78" s="9" t="s">
        <v>1360</v>
      </c>
      <c r="F78" s="9" t="s">
        <v>1361</v>
      </c>
      <c r="G78" s="9" t="s">
        <v>1364</v>
      </c>
      <c r="L78" s="30">
        <f>$I$33*$L$33</f>
        <v>0</v>
      </c>
      <c r="M78" s="30">
        <f>$I$33*$M$33</f>
        <v>0</v>
      </c>
      <c r="N78" s="30">
        <f>$I$33*$N$33</f>
        <v>0</v>
      </c>
      <c r="O78" s="30">
        <f>$I$33*$O$33</f>
        <v>0</v>
      </c>
      <c r="P78" s="30">
        <f>$I$33*$P$33</f>
        <v>0</v>
      </c>
      <c r="Q78" s="30">
        <f>$I$33*$Q$33</f>
        <v>0</v>
      </c>
      <c r="R78" s="30">
        <f>$I$33*$R$33</f>
        <v>0</v>
      </c>
      <c r="S78" s="30">
        <f>$I$33*$S$33</f>
        <v>0</v>
      </c>
      <c r="T78" s="30">
        <f>$I$33*$T$33</f>
        <v>0</v>
      </c>
      <c r="U78" s="30">
        <f>$I$33*$U$33</f>
        <v>0</v>
      </c>
      <c r="W78" s="30">
        <f>$I$33*$W$33</f>
        <v>0</v>
      </c>
      <c r="X78" s="30">
        <f>$I$33*$X$33</f>
        <v>0</v>
      </c>
      <c r="Y78" s="30">
        <f>$I$33*$Y$33</f>
        <v>0</v>
      </c>
      <c r="Z78" s="30">
        <f>$I$33*$Z$33</f>
        <v>0</v>
      </c>
      <c r="AA78" s="30">
        <f>$I$33*$AA$33</f>
        <v>0</v>
      </c>
      <c r="AB78" s="30">
        <f>$I$33*$AB$33</f>
        <v>0</v>
      </c>
      <c r="AC78" s="30">
        <f>$I$33*$AC$33</f>
        <v>0</v>
      </c>
      <c r="AD78" s="30">
        <f>$I$33*$AD$33</f>
        <v>0</v>
      </c>
      <c r="AE78" s="30">
        <f>$I$33*$AE$33</f>
        <v>0</v>
      </c>
      <c r="AF78" s="30">
        <f>$I$33*$AF$33</f>
        <v>0</v>
      </c>
    </row>
    <row r="79" spans="1:32" ht="11.25" customHeight="1" x14ac:dyDescent="0.25">
      <c r="A79" s="9" t="s">
        <v>44</v>
      </c>
      <c r="B79" s="9" t="s">
        <v>1343</v>
      </c>
      <c r="C79" s="9" t="s">
        <v>1344</v>
      </c>
      <c r="D79" s="9" t="s">
        <v>1365</v>
      </c>
      <c r="E79" s="9" t="s">
        <v>1366</v>
      </c>
      <c r="F79" s="9" t="s">
        <v>1367</v>
      </c>
      <c r="G79" s="9" t="s">
        <v>1368</v>
      </c>
      <c r="L79" s="30">
        <f>$I$34*$L$34</f>
        <v>0</v>
      </c>
      <c r="M79" s="30">
        <f>$I$34*$M$34</f>
        <v>0</v>
      </c>
      <c r="N79" s="30">
        <f>$I$34*$N$34</f>
        <v>0</v>
      </c>
      <c r="O79" s="30">
        <f>$I$34*$O$34</f>
        <v>0</v>
      </c>
      <c r="P79" s="30">
        <f>$I$34*$P$34</f>
        <v>0</v>
      </c>
      <c r="Q79" s="30">
        <f>$I$34*$Q$34</f>
        <v>0</v>
      </c>
      <c r="R79" s="30">
        <f>$I$34*$R$34</f>
        <v>0</v>
      </c>
      <c r="S79" s="30">
        <f>$I$34*$S$34</f>
        <v>0</v>
      </c>
      <c r="T79" s="30">
        <f>$I$34*$T$34</f>
        <v>0</v>
      </c>
      <c r="U79" s="30">
        <f>$I$34*$U$34</f>
        <v>0</v>
      </c>
      <c r="W79" s="30">
        <f>$I$34*$W$34</f>
        <v>0</v>
      </c>
      <c r="X79" s="30">
        <f>$I$34*$X$34</f>
        <v>0</v>
      </c>
      <c r="Y79" s="30">
        <f>$I$34*$Y$34</f>
        <v>0</v>
      </c>
      <c r="Z79" s="30">
        <f>$I$34*$Z$34</f>
        <v>0</v>
      </c>
      <c r="AA79" s="30">
        <f>$I$34*$AA$34</f>
        <v>0</v>
      </c>
      <c r="AB79" s="30">
        <f>$I$34*$AB$34</f>
        <v>0</v>
      </c>
      <c r="AC79" s="30">
        <f>$I$34*$AC$34</f>
        <v>0</v>
      </c>
      <c r="AD79" s="30">
        <f>$I$34*$AD$34</f>
        <v>0</v>
      </c>
      <c r="AE79" s="30">
        <f>$I$34*$AE$34</f>
        <v>0</v>
      </c>
      <c r="AF79" s="30">
        <f>$I$34*$AF$34</f>
        <v>0</v>
      </c>
    </row>
    <row r="80" spans="1:32" ht="11.25" customHeight="1" x14ac:dyDescent="0.25">
      <c r="A80" s="9" t="s">
        <v>44</v>
      </c>
      <c r="B80" s="9" t="s">
        <v>1369</v>
      </c>
      <c r="C80" s="9" t="s">
        <v>1370</v>
      </c>
      <c r="D80" s="9" t="s">
        <v>1371</v>
      </c>
      <c r="E80" s="9" t="s">
        <v>1372</v>
      </c>
      <c r="F80" s="9" t="s">
        <v>1373</v>
      </c>
      <c r="G80" s="9" t="s">
        <v>1374</v>
      </c>
      <c r="L80" s="30">
        <f>$I$35*$L$35</f>
        <v>0</v>
      </c>
      <c r="M80" s="30">
        <f>$I$35*$M$35</f>
        <v>0</v>
      </c>
      <c r="N80" s="30">
        <f>$I$35*$N$35</f>
        <v>0</v>
      </c>
      <c r="O80" s="30">
        <f>$I$35*$O$35</f>
        <v>0</v>
      </c>
      <c r="P80" s="30">
        <f>$I$35*$P$35</f>
        <v>0</v>
      </c>
      <c r="Q80" s="30">
        <f>$I$35*$Q$35</f>
        <v>0</v>
      </c>
      <c r="R80" s="30">
        <f>$I$35*$R$35</f>
        <v>0</v>
      </c>
      <c r="S80" s="30">
        <f>$I$35*$S$35</f>
        <v>0</v>
      </c>
      <c r="T80" s="30">
        <f>$I$35*$T$35</f>
        <v>0</v>
      </c>
      <c r="U80" s="30">
        <f>$I$35*$U$35</f>
        <v>0</v>
      </c>
      <c r="W80" s="30">
        <f>$I$35*$W$35</f>
        <v>0</v>
      </c>
      <c r="X80" s="30">
        <f>$I$35*$X$35</f>
        <v>0</v>
      </c>
      <c r="Y80" s="30">
        <f>$I$35*$Y$35</f>
        <v>0</v>
      </c>
      <c r="Z80" s="30">
        <f>$I$35*$Z$35</f>
        <v>0</v>
      </c>
      <c r="AA80" s="30">
        <f>$I$35*$AA$35</f>
        <v>0</v>
      </c>
      <c r="AB80" s="30">
        <f>$I$35*$AB$35</f>
        <v>0</v>
      </c>
      <c r="AC80" s="30">
        <f>$I$35*$AC$35</f>
        <v>0</v>
      </c>
      <c r="AD80" s="30">
        <f>$I$35*$AD$35</f>
        <v>0</v>
      </c>
      <c r="AE80" s="30">
        <f>$I$35*$AE$35</f>
        <v>0</v>
      </c>
      <c r="AF80" s="30">
        <f>$I$35*$AF$35</f>
        <v>0</v>
      </c>
    </row>
    <row r="81" spans="1:32" ht="11.25" customHeight="1" x14ac:dyDescent="0.25">
      <c r="A81" s="9" t="s">
        <v>44</v>
      </c>
      <c r="B81" s="9" t="s">
        <v>1369</v>
      </c>
      <c r="C81" s="9" t="s">
        <v>1370</v>
      </c>
      <c r="D81" s="9" t="s">
        <v>1375</v>
      </c>
      <c r="E81" s="9" t="s">
        <v>1376</v>
      </c>
      <c r="F81" s="9" t="s">
        <v>1377</v>
      </c>
      <c r="G81" s="9" t="s">
        <v>1378</v>
      </c>
      <c r="L81" s="30">
        <f>$I$36*$L$36</f>
        <v>0</v>
      </c>
      <c r="M81" s="30">
        <f>$I$36*$M$36</f>
        <v>0</v>
      </c>
      <c r="N81" s="30">
        <f>$I$36*$N$36</f>
        <v>0</v>
      </c>
      <c r="O81" s="30">
        <f>$I$36*$O$36</f>
        <v>0</v>
      </c>
      <c r="P81" s="30">
        <f>$I$36*$P$36</f>
        <v>0</v>
      </c>
      <c r="Q81" s="30">
        <f>$I$36*$Q$36</f>
        <v>0</v>
      </c>
      <c r="R81" s="30">
        <f>$I$36*$R$36</f>
        <v>0</v>
      </c>
      <c r="S81" s="30">
        <f>$I$36*$S$36</f>
        <v>0</v>
      </c>
      <c r="T81" s="30">
        <f>$I$36*$T$36</f>
        <v>0</v>
      </c>
      <c r="U81" s="30">
        <f>$I$36*$U$36</f>
        <v>0</v>
      </c>
      <c r="W81" s="30">
        <f>$I$36*$W$36</f>
        <v>0</v>
      </c>
      <c r="X81" s="30">
        <f>$I$36*$X$36</f>
        <v>0</v>
      </c>
      <c r="Y81" s="30">
        <f>$I$36*$Y$36</f>
        <v>0</v>
      </c>
      <c r="Z81" s="30">
        <f>$I$36*$Z$36</f>
        <v>0</v>
      </c>
      <c r="AA81" s="30">
        <f>$I$36*$AA$36</f>
        <v>0</v>
      </c>
      <c r="AB81" s="30">
        <f>$I$36*$AB$36</f>
        <v>0</v>
      </c>
      <c r="AC81" s="30">
        <f>$I$36*$AC$36</f>
        <v>0</v>
      </c>
      <c r="AD81" s="30">
        <f>$I$36*$AD$36</f>
        <v>0</v>
      </c>
      <c r="AE81" s="30">
        <f>$I$36*$AE$36</f>
        <v>0</v>
      </c>
      <c r="AF81" s="30">
        <f>$I$36*$AF$36</f>
        <v>0</v>
      </c>
    </row>
    <row r="82" spans="1:32" ht="11.25" customHeight="1" x14ac:dyDescent="0.25">
      <c r="A82" s="9" t="s">
        <v>44</v>
      </c>
      <c r="B82" s="9" t="s">
        <v>1369</v>
      </c>
      <c r="C82" s="9" t="s">
        <v>1370</v>
      </c>
      <c r="D82" s="9" t="s">
        <v>1379</v>
      </c>
      <c r="E82" s="9" t="s">
        <v>1380</v>
      </c>
      <c r="F82" s="9" t="s">
        <v>1381</v>
      </c>
      <c r="G82" s="9" t="s">
        <v>1382</v>
      </c>
      <c r="L82" s="30">
        <f>$I$37*$L$37</f>
        <v>0</v>
      </c>
      <c r="M82" s="30">
        <f>$I$37*$M$37</f>
        <v>0</v>
      </c>
      <c r="N82" s="30">
        <f>$I$37*$N$37</f>
        <v>0</v>
      </c>
      <c r="O82" s="30">
        <f>$I$37*$O$37</f>
        <v>0</v>
      </c>
      <c r="P82" s="30">
        <f>$I$37*$P$37</f>
        <v>0</v>
      </c>
      <c r="Q82" s="30">
        <f>$I$37*$Q$37</f>
        <v>0</v>
      </c>
      <c r="R82" s="30">
        <f>$I$37*$R$37</f>
        <v>0</v>
      </c>
      <c r="S82" s="30">
        <f>$I$37*$S$37</f>
        <v>0</v>
      </c>
      <c r="T82" s="30">
        <f>$I$37*$T$37</f>
        <v>0</v>
      </c>
      <c r="U82" s="30">
        <f>$I$37*$U$37</f>
        <v>0</v>
      </c>
      <c r="W82" s="30">
        <f>$I$37*$W$37</f>
        <v>0</v>
      </c>
      <c r="X82" s="30">
        <f>$I$37*$X$37</f>
        <v>0</v>
      </c>
      <c r="Y82" s="30">
        <f>$I$37*$Y$37</f>
        <v>0</v>
      </c>
      <c r="Z82" s="30">
        <f>$I$37*$Z$37</f>
        <v>0</v>
      </c>
      <c r="AA82" s="30">
        <f>$I$37*$AA$37</f>
        <v>0</v>
      </c>
      <c r="AB82" s="30">
        <f>$I$37*$AB$37</f>
        <v>0</v>
      </c>
      <c r="AC82" s="30">
        <f>$I$37*$AC$37</f>
        <v>0</v>
      </c>
      <c r="AD82" s="30">
        <f>$I$37*$AD$37</f>
        <v>0</v>
      </c>
      <c r="AE82" s="30">
        <f>$I$37*$AE$37</f>
        <v>0</v>
      </c>
      <c r="AF82" s="30">
        <f>$I$37*$AF$37</f>
        <v>0</v>
      </c>
    </row>
    <row r="83" spans="1:32" ht="11.25" customHeight="1" x14ac:dyDescent="0.25">
      <c r="A83" s="9" t="s">
        <v>39</v>
      </c>
      <c r="B83" s="9" t="s">
        <v>1383</v>
      </c>
      <c r="C83" s="9" t="s">
        <v>1384</v>
      </c>
      <c r="D83" s="9" t="s">
        <v>1385</v>
      </c>
      <c r="E83" s="9" t="s">
        <v>1386</v>
      </c>
      <c r="F83" s="9" t="s">
        <v>1387</v>
      </c>
      <c r="G83" s="9" t="s">
        <v>1388</v>
      </c>
      <c r="L83" s="30">
        <f>$I$38*$L$38</f>
        <v>356.27183220671071</v>
      </c>
      <c r="M83" s="30">
        <f>$I$38*$M$38</f>
        <v>2582.6401387219166</v>
      </c>
      <c r="N83" s="30">
        <f>$I$38*$N$38</f>
        <v>0</v>
      </c>
      <c r="O83" s="30">
        <f>$I$38*$O$38</f>
        <v>4065.3352449569556</v>
      </c>
      <c r="P83" s="30">
        <f>$I$38*$P$38</f>
        <v>48778.797940947072</v>
      </c>
      <c r="Q83" s="30">
        <f>$I$38*$Q$38</f>
        <v>0</v>
      </c>
      <c r="R83" s="30">
        <f>$I$38*$R$38</f>
        <v>0</v>
      </c>
      <c r="S83" s="30">
        <f>$I$38*$S$38</f>
        <v>0</v>
      </c>
      <c r="T83" s="30">
        <f>$I$38*$T$38</f>
        <v>68.256016969412372</v>
      </c>
      <c r="U83" s="30">
        <f>$I$38*$U$38</f>
        <v>880.04246376844412</v>
      </c>
      <c r="W83" s="30">
        <f>$I$38*$W$38</f>
        <v>308.67209901260213</v>
      </c>
      <c r="X83" s="30">
        <f>$I$38*$X$38</f>
        <v>2377.061234246296</v>
      </c>
      <c r="Y83" s="30">
        <f>$I$38*$Y$38</f>
        <v>0</v>
      </c>
      <c r="Z83" s="30">
        <f>$I$38*$Z$38</f>
        <v>0</v>
      </c>
      <c r="AA83" s="30">
        <f>$I$38*$AA$38</f>
        <v>43401.723072530607</v>
      </c>
      <c r="AB83" s="30">
        <f>$I$38*$AB$38</f>
        <v>0</v>
      </c>
      <c r="AC83" s="30">
        <f>$I$38*$AC$38</f>
        <v>0</v>
      </c>
      <c r="AD83" s="30">
        <f>$I$38*$AD$38</f>
        <v>0</v>
      </c>
      <c r="AE83" s="30">
        <f>$I$38*$AE$38</f>
        <v>-3308.8677114115917</v>
      </c>
      <c r="AF83" s="30">
        <f>$I$38*$AF$38</f>
        <v>708.70456125574549</v>
      </c>
    </row>
    <row r="84" spans="1:32" ht="11.25" customHeight="1" x14ac:dyDescent="0.25">
      <c r="A84" s="9" t="s">
        <v>39</v>
      </c>
      <c r="B84" s="9" t="s">
        <v>1383</v>
      </c>
      <c r="C84" s="9" t="s">
        <v>1384</v>
      </c>
      <c r="D84" s="9" t="s">
        <v>1385</v>
      </c>
      <c r="E84" s="9" t="s">
        <v>1386</v>
      </c>
      <c r="F84" s="9" t="s">
        <v>1387</v>
      </c>
      <c r="G84" s="9" t="s">
        <v>1389</v>
      </c>
      <c r="L84" s="30">
        <f>$I$39*$L$39</f>
        <v>353.5086111638397</v>
      </c>
      <c r="M84" s="30">
        <f>$I$39*$M$39</f>
        <v>2562.6093506203774</v>
      </c>
      <c r="N84" s="30">
        <f>$I$39*$N$39</f>
        <v>0</v>
      </c>
      <c r="O84" s="30">
        <f>$I$39*$O$39</f>
        <v>4033.8047705278896</v>
      </c>
      <c r="P84" s="30">
        <f>$I$39*$P$39</f>
        <v>28139.809751479879</v>
      </c>
      <c r="Q84" s="30">
        <f>$I$39*$Q$39</f>
        <v>0</v>
      </c>
      <c r="R84" s="30">
        <f>$I$39*$R$39</f>
        <v>0</v>
      </c>
      <c r="S84" s="30">
        <f>$I$39*$S$39</f>
        <v>0</v>
      </c>
      <c r="T84" s="30">
        <f>$I$39*$T$39</f>
        <v>42.968703085904927</v>
      </c>
      <c r="U84" s="30">
        <f>$I$39*$U$39</f>
        <v>873.2169119434709</v>
      </c>
      <c r="W84" s="30">
        <f>$I$39*$W$39</f>
        <v>306.27805838902594</v>
      </c>
      <c r="X84" s="30">
        <f>$I$39*$X$39</f>
        <v>2358.6249026901951</v>
      </c>
      <c r="Y84" s="30">
        <f>$I$39*$Y$39</f>
        <v>0</v>
      </c>
      <c r="Z84" s="30">
        <f>$I$39*$Z$39</f>
        <v>0</v>
      </c>
      <c r="AA84" s="30">
        <f>$I$39*$AA$39</f>
        <v>25037.850084497462</v>
      </c>
      <c r="AB84" s="30">
        <f>$I$39*$AB$39</f>
        <v>0</v>
      </c>
      <c r="AC84" s="30">
        <f>$I$39*$AC$39</f>
        <v>0</v>
      </c>
      <c r="AD84" s="30">
        <f>$I$39*$AD$39</f>
        <v>0</v>
      </c>
      <c r="AE84" s="30">
        <f>$I$39*$AE$39</f>
        <v>-2072.8276684988391</v>
      </c>
      <c r="AF84" s="30">
        <f>$I$39*$AF$39</f>
        <v>703.20789500315129</v>
      </c>
    </row>
    <row r="85" spans="1:32" ht="11.25" customHeight="1" x14ac:dyDescent="0.25">
      <c r="A85" s="9" t="s">
        <v>39</v>
      </c>
      <c r="B85" s="9" t="s">
        <v>1383</v>
      </c>
      <c r="C85" s="9" t="s">
        <v>1384</v>
      </c>
      <c r="D85" s="9" t="s">
        <v>1385</v>
      </c>
      <c r="E85" s="9" t="s">
        <v>1386</v>
      </c>
      <c r="F85" s="9" t="s">
        <v>1387</v>
      </c>
      <c r="G85" s="9" t="s">
        <v>1390</v>
      </c>
      <c r="L85" s="30">
        <f>$I$40*$L$40</f>
        <v>5637.490029676047</v>
      </c>
      <c r="M85" s="30">
        <f>$I$40*$M$40</f>
        <v>40866.570736466223</v>
      </c>
      <c r="N85" s="30">
        <f>$I$40*$N$40</f>
        <v>0</v>
      </c>
      <c r="O85" s="30">
        <f>$I$40*$O$40</f>
        <v>64328.091190319428</v>
      </c>
      <c r="P85" s="30">
        <f>$I$40*$P$40</f>
        <v>448752.56755039882</v>
      </c>
      <c r="Q85" s="30">
        <f>$I$40*$Q$40</f>
        <v>0</v>
      </c>
      <c r="R85" s="30">
        <f>$I$40*$R$40</f>
        <v>0</v>
      </c>
      <c r="S85" s="30">
        <f>$I$40*$S$40</f>
        <v>0</v>
      </c>
      <c r="T85" s="30">
        <f>$I$40*$T$40</f>
        <v>685.23262965900187</v>
      </c>
      <c r="U85" s="30">
        <f>$I$40*$U$40</f>
        <v>13925.407979791164</v>
      </c>
      <c r="W85" s="30">
        <f>$I$40*$W$40</f>
        <v>4884.2926196115523</v>
      </c>
      <c r="X85" s="30">
        <f>$I$40*$X$40</f>
        <v>37613.579847137065</v>
      </c>
      <c r="Y85" s="30">
        <f>$I$40*$Y$40</f>
        <v>0</v>
      </c>
      <c r="Z85" s="30">
        <f>$I$40*$Z$40</f>
        <v>0</v>
      </c>
      <c r="AA85" s="30">
        <f>$I$40*$AA$40</f>
        <v>399284.84274025029</v>
      </c>
      <c r="AB85" s="30">
        <f>$I$40*$AB$40</f>
        <v>0</v>
      </c>
      <c r="AC85" s="30">
        <f>$I$40*$AC$40</f>
        <v>0</v>
      </c>
      <c r="AD85" s="30">
        <f>$I$40*$AD$40</f>
        <v>0</v>
      </c>
      <c r="AE85" s="30">
        <f>$I$40*$AE$40</f>
        <v>-33055.900041379711</v>
      </c>
      <c r="AF85" s="30">
        <f>$I$40*$AF$40</f>
        <v>11214.231766004732</v>
      </c>
    </row>
    <row r="86" spans="1:32" ht="11.25" customHeight="1" x14ac:dyDescent="0.25">
      <c r="A86" s="9" t="s">
        <v>39</v>
      </c>
      <c r="B86" s="9" t="s">
        <v>1391</v>
      </c>
      <c r="C86" s="9" t="s">
        <v>1392</v>
      </c>
      <c r="D86" s="9" t="s">
        <v>1393</v>
      </c>
      <c r="E86" s="9" t="s">
        <v>1394</v>
      </c>
      <c r="F86" s="9" t="s">
        <v>1395</v>
      </c>
      <c r="G86" s="9" t="s">
        <v>1396</v>
      </c>
      <c r="L86" s="30">
        <f>$I$41*$L$41</f>
        <v>1345753.8630893047</v>
      </c>
      <c r="M86" s="30">
        <f>$I$41*$M$41</f>
        <v>9755466.5552059636</v>
      </c>
      <c r="N86" s="30">
        <f>$I$41*$N$41</f>
        <v>0</v>
      </c>
      <c r="O86" s="30">
        <f>$I$41*$O$41</f>
        <v>15356085.202603558</v>
      </c>
      <c r="P86" s="30">
        <f>$I$41*$P$41</f>
        <v>113551443.65020017</v>
      </c>
      <c r="Q86" s="30">
        <f>$I$41*$Q$41</f>
        <v>0</v>
      </c>
      <c r="R86" s="30">
        <f>$I$41*$R$41</f>
        <v>0</v>
      </c>
      <c r="S86" s="30">
        <f>$I$41*$S$41</f>
        <v>0</v>
      </c>
      <c r="T86" s="30">
        <f>$I$41*$T$41</f>
        <v>171429.49936921432</v>
      </c>
      <c r="U86" s="30">
        <f>$I$41*$U$41</f>
        <v>3324204.8296758537</v>
      </c>
      <c r="W86" s="30">
        <f>$I$41*$W$41</f>
        <v>1165954.2858080301</v>
      </c>
      <c r="X86" s="30">
        <f>$I$41*$X$41</f>
        <v>8978928.5865595527</v>
      </c>
      <c r="Y86" s="30">
        <f>$I$41*$Y$41</f>
        <v>0</v>
      </c>
      <c r="Z86" s="30">
        <f>$I$41*$Z$41</f>
        <v>0</v>
      </c>
      <c r="AA86" s="30">
        <f>$I$41*$AA$41</f>
        <v>101034230.44082458</v>
      </c>
      <c r="AB86" s="30">
        <f>$I$41*$AB$41</f>
        <v>0</v>
      </c>
      <c r="AC86" s="30">
        <f>$I$41*$AC$41</f>
        <v>0</v>
      </c>
      <c r="AD86" s="30">
        <f>$I$41*$AD$41</f>
        <v>0</v>
      </c>
      <c r="AE86" s="30">
        <f>$I$41*$AE$41</f>
        <v>-8274918.4637481607</v>
      </c>
      <c r="AF86" s="30">
        <f>$I$41*$AF$41</f>
        <v>2677006.1926915525</v>
      </c>
    </row>
    <row r="87" spans="1:32" ht="11.25" customHeight="1" x14ac:dyDescent="0.25">
      <c r="A87" s="9" t="s">
        <v>39</v>
      </c>
      <c r="B87" s="9" t="s">
        <v>1397</v>
      </c>
      <c r="C87" s="9" t="s">
        <v>1398</v>
      </c>
      <c r="D87" s="9" t="s">
        <v>1399</v>
      </c>
      <c r="E87" s="9" t="s">
        <v>1400</v>
      </c>
      <c r="F87" s="9" t="s">
        <v>1401</v>
      </c>
      <c r="G87" s="9" t="s">
        <v>1402</v>
      </c>
      <c r="L87" s="30">
        <f>$I$42*$L$42</f>
        <v>0</v>
      </c>
      <c r="M87" s="30">
        <f>$I$42*$M$42</f>
        <v>0</v>
      </c>
      <c r="N87" s="30">
        <f>$I$42*$N$42</f>
        <v>0</v>
      </c>
      <c r="O87" s="30">
        <f>$I$42*$O$42</f>
        <v>0</v>
      </c>
      <c r="P87" s="30">
        <f>$I$42*$P$42</f>
        <v>0</v>
      </c>
      <c r="Q87" s="30">
        <f>$I$42*$Q$42</f>
        <v>0</v>
      </c>
      <c r="R87" s="30">
        <f>$I$42*$R$42</f>
        <v>0</v>
      </c>
      <c r="S87" s="30">
        <f>$I$42*$S$42</f>
        <v>0</v>
      </c>
      <c r="T87" s="30">
        <f>$I$42*$T$42</f>
        <v>0</v>
      </c>
      <c r="U87" s="30">
        <f>$I$42*$U$42</f>
        <v>0</v>
      </c>
      <c r="W87" s="30">
        <f>$I$42*$W$42</f>
        <v>0</v>
      </c>
      <c r="X87" s="30">
        <f>$I$42*$X$42</f>
        <v>0</v>
      </c>
      <c r="Y87" s="30">
        <f>$I$42*$Y$42</f>
        <v>0</v>
      </c>
      <c r="Z87" s="30">
        <f>$I$42*$Z$42</f>
        <v>0</v>
      </c>
      <c r="AA87" s="30">
        <f>$I$42*$AA$42</f>
        <v>0</v>
      </c>
      <c r="AB87" s="30">
        <f>$I$42*$AB$42</f>
        <v>0</v>
      </c>
      <c r="AC87" s="30">
        <f>$I$42*$AC$42</f>
        <v>0</v>
      </c>
      <c r="AD87" s="30">
        <f>$I$42*$AD$42</f>
        <v>0</v>
      </c>
      <c r="AE87" s="30">
        <f>$I$42*$AE$42</f>
        <v>0</v>
      </c>
      <c r="AF87" s="30">
        <f>$I$42*$AF$42</f>
        <v>0</v>
      </c>
    </row>
    <row r="88" spans="1:32" ht="11.25" customHeight="1" x14ac:dyDescent="0.25">
      <c r="A88" s="9" t="s">
        <v>47</v>
      </c>
      <c r="B88" s="9" t="s">
        <v>1403</v>
      </c>
      <c r="C88" s="9" t="s">
        <v>1404</v>
      </c>
      <c r="D88" s="9" t="s">
        <v>1405</v>
      </c>
      <c r="E88" s="9" t="s">
        <v>1406</v>
      </c>
      <c r="F88" s="9" t="s">
        <v>1407</v>
      </c>
      <c r="G88" s="9" t="s">
        <v>1408</v>
      </c>
      <c r="L88" s="30">
        <f>$I$43*$L$43</f>
        <v>380093.65532052686</v>
      </c>
      <c r="M88" s="30">
        <f>$I$43*$M$43</f>
        <v>2755326.248005962</v>
      </c>
      <c r="N88" s="30">
        <f>$I$43*$N$43</f>
        <v>0</v>
      </c>
      <c r="O88" s="30">
        <f>$I$43*$O$43</f>
        <v>4337160.5433643181</v>
      </c>
      <c r="P88" s="30">
        <f>$I$43*$P$43</f>
        <v>32071379.817442365</v>
      </c>
      <c r="Q88" s="30">
        <f>$I$43*$Q$43</f>
        <v>0</v>
      </c>
      <c r="R88" s="30">
        <f>$I$43*$R$43</f>
        <v>0</v>
      </c>
      <c r="S88" s="30">
        <f>$I$43*$S$43</f>
        <v>0</v>
      </c>
      <c r="T88" s="30">
        <f>$I$43*$T$43</f>
        <v>48418.412038166774</v>
      </c>
      <c r="U88" s="30">
        <f>$I$43*$U$43</f>
        <v>938885.77948804141</v>
      </c>
      <c r="W88" s="30">
        <f>$I$43*$W$43</f>
        <v>329311.20510556496</v>
      </c>
      <c r="X88" s="30">
        <f>$I$43*$X$43</f>
        <v>2536001.4791210829</v>
      </c>
      <c r="Y88" s="30">
        <f>$I$43*$Y$43</f>
        <v>0</v>
      </c>
      <c r="Z88" s="30">
        <f>$I$43*$Z$43</f>
        <v>0</v>
      </c>
      <c r="AA88" s="30">
        <f>$I$43*$AA$43</f>
        <v>28536028.031599239</v>
      </c>
      <c r="AB88" s="30">
        <f>$I$43*$AB$43</f>
        <v>0</v>
      </c>
      <c r="AC88" s="30">
        <f>$I$43*$AC$43</f>
        <v>0</v>
      </c>
      <c r="AD88" s="30">
        <f>$I$43*$AD$43</f>
        <v>0</v>
      </c>
      <c r="AE88" s="30">
        <f>$I$43*$AE$43</f>
        <v>-2337161.4175753905</v>
      </c>
      <c r="AF88" s="30">
        <f>$I$43*$AF$43</f>
        <v>756091.50900746486</v>
      </c>
    </row>
    <row r="89" spans="1:32" ht="11.25" customHeight="1" x14ac:dyDescent="0.25">
      <c r="A89" s="9" t="s">
        <v>47</v>
      </c>
      <c r="B89" s="9" t="s">
        <v>1403</v>
      </c>
      <c r="C89" s="9" t="s">
        <v>1404</v>
      </c>
      <c r="D89" s="9" t="s">
        <v>1409</v>
      </c>
      <c r="E89" s="9" t="s">
        <v>1410</v>
      </c>
      <c r="F89" s="9" t="s">
        <v>1411</v>
      </c>
      <c r="G89" s="9" t="s">
        <v>1412</v>
      </c>
      <c r="L89" s="30">
        <f>$I$44*$L$44</f>
        <v>0</v>
      </c>
      <c r="M89" s="30">
        <f>$I$44*$M$44</f>
        <v>0</v>
      </c>
      <c r="N89" s="30">
        <f>$I$44*$N$44</f>
        <v>0</v>
      </c>
      <c r="O89" s="30">
        <f>$I$44*$O$44</f>
        <v>0</v>
      </c>
      <c r="P89" s="30">
        <f>$I$44*$P$44</f>
        <v>0</v>
      </c>
      <c r="Q89" s="30">
        <f>$I$44*$Q$44</f>
        <v>0</v>
      </c>
      <c r="R89" s="30">
        <f>$I$44*$R$44</f>
        <v>0</v>
      </c>
      <c r="S89" s="30">
        <f>$I$44*$S$44</f>
        <v>0</v>
      </c>
      <c r="T89" s="30">
        <f>$I$44*$T$44</f>
        <v>0</v>
      </c>
      <c r="U89" s="30">
        <f>$I$44*$U$44</f>
        <v>0</v>
      </c>
      <c r="W89" s="30">
        <f>$I$44*$W$44</f>
        <v>0</v>
      </c>
      <c r="X89" s="30">
        <f>$I$44*$X$44</f>
        <v>0</v>
      </c>
      <c r="Y89" s="30">
        <f>$I$44*$Y$44</f>
        <v>0</v>
      </c>
      <c r="Z89" s="30">
        <f>$I$44*$Z$44</f>
        <v>0</v>
      </c>
      <c r="AA89" s="30">
        <f>$I$44*$AA$44</f>
        <v>0</v>
      </c>
      <c r="AB89" s="30">
        <f>$I$44*$AB$44</f>
        <v>0</v>
      </c>
      <c r="AC89" s="30">
        <f>$I$44*$AC$44</f>
        <v>0</v>
      </c>
      <c r="AD89" s="30">
        <f>$I$44*$AD$44</f>
        <v>0</v>
      </c>
      <c r="AE89" s="30">
        <f>$I$44*$AE$44</f>
        <v>0</v>
      </c>
      <c r="AF89" s="30">
        <f>$I$44*$AF$44</f>
        <v>0</v>
      </c>
    </row>
  </sheetData>
  <mergeCells count="75">
    <mergeCell ref="F1:F4"/>
    <mergeCell ref="A1:A4"/>
    <mergeCell ref="B1:B4"/>
    <mergeCell ref="C1:C4"/>
    <mergeCell ref="D1:D4"/>
    <mergeCell ref="E1:E4"/>
    <mergeCell ref="G1:G4"/>
    <mergeCell ref="H1:H4"/>
    <mergeCell ref="I1:I4"/>
    <mergeCell ref="J1:J4"/>
    <mergeCell ref="L1:U1"/>
    <mergeCell ref="L2:U2"/>
    <mergeCell ref="L3:O3"/>
    <mergeCell ref="Q3:S3"/>
    <mergeCell ref="A5:A6"/>
    <mergeCell ref="B5:B6"/>
    <mergeCell ref="C5:C6"/>
    <mergeCell ref="D5:D6"/>
    <mergeCell ref="E5:E6"/>
    <mergeCell ref="A7:A9"/>
    <mergeCell ref="B7:B8"/>
    <mergeCell ref="C7:C8"/>
    <mergeCell ref="D7:D8"/>
    <mergeCell ref="E7:E8"/>
    <mergeCell ref="A10:A22"/>
    <mergeCell ref="B10:B12"/>
    <mergeCell ref="C10:C12"/>
    <mergeCell ref="D10:D12"/>
    <mergeCell ref="E10:E12"/>
    <mergeCell ref="B13:B17"/>
    <mergeCell ref="C13:C17"/>
    <mergeCell ref="B18:B22"/>
    <mergeCell ref="C18:C22"/>
    <mergeCell ref="A23:A37"/>
    <mergeCell ref="B23:B25"/>
    <mergeCell ref="C23:C25"/>
    <mergeCell ref="D23:D25"/>
    <mergeCell ref="E23:E25"/>
    <mergeCell ref="B27:B29"/>
    <mergeCell ref="C27:C29"/>
    <mergeCell ref="D27:D29"/>
    <mergeCell ref="E27:E29"/>
    <mergeCell ref="W1:AF1"/>
    <mergeCell ref="W2:AF2"/>
    <mergeCell ref="W3:Z3"/>
    <mergeCell ref="AB3:AD3"/>
    <mergeCell ref="B35:B37"/>
    <mergeCell ref="C35:C37"/>
    <mergeCell ref="F27:F29"/>
    <mergeCell ref="B31:B33"/>
    <mergeCell ref="C31:C33"/>
    <mergeCell ref="D31:D33"/>
    <mergeCell ref="E31:E33"/>
    <mergeCell ref="F31:F33"/>
    <mergeCell ref="F23:F25"/>
    <mergeCell ref="F10:F12"/>
    <mergeCell ref="F7:F8"/>
    <mergeCell ref="F5:F6"/>
    <mergeCell ref="E38:E40"/>
    <mergeCell ref="F38:F40"/>
    <mergeCell ref="A43:A44"/>
    <mergeCell ref="B43:B44"/>
    <mergeCell ref="C43:C44"/>
    <mergeCell ref="A38:A42"/>
    <mergeCell ref="B38:B40"/>
    <mergeCell ref="C38:C40"/>
    <mergeCell ref="D38:D40"/>
    <mergeCell ref="L46:U46"/>
    <mergeCell ref="W46:AF46"/>
    <mergeCell ref="L47:U47"/>
    <mergeCell ref="W47:AF47"/>
    <mergeCell ref="L48:O48"/>
    <mergeCell ref="Q48:S48"/>
    <mergeCell ref="W48:Z48"/>
    <mergeCell ref="AB48:AD48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5448-3819-4405-B2C6-CB3F55CDA7B3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2.42578125" style="16" bestFit="1" customWidth="1"/>
    <col min="3" max="3" width="10.28515625" style="16" bestFit="1" customWidth="1"/>
    <col min="4" max="4" width="10.85546875" style="16" bestFit="1" customWidth="1"/>
    <col min="5" max="5" width="20.7109375" style="16" bestFit="1" customWidth="1"/>
    <col min="6" max="6" width="10.28515625" style="16" bestFit="1" customWidth="1"/>
    <col min="7" max="7" width="11.7109375" style="16" bestFit="1" customWidth="1"/>
    <col min="8" max="8" width="10.85546875" style="16" bestFit="1" customWidth="1"/>
    <col min="9" max="9" width="8" style="16" bestFit="1" customWidth="1"/>
    <col min="10" max="10" width="11.7109375" style="16" bestFit="1" customWidth="1"/>
    <col min="11" max="11" width="10.85546875" style="16" bestFit="1" customWidth="1"/>
    <col min="12" max="12" width="10" style="16" bestFit="1" customWidth="1"/>
    <col min="13" max="13" width="9.7109375" style="16" bestFit="1" customWidth="1"/>
    <col min="14" max="14" width="10" style="16" bestFit="1" customWidth="1"/>
    <col min="15" max="15" width="7.42578125" style="16" bestFit="1" customWidth="1"/>
    <col min="16" max="16" width="9.7109375" style="16" bestFit="1" customWidth="1"/>
    <col min="17" max="17" width="11.7109375" style="16" bestFit="1" customWidth="1"/>
    <col min="18" max="18" width="10" style="16" bestFit="1" customWidth="1"/>
    <col min="19" max="19" width="7.140625" style="16" bestFit="1" customWidth="1"/>
    <col min="20" max="20" width="14.5703125" style="16" bestFit="1" customWidth="1"/>
    <col min="21" max="21" width="17.7109375" style="16" bestFit="1" customWidth="1"/>
    <col min="22" max="22" width="18.42578125" style="16" bestFit="1" customWidth="1"/>
    <col min="23" max="23" width="10.85546875" style="16" bestFit="1" customWidth="1"/>
    <col min="24" max="24" width="20.7109375" style="16" bestFit="1" customWidth="1"/>
    <col min="25" max="26" width="9.140625" style="16"/>
    <col min="27" max="27" width="3" style="16" bestFit="1" customWidth="1"/>
    <col min="28" max="28" width="21.57031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80</v>
      </c>
      <c r="B1" s="16" t="s">
        <v>81</v>
      </c>
      <c r="C1" s="16" t="s">
        <v>82</v>
      </c>
      <c r="D1" s="16" t="s">
        <v>83</v>
      </c>
      <c r="E1" s="16" t="s">
        <v>84</v>
      </c>
      <c r="F1" s="16" t="s">
        <v>15</v>
      </c>
      <c r="G1" s="16" t="s">
        <v>86</v>
      </c>
      <c r="I1" s="16" t="s">
        <v>1420</v>
      </c>
      <c r="AA1" s="16" t="s">
        <v>41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41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6" t="s">
        <v>33</v>
      </c>
      <c r="AB2" s="16" t="s">
        <v>42</v>
      </c>
      <c r="AC2" s="16" t="s">
        <v>24</v>
      </c>
      <c r="AD2" s="16" t="s">
        <v>24</v>
      </c>
      <c r="AE2" s="16" t="s">
        <v>58</v>
      </c>
      <c r="AF2" s="16" t="s">
        <v>62</v>
      </c>
      <c r="AG2" s="16" t="s">
        <v>94</v>
      </c>
    </row>
    <row r="3" spans="1:33" x14ac:dyDescent="0.2">
      <c r="AA3" s="16" t="s">
        <v>98</v>
      </c>
      <c r="AB3" s="16" t="s">
        <v>61</v>
      </c>
      <c r="AC3" s="16" t="s">
        <v>45</v>
      </c>
      <c r="AD3" s="16" t="s">
        <v>29</v>
      </c>
      <c r="AE3" s="16" t="s">
        <v>99</v>
      </c>
      <c r="AG3" s="16" t="s">
        <v>95</v>
      </c>
    </row>
    <row r="4" spans="1:33" x14ac:dyDescent="0.2">
      <c r="AA4" s="16" t="s">
        <v>22</v>
      </c>
      <c r="AB4" s="16" t="s">
        <v>64</v>
      </c>
      <c r="AC4" s="16" t="s">
        <v>48</v>
      </c>
      <c r="AD4" s="16" t="s">
        <v>30</v>
      </c>
      <c r="AE4" s="16" t="s">
        <v>100</v>
      </c>
      <c r="AG4" s="16" t="s">
        <v>96</v>
      </c>
    </row>
    <row r="5" spans="1:33" x14ac:dyDescent="0.2">
      <c r="A5" s="16" t="s">
        <v>1413</v>
      </c>
      <c r="B5" s="16" t="str">
        <f>TUSD!$AI$4</f>
        <v>CDE Covid TUSD</v>
      </c>
      <c r="C5" s="16" t="str">
        <f>TUSD!$AJ$4</f>
        <v>TFSEE</v>
      </c>
      <c r="D5" s="16" t="str">
        <f>TUSD!$AK$4</f>
        <v>P&amp;D</v>
      </c>
      <c r="E5" s="16" t="str">
        <f>TUSD!$AL$4</f>
        <v>ONS</v>
      </c>
      <c r="F5" s="16" t="str">
        <f>TUSD!$AM$4</f>
        <v>CCC</v>
      </c>
      <c r="G5" s="16" t="str">
        <f>TUSD!$AN$4</f>
        <v>CDE</v>
      </c>
      <c r="H5" s="16" t="str">
        <f>TUSD!$AO$4</f>
        <v>PROINFA</v>
      </c>
      <c r="I5" s="16" t="str">
        <f>TUSD!$AP$4</f>
        <v>LIMINAR 1</v>
      </c>
      <c r="J5" s="16" t="str">
        <f>TUSD!$AQ$4</f>
        <v>TUSD RB</v>
      </c>
      <c r="K5" s="16" t="str">
        <f>TUSD!$AR$4</f>
        <v>TUSD FR</v>
      </c>
      <c r="L5" s="16" t="str">
        <f>TUSD!$AS$4</f>
        <v>CONEXAO T</v>
      </c>
      <c r="M5" s="16" t="str">
        <f>TUSD!$AT$4</f>
        <v>CONEXAO D</v>
      </c>
      <c r="N5" s="16" t="str">
        <f>TUSD!$AU$4</f>
        <v>CUSD</v>
      </c>
      <c r="O5" s="16" t="str">
        <f>TUSD!$AV$4</f>
        <v>TUSDG-T</v>
      </c>
      <c r="P5" s="16" t="str">
        <f>TUSD!$AW$4</f>
        <v>TUSDG-ONS</v>
      </c>
      <c r="Q5" s="16" t="str">
        <f>TUSD!$AX$4</f>
        <v>DISTRIBUICAO</v>
      </c>
      <c r="R5" s="16" t="str">
        <f>TUSD!$AY$4</f>
        <v>SUBSIDIO</v>
      </c>
      <c r="S5" s="16" t="str">
        <f>TUSD!$AZ$4</f>
        <v>OUTROS</v>
      </c>
      <c r="T5" s="16" t="str">
        <f>TUSD!$BA$4</f>
        <v>PERDAS TECNICAS</v>
      </c>
      <c r="U5" s="16" t="str">
        <f>TUSD!$BB$4</f>
        <v>PERDAS RB/ PERDAS D</v>
      </c>
      <c r="V5" s="16" t="str">
        <f>TUSD!$BC$4</f>
        <v>PERDAS NAO TECNICAS</v>
      </c>
      <c r="W5" s="16" t="str">
        <f>TUSD!$BD$4</f>
        <v>RI</v>
      </c>
      <c r="X5" s="16" t="s">
        <v>791</v>
      </c>
      <c r="AA5" s="16" t="s">
        <v>44</v>
      </c>
      <c r="AB5" s="16" t="s">
        <v>34</v>
      </c>
      <c r="AD5" s="16" t="s">
        <v>31</v>
      </c>
      <c r="AG5" s="16" t="s">
        <v>9</v>
      </c>
    </row>
    <row r="6" spans="1:33" x14ac:dyDescent="0.2">
      <c r="A6" s="16" t="s">
        <v>1414</v>
      </c>
      <c r="B6" s="57">
        <f>SUM(TUSD!$AI$68:'TUSD'!$AI$125)</f>
        <v>0</v>
      </c>
      <c r="C6" s="57">
        <f>SUM(TUSD!$AJ$68:'TUSD'!$AJ$125)</f>
        <v>2189591.7277315231</v>
      </c>
      <c r="D6" s="57">
        <f>SUM(TUSD!$AK$68:'TUSD'!$AK$125)</f>
        <v>9725687.9350825604</v>
      </c>
      <c r="E6" s="57">
        <f>SUM(TUSD!$AL$68:'TUSD'!$AL$125)</f>
        <v>206.78379429036735</v>
      </c>
      <c r="F6" s="57">
        <f>SUM(TUSD!$AM$68:'TUSD'!$AM$125)</f>
        <v>0</v>
      </c>
      <c r="G6" s="57">
        <f>SUM(TUSD!$AN$68:'TUSD'!$AN$125)</f>
        <v>76413505.204510331</v>
      </c>
      <c r="H6" s="57">
        <f>SUM(TUSD!$AO$68:'TUSD'!$AO$125)</f>
        <v>53115861.543569855</v>
      </c>
      <c r="I6" s="57">
        <f>SUM(TUSD!$AP$68:'TUSD'!$AP$125)</f>
        <v>0</v>
      </c>
      <c r="J6" s="57">
        <f>SUM(TUSD!$AQ$68:'TUSD'!$AQ$125)</f>
        <v>141735176.72958958</v>
      </c>
      <c r="K6" s="57">
        <f>SUM(TUSD!$AR$68:'TUSD'!$AR$125)</f>
        <v>52830753.121498622</v>
      </c>
      <c r="L6" s="57">
        <f>SUM(TUSD!$AS$68:'TUSD'!$AS$125)</f>
        <v>10989646.080339672</v>
      </c>
      <c r="M6" s="57">
        <f>SUM(TUSD!$AT$68:'TUSD'!$AT$125)</f>
        <v>0</v>
      </c>
      <c r="N6" s="57">
        <f>SUM(TUSD!$AU$68:'TUSD'!$AU$125)</f>
        <v>6007717.8061913578</v>
      </c>
      <c r="O6" s="57">
        <f>SUM(TUSD!$AV$68:'TUSD'!$AV$125)</f>
        <v>0</v>
      </c>
      <c r="P6" s="57">
        <f>SUM(TUSD!$AW$68:'TUSD'!$AW$125)</f>
        <v>0</v>
      </c>
      <c r="Q6" s="57">
        <f>SUM(TUSD!$AX$68:'TUSD'!$AX$125)</f>
        <v>673467238.42219067</v>
      </c>
      <c r="R6" s="57">
        <f>SUM(TUSD!$AY$68:'TUSD'!$AY$125)</f>
        <v>-93239719.488248229</v>
      </c>
      <c r="S6" s="57">
        <f>SUM(TUSD!$AZ$68:'TUSD'!$AZ$125)</f>
        <v>0</v>
      </c>
      <c r="T6" s="57">
        <f>SUM(TUSD!$BA$68:'TUSD'!$BA$125)</f>
        <v>94421504.054432571</v>
      </c>
      <c r="U6" s="57">
        <f>SUM(TUSD!$BB$68:'TUSD'!$BB$125)</f>
        <v>5081921.3457087204</v>
      </c>
      <c r="V6" s="57">
        <f>SUM(TUSD!$BC$68:'TUSD'!$BC$125)</f>
        <v>96988708.497962818</v>
      </c>
      <c r="W6" s="57">
        <f>SUM(TUSD!$BD$68:'TUSD'!$BD$125)</f>
        <v>25157375.985450953</v>
      </c>
      <c r="X6" s="57">
        <f t="shared" ref="X6:X11" si="0">SUM(B6:W6)</f>
        <v>1154885175.7498055</v>
      </c>
      <c r="AA6" s="16" t="s">
        <v>39</v>
      </c>
      <c r="AB6" s="16" t="s">
        <v>37</v>
      </c>
      <c r="AD6" s="16" t="s">
        <v>32</v>
      </c>
      <c r="AG6" s="16" t="s">
        <v>91</v>
      </c>
    </row>
    <row r="7" spans="1:33" x14ac:dyDescent="0.2">
      <c r="A7" s="16" t="s">
        <v>1415</v>
      </c>
      <c r="B7" s="57">
        <f>SUM(TUSD!$L$68:'TUSD'!$L$125)</f>
        <v>30886243.168752681</v>
      </c>
      <c r="C7" s="57">
        <f>SUM(TUSD!$M$68:'TUSD'!$M$125)</f>
        <v>2560454.4350251802</v>
      </c>
      <c r="D7" s="57">
        <f ca="1">SUM(TUSD!$N$68:'TUSD'!$N$125)</f>
        <v>11977818.969743453</v>
      </c>
      <c r="E7" s="57">
        <f>SUM(TUSD!$O$68:'TUSD'!$O$125)</f>
        <v>278.29450339851525</v>
      </c>
      <c r="F7" s="57">
        <f>SUM(TUSD!$P$68:'TUSD'!$P$125)</f>
        <v>0</v>
      </c>
      <c r="G7" s="57">
        <f>SUM(TUSD!$Q$68:'TUSD'!$Q$125)</f>
        <v>121568274.12463239</v>
      </c>
      <c r="H7" s="57">
        <f>SUM(TUSD!$R$68:'TUSD'!$R$125)</f>
        <v>55447150.989115044</v>
      </c>
      <c r="I7" s="57">
        <f>SUM(TUSD!$S$68:'TUSD'!$S$125)</f>
        <v>0</v>
      </c>
      <c r="J7" s="57">
        <f>SUM(TUSD!$T$68:'TUSD'!$T$125)</f>
        <v>139380556.91642278</v>
      </c>
      <c r="K7" s="57">
        <f>SUM(TUSD!$U$68:'TUSD'!$U$125)</f>
        <v>35764142.954627641</v>
      </c>
      <c r="L7" s="57">
        <f>SUM(TUSD!$V$68:'TUSD'!$V$125)</f>
        <v>10027093.031427391</v>
      </c>
      <c r="M7" s="57">
        <f>SUM(TUSD!$W$68:'TUSD'!$W$125)</f>
        <v>0</v>
      </c>
      <c r="N7" s="57">
        <f>SUM(TUSD!$X$68:'TUSD'!$X$125)</f>
        <v>5050451.4729924435</v>
      </c>
      <c r="O7" s="57">
        <f>SUM(TUSD!$Y$68:'TUSD'!$Y$125)</f>
        <v>0</v>
      </c>
      <c r="P7" s="57">
        <f>SUM(TUSD!$Z$68:'TUSD'!$Z$125)</f>
        <v>0</v>
      </c>
      <c r="Q7" s="57">
        <f>SUM(TUSD!$AA$68:'TUSD'!$AA$125)</f>
        <v>752154113.8823899</v>
      </c>
      <c r="R7" s="57">
        <f ca="1">SUM(TUSD!$AB$68:'TUSD'!$AB$125)</f>
        <v>1826836.3592588117</v>
      </c>
      <c r="S7" s="57">
        <f ca="1">SUM(TUSD!$AC$68:'TUSD'!$AC$125)</f>
        <v>0</v>
      </c>
      <c r="T7" s="57">
        <f>SUM(TUSD!$AD$68:'TUSD'!$AD$125)</f>
        <v>106636987.66506955</v>
      </c>
      <c r="U7" s="57">
        <f>SUM(TUSD!$AE$68:'TUSD'!$AE$125)</f>
        <v>6319927.4972295007</v>
      </c>
      <c r="V7" s="57">
        <f ca="1">SUM(TUSD!$AF$68:'TUSD'!$AF$125)</f>
        <v>108903118.57096563</v>
      </c>
      <c r="W7" s="57">
        <f ca="1">SUM(TUSD!$AG$68:'TUSD'!$AG$125)</f>
        <v>35465847.121640794</v>
      </c>
      <c r="X7" s="57">
        <f t="shared" ca="1" si="0"/>
        <v>1423969295.4537964</v>
      </c>
      <c r="AA7" s="16" t="s">
        <v>47</v>
      </c>
      <c r="AB7" s="16" t="s">
        <v>23</v>
      </c>
      <c r="AD7" s="16" t="s">
        <v>104</v>
      </c>
      <c r="AG7" s="16" t="s">
        <v>92</v>
      </c>
    </row>
    <row r="8" spans="1:33" x14ac:dyDescent="0.2">
      <c r="A8" s="16" t="s">
        <v>1418</v>
      </c>
      <c r="B8" s="57">
        <f>IF($G$2&lt;&gt;"Não se aplica",SUMIF(TUSD!$G$68:'TUSD'!$G$125,$I$2,TUSD!$AI$68:'TUSD'!$AI$125),IF($F$2&lt;&gt;"Não se aplica",SUMIF(TUSD!$F$68:'TUSD'!$F$125,$I$2,TUSD!$AI$68:'TUSD'!$AI$125),IF($E$2&lt;&gt;"Não se aplica",SUMIF(TUSD!$E$68:'TUSD'!$E$125,$I$2,TUSD!$AI$68:'TUSD'!$AI$125),IF($D$2&lt;&gt;"Não se aplica",SUMIF(TUSD!$D$68:'TUSD'!$D$125,$I$2,TUSD!$AI$68:'TUSD'!$AI$125),IF($C$2&lt;&gt;"Não se aplica",SUMIF(TUSD!$C$68:'TUSD'!$C$125,$I$2,TUSD!$AI$68:'TUSD'!$AI$125),IF($B$2&lt;&gt;"Não se aplica",SUMIF(TUSD!$B$68:'TUSD'!$B$125,$I$2,TUSD!$AI$68:'TUSD'!$AI$125),SUMIF(TUSD!$A$68:'TUSD'!$A$125,$I$2,TUSD!$AI$68:'TUSD'!$AI$125)))))))</f>
        <v>0</v>
      </c>
      <c r="C8" s="57">
        <f>IF($G$2&lt;&gt;"Não se aplica",SUMIF(TUSD!$G$68:'TUSD'!$G$125,$I$2,TUSD!$AJ$68:'TUSD'!$AJ$125),IF($F$2&lt;&gt;"Não se aplica",SUMIF(TUSD!$F$68:'TUSD'!$F$125,$I$2,TUSD!$AJ$68:'TUSD'!$AJ$125),IF($E$2&lt;&gt;"Não se aplica",SUMIF(TUSD!$E$68:'TUSD'!$E$125,$I$2,TUSD!$AJ$68:'TUSD'!$AJ$125),IF($D$2&lt;&gt;"Não se aplica",SUMIF(TUSD!$D$68:'TUSD'!$D$125,$I$2,TUSD!$AJ$68:'TUSD'!$AJ$125),IF($C$2&lt;&gt;"Não se aplica",SUMIF(TUSD!$C$68:'TUSD'!$C$125,$I$2,TUSD!$AJ$68:'TUSD'!$AJ$125),IF($B$2&lt;&gt;"Não se aplica",SUMIF(TUSD!$B$68:'TUSD'!$B$125,$I$2,TUSD!$AJ$68:'TUSD'!$AJ$125),SUMIF(TUSD!$A$68:'TUSD'!$A$125,$I$2,TUSD!$AJ$68:'TUSD'!$AJ$125)))))))</f>
        <v>97923.115051418194</v>
      </c>
      <c r="D8" s="57">
        <f>IF($G$2&lt;&gt;"Não se aplica",SUMIF(TUSD!$G$68:'TUSD'!$G$125,$I$2,TUSD!$AK$68:'TUSD'!$AK$125),IF($F$2&lt;&gt;"Não se aplica",SUMIF(TUSD!$F$68:'TUSD'!$F$125,$I$2,TUSD!$AK$68:'TUSD'!$AK$125),IF($E$2&lt;&gt;"Não se aplica",SUMIF(TUSD!$E$68:'TUSD'!$E$125,$I$2,TUSD!$AK$68:'TUSD'!$AK$125),IF($D$2&lt;&gt;"Não se aplica",SUMIF(TUSD!$D$68:'TUSD'!$D$125,$I$2,TUSD!$AK$68:'TUSD'!$AK$125),IF($C$2&lt;&gt;"Não se aplica",SUMIF(TUSD!$C$68:'TUSD'!$C$125,$I$2,TUSD!$AK$68:'TUSD'!$AK$125),IF($B$2&lt;&gt;"Não se aplica",SUMIF(TUSD!$B$68:'TUSD'!$B$125,$I$2,TUSD!$AK$68:'TUSD'!$AK$125),SUMIF(TUSD!$A$68:'TUSD'!$A$125,$I$2,TUSD!$AK$68:'TUSD'!$AK$125)))))))</f>
        <v>375500.74260294857</v>
      </c>
      <c r="E8" s="57">
        <f>IF($G$2&lt;&gt;"Não se aplica",SUMIF(TUSD!$G$68:'TUSD'!$G$125,$I$2,TUSD!$AL$68:'TUSD'!$AL$125),IF($F$2&lt;&gt;"Não se aplica",SUMIF(TUSD!$F$68:'TUSD'!$F$125,$I$2,TUSD!$AL$68:'TUSD'!$AL$125),IF($E$2&lt;&gt;"Não se aplica",SUMIF(TUSD!$E$68:'TUSD'!$E$125,$I$2,TUSD!$AL$68:'TUSD'!$AL$125),IF($D$2&lt;&gt;"Não se aplica",SUMIF(TUSD!$D$68:'TUSD'!$D$125,$I$2,TUSD!$AL$68:'TUSD'!$AL$125),IF($C$2&lt;&gt;"Não se aplica",SUMIF(TUSD!$C$68:'TUSD'!$C$125,$I$2,TUSD!$AL$68:'TUSD'!$AL$125),IF($B$2&lt;&gt;"Não se aplica",SUMIF(TUSD!$B$68:'TUSD'!$B$125,$I$2,TUSD!$AL$68:'TUSD'!$AL$125),SUMIF(TUSD!$A$68:'TUSD'!$A$125,$I$2,TUSD!$AL$68:'TUSD'!$AL$125)))))))</f>
        <v>4415.1613073461122</v>
      </c>
      <c r="F8" s="57">
        <f>IF($G$2&lt;&gt;"Não se aplica",SUMIF(TUSD!$G$68:'TUSD'!$G$125,$I$2,TUSD!$AM$68:'TUSD'!$AM$125),IF($F$2&lt;&gt;"Não se aplica",SUMIF(TUSD!$F$68:'TUSD'!$F$125,$I$2,TUSD!$AM$68:'TUSD'!$AM$125),IF($E$2&lt;&gt;"Não se aplica",SUMIF(TUSD!$E$68:'TUSD'!$E$125,$I$2,TUSD!$AM$68:'TUSD'!$AM$125),IF($D$2&lt;&gt;"Não se aplica",SUMIF(TUSD!$D$68:'TUSD'!$D$125,$I$2,TUSD!$AM$68:'TUSD'!$AM$125),IF($C$2&lt;&gt;"Não se aplica",SUMIF(TUSD!$C$68:'TUSD'!$C$125,$I$2,TUSD!$AM$68:'TUSD'!$AM$125),IF($B$2&lt;&gt;"Não se aplica",SUMIF(TUSD!$B$68:'TUSD'!$B$125,$I$2,TUSD!$AM$68:'TUSD'!$AM$125),SUMIF(TUSD!$A$68:'TUSD'!$A$125,$I$2,TUSD!$AM$68:'TUSD'!$AM$125)))))))</f>
        <v>0</v>
      </c>
      <c r="G8" s="57">
        <f>IF($G$2&lt;&gt;"Não se aplica",SUMIF(TUSD!$G$68:'TUSD'!$G$125,$I$2,TUSD!$AN$68:'TUSD'!$AN$125),IF($F$2&lt;&gt;"Não se aplica",SUMIF(TUSD!$F$68:'TUSD'!$F$125,$I$2,TUSD!$AN$68:'TUSD'!$AN$125),IF($E$2&lt;&gt;"Não se aplica",SUMIF(TUSD!$E$68:'TUSD'!$E$125,$I$2,TUSD!$AN$68:'TUSD'!$AN$125),IF($D$2&lt;&gt;"Não se aplica",SUMIF(TUSD!$D$68:'TUSD'!$D$125,$I$2,TUSD!$AN$68:'TUSD'!$AN$125),IF($C$2&lt;&gt;"Não se aplica",SUMIF(TUSD!$C$68:'TUSD'!$C$125,$I$2,TUSD!$AN$68:'TUSD'!$AN$125),IF($B$2&lt;&gt;"Não se aplica",SUMIF(TUSD!$B$68:'TUSD'!$B$125,$I$2,TUSD!$AN$68:'TUSD'!$AN$125),SUMIF(TUSD!$A$68:'TUSD'!$A$125,$I$2,TUSD!$AN$68:'TUSD'!$AN$125)))))))</f>
        <v>7678667.2662562113</v>
      </c>
      <c r="H8" s="57">
        <f>IF($G$2&lt;&gt;"Não se aplica",SUMIF(TUSD!$G$68:'TUSD'!$G$125,$I$2,TUSD!$AO$68:'TUSD'!$AO$125),IF($F$2&lt;&gt;"Não se aplica",SUMIF(TUSD!$F$68:'TUSD'!$F$125,$I$2,TUSD!$AO$68:'TUSD'!$AO$125),IF($E$2&lt;&gt;"Não se aplica",SUMIF(TUSD!$E$68:'TUSD'!$E$125,$I$2,TUSD!$AO$68:'TUSD'!$AO$125),IF($D$2&lt;&gt;"Não se aplica",SUMIF(TUSD!$D$68:'TUSD'!$D$125,$I$2,TUSD!$AO$68:'TUSD'!$AO$125),IF($C$2&lt;&gt;"Não se aplica",SUMIF(TUSD!$C$68:'TUSD'!$C$125,$I$2,TUSD!$AO$68:'TUSD'!$AO$125),IF($B$2&lt;&gt;"Não se aplica",SUMIF(TUSD!$B$68:'TUSD'!$B$125,$I$2,TUSD!$AO$68:'TUSD'!$AO$125),SUMIF(TUSD!$A$68:'TUSD'!$A$125,$I$2,TUSD!$AO$68:'TUSD'!$AO$125)))))))</f>
        <v>7295610.6301281927</v>
      </c>
      <c r="I8" s="57">
        <f>IF($G$2&lt;&gt;"Não se aplica",SUMIF(TUSD!$G$68:'TUSD'!$G$125,$I$2,TUSD!$AP$68:'TUSD'!$AP$125),IF($F$2&lt;&gt;"Não se aplica",SUMIF(TUSD!$F$68:'TUSD'!$F$125,$I$2,TUSD!$AP$68:'TUSD'!$AP$125),IF($E$2&lt;&gt;"Não se aplica",SUMIF(TUSD!$E$68:'TUSD'!$E$125,$I$2,TUSD!$AP$68:'TUSD'!$AP$125),IF($D$2&lt;&gt;"Não se aplica",SUMIF(TUSD!$D$68:'TUSD'!$D$125,$I$2,TUSD!$AP$68:'TUSD'!$AP$125),IF($C$2&lt;&gt;"Não se aplica",SUMIF(TUSD!$C$68:'TUSD'!$C$125,$I$2,TUSD!$AP$68:'TUSD'!$AP$125),IF($B$2&lt;&gt;"Não se aplica",SUMIF(TUSD!$B$68:'TUSD'!$B$125,$I$2,TUSD!$AP$68:'TUSD'!$AP$125),SUMIF(TUSD!$A$68:'TUSD'!$A$125,$I$2,TUSD!$AP$68:'TUSD'!$AP$125)))))))</f>
        <v>0</v>
      </c>
      <c r="J8" s="57">
        <f>IF($G$2&lt;&gt;"Não se aplica",SUMIF(TUSD!$G$68:'TUSD'!$G$125,$I$2,TUSD!$AQ$68:'TUSD'!$AQ$125),IF($F$2&lt;&gt;"Não se aplica",SUMIF(TUSD!$F$68:'TUSD'!$F$125,$I$2,TUSD!$AQ$68:'TUSD'!$AQ$125),IF($E$2&lt;&gt;"Não se aplica",SUMIF(TUSD!$E$68:'TUSD'!$E$125,$I$2,TUSD!$AQ$68:'TUSD'!$AQ$125),IF($D$2&lt;&gt;"Não se aplica",SUMIF(TUSD!$D$68:'TUSD'!$D$125,$I$2,TUSD!$AQ$68:'TUSD'!$AQ$125),IF($C$2&lt;&gt;"Não se aplica",SUMIF(TUSD!$C$68:'TUSD'!$C$125,$I$2,TUSD!$AQ$68:'TUSD'!$AQ$125),IF($B$2&lt;&gt;"Não se aplica",SUMIF(TUSD!$B$68:'TUSD'!$B$125,$I$2,TUSD!$AQ$68:'TUSD'!$AQ$125),SUMIF(TUSD!$A$68:'TUSD'!$A$125,$I$2,TUSD!$AQ$68:'TUSD'!$AQ$125)))))))</f>
        <v>28305706.907807268</v>
      </c>
      <c r="K8" s="57">
        <f>IF($G$2&lt;&gt;"Não se aplica",SUMIF(TUSD!$G$68:'TUSD'!$G$125,$I$2,TUSD!$AR$68:'TUSD'!$AR$125),IF($F$2&lt;&gt;"Não se aplica",SUMIF(TUSD!$F$68:'TUSD'!$F$125,$I$2,TUSD!$AR$68:'TUSD'!$AR$125),IF($E$2&lt;&gt;"Não se aplica",SUMIF(TUSD!$E$68:'TUSD'!$E$125,$I$2,TUSD!$AR$68:'TUSD'!$AR$125),IF($D$2&lt;&gt;"Não se aplica",SUMIF(TUSD!$D$68:'TUSD'!$D$125,$I$2,TUSD!$AR$68:'TUSD'!$AR$125),IF($C$2&lt;&gt;"Não se aplica",SUMIF(TUSD!$C$68:'TUSD'!$C$125,$I$2,TUSD!$AR$68:'TUSD'!$AR$125),IF($B$2&lt;&gt;"Não se aplica",SUMIF(TUSD!$B$68:'TUSD'!$B$125,$I$2,TUSD!$AR$68:'TUSD'!$AR$125),SUMIF(TUSD!$A$68:'TUSD'!$A$125,$I$2,TUSD!$AR$68:'TUSD'!$AR$125)))))))</f>
        <v>10507921.774700414</v>
      </c>
      <c r="L8" s="57">
        <f>IF($G$2&lt;&gt;"Não se aplica",SUMIF(TUSD!$G$68:'TUSD'!$G$125,$I$2,TUSD!$AS$68:'TUSD'!$AS$125),IF($F$2&lt;&gt;"Não se aplica",SUMIF(TUSD!$F$68:'TUSD'!$F$125,$I$2,TUSD!$AS$68:'TUSD'!$AS$125),IF($E$2&lt;&gt;"Não se aplica",SUMIF(TUSD!$E$68:'TUSD'!$E$125,$I$2,TUSD!$AS$68:'TUSD'!$AS$125),IF($D$2&lt;&gt;"Não se aplica",SUMIF(TUSD!$D$68:'TUSD'!$D$125,$I$2,TUSD!$AS$68:'TUSD'!$AS$125),IF($C$2&lt;&gt;"Não se aplica",SUMIF(TUSD!$C$68:'TUSD'!$C$125,$I$2,TUSD!$AS$68:'TUSD'!$AS$125),IF($B$2&lt;&gt;"Não se aplica",SUMIF(TUSD!$B$68:'TUSD'!$B$125,$I$2,TUSD!$AS$68:'TUSD'!$AS$125),SUMIF(TUSD!$A$68:'TUSD'!$A$125,$I$2,TUSD!$AS$68:'TUSD'!$AS$125)))))))</f>
        <v>2331601.6827617418</v>
      </c>
      <c r="M8" s="57">
        <f>IF($G$2&lt;&gt;"Não se aplica",SUMIF(TUSD!$G$68:'TUSD'!$G$125,$I$2,TUSD!$AT$68:'TUSD'!$AT$125),IF($F$2&lt;&gt;"Não se aplica",SUMIF(TUSD!$F$68:'TUSD'!$F$125,$I$2,TUSD!$AT$68:'TUSD'!$AT$125),IF($E$2&lt;&gt;"Não se aplica",SUMIF(TUSD!$E$68:'TUSD'!$E$125,$I$2,TUSD!$AT$68:'TUSD'!$AT$125),IF($D$2&lt;&gt;"Não se aplica",SUMIF(TUSD!$D$68:'TUSD'!$D$125,$I$2,TUSD!$AT$68:'TUSD'!$AT$125),IF($C$2&lt;&gt;"Não se aplica",SUMIF(TUSD!$C$68:'TUSD'!$C$125,$I$2,TUSD!$AT$68:'TUSD'!$AT$125),IF($B$2&lt;&gt;"Não se aplica",SUMIF(TUSD!$B$68:'TUSD'!$B$125,$I$2,TUSD!$AT$68:'TUSD'!$AT$125),SUMIF(TUSD!$A$68:'TUSD'!$A$125,$I$2,TUSD!$AT$68:'TUSD'!$AT$125)))))))</f>
        <v>0</v>
      </c>
      <c r="N8" s="57">
        <f>IF($G$2&lt;&gt;"Não se aplica",SUMIF(TUSD!$G$68:'TUSD'!$G$125,$I$2,TUSD!$AU$68:'TUSD'!$AU$125),IF($F$2&lt;&gt;"Não se aplica",SUMIF(TUSD!$F$68:'TUSD'!$F$125,$I$2,TUSD!$AU$68:'TUSD'!$AU$125),IF($E$2&lt;&gt;"Não se aplica",SUMIF(TUSD!$E$68:'TUSD'!$E$125,$I$2,TUSD!$AU$68:'TUSD'!$AU$125),IF($D$2&lt;&gt;"Não se aplica",SUMIF(TUSD!$D$68:'TUSD'!$D$125,$I$2,TUSD!$AU$68:'TUSD'!$AU$125),IF($C$2&lt;&gt;"Não se aplica",SUMIF(TUSD!$C$68:'TUSD'!$C$125,$I$2,TUSD!$AU$68:'TUSD'!$AU$125),IF($B$2&lt;&gt;"Não se aplica",SUMIF(TUSD!$B$68:'TUSD'!$B$125,$I$2,TUSD!$AU$68:'TUSD'!$AU$125),SUMIF(TUSD!$A$68:'TUSD'!$A$125,$I$2,TUSD!$AU$68:'TUSD'!$AU$125)))))))</f>
        <v>760761.50887648854</v>
      </c>
      <c r="O8" s="57">
        <f>IF($G$2&lt;&gt;"Não se aplica",SUMIF(TUSD!$G$68:'TUSD'!$G$125,$I$2,TUSD!$AV$68:'TUSD'!$AV$125),IF($F$2&lt;&gt;"Não se aplica",SUMIF(TUSD!$F$68:'TUSD'!$F$125,$I$2,TUSD!$AV$68:'TUSD'!$AV$125),IF($E$2&lt;&gt;"Não se aplica",SUMIF(TUSD!$E$68:'TUSD'!$E$125,$I$2,TUSD!$AV$68:'TUSD'!$AV$125),IF($D$2&lt;&gt;"Não se aplica",SUMIF(TUSD!$D$68:'TUSD'!$D$125,$I$2,TUSD!$AV$68:'TUSD'!$AV$125),IF($C$2&lt;&gt;"Não se aplica",SUMIF(TUSD!$C$68:'TUSD'!$C$125,$I$2,TUSD!$AV$68:'TUSD'!$AV$125),IF($B$2&lt;&gt;"Não se aplica",SUMIF(TUSD!$B$68:'TUSD'!$B$125,$I$2,TUSD!$AV$68:'TUSD'!$AV$125),SUMIF(TUSD!$A$68:'TUSD'!$A$125,$I$2,TUSD!$AV$68:'TUSD'!$AV$125)))))))</f>
        <v>0</v>
      </c>
      <c r="P8" s="57">
        <f>IF($G$2&lt;&gt;"Não se aplica",SUMIF(TUSD!$G$68:'TUSD'!$G$125,$I$2,TUSD!$AW$68:'TUSD'!$AW$125),IF($F$2&lt;&gt;"Não se aplica",SUMIF(TUSD!$F$68:'TUSD'!$F$125,$I$2,TUSD!$AW$68:'TUSD'!$AW$125),IF($E$2&lt;&gt;"Não se aplica",SUMIF(TUSD!$E$68:'TUSD'!$E$125,$I$2,TUSD!$AW$68:'TUSD'!$AW$125),IF($D$2&lt;&gt;"Não se aplica",SUMIF(TUSD!$D$68:'TUSD'!$D$125,$I$2,TUSD!$AW$68:'TUSD'!$AW$125),IF($C$2&lt;&gt;"Não se aplica",SUMIF(TUSD!$C$68:'TUSD'!$C$125,$I$2,TUSD!$AW$68:'TUSD'!$AW$125),IF($B$2&lt;&gt;"Não se aplica",SUMIF(TUSD!$B$68:'TUSD'!$B$125,$I$2,TUSD!$AW$68:'TUSD'!$AW$125),SUMIF(TUSD!$A$68:'TUSD'!$A$125,$I$2,TUSD!$AW$68:'TUSD'!$AW$125)))))))</f>
        <v>0</v>
      </c>
      <c r="Q8" s="57">
        <f>IF($G$2&lt;&gt;"Não se aplica",SUMIF(TUSD!$G$68:'TUSD'!$G$125,$I$2,TUSD!$AX$68:'TUSD'!$AX$125),IF($F$2&lt;&gt;"Não se aplica",SUMIF(TUSD!$F$68:'TUSD'!$F$125,$I$2,TUSD!$AX$68:'TUSD'!$AX$125),IF($E$2&lt;&gt;"Não se aplica",SUMIF(TUSD!$E$68:'TUSD'!$E$125,$I$2,TUSD!$AX$68:'TUSD'!$AX$125),IF($D$2&lt;&gt;"Não se aplica",SUMIF(TUSD!$D$68:'TUSD'!$D$125,$I$2,TUSD!$AX$68:'TUSD'!$AX$125),IF($C$2&lt;&gt;"Não se aplica",SUMIF(TUSD!$C$68:'TUSD'!$C$125,$I$2,TUSD!$AX$68:'TUSD'!$AX$125),IF($B$2&lt;&gt;"Não se aplica",SUMIF(TUSD!$B$68:'TUSD'!$B$125,$I$2,TUSD!$AX$68:'TUSD'!$AX$125),SUMIF(TUSD!$A$68:'TUSD'!$A$125,$I$2,TUSD!$AX$68:'TUSD'!$AX$125)))))))</f>
        <v>25007656.761475679</v>
      </c>
      <c r="R8" s="57">
        <f>IF($G$2&lt;&gt;"Não se aplica",SUMIF(TUSD!$G$68:'TUSD'!$G$125,$I$2,TUSD!$AY$68:'TUSD'!$AY$125),IF($F$2&lt;&gt;"Não se aplica",SUMIF(TUSD!$F$68:'TUSD'!$F$125,$I$2,TUSD!$AY$68:'TUSD'!$AY$125),IF($E$2&lt;&gt;"Não se aplica",SUMIF(TUSD!$E$68:'TUSD'!$E$125,$I$2,TUSD!$AY$68:'TUSD'!$AY$125),IF($D$2&lt;&gt;"Não se aplica",SUMIF(TUSD!$D$68:'TUSD'!$D$125,$I$2,TUSD!$AY$68:'TUSD'!$AY$125),IF($C$2&lt;&gt;"Não se aplica",SUMIF(TUSD!$C$68:'TUSD'!$C$125,$I$2,TUSD!$AY$68:'TUSD'!$AY$125),IF($B$2&lt;&gt;"Não se aplica",SUMIF(TUSD!$B$68:'TUSD'!$B$125,$I$2,TUSD!$AY$68:'TUSD'!$AY$125),SUMIF(TUSD!$A$68:'TUSD'!$A$125,$I$2,TUSD!$AY$68:'TUSD'!$AY$125)))))))</f>
        <v>-7749480.0699605299</v>
      </c>
      <c r="S8" s="57">
        <f>IF($G$2&lt;&gt;"Não se aplica",SUMIF(TUSD!$G$68:'TUSD'!$G$125,$I$2,TUSD!$AZ$68:'TUSD'!$AZ$125),IF($F$2&lt;&gt;"Não se aplica",SUMIF(TUSD!$F$68:'TUSD'!$F$125,$I$2,TUSD!$AZ$68:'TUSD'!$AZ$125),IF($E$2&lt;&gt;"Não se aplica",SUMIF(TUSD!$E$68:'TUSD'!$E$125,$I$2,TUSD!$AZ$68:'TUSD'!$AZ$125),IF($D$2&lt;&gt;"Não se aplica",SUMIF(TUSD!$D$68:'TUSD'!$D$125,$I$2,TUSD!$AZ$68:'TUSD'!$AZ$125),IF($C$2&lt;&gt;"Não se aplica",SUMIF(TUSD!$C$68:'TUSD'!$C$125,$I$2,TUSD!$AZ$68:'TUSD'!$AZ$125),IF($B$2&lt;&gt;"Não se aplica",SUMIF(TUSD!$B$68:'TUSD'!$B$125,$I$2,TUSD!$AZ$68:'TUSD'!$AZ$125),SUMIF(TUSD!$A$68:'TUSD'!$A$125,$I$2,TUSD!$AZ$68:'TUSD'!$AZ$125)))))))</f>
        <v>0</v>
      </c>
      <c r="T8" s="57">
        <f>IF($G$2&lt;&gt;"Não se aplica",SUMIF(TUSD!$G$68:'TUSD'!$G$125,$I$2,TUSD!$BA$68:'TUSD'!$BA$125),IF($F$2&lt;&gt;"Não se aplica",SUMIF(TUSD!$F$68:'TUSD'!$F$125,$I$2,TUSD!$BA$68:'TUSD'!$BA$125),IF($E$2&lt;&gt;"Não se aplica",SUMIF(TUSD!$E$68:'TUSD'!$E$125,$I$2,TUSD!$BA$68:'TUSD'!$BA$125),IF($D$2&lt;&gt;"Não se aplica",SUMIF(TUSD!$D$68:'TUSD'!$D$125,$I$2,TUSD!$BA$68:'TUSD'!$BA$125),IF($C$2&lt;&gt;"Não se aplica",SUMIF(TUSD!$C$68:'TUSD'!$C$125,$I$2,TUSD!$BA$68:'TUSD'!$BA$125),IF($B$2&lt;&gt;"Não se aplica",SUMIF(TUSD!$B$68:'TUSD'!$B$125,$I$2,TUSD!$BA$68:'TUSD'!$BA$125),SUMIF(TUSD!$A$68:'TUSD'!$A$125,$I$2,TUSD!$BA$68:'TUSD'!$BA$125)))))))</f>
        <v>4467593.008281217</v>
      </c>
      <c r="U8" s="57">
        <f>IF($G$2&lt;&gt;"Não se aplica",SUMIF(TUSD!$G$68:'TUSD'!$G$125,$I$2,TUSD!$BB$68:'TUSD'!$BB$125),IF($F$2&lt;&gt;"Não se aplica",SUMIF(TUSD!$F$68:'TUSD'!$F$125,$I$2,TUSD!$BB$68:'TUSD'!$BB$125),IF($E$2&lt;&gt;"Não se aplica",SUMIF(TUSD!$E$68:'TUSD'!$E$125,$I$2,TUSD!$BB$68:'TUSD'!$BB$125),IF($D$2&lt;&gt;"Não se aplica",SUMIF(TUSD!$D$68:'TUSD'!$D$125,$I$2,TUSD!$BB$68:'TUSD'!$BB$125),IF($C$2&lt;&gt;"Não se aplica",SUMIF(TUSD!$C$68:'TUSD'!$C$125,$I$2,TUSD!$BB$68:'TUSD'!$BB$125),IF($B$2&lt;&gt;"Não se aplica",SUMIF(TUSD!$B$68:'TUSD'!$B$125,$I$2,TUSD!$BB$68:'TUSD'!$BB$125),SUMIF(TUSD!$A$68:'TUSD'!$A$125,$I$2,TUSD!$BB$68:'TUSD'!$BB$125)))))))</f>
        <v>378379.9814810243</v>
      </c>
      <c r="V8" s="57">
        <f>IF($G$2&lt;&gt;"Não se aplica",SUMIF(TUSD!$G$68:'TUSD'!$G$125,$I$2,TUSD!$BC$68:'TUSD'!$BC$125),IF($F$2&lt;&gt;"Não se aplica",SUMIF(TUSD!$F$68:'TUSD'!$F$125,$I$2,TUSD!$BC$68:'TUSD'!$BC$125),IF($E$2&lt;&gt;"Não se aplica",SUMIF(TUSD!$E$68:'TUSD'!$E$125,$I$2,TUSD!$BC$68:'TUSD'!$BC$125),IF($D$2&lt;&gt;"Não se aplica",SUMIF(TUSD!$D$68:'TUSD'!$D$125,$I$2,TUSD!$BC$68:'TUSD'!$BC$125),IF($C$2&lt;&gt;"Não se aplica",SUMIF(TUSD!$C$68:'TUSD'!$C$125,$I$2,TUSD!$BC$68:'TUSD'!$BC$125),IF($B$2&lt;&gt;"Não se aplica",SUMIF(TUSD!$B$68:'TUSD'!$B$125,$I$2,TUSD!$BC$68:'TUSD'!$BC$125),SUMIF(TUSD!$A$68:'TUSD'!$A$125,$I$2,TUSD!$BC$68:'TUSD'!$BC$125)))))))</f>
        <v>7013511.9366892464</v>
      </c>
      <c r="W8" s="57">
        <f>IF($G$2&lt;&gt;"Não se aplica",SUMIF(TUSD!$G$68:'TUSD'!$G$125,$I$2,TUSD!$BD$68:'TUSD'!$BD$125),IF($F$2&lt;&gt;"Não se aplica",SUMIF(TUSD!$F$68:'TUSD'!$F$125,$I$2,TUSD!$BD$68:'TUSD'!$BD$125),IF($E$2&lt;&gt;"Não se aplica",SUMIF(TUSD!$E$68:'TUSD'!$E$125,$I$2,TUSD!$BD$68:'TUSD'!$BD$125),IF($D$2&lt;&gt;"Não se aplica",SUMIF(TUSD!$D$68:'TUSD'!$D$125,$I$2,TUSD!$BD$68:'TUSD'!$BD$125),IF($C$2&lt;&gt;"Não se aplica",SUMIF(TUSD!$C$68:'TUSD'!$C$125,$I$2,TUSD!$BD$68:'TUSD'!$BD$125),IF($B$2&lt;&gt;"Não se aplica",SUMIF(TUSD!$B$68:'TUSD'!$B$125,$I$2,TUSD!$BD$68:'TUSD'!$BD$125),SUMIF(TUSD!$A$68:'TUSD'!$A$125,$I$2,TUSD!$BD$68:'TUSD'!$BD$125)))))))</f>
        <v>1819196.8890218351</v>
      </c>
      <c r="X8" s="57">
        <f t="shared" si="0"/>
        <v>88294967.296480492</v>
      </c>
      <c r="AB8" s="16" t="s">
        <v>103</v>
      </c>
      <c r="AD8" s="16" t="s">
        <v>105</v>
      </c>
      <c r="AG8" s="16" t="s">
        <v>101</v>
      </c>
    </row>
    <row r="9" spans="1:33" x14ac:dyDescent="0.2">
      <c r="A9" s="16" t="s">
        <v>1419</v>
      </c>
      <c r="B9" s="57">
        <f>IF($G$2&lt;&gt;"Não se aplica",SUMIF(TUSD!$G$68:'TUSD'!$G$125,$I$2,TUSD!$L$68:'TUSD'!$L$125),IF($F$2&lt;&gt;"Não se aplica",SUMIF(TUSD!$F$68:'TUSD'!$F$125,$I$2,TUSD!$L$68:'TUSD'!$L$125),IF($E$2&lt;&gt;"Não se aplica",SUMIF(TUSD!$E$68:'TUSD'!$E$125,$I$2,TUSD!$L$68:'TUSD'!$L$125),IF($D$2&lt;&gt;"Não se aplica",SUMIF(TUSD!$D$68:'TUSD'!$D$125,$I$2,TUSD!$L$68:'TUSD'!$L$125),IF($C$2&lt;&gt;"Não se aplica",SUMIF(TUSD!$C$68:'TUSD'!$C$125,$I$2,TUSD!$L$68:'TUSD'!$L$125),IF($B$2&lt;&gt;"Não se aplica",SUMIF(TUSD!$B$68:'TUSD'!$B$125,$I$2,TUSD!$L$68:'TUSD'!$L$125),SUMIF(TUSD!$A$68:'TUSD'!$A$125,$I$2,TUSD!$L$68:'TUSD'!$L$125)))))))</f>
        <v>2919068.3296697461</v>
      </c>
      <c r="C9" s="57">
        <f>IF($G$2&lt;&gt;"Não se aplica",SUMIF(TUSD!$G$68:'TUSD'!$G$125,$I$2,TUSD!$M$68:'TUSD'!$M$125),IF($F$2&lt;&gt;"Não se aplica",SUMIF(TUSD!$F$68:'TUSD'!$F$125,$I$2,TUSD!$M$68:'TUSD'!$M$125),IF($E$2&lt;&gt;"Não se aplica",SUMIF(TUSD!$E$68:'TUSD'!$E$125,$I$2,TUSD!$M$68:'TUSD'!$M$125),IF($D$2&lt;&gt;"Não se aplica",SUMIF(TUSD!$D$68:'TUSD'!$D$125,$I$2,TUSD!$M$68:'TUSD'!$M$125),IF($C$2&lt;&gt;"Não se aplica",SUMIF(TUSD!$C$68:'TUSD'!$C$125,$I$2,TUSD!$M$68:'TUSD'!$M$125),IF($B$2&lt;&gt;"Não se aplica",SUMIF(TUSD!$B$68:'TUSD'!$B$125,$I$2,TUSD!$M$68:'TUSD'!$M$125),SUMIF(TUSD!$A$68:'TUSD'!$A$125,$I$2,TUSD!$M$68:'TUSD'!$M$125)))))))</f>
        <v>125629.64953811219</v>
      </c>
      <c r="D9" s="57">
        <f ca="1">IF($G$2&lt;&gt;"Não se aplica",SUMIF(TUSD!$G$68:'TUSD'!$G$125,$I$2,TUSD!$N$68:'TUSD'!$N$125),IF($F$2&lt;&gt;"Não se aplica",SUMIF(TUSD!$F$68:'TUSD'!$F$125,$I$2,TUSD!$N$68:'TUSD'!$N$125),IF($E$2&lt;&gt;"Não se aplica",SUMIF(TUSD!$E$68:'TUSD'!$E$125,$I$2,TUSD!$N$68:'TUSD'!$N$125),IF($D$2&lt;&gt;"Não se aplica",SUMIF(TUSD!$D$68:'TUSD'!$D$125,$I$2,TUSD!$N$68:'TUSD'!$N$125),IF($C$2&lt;&gt;"Não se aplica",SUMIF(TUSD!$C$68:'TUSD'!$C$125,$I$2,TUSD!$N$68:'TUSD'!$N$125),IF($B$2&lt;&gt;"Não se aplica",SUMIF(TUSD!$B$68:'TUSD'!$B$125,$I$2,TUSD!$N$68:'TUSD'!$N$125),SUMIF(TUSD!$A$68:'TUSD'!$A$125,$I$2,TUSD!$N$68:'TUSD'!$N$125)))))))</f>
        <v>459705.45666656725</v>
      </c>
      <c r="E9" s="57">
        <f>IF($G$2&lt;&gt;"Não se aplica",SUMIF(TUSD!$G$68:'TUSD'!$G$125,$I$2,TUSD!$O$68:'TUSD'!$O$125),IF($F$2&lt;&gt;"Não se aplica",SUMIF(TUSD!$F$68:'TUSD'!$F$125,$I$2,TUSD!$O$68:'TUSD'!$O$125),IF($E$2&lt;&gt;"Não se aplica",SUMIF(TUSD!$E$68:'TUSD'!$E$125,$I$2,TUSD!$O$68:'TUSD'!$O$125),IF($D$2&lt;&gt;"Não se aplica",SUMIF(TUSD!$D$68:'TUSD'!$D$125,$I$2,TUSD!$O$68:'TUSD'!$O$125),IF($C$2&lt;&gt;"Não se aplica",SUMIF(TUSD!$C$68:'TUSD'!$C$125,$I$2,TUSD!$O$68:'TUSD'!$O$125),IF($B$2&lt;&gt;"Não se aplica",SUMIF(TUSD!$B$68:'TUSD'!$B$125,$I$2,TUSD!$O$68:'TUSD'!$O$125),SUMIF(TUSD!$A$68:'TUSD'!$A$125,$I$2,TUSD!$O$68:'TUSD'!$O$125)))))))</f>
        <v>5057.8273449952694</v>
      </c>
      <c r="F9" s="57">
        <f>IF($G$2&lt;&gt;"Não se aplica",SUMIF(TUSD!$G$68:'TUSD'!$G$125,$I$2,TUSD!$P$68:'TUSD'!$P$125),IF($F$2&lt;&gt;"Não se aplica",SUMIF(TUSD!$F$68:'TUSD'!$F$125,$I$2,TUSD!$P$68:'TUSD'!$P$125),IF($E$2&lt;&gt;"Não se aplica",SUMIF(TUSD!$E$68:'TUSD'!$E$125,$I$2,TUSD!$P$68:'TUSD'!$P$125),IF($D$2&lt;&gt;"Não se aplica",SUMIF(TUSD!$D$68:'TUSD'!$D$125,$I$2,TUSD!$P$68:'TUSD'!$P$125),IF($C$2&lt;&gt;"Não se aplica",SUMIF(TUSD!$C$68:'TUSD'!$C$125,$I$2,TUSD!$P$68:'TUSD'!$P$125),IF($B$2&lt;&gt;"Não se aplica",SUMIF(TUSD!$B$68:'TUSD'!$B$125,$I$2,TUSD!$P$68:'TUSD'!$P$125),SUMIF(TUSD!$A$68:'TUSD'!$A$125,$I$2,TUSD!$P$68:'TUSD'!$P$125)))))))</f>
        <v>0</v>
      </c>
      <c r="G9" s="57">
        <f>IF($G$2&lt;&gt;"Não se aplica",SUMIF(TUSD!$G$68:'TUSD'!$G$125,$I$2,TUSD!$Q$68:'TUSD'!$Q$125),IF($F$2&lt;&gt;"Não se aplica",SUMIF(TUSD!$F$68:'TUSD'!$F$125,$I$2,TUSD!$Q$68:'TUSD'!$Q$125),IF($E$2&lt;&gt;"Não se aplica",SUMIF(TUSD!$E$68:'TUSD'!$E$125,$I$2,TUSD!$Q$68:'TUSD'!$Q$125),IF($D$2&lt;&gt;"Não se aplica",SUMIF(TUSD!$D$68:'TUSD'!$D$125,$I$2,TUSD!$Q$68:'TUSD'!$Q$125),IF($C$2&lt;&gt;"Não se aplica",SUMIF(TUSD!$C$68:'TUSD'!$C$125,$I$2,TUSD!$Q$68:'TUSD'!$Q$125),IF($B$2&lt;&gt;"Não se aplica",SUMIF(TUSD!$B$68:'TUSD'!$B$125,$I$2,TUSD!$Q$68:'TUSD'!$Q$125),SUMIF(TUSD!$A$68:'TUSD'!$A$125,$I$2,TUSD!$Q$68:'TUSD'!$Q$125)))))))</f>
        <v>11489454.931470564</v>
      </c>
      <c r="H9" s="57">
        <f>IF($G$2&lt;&gt;"Não se aplica",SUMIF(TUSD!$G$68:'TUSD'!$G$125,$I$2,TUSD!$R$68:'TUSD'!$R$125),IF($F$2&lt;&gt;"Não se aplica",SUMIF(TUSD!$F$68:'TUSD'!$F$125,$I$2,TUSD!$R$68:'TUSD'!$R$125),IF($E$2&lt;&gt;"Não se aplica",SUMIF(TUSD!$E$68:'TUSD'!$E$125,$I$2,TUSD!$R$68:'TUSD'!$R$125),IF($D$2&lt;&gt;"Não se aplica",SUMIF(TUSD!$D$68:'TUSD'!$D$125,$I$2,TUSD!$R$68:'TUSD'!$R$125),IF($C$2&lt;&gt;"Não se aplica",SUMIF(TUSD!$C$68:'TUSD'!$C$125,$I$2,TUSD!$R$68:'TUSD'!$R$125),IF($B$2&lt;&gt;"Não se aplica",SUMIF(TUSD!$B$68:'TUSD'!$B$125,$I$2,TUSD!$R$68:'TUSD'!$R$125),SUMIF(TUSD!$A$68:'TUSD'!$A$125,$I$2,TUSD!$R$68:'TUSD'!$R$125)))))))</f>
        <v>7607440.952365824</v>
      </c>
      <c r="I9" s="57">
        <f>IF($G$2&lt;&gt;"Não se aplica",SUMIF(TUSD!$G$68:'TUSD'!$G$125,$I$2,TUSD!$S$68:'TUSD'!$S$125),IF($F$2&lt;&gt;"Não se aplica",SUMIF(TUSD!$F$68:'TUSD'!$F$125,$I$2,TUSD!$S$68:'TUSD'!$S$125),IF($E$2&lt;&gt;"Não se aplica",SUMIF(TUSD!$E$68:'TUSD'!$E$125,$I$2,TUSD!$S$68:'TUSD'!$S$125),IF($D$2&lt;&gt;"Não se aplica",SUMIF(TUSD!$D$68:'TUSD'!$D$125,$I$2,TUSD!$S$68:'TUSD'!$S$125),IF($C$2&lt;&gt;"Não se aplica",SUMIF(TUSD!$C$68:'TUSD'!$C$125,$I$2,TUSD!$S$68:'TUSD'!$S$125),IF($B$2&lt;&gt;"Não se aplica",SUMIF(TUSD!$B$68:'TUSD'!$B$125,$I$2,TUSD!$S$68:'TUSD'!$S$125),SUMIF(TUSD!$A$68:'TUSD'!$A$125,$I$2,TUSD!$S$68:'TUSD'!$S$125)))))))</f>
        <v>0</v>
      </c>
      <c r="J9" s="57">
        <f>IF($G$2&lt;&gt;"Não se aplica",SUMIF(TUSD!$G$68:'TUSD'!$G$125,$I$2,TUSD!$T$68:'TUSD'!$T$125),IF($F$2&lt;&gt;"Não se aplica",SUMIF(TUSD!$F$68:'TUSD'!$F$125,$I$2,TUSD!$T$68:'TUSD'!$T$125),IF($E$2&lt;&gt;"Não se aplica",SUMIF(TUSD!$E$68:'TUSD'!$E$125,$I$2,TUSD!$T$68:'TUSD'!$T$125),IF($D$2&lt;&gt;"Não se aplica",SUMIF(TUSD!$D$68:'TUSD'!$D$125,$I$2,TUSD!$T$68:'TUSD'!$T$125),IF($C$2&lt;&gt;"Não se aplica",SUMIF(TUSD!$C$68:'TUSD'!$C$125,$I$2,TUSD!$T$68:'TUSD'!$T$125),IF($B$2&lt;&gt;"Não se aplica",SUMIF(TUSD!$B$68:'TUSD'!$B$125,$I$2,TUSD!$T$68:'TUSD'!$T$125),SUMIF(TUSD!$A$68:'TUSD'!$A$125,$I$2,TUSD!$T$68:'TUSD'!$T$125)))))))</f>
        <v>29496081.093184136</v>
      </c>
      <c r="K9" s="57">
        <f>IF($G$2&lt;&gt;"Não se aplica",SUMIF(TUSD!$G$68:'TUSD'!$G$125,$I$2,TUSD!$U$68:'TUSD'!$U$125),IF($F$2&lt;&gt;"Não se aplica",SUMIF(TUSD!$F$68:'TUSD'!$F$125,$I$2,TUSD!$U$68:'TUSD'!$U$125),IF($E$2&lt;&gt;"Não se aplica",SUMIF(TUSD!$E$68:'TUSD'!$E$125,$I$2,TUSD!$U$68:'TUSD'!$U$125),IF($D$2&lt;&gt;"Não se aplica",SUMIF(TUSD!$D$68:'TUSD'!$D$125,$I$2,TUSD!$U$68:'TUSD'!$U$125),IF($C$2&lt;&gt;"Não se aplica",SUMIF(TUSD!$C$68:'TUSD'!$C$125,$I$2,TUSD!$U$68:'TUSD'!$U$125),IF($B$2&lt;&gt;"Não se aplica",SUMIF(TUSD!$B$68:'TUSD'!$B$125,$I$2,TUSD!$U$68:'TUSD'!$U$125),SUMIF(TUSD!$A$68:'TUSD'!$A$125,$I$2,TUSD!$U$68:'TUSD'!$U$125)))))))</f>
        <v>7538238.9322043564</v>
      </c>
      <c r="L9" s="57">
        <f>IF($G$2&lt;&gt;"Não se aplica",SUMIF(TUSD!$G$68:'TUSD'!$G$125,$I$2,TUSD!$V$68:'TUSD'!$V$125),IF($F$2&lt;&gt;"Não se aplica",SUMIF(TUSD!$F$68:'TUSD'!$F$125,$I$2,TUSD!$V$68:'TUSD'!$V$125),IF($E$2&lt;&gt;"Não se aplica",SUMIF(TUSD!$E$68:'TUSD'!$E$125,$I$2,TUSD!$V$68:'TUSD'!$V$125),IF($D$2&lt;&gt;"Não se aplica",SUMIF(TUSD!$D$68:'TUSD'!$D$125,$I$2,TUSD!$V$68:'TUSD'!$V$125),IF($C$2&lt;&gt;"Não se aplica",SUMIF(TUSD!$C$68:'TUSD'!$C$125,$I$2,TUSD!$V$68:'TUSD'!$V$125),IF($B$2&lt;&gt;"Não se aplica",SUMIF(TUSD!$B$68:'TUSD'!$B$125,$I$2,TUSD!$V$68:'TUSD'!$V$125),SUMIF(TUSD!$A$68:'TUSD'!$A$125,$I$2,TUSD!$V$68:'TUSD'!$V$125)))))))</f>
        <v>2279563.5770552671</v>
      </c>
      <c r="M9" s="57">
        <f>IF($G$2&lt;&gt;"Não se aplica",SUMIF(TUSD!$G$68:'TUSD'!$G$125,$I$2,TUSD!$W$68:'TUSD'!$W$125),IF($F$2&lt;&gt;"Não se aplica",SUMIF(TUSD!$F$68:'TUSD'!$F$125,$I$2,TUSD!$W$68:'TUSD'!$W$125),IF($E$2&lt;&gt;"Não se aplica",SUMIF(TUSD!$E$68:'TUSD'!$E$125,$I$2,TUSD!$W$68:'TUSD'!$W$125),IF($D$2&lt;&gt;"Não se aplica",SUMIF(TUSD!$D$68:'TUSD'!$D$125,$I$2,TUSD!$W$68:'TUSD'!$W$125),IF($C$2&lt;&gt;"Não se aplica",SUMIF(TUSD!$C$68:'TUSD'!$C$125,$I$2,TUSD!$W$68:'TUSD'!$W$125),IF($B$2&lt;&gt;"Não se aplica",SUMIF(TUSD!$B$68:'TUSD'!$B$125,$I$2,TUSD!$W$68:'TUSD'!$W$125),SUMIF(TUSD!$A$68:'TUSD'!$A$125,$I$2,TUSD!$W$68:'TUSD'!$W$125)))))))</f>
        <v>0</v>
      </c>
      <c r="N9" s="57">
        <f>IF($G$2&lt;&gt;"Não se aplica",SUMIF(TUSD!$G$68:'TUSD'!$G$125,$I$2,TUSD!$X$68:'TUSD'!$X$125),IF($F$2&lt;&gt;"Não se aplica",SUMIF(TUSD!$F$68:'TUSD'!$F$125,$I$2,TUSD!$X$68:'TUSD'!$X$125),IF($E$2&lt;&gt;"Não se aplica",SUMIF(TUSD!$E$68:'TUSD'!$E$125,$I$2,TUSD!$X$68:'TUSD'!$X$125),IF($D$2&lt;&gt;"Não se aplica",SUMIF(TUSD!$D$68:'TUSD'!$D$125,$I$2,TUSD!$X$68:'TUSD'!$X$125),IF($C$2&lt;&gt;"Não se aplica",SUMIF(TUSD!$C$68:'TUSD'!$C$125,$I$2,TUSD!$X$68:'TUSD'!$X$125),IF($B$2&lt;&gt;"Não se aplica",SUMIF(TUSD!$B$68:'TUSD'!$B$125,$I$2,TUSD!$X$68:'TUSD'!$X$125),SUMIF(TUSD!$A$68:'TUSD'!$A$125,$I$2,TUSD!$X$68:'TUSD'!$X$125)))))))</f>
        <v>678173.58471202757</v>
      </c>
      <c r="O9" s="57">
        <f>IF($G$2&lt;&gt;"Não se aplica",SUMIF(TUSD!$G$68:'TUSD'!$G$125,$I$2,TUSD!$Y$68:'TUSD'!$Y$125),IF($F$2&lt;&gt;"Não se aplica",SUMIF(TUSD!$F$68:'TUSD'!$F$125,$I$2,TUSD!$Y$68:'TUSD'!$Y$125),IF($E$2&lt;&gt;"Não se aplica",SUMIF(TUSD!$E$68:'TUSD'!$E$125,$I$2,TUSD!$Y$68:'TUSD'!$Y$125),IF($D$2&lt;&gt;"Não se aplica",SUMIF(TUSD!$D$68:'TUSD'!$D$125,$I$2,TUSD!$Y$68:'TUSD'!$Y$125),IF($C$2&lt;&gt;"Não se aplica",SUMIF(TUSD!$C$68:'TUSD'!$C$125,$I$2,TUSD!$Y$68:'TUSD'!$Y$125),IF($B$2&lt;&gt;"Não se aplica",SUMIF(TUSD!$B$68:'TUSD'!$B$125,$I$2,TUSD!$Y$68:'TUSD'!$Y$125),SUMIF(TUSD!$A$68:'TUSD'!$A$125,$I$2,TUSD!$Y$68:'TUSD'!$Y$125)))))))</f>
        <v>0</v>
      </c>
      <c r="P9" s="57">
        <f>IF($G$2&lt;&gt;"Não se aplica",SUMIF(TUSD!$G$68:'TUSD'!$G$125,$I$2,TUSD!$Z$68:'TUSD'!$Z$125),IF($F$2&lt;&gt;"Não se aplica",SUMIF(TUSD!$F$68:'TUSD'!$F$125,$I$2,TUSD!$Z$68:'TUSD'!$Z$125),IF($E$2&lt;&gt;"Não se aplica",SUMIF(TUSD!$E$68:'TUSD'!$E$125,$I$2,TUSD!$Z$68:'TUSD'!$Z$125),IF($D$2&lt;&gt;"Não se aplica",SUMIF(TUSD!$D$68:'TUSD'!$D$125,$I$2,TUSD!$Z$68:'TUSD'!$Z$125),IF($C$2&lt;&gt;"Não se aplica",SUMIF(TUSD!$C$68:'TUSD'!$C$125,$I$2,TUSD!$Z$68:'TUSD'!$Z$125),IF($B$2&lt;&gt;"Não se aplica",SUMIF(TUSD!$B$68:'TUSD'!$B$125,$I$2,TUSD!$Z$68:'TUSD'!$Z$125),SUMIF(TUSD!$A$68:'TUSD'!$A$125,$I$2,TUSD!$Z$68:'TUSD'!$Z$125)))))))</f>
        <v>0</v>
      </c>
      <c r="Q9" s="57">
        <f>IF($G$2&lt;&gt;"Não se aplica",SUMIF(TUSD!$G$68:'TUSD'!$G$125,$I$2,TUSD!$AA$68:'TUSD'!$AA$125),IF($F$2&lt;&gt;"Não se aplica",SUMIF(TUSD!$F$68:'TUSD'!$F$125,$I$2,TUSD!$AA$68:'TUSD'!$AA$125),IF($E$2&lt;&gt;"Não se aplica",SUMIF(TUSD!$E$68:'TUSD'!$E$125,$I$2,TUSD!$AA$68:'TUSD'!$AA$125),IF($D$2&lt;&gt;"Não se aplica",SUMIF(TUSD!$D$68:'TUSD'!$D$125,$I$2,TUSD!$AA$68:'TUSD'!$AA$125),IF($C$2&lt;&gt;"Não se aplica",SUMIF(TUSD!$C$68:'TUSD'!$C$125,$I$2,TUSD!$AA$68:'TUSD'!$AA$125),IF($B$2&lt;&gt;"Não se aplica",SUMIF(TUSD!$B$68:'TUSD'!$B$125,$I$2,TUSD!$AA$68:'TUSD'!$AA$125),SUMIF(TUSD!$A$68:'TUSD'!$A$125,$I$2,TUSD!$AA$68:'TUSD'!$AA$125)))))))</f>
        <v>29457617.206127595</v>
      </c>
      <c r="R9" s="57">
        <f ca="1">IF($G$2&lt;&gt;"Não se aplica",SUMIF(TUSD!$G$68:'TUSD'!$G$125,$I$2,TUSD!$AB$68:'TUSD'!$AB$125),IF($F$2&lt;&gt;"Não se aplica",SUMIF(TUSD!$F$68:'TUSD'!$F$125,$I$2,TUSD!$AB$68:'TUSD'!$AB$125),IF($E$2&lt;&gt;"Não se aplica",SUMIF(TUSD!$E$68:'TUSD'!$E$125,$I$2,TUSD!$AB$68:'TUSD'!$AB$125),IF($D$2&lt;&gt;"Não se aplica",SUMIF(TUSD!$D$68:'TUSD'!$D$125,$I$2,TUSD!$AB$68:'TUSD'!$AB$125),IF($C$2&lt;&gt;"Não se aplica",SUMIF(TUSD!$C$68:'TUSD'!$C$125,$I$2,TUSD!$AB$68:'TUSD'!$AB$125),IF($B$2&lt;&gt;"Não se aplica",SUMIF(TUSD!$B$68:'TUSD'!$B$125,$I$2,TUSD!$AB$68:'TUSD'!$AB$125),SUMIF(TUSD!$A$68:'TUSD'!$A$125,$I$2,TUSD!$AB$68:'TUSD'!$AB$125)))))))</f>
        <v>144870.84903711497</v>
      </c>
      <c r="S9" s="57">
        <f ca="1">IF($G$2&lt;&gt;"Não se aplica",SUMIF(TUSD!$G$68:'TUSD'!$G$125,$I$2,TUSD!$AC$68:'TUSD'!$AC$125),IF($F$2&lt;&gt;"Não se aplica",SUMIF(TUSD!$F$68:'TUSD'!$F$125,$I$2,TUSD!$AC$68:'TUSD'!$AC$125),IF($E$2&lt;&gt;"Não se aplica",SUMIF(TUSD!$E$68:'TUSD'!$E$125,$I$2,TUSD!$AC$68:'TUSD'!$AC$125),IF($D$2&lt;&gt;"Não se aplica",SUMIF(TUSD!$D$68:'TUSD'!$D$125,$I$2,TUSD!$AC$68:'TUSD'!$AC$125),IF($C$2&lt;&gt;"Não se aplica",SUMIF(TUSD!$C$68:'TUSD'!$C$125,$I$2,TUSD!$AC$68:'TUSD'!$AC$125),IF($B$2&lt;&gt;"Não se aplica",SUMIF(TUSD!$B$68:'TUSD'!$B$125,$I$2,TUSD!$AC$68:'TUSD'!$AC$125),SUMIF(TUSD!$A$68:'TUSD'!$A$125,$I$2,TUSD!$AC$68:'TUSD'!$AC$125)))))))</f>
        <v>0</v>
      </c>
      <c r="T9" s="57">
        <f>IF($G$2&lt;&gt;"Não se aplica",SUMIF(TUSD!$G$68:'TUSD'!$G$125,$I$2,TUSD!$AD$68:'TUSD'!$AD$125),IF($F$2&lt;&gt;"Não se aplica",SUMIF(TUSD!$F$68:'TUSD'!$F$125,$I$2,TUSD!$AD$68:'TUSD'!$AD$125),IF($E$2&lt;&gt;"Não se aplica",SUMIF(TUSD!$E$68:'TUSD'!$E$125,$I$2,TUSD!$AD$68:'TUSD'!$AD$125),IF($D$2&lt;&gt;"Não se aplica",SUMIF(TUSD!$D$68:'TUSD'!$D$125,$I$2,TUSD!$AD$68:'TUSD'!$AD$125),IF($C$2&lt;&gt;"Não se aplica",SUMIF(TUSD!$C$68:'TUSD'!$C$125,$I$2,TUSD!$AD$68:'TUSD'!$AD$125),IF($B$2&lt;&gt;"Não se aplica",SUMIF(TUSD!$B$68:'TUSD'!$B$125,$I$2,TUSD!$AD$68:'TUSD'!$AD$125),SUMIF(TUSD!$A$68:'TUSD'!$A$125,$I$2,TUSD!$AD$68:'TUSD'!$AD$125)))))))</f>
        <v>5064121.9464070676</v>
      </c>
      <c r="U9" s="57">
        <f>IF($G$2&lt;&gt;"Não se aplica",SUMIF(TUSD!$G$68:'TUSD'!$G$125,$I$2,TUSD!$AE$68:'TUSD'!$AE$125),IF($F$2&lt;&gt;"Não se aplica",SUMIF(TUSD!$F$68:'TUSD'!$F$125,$I$2,TUSD!$AE$68:'TUSD'!$AE$125),IF($E$2&lt;&gt;"Não se aplica",SUMIF(TUSD!$E$68:'TUSD'!$E$125,$I$2,TUSD!$AE$68:'TUSD'!$AE$125),IF($D$2&lt;&gt;"Não se aplica",SUMIF(TUSD!$D$68:'TUSD'!$D$125,$I$2,TUSD!$AE$68:'TUSD'!$AE$125),IF($C$2&lt;&gt;"Não se aplica",SUMIF(TUSD!$C$68:'TUSD'!$C$125,$I$2,TUSD!$AE$68:'TUSD'!$AE$125),IF($B$2&lt;&gt;"Não se aplica",SUMIF(TUSD!$B$68:'TUSD'!$B$125,$I$2,TUSD!$AE$68:'TUSD'!$AE$125),SUMIF(TUSD!$A$68:'TUSD'!$A$125,$I$2,TUSD!$AE$68:'TUSD'!$AE$125)))))))</f>
        <v>454633.83541671187</v>
      </c>
      <c r="V9" s="57">
        <f ca="1">IF($G$2&lt;&gt;"Não se aplica",SUMIF(TUSD!$G$68:'TUSD'!$G$125,$I$2,TUSD!$AF$68:'TUSD'!$AF$125),IF($F$2&lt;&gt;"Não se aplica",SUMIF(TUSD!$F$68:'TUSD'!$F$125,$I$2,TUSD!$AF$68:'TUSD'!$AF$125),IF($E$2&lt;&gt;"Não se aplica",SUMIF(TUSD!$E$68:'TUSD'!$E$125,$I$2,TUSD!$AF$68:'TUSD'!$AF$125),IF($D$2&lt;&gt;"Não se aplica",SUMIF(TUSD!$D$68:'TUSD'!$D$125,$I$2,TUSD!$AF$68:'TUSD'!$AF$125),IF($C$2&lt;&gt;"Não se aplica",SUMIF(TUSD!$C$68:'TUSD'!$C$125,$I$2,TUSD!$AF$68:'TUSD'!$AF$125),IF($B$2&lt;&gt;"Não se aplica",SUMIF(TUSD!$B$68:'TUSD'!$B$125,$I$2,TUSD!$AF$68:'TUSD'!$AF$125),SUMIF(TUSD!$A$68:'TUSD'!$A$125,$I$2,TUSD!$AF$68:'TUSD'!$AF$125)))))))</f>
        <v>7862561.1261958312</v>
      </c>
      <c r="W9" s="57">
        <f ca="1">IF($G$2&lt;&gt;"Não se aplica",SUMIF(TUSD!$G$68:'TUSD'!$G$125,$I$2,TUSD!$AG$68:'TUSD'!$AG$125),IF($F$2&lt;&gt;"Não se aplica",SUMIF(TUSD!$F$68:'TUSD'!$F$125,$I$2,TUSD!$AG$68:'TUSD'!$AG$125),IF($E$2&lt;&gt;"Não se aplica",SUMIF(TUSD!$E$68:'TUSD'!$E$125,$I$2,TUSD!$AG$68:'TUSD'!$AG$125),IF($D$2&lt;&gt;"Não se aplica",SUMIF(TUSD!$D$68:'TUSD'!$D$125,$I$2,TUSD!$AG$68:'TUSD'!$AG$125),IF($C$2&lt;&gt;"Não se aplica",SUMIF(TUSD!$C$68:'TUSD'!$C$125,$I$2,TUSD!$AG$68:'TUSD'!$AG$125),IF($B$2&lt;&gt;"Não se aplica",SUMIF(TUSD!$B$68:'TUSD'!$B$125,$I$2,TUSD!$AG$68:'TUSD'!$AG$125),SUMIF(TUSD!$A$68:'TUSD'!$A$125,$I$2,TUSD!$AG$68:'TUSD'!$AG$125)))))))</f>
        <v>2560554.6888403003</v>
      </c>
      <c r="X9" s="57">
        <f t="shared" ca="1" si="0"/>
        <v>108142773.98623623</v>
      </c>
      <c r="AD9" s="16" t="s">
        <v>49</v>
      </c>
    </row>
    <row r="10" spans="1:33" x14ac:dyDescent="0.2">
      <c r="A10" s="16" t="s">
        <v>1416</v>
      </c>
      <c r="B10" s="57">
        <f>SUMIF(TUSD!$A$68:'TUSD'!$A$125,$A$2,TUSD!$AI$68:'TUSD'!$AI$125)</f>
        <v>0</v>
      </c>
      <c r="C10" s="57">
        <f>SUMIF(TUSD!$A$68:'TUSD'!$A$125,$A$2,TUSD!$AJ$68:'TUSD'!$AJ$125)</f>
        <v>97923.115051418194</v>
      </c>
      <c r="D10" s="57">
        <f>SUMIF(TUSD!$A$68:'TUSD'!$A$125,$A$2,TUSD!$AK$68:'TUSD'!$AK$125)</f>
        <v>375500.74260294857</v>
      </c>
      <c r="E10" s="57">
        <f>SUMIF(TUSD!$A$68:'TUSD'!$A$125,$A$2,TUSD!$AL$68:'TUSD'!$AL$125)</f>
        <v>4415.1613073461122</v>
      </c>
      <c r="F10" s="57">
        <f>SUMIF(TUSD!$A$68:'TUSD'!$A$125,$A$2,TUSD!$AM$68:'TUSD'!$AM$125)</f>
        <v>0</v>
      </c>
      <c r="G10" s="57">
        <f>SUMIF(TUSD!$A$68:'TUSD'!$A$125,$A$2,TUSD!$AN$68:'TUSD'!$AN$125)</f>
        <v>7678667.2662562113</v>
      </c>
      <c r="H10" s="57">
        <f>SUMIF(TUSD!$A$68:'TUSD'!$A$125,$A$2,TUSD!$AO$68:'TUSD'!$AO$125)</f>
        <v>7295610.6301281927</v>
      </c>
      <c r="I10" s="57">
        <f>SUMIF(TUSD!$A$68:'TUSD'!$A$125,$A$2,TUSD!$AP$68:'TUSD'!$AP$125)</f>
        <v>0</v>
      </c>
      <c r="J10" s="57">
        <f>SUMIF(TUSD!$A$68:'TUSD'!$A$125,$A$2,TUSD!$AQ$68:'TUSD'!$AQ$125)</f>
        <v>28305706.907807268</v>
      </c>
      <c r="K10" s="57">
        <f>SUMIF(TUSD!$A$68:'TUSD'!$A$125,$A$2,TUSD!$AR$68:'TUSD'!$AR$125)</f>
        <v>10507921.774700414</v>
      </c>
      <c r="L10" s="57">
        <f>SUMIF(TUSD!$A$68:'TUSD'!$A$125,$A$2,TUSD!$AS$68:'TUSD'!$AS$125)</f>
        <v>2331601.6827617418</v>
      </c>
      <c r="M10" s="57">
        <f>SUMIF(TUSD!$A$68:'TUSD'!$A$125,$A$2,TUSD!$AT$68:'TUSD'!$AT$125)</f>
        <v>0</v>
      </c>
      <c r="N10" s="57">
        <f>SUMIF(TUSD!$A$68:'TUSD'!$A$125,$A$2,TUSD!$AU$68:'TUSD'!$AU$125)</f>
        <v>760761.50887648854</v>
      </c>
      <c r="O10" s="57">
        <f>SUMIF(TUSD!$A$68:'TUSD'!$A$125,$A$2,TUSD!$AV$68:'TUSD'!$AV$125)</f>
        <v>0</v>
      </c>
      <c r="P10" s="57">
        <f>SUMIF(TUSD!$A$68:'TUSD'!$A$125,$A$2,TUSD!$AW$68:'TUSD'!$AW$125)</f>
        <v>0</v>
      </c>
      <c r="Q10" s="57">
        <f>SUMIF(TUSD!$A$68:'TUSD'!$A$125,$A$2,TUSD!$AX$68:'TUSD'!$AX$125)</f>
        <v>25007656.761475679</v>
      </c>
      <c r="R10" s="57">
        <f>SUMIF(TUSD!$A$68:'TUSD'!$A$125,$A$2,TUSD!$AY$68:'TUSD'!$AY$125)</f>
        <v>-7749480.0699605299</v>
      </c>
      <c r="S10" s="57">
        <f>SUMIF(TUSD!$A$68:'TUSD'!$A$125,$A$2,TUSD!$AZ$68:'TUSD'!$AZ$125)</f>
        <v>0</v>
      </c>
      <c r="T10" s="57">
        <f>SUMIF(TUSD!$A$68:'TUSD'!$A$125,$A$2,TUSD!$BA$68:'TUSD'!$BA$125)</f>
        <v>4467593.008281217</v>
      </c>
      <c r="U10" s="57">
        <f>SUMIF(TUSD!$A$68:'TUSD'!$A$125,$A$2,TUSD!$BB$68:'TUSD'!$BB$125)</f>
        <v>378379.9814810243</v>
      </c>
      <c r="V10" s="57">
        <f>SUMIF(TUSD!$A$68:'TUSD'!$A$125,$A$2,TUSD!$BC$68:'TUSD'!$BC$125)</f>
        <v>7013511.9366892464</v>
      </c>
      <c r="W10" s="57">
        <f>SUMIF(TUSD!$A$68:'TUSD'!$A$125,$A$2,TUSD!$BD$68:'TUSD'!$BD$125)</f>
        <v>1819196.8890218351</v>
      </c>
      <c r="X10" s="57">
        <f t="shared" si="0"/>
        <v>88294967.296480492</v>
      </c>
      <c r="AD10" s="16" t="s">
        <v>106</v>
      </c>
    </row>
    <row r="11" spans="1:33" x14ac:dyDescent="0.2">
      <c r="A11" s="16" t="s">
        <v>1417</v>
      </c>
      <c r="B11" s="57">
        <f>SUMIF(TUSD!$A$68:'TUSD'!$A$125,$A$2,TUSD!$L$68:'TUSD'!$L$125)</f>
        <v>2919068.3296697461</v>
      </c>
      <c r="C11" s="57">
        <f>SUMIF(TUSD!$A$68:'TUSD'!$A$125,$A$2,TUSD!$M$68:'TUSD'!$M$125)</f>
        <v>125629.64953811219</v>
      </c>
      <c r="D11" s="57">
        <f ca="1">SUMIF(TUSD!$A$68:'TUSD'!$A$125,$A$2,TUSD!$N$68:'TUSD'!$N$125)</f>
        <v>459705.45666656725</v>
      </c>
      <c r="E11" s="57">
        <f>SUMIF(TUSD!$A$68:'TUSD'!$A$125,$A$2,TUSD!$O$68:'TUSD'!$O$125)</f>
        <v>5057.8273449952694</v>
      </c>
      <c r="F11" s="57">
        <f>SUMIF(TUSD!$A$68:'TUSD'!$A$125,$A$2,TUSD!$P$68:'TUSD'!$P$125)</f>
        <v>0</v>
      </c>
      <c r="G11" s="57">
        <f>SUMIF(TUSD!$A$68:'TUSD'!$A$125,$A$2,TUSD!$Q$68:'TUSD'!$Q$125)</f>
        <v>11489454.931470564</v>
      </c>
      <c r="H11" s="57">
        <f>SUMIF(TUSD!$A$68:'TUSD'!$A$125,$A$2,TUSD!$R$68:'TUSD'!$R$125)</f>
        <v>7607440.952365824</v>
      </c>
      <c r="I11" s="57">
        <f>SUMIF(TUSD!$A$68:'TUSD'!$A$125,$A$2,TUSD!$S$68:'TUSD'!$S$125)</f>
        <v>0</v>
      </c>
      <c r="J11" s="57">
        <f>SUMIF(TUSD!$A$68:'TUSD'!$A$125,$A$2,TUSD!$T$68:'TUSD'!$T$125)</f>
        <v>29496081.093184136</v>
      </c>
      <c r="K11" s="57">
        <f>SUMIF(TUSD!$A$68:'TUSD'!$A$125,$A$2,TUSD!$U$68:'TUSD'!$U$125)</f>
        <v>7538238.9322043564</v>
      </c>
      <c r="L11" s="57">
        <f>SUMIF(TUSD!$A$68:'TUSD'!$A$125,$A$2,TUSD!$V$68:'TUSD'!$V$125)</f>
        <v>2279563.5770552671</v>
      </c>
      <c r="M11" s="57">
        <f>SUMIF(TUSD!$A$68:'TUSD'!$A$125,$A$2,TUSD!$W$68:'TUSD'!$W$125)</f>
        <v>0</v>
      </c>
      <c r="N11" s="57">
        <f>SUMIF(TUSD!$A$68:'TUSD'!$A$125,$A$2,TUSD!$X$68:'TUSD'!$X$125)</f>
        <v>678173.58471202757</v>
      </c>
      <c r="O11" s="57">
        <f>SUMIF(TUSD!$A$68:'TUSD'!$A$125,$A$2,TUSD!$Y$68:'TUSD'!$Y$125)</f>
        <v>0</v>
      </c>
      <c r="P11" s="57">
        <f>SUMIF(TUSD!$A$68:'TUSD'!$A$125,$A$2,TUSD!$Z$68:'TUSD'!$Z$125)</f>
        <v>0</v>
      </c>
      <c r="Q11" s="57">
        <f>SUMIF(TUSD!$A$68:'TUSD'!$A$125,$A$2,TUSD!$AA$68:'TUSD'!$AA$125)</f>
        <v>29457617.206127595</v>
      </c>
      <c r="R11" s="57">
        <f ca="1">SUMIF(TUSD!$A$68:'TUSD'!$A$125,$A$2,TUSD!$AB$68:'TUSD'!$AB$125)</f>
        <v>144870.84903711497</v>
      </c>
      <c r="S11" s="57">
        <f ca="1">SUMIF(TUSD!$A$68:'TUSD'!$A$125,$A$2,TUSD!$AC$68:'TUSD'!$AC$125)</f>
        <v>0</v>
      </c>
      <c r="T11" s="57">
        <f>SUMIF(TUSD!$A$68:'TUSD'!$A$125,$A$2,TUSD!$AD$68:'TUSD'!$AD$125)</f>
        <v>5064121.9464070676</v>
      </c>
      <c r="U11" s="57">
        <f>SUMIF(TUSD!$A$68:'TUSD'!$A$125,$A$2,TUSD!$AE$68:'TUSD'!$AE$125)</f>
        <v>454633.83541671187</v>
      </c>
      <c r="V11" s="57">
        <f ca="1">SUMIF(TUSD!$A$68:'TUSD'!$A$125,$A$2,TUSD!$AF$68:'TUSD'!$AF$125)</f>
        <v>7862561.1261958312</v>
      </c>
      <c r="W11" s="57">
        <f ca="1">SUMIF(TUSD!$A$68:'TUSD'!$A$125,$A$2,TUSD!$AG$68:'TUSD'!$AG$125)</f>
        <v>2560554.6888403003</v>
      </c>
      <c r="X11" s="57">
        <f t="shared" ca="1" si="0"/>
        <v>108142773.98623623</v>
      </c>
    </row>
    <row r="13" spans="1:33" x14ac:dyDescent="0.2">
      <c r="A13" s="16" t="s">
        <v>1421</v>
      </c>
      <c r="B13" s="84">
        <f t="shared" ref="B13:X13" si="1">IF($X$6&lt;&gt;0,(B$7-B$6)/$X$6,0)</f>
        <v>2.674399482935599E-2</v>
      </c>
      <c r="C13" s="84">
        <f t="shared" si="1"/>
        <v>3.2112517770684491E-4</v>
      </c>
      <c r="D13" s="84">
        <f t="shared" ca="1" si="1"/>
        <v>1.9500908678637284E-3</v>
      </c>
      <c r="E13" s="84">
        <f t="shared" si="1"/>
        <v>6.1920189651512145E-8</v>
      </c>
      <c r="F13" s="84">
        <f t="shared" si="1"/>
        <v>0</v>
      </c>
      <c r="G13" s="84">
        <f t="shared" si="1"/>
        <v>3.9098925043180563E-2</v>
      </c>
      <c r="H13" s="84">
        <f t="shared" si="1"/>
        <v>2.0186331026646066E-3</v>
      </c>
      <c r="I13" s="84">
        <f t="shared" si="1"/>
        <v>0</v>
      </c>
      <c r="J13" s="84">
        <f t="shared" si="1"/>
        <v>-2.0388345634777655E-3</v>
      </c>
      <c r="K13" s="84">
        <f t="shared" si="1"/>
        <v>-1.4777754988317814E-2</v>
      </c>
      <c r="L13" s="84">
        <f t="shared" si="1"/>
        <v>-8.3346212171036551E-4</v>
      </c>
      <c r="M13" s="84">
        <f t="shared" si="1"/>
        <v>0</v>
      </c>
      <c r="N13" s="84">
        <f t="shared" si="1"/>
        <v>-8.2888442357692592E-4</v>
      </c>
      <c r="O13" s="84">
        <f t="shared" si="1"/>
        <v>0</v>
      </c>
      <c r="P13" s="84">
        <f t="shared" si="1"/>
        <v>0</v>
      </c>
      <c r="Q13" s="84">
        <f t="shared" si="1"/>
        <v>6.8133938431681779E-2</v>
      </c>
      <c r="R13" s="84">
        <f t="shared" ca="1" si="1"/>
        <v>8.2316889889754968E-2</v>
      </c>
      <c r="S13" s="84">
        <f t="shared" ca="1" si="1"/>
        <v>0</v>
      </c>
      <c r="T13" s="84">
        <f t="shared" si="1"/>
        <v>1.0577227820684525E-2</v>
      </c>
      <c r="U13" s="84">
        <f t="shared" si="1"/>
        <v>1.0719733680164428E-3</v>
      </c>
      <c r="V13" s="84">
        <f t="shared" ca="1" si="1"/>
        <v>1.0316532174090315E-2</v>
      </c>
      <c r="W13" s="84">
        <f t="shared" ca="1" si="1"/>
        <v>8.9259706095864456E-3</v>
      </c>
      <c r="X13" s="84">
        <f t="shared" ca="1" si="1"/>
        <v>0.23299642713769267</v>
      </c>
    </row>
    <row r="14" spans="1:33" x14ac:dyDescent="0.2">
      <c r="A14" s="16" t="s">
        <v>1422</v>
      </c>
      <c r="B14" s="84">
        <f t="shared" ref="B14:X14" si="2">IF($X$10&lt;&gt;0,(B$9-B$8)/$X$10,0)</f>
        <v>3.3060415775091438E-2</v>
      </c>
      <c r="C14" s="84">
        <f t="shared" si="2"/>
        <v>3.1379517242086802E-4</v>
      </c>
      <c r="D14" s="84">
        <f t="shared" ca="1" si="2"/>
        <v>9.5367512602244483E-4</v>
      </c>
      <c r="E14" s="84">
        <f t="shared" si="2"/>
        <v>7.2786259208997346E-6</v>
      </c>
      <c r="F14" s="84">
        <f t="shared" si="2"/>
        <v>0</v>
      </c>
      <c r="G14" s="84">
        <f t="shared" si="2"/>
        <v>4.3159738113026667E-2</v>
      </c>
      <c r="H14" s="84">
        <f t="shared" si="2"/>
        <v>3.5316885184469753E-3</v>
      </c>
      <c r="I14" s="84">
        <f t="shared" si="2"/>
        <v>0</v>
      </c>
      <c r="J14" s="84">
        <f t="shared" si="2"/>
        <v>1.3481789753427056E-2</v>
      </c>
      <c r="K14" s="84">
        <f t="shared" si="2"/>
        <v>-3.363365923817984E-2</v>
      </c>
      <c r="L14" s="84">
        <f t="shared" si="2"/>
        <v>-5.8936661170889883E-4</v>
      </c>
      <c r="M14" s="84">
        <f t="shared" si="2"/>
        <v>0</v>
      </c>
      <c r="N14" s="84">
        <f t="shared" si="2"/>
        <v>-9.3536389098082822E-4</v>
      </c>
      <c r="O14" s="84">
        <f t="shared" si="2"/>
        <v>0</v>
      </c>
      <c r="P14" s="84">
        <f t="shared" si="2"/>
        <v>0</v>
      </c>
      <c r="Q14" s="84">
        <f t="shared" si="2"/>
        <v>5.039880053083496E-2</v>
      </c>
      <c r="R14" s="84">
        <f t="shared" ca="1" si="2"/>
        <v>8.9408843569641586E-2</v>
      </c>
      <c r="S14" s="84">
        <f t="shared" ca="1" si="2"/>
        <v>0</v>
      </c>
      <c r="T14" s="84">
        <f t="shared" si="2"/>
        <v>6.7560921804614427E-3</v>
      </c>
      <c r="U14" s="84">
        <f t="shared" si="2"/>
        <v>8.6362627758430704E-4</v>
      </c>
      <c r="V14" s="84">
        <f t="shared" ca="1" si="2"/>
        <v>9.6160541818381597E-3</v>
      </c>
      <c r="W14" s="84">
        <f t="shared" ca="1" si="2"/>
        <v>8.3963766284561089E-3</v>
      </c>
      <c r="X14" s="84">
        <f t="shared" ca="1" si="2"/>
        <v>0.22478978471230363</v>
      </c>
    </row>
    <row r="15" spans="1:33" x14ac:dyDescent="0.2">
      <c r="A15" s="16" t="s">
        <v>1423</v>
      </c>
      <c r="B15" s="84">
        <f t="shared" ref="B15:X15" si="3">IF($X$8&lt;&gt;0,(B$9-B$8)/$X$8,0)</f>
        <v>3.3060415775091438E-2</v>
      </c>
      <c r="C15" s="84">
        <f t="shared" si="3"/>
        <v>3.1379517242086802E-4</v>
      </c>
      <c r="D15" s="84">
        <f t="shared" ca="1" si="3"/>
        <v>9.5367512602244483E-4</v>
      </c>
      <c r="E15" s="84">
        <f t="shared" si="3"/>
        <v>7.2786259208997346E-6</v>
      </c>
      <c r="F15" s="84">
        <f t="shared" si="3"/>
        <v>0</v>
      </c>
      <c r="G15" s="84">
        <f t="shared" si="3"/>
        <v>4.3159738113026667E-2</v>
      </c>
      <c r="H15" s="84">
        <f t="shared" si="3"/>
        <v>3.5316885184469753E-3</v>
      </c>
      <c r="I15" s="84">
        <f t="shared" si="3"/>
        <v>0</v>
      </c>
      <c r="J15" s="84">
        <f t="shared" si="3"/>
        <v>1.3481789753427056E-2</v>
      </c>
      <c r="K15" s="84">
        <f t="shared" si="3"/>
        <v>-3.363365923817984E-2</v>
      </c>
      <c r="L15" s="84">
        <f t="shared" si="3"/>
        <v>-5.8936661170889883E-4</v>
      </c>
      <c r="M15" s="84">
        <f t="shared" si="3"/>
        <v>0</v>
      </c>
      <c r="N15" s="84">
        <f t="shared" si="3"/>
        <v>-9.3536389098082822E-4</v>
      </c>
      <c r="O15" s="84">
        <f t="shared" si="3"/>
        <v>0</v>
      </c>
      <c r="P15" s="84">
        <f t="shared" si="3"/>
        <v>0</v>
      </c>
      <c r="Q15" s="84">
        <f t="shared" si="3"/>
        <v>5.039880053083496E-2</v>
      </c>
      <c r="R15" s="84">
        <f t="shared" ca="1" si="3"/>
        <v>8.9408843569641586E-2</v>
      </c>
      <c r="S15" s="84">
        <f t="shared" ca="1" si="3"/>
        <v>0</v>
      </c>
      <c r="T15" s="84">
        <f t="shared" si="3"/>
        <v>6.7560921804614427E-3</v>
      </c>
      <c r="U15" s="84">
        <f t="shared" si="3"/>
        <v>8.6362627758430704E-4</v>
      </c>
      <c r="V15" s="84">
        <f t="shared" ca="1" si="3"/>
        <v>9.6160541818381597E-3</v>
      </c>
      <c r="W15" s="84">
        <f t="shared" ca="1" si="3"/>
        <v>8.3963766284561089E-3</v>
      </c>
      <c r="X15" s="84">
        <f t="shared" ca="1" si="3"/>
        <v>0.22478978471230363</v>
      </c>
    </row>
  </sheetData>
  <dataValidations count="5">
    <dataValidation type="list" allowBlank="1" showInputMessage="1" showErrorMessage="1" error="Deve-se selecionar grupo válido" sqref="A2" xr:uid="{D995D65C-419A-42AF-9151-0AED98FFE263}">
      <formula1>AA1:AA7</formula1>
    </dataValidation>
    <dataValidation type="list" allowBlank="1" showInputMessage="1" showErrorMessage="1" error="Deve-se selecionar grupo válido" sqref="B2 G2" xr:uid="{68AC11DD-E334-4D2D-90A9-06874AD32876}">
      <formula1>AB1:AB8</formula1>
    </dataValidation>
    <dataValidation type="list" allowBlank="1" showInputMessage="1" showErrorMessage="1" error="Deve-se selecionar grupo válido" sqref="C2 E2" xr:uid="{4C0C0B12-DE92-455D-9BC4-684822756676}">
      <formula1>AC1:AC4</formula1>
    </dataValidation>
    <dataValidation type="list" allowBlank="1" showInputMessage="1" showErrorMessage="1" error="Deve-se selecionar grupo válido" sqref="D2" xr:uid="{9889B79F-A077-4B78-901A-06779EC534DD}">
      <formula1>AD1:AD10</formula1>
    </dataValidation>
    <dataValidation type="list" allowBlank="1" showInputMessage="1" showErrorMessage="1" error="Deve-se selecionar grupo válido" sqref="F2" xr:uid="{1F72E26C-E6BB-481E-93C6-15B7DE196BDA}">
      <formula1>AF1:AF2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CC3C1-46FC-4D9C-9F21-D44F86A061F1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0.5703125" style="16" bestFit="1" customWidth="1"/>
    <col min="3" max="3" width="10.85546875" style="16" bestFit="1" customWidth="1"/>
    <col min="4" max="4" width="10.28515625" style="16" bestFit="1" customWidth="1"/>
    <col min="5" max="5" width="10.85546875" style="16" bestFit="1" customWidth="1"/>
    <col min="6" max="6" width="14.85546875" style="16" bestFit="1" customWidth="1"/>
    <col min="7" max="7" width="10.28515625" style="16" bestFit="1" customWidth="1"/>
    <col min="8" max="8" width="9.5703125" style="16" bestFit="1" customWidth="1"/>
    <col min="9" max="9" width="6.42578125" style="16" bestFit="1" customWidth="1"/>
    <col min="10" max="10" width="10" style="16" bestFit="1" customWidth="1"/>
    <col min="11" max="11" width="10.85546875" style="16" bestFit="1" customWidth="1"/>
    <col min="12" max="12" width="11.7109375" style="16" bestFit="1" customWidth="1"/>
    <col min="13" max="26" width="9.140625" style="16"/>
    <col min="27" max="27" width="3" style="16" bestFit="1" customWidth="1"/>
    <col min="28" max="28" width="27.1406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80</v>
      </c>
      <c r="B1" s="16" t="s">
        <v>81</v>
      </c>
      <c r="C1" s="16" t="s">
        <v>82</v>
      </c>
      <c r="D1" s="16" t="s">
        <v>83</v>
      </c>
      <c r="E1" s="16" t="s">
        <v>84</v>
      </c>
      <c r="F1" s="16" t="s">
        <v>15</v>
      </c>
      <c r="G1" s="16" t="s">
        <v>86</v>
      </c>
      <c r="I1" s="16" t="s">
        <v>1420</v>
      </c>
      <c r="AA1" s="16" t="s">
        <v>41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41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A3</v>
      </c>
      <c r="AA2" s="16" t="s">
        <v>33</v>
      </c>
      <c r="AB2" s="16" t="s">
        <v>89</v>
      </c>
      <c r="AC2" s="16" t="s">
        <v>24</v>
      </c>
      <c r="AD2" s="16" t="s">
        <v>24</v>
      </c>
      <c r="AG2" s="16" t="s">
        <v>91</v>
      </c>
    </row>
    <row r="3" spans="1:33" x14ac:dyDescent="0.2">
      <c r="AA3" s="16" t="s">
        <v>22</v>
      </c>
      <c r="AB3" s="16" t="s">
        <v>97</v>
      </c>
      <c r="AC3" s="16" t="s">
        <v>45</v>
      </c>
      <c r="AD3" s="16" t="s">
        <v>29</v>
      </c>
      <c r="AG3" s="16" t="s">
        <v>92</v>
      </c>
    </row>
    <row r="4" spans="1:33" x14ac:dyDescent="0.2">
      <c r="AA4" s="16" t="s">
        <v>44</v>
      </c>
      <c r="AB4" s="16" t="s">
        <v>102</v>
      </c>
      <c r="AC4" s="16" t="s">
        <v>48</v>
      </c>
      <c r="AD4" s="16" t="s">
        <v>30</v>
      </c>
      <c r="AG4" s="16" t="s">
        <v>96</v>
      </c>
    </row>
    <row r="5" spans="1:33" x14ac:dyDescent="0.2">
      <c r="A5" s="16" t="s">
        <v>1413</v>
      </c>
      <c r="B5" s="16" t="str">
        <f>TE!$W$4</f>
        <v>P&amp;D</v>
      </c>
      <c r="C5" s="16" t="str">
        <f>TE!$X$4</f>
        <v>ESS/ERR</v>
      </c>
      <c r="D5" s="16" t="str">
        <f>TE!$Y$4</f>
        <v>CFURH</v>
      </c>
      <c r="E5" s="16" t="str">
        <f>TE!$Z$4</f>
        <v>CDE Covid TE</v>
      </c>
      <c r="F5" s="16" t="str">
        <f>TE!$AA$4</f>
        <v>ENERGIA REVENDA</v>
      </c>
      <c r="G5" s="16" t="str">
        <f>TE!$AB$4</f>
        <v>ITAIPU</v>
      </c>
      <c r="H5" s="16" t="str">
        <f>TE!$AC$4</f>
        <v>TUST ITAIPU</v>
      </c>
      <c r="I5" s="16" t="str">
        <f>TE!$AD$4</f>
        <v>TUST CI</v>
      </c>
      <c r="J5" s="16" t="str">
        <f>TE!$AE$4</f>
        <v>SUBSIDIO</v>
      </c>
      <c r="K5" s="16" t="str">
        <f>TE!$AF$4</f>
        <v>PERDAS RB/C</v>
      </c>
      <c r="L5" s="16" t="s">
        <v>791</v>
      </c>
      <c r="AA5" s="16" t="s">
        <v>39</v>
      </c>
      <c r="AD5" s="16" t="s">
        <v>31</v>
      </c>
      <c r="AG5" s="16" t="s">
        <v>101</v>
      </c>
    </row>
    <row r="6" spans="1:33" x14ac:dyDescent="0.2">
      <c r="A6" s="16" t="s">
        <v>1414</v>
      </c>
      <c r="B6" s="57">
        <f>SUM(TE!$W$50:'TE'!$W$89)</f>
        <v>6806248.6125971889</v>
      </c>
      <c r="C6" s="57">
        <f>SUM(TE!$X$50:'TE'!$X$89)</f>
        <v>52414422.227993064</v>
      </c>
      <c r="D6" s="57">
        <f>SUM(TE!$Y$50:'TE'!$Y$89)</f>
        <v>0</v>
      </c>
      <c r="E6" s="57">
        <f>SUM(TE!$Z$50:'TE'!$Z$89)</f>
        <v>0</v>
      </c>
      <c r="F6" s="57">
        <f>SUM(TE!$AA$50:'TE'!$AA$89)</f>
        <v>587344517.6412847</v>
      </c>
      <c r="G6" s="57">
        <f>SUM(TE!$AB$50:'TE'!$AB$89)</f>
        <v>0</v>
      </c>
      <c r="H6" s="57">
        <f>SUM(TE!$AC$50:'TE'!$AC$89)</f>
        <v>0</v>
      </c>
      <c r="I6" s="57">
        <f>SUM(TE!$AD$50:'TE'!$AD$89)</f>
        <v>0</v>
      </c>
      <c r="J6" s="57">
        <f>SUM(TE!$AE$50:'TE'!$AE$89)</f>
        <v>-48140810.922282904</v>
      </c>
      <c r="K6" s="57">
        <f>SUM(TE!$AF$50:'TE'!$AF$89)</f>
        <v>15627001.767306745</v>
      </c>
      <c r="L6" s="57">
        <f t="shared" ref="L6:L11" si="0">SUM(B6:K6)</f>
        <v>614051379.32689881</v>
      </c>
      <c r="AA6" s="16" t="s">
        <v>47</v>
      </c>
      <c r="AD6" s="16" t="s">
        <v>32</v>
      </c>
    </row>
    <row r="7" spans="1:33" x14ac:dyDescent="0.2">
      <c r="A7" s="16" t="s">
        <v>1415</v>
      </c>
      <c r="B7" s="57">
        <f>SUM(TE!$L$50:'TE'!$L$89)</f>
        <v>7865556.4778188467</v>
      </c>
      <c r="C7" s="57">
        <f>SUM(TE!$M$50:'TE'!$M$89)</f>
        <v>57017984.686515749</v>
      </c>
      <c r="D7" s="57">
        <f>SUM(TE!$N$50:'TE'!$N$89)</f>
        <v>0</v>
      </c>
      <c r="E7" s="57">
        <f>SUM(TE!$O$50:'TE'!$O$89)</f>
        <v>89752040.660693437</v>
      </c>
      <c r="F7" s="57">
        <f>SUM(TE!$P$50:'TE'!$P$89)</f>
        <v>660932037.04793286</v>
      </c>
      <c r="G7" s="57">
        <f>SUM(TE!$Q$50:'TE'!$Q$89)</f>
        <v>0</v>
      </c>
      <c r="H7" s="57">
        <f>SUM(TE!$R$50:'TE'!$R$89)</f>
        <v>0</v>
      </c>
      <c r="I7" s="57">
        <f>SUM(TE!$S$50:'TE'!$S$89)</f>
        <v>0</v>
      </c>
      <c r="J7" s="57">
        <f>SUM(TE!$T$50:'TE'!$T$89)</f>
        <v>998603.94927267032</v>
      </c>
      <c r="K7" s="57">
        <f>SUM(TE!$U$50:'TE'!$U$89)</f>
        <v>19429051.291468225</v>
      </c>
      <c r="L7" s="57">
        <f t="shared" si="0"/>
        <v>835995274.11370182</v>
      </c>
      <c r="AD7" s="16" t="s">
        <v>104</v>
      </c>
    </row>
    <row r="8" spans="1:33" x14ac:dyDescent="0.2">
      <c r="A8" s="16" t="s">
        <v>1418</v>
      </c>
      <c r="B8" s="57">
        <f>IF($G$2&lt;&gt;"Não se aplica",SUMIF(TE!$G$50:'TE'!$G$89,$I$2,TE!$W$50:'TE'!$W$89),IF($F$2&lt;&gt;"Não se aplica",SUMIF(TE!$F$50:'TE'!$F$89,$I$2,TE!$W$50:'TE'!$W$89),IF($E$2&lt;&gt;"Não se aplica",SUMIF(TE!$E$50:'TE'!$E$89,$I$2,TE!$W$50:'TE'!$W$89),IF($D$2&lt;&gt;"Não se aplica",SUMIF(TE!$D$50:'TE'!$D$89,$I$2,TE!$W$50:'TE'!$W$89),IF($C$2&lt;&gt;"Não se aplica",SUMIF(TE!$C$50:'TE'!$C$89,$I$2,TE!$W$50:'TE'!$W$89),IF($B$2&lt;&gt;"Não se aplica",SUMIF(TE!$B$50:'TE'!$B$89,$I$2,TE!$W$50:'TE'!$W$89),SUMIF(TE!$A$50:'TE'!$A$89,$I$2,TE!$W$50:'TE'!$W$89)))))))</f>
        <v>256192.5074830009</v>
      </c>
      <c r="C8" s="57">
        <f>IF($G$2&lt;&gt;"Não se aplica",SUMIF(TE!$G$50:'TE'!$G$89,$I$2,TE!$X$50:'TE'!$X$89),IF($F$2&lt;&gt;"Não se aplica",SUMIF(TE!$F$50:'TE'!$F$89,$I$2,TE!$X$50:'TE'!$X$89),IF($E$2&lt;&gt;"Não se aplica",SUMIF(TE!$E$50:'TE'!$E$89,$I$2,TE!$X$50:'TE'!$X$89),IF($D$2&lt;&gt;"Não se aplica",SUMIF(TE!$D$50:'TE'!$D$89,$I$2,TE!$X$50:'TE'!$X$89),IF($C$2&lt;&gt;"Não se aplica",SUMIF(TE!$C$50:'TE'!$C$89,$I$2,TE!$X$50:'TE'!$X$89),IF($B$2&lt;&gt;"Não se aplica",SUMIF(TE!$B$50:'TE'!$B$89,$I$2,TE!$X$50:'TE'!$X$89),SUMIF(TE!$A$50:'TE'!$A$89,$I$2,TE!$X$50:'TE'!$X$89)))))))</f>
        <v>1972919.7423098888</v>
      </c>
      <c r="D8" s="57">
        <f>IF($G$2&lt;&gt;"Não se aplica",SUMIF(TE!$G$50:'TE'!$G$89,$I$2,TE!$Y$50:'TE'!$Y$89),IF($F$2&lt;&gt;"Não se aplica",SUMIF(TE!$F$50:'TE'!$F$89,$I$2,TE!$Y$50:'TE'!$Y$89),IF($E$2&lt;&gt;"Não se aplica",SUMIF(TE!$E$50:'TE'!$E$89,$I$2,TE!$Y$50:'TE'!$Y$89),IF($D$2&lt;&gt;"Não se aplica",SUMIF(TE!$D$50:'TE'!$D$89,$I$2,TE!$Y$50:'TE'!$Y$89),IF($C$2&lt;&gt;"Não se aplica",SUMIF(TE!$C$50:'TE'!$C$89,$I$2,TE!$Y$50:'TE'!$Y$89),IF($B$2&lt;&gt;"Não se aplica",SUMIF(TE!$B$50:'TE'!$B$89,$I$2,TE!$Y$50:'TE'!$Y$89),SUMIF(TE!$A$50:'TE'!$A$89,$I$2,TE!$Y$50:'TE'!$Y$89)))))))</f>
        <v>0</v>
      </c>
      <c r="E8" s="57">
        <f>IF($G$2&lt;&gt;"Não se aplica",SUMIF(TE!$G$50:'TE'!$G$89,$I$2,TE!$Z$50:'TE'!$Z$89),IF($F$2&lt;&gt;"Não se aplica",SUMIF(TE!$F$50:'TE'!$F$89,$I$2,TE!$Z$50:'TE'!$Z$89),IF($E$2&lt;&gt;"Não se aplica",SUMIF(TE!$E$50:'TE'!$E$89,$I$2,TE!$Z$50:'TE'!$Z$89),IF($D$2&lt;&gt;"Não se aplica",SUMIF(TE!$D$50:'TE'!$D$89,$I$2,TE!$Z$50:'TE'!$Z$89),IF($C$2&lt;&gt;"Não se aplica",SUMIF(TE!$C$50:'TE'!$C$89,$I$2,TE!$Z$50:'TE'!$Z$89),IF($B$2&lt;&gt;"Não se aplica",SUMIF(TE!$B$50:'TE'!$B$89,$I$2,TE!$Z$50:'TE'!$Z$89),SUMIF(TE!$A$50:'TE'!$A$89,$I$2,TE!$Z$50:'TE'!$Z$89)))))))</f>
        <v>0</v>
      </c>
      <c r="F8" s="57">
        <f>IF($G$2&lt;&gt;"Não se aplica",SUMIF(TE!$G$50:'TE'!$G$89,$I$2,TE!$AA$50:'TE'!$AA$89),IF($F$2&lt;&gt;"Não se aplica",SUMIF(TE!$F$50:'TE'!$F$89,$I$2,TE!$AA$50:'TE'!$AA$89),IF($E$2&lt;&gt;"Não se aplica",SUMIF(TE!$E$50:'TE'!$E$89,$I$2,TE!$AA$50:'TE'!$AA$89),IF($D$2&lt;&gt;"Não se aplica",SUMIF(TE!$D$50:'TE'!$D$89,$I$2,TE!$AA$50:'TE'!$AA$89),IF($C$2&lt;&gt;"Não se aplica",SUMIF(TE!$C$50:'TE'!$C$89,$I$2,TE!$AA$50:'TE'!$AA$89),IF($B$2&lt;&gt;"Não se aplica",SUMIF(TE!$B$50:'TE'!$B$89,$I$2,TE!$AA$50:'TE'!$AA$89),SUMIF(TE!$A$50:'TE'!$A$89,$I$2,TE!$AA$50:'TE'!$AA$89)))))))</f>
        <v>21373513.74861297</v>
      </c>
      <c r="G8" s="57">
        <f>IF($G$2&lt;&gt;"Não se aplica",SUMIF(TE!$G$50:'TE'!$G$89,$I$2,TE!$AB$50:'TE'!$AB$89),IF($F$2&lt;&gt;"Não se aplica",SUMIF(TE!$F$50:'TE'!$F$89,$I$2,TE!$AB$50:'TE'!$AB$89),IF($E$2&lt;&gt;"Não se aplica",SUMIF(TE!$E$50:'TE'!$E$89,$I$2,TE!$AB$50:'TE'!$AB$89),IF($D$2&lt;&gt;"Não se aplica",SUMIF(TE!$D$50:'TE'!$D$89,$I$2,TE!$AB$50:'TE'!$AB$89),IF($C$2&lt;&gt;"Não se aplica",SUMIF(TE!$C$50:'TE'!$C$89,$I$2,TE!$AB$50:'TE'!$AB$89),IF($B$2&lt;&gt;"Não se aplica",SUMIF(TE!$B$50:'TE'!$B$89,$I$2,TE!$AB$50:'TE'!$AB$89),SUMIF(TE!$A$50:'TE'!$A$89,$I$2,TE!$AB$50:'TE'!$AB$89)))))))</f>
        <v>0</v>
      </c>
      <c r="H8" s="57">
        <f>IF($G$2&lt;&gt;"Não se aplica",SUMIF(TE!$G$50:'TE'!$G$89,$I$2,TE!$AC$50:'TE'!$AC$89),IF($F$2&lt;&gt;"Não se aplica",SUMIF(TE!$F$50:'TE'!$F$89,$I$2,TE!$AC$50:'TE'!$AC$89),IF($E$2&lt;&gt;"Não se aplica",SUMIF(TE!$E$50:'TE'!$E$89,$I$2,TE!$AC$50:'TE'!$AC$89),IF($D$2&lt;&gt;"Não se aplica",SUMIF(TE!$D$50:'TE'!$D$89,$I$2,TE!$AC$50:'TE'!$AC$89),IF($C$2&lt;&gt;"Não se aplica",SUMIF(TE!$C$50:'TE'!$C$89,$I$2,TE!$AC$50:'TE'!$AC$89),IF($B$2&lt;&gt;"Não se aplica",SUMIF(TE!$B$50:'TE'!$B$89,$I$2,TE!$AC$50:'TE'!$AC$89),SUMIF(TE!$A$50:'TE'!$A$89,$I$2,TE!$AC$50:'TE'!$AC$89)))))))</f>
        <v>0</v>
      </c>
      <c r="I8" s="57">
        <f>IF($G$2&lt;&gt;"Não se aplica",SUMIF(TE!$G$50:'TE'!$G$89,$I$2,TE!$AD$50:'TE'!$AD$89),IF($F$2&lt;&gt;"Não se aplica",SUMIF(TE!$F$50:'TE'!$F$89,$I$2,TE!$AD$50:'TE'!$AD$89),IF($E$2&lt;&gt;"Não se aplica",SUMIF(TE!$E$50:'TE'!$E$89,$I$2,TE!$AD$50:'TE'!$AD$89),IF($D$2&lt;&gt;"Não se aplica",SUMIF(TE!$D$50:'TE'!$D$89,$I$2,TE!$AD$50:'TE'!$AD$89),IF($C$2&lt;&gt;"Não se aplica",SUMIF(TE!$C$50:'TE'!$C$89,$I$2,TE!$AD$50:'TE'!$AD$89),IF($B$2&lt;&gt;"Não se aplica",SUMIF(TE!$B$50:'TE'!$B$89,$I$2,TE!$AD$50:'TE'!$AD$89),SUMIF(TE!$A$50:'TE'!$A$89,$I$2,TE!$AD$50:'TE'!$AD$89)))))))</f>
        <v>0</v>
      </c>
      <c r="J8" s="57">
        <f>IF($G$2&lt;&gt;"Não se aplica",SUMIF(TE!$G$50:'TE'!$G$89,$I$2,TE!$AE$50:'TE'!$AE$89),IF($F$2&lt;&gt;"Não se aplica",SUMIF(TE!$F$50:'TE'!$F$89,$I$2,TE!$AE$50:'TE'!$AE$89),IF($E$2&lt;&gt;"Não se aplica",SUMIF(TE!$E$50:'TE'!$E$89,$I$2,TE!$AE$50:'TE'!$AE$89),IF($D$2&lt;&gt;"Não se aplica",SUMIF(TE!$D$50:'TE'!$D$89,$I$2,TE!$AE$50:'TE'!$AE$89),IF($C$2&lt;&gt;"Não se aplica",SUMIF(TE!$C$50:'TE'!$C$89,$I$2,TE!$AE$50:'TE'!$AE$89),IF($B$2&lt;&gt;"Não se aplica",SUMIF(TE!$B$50:'TE'!$B$89,$I$2,TE!$AE$50:'TE'!$AE$89),SUMIF(TE!$A$50:'TE'!$A$89,$I$2,TE!$AE$50:'TE'!$AE$89)))))))</f>
        <v>-1762736.0661898255</v>
      </c>
      <c r="K8" s="57">
        <f>IF($G$2&lt;&gt;"Não se aplica",SUMIF(TE!$G$50:'TE'!$G$89,$I$2,TE!$AF$50:'TE'!$AF$89),IF($F$2&lt;&gt;"Não se aplica",SUMIF(TE!$F$50:'TE'!$F$89,$I$2,TE!$AF$50:'TE'!$AF$89),IF($E$2&lt;&gt;"Não se aplica",SUMIF(TE!$E$50:'TE'!$E$89,$I$2,TE!$AF$50:'TE'!$AF$89),IF($D$2&lt;&gt;"Não se aplica",SUMIF(TE!$D$50:'TE'!$D$89,$I$2,TE!$AF$50:'TE'!$AF$89),IF($C$2&lt;&gt;"Não se aplica",SUMIF(TE!$C$50:'TE'!$C$89,$I$2,TE!$AF$50:'TE'!$AF$89),IF($B$2&lt;&gt;"Não se aplica",SUMIF(TE!$B$50:'TE'!$B$89,$I$2,TE!$AF$50:'TE'!$AF$89),SUMIF(TE!$A$50:'TE'!$A$89,$I$2,TE!$AF$50:'TE'!$AF$89)))))))</f>
        <v>588212.53749059048</v>
      </c>
      <c r="L8" s="57">
        <f t="shared" si="0"/>
        <v>22428102.469706625</v>
      </c>
      <c r="AD8" s="16" t="s">
        <v>105</v>
      </c>
    </row>
    <row r="9" spans="1:33" x14ac:dyDescent="0.2">
      <c r="A9" s="16" t="s">
        <v>1419</v>
      </c>
      <c r="B9" s="57">
        <f>IF($G$2&lt;&gt;"Não se aplica",SUMIF(TE!$G$50:'TE'!$G$89,$I$2,TE!$L$50:'TE'!$L$89),IF($F$2&lt;&gt;"Não se aplica",SUMIF(TE!$F$50:'TE'!$F$89,$I$2,TE!$L$50:'TE'!$L$89),IF($E$2&lt;&gt;"Não se aplica",SUMIF(TE!$E$50:'TE'!$E$89,$I$2,TE!$L$50:'TE'!$L$89),IF($D$2&lt;&gt;"Não se aplica",SUMIF(TE!$D$50:'TE'!$D$89,$I$2,TE!$L$50:'TE'!$L$89),IF($C$2&lt;&gt;"Não se aplica",SUMIF(TE!$C$50:'TE'!$C$89,$I$2,TE!$L$50:'TE'!$L$89),IF($B$2&lt;&gt;"Não se aplica",SUMIF(TE!$B$50:'TE'!$B$89,$I$2,TE!$L$50:'TE'!$L$89),SUMIF(TE!$A$50:'TE'!$A$89,$I$2,TE!$L$50:'TE'!$L$89)))))))</f>
        <v>295699.46338063333</v>
      </c>
      <c r="C9" s="57">
        <f>IF($G$2&lt;&gt;"Não se aplica",SUMIF(TE!$G$50:'TE'!$G$89,$I$2,TE!$M$50:'TE'!$M$89),IF($F$2&lt;&gt;"Não se aplica",SUMIF(TE!$F$50:'TE'!$F$89,$I$2,TE!$M$50:'TE'!$M$89),IF($E$2&lt;&gt;"Não se aplica",SUMIF(TE!$E$50:'TE'!$E$89,$I$2,TE!$M$50:'TE'!$M$89),IF($D$2&lt;&gt;"Não se aplica",SUMIF(TE!$D$50:'TE'!$D$89,$I$2,TE!$M$50:'TE'!$M$89),IF($C$2&lt;&gt;"Não se aplica",SUMIF(TE!$C$50:'TE'!$C$89,$I$2,TE!$M$50:'TE'!$M$89),IF($B$2&lt;&gt;"Não se aplica",SUMIF(TE!$B$50:'TE'!$B$89,$I$2,TE!$M$50:'TE'!$M$89),SUMIF(TE!$A$50:'TE'!$A$89,$I$2,TE!$M$50:'TE'!$M$89)))))))</f>
        <v>2143546.6800593464</v>
      </c>
      <c r="D9" s="57">
        <f>IF($G$2&lt;&gt;"Não se aplica",SUMIF(TE!$G$50:'TE'!$G$89,$I$2,TE!$N$50:'TE'!$N$89),IF($F$2&lt;&gt;"Não se aplica",SUMIF(TE!$F$50:'TE'!$F$89,$I$2,TE!$N$50:'TE'!$N$89),IF($E$2&lt;&gt;"Não se aplica",SUMIF(TE!$E$50:'TE'!$E$89,$I$2,TE!$N$50:'TE'!$N$89),IF($D$2&lt;&gt;"Não se aplica",SUMIF(TE!$D$50:'TE'!$D$89,$I$2,TE!$N$50:'TE'!$N$89),IF($C$2&lt;&gt;"Não se aplica",SUMIF(TE!$C$50:'TE'!$C$89,$I$2,TE!$N$50:'TE'!$N$89),IF($B$2&lt;&gt;"Não se aplica",SUMIF(TE!$B$50:'TE'!$B$89,$I$2,TE!$N$50:'TE'!$N$89),SUMIF(TE!$A$50:'TE'!$A$89,$I$2,TE!$N$50:'TE'!$N$89)))))))</f>
        <v>0</v>
      </c>
      <c r="E9" s="57">
        <f>IF($G$2&lt;&gt;"Não se aplica",SUMIF(TE!$G$50:'TE'!$G$89,$I$2,TE!$O$50:'TE'!$O$89),IF($F$2&lt;&gt;"Não se aplica",SUMIF(TE!$F$50:'TE'!$F$89,$I$2,TE!$O$50:'TE'!$O$89),IF($E$2&lt;&gt;"Não se aplica",SUMIF(TE!$E$50:'TE'!$E$89,$I$2,TE!$O$50:'TE'!$O$89),IF($D$2&lt;&gt;"Não se aplica",SUMIF(TE!$D$50:'TE'!$D$89,$I$2,TE!$O$50:'TE'!$O$89),IF($C$2&lt;&gt;"Não se aplica",SUMIF(TE!$C$50:'TE'!$C$89,$I$2,TE!$O$50:'TE'!$O$89),IF($B$2&lt;&gt;"Não se aplica",SUMIF(TE!$B$50:'TE'!$B$89,$I$2,TE!$O$50:'TE'!$O$89),SUMIF(TE!$A$50:'TE'!$A$89,$I$2,TE!$O$50:'TE'!$O$89)))))))</f>
        <v>3374157.9932108494</v>
      </c>
      <c r="F9" s="57">
        <f>IF($G$2&lt;&gt;"Não se aplica",SUMIF(TE!$G$50:'TE'!$G$89,$I$2,TE!$P$50:'TE'!$P$89),IF($F$2&lt;&gt;"Não se aplica",SUMIF(TE!$F$50:'TE'!$F$89,$I$2,TE!$P$50:'TE'!$P$89),IF($E$2&lt;&gt;"Não se aplica",SUMIF(TE!$E$50:'TE'!$E$89,$I$2,TE!$P$50:'TE'!$P$89),IF($D$2&lt;&gt;"Não se aplica",SUMIF(TE!$D$50:'TE'!$D$89,$I$2,TE!$P$50:'TE'!$P$89),IF($C$2&lt;&gt;"Não se aplica",SUMIF(TE!$C$50:'TE'!$C$89,$I$2,TE!$P$50:'TE'!$P$89),IF($B$2&lt;&gt;"Não se aplica",SUMIF(TE!$B$50:'TE'!$B$89,$I$2,TE!$P$50:'TE'!$P$89),SUMIF(TE!$A$50:'TE'!$A$89,$I$2,TE!$P$50:'TE'!$P$89)))))))</f>
        <v>24021495.798435293</v>
      </c>
      <c r="G9" s="57">
        <f>IF($G$2&lt;&gt;"Não se aplica",SUMIF(TE!$G$50:'TE'!$G$89,$I$2,TE!$Q$50:'TE'!$Q$89),IF($F$2&lt;&gt;"Não se aplica",SUMIF(TE!$F$50:'TE'!$F$89,$I$2,TE!$Q$50:'TE'!$Q$89),IF($E$2&lt;&gt;"Não se aplica",SUMIF(TE!$E$50:'TE'!$E$89,$I$2,TE!$Q$50:'TE'!$Q$89),IF($D$2&lt;&gt;"Não se aplica",SUMIF(TE!$D$50:'TE'!$D$89,$I$2,TE!$Q$50:'TE'!$Q$89),IF($C$2&lt;&gt;"Não se aplica",SUMIF(TE!$C$50:'TE'!$C$89,$I$2,TE!$Q$50:'TE'!$Q$89),IF($B$2&lt;&gt;"Não se aplica",SUMIF(TE!$B$50:'TE'!$B$89,$I$2,TE!$Q$50:'TE'!$Q$89),SUMIF(TE!$A$50:'TE'!$A$89,$I$2,TE!$Q$50:'TE'!$Q$89)))))))</f>
        <v>0</v>
      </c>
      <c r="H9" s="57">
        <f>IF($G$2&lt;&gt;"Não se aplica",SUMIF(TE!$G$50:'TE'!$G$89,$I$2,TE!$R$50:'TE'!$R$89),IF($F$2&lt;&gt;"Não se aplica",SUMIF(TE!$F$50:'TE'!$F$89,$I$2,TE!$R$50:'TE'!$R$89),IF($E$2&lt;&gt;"Não se aplica",SUMIF(TE!$E$50:'TE'!$E$89,$I$2,TE!$R$50:'TE'!$R$89),IF($D$2&lt;&gt;"Não se aplica",SUMIF(TE!$D$50:'TE'!$D$89,$I$2,TE!$R$50:'TE'!$R$89),IF($C$2&lt;&gt;"Não se aplica",SUMIF(TE!$C$50:'TE'!$C$89,$I$2,TE!$R$50:'TE'!$R$89),IF($B$2&lt;&gt;"Não se aplica",SUMIF(TE!$B$50:'TE'!$B$89,$I$2,TE!$R$50:'TE'!$R$89),SUMIF(TE!$A$50:'TE'!$A$89,$I$2,TE!$R$50:'TE'!$R$89)))))))</f>
        <v>0</v>
      </c>
      <c r="I9" s="57">
        <f>IF($G$2&lt;&gt;"Não se aplica",SUMIF(TE!$G$50:'TE'!$G$89,$I$2,TE!$S$50:'TE'!$S$89),IF($F$2&lt;&gt;"Não se aplica",SUMIF(TE!$F$50:'TE'!$F$89,$I$2,TE!$S$50:'TE'!$S$89),IF($E$2&lt;&gt;"Não se aplica",SUMIF(TE!$E$50:'TE'!$E$89,$I$2,TE!$S$50:'TE'!$S$89),IF($D$2&lt;&gt;"Não se aplica",SUMIF(TE!$D$50:'TE'!$D$89,$I$2,TE!$S$50:'TE'!$S$89),IF($C$2&lt;&gt;"Não se aplica",SUMIF(TE!$C$50:'TE'!$C$89,$I$2,TE!$S$50:'TE'!$S$89),IF($B$2&lt;&gt;"Não se aplica",SUMIF(TE!$B$50:'TE'!$B$89,$I$2,TE!$S$50:'TE'!$S$89),SUMIF(TE!$A$50:'TE'!$A$89,$I$2,TE!$S$50:'TE'!$S$89)))))))</f>
        <v>0</v>
      </c>
      <c r="J9" s="57">
        <f>IF($G$2&lt;&gt;"Não se aplica",SUMIF(TE!$G$50:'TE'!$G$89,$I$2,TE!$T$50:'TE'!$T$89),IF($F$2&lt;&gt;"Não se aplica",SUMIF(TE!$F$50:'TE'!$F$89,$I$2,TE!$T$50:'TE'!$T$89),IF($E$2&lt;&gt;"Não se aplica",SUMIF(TE!$E$50:'TE'!$E$89,$I$2,TE!$T$50:'TE'!$T$89),IF($D$2&lt;&gt;"Não se aplica",SUMIF(TE!$D$50:'TE'!$D$89,$I$2,TE!$T$50:'TE'!$T$89),IF($C$2&lt;&gt;"Não se aplica",SUMIF(TE!$C$50:'TE'!$C$89,$I$2,TE!$T$50:'TE'!$T$89),IF($B$2&lt;&gt;"Não se aplica",SUMIF(TE!$B$50:'TE'!$B$89,$I$2,TE!$T$50:'TE'!$T$89),SUMIF(TE!$A$50:'TE'!$A$89,$I$2,TE!$T$50:'TE'!$T$89)))))))</f>
        <v>36532.720948606569</v>
      </c>
      <c r="K9" s="57">
        <f>IF($G$2&lt;&gt;"Não se aplica",SUMIF(TE!$G$50:'TE'!$G$89,$I$2,TE!$U$50:'TE'!$U$89),IF($F$2&lt;&gt;"Não se aplica",SUMIF(TE!$F$50:'TE'!$F$89,$I$2,TE!$U$50:'TE'!$U$89),IF($E$2&lt;&gt;"Não se aplica",SUMIF(TE!$E$50:'TE'!$E$89,$I$2,TE!$U$50:'TE'!$U$89),IF($D$2&lt;&gt;"Não se aplica",SUMIF(TE!$D$50:'TE'!$D$89,$I$2,TE!$U$50:'TE'!$U$89),IF($C$2&lt;&gt;"Não se aplica",SUMIF(TE!$C$50:'TE'!$C$89,$I$2,TE!$U$50:'TE'!$U$89),IF($B$2&lt;&gt;"Não se aplica",SUMIF(TE!$B$50:'TE'!$B$89,$I$2,TE!$U$50:'TE'!$U$89),SUMIF(TE!$A$50:'TE'!$A$89,$I$2,TE!$U$50:'TE'!$U$89)))))))</f>
        <v>730420.03538891545</v>
      </c>
      <c r="L9" s="57">
        <f t="shared" si="0"/>
        <v>30601852.691423647</v>
      </c>
      <c r="AD9" s="16" t="s">
        <v>49</v>
      </c>
    </row>
    <row r="10" spans="1:33" x14ac:dyDescent="0.2">
      <c r="A10" s="16" t="s">
        <v>1416</v>
      </c>
      <c r="B10" s="57">
        <f>SUMIF(TE!$A$50:'TE'!$A$89,$A$2,TE!$W$50:'TE'!$W$89)</f>
        <v>256192.5074830009</v>
      </c>
      <c r="C10" s="57">
        <f>SUMIF(TE!$A$50:'TE'!$A$89,$A$2,TE!$X$50:'TE'!$X$89)</f>
        <v>1972919.7423098888</v>
      </c>
      <c r="D10" s="57">
        <f>SUMIF(TE!$A$50:'TE'!$A$89,$A$2,TE!$Y$50:'TE'!$Y$89)</f>
        <v>0</v>
      </c>
      <c r="E10" s="57">
        <f>SUMIF(TE!$A$50:'TE'!$A$89,$A$2,TE!$Z$50:'TE'!$Z$89)</f>
        <v>0</v>
      </c>
      <c r="F10" s="57">
        <f>SUMIF(TE!$A$50:'TE'!$A$89,$A$2,TE!$AA$50:'TE'!$AA$89)</f>
        <v>21373513.74861297</v>
      </c>
      <c r="G10" s="57">
        <f>SUMIF(TE!$A$50:'TE'!$A$89,$A$2,TE!$AB$50:'TE'!$AB$89)</f>
        <v>0</v>
      </c>
      <c r="H10" s="57">
        <f>SUMIF(TE!$A$50:'TE'!$A$89,$A$2,TE!$AC$50:'TE'!$AC$89)</f>
        <v>0</v>
      </c>
      <c r="I10" s="57">
        <f>SUMIF(TE!$A$50:'TE'!$A$89,$A$2,TE!$AD$50:'TE'!$AD$89)</f>
        <v>0</v>
      </c>
      <c r="J10" s="57">
        <f>SUMIF(TE!$A$50:'TE'!$A$89,$A$2,TE!$AE$50:'TE'!$AE$89)</f>
        <v>-1762736.0661898255</v>
      </c>
      <c r="K10" s="57">
        <f>SUMIF(TE!$A$50:'TE'!$A$89,$A$2,TE!$AF$50:'TE'!$AF$89)</f>
        <v>588212.53749059048</v>
      </c>
      <c r="L10" s="57">
        <f t="shared" si="0"/>
        <v>22428102.469706625</v>
      </c>
      <c r="AD10" s="16" t="s">
        <v>106</v>
      </c>
    </row>
    <row r="11" spans="1:33" x14ac:dyDescent="0.2">
      <c r="A11" s="16" t="s">
        <v>1417</v>
      </c>
      <c r="B11" s="57">
        <f>SUMIF(TE!$A$50:'TE'!$A$89,$A$2,TE!$L$50:'TE'!$L$89)</f>
        <v>295699.46338063333</v>
      </c>
      <c r="C11" s="57">
        <f>SUMIF(TE!$A$50:'TE'!$A$89,$A$2,TE!$M$50:'TE'!$M$89)</f>
        <v>2143546.6800593464</v>
      </c>
      <c r="D11" s="57">
        <f>SUMIF(TE!$A$50:'TE'!$A$89,$A$2,TE!$N$50:'TE'!$N$89)</f>
        <v>0</v>
      </c>
      <c r="E11" s="57">
        <f>SUMIF(TE!$A$50:'TE'!$A$89,$A$2,TE!$O$50:'TE'!$O$89)</f>
        <v>3374157.9932108494</v>
      </c>
      <c r="F11" s="57">
        <f>SUMIF(TE!$A$50:'TE'!$A$89,$A$2,TE!$P$50:'TE'!$P$89)</f>
        <v>24021495.798435293</v>
      </c>
      <c r="G11" s="57">
        <f>SUMIF(TE!$A$50:'TE'!$A$89,$A$2,TE!$Q$50:'TE'!$Q$89)</f>
        <v>0</v>
      </c>
      <c r="H11" s="57">
        <f>SUMIF(TE!$A$50:'TE'!$A$89,$A$2,TE!$R$50:'TE'!$R$89)</f>
        <v>0</v>
      </c>
      <c r="I11" s="57">
        <f>SUMIF(TE!$A$50:'TE'!$A$89,$A$2,TE!$S$50:'TE'!$S$89)</f>
        <v>0</v>
      </c>
      <c r="J11" s="57">
        <f>SUMIF(TE!$A$50:'TE'!$A$89,$A$2,TE!$T$50:'TE'!$T$89)</f>
        <v>36532.720948606569</v>
      </c>
      <c r="K11" s="57">
        <f>SUMIF(TE!$A$50:'TE'!$A$89,$A$2,TE!$U$50:'TE'!$U$89)</f>
        <v>730420.03538891545</v>
      </c>
      <c r="L11" s="57">
        <f t="shared" si="0"/>
        <v>30601852.691423647</v>
      </c>
    </row>
    <row r="13" spans="1:33" x14ac:dyDescent="0.2">
      <c r="A13" s="16" t="s">
        <v>1421</v>
      </c>
      <c r="B13" s="84">
        <f t="shared" ref="B13:L13" si="1">IF($L$6&lt;&gt;0,(B$7-B$6)/$L$6,0)</f>
        <v>1.7251127525889337E-3</v>
      </c>
      <c r="C13" s="84">
        <f t="shared" si="1"/>
        <v>7.4970313780077253E-3</v>
      </c>
      <c r="D13" s="84">
        <f t="shared" si="1"/>
        <v>0</v>
      </c>
      <c r="E13" s="84">
        <f t="shared" si="1"/>
        <v>0.14616373105305361</v>
      </c>
      <c r="F13" s="84">
        <f t="shared" si="1"/>
        <v>0.11983935202183271</v>
      </c>
      <c r="G13" s="84">
        <f t="shared" si="1"/>
        <v>0</v>
      </c>
      <c r="H13" s="84">
        <f t="shared" si="1"/>
        <v>0</v>
      </c>
      <c r="I13" s="84">
        <f t="shared" si="1"/>
        <v>0</v>
      </c>
      <c r="J13" s="84">
        <f t="shared" si="1"/>
        <v>8.0024923851519464E-2</v>
      </c>
      <c r="K13" s="84">
        <f t="shared" si="1"/>
        <v>6.1917449453971606E-3</v>
      </c>
      <c r="L13" s="84">
        <f t="shared" si="1"/>
        <v>0.36144189600239962</v>
      </c>
    </row>
    <row r="14" spans="1:33" x14ac:dyDescent="0.2">
      <c r="A14" s="16" t="s">
        <v>1422</v>
      </c>
      <c r="B14" s="84">
        <f t="shared" ref="B14:L14" si="2">IF($L$10&lt;&gt;0,(B$9-B$8)/$L$10,0)</f>
        <v>1.7614934634347251E-3</v>
      </c>
      <c r="C14" s="84">
        <f t="shared" si="2"/>
        <v>7.6077295428769046E-3</v>
      </c>
      <c r="D14" s="84">
        <f t="shared" si="2"/>
        <v>0</v>
      </c>
      <c r="E14" s="84">
        <f t="shared" si="2"/>
        <v>0.15044331092067575</v>
      </c>
      <c r="F14" s="84">
        <f t="shared" si="2"/>
        <v>0.11806536256907696</v>
      </c>
      <c r="G14" s="84">
        <f t="shared" si="2"/>
        <v>0</v>
      </c>
      <c r="H14" s="84">
        <f t="shared" si="2"/>
        <v>0</v>
      </c>
      <c r="I14" s="84">
        <f t="shared" si="2"/>
        <v>0</v>
      </c>
      <c r="J14" s="84">
        <f t="shared" si="2"/>
        <v>8.0223852622783545E-2</v>
      </c>
      <c r="K14" s="84">
        <f t="shared" si="2"/>
        <v>6.340594265181505E-3</v>
      </c>
      <c r="L14" s="84">
        <f t="shared" si="2"/>
        <v>0.36444234338402953</v>
      </c>
    </row>
    <row r="15" spans="1:33" x14ac:dyDescent="0.2">
      <c r="A15" s="16" t="s">
        <v>1423</v>
      </c>
      <c r="B15" s="84">
        <f t="shared" ref="B15:L15" si="3">IF($L$8&lt;&gt;0,(B$9-B$8)/$L$8,0)</f>
        <v>1.7614934634347251E-3</v>
      </c>
      <c r="C15" s="84">
        <f t="shared" si="3"/>
        <v>7.6077295428769046E-3</v>
      </c>
      <c r="D15" s="84">
        <f t="shared" si="3"/>
        <v>0</v>
      </c>
      <c r="E15" s="84">
        <f t="shared" si="3"/>
        <v>0.15044331092067575</v>
      </c>
      <c r="F15" s="84">
        <f t="shared" si="3"/>
        <v>0.11806536256907696</v>
      </c>
      <c r="G15" s="84">
        <f t="shared" si="3"/>
        <v>0</v>
      </c>
      <c r="H15" s="84">
        <f t="shared" si="3"/>
        <v>0</v>
      </c>
      <c r="I15" s="84">
        <f t="shared" si="3"/>
        <v>0</v>
      </c>
      <c r="J15" s="84">
        <f t="shared" si="3"/>
        <v>8.0223852622783545E-2</v>
      </c>
      <c r="K15" s="84">
        <f t="shared" si="3"/>
        <v>6.340594265181505E-3</v>
      </c>
      <c r="L15" s="84">
        <f t="shared" si="3"/>
        <v>0.36444234338402953</v>
      </c>
    </row>
  </sheetData>
  <dataValidations count="5">
    <dataValidation type="list" allowBlank="1" showInputMessage="1" showErrorMessage="1" sqref="A2" xr:uid="{E90FFB76-12A1-4514-B50F-AF5041D8B77F}">
      <formula1>AA1:AA6</formula1>
    </dataValidation>
    <dataValidation type="list" allowBlank="1" showInputMessage="1" showErrorMessage="1" sqref="B2 C2" xr:uid="{44FF8785-5C55-4988-8A4F-11100E284879}">
      <formula1>AB1:AB4</formula1>
    </dataValidation>
    <dataValidation type="list" allowBlank="1" showInputMessage="1" showErrorMessage="1" sqref="D2" xr:uid="{EB7CBC19-2F0A-4950-9437-0C2F50D254A4}">
      <formula1>AD1:AD10</formula1>
    </dataValidation>
    <dataValidation type="list" allowBlank="1" showInputMessage="1" showErrorMessage="1" sqref="E2 F2" xr:uid="{4A41C3C1-28DE-4D21-827C-AA06DDEE299B}">
      <formula1>AE1:AE1</formula1>
    </dataValidation>
    <dataValidation type="list" allowBlank="1" showInputMessage="1" showErrorMessage="1" sqref="G2" xr:uid="{138AE319-5CD4-4D1C-9A81-FF0E68521D9F}">
      <formula1>AG1:AG5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79EA6-CAC8-4759-93AA-A2FB0A6D8380}">
  <dimension ref="B1:U20"/>
  <sheetViews>
    <sheetView showGridLines="0" workbookViewId="0">
      <selection activeCell="U1" sqref="U1"/>
    </sheetView>
  </sheetViews>
  <sheetFormatPr defaultRowHeight="15" x14ac:dyDescent="0.25"/>
  <sheetData>
    <row r="1" spans="2:21" x14ac:dyDescent="0.25">
      <c r="B1" s="69" t="s">
        <v>990</v>
      </c>
      <c r="C1" s="69" t="s">
        <v>991</v>
      </c>
      <c r="D1" s="69" t="s">
        <v>992</v>
      </c>
      <c r="E1" s="69" t="s">
        <v>2</v>
      </c>
      <c r="F1" s="69" t="s">
        <v>993</v>
      </c>
      <c r="G1" s="69" t="s">
        <v>895</v>
      </c>
      <c r="H1" s="69" t="s">
        <v>3</v>
      </c>
      <c r="I1" s="69" t="s">
        <v>994</v>
      </c>
      <c r="J1" s="69" t="s">
        <v>5</v>
      </c>
      <c r="K1" s="69" t="s">
        <v>1</v>
      </c>
      <c r="L1" s="69" t="s">
        <v>995</v>
      </c>
      <c r="M1" s="69" t="s">
        <v>996</v>
      </c>
      <c r="N1" s="69" t="s">
        <v>997</v>
      </c>
      <c r="O1" s="69" t="s">
        <v>998</v>
      </c>
      <c r="P1" s="69" t="s">
        <v>999</v>
      </c>
      <c r="Q1" s="69" t="s">
        <v>1000</v>
      </c>
      <c r="R1" s="69" t="s">
        <v>1001</v>
      </c>
      <c r="S1" s="69" t="s">
        <v>1002</v>
      </c>
      <c r="T1" s="69" t="s">
        <v>1003</v>
      </c>
      <c r="U1" s="69" t="s">
        <v>1004</v>
      </c>
    </row>
    <row r="2" spans="2:21" x14ac:dyDescent="0.25">
      <c r="B2" s="68" t="s">
        <v>967</v>
      </c>
      <c r="C2" s="68">
        <v>4874</v>
      </c>
      <c r="D2" s="68">
        <v>44</v>
      </c>
      <c r="E2" s="68" t="s">
        <v>23</v>
      </c>
      <c r="F2" s="68">
        <v>1</v>
      </c>
      <c r="G2" s="68" t="s">
        <v>968</v>
      </c>
      <c r="H2" s="68" t="s">
        <v>45</v>
      </c>
      <c r="I2" s="68" t="s">
        <v>25</v>
      </c>
      <c r="J2" s="68" t="s">
        <v>45</v>
      </c>
      <c r="K2" s="68" t="s">
        <v>44</v>
      </c>
      <c r="L2" s="68">
        <v>0.3</v>
      </c>
      <c r="M2" s="68">
        <v>0.24</v>
      </c>
      <c r="N2" s="68">
        <v>0.18</v>
      </c>
      <c r="O2" s="68">
        <v>0.12</v>
      </c>
      <c r="P2" s="68">
        <v>0.06</v>
      </c>
      <c r="Q2" s="68">
        <v>0</v>
      </c>
      <c r="R2" s="68"/>
      <c r="S2" s="68"/>
      <c r="T2" s="68"/>
      <c r="U2" s="68">
        <v>3</v>
      </c>
    </row>
    <row r="3" spans="2:21" x14ac:dyDescent="0.25">
      <c r="B3" s="68" t="s">
        <v>969</v>
      </c>
      <c r="C3" s="68">
        <v>6821</v>
      </c>
      <c r="D3" s="68">
        <v>44</v>
      </c>
      <c r="E3" s="68" t="s">
        <v>42</v>
      </c>
      <c r="F3" s="68">
        <v>1</v>
      </c>
      <c r="G3" s="68" t="s">
        <v>968</v>
      </c>
      <c r="H3" s="68" t="s">
        <v>45</v>
      </c>
      <c r="I3" s="68" t="s">
        <v>25</v>
      </c>
      <c r="J3" s="68" t="s">
        <v>970</v>
      </c>
      <c r="K3" s="68" t="s">
        <v>41</v>
      </c>
      <c r="L3" s="68">
        <v>0.1</v>
      </c>
      <c r="M3" s="68">
        <v>0.08</v>
      </c>
      <c r="N3" s="68">
        <v>0.06</v>
      </c>
      <c r="O3" s="68">
        <v>0.04</v>
      </c>
      <c r="P3" s="68">
        <v>0.02</v>
      </c>
      <c r="Q3" s="68">
        <v>0</v>
      </c>
      <c r="R3" s="68"/>
      <c r="S3" s="68"/>
      <c r="T3" s="68"/>
      <c r="U3" s="68">
        <v>3</v>
      </c>
    </row>
    <row r="4" spans="2:21" x14ac:dyDescent="0.25">
      <c r="B4" s="68" t="s">
        <v>971</v>
      </c>
      <c r="C4" s="68">
        <v>6822</v>
      </c>
      <c r="D4" s="68">
        <v>44</v>
      </c>
      <c r="E4" s="68" t="s">
        <v>34</v>
      </c>
      <c r="F4" s="68">
        <v>1</v>
      </c>
      <c r="G4" s="68" t="s">
        <v>968</v>
      </c>
      <c r="H4" s="68" t="s">
        <v>45</v>
      </c>
      <c r="I4" s="68" t="s">
        <v>25</v>
      </c>
      <c r="J4" s="68" t="s">
        <v>970</v>
      </c>
      <c r="K4" s="68" t="s">
        <v>41</v>
      </c>
      <c r="L4" s="68">
        <v>0.1</v>
      </c>
      <c r="M4" s="68">
        <v>0.08</v>
      </c>
      <c r="N4" s="68">
        <v>0.06</v>
      </c>
      <c r="O4" s="68">
        <v>0.04</v>
      </c>
      <c r="P4" s="68">
        <v>0.02</v>
      </c>
      <c r="Q4" s="68">
        <v>0</v>
      </c>
      <c r="R4" s="68"/>
      <c r="S4" s="68"/>
      <c r="T4" s="68"/>
      <c r="U4" s="68">
        <v>3</v>
      </c>
    </row>
    <row r="5" spans="2:21" x14ac:dyDescent="0.25">
      <c r="B5" s="68" t="s">
        <v>972</v>
      </c>
      <c r="C5" s="68">
        <v>6823</v>
      </c>
      <c r="D5" s="68">
        <v>44</v>
      </c>
      <c r="E5" s="68" t="s">
        <v>42</v>
      </c>
      <c r="F5" s="68">
        <v>1</v>
      </c>
      <c r="G5" s="68" t="s">
        <v>968</v>
      </c>
      <c r="H5" s="68" t="s">
        <v>50</v>
      </c>
      <c r="I5" s="68" t="s">
        <v>51</v>
      </c>
      <c r="J5" s="68" t="s">
        <v>973</v>
      </c>
      <c r="K5" s="68" t="s">
        <v>41</v>
      </c>
      <c r="L5" s="68">
        <v>0.15</v>
      </c>
      <c r="M5" s="68">
        <v>0.12</v>
      </c>
      <c r="N5" s="68">
        <v>0.09</v>
      </c>
      <c r="O5" s="68">
        <v>0.06</v>
      </c>
      <c r="P5" s="68">
        <v>0.03</v>
      </c>
      <c r="Q5" s="68">
        <v>0</v>
      </c>
      <c r="R5" s="68"/>
      <c r="S5" s="68"/>
      <c r="T5" s="68"/>
      <c r="U5" s="68">
        <v>3</v>
      </c>
    </row>
    <row r="6" spans="2:21" x14ac:dyDescent="0.25">
      <c r="B6" s="68" t="s">
        <v>974</v>
      </c>
      <c r="C6" s="68">
        <v>6824</v>
      </c>
      <c r="D6" s="68">
        <v>44</v>
      </c>
      <c r="E6" s="68" t="s">
        <v>34</v>
      </c>
      <c r="F6" s="68">
        <v>1</v>
      </c>
      <c r="G6" s="68" t="s">
        <v>968</v>
      </c>
      <c r="H6" s="68" t="s">
        <v>50</v>
      </c>
      <c r="I6" s="68" t="s">
        <v>51</v>
      </c>
      <c r="J6" s="68" t="s">
        <v>973</v>
      </c>
      <c r="K6" s="68" t="s">
        <v>41</v>
      </c>
      <c r="L6" s="68">
        <v>0.15</v>
      </c>
      <c r="M6" s="68">
        <v>0.12</v>
      </c>
      <c r="N6" s="68">
        <v>0.09</v>
      </c>
      <c r="O6" s="68">
        <v>0.06</v>
      </c>
      <c r="P6" s="68">
        <v>0.03</v>
      </c>
      <c r="Q6" s="68">
        <v>0</v>
      </c>
      <c r="R6" s="68"/>
      <c r="S6" s="68"/>
      <c r="T6" s="68"/>
      <c r="U6" s="68">
        <v>3</v>
      </c>
    </row>
    <row r="7" spans="2:21" x14ac:dyDescent="0.25">
      <c r="B7" s="68" t="s">
        <v>975</v>
      </c>
      <c r="C7" s="68">
        <v>6825</v>
      </c>
      <c r="D7" s="68">
        <v>44</v>
      </c>
      <c r="E7" s="68" t="s">
        <v>42</v>
      </c>
      <c r="F7" s="68">
        <v>1</v>
      </c>
      <c r="G7" s="68" t="s">
        <v>968</v>
      </c>
      <c r="H7" s="68" t="s">
        <v>45</v>
      </c>
      <c r="I7" s="68" t="s">
        <v>25</v>
      </c>
      <c r="J7" s="68" t="s">
        <v>970</v>
      </c>
      <c r="K7" s="68" t="s">
        <v>33</v>
      </c>
      <c r="L7" s="68">
        <v>0.1</v>
      </c>
      <c r="M7" s="68">
        <v>0.08</v>
      </c>
      <c r="N7" s="68">
        <v>0.06</v>
      </c>
      <c r="O7" s="68">
        <v>0.04</v>
      </c>
      <c r="P7" s="68">
        <v>0.02</v>
      </c>
      <c r="Q7" s="68">
        <v>0</v>
      </c>
      <c r="R7" s="68"/>
      <c r="S7" s="68"/>
      <c r="T7" s="68"/>
      <c r="U7" s="68">
        <v>3</v>
      </c>
    </row>
    <row r="8" spans="2:21" x14ac:dyDescent="0.25">
      <c r="B8" s="68" t="s">
        <v>976</v>
      </c>
      <c r="C8" s="68">
        <v>6826</v>
      </c>
      <c r="D8" s="68">
        <v>44</v>
      </c>
      <c r="E8" s="68" t="s">
        <v>34</v>
      </c>
      <c r="F8" s="68">
        <v>1</v>
      </c>
      <c r="G8" s="68" t="s">
        <v>968</v>
      </c>
      <c r="H8" s="68" t="s">
        <v>45</v>
      </c>
      <c r="I8" s="68" t="s">
        <v>25</v>
      </c>
      <c r="J8" s="68" t="s">
        <v>970</v>
      </c>
      <c r="K8" s="68" t="s">
        <v>33</v>
      </c>
      <c r="L8" s="68">
        <v>0.1</v>
      </c>
      <c r="M8" s="68">
        <v>0.08</v>
      </c>
      <c r="N8" s="68">
        <v>0.06</v>
      </c>
      <c r="O8" s="68">
        <v>0.04</v>
      </c>
      <c r="P8" s="68">
        <v>0.02</v>
      </c>
      <c r="Q8" s="68">
        <v>0</v>
      </c>
      <c r="R8" s="68"/>
      <c r="S8" s="68"/>
      <c r="T8" s="68"/>
      <c r="U8" s="68">
        <v>3</v>
      </c>
    </row>
    <row r="9" spans="2:21" x14ac:dyDescent="0.25">
      <c r="B9" s="68" t="s">
        <v>977</v>
      </c>
      <c r="C9" s="68">
        <v>6827</v>
      </c>
      <c r="D9" s="68">
        <v>44</v>
      </c>
      <c r="E9" s="68" t="s">
        <v>23</v>
      </c>
      <c r="F9" s="68">
        <v>1</v>
      </c>
      <c r="G9" s="68" t="s">
        <v>968</v>
      </c>
      <c r="H9" s="68" t="s">
        <v>45</v>
      </c>
      <c r="I9" s="68" t="s">
        <v>25</v>
      </c>
      <c r="J9" s="68" t="s">
        <v>970</v>
      </c>
      <c r="K9" s="68" t="s">
        <v>33</v>
      </c>
      <c r="L9" s="68">
        <v>0.1</v>
      </c>
      <c r="M9" s="68">
        <v>0.08</v>
      </c>
      <c r="N9" s="68">
        <v>0.06</v>
      </c>
      <c r="O9" s="68">
        <v>0.04</v>
      </c>
      <c r="P9" s="68">
        <v>0.02</v>
      </c>
      <c r="Q9" s="68">
        <v>0</v>
      </c>
      <c r="R9" s="68"/>
      <c r="S9" s="68"/>
      <c r="T9" s="68"/>
      <c r="U9" s="68">
        <v>3</v>
      </c>
    </row>
    <row r="10" spans="2:21" x14ac:dyDescent="0.25">
      <c r="B10" s="68" t="s">
        <v>978</v>
      </c>
      <c r="C10" s="68">
        <v>6828</v>
      </c>
      <c r="D10" s="68">
        <v>44</v>
      </c>
      <c r="E10" s="68" t="s">
        <v>42</v>
      </c>
      <c r="F10" s="68">
        <v>1</v>
      </c>
      <c r="G10" s="68" t="s">
        <v>968</v>
      </c>
      <c r="H10" s="68" t="s">
        <v>50</v>
      </c>
      <c r="I10" s="68" t="s">
        <v>51</v>
      </c>
      <c r="J10" s="68" t="s">
        <v>973</v>
      </c>
      <c r="K10" s="68" t="s">
        <v>33</v>
      </c>
      <c r="L10" s="68">
        <v>0.15</v>
      </c>
      <c r="M10" s="68">
        <v>0.12</v>
      </c>
      <c r="N10" s="68">
        <v>0.09</v>
      </c>
      <c r="O10" s="68">
        <v>0.06</v>
      </c>
      <c r="P10" s="68">
        <v>0.03</v>
      </c>
      <c r="Q10" s="68">
        <v>0</v>
      </c>
      <c r="R10" s="68"/>
      <c r="S10" s="68"/>
      <c r="T10" s="68"/>
      <c r="U10" s="68">
        <v>3</v>
      </c>
    </row>
    <row r="11" spans="2:21" x14ac:dyDescent="0.25">
      <c r="B11" s="68" t="s">
        <v>979</v>
      </c>
      <c r="C11" s="68">
        <v>6829</v>
      </c>
      <c r="D11" s="68">
        <v>44</v>
      </c>
      <c r="E11" s="68" t="s">
        <v>34</v>
      </c>
      <c r="F11" s="68">
        <v>1</v>
      </c>
      <c r="G11" s="68" t="s">
        <v>968</v>
      </c>
      <c r="H11" s="68" t="s">
        <v>50</v>
      </c>
      <c r="I11" s="68" t="s">
        <v>51</v>
      </c>
      <c r="J11" s="68" t="s">
        <v>973</v>
      </c>
      <c r="K11" s="68" t="s">
        <v>33</v>
      </c>
      <c r="L11" s="68">
        <v>0.15</v>
      </c>
      <c r="M11" s="68">
        <v>0.12</v>
      </c>
      <c r="N11" s="68">
        <v>0.09</v>
      </c>
      <c r="O11" s="68">
        <v>0.06</v>
      </c>
      <c r="P11" s="68">
        <v>0.03</v>
      </c>
      <c r="Q11" s="68">
        <v>0</v>
      </c>
      <c r="R11" s="68"/>
      <c r="S11" s="68"/>
      <c r="T11" s="68"/>
      <c r="U11" s="68">
        <v>3</v>
      </c>
    </row>
    <row r="12" spans="2:21" x14ac:dyDescent="0.25">
      <c r="B12" s="68" t="s">
        <v>980</v>
      </c>
      <c r="C12" s="68">
        <v>6830</v>
      </c>
      <c r="D12" s="68">
        <v>44</v>
      </c>
      <c r="E12" s="68" t="s">
        <v>981</v>
      </c>
      <c r="F12" s="68">
        <v>1</v>
      </c>
      <c r="G12" s="68" t="s">
        <v>968</v>
      </c>
      <c r="H12" s="68" t="s">
        <v>50</v>
      </c>
      <c r="I12" s="68" t="s">
        <v>51</v>
      </c>
      <c r="J12" s="68" t="s">
        <v>973</v>
      </c>
      <c r="K12" s="68" t="s">
        <v>33</v>
      </c>
      <c r="L12" s="68">
        <v>0.15</v>
      </c>
      <c r="M12" s="68">
        <v>0.12</v>
      </c>
      <c r="N12" s="68">
        <v>0.09</v>
      </c>
      <c r="O12" s="68">
        <v>0.06</v>
      </c>
      <c r="P12" s="68">
        <v>0.03</v>
      </c>
      <c r="Q12" s="68">
        <v>0</v>
      </c>
      <c r="R12" s="68"/>
      <c r="S12" s="68"/>
      <c r="T12" s="68"/>
      <c r="U12" s="68">
        <v>3</v>
      </c>
    </row>
    <row r="13" spans="2:21" x14ac:dyDescent="0.25">
      <c r="B13" s="68" t="s">
        <v>967</v>
      </c>
      <c r="C13" s="68">
        <v>6831</v>
      </c>
      <c r="D13" s="68">
        <v>44</v>
      </c>
      <c r="E13" s="68" t="s">
        <v>23</v>
      </c>
      <c r="F13" s="68">
        <v>1</v>
      </c>
      <c r="G13" s="68" t="s">
        <v>968</v>
      </c>
      <c r="H13" s="68" t="s">
        <v>45</v>
      </c>
      <c r="I13" s="68" t="s">
        <v>25</v>
      </c>
      <c r="J13" s="68" t="s">
        <v>45</v>
      </c>
      <c r="K13" s="68" t="s">
        <v>44</v>
      </c>
      <c r="L13" s="68">
        <v>0.3</v>
      </c>
      <c r="M13" s="68">
        <v>0.24</v>
      </c>
      <c r="N13" s="68">
        <v>0.18</v>
      </c>
      <c r="O13" s="68">
        <v>0.12</v>
      </c>
      <c r="P13" s="68">
        <v>0.06</v>
      </c>
      <c r="Q13" s="68">
        <v>0</v>
      </c>
      <c r="R13" s="68"/>
      <c r="S13" s="68"/>
      <c r="T13" s="68"/>
      <c r="U13" s="68">
        <v>3</v>
      </c>
    </row>
    <row r="14" spans="2:21" x14ac:dyDescent="0.25">
      <c r="B14" s="68" t="s">
        <v>982</v>
      </c>
      <c r="C14" s="68">
        <v>6832</v>
      </c>
      <c r="D14" s="68">
        <v>44</v>
      </c>
      <c r="E14" s="68" t="s">
        <v>37</v>
      </c>
      <c r="F14" s="68">
        <v>1</v>
      </c>
      <c r="G14" s="68" t="s">
        <v>968</v>
      </c>
      <c r="H14" s="68" t="s">
        <v>45</v>
      </c>
      <c r="I14" s="68" t="s">
        <v>25</v>
      </c>
      <c r="J14" s="68" t="s">
        <v>45</v>
      </c>
      <c r="K14" s="68" t="s">
        <v>44</v>
      </c>
      <c r="L14" s="68">
        <v>0.3</v>
      </c>
      <c r="M14" s="68">
        <v>0.24</v>
      </c>
      <c r="N14" s="68">
        <v>0.18</v>
      </c>
      <c r="O14" s="68">
        <v>0.12</v>
      </c>
      <c r="P14" s="68">
        <v>0.06</v>
      </c>
      <c r="Q14" s="68">
        <v>0</v>
      </c>
      <c r="R14" s="68"/>
      <c r="S14" s="68"/>
      <c r="T14" s="68"/>
      <c r="U14" s="68">
        <v>3</v>
      </c>
    </row>
    <row r="15" spans="2:21" x14ac:dyDescent="0.25">
      <c r="B15" s="68" t="s">
        <v>983</v>
      </c>
      <c r="C15" s="68">
        <v>6833</v>
      </c>
      <c r="D15" s="68">
        <v>44</v>
      </c>
      <c r="E15" s="68" t="s">
        <v>23</v>
      </c>
      <c r="F15" s="68">
        <v>1</v>
      </c>
      <c r="G15" s="68" t="s">
        <v>968</v>
      </c>
      <c r="H15" s="68" t="s">
        <v>45</v>
      </c>
      <c r="I15" s="68" t="s">
        <v>104</v>
      </c>
      <c r="J15" s="68" t="s">
        <v>973</v>
      </c>
      <c r="K15" s="68" t="s">
        <v>44</v>
      </c>
      <c r="L15" s="68">
        <v>0.3</v>
      </c>
      <c r="M15" s="68">
        <v>0.24</v>
      </c>
      <c r="N15" s="68">
        <v>0.18</v>
      </c>
      <c r="O15" s="68">
        <v>0.12</v>
      </c>
      <c r="P15" s="68">
        <v>0.06</v>
      </c>
      <c r="Q15" s="68">
        <v>0</v>
      </c>
      <c r="R15" s="68"/>
      <c r="S15" s="68"/>
      <c r="T15" s="68"/>
      <c r="U15" s="68">
        <v>3</v>
      </c>
    </row>
    <row r="16" spans="2:21" x14ac:dyDescent="0.25">
      <c r="B16" s="68" t="s">
        <v>984</v>
      </c>
      <c r="C16" s="68">
        <v>6834</v>
      </c>
      <c r="D16" s="68">
        <v>44</v>
      </c>
      <c r="E16" s="68" t="s">
        <v>985</v>
      </c>
      <c r="F16" s="68">
        <v>1</v>
      </c>
      <c r="G16" s="68" t="s">
        <v>968</v>
      </c>
      <c r="H16" s="68" t="s">
        <v>45</v>
      </c>
      <c r="I16" s="68" t="s">
        <v>104</v>
      </c>
      <c r="J16" s="68" t="s">
        <v>973</v>
      </c>
      <c r="K16" s="68" t="s">
        <v>44</v>
      </c>
      <c r="L16" s="68">
        <v>0.3</v>
      </c>
      <c r="M16" s="68">
        <v>0.24</v>
      </c>
      <c r="N16" s="68">
        <v>0.18</v>
      </c>
      <c r="O16" s="68">
        <v>0.12</v>
      </c>
      <c r="P16" s="68">
        <v>0.06</v>
      </c>
      <c r="Q16" s="68">
        <v>0</v>
      </c>
      <c r="R16" s="68"/>
      <c r="S16" s="68"/>
      <c r="T16" s="68"/>
      <c r="U16" s="68">
        <v>3</v>
      </c>
    </row>
    <row r="17" spans="2:21" x14ac:dyDescent="0.25">
      <c r="B17" s="68" t="s">
        <v>986</v>
      </c>
      <c r="C17" s="68">
        <v>6835</v>
      </c>
      <c r="D17" s="68">
        <v>44</v>
      </c>
      <c r="E17" s="68" t="s">
        <v>23</v>
      </c>
      <c r="F17" s="68">
        <v>1</v>
      </c>
      <c r="G17" s="68" t="s">
        <v>968</v>
      </c>
      <c r="H17" s="68" t="s">
        <v>45</v>
      </c>
      <c r="I17" s="68" t="s">
        <v>105</v>
      </c>
      <c r="J17" s="68" t="s">
        <v>973</v>
      </c>
      <c r="K17" s="68" t="s">
        <v>44</v>
      </c>
      <c r="L17" s="68">
        <v>0.4</v>
      </c>
      <c r="M17" s="68">
        <v>0.32</v>
      </c>
      <c r="N17" s="68">
        <v>0.24</v>
      </c>
      <c r="O17" s="68">
        <v>0.16</v>
      </c>
      <c r="P17" s="68">
        <v>0.08</v>
      </c>
      <c r="Q17" s="68">
        <v>0</v>
      </c>
      <c r="R17" s="68"/>
      <c r="S17" s="68"/>
      <c r="T17" s="68"/>
      <c r="U17" s="68">
        <v>3</v>
      </c>
    </row>
    <row r="18" spans="2:21" x14ac:dyDescent="0.25">
      <c r="B18" s="68" t="s">
        <v>987</v>
      </c>
      <c r="C18" s="68">
        <v>6836</v>
      </c>
      <c r="D18" s="68">
        <v>44</v>
      </c>
      <c r="E18" s="68" t="s">
        <v>985</v>
      </c>
      <c r="F18" s="68">
        <v>1</v>
      </c>
      <c r="G18" s="68" t="s">
        <v>968</v>
      </c>
      <c r="H18" s="68" t="s">
        <v>45</v>
      </c>
      <c r="I18" s="68" t="s">
        <v>105</v>
      </c>
      <c r="J18" s="68" t="s">
        <v>973</v>
      </c>
      <c r="K18" s="68" t="s">
        <v>44</v>
      </c>
      <c r="L18" s="68">
        <v>0.4</v>
      </c>
      <c r="M18" s="68">
        <v>0.32</v>
      </c>
      <c r="N18" s="68">
        <v>0.24</v>
      </c>
      <c r="O18" s="68">
        <v>0.16</v>
      </c>
      <c r="P18" s="68">
        <v>0.08</v>
      </c>
      <c r="Q18" s="68">
        <v>0</v>
      </c>
      <c r="R18" s="68"/>
      <c r="S18" s="68"/>
      <c r="T18" s="68"/>
      <c r="U18" s="68">
        <v>3</v>
      </c>
    </row>
    <row r="19" spans="2:21" x14ac:dyDescent="0.25">
      <c r="B19" s="68" t="s">
        <v>988</v>
      </c>
      <c r="C19" s="68">
        <v>6837</v>
      </c>
      <c r="D19" s="68">
        <v>44</v>
      </c>
      <c r="E19" s="68" t="s">
        <v>23</v>
      </c>
      <c r="F19" s="68">
        <v>1</v>
      </c>
      <c r="G19" s="68" t="s">
        <v>968</v>
      </c>
      <c r="H19" s="68" t="s">
        <v>50</v>
      </c>
      <c r="I19" s="68" t="s">
        <v>51</v>
      </c>
      <c r="J19" s="68" t="s">
        <v>973</v>
      </c>
      <c r="K19" s="68" t="s">
        <v>39</v>
      </c>
      <c r="L19" s="68">
        <v>0.15</v>
      </c>
      <c r="M19" s="68">
        <v>0.12</v>
      </c>
      <c r="N19" s="68">
        <v>0.09</v>
      </c>
      <c r="O19" s="68">
        <v>0.06</v>
      </c>
      <c r="P19" s="68">
        <v>0.03</v>
      </c>
      <c r="Q19" s="68">
        <v>0</v>
      </c>
      <c r="R19" s="68"/>
      <c r="S19" s="68"/>
      <c r="T19" s="68"/>
      <c r="U19" s="68">
        <v>3</v>
      </c>
    </row>
    <row r="20" spans="2:21" x14ac:dyDescent="0.25">
      <c r="B20" s="68" t="s">
        <v>989</v>
      </c>
      <c r="C20" s="68">
        <v>6838</v>
      </c>
      <c r="D20" s="68">
        <v>44</v>
      </c>
      <c r="E20" s="68" t="s">
        <v>37</v>
      </c>
      <c r="F20" s="68">
        <v>1</v>
      </c>
      <c r="G20" s="68" t="s">
        <v>968</v>
      </c>
      <c r="H20" s="68" t="s">
        <v>50</v>
      </c>
      <c r="I20" s="68" t="s">
        <v>51</v>
      </c>
      <c r="J20" s="68" t="s">
        <v>973</v>
      </c>
      <c r="K20" s="68" t="s">
        <v>39</v>
      </c>
      <c r="L20" s="68">
        <v>0.15</v>
      </c>
      <c r="M20" s="68">
        <v>0.12</v>
      </c>
      <c r="N20" s="68">
        <v>0.09</v>
      </c>
      <c r="O20" s="68">
        <v>0.06</v>
      </c>
      <c r="P20" s="68">
        <v>0.03</v>
      </c>
      <c r="Q20" s="68">
        <v>0</v>
      </c>
      <c r="R20" s="68"/>
      <c r="S20" s="68"/>
      <c r="T20" s="68"/>
      <c r="U20" s="68">
        <v>3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5A5F9-13AB-4458-A2F0-1974ABBE7807}">
  <dimension ref="A1:L18"/>
  <sheetViews>
    <sheetView showGridLines="0" workbookViewId="0">
      <selection activeCell="F8" sqref="F8"/>
    </sheetView>
  </sheetViews>
  <sheetFormatPr defaultRowHeight="11.25" x14ac:dyDescent="0.2"/>
  <cols>
    <col min="1" max="1" width="31.42578125" style="16" bestFit="1" customWidth="1"/>
    <col min="2" max="2" width="18.42578125" style="16" customWidth="1"/>
    <col min="3" max="12" width="11" style="16" customWidth="1"/>
    <col min="13" max="16384" width="9.140625" style="16"/>
  </cols>
  <sheetData>
    <row r="1" spans="1:12" ht="12" thickBot="1" x14ac:dyDescent="0.25">
      <c r="A1" s="103" t="s">
        <v>1438</v>
      </c>
      <c r="B1" s="103" t="s">
        <v>22</v>
      </c>
      <c r="C1" s="103" t="s">
        <v>1437</v>
      </c>
      <c r="D1" s="103" t="s">
        <v>1436</v>
      </c>
      <c r="E1" s="103" t="s">
        <v>39</v>
      </c>
      <c r="F1" s="103" t="s">
        <v>1435</v>
      </c>
      <c r="G1" s="103" t="s">
        <v>1434</v>
      </c>
      <c r="H1" s="103" t="s">
        <v>888</v>
      </c>
      <c r="I1" s="103" t="s">
        <v>33</v>
      </c>
      <c r="J1" s="103" t="s">
        <v>887</v>
      </c>
      <c r="K1" s="103" t="s">
        <v>41</v>
      </c>
      <c r="L1" s="103" t="s">
        <v>886</v>
      </c>
    </row>
    <row r="2" spans="1:12" x14ac:dyDescent="0.2">
      <c r="A2" s="99" t="s">
        <v>1433</v>
      </c>
      <c r="B2" s="105">
        <f t="shared" ref="B2:L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698.34743927094235</v>
      </c>
      <c r="C2" s="105">
        <f t="shared" si="0"/>
        <v>656.17133836138134</v>
      </c>
      <c r="D2" s="105">
        <f t="shared" si="0"/>
        <v>642.4086106961563</v>
      </c>
      <c r="E2" s="105">
        <f t="shared" si="0"/>
        <v>698.34743927094235</v>
      </c>
      <c r="F2" s="105">
        <f t="shared" si="0"/>
        <v>384.02449775547694</v>
      </c>
      <c r="G2" s="105">
        <f t="shared" si="0"/>
        <v>419.09725535395398</v>
      </c>
      <c r="H2" s="105">
        <f t="shared" si="0"/>
        <v>0</v>
      </c>
      <c r="I2" s="105">
        <f t="shared" si="0"/>
        <v>798.42003722904894</v>
      </c>
      <c r="J2" s="105">
        <f t="shared" si="0"/>
        <v>0</v>
      </c>
      <c r="K2" s="105">
        <f t="shared" si="0"/>
        <v>58.596322624998919</v>
      </c>
      <c r="L2" s="105">
        <f t="shared" si="0"/>
        <v>0</v>
      </c>
    </row>
    <row r="3" spans="1:12" ht="12" thickBot="1" x14ac:dyDescent="0.25">
      <c r="A3" s="97" t="s">
        <v>1432</v>
      </c>
      <c r="B3" s="104">
        <v>15.73</v>
      </c>
      <c r="C3" s="104">
        <v>14.78</v>
      </c>
      <c r="D3" s="104">
        <v>14.47</v>
      </c>
      <c r="E3" s="104">
        <v>15.73</v>
      </c>
      <c r="F3" s="104">
        <v>8.65</v>
      </c>
      <c r="G3" s="104">
        <v>9.44</v>
      </c>
      <c r="H3" s="104">
        <v>0</v>
      </c>
      <c r="I3" s="104">
        <f>'TUSD BE'!$AC$14</f>
        <v>17.984095708469098</v>
      </c>
      <c r="J3" s="104">
        <v>0</v>
      </c>
      <c r="K3" s="104">
        <f>'TUSD BE'!$AC$6</f>
        <v>1.3198590029247994</v>
      </c>
      <c r="L3" s="104">
        <v>0</v>
      </c>
    </row>
    <row r="5" spans="1:12" ht="12" thickBot="1" x14ac:dyDescent="0.25">
      <c r="A5" s="103" t="s">
        <v>1431</v>
      </c>
      <c r="B5" s="103" t="s">
        <v>1430</v>
      </c>
    </row>
    <row r="6" spans="1:12" x14ac:dyDescent="0.2">
      <c r="A6" s="99" t="s">
        <v>1429</v>
      </c>
      <c r="B6" s="102">
        <v>0.1108</v>
      </c>
    </row>
    <row r="7" spans="1:12" x14ac:dyDescent="0.2">
      <c r="A7" s="101" t="s">
        <v>1428</v>
      </c>
      <c r="B7" s="100">
        <v>0.34</v>
      </c>
    </row>
    <row r="8" spans="1:12" x14ac:dyDescent="0.2">
      <c r="A8" s="99" t="s">
        <v>1427</v>
      </c>
      <c r="B8" s="98">
        <v>666197386.57389462</v>
      </c>
    </row>
    <row r="9" spans="1:12" x14ac:dyDescent="0.2">
      <c r="A9" s="101" t="s">
        <v>1426</v>
      </c>
      <c r="B9" s="100">
        <v>3.9699999999999999E-2</v>
      </c>
    </row>
    <row r="10" spans="1:12" x14ac:dyDescent="0.2">
      <c r="A10" s="99" t="s">
        <v>1425</v>
      </c>
      <c r="B10" s="98">
        <v>372277305.63595092</v>
      </c>
    </row>
    <row r="11" spans="1:12" ht="12" thickBot="1" x14ac:dyDescent="0.25">
      <c r="A11" s="97" t="s">
        <v>1424</v>
      </c>
      <c r="B11" s="96">
        <f>(1+$B$6)^(1/IF($B$9&lt;&gt;0,$B$9,1))*$B$6/IF((1+$B$6)^(1/IF($B$9&lt;&gt;0,$B$9,1))-1&lt;&gt;0,(1+$B$6)^(1/IF($B$9&lt;&gt;0,$B$9,1))-1,1)</f>
        <v>0.11925174906790653</v>
      </c>
    </row>
    <row r="18" spans="2:2" x14ac:dyDescent="0.2">
      <c r="B18" s="95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A3AA5-D0AB-43FA-B11D-FB2A9739D91E}">
  <dimension ref="B1:AQ65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2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51" t="s">
        <v>1475</v>
      </c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2"/>
      <c r="AH1" s="151" t="s">
        <v>1476</v>
      </c>
      <c r="AI1" s="151"/>
      <c r="AJ1" s="151"/>
      <c r="AK1" s="151"/>
      <c r="AL1" s="151"/>
      <c r="AM1" s="151"/>
      <c r="AN1" s="151"/>
      <c r="AO1" s="151"/>
      <c r="AP1" s="151"/>
      <c r="AQ1" s="151"/>
    </row>
    <row r="2" spans="2:43" ht="12" customHeight="1" x14ac:dyDescent="0.25">
      <c r="L2" s="153" t="s">
        <v>755</v>
      </c>
      <c r="M2" s="153"/>
      <c r="N2" s="153"/>
      <c r="O2" s="153"/>
      <c r="P2" s="153"/>
      <c r="Q2" s="153"/>
      <c r="R2" s="153"/>
      <c r="S2" s="154"/>
      <c r="T2" s="153" t="s">
        <v>764</v>
      </c>
      <c r="U2" s="153"/>
      <c r="V2" s="153"/>
      <c r="W2" s="153"/>
      <c r="X2" s="153"/>
      <c r="Y2" s="153"/>
      <c r="Z2" s="154"/>
      <c r="AA2" s="115" t="s">
        <v>772</v>
      </c>
      <c r="AB2" s="153" t="s">
        <v>25</v>
      </c>
      <c r="AC2" s="154"/>
      <c r="AD2" s="153" t="s">
        <v>1474</v>
      </c>
      <c r="AE2" s="153"/>
      <c r="AF2" s="153"/>
      <c r="AG2" s="154"/>
      <c r="AH2" s="153" t="s">
        <v>755</v>
      </c>
      <c r="AI2" s="153"/>
      <c r="AJ2" s="153"/>
      <c r="AK2" s="154"/>
      <c r="AL2" s="115" t="s">
        <v>785</v>
      </c>
      <c r="AM2" s="153" t="s">
        <v>764</v>
      </c>
      <c r="AN2" s="153"/>
      <c r="AO2" s="153"/>
      <c r="AP2" s="154"/>
      <c r="AQ2" s="116" t="s">
        <v>1474</v>
      </c>
    </row>
    <row r="3" spans="2:43" ht="12" customHeight="1" x14ac:dyDescent="0.25">
      <c r="B3" s="106" t="s">
        <v>80</v>
      </c>
      <c r="C3" s="107" t="s">
        <v>81</v>
      </c>
      <c r="D3" s="107" t="s">
        <v>82</v>
      </c>
      <c r="E3" s="107" t="s">
        <v>83</v>
      </c>
      <c r="F3" s="107" t="s">
        <v>84</v>
      </c>
      <c r="G3" s="107" t="s">
        <v>86</v>
      </c>
      <c r="H3" s="107" t="s">
        <v>87</v>
      </c>
      <c r="I3" s="107" t="s">
        <v>1035</v>
      </c>
      <c r="J3" s="107" t="s">
        <v>1439</v>
      </c>
      <c r="K3" s="107" t="s">
        <v>1440</v>
      </c>
      <c r="L3" s="107" t="s">
        <v>1441</v>
      </c>
      <c r="M3" s="107" t="s">
        <v>1442</v>
      </c>
      <c r="N3" s="107" t="s">
        <v>1443</v>
      </c>
      <c r="O3" s="107" t="s">
        <v>1444</v>
      </c>
      <c r="P3" s="107" t="s">
        <v>1445</v>
      </c>
      <c r="Q3" s="107" t="s">
        <v>1446</v>
      </c>
      <c r="R3" s="107" t="s">
        <v>1447</v>
      </c>
      <c r="S3" s="107" t="s">
        <v>1448</v>
      </c>
      <c r="T3" s="107" t="s">
        <v>1449</v>
      </c>
      <c r="U3" s="107" t="s">
        <v>1450</v>
      </c>
      <c r="V3" s="107" t="s">
        <v>1451</v>
      </c>
      <c r="W3" s="107" t="s">
        <v>1452</v>
      </c>
      <c r="X3" s="107" t="s">
        <v>1453</v>
      </c>
      <c r="Y3" s="107" t="s">
        <v>1454</v>
      </c>
      <c r="Z3" s="107" t="s">
        <v>1455</v>
      </c>
      <c r="AA3" s="107" t="s">
        <v>1456</v>
      </c>
      <c r="AB3" s="107" t="s">
        <v>1457</v>
      </c>
      <c r="AC3" s="107" t="s">
        <v>1458</v>
      </c>
      <c r="AD3" s="107" t="s">
        <v>1459</v>
      </c>
      <c r="AE3" s="107" t="s">
        <v>1460</v>
      </c>
      <c r="AF3" s="107" t="s">
        <v>1461</v>
      </c>
      <c r="AG3" s="107" t="s">
        <v>1462</v>
      </c>
      <c r="AH3" s="107" t="s">
        <v>1463</v>
      </c>
      <c r="AI3" s="107" t="s">
        <v>1464</v>
      </c>
      <c r="AJ3" s="107" t="s">
        <v>1465</v>
      </c>
      <c r="AK3" s="107" t="s">
        <v>1466</v>
      </c>
      <c r="AL3" s="107" t="s">
        <v>1467</v>
      </c>
      <c r="AM3" s="107" t="s">
        <v>1468</v>
      </c>
      <c r="AN3" s="107" t="s">
        <v>1469</v>
      </c>
      <c r="AO3" s="107" t="s">
        <v>1470</v>
      </c>
      <c r="AP3" s="107" t="s">
        <v>1471</v>
      </c>
      <c r="AQ3" s="108" t="s">
        <v>1472</v>
      </c>
    </row>
    <row r="4" spans="2:43" ht="12" customHeight="1" x14ac:dyDescent="0.25">
      <c r="B4" s="109" t="s">
        <v>41</v>
      </c>
      <c r="C4" s="110" t="s">
        <v>42</v>
      </c>
      <c r="D4" s="110" t="s">
        <v>25</v>
      </c>
      <c r="E4" s="110" t="s">
        <v>25</v>
      </c>
      <c r="F4" s="110" t="s">
        <v>58</v>
      </c>
      <c r="G4" s="110" t="s">
        <v>35</v>
      </c>
      <c r="H4" s="110" t="s">
        <v>90</v>
      </c>
      <c r="I4" s="110" t="s">
        <v>25</v>
      </c>
      <c r="J4" s="110">
        <v>27.87</v>
      </c>
      <c r="K4" s="110">
        <v>0</v>
      </c>
      <c r="L4" s="110">
        <v>0</v>
      </c>
      <c r="M4" s="110">
        <v>0.100987010406539</v>
      </c>
      <c r="N4" s="110">
        <v>0.49032667439787703</v>
      </c>
      <c r="O4" s="110">
        <v>-1.52855594983685E-3</v>
      </c>
      <c r="P4" s="110">
        <v>0</v>
      </c>
      <c r="Q4" s="110">
        <v>0</v>
      </c>
      <c r="R4" s="110">
        <v>0</v>
      </c>
      <c r="S4" s="110">
        <v>0</v>
      </c>
      <c r="T4" s="110">
        <v>0</v>
      </c>
      <c r="U4" s="110">
        <v>0</v>
      </c>
      <c r="V4" s="110">
        <v>0</v>
      </c>
      <c r="W4" s="110">
        <v>0</v>
      </c>
      <c r="X4" s="110">
        <v>0</v>
      </c>
      <c r="Y4" s="110">
        <v>0</v>
      </c>
      <c r="Z4" s="110">
        <v>0</v>
      </c>
      <c r="AA4" s="110">
        <v>0</v>
      </c>
      <c r="AB4" s="110">
        <v>3.3187209337201498E-2</v>
      </c>
      <c r="AC4" s="110">
        <v>0</v>
      </c>
      <c r="AD4" s="110">
        <v>7.37298167450178</v>
      </c>
      <c r="AE4" s="110">
        <v>0.42575071248985502</v>
      </c>
      <c r="AF4" s="110">
        <v>14.6702294747422</v>
      </c>
      <c r="AG4" s="110">
        <v>4.7775685638566197</v>
      </c>
      <c r="AH4" s="110">
        <v>0</v>
      </c>
      <c r="AI4" s="110">
        <v>0</v>
      </c>
      <c r="AJ4" s="110">
        <v>0</v>
      </c>
      <c r="AK4" s="110">
        <v>0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  <c r="AQ4" s="111">
        <v>0</v>
      </c>
    </row>
    <row r="5" spans="2:43" ht="12" customHeight="1" x14ac:dyDescent="0.25">
      <c r="B5" s="109" t="s">
        <v>41</v>
      </c>
      <c r="C5" s="110" t="s">
        <v>42</v>
      </c>
      <c r="D5" s="110" t="s">
        <v>25</v>
      </c>
      <c r="E5" s="110" t="s">
        <v>25</v>
      </c>
      <c r="F5" s="110" t="s">
        <v>58</v>
      </c>
      <c r="G5" s="110" t="s">
        <v>35</v>
      </c>
      <c r="H5" s="110" t="s">
        <v>93</v>
      </c>
      <c r="I5" s="110" t="s">
        <v>25</v>
      </c>
      <c r="J5" s="110">
        <v>30.34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0">
        <v>0</v>
      </c>
      <c r="T5" s="110">
        <v>12.700734610719801</v>
      </c>
      <c r="U5" s="110">
        <v>3.2396131386939602</v>
      </c>
      <c r="V5" s="110">
        <v>0.88633452751432595</v>
      </c>
      <c r="W5" s="110">
        <v>0</v>
      </c>
      <c r="X5" s="110">
        <v>0.26520131509403599</v>
      </c>
      <c r="Y5" s="110">
        <v>0</v>
      </c>
      <c r="Z5" s="110">
        <v>0</v>
      </c>
      <c r="AA5" s="110">
        <v>13.2015346552355</v>
      </c>
      <c r="AB5" s="110">
        <v>4.3877217293094802E-2</v>
      </c>
      <c r="AC5" s="110">
        <v>0</v>
      </c>
      <c r="AD5" s="110">
        <v>0</v>
      </c>
      <c r="AE5" s="110">
        <v>0</v>
      </c>
      <c r="AF5" s="110">
        <v>0</v>
      </c>
      <c r="AG5" s="110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1">
        <v>0</v>
      </c>
    </row>
    <row r="6" spans="2:43" ht="12" customHeight="1" x14ac:dyDescent="0.25">
      <c r="B6" s="109" t="s">
        <v>41</v>
      </c>
      <c r="C6" s="110" t="s">
        <v>42</v>
      </c>
      <c r="D6" s="110" t="s">
        <v>25</v>
      </c>
      <c r="E6" s="110" t="s">
        <v>25</v>
      </c>
      <c r="F6" s="110" t="s">
        <v>58</v>
      </c>
      <c r="G6" s="110" t="s">
        <v>36</v>
      </c>
      <c r="H6" s="110" t="s">
        <v>90</v>
      </c>
      <c r="I6" s="110" t="s">
        <v>25</v>
      </c>
      <c r="J6" s="110">
        <v>27.87</v>
      </c>
      <c r="K6" s="110">
        <v>0</v>
      </c>
      <c r="L6" s="110">
        <v>0</v>
      </c>
      <c r="M6" s="110">
        <v>0.100987010406539</v>
      </c>
      <c r="N6" s="110">
        <v>0.49032667439787703</v>
      </c>
      <c r="O6" s="110">
        <v>-1.52855594983685E-3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0</v>
      </c>
      <c r="AA6" s="110">
        <v>0</v>
      </c>
      <c r="AB6" s="110">
        <v>3.3187209337201498E-2</v>
      </c>
      <c r="AC6" s="110">
        <v>0</v>
      </c>
      <c r="AD6" s="110">
        <v>7.37298167450178</v>
      </c>
      <c r="AE6" s="110">
        <v>0.42575071248985502</v>
      </c>
      <c r="AF6" s="110">
        <v>14.6702294747422</v>
      </c>
      <c r="AG6" s="110">
        <v>4.7775685638566197</v>
      </c>
      <c r="AH6" s="110">
        <v>0</v>
      </c>
      <c r="AI6" s="110">
        <v>0</v>
      </c>
      <c r="AJ6" s="110">
        <v>0</v>
      </c>
      <c r="AK6" s="110">
        <v>0</v>
      </c>
      <c r="AL6" s="110">
        <v>0</v>
      </c>
      <c r="AM6" s="110">
        <v>0</v>
      </c>
      <c r="AN6" s="110">
        <v>0</v>
      </c>
      <c r="AO6" s="110">
        <v>0</v>
      </c>
      <c r="AP6" s="110">
        <v>0</v>
      </c>
      <c r="AQ6" s="111">
        <v>0</v>
      </c>
    </row>
    <row r="7" spans="2:43" ht="12" customHeight="1" x14ac:dyDescent="0.25">
      <c r="B7" s="109" t="s">
        <v>41</v>
      </c>
      <c r="C7" s="110" t="s">
        <v>42</v>
      </c>
      <c r="D7" s="110" t="s">
        <v>25</v>
      </c>
      <c r="E7" s="110" t="s">
        <v>25</v>
      </c>
      <c r="F7" s="110" t="s">
        <v>58</v>
      </c>
      <c r="G7" s="110" t="s">
        <v>36</v>
      </c>
      <c r="H7" s="110" t="s">
        <v>93</v>
      </c>
      <c r="I7" s="110" t="s">
        <v>25</v>
      </c>
      <c r="J7" s="110">
        <v>16.34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11.209364494216301</v>
      </c>
      <c r="U7" s="110">
        <v>2.8695319480684098</v>
      </c>
      <c r="V7" s="110">
        <v>0.80012011004540995</v>
      </c>
      <c r="W7" s="110">
        <v>0</v>
      </c>
      <c r="X7" s="110">
        <v>0.11908343487315499</v>
      </c>
      <c r="Y7" s="110">
        <v>0</v>
      </c>
      <c r="Z7" s="110">
        <v>0</v>
      </c>
      <c r="AA7" s="110">
        <v>1.3201108372996599</v>
      </c>
      <c r="AB7" s="110">
        <v>2.5665628639662701E-2</v>
      </c>
      <c r="AC7" s="110">
        <v>0</v>
      </c>
      <c r="AD7" s="110">
        <v>0</v>
      </c>
      <c r="AE7" s="110">
        <v>0</v>
      </c>
      <c r="AF7" s="110">
        <v>0</v>
      </c>
      <c r="AG7" s="110">
        <v>0</v>
      </c>
      <c r="AH7" s="110">
        <v>0</v>
      </c>
      <c r="AI7" s="110">
        <v>0</v>
      </c>
      <c r="AJ7" s="110">
        <v>0</v>
      </c>
      <c r="AK7" s="110">
        <v>0</v>
      </c>
      <c r="AL7" s="110">
        <v>0</v>
      </c>
      <c r="AM7" s="110">
        <v>0</v>
      </c>
      <c r="AN7" s="110">
        <v>0</v>
      </c>
      <c r="AO7" s="110">
        <v>0</v>
      </c>
      <c r="AP7" s="110">
        <v>0</v>
      </c>
      <c r="AQ7" s="111">
        <v>0</v>
      </c>
    </row>
    <row r="8" spans="2:43" ht="12" customHeight="1" x14ac:dyDescent="0.25">
      <c r="B8" s="109" t="s">
        <v>41</v>
      </c>
      <c r="C8" s="110" t="s">
        <v>42</v>
      </c>
      <c r="D8" s="110" t="s">
        <v>25</v>
      </c>
      <c r="E8" s="110" t="s">
        <v>25</v>
      </c>
      <c r="F8" s="110" t="s">
        <v>25</v>
      </c>
      <c r="G8" s="110" t="s">
        <v>35</v>
      </c>
      <c r="H8" s="110" t="s">
        <v>90</v>
      </c>
      <c r="I8" s="110" t="s">
        <v>25</v>
      </c>
      <c r="J8" s="110">
        <v>76.239999999999995</v>
      </c>
      <c r="K8" s="110">
        <v>423.9</v>
      </c>
      <c r="L8" s="110">
        <v>6.4044727458682997</v>
      </c>
      <c r="M8" s="110">
        <v>0.100987010406539</v>
      </c>
      <c r="N8" s="110">
        <v>0.50181957183389603</v>
      </c>
      <c r="O8" s="110">
        <v>-1.52855594983685E-3</v>
      </c>
      <c r="P8" s="110">
        <v>0</v>
      </c>
      <c r="Q8" s="110">
        <v>25.208009084806299</v>
      </c>
      <c r="R8" s="110">
        <v>16.6908214343655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9.2364786036486193E-2</v>
      </c>
      <c r="AC8" s="110">
        <v>0</v>
      </c>
      <c r="AD8" s="110">
        <v>7.37298167450178</v>
      </c>
      <c r="AE8" s="110">
        <v>0.42575071248985502</v>
      </c>
      <c r="AF8" s="110">
        <v>14.6702294747422</v>
      </c>
      <c r="AG8" s="110">
        <v>4.7775685638566197</v>
      </c>
      <c r="AH8" s="110">
        <v>30.376179604110799</v>
      </c>
      <c r="AI8" s="110">
        <v>2.6620626617255101</v>
      </c>
      <c r="AJ8" s="110">
        <v>19.297483720172998</v>
      </c>
      <c r="AK8" s="110">
        <v>0</v>
      </c>
      <c r="AL8" s="110">
        <v>364.47511406713602</v>
      </c>
      <c r="AM8" s="110">
        <v>0</v>
      </c>
      <c r="AN8" s="110">
        <v>0</v>
      </c>
      <c r="AO8" s="110">
        <v>0</v>
      </c>
      <c r="AP8" s="110">
        <v>0.51000886903388798</v>
      </c>
      <c r="AQ8" s="111">
        <v>6.5756761319588204</v>
      </c>
    </row>
    <row r="9" spans="2:43" ht="12" customHeight="1" x14ac:dyDescent="0.25">
      <c r="B9" s="109" t="s">
        <v>41</v>
      </c>
      <c r="C9" s="110" t="s">
        <v>42</v>
      </c>
      <c r="D9" s="110" t="s">
        <v>25</v>
      </c>
      <c r="E9" s="110" t="s">
        <v>25</v>
      </c>
      <c r="F9" s="110" t="s">
        <v>25</v>
      </c>
      <c r="G9" s="110" t="s">
        <v>35</v>
      </c>
      <c r="H9" s="110" t="s">
        <v>93</v>
      </c>
      <c r="I9" s="110" t="s">
        <v>25</v>
      </c>
      <c r="J9" s="110">
        <v>30.34</v>
      </c>
      <c r="K9" s="110">
        <v>0</v>
      </c>
      <c r="L9" s="110">
        <v>0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12.700734610719801</v>
      </c>
      <c r="U9" s="110">
        <v>3.2396131386939602</v>
      </c>
      <c r="V9" s="110">
        <v>0.88633452751432595</v>
      </c>
      <c r="W9" s="110">
        <v>0</v>
      </c>
      <c r="X9" s="110">
        <v>0.26520131509403599</v>
      </c>
      <c r="Y9" s="110">
        <v>0</v>
      </c>
      <c r="Z9" s="110">
        <v>0</v>
      </c>
      <c r="AA9" s="110">
        <v>13.2015346552355</v>
      </c>
      <c r="AB9" s="110">
        <v>4.3877217293094802E-2</v>
      </c>
      <c r="AC9" s="110">
        <v>0</v>
      </c>
      <c r="AD9" s="110">
        <v>0</v>
      </c>
      <c r="AE9" s="110">
        <v>0</v>
      </c>
      <c r="AF9" s="110">
        <v>0</v>
      </c>
      <c r="AG9" s="110">
        <v>0</v>
      </c>
      <c r="AH9" s="110">
        <v>0</v>
      </c>
      <c r="AI9" s="110">
        <v>0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1">
        <v>0</v>
      </c>
    </row>
    <row r="10" spans="2:43" ht="12" customHeight="1" x14ac:dyDescent="0.25">
      <c r="B10" s="109" t="s">
        <v>41</v>
      </c>
      <c r="C10" s="110" t="s">
        <v>42</v>
      </c>
      <c r="D10" s="110" t="s">
        <v>25</v>
      </c>
      <c r="E10" s="110" t="s">
        <v>25</v>
      </c>
      <c r="F10" s="110" t="s">
        <v>25</v>
      </c>
      <c r="G10" s="110" t="s">
        <v>36</v>
      </c>
      <c r="H10" s="110" t="s">
        <v>90</v>
      </c>
      <c r="I10" s="110" t="s">
        <v>25</v>
      </c>
      <c r="J10" s="110">
        <v>76.239999999999995</v>
      </c>
      <c r="K10" s="110">
        <v>271.14</v>
      </c>
      <c r="L10" s="110">
        <v>6.4044727458682997</v>
      </c>
      <c r="M10" s="110">
        <v>0.100987010406539</v>
      </c>
      <c r="N10" s="110">
        <v>0.50181957183389603</v>
      </c>
      <c r="O10" s="110">
        <v>-1.52855594983685E-3</v>
      </c>
      <c r="P10" s="110">
        <v>0</v>
      </c>
      <c r="Q10" s="110">
        <v>25.208009084806299</v>
      </c>
      <c r="R10" s="110">
        <v>16.6908214343655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9.2364786036486193E-2</v>
      </c>
      <c r="AC10" s="110">
        <v>0</v>
      </c>
      <c r="AD10" s="110">
        <v>7.37298167450178</v>
      </c>
      <c r="AE10" s="110">
        <v>0.42575071248985502</v>
      </c>
      <c r="AF10" s="110">
        <v>14.6702294747422</v>
      </c>
      <c r="AG10" s="110">
        <v>4.7775685638566197</v>
      </c>
      <c r="AH10" s="110">
        <v>30.376179604110799</v>
      </c>
      <c r="AI10" s="110">
        <v>2.6620626617255101</v>
      </c>
      <c r="AJ10" s="110">
        <v>19.297483720172998</v>
      </c>
      <c r="AK10" s="110">
        <v>0</v>
      </c>
      <c r="AL10" s="110">
        <v>211.904136085544</v>
      </c>
      <c r="AM10" s="110">
        <v>0</v>
      </c>
      <c r="AN10" s="110">
        <v>0</v>
      </c>
      <c r="AO10" s="110">
        <v>0</v>
      </c>
      <c r="AP10" s="110">
        <v>0.32357169385823997</v>
      </c>
      <c r="AQ10" s="111">
        <v>6.5756761319588204</v>
      </c>
    </row>
    <row r="11" spans="2:43" ht="12" customHeight="1" x14ac:dyDescent="0.25">
      <c r="B11" s="109" t="s">
        <v>41</v>
      </c>
      <c r="C11" s="110" t="s">
        <v>42</v>
      </c>
      <c r="D11" s="110" t="s">
        <v>25</v>
      </c>
      <c r="E11" s="110" t="s">
        <v>25</v>
      </c>
      <c r="F11" s="110" t="s">
        <v>25</v>
      </c>
      <c r="G11" s="110" t="s">
        <v>36</v>
      </c>
      <c r="H11" s="110" t="s">
        <v>93</v>
      </c>
      <c r="I11" s="110" t="s">
        <v>25</v>
      </c>
      <c r="J11" s="110">
        <v>16.34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11.209364494216301</v>
      </c>
      <c r="U11" s="110">
        <v>2.8695319480684098</v>
      </c>
      <c r="V11" s="110">
        <v>0.80012011004540995</v>
      </c>
      <c r="W11" s="110">
        <v>0</v>
      </c>
      <c r="X11" s="110">
        <v>0.11908343487315499</v>
      </c>
      <c r="Y11" s="110">
        <v>0</v>
      </c>
      <c r="Z11" s="110">
        <v>0</v>
      </c>
      <c r="AA11" s="110">
        <v>1.3201108372996599</v>
      </c>
      <c r="AB11" s="110">
        <v>2.5665628639662701E-2</v>
      </c>
      <c r="AC11" s="110">
        <v>0</v>
      </c>
      <c r="AD11" s="110">
        <v>0</v>
      </c>
      <c r="AE11" s="110">
        <v>0</v>
      </c>
      <c r="AF11" s="110">
        <v>0</v>
      </c>
      <c r="AG11" s="110">
        <v>0</v>
      </c>
      <c r="AH11" s="110">
        <v>0</v>
      </c>
      <c r="AI11" s="110">
        <v>0</v>
      </c>
      <c r="AJ11" s="110">
        <v>0</v>
      </c>
      <c r="AK11" s="110">
        <v>0</v>
      </c>
      <c r="AL11" s="110">
        <v>0</v>
      </c>
      <c r="AM11" s="110">
        <v>0</v>
      </c>
      <c r="AN11" s="110">
        <v>0</v>
      </c>
      <c r="AO11" s="110">
        <v>0</v>
      </c>
      <c r="AP11" s="110">
        <v>0</v>
      </c>
      <c r="AQ11" s="111">
        <v>0</v>
      </c>
    </row>
    <row r="12" spans="2:43" ht="12" customHeight="1" x14ac:dyDescent="0.25">
      <c r="B12" s="109" t="s">
        <v>41</v>
      </c>
      <c r="C12" s="110" t="s">
        <v>61</v>
      </c>
      <c r="D12" s="110" t="s">
        <v>25</v>
      </c>
      <c r="E12" s="110" t="s">
        <v>25</v>
      </c>
      <c r="F12" s="110" t="s">
        <v>25</v>
      </c>
      <c r="G12" s="110" t="s">
        <v>35</v>
      </c>
      <c r="H12" s="110" t="s">
        <v>93</v>
      </c>
      <c r="I12" s="110" t="s">
        <v>62</v>
      </c>
      <c r="J12" s="110">
        <v>30.29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12.700734610719801</v>
      </c>
      <c r="U12" s="110">
        <v>3.2396131386939602</v>
      </c>
      <c r="V12" s="110">
        <v>0.88633452751432595</v>
      </c>
      <c r="W12" s="110">
        <v>0</v>
      </c>
      <c r="X12" s="110">
        <v>0.26520131509403599</v>
      </c>
      <c r="Y12" s="110">
        <v>0</v>
      </c>
      <c r="Z12" s="110">
        <v>0</v>
      </c>
      <c r="AA12" s="110">
        <v>13.2015346552355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0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1">
        <v>0</v>
      </c>
    </row>
    <row r="13" spans="2:43" ht="12" customHeight="1" x14ac:dyDescent="0.25">
      <c r="B13" s="109" t="s">
        <v>41</v>
      </c>
      <c r="C13" s="110" t="s">
        <v>61</v>
      </c>
      <c r="D13" s="110" t="s">
        <v>25</v>
      </c>
      <c r="E13" s="110" t="s">
        <v>25</v>
      </c>
      <c r="F13" s="110" t="s">
        <v>25</v>
      </c>
      <c r="G13" s="110" t="s">
        <v>25</v>
      </c>
      <c r="H13" s="110" t="s">
        <v>90</v>
      </c>
      <c r="I13" s="110" t="s">
        <v>62</v>
      </c>
      <c r="J13" s="110">
        <v>7.8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7.37298167450178</v>
      </c>
      <c r="AE13" s="110">
        <v>0.42575071248985502</v>
      </c>
      <c r="AF13" s="110">
        <v>0</v>
      </c>
      <c r="AG13" s="110">
        <v>0</v>
      </c>
      <c r="AH13" s="110">
        <v>0</v>
      </c>
      <c r="AI13" s="110">
        <v>0</v>
      </c>
      <c r="AJ13" s="110">
        <v>0</v>
      </c>
      <c r="AK13" s="110">
        <v>0</v>
      </c>
      <c r="AL13" s="110">
        <v>0</v>
      </c>
      <c r="AM13" s="110">
        <v>0</v>
      </c>
      <c r="AN13" s="110">
        <v>0</v>
      </c>
      <c r="AO13" s="110">
        <v>0</v>
      </c>
      <c r="AP13" s="110">
        <v>0</v>
      </c>
      <c r="AQ13" s="111">
        <v>0</v>
      </c>
    </row>
    <row r="14" spans="2:43" ht="12" customHeight="1" x14ac:dyDescent="0.25">
      <c r="B14" s="109" t="s">
        <v>41</v>
      </c>
      <c r="C14" s="110" t="s">
        <v>61</v>
      </c>
      <c r="D14" s="110" t="s">
        <v>25</v>
      </c>
      <c r="E14" s="110" t="s">
        <v>25</v>
      </c>
      <c r="F14" s="110" t="s">
        <v>25</v>
      </c>
      <c r="G14" s="110" t="s">
        <v>36</v>
      </c>
      <c r="H14" s="110" t="s">
        <v>93</v>
      </c>
      <c r="I14" s="110" t="s">
        <v>62</v>
      </c>
      <c r="J14" s="110">
        <v>16.32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11.209364494216301</v>
      </c>
      <c r="U14" s="110">
        <v>2.8695319480684098</v>
      </c>
      <c r="V14" s="110">
        <v>0.80012011004540995</v>
      </c>
      <c r="W14" s="110">
        <v>0</v>
      </c>
      <c r="X14" s="110">
        <v>0.11908343487315499</v>
      </c>
      <c r="Y14" s="110">
        <v>0</v>
      </c>
      <c r="Z14" s="110">
        <v>0</v>
      </c>
      <c r="AA14" s="110">
        <v>1.3201108372996599</v>
      </c>
      <c r="AB14" s="110">
        <v>0</v>
      </c>
      <c r="AC14" s="110">
        <v>0</v>
      </c>
      <c r="AD14" s="110">
        <v>0</v>
      </c>
      <c r="AE14" s="110">
        <v>0</v>
      </c>
      <c r="AF14" s="110">
        <v>0</v>
      </c>
      <c r="AG14" s="110">
        <v>0</v>
      </c>
      <c r="AH14" s="110">
        <v>0</v>
      </c>
      <c r="AI14" s="110">
        <v>0</v>
      </c>
      <c r="AJ14" s="110">
        <v>0</v>
      </c>
      <c r="AK14" s="110">
        <v>0</v>
      </c>
      <c r="AL14" s="110">
        <v>0</v>
      </c>
      <c r="AM14" s="110">
        <v>0</v>
      </c>
      <c r="AN14" s="110">
        <v>0</v>
      </c>
      <c r="AO14" s="110">
        <v>0</v>
      </c>
      <c r="AP14" s="110">
        <v>0</v>
      </c>
      <c r="AQ14" s="111">
        <v>0</v>
      </c>
    </row>
    <row r="15" spans="2:43" ht="12" customHeight="1" x14ac:dyDescent="0.25">
      <c r="B15" s="109" t="s">
        <v>41</v>
      </c>
      <c r="C15" s="110" t="s">
        <v>64</v>
      </c>
      <c r="D15" s="110" t="s">
        <v>25</v>
      </c>
      <c r="E15" s="110" t="s">
        <v>25</v>
      </c>
      <c r="F15" s="110" t="s">
        <v>25</v>
      </c>
      <c r="G15" s="110" t="s">
        <v>25</v>
      </c>
      <c r="H15" s="110" t="s">
        <v>93</v>
      </c>
      <c r="I15" s="110" t="s">
        <v>25</v>
      </c>
      <c r="J15" s="110">
        <v>17.25</v>
      </c>
      <c r="K15" s="110">
        <v>0</v>
      </c>
      <c r="L15" s="110">
        <v>0</v>
      </c>
      <c r="M15" s="110">
        <v>8.0503504554528801E-2</v>
      </c>
      <c r="N15" s="110">
        <v>0.21579513440509199</v>
      </c>
      <c r="O15" s="110">
        <v>6.61662942407369E-3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0.22056823201228301</v>
      </c>
      <c r="W15" s="110">
        <v>0</v>
      </c>
      <c r="X15" s="110">
        <v>0.25296799626222299</v>
      </c>
      <c r="Y15" s="110">
        <v>0</v>
      </c>
      <c r="Z15" s="110">
        <v>0</v>
      </c>
      <c r="AA15" s="110">
        <v>15.078116141109399</v>
      </c>
      <c r="AB15" s="110">
        <v>2.1581861141732599E-2</v>
      </c>
      <c r="AC15" s="110">
        <v>0</v>
      </c>
      <c r="AD15" s="110">
        <v>1.12912375573613</v>
      </c>
      <c r="AE15" s="110">
        <v>0.24782062768141599</v>
      </c>
      <c r="AF15" s="110">
        <v>0</v>
      </c>
      <c r="AG15" s="110">
        <v>0</v>
      </c>
      <c r="AH15" s="110">
        <v>0</v>
      </c>
      <c r="AI15" s="110">
        <v>0</v>
      </c>
      <c r="AJ15" s="110">
        <v>0</v>
      </c>
      <c r="AK15" s="110">
        <v>0</v>
      </c>
      <c r="AL15" s="110">
        <v>0</v>
      </c>
      <c r="AM15" s="110">
        <v>0</v>
      </c>
      <c r="AN15" s="110">
        <v>0</v>
      </c>
      <c r="AO15" s="110">
        <v>0</v>
      </c>
      <c r="AP15" s="110">
        <v>0</v>
      </c>
      <c r="AQ15" s="111">
        <v>0</v>
      </c>
    </row>
    <row r="16" spans="2:43" ht="12" customHeight="1" x14ac:dyDescent="0.25">
      <c r="B16" s="109" t="s">
        <v>33</v>
      </c>
      <c r="C16" s="110" t="s">
        <v>42</v>
      </c>
      <c r="D16" s="110" t="s">
        <v>25</v>
      </c>
      <c r="E16" s="110" t="s">
        <v>25</v>
      </c>
      <c r="F16" s="110" t="s">
        <v>58</v>
      </c>
      <c r="G16" s="110" t="s">
        <v>35</v>
      </c>
      <c r="H16" s="110" t="s">
        <v>90</v>
      </c>
      <c r="I16" s="110" t="s">
        <v>25</v>
      </c>
      <c r="J16" s="110">
        <v>57.99</v>
      </c>
      <c r="K16" s="110">
        <v>0</v>
      </c>
      <c r="L16" s="110">
        <v>0</v>
      </c>
      <c r="M16" s="110">
        <v>0.58041322814374696</v>
      </c>
      <c r="N16" s="110">
        <v>1.02164472704829</v>
      </c>
      <c r="O16" s="110">
        <v>-1.52855594983685E-3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6.9264938923557895E-2</v>
      </c>
      <c r="AC16" s="110">
        <v>0</v>
      </c>
      <c r="AD16" s="110">
        <v>18.989096226433499</v>
      </c>
      <c r="AE16" s="110">
        <v>1.0965199162099899</v>
      </c>
      <c r="AF16" s="110">
        <v>27.329669506211001</v>
      </c>
      <c r="AG16" s="110">
        <v>8.9002949898136396</v>
      </c>
      <c r="AH16" s="110">
        <v>0</v>
      </c>
      <c r="AI16" s="110">
        <v>0</v>
      </c>
      <c r="AJ16" s="110">
        <v>0</v>
      </c>
      <c r="AK16" s="110">
        <v>0</v>
      </c>
      <c r="AL16" s="110">
        <v>0</v>
      </c>
      <c r="AM16" s="110">
        <v>0</v>
      </c>
      <c r="AN16" s="110">
        <v>0</v>
      </c>
      <c r="AO16" s="110">
        <v>0</v>
      </c>
      <c r="AP16" s="110">
        <v>0</v>
      </c>
      <c r="AQ16" s="111">
        <v>0</v>
      </c>
    </row>
    <row r="17" spans="2:43" ht="12" customHeight="1" x14ac:dyDescent="0.25">
      <c r="B17" s="109" t="s">
        <v>33</v>
      </c>
      <c r="C17" s="110" t="s">
        <v>42</v>
      </c>
      <c r="D17" s="110" t="s">
        <v>25</v>
      </c>
      <c r="E17" s="110" t="s">
        <v>25</v>
      </c>
      <c r="F17" s="110" t="s">
        <v>58</v>
      </c>
      <c r="G17" s="110" t="s">
        <v>35</v>
      </c>
      <c r="H17" s="110" t="s">
        <v>93</v>
      </c>
      <c r="I17" s="110" t="s">
        <v>25</v>
      </c>
      <c r="J17" s="110">
        <v>69.260000000000005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8.9805845328270699</v>
      </c>
      <c r="U17" s="110">
        <v>2.3026069869737702</v>
      </c>
      <c r="V17" s="110">
        <v>0.62590810052789503</v>
      </c>
      <c r="W17" s="110">
        <v>0</v>
      </c>
      <c r="X17" s="110">
        <v>0.48473608278536301</v>
      </c>
      <c r="Y17" s="110">
        <v>0</v>
      </c>
      <c r="Z17" s="110">
        <v>0</v>
      </c>
      <c r="AA17" s="110">
        <v>56.770441647408497</v>
      </c>
      <c r="AB17" s="110">
        <v>9.0856270225610505E-2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0</v>
      </c>
      <c r="AO17" s="110">
        <v>0</v>
      </c>
      <c r="AP17" s="110">
        <v>0</v>
      </c>
      <c r="AQ17" s="111">
        <v>0</v>
      </c>
    </row>
    <row r="18" spans="2:43" ht="12" customHeight="1" x14ac:dyDescent="0.25">
      <c r="B18" s="109" t="s">
        <v>33</v>
      </c>
      <c r="C18" s="110" t="s">
        <v>42</v>
      </c>
      <c r="D18" s="110" t="s">
        <v>25</v>
      </c>
      <c r="E18" s="110" t="s">
        <v>25</v>
      </c>
      <c r="F18" s="110" t="s">
        <v>58</v>
      </c>
      <c r="G18" s="110" t="s">
        <v>36</v>
      </c>
      <c r="H18" s="110" t="s">
        <v>90</v>
      </c>
      <c r="I18" s="110" t="s">
        <v>25</v>
      </c>
      <c r="J18" s="110">
        <v>57.99</v>
      </c>
      <c r="K18" s="110">
        <v>0</v>
      </c>
      <c r="L18" s="110">
        <v>0</v>
      </c>
      <c r="M18" s="110">
        <v>0.58041322814374696</v>
      </c>
      <c r="N18" s="110">
        <v>1.02164472704829</v>
      </c>
      <c r="O18" s="110">
        <v>-1.52855594983685E-3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6.9264938923557895E-2</v>
      </c>
      <c r="AC18" s="110">
        <v>0</v>
      </c>
      <c r="AD18" s="110">
        <v>18.989096226433499</v>
      </c>
      <c r="AE18" s="110">
        <v>1.0965199162099899</v>
      </c>
      <c r="AF18" s="110">
        <v>27.329669506211001</v>
      </c>
      <c r="AG18" s="110">
        <v>8.9002949898136396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0">
        <v>0</v>
      </c>
      <c r="AN18" s="110">
        <v>0</v>
      </c>
      <c r="AO18" s="110">
        <v>0</v>
      </c>
      <c r="AP18" s="110">
        <v>0</v>
      </c>
      <c r="AQ18" s="111">
        <v>0</v>
      </c>
    </row>
    <row r="19" spans="2:43" ht="12" customHeight="1" x14ac:dyDescent="0.25">
      <c r="B19" s="109" t="s">
        <v>33</v>
      </c>
      <c r="C19" s="110" t="s">
        <v>42</v>
      </c>
      <c r="D19" s="110" t="s">
        <v>25</v>
      </c>
      <c r="E19" s="110" t="s">
        <v>25</v>
      </c>
      <c r="F19" s="110" t="s">
        <v>58</v>
      </c>
      <c r="G19" s="110" t="s">
        <v>36</v>
      </c>
      <c r="H19" s="110" t="s">
        <v>93</v>
      </c>
      <c r="I19" s="110" t="s">
        <v>25</v>
      </c>
      <c r="J19" s="110">
        <v>24.67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4.90779222562628</v>
      </c>
      <c r="U19" s="110">
        <v>1.26295667597939</v>
      </c>
      <c r="V19" s="110">
        <v>0.34986161714578301</v>
      </c>
      <c r="W19" s="110">
        <v>0</v>
      </c>
      <c r="X19" s="110">
        <v>0.12810747621222199</v>
      </c>
      <c r="Y19" s="110">
        <v>0</v>
      </c>
      <c r="Z19" s="110">
        <v>0</v>
      </c>
      <c r="AA19" s="110">
        <v>17.9875271458349</v>
      </c>
      <c r="AB19" s="110">
        <v>3.3153680479047397E-2</v>
      </c>
      <c r="AC19" s="110">
        <v>0</v>
      </c>
      <c r="AD19" s="110">
        <v>0</v>
      </c>
      <c r="AE19" s="110">
        <v>0</v>
      </c>
      <c r="AF19" s="110">
        <v>0</v>
      </c>
      <c r="AG19" s="110">
        <v>0</v>
      </c>
      <c r="AH19" s="110">
        <v>0</v>
      </c>
      <c r="AI19" s="110">
        <v>0</v>
      </c>
      <c r="AJ19" s="110">
        <v>0</v>
      </c>
      <c r="AK19" s="110">
        <v>0</v>
      </c>
      <c r="AL19" s="110">
        <v>0</v>
      </c>
      <c r="AM19" s="110">
        <v>0</v>
      </c>
      <c r="AN19" s="110">
        <v>0</v>
      </c>
      <c r="AO19" s="110">
        <v>0</v>
      </c>
      <c r="AP19" s="110">
        <v>0</v>
      </c>
      <c r="AQ19" s="111">
        <v>0</v>
      </c>
    </row>
    <row r="20" spans="2:43" ht="12" customHeight="1" x14ac:dyDescent="0.25">
      <c r="B20" s="109" t="s">
        <v>33</v>
      </c>
      <c r="C20" s="110" t="s">
        <v>42</v>
      </c>
      <c r="D20" s="110" t="s">
        <v>25</v>
      </c>
      <c r="E20" s="110" t="s">
        <v>25</v>
      </c>
      <c r="F20" s="110" t="s">
        <v>25</v>
      </c>
      <c r="G20" s="110" t="s">
        <v>35</v>
      </c>
      <c r="H20" s="110" t="s">
        <v>90</v>
      </c>
      <c r="I20" s="110" t="s">
        <v>25</v>
      </c>
      <c r="J20" s="110">
        <v>117.59</v>
      </c>
      <c r="K20" s="110">
        <v>423.9</v>
      </c>
      <c r="L20" s="110">
        <v>8.6770275911764099</v>
      </c>
      <c r="M20" s="110">
        <v>0.58041322814374696</v>
      </c>
      <c r="N20" s="110">
        <v>1.03313762448431</v>
      </c>
      <c r="O20" s="110">
        <v>-1.52855594983685E-3</v>
      </c>
      <c r="P20" s="110">
        <v>0</v>
      </c>
      <c r="Q20" s="110">
        <v>34.152786501995699</v>
      </c>
      <c r="R20" s="110">
        <v>16.6908214343655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0.14290683035679799</v>
      </c>
      <c r="AC20" s="110">
        <v>0</v>
      </c>
      <c r="AD20" s="110">
        <v>18.989096226433499</v>
      </c>
      <c r="AE20" s="110">
        <v>1.0965199162099899</v>
      </c>
      <c r="AF20" s="110">
        <v>27.329669506211001</v>
      </c>
      <c r="AG20" s="110">
        <v>8.9002949898136396</v>
      </c>
      <c r="AH20" s="110">
        <v>30.376179604110799</v>
      </c>
      <c r="AI20" s="110">
        <v>2.6620626617255101</v>
      </c>
      <c r="AJ20" s="110">
        <v>19.297483720172998</v>
      </c>
      <c r="AK20" s="110">
        <v>0</v>
      </c>
      <c r="AL20" s="110">
        <v>364.47511406713602</v>
      </c>
      <c r="AM20" s="110">
        <v>0</v>
      </c>
      <c r="AN20" s="110">
        <v>0</v>
      </c>
      <c r="AO20" s="110">
        <v>0</v>
      </c>
      <c r="AP20" s="110">
        <v>0.51000886903388798</v>
      </c>
      <c r="AQ20" s="111">
        <v>6.5756761319588204</v>
      </c>
    </row>
    <row r="21" spans="2:43" ht="12" customHeight="1" x14ac:dyDescent="0.25">
      <c r="B21" s="109" t="s">
        <v>33</v>
      </c>
      <c r="C21" s="110" t="s">
        <v>42</v>
      </c>
      <c r="D21" s="110" t="s">
        <v>25</v>
      </c>
      <c r="E21" s="110" t="s">
        <v>25</v>
      </c>
      <c r="F21" s="110" t="s">
        <v>25</v>
      </c>
      <c r="G21" s="110" t="s">
        <v>35</v>
      </c>
      <c r="H21" s="110" t="s">
        <v>93</v>
      </c>
      <c r="I21" s="110" t="s">
        <v>25</v>
      </c>
      <c r="J21" s="110">
        <v>69.260000000000005</v>
      </c>
      <c r="K21" s="110">
        <v>0</v>
      </c>
      <c r="L21" s="110">
        <v>0</v>
      </c>
      <c r="M21" s="110">
        <v>0</v>
      </c>
      <c r="N21" s="110">
        <v>0</v>
      </c>
      <c r="O21" s="110">
        <v>0</v>
      </c>
      <c r="P21" s="110">
        <v>0</v>
      </c>
      <c r="Q21" s="110">
        <v>0</v>
      </c>
      <c r="R21" s="110">
        <v>0</v>
      </c>
      <c r="S21" s="110">
        <v>0</v>
      </c>
      <c r="T21" s="110">
        <v>8.9805845328270699</v>
      </c>
      <c r="U21" s="110">
        <v>2.3026069869737702</v>
      </c>
      <c r="V21" s="110">
        <v>0.62590810052789503</v>
      </c>
      <c r="W21" s="110">
        <v>0</v>
      </c>
      <c r="X21" s="110">
        <v>0.48473608278536301</v>
      </c>
      <c r="Y21" s="110">
        <v>0</v>
      </c>
      <c r="Z21" s="110">
        <v>0</v>
      </c>
      <c r="AA21" s="110">
        <v>56.770441647408497</v>
      </c>
      <c r="AB21" s="110">
        <v>9.0856270225610505E-2</v>
      </c>
      <c r="AC21" s="110">
        <v>0</v>
      </c>
      <c r="AD21" s="110">
        <v>0</v>
      </c>
      <c r="AE21" s="110">
        <v>0</v>
      </c>
      <c r="AF21" s="110">
        <v>0</v>
      </c>
      <c r="AG21" s="110">
        <v>0</v>
      </c>
      <c r="AH21" s="110">
        <v>0</v>
      </c>
      <c r="AI21" s="110">
        <v>0</v>
      </c>
      <c r="AJ21" s="110">
        <v>0</v>
      </c>
      <c r="AK21" s="110">
        <v>0</v>
      </c>
      <c r="AL21" s="110">
        <v>0</v>
      </c>
      <c r="AM21" s="110">
        <v>0</v>
      </c>
      <c r="AN21" s="110">
        <v>0</v>
      </c>
      <c r="AO21" s="110">
        <v>0</v>
      </c>
      <c r="AP21" s="110">
        <v>0</v>
      </c>
      <c r="AQ21" s="111">
        <v>0</v>
      </c>
    </row>
    <row r="22" spans="2:43" ht="12" customHeight="1" x14ac:dyDescent="0.25">
      <c r="B22" s="109" t="s">
        <v>33</v>
      </c>
      <c r="C22" s="110" t="s">
        <v>42</v>
      </c>
      <c r="D22" s="110" t="s">
        <v>25</v>
      </c>
      <c r="E22" s="110" t="s">
        <v>25</v>
      </c>
      <c r="F22" s="110" t="s">
        <v>25</v>
      </c>
      <c r="G22" s="110" t="s">
        <v>36</v>
      </c>
      <c r="H22" s="110" t="s">
        <v>90</v>
      </c>
      <c r="I22" s="110" t="s">
        <v>25</v>
      </c>
      <c r="J22" s="110">
        <v>117.59</v>
      </c>
      <c r="K22" s="110">
        <v>271.14</v>
      </c>
      <c r="L22" s="110">
        <v>8.6770275911764099</v>
      </c>
      <c r="M22" s="110">
        <v>0.58041322814374696</v>
      </c>
      <c r="N22" s="110">
        <v>1.03313762448431</v>
      </c>
      <c r="O22" s="110">
        <v>-1.52855594983685E-3</v>
      </c>
      <c r="P22" s="110">
        <v>0</v>
      </c>
      <c r="Q22" s="110">
        <v>34.152786501995699</v>
      </c>
      <c r="R22" s="110">
        <v>16.6908214343655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0.14290683035679799</v>
      </c>
      <c r="AC22" s="110">
        <v>0</v>
      </c>
      <c r="AD22" s="110">
        <v>18.989096226433499</v>
      </c>
      <c r="AE22" s="110">
        <v>1.0965199162099899</v>
      </c>
      <c r="AF22" s="110">
        <v>27.329669506211001</v>
      </c>
      <c r="AG22" s="110">
        <v>8.9002949898136396</v>
      </c>
      <c r="AH22" s="110">
        <v>30.376179604110799</v>
      </c>
      <c r="AI22" s="110">
        <v>2.6620626617255101</v>
      </c>
      <c r="AJ22" s="110">
        <v>19.297483720172998</v>
      </c>
      <c r="AK22" s="110">
        <v>0</v>
      </c>
      <c r="AL22" s="110">
        <v>211.904136085544</v>
      </c>
      <c r="AM22" s="110">
        <v>0</v>
      </c>
      <c r="AN22" s="110">
        <v>0</v>
      </c>
      <c r="AO22" s="110">
        <v>0</v>
      </c>
      <c r="AP22" s="110">
        <v>0.32357169385823997</v>
      </c>
      <c r="AQ22" s="111">
        <v>6.5756761319588204</v>
      </c>
    </row>
    <row r="23" spans="2:43" ht="12" customHeight="1" x14ac:dyDescent="0.25">
      <c r="B23" s="109" t="s">
        <v>33</v>
      </c>
      <c r="C23" s="110" t="s">
        <v>42</v>
      </c>
      <c r="D23" s="110" t="s">
        <v>25</v>
      </c>
      <c r="E23" s="110" t="s">
        <v>25</v>
      </c>
      <c r="F23" s="110" t="s">
        <v>25</v>
      </c>
      <c r="G23" s="110" t="s">
        <v>36</v>
      </c>
      <c r="H23" s="110" t="s">
        <v>93</v>
      </c>
      <c r="I23" s="110" t="s">
        <v>25</v>
      </c>
      <c r="J23" s="110">
        <v>24.67</v>
      </c>
      <c r="K23" s="110">
        <v>0</v>
      </c>
      <c r="L23" s="110"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4.90779222562628</v>
      </c>
      <c r="U23" s="110">
        <v>1.26295667597939</v>
      </c>
      <c r="V23" s="110">
        <v>0.34986161714578301</v>
      </c>
      <c r="W23" s="110">
        <v>0</v>
      </c>
      <c r="X23" s="110">
        <v>0.12810747621222199</v>
      </c>
      <c r="Y23" s="110">
        <v>0</v>
      </c>
      <c r="Z23" s="110">
        <v>0</v>
      </c>
      <c r="AA23" s="110">
        <v>17.9875271458349</v>
      </c>
      <c r="AB23" s="110">
        <v>3.3153680479047397E-2</v>
      </c>
      <c r="AC23" s="110">
        <v>0</v>
      </c>
      <c r="AD23" s="110">
        <v>0</v>
      </c>
      <c r="AE23" s="110">
        <v>0</v>
      </c>
      <c r="AF23" s="110">
        <v>0</v>
      </c>
      <c r="AG23" s="110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0">
        <v>0</v>
      </c>
      <c r="AN23" s="110">
        <v>0</v>
      </c>
      <c r="AO23" s="110">
        <v>0</v>
      </c>
      <c r="AP23" s="110">
        <v>0</v>
      </c>
      <c r="AQ23" s="111">
        <v>0</v>
      </c>
    </row>
    <row r="24" spans="2:43" ht="12" customHeight="1" x14ac:dyDescent="0.25">
      <c r="B24" s="109" t="s">
        <v>33</v>
      </c>
      <c r="C24" s="110" t="s">
        <v>23</v>
      </c>
      <c r="D24" s="110" t="s">
        <v>25</v>
      </c>
      <c r="E24" s="110" t="s">
        <v>25</v>
      </c>
      <c r="F24" s="110" t="s">
        <v>25</v>
      </c>
      <c r="G24" s="110" t="s">
        <v>25</v>
      </c>
      <c r="H24" s="110" t="s">
        <v>90</v>
      </c>
      <c r="I24" s="110" t="s">
        <v>25</v>
      </c>
      <c r="J24" s="110">
        <v>0</v>
      </c>
      <c r="K24" s="110">
        <v>283.87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0</v>
      </c>
      <c r="AB24" s="110">
        <v>0</v>
      </c>
      <c r="AC24" s="110">
        <v>0</v>
      </c>
      <c r="AD24" s="110">
        <v>0</v>
      </c>
      <c r="AE24" s="110">
        <v>0</v>
      </c>
      <c r="AF24" s="110">
        <v>0</v>
      </c>
      <c r="AG24" s="110">
        <v>0</v>
      </c>
      <c r="AH24" s="110">
        <v>30.376179604110799</v>
      </c>
      <c r="AI24" s="110">
        <v>2.6620626617255101</v>
      </c>
      <c r="AJ24" s="110">
        <v>19.297483720172998</v>
      </c>
      <c r="AK24" s="110">
        <v>0</v>
      </c>
      <c r="AL24" s="110">
        <v>224.618384250677</v>
      </c>
      <c r="AM24" s="110">
        <v>0</v>
      </c>
      <c r="AN24" s="110">
        <v>0</v>
      </c>
      <c r="AO24" s="110">
        <v>0</v>
      </c>
      <c r="AP24" s="110">
        <v>0.33910812512287702</v>
      </c>
      <c r="AQ24" s="111">
        <v>6.5756761319588204</v>
      </c>
    </row>
    <row r="25" spans="2:43" ht="12" customHeight="1" x14ac:dyDescent="0.25">
      <c r="B25" s="109" t="s">
        <v>33</v>
      </c>
      <c r="C25" s="110" t="s">
        <v>61</v>
      </c>
      <c r="D25" s="110" t="s">
        <v>25</v>
      </c>
      <c r="E25" s="110" t="s">
        <v>25</v>
      </c>
      <c r="F25" s="110" t="s">
        <v>25</v>
      </c>
      <c r="G25" s="110" t="s">
        <v>35</v>
      </c>
      <c r="H25" s="110" t="s">
        <v>93</v>
      </c>
      <c r="I25" s="110" t="s">
        <v>62</v>
      </c>
      <c r="J25" s="110">
        <v>30.5</v>
      </c>
      <c r="K25" s="110">
        <v>0</v>
      </c>
      <c r="L25" s="110">
        <v>0</v>
      </c>
      <c r="M25" s="110">
        <v>0</v>
      </c>
      <c r="N25" s="110">
        <v>0</v>
      </c>
      <c r="O25" s="110">
        <v>0</v>
      </c>
      <c r="P25" s="110">
        <v>0</v>
      </c>
      <c r="Q25" s="110">
        <v>0</v>
      </c>
      <c r="R25" s="110">
        <v>0</v>
      </c>
      <c r="S25" s="110">
        <v>0</v>
      </c>
      <c r="T25" s="110">
        <v>8.9805845328270699</v>
      </c>
      <c r="U25" s="110">
        <v>2.3026069869737702</v>
      </c>
      <c r="V25" s="110">
        <v>0.62590810052789503</v>
      </c>
      <c r="W25" s="110">
        <v>0</v>
      </c>
      <c r="X25" s="110">
        <v>0.48473608278536301</v>
      </c>
      <c r="Y25" s="110">
        <v>0</v>
      </c>
      <c r="Z25" s="110">
        <v>0</v>
      </c>
      <c r="AA25" s="110">
        <v>18.1070079676409</v>
      </c>
      <c r="AB25" s="110">
        <v>0</v>
      </c>
      <c r="AC25" s="110">
        <v>0</v>
      </c>
      <c r="AD25" s="110">
        <v>0</v>
      </c>
      <c r="AE25" s="110">
        <v>0</v>
      </c>
      <c r="AF25" s="110">
        <v>0</v>
      </c>
      <c r="AG25" s="110">
        <v>0</v>
      </c>
      <c r="AH25" s="110">
        <v>0</v>
      </c>
      <c r="AI25" s="110">
        <v>0</v>
      </c>
      <c r="AJ25" s="110">
        <v>0</v>
      </c>
      <c r="AK25" s="110">
        <v>0</v>
      </c>
      <c r="AL25" s="110">
        <v>0</v>
      </c>
      <c r="AM25" s="110">
        <v>0</v>
      </c>
      <c r="AN25" s="110">
        <v>0</v>
      </c>
      <c r="AO25" s="110">
        <v>0</v>
      </c>
      <c r="AP25" s="110">
        <v>0</v>
      </c>
      <c r="AQ25" s="111">
        <v>0</v>
      </c>
    </row>
    <row r="26" spans="2:43" ht="12" customHeight="1" x14ac:dyDescent="0.25">
      <c r="B26" s="109" t="s">
        <v>33</v>
      </c>
      <c r="C26" s="110" t="s">
        <v>61</v>
      </c>
      <c r="D26" s="110" t="s">
        <v>25</v>
      </c>
      <c r="E26" s="110" t="s">
        <v>25</v>
      </c>
      <c r="F26" s="110" t="s">
        <v>25</v>
      </c>
      <c r="G26" s="110" t="s">
        <v>25</v>
      </c>
      <c r="H26" s="110" t="s">
        <v>90</v>
      </c>
      <c r="I26" s="110" t="s">
        <v>62</v>
      </c>
      <c r="J26" s="110">
        <v>20.09</v>
      </c>
      <c r="K26" s="110">
        <v>0</v>
      </c>
      <c r="L26" s="110">
        <v>0</v>
      </c>
      <c r="M26" s="110">
        <v>0</v>
      </c>
      <c r="N26" s="110">
        <v>0</v>
      </c>
      <c r="O26" s="110">
        <v>0</v>
      </c>
      <c r="P26" s="110">
        <v>0</v>
      </c>
      <c r="Q26" s="110">
        <v>0</v>
      </c>
      <c r="R26" s="110">
        <v>0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0</v>
      </c>
      <c r="Y26" s="110">
        <v>0</v>
      </c>
      <c r="Z26" s="110">
        <v>0</v>
      </c>
      <c r="AA26" s="110">
        <v>0</v>
      </c>
      <c r="AB26" s="110">
        <v>0</v>
      </c>
      <c r="AC26" s="110">
        <v>0</v>
      </c>
      <c r="AD26" s="110">
        <v>18.989096226433499</v>
      </c>
      <c r="AE26" s="110">
        <v>1.0965199162099899</v>
      </c>
      <c r="AF26" s="110">
        <v>0</v>
      </c>
      <c r="AG26" s="110">
        <v>0</v>
      </c>
      <c r="AH26" s="110">
        <v>0</v>
      </c>
      <c r="AI26" s="110">
        <v>0</v>
      </c>
      <c r="AJ26" s="110">
        <v>0</v>
      </c>
      <c r="AK26" s="110">
        <v>0</v>
      </c>
      <c r="AL26" s="110">
        <v>0</v>
      </c>
      <c r="AM26" s="110">
        <v>0</v>
      </c>
      <c r="AN26" s="110">
        <v>0</v>
      </c>
      <c r="AO26" s="110">
        <v>0</v>
      </c>
      <c r="AP26" s="110">
        <v>0</v>
      </c>
      <c r="AQ26" s="111">
        <v>0</v>
      </c>
    </row>
    <row r="27" spans="2:43" ht="12" customHeight="1" x14ac:dyDescent="0.25">
      <c r="B27" s="109" t="s">
        <v>33</v>
      </c>
      <c r="C27" s="110" t="s">
        <v>61</v>
      </c>
      <c r="D27" s="110" t="s">
        <v>25</v>
      </c>
      <c r="E27" s="110" t="s">
        <v>25</v>
      </c>
      <c r="F27" s="110" t="s">
        <v>25</v>
      </c>
      <c r="G27" s="110" t="s">
        <v>36</v>
      </c>
      <c r="H27" s="110" t="s">
        <v>93</v>
      </c>
      <c r="I27" s="110" t="s">
        <v>62</v>
      </c>
      <c r="J27" s="110">
        <v>12.39</v>
      </c>
      <c r="K27" s="110">
        <v>0</v>
      </c>
      <c r="L27" s="110">
        <v>0</v>
      </c>
      <c r="M27" s="110">
        <v>0</v>
      </c>
      <c r="N27" s="110">
        <v>0</v>
      </c>
      <c r="O27" s="110">
        <v>0</v>
      </c>
      <c r="P27" s="110">
        <v>0</v>
      </c>
      <c r="Q27" s="110">
        <v>0</v>
      </c>
      <c r="R27" s="110">
        <v>0</v>
      </c>
      <c r="S27" s="110">
        <v>0</v>
      </c>
      <c r="T27" s="110">
        <v>4.90779222562628</v>
      </c>
      <c r="U27" s="110">
        <v>1.26295667597939</v>
      </c>
      <c r="V27" s="110">
        <v>0.34986161714578301</v>
      </c>
      <c r="W27" s="110">
        <v>0</v>
      </c>
      <c r="X27" s="110">
        <v>0.12810747621222199</v>
      </c>
      <c r="Y27" s="110">
        <v>0</v>
      </c>
      <c r="Z27" s="110">
        <v>0</v>
      </c>
      <c r="AA27" s="110">
        <v>5.7371499604200196</v>
      </c>
      <c r="AB27" s="110">
        <v>0</v>
      </c>
      <c r="AC27" s="110">
        <v>0</v>
      </c>
      <c r="AD27" s="110">
        <v>0</v>
      </c>
      <c r="AE27" s="110">
        <v>0</v>
      </c>
      <c r="AF27" s="110">
        <v>0</v>
      </c>
      <c r="AG27" s="110">
        <v>0</v>
      </c>
      <c r="AH27" s="110">
        <v>0</v>
      </c>
      <c r="AI27" s="110">
        <v>0</v>
      </c>
      <c r="AJ27" s="110">
        <v>0</v>
      </c>
      <c r="AK27" s="110">
        <v>0</v>
      </c>
      <c r="AL27" s="110">
        <v>0</v>
      </c>
      <c r="AM27" s="110">
        <v>0</v>
      </c>
      <c r="AN27" s="110">
        <v>0</v>
      </c>
      <c r="AO27" s="110">
        <v>0</v>
      </c>
      <c r="AP27" s="110">
        <v>0</v>
      </c>
      <c r="AQ27" s="111">
        <v>0</v>
      </c>
    </row>
    <row r="28" spans="2:43" ht="12" customHeight="1" x14ac:dyDescent="0.25">
      <c r="B28" s="109" t="s">
        <v>33</v>
      </c>
      <c r="C28" s="110" t="s">
        <v>64</v>
      </c>
      <c r="D28" s="110" t="s">
        <v>25</v>
      </c>
      <c r="E28" s="110" t="s">
        <v>25</v>
      </c>
      <c r="F28" s="110" t="s">
        <v>25</v>
      </c>
      <c r="G28" s="110" t="s">
        <v>25</v>
      </c>
      <c r="H28" s="110" t="s">
        <v>93</v>
      </c>
      <c r="I28" s="110" t="s">
        <v>25</v>
      </c>
      <c r="J28" s="110">
        <v>15.1</v>
      </c>
      <c r="K28" s="110">
        <v>0</v>
      </c>
      <c r="L28" s="110">
        <v>0</v>
      </c>
      <c r="M28" s="110">
        <v>4.8504286663417898E-2</v>
      </c>
      <c r="N28" s="110">
        <v>0.14113278051431799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110">
        <v>0</v>
      </c>
      <c r="AA28" s="110">
        <v>14.891743732312801</v>
      </c>
      <c r="AB28" s="110">
        <v>1.8891853859577801E-2</v>
      </c>
      <c r="AC28" s="110">
        <v>0</v>
      </c>
      <c r="AD28" s="110">
        <v>1.06330857722841E-3</v>
      </c>
      <c r="AE28" s="110">
        <v>0</v>
      </c>
      <c r="AF28" s="110">
        <v>0</v>
      </c>
      <c r="AG28" s="110">
        <v>0</v>
      </c>
      <c r="AH28" s="110">
        <v>0</v>
      </c>
      <c r="AI28" s="110">
        <v>0</v>
      </c>
      <c r="AJ28" s="110">
        <v>0</v>
      </c>
      <c r="AK28" s="110">
        <v>0</v>
      </c>
      <c r="AL28" s="110">
        <v>0</v>
      </c>
      <c r="AM28" s="110">
        <v>0</v>
      </c>
      <c r="AN28" s="110">
        <v>0</v>
      </c>
      <c r="AO28" s="110">
        <v>0</v>
      </c>
      <c r="AP28" s="110">
        <v>0</v>
      </c>
      <c r="AQ28" s="111">
        <v>0</v>
      </c>
    </row>
    <row r="29" spans="2:43" ht="12" customHeight="1" x14ac:dyDescent="0.25">
      <c r="B29" s="109" t="s">
        <v>33</v>
      </c>
      <c r="C29" s="110" t="s">
        <v>34</v>
      </c>
      <c r="D29" s="110" t="s">
        <v>25</v>
      </c>
      <c r="E29" s="110" t="s">
        <v>25</v>
      </c>
      <c r="F29" s="110" t="s">
        <v>58</v>
      </c>
      <c r="G29" s="110" t="s">
        <v>35</v>
      </c>
      <c r="H29" s="110" t="s">
        <v>90</v>
      </c>
      <c r="I29" s="110" t="s">
        <v>25</v>
      </c>
      <c r="J29" s="110">
        <v>1739.53</v>
      </c>
      <c r="K29" s="110">
        <v>0</v>
      </c>
      <c r="L29" s="110">
        <v>0</v>
      </c>
      <c r="M29" s="110">
        <v>0.58041322814374696</v>
      </c>
      <c r="N29" s="110">
        <v>16.955524154217301</v>
      </c>
      <c r="O29" s="110">
        <v>-1.52855594983685E-3</v>
      </c>
      <c r="P29" s="110">
        <v>0</v>
      </c>
      <c r="Q29" s="110">
        <v>0</v>
      </c>
      <c r="R29" s="110">
        <v>0</v>
      </c>
      <c r="S29" s="110">
        <v>0</v>
      </c>
      <c r="T29" s="110">
        <v>215.98220177106501</v>
      </c>
      <c r="U29" s="110">
        <v>55.376817455502398</v>
      </c>
      <c r="V29" s="110">
        <v>15.0535874478111</v>
      </c>
      <c r="W29" s="110">
        <v>0</v>
      </c>
      <c r="X29" s="110">
        <v>11.657968728659601</v>
      </c>
      <c r="Y29" s="110">
        <v>0</v>
      </c>
      <c r="Z29" s="110">
        <v>0</v>
      </c>
      <c r="AA29" s="110">
        <v>1365.3313443775601</v>
      </c>
      <c r="AB29" s="110">
        <v>2.2743200896586901</v>
      </c>
      <c r="AC29" s="110">
        <v>0</v>
      </c>
      <c r="AD29" s="110">
        <v>18.989096226433499</v>
      </c>
      <c r="AE29" s="110">
        <v>1.0965199162099899</v>
      </c>
      <c r="AF29" s="110">
        <v>27.329669506211001</v>
      </c>
      <c r="AG29" s="110">
        <v>8.9002949898136396</v>
      </c>
      <c r="AH29" s="110">
        <v>0</v>
      </c>
      <c r="AI29" s="110">
        <v>0</v>
      </c>
      <c r="AJ29" s="110">
        <v>0</v>
      </c>
      <c r="AK29" s="110">
        <v>0</v>
      </c>
      <c r="AL29" s="110">
        <v>0</v>
      </c>
      <c r="AM29" s="110">
        <v>0</v>
      </c>
      <c r="AN29" s="110">
        <v>0</v>
      </c>
      <c r="AO29" s="110">
        <v>0</v>
      </c>
      <c r="AP29" s="110">
        <v>0</v>
      </c>
      <c r="AQ29" s="111">
        <v>0</v>
      </c>
    </row>
    <row r="30" spans="2:43" ht="12" customHeight="1" x14ac:dyDescent="0.25">
      <c r="B30" s="109" t="s">
        <v>33</v>
      </c>
      <c r="C30" s="110" t="s">
        <v>34</v>
      </c>
      <c r="D30" s="110" t="s">
        <v>25</v>
      </c>
      <c r="E30" s="110" t="s">
        <v>25</v>
      </c>
      <c r="F30" s="110" t="s">
        <v>58</v>
      </c>
      <c r="G30" s="110" t="s">
        <v>25</v>
      </c>
      <c r="H30" s="110" t="s">
        <v>93</v>
      </c>
      <c r="I30" s="110" t="s">
        <v>25</v>
      </c>
      <c r="J30" s="110">
        <v>24.67</v>
      </c>
      <c r="K30" s="110">
        <v>0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4.90779222562628</v>
      </c>
      <c r="U30" s="110">
        <v>1.26295667597939</v>
      </c>
      <c r="V30" s="110">
        <v>0.34986161714578301</v>
      </c>
      <c r="W30" s="110">
        <v>0</v>
      </c>
      <c r="X30" s="110">
        <v>0.12810747621222199</v>
      </c>
      <c r="Y30" s="110">
        <v>0</v>
      </c>
      <c r="Z30" s="110">
        <v>0</v>
      </c>
      <c r="AA30" s="110">
        <v>17.9875271458349</v>
      </c>
      <c r="AB30" s="110">
        <v>3.3153680479047397E-2</v>
      </c>
      <c r="AC30" s="110">
        <v>0</v>
      </c>
      <c r="AD30" s="110">
        <v>0</v>
      </c>
      <c r="AE30" s="110">
        <v>0</v>
      </c>
      <c r="AF30" s="110">
        <v>0</v>
      </c>
      <c r="AG30" s="110">
        <v>0</v>
      </c>
      <c r="AH30" s="110">
        <v>0</v>
      </c>
      <c r="AI30" s="110">
        <v>0</v>
      </c>
      <c r="AJ30" s="110">
        <v>0</v>
      </c>
      <c r="AK30" s="110">
        <v>0</v>
      </c>
      <c r="AL30" s="110">
        <v>0</v>
      </c>
      <c r="AM30" s="110">
        <v>0</v>
      </c>
      <c r="AN30" s="110">
        <v>0</v>
      </c>
      <c r="AO30" s="110">
        <v>0</v>
      </c>
      <c r="AP30" s="110">
        <v>0</v>
      </c>
      <c r="AQ30" s="111">
        <v>0</v>
      </c>
    </row>
    <row r="31" spans="2:43" ht="12" customHeight="1" x14ac:dyDescent="0.25">
      <c r="B31" s="109" t="s">
        <v>33</v>
      </c>
      <c r="C31" s="110" t="s">
        <v>34</v>
      </c>
      <c r="D31" s="110" t="s">
        <v>25</v>
      </c>
      <c r="E31" s="110" t="s">
        <v>25</v>
      </c>
      <c r="F31" s="110" t="s">
        <v>58</v>
      </c>
      <c r="G31" s="110" t="s">
        <v>36</v>
      </c>
      <c r="H31" s="110" t="s">
        <v>90</v>
      </c>
      <c r="I31" s="110" t="s">
        <v>25</v>
      </c>
      <c r="J31" s="110">
        <v>57.99</v>
      </c>
      <c r="K31" s="110">
        <v>0</v>
      </c>
      <c r="L31" s="110">
        <v>0</v>
      </c>
      <c r="M31" s="110">
        <v>0.58041322814374696</v>
      </c>
      <c r="N31" s="110">
        <v>1.02164472704829</v>
      </c>
      <c r="O31" s="110">
        <v>-1.52855594983685E-3</v>
      </c>
      <c r="P31" s="110">
        <v>0</v>
      </c>
      <c r="Q31" s="110">
        <v>0</v>
      </c>
      <c r="R31" s="110">
        <v>0</v>
      </c>
      <c r="S31" s="110">
        <v>0</v>
      </c>
      <c r="T31" s="110">
        <v>0</v>
      </c>
      <c r="U31" s="110">
        <v>0</v>
      </c>
      <c r="V31" s="110">
        <v>0</v>
      </c>
      <c r="W31" s="110">
        <v>0</v>
      </c>
      <c r="X31" s="110">
        <v>0</v>
      </c>
      <c r="Y31" s="110">
        <v>0</v>
      </c>
      <c r="Z31" s="110">
        <v>0</v>
      </c>
      <c r="AA31" s="110">
        <v>0</v>
      </c>
      <c r="AB31" s="110">
        <v>6.9264938923557895E-2</v>
      </c>
      <c r="AC31" s="110">
        <v>0</v>
      </c>
      <c r="AD31" s="110">
        <v>18.989096226433499</v>
      </c>
      <c r="AE31" s="110">
        <v>1.0965199162099899</v>
      </c>
      <c r="AF31" s="110">
        <v>27.329669506211001</v>
      </c>
      <c r="AG31" s="110">
        <v>8.9002949898136396</v>
      </c>
      <c r="AH31" s="110">
        <v>0</v>
      </c>
      <c r="AI31" s="110">
        <v>0</v>
      </c>
      <c r="AJ31" s="110">
        <v>0</v>
      </c>
      <c r="AK31" s="110">
        <v>0</v>
      </c>
      <c r="AL31" s="110">
        <v>0</v>
      </c>
      <c r="AM31" s="110">
        <v>0</v>
      </c>
      <c r="AN31" s="110">
        <v>0</v>
      </c>
      <c r="AO31" s="110">
        <v>0</v>
      </c>
      <c r="AP31" s="110">
        <v>0</v>
      </c>
      <c r="AQ31" s="111">
        <v>0</v>
      </c>
    </row>
    <row r="32" spans="2:43" ht="12" customHeight="1" x14ac:dyDescent="0.25">
      <c r="B32" s="109" t="s">
        <v>33</v>
      </c>
      <c r="C32" s="110" t="s">
        <v>34</v>
      </c>
      <c r="D32" s="110" t="s">
        <v>25</v>
      </c>
      <c r="E32" s="110" t="s">
        <v>25</v>
      </c>
      <c r="F32" s="110" t="s">
        <v>25</v>
      </c>
      <c r="G32" s="110" t="s">
        <v>35</v>
      </c>
      <c r="H32" s="110" t="s">
        <v>90</v>
      </c>
      <c r="I32" s="110" t="s">
        <v>25</v>
      </c>
      <c r="J32" s="110">
        <v>1799.13</v>
      </c>
      <c r="K32" s="110">
        <v>423.9</v>
      </c>
      <c r="L32" s="110">
        <v>8.6770275911764099</v>
      </c>
      <c r="M32" s="110">
        <v>0.58041322814374696</v>
      </c>
      <c r="N32" s="110">
        <v>16.9670170516534</v>
      </c>
      <c r="O32" s="110">
        <v>-1.52855594983685E-3</v>
      </c>
      <c r="P32" s="110">
        <v>0</v>
      </c>
      <c r="Q32" s="110">
        <v>34.152786501995699</v>
      </c>
      <c r="R32" s="110">
        <v>16.6908214343655</v>
      </c>
      <c r="S32" s="110">
        <v>0</v>
      </c>
      <c r="T32" s="110">
        <v>215.98220177106501</v>
      </c>
      <c r="U32" s="110">
        <v>55.376817455502398</v>
      </c>
      <c r="V32" s="110">
        <v>15.0535874478111</v>
      </c>
      <c r="W32" s="110">
        <v>0</v>
      </c>
      <c r="X32" s="110">
        <v>11.657968728659601</v>
      </c>
      <c r="Y32" s="110">
        <v>0</v>
      </c>
      <c r="Z32" s="110">
        <v>0</v>
      </c>
      <c r="AA32" s="110">
        <v>1365.3313443775601</v>
      </c>
      <c r="AB32" s="110">
        <v>2.3479619810919301</v>
      </c>
      <c r="AC32" s="110">
        <v>0</v>
      </c>
      <c r="AD32" s="110">
        <v>18.989096226433499</v>
      </c>
      <c r="AE32" s="110">
        <v>1.0965199162099899</v>
      </c>
      <c r="AF32" s="110">
        <v>27.329669506211001</v>
      </c>
      <c r="AG32" s="110">
        <v>8.9002949898136396</v>
      </c>
      <c r="AH32" s="110">
        <v>30.376179604110799</v>
      </c>
      <c r="AI32" s="110">
        <v>2.6620626617255101</v>
      </c>
      <c r="AJ32" s="110">
        <v>19.297483720172998</v>
      </c>
      <c r="AK32" s="110">
        <v>0</v>
      </c>
      <c r="AL32" s="110">
        <v>364.47511406713602</v>
      </c>
      <c r="AM32" s="110">
        <v>0</v>
      </c>
      <c r="AN32" s="110">
        <v>0</v>
      </c>
      <c r="AO32" s="110">
        <v>0</v>
      </c>
      <c r="AP32" s="110">
        <v>0.51000886903388798</v>
      </c>
      <c r="AQ32" s="111">
        <v>6.5756761319588204</v>
      </c>
    </row>
    <row r="33" spans="2:43" ht="12" customHeight="1" x14ac:dyDescent="0.25">
      <c r="B33" s="109" t="s">
        <v>33</v>
      </c>
      <c r="C33" s="110" t="s">
        <v>34</v>
      </c>
      <c r="D33" s="110" t="s">
        <v>25</v>
      </c>
      <c r="E33" s="110" t="s">
        <v>25</v>
      </c>
      <c r="F33" s="110" t="s">
        <v>25</v>
      </c>
      <c r="G33" s="110" t="s">
        <v>25</v>
      </c>
      <c r="H33" s="110" t="s">
        <v>93</v>
      </c>
      <c r="I33" s="110" t="s">
        <v>25</v>
      </c>
      <c r="J33" s="110">
        <v>24.67</v>
      </c>
      <c r="K33" s="110">
        <v>0</v>
      </c>
      <c r="L33" s="110">
        <v>0</v>
      </c>
      <c r="M33" s="110">
        <v>0</v>
      </c>
      <c r="N33" s="110">
        <v>0</v>
      </c>
      <c r="O33" s="110">
        <v>0</v>
      </c>
      <c r="P33" s="110">
        <v>0</v>
      </c>
      <c r="Q33" s="110">
        <v>0</v>
      </c>
      <c r="R33" s="110">
        <v>0</v>
      </c>
      <c r="S33" s="110">
        <v>0</v>
      </c>
      <c r="T33" s="110">
        <v>4.90779222562628</v>
      </c>
      <c r="U33" s="110">
        <v>1.26295667597939</v>
      </c>
      <c r="V33" s="110">
        <v>0.34986161714578301</v>
      </c>
      <c r="W33" s="110">
        <v>0</v>
      </c>
      <c r="X33" s="110">
        <v>0.12810747621222199</v>
      </c>
      <c r="Y33" s="110">
        <v>0</v>
      </c>
      <c r="Z33" s="110">
        <v>0</v>
      </c>
      <c r="AA33" s="110">
        <v>17.9875271458349</v>
      </c>
      <c r="AB33" s="110">
        <v>3.3153680479047397E-2</v>
      </c>
      <c r="AC33" s="110">
        <v>0</v>
      </c>
      <c r="AD33" s="110">
        <v>0</v>
      </c>
      <c r="AE33" s="110">
        <v>0</v>
      </c>
      <c r="AF33" s="110">
        <v>0</v>
      </c>
      <c r="AG33" s="110">
        <v>0</v>
      </c>
      <c r="AH33" s="110">
        <v>0</v>
      </c>
      <c r="AI33" s="110">
        <v>0</v>
      </c>
      <c r="AJ33" s="110">
        <v>0</v>
      </c>
      <c r="AK33" s="110">
        <v>0</v>
      </c>
      <c r="AL33" s="110">
        <v>0</v>
      </c>
      <c r="AM33" s="110">
        <v>0</v>
      </c>
      <c r="AN33" s="110">
        <v>0</v>
      </c>
      <c r="AO33" s="110">
        <v>0</v>
      </c>
      <c r="AP33" s="110">
        <v>0</v>
      </c>
      <c r="AQ33" s="111">
        <v>0</v>
      </c>
    </row>
    <row r="34" spans="2:43" ht="12" customHeight="1" x14ac:dyDescent="0.25">
      <c r="B34" s="109" t="s">
        <v>33</v>
      </c>
      <c r="C34" s="110" t="s">
        <v>34</v>
      </c>
      <c r="D34" s="110" t="s">
        <v>25</v>
      </c>
      <c r="E34" s="110" t="s">
        <v>25</v>
      </c>
      <c r="F34" s="110" t="s">
        <v>25</v>
      </c>
      <c r="G34" s="110" t="s">
        <v>36</v>
      </c>
      <c r="H34" s="110" t="s">
        <v>90</v>
      </c>
      <c r="I34" s="110" t="s">
        <v>25</v>
      </c>
      <c r="J34" s="110">
        <v>117.59</v>
      </c>
      <c r="K34" s="110">
        <v>271.14</v>
      </c>
      <c r="L34" s="110">
        <v>8.6770275911764099</v>
      </c>
      <c r="M34" s="110">
        <v>0.58041322814374696</v>
      </c>
      <c r="N34" s="110">
        <v>1.03313762448431</v>
      </c>
      <c r="O34" s="110">
        <v>-1.52855594983685E-3</v>
      </c>
      <c r="P34" s="110">
        <v>0</v>
      </c>
      <c r="Q34" s="110">
        <v>34.152786501995699</v>
      </c>
      <c r="R34" s="110">
        <v>16.6908214343655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10">
        <v>0</v>
      </c>
      <c r="Y34" s="110">
        <v>0</v>
      </c>
      <c r="Z34" s="110">
        <v>0</v>
      </c>
      <c r="AA34" s="110">
        <v>0</v>
      </c>
      <c r="AB34" s="110">
        <v>0.14290683035679799</v>
      </c>
      <c r="AC34" s="110">
        <v>0</v>
      </c>
      <c r="AD34" s="110">
        <v>18.989096226433499</v>
      </c>
      <c r="AE34" s="110">
        <v>1.0965199162099899</v>
      </c>
      <c r="AF34" s="110">
        <v>27.329669506211001</v>
      </c>
      <c r="AG34" s="110">
        <v>8.9002949898136396</v>
      </c>
      <c r="AH34" s="110">
        <v>30.376179604110799</v>
      </c>
      <c r="AI34" s="110">
        <v>2.6620626617255101</v>
      </c>
      <c r="AJ34" s="110">
        <v>19.297483720172998</v>
      </c>
      <c r="AK34" s="110">
        <v>0</v>
      </c>
      <c r="AL34" s="110">
        <v>211.904136085544</v>
      </c>
      <c r="AM34" s="110">
        <v>0</v>
      </c>
      <c r="AN34" s="110">
        <v>0</v>
      </c>
      <c r="AO34" s="110">
        <v>0</v>
      </c>
      <c r="AP34" s="110">
        <v>0.32357169385823997</v>
      </c>
      <c r="AQ34" s="111">
        <v>6.5756761319588204</v>
      </c>
    </row>
    <row r="35" spans="2:43" ht="12" customHeight="1" x14ac:dyDescent="0.25">
      <c r="B35" s="109" t="s">
        <v>98</v>
      </c>
      <c r="C35" s="110" t="s">
        <v>64</v>
      </c>
      <c r="D35" s="110" t="s">
        <v>25</v>
      </c>
      <c r="E35" s="110" t="s">
        <v>25</v>
      </c>
      <c r="F35" s="110" t="s">
        <v>99</v>
      </c>
      <c r="G35" s="110" t="s">
        <v>25</v>
      </c>
      <c r="H35" s="110" t="s">
        <v>93</v>
      </c>
      <c r="I35" s="110" t="s">
        <v>25</v>
      </c>
      <c r="J35" s="110">
        <v>8.5299999999999994</v>
      </c>
      <c r="K35" s="110">
        <v>0</v>
      </c>
      <c r="L35" s="110">
        <v>0</v>
      </c>
      <c r="M35" s="110">
        <v>2.7376652595303402E-2</v>
      </c>
      <c r="N35" s="110">
        <v>7.9760708205974404E-2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0</v>
      </c>
      <c r="Y35" s="110">
        <v>0</v>
      </c>
      <c r="Z35" s="110">
        <v>0</v>
      </c>
      <c r="AA35" s="110">
        <v>8.4133498559790691</v>
      </c>
      <c r="AB35" s="110">
        <v>1.06725440608413E-2</v>
      </c>
      <c r="AC35" s="110">
        <v>0</v>
      </c>
      <c r="AD35" s="110">
        <v>0</v>
      </c>
      <c r="AE35" s="110">
        <v>0</v>
      </c>
      <c r="AF35" s="110">
        <v>0</v>
      </c>
      <c r="AG35" s="110">
        <v>0</v>
      </c>
      <c r="AH35" s="110">
        <v>0</v>
      </c>
      <c r="AI35" s="110">
        <v>0</v>
      </c>
      <c r="AJ35" s="110">
        <v>0</v>
      </c>
      <c r="AK35" s="110">
        <v>0</v>
      </c>
      <c r="AL35" s="110">
        <v>0</v>
      </c>
      <c r="AM35" s="110">
        <v>0</v>
      </c>
      <c r="AN35" s="110">
        <v>0</v>
      </c>
      <c r="AO35" s="110">
        <v>0</v>
      </c>
      <c r="AP35" s="110">
        <v>0</v>
      </c>
      <c r="AQ35" s="111">
        <v>0</v>
      </c>
    </row>
    <row r="36" spans="2:43" ht="12" customHeight="1" x14ac:dyDescent="0.25">
      <c r="B36" s="109" t="s">
        <v>98</v>
      </c>
      <c r="C36" s="110" t="s">
        <v>64</v>
      </c>
      <c r="D36" s="110" t="s">
        <v>25</v>
      </c>
      <c r="E36" s="110" t="s">
        <v>25</v>
      </c>
      <c r="F36" s="110" t="s">
        <v>100</v>
      </c>
      <c r="G36" s="110" t="s">
        <v>25</v>
      </c>
      <c r="H36" s="110" t="s">
        <v>93</v>
      </c>
      <c r="I36" s="110" t="s">
        <v>25</v>
      </c>
      <c r="J36" s="110">
        <v>21.61</v>
      </c>
      <c r="K36" s="110">
        <v>0</v>
      </c>
      <c r="L36" s="110">
        <v>0</v>
      </c>
      <c r="M36" s="110">
        <v>2.7376652595303402E-2</v>
      </c>
      <c r="N36" s="110">
        <v>7.9760708205974404E-2</v>
      </c>
      <c r="O36" s="110">
        <v>0</v>
      </c>
      <c r="P36" s="110">
        <v>0</v>
      </c>
      <c r="Q36" s="110">
        <v>0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0</v>
      </c>
      <c r="Y36" s="110">
        <v>0</v>
      </c>
      <c r="Z36" s="110">
        <v>0</v>
      </c>
      <c r="AA36" s="110">
        <v>21.4806056059738</v>
      </c>
      <c r="AB36" s="110">
        <v>2.7039233978274999E-2</v>
      </c>
      <c r="AC36" s="110">
        <v>0</v>
      </c>
      <c r="AD36" s="110">
        <v>0</v>
      </c>
      <c r="AE36" s="110">
        <v>0</v>
      </c>
      <c r="AF36" s="110">
        <v>0</v>
      </c>
      <c r="AG36" s="110">
        <v>0</v>
      </c>
      <c r="AH36" s="110">
        <v>0</v>
      </c>
      <c r="AI36" s="110">
        <v>0</v>
      </c>
      <c r="AJ36" s="110">
        <v>0</v>
      </c>
      <c r="AK36" s="110">
        <v>0</v>
      </c>
      <c r="AL36" s="110">
        <v>0</v>
      </c>
      <c r="AM36" s="110">
        <v>0</v>
      </c>
      <c r="AN36" s="110">
        <v>0</v>
      </c>
      <c r="AO36" s="110">
        <v>0</v>
      </c>
      <c r="AP36" s="110">
        <v>0</v>
      </c>
      <c r="AQ36" s="111">
        <v>0</v>
      </c>
    </row>
    <row r="37" spans="2:43" ht="12" customHeight="1" x14ac:dyDescent="0.25">
      <c r="B37" s="109" t="s">
        <v>22</v>
      </c>
      <c r="C37" s="110" t="s">
        <v>37</v>
      </c>
      <c r="D37" s="110" t="s">
        <v>24</v>
      </c>
      <c r="E37" s="110" t="s">
        <v>24</v>
      </c>
      <c r="F37" s="110" t="s">
        <v>25</v>
      </c>
      <c r="G37" s="110" t="s">
        <v>35</v>
      </c>
      <c r="H37" s="110" t="s">
        <v>90</v>
      </c>
      <c r="I37" s="110" t="s">
        <v>25</v>
      </c>
      <c r="J37" s="110">
        <v>1178.19</v>
      </c>
      <c r="K37" s="110">
        <v>423.9</v>
      </c>
      <c r="L37" s="110">
        <v>10.329794751400501</v>
      </c>
      <c r="M37" s="110">
        <v>0.87002339922857297</v>
      </c>
      <c r="N37" s="110">
        <v>11.2838946746381</v>
      </c>
      <c r="O37" s="110">
        <v>-1.52855594983685E-3</v>
      </c>
      <c r="P37" s="110">
        <v>0</v>
      </c>
      <c r="Q37" s="110">
        <v>40.658079169042502</v>
      </c>
      <c r="R37" s="110">
        <v>16.6908214343655</v>
      </c>
      <c r="S37" s="110">
        <v>0</v>
      </c>
      <c r="T37" s="110">
        <v>115.265322332205</v>
      </c>
      <c r="U37" s="110">
        <v>29.605366299766001</v>
      </c>
      <c r="V37" s="110">
        <v>8.1229822481053997</v>
      </c>
      <c r="W37" s="110">
        <v>0</v>
      </c>
      <c r="X37" s="110">
        <v>4.65727194035638</v>
      </c>
      <c r="Y37" s="110">
        <v>0</v>
      </c>
      <c r="Z37" s="110">
        <v>0</v>
      </c>
      <c r="AA37" s="110">
        <v>852.302862218982</v>
      </c>
      <c r="AB37" s="110">
        <v>1.5226737421340999</v>
      </c>
      <c r="AC37" s="110">
        <v>0</v>
      </c>
      <c r="AD37" s="110">
        <v>38.734204851276502</v>
      </c>
      <c r="AE37" s="110">
        <v>2.23669555156915</v>
      </c>
      <c r="AF37" s="110">
        <v>34.631913335369397</v>
      </c>
      <c r="AG37" s="110">
        <v>11.2783743936749</v>
      </c>
      <c r="AH37" s="110">
        <v>30.376179604110799</v>
      </c>
      <c r="AI37" s="110">
        <v>2.6620626617255101</v>
      </c>
      <c r="AJ37" s="110">
        <v>19.297483720172998</v>
      </c>
      <c r="AK37" s="110">
        <v>0</v>
      </c>
      <c r="AL37" s="110">
        <v>364.47511406713602</v>
      </c>
      <c r="AM37" s="110">
        <v>0</v>
      </c>
      <c r="AN37" s="110">
        <v>0</v>
      </c>
      <c r="AO37" s="110">
        <v>0</v>
      </c>
      <c r="AP37" s="110">
        <v>0.51000886903388798</v>
      </c>
      <c r="AQ37" s="111">
        <v>6.5756761319588204</v>
      </c>
    </row>
    <row r="38" spans="2:43" ht="12" customHeight="1" x14ac:dyDescent="0.25">
      <c r="B38" s="109" t="s">
        <v>22</v>
      </c>
      <c r="C38" s="110" t="s">
        <v>37</v>
      </c>
      <c r="D38" s="110" t="s">
        <v>24</v>
      </c>
      <c r="E38" s="110" t="s">
        <v>24</v>
      </c>
      <c r="F38" s="110" t="s">
        <v>25</v>
      </c>
      <c r="G38" s="110" t="s">
        <v>38</v>
      </c>
      <c r="H38" s="110" t="s">
        <v>90</v>
      </c>
      <c r="I38" s="110" t="s">
        <v>25</v>
      </c>
      <c r="J38" s="110">
        <v>769.81</v>
      </c>
      <c r="K38" s="110">
        <v>271.14</v>
      </c>
      <c r="L38" s="110">
        <v>10.329794751400501</v>
      </c>
      <c r="M38" s="110">
        <v>0.87002339922857297</v>
      </c>
      <c r="N38" s="110">
        <v>7.4190401390585903</v>
      </c>
      <c r="O38" s="110">
        <v>-1.52855594983685E-3</v>
      </c>
      <c r="P38" s="110">
        <v>0</v>
      </c>
      <c r="Q38" s="110">
        <v>40.658079169042502</v>
      </c>
      <c r="R38" s="110">
        <v>16.6908214343655</v>
      </c>
      <c r="S38" s="110">
        <v>0</v>
      </c>
      <c r="T38" s="110">
        <v>69.159215076372007</v>
      </c>
      <c r="U38" s="110">
        <v>17.763242358865199</v>
      </c>
      <c r="V38" s="110">
        <v>4.8738722872157796</v>
      </c>
      <c r="W38" s="110">
        <v>0</v>
      </c>
      <c r="X38" s="110">
        <v>2.7944385215527698</v>
      </c>
      <c r="Y38" s="110">
        <v>0</v>
      </c>
      <c r="Z38" s="110">
        <v>0</v>
      </c>
      <c r="AA38" s="110">
        <v>511.38169297240398</v>
      </c>
      <c r="AB38" s="110">
        <v>0.99020241237811801</v>
      </c>
      <c r="AC38" s="110">
        <v>0</v>
      </c>
      <c r="AD38" s="110">
        <v>38.734204851276502</v>
      </c>
      <c r="AE38" s="110">
        <v>2.23669555156915</v>
      </c>
      <c r="AF38" s="110">
        <v>34.631913335369397</v>
      </c>
      <c r="AG38" s="110">
        <v>11.2783743936749</v>
      </c>
      <c r="AH38" s="110">
        <v>30.376179604110799</v>
      </c>
      <c r="AI38" s="110">
        <v>2.6620626617255101</v>
      </c>
      <c r="AJ38" s="110">
        <v>19.297483720172998</v>
      </c>
      <c r="AK38" s="110">
        <v>0</v>
      </c>
      <c r="AL38" s="110">
        <v>211.904136085544</v>
      </c>
      <c r="AM38" s="110">
        <v>0</v>
      </c>
      <c r="AN38" s="110">
        <v>0</v>
      </c>
      <c r="AO38" s="110">
        <v>0</v>
      </c>
      <c r="AP38" s="110">
        <v>0.32357169385823997</v>
      </c>
      <c r="AQ38" s="111">
        <v>6.5756761319588204</v>
      </c>
    </row>
    <row r="39" spans="2:43" ht="12" customHeight="1" x14ac:dyDescent="0.25">
      <c r="B39" s="109" t="s">
        <v>22</v>
      </c>
      <c r="C39" s="110" t="s">
        <v>37</v>
      </c>
      <c r="D39" s="110" t="s">
        <v>24</v>
      </c>
      <c r="E39" s="110" t="s">
        <v>24</v>
      </c>
      <c r="F39" s="110" t="s">
        <v>25</v>
      </c>
      <c r="G39" s="110" t="s">
        <v>36</v>
      </c>
      <c r="H39" s="110" t="s">
        <v>90</v>
      </c>
      <c r="I39" s="110" t="s">
        <v>25</v>
      </c>
      <c r="J39" s="110">
        <v>361.43</v>
      </c>
      <c r="K39" s="110">
        <v>271.14</v>
      </c>
      <c r="L39" s="110">
        <v>10.329794751400501</v>
      </c>
      <c r="M39" s="110">
        <v>0.87002339922857297</v>
      </c>
      <c r="N39" s="110">
        <v>3.5541833048996399</v>
      </c>
      <c r="O39" s="110">
        <v>-1.52855594983685E-3</v>
      </c>
      <c r="P39" s="110">
        <v>0</v>
      </c>
      <c r="Q39" s="110">
        <v>40.658079169042502</v>
      </c>
      <c r="R39" s="110">
        <v>16.6908214343655</v>
      </c>
      <c r="S39" s="110">
        <v>0</v>
      </c>
      <c r="T39" s="110">
        <v>23.0531078205386</v>
      </c>
      <c r="U39" s="110">
        <v>5.9211184179643199</v>
      </c>
      <c r="V39" s="110">
        <v>1.62462409573859</v>
      </c>
      <c r="W39" s="110">
        <v>0</v>
      </c>
      <c r="X39" s="110">
        <v>0.93141670940180099</v>
      </c>
      <c r="Y39" s="110">
        <v>0</v>
      </c>
      <c r="Z39" s="110">
        <v>0</v>
      </c>
      <c r="AA39" s="110">
        <v>170.46052372582599</v>
      </c>
      <c r="AB39" s="110">
        <v>0.457730644430905</v>
      </c>
      <c r="AC39" s="110">
        <v>0</v>
      </c>
      <c r="AD39" s="110">
        <v>38.734204851276502</v>
      </c>
      <c r="AE39" s="110">
        <v>2.23669555156915</v>
      </c>
      <c r="AF39" s="110">
        <v>34.631913335369397</v>
      </c>
      <c r="AG39" s="110">
        <v>11.2783743936749</v>
      </c>
      <c r="AH39" s="110">
        <v>30.376179604110799</v>
      </c>
      <c r="AI39" s="110">
        <v>2.6620626617255101</v>
      </c>
      <c r="AJ39" s="110">
        <v>19.297483720172998</v>
      </c>
      <c r="AK39" s="110">
        <v>0</v>
      </c>
      <c r="AL39" s="110">
        <v>211.904136085544</v>
      </c>
      <c r="AM39" s="110">
        <v>0</v>
      </c>
      <c r="AN39" s="110">
        <v>0</v>
      </c>
      <c r="AO39" s="110">
        <v>0</v>
      </c>
      <c r="AP39" s="110">
        <v>0.32357169385823997</v>
      </c>
      <c r="AQ39" s="111">
        <v>6.5756761319588204</v>
      </c>
    </row>
    <row r="40" spans="2:43" ht="12" customHeight="1" x14ac:dyDescent="0.25">
      <c r="B40" s="109" t="s">
        <v>22</v>
      </c>
      <c r="C40" s="110" t="s">
        <v>23</v>
      </c>
      <c r="D40" s="110" t="s">
        <v>24</v>
      </c>
      <c r="E40" s="110" t="s">
        <v>1473</v>
      </c>
      <c r="F40" s="110" t="s">
        <v>25</v>
      </c>
      <c r="G40" s="110" t="s">
        <v>25</v>
      </c>
      <c r="H40" s="110" t="s">
        <v>90</v>
      </c>
      <c r="I40" s="110" t="s">
        <v>25</v>
      </c>
      <c r="J40" s="110">
        <v>398.85</v>
      </c>
      <c r="K40" s="110">
        <v>283.87</v>
      </c>
      <c r="L40" s="110">
        <v>0</v>
      </c>
      <c r="M40" s="110">
        <v>0.87002339922857297</v>
      </c>
      <c r="N40" s="110">
        <v>4.5381821975767398</v>
      </c>
      <c r="O40" s="110">
        <v>-1.52855594983685E-3</v>
      </c>
      <c r="P40" s="110">
        <v>0</v>
      </c>
      <c r="Q40" s="110">
        <v>0</v>
      </c>
      <c r="R40" s="110">
        <v>0</v>
      </c>
      <c r="S40" s="110">
        <v>0</v>
      </c>
      <c r="T40" s="110">
        <v>34.9288789864111</v>
      </c>
      <c r="U40" s="110">
        <v>8.9713162790183194</v>
      </c>
      <c r="V40" s="110">
        <v>2.4614720729020001</v>
      </c>
      <c r="W40" s="110">
        <v>0</v>
      </c>
      <c r="X40" s="110">
        <v>1.4112545651555199</v>
      </c>
      <c r="Y40" s="110">
        <v>0</v>
      </c>
      <c r="Z40" s="110">
        <v>0</v>
      </c>
      <c r="AA40" s="110">
        <v>258.27356877652602</v>
      </c>
      <c r="AB40" s="110">
        <v>0.51072080767967898</v>
      </c>
      <c r="AC40" s="110">
        <v>0</v>
      </c>
      <c r="AD40" s="110">
        <v>38.734204851276502</v>
      </c>
      <c r="AE40" s="110">
        <v>2.23669555156915</v>
      </c>
      <c r="AF40" s="110">
        <v>34.631913335369397</v>
      </c>
      <c r="AG40" s="110">
        <v>11.2783743936749</v>
      </c>
      <c r="AH40" s="110">
        <v>30.376179604110799</v>
      </c>
      <c r="AI40" s="110">
        <v>2.6620626617255101</v>
      </c>
      <c r="AJ40" s="110">
        <v>19.297483720172998</v>
      </c>
      <c r="AK40" s="110">
        <v>0</v>
      </c>
      <c r="AL40" s="110">
        <v>224.618384250677</v>
      </c>
      <c r="AM40" s="110">
        <v>0</v>
      </c>
      <c r="AN40" s="110">
        <v>0</v>
      </c>
      <c r="AO40" s="110">
        <v>0</v>
      </c>
      <c r="AP40" s="110">
        <v>0.33910812512287702</v>
      </c>
      <c r="AQ40" s="111">
        <v>6.5756761319588204</v>
      </c>
    </row>
    <row r="41" spans="2:43" ht="12" customHeight="1" x14ac:dyDescent="0.25">
      <c r="B41" s="109" t="s">
        <v>22</v>
      </c>
      <c r="C41" s="110" t="s">
        <v>23</v>
      </c>
      <c r="D41" s="110" t="s">
        <v>24</v>
      </c>
      <c r="E41" s="110" t="s">
        <v>24</v>
      </c>
      <c r="F41" s="110" t="s">
        <v>25</v>
      </c>
      <c r="G41" s="110" t="s">
        <v>25</v>
      </c>
      <c r="H41" s="110" t="s">
        <v>90</v>
      </c>
      <c r="I41" s="110" t="s">
        <v>25</v>
      </c>
      <c r="J41" s="110">
        <v>466.62</v>
      </c>
      <c r="K41" s="110">
        <v>283.87</v>
      </c>
      <c r="L41" s="110">
        <v>10.329794751400501</v>
      </c>
      <c r="M41" s="110">
        <v>0.87002339922857297</v>
      </c>
      <c r="N41" s="110">
        <v>4.54967509501276</v>
      </c>
      <c r="O41" s="110">
        <v>-1.52855594983685E-3</v>
      </c>
      <c r="P41" s="110">
        <v>0</v>
      </c>
      <c r="Q41" s="110">
        <v>40.658079169042502</v>
      </c>
      <c r="R41" s="110">
        <v>16.6908214343655</v>
      </c>
      <c r="S41" s="110">
        <v>0</v>
      </c>
      <c r="T41" s="110">
        <v>34.9288789864111</v>
      </c>
      <c r="U41" s="110">
        <v>8.9713162790183194</v>
      </c>
      <c r="V41" s="110">
        <v>2.4614720729020001</v>
      </c>
      <c r="W41" s="110">
        <v>0</v>
      </c>
      <c r="X41" s="110">
        <v>1.4112545651555199</v>
      </c>
      <c r="Y41" s="110">
        <v>0</v>
      </c>
      <c r="Z41" s="110">
        <v>0</v>
      </c>
      <c r="AA41" s="110">
        <v>258.27356877652602</v>
      </c>
      <c r="AB41" s="110">
        <v>0.594882200737614</v>
      </c>
      <c r="AC41" s="110">
        <v>0</v>
      </c>
      <c r="AD41" s="110">
        <v>38.734204851276502</v>
      </c>
      <c r="AE41" s="110">
        <v>2.23669555156915</v>
      </c>
      <c r="AF41" s="110">
        <v>34.631913335369397</v>
      </c>
      <c r="AG41" s="110">
        <v>11.2783743936749</v>
      </c>
      <c r="AH41" s="110">
        <v>30.376179604110799</v>
      </c>
      <c r="AI41" s="110">
        <v>2.6620626617255101</v>
      </c>
      <c r="AJ41" s="110">
        <v>19.297483720172998</v>
      </c>
      <c r="AK41" s="110">
        <v>0</v>
      </c>
      <c r="AL41" s="110">
        <v>224.618384250677</v>
      </c>
      <c r="AM41" s="110">
        <v>0</v>
      </c>
      <c r="AN41" s="110">
        <v>0</v>
      </c>
      <c r="AO41" s="110">
        <v>0</v>
      </c>
      <c r="AP41" s="110">
        <v>0.33910812512287702</v>
      </c>
      <c r="AQ41" s="111">
        <v>6.5756761319588204</v>
      </c>
    </row>
    <row r="42" spans="2:43" ht="12" customHeight="1" x14ac:dyDescent="0.25">
      <c r="B42" s="109" t="s">
        <v>22</v>
      </c>
      <c r="C42" s="110" t="s">
        <v>103</v>
      </c>
      <c r="D42" s="110" t="s">
        <v>24</v>
      </c>
      <c r="E42" s="110" t="s">
        <v>1473</v>
      </c>
      <c r="F42" s="110" t="s">
        <v>25</v>
      </c>
      <c r="G42" s="110" t="s">
        <v>25</v>
      </c>
      <c r="H42" s="110" t="s">
        <v>90</v>
      </c>
      <c r="I42" s="110" t="s">
        <v>25</v>
      </c>
      <c r="J42" s="110">
        <v>398.85</v>
      </c>
      <c r="K42" s="110">
        <v>283.87</v>
      </c>
      <c r="L42" s="110">
        <v>0</v>
      </c>
      <c r="M42" s="110">
        <v>0.87002339922857297</v>
      </c>
      <c r="N42" s="110">
        <v>4.5381821975767398</v>
      </c>
      <c r="O42" s="110">
        <v>-1.52855594983685E-3</v>
      </c>
      <c r="P42" s="110">
        <v>0</v>
      </c>
      <c r="Q42" s="110">
        <v>0</v>
      </c>
      <c r="R42" s="110">
        <v>0</v>
      </c>
      <c r="S42" s="110">
        <v>0</v>
      </c>
      <c r="T42" s="110">
        <v>34.9288789864111</v>
      </c>
      <c r="U42" s="110">
        <v>8.9713162790183194</v>
      </c>
      <c r="V42" s="110">
        <v>2.4614720729020001</v>
      </c>
      <c r="W42" s="110">
        <v>0</v>
      </c>
      <c r="X42" s="110">
        <v>1.4112545651555199</v>
      </c>
      <c r="Y42" s="110">
        <v>0</v>
      </c>
      <c r="Z42" s="110">
        <v>0</v>
      </c>
      <c r="AA42" s="110">
        <v>258.27356877652602</v>
      </c>
      <c r="AB42" s="110">
        <v>0.51072080767967898</v>
      </c>
      <c r="AC42" s="110">
        <v>0</v>
      </c>
      <c r="AD42" s="110">
        <v>38.734204851276502</v>
      </c>
      <c r="AE42" s="110">
        <v>2.23669555156915</v>
      </c>
      <c r="AF42" s="110">
        <v>34.631913335369397</v>
      </c>
      <c r="AG42" s="110">
        <v>11.2783743936749</v>
      </c>
      <c r="AH42" s="110">
        <v>30.376179604110799</v>
      </c>
      <c r="AI42" s="110">
        <v>2.6620626617255101</v>
      </c>
      <c r="AJ42" s="110">
        <v>19.297483720172998</v>
      </c>
      <c r="AK42" s="110">
        <v>0</v>
      </c>
      <c r="AL42" s="110">
        <v>224.618384250677</v>
      </c>
      <c r="AM42" s="110">
        <v>0</v>
      </c>
      <c r="AN42" s="110">
        <v>0</v>
      </c>
      <c r="AO42" s="110">
        <v>0</v>
      </c>
      <c r="AP42" s="110">
        <v>0.33910812512287702</v>
      </c>
      <c r="AQ42" s="111">
        <v>6.5756761319588204</v>
      </c>
    </row>
    <row r="43" spans="2:43" ht="12" customHeight="1" x14ac:dyDescent="0.25">
      <c r="B43" s="109" t="s">
        <v>22</v>
      </c>
      <c r="C43" s="110" t="s">
        <v>103</v>
      </c>
      <c r="D43" s="110" t="s">
        <v>24</v>
      </c>
      <c r="E43" s="110" t="s">
        <v>24</v>
      </c>
      <c r="F43" s="110" t="s">
        <v>25</v>
      </c>
      <c r="G43" s="110" t="s">
        <v>25</v>
      </c>
      <c r="H43" s="110" t="s">
        <v>90</v>
      </c>
      <c r="I43" s="110" t="s">
        <v>25</v>
      </c>
      <c r="J43" s="110">
        <v>466.62</v>
      </c>
      <c r="K43" s="110">
        <v>283.87</v>
      </c>
      <c r="L43" s="110">
        <v>10.329794751400501</v>
      </c>
      <c r="M43" s="110">
        <v>0.87002339922857297</v>
      </c>
      <c r="N43" s="110">
        <v>4.54967509501276</v>
      </c>
      <c r="O43" s="110">
        <v>-1.52855594983685E-3</v>
      </c>
      <c r="P43" s="110">
        <v>0</v>
      </c>
      <c r="Q43" s="110">
        <v>40.658079169042502</v>
      </c>
      <c r="R43" s="110">
        <v>16.6908214343655</v>
      </c>
      <c r="S43" s="110">
        <v>0</v>
      </c>
      <c r="T43" s="110">
        <v>34.9288789864111</v>
      </c>
      <c r="U43" s="110">
        <v>8.9713162790183194</v>
      </c>
      <c r="V43" s="110">
        <v>2.4614720729020001</v>
      </c>
      <c r="W43" s="110">
        <v>0</v>
      </c>
      <c r="X43" s="110">
        <v>1.4112545651555199</v>
      </c>
      <c r="Y43" s="110">
        <v>0</v>
      </c>
      <c r="Z43" s="110">
        <v>0</v>
      </c>
      <c r="AA43" s="110">
        <v>258.27356877652602</v>
      </c>
      <c r="AB43" s="110">
        <v>0.594882200737614</v>
      </c>
      <c r="AC43" s="110">
        <v>0</v>
      </c>
      <c r="AD43" s="110">
        <v>38.734204851276502</v>
      </c>
      <c r="AE43" s="110">
        <v>2.23669555156915</v>
      </c>
      <c r="AF43" s="110">
        <v>34.631913335369397</v>
      </c>
      <c r="AG43" s="110">
        <v>11.2783743936749</v>
      </c>
      <c r="AH43" s="110">
        <v>30.376179604110799</v>
      </c>
      <c r="AI43" s="110">
        <v>2.6620626617255101</v>
      </c>
      <c r="AJ43" s="110">
        <v>19.297483720172998</v>
      </c>
      <c r="AK43" s="110">
        <v>0</v>
      </c>
      <c r="AL43" s="110">
        <v>224.618384250677</v>
      </c>
      <c r="AM43" s="110">
        <v>0</v>
      </c>
      <c r="AN43" s="110">
        <v>0</v>
      </c>
      <c r="AO43" s="110">
        <v>0</v>
      </c>
      <c r="AP43" s="110">
        <v>0.33910812512287702</v>
      </c>
      <c r="AQ43" s="111">
        <v>6.5756761319588204</v>
      </c>
    </row>
    <row r="44" spans="2:43" ht="12" customHeight="1" x14ac:dyDescent="0.25">
      <c r="B44" s="109" t="s">
        <v>44</v>
      </c>
      <c r="C44" s="110" t="s">
        <v>37</v>
      </c>
      <c r="D44" s="110" t="s">
        <v>45</v>
      </c>
      <c r="E44" s="110" t="s">
        <v>104</v>
      </c>
      <c r="F44" s="110" t="s">
        <v>25</v>
      </c>
      <c r="G44" s="110" t="s">
        <v>35</v>
      </c>
      <c r="H44" s="110" t="s">
        <v>90</v>
      </c>
      <c r="I44" s="110" t="s">
        <v>25</v>
      </c>
      <c r="J44" s="110">
        <v>1107.5</v>
      </c>
      <c r="K44" s="110">
        <v>398.46</v>
      </c>
      <c r="L44" s="110">
        <v>9.7100070663164608</v>
      </c>
      <c r="M44" s="110">
        <v>0.81782199527485799</v>
      </c>
      <c r="N44" s="110">
        <v>10.606860994159801</v>
      </c>
      <c r="O44" s="110">
        <v>-1.4368425928466401E-3</v>
      </c>
      <c r="P44" s="110">
        <v>0</v>
      </c>
      <c r="Q44" s="110">
        <v>38.218594418899897</v>
      </c>
      <c r="R44" s="110">
        <v>15.689372148303599</v>
      </c>
      <c r="S44" s="110">
        <v>0</v>
      </c>
      <c r="T44" s="110">
        <v>108.349402992273</v>
      </c>
      <c r="U44" s="110">
        <v>27.829044321780099</v>
      </c>
      <c r="V44" s="110">
        <v>7.6356033132190797</v>
      </c>
      <c r="W44" s="110">
        <v>0</v>
      </c>
      <c r="X44" s="110">
        <v>4.37783562393499</v>
      </c>
      <c r="Y44" s="110">
        <v>0</v>
      </c>
      <c r="Z44" s="110">
        <v>0</v>
      </c>
      <c r="AA44" s="110">
        <v>801.16469048584304</v>
      </c>
      <c r="AB44" s="110">
        <v>1.43131331760605</v>
      </c>
      <c r="AC44" s="110">
        <v>0</v>
      </c>
      <c r="AD44" s="110">
        <v>36.410152560199897</v>
      </c>
      <c r="AE44" s="110">
        <v>2.1024938184750002</v>
      </c>
      <c r="AF44" s="110">
        <v>32.553998535247203</v>
      </c>
      <c r="AG44" s="110">
        <v>10.601671930054399</v>
      </c>
      <c r="AH44" s="110">
        <v>28.5536088278641</v>
      </c>
      <c r="AI44" s="110">
        <v>2.5023389020219802</v>
      </c>
      <c r="AJ44" s="110">
        <v>18.139634696962599</v>
      </c>
      <c r="AK44" s="110">
        <v>0</v>
      </c>
      <c r="AL44" s="110">
        <v>342.60660722310803</v>
      </c>
      <c r="AM44" s="110">
        <v>0</v>
      </c>
      <c r="AN44" s="110">
        <v>0</v>
      </c>
      <c r="AO44" s="110">
        <v>0</v>
      </c>
      <c r="AP44" s="110">
        <v>0.47940833689185502</v>
      </c>
      <c r="AQ44" s="111">
        <v>6.1811355640412904</v>
      </c>
    </row>
    <row r="45" spans="2:43" ht="12" customHeight="1" x14ac:dyDescent="0.25">
      <c r="B45" s="109" t="s">
        <v>44</v>
      </c>
      <c r="C45" s="110" t="s">
        <v>37</v>
      </c>
      <c r="D45" s="110" t="s">
        <v>45</v>
      </c>
      <c r="E45" s="110" t="s">
        <v>104</v>
      </c>
      <c r="F45" s="110" t="s">
        <v>25</v>
      </c>
      <c r="G45" s="110" t="s">
        <v>38</v>
      </c>
      <c r="H45" s="110" t="s">
        <v>90</v>
      </c>
      <c r="I45" s="110" t="s">
        <v>25</v>
      </c>
      <c r="J45" s="110">
        <v>723.62</v>
      </c>
      <c r="K45" s="110">
        <v>254.87</v>
      </c>
      <c r="L45" s="110">
        <v>9.7100070663164608</v>
      </c>
      <c r="M45" s="110">
        <v>0.81782199527485799</v>
      </c>
      <c r="N45" s="110">
        <v>6.9738977307150698</v>
      </c>
      <c r="O45" s="110">
        <v>-1.4368425928466401E-3</v>
      </c>
      <c r="P45" s="110">
        <v>0</v>
      </c>
      <c r="Q45" s="110">
        <v>38.218594418899897</v>
      </c>
      <c r="R45" s="110">
        <v>15.689372148303599</v>
      </c>
      <c r="S45" s="110">
        <v>0</v>
      </c>
      <c r="T45" s="110">
        <v>65.009662171789699</v>
      </c>
      <c r="U45" s="110">
        <v>16.697447817333298</v>
      </c>
      <c r="V45" s="110">
        <v>4.5814399499828404</v>
      </c>
      <c r="W45" s="110">
        <v>0</v>
      </c>
      <c r="X45" s="110">
        <v>2.6267722102596101</v>
      </c>
      <c r="Y45" s="110">
        <v>0</v>
      </c>
      <c r="Z45" s="110">
        <v>0</v>
      </c>
      <c r="AA45" s="110">
        <v>480.69879139405998</v>
      </c>
      <c r="AB45" s="110">
        <v>0.93079026763543105</v>
      </c>
      <c r="AC45" s="110">
        <v>0</v>
      </c>
      <c r="AD45" s="110">
        <v>36.410152560199897</v>
      </c>
      <c r="AE45" s="110">
        <v>2.1024938184750002</v>
      </c>
      <c r="AF45" s="110">
        <v>32.553998535247203</v>
      </c>
      <c r="AG45" s="110">
        <v>10.601671930054399</v>
      </c>
      <c r="AH45" s="110">
        <v>28.5536088278641</v>
      </c>
      <c r="AI45" s="110">
        <v>2.5023389020219802</v>
      </c>
      <c r="AJ45" s="110">
        <v>18.139634696962599</v>
      </c>
      <c r="AK45" s="110">
        <v>0</v>
      </c>
      <c r="AL45" s="110">
        <v>199.18988792041199</v>
      </c>
      <c r="AM45" s="110">
        <v>0</v>
      </c>
      <c r="AN45" s="110">
        <v>0</v>
      </c>
      <c r="AO45" s="110">
        <v>0</v>
      </c>
      <c r="AP45" s="110">
        <v>0.30415739222674498</v>
      </c>
      <c r="AQ45" s="111">
        <v>6.1811355640412904</v>
      </c>
    </row>
    <row r="46" spans="2:43" ht="12" customHeight="1" x14ac:dyDescent="0.25">
      <c r="B46" s="109" t="s">
        <v>44</v>
      </c>
      <c r="C46" s="110" t="s">
        <v>37</v>
      </c>
      <c r="D46" s="110" t="s">
        <v>45</v>
      </c>
      <c r="E46" s="110" t="s">
        <v>104</v>
      </c>
      <c r="F46" s="110" t="s">
        <v>25</v>
      </c>
      <c r="G46" s="110" t="s">
        <v>36</v>
      </c>
      <c r="H46" s="110" t="s">
        <v>90</v>
      </c>
      <c r="I46" s="110" t="s">
        <v>25</v>
      </c>
      <c r="J46" s="110">
        <v>339.75</v>
      </c>
      <c r="K46" s="110">
        <v>254.87</v>
      </c>
      <c r="L46" s="110">
        <v>9.7100070663164608</v>
      </c>
      <c r="M46" s="110">
        <v>0.81782199527485799</v>
      </c>
      <c r="N46" s="110">
        <v>3.34093230660566</v>
      </c>
      <c r="O46" s="110">
        <v>-1.4368425928466401E-3</v>
      </c>
      <c r="P46" s="110">
        <v>0</v>
      </c>
      <c r="Q46" s="110">
        <v>38.218594418899897</v>
      </c>
      <c r="R46" s="110">
        <v>15.689372148303599</v>
      </c>
      <c r="S46" s="110">
        <v>0</v>
      </c>
      <c r="T46" s="110">
        <v>21.6699213513063</v>
      </c>
      <c r="U46" s="110">
        <v>5.5658513128864602</v>
      </c>
      <c r="V46" s="110">
        <v>1.5271466499942801</v>
      </c>
      <c r="W46" s="110">
        <v>0</v>
      </c>
      <c r="X46" s="110">
        <v>0.87553170683769299</v>
      </c>
      <c r="Y46" s="110">
        <v>0</v>
      </c>
      <c r="Z46" s="110">
        <v>0</v>
      </c>
      <c r="AA46" s="110">
        <v>160.23289230227701</v>
      </c>
      <c r="AB46" s="110">
        <v>0.430266805765051</v>
      </c>
      <c r="AC46" s="110">
        <v>0</v>
      </c>
      <c r="AD46" s="110">
        <v>36.410152560199897</v>
      </c>
      <c r="AE46" s="110">
        <v>2.1024938184750002</v>
      </c>
      <c r="AF46" s="110">
        <v>32.553998535247203</v>
      </c>
      <c r="AG46" s="110">
        <v>10.601671930054399</v>
      </c>
      <c r="AH46" s="110">
        <v>28.5536088278641</v>
      </c>
      <c r="AI46" s="110">
        <v>2.5023389020219802</v>
      </c>
      <c r="AJ46" s="110">
        <v>18.139634696962599</v>
      </c>
      <c r="AK46" s="110">
        <v>0</v>
      </c>
      <c r="AL46" s="110">
        <v>199.18988792041199</v>
      </c>
      <c r="AM46" s="110">
        <v>0</v>
      </c>
      <c r="AN46" s="110">
        <v>0</v>
      </c>
      <c r="AO46" s="110">
        <v>0</v>
      </c>
      <c r="AP46" s="110">
        <v>0.30415739222674498</v>
      </c>
      <c r="AQ46" s="111">
        <v>6.1811355640412904</v>
      </c>
    </row>
    <row r="47" spans="2:43" ht="12" customHeight="1" x14ac:dyDescent="0.25">
      <c r="B47" s="109" t="s">
        <v>44</v>
      </c>
      <c r="C47" s="110" t="s">
        <v>37</v>
      </c>
      <c r="D47" s="110" t="s">
        <v>45</v>
      </c>
      <c r="E47" s="110" t="s">
        <v>25</v>
      </c>
      <c r="F47" s="110" t="s">
        <v>25</v>
      </c>
      <c r="G47" s="110" t="s">
        <v>35</v>
      </c>
      <c r="H47" s="110" t="s">
        <v>90</v>
      </c>
      <c r="I47" s="110" t="s">
        <v>25</v>
      </c>
      <c r="J47" s="110">
        <v>1107.5</v>
      </c>
      <c r="K47" s="110">
        <v>398.46</v>
      </c>
      <c r="L47" s="110">
        <v>9.7100070663164608</v>
      </c>
      <c r="M47" s="110">
        <v>0.81782199527485799</v>
      </c>
      <c r="N47" s="110">
        <v>10.606860994159801</v>
      </c>
      <c r="O47" s="110">
        <v>-1.4368425928466401E-3</v>
      </c>
      <c r="P47" s="110">
        <v>0</v>
      </c>
      <c r="Q47" s="110">
        <v>38.218594418899897</v>
      </c>
      <c r="R47" s="110">
        <v>15.689372148303599</v>
      </c>
      <c r="S47" s="110">
        <v>0</v>
      </c>
      <c r="T47" s="110">
        <v>108.349402992273</v>
      </c>
      <c r="U47" s="110">
        <v>27.829044321780099</v>
      </c>
      <c r="V47" s="110">
        <v>7.6356033132190797</v>
      </c>
      <c r="W47" s="110">
        <v>0</v>
      </c>
      <c r="X47" s="110">
        <v>4.37783562393499</v>
      </c>
      <c r="Y47" s="110">
        <v>0</v>
      </c>
      <c r="Z47" s="110">
        <v>0</v>
      </c>
      <c r="AA47" s="110">
        <v>801.16469048584304</v>
      </c>
      <c r="AB47" s="110">
        <v>1.43131331760605</v>
      </c>
      <c r="AC47" s="110">
        <v>0</v>
      </c>
      <c r="AD47" s="110">
        <v>36.410152560199897</v>
      </c>
      <c r="AE47" s="110">
        <v>2.1024938184750002</v>
      </c>
      <c r="AF47" s="110">
        <v>32.553998535247203</v>
      </c>
      <c r="AG47" s="110">
        <v>10.601671930054399</v>
      </c>
      <c r="AH47" s="110">
        <v>28.5536088278641</v>
      </c>
      <c r="AI47" s="110">
        <v>2.5023389020219802</v>
      </c>
      <c r="AJ47" s="110">
        <v>18.139634696962599</v>
      </c>
      <c r="AK47" s="110">
        <v>0</v>
      </c>
      <c r="AL47" s="110">
        <v>342.60660722310803</v>
      </c>
      <c r="AM47" s="110">
        <v>0</v>
      </c>
      <c r="AN47" s="110">
        <v>0</v>
      </c>
      <c r="AO47" s="110">
        <v>0</v>
      </c>
      <c r="AP47" s="110">
        <v>0.47940833689185502</v>
      </c>
      <c r="AQ47" s="111">
        <v>6.1811355640412904</v>
      </c>
    </row>
    <row r="48" spans="2:43" ht="12" customHeight="1" x14ac:dyDescent="0.25">
      <c r="B48" s="109" t="s">
        <v>44</v>
      </c>
      <c r="C48" s="110" t="s">
        <v>37</v>
      </c>
      <c r="D48" s="110" t="s">
        <v>45</v>
      </c>
      <c r="E48" s="110" t="s">
        <v>25</v>
      </c>
      <c r="F48" s="110" t="s">
        <v>25</v>
      </c>
      <c r="G48" s="110" t="s">
        <v>38</v>
      </c>
      <c r="H48" s="110" t="s">
        <v>90</v>
      </c>
      <c r="I48" s="110" t="s">
        <v>25</v>
      </c>
      <c r="J48" s="110">
        <v>723.62</v>
      </c>
      <c r="K48" s="110">
        <v>254.87</v>
      </c>
      <c r="L48" s="110">
        <v>9.7100070663164608</v>
      </c>
      <c r="M48" s="110">
        <v>0.81782199527485799</v>
      </c>
      <c r="N48" s="110">
        <v>6.9738977307150698</v>
      </c>
      <c r="O48" s="110">
        <v>-1.4368425928466401E-3</v>
      </c>
      <c r="P48" s="110">
        <v>0</v>
      </c>
      <c r="Q48" s="110">
        <v>38.218594418899897</v>
      </c>
      <c r="R48" s="110">
        <v>15.689372148303599</v>
      </c>
      <c r="S48" s="110">
        <v>0</v>
      </c>
      <c r="T48" s="110">
        <v>65.009662171789699</v>
      </c>
      <c r="U48" s="110">
        <v>16.697447817333298</v>
      </c>
      <c r="V48" s="110">
        <v>4.5814399499828404</v>
      </c>
      <c r="W48" s="110">
        <v>0</v>
      </c>
      <c r="X48" s="110">
        <v>2.6267722102596101</v>
      </c>
      <c r="Y48" s="110">
        <v>0</v>
      </c>
      <c r="Z48" s="110">
        <v>0</v>
      </c>
      <c r="AA48" s="110">
        <v>480.69879139405998</v>
      </c>
      <c r="AB48" s="110">
        <v>0.93079026763543105</v>
      </c>
      <c r="AC48" s="110">
        <v>0</v>
      </c>
      <c r="AD48" s="110">
        <v>36.410152560199897</v>
      </c>
      <c r="AE48" s="110">
        <v>2.1024938184750002</v>
      </c>
      <c r="AF48" s="110">
        <v>32.553998535247203</v>
      </c>
      <c r="AG48" s="110">
        <v>10.601671930054399</v>
      </c>
      <c r="AH48" s="110">
        <v>28.5536088278641</v>
      </c>
      <c r="AI48" s="110">
        <v>2.5023389020219802</v>
      </c>
      <c r="AJ48" s="110">
        <v>18.139634696962599</v>
      </c>
      <c r="AK48" s="110">
        <v>0</v>
      </c>
      <c r="AL48" s="110">
        <v>199.18988792041199</v>
      </c>
      <c r="AM48" s="110">
        <v>0</v>
      </c>
      <c r="AN48" s="110">
        <v>0</v>
      </c>
      <c r="AO48" s="110">
        <v>0</v>
      </c>
      <c r="AP48" s="110">
        <v>0.30415739222674498</v>
      </c>
      <c r="AQ48" s="111">
        <v>6.1811355640412904</v>
      </c>
    </row>
    <row r="49" spans="2:43" ht="12" customHeight="1" x14ac:dyDescent="0.25">
      <c r="B49" s="109" t="s">
        <v>44</v>
      </c>
      <c r="C49" s="110" t="s">
        <v>37</v>
      </c>
      <c r="D49" s="110" t="s">
        <v>45</v>
      </c>
      <c r="E49" s="110" t="s">
        <v>25</v>
      </c>
      <c r="F49" s="110" t="s">
        <v>25</v>
      </c>
      <c r="G49" s="110" t="s">
        <v>36</v>
      </c>
      <c r="H49" s="110" t="s">
        <v>90</v>
      </c>
      <c r="I49" s="110" t="s">
        <v>25</v>
      </c>
      <c r="J49" s="110">
        <v>339.75</v>
      </c>
      <c r="K49" s="110">
        <v>254.87</v>
      </c>
      <c r="L49" s="110">
        <v>9.7100070663164608</v>
      </c>
      <c r="M49" s="110">
        <v>0.81782199527485799</v>
      </c>
      <c r="N49" s="110">
        <v>3.34093230660566</v>
      </c>
      <c r="O49" s="110">
        <v>-1.4368425928466401E-3</v>
      </c>
      <c r="P49" s="110">
        <v>0</v>
      </c>
      <c r="Q49" s="110">
        <v>38.218594418899897</v>
      </c>
      <c r="R49" s="110">
        <v>15.689372148303599</v>
      </c>
      <c r="S49" s="110">
        <v>0</v>
      </c>
      <c r="T49" s="110">
        <v>21.6699213513063</v>
      </c>
      <c r="U49" s="110">
        <v>5.5658513128864602</v>
      </c>
      <c r="V49" s="110">
        <v>1.5271466499942801</v>
      </c>
      <c r="W49" s="110">
        <v>0</v>
      </c>
      <c r="X49" s="110">
        <v>0.87553170683769299</v>
      </c>
      <c r="Y49" s="110">
        <v>0</v>
      </c>
      <c r="Z49" s="110">
        <v>0</v>
      </c>
      <c r="AA49" s="110">
        <v>160.23289230227701</v>
      </c>
      <c r="AB49" s="110">
        <v>0.430266805765051</v>
      </c>
      <c r="AC49" s="110">
        <v>0</v>
      </c>
      <c r="AD49" s="110">
        <v>36.410152560199897</v>
      </c>
      <c r="AE49" s="110">
        <v>2.1024938184750002</v>
      </c>
      <c r="AF49" s="110">
        <v>32.553998535247203</v>
      </c>
      <c r="AG49" s="110">
        <v>10.601671930054399</v>
      </c>
      <c r="AH49" s="110">
        <v>28.5536088278641</v>
      </c>
      <c r="AI49" s="110">
        <v>2.5023389020219802</v>
      </c>
      <c r="AJ49" s="110">
        <v>18.139634696962599</v>
      </c>
      <c r="AK49" s="110">
        <v>0</v>
      </c>
      <c r="AL49" s="110">
        <v>199.18988792041199</v>
      </c>
      <c r="AM49" s="110">
        <v>0</v>
      </c>
      <c r="AN49" s="110">
        <v>0</v>
      </c>
      <c r="AO49" s="110">
        <v>0</v>
      </c>
      <c r="AP49" s="110">
        <v>0.30415739222674498</v>
      </c>
      <c r="AQ49" s="111">
        <v>6.1811355640412904</v>
      </c>
    </row>
    <row r="50" spans="2:43" ht="12" customHeight="1" x14ac:dyDescent="0.25">
      <c r="B50" s="109" t="s">
        <v>44</v>
      </c>
      <c r="C50" s="110" t="s">
        <v>37</v>
      </c>
      <c r="D50" s="110" t="s">
        <v>45</v>
      </c>
      <c r="E50" s="110" t="s">
        <v>105</v>
      </c>
      <c r="F50" s="110" t="s">
        <v>25</v>
      </c>
      <c r="G50" s="110" t="s">
        <v>35</v>
      </c>
      <c r="H50" s="110" t="s">
        <v>90</v>
      </c>
      <c r="I50" s="110" t="s">
        <v>25</v>
      </c>
      <c r="J50" s="110">
        <v>1083.93</v>
      </c>
      <c r="K50" s="110">
        <v>389.98</v>
      </c>
      <c r="L50" s="110">
        <v>9.5034111712884499</v>
      </c>
      <c r="M50" s="110">
        <v>0.80042152729028704</v>
      </c>
      <c r="N50" s="110">
        <v>10.381183100667</v>
      </c>
      <c r="O50" s="110">
        <v>-1.40627147384991E-3</v>
      </c>
      <c r="P50" s="110">
        <v>0</v>
      </c>
      <c r="Q50" s="110">
        <v>37.4054328355191</v>
      </c>
      <c r="R50" s="110">
        <v>15.3555557196163</v>
      </c>
      <c r="S50" s="110">
        <v>0</v>
      </c>
      <c r="T50" s="110">
        <v>106.044096545629</v>
      </c>
      <c r="U50" s="110">
        <v>27.236936995784699</v>
      </c>
      <c r="V50" s="110">
        <v>7.4731436682569701</v>
      </c>
      <c r="W50" s="110">
        <v>0</v>
      </c>
      <c r="X50" s="110">
        <v>4.2846901851278698</v>
      </c>
      <c r="Y50" s="110">
        <v>0</v>
      </c>
      <c r="Z50" s="110">
        <v>0</v>
      </c>
      <c r="AA50" s="110">
        <v>784.11863324146395</v>
      </c>
      <c r="AB50" s="110">
        <v>1.4008598427633701</v>
      </c>
      <c r="AC50" s="110">
        <v>0</v>
      </c>
      <c r="AD50" s="110">
        <v>35.635468463174298</v>
      </c>
      <c r="AE50" s="110">
        <v>2.0577599074436099</v>
      </c>
      <c r="AF50" s="110">
        <v>31.861360268539801</v>
      </c>
      <c r="AG50" s="110">
        <v>10.3761044421809</v>
      </c>
      <c r="AH50" s="110">
        <v>27.946085235781901</v>
      </c>
      <c r="AI50" s="110">
        <v>2.44909764878747</v>
      </c>
      <c r="AJ50" s="110">
        <v>17.7536850225592</v>
      </c>
      <c r="AK50" s="110">
        <v>0</v>
      </c>
      <c r="AL50" s="110">
        <v>335.31710494176599</v>
      </c>
      <c r="AM50" s="110">
        <v>0</v>
      </c>
      <c r="AN50" s="110">
        <v>0</v>
      </c>
      <c r="AO50" s="110">
        <v>0</v>
      </c>
      <c r="AP50" s="110">
        <v>0.469208159511177</v>
      </c>
      <c r="AQ50" s="111">
        <v>6.0496220414021096</v>
      </c>
    </row>
    <row r="51" spans="2:43" ht="12" customHeight="1" x14ac:dyDescent="0.25">
      <c r="B51" s="109" t="s">
        <v>44</v>
      </c>
      <c r="C51" s="110" t="s">
        <v>37</v>
      </c>
      <c r="D51" s="110" t="s">
        <v>45</v>
      </c>
      <c r="E51" s="110" t="s">
        <v>105</v>
      </c>
      <c r="F51" s="110" t="s">
        <v>25</v>
      </c>
      <c r="G51" s="110" t="s">
        <v>38</v>
      </c>
      <c r="H51" s="110" t="s">
        <v>90</v>
      </c>
      <c r="I51" s="110" t="s">
        <v>25</v>
      </c>
      <c r="J51" s="110">
        <v>708.23</v>
      </c>
      <c r="K51" s="110">
        <v>249.45</v>
      </c>
      <c r="L51" s="110">
        <v>9.5034111712884499</v>
      </c>
      <c r="M51" s="110">
        <v>0.80042152729028704</v>
      </c>
      <c r="N51" s="110">
        <v>6.8255169279338999</v>
      </c>
      <c r="O51" s="110">
        <v>-1.40627147384991E-3</v>
      </c>
      <c r="P51" s="110">
        <v>0</v>
      </c>
      <c r="Q51" s="110">
        <v>37.4054328355191</v>
      </c>
      <c r="R51" s="110">
        <v>15.3555557196163</v>
      </c>
      <c r="S51" s="110">
        <v>0</v>
      </c>
      <c r="T51" s="110">
        <v>63.6264778702622</v>
      </c>
      <c r="U51" s="110">
        <v>16.342182970155999</v>
      </c>
      <c r="V51" s="110">
        <v>4.4839625042385203</v>
      </c>
      <c r="W51" s="110">
        <v>0</v>
      </c>
      <c r="X51" s="110">
        <v>2.5708834398285498</v>
      </c>
      <c r="Y51" s="110">
        <v>0</v>
      </c>
      <c r="Z51" s="110">
        <v>0</v>
      </c>
      <c r="AA51" s="110">
        <v>470.47115753461202</v>
      </c>
      <c r="AB51" s="110">
        <v>0.91098621938786895</v>
      </c>
      <c r="AC51" s="110">
        <v>0</v>
      </c>
      <c r="AD51" s="110">
        <v>35.635468463174298</v>
      </c>
      <c r="AE51" s="110">
        <v>2.0577599074436099</v>
      </c>
      <c r="AF51" s="110">
        <v>31.861360268539801</v>
      </c>
      <c r="AG51" s="110">
        <v>10.3761044421809</v>
      </c>
      <c r="AH51" s="110">
        <v>27.946085235781901</v>
      </c>
      <c r="AI51" s="110">
        <v>2.44909764878747</v>
      </c>
      <c r="AJ51" s="110">
        <v>17.7536850225592</v>
      </c>
      <c r="AK51" s="110">
        <v>0</v>
      </c>
      <c r="AL51" s="110">
        <v>194.95180519870101</v>
      </c>
      <c r="AM51" s="110">
        <v>0</v>
      </c>
      <c r="AN51" s="110">
        <v>0</v>
      </c>
      <c r="AO51" s="110">
        <v>0</v>
      </c>
      <c r="AP51" s="110">
        <v>0.29768595834958</v>
      </c>
      <c r="AQ51" s="111">
        <v>6.0496220414021096</v>
      </c>
    </row>
    <row r="52" spans="2:43" ht="12" customHeight="1" x14ac:dyDescent="0.25">
      <c r="B52" s="109" t="s">
        <v>44</v>
      </c>
      <c r="C52" s="110" t="s">
        <v>37</v>
      </c>
      <c r="D52" s="110" t="s">
        <v>45</v>
      </c>
      <c r="E52" s="110" t="s">
        <v>105</v>
      </c>
      <c r="F52" s="110" t="s">
        <v>25</v>
      </c>
      <c r="G52" s="110" t="s">
        <v>36</v>
      </c>
      <c r="H52" s="110" t="s">
        <v>90</v>
      </c>
      <c r="I52" s="110" t="s">
        <v>25</v>
      </c>
      <c r="J52" s="110">
        <v>332.52</v>
      </c>
      <c r="K52" s="110">
        <v>249.45</v>
      </c>
      <c r="L52" s="110">
        <v>9.5034111712884499</v>
      </c>
      <c r="M52" s="110">
        <v>0.80042152729028704</v>
      </c>
      <c r="N52" s="110">
        <v>3.2698486405076701</v>
      </c>
      <c r="O52" s="110">
        <v>-1.40627147384991E-3</v>
      </c>
      <c r="P52" s="110">
        <v>0</v>
      </c>
      <c r="Q52" s="110">
        <v>37.4054328355191</v>
      </c>
      <c r="R52" s="110">
        <v>15.3555557196163</v>
      </c>
      <c r="S52" s="110">
        <v>0</v>
      </c>
      <c r="T52" s="110">
        <v>21.208859194895499</v>
      </c>
      <c r="U52" s="110">
        <v>5.4474289445271804</v>
      </c>
      <c r="V52" s="110">
        <v>1.49465416807951</v>
      </c>
      <c r="W52" s="110">
        <v>0</v>
      </c>
      <c r="X52" s="110">
        <v>0.85690337264965699</v>
      </c>
      <c r="Y52" s="110">
        <v>0</v>
      </c>
      <c r="Z52" s="110">
        <v>0</v>
      </c>
      <c r="AA52" s="110">
        <v>156.82368182776</v>
      </c>
      <c r="AB52" s="110">
        <v>0.42111219287643198</v>
      </c>
      <c r="AC52" s="110">
        <v>0</v>
      </c>
      <c r="AD52" s="110">
        <v>35.635468463174298</v>
      </c>
      <c r="AE52" s="110">
        <v>2.0577599074436099</v>
      </c>
      <c r="AF52" s="110">
        <v>31.861360268539801</v>
      </c>
      <c r="AG52" s="110">
        <v>10.3761044421809</v>
      </c>
      <c r="AH52" s="110">
        <v>27.946085235781901</v>
      </c>
      <c r="AI52" s="110">
        <v>2.44909764878747</v>
      </c>
      <c r="AJ52" s="110">
        <v>17.7536850225592</v>
      </c>
      <c r="AK52" s="110">
        <v>0</v>
      </c>
      <c r="AL52" s="110">
        <v>194.95180519870101</v>
      </c>
      <c r="AM52" s="110">
        <v>0</v>
      </c>
      <c r="AN52" s="110">
        <v>0</v>
      </c>
      <c r="AO52" s="110">
        <v>0</v>
      </c>
      <c r="AP52" s="110">
        <v>0.29768595834958</v>
      </c>
      <c r="AQ52" s="111">
        <v>6.0496220414021096</v>
      </c>
    </row>
    <row r="53" spans="2:43" ht="12" customHeight="1" x14ac:dyDescent="0.25">
      <c r="B53" s="109" t="s">
        <v>44</v>
      </c>
      <c r="C53" s="110" t="s">
        <v>23</v>
      </c>
      <c r="D53" s="110" t="s">
        <v>45</v>
      </c>
      <c r="E53" s="110" t="s">
        <v>104</v>
      </c>
      <c r="F53" s="110" t="s">
        <v>25</v>
      </c>
      <c r="G53" s="110" t="s">
        <v>25</v>
      </c>
      <c r="H53" s="110" t="s">
        <v>90</v>
      </c>
      <c r="I53" s="110" t="s">
        <v>25</v>
      </c>
      <c r="J53" s="110">
        <v>438.62</v>
      </c>
      <c r="K53" s="110">
        <v>266.83999999999997</v>
      </c>
      <c r="L53" s="110">
        <v>9.7100070663164608</v>
      </c>
      <c r="M53" s="110">
        <v>0.81782199527485799</v>
      </c>
      <c r="N53" s="110">
        <v>4.2766945893120001</v>
      </c>
      <c r="O53" s="110">
        <v>-1.4368425928466401E-3</v>
      </c>
      <c r="P53" s="110">
        <v>0</v>
      </c>
      <c r="Q53" s="110">
        <v>38.218594418899897</v>
      </c>
      <c r="R53" s="110">
        <v>15.689372148303599</v>
      </c>
      <c r="S53" s="110">
        <v>0</v>
      </c>
      <c r="T53" s="110">
        <v>32.833146247226402</v>
      </c>
      <c r="U53" s="110">
        <v>8.4330373022772207</v>
      </c>
      <c r="V53" s="110">
        <v>2.31378374852788</v>
      </c>
      <c r="W53" s="110">
        <v>0</v>
      </c>
      <c r="X53" s="110">
        <v>1.32657929124619</v>
      </c>
      <c r="Y53" s="110">
        <v>0</v>
      </c>
      <c r="Z53" s="110">
        <v>0</v>
      </c>
      <c r="AA53" s="110">
        <v>242.777154649934</v>
      </c>
      <c r="AB53" s="110">
        <v>0.55918926869335694</v>
      </c>
      <c r="AC53" s="110">
        <v>0</v>
      </c>
      <c r="AD53" s="110">
        <v>36.410152560199897</v>
      </c>
      <c r="AE53" s="110">
        <v>2.1024938184750002</v>
      </c>
      <c r="AF53" s="110">
        <v>32.553998535247203</v>
      </c>
      <c r="AG53" s="110">
        <v>10.601671930054399</v>
      </c>
      <c r="AH53" s="110">
        <v>28.5536088278641</v>
      </c>
      <c r="AI53" s="110">
        <v>2.5023389020219802</v>
      </c>
      <c r="AJ53" s="110">
        <v>18.139634696962599</v>
      </c>
      <c r="AK53" s="110">
        <v>0</v>
      </c>
      <c r="AL53" s="110">
        <v>211.14128119563699</v>
      </c>
      <c r="AM53" s="110">
        <v>0</v>
      </c>
      <c r="AN53" s="110">
        <v>0</v>
      </c>
      <c r="AO53" s="110">
        <v>0</v>
      </c>
      <c r="AP53" s="110">
        <v>0.31876163761550402</v>
      </c>
      <c r="AQ53" s="111">
        <v>6.1811355640412904</v>
      </c>
    </row>
    <row r="54" spans="2:43" ht="12" customHeight="1" x14ac:dyDescent="0.25">
      <c r="B54" s="109" t="s">
        <v>44</v>
      </c>
      <c r="C54" s="110" t="s">
        <v>23</v>
      </c>
      <c r="D54" s="110" t="s">
        <v>45</v>
      </c>
      <c r="E54" s="110" t="s">
        <v>25</v>
      </c>
      <c r="F54" s="110" t="s">
        <v>25</v>
      </c>
      <c r="G54" s="110" t="s">
        <v>25</v>
      </c>
      <c r="H54" s="110" t="s">
        <v>90</v>
      </c>
      <c r="I54" s="110" t="s">
        <v>25</v>
      </c>
      <c r="J54" s="110">
        <v>438.62</v>
      </c>
      <c r="K54" s="110">
        <v>266.83999999999997</v>
      </c>
      <c r="L54" s="110">
        <v>9.7100070663164608</v>
      </c>
      <c r="M54" s="110">
        <v>0.81782199527485799</v>
      </c>
      <c r="N54" s="110">
        <v>4.2766945893120001</v>
      </c>
      <c r="O54" s="110">
        <v>-1.4368425928466401E-3</v>
      </c>
      <c r="P54" s="110">
        <v>0</v>
      </c>
      <c r="Q54" s="110">
        <v>38.218594418899897</v>
      </c>
      <c r="R54" s="110">
        <v>15.689372148303599</v>
      </c>
      <c r="S54" s="110">
        <v>0</v>
      </c>
      <c r="T54" s="110">
        <v>32.833146247226402</v>
      </c>
      <c r="U54" s="110">
        <v>8.4330373022772207</v>
      </c>
      <c r="V54" s="110">
        <v>2.31378374852788</v>
      </c>
      <c r="W54" s="110">
        <v>0</v>
      </c>
      <c r="X54" s="110">
        <v>1.32657929124619</v>
      </c>
      <c r="Y54" s="110">
        <v>0</v>
      </c>
      <c r="Z54" s="110">
        <v>0</v>
      </c>
      <c r="AA54" s="110">
        <v>242.777154649934</v>
      </c>
      <c r="AB54" s="110">
        <v>0.55918926869335694</v>
      </c>
      <c r="AC54" s="110">
        <v>0</v>
      </c>
      <c r="AD54" s="110">
        <v>36.410152560199897</v>
      </c>
      <c r="AE54" s="110">
        <v>2.1024938184750002</v>
      </c>
      <c r="AF54" s="110">
        <v>32.553998535247203</v>
      </c>
      <c r="AG54" s="110">
        <v>10.601671930054399</v>
      </c>
      <c r="AH54" s="110">
        <v>28.5536088278641</v>
      </c>
      <c r="AI54" s="110">
        <v>2.5023389020219802</v>
      </c>
      <c r="AJ54" s="110">
        <v>18.139634696962599</v>
      </c>
      <c r="AK54" s="110">
        <v>0</v>
      </c>
      <c r="AL54" s="110">
        <v>211.14128119563699</v>
      </c>
      <c r="AM54" s="110">
        <v>0</v>
      </c>
      <c r="AN54" s="110">
        <v>0</v>
      </c>
      <c r="AO54" s="110">
        <v>0</v>
      </c>
      <c r="AP54" s="110">
        <v>0.31876163761550402</v>
      </c>
      <c r="AQ54" s="111">
        <v>6.1811355640412904</v>
      </c>
    </row>
    <row r="55" spans="2:43" ht="12" customHeight="1" x14ac:dyDescent="0.25">
      <c r="B55" s="109" t="s">
        <v>44</v>
      </c>
      <c r="C55" s="110" t="s">
        <v>23</v>
      </c>
      <c r="D55" s="110" t="s">
        <v>45</v>
      </c>
      <c r="E55" s="110" t="s">
        <v>105</v>
      </c>
      <c r="F55" s="110" t="s">
        <v>25</v>
      </c>
      <c r="G55" s="110" t="s">
        <v>25</v>
      </c>
      <c r="H55" s="110" t="s">
        <v>90</v>
      </c>
      <c r="I55" s="110" t="s">
        <v>25</v>
      </c>
      <c r="J55" s="110">
        <v>429.29</v>
      </c>
      <c r="K55" s="110">
        <v>261.16000000000003</v>
      </c>
      <c r="L55" s="110">
        <v>9.5034111712884499</v>
      </c>
      <c r="M55" s="110">
        <v>0.80042152729028704</v>
      </c>
      <c r="N55" s="110">
        <v>4.18570108741174</v>
      </c>
      <c r="O55" s="110">
        <v>-1.40627147384991E-3</v>
      </c>
      <c r="P55" s="110">
        <v>0</v>
      </c>
      <c r="Q55" s="110">
        <v>37.4054328355191</v>
      </c>
      <c r="R55" s="110">
        <v>15.3555557196163</v>
      </c>
      <c r="S55" s="110">
        <v>0</v>
      </c>
      <c r="T55" s="110">
        <v>32.134568667498201</v>
      </c>
      <c r="U55" s="110">
        <v>8.2536109766968604</v>
      </c>
      <c r="V55" s="110">
        <v>2.2645543070698402</v>
      </c>
      <c r="W55" s="110">
        <v>0</v>
      </c>
      <c r="X55" s="110">
        <v>1.2983541999430801</v>
      </c>
      <c r="Y55" s="110">
        <v>0</v>
      </c>
      <c r="Z55" s="110">
        <v>0</v>
      </c>
      <c r="AA55" s="110">
        <v>237.61168327440299</v>
      </c>
      <c r="AB55" s="110">
        <v>0.54729162467860504</v>
      </c>
      <c r="AC55" s="110">
        <v>0</v>
      </c>
      <c r="AD55" s="110">
        <v>35.635468463174298</v>
      </c>
      <c r="AE55" s="110">
        <v>2.0577599074436099</v>
      </c>
      <c r="AF55" s="110">
        <v>31.861360268539801</v>
      </c>
      <c r="AG55" s="110">
        <v>10.3761044421809</v>
      </c>
      <c r="AH55" s="110">
        <v>27.946085235781901</v>
      </c>
      <c r="AI55" s="110">
        <v>2.44909764878747</v>
      </c>
      <c r="AJ55" s="110">
        <v>17.7536850225592</v>
      </c>
      <c r="AK55" s="110">
        <v>0</v>
      </c>
      <c r="AL55" s="110">
        <v>206.648913510623</v>
      </c>
      <c r="AM55" s="110">
        <v>0</v>
      </c>
      <c r="AN55" s="110">
        <v>0</v>
      </c>
      <c r="AO55" s="110">
        <v>0</v>
      </c>
      <c r="AP55" s="110">
        <v>0.31197947511304702</v>
      </c>
      <c r="AQ55" s="111">
        <v>6.0496220414021096</v>
      </c>
    </row>
    <row r="56" spans="2:43" ht="12" customHeight="1" x14ac:dyDescent="0.25">
      <c r="B56" s="109" t="s">
        <v>44</v>
      </c>
      <c r="C56" s="110" t="s">
        <v>103</v>
      </c>
      <c r="D56" s="110" t="s">
        <v>45</v>
      </c>
      <c r="E56" s="110" t="s">
        <v>104</v>
      </c>
      <c r="F56" s="110" t="s">
        <v>25</v>
      </c>
      <c r="G56" s="110" t="s">
        <v>25</v>
      </c>
      <c r="H56" s="110" t="s">
        <v>90</v>
      </c>
      <c r="I56" s="110" t="s">
        <v>25</v>
      </c>
      <c r="J56" s="110">
        <v>438.62</v>
      </c>
      <c r="K56" s="110">
        <v>266.83999999999997</v>
      </c>
      <c r="L56" s="110">
        <v>9.7100070663164608</v>
      </c>
      <c r="M56" s="110">
        <v>0.81782199527485799</v>
      </c>
      <c r="N56" s="110">
        <v>4.2766945893120001</v>
      </c>
      <c r="O56" s="110">
        <v>-1.4368425928466401E-3</v>
      </c>
      <c r="P56" s="110">
        <v>0</v>
      </c>
      <c r="Q56" s="110">
        <v>38.218594418899897</v>
      </c>
      <c r="R56" s="110">
        <v>15.689372148303599</v>
      </c>
      <c r="S56" s="110">
        <v>0</v>
      </c>
      <c r="T56" s="110">
        <v>32.833146247226402</v>
      </c>
      <c r="U56" s="110">
        <v>8.4330373022772207</v>
      </c>
      <c r="V56" s="110">
        <v>2.31378374852788</v>
      </c>
      <c r="W56" s="110">
        <v>0</v>
      </c>
      <c r="X56" s="110">
        <v>1.32657929124619</v>
      </c>
      <c r="Y56" s="110">
        <v>0</v>
      </c>
      <c r="Z56" s="110">
        <v>0</v>
      </c>
      <c r="AA56" s="110">
        <v>242.777154649934</v>
      </c>
      <c r="AB56" s="110">
        <v>0.55918926869335694</v>
      </c>
      <c r="AC56" s="110">
        <v>0</v>
      </c>
      <c r="AD56" s="110">
        <v>36.410152560199897</v>
      </c>
      <c r="AE56" s="110">
        <v>2.1024938184750002</v>
      </c>
      <c r="AF56" s="110">
        <v>32.553998535247203</v>
      </c>
      <c r="AG56" s="110">
        <v>10.601671930054399</v>
      </c>
      <c r="AH56" s="110">
        <v>28.5536088278641</v>
      </c>
      <c r="AI56" s="110">
        <v>2.5023389020219802</v>
      </c>
      <c r="AJ56" s="110">
        <v>18.139634696962599</v>
      </c>
      <c r="AK56" s="110">
        <v>0</v>
      </c>
      <c r="AL56" s="110">
        <v>211.14128119563699</v>
      </c>
      <c r="AM56" s="110">
        <v>0</v>
      </c>
      <c r="AN56" s="110">
        <v>0</v>
      </c>
      <c r="AO56" s="110">
        <v>0</v>
      </c>
      <c r="AP56" s="110">
        <v>0.31876163761550402</v>
      </c>
      <c r="AQ56" s="111">
        <v>6.1811355640412904</v>
      </c>
    </row>
    <row r="57" spans="2:43" ht="12" customHeight="1" x14ac:dyDescent="0.25">
      <c r="B57" s="109" t="s">
        <v>44</v>
      </c>
      <c r="C57" s="110" t="s">
        <v>103</v>
      </c>
      <c r="D57" s="110" t="s">
        <v>45</v>
      </c>
      <c r="E57" s="110" t="s">
        <v>25</v>
      </c>
      <c r="F57" s="110" t="s">
        <v>25</v>
      </c>
      <c r="G57" s="110" t="s">
        <v>25</v>
      </c>
      <c r="H57" s="110" t="s">
        <v>90</v>
      </c>
      <c r="I57" s="110" t="s">
        <v>25</v>
      </c>
      <c r="J57" s="110">
        <v>438.62</v>
      </c>
      <c r="K57" s="110">
        <v>266.83999999999997</v>
      </c>
      <c r="L57" s="110">
        <v>9.7100070663164608</v>
      </c>
      <c r="M57" s="110">
        <v>0.81782199527485799</v>
      </c>
      <c r="N57" s="110">
        <v>4.2766945893120001</v>
      </c>
      <c r="O57" s="110">
        <v>-1.4368425928466401E-3</v>
      </c>
      <c r="P57" s="110">
        <v>0</v>
      </c>
      <c r="Q57" s="110">
        <v>38.218594418899897</v>
      </c>
      <c r="R57" s="110">
        <v>15.689372148303599</v>
      </c>
      <c r="S57" s="110">
        <v>0</v>
      </c>
      <c r="T57" s="110">
        <v>32.833146247226402</v>
      </c>
      <c r="U57" s="110">
        <v>8.4330373022772207</v>
      </c>
      <c r="V57" s="110">
        <v>2.31378374852788</v>
      </c>
      <c r="W57" s="110">
        <v>0</v>
      </c>
      <c r="X57" s="110">
        <v>1.32657929124619</v>
      </c>
      <c r="Y57" s="110">
        <v>0</v>
      </c>
      <c r="Z57" s="110">
        <v>0</v>
      </c>
      <c r="AA57" s="110">
        <v>242.777154649934</v>
      </c>
      <c r="AB57" s="110">
        <v>0.55918926869335694</v>
      </c>
      <c r="AC57" s="110">
        <v>0</v>
      </c>
      <c r="AD57" s="110">
        <v>36.410152560199897</v>
      </c>
      <c r="AE57" s="110">
        <v>2.1024938184750002</v>
      </c>
      <c r="AF57" s="110">
        <v>32.553998535247203</v>
      </c>
      <c r="AG57" s="110">
        <v>10.601671930054399</v>
      </c>
      <c r="AH57" s="110">
        <v>28.5536088278641</v>
      </c>
      <c r="AI57" s="110">
        <v>2.5023389020219802</v>
      </c>
      <c r="AJ57" s="110">
        <v>18.139634696962599</v>
      </c>
      <c r="AK57" s="110">
        <v>0</v>
      </c>
      <c r="AL57" s="110">
        <v>211.14128119563699</v>
      </c>
      <c r="AM57" s="110">
        <v>0</v>
      </c>
      <c r="AN57" s="110">
        <v>0</v>
      </c>
      <c r="AO57" s="110">
        <v>0</v>
      </c>
      <c r="AP57" s="110">
        <v>0.31876163761550402</v>
      </c>
      <c r="AQ57" s="111">
        <v>6.1811355640412904</v>
      </c>
    </row>
    <row r="58" spans="2:43" ht="12" customHeight="1" x14ac:dyDescent="0.25">
      <c r="B58" s="109" t="s">
        <v>44</v>
      </c>
      <c r="C58" s="110" t="s">
        <v>103</v>
      </c>
      <c r="D58" s="110" t="s">
        <v>45</v>
      </c>
      <c r="E58" s="110" t="s">
        <v>105</v>
      </c>
      <c r="F58" s="110" t="s">
        <v>25</v>
      </c>
      <c r="G58" s="110" t="s">
        <v>25</v>
      </c>
      <c r="H58" s="110" t="s">
        <v>90</v>
      </c>
      <c r="I58" s="110" t="s">
        <v>25</v>
      </c>
      <c r="J58" s="110">
        <v>429.29</v>
      </c>
      <c r="K58" s="110">
        <v>261.16000000000003</v>
      </c>
      <c r="L58" s="110">
        <v>9.5034111712884499</v>
      </c>
      <c r="M58" s="110">
        <v>0.80042152729028704</v>
      </c>
      <c r="N58" s="110">
        <v>4.18570108741174</v>
      </c>
      <c r="O58" s="110">
        <v>-1.40627147384991E-3</v>
      </c>
      <c r="P58" s="110">
        <v>0</v>
      </c>
      <c r="Q58" s="110">
        <v>37.4054328355191</v>
      </c>
      <c r="R58" s="110">
        <v>15.3555557196163</v>
      </c>
      <c r="S58" s="110">
        <v>0</v>
      </c>
      <c r="T58" s="110">
        <v>32.134568667498201</v>
      </c>
      <c r="U58" s="110">
        <v>8.2536109766968604</v>
      </c>
      <c r="V58" s="110">
        <v>2.2645543070698402</v>
      </c>
      <c r="W58" s="110">
        <v>0</v>
      </c>
      <c r="X58" s="110">
        <v>1.2983541999430801</v>
      </c>
      <c r="Y58" s="110">
        <v>0</v>
      </c>
      <c r="Z58" s="110">
        <v>0</v>
      </c>
      <c r="AA58" s="110">
        <v>237.61168327440299</v>
      </c>
      <c r="AB58" s="110">
        <v>0.54729162467860504</v>
      </c>
      <c r="AC58" s="110">
        <v>0</v>
      </c>
      <c r="AD58" s="110">
        <v>35.635468463174298</v>
      </c>
      <c r="AE58" s="110">
        <v>2.0577599074436099</v>
      </c>
      <c r="AF58" s="110">
        <v>31.861360268539801</v>
      </c>
      <c r="AG58" s="110">
        <v>10.3761044421809</v>
      </c>
      <c r="AH58" s="110">
        <v>27.946085235781901</v>
      </c>
      <c r="AI58" s="110">
        <v>2.44909764878747</v>
      </c>
      <c r="AJ58" s="110">
        <v>17.7536850225592</v>
      </c>
      <c r="AK58" s="110">
        <v>0</v>
      </c>
      <c r="AL58" s="110">
        <v>206.648913510623</v>
      </c>
      <c r="AM58" s="110">
        <v>0</v>
      </c>
      <c r="AN58" s="110">
        <v>0</v>
      </c>
      <c r="AO58" s="110">
        <v>0</v>
      </c>
      <c r="AP58" s="110">
        <v>0.31197947511304702</v>
      </c>
      <c r="AQ58" s="111">
        <v>6.0496220414021096</v>
      </c>
    </row>
    <row r="59" spans="2:43" ht="12" customHeight="1" x14ac:dyDescent="0.25">
      <c r="B59" s="109" t="s">
        <v>39</v>
      </c>
      <c r="C59" s="110" t="s">
        <v>37</v>
      </c>
      <c r="D59" s="110" t="s">
        <v>25</v>
      </c>
      <c r="E59" s="110" t="s">
        <v>25</v>
      </c>
      <c r="F59" s="110" t="s">
        <v>25</v>
      </c>
      <c r="G59" s="110" t="s">
        <v>35</v>
      </c>
      <c r="H59" s="110" t="s">
        <v>90</v>
      </c>
      <c r="I59" s="110" t="s">
        <v>25</v>
      </c>
      <c r="J59" s="110">
        <v>1178.19</v>
      </c>
      <c r="K59" s="110">
        <v>423.9</v>
      </c>
      <c r="L59" s="110">
        <v>10.329794751400501</v>
      </c>
      <c r="M59" s="110">
        <v>0.87002339922857297</v>
      </c>
      <c r="N59" s="110">
        <v>11.2838946746381</v>
      </c>
      <c r="O59" s="110">
        <v>-1.52855594983685E-3</v>
      </c>
      <c r="P59" s="110">
        <v>0</v>
      </c>
      <c r="Q59" s="110">
        <v>40.658079169042502</v>
      </c>
      <c r="R59" s="110">
        <v>16.6908214343655</v>
      </c>
      <c r="S59" s="110">
        <v>0</v>
      </c>
      <c r="T59" s="110">
        <v>115.265322332205</v>
      </c>
      <c r="U59" s="110">
        <v>29.605366299766001</v>
      </c>
      <c r="V59" s="110">
        <v>8.1229822481053997</v>
      </c>
      <c r="W59" s="110">
        <v>0</v>
      </c>
      <c r="X59" s="110">
        <v>4.65727194035638</v>
      </c>
      <c r="Y59" s="110">
        <v>0</v>
      </c>
      <c r="Z59" s="110">
        <v>0</v>
      </c>
      <c r="AA59" s="110">
        <v>852.302862218982</v>
      </c>
      <c r="AB59" s="110">
        <v>1.5226737421340999</v>
      </c>
      <c r="AC59" s="110">
        <v>0</v>
      </c>
      <c r="AD59" s="110">
        <v>38.734204851276502</v>
      </c>
      <c r="AE59" s="110">
        <v>2.23669555156915</v>
      </c>
      <c r="AF59" s="110">
        <v>34.631913335369397</v>
      </c>
      <c r="AG59" s="110">
        <v>11.2783743936749</v>
      </c>
      <c r="AH59" s="110">
        <v>30.376179604110799</v>
      </c>
      <c r="AI59" s="110">
        <v>2.6620626617255101</v>
      </c>
      <c r="AJ59" s="110">
        <v>19.297483720172998</v>
      </c>
      <c r="AK59" s="110">
        <v>0</v>
      </c>
      <c r="AL59" s="110">
        <v>364.47511406713602</v>
      </c>
      <c r="AM59" s="110">
        <v>0</v>
      </c>
      <c r="AN59" s="110">
        <v>0</v>
      </c>
      <c r="AO59" s="110">
        <v>0</v>
      </c>
      <c r="AP59" s="110">
        <v>0.51000886903388798</v>
      </c>
      <c r="AQ59" s="111">
        <v>6.5756761319588204</v>
      </c>
    </row>
    <row r="60" spans="2:43" ht="12" customHeight="1" x14ac:dyDescent="0.25">
      <c r="B60" s="109" t="s">
        <v>39</v>
      </c>
      <c r="C60" s="110" t="s">
        <v>37</v>
      </c>
      <c r="D60" s="110" t="s">
        <v>25</v>
      </c>
      <c r="E60" s="110" t="s">
        <v>25</v>
      </c>
      <c r="F60" s="110" t="s">
        <v>25</v>
      </c>
      <c r="G60" s="110" t="s">
        <v>38</v>
      </c>
      <c r="H60" s="110" t="s">
        <v>90</v>
      </c>
      <c r="I60" s="110" t="s">
        <v>25</v>
      </c>
      <c r="J60" s="110">
        <v>769.81</v>
      </c>
      <c r="K60" s="110">
        <v>271.14</v>
      </c>
      <c r="L60" s="110">
        <v>10.329794751400501</v>
      </c>
      <c r="M60" s="110">
        <v>0.87002339922857297</v>
      </c>
      <c r="N60" s="110">
        <v>7.4190401390585903</v>
      </c>
      <c r="O60" s="110">
        <v>-1.52855594983685E-3</v>
      </c>
      <c r="P60" s="110">
        <v>0</v>
      </c>
      <c r="Q60" s="110">
        <v>40.658079169042502</v>
      </c>
      <c r="R60" s="110">
        <v>16.6908214343655</v>
      </c>
      <c r="S60" s="110">
        <v>0</v>
      </c>
      <c r="T60" s="110">
        <v>69.159215076372007</v>
      </c>
      <c r="U60" s="110">
        <v>17.763242358865199</v>
      </c>
      <c r="V60" s="110">
        <v>4.8738722872157796</v>
      </c>
      <c r="W60" s="110">
        <v>0</v>
      </c>
      <c r="X60" s="110">
        <v>2.7944385215527698</v>
      </c>
      <c r="Y60" s="110">
        <v>0</v>
      </c>
      <c r="Z60" s="110">
        <v>0</v>
      </c>
      <c r="AA60" s="110">
        <v>511.38169297240398</v>
      </c>
      <c r="AB60" s="110">
        <v>0.99020241237811801</v>
      </c>
      <c r="AC60" s="110">
        <v>0</v>
      </c>
      <c r="AD60" s="110">
        <v>38.734204851276502</v>
      </c>
      <c r="AE60" s="110">
        <v>2.23669555156915</v>
      </c>
      <c r="AF60" s="110">
        <v>34.631913335369397</v>
      </c>
      <c r="AG60" s="110">
        <v>11.2783743936749</v>
      </c>
      <c r="AH60" s="110">
        <v>30.376179604110799</v>
      </c>
      <c r="AI60" s="110">
        <v>2.6620626617255101</v>
      </c>
      <c r="AJ60" s="110">
        <v>19.297483720172998</v>
      </c>
      <c r="AK60" s="110">
        <v>0</v>
      </c>
      <c r="AL60" s="110">
        <v>211.904136085544</v>
      </c>
      <c r="AM60" s="110">
        <v>0</v>
      </c>
      <c r="AN60" s="110">
        <v>0</v>
      </c>
      <c r="AO60" s="110">
        <v>0</v>
      </c>
      <c r="AP60" s="110">
        <v>0.32357169385823997</v>
      </c>
      <c r="AQ60" s="111">
        <v>6.5756761319588204</v>
      </c>
    </row>
    <row r="61" spans="2:43" ht="12" customHeight="1" x14ac:dyDescent="0.25">
      <c r="B61" s="109" t="s">
        <v>39</v>
      </c>
      <c r="C61" s="110" t="s">
        <v>37</v>
      </c>
      <c r="D61" s="110" t="s">
        <v>25</v>
      </c>
      <c r="E61" s="110" t="s">
        <v>25</v>
      </c>
      <c r="F61" s="110" t="s">
        <v>25</v>
      </c>
      <c r="G61" s="110" t="s">
        <v>36</v>
      </c>
      <c r="H61" s="110" t="s">
        <v>90</v>
      </c>
      <c r="I61" s="110" t="s">
        <v>25</v>
      </c>
      <c r="J61" s="110">
        <v>361.43</v>
      </c>
      <c r="K61" s="110">
        <v>271.14</v>
      </c>
      <c r="L61" s="110">
        <v>10.329794751400501</v>
      </c>
      <c r="M61" s="110">
        <v>0.87002339922857297</v>
      </c>
      <c r="N61" s="110">
        <v>3.5541833048996399</v>
      </c>
      <c r="O61" s="110">
        <v>-1.52855594983685E-3</v>
      </c>
      <c r="P61" s="110">
        <v>0</v>
      </c>
      <c r="Q61" s="110">
        <v>40.658079169042502</v>
      </c>
      <c r="R61" s="110">
        <v>16.6908214343655</v>
      </c>
      <c r="S61" s="110">
        <v>0</v>
      </c>
      <c r="T61" s="110">
        <v>23.0531078205386</v>
      </c>
      <c r="U61" s="110">
        <v>5.9211184179643199</v>
      </c>
      <c r="V61" s="110">
        <v>1.62462409573859</v>
      </c>
      <c r="W61" s="110">
        <v>0</v>
      </c>
      <c r="X61" s="110">
        <v>0.93141670940180099</v>
      </c>
      <c r="Y61" s="110">
        <v>0</v>
      </c>
      <c r="Z61" s="110">
        <v>0</v>
      </c>
      <c r="AA61" s="110">
        <v>170.46052372582599</v>
      </c>
      <c r="AB61" s="110">
        <v>0.457730644430905</v>
      </c>
      <c r="AC61" s="110">
        <v>0</v>
      </c>
      <c r="AD61" s="110">
        <v>38.734204851276502</v>
      </c>
      <c r="AE61" s="110">
        <v>2.23669555156915</v>
      </c>
      <c r="AF61" s="110">
        <v>34.631913335369397</v>
      </c>
      <c r="AG61" s="110">
        <v>11.2783743936749</v>
      </c>
      <c r="AH61" s="110">
        <v>30.376179604110799</v>
      </c>
      <c r="AI61" s="110">
        <v>2.6620626617255101</v>
      </c>
      <c r="AJ61" s="110">
        <v>19.297483720172998</v>
      </c>
      <c r="AK61" s="110">
        <v>0</v>
      </c>
      <c r="AL61" s="110">
        <v>211.904136085544</v>
      </c>
      <c r="AM61" s="110">
        <v>0</v>
      </c>
      <c r="AN61" s="110">
        <v>0</v>
      </c>
      <c r="AO61" s="110">
        <v>0</v>
      </c>
      <c r="AP61" s="110">
        <v>0.32357169385823997</v>
      </c>
      <c r="AQ61" s="111">
        <v>6.5756761319588204</v>
      </c>
    </row>
    <row r="62" spans="2:43" ht="12" customHeight="1" x14ac:dyDescent="0.25">
      <c r="B62" s="109" t="s">
        <v>39</v>
      </c>
      <c r="C62" s="110" t="s">
        <v>23</v>
      </c>
      <c r="D62" s="110" t="s">
        <v>25</v>
      </c>
      <c r="E62" s="110" t="s">
        <v>25</v>
      </c>
      <c r="F62" s="110" t="s">
        <v>25</v>
      </c>
      <c r="G62" s="110" t="s">
        <v>25</v>
      </c>
      <c r="H62" s="110" t="s">
        <v>90</v>
      </c>
      <c r="I62" s="110" t="s">
        <v>25</v>
      </c>
      <c r="J62" s="110">
        <v>466.62</v>
      </c>
      <c r="K62" s="110">
        <v>283.87</v>
      </c>
      <c r="L62" s="110">
        <v>10.329794751400501</v>
      </c>
      <c r="M62" s="110">
        <v>0.87002339922857297</v>
      </c>
      <c r="N62" s="110">
        <v>4.54967509501276</v>
      </c>
      <c r="O62" s="110">
        <v>-1.52855594983685E-3</v>
      </c>
      <c r="P62" s="110">
        <v>0</v>
      </c>
      <c r="Q62" s="110">
        <v>40.658079169042502</v>
      </c>
      <c r="R62" s="110">
        <v>16.6908214343655</v>
      </c>
      <c r="S62" s="110">
        <v>0</v>
      </c>
      <c r="T62" s="110">
        <v>34.9288789864111</v>
      </c>
      <c r="U62" s="110">
        <v>8.9713162790183194</v>
      </c>
      <c r="V62" s="110">
        <v>2.4614720729020001</v>
      </c>
      <c r="W62" s="110">
        <v>0</v>
      </c>
      <c r="X62" s="110">
        <v>1.4112545651555199</v>
      </c>
      <c r="Y62" s="110">
        <v>0</v>
      </c>
      <c r="Z62" s="110">
        <v>0</v>
      </c>
      <c r="AA62" s="110">
        <v>258.27356877652602</v>
      </c>
      <c r="AB62" s="110">
        <v>0.594882200737614</v>
      </c>
      <c r="AC62" s="110">
        <v>0</v>
      </c>
      <c r="AD62" s="110">
        <v>38.734204851276502</v>
      </c>
      <c r="AE62" s="110">
        <v>2.23669555156915</v>
      </c>
      <c r="AF62" s="110">
        <v>34.631913335369397</v>
      </c>
      <c r="AG62" s="110">
        <v>11.2783743936749</v>
      </c>
      <c r="AH62" s="110">
        <v>30.376179604110799</v>
      </c>
      <c r="AI62" s="110">
        <v>2.6620626617255101</v>
      </c>
      <c r="AJ62" s="110">
        <v>19.297483720172998</v>
      </c>
      <c r="AK62" s="110">
        <v>0</v>
      </c>
      <c r="AL62" s="110">
        <v>224.618384250677</v>
      </c>
      <c r="AM62" s="110">
        <v>0</v>
      </c>
      <c r="AN62" s="110">
        <v>0</v>
      </c>
      <c r="AO62" s="110">
        <v>0</v>
      </c>
      <c r="AP62" s="110">
        <v>0.33910812512287702</v>
      </c>
      <c r="AQ62" s="111">
        <v>6.5756761319588204</v>
      </c>
    </row>
    <row r="63" spans="2:43" ht="12" customHeight="1" x14ac:dyDescent="0.25">
      <c r="B63" s="109" t="s">
        <v>39</v>
      </c>
      <c r="C63" s="110" t="s">
        <v>103</v>
      </c>
      <c r="D63" s="110" t="s">
        <v>25</v>
      </c>
      <c r="E63" s="110" t="s">
        <v>25</v>
      </c>
      <c r="F63" s="110" t="s">
        <v>25</v>
      </c>
      <c r="G63" s="110" t="s">
        <v>25</v>
      </c>
      <c r="H63" s="110" t="s">
        <v>90</v>
      </c>
      <c r="I63" s="110" t="s">
        <v>25</v>
      </c>
      <c r="J63" s="110">
        <v>466.62</v>
      </c>
      <c r="K63" s="110">
        <v>283.87</v>
      </c>
      <c r="L63" s="110">
        <v>10.329794751400501</v>
      </c>
      <c r="M63" s="110">
        <v>0.87002339922857297</v>
      </c>
      <c r="N63" s="110">
        <v>4.54967509501276</v>
      </c>
      <c r="O63" s="110">
        <v>-1.52855594983685E-3</v>
      </c>
      <c r="P63" s="110">
        <v>0</v>
      </c>
      <c r="Q63" s="110">
        <v>40.658079169042502</v>
      </c>
      <c r="R63" s="110">
        <v>16.6908214343655</v>
      </c>
      <c r="S63" s="110">
        <v>0</v>
      </c>
      <c r="T63" s="110">
        <v>34.9288789864111</v>
      </c>
      <c r="U63" s="110">
        <v>8.9713162790183194</v>
      </c>
      <c r="V63" s="110">
        <v>2.4614720729020001</v>
      </c>
      <c r="W63" s="110">
        <v>0</v>
      </c>
      <c r="X63" s="110">
        <v>1.4112545651555199</v>
      </c>
      <c r="Y63" s="110">
        <v>0</v>
      </c>
      <c r="Z63" s="110">
        <v>0</v>
      </c>
      <c r="AA63" s="110">
        <v>258.27356877652602</v>
      </c>
      <c r="AB63" s="110">
        <v>0.594882200737614</v>
      </c>
      <c r="AC63" s="110">
        <v>0</v>
      </c>
      <c r="AD63" s="110">
        <v>38.734204851276502</v>
      </c>
      <c r="AE63" s="110">
        <v>2.23669555156915</v>
      </c>
      <c r="AF63" s="110">
        <v>34.631913335369397</v>
      </c>
      <c r="AG63" s="110">
        <v>11.2783743936749</v>
      </c>
      <c r="AH63" s="110">
        <v>30.376179604110799</v>
      </c>
      <c r="AI63" s="110">
        <v>2.6620626617255101</v>
      </c>
      <c r="AJ63" s="110">
        <v>19.297483720172998</v>
      </c>
      <c r="AK63" s="110">
        <v>0</v>
      </c>
      <c r="AL63" s="110">
        <v>224.618384250677</v>
      </c>
      <c r="AM63" s="110">
        <v>0</v>
      </c>
      <c r="AN63" s="110">
        <v>0</v>
      </c>
      <c r="AO63" s="110">
        <v>0</v>
      </c>
      <c r="AP63" s="110">
        <v>0.33910812512287702</v>
      </c>
      <c r="AQ63" s="111">
        <v>6.5756761319588204</v>
      </c>
    </row>
    <row r="64" spans="2:43" ht="12" customHeight="1" x14ac:dyDescent="0.25">
      <c r="B64" s="109" t="s">
        <v>47</v>
      </c>
      <c r="C64" s="110" t="s">
        <v>23</v>
      </c>
      <c r="D64" s="110" t="s">
        <v>48</v>
      </c>
      <c r="E64" s="110" t="s">
        <v>49</v>
      </c>
      <c r="F64" s="110" t="s">
        <v>25</v>
      </c>
      <c r="G64" s="110" t="s">
        <v>25</v>
      </c>
      <c r="H64" s="110" t="s">
        <v>90</v>
      </c>
      <c r="I64" s="110" t="s">
        <v>25</v>
      </c>
      <c r="J64" s="110">
        <v>256.64</v>
      </c>
      <c r="K64" s="110">
        <v>156.13</v>
      </c>
      <c r="L64" s="110">
        <v>5.6813871132702696</v>
      </c>
      <c r="M64" s="110">
        <v>0.47851286957571498</v>
      </c>
      <c r="N64" s="110">
        <v>2.5023213022570201</v>
      </c>
      <c r="O64" s="110">
        <v>-8.4070577241027004E-4</v>
      </c>
      <c r="P64" s="110">
        <v>0</v>
      </c>
      <c r="Q64" s="110">
        <v>22.3619435429734</v>
      </c>
      <c r="R64" s="110">
        <v>9.1799517889010307</v>
      </c>
      <c r="S64" s="110">
        <v>0</v>
      </c>
      <c r="T64" s="110">
        <v>19.2108834425261</v>
      </c>
      <c r="U64" s="110">
        <v>4.93422395346008</v>
      </c>
      <c r="V64" s="110">
        <v>1.3538096400960999</v>
      </c>
      <c r="W64" s="110">
        <v>0</v>
      </c>
      <c r="X64" s="110">
        <v>0.77619001083553596</v>
      </c>
      <c r="Y64" s="110">
        <v>0</v>
      </c>
      <c r="Z64" s="110">
        <v>0</v>
      </c>
      <c r="AA64" s="110">
        <v>142.05046282708901</v>
      </c>
      <c r="AB64" s="110">
        <v>0.32718521040568799</v>
      </c>
      <c r="AC64" s="110">
        <v>0</v>
      </c>
      <c r="AD64" s="110">
        <v>21.303812668202099</v>
      </c>
      <c r="AE64" s="110">
        <v>1.23018255336303</v>
      </c>
      <c r="AF64" s="110">
        <v>19.047552334453201</v>
      </c>
      <c r="AG64" s="110">
        <v>6.2031059165212099</v>
      </c>
      <c r="AH64" s="110">
        <v>16.7068987822609</v>
      </c>
      <c r="AI64" s="110">
        <v>1.4641344639490299</v>
      </c>
      <c r="AJ64" s="110">
        <v>10.613616046095199</v>
      </c>
      <c r="AK64" s="110">
        <v>0</v>
      </c>
      <c r="AL64" s="110">
        <v>123.54011133787201</v>
      </c>
      <c r="AM64" s="110">
        <v>0</v>
      </c>
      <c r="AN64" s="110">
        <v>0</v>
      </c>
      <c r="AO64" s="110">
        <v>0</v>
      </c>
      <c r="AP64" s="110">
        <v>0.18650946881758201</v>
      </c>
      <c r="AQ64" s="111">
        <v>3.6166218725773498</v>
      </c>
    </row>
    <row r="65" spans="2:43" ht="12" customHeight="1" x14ac:dyDescent="0.25">
      <c r="B65" s="112" t="s">
        <v>47</v>
      </c>
      <c r="C65" s="113" t="s">
        <v>23</v>
      </c>
      <c r="D65" s="113" t="s">
        <v>48</v>
      </c>
      <c r="E65" s="113" t="s">
        <v>106</v>
      </c>
      <c r="F65" s="113" t="s">
        <v>25</v>
      </c>
      <c r="G65" s="113" t="s">
        <v>25</v>
      </c>
      <c r="H65" s="113" t="s">
        <v>90</v>
      </c>
      <c r="I65" s="113" t="s">
        <v>25</v>
      </c>
      <c r="J65" s="113">
        <v>279.97000000000003</v>
      </c>
      <c r="K65" s="113">
        <v>170.32</v>
      </c>
      <c r="L65" s="113">
        <v>6.1978768508402897</v>
      </c>
      <c r="M65" s="113">
        <v>0.52201403953714398</v>
      </c>
      <c r="N65" s="113">
        <v>2.7298050570076602</v>
      </c>
      <c r="O65" s="113">
        <v>-9.1713356990211204E-4</v>
      </c>
      <c r="P65" s="113">
        <v>0</v>
      </c>
      <c r="Q65" s="113">
        <v>24.394847501425499</v>
      </c>
      <c r="R65" s="113">
        <v>10.014492860619301</v>
      </c>
      <c r="S65" s="113">
        <v>0</v>
      </c>
      <c r="T65" s="113">
        <v>20.957327391846601</v>
      </c>
      <c r="U65" s="113">
        <v>5.3827897674109897</v>
      </c>
      <c r="V65" s="113">
        <v>1.4768832437412001</v>
      </c>
      <c r="W65" s="113">
        <v>0</v>
      </c>
      <c r="X65" s="113">
        <v>0.84675273909331195</v>
      </c>
      <c r="Y65" s="113">
        <v>0</v>
      </c>
      <c r="Z65" s="113">
        <v>0</v>
      </c>
      <c r="AA65" s="113">
        <v>154.964141265915</v>
      </c>
      <c r="AB65" s="113">
        <v>0.35692932044256798</v>
      </c>
      <c r="AC65" s="113">
        <v>0</v>
      </c>
      <c r="AD65" s="113">
        <v>23.2405229107659</v>
      </c>
      <c r="AE65" s="113">
        <v>1.34201733094149</v>
      </c>
      <c r="AF65" s="113">
        <v>20.7791480012216</v>
      </c>
      <c r="AG65" s="113">
        <v>6.76702463620496</v>
      </c>
      <c r="AH65" s="113">
        <v>18.225707762466499</v>
      </c>
      <c r="AI65" s="113">
        <v>1.5972375970353101</v>
      </c>
      <c r="AJ65" s="113">
        <v>11.5784902321038</v>
      </c>
      <c r="AK65" s="113">
        <v>0</v>
      </c>
      <c r="AL65" s="113">
        <v>134.77103055040601</v>
      </c>
      <c r="AM65" s="113">
        <v>0</v>
      </c>
      <c r="AN65" s="113">
        <v>0</v>
      </c>
      <c r="AO65" s="113">
        <v>0</v>
      </c>
      <c r="AP65" s="113">
        <v>0.20346487507372599</v>
      </c>
      <c r="AQ65" s="114">
        <v>3.9454056791752898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C37C4-BD98-435B-828B-4CFD6D9399E1}">
  <dimension ref="B1:AQ65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2" bestFit="1" customWidth="1"/>
    <col min="34" max="34" width="16.5703125" bestFit="1" customWidth="1"/>
    <col min="35" max="35" width="12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51" t="s">
        <v>1475</v>
      </c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2"/>
      <c r="AH1" s="151" t="s">
        <v>1476</v>
      </c>
      <c r="AI1" s="151"/>
      <c r="AJ1" s="151"/>
      <c r="AK1" s="151"/>
      <c r="AL1" s="151"/>
      <c r="AM1" s="151"/>
      <c r="AN1" s="151"/>
      <c r="AO1" s="151"/>
      <c r="AP1" s="151"/>
      <c r="AQ1" s="151"/>
    </row>
    <row r="2" spans="2:43" ht="12" customHeight="1" x14ac:dyDescent="0.25">
      <c r="L2" s="153" t="s">
        <v>755</v>
      </c>
      <c r="M2" s="153"/>
      <c r="N2" s="153"/>
      <c r="O2" s="153"/>
      <c r="P2" s="153"/>
      <c r="Q2" s="153"/>
      <c r="R2" s="153"/>
      <c r="S2" s="154"/>
      <c r="T2" s="153" t="s">
        <v>764</v>
      </c>
      <c r="U2" s="153"/>
      <c r="V2" s="153"/>
      <c r="W2" s="153"/>
      <c r="X2" s="153"/>
      <c r="Y2" s="153"/>
      <c r="Z2" s="154"/>
      <c r="AA2" s="115" t="s">
        <v>772</v>
      </c>
      <c r="AB2" s="153" t="s">
        <v>25</v>
      </c>
      <c r="AC2" s="154"/>
      <c r="AD2" s="153" t="s">
        <v>1474</v>
      </c>
      <c r="AE2" s="153"/>
      <c r="AF2" s="153"/>
      <c r="AG2" s="154"/>
      <c r="AH2" s="153" t="s">
        <v>755</v>
      </c>
      <c r="AI2" s="153"/>
      <c r="AJ2" s="153"/>
      <c r="AK2" s="154"/>
      <c r="AL2" s="115" t="s">
        <v>785</v>
      </c>
      <c r="AM2" s="153" t="s">
        <v>764</v>
      </c>
      <c r="AN2" s="153"/>
      <c r="AO2" s="153"/>
      <c r="AP2" s="154"/>
      <c r="AQ2" s="116" t="s">
        <v>1474</v>
      </c>
    </row>
    <row r="3" spans="2:43" ht="12" customHeight="1" x14ac:dyDescent="0.25">
      <c r="B3" s="106" t="s">
        <v>80</v>
      </c>
      <c r="C3" s="107" t="s">
        <v>81</v>
      </c>
      <c r="D3" s="107" t="s">
        <v>82</v>
      </c>
      <c r="E3" s="107" t="s">
        <v>83</v>
      </c>
      <c r="F3" s="107" t="s">
        <v>84</v>
      </c>
      <c r="G3" s="107" t="s">
        <v>86</v>
      </c>
      <c r="H3" s="107" t="s">
        <v>87</v>
      </c>
      <c r="I3" s="107" t="s">
        <v>1035</v>
      </c>
      <c r="J3" s="107" t="s">
        <v>1439</v>
      </c>
      <c r="K3" s="107" t="s">
        <v>1440</v>
      </c>
      <c r="L3" s="107" t="s">
        <v>1441</v>
      </c>
      <c r="M3" s="107" t="s">
        <v>1442</v>
      </c>
      <c r="N3" s="107" t="s">
        <v>1443</v>
      </c>
      <c r="O3" s="107" t="s">
        <v>1444</v>
      </c>
      <c r="P3" s="107" t="s">
        <v>1445</v>
      </c>
      <c r="Q3" s="107" t="s">
        <v>1446</v>
      </c>
      <c r="R3" s="107" t="s">
        <v>1447</v>
      </c>
      <c r="S3" s="107" t="s">
        <v>1448</v>
      </c>
      <c r="T3" s="107" t="s">
        <v>1449</v>
      </c>
      <c r="U3" s="107" t="s">
        <v>1450</v>
      </c>
      <c r="V3" s="107" t="s">
        <v>1451</v>
      </c>
      <c r="W3" s="107" t="s">
        <v>1452</v>
      </c>
      <c r="X3" s="107" t="s">
        <v>1453</v>
      </c>
      <c r="Y3" s="107" t="s">
        <v>1454</v>
      </c>
      <c r="Z3" s="107" t="s">
        <v>1455</v>
      </c>
      <c r="AA3" s="107" t="s">
        <v>1456</v>
      </c>
      <c r="AB3" s="107" t="s">
        <v>1457</v>
      </c>
      <c r="AC3" s="107" t="s">
        <v>1458</v>
      </c>
      <c r="AD3" s="107" t="s">
        <v>1459</v>
      </c>
      <c r="AE3" s="107" t="s">
        <v>1460</v>
      </c>
      <c r="AF3" s="107" t="s">
        <v>1461</v>
      </c>
      <c r="AG3" s="107" t="s">
        <v>1462</v>
      </c>
      <c r="AH3" s="107" t="s">
        <v>1463</v>
      </c>
      <c r="AI3" s="107" t="s">
        <v>1464</v>
      </c>
      <c r="AJ3" s="107" t="s">
        <v>1465</v>
      </c>
      <c r="AK3" s="107" t="s">
        <v>1466</v>
      </c>
      <c r="AL3" s="107" t="s">
        <v>1467</v>
      </c>
      <c r="AM3" s="107" t="s">
        <v>1468</v>
      </c>
      <c r="AN3" s="107" t="s">
        <v>1469</v>
      </c>
      <c r="AO3" s="107" t="s">
        <v>1470</v>
      </c>
      <c r="AP3" s="107" t="s">
        <v>1471</v>
      </c>
      <c r="AQ3" s="108" t="s">
        <v>1472</v>
      </c>
    </row>
    <row r="4" spans="2:43" ht="12" customHeight="1" x14ac:dyDescent="0.25">
      <c r="B4" s="109" t="s">
        <v>41</v>
      </c>
      <c r="C4" s="110" t="s">
        <v>42</v>
      </c>
      <c r="D4" s="110" t="s">
        <v>25</v>
      </c>
      <c r="E4" s="110" t="s">
        <v>25</v>
      </c>
      <c r="F4" s="110" t="s">
        <v>58</v>
      </c>
      <c r="G4" s="110" t="s">
        <v>35</v>
      </c>
      <c r="H4" s="110" t="s">
        <v>90</v>
      </c>
      <c r="I4" s="110" t="s">
        <v>25</v>
      </c>
      <c r="J4" s="110">
        <v>26.49</v>
      </c>
      <c r="K4" s="110">
        <v>0</v>
      </c>
      <c r="L4" s="110">
        <v>0</v>
      </c>
      <c r="M4" s="110">
        <v>0.102869954336412</v>
      </c>
      <c r="N4" s="110">
        <v>0.49032667439787703</v>
      </c>
      <c r="O4" s="110">
        <v>-1.52855594983685E-3</v>
      </c>
      <c r="P4" s="110">
        <v>0</v>
      </c>
      <c r="Q4" s="110">
        <v>0</v>
      </c>
      <c r="R4" s="110">
        <v>0</v>
      </c>
      <c r="S4" s="110">
        <v>0</v>
      </c>
      <c r="T4" s="110">
        <v>0</v>
      </c>
      <c r="U4" s="110">
        <v>0</v>
      </c>
      <c r="V4" s="110">
        <v>0</v>
      </c>
      <c r="W4" s="110">
        <v>0</v>
      </c>
      <c r="X4" s="110">
        <v>0</v>
      </c>
      <c r="Y4" s="110">
        <v>0</v>
      </c>
      <c r="Z4" s="110">
        <v>0</v>
      </c>
      <c r="AA4" s="110">
        <v>0</v>
      </c>
      <c r="AB4" s="110">
        <v>0</v>
      </c>
      <c r="AC4" s="110">
        <v>0</v>
      </c>
      <c r="AD4" s="110">
        <v>7.2035347881745597</v>
      </c>
      <c r="AE4" s="110">
        <v>0.41596605063012299</v>
      </c>
      <c r="AF4" s="110">
        <v>14.3330762284785</v>
      </c>
      <c r="AG4" s="110">
        <v>3.9475516038595502</v>
      </c>
      <c r="AH4" s="110">
        <v>0</v>
      </c>
      <c r="AI4" s="110">
        <v>0</v>
      </c>
      <c r="AJ4" s="110">
        <v>0</v>
      </c>
      <c r="AK4" s="110">
        <v>0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  <c r="AQ4" s="111">
        <v>0</v>
      </c>
    </row>
    <row r="5" spans="2:43" ht="12" customHeight="1" x14ac:dyDescent="0.25">
      <c r="B5" s="109" t="s">
        <v>41</v>
      </c>
      <c r="C5" s="110" t="s">
        <v>42</v>
      </c>
      <c r="D5" s="110" t="s">
        <v>25</v>
      </c>
      <c r="E5" s="110" t="s">
        <v>25</v>
      </c>
      <c r="F5" s="110" t="s">
        <v>58</v>
      </c>
      <c r="G5" s="110" t="s">
        <v>35</v>
      </c>
      <c r="H5" s="110" t="s">
        <v>93</v>
      </c>
      <c r="I5" s="110" t="s">
        <v>25</v>
      </c>
      <c r="J5" s="110">
        <v>35.03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0">
        <v>0</v>
      </c>
      <c r="T5" s="110">
        <v>17.261331359085499</v>
      </c>
      <c r="U5" s="110">
        <v>3.3585096988034402</v>
      </c>
      <c r="V5" s="110">
        <v>0.91883486870488096</v>
      </c>
      <c r="W5" s="110">
        <v>0</v>
      </c>
      <c r="X5" s="110">
        <v>0.287437868704773</v>
      </c>
      <c r="Y5" s="110">
        <v>0</v>
      </c>
      <c r="Z5" s="110">
        <v>0</v>
      </c>
      <c r="AA5" s="110">
        <v>13.199016230166</v>
      </c>
      <c r="AB5" s="110">
        <v>0</v>
      </c>
      <c r="AC5" s="110">
        <v>0</v>
      </c>
      <c r="AD5" s="110">
        <v>0</v>
      </c>
      <c r="AE5" s="110">
        <v>0</v>
      </c>
      <c r="AF5" s="110">
        <v>0</v>
      </c>
      <c r="AG5" s="110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1">
        <v>0</v>
      </c>
    </row>
    <row r="6" spans="2:43" ht="12" customHeight="1" x14ac:dyDescent="0.25">
      <c r="B6" s="109" t="s">
        <v>41</v>
      </c>
      <c r="C6" s="110" t="s">
        <v>42</v>
      </c>
      <c r="D6" s="110" t="s">
        <v>25</v>
      </c>
      <c r="E6" s="110" t="s">
        <v>25</v>
      </c>
      <c r="F6" s="110" t="s">
        <v>58</v>
      </c>
      <c r="G6" s="110" t="s">
        <v>36</v>
      </c>
      <c r="H6" s="110" t="s">
        <v>90</v>
      </c>
      <c r="I6" s="110" t="s">
        <v>25</v>
      </c>
      <c r="J6" s="110">
        <v>26.49</v>
      </c>
      <c r="K6" s="110">
        <v>0</v>
      </c>
      <c r="L6" s="110">
        <v>0</v>
      </c>
      <c r="M6" s="110">
        <v>0.102869954336412</v>
      </c>
      <c r="N6" s="110">
        <v>0.49032667439787703</v>
      </c>
      <c r="O6" s="110">
        <v>-1.52855594983685E-3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0</v>
      </c>
      <c r="AA6" s="110">
        <v>0</v>
      </c>
      <c r="AB6" s="110">
        <v>0</v>
      </c>
      <c r="AC6" s="110">
        <v>0</v>
      </c>
      <c r="AD6" s="110">
        <v>7.2035347881745597</v>
      </c>
      <c r="AE6" s="110">
        <v>0.41596605063012299</v>
      </c>
      <c r="AF6" s="110">
        <v>14.3330762284785</v>
      </c>
      <c r="AG6" s="110">
        <v>3.9475516038595502</v>
      </c>
      <c r="AH6" s="110">
        <v>0</v>
      </c>
      <c r="AI6" s="110">
        <v>0</v>
      </c>
      <c r="AJ6" s="110">
        <v>0</v>
      </c>
      <c r="AK6" s="110">
        <v>0</v>
      </c>
      <c r="AL6" s="110">
        <v>0</v>
      </c>
      <c r="AM6" s="110">
        <v>0</v>
      </c>
      <c r="AN6" s="110">
        <v>0</v>
      </c>
      <c r="AO6" s="110">
        <v>0</v>
      </c>
      <c r="AP6" s="110">
        <v>0</v>
      </c>
      <c r="AQ6" s="111">
        <v>0</v>
      </c>
    </row>
    <row r="7" spans="2:43" ht="12" customHeight="1" x14ac:dyDescent="0.25">
      <c r="B7" s="109" t="s">
        <v>41</v>
      </c>
      <c r="C7" s="110" t="s">
        <v>42</v>
      </c>
      <c r="D7" s="110" t="s">
        <v>25</v>
      </c>
      <c r="E7" s="110" t="s">
        <v>25</v>
      </c>
      <c r="F7" s="110" t="s">
        <v>58</v>
      </c>
      <c r="G7" s="110" t="s">
        <v>36</v>
      </c>
      <c r="H7" s="110" t="s">
        <v>93</v>
      </c>
      <c r="I7" s="110" t="s">
        <v>25</v>
      </c>
      <c r="J7" s="110">
        <v>20.49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15.234438069127499</v>
      </c>
      <c r="U7" s="110">
        <v>2.9748462134276199</v>
      </c>
      <c r="V7" s="110">
        <v>0.82945911892146895</v>
      </c>
      <c r="W7" s="110">
        <v>0</v>
      </c>
      <c r="X7" s="110">
        <v>0.12906832194948301</v>
      </c>
      <c r="Y7" s="110">
        <v>0</v>
      </c>
      <c r="Z7" s="110">
        <v>0</v>
      </c>
      <c r="AA7" s="110">
        <v>1.3198590029248001</v>
      </c>
      <c r="AB7" s="110">
        <v>0</v>
      </c>
      <c r="AC7" s="110">
        <v>0</v>
      </c>
      <c r="AD7" s="110">
        <v>0</v>
      </c>
      <c r="AE7" s="110">
        <v>0</v>
      </c>
      <c r="AF7" s="110">
        <v>0</v>
      </c>
      <c r="AG7" s="110">
        <v>0</v>
      </c>
      <c r="AH7" s="110">
        <v>0</v>
      </c>
      <c r="AI7" s="110">
        <v>0</v>
      </c>
      <c r="AJ7" s="110">
        <v>0</v>
      </c>
      <c r="AK7" s="110">
        <v>0</v>
      </c>
      <c r="AL7" s="110">
        <v>0</v>
      </c>
      <c r="AM7" s="110">
        <v>0</v>
      </c>
      <c r="AN7" s="110">
        <v>0</v>
      </c>
      <c r="AO7" s="110">
        <v>0</v>
      </c>
      <c r="AP7" s="110">
        <v>0</v>
      </c>
      <c r="AQ7" s="111">
        <v>0</v>
      </c>
    </row>
    <row r="8" spans="2:43" ht="12" customHeight="1" x14ac:dyDescent="0.25">
      <c r="B8" s="109" t="s">
        <v>41</v>
      </c>
      <c r="C8" s="110" t="s">
        <v>42</v>
      </c>
      <c r="D8" s="110" t="s">
        <v>25</v>
      </c>
      <c r="E8" s="110" t="s">
        <v>25</v>
      </c>
      <c r="F8" s="110" t="s">
        <v>25</v>
      </c>
      <c r="G8" s="110" t="s">
        <v>35</v>
      </c>
      <c r="H8" s="110" t="s">
        <v>90</v>
      </c>
      <c r="I8" s="110" t="s">
        <v>25</v>
      </c>
      <c r="J8" s="110">
        <v>73.73</v>
      </c>
      <c r="K8" s="110">
        <v>407.77</v>
      </c>
      <c r="L8" s="110">
        <v>9.3292117148744804</v>
      </c>
      <c r="M8" s="110">
        <v>0.102869954336412</v>
      </c>
      <c r="N8" s="110">
        <v>0.50181957183389603</v>
      </c>
      <c r="O8" s="110">
        <v>-1.52855594983685E-3</v>
      </c>
      <c r="P8" s="110">
        <v>0</v>
      </c>
      <c r="Q8" s="110">
        <v>23.210039242381701</v>
      </c>
      <c r="R8" s="110">
        <v>14.687947346687601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0</v>
      </c>
      <c r="AC8" s="110">
        <v>0</v>
      </c>
      <c r="AD8" s="110">
        <v>7.2035347881745597</v>
      </c>
      <c r="AE8" s="110">
        <v>0.41596605063012299</v>
      </c>
      <c r="AF8" s="110">
        <v>14.3330762284785</v>
      </c>
      <c r="AG8" s="110">
        <v>3.9475516038595502</v>
      </c>
      <c r="AH8" s="110">
        <v>27.088155155584499</v>
      </c>
      <c r="AI8" s="110">
        <v>2.6620626617255101</v>
      </c>
      <c r="AJ8" s="110">
        <v>15.500642118478799</v>
      </c>
      <c r="AK8" s="110">
        <v>0</v>
      </c>
      <c r="AL8" s="110">
        <v>356.09869649973302</v>
      </c>
      <c r="AM8" s="110">
        <v>0</v>
      </c>
      <c r="AN8" s="110">
        <v>0</v>
      </c>
      <c r="AO8" s="110">
        <v>0</v>
      </c>
      <c r="AP8" s="110">
        <v>0</v>
      </c>
      <c r="AQ8" s="111">
        <v>6.4245530320723701</v>
      </c>
    </row>
    <row r="9" spans="2:43" ht="12" customHeight="1" x14ac:dyDescent="0.25">
      <c r="B9" s="109" t="s">
        <v>41</v>
      </c>
      <c r="C9" s="110" t="s">
        <v>42</v>
      </c>
      <c r="D9" s="110" t="s">
        <v>25</v>
      </c>
      <c r="E9" s="110" t="s">
        <v>25</v>
      </c>
      <c r="F9" s="110" t="s">
        <v>25</v>
      </c>
      <c r="G9" s="110" t="s">
        <v>35</v>
      </c>
      <c r="H9" s="110" t="s">
        <v>93</v>
      </c>
      <c r="I9" s="110" t="s">
        <v>25</v>
      </c>
      <c r="J9" s="110">
        <v>35.03</v>
      </c>
      <c r="K9" s="110">
        <v>0</v>
      </c>
      <c r="L9" s="110">
        <v>0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17.261331359085499</v>
      </c>
      <c r="U9" s="110">
        <v>3.3585096988034402</v>
      </c>
      <c r="V9" s="110">
        <v>0.91883486870488096</v>
      </c>
      <c r="W9" s="110">
        <v>0</v>
      </c>
      <c r="X9" s="110">
        <v>0.287437868704773</v>
      </c>
      <c r="Y9" s="110">
        <v>0</v>
      </c>
      <c r="Z9" s="110">
        <v>0</v>
      </c>
      <c r="AA9" s="110">
        <v>13.199016230166</v>
      </c>
      <c r="AB9" s="110">
        <v>0</v>
      </c>
      <c r="AC9" s="110">
        <v>0</v>
      </c>
      <c r="AD9" s="110">
        <v>0</v>
      </c>
      <c r="AE9" s="110">
        <v>0</v>
      </c>
      <c r="AF9" s="110">
        <v>0</v>
      </c>
      <c r="AG9" s="110">
        <v>0</v>
      </c>
      <c r="AH9" s="110">
        <v>0</v>
      </c>
      <c r="AI9" s="110">
        <v>0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1">
        <v>0</v>
      </c>
    </row>
    <row r="10" spans="2:43" ht="12" customHeight="1" x14ac:dyDescent="0.25">
      <c r="B10" s="109" t="s">
        <v>41</v>
      </c>
      <c r="C10" s="110" t="s">
        <v>42</v>
      </c>
      <c r="D10" s="110" t="s">
        <v>25</v>
      </c>
      <c r="E10" s="110" t="s">
        <v>25</v>
      </c>
      <c r="F10" s="110" t="s">
        <v>25</v>
      </c>
      <c r="G10" s="110" t="s">
        <v>36</v>
      </c>
      <c r="H10" s="110" t="s">
        <v>90</v>
      </c>
      <c r="I10" s="110" t="s">
        <v>25</v>
      </c>
      <c r="J10" s="110">
        <v>73.73</v>
      </c>
      <c r="K10" s="110">
        <v>258.70999999999998</v>
      </c>
      <c r="L10" s="110">
        <v>9.3292117148744804</v>
      </c>
      <c r="M10" s="110">
        <v>0.102869954336412</v>
      </c>
      <c r="N10" s="110">
        <v>0.50181957183389603</v>
      </c>
      <c r="O10" s="110">
        <v>-1.52855594983685E-3</v>
      </c>
      <c r="P10" s="110">
        <v>0</v>
      </c>
      <c r="Q10" s="110">
        <v>23.210039242381701</v>
      </c>
      <c r="R10" s="110">
        <v>14.687947346687601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0</v>
      </c>
      <c r="AC10" s="110">
        <v>0</v>
      </c>
      <c r="AD10" s="110">
        <v>7.2035347881745597</v>
      </c>
      <c r="AE10" s="110">
        <v>0.41596605063012299</v>
      </c>
      <c r="AF10" s="110">
        <v>14.3330762284785</v>
      </c>
      <c r="AG10" s="110">
        <v>3.9475516038595502</v>
      </c>
      <c r="AH10" s="110">
        <v>27.088155155584499</v>
      </c>
      <c r="AI10" s="110">
        <v>2.6620626617255101</v>
      </c>
      <c r="AJ10" s="110">
        <v>15.500642118478799</v>
      </c>
      <c r="AK10" s="110">
        <v>0</v>
      </c>
      <c r="AL10" s="110">
        <v>207.03412587193799</v>
      </c>
      <c r="AM10" s="110">
        <v>0</v>
      </c>
      <c r="AN10" s="110">
        <v>0</v>
      </c>
      <c r="AO10" s="110">
        <v>0</v>
      </c>
      <c r="AP10" s="110">
        <v>0</v>
      </c>
      <c r="AQ10" s="111">
        <v>6.4245530320723701</v>
      </c>
    </row>
    <row r="11" spans="2:43" ht="12" customHeight="1" x14ac:dyDescent="0.25">
      <c r="B11" s="109" t="s">
        <v>41</v>
      </c>
      <c r="C11" s="110" t="s">
        <v>42</v>
      </c>
      <c r="D11" s="110" t="s">
        <v>25</v>
      </c>
      <c r="E11" s="110" t="s">
        <v>25</v>
      </c>
      <c r="F11" s="110" t="s">
        <v>25</v>
      </c>
      <c r="G11" s="110" t="s">
        <v>36</v>
      </c>
      <c r="H11" s="110" t="s">
        <v>93</v>
      </c>
      <c r="I11" s="110" t="s">
        <v>25</v>
      </c>
      <c r="J11" s="110">
        <v>20.49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15.234438069127499</v>
      </c>
      <c r="U11" s="110">
        <v>2.9748462134276199</v>
      </c>
      <c r="V11" s="110">
        <v>0.82945911892146895</v>
      </c>
      <c r="W11" s="110">
        <v>0</v>
      </c>
      <c r="X11" s="110">
        <v>0.12906832194948301</v>
      </c>
      <c r="Y11" s="110">
        <v>0</v>
      </c>
      <c r="Z11" s="110">
        <v>0</v>
      </c>
      <c r="AA11" s="110">
        <v>1.3198590029248001</v>
      </c>
      <c r="AB11" s="110">
        <v>0</v>
      </c>
      <c r="AC11" s="110">
        <v>0</v>
      </c>
      <c r="AD11" s="110">
        <v>0</v>
      </c>
      <c r="AE11" s="110">
        <v>0</v>
      </c>
      <c r="AF11" s="110">
        <v>0</v>
      </c>
      <c r="AG11" s="110">
        <v>0</v>
      </c>
      <c r="AH11" s="110">
        <v>0</v>
      </c>
      <c r="AI11" s="110">
        <v>0</v>
      </c>
      <c r="AJ11" s="110">
        <v>0</v>
      </c>
      <c r="AK11" s="110">
        <v>0</v>
      </c>
      <c r="AL11" s="110">
        <v>0</v>
      </c>
      <c r="AM11" s="110">
        <v>0</v>
      </c>
      <c r="AN11" s="110">
        <v>0</v>
      </c>
      <c r="AO11" s="110">
        <v>0</v>
      </c>
      <c r="AP11" s="110">
        <v>0</v>
      </c>
      <c r="AQ11" s="111">
        <v>0</v>
      </c>
    </row>
    <row r="12" spans="2:43" ht="12" customHeight="1" x14ac:dyDescent="0.25">
      <c r="B12" s="109" t="s">
        <v>41</v>
      </c>
      <c r="C12" s="110" t="s">
        <v>61</v>
      </c>
      <c r="D12" s="110" t="s">
        <v>25</v>
      </c>
      <c r="E12" s="110" t="s">
        <v>25</v>
      </c>
      <c r="F12" s="110" t="s">
        <v>25</v>
      </c>
      <c r="G12" s="110" t="s">
        <v>35</v>
      </c>
      <c r="H12" s="110" t="s">
        <v>93</v>
      </c>
      <c r="I12" s="110" t="s">
        <v>62</v>
      </c>
      <c r="J12" s="110">
        <v>35.03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17.261331359085499</v>
      </c>
      <c r="U12" s="110">
        <v>3.3585096988034402</v>
      </c>
      <c r="V12" s="110">
        <v>0.91883486870488096</v>
      </c>
      <c r="W12" s="110">
        <v>0</v>
      </c>
      <c r="X12" s="110">
        <v>0.287437868704773</v>
      </c>
      <c r="Y12" s="110">
        <v>0</v>
      </c>
      <c r="Z12" s="110">
        <v>0</v>
      </c>
      <c r="AA12" s="110">
        <v>13.199016230166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0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1">
        <v>0</v>
      </c>
    </row>
    <row r="13" spans="2:43" ht="12" customHeight="1" x14ac:dyDescent="0.25">
      <c r="B13" s="109" t="s">
        <v>41</v>
      </c>
      <c r="C13" s="110" t="s">
        <v>61</v>
      </c>
      <c r="D13" s="110" t="s">
        <v>25</v>
      </c>
      <c r="E13" s="110" t="s">
        <v>25</v>
      </c>
      <c r="F13" s="110" t="s">
        <v>25</v>
      </c>
      <c r="G13" s="110" t="s">
        <v>25</v>
      </c>
      <c r="H13" s="110" t="s">
        <v>90</v>
      </c>
      <c r="I13" s="110" t="s">
        <v>62</v>
      </c>
      <c r="J13" s="110">
        <v>7.62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7.2035347881745597</v>
      </c>
      <c r="AE13" s="110">
        <v>0.41596605063012299</v>
      </c>
      <c r="AF13" s="110">
        <v>0</v>
      </c>
      <c r="AG13" s="110">
        <v>0</v>
      </c>
      <c r="AH13" s="110">
        <v>0</v>
      </c>
      <c r="AI13" s="110">
        <v>0</v>
      </c>
      <c r="AJ13" s="110">
        <v>0</v>
      </c>
      <c r="AK13" s="110">
        <v>0</v>
      </c>
      <c r="AL13" s="110">
        <v>0</v>
      </c>
      <c r="AM13" s="110">
        <v>0</v>
      </c>
      <c r="AN13" s="110">
        <v>0</v>
      </c>
      <c r="AO13" s="110">
        <v>0</v>
      </c>
      <c r="AP13" s="110">
        <v>0</v>
      </c>
      <c r="AQ13" s="111">
        <v>0</v>
      </c>
    </row>
    <row r="14" spans="2:43" ht="12" customHeight="1" x14ac:dyDescent="0.25">
      <c r="B14" s="109" t="s">
        <v>41</v>
      </c>
      <c r="C14" s="110" t="s">
        <v>61</v>
      </c>
      <c r="D14" s="110" t="s">
        <v>25</v>
      </c>
      <c r="E14" s="110" t="s">
        <v>25</v>
      </c>
      <c r="F14" s="110" t="s">
        <v>25</v>
      </c>
      <c r="G14" s="110" t="s">
        <v>36</v>
      </c>
      <c r="H14" s="110" t="s">
        <v>93</v>
      </c>
      <c r="I14" s="110" t="s">
        <v>62</v>
      </c>
      <c r="J14" s="110">
        <v>20.49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15.234438069127499</v>
      </c>
      <c r="U14" s="110">
        <v>2.9748462134276199</v>
      </c>
      <c r="V14" s="110">
        <v>0.82945911892146895</v>
      </c>
      <c r="W14" s="110">
        <v>0</v>
      </c>
      <c r="X14" s="110">
        <v>0.12906832194948301</v>
      </c>
      <c r="Y14" s="110">
        <v>0</v>
      </c>
      <c r="Z14" s="110">
        <v>0</v>
      </c>
      <c r="AA14" s="110">
        <v>1.3198590029248001</v>
      </c>
      <c r="AB14" s="110">
        <v>0</v>
      </c>
      <c r="AC14" s="110">
        <v>0</v>
      </c>
      <c r="AD14" s="110">
        <v>0</v>
      </c>
      <c r="AE14" s="110">
        <v>0</v>
      </c>
      <c r="AF14" s="110">
        <v>0</v>
      </c>
      <c r="AG14" s="110">
        <v>0</v>
      </c>
      <c r="AH14" s="110">
        <v>0</v>
      </c>
      <c r="AI14" s="110">
        <v>0</v>
      </c>
      <c r="AJ14" s="110">
        <v>0</v>
      </c>
      <c r="AK14" s="110">
        <v>0</v>
      </c>
      <c r="AL14" s="110">
        <v>0</v>
      </c>
      <c r="AM14" s="110">
        <v>0</v>
      </c>
      <c r="AN14" s="110">
        <v>0</v>
      </c>
      <c r="AO14" s="110">
        <v>0</v>
      </c>
      <c r="AP14" s="110">
        <v>0</v>
      </c>
      <c r="AQ14" s="111">
        <v>0</v>
      </c>
    </row>
    <row r="15" spans="2:43" ht="12" customHeight="1" x14ac:dyDescent="0.25">
      <c r="B15" s="109" t="s">
        <v>41</v>
      </c>
      <c r="C15" s="110" t="s">
        <v>64</v>
      </c>
      <c r="D15" s="110" t="s">
        <v>25</v>
      </c>
      <c r="E15" s="110" t="s">
        <v>25</v>
      </c>
      <c r="F15" s="110" t="s">
        <v>25</v>
      </c>
      <c r="G15" s="110" t="s">
        <v>25</v>
      </c>
      <c r="H15" s="110" t="s">
        <v>93</v>
      </c>
      <c r="I15" s="110" t="s">
        <v>25</v>
      </c>
      <c r="J15" s="110">
        <v>17.23</v>
      </c>
      <c r="K15" s="110">
        <v>0</v>
      </c>
      <c r="L15" s="110">
        <v>0</v>
      </c>
      <c r="M15" s="110">
        <v>8.2004525177123894E-2</v>
      </c>
      <c r="N15" s="110">
        <v>0.21579513440509199</v>
      </c>
      <c r="O15" s="110">
        <v>6.61662942407369E-3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0.22865608436787199</v>
      </c>
      <c r="W15" s="110">
        <v>0</v>
      </c>
      <c r="X15" s="110">
        <v>0.27417881268932498</v>
      </c>
      <c r="Y15" s="110">
        <v>0</v>
      </c>
      <c r="Z15" s="110">
        <v>0</v>
      </c>
      <c r="AA15" s="110">
        <v>15.075239725095599</v>
      </c>
      <c r="AB15" s="110">
        <v>0</v>
      </c>
      <c r="AC15" s="110">
        <v>0</v>
      </c>
      <c r="AD15" s="110">
        <v>1.1031740771482501</v>
      </c>
      <c r="AE15" s="110">
        <v>0.24212517968193201</v>
      </c>
      <c r="AF15" s="110">
        <v>0</v>
      </c>
      <c r="AG15" s="110">
        <v>0</v>
      </c>
      <c r="AH15" s="110">
        <v>0</v>
      </c>
      <c r="AI15" s="110">
        <v>0</v>
      </c>
      <c r="AJ15" s="110">
        <v>0</v>
      </c>
      <c r="AK15" s="110">
        <v>0</v>
      </c>
      <c r="AL15" s="110">
        <v>0</v>
      </c>
      <c r="AM15" s="110">
        <v>0</v>
      </c>
      <c r="AN15" s="110">
        <v>0</v>
      </c>
      <c r="AO15" s="110">
        <v>0</v>
      </c>
      <c r="AP15" s="110">
        <v>0</v>
      </c>
      <c r="AQ15" s="111">
        <v>0</v>
      </c>
    </row>
    <row r="16" spans="2:43" ht="12" customHeight="1" x14ac:dyDescent="0.25">
      <c r="B16" s="109" t="s">
        <v>33</v>
      </c>
      <c r="C16" s="110" t="s">
        <v>42</v>
      </c>
      <c r="D16" s="110" t="s">
        <v>25</v>
      </c>
      <c r="E16" s="110" t="s">
        <v>25</v>
      </c>
      <c r="F16" s="110" t="s">
        <v>58</v>
      </c>
      <c r="G16" s="110" t="s">
        <v>35</v>
      </c>
      <c r="H16" s="110" t="s">
        <v>90</v>
      </c>
      <c r="I16" s="110" t="s">
        <v>25</v>
      </c>
      <c r="J16" s="110">
        <v>55.29</v>
      </c>
      <c r="K16" s="110">
        <v>0</v>
      </c>
      <c r="L16" s="110">
        <v>0</v>
      </c>
      <c r="M16" s="110">
        <v>0.59123526912061697</v>
      </c>
      <c r="N16" s="110">
        <v>1.02164472704829</v>
      </c>
      <c r="O16" s="110">
        <v>-1.52855594983685E-3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18.552686186128501</v>
      </c>
      <c r="AE16" s="110">
        <v>1.07131954357918</v>
      </c>
      <c r="AF16" s="110">
        <v>26.701575255252099</v>
      </c>
      <c r="AG16" s="110">
        <v>7.3540281614504401</v>
      </c>
      <c r="AH16" s="110">
        <v>0</v>
      </c>
      <c r="AI16" s="110">
        <v>0</v>
      </c>
      <c r="AJ16" s="110">
        <v>0</v>
      </c>
      <c r="AK16" s="110">
        <v>0</v>
      </c>
      <c r="AL16" s="110">
        <v>0</v>
      </c>
      <c r="AM16" s="110">
        <v>0</v>
      </c>
      <c r="AN16" s="110">
        <v>0</v>
      </c>
      <c r="AO16" s="110">
        <v>0</v>
      </c>
      <c r="AP16" s="110">
        <v>0</v>
      </c>
      <c r="AQ16" s="111">
        <v>0</v>
      </c>
    </row>
    <row r="17" spans="2:43" ht="12" customHeight="1" x14ac:dyDescent="0.25">
      <c r="B17" s="109" t="s">
        <v>33</v>
      </c>
      <c r="C17" s="110" t="s">
        <v>42</v>
      </c>
      <c r="D17" s="110" t="s">
        <v>25</v>
      </c>
      <c r="E17" s="110" t="s">
        <v>25</v>
      </c>
      <c r="F17" s="110" t="s">
        <v>58</v>
      </c>
      <c r="G17" s="110" t="s">
        <v>35</v>
      </c>
      <c r="H17" s="110" t="s">
        <v>93</v>
      </c>
      <c r="I17" s="110" t="s">
        <v>25</v>
      </c>
      <c r="J17" s="110">
        <v>72.53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12.2053448222252</v>
      </c>
      <c r="U17" s="110">
        <v>2.38711462363116</v>
      </c>
      <c r="V17" s="110">
        <v>0.64885905887331596</v>
      </c>
      <c r="W17" s="110">
        <v>0</v>
      </c>
      <c r="X17" s="110">
        <v>0.52538014930552002</v>
      </c>
      <c r="Y17" s="110">
        <v>0</v>
      </c>
      <c r="Z17" s="110">
        <v>0</v>
      </c>
      <c r="AA17" s="110">
        <v>56.759611686560604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0</v>
      </c>
      <c r="AO17" s="110">
        <v>0</v>
      </c>
      <c r="AP17" s="110">
        <v>0</v>
      </c>
      <c r="AQ17" s="111">
        <v>0</v>
      </c>
    </row>
    <row r="18" spans="2:43" ht="12" customHeight="1" x14ac:dyDescent="0.25">
      <c r="B18" s="109" t="s">
        <v>33</v>
      </c>
      <c r="C18" s="110" t="s">
        <v>42</v>
      </c>
      <c r="D18" s="110" t="s">
        <v>25</v>
      </c>
      <c r="E18" s="110" t="s">
        <v>25</v>
      </c>
      <c r="F18" s="110" t="s">
        <v>58</v>
      </c>
      <c r="G18" s="110" t="s">
        <v>36</v>
      </c>
      <c r="H18" s="110" t="s">
        <v>90</v>
      </c>
      <c r="I18" s="110" t="s">
        <v>25</v>
      </c>
      <c r="J18" s="110">
        <v>55.29</v>
      </c>
      <c r="K18" s="110">
        <v>0</v>
      </c>
      <c r="L18" s="110">
        <v>0</v>
      </c>
      <c r="M18" s="110">
        <v>0.59123526912061697</v>
      </c>
      <c r="N18" s="110">
        <v>1.02164472704829</v>
      </c>
      <c r="O18" s="110">
        <v>-1.52855594983685E-3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18.552686186128501</v>
      </c>
      <c r="AE18" s="110">
        <v>1.07131954357918</v>
      </c>
      <c r="AF18" s="110">
        <v>26.701575255252099</v>
      </c>
      <c r="AG18" s="110">
        <v>7.3540281614504401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0">
        <v>0</v>
      </c>
      <c r="AN18" s="110">
        <v>0</v>
      </c>
      <c r="AO18" s="110">
        <v>0</v>
      </c>
      <c r="AP18" s="110">
        <v>0</v>
      </c>
      <c r="AQ18" s="111">
        <v>0</v>
      </c>
    </row>
    <row r="19" spans="2:43" ht="12" customHeight="1" x14ac:dyDescent="0.25">
      <c r="B19" s="109" t="s">
        <v>33</v>
      </c>
      <c r="C19" s="110" t="s">
        <v>42</v>
      </c>
      <c r="D19" s="110" t="s">
        <v>25</v>
      </c>
      <c r="E19" s="110" t="s">
        <v>25</v>
      </c>
      <c r="F19" s="110" t="s">
        <v>58</v>
      </c>
      <c r="G19" s="110" t="s">
        <v>36</v>
      </c>
      <c r="H19" s="110" t="s">
        <v>93</v>
      </c>
      <c r="I19" s="110" t="s">
        <v>25</v>
      </c>
      <c r="J19" s="110">
        <v>26.47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6.67008881333342</v>
      </c>
      <c r="U19" s="110">
        <v>1.30930826115718</v>
      </c>
      <c r="V19" s="110">
        <v>0.362690432422341</v>
      </c>
      <c r="W19" s="110">
        <v>0</v>
      </c>
      <c r="X19" s="110">
        <v>0.13884900953274501</v>
      </c>
      <c r="Y19" s="110">
        <v>0</v>
      </c>
      <c r="Z19" s="110">
        <v>0</v>
      </c>
      <c r="AA19" s="110">
        <v>17.984095708469098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  <c r="AG19" s="110">
        <v>0</v>
      </c>
      <c r="AH19" s="110">
        <v>0</v>
      </c>
      <c r="AI19" s="110">
        <v>0</v>
      </c>
      <c r="AJ19" s="110">
        <v>0</v>
      </c>
      <c r="AK19" s="110">
        <v>0</v>
      </c>
      <c r="AL19" s="110">
        <v>0</v>
      </c>
      <c r="AM19" s="110">
        <v>0</v>
      </c>
      <c r="AN19" s="110">
        <v>0</v>
      </c>
      <c r="AO19" s="110">
        <v>0</v>
      </c>
      <c r="AP19" s="110">
        <v>0</v>
      </c>
      <c r="AQ19" s="111">
        <v>0</v>
      </c>
    </row>
    <row r="20" spans="2:43" ht="12" customHeight="1" x14ac:dyDescent="0.25">
      <c r="B20" s="109" t="s">
        <v>33</v>
      </c>
      <c r="C20" s="110" t="s">
        <v>42</v>
      </c>
      <c r="D20" s="110" t="s">
        <v>25</v>
      </c>
      <c r="E20" s="110" t="s">
        <v>25</v>
      </c>
      <c r="F20" s="110" t="s">
        <v>25</v>
      </c>
      <c r="G20" s="110" t="s">
        <v>35</v>
      </c>
      <c r="H20" s="110" t="s">
        <v>90</v>
      </c>
      <c r="I20" s="110" t="s">
        <v>25</v>
      </c>
      <c r="J20" s="110">
        <v>114.08</v>
      </c>
      <c r="K20" s="110">
        <v>407.77</v>
      </c>
      <c r="L20" s="110">
        <v>12.639577162088001</v>
      </c>
      <c r="M20" s="110">
        <v>0.59123526912061697</v>
      </c>
      <c r="N20" s="110">
        <v>1.03313762448431</v>
      </c>
      <c r="O20" s="110">
        <v>-1.52855594983685E-3</v>
      </c>
      <c r="P20" s="110">
        <v>0</v>
      </c>
      <c r="Q20" s="110">
        <v>31.445859618710699</v>
      </c>
      <c r="R20" s="110">
        <v>14.687947346687601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0</v>
      </c>
      <c r="AD20" s="110">
        <v>18.552686186128501</v>
      </c>
      <c r="AE20" s="110">
        <v>1.07131954357918</v>
      </c>
      <c r="AF20" s="110">
        <v>26.701575255252099</v>
      </c>
      <c r="AG20" s="110">
        <v>7.3540281614504401</v>
      </c>
      <c r="AH20" s="110">
        <v>27.088155155584499</v>
      </c>
      <c r="AI20" s="110">
        <v>2.6620626617255101</v>
      </c>
      <c r="AJ20" s="110">
        <v>15.500642118478799</v>
      </c>
      <c r="AK20" s="110">
        <v>0</v>
      </c>
      <c r="AL20" s="110">
        <v>356.09869649973302</v>
      </c>
      <c r="AM20" s="110">
        <v>0</v>
      </c>
      <c r="AN20" s="110">
        <v>0</v>
      </c>
      <c r="AO20" s="110">
        <v>0</v>
      </c>
      <c r="AP20" s="110">
        <v>0</v>
      </c>
      <c r="AQ20" s="111">
        <v>6.4245530320723701</v>
      </c>
    </row>
    <row r="21" spans="2:43" ht="12" customHeight="1" x14ac:dyDescent="0.25">
      <c r="B21" s="109" t="s">
        <v>33</v>
      </c>
      <c r="C21" s="110" t="s">
        <v>42</v>
      </c>
      <c r="D21" s="110" t="s">
        <v>25</v>
      </c>
      <c r="E21" s="110" t="s">
        <v>25</v>
      </c>
      <c r="F21" s="110" t="s">
        <v>25</v>
      </c>
      <c r="G21" s="110" t="s">
        <v>35</v>
      </c>
      <c r="H21" s="110" t="s">
        <v>93</v>
      </c>
      <c r="I21" s="110" t="s">
        <v>25</v>
      </c>
      <c r="J21" s="110">
        <v>72.53</v>
      </c>
      <c r="K21" s="110">
        <v>0</v>
      </c>
      <c r="L21" s="110">
        <v>0</v>
      </c>
      <c r="M21" s="110">
        <v>0</v>
      </c>
      <c r="N21" s="110">
        <v>0</v>
      </c>
      <c r="O21" s="110">
        <v>0</v>
      </c>
      <c r="P21" s="110">
        <v>0</v>
      </c>
      <c r="Q21" s="110">
        <v>0</v>
      </c>
      <c r="R21" s="110">
        <v>0</v>
      </c>
      <c r="S21" s="110">
        <v>0</v>
      </c>
      <c r="T21" s="110">
        <v>12.2053448222252</v>
      </c>
      <c r="U21" s="110">
        <v>2.38711462363116</v>
      </c>
      <c r="V21" s="110">
        <v>0.64885905887331596</v>
      </c>
      <c r="W21" s="110">
        <v>0</v>
      </c>
      <c r="X21" s="110">
        <v>0.52538014930552002</v>
      </c>
      <c r="Y21" s="110">
        <v>0</v>
      </c>
      <c r="Z21" s="110">
        <v>0</v>
      </c>
      <c r="AA21" s="110">
        <v>56.759611686560604</v>
      </c>
      <c r="AB21" s="110">
        <v>0</v>
      </c>
      <c r="AC21" s="110">
        <v>0</v>
      </c>
      <c r="AD21" s="110">
        <v>0</v>
      </c>
      <c r="AE21" s="110">
        <v>0</v>
      </c>
      <c r="AF21" s="110">
        <v>0</v>
      </c>
      <c r="AG21" s="110">
        <v>0</v>
      </c>
      <c r="AH21" s="110">
        <v>0</v>
      </c>
      <c r="AI21" s="110">
        <v>0</v>
      </c>
      <c r="AJ21" s="110">
        <v>0</v>
      </c>
      <c r="AK21" s="110">
        <v>0</v>
      </c>
      <c r="AL21" s="110">
        <v>0</v>
      </c>
      <c r="AM21" s="110">
        <v>0</v>
      </c>
      <c r="AN21" s="110">
        <v>0</v>
      </c>
      <c r="AO21" s="110">
        <v>0</v>
      </c>
      <c r="AP21" s="110">
        <v>0</v>
      </c>
      <c r="AQ21" s="111">
        <v>0</v>
      </c>
    </row>
    <row r="22" spans="2:43" ht="12" customHeight="1" x14ac:dyDescent="0.25">
      <c r="B22" s="109" t="s">
        <v>33</v>
      </c>
      <c r="C22" s="110" t="s">
        <v>42</v>
      </c>
      <c r="D22" s="110" t="s">
        <v>25</v>
      </c>
      <c r="E22" s="110" t="s">
        <v>25</v>
      </c>
      <c r="F22" s="110" t="s">
        <v>25</v>
      </c>
      <c r="G22" s="110" t="s">
        <v>36</v>
      </c>
      <c r="H22" s="110" t="s">
        <v>90</v>
      </c>
      <c r="I22" s="110" t="s">
        <v>25</v>
      </c>
      <c r="J22" s="110">
        <v>114.08</v>
      </c>
      <c r="K22" s="110">
        <v>258.70999999999998</v>
      </c>
      <c r="L22" s="110">
        <v>12.639577162088001</v>
      </c>
      <c r="M22" s="110">
        <v>0.59123526912061697</v>
      </c>
      <c r="N22" s="110">
        <v>1.03313762448431</v>
      </c>
      <c r="O22" s="110">
        <v>-1.52855594983685E-3</v>
      </c>
      <c r="P22" s="110">
        <v>0</v>
      </c>
      <c r="Q22" s="110">
        <v>31.445859618710699</v>
      </c>
      <c r="R22" s="110">
        <v>14.687947346687601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0</v>
      </c>
      <c r="AC22" s="110">
        <v>0</v>
      </c>
      <c r="AD22" s="110">
        <v>18.552686186128501</v>
      </c>
      <c r="AE22" s="110">
        <v>1.07131954357918</v>
      </c>
      <c r="AF22" s="110">
        <v>26.701575255252099</v>
      </c>
      <c r="AG22" s="110">
        <v>7.3540281614504401</v>
      </c>
      <c r="AH22" s="110">
        <v>27.088155155584499</v>
      </c>
      <c r="AI22" s="110">
        <v>2.6620626617255101</v>
      </c>
      <c r="AJ22" s="110">
        <v>15.500642118478799</v>
      </c>
      <c r="AK22" s="110">
        <v>0</v>
      </c>
      <c r="AL22" s="110">
        <v>207.03412587193799</v>
      </c>
      <c r="AM22" s="110">
        <v>0</v>
      </c>
      <c r="AN22" s="110">
        <v>0</v>
      </c>
      <c r="AO22" s="110">
        <v>0</v>
      </c>
      <c r="AP22" s="110">
        <v>0</v>
      </c>
      <c r="AQ22" s="111">
        <v>6.4245530320723701</v>
      </c>
    </row>
    <row r="23" spans="2:43" ht="12" customHeight="1" x14ac:dyDescent="0.25">
      <c r="B23" s="109" t="s">
        <v>33</v>
      </c>
      <c r="C23" s="110" t="s">
        <v>42</v>
      </c>
      <c r="D23" s="110" t="s">
        <v>25</v>
      </c>
      <c r="E23" s="110" t="s">
        <v>25</v>
      </c>
      <c r="F23" s="110" t="s">
        <v>25</v>
      </c>
      <c r="G23" s="110" t="s">
        <v>36</v>
      </c>
      <c r="H23" s="110" t="s">
        <v>93</v>
      </c>
      <c r="I23" s="110" t="s">
        <v>25</v>
      </c>
      <c r="J23" s="110">
        <v>26.47</v>
      </c>
      <c r="K23" s="110">
        <v>0</v>
      </c>
      <c r="L23" s="110"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6.67008881333342</v>
      </c>
      <c r="U23" s="110">
        <v>1.30930826115718</v>
      </c>
      <c r="V23" s="110">
        <v>0.362690432422341</v>
      </c>
      <c r="W23" s="110">
        <v>0</v>
      </c>
      <c r="X23" s="110">
        <v>0.13884900953274501</v>
      </c>
      <c r="Y23" s="110">
        <v>0</v>
      </c>
      <c r="Z23" s="110">
        <v>0</v>
      </c>
      <c r="AA23" s="110">
        <v>17.984095708469098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0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0">
        <v>0</v>
      </c>
      <c r="AN23" s="110">
        <v>0</v>
      </c>
      <c r="AO23" s="110">
        <v>0</v>
      </c>
      <c r="AP23" s="110">
        <v>0</v>
      </c>
      <c r="AQ23" s="111">
        <v>0</v>
      </c>
    </row>
    <row r="24" spans="2:43" ht="12" customHeight="1" x14ac:dyDescent="0.25">
      <c r="B24" s="109" t="s">
        <v>33</v>
      </c>
      <c r="C24" s="110" t="s">
        <v>23</v>
      </c>
      <c r="D24" s="110" t="s">
        <v>25</v>
      </c>
      <c r="E24" s="110" t="s">
        <v>25</v>
      </c>
      <c r="F24" s="110" t="s">
        <v>25</v>
      </c>
      <c r="G24" s="110" t="s">
        <v>25</v>
      </c>
      <c r="H24" s="110" t="s">
        <v>90</v>
      </c>
      <c r="I24" s="110" t="s">
        <v>25</v>
      </c>
      <c r="J24" s="110">
        <v>0</v>
      </c>
      <c r="K24" s="110">
        <v>271.13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0</v>
      </c>
      <c r="AB24" s="110">
        <v>0</v>
      </c>
      <c r="AC24" s="110">
        <v>0</v>
      </c>
      <c r="AD24" s="110">
        <v>0</v>
      </c>
      <c r="AE24" s="110">
        <v>0</v>
      </c>
      <c r="AF24" s="110">
        <v>0</v>
      </c>
      <c r="AG24" s="110">
        <v>0</v>
      </c>
      <c r="AH24" s="110">
        <v>27.088155155584499</v>
      </c>
      <c r="AI24" s="110">
        <v>2.6620626617255101</v>
      </c>
      <c r="AJ24" s="110">
        <v>15.500642118478799</v>
      </c>
      <c r="AK24" s="110">
        <v>0</v>
      </c>
      <c r="AL24" s="110">
        <v>219.45617342425399</v>
      </c>
      <c r="AM24" s="110">
        <v>0</v>
      </c>
      <c r="AN24" s="110">
        <v>0</v>
      </c>
      <c r="AO24" s="110">
        <v>0</v>
      </c>
      <c r="AP24" s="110">
        <v>0</v>
      </c>
      <c r="AQ24" s="111">
        <v>6.4245530320723701</v>
      </c>
    </row>
    <row r="25" spans="2:43" ht="12" customHeight="1" x14ac:dyDescent="0.25">
      <c r="B25" s="109" t="s">
        <v>33</v>
      </c>
      <c r="C25" s="110" t="s">
        <v>61</v>
      </c>
      <c r="D25" s="110" t="s">
        <v>25</v>
      </c>
      <c r="E25" s="110" t="s">
        <v>25</v>
      </c>
      <c r="F25" s="110" t="s">
        <v>25</v>
      </c>
      <c r="G25" s="110" t="s">
        <v>35</v>
      </c>
      <c r="H25" s="110" t="s">
        <v>93</v>
      </c>
      <c r="I25" s="110" t="s">
        <v>62</v>
      </c>
      <c r="J25" s="110">
        <v>33.869999999999997</v>
      </c>
      <c r="K25" s="110">
        <v>0</v>
      </c>
      <c r="L25" s="110">
        <v>0</v>
      </c>
      <c r="M25" s="110">
        <v>0</v>
      </c>
      <c r="N25" s="110">
        <v>0</v>
      </c>
      <c r="O25" s="110">
        <v>0</v>
      </c>
      <c r="P25" s="110">
        <v>0</v>
      </c>
      <c r="Q25" s="110">
        <v>0</v>
      </c>
      <c r="R25" s="110">
        <v>0</v>
      </c>
      <c r="S25" s="110">
        <v>0</v>
      </c>
      <c r="T25" s="110">
        <v>12.2053448222252</v>
      </c>
      <c r="U25" s="110">
        <v>2.38711462363116</v>
      </c>
      <c r="V25" s="110">
        <v>0.64885905887331596</v>
      </c>
      <c r="W25" s="110">
        <v>0</v>
      </c>
      <c r="X25" s="110">
        <v>0.52538014930552002</v>
      </c>
      <c r="Y25" s="110">
        <v>0</v>
      </c>
      <c r="Z25" s="110">
        <v>0</v>
      </c>
      <c r="AA25" s="110">
        <v>18.103553737205601</v>
      </c>
      <c r="AB25" s="110">
        <v>0</v>
      </c>
      <c r="AC25" s="110">
        <v>0</v>
      </c>
      <c r="AD25" s="110">
        <v>0</v>
      </c>
      <c r="AE25" s="110">
        <v>0</v>
      </c>
      <c r="AF25" s="110">
        <v>0</v>
      </c>
      <c r="AG25" s="110">
        <v>0</v>
      </c>
      <c r="AH25" s="110">
        <v>0</v>
      </c>
      <c r="AI25" s="110">
        <v>0</v>
      </c>
      <c r="AJ25" s="110">
        <v>0</v>
      </c>
      <c r="AK25" s="110">
        <v>0</v>
      </c>
      <c r="AL25" s="110">
        <v>0</v>
      </c>
      <c r="AM25" s="110">
        <v>0</v>
      </c>
      <c r="AN25" s="110">
        <v>0</v>
      </c>
      <c r="AO25" s="110">
        <v>0</v>
      </c>
      <c r="AP25" s="110">
        <v>0</v>
      </c>
      <c r="AQ25" s="111">
        <v>0</v>
      </c>
    </row>
    <row r="26" spans="2:43" ht="12" customHeight="1" x14ac:dyDescent="0.25">
      <c r="B26" s="109" t="s">
        <v>33</v>
      </c>
      <c r="C26" s="110" t="s">
        <v>61</v>
      </c>
      <c r="D26" s="110" t="s">
        <v>25</v>
      </c>
      <c r="E26" s="110" t="s">
        <v>25</v>
      </c>
      <c r="F26" s="110" t="s">
        <v>25</v>
      </c>
      <c r="G26" s="110" t="s">
        <v>25</v>
      </c>
      <c r="H26" s="110" t="s">
        <v>90</v>
      </c>
      <c r="I26" s="110" t="s">
        <v>62</v>
      </c>
      <c r="J26" s="110">
        <v>19.62</v>
      </c>
      <c r="K26" s="110">
        <v>0</v>
      </c>
      <c r="L26" s="110">
        <v>0</v>
      </c>
      <c r="M26" s="110">
        <v>0</v>
      </c>
      <c r="N26" s="110">
        <v>0</v>
      </c>
      <c r="O26" s="110">
        <v>0</v>
      </c>
      <c r="P26" s="110">
        <v>0</v>
      </c>
      <c r="Q26" s="110">
        <v>0</v>
      </c>
      <c r="R26" s="110">
        <v>0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0</v>
      </c>
      <c r="Y26" s="110">
        <v>0</v>
      </c>
      <c r="Z26" s="110">
        <v>0</v>
      </c>
      <c r="AA26" s="110">
        <v>0</v>
      </c>
      <c r="AB26" s="110">
        <v>0</v>
      </c>
      <c r="AC26" s="110">
        <v>0</v>
      </c>
      <c r="AD26" s="110">
        <v>18.552686186128501</v>
      </c>
      <c r="AE26" s="110">
        <v>1.07131954357918</v>
      </c>
      <c r="AF26" s="110">
        <v>0</v>
      </c>
      <c r="AG26" s="110">
        <v>0</v>
      </c>
      <c r="AH26" s="110">
        <v>0</v>
      </c>
      <c r="AI26" s="110">
        <v>0</v>
      </c>
      <c r="AJ26" s="110">
        <v>0</v>
      </c>
      <c r="AK26" s="110">
        <v>0</v>
      </c>
      <c r="AL26" s="110">
        <v>0</v>
      </c>
      <c r="AM26" s="110">
        <v>0</v>
      </c>
      <c r="AN26" s="110">
        <v>0</v>
      </c>
      <c r="AO26" s="110">
        <v>0</v>
      </c>
      <c r="AP26" s="110">
        <v>0</v>
      </c>
      <c r="AQ26" s="111">
        <v>0</v>
      </c>
    </row>
    <row r="27" spans="2:43" ht="12" customHeight="1" x14ac:dyDescent="0.25">
      <c r="B27" s="109" t="s">
        <v>33</v>
      </c>
      <c r="C27" s="110" t="s">
        <v>61</v>
      </c>
      <c r="D27" s="110" t="s">
        <v>25</v>
      </c>
      <c r="E27" s="110" t="s">
        <v>25</v>
      </c>
      <c r="F27" s="110" t="s">
        <v>25</v>
      </c>
      <c r="G27" s="110" t="s">
        <v>36</v>
      </c>
      <c r="H27" s="110" t="s">
        <v>93</v>
      </c>
      <c r="I27" s="110" t="s">
        <v>62</v>
      </c>
      <c r="J27" s="110">
        <v>14.22</v>
      </c>
      <c r="K27" s="110">
        <v>0</v>
      </c>
      <c r="L27" s="110">
        <v>0</v>
      </c>
      <c r="M27" s="110">
        <v>0</v>
      </c>
      <c r="N27" s="110">
        <v>0</v>
      </c>
      <c r="O27" s="110">
        <v>0</v>
      </c>
      <c r="P27" s="110">
        <v>0</v>
      </c>
      <c r="Q27" s="110">
        <v>0</v>
      </c>
      <c r="R27" s="110">
        <v>0</v>
      </c>
      <c r="S27" s="110">
        <v>0</v>
      </c>
      <c r="T27" s="110">
        <v>6.67008881333342</v>
      </c>
      <c r="U27" s="110">
        <v>1.30930826115718</v>
      </c>
      <c r="V27" s="110">
        <v>0.362690432422341</v>
      </c>
      <c r="W27" s="110">
        <v>0</v>
      </c>
      <c r="X27" s="110">
        <v>0.13884900953274501</v>
      </c>
      <c r="Y27" s="110">
        <v>0</v>
      </c>
      <c r="Z27" s="110">
        <v>0</v>
      </c>
      <c r="AA27" s="110">
        <v>5.7360554980969001</v>
      </c>
      <c r="AB27" s="110">
        <v>0</v>
      </c>
      <c r="AC27" s="110">
        <v>0</v>
      </c>
      <c r="AD27" s="110">
        <v>0</v>
      </c>
      <c r="AE27" s="110">
        <v>0</v>
      </c>
      <c r="AF27" s="110">
        <v>0</v>
      </c>
      <c r="AG27" s="110">
        <v>0</v>
      </c>
      <c r="AH27" s="110">
        <v>0</v>
      </c>
      <c r="AI27" s="110">
        <v>0</v>
      </c>
      <c r="AJ27" s="110">
        <v>0</v>
      </c>
      <c r="AK27" s="110">
        <v>0</v>
      </c>
      <c r="AL27" s="110">
        <v>0</v>
      </c>
      <c r="AM27" s="110">
        <v>0</v>
      </c>
      <c r="AN27" s="110">
        <v>0</v>
      </c>
      <c r="AO27" s="110">
        <v>0</v>
      </c>
      <c r="AP27" s="110">
        <v>0</v>
      </c>
      <c r="AQ27" s="111">
        <v>0</v>
      </c>
    </row>
    <row r="28" spans="2:43" ht="12" customHeight="1" x14ac:dyDescent="0.25">
      <c r="B28" s="109" t="s">
        <v>33</v>
      </c>
      <c r="C28" s="110" t="s">
        <v>64</v>
      </c>
      <c r="D28" s="110" t="s">
        <v>25</v>
      </c>
      <c r="E28" s="110" t="s">
        <v>25</v>
      </c>
      <c r="F28" s="110" t="s">
        <v>25</v>
      </c>
      <c r="G28" s="110" t="s">
        <v>25</v>
      </c>
      <c r="H28" s="110" t="s">
        <v>93</v>
      </c>
      <c r="I28" s="110" t="s">
        <v>25</v>
      </c>
      <c r="J28" s="110">
        <v>15.08</v>
      </c>
      <c r="K28" s="110">
        <v>0</v>
      </c>
      <c r="L28" s="110">
        <v>0</v>
      </c>
      <c r="M28" s="110">
        <v>4.9408668838690099E-2</v>
      </c>
      <c r="N28" s="110">
        <v>0.14113278051431799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110">
        <v>0</v>
      </c>
      <c r="AA28" s="110">
        <v>14.888902870115899</v>
      </c>
      <c r="AB28" s="110">
        <v>0</v>
      </c>
      <c r="AC28" s="110">
        <v>0</v>
      </c>
      <c r="AD28" s="110">
        <v>1.0388714721913099E-3</v>
      </c>
      <c r="AE28" s="110">
        <v>0</v>
      </c>
      <c r="AF28" s="110">
        <v>0</v>
      </c>
      <c r="AG28" s="110">
        <v>0</v>
      </c>
      <c r="AH28" s="110">
        <v>0</v>
      </c>
      <c r="AI28" s="110">
        <v>0</v>
      </c>
      <c r="AJ28" s="110">
        <v>0</v>
      </c>
      <c r="AK28" s="110">
        <v>0</v>
      </c>
      <c r="AL28" s="110">
        <v>0</v>
      </c>
      <c r="AM28" s="110">
        <v>0</v>
      </c>
      <c r="AN28" s="110">
        <v>0</v>
      </c>
      <c r="AO28" s="110">
        <v>0</v>
      </c>
      <c r="AP28" s="110">
        <v>0</v>
      </c>
      <c r="AQ28" s="111">
        <v>0</v>
      </c>
    </row>
    <row r="29" spans="2:43" ht="12" customHeight="1" x14ac:dyDescent="0.25">
      <c r="B29" s="109" t="s">
        <v>33</v>
      </c>
      <c r="C29" s="110" t="s">
        <v>34</v>
      </c>
      <c r="D29" s="110" t="s">
        <v>25</v>
      </c>
      <c r="E29" s="110" t="s">
        <v>25</v>
      </c>
      <c r="F29" s="110" t="s">
        <v>58</v>
      </c>
      <c r="G29" s="110" t="s">
        <v>35</v>
      </c>
      <c r="H29" s="110" t="s">
        <v>90</v>
      </c>
      <c r="I29" s="110" t="s">
        <v>25</v>
      </c>
      <c r="J29" s="110">
        <v>1815.48</v>
      </c>
      <c r="K29" s="110">
        <v>0</v>
      </c>
      <c r="L29" s="110">
        <v>0</v>
      </c>
      <c r="M29" s="110">
        <v>0.59123526912061697</v>
      </c>
      <c r="N29" s="110">
        <v>16.955524154217301</v>
      </c>
      <c r="O29" s="110">
        <v>-1.52855594983685E-3</v>
      </c>
      <c r="P29" s="110">
        <v>0</v>
      </c>
      <c r="Q29" s="110">
        <v>0</v>
      </c>
      <c r="R29" s="110">
        <v>0</v>
      </c>
      <c r="S29" s="110">
        <v>0</v>
      </c>
      <c r="T29" s="110">
        <v>293.53737927005699</v>
      </c>
      <c r="U29" s="110">
        <v>57.409193799032302</v>
      </c>
      <c r="V29" s="110">
        <v>15.605576243246899</v>
      </c>
      <c r="W29" s="110">
        <v>0</v>
      </c>
      <c r="X29" s="110">
        <v>12.6354640571997</v>
      </c>
      <c r="Y29" s="110">
        <v>0</v>
      </c>
      <c r="Z29" s="110">
        <v>0</v>
      </c>
      <c r="AA29" s="110">
        <v>1365.0708833951401</v>
      </c>
      <c r="AB29" s="110">
        <v>0</v>
      </c>
      <c r="AC29" s="110">
        <v>0</v>
      </c>
      <c r="AD29" s="110">
        <v>18.552686186128501</v>
      </c>
      <c r="AE29" s="110">
        <v>1.07131954357918</v>
      </c>
      <c r="AF29" s="110">
        <v>26.701575255252099</v>
      </c>
      <c r="AG29" s="110">
        <v>7.3540281614504401</v>
      </c>
      <c r="AH29" s="110">
        <v>0</v>
      </c>
      <c r="AI29" s="110">
        <v>0</v>
      </c>
      <c r="AJ29" s="110">
        <v>0</v>
      </c>
      <c r="AK29" s="110">
        <v>0</v>
      </c>
      <c r="AL29" s="110">
        <v>0</v>
      </c>
      <c r="AM29" s="110">
        <v>0</v>
      </c>
      <c r="AN29" s="110">
        <v>0</v>
      </c>
      <c r="AO29" s="110">
        <v>0</v>
      </c>
      <c r="AP29" s="110">
        <v>0</v>
      </c>
      <c r="AQ29" s="111">
        <v>0</v>
      </c>
    </row>
    <row r="30" spans="2:43" ht="12" customHeight="1" x14ac:dyDescent="0.25">
      <c r="B30" s="109" t="s">
        <v>33</v>
      </c>
      <c r="C30" s="110" t="s">
        <v>34</v>
      </c>
      <c r="D30" s="110" t="s">
        <v>25</v>
      </c>
      <c r="E30" s="110" t="s">
        <v>25</v>
      </c>
      <c r="F30" s="110" t="s">
        <v>58</v>
      </c>
      <c r="G30" s="110" t="s">
        <v>25</v>
      </c>
      <c r="H30" s="110" t="s">
        <v>93</v>
      </c>
      <c r="I30" s="110" t="s">
        <v>25</v>
      </c>
      <c r="J30" s="110">
        <v>26.47</v>
      </c>
      <c r="K30" s="110">
        <v>0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6.67008881333342</v>
      </c>
      <c r="U30" s="110">
        <v>1.30930826115718</v>
      </c>
      <c r="V30" s="110">
        <v>0.362690432422341</v>
      </c>
      <c r="W30" s="110">
        <v>0</v>
      </c>
      <c r="X30" s="110">
        <v>0.13884900953274501</v>
      </c>
      <c r="Y30" s="110">
        <v>0</v>
      </c>
      <c r="Z30" s="110">
        <v>0</v>
      </c>
      <c r="AA30" s="110">
        <v>17.984095708469098</v>
      </c>
      <c r="AB30" s="110">
        <v>0</v>
      </c>
      <c r="AC30" s="110">
        <v>0</v>
      </c>
      <c r="AD30" s="110">
        <v>0</v>
      </c>
      <c r="AE30" s="110">
        <v>0</v>
      </c>
      <c r="AF30" s="110">
        <v>0</v>
      </c>
      <c r="AG30" s="110">
        <v>0</v>
      </c>
      <c r="AH30" s="110">
        <v>0</v>
      </c>
      <c r="AI30" s="110">
        <v>0</v>
      </c>
      <c r="AJ30" s="110">
        <v>0</v>
      </c>
      <c r="AK30" s="110">
        <v>0</v>
      </c>
      <c r="AL30" s="110">
        <v>0</v>
      </c>
      <c r="AM30" s="110">
        <v>0</v>
      </c>
      <c r="AN30" s="110">
        <v>0</v>
      </c>
      <c r="AO30" s="110">
        <v>0</v>
      </c>
      <c r="AP30" s="110">
        <v>0</v>
      </c>
      <c r="AQ30" s="111">
        <v>0</v>
      </c>
    </row>
    <row r="31" spans="2:43" ht="12" customHeight="1" x14ac:dyDescent="0.25">
      <c r="B31" s="109" t="s">
        <v>33</v>
      </c>
      <c r="C31" s="110" t="s">
        <v>34</v>
      </c>
      <c r="D31" s="110" t="s">
        <v>25</v>
      </c>
      <c r="E31" s="110" t="s">
        <v>25</v>
      </c>
      <c r="F31" s="110" t="s">
        <v>58</v>
      </c>
      <c r="G31" s="110" t="s">
        <v>36</v>
      </c>
      <c r="H31" s="110" t="s">
        <v>90</v>
      </c>
      <c r="I31" s="110" t="s">
        <v>25</v>
      </c>
      <c r="J31" s="110">
        <v>55.29</v>
      </c>
      <c r="K31" s="110">
        <v>0</v>
      </c>
      <c r="L31" s="110">
        <v>0</v>
      </c>
      <c r="M31" s="110">
        <v>0.59123526912061697</v>
      </c>
      <c r="N31" s="110">
        <v>1.02164472704829</v>
      </c>
      <c r="O31" s="110">
        <v>-1.52855594983685E-3</v>
      </c>
      <c r="P31" s="110">
        <v>0</v>
      </c>
      <c r="Q31" s="110">
        <v>0</v>
      </c>
      <c r="R31" s="110">
        <v>0</v>
      </c>
      <c r="S31" s="110">
        <v>0</v>
      </c>
      <c r="T31" s="110">
        <v>0</v>
      </c>
      <c r="U31" s="110">
        <v>0</v>
      </c>
      <c r="V31" s="110">
        <v>0</v>
      </c>
      <c r="W31" s="110">
        <v>0</v>
      </c>
      <c r="X31" s="110">
        <v>0</v>
      </c>
      <c r="Y31" s="110">
        <v>0</v>
      </c>
      <c r="Z31" s="110">
        <v>0</v>
      </c>
      <c r="AA31" s="110">
        <v>0</v>
      </c>
      <c r="AB31" s="110">
        <v>0</v>
      </c>
      <c r="AC31" s="110">
        <v>0</v>
      </c>
      <c r="AD31" s="110">
        <v>18.552686186128501</v>
      </c>
      <c r="AE31" s="110">
        <v>1.07131954357918</v>
      </c>
      <c r="AF31" s="110">
        <v>26.701575255252099</v>
      </c>
      <c r="AG31" s="110">
        <v>7.3540281614504401</v>
      </c>
      <c r="AH31" s="110">
        <v>0</v>
      </c>
      <c r="AI31" s="110">
        <v>0</v>
      </c>
      <c r="AJ31" s="110">
        <v>0</v>
      </c>
      <c r="AK31" s="110">
        <v>0</v>
      </c>
      <c r="AL31" s="110">
        <v>0</v>
      </c>
      <c r="AM31" s="110">
        <v>0</v>
      </c>
      <c r="AN31" s="110">
        <v>0</v>
      </c>
      <c r="AO31" s="110">
        <v>0</v>
      </c>
      <c r="AP31" s="110">
        <v>0</v>
      </c>
      <c r="AQ31" s="111">
        <v>0</v>
      </c>
    </row>
    <row r="32" spans="2:43" ht="12" customHeight="1" x14ac:dyDescent="0.25">
      <c r="B32" s="109" t="s">
        <v>33</v>
      </c>
      <c r="C32" s="110" t="s">
        <v>34</v>
      </c>
      <c r="D32" s="110" t="s">
        <v>25</v>
      </c>
      <c r="E32" s="110" t="s">
        <v>25</v>
      </c>
      <c r="F32" s="110" t="s">
        <v>25</v>
      </c>
      <c r="G32" s="110" t="s">
        <v>35</v>
      </c>
      <c r="H32" s="110" t="s">
        <v>90</v>
      </c>
      <c r="I32" s="110" t="s">
        <v>25</v>
      </c>
      <c r="J32" s="110">
        <v>1874.27</v>
      </c>
      <c r="K32" s="110">
        <v>407.77</v>
      </c>
      <c r="L32" s="110">
        <v>12.639577162088001</v>
      </c>
      <c r="M32" s="110">
        <v>0.59123526912061697</v>
      </c>
      <c r="N32" s="110">
        <v>16.9670170516534</v>
      </c>
      <c r="O32" s="110">
        <v>-1.52855594983685E-3</v>
      </c>
      <c r="P32" s="110">
        <v>0</v>
      </c>
      <c r="Q32" s="110">
        <v>31.445859618710699</v>
      </c>
      <c r="R32" s="110">
        <v>14.687947346687601</v>
      </c>
      <c r="S32" s="110">
        <v>0</v>
      </c>
      <c r="T32" s="110">
        <v>293.53737927005699</v>
      </c>
      <c r="U32" s="110">
        <v>57.409193799032302</v>
      </c>
      <c r="V32" s="110">
        <v>15.605576243246899</v>
      </c>
      <c r="W32" s="110">
        <v>0</v>
      </c>
      <c r="X32" s="110">
        <v>12.6354640571997</v>
      </c>
      <c r="Y32" s="110">
        <v>0</v>
      </c>
      <c r="Z32" s="110">
        <v>0</v>
      </c>
      <c r="AA32" s="110">
        <v>1365.0708833951401</v>
      </c>
      <c r="AB32" s="110">
        <v>0</v>
      </c>
      <c r="AC32" s="110">
        <v>0</v>
      </c>
      <c r="AD32" s="110">
        <v>18.552686186128501</v>
      </c>
      <c r="AE32" s="110">
        <v>1.07131954357918</v>
      </c>
      <c r="AF32" s="110">
        <v>26.701575255252099</v>
      </c>
      <c r="AG32" s="110">
        <v>7.3540281614504401</v>
      </c>
      <c r="AH32" s="110">
        <v>27.088155155584499</v>
      </c>
      <c r="AI32" s="110">
        <v>2.6620626617255101</v>
      </c>
      <c r="AJ32" s="110">
        <v>15.500642118478799</v>
      </c>
      <c r="AK32" s="110">
        <v>0</v>
      </c>
      <c r="AL32" s="110">
        <v>356.09869649973302</v>
      </c>
      <c r="AM32" s="110">
        <v>0</v>
      </c>
      <c r="AN32" s="110">
        <v>0</v>
      </c>
      <c r="AO32" s="110">
        <v>0</v>
      </c>
      <c r="AP32" s="110">
        <v>0</v>
      </c>
      <c r="AQ32" s="111">
        <v>6.4245530320723701</v>
      </c>
    </row>
    <row r="33" spans="2:43" ht="12" customHeight="1" x14ac:dyDescent="0.25">
      <c r="B33" s="109" t="s">
        <v>33</v>
      </c>
      <c r="C33" s="110" t="s">
        <v>34</v>
      </c>
      <c r="D33" s="110" t="s">
        <v>25</v>
      </c>
      <c r="E33" s="110" t="s">
        <v>25</v>
      </c>
      <c r="F33" s="110" t="s">
        <v>25</v>
      </c>
      <c r="G33" s="110" t="s">
        <v>25</v>
      </c>
      <c r="H33" s="110" t="s">
        <v>93</v>
      </c>
      <c r="I33" s="110" t="s">
        <v>25</v>
      </c>
      <c r="J33" s="110">
        <v>26.47</v>
      </c>
      <c r="K33" s="110">
        <v>0</v>
      </c>
      <c r="L33" s="110">
        <v>0</v>
      </c>
      <c r="M33" s="110">
        <v>0</v>
      </c>
      <c r="N33" s="110">
        <v>0</v>
      </c>
      <c r="O33" s="110">
        <v>0</v>
      </c>
      <c r="P33" s="110">
        <v>0</v>
      </c>
      <c r="Q33" s="110">
        <v>0</v>
      </c>
      <c r="R33" s="110">
        <v>0</v>
      </c>
      <c r="S33" s="110">
        <v>0</v>
      </c>
      <c r="T33" s="110">
        <v>6.67008881333342</v>
      </c>
      <c r="U33" s="110">
        <v>1.30930826115718</v>
      </c>
      <c r="V33" s="110">
        <v>0.362690432422341</v>
      </c>
      <c r="W33" s="110">
        <v>0</v>
      </c>
      <c r="X33" s="110">
        <v>0.13884900953274501</v>
      </c>
      <c r="Y33" s="110">
        <v>0</v>
      </c>
      <c r="Z33" s="110">
        <v>0</v>
      </c>
      <c r="AA33" s="110">
        <v>17.984095708469098</v>
      </c>
      <c r="AB33" s="110">
        <v>0</v>
      </c>
      <c r="AC33" s="110">
        <v>0</v>
      </c>
      <c r="AD33" s="110">
        <v>0</v>
      </c>
      <c r="AE33" s="110">
        <v>0</v>
      </c>
      <c r="AF33" s="110">
        <v>0</v>
      </c>
      <c r="AG33" s="110">
        <v>0</v>
      </c>
      <c r="AH33" s="110">
        <v>0</v>
      </c>
      <c r="AI33" s="110">
        <v>0</v>
      </c>
      <c r="AJ33" s="110">
        <v>0</v>
      </c>
      <c r="AK33" s="110">
        <v>0</v>
      </c>
      <c r="AL33" s="110">
        <v>0</v>
      </c>
      <c r="AM33" s="110">
        <v>0</v>
      </c>
      <c r="AN33" s="110">
        <v>0</v>
      </c>
      <c r="AO33" s="110">
        <v>0</v>
      </c>
      <c r="AP33" s="110">
        <v>0</v>
      </c>
      <c r="AQ33" s="111">
        <v>0</v>
      </c>
    </row>
    <row r="34" spans="2:43" ht="12" customHeight="1" x14ac:dyDescent="0.25">
      <c r="B34" s="109" t="s">
        <v>33</v>
      </c>
      <c r="C34" s="110" t="s">
        <v>34</v>
      </c>
      <c r="D34" s="110" t="s">
        <v>25</v>
      </c>
      <c r="E34" s="110" t="s">
        <v>25</v>
      </c>
      <c r="F34" s="110" t="s">
        <v>25</v>
      </c>
      <c r="G34" s="110" t="s">
        <v>36</v>
      </c>
      <c r="H34" s="110" t="s">
        <v>90</v>
      </c>
      <c r="I34" s="110" t="s">
        <v>25</v>
      </c>
      <c r="J34" s="110">
        <v>114.08</v>
      </c>
      <c r="K34" s="110">
        <v>258.70999999999998</v>
      </c>
      <c r="L34" s="110">
        <v>12.639577162088001</v>
      </c>
      <c r="M34" s="110">
        <v>0.59123526912061697</v>
      </c>
      <c r="N34" s="110">
        <v>1.03313762448431</v>
      </c>
      <c r="O34" s="110">
        <v>-1.52855594983685E-3</v>
      </c>
      <c r="P34" s="110">
        <v>0</v>
      </c>
      <c r="Q34" s="110">
        <v>31.445859618710699</v>
      </c>
      <c r="R34" s="110">
        <v>14.687947346687601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10">
        <v>0</v>
      </c>
      <c r="Y34" s="110">
        <v>0</v>
      </c>
      <c r="Z34" s="110">
        <v>0</v>
      </c>
      <c r="AA34" s="110">
        <v>0</v>
      </c>
      <c r="AB34" s="110">
        <v>0</v>
      </c>
      <c r="AC34" s="110">
        <v>0</v>
      </c>
      <c r="AD34" s="110">
        <v>18.552686186128501</v>
      </c>
      <c r="AE34" s="110">
        <v>1.07131954357918</v>
      </c>
      <c r="AF34" s="110">
        <v>26.701575255252099</v>
      </c>
      <c r="AG34" s="110">
        <v>7.3540281614504401</v>
      </c>
      <c r="AH34" s="110">
        <v>27.088155155584499</v>
      </c>
      <c r="AI34" s="110">
        <v>2.6620626617255101</v>
      </c>
      <c r="AJ34" s="110">
        <v>15.500642118478799</v>
      </c>
      <c r="AK34" s="110">
        <v>0</v>
      </c>
      <c r="AL34" s="110">
        <v>207.03412587193799</v>
      </c>
      <c r="AM34" s="110">
        <v>0</v>
      </c>
      <c r="AN34" s="110">
        <v>0</v>
      </c>
      <c r="AO34" s="110">
        <v>0</v>
      </c>
      <c r="AP34" s="110">
        <v>0</v>
      </c>
      <c r="AQ34" s="111">
        <v>6.4245530320723701</v>
      </c>
    </row>
    <row r="35" spans="2:43" ht="12" customHeight="1" x14ac:dyDescent="0.25">
      <c r="B35" s="109" t="s">
        <v>98</v>
      </c>
      <c r="C35" s="110" t="s">
        <v>64</v>
      </c>
      <c r="D35" s="110" t="s">
        <v>25</v>
      </c>
      <c r="E35" s="110" t="s">
        <v>25</v>
      </c>
      <c r="F35" s="110" t="s">
        <v>99</v>
      </c>
      <c r="G35" s="110" t="s">
        <v>25</v>
      </c>
      <c r="H35" s="110" t="s">
        <v>93</v>
      </c>
      <c r="I35" s="110" t="s">
        <v>25</v>
      </c>
      <c r="J35" s="110">
        <v>8.52</v>
      </c>
      <c r="K35" s="110">
        <v>0</v>
      </c>
      <c r="L35" s="110">
        <v>0</v>
      </c>
      <c r="M35" s="110">
        <v>2.78871014304263E-2</v>
      </c>
      <c r="N35" s="110">
        <v>7.9760708205974404E-2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0</v>
      </c>
      <c r="Y35" s="110">
        <v>0</v>
      </c>
      <c r="Z35" s="110">
        <v>0</v>
      </c>
      <c r="AA35" s="110">
        <v>8.4117448614273993</v>
      </c>
      <c r="AB35" s="110">
        <v>0</v>
      </c>
      <c r="AC35" s="110">
        <v>0</v>
      </c>
      <c r="AD35" s="110">
        <v>0</v>
      </c>
      <c r="AE35" s="110">
        <v>0</v>
      </c>
      <c r="AF35" s="110">
        <v>0</v>
      </c>
      <c r="AG35" s="110">
        <v>0</v>
      </c>
      <c r="AH35" s="110">
        <v>0</v>
      </c>
      <c r="AI35" s="110">
        <v>0</v>
      </c>
      <c r="AJ35" s="110">
        <v>0</v>
      </c>
      <c r="AK35" s="110">
        <v>0</v>
      </c>
      <c r="AL35" s="110">
        <v>0</v>
      </c>
      <c r="AM35" s="110">
        <v>0</v>
      </c>
      <c r="AN35" s="110">
        <v>0</v>
      </c>
      <c r="AO35" s="110">
        <v>0</v>
      </c>
      <c r="AP35" s="110">
        <v>0</v>
      </c>
      <c r="AQ35" s="111">
        <v>0</v>
      </c>
    </row>
    <row r="36" spans="2:43" ht="12" customHeight="1" x14ac:dyDescent="0.25">
      <c r="B36" s="109" t="s">
        <v>98</v>
      </c>
      <c r="C36" s="110" t="s">
        <v>64</v>
      </c>
      <c r="D36" s="110" t="s">
        <v>25</v>
      </c>
      <c r="E36" s="110" t="s">
        <v>25</v>
      </c>
      <c r="F36" s="110" t="s">
        <v>100</v>
      </c>
      <c r="G36" s="110" t="s">
        <v>25</v>
      </c>
      <c r="H36" s="110" t="s">
        <v>93</v>
      </c>
      <c r="I36" s="110" t="s">
        <v>25</v>
      </c>
      <c r="J36" s="110">
        <v>21.58</v>
      </c>
      <c r="K36" s="110">
        <v>0</v>
      </c>
      <c r="L36" s="110">
        <v>0</v>
      </c>
      <c r="M36" s="110">
        <v>2.78871014304263E-2</v>
      </c>
      <c r="N36" s="110">
        <v>7.9760708205974404E-2</v>
      </c>
      <c r="O36" s="110">
        <v>0</v>
      </c>
      <c r="P36" s="110">
        <v>0</v>
      </c>
      <c r="Q36" s="110">
        <v>0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0</v>
      </c>
      <c r="Y36" s="110">
        <v>0</v>
      </c>
      <c r="Z36" s="110">
        <v>0</v>
      </c>
      <c r="AA36" s="110">
        <v>21.4765078024171</v>
      </c>
      <c r="AB36" s="110">
        <v>0</v>
      </c>
      <c r="AC36" s="110">
        <v>0</v>
      </c>
      <c r="AD36" s="110">
        <v>0</v>
      </c>
      <c r="AE36" s="110">
        <v>0</v>
      </c>
      <c r="AF36" s="110">
        <v>0</v>
      </c>
      <c r="AG36" s="110">
        <v>0</v>
      </c>
      <c r="AH36" s="110">
        <v>0</v>
      </c>
      <c r="AI36" s="110">
        <v>0</v>
      </c>
      <c r="AJ36" s="110">
        <v>0</v>
      </c>
      <c r="AK36" s="110">
        <v>0</v>
      </c>
      <c r="AL36" s="110">
        <v>0</v>
      </c>
      <c r="AM36" s="110">
        <v>0</v>
      </c>
      <c r="AN36" s="110">
        <v>0</v>
      </c>
      <c r="AO36" s="110">
        <v>0</v>
      </c>
      <c r="AP36" s="110">
        <v>0</v>
      </c>
      <c r="AQ36" s="111">
        <v>0</v>
      </c>
    </row>
    <row r="37" spans="2:43" ht="12" customHeight="1" x14ac:dyDescent="0.25">
      <c r="B37" s="109" t="s">
        <v>22</v>
      </c>
      <c r="C37" s="110" t="s">
        <v>37</v>
      </c>
      <c r="D37" s="110" t="s">
        <v>24</v>
      </c>
      <c r="E37" s="110" t="s">
        <v>24</v>
      </c>
      <c r="F37" s="110" t="s">
        <v>25</v>
      </c>
      <c r="G37" s="110" t="s">
        <v>35</v>
      </c>
      <c r="H37" s="110" t="s">
        <v>90</v>
      </c>
      <c r="I37" s="110" t="s">
        <v>25</v>
      </c>
      <c r="J37" s="110">
        <v>1215.48</v>
      </c>
      <c r="K37" s="110">
        <v>407.77</v>
      </c>
      <c r="L37" s="110">
        <v>15.047115669152401</v>
      </c>
      <c r="M37" s="110">
        <v>0.88624533977151898</v>
      </c>
      <c r="N37" s="110">
        <v>11.2838946746381</v>
      </c>
      <c r="O37" s="110">
        <v>-1.52855594983685E-3</v>
      </c>
      <c r="P37" s="110">
        <v>0</v>
      </c>
      <c r="Q37" s="110">
        <v>37.435547165131801</v>
      </c>
      <c r="R37" s="110">
        <v>14.687947346687601</v>
      </c>
      <c r="S37" s="110">
        <v>0</v>
      </c>
      <c r="T37" s="110">
        <v>156.654948234937</v>
      </c>
      <c r="U37" s="110">
        <v>30.6919084463517</v>
      </c>
      <c r="V37" s="110">
        <v>8.4208378391412406</v>
      </c>
      <c r="W37" s="110">
        <v>0</v>
      </c>
      <c r="X37" s="110">
        <v>5.0477740656749903</v>
      </c>
      <c r="Y37" s="110">
        <v>0</v>
      </c>
      <c r="Z37" s="110">
        <v>0</v>
      </c>
      <c r="AA37" s="110">
        <v>852.14027044832596</v>
      </c>
      <c r="AB37" s="110">
        <v>0</v>
      </c>
      <c r="AC37" s="110">
        <v>0</v>
      </c>
      <c r="AD37" s="110">
        <v>37.8440099889851</v>
      </c>
      <c r="AE37" s="110">
        <v>2.18529150452179</v>
      </c>
      <c r="AF37" s="110">
        <v>33.835997905045303</v>
      </c>
      <c r="AG37" s="110">
        <v>9.3189588661267209</v>
      </c>
      <c r="AH37" s="110">
        <v>27.088155155584499</v>
      </c>
      <c r="AI37" s="110">
        <v>2.6620626617255101</v>
      </c>
      <c r="AJ37" s="110">
        <v>15.500642118478799</v>
      </c>
      <c r="AK37" s="110">
        <v>0</v>
      </c>
      <c r="AL37" s="110">
        <v>356.09869649973302</v>
      </c>
      <c r="AM37" s="110">
        <v>0</v>
      </c>
      <c r="AN37" s="110">
        <v>0</v>
      </c>
      <c r="AO37" s="110">
        <v>0</v>
      </c>
      <c r="AP37" s="110">
        <v>0</v>
      </c>
      <c r="AQ37" s="111">
        <v>6.4245530320723701</v>
      </c>
    </row>
    <row r="38" spans="2:43" ht="12" customHeight="1" x14ac:dyDescent="0.25">
      <c r="B38" s="109" t="s">
        <v>22</v>
      </c>
      <c r="C38" s="110" t="s">
        <v>37</v>
      </c>
      <c r="D38" s="110" t="s">
        <v>24</v>
      </c>
      <c r="E38" s="110" t="s">
        <v>24</v>
      </c>
      <c r="F38" s="110" t="s">
        <v>25</v>
      </c>
      <c r="G38" s="110" t="s">
        <v>38</v>
      </c>
      <c r="H38" s="110" t="s">
        <v>90</v>
      </c>
      <c r="I38" s="110" t="s">
        <v>25</v>
      </c>
      <c r="J38" s="110">
        <v>790.43</v>
      </c>
      <c r="K38" s="110">
        <v>258.70999999999998</v>
      </c>
      <c r="L38" s="110">
        <v>15.047115669152401</v>
      </c>
      <c r="M38" s="110">
        <v>0.88624533977151898</v>
      </c>
      <c r="N38" s="110">
        <v>7.4190401390585903</v>
      </c>
      <c r="O38" s="110">
        <v>-1.52855594983685E-3</v>
      </c>
      <c r="P38" s="110">
        <v>0</v>
      </c>
      <c r="Q38" s="110">
        <v>37.435547165131801</v>
      </c>
      <c r="R38" s="110">
        <v>14.687947346687601</v>
      </c>
      <c r="S38" s="110">
        <v>0</v>
      </c>
      <c r="T38" s="110">
        <v>93.992998401834896</v>
      </c>
      <c r="U38" s="110">
        <v>18.415168475485299</v>
      </c>
      <c r="V38" s="110">
        <v>5.0525886830420097</v>
      </c>
      <c r="W38" s="110">
        <v>0</v>
      </c>
      <c r="X38" s="110">
        <v>3.02874611529296</v>
      </c>
      <c r="Y38" s="110">
        <v>0</v>
      </c>
      <c r="Z38" s="110">
        <v>0</v>
      </c>
      <c r="AA38" s="110">
        <v>511.28413791465698</v>
      </c>
      <c r="AB38" s="110">
        <v>0</v>
      </c>
      <c r="AC38" s="110">
        <v>0</v>
      </c>
      <c r="AD38" s="110">
        <v>37.8440099889851</v>
      </c>
      <c r="AE38" s="110">
        <v>2.18529150452179</v>
      </c>
      <c r="AF38" s="110">
        <v>33.835997905045303</v>
      </c>
      <c r="AG38" s="110">
        <v>9.3189588661267209</v>
      </c>
      <c r="AH38" s="110">
        <v>27.088155155584499</v>
      </c>
      <c r="AI38" s="110">
        <v>2.6620626617255101</v>
      </c>
      <c r="AJ38" s="110">
        <v>15.500642118478799</v>
      </c>
      <c r="AK38" s="110">
        <v>0</v>
      </c>
      <c r="AL38" s="110">
        <v>207.03412587193799</v>
      </c>
      <c r="AM38" s="110">
        <v>0</v>
      </c>
      <c r="AN38" s="110">
        <v>0</v>
      </c>
      <c r="AO38" s="110">
        <v>0</v>
      </c>
      <c r="AP38" s="110">
        <v>0</v>
      </c>
      <c r="AQ38" s="111">
        <v>6.4245530320723701</v>
      </c>
    </row>
    <row r="39" spans="2:43" ht="12" customHeight="1" x14ac:dyDescent="0.25">
      <c r="B39" s="109" t="s">
        <v>22</v>
      </c>
      <c r="C39" s="110" t="s">
        <v>37</v>
      </c>
      <c r="D39" s="110" t="s">
        <v>24</v>
      </c>
      <c r="E39" s="110" t="s">
        <v>24</v>
      </c>
      <c r="F39" s="110" t="s">
        <v>25</v>
      </c>
      <c r="G39" s="110" t="s">
        <v>36</v>
      </c>
      <c r="H39" s="110" t="s">
        <v>90</v>
      </c>
      <c r="I39" s="110" t="s">
        <v>25</v>
      </c>
      <c r="J39" s="110">
        <v>365.38</v>
      </c>
      <c r="K39" s="110">
        <v>258.70999999999998</v>
      </c>
      <c r="L39" s="110">
        <v>15.047115669152401</v>
      </c>
      <c r="M39" s="110">
        <v>0.88624533977151898</v>
      </c>
      <c r="N39" s="110">
        <v>3.5541833048996399</v>
      </c>
      <c r="O39" s="110">
        <v>-1.52855594983685E-3</v>
      </c>
      <c r="P39" s="110">
        <v>0</v>
      </c>
      <c r="Q39" s="110">
        <v>37.435547165131801</v>
      </c>
      <c r="R39" s="110">
        <v>14.687947346687601</v>
      </c>
      <c r="S39" s="110">
        <v>0</v>
      </c>
      <c r="T39" s="110">
        <v>31.331048568732299</v>
      </c>
      <c r="U39" s="110">
        <v>6.1384285046188998</v>
      </c>
      <c r="V39" s="110">
        <v>1.6841962276806699</v>
      </c>
      <c r="W39" s="110">
        <v>0</v>
      </c>
      <c r="X39" s="110">
        <v>1.00951397519102</v>
      </c>
      <c r="Y39" s="110">
        <v>0</v>
      </c>
      <c r="Z39" s="110">
        <v>0</v>
      </c>
      <c r="AA39" s="110">
        <v>170.42800538098899</v>
      </c>
      <c r="AB39" s="110">
        <v>0</v>
      </c>
      <c r="AC39" s="110">
        <v>0</v>
      </c>
      <c r="AD39" s="110">
        <v>37.8440099889851</v>
      </c>
      <c r="AE39" s="110">
        <v>2.18529150452179</v>
      </c>
      <c r="AF39" s="110">
        <v>33.835997905045303</v>
      </c>
      <c r="AG39" s="110">
        <v>9.3189588661267209</v>
      </c>
      <c r="AH39" s="110">
        <v>27.088155155584499</v>
      </c>
      <c r="AI39" s="110">
        <v>2.6620626617255101</v>
      </c>
      <c r="AJ39" s="110">
        <v>15.500642118478799</v>
      </c>
      <c r="AK39" s="110">
        <v>0</v>
      </c>
      <c r="AL39" s="110">
        <v>207.03412587193799</v>
      </c>
      <c r="AM39" s="110">
        <v>0</v>
      </c>
      <c r="AN39" s="110">
        <v>0</v>
      </c>
      <c r="AO39" s="110">
        <v>0</v>
      </c>
      <c r="AP39" s="110">
        <v>0</v>
      </c>
      <c r="AQ39" s="111">
        <v>6.4245530320723701</v>
      </c>
    </row>
    <row r="40" spans="2:43" ht="12" customHeight="1" x14ac:dyDescent="0.25">
      <c r="B40" s="109" t="s">
        <v>22</v>
      </c>
      <c r="C40" s="110" t="s">
        <v>23</v>
      </c>
      <c r="D40" s="110" t="s">
        <v>24</v>
      </c>
      <c r="E40" s="110" t="s">
        <v>1473</v>
      </c>
      <c r="F40" s="110" t="s">
        <v>25</v>
      </c>
      <c r="G40" s="110" t="s">
        <v>25</v>
      </c>
      <c r="H40" s="110" t="s">
        <v>90</v>
      </c>
      <c r="I40" s="110" t="s">
        <v>25</v>
      </c>
      <c r="J40" s="110">
        <v>407.68</v>
      </c>
      <c r="K40" s="110">
        <v>271.13</v>
      </c>
      <c r="L40" s="110">
        <v>0</v>
      </c>
      <c r="M40" s="110">
        <v>0.88624533977151898</v>
      </c>
      <c r="N40" s="110">
        <v>4.5381821975767398</v>
      </c>
      <c r="O40" s="110">
        <v>-1.52855594983685E-3</v>
      </c>
      <c r="P40" s="110">
        <v>0</v>
      </c>
      <c r="Q40" s="110">
        <v>0</v>
      </c>
      <c r="R40" s="110">
        <v>0</v>
      </c>
      <c r="S40" s="110">
        <v>0</v>
      </c>
      <c r="T40" s="110">
        <v>47.471187507292399</v>
      </c>
      <c r="U40" s="110">
        <v>9.3005712238416294</v>
      </c>
      <c r="V40" s="110">
        <v>2.5517299605470698</v>
      </c>
      <c r="W40" s="110">
        <v>0</v>
      </c>
      <c r="X40" s="110">
        <v>1.5295851917791099</v>
      </c>
      <c r="Y40" s="110">
        <v>0</v>
      </c>
      <c r="Z40" s="110">
        <v>0</v>
      </c>
      <c r="AA40" s="110">
        <v>258.22429854792199</v>
      </c>
      <c r="AB40" s="110">
        <v>0</v>
      </c>
      <c r="AC40" s="110">
        <v>0</v>
      </c>
      <c r="AD40" s="110">
        <v>37.8440099889851</v>
      </c>
      <c r="AE40" s="110">
        <v>2.18529150452179</v>
      </c>
      <c r="AF40" s="110">
        <v>33.835997905045303</v>
      </c>
      <c r="AG40" s="110">
        <v>9.3189588661267209</v>
      </c>
      <c r="AH40" s="110">
        <v>27.088155155584499</v>
      </c>
      <c r="AI40" s="110">
        <v>2.6620626617255101</v>
      </c>
      <c r="AJ40" s="110">
        <v>15.500642118478799</v>
      </c>
      <c r="AK40" s="110">
        <v>0</v>
      </c>
      <c r="AL40" s="110">
        <v>219.45617342425399</v>
      </c>
      <c r="AM40" s="110">
        <v>0</v>
      </c>
      <c r="AN40" s="110">
        <v>0</v>
      </c>
      <c r="AO40" s="110">
        <v>0</v>
      </c>
      <c r="AP40" s="110">
        <v>0</v>
      </c>
      <c r="AQ40" s="111">
        <v>6.4245530320723701</v>
      </c>
    </row>
    <row r="41" spans="2:43" ht="12" customHeight="1" x14ac:dyDescent="0.25">
      <c r="B41" s="109" t="s">
        <v>22</v>
      </c>
      <c r="C41" s="110" t="s">
        <v>23</v>
      </c>
      <c r="D41" s="110" t="s">
        <v>24</v>
      </c>
      <c r="E41" s="110" t="s">
        <v>24</v>
      </c>
      <c r="F41" s="110" t="s">
        <v>25</v>
      </c>
      <c r="G41" s="110" t="s">
        <v>25</v>
      </c>
      <c r="H41" s="110" t="s">
        <v>90</v>
      </c>
      <c r="I41" s="110" t="s">
        <v>25</v>
      </c>
      <c r="J41" s="110">
        <v>474.87</v>
      </c>
      <c r="K41" s="110">
        <v>271.13</v>
      </c>
      <c r="L41" s="110">
        <v>15.047115669152401</v>
      </c>
      <c r="M41" s="110">
        <v>0.88624533977151898</v>
      </c>
      <c r="N41" s="110">
        <v>4.54967509501276</v>
      </c>
      <c r="O41" s="110">
        <v>-1.52855594983685E-3</v>
      </c>
      <c r="P41" s="110">
        <v>0</v>
      </c>
      <c r="Q41" s="110">
        <v>37.435547165131801</v>
      </c>
      <c r="R41" s="110">
        <v>14.687947346687601</v>
      </c>
      <c r="S41" s="110">
        <v>0</v>
      </c>
      <c r="T41" s="110">
        <v>47.471187507292399</v>
      </c>
      <c r="U41" s="110">
        <v>9.3005712238416294</v>
      </c>
      <c r="V41" s="110">
        <v>2.5517299605470698</v>
      </c>
      <c r="W41" s="110">
        <v>0</v>
      </c>
      <c r="X41" s="110">
        <v>1.5295851917791099</v>
      </c>
      <c r="Y41" s="110">
        <v>0</v>
      </c>
      <c r="Z41" s="110">
        <v>0</v>
      </c>
      <c r="AA41" s="110">
        <v>258.22429854792199</v>
      </c>
      <c r="AB41" s="110">
        <v>0</v>
      </c>
      <c r="AC41" s="110">
        <v>0</v>
      </c>
      <c r="AD41" s="110">
        <v>37.8440099889851</v>
      </c>
      <c r="AE41" s="110">
        <v>2.18529150452179</v>
      </c>
      <c r="AF41" s="110">
        <v>33.835997905045303</v>
      </c>
      <c r="AG41" s="110">
        <v>9.3189588661267209</v>
      </c>
      <c r="AH41" s="110">
        <v>27.088155155584499</v>
      </c>
      <c r="AI41" s="110">
        <v>2.6620626617255101</v>
      </c>
      <c r="AJ41" s="110">
        <v>15.500642118478799</v>
      </c>
      <c r="AK41" s="110">
        <v>0</v>
      </c>
      <c r="AL41" s="110">
        <v>219.45617342425399</v>
      </c>
      <c r="AM41" s="110">
        <v>0</v>
      </c>
      <c r="AN41" s="110">
        <v>0</v>
      </c>
      <c r="AO41" s="110">
        <v>0</v>
      </c>
      <c r="AP41" s="110">
        <v>0</v>
      </c>
      <c r="AQ41" s="111">
        <v>6.4245530320723701</v>
      </c>
    </row>
    <row r="42" spans="2:43" ht="12" customHeight="1" x14ac:dyDescent="0.25">
      <c r="B42" s="109" t="s">
        <v>22</v>
      </c>
      <c r="C42" s="110" t="s">
        <v>103</v>
      </c>
      <c r="D42" s="110" t="s">
        <v>24</v>
      </c>
      <c r="E42" s="110" t="s">
        <v>1473</v>
      </c>
      <c r="F42" s="110" t="s">
        <v>25</v>
      </c>
      <c r="G42" s="110" t="s">
        <v>25</v>
      </c>
      <c r="H42" s="110" t="s">
        <v>90</v>
      </c>
      <c r="I42" s="110" t="s">
        <v>25</v>
      </c>
      <c r="J42" s="110">
        <v>407.68</v>
      </c>
      <c r="K42" s="110">
        <v>271.13</v>
      </c>
      <c r="L42" s="110">
        <v>0</v>
      </c>
      <c r="M42" s="110">
        <v>0.88624533977151898</v>
      </c>
      <c r="N42" s="110">
        <v>4.5381821975767398</v>
      </c>
      <c r="O42" s="110">
        <v>-1.52855594983685E-3</v>
      </c>
      <c r="P42" s="110">
        <v>0</v>
      </c>
      <c r="Q42" s="110">
        <v>0</v>
      </c>
      <c r="R42" s="110">
        <v>0</v>
      </c>
      <c r="S42" s="110">
        <v>0</v>
      </c>
      <c r="T42" s="110">
        <v>47.471187507292399</v>
      </c>
      <c r="U42" s="110">
        <v>9.3005712238416294</v>
      </c>
      <c r="V42" s="110">
        <v>2.5517299605470698</v>
      </c>
      <c r="W42" s="110">
        <v>0</v>
      </c>
      <c r="X42" s="110">
        <v>1.5295851917791099</v>
      </c>
      <c r="Y42" s="110">
        <v>0</v>
      </c>
      <c r="Z42" s="110">
        <v>0</v>
      </c>
      <c r="AA42" s="110">
        <v>258.22429854792199</v>
      </c>
      <c r="AB42" s="110">
        <v>0</v>
      </c>
      <c r="AC42" s="110">
        <v>0</v>
      </c>
      <c r="AD42" s="110">
        <v>37.8440099889851</v>
      </c>
      <c r="AE42" s="110">
        <v>2.18529150452179</v>
      </c>
      <c r="AF42" s="110">
        <v>33.835997905045303</v>
      </c>
      <c r="AG42" s="110">
        <v>9.3189588661267209</v>
      </c>
      <c r="AH42" s="110">
        <v>27.088155155584499</v>
      </c>
      <c r="AI42" s="110">
        <v>2.6620626617255101</v>
      </c>
      <c r="AJ42" s="110">
        <v>15.500642118478799</v>
      </c>
      <c r="AK42" s="110">
        <v>0</v>
      </c>
      <c r="AL42" s="110">
        <v>219.45617342425399</v>
      </c>
      <c r="AM42" s="110">
        <v>0</v>
      </c>
      <c r="AN42" s="110">
        <v>0</v>
      </c>
      <c r="AO42" s="110">
        <v>0</v>
      </c>
      <c r="AP42" s="110">
        <v>0</v>
      </c>
      <c r="AQ42" s="111">
        <v>6.4245530320723701</v>
      </c>
    </row>
    <row r="43" spans="2:43" ht="12" customHeight="1" x14ac:dyDescent="0.25">
      <c r="B43" s="109" t="s">
        <v>22</v>
      </c>
      <c r="C43" s="110" t="s">
        <v>103</v>
      </c>
      <c r="D43" s="110" t="s">
        <v>24</v>
      </c>
      <c r="E43" s="110" t="s">
        <v>24</v>
      </c>
      <c r="F43" s="110" t="s">
        <v>25</v>
      </c>
      <c r="G43" s="110" t="s">
        <v>25</v>
      </c>
      <c r="H43" s="110" t="s">
        <v>90</v>
      </c>
      <c r="I43" s="110" t="s">
        <v>25</v>
      </c>
      <c r="J43" s="110">
        <v>474.87</v>
      </c>
      <c r="K43" s="110">
        <v>271.13</v>
      </c>
      <c r="L43" s="110">
        <v>15.047115669152401</v>
      </c>
      <c r="M43" s="110">
        <v>0.88624533977151898</v>
      </c>
      <c r="N43" s="110">
        <v>4.54967509501276</v>
      </c>
      <c r="O43" s="110">
        <v>-1.52855594983685E-3</v>
      </c>
      <c r="P43" s="110">
        <v>0</v>
      </c>
      <c r="Q43" s="110">
        <v>37.435547165131801</v>
      </c>
      <c r="R43" s="110">
        <v>14.687947346687601</v>
      </c>
      <c r="S43" s="110">
        <v>0</v>
      </c>
      <c r="T43" s="110">
        <v>47.471187507292399</v>
      </c>
      <c r="U43" s="110">
        <v>9.3005712238416294</v>
      </c>
      <c r="V43" s="110">
        <v>2.5517299605470698</v>
      </c>
      <c r="W43" s="110">
        <v>0</v>
      </c>
      <c r="X43" s="110">
        <v>1.5295851917791099</v>
      </c>
      <c r="Y43" s="110">
        <v>0</v>
      </c>
      <c r="Z43" s="110">
        <v>0</v>
      </c>
      <c r="AA43" s="110">
        <v>258.22429854792199</v>
      </c>
      <c r="AB43" s="110">
        <v>0</v>
      </c>
      <c r="AC43" s="110">
        <v>0</v>
      </c>
      <c r="AD43" s="110">
        <v>37.8440099889851</v>
      </c>
      <c r="AE43" s="110">
        <v>2.18529150452179</v>
      </c>
      <c r="AF43" s="110">
        <v>33.835997905045303</v>
      </c>
      <c r="AG43" s="110">
        <v>9.3189588661267209</v>
      </c>
      <c r="AH43" s="110">
        <v>27.088155155584499</v>
      </c>
      <c r="AI43" s="110">
        <v>2.6620626617255101</v>
      </c>
      <c r="AJ43" s="110">
        <v>15.500642118478799</v>
      </c>
      <c r="AK43" s="110">
        <v>0</v>
      </c>
      <c r="AL43" s="110">
        <v>219.45617342425399</v>
      </c>
      <c r="AM43" s="110">
        <v>0</v>
      </c>
      <c r="AN43" s="110">
        <v>0</v>
      </c>
      <c r="AO43" s="110">
        <v>0</v>
      </c>
      <c r="AP43" s="110">
        <v>0</v>
      </c>
      <c r="AQ43" s="111">
        <v>6.4245530320723701</v>
      </c>
    </row>
    <row r="44" spans="2:43" ht="12" customHeight="1" x14ac:dyDescent="0.25">
      <c r="B44" s="109" t="s">
        <v>44</v>
      </c>
      <c r="C44" s="110" t="s">
        <v>37</v>
      </c>
      <c r="D44" s="110" t="s">
        <v>45</v>
      </c>
      <c r="E44" s="110" t="s">
        <v>104</v>
      </c>
      <c r="F44" s="110" t="s">
        <v>25</v>
      </c>
      <c r="G44" s="110" t="s">
        <v>35</v>
      </c>
      <c r="H44" s="110" t="s">
        <v>90</v>
      </c>
      <c r="I44" s="110" t="s">
        <v>25</v>
      </c>
      <c r="J44" s="110">
        <v>1142.55</v>
      </c>
      <c r="K44" s="110">
        <v>383.31</v>
      </c>
      <c r="L44" s="110">
        <v>14.1442887290032</v>
      </c>
      <c r="M44" s="110">
        <v>0.83307061938522797</v>
      </c>
      <c r="N44" s="110">
        <v>10.606860994159801</v>
      </c>
      <c r="O44" s="110">
        <v>-1.4368425928466401E-3</v>
      </c>
      <c r="P44" s="110">
        <v>0</v>
      </c>
      <c r="Q44" s="110">
        <v>35.189414335223901</v>
      </c>
      <c r="R44" s="110">
        <v>13.8066705058863</v>
      </c>
      <c r="S44" s="110">
        <v>0</v>
      </c>
      <c r="T44" s="110">
        <v>147.25565134084101</v>
      </c>
      <c r="U44" s="110">
        <v>28.850393939570601</v>
      </c>
      <c r="V44" s="110">
        <v>7.9155875687927599</v>
      </c>
      <c r="W44" s="110">
        <v>0</v>
      </c>
      <c r="X44" s="110">
        <v>4.7449076217344901</v>
      </c>
      <c r="Y44" s="110">
        <v>0</v>
      </c>
      <c r="Z44" s="110">
        <v>0</v>
      </c>
      <c r="AA44" s="110">
        <v>801.01185422142601</v>
      </c>
      <c r="AB44" s="110">
        <v>0</v>
      </c>
      <c r="AC44" s="110">
        <v>0</v>
      </c>
      <c r="AD44" s="110">
        <v>35.573369389645997</v>
      </c>
      <c r="AE44" s="110">
        <v>2.0541740142504898</v>
      </c>
      <c r="AF44" s="110">
        <v>31.805838030742599</v>
      </c>
      <c r="AG44" s="110">
        <v>8.7598213341591098</v>
      </c>
      <c r="AH44" s="110">
        <v>25.4628658462494</v>
      </c>
      <c r="AI44" s="110">
        <v>2.5023389020219802</v>
      </c>
      <c r="AJ44" s="110">
        <v>14.5706035913701</v>
      </c>
      <c r="AK44" s="110">
        <v>0</v>
      </c>
      <c r="AL44" s="110">
        <v>334.73277470974898</v>
      </c>
      <c r="AM44" s="110">
        <v>0</v>
      </c>
      <c r="AN44" s="110">
        <v>0</v>
      </c>
      <c r="AO44" s="110">
        <v>0</v>
      </c>
      <c r="AP44" s="110">
        <v>0</v>
      </c>
      <c r="AQ44" s="111">
        <v>6.0390798501480303</v>
      </c>
    </row>
    <row r="45" spans="2:43" ht="12" customHeight="1" x14ac:dyDescent="0.25">
      <c r="B45" s="109" t="s">
        <v>44</v>
      </c>
      <c r="C45" s="110" t="s">
        <v>37</v>
      </c>
      <c r="D45" s="110" t="s">
        <v>45</v>
      </c>
      <c r="E45" s="110" t="s">
        <v>104</v>
      </c>
      <c r="F45" s="110" t="s">
        <v>25</v>
      </c>
      <c r="G45" s="110" t="s">
        <v>38</v>
      </c>
      <c r="H45" s="110" t="s">
        <v>90</v>
      </c>
      <c r="I45" s="110" t="s">
        <v>25</v>
      </c>
      <c r="J45" s="110">
        <v>743.01</v>
      </c>
      <c r="K45" s="110">
        <v>243.19</v>
      </c>
      <c r="L45" s="110">
        <v>14.1442887290032</v>
      </c>
      <c r="M45" s="110">
        <v>0.83307061938522797</v>
      </c>
      <c r="N45" s="110">
        <v>6.9738977307150698</v>
      </c>
      <c r="O45" s="110">
        <v>-1.4368425928466401E-3</v>
      </c>
      <c r="P45" s="110">
        <v>0</v>
      </c>
      <c r="Q45" s="110">
        <v>35.189414335223901</v>
      </c>
      <c r="R45" s="110">
        <v>13.8066705058863</v>
      </c>
      <c r="S45" s="110">
        <v>0</v>
      </c>
      <c r="T45" s="110">
        <v>88.353418497724803</v>
      </c>
      <c r="U45" s="110">
        <v>17.310258366956202</v>
      </c>
      <c r="V45" s="110">
        <v>4.7494333620594897</v>
      </c>
      <c r="W45" s="110">
        <v>0</v>
      </c>
      <c r="X45" s="110">
        <v>2.8470213483753799</v>
      </c>
      <c r="Y45" s="110">
        <v>0</v>
      </c>
      <c r="Z45" s="110">
        <v>0</v>
      </c>
      <c r="AA45" s="110">
        <v>480.607089639778</v>
      </c>
      <c r="AB45" s="110">
        <v>0</v>
      </c>
      <c r="AC45" s="110">
        <v>0</v>
      </c>
      <c r="AD45" s="110">
        <v>35.573369389645997</v>
      </c>
      <c r="AE45" s="110">
        <v>2.0541740142504898</v>
      </c>
      <c r="AF45" s="110">
        <v>31.805838030742599</v>
      </c>
      <c r="AG45" s="110">
        <v>8.7598213341591098</v>
      </c>
      <c r="AH45" s="110">
        <v>25.4628658462494</v>
      </c>
      <c r="AI45" s="110">
        <v>2.5023389020219802</v>
      </c>
      <c r="AJ45" s="110">
        <v>14.5706035913701</v>
      </c>
      <c r="AK45" s="110">
        <v>0</v>
      </c>
      <c r="AL45" s="110">
        <v>194.61207831962199</v>
      </c>
      <c r="AM45" s="110">
        <v>0</v>
      </c>
      <c r="AN45" s="110">
        <v>0</v>
      </c>
      <c r="AO45" s="110">
        <v>0</v>
      </c>
      <c r="AP45" s="110">
        <v>0</v>
      </c>
      <c r="AQ45" s="111">
        <v>6.0390798501480303</v>
      </c>
    </row>
    <row r="46" spans="2:43" ht="12" customHeight="1" x14ac:dyDescent="0.25">
      <c r="B46" s="109" t="s">
        <v>44</v>
      </c>
      <c r="C46" s="110" t="s">
        <v>37</v>
      </c>
      <c r="D46" s="110" t="s">
        <v>45</v>
      </c>
      <c r="E46" s="110" t="s">
        <v>104</v>
      </c>
      <c r="F46" s="110" t="s">
        <v>25</v>
      </c>
      <c r="G46" s="110" t="s">
        <v>36</v>
      </c>
      <c r="H46" s="110" t="s">
        <v>90</v>
      </c>
      <c r="I46" s="110" t="s">
        <v>25</v>
      </c>
      <c r="J46" s="110">
        <v>343.46</v>
      </c>
      <c r="K46" s="110">
        <v>243.19</v>
      </c>
      <c r="L46" s="110">
        <v>14.1442887290032</v>
      </c>
      <c r="M46" s="110">
        <v>0.83307061938522797</v>
      </c>
      <c r="N46" s="110">
        <v>3.34093230660566</v>
      </c>
      <c r="O46" s="110">
        <v>-1.4368425928466401E-3</v>
      </c>
      <c r="P46" s="110">
        <v>0</v>
      </c>
      <c r="Q46" s="110">
        <v>35.189414335223901</v>
      </c>
      <c r="R46" s="110">
        <v>13.8066705058863</v>
      </c>
      <c r="S46" s="110">
        <v>0</v>
      </c>
      <c r="T46" s="110">
        <v>29.451185654608299</v>
      </c>
      <c r="U46" s="110">
        <v>5.7701227943417699</v>
      </c>
      <c r="V46" s="110">
        <v>1.5831444540198301</v>
      </c>
      <c r="W46" s="110">
        <v>0</v>
      </c>
      <c r="X46" s="110">
        <v>0.94894313667955699</v>
      </c>
      <c r="Y46" s="110">
        <v>0</v>
      </c>
      <c r="Z46" s="110">
        <v>0</v>
      </c>
      <c r="AA46" s="110">
        <v>160.20232505812899</v>
      </c>
      <c r="AB46" s="110">
        <v>0</v>
      </c>
      <c r="AC46" s="110">
        <v>0</v>
      </c>
      <c r="AD46" s="110">
        <v>35.573369389645997</v>
      </c>
      <c r="AE46" s="110">
        <v>2.0541740142504898</v>
      </c>
      <c r="AF46" s="110">
        <v>31.805838030742599</v>
      </c>
      <c r="AG46" s="110">
        <v>8.7598213341591098</v>
      </c>
      <c r="AH46" s="110">
        <v>25.4628658462494</v>
      </c>
      <c r="AI46" s="110">
        <v>2.5023389020219802</v>
      </c>
      <c r="AJ46" s="110">
        <v>14.5706035913701</v>
      </c>
      <c r="AK46" s="110">
        <v>0</v>
      </c>
      <c r="AL46" s="110">
        <v>194.61207831962199</v>
      </c>
      <c r="AM46" s="110">
        <v>0</v>
      </c>
      <c r="AN46" s="110">
        <v>0</v>
      </c>
      <c r="AO46" s="110">
        <v>0</v>
      </c>
      <c r="AP46" s="110">
        <v>0</v>
      </c>
      <c r="AQ46" s="111">
        <v>6.0390798501480303</v>
      </c>
    </row>
    <row r="47" spans="2:43" ht="12" customHeight="1" x14ac:dyDescent="0.25">
      <c r="B47" s="109" t="s">
        <v>44</v>
      </c>
      <c r="C47" s="110" t="s">
        <v>37</v>
      </c>
      <c r="D47" s="110" t="s">
        <v>45</v>
      </c>
      <c r="E47" s="110" t="s">
        <v>25</v>
      </c>
      <c r="F47" s="110" t="s">
        <v>25</v>
      </c>
      <c r="G47" s="110" t="s">
        <v>35</v>
      </c>
      <c r="H47" s="110" t="s">
        <v>90</v>
      </c>
      <c r="I47" s="110" t="s">
        <v>25</v>
      </c>
      <c r="J47" s="110">
        <v>1142.55</v>
      </c>
      <c r="K47" s="110">
        <v>383.31</v>
      </c>
      <c r="L47" s="110">
        <v>14.1442887290032</v>
      </c>
      <c r="M47" s="110">
        <v>0.83307061938522797</v>
      </c>
      <c r="N47" s="110">
        <v>10.606860994159801</v>
      </c>
      <c r="O47" s="110">
        <v>-1.4368425928466401E-3</v>
      </c>
      <c r="P47" s="110">
        <v>0</v>
      </c>
      <c r="Q47" s="110">
        <v>35.189414335223901</v>
      </c>
      <c r="R47" s="110">
        <v>13.8066705058863</v>
      </c>
      <c r="S47" s="110">
        <v>0</v>
      </c>
      <c r="T47" s="110">
        <v>147.25565134084101</v>
      </c>
      <c r="U47" s="110">
        <v>28.850393939570601</v>
      </c>
      <c r="V47" s="110">
        <v>7.9155875687927599</v>
      </c>
      <c r="W47" s="110">
        <v>0</v>
      </c>
      <c r="X47" s="110">
        <v>4.7449076217344901</v>
      </c>
      <c r="Y47" s="110">
        <v>0</v>
      </c>
      <c r="Z47" s="110">
        <v>0</v>
      </c>
      <c r="AA47" s="110">
        <v>801.01185422142601</v>
      </c>
      <c r="AB47" s="110">
        <v>0</v>
      </c>
      <c r="AC47" s="110">
        <v>0</v>
      </c>
      <c r="AD47" s="110">
        <v>35.573369389645997</v>
      </c>
      <c r="AE47" s="110">
        <v>2.0541740142504898</v>
      </c>
      <c r="AF47" s="110">
        <v>31.805838030742599</v>
      </c>
      <c r="AG47" s="110">
        <v>8.7598213341591098</v>
      </c>
      <c r="AH47" s="110">
        <v>25.4628658462494</v>
      </c>
      <c r="AI47" s="110">
        <v>2.5023389020219802</v>
      </c>
      <c r="AJ47" s="110">
        <v>14.5706035913701</v>
      </c>
      <c r="AK47" s="110">
        <v>0</v>
      </c>
      <c r="AL47" s="110">
        <v>334.73277470974898</v>
      </c>
      <c r="AM47" s="110">
        <v>0</v>
      </c>
      <c r="AN47" s="110">
        <v>0</v>
      </c>
      <c r="AO47" s="110">
        <v>0</v>
      </c>
      <c r="AP47" s="110">
        <v>0</v>
      </c>
      <c r="AQ47" s="111">
        <v>6.0390798501480303</v>
      </c>
    </row>
    <row r="48" spans="2:43" ht="12" customHeight="1" x14ac:dyDescent="0.25">
      <c r="B48" s="109" t="s">
        <v>44</v>
      </c>
      <c r="C48" s="110" t="s">
        <v>37</v>
      </c>
      <c r="D48" s="110" t="s">
        <v>45</v>
      </c>
      <c r="E48" s="110" t="s">
        <v>25</v>
      </c>
      <c r="F48" s="110" t="s">
        <v>25</v>
      </c>
      <c r="G48" s="110" t="s">
        <v>38</v>
      </c>
      <c r="H48" s="110" t="s">
        <v>90</v>
      </c>
      <c r="I48" s="110" t="s">
        <v>25</v>
      </c>
      <c r="J48" s="110">
        <v>743.01</v>
      </c>
      <c r="K48" s="110">
        <v>243.19</v>
      </c>
      <c r="L48" s="110">
        <v>14.1442887290032</v>
      </c>
      <c r="M48" s="110">
        <v>0.83307061938522797</v>
      </c>
      <c r="N48" s="110">
        <v>6.9738977307150698</v>
      </c>
      <c r="O48" s="110">
        <v>-1.4368425928466401E-3</v>
      </c>
      <c r="P48" s="110">
        <v>0</v>
      </c>
      <c r="Q48" s="110">
        <v>35.189414335223901</v>
      </c>
      <c r="R48" s="110">
        <v>13.8066705058863</v>
      </c>
      <c r="S48" s="110">
        <v>0</v>
      </c>
      <c r="T48" s="110">
        <v>88.353418497724803</v>
      </c>
      <c r="U48" s="110">
        <v>17.310258366956202</v>
      </c>
      <c r="V48" s="110">
        <v>4.7494333620594897</v>
      </c>
      <c r="W48" s="110">
        <v>0</v>
      </c>
      <c r="X48" s="110">
        <v>2.8470213483753799</v>
      </c>
      <c r="Y48" s="110">
        <v>0</v>
      </c>
      <c r="Z48" s="110">
        <v>0</v>
      </c>
      <c r="AA48" s="110">
        <v>480.607089639778</v>
      </c>
      <c r="AB48" s="110">
        <v>0</v>
      </c>
      <c r="AC48" s="110">
        <v>0</v>
      </c>
      <c r="AD48" s="110">
        <v>35.573369389645997</v>
      </c>
      <c r="AE48" s="110">
        <v>2.0541740142504898</v>
      </c>
      <c r="AF48" s="110">
        <v>31.805838030742599</v>
      </c>
      <c r="AG48" s="110">
        <v>8.7598213341591098</v>
      </c>
      <c r="AH48" s="110">
        <v>25.4628658462494</v>
      </c>
      <c r="AI48" s="110">
        <v>2.5023389020219802</v>
      </c>
      <c r="AJ48" s="110">
        <v>14.5706035913701</v>
      </c>
      <c r="AK48" s="110">
        <v>0</v>
      </c>
      <c r="AL48" s="110">
        <v>194.61207831962199</v>
      </c>
      <c r="AM48" s="110">
        <v>0</v>
      </c>
      <c r="AN48" s="110">
        <v>0</v>
      </c>
      <c r="AO48" s="110">
        <v>0</v>
      </c>
      <c r="AP48" s="110">
        <v>0</v>
      </c>
      <c r="AQ48" s="111">
        <v>6.0390798501480303</v>
      </c>
    </row>
    <row r="49" spans="2:43" ht="12" customHeight="1" x14ac:dyDescent="0.25">
      <c r="B49" s="109" t="s">
        <v>44</v>
      </c>
      <c r="C49" s="110" t="s">
        <v>37</v>
      </c>
      <c r="D49" s="110" t="s">
        <v>45</v>
      </c>
      <c r="E49" s="110" t="s">
        <v>25</v>
      </c>
      <c r="F49" s="110" t="s">
        <v>25</v>
      </c>
      <c r="G49" s="110" t="s">
        <v>36</v>
      </c>
      <c r="H49" s="110" t="s">
        <v>90</v>
      </c>
      <c r="I49" s="110" t="s">
        <v>25</v>
      </c>
      <c r="J49" s="110">
        <v>343.46</v>
      </c>
      <c r="K49" s="110">
        <v>243.19</v>
      </c>
      <c r="L49" s="110">
        <v>14.1442887290032</v>
      </c>
      <c r="M49" s="110">
        <v>0.83307061938522797</v>
      </c>
      <c r="N49" s="110">
        <v>3.34093230660566</v>
      </c>
      <c r="O49" s="110">
        <v>-1.4368425928466401E-3</v>
      </c>
      <c r="P49" s="110">
        <v>0</v>
      </c>
      <c r="Q49" s="110">
        <v>35.189414335223901</v>
      </c>
      <c r="R49" s="110">
        <v>13.8066705058863</v>
      </c>
      <c r="S49" s="110">
        <v>0</v>
      </c>
      <c r="T49" s="110">
        <v>29.451185654608299</v>
      </c>
      <c r="U49" s="110">
        <v>5.7701227943417699</v>
      </c>
      <c r="V49" s="110">
        <v>1.5831444540198301</v>
      </c>
      <c r="W49" s="110">
        <v>0</v>
      </c>
      <c r="X49" s="110">
        <v>0.94894313667955699</v>
      </c>
      <c r="Y49" s="110">
        <v>0</v>
      </c>
      <c r="Z49" s="110">
        <v>0</v>
      </c>
      <c r="AA49" s="110">
        <v>160.20232505812899</v>
      </c>
      <c r="AB49" s="110">
        <v>0</v>
      </c>
      <c r="AC49" s="110">
        <v>0</v>
      </c>
      <c r="AD49" s="110">
        <v>35.573369389645997</v>
      </c>
      <c r="AE49" s="110">
        <v>2.0541740142504898</v>
      </c>
      <c r="AF49" s="110">
        <v>31.805838030742599</v>
      </c>
      <c r="AG49" s="110">
        <v>8.7598213341591098</v>
      </c>
      <c r="AH49" s="110">
        <v>25.4628658462494</v>
      </c>
      <c r="AI49" s="110">
        <v>2.5023389020219802</v>
      </c>
      <c r="AJ49" s="110">
        <v>14.5706035913701</v>
      </c>
      <c r="AK49" s="110">
        <v>0</v>
      </c>
      <c r="AL49" s="110">
        <v>194.61207831962199</v>
      </c>
      <c r="AM49" s="110">
        <v>0</v>
      </c>
      <c r="AN49" s="110">
        <v>0</v>
      </c>
      <c r="AO49" s="110">
        <v>0</v>
      </c>
      <c r="AP49" s="110">
        <v>0</v>
      </c>
      <c r="AQ49" s="111">
        <v>6.0390798501480303</v>
      </c>
    </row>
    <row r="50" spans="2:43" ht="12" customHeight="1" x14ac:dyDescent="0.25">
      <c r="B50" s="109" t="s">
        <v>44</v>
      </c>
      <c r="C50" s="110" t="s">
        <v>37</v>
      </c>
      <c r="D50" s="110" t="s">
        <v>45</v>
      </c>
      <c r="E50" s="110" t="s">
        <v>105</v>
      </c>
      <c r="F50" s="110" t="s">
        <v>25</v>
      </c>
      <c r="G50" s="110" t="s">
        <v>35</v>
      </c>
      <c r="H50" s="110" t="s">
        <v>90</v>
      </c>
      <c r="I50" s="110" t="s">
        <v>25</v>
      </c>
      <c r="J50" s="110">
        <v>1118.24</v>
      </c>
      <c r="K50" s="110">
        <v>375.15</v>
      </c>
      <c r="L50" s="110">
        <v>13.8433464156202</v>
      </c>
      <c r="M50" s="110">
        <v>0.81534571258979704</v>
      </c>
      <c r="N50" s="110">
        <v>10.381183100667</v>
      </c>
      <c r="O50" s="110">
        <v>-1.40627147384991E-3</v>
      </c>
      <c r="P50" s="110">
        <v>0</v>
      </c>
      <c r="Q50" s="110">
        <v>34.440703391921197</v>
      </c>
      <c r="R50" s="110">
        <v>13.512911558952601</v>
      </c>
      <c r="S50" s="110">
        <v>0</v>
      </c>
      <c r="T50" s="110">
        <v>144.12255237614201</v>
      </c>
      <c r="U50" s="110">
        <v>28.236555770643498</v>
      </c>
      <c r="V50" s="110">
        <v>7.7471708120099398</v>
      </c>
      <c r="W50" s="110">
        <v>0</v>
      </c>
      <c r="X50" s="110">
        <v>4.64395214042099</v>
      </c>
      <c r="Y50" s="110">
        <v>0</v>
      </c>
      <c r="Z50" s="110">
        <v>0</v>
      </c>
      <c r="AA50" s="110">
        <v>783.96904881245996</v>
      </c>
      <c r="AB50" s="110">
        <v>0</v>
      </c>
      <c r="AC50" s="110">
        <v>0</v>
      </c>
      <c r="AD50" s="110">
        <v>34.816489189866303</v>
      </c>
      <c r="AE50" s="110">
        <v>2.0104681841600498</v>
      </c>
      <c r="AF50" s="110">
        <v>31.129118072641699</v>
      </c>
      <c r="AG50" s="110">
        <v>8.5734421568365793</v>
      </c>
      <c r="AH50" s="110">
        <v>24.921102743137698</v>
      </c>
      <c r="AI50" s="110">
        <v>2.44909764878747</v>
      </c>
      <c r="AJ50" s="110">
        <v>14.260590749000499</v>
      </c>
      <c r="AK50" s="110">
        <v>0</v>
      </c>
      <c r="AL50" s="110">
        <v>327.61080077975498</v>
      </c>
      <c r="AM50" s="110">
        <v>0</v>
      </c>
      <c r="AN50" s="110">
        <v>0</v>
      </c>
      <c r="AO50" s="110">
        <v>0</v>
      </c>
      <c r="AP50" s="110">
        <v>0</v>
      </c>
      <c r="AQ50" s="111">
        <v>5.9105887895065798</v>
      </c>
    </row>
    <row r="51" spans="2:43" ht="12" customHeight="1" x14ac:dyDescent="0.25">
      <c r="B51" s="109" t="s">
        <v>44</v>
      </c>
      <c r="C51" s="110" t="s">
        <v>37</v>
      </c>
      <c r="D51" s="110" t="s">
        <v>45</v>
      </c>
      <c r="E51" s="110" t="s">
        <v>105</v>
      </c>
      <c r="F51" s="110" t="s">
        <v>25</v>
      </c>
      <c r="G51" s="110" t="s">
        <v>38</v>
      </c>
      <c r="H51" s="110" t="s">
        <v>90</v>
      </c>
      <c r="I51" s="110" t="s">
        <v>25</v>
      </c>
      <c r="J51" s="110">
        <v>727.2</v>
      </c>
      <c r="K51" s="110">
        <v>238.01</v>
      </c>
      <c r="L51" s="110">
        <v>13.8433464156202</v>
      </c>
      <c r="M51" s="110">
        <v>0.81534571258979704</v>
      </c>
      <c r="N51" s="110">
        <v>6.8255169279338999</v>
      </c>
      <c r="O51" s="110">
        <v>-1.40627147384991E-3</v>
      </c>
      <c r="P51" s="110">
        <v>0</v>
      </c>
      <c r="Q51" s="110">
        <v>34.440703391921197</v>
      </c>
      <c r="R51" s="110">
        <v>13.512911558952601</v>
      </c>
      <c r="S51" s="110">
        <v>0</v>
      </c>
      <c r="T51" s="110">
        <v>86.473558529688106</v>
      </c>
      <c r="U51" s="110">
        <v>16.941954997446501</v>
      </c>
      <c r="V51" s="110">
        <v>4.6483815883986503</v>
      </c>
      <c r="W51" s="110">
        <v>0</v>
      </c>
      <c r="X51" s="110">
        <v>2.7864464260695199</v>
      </c>
      <c r="Y51" s="110">
        <v>0</v>
      </c>
      <c r="Z51" s="110">
        <v>0</v>
      </c>
      <c r="AA51" s="110">
        <v>470.38140688148502</v>
      </c>
      <c r="AB51" s="110">
        <v>0</v>
      </c>
      <c r="AC51" s="110">
        <v>0</v>
      </c>
      <c r="AD51" s="110">
        <v>34.816489189866303</v>
      </c>
      <c r="AE51" s="110">
        <v>2.0104681841600498</v>
      </c>
      <c r="AF51" s="110">
        <v>31.129118072641699</v>
      </c>
      <c r="AG51" s="110">
        <v>8.5734421568365793</v>
      </c>
      <c r="AH51" s="110">
        <v>24.921102743137698</v>
      </c>
      <c r="AI51" s="110">
        <v>2.44909764878747</v>
      </c>
      <c r="AJ51" s="110">
        <v>14.260590749000499</v>
      </c>
      <c r="AK51" s="110">
        <v>0</v>
      </c>
      <c r="AL51" s="110">
        <v>190.471395802183</v>
      </c>
      <c r="AM51" s="110">
        <v>0</v>
      </c>
      <c r="AN51" s="110">
        <v>0</v>
      </c>
      <c r="AO51" s="110">
        <v>0</v>
      </c>
      <c r="AP51" s="110">
        <v>0</v>
      </c>
      <c r="AQ51" s="111">
        <v>5.9105887895065798</v>
      </c>
    </row>
    <row r="52" spans="2:43" ht="12" customHeight="1" x14ac:dyDescent="0.25">
      <c r="B52" s="109" t="s">
        <v>44</v>
      </c>
      <c r="C52" s="110" t="s">
        <v>37</v>
      </c>
      <c r="D52" s="110" t="s">
        <v>45</v>
      </c>
      <c r="E52" s="110" t="s">
        <v>105</v>
      </c>
      <c r="F52" s="110" t="s">
        <v>25</v>
      </c>
      <c r="G52" s="110" t="s">
        <v>36</v>
      </c>
      <c r="H52" s="110" t="s">
        <v>90</v>
      </c>
      <c r="I52" s="110" t="s">
        <v>25</v>
      </c>
      <c r="J52" s="110">
        <v>336.15</v>
      </c>
      <c r="K52" s="110">
        <v>238.01</v>
      </c>
      <c r="L52" s="110">
        <v>13.8433464156202</v>
      </c>
      <c r="M52" s="110">
        <v>0.81534571258979704</v>
      </c>
      <c r="N52" s="110">
        <v>3.2698486405076701</v>
      </c>
      <c r="O52" s="110">
        <v>-1.40627147384991E-3</v>
      </c>
      <c r="P52" s="110">
        <v>0</v>
      </c>
      <c r="Q52" s="110">
        <v>34.440703391921197</v>
      </c>
      <c r="R52" s="110">
        <v>13.512911558952601</v>
      </c>
      <c r="S52" s="110">
        <v>0</v>
      </c>
      <c r="T52" s="110">
        <v>28.824564683233699</v>
      </c>
      <c r="U52" s="110">
        <v>5.6473542242493897</v>
      </c>
      <c r="V52" s="110">
        <v>1.54946052946622</v>
      </c>
      <c r="W52" s="110">
        <v>0</v>
      </c>
      <c r="X52" s="110">
        <v>0.92875285717573697</v>
      </c>
      <c r="Y52" s="110">
        <v>0</v>
      </c>
      <c r="Z52" s="110">
        <v>0</v>
      </c>
      <c r="AA52" s="110">
        <v>156.79376495051</v>
      </c>
      <c r="AB52" s="110">
        <v>0</v>
      </c>
      <c r="AC52" s="110">
        <v>0</v>
      </c>
      <c r="AD52" s="110">
        <v>34.816489189866303</v>
      </c>
      <c r="AE52" s="110">
        <v>2.0104681841600498</v>
      </c>
      <c r="AF52" s="110">
        <v>31.129118072641699</v>
      </c>
      <c r="AG52" s="110">
        <v>8.5734421568365793</v>
      </c>
      <c r="AH52" s="110">
        <v>24.921102743137698</v>
      </c>
      <c r="AI52" s="110">
        <v>2.44909764878747</v>
      </c>
      <c r="AJ52" s="110">
        <v>14.260590749000499</v>
      </c>
      <c r="AK52" s="110">
        <v>0</v>
      </c>
      <c r="AL52" s="110">
        <v>190.471395802183</v>
      </c>
      <c r="AM52" s="110">
        <v>0</v>
      </c>
      <c r="AN52" s="110">
        <v>0</v>
      </c>
      <c r="AO52" s="110">
        <v>0</v>
      </c>
      <c r="AP52" s="110">
        <v>0</v>
      </c>
      <c r="AQ52" s="111">
        <v>5.9105887895065798</v>
      </c>
    </row>
    <row r="53" spans="2:43" ht="12" customHeight="1" x14ac:dyDescent="0.25">
      <c r="B53" s="109" t="s">
        <v>44</v>
      </c>
      <c r="C53" s="110" t="s">
        <v>23</v>
      </c>
      <c r="D53" s="110" t="s">
        <v>45</v>
      </c>
      <c r="E53" s="110" t="s">
        <v>104</v>
      </c>
      <c r="F53" s="110" t="s">
        <v>25</v>
      </c>
      <c r="G53" s="110" t="s">
        <v>25</v>
      </c>
      <c r="H53" s="110" t="s">
        <v>90</v>
      </c>
      <c r="I53" s="110" t="s">
        <v>25</v>
      </c>
      <c r="J53" s="110">
        <v>446.37</v>
      </c>
      <c r="K53" s="110">
        <v>254.86</v>
      </c>
      <c r="L53" s="110">
        <v>14.1442887290032</v>
      </c>
      <c r="M53" s="110">
        <v>0.83307061938522797</v>
      </c>
      <c r="N53" s="110">
        <v>4.2766945893120001</v>
      </c>
      <c r="O53" s="110">
        <v>-1.4368425928466401E-3</v>
      </c>
      <c r="P53" s="110">
        <v>0</v>
      </c>
      <c r="Q53" s="110">
        <v>35.189414335223901</v>
      </c>
      <c r="R53" s="110">
        <v>13.8066705058863</v>
      </c>
      <c r="S53" s="110">
        <v>0</v>
      </c>
      <c r="T53" s="110">
        <v>44.6229162568549</v>
      </c>
      <c r="U53" s="110">
        <v>8.7425369504111305</v>
      </c>
      <c r="V53" s="110">
        <v>2.39862616291424</v>
      </c>
      <c r="W53" s="110">
        <v>0</v>
      </c>
      <c r="X53" s="110">
        <v>1.4378100802723599</v>
      </c>
      <c r="Y53" s="110">
        <v>0</v>
      </c>
      <c r="Z53" s="110">
        <v>0</v>
      </c>
      <c r="AA53" s="110">
        <v>242.730840635047</v>
      </c>
      <c r="AB53" s="110">
        <v>0</v>
      </c>
      <c r="AC53" s="110">
        <v>0</v>
      </c>
      <c r="AD53" s="110">
        <v>35.573369389645997</v>
      </c>
      <c r="AE53" s="110">
        <v>2.0541740142504898</v>
      </c>
      <c r="AF53" s="110">
        <v>31.805838030742599</v>
      </c>
      <c r="AG53" s="110">
        <v>8.7598213341591098</v>
      </c>
      <c r="AH53" s="110">
        <v>25.4628658462494</v>
      </c>
      <c r="AI53" s="110">
        <v>2.5023389020219802</v>
      </c>
      <c r="AJ53" s="110">
        <v>14.5706035913701</v>
      </c>
      <c r="AK53" s="110">
        <v>0</v>
      </c>
      <c r="AL53" s="110">
        <v>206.288803018799</v>
      </c>
      <c r="AM53" s="110">
        <v>0</v>
      </c>
      <c r="AN53" s="110">
        <v>0</v>
      </c>
      <c r="AO53" s="110">
        <v>0</v>
      </c>
      <c r="AP53" s="110">
        <v>0</v>
      </c>
      <c r="AQ53" s="111">
        <v>6.0390798501480303</v>
      </c>
    </row>
    <row r="54" spans="2:43" ht="12" customHeight="1" x14ac:dyDescent="0.25">
      <c r="B54" s="109" t="s">
        <v>44</v>
      </c>
      <c r="C54" s="110" t="s">
        <v>23</v>
      </c>
      <c r="D54" s="110" t="s">
        <v>45</v>
      </c>
      <c r="E54" s="110" t="s">
        <v>25</v>
      </c>
      <c r="F54" s="110" t="s">
        <v>25</v>
      </c>
      <c r="G54" s="110" t="s">
        <v>25</v>
      </c>
      <c r="H54" s="110" t="s">
        <v>90</v>
      </c>
      <c r="I54" s="110" t="s">
        <v>25</v>
      </c>
      <c r="J54" s="110">
        <v>446.37</v>
      </c>
      <c r="K54" s="110">
        <v>254.86</v>
      </c>
      <c r="L54" s="110">
        <v>14.1442887290032</v>
      </c>
      <c r="M54" s="110">
        <v>0.83307061938522797</v>
      </c>
      <c r="N54" s="110">
        <v>4.2766945893120001</v>
      </c>
      <c r="O54" s="110">
        <v>-1.4368425928466401E-3</v>
      </c>
      <c r="P54" s="110">
        <v>0</v>
      </c>
      <c r="Q54" s="110">
        <v>35.189414335223901</v>
      </c>
      <c r="R54" s="110">
        <v>13.8066705058863</v>
      </c>
      <c r="S54" s="110">
        <v>0</v>
      </c>
      <c r="T54" s="110">
        <v>44.6229162568549</v>
      </c>
      <c r="U54" s="110">
        <v>8.7425369504111305</v>
      </c>
      <c r="V54" s="110">
        <v>2.39862616291424</v>
      </c>
      <c r="W54" s="110">
        <v>0</v>
      </c>
      <c r="X54" s="110">
        <v>1.4378100802723599</v>
      </c>
      <c r="Y54" s="110">
        <v>0</v>
      </c>
      <c r="Z54" s="110">
        <v>0</v>
      </c>
      <c r="AA54" s="110">
        <v>242.730840635047</v>
      </c>
      <c r="AB54" s="110">
        <v>0</v>
      </c>
      <c r="AC54" s="110">
        <v>0</v>
      </c>
      <c r="AD54" s="110">
        <v>35.573369389645997</v>
      </c>
      <c r="AE54" s="110">
        <v>2.0541740142504898</v>
      </c>
      <c r="AF54" s="110">
        <v>31.805838030742599</v>
      </c>
      <c r="AG54" s="110">
        <v>8.7598213341591098</v>
      </c>
      <c r="AH54" s="110">
        <v>25.4628658462494</v>
      </c>
      <c r="AI54" s="110">
        <v>2.5023389020219802</v>
      </c>
      <c r="AJ54" s="110">
        <v>14.5706035913701</v>
      </c>
      <c r="AK54" s="110">
        <v>0</v>
      </c>
      <c r="AL54" s="110">
        <v>206.288803018799</v>
      </c>
      <c r="AM54" s="110">
        <v>0</v>
      </c>
      <c r="AN54" s="110">
        <v>0</v>
      </c>
      <c r="AO54" s="110">
        <v>0</v>
      </c>
      <c r="AP54" s="110">
        <v>0</v>
      </c>
      <c r="AQ54" s="111">
        <v>6.0390798501480303</v>
      </c>
    </row>
    <row r="55" spans="2:43" ht="12" customHeight="1" x14ac:dyDescent="0.25">
      <c r="B55" s="109" t="s">
        <v>44</v>
      </c>
      <c r="C55" s="110" t="s">
        <v>23</v>
      </c>
      <c r="D55" s="110" t="s">
        <v>45</v>
      </c>
      <c r="E55" s="110" t="s">
        <v>105</v>
      </c>
      <c r="F55" s="110" t="s">
        <v>25</v>
      </c>
      <c r="G55" s="110" t="s">
        <v>25</v>
      </c>
      <c r="H55" s="110" t="s">
        <v>90</v>
      </c>
      <c r="I55" s="110" t="s">
        <v>25</v>
      </c>
      <c r="J55" s="110">
        <v>436.88</v>
      </c>
      <c r="K55" s="110">
        <v>249.44</v>
      </c>
      <c r="L55" s="110">
        <v>13.8433464156202</v>
      </c>
      <c r="M55" s="110">
        <v>0.81534571258979704</v>
      </c>
      <c r="N55" s="110">
        <v>4.18570108741174</v>
      </c>
      <c r="O55" s="110">
        <v>-1.40627147384991E-3</v>
      </c>
      <c r="P55" s="110">
        <v>0</v>
      </c>
      <c r="Q55" s="110">
        <v>34.440703391921197</v>
      </c>
      <c r="R55" s="110">
        <v>13.512911558952601</v>
      </c>
      <c r="S55" s="110">
        <v>0</v>
      </c>
      <c r="T55" s="110">
        <v>43.673492506709003</v>
      </c>
      <c r="U55" s="110">
        <v>8.5565255259342994</v>
      </c>
      <c r="V55" s="110">
        <v>2.3475915637033</v>
      </c>
      <c r="W55" s="110">
        <v>0</v>
      </c>
      <c r="X55" s="110">
        <v>1.40721837643678</v>
      </c>
      <c r="Y55" s="110">
        <v>0</v>
      </c>
      <c r="Z55" s="110">
        <v>0</v>
      </c>
      <c r="AA55" s="110">
        <v>237.56635466408801</v>
      </c>
      <c r="AB55" s="110">
        <v>0</v>
      </c>
      <c r="AC55" s="110">
        <v>0</v>
      </c>
      <c r="AD55" s="110">
        <v>34.816489189866303</v>
      </c>
      <c r="AE55" s="110">
        <v>2.0104681841600498</v>
      </c>
      <c r="AF55" s="110">
        <v>31.129118072641699</v>
      </c>
      <c r="AG55" s="110">
        <v>8.5734421568365793</v>
      </c>
      <c r="AH55" s="110">
        <v>24.921102743137698</v>
      </c>
      <c r="AI55" s="110">
        <v>2.44909764878747</v>
      </c>
      <c r="AJ55" s="110">
        <v>14.260590749000499</v>
      </c>
      <c r="AK55" s="110">
        <v>0</v>
      </c>
      <c r="AL55" s="110">
        <v>201.899679550314</v>
      </c>
      <c r="AM55" s="110">
        <v>0</v>
      </c>
      <c r="AN55" s="110">
        <v>0</v>
      </c>
      <c r="AO55" s="110">
        <v>0</v>
      </c>
      <c r="AP55" s="110">
        <v>0</v>
      </c>
      <c r="AQ55" s="111">
        <v>5.9105887895065798</v>
      </c>
    </row>
    <row r="56" spans="2:43" ht="12" customHeight="1" x14ac:dyDescent="0.25">
      <c r="B56" s="109" t="s">
        <v>44</v>
      </c>
      <c r="C56" s="110" t="s">
        <v>103</v>
      </c>
      <c r="D56" s="110" t="s">
        <v>45</v>
      </c>
      <c r="E56" s="110" t="s">
        <v>104</v>
      </c>
      <c r="F56" s="110" t="s">
        <v>25</v>
      </c>
      <c r="G56" s="110" t="s">
        <v>25</v>
      </c>
      <c r="H56" s="110" t="s">
        <v>90</v>
      </c>
      <c r="I56" s="110" t="s">
        <v>25</v>
      </c>
      <c r="J56" s="110">
        <v>446.37</v>
      </c>
      <c r="K56" s="110">
        <v>254.86</v>
      </c>
      <c r="L56" s="110">
        <v>14.1442887290032</v>
      </c>
      <c r="M56" s="110">
        <v>0.83307061938522797</v>
      </c>
      <c r="N56" s="110">
        <v>4.2766945893120001</v>
      </c>
      <c r="O56" s="110">
        <v>-1.4368425928466401E-3</v>
      </c>
      <c r="P56" s="110">
        <v>0</v>
      </c>
      <c r="Q56" s="110">
        <v>35.189414335223901</v>
      </c>
      <c r="R56" s="110">
        <v>13.8066705058863</v>
      </c>
      <c r="S56" s="110">
        <v>0</v>
      </c>
      <c r="T56" s="110">
        <v>44.6229162568549</v>
      </c>
      <c r="U56" s="110">
        <v>8.7425369504111305</v>
      </c>
      <c r="V56" s="110">
        <v>2.39862616291424</v>
      </c>
      <c r="W56" s="110">
        <v>0</v>
      </c>
      <c r="X56" s="110">
        <v>1.4378100802723599</v>
      </c>
      <c r="Y56" s="110">
        <v>0</v>
      </c>
      <c r="Z56" s="110">
        <v>0</v>
      </c>
      <c r="AA56" s="110">
        <v>242.730840635047</v>
      </c>
      <c r="AB56" s="110">
        <v>0</v>
      </c>
      <c r="AC56" s="110">
        <v>0</v>
      </c>
      <c r="AD56" s="110">
        <v>35.573369389645997</v>
      </c>
      <c r="AE56" s="110">
        <v>2.0541740142504898</v>
      </c>
      <c r="AF56" s="110">
        <v>31.805838030742599</v>
      </c>
      <c r="AG56" s="110">
        <v>8.7598213341591098</v>
      </c>
      <c r="AH56" s="110">
        <v>25.4628658462494</v>
      </c>
      <c r="AI56" s="110">
        <v>2.5023389020219802</v>
      </c>
      <c r="AJ56" s="110">
        <v>14.5706035913701</v>
      </c>
      <c r="AK56" s="110">
        <v>0</v>
      </c>
      <c r="AL56" s="110">
        <v>206.288803018799</v>
      </c>
      <c r="AM56" s="110">
        <v>0</v>
      </c>
      <c r="AN56" s="110">
        <v>0</v>
      </c>
      <c r="AO56" s="110">
        <v>0</v>
      </c>
      <c r="AP56" s="110">
        <v>0</v>
      </c>
      <c r="AQ56" s="111">
        <v>6.0390798501480303</v>
      </c>
    </row>
    <row r="57" spans="2:43" ht="12" customHeight="1" x14ac:dyDescent="0.25">
      <c r="B57" s="109" t="s">
        <v>44</v>
      </c>
      <c r="C57" s="110" t="s">
        <v>103</v>
      </c>
      <c r="D57" s="110" t="s">
        <v>45</v>
      </c>
      <c r="E57" s="110" t="s">
        <v>25</v>
      </c>
      <c r="F57" s="110" t="s">
        <v>25</v>
      </c>
      <c r="G57" s="110" t="s">
        <v>25</v>
      </c>
      <c r="H57" s="110" t="s">
        <v>90</v>
      </c>
      <c r="I57" s="110" t="s">
        <v>25</v>
      </c>
      <c r="J57" s="110">
        <v>446.37</v>
      </c>
      <c r="K57" s="110">
        <v>254.86</v>
      </c>
      <c r="L57" s="110">
        <v>14.1442887290032</v>
      </c>
      <c r="M57" s="110">
        <v>0.83307061938522797</v>
      </c>
      <c r="N57" s="110">
        <v>4.2766945893120001</v>
      </c>
      <c r="O57" s="110">
        <v>-1.4368425928466401E-3</v>
      </c>
      <c r="P57" s="110">
        <v>0</v>
      </c>
      <c r="Q57" s="110">
        <v>35.189414335223901</v>
      </c>
      <c r="R57" s="110">
        <v>13.8066705058863</v>
      </c>
      <c r="S57" s="110">
        <v>0</v>
      </c>
      <c r="T57" s="110">
        <v>44.6229162568549</v>
      </c>
      <c r="U57" s="110">
        <v>8.7425369504111305</v>
      </c>
      <c r="V57" s="110">
        <v>2.39862616291424</v>
      </c>
      <c r="W57" s="110">
        <v>0</v>
      </c>
      <c r="X57" s="110">
        <v>1.4378100802723599</v>
      </c>
      <c r="Y57" s="110">
        <v>0</v>
      </c>
      <c r="Z57" s="110">
        <v>0</v>
      </c>
      <c r="AA57" s="110">
        <v>242.730840635047</v>
      </c>
      <c r="AB57" s="110">
        <v>0</v>
      </c>
      <c r="AC57" s="110">
        <v>0</v>
      </c>
      <c r="AD57" s="110">
        <v>35.573369389645997</v>
      </c>
      <c r="AE57" s="110">
        <v>2.0541740142504898</v>
      </c>
      <c r="AF57" s="110">
        <v>31.805838030742599</v>
      </c>
      <c r="AG57" s="110">
        <v>8.7598213341591098</v>
      </c>
      <c r="AH57" s="110">
        <v>25.4628658462494</v>
      </c>
      <c r="AI57" s="110">
        <v>2.5023389020219802</v>
      </c>
      <c r="AJ57" s="110">
        <v>14.5706035913701</v>
      </c>
      <c r="AK57" s="110">
        <v>0</v>
      </c>
      <c r="AL57" s="110">
        <v>206.288803018799</v>
      </c>
      <c r="AM57" s="110">
        <v>0</v>
      </c>
      <c r="AN57" s="110">
        <v>0</v>
      </c>
      <c r="AO57" s="110">
        <v>0</v>
      </c>
      <c r="AP57" s="110">
        <v>0</v>
      </c>
      <c r="AQ57" s="111">
        <v>6.0390798501480303</v>
      </c>
    </row>
    <row r="58" spans="2:43" ht="12" customHeight="1" x14ac:dyDescent="0.25">
      <c r="B58" s="109" t="s">
        <v>44</v>
      </c>
      <c r="C58" s="110" t="s">
        <v>103</v>
      </c>
      <c r="D58" s="110" t="s">
        <v>45</v>
      </c>
      <c r="E58" s="110" t="s">
        <v>105</v>
      </c>
      <c r="F58" s="110" t="s">
        <v>25</v>
      </c>
      <c r="G58" s="110" t="s">
        <v>25</v>
      </c>
      <c r="H58" s="110" t="s">
        <v>90</v>
      </c>
      <c r="I58" s="110" t="s">
        <v>25</v>
      </c>
      <c r="J58" s="110">
        <v>436.88</v>
      </c>
      <c r="K58" s="110">
        <v>249.44</v>
      </c>
      <c r="L58" s="110">
        <v>13.8433464156202</v>
      </c>
      <c r="M58" s="110">
        <v>0.81534571258979704</v>
      </c>
      <c r="N58" s="110">
        <v>4.18570108741174</v>
      </c>
      <c r="O58" s="110">
        <v>-1.40627147384991E-3</v>
      </c>
      <c r="P58" s="110">
        <v>0</v>
      </c>
      <c r="Q58" s="110">
        <v>34.440703391921197</v>
      </c>
      <c r="R58" s="110">
        <v>13.512911558952601</v>
      </c>
      <c r="S58" s="110">
        <v>0</v>
      </c>
      <c r="T58" s="110">
        <v>43.673492506709003</v>
      </c>
      <c r="U58" s="110">
        <v>8.5565255259342994</v>
      </c>
      <c r="V58" s="110">
        <v>2.3475915637033</v>
      </c>
      <c r="W58" s="110">
        <v>0</v>
      </c>
      <c r="X58" s="110">
        <v>1.40721837643678</v>
      </c>
      <c r="Y58" s="110">
        <v>0</v>
      </c>
      <c r="Z58" s="110">
        <v>0</v>
      </c>
      <c r="AA58" s="110">
        <v>237.56635466408801</v>
      </c>
      <c r="AB58" s="110">
        <v>0</v>
      </c>
      <c r="AC58" s="110">
        <v>0</v>
      </c>
      <c r="AD58" s="110">
        <v>34.816489189866303</v>
      </c>
      <c r="AE58" s="110">
        <v>2.0104681841600498</v>
      </c>
      <c r="AF58" s="110">
        <v>31.129118072641699</v>
      </c>
      <c r="AG58" s="110">
        <v>8.5734421568365793</v>
      </c>
      <c r="AH58" s="110">
        <v>24.921102743137698</v>
      </c>
      <c r="AI58" s="110">
        <v>2.44909764878747</v>
      </c>
      <c r="AJ58" s="110">
        <v>14.260590749000499</v>
      </c>
      <c r="AK58" s="110">
        <v>0</v>
      </c>
      <c r="AL58" s="110">
        <v>201.899679550314</v>
      </c>
      <c r="AM58" s="110">
        <v>0</v>
      </c>
      <c r="AN58" s="110">
        <v>0</v>
      </c>
      <c r="AO58" s="110">
        <v>0</v>
      </c>
      <c r="AP58" s="110">
        <v>0</v>
      </c>
      <c r="AQ58" s="111">
        <v>5.9105887895065798</v>
      </c>
    </row>
    <row r="59" spans="2:43" ht="12" customHeight="1" x14ac:dyDescent="0.25">
      <c r="B59" s="109" t="s">
        <v>39</v>
      </c>
      <c r="C59" s="110" t="s">
        <v>37</v>
      </c>
      <c r="D59" s="110" t="s">
        <v>25</v>
      </c>
      <c r="E59" s="110" t="s">
        <v>25</v>
      </c>
      <c r="F59" s="110" t="s">
        <v>25</v>
      </c>
      <c r="G59" s="110" t="s">
        <v>35</v>
      </c>
      <c r="H59" s="110" t="s">
        <v>90</v>
      </c>
      <c r="I59" s="110" t="s">
        <v>25</v>
      </c>
      <c r="J59" s="110">
        <v>1215.48</v>
      </c>
      <c r="K59" s="110">
        <v>407.77</v>
      </c>
      <c r="L59" s="110">
        <v>15.047115669152401</v>
      </c>
      <c r="M59" s="110">
        <v>0.88624533977151898</v>
      </c>
      <c r="N59" s="110">
        <v>11.2838946746381</v>
      </c>
      <c r="O59" s="110">
        <v>-1.52855594983685E-3</v>
      </c>
      <c r="P59" s="110">
        <v>0</v>
      </c>
      <c r="Q59" s="110">
        <v>37.435547165131801</v>
      </c>
      <c r="R59" s="110">
        <v>14.687947346687601</v>
      </c>
      <c r="S59" s="110">
        <v>0</v>
      </c>
      <c r="T59" s="110">
        <v>156.654948234937</v>
      </c>
      <c r="U59" s="110">
        <v>30.6919084463517</v>
      </c>
      <c r="V59" s="110">
        <v>8.4208378391412406</v>
      </c>
      <c r="W59" s="110">
        <v>0</v>
      </c>
      <c r="X59" s="110">
        <v>5.0477740656749903</v>
      </c>
      <c r="Y59" s="110">
        <v>0</v>
      </c>
      <c r="Z59" s="110">
        <v>0</v>
      </c>
      <c r="AA59" s="110">
        <v>852.14027044832596</v>
      </c>
      <c r="AB59" s="110">
        <v>0</v>
      </c>
      <c r="AC59" s="110">
        <v>0</v>
      </c>
      <c r="AD59" s="110">
        <v>37.8440099889851</v>
      </c>
      <c r="AE59" s="110">
        <v>2.18529150452179</v>
      </c>
      <c r="AF59" s="110">
        <v>33.835997905045303</v>
      </c>
      <c r="AG59" s="110">
        <v>9.3189588661267209</v>
      </c>
      <c r="AH59" s="110">
        <v>27.088155155584499</v>
      </c>
      <c r="AI59" s="110">
        <v>2.6620626617255101</v>
      </c>
      <c r="AJ59" s="110">
        <v>15.500642118478799</v>
      </c>
      <c r="AK59" s="110">
        <v>0</v>
      </c>
      <c r="AL59" s="110">
        <v>356.09869649973302</v>
      </c>
      <c r="AM59" s="110">
        <v>0</v>
      </c>
      <c r="AN59" s="110">
        <v>0</v>
      </c>
      <c r="AO59" s="110">
        <v>0</v>
      </c>
      <c r="AP59" s="110">
        <v>0</v>
      </c>
      <c r="AQ59" s="111">
        <v>6.4245530320723701</v>
      </c>
    </row>
    <row r="60" spans="2:43" ht="12" customHeight="1" x14ac:dyDescent="0.25">
      <c r="B60" s="109" t="s">
        <v>39</v>
      </c>
      <c r="C60" s="110" t="s">
        <v>37</v>
      </c>
      <c r="D60" s="110" t="s">
        <v>25</v>
      </c>
      <c r="E60" s="110" t="s">
        <v>25</v>
      </c>
      <c r="F60" s="110" t="s">
        <v>25</v>
      </c>
      <c r="G60" s="110" t="s">
        <v>38</v>
      </c>
      <c r="H60" s="110" t="s">
        <v>90</v>
      </c>
      <c r="I60" s="110" t="s">
        <v>25</v>
      </c>
      <c r="J60" s="110">
        <v>790.43</v>
      </c>
      <c r="K60" s="110">
        <v>258.70999999999998</v>
      </c>
      <c r="L60" s="110">
        <v>15.047115669152401</v>
      </c>
      <c r="M60" s="110">
        <v>0.88624533977151898</v>
      </c>
      <c r="N60" s="110">
        <v>7.4190401390585903</v>
      </c>
      <c r="O60" s="110">
        <v>-1.52855594983685E-3</v>
      </c>
      <c r="P60" s="110">
        <v>0</v>
      </c>
      <c r="Q60" s="110">
        <v>37.435547165131801</v>
      </c>
      <c r="R60" s="110">
        <v>14.687947346687601</v>
      </c>
      <c r="S60" s="110">
        <v>0</v>
      </c>
      <c r="T60" s="110">
        <v>93.992998401834896</v>
      </c>
      <c r="U60" s="110">
        <v>18.415168475485299</v>
      </c>
      <c r="V60" s="110">
        <v>5.0525886830420097</v>
      </c>
      <c r="W60" s="110">
        <v>0</v>
      </c>
      <c r="X60" s="110">
        <v>3.02874611529296</v>
      </c>
      <c r="Y60" s="110">
        <v>0</v>
      </c>
      <c r="Z60" s="110">
        <v>0</v>
      </c>
      <c r="AA60" s="110">
        <v>511.28413791465698</v>
      </c>
      <c r="AB60" s="110">
        <v>0</v>
      </c>
      <c r="AC60" s="110">
        <v>0</v>
      </c>
      <c r="AD60" s="110">
        <v>37.8440099889851</v>
      </c>
      <c r="AE60" s="110">
        <v>2.18529150452179</v>
      </c>
      <c r="AF60" s="110">
        <v>33.835997905045303</v>
      </c>
      <c r="AG60" s="110">
        <v>9.3189588661267209</v>
      </c>
      <c r="AH60" s="110">
        <v>27.088155155584499</v>
      </c>
      <c r="AI60" s="110">
        <v>2.6620626617255101</v>
      </c>
      <c r="AJ60" s="110">
        <v>15.500642118478799</v>
      </c>
      <c r="AK60" s="110">
        <v>0</v>
      </c>
      <c r="AL60" s="110">
        <v>207.03412587193799</v>
      </c>
      <c r="AM60" s="110">
        <v>0</v>
      </c>
      <c r="AN60" s="110">
        <v>0</v>
      </c>
      <c r="AO60" s="110">
        <v>0</v>
      </c>
      <c r="AP60" s="110">
        <v>0</v>
      </c>
      <c r="AQ60" s="111">
        <v>6.4245530320723701</v>
      </c>
    </row>
    <row r="61" spans="2:43" ht="12" customHeight="1" x14ac:dyDescent="0.25">
      <c r="B61" s="109" t="s">
        <v>39</v>
      </c>
      <c r="C61" s="110" t="s">
        <v>37</v>
      </c>
      <c r="D61" s="110" t="s">
        <v>25</v>
      </c>
      <c r="E61" s="110" t="s">
        <v>25</v>
      </c>
      <c r="F61" s="110" t="s">
        <v>25</v>
      </c>
      <c r="G61" s="110" t="s">
        <v>36</v>
      </c>
      <c r="H61" s="110" t="s">
        <v>90</v>
      </c>
      <c r="I61" s="110" t="s">
        <v>25</v>
      </c>
      <c r="J61" s="110">
        <v>365.38</v>
      </c>
      <c r="K61" s="110">
        <v>258.70999999999998</v>
      </c>
      <c r="L61" s="110">
        <v>15.047115669152401</v>
      </c>
      <c r="M61" s="110">
        <v>0.88624533977151898</v>
      </c>
      <c r="N61" s="110">
        <v>3.5541833048996399</v>
      </c>
      <c r="O61" s="110">
        <v>-1.52855594983685E-3</v>
      </c>
      <c r="P61" s="110">
        <v>0</v>
      </c>
      <c r="Q61" s="110">
        <v>37.435547165131801</v>
      </c>
      <c r="R61" s="110">
        <v>14.687947346687601</v>
      </c>
      <c r="S61" s="110">
        <v>0</v>
      </c>
      <c r="T61" s="110">
        <v>31.331048568732299</v>
      </c>
      <c r="U61" s="110">
        <v>6.1384285046188998</v>
      </c>
      <c r="V61" s="110">
        <v>1.6841962276806699</v>
      </c>
      <c r="W61" s="110">
        <v>0</v>
      </c>
      <c r="X61" s="110">
        <v>1.00951397519102</v>
      </c>
      <c r="Y61" s="110">
        <v>0</v>
      </c>
      <c r="Z61" s="110">
        <v>0</v>
      </c>
      <c r="AA61" s="110">
        <v>170.42800538098899</v>
      </c>
      <c r="AB61" s="110">
        <v>0</v>
      </c>
      <c r="AC61" s="110">
        <v>0</v>
      </c>
      <c r="AD61" s="110">
        <v>37.8440099889851</v>
      </c>
      <c r="AE61" s="110">
        <v>2.18529150452179</v>
      </c>
      <c r="AF61" s="110">
        <v>33.835997905045303</v>
      </c>
      <c r="AG61" s="110">
        <v>9.3189588661267209</v>
      </c>
      <c r="AH61" s="110">
        <v>27.088155155584499</v>
      </c>
      <c r="AI61" s="110">
        <v>2.6620626617255101</v>
      </c>
      <c r="AJ61" s="110">
        <v>15.500642118478799</v>
      </c>
      <c r="AK61" s="110">
        <v>0</v>
      </c>
      <c r="AL61" s="110">
        <v>207.03412587193799</v>
      </c>
      <c r="AM61" s="110">
        <v>0</v>
      </c>
      <c r="AN61" s="110">
        <v>0</v>
      </c>
      <c r="AO61" s="110">
        <v>0</v>
      </c>
      <c r="AP61" s="110">
        <v>0</v>
      </c>
      <c r="AQ61" s="111">
        <v>6.4245530320723701</v>
      </c>
    </row>
    <row r="62" spans="2:43" ht="12" customHeight="1" x14ac:dyDescent="0.25">
      <c r="B62" s="109" t="s">
        <v>39</v>
      </c>
      <c r="C62" s="110" t="s">
        <v>23</v>
      </c>
      <c r="D62" s="110" t="s">
        <v>25</v>
      </c>
      <c r="E62" s="110" t="s">
        <v>25</v>
      </c>
      <c r="F62" s="110" t="s">
        <v>25</v>
      </c>
      <c r="G62" s="110" t="s">
        <v>25</v>
      </c>
      <c r="H62" s="110" t="s">
        <v>90</v>
      </c>
      <c r="I62" s="110" t="s">
        <v>25</v>
      </c>
      <c r="J62" s="110">
        <v>474.87</v>
      </c>
      <c r="K62" s="110">
        <v>271.13</v>
      </c>
      <c r="L62" s="110">
        <v>15.047115669152401</v>
      </c>
      <c r="M62" s="110">
        <v>0.88624533977151898</v>
      </c>
      <c r="N62" s="110">
        <v>4.54967509501276</v>
      </c>
      <c r="O62" s="110">
        <v>-1.52855594983685E-3</v>
      </c>
      <c r="P62" s="110">
        <v>0</v>
      </c>
      <c r="Q62" s="110">
        <v>37.435547165131801</v>
      </c>
      <c r="R62" s="110">
        <v>14.687947346687601</v>
      </c>
      <c r="S62" s="110">
        <v>0</v>
      </c>
      <c r="T62" s="110">
        <v>47.471187507292399</v>
      </c>
      <c r="U62" s="110">
        <v>9.3005712238416294</v>
      </c>
      <c r="V62" s="110">
        <v>2.5517299605470698</v>
      </c>
      <c r="W62" s="110">
        <v>0</v>
      </c>
      <c r="X62" s="110">
        <v>1.5295851917791099</v>
      </c>
      <c r="Y62" s="110">
        <v>0</v>
      </c>
      <c r="Z62" s="110">
        <v>0</v>
      </c>
      <c r="AA62" s="110">
        <v>258.22429854792199</v>
      </c>
      <c r="AB62" s="110">
        <v>0</v>
      </c>
      <c r="AC62" s="110">
        <v>0</v>
      </c>
      <c r="AD62" s="110">
        <v>37.8440099889851</v>
      </c>
      <c r="AE62" s="110">
        <v>2.18529150452179</v>
      </c>
      <c r="AF62" s="110">
        <v>33.835997905045303</v>
      </c>
      <c r="AG62" s="110">
        <v>9.3189588661267209</v>
      </c>
      <c r="AH62" s="110">
        <v>27.088155155584499</v>
      </c>
      <c r="AI62" s="110">
        <v>2.6620626617255101</v>
      </c>
      <c r="AJ62" s="110">
        <v>15.500642118478799</v>
      </c>
      <c r="AK62" s="110">
        <v>0</v>
      </c>
      <c r="AL62" s="110">
        <v>219.45617342425399</v>
      </c>
      <c r="AM62" s="110">
        <v>0</v>
      </c>
      <c r="AN62" s="110">
        <v>0</v>
      </c>
      <c r="AO62" s="110">
        <v>0</v>
      </c>
      <c r="AP62" s="110">
        <v>0</v>
      </c>
      <c r="AQ62" s="111">
        <v>6.4245530320723701</v>
      </c>
    </row>
    <row r="63" spans="2:43" ht="12" customHeight="1" x14ac:dyDescent="0.25">
      <c r="B63" s="109" t="s">
        <v>39</v>
      </c>
      <c r="C63" s="110" t="s">
        <v>103</v>
      </c>
      <c r="D63" s="110" t="s">
        <v>25</v>
      </c>
      <c r="E63" s="110" t="s">
        <v>25</v>
      </c>
      <c r="F63" s="110" t="s">
        <v>25</v>
      </c>
      <c r="G63" s="110" t="s">
        <v>25</v>
      </c>
      <c r="H63" s="110" t="s">
        <v>90</v>
      </c>
      <c r="I63" s="110" t="s">
        <v>25</v>
      </c>
      <c r="J63" s="110">
        <v>474.87</v>
      </c>
      <c r="K63" s="110">
        <v>271.13</v>
      </c>
      <c r="L63" s="110">
        <v>15.047115669152401</v>
      </c>
      <c r="M63" s="110">
        <v>0.88624533977151898</v>
      </c>
      <c r="N63" s="110">
        <v>4.54967509501276</v>
      </c>
      <c r="O63" s="110">
        <v>-1.52855594983685E-3</v>
      </c>
      <c r="P63" s="110">
        <v>0</v>
      </c>
      <c r="Q63" s="110">
        <v>37.435547165131801</v>
      </c>
      <c r="R63" s="110">
        <v>14.687947346687601</v>
      </c>
      <c r="S63" s="110">
        <v>0</v>
      </c>
      <c r="T63" s="110">
        <v>47.471187507292399</v>
      </c>
      <c r="U63" s="110">
        <v>9.3005712238416294</v>
      </c>
      <c r="V63" s="110">
        <v>2.5517299605470698</v>
      </c>
      <c r="W63" s="110">
        <v>0</v>
      </c>
      <c r="X63" s="110">
        <v>1.5295851917791099</v>
      </c>
      <c r="Y63" s="110">
        <v>0</v>
      </c>
      <c r="Z63" s="110">
        <v>0</v>
      </c>
      <c r="AA63" s="110">
        <v>258.22429854792199</v>
      </c>
      <c r="AB63" s="110">
        <v>0</v>
      </c>
      <c r="AC63" s="110">
        <v>0</v>
      </c>
      <c r="AD63" s="110">
        <v>37.8440099889851</v>
      </c>
      <c r="AE63" s="110">
        <v>2.18529150452179</v>
      </c>
      <c r="AF63" s="110">
        <v>33.835997905045303</v>
      </c>
      <c r="AG63" s="110">
        <v>9.3189588661267209</v>
      </c>
      <c r="AH63" s="110">
        <v>27.088155155584499</v>
      </c>
      <c r="AI63" s="110">
        <v>2.6620626617255101</v>
      </c>
      <c r="AJ63" s="110">
        <v>15.500642118478799</v>
      </c>
      <c r="AK63" s="110">
        <v>0</v>
      </c>
      <c r="AL63" s="110">
        <v>219.45617342425399</v>
      </c>
      <c r="AM63" s="110">
        <v>0</v>
      </c>
      <c r="AN63" s="110">
        <v>0</v>
      </c>
      <c r="AO63" s="110">
        <v>0</v>
      </c>
      <c r="AP63" s="110">
        <v>0</v>
      </c>
      <c r="AQ63" s="111">
        <v>6.4245530320723701</v>
      </c>
    </row>
    <row r="64" spans="2:43" ht="12" customHeight="1" x14ac:dyDescent="0.25">
      <c r="B64" s="109" t="s">
        <v>47</v>
      </c>
      <c r="C64" s="110" t="s">
        <v>23</v>
      </c>
      <c r="D64" s="110" t="s">
        <v>48</v>
      </c>
      <c r="E64" s="110" t="s">
        <v>49</v>
      </c>
      <c r="F64" s="110" t="s">
        <v>25</v>
      </c>
      <c r="G64" s="110" t="s">
        <v>25</v>
      </c>
      <c r="H64" s="110" t="s">
        <v>90</v>
      </c>
      <c r="I64" s="110" t="s">
        <v>25</v>
      </c>
      <c r="J64" s="110">
        <v>261.18</v>
      </c>
      <c r="K64" s="110">
        <v>149.12</v>
      </c>
      <c r="L64" s="110">
        <v>8.2759136180338206</v>
      </c>
      <c r="M64" s="110">
        <v>0.48743493687433498</v>
      </c>
      <c r="N64" s="110">
        <v>2.5023213022570201</v>
      </c>
      <c r="O64" s="110">
        <v>-8.4070577241027004E-4</v>
      </c>
      <c r="P64" s="110">
        <v>0</v>
      </c>
      <c r="Q64" s="110">
        <v>20.589550940822502</v>
      </c>
      <c r="R64" s="110">
        <v>8.0783710406781601</v>
      </c>
      <c r="S64" s="110">
        <v>0</v>
      </c>
      <c r="T64" s="110">
        <v>26.109153129010799</v>
      </c>
      <c r="U64" s="110">
        <v>5.1153141731128899</v>
      </c>
      <c r="V64" s="110">
        <v>1.40345147830089</v>
      </c>
      <c r="W64" s="110">
        <v>0</v>
      </c>
      <c r="X64" s="110">
        <v>0.84127185547851002</v>
      </c>
      <c r="Y64" s="110">
        <v>0</v>
      </c>
      <c r="Z64" s="110">
        <v>0</v>
      </c>
      <c r="AA64" s="110">
        <v>142.023364201357</v>
      </c>
      <c r="AB64" s="110">
        <v>0</v>
      </c>
      <c r="AC64" s="110">
        <v>0</v>
      </c>
      <c r="AD64" s="110">
        <v>20.814205493941799</v>
      </c>
      <c r="AE64" s="110">
        <v>1.20191032748699</v>
      </c>
      <c r="AF64" s="110">
        <v>18.609798847774901</v>
      </c>
      <c r="AG64" s="110">
        <v>5.1254273763696903</v>
      </c>
      <c r="AH64" s="110">
        <v>14.8984853355715</v>
      </c>
      <c r="AI64" s="110">
        <v>1.4641344639490299</v>
      </c>
      <c r="AJ64" s="110">
        <v>8.5253531651633399</v>
      </c>
      <c r="AK64" s="110">
        <v>0</v>
      </c>
      <c r="AL64" s="110">
        <v>120.70089538334</v>
      </c>
      <c r="AM64" s="110">
        <v>0</v>
      </c>
      <c r="AN64" s="110">
        <v>0</v>
      </c>
      <c r="AO64" s="110">
        <v>0</v>
      </c>
      <c r="AP64" s="110">
        <v>0</v>
      </c>
      <c r="AQ64" s="111">
        <v>3.5335041676398</v>
      </c>
    </row>
    <row r="65" spans="2:43" ht="12" customHeight="1" x14ac:dyDescent="0.25">
      <c r="B65" s="112" t="s">
        <v>47</v>
      </c>
      <c r="C65" s="113" t="s">
        <v>23</v>
      </c>
      <c r="D65" s="113" t="s">
        <v>48</v>
      </c>
      <c r="E65" s="113" t="s">
        <v>106</v>
      </c>
      <c r="F65" s="113" t="s">
        <v>25</v>
      </c>
      <c r="G65" s="113" t="s">
        <v>25</v>
      </c>
      <c r="H65" s="113" t="s">
        <v>90</v>
      </c>
      <c r="I65" s="113" t="s">
        <v>25</v>
      </c>
      <c r="J65" s="113">
        <v>284.92</v>
      </c>
      <c r="K65" s="113">
        <v>162.68</v>
      </c>
      <c r="L65" s="113">
        <v>9.0282694014914302</v>
      </c>
      <c r="M65" s="113">
        <v>0.53174720386291097</v>
      </c>
      <c r="N65" s="113">
        <v>2.7298050570076602</v>
      </c>
      <c r="O65" s="113">
        <v>-9.1713356990211204E-4</v>
      </c>
      <c r="P65" s="113">
        <v>0</v>
      </c>
      <c r="Q65" s="113">
        <v>22.461328299079099</v>
      </c>
      <c r="R65" s="113">
        <v>8.8127684080125395</v>
      </c>
      <c r="S65" s="113">
        <v>0</v>
      </c>
      <c r="T65" s="113">
        <v>28.482712504375499</v>
      </c>
      <c r="U65" s="113">
        <v>5.5803427343049803</v>
      </c>
      <c r="V65" s="113">
        <v>1.53103797632824</v>
      </c>
      <c r="W65" s="113">
        <v>0</v>
      </c>
      <c r="X65" s="113">
        <v>0.91775111506746598</v>
      </c>
      <c r="Y65" s="113">
        <v>0</v>
      </c>
      <c r="Z65" s="113">
        <v>0</v>
      </c>
      <c r="AA65" s="113">
        <v>154.934579128753</v>
      </c>
      <c r="AB65" s="113">
        <v>0</v>
      </c>
      <c r="AC65" s="113">
        <v>0</v>
      </c>
      <c r="AD65" s="113">
        <v>22.706405993391101</v>
      </c>
      <c r="AE65" s="113">
        <v>1.3111749027130799</v>
      </c>
      <c r="AF65" s="113">
        <v>20.301598743027199</v>
      </c>
      <c r="AG65" s="113">
        <v>5.5913753196760299</v>
      </c>
      <c r="AH65" s="113">
        <v>16.2528930933507</v>
      </c>
      <c r="AI65" s="113">
        <v>1.5972375970353101</v>
      </c>
      <c r="AJ65" s="113">
        <v>9.3003852710872792</v>
      </c>
      <c r="AK65" s="113">
        <v>0</v>
      </c>
      <c r="AL65" s="113">
        <v>131.67370405455301</v>
      </c>
      <c r="AM65" s="113">
        <v>0</v>
      </c>
      <c r="AN65" s="113">
        <v>0</v>
      </c>
      <c r="AO65" s="113">
        <v>0</v>
      </c>
      <c r="AP65" s="113">
        <v>0</v>
      </c>
      <c r="AQ65" s="114">
        <v>3.8547318192434199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55EC6-35D6-4C23-8006-AC3F1962F201}">
  <dimension ref="B1:AQ65"/>
  <sheetViews>
    <sheetView showGridLines="0" workbookViewId="0">
      <selection activeCell="B4" sqref="B4"/>
    </sheetView>
  </sheetViews>
  <sheetFormatPr defaultRowHeight="15" x14ac:dyDescent="0.25"/>
  <cols>
    <col min="2" max="2" width="13.42578125" bestFit="1" customWidth="1"/>
    <col min="3" max="3" width="27.7109375" bestFit="1" customWidth="1"/>
    <col min="4" max="4" width="17.85546875" bestFit="1" customWidth="1"/>
    <col min="5" max="5" width="31.140625" bestFit="1" customWidth="1"/>
    <col min="6" max="6" width="12.5703125" bestFit="1" customWidth="1"/>
    <col min="7" max="7" width="13.42578125" bestFit="1" customWidth="1"/>
    <col min="8" max="8" width="11.5703125" bestFit="1" customWidth="1"/>
    <col min="9" max="9" width="13.42578125" bestFit="1" customWidth="1"/>
    <col min="10" max="10" width="12.85546875" bestFit="1" customWidth="1"/>
    <col min="11" max="11" width="10.140625" bestFit="1" customWidth="1"/>
    <col min="12" max="12" width="19.28515625" bestFit="1" customWidth="1"/>
    <col min="13" max="13" width="14" bestFit="1" customWidth="1"/>
    <col min="14" max="14" width="12.5703125" bestFit="1" customWidth="1"/>
    <col min="15" max="15" width="12.85546875" bestFit="1" customWidth="1"/>
    <col min="16" max="17" width="12.42578125" bestFit="1" customWidth="1"/>
    <col min="18" max="18" width="17.140625" bestFit="1" customWidth="1"/>
    <col min="19" max="19" width="10.85546875" bestFit="1" customWidth="1"/>
    <col min="20" max="21" width="12" bestFit="1" customWidth="1"/>
    <col min="22" max="22" width="12.28515625" bestFit="1" customWidth="1"/>
    <col min="23" max="23" width="12.5703125" bestFit="1" customWidth="1"/>
    <col min="24" max="24" width="13.85546875" bestFit="1" customWidth="1"/>
    <col min="25" max="25" width="11.42578125" bestFit="1" customWidth="1"/>
    <col min="26" max="26" width="14.28515625" bestFit="1" customWidth="1"/>
    <col min="27" max="27" width="12.85546875" bestFit="1" customWidth="1"/>
    <col min="28" max="28" width="16.140625" bestFit="1" customWidth="1"/>
    <col min="29" max="29" width="14.42578125" bestFit="1" customWidth="1"/>
    <col min="30" max="30" width="12" bestFit="1" customWidth="1"/>
    <col min="31" max="31" width="17.7109375" bestFit="1" customWidth="1"/>
    <col min="32" max="32" width="12.5703125" bestFit="1" customWidth="1"/>
    <col min="33" max="33" width="10.7109375" bestFit="1" customWidth="1"/>
    <col min="34" max="34" width="16.5703125" bestFit="1" customWidth="1"/>
    <col min="35" max="35" width="9.85546875" bestFit="1" customWidth="1"/>
    <col min="36" max="36" width="12.5703125" bestFit="1" customWidth="1"/>
    <col min="37" max="37" width="12.28515625" bestFit="1" customWidth="1"/>
    <col min="38" max="38" width="14.140625" bestFit="1" customWidth="1"/>
    <col min="39" max="39" width="25.28515625" bestFit="1" customWidth="1"/>
    <col min="40" max="40" width="17.85546875" bestFit="1" customWidth="1"/>
    <col min="41" max="41" width="13.42578125" bestFit="1" customWidth="1"/>
    <col min="42" max="42" width="13.28515625" bestFit="1" customWidth="1"/>
    <col min="43" max="43" width="12.5703125" bestFit="1" customWidth="1"/>
  </cols>
  <sheetData>
    <row r="1" spans="2:43" ht="12" customHeight="1" x14ac:dyDescent="0.25">
      <c r="L1" s="151" t="s">
        <v>1475</v>
      </c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2"/>
      <c r="AH1" s="151" t="s">
        <v>1476</v>
      </c>
      <c r="AI1" s="151"/>
      <c r="AJ1" s="151"/>
      <c r="AK1" s="151"/>
      <c r="AL1" s="151"/>
      <c r="AM1" s="151"/>
      <c r="AN1" s="151"/>
      <c r="AO1" s="151"/>
      <c r="AP1" s="151"/>
      <c r="AQ1" s="151"/>
    </row>
    <row r="2" spans="2:43" ht="12" customHeight="1" x14ac:dyDescent="0.25">
      <c r="L2" s="153" t="s">
        <v>755</v>
      </c>
      <c r="M2" s="153"/>
      <c r="N2" s="153"/>
      <c r="O2" s="153"/>
      <c r="P2" s="153"/>
      <c r="Q2" s="153"/>
      <c r="R2" s="153"/>
      <c r="S2" s="154"/>
      <c r="T2" s="153" t="s">
        <v>764</v>
      </c>
      <c r="U2" s="153"/>
      <c r="V2" s="153"/>
      <c r="W2" s="153"/>
      <c r="X2" s="153"/>
      <c r="Y2" s="153"/>
      <c r="Z2" s="154"/>
      <c r="AA2" s="115" t="s">
        <v>772</v>
      </c>
      <c r="AB2" s="153" t="s">
        <v>25</v>
      </c>
      <c r="AC2" s="154"/>
      <c r="AD2" s="153" t="s">
        <v>1474</v>
      </c>
      <c r="AE2" s="153"/>
      <c r="AF2" s="153"/>
      <c r="AG2" s="154"/>
      <c r="AH2" s="153" t="s">
        <v>755</v>
      </c>
      <c r="AI2" s="153"/>
      <c r="AJ2" s="153"/>
      <c r="AK2" s="154"/>
      <c r="AL2" s="115" t="s">
        <v>785</v>
      </c>
      <c r="AM2" s="153" t="s">
        <v>764</v>
      </c>
      <c r="AN2" s="153"/>
      <c r="AO2" s="153"/>
      <c r="AP2" s="154"/>
      <c r="AQ2" s="116" t="s">
        <v>1474</v>
      </c>
    </row>
    <row r="3" spans="2:43" ht="12" customHeight="1" x14ac:dyDescent="0.25">
      <c r="B3" s="106" t="s">
        <v>80</v>
      </c>
      <c r="C3" s="107" t="s">
        <v>81</v>
      </c>
      <c r="D3" s="107" t="s">
        <v>82</v>
      </c>
      <c r="E3" s="107" t="s">
        <v>83</v>
      </c>
      <c r="F3" s="107" t="s">
        <v>84</v>
      </c>
      <c r="G3" s="107" t="s">
        <v>86</v>
      </c>
      <c r="H3" s="107" t="s">
        <v>87</v>
      </c>
      <c r="I3" s="107" t="s">
        <v>1035</v>
      </c>
      <c r="J3" s="107" t="s">
        <v>1439</v>
      </c>
      <c r="K3" s="107" t="s">
        <v>1440</v>
      </c>
      <c r="L3" s="107" t="s">
        <v>1441</v>
      </c>
      <c r="M3" s="107" t="s">
        <v>1442</v>
      </c>
      <c r="N3" s="107" t="s">
        <v>1443</v>
      </c>
      <c r="O3" s="107" t="s">
        <v>1444</v>
      </c>
      <c r="P3" s="107" t="s">
        <v>1445</v>
      </c>
      <c r="Q3" s="107" t="s">
        <v>1446</v>
      </c>
      <c r="R3" s="107" t="s">
        <v>1447</v>
      </c>
      <c r="S3" s="107" t="s">
        <v>1448</v>
      </c>
      <c r="T3" s="107" t="s">
        <v>1449</v>
      </c>
      <c r="U3" s="107" t="s">
        <v>1450</v>
      </c>
      <c r="V3" s="107" t="s">
        <v>1451</v>
      </c>
      <c r="W3" s="107" t="s">
        <v>1452</v>
      </c>
      <c r="X3" s="107" t="s">
        <v>1453</v>
      </c>
      <c r="Y3" s="107" t="s">
        <v>1454</v>
      </c>
      <c r="Z3" s="107" t="s">
        <v>1455</v>
      </c>
      <c r="AA3" s="107" t="s">
        <v>1456</v>
      </c>
      <c r="AB3" s="107" t="s">
        <v>1457</v>
      </c>
      <c r="AC3" s="107" t="s">
        <v>1458</v>
      </c>
      <c r="AD3" s="107" t="s">
        <v>1459</v>
      </c>
      <c r="AE3" s="107" t="s">
        <v>1460</v>
      </c>
      <c r="AF3" s="107" t="s">
        <v>1461</v>
      </c>
      <c r="AG3" s="107" t="s">
        <v>1462</v>
      </c>
      <c r="AH3" s="107" t="s">
        <v>1463</v>
      </c>
      <c r="AI3" s="107" t="s">
        <v>1464</v>
      </c>
      <c r="AJ3" s="107" t="s">
        <v>1465</v>
      </c>
      <c r="AK3" s="107" t="s">
        <v>1466</v>
      </c>
      <c r="AL3" s="107" t="s">
        <v>1467</v>
      </c>
      <c r="AM3" s="107" t="s">
        <v>1468</v>
      </c>
      <c r="AN3" s="107" t="s">
        <v>1469</v>
      </c>
      <c r="AO3" s="107" t="s">
        <v>1470</v>
      </c>
      <c r="AP3" s="107" t="s">
        <v>1471</v>
      </c>
      <c r="AQ3" s="108" t="s">
        <v>1472</v>
      </c>
    </row>
    <row r="4" spans="2:43" ht="12" customHeight="1" x14ac:dyDescent="0.25">
      <c r="B4" s="109" t="s">
        <v>41</v>
      </c>
      <c r="C4" s="110" t="s">
        <v>42</v>
      </c>
      <c r="D4" s="110" t="s">
        <v>25</v>
      </c>
      <c r="E4" s="110" t="s">
        <v>25</v>
      </c>
      <c r="F4" s="110" t="s">
        <v>58</v>
      </c>
      <c r="G4" s="110" t="s">
        <v>35</v>
      </c>
      <c r="H4" s="110" t="s">
        <v>90</v>
      </c>
      <c r="I4" s="110" t="s">
        <v>25</v>
      </c>
      <c r="J4" s="110">
        <v>1.87</v>
      </c>
      <c r="K4" s="110">
        <v>0</v>
      </c>
      <c r="L4" s="110">
        <v>0</v>
      </c>
      <c r="M4" s="110">
        <v>0</v>
      </c>
      <c r="N4" s="110">
        <v>0</v>
      </c>
      <c r="O4" s="110">
        <v>0</v>
      </c>
      <c r="P4" s="110">
        <v>0</v>
      </c>
      <c r="Q4" s="110">
        <v>0</v>
      </c>
      <c r="R4" s="110">
        <v>0</v>
      </c>
      <c r="S4" s="110">
        <v>0</v>
      </c>
      <c r="T4" s="110">
        <v>0</v>
      </c>
      <c r="U4" s="110">
        <v>0</v>
      </c>
      <c r="V4" s="110">
        <v>0</v>
      </c>
      <c r="W4" s="110">
        <v>0</v>
      </c>
      <c r="X4" s="110">
        <v>0</v>
      </c>
      <c r="Y4" s="110">
        <v>0</v>
      </c>
      <c r="Z4" s="110">
        <v>0</v>
      </c>
      <c r="AA4" s="110">
        <v>0</v>
      </c>
      <c r="AB4" s="110">
        <v>0</v>
      </c>
      <c r="AC4" s="110">
        <v>0</v>
      </c>
      <c r="AD4" s="110">
        <v>0.61210307253811203</v>
      </c>
      <c r="AE4" s="110">
        <v>3.5345716394709598E-2</v>
      </c>
      <c r="AF4" s="110">
        <v>1.2179187380030601</v>
      </c>
      <c r="AG4" s="110">
        <v>0</v>
      </c>
      <c r="AH4" s="110">
        <v>0</v>
      </c>
      <c r="AI4" s="110">
        <v>0</v>
      </c>
      <c r="AJ4" s="110">
        <v>0</v>
      </c>
      <c r="AK4" s="110">
        <v>0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  <c r="AQ4" s="111">
        <v>0</v>
      </c>
    </row>
    <row r="5" spans="2:43" ht="12" customHeight="1" x14ac:dyDescent="0.25">
      <c r="B5" s="109" t="s">
        <v>41</v>
      </c>
      <c r="C5" s="110" t="s">
        <v>42</v>
      </c>
      <c r="D5" s="110" t="s">
        <v>25</v>
      </c>
      <c r="E5" s="110" t="s">
        <v>25</v>
      </c>
      <c r="F5" s="110" t="s">
        <v>58</v>
      </c>
      <c r="G5" s="110" t="s">
        <v>35</v>
      </c>
      <c r="H5" s="110" t="s">
        <v>93</v>
      </c>
      <c r="I5" s="110" t="s">
        <v>25</v>
      </c>
      <c r="J5" s="110">
        <v>1.0900000000000001</v>
      </c>
      <c r="K5" s="110">
        <v>0</v>
      </c>
      <c r="L5" s="110">
        <v>0</v>
      </c>
      <c r="M5" s="110">
        <v>0</v>
      </c>
      <c r="N5" s="110">
        <v>0</v>
      </c>
      <c r="O5" s="110">
        <v>0</v>
      </c>
      <c r="P5" s="110">
        <v>0</v>
      </c>
      <c r="Q5" s="110">
        <v>0</v>
      </c>
      <c r="R5" s="110">
        <v>0</v>
      </c>
      <c r="S5" s="110">
        <v>0</v>
      </c>
      <c r="T5" s="110">
        <v>0.91028705044650404</v>
      </c>
      <c r="U5" s="110">
        <v>0.17711309886943399</v>
      </c>
      <c r="V5" s="110">
        <v>0</v>
      </c>
      <c r="W5" s="110">
        <v>0</v>
      </c>
      <c r="X5" s="110">
        <v>0</v>
      </c>
      <c r="Y5" s="110">
        <v>0</v>
      </c>
      <c r="Z5" s="110">
        <v>0</v>
      </c>
      <c r="AA5" s="110">
        <v>0</v>
      </c>
      <c r="AB5" s="110">
        <v>0</v>
      </c>
      <c r="AC5" s="110">
        <v>0</v>
      </c>
      <c r="AD5" s="110">
        <v>0</v>
      </c>
      <c r="AE5" s="110">
        <v>0</v>
      </c>
      <c r="AF5" s="110">
        <v>0</v>
      </c>
      <c r="AG5" s="110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1">
        <v>0</v>
      </c>
    </row>
    <row r="6" spans="2:43" ht="12" customHeight="1" x14ac:dyDescent="0.25">
      <c r="B6" s="109" t="s">
        <v>41</v>
      </c>
      <c r="C6" s="110" t="s">
        <v>42</v>
      </c>
      <c r="D6" s="110" t="s">
        <v>25</v>
      </c>
      <c r="E6" s="110" t="s">
        <v>25</v>
      </c>
      <c r="F6" s="110" t="s">
        <v>58</v>
      </c>
      <c r="G6" s="110" t="s">
        <v>36</v>
      </c>
      <c r="H6" s="110" t="s">
        <v>90</v>
      </c>
      <c r="I6" s="110" t="s">
        <v>25</v>
      </c>
      <c r="J6" s="110">
        <v>1.87</v>
      </c>
      <c r="K6" s="110">
        <v>0</v>
      </c>
      <c r="L6" s="110">
        <v>0</v>
      </c>
      <c r="M6" s="110">
        <v>0</v>
      </c>
      <c r="N6" s="110">
        <v>0</v>
      </c>
      <c r="O6" s="110">
        <v>0</v>
      </c>
      <c r="P6" s="110">
        <v>0</v>
      </c>
      <c r="Q6" s="110">
        <v>0</v>
      </c>
      <c r="R6" s="110">
        <v>0</v>
      </c>
      <c r="S6" s="110">
        <v>0</v>
      </c>
      <c r="T6" s="110">
        <v>0</v>
      </c>
      <c r="U6" s="110">
        <v>0</v>
      </c>
      <c r="V6" s="110">
        <v>0</v>
      </c>
      <c r="W6" s="110">
        <v>0</v>
      </c>
      <c r="X6" s="110">
        <v>0</v>
      </c>
      <c r="Y6" s="110">
        <v>0</v>
      </c>
      <c r="Z6" s="110">
        <v>0</v>
      </c>
      <c r="AA6" s="110">
        <v>0</v>
      </c>
      <c r="AB6" s="110">
        <v>0</v>
      </c>
      <c r="AC6" s="110">
        <v>0</v>
      </c>
      <c r="AD6" s="110">
        <v>0.61210307253811203</v>
      </c>
      <c r="AE6" s="110">
        <v>3.5345716394709598E-2</v>
      </c>
      <c r="AF6" s="110">
        <v>1.2179187380030601</v>
      </c>
      <c r="AG6" s="110">
        <v>0</v>
      </c>
      <c r="AH6" s="110">
        <v>0</v>
      </c>
      <c r="AI6" s="110">
        <v>0</v>
      </c>
      <c r="AJ6" s="110">
        <v>0</v>
      </c>
      <c r="AK6" s="110">
        <v>0</v>
      </c>
      <c r="AL6" s="110">
        <v>0</v>
      </c>
      <c r="AM6" s="110">
        <v>0</v>
      </c>
      <c r="AN6" s="110">
        <v>0</v>
      </c>
      <c r="AO6" s="110">
        <v>0</v>
      </c>
      <c r="AP6" s="110">
        <v>0</v>
      </c>
      <c r="AQ6" s="111">
        <v>0</v>
      </c>
    </row>
    <row r="7" spans="2:43" ht="12" customHeight="1" x14ac:dyDescent="0.25">
      <c r="B7" s="109" t="s">
        <v>41</v>
      </c>
      <c r="C7" s="110" t="s">
        <v>42</v>
      </c>
      <c r="D7" s="110" t="s">
        <v>25</v>
      </c>
      <c r="E7" s="110" t="s">
        <v>25</v>
      </c>
      <c r="F7" s="110" t="s">
        <v>58</v>
      </c>
      <c r="G7" s="110" t="s">
        <v>36</v>
      </c>
      <c r="H7" s="110" t="s">
        <v>93</v>
      </c>
      <c r="I7" s="110" t="s">
        <v>25</v>
      </c>
      <c r="J7" s="110">
        <v>0.96</v>
      </c>
      <c r="K7" s="110">
        <v>0</v>
      </c>
      <c r="L7" s="110">
        <v>0</v>
      </c>
      <c r="M7" s="110">
        <v>0</v>
      </c>
      <c r="N7" s="110">
        <v>0</v>
      </c>
      <c r="O7" s="110">
        <v>0</v>
      </c>
      <c r="P7" s="110">
        <v>0</v>
      </c>
      <c r="Q7" s="110">
        <v>0</v>
      </c>
      <c r="R7" s="110">
        <v>0</v>
      </c>
      <c r="S7" s="110">
        <v>0</v>
      </c>
      <c r="T7" s="110">
        <v>0.80339757152375002</v>
      </c>
      <c r="U7" s="110">
        <v>0.156880366225497</v>
      </c>
      <c r="V7" s="110">
        <v>0</v>
      </c>
      <c r="W7" s="110">
        <v>0</v>
      </c>
      <c r="X7" s="110">
        <v>0</v>
      </c>
      <c r="Y7" s="110">
        <v>0</v>
      </c>
      <c r="Z7" s="110">
        <v>0</v>
      </c>
      <c r="AA7" s="110">
        <v>0</v>
      </c>
      <c r="AB7" s="110">
        <v>0</v>
      </c>
      <c r="AC7" s="110">
        <v>0</v>
      </c>
      <c r="AD7" s="110">
        <v>0</v>
      </c>
      <c r="AE7" s="110">
        <v>0</v>
      </c>
      <c r="AF7" s="110">
        <v>0</v>
      </c>
      <c r="AG7" s="110">
        <v>0</v>
      </c>
      <c r="AH7" s="110">
        <v>0</v>
      </c>
      <c r="AI7" s="110">
        <v>0</v>
      </c>
      <c r="AJ7" s="110">
        <v>0</v>
      </c>
      <c r="AK7" s="110">
        <v>0</v>
      </c>
      <c r="AL7" s="110">
        <v>0</v>
      </c>
      <c r="AM7" s="110">
        <v>0</v>
      </c>
      <c r="AN7" s="110">
        <v>0</v>
      </c>
      <c r="AO7" s="110">
        <v>0</v>
      </c>
      <c r="AP7" s="110">
        <v>0</v>
      </c>
      <c r="AQ7" s="111">
        <v>0</v>
      </c>
    </row>
    <row r="8" spans="2:43" ht="12" customHeight="1" x14ac:dyDescent="0.25">
      <c r="B8" s="109" t="s">
        <v>41</v>
      </c>
      <c r="C8" s="110" t="s">
        <v>42</v>
      </c>
      <c r="D8" s="110" t="s">
        <v>25</v>
      </c>
      <c r="E8" s="110" t="s">
        <v>25</v>
      </c>
      <c r="F8" s="110" t="s">
        <v>25</v>
      </c>
      <c r="G8" s="110" t="s">
        <v>35</v>
      </c>
      <c r="H8" s="110" t="s">
        <v>90</v>
      </c>
      <c r="I8" s="110" t="s">
        <v>25</v>
      </c>
      <c r="J8" s="110">
        <v>5.73</v>
      </c>
      <c r="K8" s="110">
        <v>66.42</v>
      </c>
      <c r="L8" s="110">
        <v>5.6719896112568002E-2</v>
      </c>
      <c r="M8" s="110">
        <v>0</v>
      </c>
      <c r="N8" s="110">
        <v>0</v>
      </c>
      <c r="O8" s="110">
        <v>0</v>
      </c>
      <c r="P8" s="110">
        <v>0</v>
      </c>
      <c r="Q8" s="110">
        <v>1.9706298102384501</v>
      </c>
      <c r="R8" s="110">
        <v>1.83567494951971</v>
      </c>
      <c r="S8" s="110">
        <v>0</v>
      </c>
      <c r="T8" s="110">
        <v>0</v>
      </c>
      <c r="U8" s="110">
        <v>0</v>
      </c>
      <c r="V8" s="110">
        <v>0</v>
      </c>
      <c r="W8" s="110">
        <v>0</v>
      </c>
      <c r="X8" s="110">
        <v>0</v>
      </c>
      <c r="Y8" s="110">
        <v>0</v>
      </c>
      <c r="Z8" s="110">
        <v>0</v>
      </c>
      <c r="AA8" s="110">
        <v>0</v>
      </c>
      <c r="AB8" s="110">
        <v>0</v>
      </c>
      <c r="AC8" s="110">
        <v>0</v>
      </c>
      <c r="AD8" s="110">
        <v>0.61210307253811203</v>
      </c>
      <c r="AE8" s="110">
        <v>3.5345716394709598E-2</v>
      </c>
      <c r="AF8" s="110">
        <v>1.2179187380030601</v>
      </c>
      <c r="AG8" s="110">
        <v>0</v>
      </c>
      <c r="AH8" s="110">
        <v>0.16469101498213201</v>
      </c>
      <c r="AI8" s="110">
        <v>0</v>
      </c>
      <c r="AJ8" s="110">
        <v>35.4473102687666</v>
      </c>
      <c r="AK8" s="110">
        <v>0</v>
      </c>
      <c r="AL8" s="110">
        <v>30.258631722321301</v>
      </c>
      <c r="AM8" s="110">
        <v>0</v>
      </c>
      <c r="AN8" s="110">
        <v>0</v>
      </c>
      <c r="AO8" s="110">
        <v>0</v>
      </c>
      <c r="AP8" s="110">
        <v>0</v>
      </c>
      <c r="AQ8" s="111">
        <v>0.54591096819177998</v>
      </c>
    </row>
    <row r="9" spans="2:43" ht="12" customHeight="1" x14ac:dyDescent="0.25">
      <c r="B9" s="109" t="s">
        <v>41</v>
      </c>
      <c r="C9" s="110" t="s">
        <v>42</v>
      </c>
      <c r="D9" s="110" t="s">
        <v>25</v>
      </c>
      <c r="E9" s="110" t="s">
        <v>25</v>
      </c>
      <c r="F9" s="110" t="s">
        <v>25</v>
      </c>
      <c r="G9" s="110" t="s">
        <v>35</v>
      </c>
      <c r="H9" s="110" t="s">
        <v>93</v>
      </c>
      <c r="I9" s="110" t="s">
        <v>25</v>
      </c>
      <c r="J9" s="110">
        <v>1.0900000000000001</v>
      </c>
      <c r="K9" s="110">
        <v>0</v>
      </c>
      <c r="L9" s="110">
        <v>0</v>
      </c>
      <c r="M9" s="110">
        <v>0</v>
      </c>
      <c r="N9" s="110">
        <v>0</v>
      </c>
      <c r="O9" s="110">
        <v>0</v>
      </c>
      <c r="P9" s="110">
        <v>0</v>
      </c>
      <c r="Q9" s="110">
        <v>0</v>
      </c>
      <c r="R9" s="110">
        <v>0</v>
      </c>
      <c r="S9" s="110">
        <v>0</v>
      </c>
      <c r="T9" s="110">
        <v>0.91028705044650404</v>
      </c>
      <c r="U9" s="110">
        <v>0.17711309886943399</v>
      </c>
      <c r="V9" s="110">
        <v>0</v>
      </c>
      <c r="W9" s="110">
        <v>0</v>
      </c>
      <c r="X9" s="110">
        <v>0</v>
      </c>
      <c r="Y9" s="110">
        <v>0</v>
      </c>
      <c r="Z9" s="110">
        <v>0</v>
      </c>
      <c r="AA9" s="110">
        <v>0</v>
      </c>
      <c r="AB9" s="110">
        <v>0</v>
      </c>
      <c r="AC9" s="110">
        <v>0</v>
      </c>
      <c r="AD9" s="110">
        <v>0</v>
      </c>
      <c r="AE9" s="110">
        <v>0</v>
      </c>
      <c r="AF9" s="110">
        <v>0</v>
      </c>
      <c r="AG9" s="110">
        <v>0</v>
      </c>
      <c r="AH9" s="110">
        <v>0</v>
      </c>
      <c r="AI9" s="110">
        <v>0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1">
        <v>0</v>
      </c>
    </row>
    <row r="10" spans="2:43" ht="12" customHeight="1" x14ac:dyDescent="0.25">
      <c r="B10" s="109" t="s">
        <v>41</v>
      </c>
      <c r="C10" s="110" t="s">
        <v>42</v>
      </c>
      <c r="D10" s="110" t="s">
        <v>25</v>
      </c>
      <c r="E10" s="110" t="s">
        <v>25</v>
      </c>
      <c r="F10" s="110" t="s">
        <v>25</v>
      </c>
      <c r="G10" s="110" t="s">
        <v>36</v>
      </c>
      <c r="H10" s="110" t="s">
        <v>90</v>
      </c>
      <c r="I10" s="110" t="s">
        <v>25</v>
      </c>
      <c r="J10" s="110">
        <v>5.73</v>
      </c>
      <c r="K10" s="110">
        <v>53.75</v>
      </c>
      <c r="L10" s="110">
        <v>5.6719896112568002E-2</v>
      </c>
      <c r="M10" s="110">
        <v>0</v>
      </c>
      <c r="N10" s="110">
        <v>0</v>
      </c>
      <c r="O10" s="110">
        <v>0</v>
      </c>
      <c r="P10" s="110">
        <v>0</v>
      </c>
      <c r="Q10" s="110">
        <v>1.9706298102384501</v>
      </c>
      <c r="R10" s="110">
        <v>1.83567494951971</v>
      </c>
      <c r="S10" s="110">
        <v>0</v>
      </c>
      <c r="T10" s="110">
        <v>0</v>
      </c>
      <c r="U10" s="110">
        <v>0</v>
      </c>
      <c r="V10" s="110">
        <v>0</v>
      </c>
      <c r="W10" s="110">
        <v>0</v>
      </c>
      <c r="X10" s="110">
        <v>0</v>
      </c>
      <c r="Y10" s="110">
        <v>0</v>
      </c>
      <c r="Z10" s="110">
        <v>0</v>
      </c>
      <c r="AA10" s="110">
        <v>0</v>
      </c>
      <c r="AB10" s="110">
        <v>0</v>
      </c>
      <c r="AC10" s="110">
        <v>0</v>
      </c>
      <c r="AD10" s="110">
        <v>0.61210307253811203</v>
      </c>
      <c r="AE10" s="110">
        <v>3.5345716394709598E-2</v>
      </c>
      <c r="AF10" s="110">
        <v>1.2179187380030601</v>
      </c>
      <c r="AG10" s="110">
        <v>0</v>
      </c>
      <c r="AH10" s="110">
        <v>0.16469101498213201</v>
      </c>
      <c r="AI10" s="110">
        <v>0</v>
      </c>
      <c r="AJ10" s="110">
        <v>35.4473102687666</v>
      </c>
      <c r="AK10" s="110">
        <v>0</v>
      </c>
      <c r="AL10" s="110">
        <v>17.592227745535599</v>
      </c>
      <c r="AM10" s="110">
        <v>0</v>
      </c>
      <c r="AN10" s="110">
        <v>0</v>
      </c>
      <c r="AO10" s="110">
        <v>0</v>
      </c>
      <c r="AP10" s="110">
        <v>0</v>
      </c>
      <c r="AQ10" s="111">
        <v>0.54591096819177998</v>
      </c>
    </row>
    <row r="11" spans="2:43" ht="12" customHeight="1" x14ac:dyDescent="0.25">
      <c r="B11" s="109" t="s">
        <v>41</v>
      </c>
      <c r="C11" s="110" t="s">
        <v>42</v>
      </c>
      <c r="D11" s="110" t="s">
        <v>25</v>
      </c>
      <c r="E11" s="110" t="s">
        <v>25</v>
      </c>
      <c r="F11" s="110" t="s">
        <v>25</v>
      </c>
      <c r="G11" s="110" t="s">
        <v>36</v>
      </c>
      <c r="H11" s="110" t="s">
        <v>93</v>
      </c>
      <c r="I11" s="110" t="s">
        <v>25</v>
      </c>
      <c r="J11" s="110">
        <v>0.96</v>
      </c>
      <c r="K11" s="110">
        <v>0</v>
      </c>
      <c r="L11" s="110">
        <v>0</v>
      </c>
      <c r="M11" s="110">
        <v>0</v>
      </c>
      <c r="N11" s="110">
        <v>0</v>
      </c>
      <c r="O11" s="110">
        <v>0</v>
      </c>
      <c r="P11" s="110">
        <v>0</v>
      </c>
      <c r="Q11" s="110">
        <v>0</v>
      </c>
      <c r="R11" s="110">
        <v>0</v>
      </c>
      <c r="S11" s="110">
        <v>0</v>
      </c>
      <c r="T11" s="110">
        <v>0.80339757152375002</v>
      </c>
      <c r="U11" s="110">
        <v>0.156880366225497</v>
      </c>
      <c r="V11" s="110">
        <v>0</v>
      </c>
      <c r="W11" s="110">
        <v>0</v>
      </c>
      <c r="X11" s="110">
        <v>0</v>
      </c>
      <c r="Y11" s="110">
        <v>0</v>
      </c>
      <c r="Z11" s="110">
        <v>0</v>
      </c>
      <c r="AA11" s="110">
        <v>0</v>
      </c>
      <c r="AB11" s="110">
        <v>0</v>
      </c>
      <c r="AC11" s="110">
        <v>0</v>
      </c>
      <c r="AD11" s="110">
        <v>0</v>
      </c>
      <c r="AE11" s="110">
        <v>0</v>
      </c>
      <c r="AF11" s="110">
        <v>0</v>
      </c>
      <c r="AG11" s="110">
        <v>0</v>
      </c>
      <c r="AH11" s="110">
        <v>0</v>
      </c>
      <c r="AI11" s="110">
        <v>0</v>
      </c>
      <c r="AJ11" s="110">
        <v>0</v>
      </c>
      <c r="AK11" s="110">
        <v>0</v>
      </c>
      <c r="AL11" s="110">
        <v>0</v>
      </c>
      <c r="AM11" s="110">
        <v>0</v>
      </c>
      <c r="AN11" s="110">
        <v>0</v>
      </c>
      <c r="AO11" s="110">
        <v>0</v>
      </c>
      <c r="AP11" s="110">
        <v>0</v>
      </c>
      <c r="AQ11" s="111">
        <v>0</v>
      </c>
    </row>
    <row r="12" spans="2:43" ht="12" customHeight="1" x14ac:dyDescent="0.25">
      <c r="B12" s="109" t="s">
        <v>41</v>
      </c>
      <c r="C12" s="110" t="s">
        <v>61</v>
      </c>
      <c r="D12" s="110" t="s">
        <v>25</v>
      </c>
      <c r="E12" s="110" t="s">
        <v>25</v>
      </c>
      <c r="F12" s="110" t="s">
        <v>25</v>
      </c>
      <c r="G12" s="110" t="s">
        <v>35</v>
      </c>
      <c r="H12" s="110" t="s">
        <v>93</v>
      </c>
      <c r="I12" s="110" t="s">
        <v>62</v>
      </c>
      <c r="J12" s="110">
        <v>1.0900000000000001</v>
      </c>
      <c r="K12" s="110">
        <v>0</v>
      </c>
      <c r="L12" s="110">
        <v>0</v>
      </c>
      <c r="M12" s="110">
        <v>0</v>
      </c>
      <c r="N12" s="110">
        <v>0</v>
      </c>
      <c r="O12" s="110">
        <v>0</v>
      </c>
      <c r="P12" s="110">
        <v>0</v>
      </c>
      <c r="Q12" s="110">
        <v>0</v>
      </c>
      <c r="R12" s="110">
        <v>0</v>
      </c>
      <c r="S12" s="110">
        <v>0</v>
      </c>
      <c r="T12" s="110">
        <v>0.91028705044650404</v>
      </c>
      <c r="U12" s="110">
        <v>0.17711309886943399</v>
      </c>
      <c r="V12" s="110">
        <v>0</v>
      </c>
      <c r="W12" s="110">
        <v>0</v>
      </c>
      <c r="X12" s="110">
        <v>0</v>
      </c>
      <c r="Y12" s="110">
        <v>0</v>
      </c>
      <c r="Z12" s="110">
        <v>0</v>
      </c>
      <c r="AA12" s="110">
        <v>0</v>
      </c>
      <c r="AB12" s="110">
        <v>0</v>
      </c>
      <c r="AC12" s="110">
        <v>0</v>
      </c>
      <c r="AD12" s="110">
        <v>0</v>
      </c>
      <c r="AE12" s="110">
        <v>0</v>
      </c>
      <c r="AF12" s="110">
        <v>0</v>
      </c>
      <c r="AG12" s="110">
        <v>0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1">
        <v>0</v>
      </c>
    </row>
    <row r="13" spans="2:43" ht="12" customHeight="1" x14ac:dyDescent="0.25">
      <c r="B13" s="109" t="s">
        <v>41</v>
      </c>
      <c r="C13" s="110" t="s">
        <v>61</v>
      </c>
      <c r="D13" s="110" t="s">
        <v>25</v>
      </c>
      <c r="E13" s="110" t="s">
        <v>25</v>
      </c>
      <c r="F13" s="110" t="s">
        <v>25</v>
      </c>
      <c r="G13" s="110" t="s">
        <v>25</v>
      </c>
      <c r="H13" s="110" t="s">
        <v>90</v>
      </c>
      <c r="I13" s="110" t="s">
        <v>62</v>
      </c>
      <c r="J13" s="110">
        <v>0.65</v>
      </c>
      <c r="K13" s="110">
        <v>0</v>
      </c>
      <c r="L13" s="110">
        <v>0</v>
      </c>
      <c r="M13" s="110">
        <v>0</v>
      </c>
      <c r="N13" s="110">
        <v>0</v>
      </c>
      <c r="O13" s="110">
        <v>0</v>
      </c>
      <c r="P13" s="110">
        <v>0</v>
      </c>
      <c r="Q13" s="110">
        <v>0</v>
      </c>
      <c r="R13" s="110">
        <v>0</v>
      </c>
      <c r="S13" s="110">
        <v>0</v>
      </c>
      <c r="T13" s="110">
        <v>0</v>
      </c>
      <c r="U13" s="110">
        <v>0</v>
      </c>
      <c r="V13" s="110">
        <v>0</v>
      </c>
      <c r="W13" s="110">
        <v>0</v>
      </c>
      <c r="X13" s="110">
        <v>0</v>
      </c>
      <c r="Y13" s="110">
        <v>0</v>
      </c>
      <c r="Z13" s="110">
        <v>0</v>
      </c>
      <c r="AA13" s="110">
        <v>0</v>
      </c>
      <c r="AB13" s="110">
        <v>0</v>
      </c>
      <c r="AC13" s="110">
        <v>0</v>
      </c>
      <c r="AD13" s="110">
        <v>0.61210307253811203</v>
      </c>
      <c r="AE13" s="110">
        <v>3.5345716394709598E-2</v>
      </c>
      <c r="AF13" s="110">
        <v>0</v>
      </c>
      <c r="AG13" s="110">
        <v>0</v>
      </c>
      <c r="AH13" s="110">
        <v>0</v>
      </c>
      <c r="AI13" s="110">
        <v>0</v>
      </c>
      <c r="AJ13" s="110">
        <v>0</v>
      </c>
      <c r="AK13" s="110">
        <v>0</v>
      </c>
      <c r="AL13" s="110">
        <v>0</v>
      </c>
      <c r="AM13" s="110">
        <v>0</v>
      </c>
      <c r="AN13" s="110">
        <v>0</v>
      </c>
      <c r="AO13" s="110">
        <v>0</v>
      </c>
      <c r="AP13" s="110">
        <v>0</v>
      </c>
      <c r="AQ13" s="111">
        <v>0</v>
      </c>
    </row>
    <row r="14" spans="2:43" ht="12" customHeight="1" x14ac:dyDescent="0.25">
      <c r="B14" s="109" t="s">
        <v>41</v>
      </c>
      <c r="C14" s="110" t="s">
        <v>61</v>
      </c>
      <c r="D14" s="110" t="s">
        <v>25</v>
      </c>
      <c r="E14" s="110" t="s">
        <v>25</v>
      </c>
      <c r="F14" s="110" t="s">
        <v>25</v>
      </c>
      <c r="G14" s="110" t="s">
        <v>36</v>
      </c>
      <c r="H14" s="110" t="s">
        <v>93</v>
      </c>
      <c r="I14" s="110" t="s">
        <v>62</v>
      </c>
      <c r="J14" s="110">
        <v>0.96</v>
      </c>
      <c r="K14" s="110">
        <v>0</v>
      </c>
      <c r="L14" s="110">
        <v>0</v>
      </c>
      <c r="M14" s="110">
        <v>0</v>
      </c>
      <c r="N14" s="110">
        <v>0</v>
      </c>
      <c r="O14" s="110">
        <v>0</v>
      </c>
      <c r="P14" s="110">
        <v>0</v>
      </c>
      <c r="Q14" s="110">
        <v>0</v>
      </c>
      <c r="R14" s="110">
        <v>0</v>
      </c>
      <c r="S14" s="110">
        <v>0</v>
      </c>
      <c r="T14" s="110">
        <v>0.80339757152375002</v>
      </c>
      <c r="U14" s="110">
        <v>0.156880366225497</v>
      </c>
      <c r="V14" s="110">
        <v>0</v>
      </c>
      <c r="W14" s="110">
        <v>0</v>
      </c>
      <c r="X14" s="110">
        <v>0</v>
      </c>
      <c r="Y14" s="110">
        <v>0</v>
      </c>
      <c r="Z14" s="110">
        <v>0</v>
      </c>
      <c r="AA14" s="110">
        <v>0</v>
      </c>
      <c r="AB14" s="110">
        <v>0</v>
      </c>
      <c r="AC14" s="110">
        <v>0</v>
      </c>
      <c r="AD14" s="110">
        <v>0</v>
      </c>
      <c r="AE14" s="110">
        <v>0</v>
      </c>
      <c r="AF14" s="110">
        <v>0</v>
      </c>
      <c r="AG14" s="110">
        <v>0</v>
      </c>
      <c r="AH14" s="110">
        <v>0</v>
      </c>
      <c r="AI14" s="110">
        <v>0</v>
      </c>
      <c r="AJ14" s="110">
        <v>0</v>
      </c>
      <c r="AK14" s="110">
        <v>0</v>
      </c>
      <c r="AL14" s="110">
        <v>0</v>
      </c>
      <c r="AM14" s="110">
        <v>0</v>
      </c>
      <c r="AN14" s="110">
        <v>0</v>
      </c>
      <c r="AO14" s="110">
        <v>0</v>
      </c>
      <c r="AP14" s="110">
        <v>0</v>
      </c>
      <c r="AQ14" s="111">
        <v>0</v>
      </c>
    </row>
    <row r="15" spans="2:43" ht="12" customHeight="1" x14ac:dyDescent="0.25">
      <c r="B15" s="109" t="s">
        <v>41</v>
      </c>
      <c r="C15" s="110" t="s">
        <v>64</v>
      </c>
      <c r="D15" s="110" t="s">
        <v>25</v>
      </c>
      <c r="E15" s="110" t="s">
        <v>25</v>
      </c>
      <c r="F15" s="110" t="s">
        <v>25</v>
      </c>
      <c r="G15" s="110" t="s">
        <v>25</v>
      </c>
      <c r="H15" s="110" t="s">
        <v>93</v>
      </c>
      <c r="I15" s="110" t="s">
        <v>25</v>
      </c>
      <c r="J15" s="110">
        <v>0.11</v>
      </c>
      <c r="K15" s="110">
        <v>0</v>
      </c>
      <c r="L15" s="110">
        <v>0</v>
      </c>
      <c r="M15" s="110">
        <v>0</v>
      </c>
      <c r="N15" s="110">
        <v>0</v>
      </c>
      <c r="O15" s="110">
        <v>0</v>
      </c>
      <c r="P15" s="110">
        <v>0</v>
      </c>
      <c r="Q15" s="110">
        <v>0</v>
      </c>
      <c r="R15" s="110">
        <v>0</v>
      </c>
      <c r="S15" s="110">
        <v>0</v>
      </c>
      <c r="T15" s="110">
        <v>0</v>
      </c>
      <c r="U15" s="110">
        <v>0</v>
      </c>
      <c r="V15" s="110">
        <v>0</v>
      </c>
      <c r="W15" s="110">
        <v>0</v>
      </c>
      <c r="X15" s="110">
        <v>0</v>
      </c>
      <c r="Y15" s="110">
        <v>0</v>
      </c>
      <c r="Z15" s="110">
        <v>0</v>
      </c>
      <c r="AA15" s="110">
        <v>0</v>
      </c>
      <c r="AB15" s="110">
        <v>0</v>
      </c>
      <c r="AC15" s="110">
        <v>0</v>
      </c>
      <c r="AD15" s="110">
        <v>9.3739568423457098E-2</v>
      </c>
      <c r="AE15" s="110">
        <v>2.0574005787471102E-2</v>
      </c>
      <c r="AF15" s="110">
        <v>0</v>
      </c>
      <c r="AG15" s="110">
        <v>0</v>
      </c>
      <c r="AH15" s="110">
        <v>0</v>
      </c>
      <c r="AI15" s="110">
        <v>0</v>
      </c>
      <c r="AJ15" s="110">
        <v>0</v>
      </c>
      <c r="AK15" s="110">
        <v>0</v>
      </c>
      <c r="AL15" s="110">
        <v>0</v>
      </c>
      <c r="AM15" s="110">
        <v>0</v>
      </c>
      <c r="AN15" s="110">
        <v>0</v>
      </c>
      <c r="AO15" s="110">
        <v>0</v>
      </c>
      <c r="AP15" s="110">
        <v>0</v>
      </c>
      <c r="AQ15" s="111">
        <v>0</v>
      </c>
    </row>
    <row r="16" spans="2:43" ht="12" customHeight="1" x14ac:dyDescent="0.25">
      <c r="B16" s="109" t="s">
        <v>33</v>
      </c>
      <c r="C16" s="110" t="s">
        <v>42</v>
      </c>
      <c r="D16" s="110" t="s">
        <v>25</v>
      </c>
      <c r="E16" s="110" t="s">
        <v>25</v>
      </c>
      <c r="F16" s="110" t="s">
        <v>58</v>
      </c>
      <c r="G16" s="110" t="s">
        <v>35</v>
      </c>
      <c r="H16" s="110" t="s">
        <v>90</v>
      </c>
      <c r="I16" s="110" t="s">
        <v>25</v>
      </c>
      <c r="J16" s="110">
        <v>3.94</v>
      </c>
      <c r="K16" s="110">
        <v>0</v>
      </c>
      <c r="L16" s="110">
        <v>0</v>
      </c>
      <c r="M16" s="110">
        <v>0</v>
      </c>
      <c r="N16" s="110">
        <v>0</v>
      </c>
      <c r="O16" s="110">
        <v>0</v>
      </c>
      <c r="P16" s="110">
        <v>0</v>
      </c>
      <c r="Q16" s="110">
        <v>0</v>
      </c>
      <c r="R16" s="110">
        <v>0</v>
      </c>
      <c r="S16" s="110">
        <v>0</v>
      </c>
      <c r="T16" s="110">
        <v>0</v>
      </c>
      <c r="U16" s="110">
        <v>0</v>
      </c>
      <c r="V16" s="110">
        <v>0</v>
      </c>
      <c r="W16" s="110">
        <v>0</v>
      </c>
      <c r="X16" s="110">
        <v>0</v>
      </c>
      <c r="Y16" s="110">
        <v>0</v>
      </c>
      <c r="Z16" s="110">
        <v>0</v>
      </c>
      <c r="AA16" s="110">
        <v>0</v>
      </c>
      <c r="AB16" s="110">
        <v>0</v>
      </c>
      <c r="AC16" s="110">
        <v>0</v>
      </c>
      <c r="AD16" s="110">
        <v>1.5764699626365599</v>
      </c>
      <c r="AE16" s="110">
        <v>9.1032805917929102E-2</v>
      </c>
      <c r="AF16" s="110">
        <v>2.2689022453501901</v>
      </c>
      <c r="AG16" s="110">
        <v>0</v>
      </c>
      <c r="AH16" s="110">
        <v>0</v>
      </c>
      <c r="AI16" s="110">
        <v>0</v>
      </c>
      <c r="AJ16" s="110">
        <v>0</v>
      </c>
      <c r="AK16" s="110">
        <v>0</v>
      </c>
      <c r="AL16" s="110">
        <v>0</v>
      </c>
      <c r="AM16" s="110">
        <v>0</v>
      </c>
      <c r="AN16" s="110">
        <v>0</v>
      </c>
      <c r="AO16" s="110">
        <v>0</v>
      </c>
      <c r="AP16" s="110">
        <v>0</v>
      </c>
      <c r="AQ16" s="111">
        <v>0</v>
      </c>
    </row>
    <row r="17" spans="2:43" ht="12" customHeight="1" x14ac:dyDescent="0.25">
      <c r="B17" s="109" t="s">
        <v>33</v>
      </c>
      <c r="C17" s="110" t="s">
        <v>42</v>
      </c>
      <c r="D17" s="110" t="s">
        <v>25</v>
      </c>
      <c r="E17" s="110" t="s">
        <v>25</v>
      </c>
      <c r="F17" s="110" t="s">
        <v>58</v>
      </c>
      <c r="G17" s="110" t="s">
        <v>35</v>
      </c>
      <c r="H17" s="110" t="s">
        <v>93</v>
      </c>
      <c r="I17" s="110" t="s">
        <v>25</v>
      </c>
      <c r="J17" s="110">
        <v>0.77</v>
      </c>
      <c r="K17" s="110">
        <v>0</v>
      </c>
      <c r="L17" s="110">
        <v>0</v>
      </c>
      <c r="M17" s="110">
        <v>0</v>
      </c>
      <c r="N17" s="110">
        <v>0</v>
      </c>
      <c r="O17" s="110">
        <v>0</v>
      </c>
      <c r="P17" s="110">
        <v>0</v>
      </c>
      <c r="Q17" s="110">
        <v>0</v>
      </c>
      <c r="R17" s="110">
        <v>0</v>
      </c>
      <c r="S17" s="110">
        <v>0</v>
      </c>
      <c r="T17" s="110">
        <v>0.64365645423161399</v>
      </c>
      <c r="U17" s="110">
        <v>0.12588597510928301</v>
      </c>
      <c r="V17" s="110">
        <v>0</v>
      </c>
      <c r="W17" s="110">
        <v>0</v>
      </c>
      <c r="X17" s="110">
        <v>0</v>
      </c>
      <c r="Y17" s="110">
        <v>0</v>
      </c>
      <c r="Z17" s="110">
        <v>0</v>
      </c>
      <c r="AA17" s="110">
        <v>0</v>
      </c>
      <c r="AB17" s="110">
        <v>0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0</v>
      </c>
      <c r="AO17" s="110">
        <v>0</v>
      </c>
      <c r="AP17" s="110">
        <v>0</v>
      </c>
      <c r="AQ17" s="111">
        <v>0</v>
      </c>
    </row>
    <row r="18" spans="2:43" ht="12" customHeight="1" x14ac:dyDescent="0.25">
      <c r="B18" s="109" t="s">
        <v>33</v>
      </c>
      <c r="C18" s="110" t="s">
        <v>42</v>
      </c>
      <c r="D18" s="110" t="s">
        <v>25</v>
      </c>
      <c r="E18" s="110" t="s">
        <v>25</v>
      </c>
      <c r="F18" s="110" t="s">
        <v>58</v>
      </c>
      <c r="G18" s="110" t="s">
        <v>36</v>
      </c>
      <c r="H18" s="110" t="s">
        <v>90</v>
      </c>
      <c r="I18" s="110" t="s">
        <v>25</v>
      </c>
      <c r="J18" s="110">
        <v>3.94</v>
      </c>
      <c r="K18" s="110">
        <v>0</v>
      </c>
      <c r="L18" s="110">
        <v>0</v>
      </c>
      <c r="M18" s="110">
        <v>0</v>
      </c>
      <c r="N18" s="110">
        <v>0</v>
      </c>
      <c r="O18" s="110">
        <v>0</v>
      </c>
      <c r="P18" s="110">
        <v>0</v>
      </c>
      <c r="Q18" s="110">
        <v>0</v>
      </c>
      <c r="R18" s="110">
        <v>0</v>
      </c>
      <c r="S18" s="110">
        <v>0</v>
      </c>
      <c r="T18" s="110">
        <v>0</v>
      </c>
      <c r="U18" s="110">
        <v>0</v>
      </c>
      <c r="V18" s="110">
        <v>0</v>
      </c>
      <c r="W18" s="110">
        <v>0</v>
      </c>
      <c r="X18" s="110">
        <v>0</v>
      </c>
      <c r="Y18" s="110">
        <v>0</v>
      </c>
      <c r="Z18" s="110">
        <v>0</v>
      </c>
      <c r="AA18" s="110">
        <v>0</v>
      </c>
      <c r="AB18" s="110">
        <v>0</v>
      </c>
      <c r="AC18" s="110">
        <v>0</v>
      </c>
      <c r="AD18" s="110">
        <v>1.5764699626365599</v>
      </c>
      <c r="AE18" s="110">
        <v>9.1032805917929102E-2</v>
      </c>
      <c r="AF18" s="110">
        <v>2.2689022453501901</v>
      </c>
      <c r="AG18" s="110">
        <v>0</v>
      </c>
      <c r="AH18" s="110">
        <v>0</v>
      </c>
      <c r="AI18" s="110">
        <v>0</v>
      </c>
      <c r="AJ18" s="110">
        <v>0</v>
      </c>
      <c r="AK18" s="110">
        <v>0</v>
      </c>
      <c r="AL18" s="110">
        <v>0</v>
      </c>
      <c r="AM18" s="110">
        <v>0</v>
      </c>
      <c r="AN18" s="110">
        <v>0</v>
      </c>
      <c r="AO18" s="110">
        <v>0</v>
      </c>
      <c r="AP18" s="110">
        <v>0</v>
      </c>
      <c r="AQ18" s="111">
        <v>0</v>
      </c>
    </row>
    <row r="19" spans="2:43" ht="12" customHeight="1" x14ac:dyDescent="0.25">
      <c r="B19" s="109" t="s">
        <v>33</v>
      </c>
      <c r="C19" s="110" t="s">
        <v>42</v>
      </c>
      <c r="D19" s="110" t="s">
        <v>25</v>
      </c>
      <c r="E19" s="110" t="s">
        <v>25</v>
      </c>
      <c r="F19" s="110" t="s">
        <v>58</v>
      </c>
      <c r="G19" s="110" t="s">
        <v>36</v>
      </c>
      <c r="H19" s="110" t="s">
        <v>93</v>
      </c>
      <c r="I19" s="110" t="s">
        <v>25</v>
      </c>
      <c r="J19" s="110">
        <v>0.42</v>
      </c>
      <c r="K19" s="110">
        <v>0</v>
      </c>
      <c r="L19" s="110">
        <v>0</v>
      </c>
      <c r="M19" s="110">
        <v>0</v>
      </c>
      <c r="N19" s="110">
        <v>0</v>
      </c>
      <c r="O19" s="110">
        <v>0</v>
      </c>
      <c r="P19" s="110">
        <v>0</v>
      </c>
      <c r="Q19" s="110">
        <v>0</v>
      </c>
      <c r="R19" s="110">
        <v>0</v>
      </c>
      <c r="S19" s="110">
        <v>0</v>
      </c>
      <c r="T19" s="110">
        <v>0.35175128417366702</v>
      </c>
      <c r="U19" s="110">
        <v>6.9047185896624494E-2</v>
      </c>
      <c r="V19" s="110">
        <v>0</v>
      </c>
      <c r="W19" s="110">
        <v>0</v>
      </c>
      <c r="X19" s="110">
        <v>0</v>
      </c>
      <c r="Y19" s="110">
        <v>0</v>
      </c>
      <c r="Z19" s="110">
        <v>0</v>
      </c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0">
        <v>0</v>
      </c>
      <c r="AG19" s="110">
        <v>0</v>
      </c>
      <c r="AH19" s="110">
        <v>0</v>
      </c>
      <c r="AI19" s="110">
        <v>0</v>
      </c>
      <c r="AJ19" s="110">
        <v>0</v>
      </c>
      <c r="AK19" s="110">
        <v>0</v>
      </c>
      <c r="AL19" s="110">
        <v>0</v>
      </c>
      <c r="AM19" s="110">
        <v>0</v>
      </c>
      <c r="AN19" s="110">
        <v>0</v>
      </c>
      <c r="AO19" s="110">
        <v>0</v>
      </c>
      <c r="AP19" s="110">
        <v>0</v>
      </c>
      <c r="AQ19" s="111">
        <v>0</v>
      </c>
    </row>
    <row r="20" spans="2:43" ht="12" customHeight="1" x14ac:dyDescent="0.25">
      <c r="B20" s="109" t="s">
        <v>33</v>
      </c>
      <c r="C20" s="110" t="s">
        <v>42</v>
      </c>
      <c r="D20" s="110" t="s">
        <v>25</v>
      </c>
      <c r="E20" s="110" t="s">
        <v>25</v>
      </c>
      <c r="F20" s="110" t="s">
        <v>25</v>
      </c>
      <c r="G20" s="110" t="s">
        <v>35</v>
      </c>
      <c r="H20" s="110" t="s">
        <v>90</v>
      </c>
      <c r="I20" s="110" t="s">
        <v>25</v>
      </c>
      <c r="J20" s="110">
        <v>8.52</v>
      </c>
      <c r="K20" s="110">
        <v>66.42</v>
      </c>
      <c r="L20" s="110">
        <v>7.6846310862188905E-2</v>
      </c>
      <c r="M20" s="110">
        <v>0</v>
      </c>
      <c r="N20" s="110">
        <v>0</v>
      </c>
      <c r="O20" s="110">
        <v>0</v>
      </c>
      <c r="P20" s="110">
        <v>0</v>
      </c>
      <c r="Q20" s="110">
        <v>2.6698855493553202</v>
      </c>
      <c r="R20" s="110">
        <v>1.83567494951971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0">
        <v>0</v>
      </c>
      <c r="Y20" s="110">
        <v>0</v>
      </c>
      <c r="Z20" s="110">
        <v>0</v>
      </c>
      <c r="AA20" s="110">
        <v>0</v>
      </c>
      <c r="AB20" s="110">
        <v>0</v>
      </c>
      <c r="AC20" s="110">
        <v>0</v>
      </c>
      <c r="AD20" s="110">
        <v>1.5764699626365599</v>
      </c>
      <c r="AE20" s="110">
        <v>9.1032805917929102E-2</v>
      </c>
      <c r="AF20" s="110">
        <v>2.2689022453501901</v>
      </c>
      <c r="AG20" s="110">
        <v>0</v>
      </c>
      <c r="AH20" s="110">
        <v>0.16469101498213201</v>
      </c>
      <c r="AI20" s="110">
        <v>0</v>
      </c>
      <c r="AJ20" s="110">
        <v>35.4473102687666</v>
      </c>
      <c r="AK20" s="110">
        <v>0</v>
      </c>
      <c r="AL20" s="110">
        <v>30.258631722321301</v>
      </c>
      <c r="AM20" s="110">
        <v>0</v>
      </c>
      <c r="AN20" s="110">
        <v>0</v>
      </c>
      <c r="AO20" s="110">
        <v>0</v>
      </c>
      <c r="AP20" s="110">
        <v>0</v>
      </c>
      <c r="AQ20" s="111">
        <v>0.54591096819177998</v>
      </c>
    </row>
    <row r="21" spans="2:43" ht="12" customHeight="1" x14ac:dyDescent="0.25">
      <c r="B21" s="109" t="s">
        <v>33</v>
      </c>
      <c r="C21" s="110" t="s">
        <v>42</v>
      </c>
      <c r="D21" s="110" t="s">
        <v>25</v>
      </c>
      <c r="E21" s="110" t="s">
        <v>25</v>
      </c>
      <c r="F21" s="110" t="s">
        <v>25</v>
      </c>
      <c r="G21" s="110" t="s">
        <v>35</v>
      </c>
      <c r="H21" s="110" t="s">
        <v>93</v>
      </c>
      <c r="I21" s="110" t="s">
        <v>25</v>
      </c>
      <c r="J21" s="110">
        <v>0.77</v>
      </c>
      <c r="K21" s="110">
        <v>0</v>
      </c>
      <c r="L21" s="110">
        <v>0</v>
      </c>
      <c r="M21" s="110">
        <v>0</v>
      </c>
      <c r="N21" s="110">
        <v>0</v>
      </c>
      <c r="O21" s="110">
        <v>0</v>
      </c>
      <c r="P21" s="110">
        <v>0</v>
      </c>
      <c r="Q21" s="110">
        <v>0</v>
      </c>
      <c r="R21" s="110">
        <v>0</v>
      </c>
      <c r="S21" s="110">
        <v>0</v>
      </c>
      <c r="T21" s="110">
        <v>0.64365645423161399</v>
      </c>
      <c r="U21" s="110">
        <v>0.12588597510928301</v>
      </c>
      <c r="V21" s="110">
        <v>0</v>
      </c>
      <c r="W21" s="110">
        <v>0</v>
      </c>
      <c r="X21" s="110">
        <v>0</v>
      </c>
      <c r="Y21" s="110">
        <v>0</v>
      </c>
      <c r="Z21" s="110">
        <v>0</v>
      </c>
      <c r="AA21" s="110">
        <v>0</v>
      </c>
      <c r="AB21" s="110">
        <v>0</v>
      </c>
      <c r="AC21" s="110">
        <v>0</v>
      </c>
      <c r="AD21" s="110">
        <v>0</v>
      </c>
      <c r="AE21" s="110">
        <v>0</v>
      </c>
      <c r="AF21" s="110">
        <v>0</v>
      </c>
      <c r="AG21" s="110">
        <v>0</v>
      </c>
      <c r="AH21" s="110">
        <v>0</v>
      </c>
      <c r="AI21" s="110">
        <v>0</v>
      </c>
      <c r="AJ21" s="110">
        <v>0</v>
      </c>
      <c r="AK21" s="110">
        <v>0</v>
      </c>
      <c r="AL21" s="110">
        <v>0</v>
      </c>
      <c r="AM21" s="110">
        <v>0</v>
      </c>
      <c r="AN21" s="110">
        <v>0</v>
      </c>
      <c r="AO21" s="110">
        <v>0</v>
      </c>
      <c r="AP21" s="110">
        <v>0</v>
      </c>
      <c r="AQ21" s="111">
        <v>0</v>
      </c>
    </row>
    <row r="22" spans="2:43" ht="12" customHeight="1" x14ac:dyDescent="0.25">
      <c r="B22" s="109" t="s">
        <v>33</v>
      </c>
      <c r="C22" s="110" t="s">
        <v>42</v>
      </c>
      <c r="D22" s="110" t="s">
        <v>25</v>
      </c>
      <c r="E22" s="110" t="s">
        <v>25</v>
      </c>
      <c r="F22" s="110" t="s">
        <v>25</v>
      </c>
      <c r="G22" s="110" t="s">
        <v>36</v>
      </c>
      <c r="H22" s="110" t="s">
        <v>90</v>
      </c>
      <c r="I22" s="110" t="s">
        <v>25</v>
      </c>
      <c r="J22" s="110">
        <v>8.52</v>
      </c>
      <c r="K22" s="110">
        <v>53.75</v>
      </c>
      <c r="L22" s="110">
        <v>7.6846310862188905E-2</v>
      </c>
      <c r="M22" s="110">
        <v>0</v>
      </c>
      <c r="N22" s="110">
        <v>0</v>
      </c>
      <c r="O22" s="110">
        <v>0</v>
      </c>
      <c r="P22" s="110">
        <v>0</v>
      </c>
      <c r="Q22" s="110">
        <v>2.6698855493553202</v>
      </c>
      <c r="R22" s="110">
        <v>1.83567494951971</v>
      </c>
      <c r="S22" s="110">
        <v>0</v>
      </c>
      <c r="T22" s="110">
        <v>0</v>
      </c>
      <c r="U22" s="110">
        <v>0</v>
      </c>
      <c r="V22" s="110">
        <v>0</v>
      </c>
      <c r="W22" s="110">
        <v>0</v>
      </c>
      <c r="X22" s="110">
        <v>0</v>
      </c>
      <c r="Y22" s="110">
        <v>0</v>
      </c>
      <c r="Z22" s="110">
        <v>0</v>
      </c>
      <c r="AA22" s="110">
        <v>0</v>
      </c>
      <c r="AB22" s="110">
        <v>0</v>
      </c>
      <c r="AC22" s="110">
        <v>0</v>
      </c>
      <c r="AD22" s="110">
        <v>1.5764699626365599</v>
      </c>
      <c r="AE22" s="110">
        <v>9.1032805917929102E-2</v>
      </c>
      <c r="AF22" s="110">
        <v>2.2689022453501901</v>
      </c>
      <c r="AG22" s="110">
        <v>0</v>
      </c>
      <c r="AH22" s="110">
        <v>0.16469101498213201</v>
      </c>
      <c r="AI22" s="110">
        <v>0</v>
      </c>
      <c r="AJ22" s="110">
        <v>35.4473102687666</v>
      </c>
      <c r="AK22" s="110">
        <v>0</v>
      </c>
      <c r="AL22" s="110">
        <v>17.592227745535599</v>
      </c>
      <c r="AM22" s="110">
        <v>0</v>
      </c>
      <c r="AN22" s="110">
        <v>0</v>
      </c>
      <c r="AO22" s="110">
        <v>0</v>
      </c>
      <c r="AP22" s="110">
        <v>0</v>
      </c>
      <c r="AQ22" s="111">
        <v>0.54591096819177998</v>
      </c>
    </row>
    <row r="23" spans="2:43" ht="12" customHeight="1" x14ac:dyDescent="0.25">
      <c r="B23" s="109" t="s">
        <v>33</v>
      </c>
      <c r="C23" s="110" t="s">
        <v>42</v>
      </c>
      <c r="D23" s="110" t="s">
        <v>25</v>
      </c>
      <c r="E23" s="110" t="s">
        <v>25</v>
      </c>
      <c r="F23" s="110" t="s">
        <v>25</v>
      </c>
      <c r="G23" s="110" t="s">
        <v>36</v>
      </c>
      <c r="H23" s="110" t="s">
        <v>93</v>
      </c>
      <c r="I23" s="110" t="s">
        <v>25</v>
      </c>
      <c r="J23" s="110">
        <v>0.42</v>
      </c>
      <c r="K23" s="110">
        <v>0</v>
      </c>
      <c r="L23" s="110">
        <v>0</v>
      </c>
      <c r="M23" s="110">
        <v>0</v>
      </c>
      <c r="N23" s="110">
        <v>0</v>
      </c>
      <c r="O23" s="110">
        <v>0</v>
      </c>
      <c r="P23" s="110">
        <v>0</v>
      </c>
      <c r="Q23" s="110">
        <v>0</v>
      </c>
      <c r="R23" s="110">
        <v>0</v>
      </c>
      <c r="S23" s="110">
        <v>0</v>
      </c>
      <c r="T23" s="110">
        <v>0.35175128417366702</v>
      </c>
      <c r="U23" s="110">
        <v>6.9047185896624494E-2</v>
      </c>
      <c r="V23" s="110">
        <v>0</v>
      </c>
      <c r="W23" s="110">
        <v>0</v>
      </c>
      <c r="X23" s="110">
        <v>0</v>
      </c>
      <c r="Y23" s="110">
        <v>0</v>
      </c>
      <c r="Z23" s="110">
        <v>0</v>
      </c>
      <c r="AA23" s="110">
        <v>0</v>
      </c>
      <c r="AB23" s="110">
        <v>0</v>
      </c>
      <c r="AC23" s="110">
        <v>0</v>
      </c>
      <c r="AD23" s="110">
        <v>0</v>
      </c>
      <c r="AE23" s="110">
        <v>0</v>
      </c>
      <c r="AF23" s="110">
        <v>0</v>
      </c>
      <c r="AG23" s="110">
        <v>0</v>
      </c>
      <c r="AH23" s="110">
        <v>0</v>
      </c>
      <c r="AI23" s="110">
        <v>0</v>
      </c>
      <c r="AJ23" s="110">
        <v>0</v>
      </c>
      <c r="AK23" s="110">
        <v>0</v>
      </c>
      <c r="AL23" s="110">
        <v>0</v>
      </c>
      <c r="AM23" s="110">
        <v>0</v>
      </c>
      <c r="AN23" s="110">
        <v>0</v>
      </c>
      <c r="AO23" s="110">
        <v>0</v>
      </c>
      <c r="AP23" s="110">
        <v>0</v>
      </c>
      <c r="AQ23" s="111">
        <v>0</v>
      </c>
    </row>
    <row r="24" spans="2:43" ht="12" customHeight="1" x14ac:dyDescent="0.25">
      <c r="B24" s="109" t="s">
        <v>33</v>
      </c>
      <c r="C24" s="110" t="s">
        <v>23</v>
      </c>
      <c r="D24" s="110" t="s">
        <v>25</v>
      </c>
      <c r="E24" s="110" t="s">
        <v>25</v>
      </c>
      <c r="F24" s="110" t="s">
        <v>25</v>
      </c>
      <c r="G24" s="110" t="s">
        <v>25</v>
      </c>
      <c r="H24" s="110" t="s">
        <v>90</v>
      </c>
      <c r="I24" s="110" t="s">
        <v>25</v>
      </c>
      <c r="J24" s="110">
        <v>0</v>
      </c>
      <c r="K24" s="110">
        <v>54.81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0">
        <v>0</v>
      </c>
      <c r="R24" s="110">
        <v>0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0">
        <v>0</v>
      </c>
      <c r="Y24" s="110">
        <v>0</v>
      </c>
      <c r="Z24" s="110">
        <v>0</v>
      </c>
      <c r="AA24" s="110">
        <v>0</v>
      </c>
      <c r="AB24" s="110">
        <v>0</v>
      </c>
      <c r="AC24" s="110">
        <v>0</v>
      </c>
      <c r="AD24" s="110">
        <v>0</v>
      </c>
      <c r="AE24" s="110">
        <v>0</v>
      </c>
      <c r="AF24" s="110">
        <v>0</v>
      </c>
      <c r="AG24" s="110">
        <v>0</v>
      </c>
      <c r="AH24" s="110">
        <v>0.16469101498213201</v>
      </c>
      <c r="AI24" s="110">
        <v>0</v>
      </c>
      <c r="AJ24" s="110">
        <v>35.4473102687666</v>
      </c>
      <c r="AK24" s="110">
        <v>0</v>
      </c>
      <c r="AL24" s="110">
        <v>18.647761410267801</v>
      </c>
      <c r="AM24" s="110">
        <v>0</v>
      </c>
      <c r="AN24" s="110">
        <v>0</v>
      </c>
      <c r="AO24" s="110">
        <v>0</v>
      </c>
      <c r="AP24" s="110">
        <v>0</v>
      </c>
      <c r="AQ24" s="111">
        <v>0.54591096819177998</v>
      </c>
    </row>
    <row r="25" spans="2:43" ht="12" customHeight="1" x14ac:dyDescent="0.25">
      <c r="B25" s="109" t="s">
        <v>33</v>
      </c>
      <c r="C25" s="110" t="s">
        <v>61</v>
      </c>
      <c r="D25" s="110" t="s">
        <v>25</v>
      </c>
      <c r="E25" s="110" t="s">
        <v>25</v>
      </c>
      <c r="F25" s="110" t="s">
        <v>25</v>
      </c>
      <c r="G25" s="110" t="s">
        <v>35</v>
      </c>
      <c r="H25" s="110" t="s">
        <v>93</v>
      </c>
      <c r="I25" s="110" t="s">
        <v>62</v>
      </c>
      <c r="J25" s="110">
        <v>0.77</v>
      </c>
      <c r="K25" s="110">
        <v>0</v>
      </c>
      <c r="L25" s="110">
        <v>0</v>
      </c>
      <c r="M25" s="110">
        <v>0</v>
      </c>
      <c r="N25" s="110">
        <v>0</v>
      </c>
      <c r="O25" s="110">
        <v>0</v>
      </c>
      <c r="P25" s="110">
        <v>0</v>
      </c>
      <c r="Q25" s="110">
        <v>0</v>
      </c>
      <c r="R25" s="110">
        <v>0</v>
      </c>
      <c r="S25" s="110">
        <v>0</v>
      </c>
      <c r="T25" s="110">
        <v>0.64365645423161399</v>
      </c>
      <c r="U25" s="110">
        <v>0.12588597510928301</v>
      </c>
      <c r="V25" s="110">
        <v>0</v>
      </c>
      <c r="W25" s="110">
        <v>0</v>
      </c>
      <c r="X25" s="110">
        <v>0</v>
      </c>
      <c r="Y25" s="110">
        <v>0</v>
      </c>
      <c r="Z25" s="110">
        <v>0</v>
      </c>
      <c r="AA25" s="110">
        <v>0</v>
      </c>
      <c r="AB25" s="110">
        <v>0</v>
      </c>
      <c r="AC25" s="110">
        <v>0</v>
      </c>
      <c r="AD25" s="110">
        <v>0</v>
      </c>
      <c r="AE25" s="110">
        <v>0</v>
      </c>
      <c r="AF25" s="110">
        <v>0</v>
      </c>
      <c r="AG25" s="110">
        <v>0</v>
      </c>
      <c r="AH25" s="110">
        <v>0</v>
      </c>
      <c r="AI25" s="110">
        <v>0</v>
      </c>
      <c r="AJ25" s="110">
        <v>0</v>
      </c>
      <c r="AK25" s="110">
        <v>0</v>
      </c>
      <c r="AL25" s="110">
        <v>0</v>
      </c>
      <c r="AM25" s="110">
        <v>0</v>
      </c>
      <c r="AN25" s="110">
        <v>0</v>
      </c>
      <c r="AO25" s="110">
        <v>0</v>
      </c>
      <c r="AP25" s="110">
        <v>0</v>
      </c>
      <c r="AQ25" s="111">
        <v>0</v>
      </c>
    </row>
    <row r="26" spans="2:43" ht="12" customHeight="1" x14ac:dyDescent="0.25">
      <c r="B26" s="109" t="s">
        <v>33</v>
      </c>
      <c r="C26" s="110" t="s">
        <v>61</v>
      </c>
      <c r="D26" s="110" t="s">
        <v>25</v>
      </c>
      <c r="E26" s="110" t="s">
        <v>25</v>
      </c>
      <c r="F26" s="110" t="s">
        <v>25</v>
      </c>
      <c r="G26" s="110" t="s">
        <v>25</v>
      </c>
      <c r="H26" s="110" t="s">
        <v>90</v>
      </c>
      <c r="I26" s="110" t="s">
        <v>62</v>
      </c>
      <c r="J26" s="110">
        <v>1.67</v>
      </c>
      <c r="K26" s="110">
        <v>0</v>
      </c>
      <c r="L26" s="110">
        <v>0</v>
      </c>
      <c r="M26" s="110">
        <v>0</v>
      </c>
      <c r="N26" s="110">
        <v>0</v>
      </c>
      <c r="O26" s="110">
        <v>0</v>
      </c>
      <c r="P26" s="110">
        <v>0</v>
      </c>
      <c r="Q26" s="110">
        <v>0</v>
      </c>
      <c r="R26" s="110">
        <v>0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0">
        <v>0</v>
      </c>
      <c r="Y26" s="110">
        <v>0</v>
      </c>
      <c r="Z26" s="110">
        <v>0</v>
      </c>
      <c r="AA26" s="110">
        <v>0</v>
      </c>
      <c r="AB26" s="110">
        <v>0</v>
      </c>
      <c r="AC26" s="110">
        <v>0</v>
      </c>
      <c r="AD26" s="110">
        <v>1.5764699626365599</v>
      </c>
      <c r="AE26" s="110">
        <v>9.1032805917929102E-2</v>
      </c>
      <c r="AF26" s="110">
        <v>0</v>
      </c>
      <c r="AG26" s="110">
        <v>0</v>
      </c>
      <c r="AH26" s="110">
        <v>0</v>
      </c>
      <c r="AI26" s="110">
        <v>0</v>
      </c>
      <c r="AJ26" s="110">
        <v>0</v>
      </c>
      <c r="AK26" s="110">
        <v>0</v>
      </c>
      <c r="AL26" s="110">
        <v>0</v>
      </c>
      <c r="AM26" s="110">
        <v>0</v>
      </c>
      <c r="AN26" s="110">
        <v>0</v>
      </c>
      <c r="AO26" s="110">
        <v>0</v>
      </c>
      <c r="AP26" s="110">
        <v>0</v>
      </c>
      <c r="AQ26" s="111">
        <v>0</v>
      </c>
    </row>
    <row r="27" spans="2:43" ht="12" customHeight="1" x14ac:dyDescent="0.25">
      <c r="B27" s="109" t="s">
        <v>33</v>
      </c>
      <c r="C27" s="110" t="s">
        <v>61</v>
      </c>
      <c r="D27" s="110" t="s">
        <v>25</v>
      </c>
      <c r="E27" s="110" t="s">
        <v>25</v>
      </c>
      <c r="F27" s="110" t="s">
        <v>25</v>
      </c>
      <c r="G27" s="110" t="s">
        <v>36</v>
      </c>
      <c r="H27" s="110" t="s">
        <v>93</v>
      </c>
      <c r="I27" s="110" t="s">
        <v>62</v>
      </c>
      <c r="J27" s="110">
        <v>0.42</v>
      </c>
      <c r="K27" s="110">
        <v>0</v>
      </c>
      <c r="L27" s="110">
        <v>0</v>
      </c>
      <c r="M27" s="110">
        <v>0</v>
      </c>
      <c r="N27" s="110">
        <v>0</v>
      </c>
      <c r="O27" s="110">
        <v>0</v>
      </c>
      <c r="P27" s="110">
        <v>0</v>
      </c>
      <c r="Q27" s="110">
        <v>0</v>
      </c>
      <c r="R27" s="110">
        <v>0</v>
      </c>
      <c r="S27" s="110">
        <v>0</v>
      </c>
      <c r="T27" s="110">
        <v>0.35175128417366702</v>
      </c>
      <c r="U27" s="110">
        <v>6.9047185896624494E-2</v>
      </c>
      <c r="V27" s="110">
        <v>0</v>
      </c>
      <c r="W27" s="110">
        <v>0</v>
      </c>
      <c r="X27" s="110">
        <v>0</v>
      </c>
      <c r="Y27" s="110">
        <v>0</v>
      </c>
      <c r="Z27" s="110">
        <v>0</v>
      </c>
      <c r="AA27" s="110">
        <v>0</v>
      </c>
      <c r="AB27" s="110">
        <v>0</v>
      </c>
      <c r="AC27" s="110">
        <v>0</v>
      </c>
      <c r="AD27" s="110">
        <v>0</v>
      </c>
      <c r="AE27" s="110">
        <v>0</v>
      </c>
      <c r="AF27" s="110">
        <v>0</v>
      </c>
      <c r="AG27" s="110">
        <v>0</v>
      </c>
      <c r="AH27" s="110">
        <v>0</v>
      </c>
      <c r="AI27" s="110">
        <v>0</v>
      </c>
      <c r="AJ27" s="110">
        <v>0</v>
      </c>
      <c r="AK27" s="110">
        <v>0</v>
      </c>
      <c r="AL27" s="110">
        <v>0</v>
      </c>
      <c r="AM27" s="110">
        <v>0</v>
      </c>
      <c r="AN27" s="110">
        <v>0</v>
      </c>
      <c r="AO27" s="110">
        <v>0</v>
      </c>
      <c r="AP27" s="110">
        <v>0</v>
      </c>
      <c r="AQ27" s="111">
        <v>0</v>
      </c>
    </row>
    <row r="28" spans="2:43" ht="12" customHeight="1" x14ac:dyDescent="0.25">
      <c r="B28" s="109" t="s">
        <v>33</v>
      </c>
      <c r="C28" s="110" t="s">
        <v>64</v>
      </c>
      <c r="D28" s="110" t="s">
        <v>25</v>
      </c>
      <c r="E28" s="110" t="s">
        <v>25</v>
      </c>
      <c r="F28" s="110" t="s">
        <v>25</v>
      </c>
      <c r="G28" s="110" t="s">
        <v>25</v>
      </c>
      <c r="H28" s="110" t="s">
        <v>93</v>
      </c>
      <c r="I28" s="110" t="s">
        <v>25</v>
      </c>
      <c r="J28" s="110">
        <v>0</v>
      </c>
      <c r="K28" s="110">
        <v>0</v>
      </c>
      <c r="L28" s="110">
        <v>0</v>
      </c>
      <c r="M28" s="110">
        <v>0</v>
      </c>
      <c r="N28" s="110">
        <v>0</v>
      </c>
      <c r="O28" s="110">
        <v>0</v>
      </c>
      <c r="P28" s="110">
        <v>0</v>
      </c>
      <c r="Q28" s="110">
        <v>0</v>
      </c>
      <c r="R28" s="110">
        <v>0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0">
        <v>0</v>
      </c>
      <c r="Y28" s="110">
        <v>0</v>
      </c>
      <c r="Z28" s="110">
        <v>0</v>
      </c>
      <c r="AA28" s="110">
        <v>0</v>
      </c>
      <c r="AB28" s="110">
        <v>0</v>
      </c>
      <c r="AC28" s="110">
        <v>0</v>
      </c>
      <c r="AD28" s="110">
        <v>8.8275608961365997E-5</v>
      </c>
      <c r="AE28" s="110">
        <v>0</v>
      </c>
      <c r="AF28" s="110">
        <v>0</v>
      </c>
      <c r="AG28" s="110">
        <v>0</v>
      </c>
      <c r="AH28" s="110">
        <v>0</v>
      </c>
      <c r="AI28" s="110">
        <v>0</v>
      </c>
      <c r="AJ28" s="110">
        <v>0</v>
      </c>
      <c r="AK28" s="110">
        <v>0</v>
      </c>
      <c r="AL28" s="110">
        <v>0</v>
      </c>
      <c r="AM28" s="110">
        <v>0</v>
      </c>
      <c r="AN28" s="110">
        <v>0</v>
      </c>
      <c r="AO28" s="110">
        <v>0</v>
      </c>
      <c r="AP28" s="110">
        <v>0</v>
      </c>
      <c r="AQ28" s="111">
        <v>0</v>
      </c>
    </row>
    <row r="29" spans="2:43" ht="12" customHeight="1" x14ac:dyDescent="0.25">
      <c r="B29" s="109" t="s">
        <v>33</v>
      </c>
      <c r="C29" s="110" t="s">
        <v>34</v>
      </c>
      <c r="D29" s="110" t="s">
        <v>25</v>
      </c>
      <c r="E29" s="110" t="s">
        <v>25</v>
      </c>
      <c r="F29" s="110" t="s">
        <v>58</v>
      </c>
      <c r="G29" s="110" t="s">
        <v>35</v>
      </c>
      <c r="H29" s="110" t="s">
        <v>90</v>
      </c>
      <c r="I29" s="110" t="s">
        <v>25</v>
      </c>
      <c r="J29" s="110">
        <v>22.44</v>
      </c>
      <c r="K29" s="110">
        <v>0</v>
      </c>
      <c r="L29" s="110">
        <v>0</v>
      </c>
      <c r="M29" s="110">
        <v>0</v>
      </c>
      <c r="N29" s="110">
        <v>0</v>
      </c>
      <c r="O29" s="110">
        <v>0</v>
      </c>
      <c r="P29" s="110">
        <v>0</v>
      </c>
      <c r="Q29" s="110">
        <v>0</v>
      </c>
      <c r="R29" s="110">
        <v>0</v>
      </c>
      <c r="S29" s="110">
        <v>0</v>
      </c>
      <c r="T29" s="110">
        <v>15.4798763555915</v>
      </c>
      <c r="U29" s="110">
        <v>3.0275095590657601</v>
      </c>
      <c r="V29" s="110">
        <v>0</v>
      </c>
      <c r="W29" s="110">
        <v>0</v>
      </c>
      <c r="X29" s="110">
        <v>0</v>
      </c>
      <c r="Y29" s="110">
        <v>0</v>
      </c>
      <c r="Z29" s="110">
        <v>0</v>
      </c>
      <c r="AA29" s="110">
        <v>0</v>
      </c>
      <c r="AB29" s="110">
        <v>0</v>
      </c>
      <c r="AC29" s="110">
        <v>0</v>
      </c>
      <c r="AD29" s="110">
        <v>1.5764699626365599</v>
      </c>
      <c r="AE29" s="110">
        <v>9.1032805917929102E-2</v>
      </c>
      <c r="AF29" s="110">
        <v>2.2689022453501901</v>
      </c>
      <c r="AG29" s="110">
        <v>0</v>
      </c>
      <c r="AH29" s="110">
        <v>0</v>
      </c>
      <c r="AI29" s="110">
        <v>0</v>
      </c>
      <c r="AJ29" s="110">
        <v>0</v>
      </c>
      <c r="AK29" s="110">
        <v>0</v>
      </c>
      <c r="AL29" s="110">
        <v>0</v>
      </c>
      <c r="AM29" s="110">
        <v>0</v>
      </c>
      <c r="AN29" s="110">
        <v>0</v>
      </c>
      <c r="AO29" s="110">
        <v>0</v>
      </c>
      <c r="AP29" s="110">
        <v>0</v>
      </c>
      <c r="AQ29" s="111">
        <v>0</v>
      </c>
    </row>
    <row r="30" spans="2:43" ht="12" customHeight="1" x14ac:dyDescent="0.25">
      <c r="B30" s="109" t="s">
        <v>33</v>
      </c>
      <c r="C30" s="110" t="s">
        <v>34</v>
      </c>
      <c r="D30" s="110" t="s">
        <v>25</v>
      </c>
      <c r="E30" s="110" t="s">
        <v>25</v>
      </c>
      <c r="F30" s="110" t="s">
        <v>58</v>
      </c>
      <c r="G30" s="110" t="s">
        <v>25</v>
      </c>
      <c r="H30" s="110" t="s">
        <v>93</v>
      </c>
      <c r="I30" s="110" t="s">
        <v>25</v>
      </c>
      <c r="J30" s="110">
        <v>0.42</v>
      </c>
      <c r="K30" s="110">
        <v>0</v>
      </c>
      <c r="L30" s="110">
        <v>0</v>
      </c>
      <c r="M30" s="110">
        <v>0</v>
      </c>
      <c r="N30" s="110">
        <v>0</v>
      </c>
      <c r="O30" s="110">
        <v>0</v>
      </c>
      <c r="P30" s="110">
        <v>0</v>
      </c>
      <c r="Q30" s="110">
        <v>0</v>
      </c>
      <c r="R30" s="110">
        <v>0</v>
      </c>
      <c r="S30" s="110">
        <v>0</v>
      </c>
      <c r="T30" s="110">
        <v>0.35175128417366702</v>
      </c>
      <c r="U30" s="110">
        <v>6.9047185896624494E-2</v>
      </c>
      <c r="V30" s="110">
        <v>0</v>
      </c>
      <c r="W30" s="110">
        <v>0</v>
      </c>
      <c r="X30" s="110">
        <v>0</v>
      </c>
      <c r="Y30" s="110">
        <v>0</v>
      </c>
      <c r="Z30" s="110">
        <v>0</v>
      </c>
      <c r="AA30" s="110">
        <v>0</v>
      </c>
      <c r="AB30" s="110">
        <v>0</v>
      </c>
      <c r="AC30" s="110">
        <v>0</v>
      </c>
      <c r="AD30" s="110">
        <v>0</v>
      </c>
      <c r="AE30" s="110">
        <v>0</v>
      </c>
      <c r="AF30" s="110">
        <v>0</v>
      </c>
      <c r="AG30" s="110">
        <v>0</v>
      </c>
      <c r="AH30" s="110">
        <v>0</v>
      </c>
      <c r="AI30" s="110">
        <v>0</v>
      </c>
      <c r="AJ30" s="110">
        <v>0</v>
      </c>
      <c r="AK30" s="110">
        <v>0</v>
      </c>
      <c r="AL30" s="110">
        <v>0</v>
      </c>
      <c r="AM30" s="110">
        <v>0</v>
      </c>
      <c r="AN30" s="110">
        <v>0</v>
      </c>
      <c r="AO30" s="110">
        <v>0</v>
      </c>
      <c r="AP30" s="110">
        <v>0</v>
      </c>
      <c r="AQ30" s="111">
        <v>0</v>
      </c>
    </row>
    <row r="31" spans="2:43" ht="12" customHeight="1" x14ac:dyDescent="0.25">
      <c r="B31" s="109" t="s">
        <v>33</v>
      </c>
      <c r="C31" s="110" t="s">
        <v>34</v>
      </c>
      <c r="D31" s="110" t="s">
        <v>25</v>
      </c>
      <c r="E31" s="110" t="s">
        <v>25</v>
      </c>
      <c r="F31" s="110" t="s">
        <v>58</v>
      </c>
      <c r="G31" s="110" t="s">
        <v>36</v>
      </c>
      <c r="H31" s="110" t="s">
        <v>90</v>
      </c>
      <c r="I31" s="110" t="s">
        <v>25</v>
      </c>
      <c r="J31" s="110">
        <v>3.94</v>
      </c>
      <c r="K31" s="110">
        <v>0</v>
      </c>
      <c r="L31" s="110">
        <v>0</v>
      </c>
      <c r="M31" s="110">
        <v>0</v>
      </c>
      <c r="N31" s="110">
        <v>0</v>
      </c>
      <c r="O31" s="110">
        <v>0</v>
      </c>
      <c r="P31" s="110">
        <v>0</v>
      </c>
      <c r="Q31" s="110">
        <v>0</v>
      </c>
      <c r="R31" s="110">
        <v>0</v>
      </c>
      <c r="S31" s="110">
        <v>0</v>
      </c>
      <c r="T31" s="110">
        <v>0</v>
      </c>
      <c r="U31" s="110">
        <v>0</v>
      </c>
      <c r="V31" s="110">
        <v>0</v>
      </c>
      <c r="W31" s="110">
        <v>0</v>
      </c>
      <c r="X31" s="110">
        <v>0</v>
      </c>
      <c r="Y31" s="110">
        <v>0</v>
      </c>
      <c r="Z31" s="110">
        <v>0</v>
      </c>
      <c r="AA31" s="110">
        <v>0</v>
      </c>
      <c r="AB31" s="110">
        <v>0</v>
      </c>
      <c r="AC31" s="110">
        <v>0</v>
      </c>
      <c r="AD31" s="110">
        <v>1.5764699626365599</v>
      </c>
      <c r="AE31" s="110">
        <v>9.1032805917929102E-2</v>
      </c>
      <c r="AF31" s="110">
        <v>2.2689022453501901</v>
      </c>
      <c r="AG31" s="110">
        <v>0</v>
      </c>
      <c r="AH31" s="110">
        <v>0</v>
      </c>
      <c r="AI31" s="110">
        <v>0</v>
      </c>
      <c r="AJ31" s="110">
        <v>0</v>
      </c>
      <c r="AK31" s="110">
        <v>0</v>
      </c>
      <c r="AL31" s="110">
        <v>0</v>
      </c>
      <c r="AM31" s="110">
        <v>0</v>
      </c>
      <c r="AN31" s="110">
        <v>0</v>
      </c>
      <c r="AO31" s="110">
        <v>0</v>
      </c>
      <c r="AP31" s="110">
        <v>0</v>
      </c>
      <c r="AQ31" s="111">
        <v>0</v>
      </c>
    </row>
    <row r="32" spans="2:43" ht="12" customHeight="1" x14ac:dyDescent="0.25">
      <c r="B32" s="109" t="s">
        <v>33</v>
      </c>
      <c r="C32" s="110" t="s">
        <v>34</v>
      </c>
      <c r="D32" s="110" t="s">
        <v>25</v>
      </c>
      <c r="E32" s="110" t="s">
        <v>25</v>
      </c>
      <c r="F32" s="110" t="s">
        <v>25</v>
      </c>
      <c r="G32" s="110" t="s">
        <v>35</v>
      </c>
      <c r="H32" s="110" t="s">
        <v>90</v>
      </c>
      <c r="I32" s="110" t="s">
        <v>25</v>
      </c>
      <c r="J32" s="110">
        <v>27.03</v>
      </c>
      <c r="K32" s="110">
        <v>66.42</v>
      </c>
      <c r="L32" s="110">
        <v>7.6846310862188905E-2</v>
      </c>
      <c r="M32" s="110">
        <v>0</v>
      </c>
      <c r="N32" s="110">
        <v>0</v>
      </c>
      <c r="O32" s="110">
        <v>0</v>
      </c>
      <c r="P32" s="110">
        <v>0</v>
      </c>
      <c r="Q32" s="110">
        <v>2.6698855493553202</v>
      </c>
      <c r="R32" s="110">
        <v>1.83567494951971</v>
      </c>
      <c r="S32" s="110">
        <v>0</v>
      </c>
      <c r="T32" s="110">
        <v>15.4798763555915</v>
      </c>
      <c r="U32" s="110">
        <v>3.0275095590657601</v>
      </c>
      <c r="V32" s="110">
        <v>0</v>
      </c>
      <c r="W32" s="110">
        <v>0</v>
      </c>
      <c r="X32" s="110">
        <v>0</v>
      </c>
      <c r="Y32" s="110">
        <v>0</v>
      </c>
      <c r="Z32" s="110">
        <v>0</v>
      </c>
      <c r="AA32" s="110">
        <v>0</v>
      </c>
      <c r="AB32" s="110">
        <v>0</v>
      </c>
      <c r="AC32" s="110">
        <v>0</v>
      </c>
      <c r="AD32" s="110">
        <v>1.5764699626365599</v>
      </c>
      <c r="AE32" s="110">
        <v>9.1032805917929102E-2</v>
      </c>
      <c r="AF32" s="110">
        <v>2.2689022453501901</v>
      </c>
      <c r="AG32" s="110">
        <v>0</v>
      </c>
      <c r="AH32" s="110">
        <v>0.16469101498213201</v>
      </c>
      <c r="AI32" s="110">
        <v>0</v>
      </c>
      <c r="AJ32" s="110">
        <v>35.4473102687666</v>
      </c>
      <c r="AK32" s="110">
        <v>0</v>
      </c>
      <c r="AL32" s="110">
        <v>30.258631722321301</v>
      </c>
      <c r="AM32" s="110">
        <v>0</v>
      </c>
      <c r="AN32" s="110">
        <v>0</v>
      </c>
      <c r="AO32" s="110">
        <v>0</v>
      </c>
      <c r="AP32" s="110">
        <v>0</v>
      </c>
      <c r="AQ32" s="111">
        <v>0.54591096819177998</v>
      </c>
    </row>
    <row r="33" spans="2:43" ht="12" customHeight="1" x14ac:dyDescent="0.25">
      <c r="B33" s="109" t="s">
        <v>33</v>
      </c>
      <c r="C33" s="110" t="s">
        <v>34</v>
      </c>
      <c r="D33" s="110" t="s">
        <v>25</v>
      </c>
      <c r="E33" s="110" t="s">
        <v>25</v>
      </c>
      <c r="F33" s="110" t="s">
        <v>25</v>
      </c>
      <c r="G33" s="110" t="s">
        <v>25</v>
      </c>
      <c r="H33" s="110" t="s">
        <v>93</v>
      </c>
      <c r="I33" s="110" t="s">
        <v>25</v>
      </c>
      <c r="J33" s="110">
        <v>0.42</v>
      </c>
      <c r="K33" s="110">
        <v>0</v>
      </c>
      <c r="L33" s="110">
        <v>0</v>
      </c>
      <c r="M33" s="110">
        <v>0</v>
      </c>
      <c r="N33" s="110">
        <v>0</v>
      </c>
      <c r="O33" s="110">
        <v>0</v>
      </c>
      <c r="P33" s="110">
        <v>0</v>
      </c>
      <c r="Q33" s="110">
        <v>0</v>
      </c>
      <c r="R33" s="110">
        <v>0</v>
      </c>
      <c r="S33" s="110">
        <v>0</v>
      </c>
      <c r="T33" s="110">
        <v>0.35175128417366702</v>
      </c>
      <c r="U33" s="110">
        <v>6.9047185896624494E-2</v>
      </c>
      <c r="V33" s="110">
        <v>0</v>
      </c>
      <c r="W33" s="110">
        <v>0</v>
      </c>
      <c r="X33" s="110">
        <v>0</v>
      </c>
      <c r="Y33" s="110">
        <v>0</v>
      </c>
      <c r="Z33" s="110">
        <v>0</v>
      </c>
      <c r="AA33" s="110">
        <v>0</v>
      </c>
      <c r="AB33" s="110">
        <v>0</v>
      </c>
      <c r="AC33" s="110">
        <v>0</v>
      </c>
      <c r="AD33" s="110">
        <v>0</v>
      </c>
      <c r="AE33" s="110">
        <v>0</v>
      </c>
      <c r="AF33" s="110">
        <v>0</v>
      </c>
      <c r="AG33" s="110">
        <v>0</v>
      </c>
      <c r="AH33" s="110">
        <v>0</v>
      </c>
      <c r="AI33" s="110">
        <v>0</v>
      </c>
      <c r="AJ33" s="110">
        <v>0</v>
      </c>
      <c r="AK33" s="110">
        <v>0</v>
      </c>
      <c r="AL33" s="110">
        <v>0</v>
      </c>
      <c r="AM33" s="110">
        <v>0</v>
      </c>
      <c r="AN33" s="110">
        <v>0</v>
      </c>
      <c r="AO33" s="110">
        <v>0</v>
      </c>
      <c r="AP33" s="110">
        <v>0</v>
      </c>
      <c r="AQ33" s="111">
        <v>0</v>
      </c>
    </row>
    <row r="34" spans="2:43" ht="12" customHeight="1" x14ac:dyDescent="0.25">
      <c r="B34" s="109" t="s">
        <v>33</v>
      </c>
      <c r="C34" s="110" t="s">
        <v>34</v>
      </c>
      <c r="D34" s="110" t="s">
        <v>25</v>
      </c>
      <c r="E34" s="110" t="s">
        <v>25</v>
      </c>
      <c r="F34" s="110" t="s">
        <v>25</v>
      </c>
      <c r="G34" s="110" t="s">
        <v>36</v>
      </c>
      <c r="H34" s="110" t="s">
        <v>90</v>
      </c>
      <c r="I34" s="110" t="s">
        <v>25</v>
      </c>
      <c r="J34" s="110">
        <v>8.52</v>
      </c>
      <c r="K34" s="110">
        <v>53.75</v>
      </c>
      <c r="L34" s="110">
        <v>7.6846310862188905E-2</v>
      </c>
      <c r="M34" s="110">
        <v>0</v>
      </c>
      <c r="N34" s="110">
        <v>0</v>
      </c>
      <c r="O34" s="110">
        <v>0</v>
      </c>
      <c r="P34" s="110">
        <v>0</v>
      </c>
      <c r="Q34" s="110">
        <v>2.6698855493553202</v>
      </c>
      <c r="R34" s="110">
        <v>1.83567494951971</v>
      </c>
      <c r="S34" s="110">
        <v>0</v>
      </c>
      <c r="T34" s="110">
        <v>0</v>
      </c>
      <c r="U34" s="110">
        <v>0</v>
      </c>
      <c r="V34" s="110">
        <v>0</v>
      </c>
      <c r="W34" s="110">
        <v>0</v>
      </c>
      <c r="X34" s="110">
        <v>0</v>
      </c>
      <c r="Y34" s="110">
        <v>0</v>
      </c>
      <c r="Z34" s="110">
        <v>0</v>
      </c>
      <c r="AA34" s="110">
        <v>0</v>
      </c>
      <c r="AB34" s="110">
        <v>0</v>
      </c>
      <c r="AC34" s="110">
        <v>0</v>
      </c>
      <c r="AD34" s="110">
        <v>1.5764699626365599</v>
      </c>
      <c r="AE34" s="110">
        <v>9.1032805917929102E-2</v>
      </c>
      <c r="AF34" s="110">
        <v>2.2689022453501901</v>
      </c>
      <c r="AG34" s="110">
        <v>0</v>
      </c>
      <c r="AH34" s="110">
        <v>0.16469101498213201</v>
      </c>
      <c r="AI34" s="110">
        <v>0</v>
      </c>
      <c r="AJ34" s="110">
        <v>35.4473102687666</v>
      </c>
      <c r="AK34" s="110">
        <v>0</v>
      </c>
      <c r="AL34" s="110">
        <v>17.592227745535599</v>
      </c>
      <c r="AM34" s="110">
        <v>0</v>
      </c>
      <c r="AN34" s="110">
        <v>0</v>
      </c>
      <c r="AO34" s="110">
        <v>0</v>
      </c>
      <c r="AP34" s="110">
        <v>0</v>
      </c>
      <c r="AQ34" s="111">
        <v>0.54591096819177998</v>
      </c>
    </row>
    <row r="35" spans="2:43" ht="12" customHeight="1" x14ac:dyDescent="0.25">
      <c r="B35" s="109" t="s">
        <v>98</v>
      </c>
      <c r="C35" s="110" t="s">
        <v>64</v>
      </c>
      <c r="D35" s="110" t="s">
        <v>25</v>
      </c>
      <c r="E35" s="110" t="s">
        <v>25</v>
      </c>
      <c r="F35" s="110" t="s">
        <v>99</v>
      </c>
      <c r="G35" s="110" t="s">
        <v>25</v>
      </c>
      <c r="H35" s="110" t="s">
        <v>93</v>
      </c>
      <c r="I35" s="110" t="s">
        <v>25</v>
      </c>
      <c r="J35" s="110">
        <v>0</v>
      </c>
      <c r="K35" s="110">
        <v>0</v>
      </c>
      <c r="L35" s="110">
        <v>0</v>
      </c>
      <c r="M35" s="110">
        <v>0</v>
      </c>
      <c r="N35" s="110">
        <v>0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0</v>
      </c>
      <c r="Y35" s="110">
        <v>0</v>
      </c>
      <c r="Z35" s="110">
        <v>0</v>
      </c>
      <c r="AA35" s="110">
        <v>0</v>
      </c>
      <c r="AB35" s="110">
        <v>0</v>
      </c>
      <c r="AC35" s="110">
        <v>0</v>
      </c>
      <c r="AD35" s="110">
        <v>0</v>
      </c>
      <c r="AE35" s="110">
        <v>0</v>
      </c>
      <c r="AF35" s="110">
        <v>0</v>
      </c>
      <c r="AG35" s="110">
        <v>0</v>
      </c>
      <c r="AH35" s="110">
        <v>0</v>
      </c>
      <c r="AI35" s="110">
        <v>0</v>
      </c>
      <c r="AJ35" s="110">
        <v>0</v>
      </c>
      <c r="AK35" s="110">
        <v>0</v>
      </c>
      <c r="AL35" s="110">
        <v>0</v>
      </c>
      <c r="AM35" s="110">
        <v>0</v>
      </c>
      <c r="AN35" s="110">
        <v>0</v>
      </c>
      <c r="AO35" s="110">
        <v>0</v>
      </c>
      <c r="AP35" s="110">
        <v>0</v>
      </c>
      <c r="AQ35" s="111">
        <v>0</v>
      </c>
    </row>
    <row r="36" spans="2:43" ht="12" customHeight="1" x14ac:dyDescent="0.25">
      <c r="B36" s="109" t="s">
        <v>98</v>
      </c>
      <c r="C36" s="110" t="s">
        <v>64</v>
      </c>
      <c r="D36" s="110" t="s">
        <v>25</v>
      </c>
      <c r="E36" s="110" t="s">
        <v>25</v>
      </c>
      <c r="F36" s="110" t="s">
        <v>100</v>
      </c>
      <c r="G36" s="110" t="s">
        <v>25</v>
      </c>
      <c r="H36" s="110" t="s">
        <v>93</v>
      </c>
      <c r="I36" s="110" t="s">
        <v>25</v>
      </c>
      <c r="J36" s="110">
        <v>0</v>
      </c>
      <c r="K36" s="110">
        <v>0</v>
      </c>
      <c r="L36" s="110">
        <v>0</v>
      </c>
      <c r="M36" s="110">
        <v>0</v>
      </c>
      <c r="N36" s="110">
        <v>0</v>
      </c>
      <c r="O36" s="110">
        <v>0</v>
      </c>
      <c r="P36" s="110">
        <v>0</v>
      </c>
      <c r="Q36" s="110">
        <v>0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0</v>
      </c>
      <c r="Y36" s="110">
        <v>0</v>
      </c>
      <c r="Z36" s="110">
        <v>0</v>
      </c>
      <c r="AA36" s="110">
        <v>0</v>
      </c>
      <c r="AB36" s="110">
        <v>0</v>
      </c>
      <c r="AC36" s="110">
        <v>0</v>
      </c>
      <c r="AD36" s="110">
        <v>0</v>
      </c>
      <c r="AE36" s="110">
        <v>0</v>
      </c>
      <c r="AF36" s="110">
        <v>0</v>
      </c>
      <c r="AG36" s="110">
        <v>0</v>
      </c>
      <c r="AH36" s="110">
        <v>0</v>
      </c>
      <c r="AI36" s="110">
        <v>0</v>
      </c>
      <c r="AJ36" s="110">
        <v>0</v>
      </c>
      <c r="AK36" s="110">
        <v>0</v>
      </c>
      <c r="AL36" s="110">
        <v>0</v>
      </c>
      <c r="AM36" s="110">
        <v>0</v>
      </c>
      <c r="AN36" s="110">
        <v>0</v>
      </c>
      <c r="AO36" s="110">
        <v>0</v>
      </c>
      <c r="AP36" s="110">
        <v>0</v>
      </c>
      <c r="AQ36" s="111">
        <v>0</v>
      </c>
    </row>
    <row r="37" spans="2:43" ht="12" customHeight="1" x14ac:dyDescent="0.25">
      <c r="B37" s="109" t="s">
        <v>22</v>
      </c>
      <c r="C37" s="110" t="s">
        <v>37</v>
      </c>
      <c r="D37" s="110" t="s">
        <v>24</v>
      </c>
      <c r="E37" s="110" t="s">
        <v>24</v>
      </c>
      <c r="F37" s="110" t="s">
        <v>25</v>
      </c>
      <c r="G37" s="110" t="s">
        <v>35</v>
      </c>
      <c r="H37" s="110" t="s">
        <v>90</v>
      </c>
      <c r="I37" s="110" t="s">
        <v>25</v>
      </c>
      <c r="J37" s="110">
        <v>21.26</v>
      </c>
      <c r="K37" s="110">
        <v>66.42</v>
      </c>
      <c r="L37" s="110">
        <v>9.1483703407367695E-2</v>
      </c>
      <c r="M37" s="110">
        <v>0</v>
      </c>
      <c r="N37" s="110">
        <v>0</v>
      </c>
      <c r="O37" s="110">
        <v>0</v>
      </c>
      <c r="P37" s="110">
        <v>0</v>
      </c>
      <c r="Q37" s="110">
        <v>3.1784351778039599</v>
      </c>
      <c r="R37" s="110">
        <v>1.83567494951971</v>
      </c>
      <c r="S37" s="110">
        <v>0</v>
      </c>
      <c r="T37" s="110">
        <v>8.2612961769935094</v>
      </c>
      <c r="U37" s="110">
        <v>1.6185568906015</v>
      </c>
      <c r="V37" s="110">
        <v>0</v>
      </c>
      <c r="W37" s="110">
        <v>0</v>
      </c>
      <c r="X37" s="110">
        <v>0</v>
      </c>
      <c r="Y37" s="110">
        <v>0</v>
      </c>
      <c r="Z37" s="110">
        <v>0</v>
      </c>
      <c r="AA37" s="110">
        <v>0</v>
      </c>
      <c r="AB37" s="110">
        <v>0</v>
      </c>
      <c r="AC37" s="110">
        <v>0</v>
      </c>
      <c r="AD37" s="110">
        <v>3.2157038832446401</v>
      </c>
      <c r="AE37" s="110">
        <v>0.18568989859049301</v>
      </c>
      <c r="AF37" s="110">
        <v>2.8751326798714198</v>
      </c>
      <c r="AG37" s="110">
        <v>0</v>
      </c>
      <c r="AH37" s="110">
        <v>0.16469101498213201</v>
      </c>
      <c r="AI37" s="110">
        <v>0</v>
      </c>
      <c r="AJ37" s="110">
        <v>35.4473102687666</v>
      </c>
      <c r="AK37" s="110">
        <v>0</v>
      </c>
      <c r="AL37" s="110">
        <v>30.258631722321301</v>
      </c>
      <c r="AM37" s="110">
        <v>0</v>
      </c>
      <c r="AN37" s="110">
        <v>0</v>
      </c>
      <c r="AO37" s="110">
        <v>0</v>
      </c>
      <c r="AP37" s="110">
        <v>0</v>
      </c>
      <c r="AQ37" s="111">
        <v>0.54591096819177998</v>
      </c>
    </row>
    <row r="38" spans="2:43" ht="12" customHeight="1" x14ac:dyDescent="0.25">
      <c r="B38" s="109" t="s">
        <v>22</v>
      </c>
      <c r="C38" s="110" t="s">
        <v>37</v>
      </c>
      <c r="D38" s="110" t="s">
        <v>24</v>
      </c>
      <c r="E38" s="110" t="s">
        <v>24</v>
      </c>
      <c r="F38" s="110" t="s">
        <v>25</v>
      </c>
      <c r="G38" s="110" t="s">
        <v>38</v>
      </c>
      <c r="H38" s="110" t="s">
        <v>90</v>
      </c>
      <c r="I38" s="110" t="s">
        <v>25</v>
      </c>
      <c r="J38" s="110">
        <v>17.309999999999999</v>
      </c>
      <c r="K38" s="110">
        <v>53.75</v>
      </c>
      <c r="L38" s="110">
        <v>9.1483703407367695E-2</v>
      </c>
      <c r="M38" s="110">
        <v>0</v>
      </c>
      <c r="N38" s="110">
        <v>0</v>
      </c>
      <c r="O38" s="110">
        <v>0</v>
      </c>
      <c r="P38" s="110">
        <v>0</v>
      </c>
      <c r="Q38" s="110">
        <v>3.1784351778039599</v>
      </c>
      <c r="R38" s="110">
        <v>1.83567494951971</v>
      </c>
      <c r="S38" s="110">
        <v>0</v>
      </c>
      <c r="T38" s="110">
        <v>4.9567792598335503</v>
      </c>
      <c r="U38" s="110">
        <v>0.97113536877917195</v>
      </c>
      <c r="V38" s="110">
        <v>0</v>
      </c>
      <c r="W38" s="110">
        <v>0</v>
      </c>
      <c r="X38" s="110">
        <v>0</v>
      </c>
      <c r="Y38" s="110">
        <v>0</v>
      </c>
      <c r="Z38" s="110">
        <v>0</v>
      </c>
      <c r="AA38" s="110">
        <v>0</v>
      </c>
      <c r="AB38" s="110">
        <v>0</v>
      </c>
      <c r="AC38" s="110">
        <v>0</v>
      </c>
      <c r="AD38" s="110">
        <v>3.2157038832446401</v>
      </c>
      <c r="AE38" s="110">
        <v>0.18568989859049301</v>
      </c>
      <c r="AF38" s="110">
        <v>2.8751326798714198</v>
      </c>
      <c r="AG38" s="110">
        <v>0</v>
      </c>
      <c r="AH38" s="110">
        <v>0.16469101498213201</v>
      </c>
      <c r="AI38" s="110">
        <v>0</v>
      </c>
      <c r="AJ38" s="110">
        <v>35.4473102687666</v>
      </c>
      <c r="AK38" s="110">
        <v>0</v>
      </c>
      <c r="AL38" s="110">
        <v>17.592227745535599</v>
      </c>
      <c r="AM38" s="110">
        <v>0</v>
      </c>
      <c r="AN38" s="110">
        <v>0</v>
      </c>
      <c r="AO38" s="110">
        <v>0</v>
      </c>
      <c r="AP38" s="110">
        <v>0</v>
      </c>
      <c r="AQ38" s="111">
        <v>0.54591096819177998</v>
      </c>
    </row>
    <row r="39" spans="2:43" ht="12" customHeight="1" x14ac:dyDescent="0.25">
      <c r="B39" s="109" t="s">
        <v>22</v>
      </c>
      <c r="C39" s="110" t="s">
        <v>37</v>
      </c>
      <c r="D39" s="110" t="s">
        <v>24</v>
      </c>
      <c r="E39" s="110" t="s">
        <v>24</v>
      </c>
      <c r="F39" s="110" t="s">
        <v>25</v>
      </c>
      <c r="G39" s="110" t="s">
        <v>36</v>
      </c>
      <c r="H39" s="110" t="s">
        <v>90</v>
      </c>
      <c r="I39" s="110" t="s">
        <v>25</v>
      </c>
      <c r="J39" s="110">
        <v>13.36</v>
      </c>
      <c r="K39" s="110">
        <v>53.75</v>
      </c>
      <c r="L39" s="110">
        <v>9.1483703407367695E-2</v>
      </c>
      <c r="M39" s="110">
        <v>0</v>
      </c>
      <c r="N39" s="110">
        <v>0</v>
      </c>
      <c r="O39" s="110">
        <v>0</v>
      </c>
      <c r="P39" s="110">
        <v>0</v>
      </c>
      <c r="Q39" s="110">
        <v>3.1784351778039599</v>
      </c>
      <c r="R39" s="110">
        <v>1.83567494951971</v>
      </c>
      <c r="S39" s="110">
        <v>0</v>
      </c>
      <c r="T39" s="110">
        <v>1.6522623426735801</v>
      </c>
      <c r="U39" s="110">
        <v>0.32371384695683902</v>
      </c>
      <c r="V39" s="110">
        <v>0</v>
      </c>
      <c r="W39" s="110">
        <v>0</v>
      </c>
      <c r="X39" s="110">
        <v>0</v>
      </c>
      <c r="Y39" s="110">
        <v>0</v>
      </c>
      <c r="Z39" s="110">
        <v>0</v>
      </c>
      <c r="AA39" s="110">
        <v>0</v>
      </c>
      <c r="AB39" s="110">
        <v>0</v>
      </c>
      <c r="AC39" s="110">
        <v>0</v>
      </c>
      <c r="AD39" s="110">
        <v>3.2157038832446401</v>
      </c>
      <c r="AE39" s="110">
        <v>0.18568989859049301</v>
      </c>
      <c r="AF39" s="110">
        <v>2.8751326798714198</v>
      </c>
      <c r="AG39" s="110">
        <v>0</v>
      </c>
      <c r="AH39" s="110">
        <v>0.16469101498213201</v>
      </c>
      <c r="AI39" s="110">
        <v>0</v>
      </c>
      <c r="AJ39" s="110">
        <v>35.4473102687666</v>
      </c>
      <c r="AK39" s="110">
        <v>0</v>
      </c>
      <c r="AL39" s="110">
        <v>17.592227745535599</v>
      </c>
      <c r="AM39" s="110">
        <v>0</v>
      </c>
      <c r="AN39" s="110">
        <v>0</v>
      </c>
      <c r="AO39" s="110">
        <v>0</v>
      </c>
      <c r="AP39" s="110">
        <v>0</v>
      </c>
      <c r="AQ39" s="111">
        <v>0.54591096819177998</v>
      </c>
    </row>
    <row r="40" spans="2:43" ht="12" customHeight="1" x14ac:dyDescent="0.25">
      <c r="B40" s="109" t="s">
        <v>22</v>
      </c>
      <c r="C40" s="110" t="s">
        <v>23</v>
      </c>
      <c r="D40" s="110" t="s">
        <v>24</v>
      </c>
      <c r="E40" s="110" t="s">
        <v>1473</v>
      </c>
      <c r="F40" s="110" t="s">
        <v>25</v>
      </c>
      <c r="G40" s="110" t="s">
        <v>25</v>
      </c>
      <c r="H40" s="110" t="s">
        <v>90</v>
      </c>
      <c r="I40" s="110" t="s">
        <v>25</v>
      </c>
      <c r="J40" s="110">
        <v>9.27</v>
      </c>
      <c r="K40" s="110">
        <v>54.81</v>
      </c>
      <c r="L40" s="110">
        <v>0</v>
      </c>
      <c r="M40" s="110">
        <v>0</v>
      </c>
      <c r="N40" s="110">
        <v>0</v>
      </c>
      <c r="O40" s="110">
        <v>0</v>
      </c>
      <c r="P40" s="110">
        <v>0</v>
      </c>
      <c r="Q40" s="110">
        <v>0</v>
      </c>
      <c r="R40" s="110">
        <v>0</v>
      </c>
      <c r="S40" s="110">
        <v>0</v>
      </c>
      <c r="T40" s="110">
        <v>2.5034226131381998</v>
      </c>
      <c r="U40" s="110">
        <v>0.49047141096461599</v>
      </c>
      <c r="V40" s="110">
        <v>0</v>
      </c>
      <c r="W40" s="110">
        <v>0</v>
      </c>
      <c r="X40" s="110">
        <v>0</v>
      </c>
      <c r="Y40" s="110">
        <v>0</v>
      </c>
      <c r="Z40" s="110">
        <v>0</v>
      </c>
      <c r="AA40" s="110">
        <v>0</v>
      </c>
      <c r="AB40" s="110">
        <v>0</v>
      </c>
      <c r="AC40" s="110">
        <v>0</v>
      </c>
      <c r="AD40" s="110">
        <v>3.2157038832446401</v>
      </c>
      <c r="AE40" s="110">
        <v>0.18568989859049301</v>
      </c>
      <c r="AF40" s="110">
        <v>2.8751326798714198</v>
      </c>
      <c r="AG40" s="110">
        <v>0</v>
      </c>
      <c r="AH40" s="110">
        <v>0.16469101498213201</v>
      </c>
      <c r="AI40" s="110">
        <v>0</v>
      </c>
      <c r="AJ40" s="110">
        <v>35.4473102687666</v>
      </c>
      <c r="AK40" s="110">
        <v>0</v>
      </c>
      <c r="AL40" s="110">
        <v>18.647761410267801</v>
      </c>
      <c r="AM40" s="110">
        <v>0</v>
      </c>
      <c r="AN40" s="110">
        <v>0</v>
      </c>
      <c r="AO40" s="110">
        <v>0</v>
      </c>
      <c r="AP40" s="110">
        <v>0</v>
      </c>
      <c r="AQ40" s="111">
        <v>0.54591096819177998</v>
      </c>
    </row>
    <row r="41" spans="2:43" ht="12" customHeight="1" x14ac:dyDescent="0.25">
      <c r="B41" s="109" t="s">
        <v>22</v>
      </c>
      <c r="C41" s="110" t="s">
        <v>23</v>
      </c>
      <c r="D41" s="110" t="s">
        <v>24</v>
      </c>
      <c r="E41" s="110" t="s">
        <v>24</v>
      </c>
      <c r="F41" s="110" t="s">
        <v>25</v>
      </c>
      <c r="G41" s="110" t="s">
        <v>25</v>
      </c>
      <c r="H41" s="110" t="s">
        <v>90</v>
      </c>
      <c r="I41" s="110" t="s">
        <v>25</v>
      </c>
      <c r="J41" s="110">
        <v>14.38</v>
      </c>
      <c r="K41" s="110">
        <v>54.81</v>
      </c>
      <c r="L41" s="110">
        <v>9.1483703407367695E-2</v>
      </c>
      <c r="M41" s="110">
        <v>0</v>
      </c>
      <c r="N41" s="110">
        <v>0</v>
      </c>
      <c r="O41" s="110">
        <v>0</v>
      </c>
      <c r="P41" s="110">
        <v>0</v>
      </c>
      <c r="Q41" s="110">
        <v>3.1784351778039599</v>
      </c>
      <c r="R41" s="110">
        <v>1.83567494951971</v>
      </c>
      <c r="S41" s="110">
        <v>0</v>
      </c>
      <c r="T41" s="110">
        <v>2.5034226131381998</v>
      </c>
      <c r="U41" s="110">
        <v>0.49047141096461599</v>
      </c>
      <c r="V41" s="110">
        <v>0</v>
      </c>
      <c r="W41" s="110">
        <v>0</v>
      </c>
      <c r="X41" s="110">
        <v>0</v>
      </c>
      <c r="Y41" s="110">
        <v>0</v>
      </c>
      <c r="Z41" s="110">
        <v>0</v>
      </c>
      <c r="AA41" s="110">
        <v>0</v>
      </c>
      <c r="AB41" s="110">
        <v>0</v>
      </c>
      <c r="AC41" s="110">
        <v>0</v>
      </c>
      <c r="AD41" s="110">
        <v>3.2157038832446401</v>
      </c>
      <c r="AE41" s="110">
        <v>0.18568989859049301</v>
      </c>
      <c r="AF41" s="110">
        <v>2.8751326798714198</v>
      </c>
      <c r="AG41" s="110">
        <v>0</v>
      </c>
      <c r="AH41" s="110">
        <v>0.16469101498213201</v>
      </c>
      <c r="AI41" s="110">
        <v>0</v>
      </c>
      <c r="AJ41" s="110">
        <v>35.4473102687666</v>
      </c>
      <c r="AK41" s="110">
        <v>0</v>
      </c>
      <c r="AL41" s="110">
        <v>18.647761410267801</v>
      </c>
      <c r="AM41" s="110">
        <v>0</v>
      </c>
      <c r="AN41" s="110">
        <v>0</v>
      </c>
      <c r="AO41" s="110">
        <v>0</v>
      </c>
      <c r="AP41" s="110">
        <v>0</v>
      </c>
      <c r="AQ41" s="111">
        <v>0.54591096819177998</v>
      </c>
    </row>
    <row r="42" spans="2:43" ht="12" customHeight="1" x14ac:dyDescent="0.25">
      <c r="B42" s="109" t="s">
        <v>22</v>
      </c>
      <c r="C42" s="110" t="s">
        <v>103</v>
      </c>
      <c r="D42" s="110" t="s">
        <v>24</v>
      </c>
      <c r="E42" s="110" t="s">
        <v>1473</v>
      </c>
      <c r="F42" s="110" t="s">
        <v>25</v>
      </c>
      <c r="G42" s="110" t="s">
        <v>25</v>
      </c>
      <c r="H42" s="110" t="s">
        <v>90</v>
      </c>
      <c r="I42" s="110" t="s">
        <v>25</v>
      </c>
      <c r="J42" s="110">
        <v>9.27</v>
      </c>
      <c r="K42" s="110">
        <v>54.81</v>
      </c>
      <c r="L42" s="110">
        <v>0</v>
      </c>
      <c r="M42" s="110">
        <v>0</v>
      </c>
      <c r="N42" s="110">
        <v>0</v>
      </c>
      <c r="O42" s="110">
        <v>0</v>
      </c>
      <c r="P42" s="110">
        <v>0</v>
      </c>
      <c r="Q42" s="110">
        <v>0</v>
      </c>
      <c r="R42" s="110">
        <v>0</v>
      </c>
      <c r="S42" s="110">
        <v>0</v>
      </c>
      <c r="T42" s="110">
        <v>2.5034226131381998</v>
      </c>
      <c r="U42" s="110">
        <v>0.49047141096461599</v>
      </c>
      <c r="V42" s="110">
        <v>0</v>
      </c>
      <c r="W42" s="110">
        <v>0</v>
      </c>
      <c r="X42" s="110">
        <v>0</v>
      </c>
      <c r="Y42" s="110">
        <v>0</v>
      </c>
      <c r="Z42" s="110">
        <v>0</v>
      </c>
      <c r="AA42" s="110">
        <v>0</v>
      </c>
      <c r="AB42" s="110">
        <v>0</v>
      </c>
      <c r="AC42" s="110">
        <v>0</v>
      </c>
      <c r="AD42" s="110">
        <v>3.2157038832446401</v>
      </c>
      <c r="AE42" s="110">
        <v>0.18568989859049301</v>
      </c>
      <c r="AF42" s="110">
        <v>2.8751326798714198</v>
      </c>
      <c r="AG42" s="110">
        <v>0</v>
      </c>
      <c r="AH42" s="110">
        <v>0.16469101498213201</v>
      </c>
      <c r="AI42" s="110">
        <v>0</v>
      </c>
      <c r="AJ42" s="110">
        <v>35.4473102687666</v>
      </c>
      <c r="AK42" s="110">
        <v>0</v>
      </c>
      <c r="AL42" s="110">
        <v>18.647761410267801</v>
      </c>
      <c r="AM42" s="110">
        <v>0</v>
      </c>
      <c r="AN42" s="110">
        <v>0</v>
      </c>
      <c r="AO42" s="110">
        <v>0</v>
      </c>
      <c r="AP42" s="110">
        <v>0</v>
      </c>
      <c r="AQ42" s="111">
        <v>0.54591096819177998</v>
      </c>
    </row>
    <row r="43" spans="2:43" ht="12" customHeight="1" x14ac:dyDescent="0.25">
      <c r="B43" s="109" t="s">
        <v>22</v>
      </c>
      <c r="C43" s="110" t="s">
        <v>103</v>
      </c>
      <c r="D43" s="110" t="s">
        <v>24</v>
      </c>
      <c r="E43" s="110" t="s">
        <v>24</v>
      </c>
      <c r="F43" s="110" t="s">
        <v>25</v>
      </c>
      <c r="G43" s="110" t="s">
        <v>25</v>
      </c>
      <c r="H43" s="110" t="s">
        <v>90</v>
      </c>
      <c r="I43" s="110" t="s">
        <v>25</v>
      </c>
      <c r="J43" s="110">
        <v>14.38</v>
      </c>
      <c r="K43" s="110">
        <v>54.81</v>
      </c>
      <c r="L43" s="110">
        <v>9.1483703407367695E-2</v>
      </c>
      <c r="M43" s="110">
        <v>0</v>
      </c>
      <c r="N43" s="110">
        <v>0</v>
      </c>
      <c r="O43" s="110">
        <v>0</v>
      </c>
      <c r="P43" s="110">
        <v>0</v>
      </c>
      <c r="Q43" s="110">
        <v>3.1784351778039599</v>
      </c>
      <c r="R43" s="110">
        <v>1.83567494951971</v>
      </c>
      <c r="S43" s="110">
        <v>0</v>
      </c>
      <c r="T43" s="110">
        <v>2.5034226131381998</v>
      </c>
      <c r="U43" s="110">
        <v>0.49047141096461599</v>
      </c>
      <c r="V43" s="110">
        <v>0</v>
      </c>
      <c r="W43" s="110">
        <v>0</v>
      </c>
      <c r="X43" s="110">
        <v>0</v>
      </c>
      <c r="Y43" s="110">
        <v>0</v>
      </c>
      <c r="Z43" s="110">
        <v>0</v>
      </c>
      <c r="AA43" s="110">
        <v>0</v>
      </c>
      <c r="AB43" s="110">
        <v>0</v>
      </c>
      <c r="AC43" s="110">
        <v>0</v>
      </c>
      <c r="AD43" s="110">
        <v>3.2157038832446401</v>
      </c>
      <c r="AE43" s="110">
        <v>0.18568989859049301</v>
      </c>
      <c r="AF43" s="110">
        <v>2.8751326798714198</v>
      </c>
      <c r="AG43" s="110">
        <v>0</v>
      </c>
      <c r="AH43" s="110">
        <v>0.16469101498213201</v>
      </c>
      <c r="AI43" s="110">
        <v>0</v>
      </c>
      <c r="AJ43" s="110">
        <v>35.4473102687666</v>
      </c>
      <c r="AK43" s="110">
        <v>0</v>
      </c>
      <c r="AL43" s="110">
        <v>18.647761410267801</v>
      </c>
      <c r="AM43" s="110">
        <v>0</v>
      </c>
      <c r="AN43" s="110">
        <v>0</v>
      </c>
      <c r="AO43" s="110">
        <v>0</v>
      </c>
      <c r="AP43" s="110">
        <v>0</v>
      </c>
      <c r="AQ43" s="111">
        <v>0.54591096819177998</v>
      </c>
    </row>
    <row r="44" spans="2:43" ht="12" customHeight="1" x14ac:dyDescent="0.25">
      <c r="B44" s="109" t="s">
        <v>44</v>
      </c>
      <c r="C44" s="110" t="s">
        <v>37</v>
      </c>
      <c r="D44" s="110" t="s">
        <v>45</v>
      </c>
      <c r="E44" s="110" t="s">
        <v>104</v>
      </c>
      <c r="F44" s="110" t="s">
        <v>25</v>
      </c>
      <c r="G44" s="110" t="s">
        <v>35</v>
      </c>
      <c r="H44" s="110" t="s">
        <v>90</v>
      </c>
      <c r="I44" s="110" t="s">
        <v>25</v>
      </c>
      <c r="J44" s="110">
        <v>19.989999999999998</v>
      </c>
      <c r="K44" s="110">
        <v>62.43</v>
      </c>
      <c r="L44" s="110">
        <v>8.5994681202925694E-2</v>
      </c>
      <c r="M44" s="110">
        <v>0</v>
      </c>
      <c r="N44" s="110">
        <v>0</v>
      </c>
      <c r="O44" s="110">
        <v>0</v>
      </c>
      <c r="P44" s="110">
        <v>0</v>
      </c>
      <c r="Q44" s="110">
        <v>2.98772906713572</v>
      </c>
      <c r="R44" s="110">
        <v>1.7255344525485301</v>
      </c>
      <c r="S44" s="110">
        <v>0</v>
      </c>
      <c r="T44" s="110">
        <v>7.7656184063738998</v>
      </c>
      <c r="U44" s="110">
        <v>1.52144347716541</v>
      </c>
      <c r="V44" s="110">
        <v>0</v>
      </c>
      <c r="W44" s="110">
        <v>0</v>
      </c>
      <c r="X44" s="110">
        <v>0</v>
      </c>
      <c r="Y44" s="110">
        <v>0</v>
      </c>
      <c r="Z44" s="110">
        <v>0</v>
      </c>
      <c r="AA44" s="110">
        <v>0</v>
      </c>
      <c r="AB44" s="110">
        <v>0</v>
      </c>
      <c r="AC44" s="110">
        <v>0</v>
      </c>
      <c r="AD44" s="110">
        <v>3.0227616502499601</v>
      </c>
      <c r="AE44" s="110">
        <v>0.174548504675064</v>
      </c>
      <c r="AF44" s="110">
        <v>2.7026247190791399</v>
      </c>
      <c r="AG44" s="110">
        <v>0</v>
      </c>
      <c r="AH44" s="110">
        <v>0.15480955408320399</v>
      </c>
      <c r="AI44" s="110">
        <v>0</v>
      </c>
      <c r="AJ44" s="110">
        <v>33.320471652640599</v>
      </c>
      <c r="AK44" s="110">
        <v>0</v>
      </c>
      <c r="AL44" s="110">
        <v>28.443113818981999</v>
      </c>
      <c r="AM44" s="110">
        <v>0</v>
      </c>
      <c r="AN44" s="110">
        <v>0</v>
      </c>
      <c r="AO44" s="110">
        <v>0</v>
      </c>
      <c r="AP44" s="110">
        <v>0</v>
      </c>
      <c r="AQ44" s="111">
        <v>0.51315631010027296</v>
      </c>
    </row>
    <row r="45" spans="2:43" ht="12" customHeight="1" x14ac:dyDescent="0.25">
      <c r="B45" s="109" t="s">
        <v>44</v>
      </c>
      <c r="C45" s="110" t="s">
        <v>37</v>
      </c>
      <c r="D45" s="110" t="s">
        <v>45</v>
      </c>
      <c r="E45" s="110" t="s">
        <v>104</v>
      </c>
      <c r="F45" s="110" t="s">
        <v>25</v>
      </c>
      <c r="G45" s="110" t="s">
        <v>38</v>
      </c>
      <c r="H45" s="110" t="s">
        <v>90</v>
      </c>
      <c r="I45" s="110" t="s">
        <v>25</v>
      </c>
      <c r="J45" s="110">
        <v>16.27</v>
      </c>
      <c r="K45" s="110">
        <v>50.53</v>
      </c>
      <c r="L45" s="110">
        <v>8.5994681202925694E-2</v>
      </c>
      <c r="M45" s="110">
        <v>0</v>
      </c>
      <c r="N45" s="110">
        <v>0</v>
      </c>
      <c r="O45" s="110">
        <v>0</v>
      </c>
      <c r="P45" s="110">
        <v>0</v>
      </c>
      <c r="Q45" s="110">
        <v>2.98772906713572</v>
      </c>
      <c r="R45" s="110">
        <v>1.7255344525485301</v>
      </c>
      <c r="S45" s="110">
        <v>0</v>
      </c>
      <c r="T45" s="110">
        <v>4.6593725042435299</v>
      </c>
      <c r="U45" s="110">
        <v>0.91286724665242103</v>
      </c>
      <c r="V45" s="110">
        <v>0</v>
      </c>
      <c r="W45" s="110">
        <v>0</v>
      </c>
      <c r="X45" s="110">
        <v>0</v>
      </c>
      <c r="Y45" s="110">
        <v>0</v>
      </c>
      <c r="Z45" s="110">
        <v>0</v>
      </c>
      <c r="AA45" s="110">
        <v>0</v>
      </c>
      <c r="AB45" s="110">
        <v>0</v>
      </c>
      <c r="AC45" s="110">
        <v>0</v>
      </c>
      <c r="AD45" s="110">
        <v>3.0227616502499601</v>
      </c>
      <c r="AE45" s="110">
        <v>0.174548504675064</v>
      </c>
      <c r="AF45" s="110">
        <v>2.7026247190791399</v>
      </c>
      <c r="AG45" s="110">
        <v>0</v>
      </c>
      <c r="AH45" s="110">
        <v>0.15480955408320399</v>
      </c>
      <c r="AI45" s="110">
        <v>0</v>
      </c>
      <c r="AJ45" s="110">
        <v>33.320471652640599</v>
      </c>
      <c r="AK45" s="110">
        <v>0</v>
      </c>
      <c r="AL45" s="110">
        <v>16.5366940808035</v>
      </c>
      <c r="AM45" s="110">
        <v>0</v>
      </c>
      <c r="AN45" s="110">
        <v>0</v>
      </c>
      <c r="AO45" s="110">
        <v>0</v>
      </c>
      <c r="AP45" s="110">
        <v>0</v>
      </c>
      <c r="AQ45" s="111">
        <v>0.51315631010027296</v>
      </c>
    </row>
    <row r="46" spans="2:43" ht="12" customHeight="1" x14ac:dyDescent="0.25">
      <c r="B46" s="109" t="s">
        <v>44</v>
      </c>
      <c r="C46" s="110" t="s">
        <v>37</v>
      </c>
      <c r="D46" s="110" t="s">
        <v>45</v>
      </c>
      <c r="E46" s="110" t="s">
        <v>104</v>
      </c>
      <c r="F46" s="110" t="s">
        <v>25</v>
      </c>
      <c r="G46" s="110" t="s">
        <v>36</v>
      </c>
      <c r="H46" s="110" t="s">
        <v>90</v>
      </c>
      <c r="I46" s="110" t="s">
        <v>25</v>
      </c>
      <c r="J46" s="110">
        <v>12.56</v>
      </c>
      <c r="K46" s="110">
        <v>50.53</v>
      </c>
      <c r="L46" s="110">
        <v>8.5994681202925694E-2</v>
      </c>
      <c r="M46" s="110">
        <v>0</v>
      </c>
      <c r="N46" s="110">
        <v>0</v>
      </c>
      <c r="O46" s="110">
        <v>0</v>
      </c>
      <c r="P46" s="110">
        <v>0</v>
      </c>
      <c r="Q46" s="110">
        <v>2.98772906713572</v>
      </c>
      <c r="R46" s="110">
        <v>1.7255344525485301</v>
      </c>
      <c r="S46" s="110">
        <v>0</v>
      </c>
      <c r="T46" s="110">
        <v>1.55312660211316</v>
      </c>
      <c r="U46" s="110">
        <v>0.30429101613942899</v>
      </c>
      <c r="V46" s="110">
        <v>0</v>
      </c>
      <c r="W46" s="110">
        <v>0</v>
      </c>
      <c r="X46" s="110">
        <v>0</v>
      </c>
      <c r="Y46" s="110">
        <v>0</v>
      </c>
      <c r="Z46" s="110">
        <v>0</v>
      </c>
      <c r="AA46" s="110">
        <v>0</v>
      </c>
      <c r="AB46" s="110">
        <v>0</v>
      </c>
      <c r="AC46" s="110">
        <v>0</v>
      </c>
      <c r="AD46" s="110">
        <v>3.0227616502499601</v>
      </c>
      <c r="AE46" s="110">
        <v>0.174548504675064</v>
      </c>
      <c r="AF46" s="110">
        <v>2.7026247190791399</v>
      </c>
      <c r="AG46" s="110">
        <v>0</v>
      </c>
      <c r="AH46" s="110">
        <v>0.15480955408320399</v>
      </c>
      <c r="AI46" s="110">
        <v>0</v>
      </c>
      <c r="AJ46" s="110">
        <v>33.320471652640599</v>
      </c>
      <c r="AK46" s="110">
        <v>0</v>
      </c>
      <c r="AL46" s="110">
        <v>16.5366940808035</v>
      </c>
      <c r="AM46" s="110">
        <v>0</v>
      </c>
      <c r="AN46" s="110">
        <v>0</v>
      </c>
      <c r="AO46" s="110">
        <v>0</v>
      </c>
      <c r="AP46" s="110">
        <v>0</v>
      </c>
      <c r="AQ46" s="111">
        <v>0.51315631010027296</v>
      </c>
    </row>
    <row r="47" spans="2:43" ht="12" customHeight="1" x14ac:dyDescent="0.25">
      <c r="B47" s="109" t="s">
        <v>44</v>
      </c>
      <c r="C47" s="110" t="s">
        <v>37</v>
      </c>
      <c r="D47" s="110" t="s">
        <v>45</v>
      </c>
      <c r="E47" s="110" t="s">
        <v>25</v>
      </c>
      <c r="F47" s="110" t="s">
        <v>25</v>
      </c>
      <c r="G47" s="110" t="s">
        <v>35</v>
      </c>
      <c r="H47" s="110" t="s">
        <v>90</v>
      </c>
      <c r="I47" s="110" t="s">
        <v>25</v>
      </c>
      <c r="J47" s="110">
        <v>19.989999999999998</v>
      </c>
      <c r="K47" s="110">
        <v>62.43</v>
      </c>
      <c r="L47" s="110">
        <v>8.5994681202925694E-2</v>
      </c>
      <c r="M47" s="110">
        <v>0</v>
      </c>
      <c r="N47" s="110">
        <v>0</v>
      </c>
      <c r="O47" s="110">
        <v>0</v>
      </c>
      <c r="P47" s="110">
        <v>0</v>
      </c>
      <c r="Q47" s="110">
        <v>2.98772906713572</v>
      </c>
      <c r="R47" s="110">
        <v>1.7255344525485301</v>
      </c>
      <c r="S47" s="110">
        <v>0</v>
      </c>
      <c r="T47" s="110">
        <v>7.7656184063738998</v>
      </c>
      <c r="U47" s="110">
        <v>1.52144347716541</v>
      </c>
      <c r="V47" s="110">
        <v>0</v>
      </c>
      <c r="W47" s="110">
        <v>0</v>
      </c>
      <c r="X47" s="110">
        <v>0</v>
      </c>
      <c r="Y47" s="110">
        <v>0</v>
      </c>
      <c r="Z47" s="110">
        <v>0</v>
      </c>
      <c r="AA47" s="110">
        <v>0</v>
      </c>
      <c r="AB47" s="110">
        <v>0</v>
      </c>
      <c r="AC47" s="110">
        <v>0</v>
      </c>
      <c r="AD47" s="110">
        <v>3.0227616502499601</v>
      </c>
      <c r="AE47" s="110">
        <v>0.174548504675064</v>
      </c>
      <c r="AF47" s="110">
        <v>2.7026247190791399</v>
      </c>
      <c r="AG47" s="110">
        <v>0</v>
      </c>
      <c r="AH47" s="110">
        <v>0.15480955408320399</v>
      </c>
      <c r="AI47" s="110">
        <v>0</v>
      </c>
      <c r="AJ47" s="110">
        <v>33.320471652640599</v>
      </c>
      <c r="AK47" s="110">
        <v>0</v>
      </c>
      <c r="AL47" s="110">
        <v>28.443113818981999</v>
      </c>
      <c r="AM47" s="110">
        <v>0</v>
      </c>
      <c r="AN47" s="110">
        <v>0</v>
      </c>
      <c r="AO47" s="110">
        <v>0</v>
      </c>
      <c r="AP47" s="110">
        <v>0</v>
      </c>
      <c r="AQ47" s="111">
        <v>0.51315631010027296</v>
      </c>
    </row>
    <row r="48" spans="2:43" ht="12" customHeight="1" x14ac:dyDescent="0.25">
      <c r="B48" s="109" t="s">
        <v>44</v>
      </c>
      <c r="C48" s="110" t="s">
        <v>37</v>
      </c>
      <c r="D48" s="110" t="s">
        <v>45</v>
      </c>
      <c r="E48" s="110" t="s">
        <v>25</v>
      </c>
      <c r="F48" s="110" t="s">
        <v>25</v>
      </c>
      <c r="G48" s="110" t="s">
        <v>38</v>
      </c>
      <c r="H48" s="110" t="s">
        <v>90</v>
      </c>
      <c r="I48" s="110" t="s">
        <v>25</v>
      </c>
      <c r="J48" s="110">
        <v>16.27</v>
      </c>
      <c r="K48" s="110">
        <v>50.53</v>
      </c>
      <c r="L48" s="110">
        <v>8.5994681202925694E-2</v>
      </c>
      <c r="M48" s="110">
        <v>0</v>
      </c>
      <c r="N48" s="110">
        <v>0</v>
      </c>
      <c r="O48" s="110">
        <v>0</v>
      </c>
      <c r="P48" s="110">
        <v>0</v>
      </c>
      <c r="Q48" s="110">
        <v>2.98772906713572</v>
      </c>
      <c r="R48" s="110">
        <v>1.7255344525485301</v>
      </c>
      <c r="S48" s="110">
        <v>0</v>
      </c>
      <c r="T48" s="110">
        <v>4.6593725042435299</v>
      </c>
      <c r="U48" s="110">
        <v>0.91286724665242103</v>
      </c>
      <c r="V48" s="110">
        <v>0</v>
      </c>
      <c r="W48" s="110">
        <v>0</v>
      </c>
      <c r="X48" s="110">
        <v>0</v>
      </c>
      <c r="Y48" s="110">
        <v>0</v>
      </c>
      <c r="Z48" s="110">
        <v>0</v>
      </c>
      <c r="AA48" s="110">
        <v>0</v>
      </c>
      <c r="AB48" s="110">
        <v>0</v>
      </c>
      <c r="AC48" s="110">
        <v>0</v>
      </c>
      <c r="AD48" s="110">
        <v>3.0227616502499601</v>
      </c>
      <c r="AE48" s="110">
        <v>0.174548504675064</v>
      </c>
      <c r="AF48" s="110">
        <v>2.7026247190791399</v>
      </c>
      <c r="AG48" s="110">
        <v>0</v>
      </c>
      <c r="AH48" s="110">
        <v>0.15480955408320399</v>
      </c>
      <c r="AI48" s="110">
        <v>0</v>
      </c>
      <c r="AJ48" s="110">
        <v>33.320471652640599</v>
      </c>
      <c r="AK48" s="110">
        <v>0</v>
      </c>
      <c r="AL48" s="110">
        <v>16.5366940808035</v>
      </c>
      <c r="AM48" s="110">
        <v>0</v>
      </c>
      <c r="AN48" s="110">
        <v>0</v>
      </c>
      <c r="AO48" s="110">
        <v>0</v>
      </c>
      <c r="AP48" s="110">
        <v>0</v>
      </c>
      <c r="AQ48" s="111">
        <v>0.51315631010027296</v>
      </c>
    </row>
    <row r="49" spans="2:43" ht="12" customHeight="1" x14ac:dyDescent="0.25">
      <c r="B49" s="109" t="s">
        <v>44</v>
      </c>
      <c r="C49" s="110" t="s">
        <v>37</v>
      </c>
      <c r="D49" s="110" t="s">
        <v>45</v>
      </c>
      <c r="E49" s="110" t="s">
        <v>25</v>
      </c>
      <c r="F49" s="110" t="s">
        <v>25</v>
      </c>
      <c r="G49" s="110" t="s">
        <v>36</v>
      </c>
      <c r="H49" s="110" t="s">
        <v>90</v>
      </c>
      <c r="I49" s="110" t="s">
        <v>25</v>
      </c>
      <c r="J49" s="110">
        <v>12.56</v>
      </c>
      <c r="K49" s="110">
        <v>50.53</v>
      </c>
      <c r="L49" s="110">
        <v>8.5994681202925694E-2</v>
      </c>
      <c r="M49" s="110">
        <v>0</v>
      </c>
      <c r="N49" s="110">
        <v>0</v>
      </c>
      <c r="O49" s="110">
        <v>0</v>
      </c>
      <c r="P49" s="110">
        <v>0</v>
      </c>
      <c r="Q49" s="110">
        <v>2.98772906713572</v>
      </c>
      <c r="R49" s="110">
        <v>1.7255344525485301</v>
      </c>
      <c r="S49" s="110">
        <v>0</v>
      </c>
      <c r="T49" s="110">
        <v>1.55312660211316</v>
      </c>
      <c r="U49" s="110">
        <v>0.30429101613942899</v>
      </c>
      <c r="V49" s="110">
        <v>0</v>
      </c>
      <c r="W49" s="110">
        <v>0</v>
      </c>
      <c r="X49" s="110">
        <v>0</v>
      </c>
      <c r="Y49" s="110">
        <v>0</v>
      </c>
      <c r="Z49" s="110">
        <v>0</v>
      </c>
      <c r="AA49" s="110">
        <v>0</v>
      </c>
      <c r="AB49" s="110">
        <v>0</v>
      </c>
      <c r="AC49" s="110">
        <v>0</v>
      </c>
      <c r="AD49" s="110">
        <v>3.0227616502499601</v>
      </c>
      <c r="AE49" s="110">
        <v>0.174548504675064</v>
      </c>
      <c r="AF49" s="110">
        <v>2.7026247190791399</v>
      </c>
      <c r="AG49" s="110">
        <v>0</v>
      </c>
      <c r="AH49" s="110">
        <v>0.15480955408320399</v>
      </c>
      <c r="AI49" s="110">
        <v>0</v>
      </c>
      <c r="AJ49" s="110">
        <v>33.320471652640599</v>
      </c>
      <c r="AK49" s="110">
        <v>0</v>
      </c>
      <c r="AL49" s="110">
        <v>16.5366940808035</v>
      </c>
      <c r="AM49" s="110">
        <v>0</v>
      </c>
      <c r="AN49" s="110">
        <v>0</v>
      </c>
      <c r="AO49" s="110">
        <v>0</v>
      </c>
      <c r="AP49" s="110">
        <v>0</v>
      </c>
      <c r="AQ49" s="111">
        <v>0.51315631010027296</v>
      </c>
    </row>
    <row r="50" spans="2:43" ht="12" customHeight="1" x14ac:dyDescent="0.25">
      <c r="B50" s="109" t="s">
        <v>44</v>
      </c>
      <c r="C50" s="110" t="s">
        <v>37</v>
      </c>
      <c r="D50" s="110" t="s">
        <v>45</v>
      </c>
      <c r="E50" s="110" t="s">
        <v>105</v>
      </c>
      <c r="F50" s="110" t="s">
        <v>25</v>
      </c>
      <c r="G50" s="110" t="s">
        <v>35</v>
      </c>
      <c r="H50" s="110" t="s">
        <v>90</v>
      </c>
      <c r="I50" s="110" t="s">
        <v>25</v>
      </c>
      <c r="J50" s="110">
        <v>19.559999999999999</v>
      </c>
      <c r="K50" s="110">
        <v>61.1</v>
      </c>
      <c r="L50" s="110">
        <v>8.41650071347783E-2</v>
      </c>
      <c r="M50" s="110">
        <v>0</v>
      </c>
      <c r="N50" s="110">
        <v>0</v>
      </c>
      <c r="O50" s="110">
        <v>0</v>
      </c>
      <c r="P50" s="110">
        <v>0</v>
      </c>
      <c r="Q50" s="110">
        <v>2.9241603635796398</v>
      </c>
      <c r="R50" s="110">
        <v>1.68882095355814</v>
      </c>
      <c r="S50" s="110">
        <v>0</v>
      </c>
      <c r="T50" s="110">
        <v>7.6003924828340299</v>
      </c>
      <c r="U50" s="110">
        <v>1.48907233935338</v>
      </c>
      <c r="V50" s="110">
        <v>0</v>
      </c>
      <c r="W50" s="110">
        <v>0</v>
      </c>
      <c r="X50" s="110">
        <v>0</v>
      </c>
      <c r="Y50" s="110">
        <v>0</v>
      </c>
      <c r="Z50" s="110">
        <v>0</v>
      </c>
      <c r="AA50" s="110">
        <v>0</v>
      </c>
      <c r="AB50" s="110">
        <v>0</v>
      </c>
      <c r="AC50" s="110">
        <v>0</v>
      </c>
      <c r="AD50" s="110">
        <v>2.9584475725850701</v>
      </c>
      <c r="AE50" s="110">
        <v>0.17083470670325401</v>
      </c>
      <c r="AF50" s="110">
        <v>2.64512206548171</v>
      </c>
      <c r="AG50" s="110">
        <v>0</v>
      </c>
      <c r="AH50" s="110">
        <v>0.15151573378356101</v>
      </c>
      <c r="AI50" s="110">
        <v>0</v>
      </c>
      <c r="AJ50" s="110">
        <v>32.611525447265301</v>
      </c>
      <c r="AK50" s="110">
        <v>0</v>
      </c>
      <c r="AL50" s="110">
        <v>27.837941184535602</v>
      </c>
      <c r="AM50" s="110">
        <v>0</v>
      </c>
      <c r="AN50" s="110">
        <v>0</v>
      </c>
      <c r="AO50" s="110">
        <v>0</v>
      </c>
      <c r="AP50" s="110">
        <v>0</v>
      </c>
      <c r="AQ50" s="111">
        <v>0.50223809073643699</v>
      </c>
    </row>
    <row r="51" spans="2:43" ht="12" customHeight="1" x14ac:dyDescent="0.25">
      <c r="B51" s="109" t="s">
        <v>44</v>
      </c>
      <c r="C51" s="110" t="s">
        <v>37</v>
      </c>
      <c r="D51" s="110" t="s">
        <v>45</v>
      </c>
      <c r="E51" s="110" t="s">
        <v>105</v>
      </c>
      <c r="F51" s="110" t="s">
        <v>25</v>
      </c>
      <c r="G51" s="110" t="s">
        <v>38</v>
      </c>
      <c r="H51" s="110" t="s">
        <v>90</v>
      </c>
      <c r="I51" s="110" t="s">
        <v>25</v>
      </c>
      <c r="J51" s="110">
        <v>15.93</v>
      </c>
      <c r="K51" s="110">
        <v>49.45</v>
      </c>
      <c r="L51" s="110">
        <v>8.41650071347783E-2</v>
      </c>
      <c r="M51" s="110">
        <v>0</v>
      </c>
      <c r="N51" s="110">
        <v>0</v>
      </c>
      <c r="O51" s="110">
        <v>0</v>
      </c>
      <c r="P51" s="110">
        <v>0</v>
      </c>
      <c r="Q51" s="110">
        <v>2.9241603635796398</v>
      </c>
      <c r="R51" s="110">
        <v>1.68882095355814</v>
      </c>
      <c r="S51" s="110">
        <v>0</v>
      </c>
      <c r="T51" s="110">
        <v>4.5602369190468597</v>
      </c>
      <c r="U51" s="110">
        <v>0.89344453927683798</v>
      </c>
      <c r="V51" s="110">
        <v>0</v>
      </c>
      <c r="W51" s="110">
        <v>0</v>
      </c>
      <c r="X51" s="110">
        <v>0</v>
      </c>
      <c r="Y51" s="110">
        <v>0</v>
      </c>
      <c r="Z51" s="110">
        <v>0</v>
      </c>
      <c r="AA51" s="110">
        <v>0</v>
      </c>
      <c r="AB51" s="110">
        <v>0</v>
      </c>
      <c r="AC51" s="110">
        <v>0</v>
      </c>
      <c r="AD51" s="110">
        <v>2.9584475725850701</v>
      </c>
      <c r="AE51" s="110">
        <v>0.17083470670325401</v>
      </c>
      <c r="AF51" s="110">
        <v>2.64512206548171</v>
      </c>
      <c r="AG51" s="110">
        <v>0</v>
      </c>
      <c r="AH51" s="110">
        <v>0.15151573378356101</v>
      </c>
      <c r="AI51" s="110">
        <v>0</v>
      </c>
      <c r="AJ51" s="110">
        <v>32.611525447265301</v>
      </c>
      <c r="AK51" s="110">
        <v>0</v>
      </c>
      <c r="AL51" s="110">
        <v>16.184849525892801</v>
      </c>
      <c r="AM51" s="110">
        <v>0</v>
      </c>
      <c r="AN51" s="110">
        <v>0</v>
      </c>
      <c r="AO51" s="110">
        <v>0</v>
      </c>
      <c r="AP51" s="110">
        <v>0</v>
      </c>
      <c r="AQ51" s="111">
        <v>0.50223809073643699</v>
      </c>
    </row>
    <row r="52" spans="2:43" ht="12" customHeight="1" x14ac:dyDescent="0.25">
      <c r="B52" s="109" t="s">
        <v>44</v>
      </c>
      <c r="C52" s="110" t="s">
        <v>37</v>
      </c>
      <c r="D52" s="110" t="s">
        <v>45</v>
      </c>
      <c r="E52" s="110" t="s">
        <v>105</v>
      </c>
      <c r="F52" s="110" t="s">
        <v>25</v>
      </c>
      <c r="G52" s="110" t="s">
        <v>36</v>
      </c>
      <c r="H52" s="110" t="s">
        <v>90</v>
      </c>
      <c r="I52" s="110" t="s">
        <v>25</v>
      </c>
      <c r="J52" s="110">
        <v>12.29</v>
      </c>
      <c r="K52" s="110">
        <v>49.45</v>
      </c>
      <c r="L52" s="110">
        <v>8.41650071347783E-2</v>
      </c>
      <c r="M52" s="110">
        <v>0</v>
      </c>
      <c r="N52" s="110">
        <v>0</v>
      </c>
      <c r="O52" s="110">
        <v>0</v>
      </c>
      <c r="P52" s="110">
        <v>0</v>
      </c>
      <c r="Q52" s="110">
        <v>2.9241603635796398</v>
      </c>
      <c r="R52" s="110">
        <v>1.68882095355814</v>
      </c>
      <c r="S52" s="110">
        <v>0</v>
      </c>
      <c r="T52" s="110">
        <v>1.5200813552596899</v>
      </c>
      <c r="U52" s="110">
        <v>0.297816739200292</v>
      </c>
      <c r="V52" s="110">
        <v>0</v>
      </c>
      <c r="W52" s="110">
        <v>0</v>
      </c>
      <c r="X52" s="110">
        <v>0</v>
      </c>
      <c r="Y52" s="110">
        <v>0</v>
      </c>
      <c r="Z52" s="110">
        <v>0</v>
      </c>
      <c r="AA52" s="110">
        <v>0</v>
      </c>
      <c r="AB52" s="110">
        <v>0</v>
      </c>
      <c r="AC52" s="110">
        <v>0</v>
      </c>
      <c r="AD52" s="110">
        <v>2.9584475725850701</v>
      </c>
      <c r="AE52" s="110">
        <v>0.17083470670325401</v>
      </c>
      <c r="AF52" s="110">
        <v>2.64512206548171</v>
      </c>
      <c r="AG52" s="110">
        <v>0</v>
      </c>
      <c r="AH52" s="110">
        <v>0.15151573378356101</v>
      </c>
      <c r="AI52" s="110">
        <v>0</v>
      </c>
      <c r="AJ52" s="110">
        <v>32.611525447265301</v>
      </c>
      <c r="AK52" s="110">
        <v>0</v>
      </c>
      <c r="AL52" s="110">
        <v>16.184849525892801</v>
      </c>
      <c r="AM52" s="110">
        <v>0</v>
      </c>
      <c r="AN52" s="110">
        <v>0</v>
      </c>
      <c r="AO52" s="110">
        <v>0</v>
      </c>
      <c r="AP52" s="110">
        <v>0</v>
      </c>
      <c r="AQ52" s="111">
        <v>0.50223809073643699</v>
      </c>
    </row>
    <row r="53" spans="2:43" ht="12" customHeight="1" x14ac:dyDescent="0.25">
      <c r="B53" s="109" t="s">
        <v>44</v>
      </c>
      <c r="C53" s="110" t="s">
        <v>23</v>
      </c>
      <c r="D53" s="110" t="s">
        <v>45</v>
      </c>
      <c r="E53" s="110" t="s">
        <v>104</v>
      </c>
      <c r="F53" s="110" t="s">
        <v>25</v>
      </c>
      <c r="G53" s="110" t="s">
        <v>25</v>
      </c>
      <c r="H53" s="110" t="s">
        <v>90</v>
      </c>
      <c r="I53" s="110" t="s">
        <v>25</v>
      </c>
      <c r="J53" s="110">
        <v>13.51</v>
      </c>
      <c r="K53" s="110">
        <v>51.52</v>
      </c>
      <c r="L53" s="110">
        <v>8.5994681202925694E-2</v>
      </c>
      <c r="M53" s="110">
        <v>0</v>
      </c>
      <c r="N53" s="110">
        <v>0</v>
      </c>
      <c r="O53" s="110">
        <v>0</v>
      </c>
      <c r="P53" s="110">
        <v>0</v>
      </c>
      <c r="Q53" s="110">
        <v>2.98772906713572</v>
      </c>
      <c r="R53" s="110">
        <v>1.7255344525485301</v>
      </c>
      <c r="S53" s="110">
        <v>0</v>
      </c>
      <c r="T53" s="110">
        <v>2.3532172563499101</v>
      </c>
      <c r="U53" s="110">
        <v>0.46104312630673899</v>
      </c>
      <c r="V53" s="110">
        <v>0</v>
      </c>
      <c r="W53" s="110">
        <v>0</v>
      </c>
      <c r="X53" s="110">
        <v>0</v>
      </c>
      <c r="Y53" s="110">
        <v>0</v>
      </c>
      <c r="Z53" s="110">
        <v>0</v>
      </c>
      <c r="AA53" s="110">
        <v>0</v>
      </c>
      <c r="AB53" s="110">
        <v>0</v>
      </c>
      <c r="AC53" s="110">
        <v>0</v>
      </c>
      <c r="AD53" s="110">
        <v>3.0227616502499601</v>
      </c>
      <c r="AE53" s="110">
        <v>0.174548504675064</v>
      </c>
      <c r="AF53" s="110">
        <v>2.7026247190791399</v>
      </c>
      <c r="AG53" s="110">
        <v>0</v>
      </c>
      <c r="AH53" s="110">
        <v>0.15480955408320399</v>
      </c>
      <c r="AI53" s="110">
        <v>0</v>
      </c>
      <c r="AJ53" s="110">
        <v>33.320471652640599</v>
      </c>
      <c r="AK53" s="110">
        <v>0</v>
      </c>
      <c r="AL53" s="110">
        <v>17.528895725651701</v>
      </c>
      <c r="AM53" s="110">
        <v>0</v>
      </c>
      <c r="AN53" s="110">
        <v>0</v>
      </c>
      <c r="AO53" s="110">
        <v>0</v>
      </c>
      <c r="AP53" s="110">
        <v>0</v>
      </c>
      <c r="AQ53" s="111">
        <v>0.51315631010027296</v>
      </c>
    </row>
    <row r="54" spans="2:43" ht="12" customHeight="1" x14ac:dyDescent="0.25">
      <c r="B54" s="109" t="s">
        <v>44</v>
      </c>
      <c r="C54" s="110" t="s">
        <v>23</v>
      </c>
      <c r="D54" s="110" t="s">
        <v>45</v>
      </c>
      <c r="E54" s="110" t="s">
        <v>25</v>
      </c>
      <c r="F54" s="110" t="s">
        <v>25</v>
      </c>
      <c r="G54" s="110" t="s">
        <v>25</v>
      </c>
      <c r="H54" s="110" t="s">
        <v>90</v>
      </c>
      <c r="I54" s="110" t="s">
        <v>25</v>
      </c>
      <c r="J54" s="110">
        <v>13.51</v>
      </c>
      <c r="K54" s="110">
        <v>51.52</v>
      </c>
      <c r="L54" s="110">
        <v>8.5994681202925694E-2</v>
      </c>
      <c r="M54" s="110">
        <v>0</v>
      </c>
      <c r="N54" s="110">
        <v>0</v>
      </c>
      <c r="O54" s="110">
        <v>0</v>
      </c>
      <c r="P54" s="110">
        <v>0</v>
      </c>
      <c r="Q54" s="110">
        <v>2.98772906713572</v>
      </c>
      <c r="R54" s="110">
        <v>1.7255344525485301</v>
      </c>
      <c r="S54" s="110">
        <v>0</v>
      </c>
      <c r="T54" s="110">
        <v>2.3532172563499101</v>
      </c>
      <c r="U54" s="110">
        <v>0.46104312630673899</v>
      </c>
      <c r="V54" s="110">
        <v>0</v>
      </c>
      <c r="W54" s="110">
        <v>0</v>
      </c>
      <c r="X54" s="110">
        <v>0</v>
      </c>
      <c r="Y54" s="110">
        <v>0</v>
      </c>
      <c r="Z54" s="110">
        <v>0</v>
      </c>
      <c r="AA54" s="110">
        <v>0</v>
      </c>
      <c r="AB54" s="110">
        <v>0</v>
      </c>
      <c r="AC54" s="110">
        <v>0</v>
      </c>
      <c r="AD54" s="110">
        <v>3.0227616502499601</v>
      </c>
      <c r="AE54" s="110">
        <v>0.174548504675064</v>
      </c>
      <c r="AF54" s="110">
        <v>2.7026247190791399</v>
      </c>
      <c r="AG54" s="110">
        <v>0</v>
      </c>
      <c r="AH54" s="110">
        <v>0.15480955408320399</v>
      </c>
      <c r="AI54" s="110">
        <v>0</v>
      </c>
      <c r="AJ54" s="110">
        <v>33.320471652640599</v>
      </c>
      <c r="AK54" s="110">
        <v>0</v>
      </c>
      <c r="AL54" s="110">
        <v>17.528895725651701</v>
      </c>
      <c r="AM54" s="110">
        <v>0</v>
      </c>
      <c r="AN54" s="110">
        <v>0</v>
      </c>
      <c r="AO54" s="110">
        <v>0</v>
      </c>
      <c r="AP54" s="110">
        <v>0</v>
      </c>
      <c r="AQ54" s="111">
        <v>0.51315631010027296</v>
      </c>
    </row>
    <row r="55" spans="2:43" ht="12" customHeight="1" x14ac:dyDescent="0.25">
      <c r="B55" s="109" t="s">
        <v>44</v>
      </c>
      <c r="C55" s="110" t="s">
        <v>23</v>
      </c>
      <c r="D55" s="110" t="s">
        <v>45</v>
      </c>
      <c r="E55" s="110" t="s">
        <v>105</v>
      </c>
      <c r="F55" s="110" t="s">
        <v>25</v>
      </c>
      <c r="G55" s="110" t="s">
        <v>25</v>
      </c>
      <c r="H55" s="110" t="s">
        <v>90</v>
      </c>
      <c r="I55" s="110" t="s">
        <v>25</v>
      </c>
      <c r="J55" s="110">
        <v>13.23</v>
      </c>
      <c r="K55" s="110">
        <v>50.42</v>
      </c>
      <c r="L55" s="110">
        <v>8.41650071347783E-2</v>
      </c>
      <c r="M55" s="110">
        <v>0</v>
      </c>
      <c r="N55" s="110">
        <v>0</v>
      </c>
      <c r="O55" s="110">
        <v>0</v>
      </c>
      <c r="P55" s="110">
        <v>0</v>
      </c>
      <c r="Q55" s="110">
        <v>2.9241603635796398</v>
      </c>
      <c r="R55" s="110">
        <v>1.68882095355814</v>
      </c>
      <c r="S55" s="110">
        <v>0</v>
      </c>
      <c r="T55" s="110">
        <v>2.3031488040871499</v>
      </c>
      <c r="U55" s="110">
        <v>0.45123369808744701</v>
      </c>
      <c r="V55" s="110">
        <v>0</v>
      </c>
      <c r="W55" s="110">
        <v>0</v>
      </c>
      <c r="X55" s="110">
        <v>0</v>
      </c>
      <c r="Y55" s="110">
        <v>0</v>
      </c>
      <c r="Z55" s="110">
        <v>0</v>
      </c>
      <c r="AA55" s="110">
        <v>0</v>
      </c>
      <c r="AB55" s="110">
        <v>0</v>
      </c>
      <c r="AC55" s="110">
        <v>0</v>
      </c>
      <c r="AD55" s="110">
        <v>2.9584475725850701</v>
      </c>
      <c r="AE55" s="110">
        <v>0.17083470670325401</v>
      </c>
      <c r="AF55" s="110">
        <v>2.64512206548171</v>
      </c>
      <c r="AG55" s="110">
        <v>0</v>
      </c>
      <c r="AH55" s="110">
        <v>0.15151573378356101</v>
      </c>
      <c r="AI55" s="110">
        <v>0</v>
      </c>
      <c r="AJ55" s="110">
        <v>32.611525447265301</v>
      </c>
      <c r="AK55" s="110">
        <v>0</v>
      </c>
      <c r="AL55" s="110">
        <v>17.155940497446299</v>
      </c>
      <c r="AM55" s="110">
        <v>0</v>
      </c>
      <c r="AN55" s="110">
        <v>0</v>
      </c>
      <c r="AO55" s="110">
        <v>0</v>
      </c>
      <c r="AP55" s="110">
        <v>0</v>
      </c>
      <c r="AQ55" s="111">
        <v>0.50223809073643699</v>
      </c>
    </row>
    <row r="56" spans="2:43" ht="12" customHeight="1" x14ac:dyDescent="0.25">
      <c r="B56" s="109" t="s">
        <v>44</v>
      </c>
      <c r="C56" s="110" t="s">
        <v>103</v>
      </c>
      <c r="D56" s="110" t="s">
        <v>45</v>
      </c>
      <c r="E56" s="110" t="s">
        <v>104</v>
      </c>
      <c r="F56" s="110" t="s">
        <v>25</v>
      </c>
      <c r="G56" s="110" t="s">
        <v>25</v>
      </c>
      <c r="H56" s="110" t="s">
        <v>90</v>
      </c>
      <c r="I56" s="110" t="s">
        <v>25</v>
      </c>
      <c r="J56" s="110">
        <v>13.51</v>
      </c>
      <c r="K56" s="110">
        <v>51.52</v>
      </c>
      <c r="L56" s="110">
        <v>8.5994681202925694E-2</v>
      </c>
      <c r="M56" s="110">
        <v>0</v>
      </c>
      <c r="N56" s="110">
        <v>0</v>
      </c>
      <c r="O56" s="110">
        <v>0</v>
      </c>
      <c r="P56" s="110">
        <v>0</v>
      </c>
      <c r="Q56" s="110">
        <v>2.98772906713572</v>
      </c>
      <c r="R56" s="110">
        <v>1.7255344525485301</v>
      </c>
      <c r="S56" s="110">
        <v>0</v>
      </c>
      <c r="T56" s="110">
        <v>2.3532172563499101</v>
      </c>
      <c r="U56" s="110">
        <v>0.46104312630673899</v>
      </c>
      <c r="V56" s="110">
        <v>0</v>
      </c>
      <c r="W56" s="110">
        <v>0</v>
      </c>
      <c r="X56" s="110">
        <v>0</v>
      </c>
      <c r="Y56" s="110">
        <v>0</v>
      </c>
      <c r="Z56" s="110">
        <v>0</v>
      </c>
      <c r="AA56" s="110">
        <v>0</v>
      </c>
      <c r="AB56" s="110">
        <v>0</v>
      </c>
      <c r="AC56" s="110">
        <v>0</v>
      </c>
      <c r="AD56" s="110">
        <v>3.0227616502499601</v>
      </c>
      <c r="AE56" s="110">
        <v>0.174548504675064</v>
      </c>
      <c r="AF56" s="110">
        <v>2.7026247190791399</v>
      </c>
      <c r="AG56" s="110">
        <v>0</v>
      </c>
      <c r="AH56" s="110">
        <v>0.15480955408320399</v>
      </c>
      <c r="AI56" s="110">
        <v>0</v>
      </c>
      <c r="AJ56" s="110">
        <v>33.320471652640599</v>
      </c>
      <c r="AK56" s="110">
        <v>0</v>
      </c>
      <c r="AL56" s="110">
        <v>17.528895725651701</v>
      </c>
      <c r="AM56" s="110">
        <v>0</v>
      </c>
      <c r="AN56" s="110">
        <v>0</v>
      </c>
      <c r="AO56" s="110">
        <v>0</v>
      </c>
      <c r="AP56" s="110">
        <v>0</v>
      </c>
      <c r="AQ56" s="111">
        <v>0.51315631010027296</v>
      </c>
    </row>
    <row r="57" spans="2:43" ht="12" customHeight="1" x14ac:dyDescent="0.25">
      <c r="B57" s="109" t="s">
        <v>44</v>
      </c>
      <c r="C57" s="110" t="s">
        <v>103</v>
      </c>
      <c r="D57" s="110" t="s">
        <v>45</v>
      </c>
      <c r="E57" s="110" t="s">
        <v>25</v>
      </c>
      <c r="F57" s="110" t="s">
        <v>25</v>
      </c>
      <c r="G57" s="110" t="s">
        <v>25</v>
      </c>
      <c r="H57" s="110" t="s">
        <v>90</v>
      </c>
      <c r="I57" s="110" t="s">
        <v>25</v>
      </c>
      <c r="J57" s="110">
        <v>13.51</v>
      </c>
      <c r="K57" s="110">
        <v>51.52</v>
      </c>
      <c r="L57" s="110">
        <v>8.5994681202925694E-2</v>
      </c>
      <c r="M57" s="110">
        <v>0</v>
      </c>
      <c r="N57" s="110">
        <v>0</v>
      </c>
      <c r="O57" s="110">
        <v>0</v>
      </c>
      <c r="P57" s="110">
        <v>0</v>
      </c>
      <c r="Q57" s="110">
        <v>2.98772906713572</v>
      </c>
      <c r="R57" s="110">
        <v>1.7255344525485301</v>
      </c>
      <c r="S57" s="110">
        <v>0</v>
      </c>
      <c r="T57" s="110">
        <v>2.3532172563499101</v>
      </c>
      <c r="U57" s="110">
        <v>0.46104312630673899</v>
      </c>
      <c r="V57" s="110">
        <v>0</v>
      </c>
      <c r="W57" s="110">
        <v>0</v>
      </c>
      <c r="X57" s="110">
        <v>0</v>
      </c>
      <c r="Y57" s="110">
        <v>0</v>
      </c>
      <c r="Z57" s="110">
        <v>0</v>
      </c>
      <c r="AA57" s="110">
        <v>0</v>
      </c>
      <c r="AB57" s="110">
        <v>0</v>
      </c>
      <c r="AC57" s="110">
        <v>0</v>
      </c>
      <c r="AD57" s="110">
        <v>3.0227616502499601</v>
      </c>
      <c r="AE57" s="110">
        <v>0.174548504675064</v>
      </c>
      <c r="AF57" s="110">
        <v>2.7026247190791399</v>
      </c>
      <c r="AG57" s="110">
        <v>0</v>
      </c>
      <c r="AH57" s="110">
        <v>0.15480955408320399</v>
      </c>
      <c r="AI57" s="110">
        <v>0</v>
      </c>
      <c r="AJ57" s="110">
        <v>33.320471652640599</v>
      </c>
      <c r="AK57" s="110">
        <v>0</v>
      </c>
      <c r="AL57" s="110">
        <v>17.528895725651701</v>
      </c>
      <c r="AM57" s="110">
        <v>0</v>
      </c>
      <c r="AN57" s="110">
        <v>0</v>
      </c>
      <c r="AO57" s="110">
        <v>0</v>
      </c>
      <c r="AP57" s="110">
        <v>0</v>
      </c>
      <c r="AQ57" s="111">
        <v>0.51315631010027296</v>
      </c>
    </row>
    <row r="58" spans="2:43" ht="12" customHeight="1" x14ac:dyDescent="0.25">
      <c r="B58" s="109" t="s">
        <v>44</v>
      </c>
      <c r="C58" s="110" t="s">
        <v>103</v>
      </c>
      <c r="D58" s="110" t="s">
        <v>45</v>
      </c>
      <c r="E58" s="110" t="s">
        <v>105</v>
      </c>
      <c r="F58" s="110" t="s">
        <v>25</v>
      </c>
      <c r="G58" s="110" t="s">
        <v>25</v>
      </c>
      <c r="H58" s="110" t="s">
        <v>90</v>
      </c>
      <c r="I58" s="110" t="s">
        <v>25</v>
      </c>
      <c r="J58" s="110">
        <v>13.23</v>
      </c>
      <c r="K58" s="110">
        <v>50.42</v>
      </c>
      <c r="L58" s="110">
        <v>8.41650071347783E-2</v>
      </c>
      <c r="M58" s="110">
        <v>0</v>
      </c>
      <c r="N58" s="110">
        <v>0</v>
      </c>
      <c r="O58" s="110">
        <v>0</v>
      </c>
      <c r="P58" s="110">
        <v>0</v>
      </c>
      <c r="Q58" s="110">
        <v>2.9241603635796398</v>
      </c>
      <c r="R58" s="110">
        <v>1.68882095355814</v>
      </c>
      <c r="S58" s="110">
        <v>0</v>
      </c>
      <c r="T58" s="110">
        <v>2.3031488040871499</v>
      </c>
      <c r="U58" s="110">
        <v>0.45123369808744701</v>
      </c>
      <c r="V58" s="110">
        <v>0</v>
      </c>
      <c r="W58" s="110">
        <v>0</v>
      </c>
      <c r="X58" s="110">
        <v>0</v>
      </c>
      <c r="Y58" s="110">
        <v>0</v>
      </c>
      <c r="Z58" s="110">
        <v>0</v>
      </c>
      <c r="AA58" s="110">
        <v>0</v>
      </c>
      <c r="AB58" s="110">
        <v>0</v>
      </c>
      <c r="AC58" s="110">
        <v>0</v>
      </c>
      <c r="AD58" s="110">
        <v>2.9584475725850701</v>
      </c>
      <c r="AE58" s="110">
        <v>0.17083470670325401</v>
      </c>
      <c r="AF58" s="110">
        <v>2.64512206548171</v>
      </c>
      <c r="AG58" s="110">
        <v>0</v>
      </c>
      <c r="AH58" s="110">
        <v>0.15151573378356101</v>
      </c>
      <c r="AI58" s="110">
        <v>0</v>
      </c>
      <c r="AJ58" s="110">
        <v>32.611525447265301</v>
      </c>
      <c r="AK58" s="110">
        <v>0</v>
      </c>
      <c r="AL58" s="110">
        <v>17.155940497446299</v>
      </c>
      <c r="AM58" s="110">
        <v>0</v>
      </c>
      <c r="AN58" s="110">
        <v>0</v>
      </c>
      <c r="AO58" s="110">
        <v>0</v>
      </c>
      <c r="AP58" s="110">
        <v>0</v>
      </c>
      <c r="AQ58" s="111">
        <v>0.50223809073643699</v>
      </c>
    </row>
    <row r="59" spans="2:43" ht="12" customHeight="1" x14ac:dyDescent="0.25">
      <c r="B59" s="109" t="s">
        <v>39</v>
      </c>
      <c r="C59" s="110" t="s">
        <v>37</v>
      </c>
      <c r="D59" s="110" t="s">
        <v>25</v>
      </c>
      <c r="E59" s="110" t="s">
        <v>25</v>
      </c>
      <c r="F59" s="110" t="s">
        <v>25</v>
      </c>
      <c r="G59" s="110" t="s">
        <v>35</v>
      </c>
      <c r="H59" s="110" t="s">
        <v>90</v>
      </c>
      <c r="I59" s="110" t="s">
        <v>25</v>
      </c>
      <c r="J59" s="110">
        <v>21.26</v>
      </c>
      <c r="K59" s="110">
        <v>66.42</v>
      </c>
      <c r="L59" s="110">
        <v>9.1483703407367695E-2</v>
      </c>
      <c r="M59" s="110">
        <v>0</v>
      </c>
      <c r="N59" s="110">
        <v>0</v>
      </c>
      <c r="O59" s="110">
        <v>0</v>
      </c>
      <c r="P59" s="110">
        <v>0</v>
      </c>
      <c r="Q59" s="110">
        <v>3.1784351778039599</v>
      </c>
      <c r="R59" s="110">
        <v>1.83567494951971</v>
      </c>
      <c r="S59" s="110">
        <v>0</v>
      </c>
      <c r="T59" s="110">
        <v>8.2612961769935094</v>
      </c>
      <c r="U59" s="110">
        <v>1.6185568906015</v>
      </c>
      <c r="V59" s="110">
        <v>0</v>
      </c>
      <c r="W59" s="110">
        <v>0</v>
      </c>
      <c r="X59" s="110">
        <v>0</v>
      </c>
      <c r="Y59" s="110">
        <v>0</v>
      </c>
      <c r="Z59" s="110">
        <v>0</v>
      </c>
      <c r="AA59" s="110">
        <v>0</v>
      </c>
      <c r="AB59" s="110">
        <v>0</v>
      </c>
      <c r="AC59" s="110">
        <v>0</v>
      </c>
      <c r="AD59" s="110">
        <v>3.2157038832446401</v>
      </c>
      <c r="AE59" s="110">
        <v>0.18568989859049301</v>
      </c>
      <c r="AF59" s="110">
        <v>2.8751326798714198</v>
      </c>
      <c r="AG59" s="110">
        <v>0</v>
      </c>
      <c r="AH59" s="110">
        <v>0.16469101498213201</v>
      </c>
      <c r="AI59" s="110">
        <v>0</v>
      </c>
      <c r="AJ59" s="110">
        <v>35.4473102687666</v>
      </c>
      <c r="AK59" s="110">
        <v>0</v>
      </c>
      <c r="AL59" s="110">
        <v>30.258631722321301</v>
      </c>
      <c r="AM59" s="110">
        <v>0</v>
      </c>
      <c r="AN59" s="110">
        <v>0</v>
      </c>
      <c r="AO59" s="110">
        <v>0</v>
      </c>
      <c r="AP59" s="110">
        <v>0</v>
      </c>
      <c r="AQ59" s="111">
        <v>0.54591096819177998</v>
      </c>
    </row>
    <row r="60" spans="2:43" ht="12" customHeight="1" x14ac:dyDescent="0.25">
      <c r="B60" s="109" t="s">
        <v>39</v>
      </c>
      <c r="C60" s="110" t="s">
        <v>37</v>
      </c>
      <c r="D60" s="110" t="s">
        <v>25</v>
      </c>
      <c r="E60" s="110" t="s">
        <v>25</v>
      </c>
      <c r="F60" s="110" t="s">
        <v>25</v>
      </c>
      <c r="G60" s="110" t="s">
        <v>38</v>
      </c>
      <c r="H60" s="110" t="s">
        <v>90</v>
      </c>
      <c r="I60" s="110" t="s">
        <v>25</v>
      </c>
      <c r="J60" s="110">
        <v>17.309999999999999</v>
      </c>
      <c r="K60" s="110">
        <v>53.75</v>
      </c>
      <c r="L60" s="110">
        <v>9.1483703407367695E-2</v>
      </c>
      <c r="M60" s="110">
        <v>0</v>
      </c>
      <c r="N60" s="110">
        <v>0</v>
      </c>
      <c r="O60" s="110">
        <v>0</v>
      </c>
      <c r="P60" s="110">
        <v>0</v>
      </c>
      <c r="Q60" s="110">
        <v>3.1784351778039599</v>
      </c>
      <c r="R60" s="110">
        <v>1.83567494951971</v>
      </c>
      <c r="S60" s="110">
        <v>0</v>
      </c>
      <c r="T60" s="110">
        <v>4.9567792598335503</v>
      </c>
      <c r="U60" s="110">
        <v>0.97113536877917195</v>
      </c>
      <c r="V60" s="110">
        <v>0</v>
      </c>
      <c r="W60" s="110">
        <v>0</v>
      </c>
      <c r="X60" s="110">
        <v>0</v>
      </c>
      <c r="Y60" s="110">
        <v>0</v>
      </c>
      <c r="Z60" s="110">
        <v>0</v>
      </c>
      <c r="AA60" s="110">
        <v>0</v>
      </c>
      <c r="AB60" s="110">
        <v>0</v>
      </c>
      <c r="AC60" s="110">
        <v>0</v>
      </c>
      <c r="AD60" s="110">
        <v>3.2157038832446401</v>
      </c>
      <c r="AE60" s="110">
        <v>0.18568989859049301</v>
      </c>
      <c r="AF60" s="110">
        <v>2.8751326798714198</v>
      </c>
      <c r="AG60" s="110">
        <v>0</v>
      </c>
      <c r="AH60" s="110">
        <v>0.16469101498213201</v>
      </c>
      <c r="AI60" s="110">
        <v>0</v>
      </c>
      <c r="AJ60" s="110">
        <v>35.4473102687666</v>
      </c>
      <c r="AK60" s="110">
        <v>0</v>
      </c>
      <c r="AL60" s="110">
        <v>17.592227745535599</v>
      </c>
      <c r="AM60" s="110">
        <v>0</v>
      </c>
      <c r="AN60" s="110">
        <v>0</v>
      </c>
      <c r="AO60" s="110">
        <v>0</v>
      </c>
      <c r="AP60" s="110">
        <v>0</v>
      </c>
      <c r="AQ60" s="111">
        <v>0.54591096819177998</v>
      </c>
    </row>
    <row r="61" spans="2:43" ht="12" customHeight="1" x14ac:dyDescent="0.25">
      <c r="B61" s="109" t="s">
        <v>39</v>
      </c>
      <c r="C61" s="110" t="s">
        <v>37</v>
      </c>
      <c r="D61" s="110" t="s">
        <v>25</v>
      </c>
      <c r="E61" s="110" t="s">
        <v>25</v>
      </c>
      <c r="F61" s="110" t="s">
        <v>25</v>
      </c>
      <c r="G61" s="110" t="s">
        <v>36</v>
      </c>
      <c r="H61" s="110" t="s">
        <v>90</v>
      </c>
      <c r="I61" s="110" t="s">
        <v>25</v>
      </c>
      <c r="J61" s="110">
        <v>13.36</v>
      </c>
      <c r="K61" s="110">
        <v>53.75</v>
      </c>
      <c r="L61" s="110">
        <v>9.1483703407367695E-2</v>
      </c>
      <c r="M61" s="110">
        <v>0</v>
      </c>
      <c r="N61" s="110">
        <v>0</v>
      </c>
      <c r="O61" s="110">
        <v>0</v>
      </c>
      <c r="P61" s="110">
        <v>0</v>
      </c>
      <c r="Q61" s="110">
        <v>3.1784351778039599</v>
      </c>
      <c r="R61" s="110">
        <v>1.83567494951971</v>
      </c>
      <c r="S61" s="110">
        <v>0</v>
      </c>
      <c r="T61" s="110">
        <v>1.6522623426735801</v>
      </c>
      <c r="U61" s="110">
        <v>0.32371384695683902</v>
      </c>
      <c r="V61" s="110">
        <v>0</v>
      </c>
      <c r="W61" s="110">
        <v>0</v>
      </c>
      <c r="X61" s="110">
        <v>0</v>
      </c>
      <c r="Y61" s="110">
        <v>0</v>
      </c>
      <c r="Z61" s="110">
        <v>0</v>
      </c>
      <c r="AA61" s="110">
        <v>0</v>
      </c>
      <c r="AB61" s="110">
        <v>0</v>
      </c>
      <c r="AC61" s="110">
        <v>0</v>
      </c>
      <c r="AD61" s="110">
        <v>3.2157038832446401</v>
      </c>
      <c r="AE61" s="110">
        <v>0.18568989859049301</v>
      </c>
      <c r="AF61" s="110">
        <v>2.8751326798714198</v>
      </c>
      <c r="AG61" s="110">
        <v>0</v>
      </c>
      <c r="AH61" s="110">
        <v>0.16469101498213201</v>
      </c>
      <c r="AI61" s="110">
        <v>0</v>
      </c>
      <c r="AJ61" s="110">
        <v>35.4473102687666</v>
      </c>
      <c r="AK61" s="110">
        <v>0</v>
      </c>
      <c r="AL61" s="110">
        <v>17.592227745535599</v>
      </c>
      <c r="AM61" s="110">
        <v>0</v>
      </c>
      <c r="AN61" s="110">
        <v>0</v>
      </c>
      <c r="AO61" s="110">
        <v>0</v>
      </c>
      <c r="AP61" s="110">
        <v>0</v>
      </c>
      <c r="AQ61" s="111">
        <v>0.54591096819177998</v>
      </c>
    </row>
    <row r="62" spans="2:43" ht="12" customHeight="1" x14ac:dyDescent="0.25">
      <c r="B62" s="109" t="s">
        <v>39</v>
      </c>
      <c r="C62" s="110" t="s">
        <v>23</v>
      </c>
      <c r="D62" s="110" t="s">
        <v>25</v>
      </c>
      <c r="E62" s="110" t="s">
        <v>25</v>
      </c>
      <c r="F62" s="110" t="s">
        <v>25</v>
      </c>
      <c r="G62" s="110" t="s">
        <v>25</v>
      </c>
      <c r="H62" s="110" t="s">
        <v>90</v>
      </c>
      <c r="I62" s="110" t="s">
        <v>25</v>
      </c>
      <c r="J62" s="110">
        <v>14.38</v>
      </c>
      <c r="K62" s="110">
        <v>54.81</v>
      </c>
      <c r="L62" s="110">
        <v>9.1483703407367695E-2</v>
      </c>
      <c r="M62" s="110">
        <v>0</v>
      </c>
      <c r="N62" s="110">
        <v>0</v>
      </c>
      <c r="O62" s="110">
        <v>0</v>
      </c>
      <c r="P62" s="110">
        <v>0</v>
      </c>
      <c r="Q62" s="110">
        <v>3.1784351778039599</v>
      </c>
      <c r="R62" s="110">
        <v>1.83567494951971</v>
      </c>
      <c r="S62" s="110">
        <v>0</v>
      </c>
      <c r="T62" s="110">
        <v>2.5034226131381998</v>
      </c>
      <c r="U62" s="110">
        <v>0.49047141096461599</v>
      </c>
      <c r="V62" s="110">
        <v>0</v>
      </c>
      <c r="W62" s="110">
        <v>0</v>
      </c>
      <c r="X62" s="110">
        <v>0</v>
      </c>
      <c r="Y62" s="110">
        <v>0</v>
      </c>
      <c r="Z62" s="110">
        <v>0</v>
      </c>
      <c r="AA62" s="110">
        <v>0</v>
      </c>
      <c r="AB62" s="110">
        <v>0</v>
      </c>
      <c r="AC62" s="110">
        <v>0</v>
      </c>
      <c r="AD62" s="110">
        <v>3.2157038832446401</v>
      </c>
      <c r="AE62" s="110">
        <v>0.18568989859049301</v>
      </c>
      <c r="AF62" s="110">
        <v>2.8751326798714198</v>
      </c>
      <c r="AG62" s="110">
        <v>0</v>
      </c>
      <c r="AH62" s="110">
        <v>0.16469101498213201</v>
      </c>
      <c r="AI62" s="110">
        <v>0</v>
      </c>
      <c r="AJ62" s="110">
        <v>35.4473102687666</v>
      </c>
      <c r="AK62" s="110">
        <v>0</v>
      </c>
      <c r="AL62" s="110">
        <v>18.647761410267801</v>
      </c>
      <c r="AM62" s="110">
        <v>0</v>
      </c>
      <c r="AN62" s="110">
        <v>0</v>
      </c>
      <c r="AO62" s="110">
        <v>0</v>
      </c>
      <c r="AP62" s="110">
        <v>0</v>
      </c>
      <c r="AQ62" s="111">
        <v>0.54591096819177998</v>
      </c>
    </row>
    <row r="63" spans="2:43" ht="12" customHeight="1" x14ac:dyDescent="0.25">
      <c r="B63" s="109" t="s">
        <v>39</v>
      </c>
      <c r="C63" s="110" t="s">
        <v>103</v>
      </c>
      <c r="D63" s="110" t="s">
        <v>25</v>
      </c>
      <c r="E63" s="110" t="s">
        <v>25</v>
      </c>
      <c r="F63" s="110" t="s">
        <v>25</v>
      </c>
      <c r="G63" s="110" t="s">
        <v>25</v>
      </c>
      <c r="H63" s="110" t="s">
        <v>90</v>
      </c>
      <c r="I63" s="110" t="s">
        <v>25</v>
      </c>
      <c r="J63" s="110">
        <v>14.38</v>
      </c>
      <c r="K63" s="110">
        <v>54.81</v>
      </c>
      <c r="L63" s="110">
        <v>9.1483703407367695E-2</v>
      </c>
      <c r="M63" s="110">
        <v>0</v>
      </c>
      <c r="N63" s="110">
        <v>0</v>
      </c>
      <c r="O63" s="110">
        <v>0</v>
      </c>
      <c r="P63" s="110">
        <v>0</v>
      </c>
      <c r="Q63" s="110">
        <v>3.1784351778039599</v>
      </c>
      <c r="R63" s="110">
        <v>1.83567494951971</v>
      </c>
      <c r="S63" s="110">
        <v>0</v>
      </c>
      <c r="T63" s="110">
        <v>2.5034226131381998</v>
      </c>
      <c r="U63" s="110">
        <v>0.49047141096461599</v>
      </c>
      <c r="V63" s="110">
        <v>0</v>
      </c>
      <c r="W63" s="110">
        <v>0</v>
      </c>
      <c r="X63" s="110">
        <v>0</v>
      </c>
      <c r="Y63" s="110">
        <v>0</v>
      </c>
      <c r="Z63" s="110">
        <v>0</v>
      </c>
      <c r="AA63" s="110">
        <v>0</v>
      </c>
      <c r="AB63" s="110">
        <v>0</v>
      </c>
      <c r="AC63" s="110">
        <v>0</v>
      </c>
      <c r="AD63" s="110">
        <v>3.2157038832446401</v>
      </c>
      <c r="AE63" s="110">
        <v>0.18568989859049301</v>
      </c>
      <c r="AF63" s="110">
        <v>2.8751326798714198</v>
      </c>
      <c r="AG63" s="110">
        <v>0</v>
      </c>
      <c r="AH63" s="110">
        <v>0.16469101498213201</v>
      </c>
      <c r="AI63" s="110">
        <v>0</v>
      </c>
      <c r="AJ63" s="110">
        <v>35.4473102687666</v>
      </c>
      <c r="AK63" s="110">
        <v>0</v>
      </c>
      <c r="AL63" s="110">
        <v>18.647761410267801</v>
      </c>
      <c r="AM63" s="110">
        <v>0</v>
      </c>
      <c r="AN63" s="110">
        <v>0</v>
      </c>
      <c r="AO63" s="110">
        <v>0</v>
      </c>
      <c r="AP63" s="110">
        <v>0</v>
      </c>
      <c r="AQ63" s="111">
        <v>0.54591096819177998</v>
      </c>
    </row>
    <row r="64" spans="2:43" ht="12" customHeight="1" x14ac:dyDescent="0.25">
      <c r="B64" s="109" t="s">
        <v>47</v>
      </c>
      <c r="C64" s="110" t="s">
        <v>23</v>
      </c>
      <c r="D64" s="110" t="s">
        <v>48</v>
      </c>
      <c r="E64" s="110" t="s">
        <v>49</v>
      </c>
      <c r="F64" s="110" t="s">
        <v>25</v>
      </c>
      <c r="G64" s="110" t="s">
        <v>25</v>
      </c>
      <c r="H64" s="110" t="s">
        <v>90</v>
      </c>
      <c r="I64" s="110" t="s">
        <v>25</v>
      </c>
      <c r="J64" s="110">
        <v>7.91</v>
      </c>
      <c r="K64" s="110">
        <v>30.14</v>
      </c>
      <c r="L64" s="110">
        <v>5.0316036874052297E-2</v>
      </c>
      <c r="M64" s="110">
        <v>0</v>
      </c>
      <c r="N64" s="110">
        <v>0</v>
      </c>
      <c r="O64" s="110">
        <v>0</v>
      </c>
      <c r="P64" s="110">
        <v>0</v>
      </c>
      <c r="Q64" s="110">
        <v>1.7481393477921801</v>
      </c>
      <c r="R64" s="110">
        <v>1.0096212222358401</v>
      </c>
      <c r="S64" s="110">
        <v>0</v>
      </c>
      <c r="T64" s="110">
        <v>1.37688243722601</v>
      </c>
      <c r="U64" s="110">
        <v>0.26975927603053901</v>
      </c>
      <c r="V64" s="110">
        <v>0</v>
      </c>
      <c r="W64" s="110">
        <v>0</v>
      </c>
      <c r="X64" s="110">
        <v>0</v>
      </c>
      <c r="Y64" s="110">
        <v>0</v>
      </c>
      <c r="Z64" s="110">
        <v>0</v>
      </c>
      <c r="AA64" s="110">
        <v>0</v>
      </c>
      <c r="AB64" s="110">
        <v>0</v>
      </c>
      <c r="AC64" s="110">
        <v>0</v>
      </c>
      <c r="AD64" s="110">
        <v>1.7686371357845501</v>
      </c>
      <c r="AE64" s="110">
        <v>0.10212944422477099</v>
      </c>
      <c r="AF64" s="110">
        <v>1.58132297392928</v>
      </c>
      <c r="AG64" s="110">
        <v>0</v>
      </c>
      <c r="AH64" s="110">
        <v>9.0580058240172498E-2</v>
      </c>
      <c r="AI64" s="110">
        <v>0</v>
      </c>
      <c r="AJ64" s="110">
        <v>19.496020647821702</v>
      </c>
      <c r="AK64" s="110">
        <v>0</v>
      </c>
      <c r="AL64" s="110">
        <v>10.2562687756473</v>
      </c>
      <c r="AM64" s="110">
        <v>0</v>
      </c>
      <c r="AN64" s="110">
        <v>0</v>
      </c>
      <c r="AO64" s="110">
        <v>0</v>
      </c>
      <c r="AP64" s="110">
        <v>0</v>
      </c>
      <c r="AQ64" s="111">
        <v>0.30025103250547902</v>
      </c>
    </row>
    <row r="65" spans="2:43" ht="12" customHeight="1" x14ac:dyDescent="0.25">
      <c r="B65" s="112" t="s">
        <v>47</v>
      </c>
      <c r="C65" s="113" t="s">
        <v>23</v>
      </c>
      <c r="D65" s="113" t="s">
        <v>48</v>
      </c>
      <c r="E65" s="113" t="s">
        <v>106</v>
      </c>
      <c r="F65" s="113" t="s">
        <v>25</v>
      </c>
      <c r="G65" s="113" t="s">
        <v>25</v>
      </c>
      <c r="H65" s="113" t="s">
        <v>90</v>
      </c>
      <c r="I65" s="113" t="s">
        <v>25</v>
      </c>
      <c r="J65" s="113">
        <v>8.6300000000000008</v>
      </c>
      <c r="K65" s="113">
        <v>32.880000000000003</v>
      </c>
      <c r="L65" s="113">
        <v>5.4890222044420602E-2</v>
      </c>
      <c r="M65" s="113">
        <v>0</v>
      </c>
      <c r="N65" s="113">
        <v>0</v>
      </c>
      <c r="O65" s="113">
        <v>0</v>
      </c>
      <c r="P65" s="113">
        <v>0</v>
      </c>
      <c r="Q65" s="113">
        <v>1.9070611066823699</v>
      </c>
      <c r="R65" s="113">
        <v>1.10140496971183</v>
      </c>
      <c r="S65" s="113">
        <v>0</v>
      </c>
      <c r="T65" s="113">
        <v>1.5020535678829201</v>
      </c>
      <c r="U65" s="113">
        <v>0.29428284657877002</v>
      </c>
      <c r="V65" s="113">
        <v>0</v>
      </c>
      <c r="W65" s="113">
        <v>0</v>
      </c>
      <c r="X65" s="113">
        <v>0</v>
      </c>
      <c r="Y65" s="113">
        <v>0</v>
      </c>
      <c r="Z65" s="113">
        <v>0</v>
      </c>
      <c r="AA65" s="113">
        <v>0</v>
      </c>
      <c r="AB65" s="113">
        <v>0</v>
      </c>
      <c r="AC65" s="113">
        <v>0</v>
      </c>
      <c r="AD65" s="113">
        <v>1.9294223299467801</v>
      </c>
      <c r="AE65" s="113">
        <v>0.111413939154296</v>
      </c>
      <c r="AF65" s="113">
        <v>1.7250796079228501</v>
      </c>
      <c r="AG65" s="113">
        <v>0</v>
      </c>
      <c r="AH65" s="113">
        <v>9.8814608989279101E-2</v>
      </c>
      <c r="AI65" s="113">
        <v>0</v>
      </c>
      <c r="AJ65" s="113">
        <v>21.26838616126</v>
      </c>
      <c r="AK65" s="113">
        <v>0</v>
      </c>
      <c r="AL65" s="113">
        <v>11.188656846160701</v>
      </c>
      <c r="AM65" s="113">
        <v>0</v>
      </c>
      <c r="AN65" s="113">
        <v>0</v>
      </c>
      <c r="AO65" s="113">
        <v>0</v>
      </c>
      <c r="AP65" s="113">
        <v>0</v>
      </c>
      <c r="AQ65" s="114">
        <v>0.327546580915068</v>
      </c>
    </row>
  </sheetData>
  <mergeCells count="8">
    <mergeCell ref="L1:AG1"/>
    <mergeCell ref="AH1:AQ1"/>
    <mergeCell ref="L2:S2"/>
    <mergeCell ref="T2:Z2"/>
    <mergeCell ref="AB2:AC2"/>
    <mergeCell ref="AD2:AG2"/>
    <mergeCell ref="AH2:AK2"/>
    <mergeCell ref="AM2:AP2"/>
  </mergeCells>
  <phoneticPr fontId="10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30</vt:i4>
      </vt:variant>
    </vt:vector>
  </HeadingPairs>
  <TitlesOfParts>
    <vt:vector size="30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  <vt:lpstr>TA - Aplicação</vt:lpstr>
      <vt:lpstr>TA - BE</vt:lpstr>
      <vt:lpstr>TA - CVA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2022-03-18T20:43:35Z</dcterms:created>
  <dcterms:modified xsi:type="dcterms:W3CDTF">2022-04-25T20:56:41Z</dcterms:modified>
</cp:coreProperties>
</file>